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5"/>
  <Override ContentType="application/binary" PartName="/xl/commentsmeta1"/>
  <Override ContentType="application/binary" PartName="/xl/commentsmeta16"/>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教學" sheetId="1" r:id="rId4"/>
    <sheet state="visible" name="主頁" sheetId="2" r:id="rId5"/>
    <sheet state="hidden" name="選單" sheetId="3" r:id="rId6"/>
    <sheet state="visible" name="計分版" sheetId="4" r:id="rId7"/>
    <sheet state="hidden" name="A123" sheetId="5" r:id="rId8"/>
    <sheet state="hidden" name="Retake" sheetId="6" r:id="rId9"/>
    <sheet state="hidden" name="入學要求" sheetId="7" r:id="rId10"/>
    <sheet state="visible" name="CityU" sheetId="8" r:id="rId11"/>
    <sheet state="visible" name="HKBU" sheetId="9" r:id="rId12"/>
    <sheet state="hidden" name="Offer Statistics" sheetId="10" r:id="rId13"/>
    <sheet state="visible" name="PolyU" sheetId="11" r:id="rId14"/>
    <sheet state="visible" name="CUHK" sheetId="12" r:id="rId15"/>
    <sheet state="visible" name="UST" sheetId="13" r:id="rId16"/>
    <sheet state="visible" name="HKU" sheetId="14" r:id="rId17"/>
    <sheet state="visible" name="LingU" sheetId="15" r:id="rId18"/>
    <sheet state="visible" name="EdUHK" sheetId="16" r:id="rId19"/>
    <sheet state="visible" name="OUHK" sheetId="17" r:id="rId20"/>
    <sheet state="visible" name="SSSDP" sheetId="18" r:id="rId21"/>
    <sheet state="hidden" name="Programme List (2021)" sheetId="19" r:id="rId22"/>
    <sheet state="visible" name="PolyU 參考分數" sheetId="20" r:id="rId23"/>
    <sheet state="visible" name="Retake 扣分" sheetId="21" r:id="rId24"/>
  </sheets>
  <externalReferences>
    <externalReference r:id="rId25"/>
  </externalReferences>
  <definedNames>
    <definedName name="選修科">#REF!</definedName>
    <definedName localSheetId="11" name="丙類科目等級">'選單'!$G$2:$G$8</definedName>
    <definedName name="丙類選修科">'選單'!$G$2:$G$8</definedName>
    <definedName name="第二選修科">'選單'!$D$2:$D$25</definedName>
    <definedName localSheetId="9" name="數學延伸部份">#REF!</definedName>
    <definedName name="差">'選單'!$F$7:$F$9</definedName>
    <definedName localSheetId="11" name="第四選修科">'選單'!$E$2:$E$6</definedName>
    <definedName name="等級">'選單'!$A$2:$A$10</definedName>
    <definedName name="差距ULM">'選單'!$F$7:$F$9</definedName>
    <definedName name="第一選修科">#REF!</definedName>
    <definedName localSheetId="11" name="第一選修科">'選單'!$B$2:$B$25</definedName>
    <definedName name="丙類科目等級">'選單'!$H$2:$H$8</definedName>
    <definedName localSheetId="11" name="等級">'選單'!$A$2:$A$10</definedName>
    <definedName name="第三選修科">'選單'!$E$2:$E$25</definedName>
    <definedName localSheetId="11" name="數學延伸部份">#REF!</definedName>
    <definedName name="第四選修科">'選單'!$F$2:$F$6</definedName>
    <definedName localSheetId="11" name="第二選修科">'選單'!$C$2:$C$25</definedName>
    <definedName localSheetId="11" name="丙類選修科">'選單'!$F$2:$F$8</definedName>
    <definedName name="數學延伸部份">#REF!</definedName>
    <definedName name="差距UML">'選單'!$F$7:$F$9</definedName>
  </definedNames>
  <calcPr/>
  <extLst>
    <ext uri="GoogleSheetsCustomDataVersion1">
      <go:sheetsCustomData xmlns:go="http://customooxmlschemas.google.com/" r:id="rId26" roundtripDataSignature="AMtx7mjzeywyNwGx0F/qkneoBKs8QDroEw=="/>
    </ext>
  </extLst>
</workbook>
</file>

<file path=xl/comments1.xml><?xml version="1.0" encoding="utf-8"?>
<comments xmlns:r="http://schemas.openxmlformats.org/officeDocument/2006/relationships" xmlns="http://schemas.openxmlformats.org/spreadsheetml/2006/main">
  <authors>
    <author/>
  </authors>
  <commentList>
    <comment authorId="0" ref="L14">
      <text>
        <t xml:space="preserve">======
ID#AAAANVU23fs
Michael Chan    (2021-07-20 22:25:02)
或Mean</t>
      </text>
    </comment>
  </commentList>
  <extLst>
    <ext uri="GoogleSheetsCustomDataVersion1">
      <go:sheetsCustomData xmlns:go="http://customooxmlschemas.google.com/" r:id="rId1" roundtripDataSignature="AMtx7mirQJPdVoAoG+0HyIRvJil5nvyRtQ=="/>
    </ext>
  </extLst>
</comments>
</file>

<file path=xl/comments2.xml><?xml version="1.0" encoding="utf-8"?>
<comments xmlns:r="http://schemas.openxmlformats.org/officeDocument/2006/relationships" xmlns="http://schemas.openxmlformats.org/spreadsheetml/2006/main">
  <authors>
    <author/>
  </authors>
  <commentList>
    <comment authorId="0" ref="C120">
      <text>
        <t xml:space="preserve">======
ID#AAAANVU23zI
最高比重    (2021-07-20 22:25:02)
中文、英文、數學、通識、DAT、視覺藝術</t>
      </text>
    </comment>
    <comment authorId="0" ref="C111">
      <text>
        <t xml:space="preserve">======
ID#AAAANVU23zA
Michael Chan    (2021-07-20 22:25:02)
2021年將以新比重收生
最高比重: 中文、英文、數學、M1/2、通識、生物、化學、物理、組合科學、經濟、地理、綜合科學
此處仍以2020年比重作估算，請注意
最高比重: 英文、數學、M1/2、生物、化學、物理、組合科學</t>
      </text>
    </comment>
    <comment authorId="0" ref="C387">
      <text>
        <t xml:space="preserve">======
ID#AAAANVU23yU
Michael Chan    (2021-07-20 22:25:02)
Best 5 (包括數學)</t>
      </text>
    </comment>
    <comment authorId="0" ref="P194">
      <text>
        <t xml:space="preserve">======
ID#AAAANVU23yQ
Michael Chan    (2021-07-20 22:25:02)
x1.75: M1/2
x1.5: 數學、物理、生物、化學、組合科學、ICT、DAT
x0.5: 通識</t>
      </text>
    </comment>
    <comment authorId="0" ref="P192">
      <text>
        <t xml:space="preserve">======
ID#AAAANVU23xk
Michael Chan    (2021-07-20 22:25:02)
x1.5: 數學、M1/2、中文、英文</t>
      </text>
    </comment>
    <comment authorId="0" ref="AF182">
      <text>
        <t xml:space="preserve">======
ID#AAAANVU23xg
Michael Chan    (2021-07-20 22:25:02)
x2: 英文、通識
x1.5: 中文</t>
      </text>
    </comment>
    <comment authorId="0" ref="C294">
      <text>
        <t xml:space="preserve">======
ID#AAAANVU23xY
Michael    (2021-07-20 22:25:02)
將考慮甲類及丙類科目，但不包括M1/2</t>
      </text>
    </comment>
    <comment authorId="0" ref="C384">
      <text>
        <t xml:space="preserve">======
ID#AAAANVU23xQ
Michael Chan    (2021-07-20 22:25:02)
Best 5 (包括英文、數學)
此處並無計算比重
x10: 英文、數學、BAFS、經濟、地理、ICT、物理、M1/2
x7: 中文、通識、組合科學、綜合科學、化學、生物
x5: 其他選修科目 (1個選修科)</t>
      </text>
    </comment>
    <comment authorId="0" ref="C265">
      <text>
        <t xml:space="preserve">======
ID#AAAANVU23xE
Michael Chan    (2021-07-20 22:25:02)
最佳6科必須包括 英文、數學
M1/2可被用作取代數學
x1.5: 英文、[數學或M1/2]</t>
      </text>
    </comment>
    <comment authorId="0" ref="AF181">
      <text>
        <t xml:space="preserve">======
ID#AAAANVU23wE
Michael Chan    (2021-07-20 22:25:02)
x1.5: 英文
x1.25: 中文、通識</t>
      </text>
    </comment>
    <comment authorId="0" ref="C270">
      <text>
        <t xml:space="preserve">======
ID#AAAANVU23vs
Michael    (2021-07-20 22:25:02)
最佳5科必須包括 中文、通識
x1.5: 中文
x1.2: 通識</t>
      </text>
    </comment>
    <comment authorId="0" ref="P209">
      <text>
        <t xml:space="preserve">======
ID#AAAANVU23vo
Michael Chan    (2021-07-20 22:25:02)
M1/2 有更高比重
(此處作x2)</t>
      </text>
    </comment>
    <comment authorId="0" ref="C282">
      <text>
        <t xml:space="preserve">======
ID#AAAANVU23vc
Michael    (2021-07-20 22:25:02)
將會考慮 數學科 或 數學及M1/2的組合分數 (公式如下) 較高者
[MA+(M1/M2*0.5)]/1.5</t>
      </text>
    </comment>
    <comment authorId="0" ref="P175">
      <text>
        <t xml:space="preserve">======
ID#AAAANVU23vI
Michael Chan    (2021-07-20 22:25:02)
包含中文、英文</t>
      </text>
    </comment>
    <comment authorId="0" ref="P215">
      <text>
        <t xml:space="preserve">======
ID#AAAANVU23vA
Michael Chan    (2021-07-20 22:25:02)
x1.5: 英文</t>
      </text>
    </comment>
    <comment authorId="0" ref="C121">
      <text>
        <t xml:space="preserve">======
ID#AAAANVU23uc
最高比重    (2021-07-20 22:25:02)
英文、數學</t>
      </text>
    </comment>
    <comment authorId="0" ref="C297">
      <text>
        <t xml:space="preserve">======
ID#AAAANVU23tk
Michael    (2021-07-20 22:25:02)
最佳6科必須包括 英文、數學
將考慮甲類及丙類科目，M1/2可被當作一科選修</t>
      </text>
    </comment>
    <comment authorId="0" ref="C295">
      <text>
        <t xml:space="preserve">======
ID#AAAANVU23s4
Michael    (2021-07-20 22:25:02)
最佳6科必須包括 英文、數學、M1/2
x2: 英文、數學、M1/2
x1.5: 生物、化學、物理、組合科學、綜合科學、ICT</t>
      </text>
    </comment>
    <comment authorId="0" ref="C129">
      <text>
        <t xml:space="preserve">======
ID#AAAANVU23s0
最高比重    (2021-07-20 22:25:02)
英文、數學、M1/2、生物、化學、物理、組合科學</t>
      </text>
    </comment>
    <comment authorId="0" ref="C85">
      <text>
        <t xml:space="preserve">======
ID#AAAANVU23rw
x2    (2021-07-20 22:25:02)
英文、英語文學
x1.5:
中文、中國文學、通識、數學</t>
      </text>
    </comment>
    <comment authorId="0" ref="P219">
      <text>
        <t xml:space="preserve">======
ID#AAAANVU23rk
Michael Chan    (2021-07-20 22:25:02)
x1.3: 英文</t>
      </text>
    </comment>
    <comment authorId="0" ref="C64">
      <text>
        <t xml:space="preserve">======
ID#AAAANVU23rg
Michael Chan    (2021-07-20 22:25:02)
2021年將以Best 5 (包含英文、數學)收生
此處仍以4C2X作估算，請注意
x2: 英文、數學、組合科學(物理、化學)、組合科學(物理、生物)、物理、ICT、M1/2
x1.5: 組合科學(生物、化學)、生物、化學、綜合科學</t>
      </text>
    </comment>
    <comment authorId="0" ref="C91">
      <text>
        <t xml:space="preserve">======
ID#AAAANVU23rM
Michael Chan    (2021-07-20 22:25:02)
Best 5 (包括英文)</t>
      </text>
    </comment>
    <comment authorId="0" ref="C274">
      <text>
        <t xml:space="preserve">======
ID#AAAANVU23q4
Michael    (2021-07-20 22:25:02)
將考慮甲類及丙類科目，但不包括M1/2</t>
      </text>
    </comment>
    <comment authorId="0" ref="P169">
      <text>
        <t xml:space="preserve">======
ID#AAAANVU23qo
Michael Chan    (2021-07-20 22:25:02)
2021年會以Best 5收生
此處仍以4C2X作估算，請注意
英文有較高比重
(此處作x1.5)</t>
      </text>
    </comment>
    <comment authorId="0" ref="C222">
      <text>
        <t xml:space="preserve">======
ID#AAAANVU23qk
Michael Chan    (2021-07-20 22:25:02)
x1.5: 英文、通識</t>
      </text>
    </comment>
    <comment authorId="0" ref="C55">
      <text>
        <t xml:space="preserve">======
ID#AAAANVU23qg
Michael Chan    (2021-07-20 22:25:02)
2021年將以4C1X收生
此處仍以4C2X作估算，請注意
x2: 英文
x1.5: 通識</t>
      </text>
    </comment>
    <comment authorId="0" ref="C69">
      <text>
        <t xml:space="preserve">======
ID#AAAANVU23qU
Michael Chan    (2021-07-20 22:25:02)
2021年將以Best 5收生
(若同學有修讀M1/2及數學，則只會取其中較高分者)
此處仍以4C2X作估算，請注意
x2: 英文，數學、化學，物理，生物，組合科學
2021年M1/2有x2比重
此處仍以2020年比重計算，請注意</t>
      </text>
    </comment>
    <comment authorId="0" ref="P218">
      <text>
        <t xml:space="preserve">======
ID#AAAANVU23qE
Michael Chan    (2021-07-20 22:25:02)
x1.3: 英文、中文</t>
      </text>
    </comment>
    <comment authorId="0" ref="C53">
      <text>
        <t xml:space="preserve">======
ID#AAAANVU23qA
Michael Chan    (2021-07-20 22:25:02)
x2: 英文
x1.5: 中文</t>
      </text>
    </comment>
    <comment authorId="0" ref="C385">
      <text>
        <t xml:space="preserve">======
ID#AAAANVU23po
Michael Chan    (2021-07-20 22:25:02)
此處並無計算比重
x5: 英文、數學、BAFS、經濟、M1/2、經濟、物理
x3: 中文、通識、ICT、組合科學、綜合科學、化學、生物
x2: 其他選修科 (1個選修科)</t>
      </text>
    </comment>
    <comment authorId="0" ref="O287">
      <text>
        <t xml:space="preserve">======
ID#AAAANVU23pQ
Michael Chan    (2021-07-20 22:25:02)
Penalty for previous sitting(s) (2019 and before) will be imposed on a case-by-case basis</t>
      </text>
    </comment>
    <comment authorId="0" ref="C100">
      <text>
        <t xml:space="preserve">======
ID#AAAANVU23pM
Michael Chan    (2021-07-20 22:25:02)
Best 5 (包括英文)
x1.2:
英文</t>
      </text>
    </comment>
    <comment authorId="0" ref="C101">
      <text>
        <t xml:space="preserve">======
ID#AAAANVU23oo
x2    (2021-07-20 22:25:02)
英文
x1.5:
通識</t>
      </text>
    </comment>
    <comment authorId="0" ref="C175">
      <text>
        <t xml:space="preserve">======
ID#AAAANVU23os
Michael Chan    (2021-07-20 22:25:02)
包含中文、英文</t>
      </text>
    </comment>
    <comment authorId="0" ref="C231">
      <text>
        <t xml:space="preserve">======
ID#AAAANVU23og
Michael Chan    (2021-07-20 22:25:02)
英文 x1.5 數學 x1
+
最佳2科理科 + 最佳1科 或
最佳1科理科 + 最佳2科
(M1/2/ 物理) x2
(生物 / 化學 / 組合科學) x1.5</t>
      </text>
    </comment>
    <comment authorId="0" ref="C146">
      <text>
        <t xml:space="preserve">======
ID#AAAANVU23n4
最高比重    (2021-07-20 22:25:02)
英文、數學、M1/2、生物、化學、物理、BAFS、組合科學、經濟、ICT</t>
      </text>
    </comment>
    <comment authorId="0" ref="C235">
      <text>
        <t xml:space="preserve">======
ID#AAAANVU23nE
Michael Chan    (2021-07-20 22:25:02)
英文 x2 數學 x2
+
最佳4科 x1</t>
      </text>
    </comment>
    <comment authorId="0" ref="C63">
      <text>
        <t xml:space="preserve">======
ID#AAAANVU23mg
CHAN, Koon Ho    (2021-07-20 22:25:02)
2021年將以Best 5 (包含英文、數學、最佳理科)
(無比重)收生
此處仍以4C2X(原有比重)作估算，請注意
x2: 英文</t>
      </text>
    </comment>
    <comment authorId="0" ref="C133">
      <text>
        <t xml:space="preserve">======
ID#AAAANVU23mc
最高比重    (2021-07-20 22:25:02)
英文、數學、M1/2、生物、化學、物理、組合科學、ICT</t>
      </text>
    </comment>
    <comment authorId="0" ref="C286">
      <text>
        <t xml:space="preserve">======
ID#AAAANVU23mU
Michael    (2021-07-20 22:25:02)
將會考慮 數學科 或 數學及M1/2的組合分數 (公式如下) 較高者
[MA+(M1/M2*0.5)]/1.5</t>
      </text>
    </comment>
    <comment authorId="0" ref="C70">
      <text>
        <t xml:space="preserve">======
ID#AAAANVU23mI
CHAN, Koon Ho    (2021-07-20 22:25:02)
2021年新科目
(包含英文、數學)
x2: 英文、數學、物理、M1/2、ICT
x1.5: 化學、組合科學(含物理)、DAT</t>
      </text>
    </comment>
    <comment authorId="0" ref="C293">
      <text>
        <t xml:space="preserve">======
ID#AAAANVU23mE
Michael    (2021-07-20 22:25:02)
將考慮甲類及丙類科目，但不包括M1/2</t>
      </text>
    </comment>
    <comment authorId="0" ref="AF170">
      <text>
        <t xml:space="preserve">======
ID#AAAANVU23mA
Michael Chan    (2021-07-20 22:25:02)
包含英文及 [數學和M1/2]其中最佳一科</t>
      </text>
    </comment>
    <comment authorId="0" ref="P188">
      <text>
        <t xml:space="preserve">======
ID#AAAANVU23l4
Michael Chan    (2021-07-20 22:25:02)
2021年將以新比重收生
(x2: 英文、數學
x1.5: [M1/2、化學、物理及經濟]其中最佳一科 )
此處將以原有比重作估算，請注意
x2: 英文、數學、M1/2</t>
      </text>
    </comment>
    <comment authorId="0" ref="C158">
      <text>
        <t xml:space="preserve">======
ID#AAAANVU23lo
最高比重    (2021-07-20 22:25:02)
英文、數學、M1/2、生物、化學、物理、組合科學、ICT</t>
      </text>
    </comment>
    <comment authorId="0" ref="C58">
      <text>
        <t xml:space="preserve">======
ID#AAAANVU23lY
Michael Chan    (2021-07-20 22:25:02)
x2: 英文</t>
      </text>
    </comment>
    <comment authorId="0" ref="C124">
      <text>
        <t xml:space="preserve">======
ID#AAAANVU23lI
最高比重    (2021-07-20 22:25:02)
數學、M1/2、生物、化學、物理、組合科學</t>
      </text>
    </comment>
    <comment authorId="0" ref="C298">
      <text>
        <t xml:space="preserve">======
ID#AAAANVU23kI
Michael    (2021-07-20 22:25:02)
將考慮甲類及丙類科目，但不包括M1/2</t>
      </text>
    </comment>
    <comment authorId="0" ref="C51">
      <text>
        <t xml:space="preserve">======
ID#AAAANVU23jU
Michael Chan    (2021-07-20 22:25:02)
x2: 中文，英文
x1.5: 通識/中國歷史/中國文學/歷史/視覺藝術</t>
      </text>
    </comment>
    <comment authorId="0" ref="C115">
      <text>
        <t xml:space="preserve">======
ID#AAAANVU23jA
最高比重    (2021-07-20 22:25:02)
英文、數學、M1/2、生物、化學、組合科學(生物、化學)</t>
      </text>
    </comment>
    <comment authorId="0" ref="C276">
      <text>
        <t xml:space="preserve">======
ID#AAAANVU23hk
Michael    (2021-07-20 22:25:02)
將考慮甲類及丙類科目，M1/2可被當作一科選修
最佳5科必須包括 英文、數學</t>
      </text>
    </comment>
    <comment authorId="0" ref="C131">
      <text>
        <t xml:space="preserve">======
ID#AAAANVU23hc
最高比重    (2021-07-20 22:25:02)
英文、數學</t>
      </text>
    </comment>
    <comment authorId="0" ref="C269">
      <text>
        <t xml:space="preserve">======
ID#AAAANVU23hE
Michael    (2021-07-20 22:25:02)
最佳5科必須包括 英文、通識
x1.5: 英文
x1.2: 通識</t>
      </text>
    </comment>
    <comment authorId="0" ref="C246">
      <text>
        <t xml:space="preserve">======
ID#AAAANVU23gs
Michael Chan    (2021-07-20 22:25:02)
英文 x2 中文 x1.5
+
最佳4科 x1</t>
      </text>
    </comment>
    <comment authorId="0" ref="C186">
      <text>
        <t xml:space="preserve">======
ID#AAAANVU23gk
SHEK, Kam Ming    (2021-07-20 22:25:02)
2021年將以Best 5 (包含英文)收生
此處仍以4C2X作估算，請注意</t>
      </text>
    </comment>
    <comment authorId="0" ref="C392">
      <text>
        <t xml:space="preserve">======
ID#AAAANVU23gQ
優先考慮    (2021-07-20 22:25:02)
- 英文 考獲Lv.4或以上者
- 數學 和 通識 考獲Lv.3或以上者
- 物理 或 綜合科學 或 組合科學(物理) 考獲Lv.3或以上者</t>
      </text>
    </comment>
    <comment authorId="0" ref="C264">
      <text>
        <t xml:space="preserve">======
ID#AAAANVU23f0
Michael Chan    (2021-07-20 22:25:02)
最佳6科必須包括 英文、數學
M1/2可被當作一科選修
x1.5: 英文、數學</t>
      </text>
    </comment>
    <comment authorId="0" ref="C218">
      <text>
        <t xml:space="preserve">======
ID#AAAANVU23fw
Michael Chan    (2021-07-20 22:25:02)
x1.3: 英文、中文</t>
      </text>
    </comment>
    <comment authorId="0" ref="C244">
      <text>
        <t xml:space="preserve">======
ID#AAAANVU23fc
Michael Chan    (2021-07-20 22:25:02)
英文 x2 數學 x2
+
最佳4科 X1
或
下列最佳科目 x1.5
(M1/2/化學/經濟/物理)
+
最佳2科 x1</t>
      </text>
    </comment>
    <comment authorId="0" ref="C223">
      <text>
        <t xml:space="preserve">======
ID#AAAANVU23es
Michael Chan    (2021-07-20 22:25:02)
x1.5: 英文</t>
      </text>
    </comment>
    <comment authorId="0" ref="C257">
      <text>
        <t xml:space="preserve">======
ID#AAAANVU23eY
Michael    (2021-07-20 22:25:02)
將考慮甲類及丙類科目，但不包括M1/2</t>
      </text>
    </comment>
    <comment authorId="0" ref="P225">
      <text>
        <t xml:space="preserve">======
ID#AAAANVU23d8
Michael Chan    (2021-07-20 22:25:02)
x2: 英文、通識
x1.5: 中文</t>
      </text>
    </comment>
    <comment authorId="0" ref="C95">
      <text>
        <t xml:space="preserve">======
ID#AAAANVU23dw
Michael Chan    (2021-07-20 22:25:02)
x1.5: 中文、英文、化學
x1.25: 生物、中國文學、組合科學、數學、物理</t>
      </text>
    </comment>
    <comment authorId="0" ref="C112">
      <text>
        <t xml:space="preserve">======
ID#AAAANVU23dg
Michael Chan    (2021-07-20 22:25:02)
2021年將以新比重收生
最高比重: 英文、數學、M1/2、物理、組合科學(物理)、地理、ICT、綜合科學
此處仍以2020年比重作估算，請注意
最高比重: 英文、數學</t>
      </text>
    </comment>
    <comment authorId="0" ref="P211">
      <text>
        <t xml:space="preserve">======
ID#AAAANVU23dE
Michael Chan    (2021-07-20 22:25:02)
x2: 數學、M1/2</t>
      </text>
    </comment>
    <comment authorId="0" ref="C46">
      <text>
        <t xml:space="preserve">======
ID#AAAANVU23cw
Michael Chan    (2021-07-20 22:25:02)
x2: 英文、數學</t>
      </text>
    </comment>
    <comment authorId="0" ref="P198">
      <text>
        <t xml:space="preserve">======
ID#AAAANVU23cs
Michael Chan    (2021-07-20 22:25:02)
x1.5: 數學、M1/2、物理、生物、化學、組合科學、DAT、ICT
x1.2: 經濟、地理
x0.5: 通識</t>
      </text>
    </comment>
    <comment authorId="0" ref="C166">
      <text>
        <t xml:space="preserve">======
ID#AAAANVU23ck
Michael Chan    (2021-07-20 22:25:02)
中文有較高比重
(此處作x1.5)</t>
      </text>
    </comment>
    <comment authorId="0" ref="C185">
      <text>
        <t xml:space="preserve">======
ID#AAAANVU23cg
Michael Chan    (2021-07-20 22:25:02)
x2: 英文、數學
x1.5: [M1/2、化學或物理] 其中最佳一科</t>
      </text>
    </comment>
    <comment authorId="0" ref="C141">
      <text>
        <t xml:space="preserve">======
ID#AAAANVU23cQ
最高比重    (2021-07-20 22:25:02)
英文、數學</t>
      </text>
    </comment>
    <comment authorId="0" ref="C268">
      <text>
        <t xml:space="preserve">======
ID#AAAANVU23cA
Michael    (2021-07-20 22:25:02)
最佳6科必須包括 理科 科目*
x1.3: [生物、化學、物理、組合科學] 其中最佳一科</t>
      </text>
    </comment>
    <comment authorId="0" ref="P212">
      <text>
        <t xml:space="preserve">======
ID#AAAANVU23bg
Michael Chan    (2021-07-20 22:25:02)
x1.3: 英文</t>
      </text>
    </comment>
    <comment authorId="0" ref="C28">
      <text>
        <t xml:space="preserve">======
ID#AAAANVU23bQ
CHAN, Koon Ho    (2021-07-20 22:25:02)
2021年將以Best 6 (包含英文)收生
此處仍以4C2X作估算，請注意</t>
      </text>
    </comment>
    <comment authorId="0" ref="C29">
      <text>
        <t xml:space="preserve">======
ID#AAAANVU23aY
Michael Chan    (2021-07-20 22:25:02)
x1.5: 英文</t>
      </text>
    </comment>
    <comment authorId="0" ref="C296">
      <text>
        <t xml:space="preserve">======
ID#AAAANVU23Zo
Michael Chan    (2021-07-20 22:25:02)
將考慮甲類及丙類科目，M1/2可被當作一科選修</t>
      </text>
    </comment>
    <comment authorId="0" ref="C152">
      <text>
        <t xml:space="preserve">======
ID#AAAANVU23Zk
最高比重    (2021-07-20 22:25:02)
英文、數學、化學、組合科學(化學)</t>
      </text>
    </comment>
    <comment authorId="0" ref="C62">
      <text>
        <t xml:space="preserve">======
ID#AAAANVU23Yw
Michael Chan    (2021-07-20 22:25:02)
2021年將以Best 5收生
此處仍以4C2X作估算，請注意
x2: 英文，化學
x1.5: 數學，組合科學(化學)</t>
      </text>
    </comment>
    <comment authorId="0" ref="C90">
      <text>
        <t xml:space="preserve">======
ID#AAAANVU23Y0
Michael Chan    (2021-07-20 22:25:02)
Best 5 (包括中、英文)
x1.25:
中文、英文</t>
      </text>
    </comment>
    <comment authorId="0" ref="C245">
      <text>
        <t xml:space="preserve">======
ID#AAAANVU23YQ
Michael Chan    (2021-07-20 22:25:02)
英文 x2 數學 x2
+
最佳4科 X1
或
下列最佳科目 x1.5
(M1/2/化學/經濟/物理)
+
最佳2科 x1</t>
      </text>
    </comment>
    <comment authorId="0" ref="C143">
      <text>
        <t xml:space="preserve">======
ID#AAAANVU23X8
最高比重    (2021-07-20 22:25:02)
英文</t>
      </text>
    </comment>
    <comment authorId="0" ref="P196">
      <text>
        <t xml:space="preserve">======
ID#AAAANVU23Xk
Michael Chan    (2021-07-20 22:25:02)
x1.5: 數學、M1/2、物理</t>
      </text>
    </comment>
    <comment authorId="0" ref="C261">
      <text>
        <t xml:space="preserve">======
ID#AAAANVU23Wc
Michael Chan    (2021-07-20 22:25:02)
最佳6科必須包括 英文、數學
M1/2可被當作一科選修
x1.5: 英文、數學</t>
      </text>
    </comment>
    <comment authorId="0" ref="C391">
      <text>
        <t xml:space="preserve">======
ID#AAAANVU23WU
優先考慮    (2021-07-20 22:25:02)
- 英文 考獲Lv.4或以上者
- 化學 或 組合科學 (化學) 考獲Lv.4或以上者</t>
      </text>
    </comment>
    <comment authorId="0" ref="C39">
      <text>
        <t xml:space="preserve">======
ID#AAAANVU23WI
Michael Chan    (2021-07-20 22:25:02)
x2: 英文</t>
      </text>
    </comment>
    <comment authorId="0" ref="C56">
      <text>
        <t xml:space="preserve">======
ID#AAAANVU23WA
Michael Chan    (2021-07-20 22:25:02)
x2: 英文</t>
      </text>
    </comment>
    <comment authorId="0" ref="C103">
      <text>
        <t xml:space="preserve">======
ID#AAAANVU23V4
Michael Chan    (2021-07-20 22:25:02)
2021年英文有x2比重
此處仍以2020年比重計算，請注意
x1.2: 中國歷史、經濟、倫理及宗教科、地理、歷史、旅遊及款待</t>
      </text>
    </comment>
    <comment authorId="0" ref="C72">
      <text>
        <t xml:space="preserve">======
ID#AAAANVU23Vw
Michael Chan    (2021-07-20 22:25:02)
x2: 英文，物理，化學，生物，組合科學，
x1.5: 數學，BAFS，ICT，DAT，M1/2，綜合科學</t>
      </text>
    </comment>
    <comment authorId="0" ref="O295">
      <text>
        <t xml:space="preserve">======
ID#AAAANVU23Vk
Michael Chan    (2021-07-20 22:25:02)
Penalty for previous sitting(s) (2019 and before) will be imposed on a case-by-case basis</t>
      </text>
    </comment>
    <comment authorId="0" ref="C386">
      <text>
        <t xml:space="preserve">======
ID#AAAANVU23Vc
Michael Chan    (2021-07-20 22:25:02)
此處並無計算比重
x3: 數學、ICT、M1/2、經濟、BAFS、物理
x2: 中文、英文、通識、生物、化學、組合科學、綜合科學</t>
      </text>
    </comment>
    <comment authorId="0" ref="C151">
      <text>
        <t xml:space="preserve">======
ID#AAAANVU23VQ
最高比重    (2021-07-20 22:25:02)
英文、數學、M1/2、物理、組合科學(物理)</t>
      </text>
    </comment>
    <comment authorId="0" ref="C217">
      <text>
        <t xml:space="preserve">======
ID#AAAANVU23U0
Michael Chan    (2021-07-20 22:25:02)
x1.5: 英文
x1.25: 中文、通識</t>
      </text>
    </comment>
    <comment authorId="0" ref="C61">
      <text>
        <t xml:space="preserve">======
ID#AAAANVU23Uo
CHAN, Koon Ho    (2021-07-20 22:25:02)
2021年新科目
x2.5: 英文、數學、物理、M1/2、組合科學(含物理)、綜合科學
x1.5: 中文</t>
      </text>
    </comment>
    <comment authorId="0" ref="C119">
      <text>
        <t xml:space="preserve">======
ID#AAAANVU23Uw
最高比重    (2021-07-20 22:25:02)
英文、數學</t>
      </text>
    </comment>
    <comment authorId="0" ref="C89">
      <text>
        <t xml:space="preserve">======
ID#AAAANVU23UQ
Michael Chan    (2021-07-20 22:25:02)
Best 5 (包括中、英文)
x1.25:
中文、英文</t>
      </text>
    </comment>
    <comment authorId="0" ref="C192">
      <text>
        <t xml:space="preserve">======
ID#AAAANVU23UM
Michael Chan    (2021-07-20 22:25:02)
x1.5: 數學、M1/2、中文、英文</t>
      </text>
    </comment>
    <comment authorId="0" ref="AF175">
      <text>
        <t xml:space="preserve">======
ID#AAAANVU23To
Michael Chan    (2021-07-20 22:25:02)
包含中文
中文有較高比重
(此處作x1.5)</t>
      </text>
    </comment>
    <comment authorId="0" ref="C281">
      <text>
        <t xml:space="preserve">======
ID#AAAANVU23TM
Michael    (2021-07-20 22:25:02)
2021年新科目
將考慮甲類及丙類科目，但不包括M1/2
若同學欲接駁到 MBBS 的升學途徑，同學須獲一級榮譽畢業，以及DSE有修讀化學 或 組合科學 (化學)
* BNurs with first class honours and HKDSE “Chemistry” or “Combined Science (Chemistry)” are required for the MBBS articulation pathway</t>
      </text>
    </comment>
    <comment authorId="0" ref="C283">
      <text>
        <t xml:space="preserve">======
ID#AAAANVU23TA
Michael    (2021-07-20 22:25:02)
將考慮甲類及丙類科目，但不包括M1/2</t>
      </text>
    </comment>
    <comment authorId="0" ref="C238">
      <text>
        <t xml:space="preserve">======
ID#AAAANVU23R4
Michael Chan    (2021-07-20 22:25:02)
英文 x2 數學 x2
+
最佳4科 x1</t>
      </text>
    </comment>
    <comment authorId="0" ref="AF176">
      <text>
        <t xml:space="preserve">======
ID#AAAANVU23Ro
Michael Chan    (2021-07-20 22:25:02)
包含英文
英文有較高比重
(此處作x1.5)</t>
      </text>
    </comment>
    <comment authorId="0" ref="C250">
      <text>
        <t xml:space="preserve">======
ID#AAAANVU23Rg
Michael Chan    (2021-07-20 22:25:02)
英文 x2 數學 x2
+
M1/2 x 2 或
最佳下列科目 x1.5
(生物/化學/物理/組合科學/綜合科學/經濟)
+
最佳3科 x1</t>
      </text>
    </comment>
    <comment authorId="0" ref="C187">
      <text>
        <t xml:space="preserve">======
ID#AAAANVU23Rc
Michael Chan    (2021-07-20 22:25:02)
x2: 英文、通識
x 1.5: 中文</t>
      </text>
    </comment>
    <comment authorId="0" ref="C267">
      <text>
        <t xml:space="preserve">======
ID#AAAANVU23RM
Michael Chan    (2021-07-20 22:25:02)
最佳6科必須包括 英文、數學
M1/2可被用作取代數學
x1.5: 英文、[數學或M1/2]</t>
      </text>
    </comment>
    <comment authorId="0" ref="C232">
      <text>
        <t xml:space="preserve">======
ID#AAAANVU23RI
Michael Chan    (2021-07-20 22:25:02)
英文 x2 數學 x2
+
最佳理科 x2
(生物/ 化學 /物理 / 組合科學)
或
ICT x1
+
最佳2科 x1 (M1/2 x1.5)</t>
      </text>
    </comment>
    <comment authorId="0" ref="C71">
      <text>
        <t xml:space="preserve">======
ID#AAAANVU23Qs
CHAN, Koon Ho    (2021-07-20 22:25:02)
2021年將以Best 6 (包含英文、數學、生物及化學)收生
此處仍以4C2X作估算，請注意</t>
      </text>
    </comment>
    <comment authorId="0" ref="C117">
      <text>
        <t xml:space="preserve">======
ID#AAAANVU23Pk
最高比重    (2021-07-20 22:25:02)
英文、數學、M1/2、生物、化學、物理、組合科學、ICT</t>
      </text>
    </comment>
    <comment authorId="0" ref="C40">
      <text>
        <t xml:space="preserve">======
ID#AAAANVU23PA
Michael Chan    (2021-07-20 22:25:02)
x2: 英文</t>
      </text>
    </comment>
    <comment authorId="0" ref="C126">
      <text>
        <t xml:space="preserve">======
ID#AAAANVU23O4
最高比重    (2021-07-20 22:25:02)
中文、英文、生物、物理、組合科學</t>
      </text>
    </comment>
    <comment authorId="0" ref="P185">
      <text>
        <t xml:space="preserve">======
ID#AAAANVU23Oo
Michael Chan    (2021-07-20 22:25:02)
2021年將以新比重收生
(x2: 英文、數學
x1.5: [M1/2、化學、物理或經濟] 其中最佳一科)
此處仍以原有比重作估算，請注意
x2: 英文、數學
x1.5: [M1/2、化學或物理] 其中最佳一科</t>
      </text>
    </comment>
    <comment authorId="0" ref="C41">
      <text>
        <t xml:space="preserve">======
ID#AAAANVU23Os
Michael Chan    (2021-07-20 22:25:02)
x2: 英文
x1.5: 數學</t>
      </text>
    </comment>
    <comment authorId="0" ref="C93">
      <text>
        <t xml:space="preserve">======
ID#AAAANVU23OE
Michael Chan    (2021-07-20 22:25:02)
2021年新科目
Best 5 (包括中、英文)
x1.25:
中文、英文</t>
      </text>
    </comment>
    <comment authorId="0" ref="C92">
      <text>
        <t xml:space="preserve">======
ID#AAAANVU23OA
Michael Chan    (2021-07-20 22:25:02)
2021年新科目
Best 5 (包括中、英文)
x1.25:
中文、英文</t>
      </text>
    </comment>
    <comment authorId="0" ref="C241">
      <text>
        <t xml:space="preserve">======
ID#AAAANVU23NU
Michael Chan    (2021-07-20 22:25:02)
英文 x2 數學 x2
+
最佳4科 x1</t>
      </text>
    </comment>
    <comment authorId="0" ref="C202">
      <text>
        <t xml:space="preserve">======
ID#AAAANVU23NA
較高比重科目    (2021-07-20 22:25:02)
物理、生物、化學、組合科學、綜合科學
(此處作x1.5)</t>
      </text>
    </comment>
    <comment authorId="0" ref="O288">
      <text>
        <t xml:space="preserve">======
ID#AAAANVU23Mc
Michael Chan    (2021-07-20 22:25:02)
Penalty for previous sitting(s) (2019 and before) will be imposed on a case-by-case basis</t>
      </text>
    </comment>
    <comment authorId="0" ref="P223">
      <text>
        <t xml:space="preserve">======
ID#AAAANVU23MU
Michael Chan    (2021-07-20 22:25:02)
x1.5: 英文</t>
      </text>
    </comment>
    <comment authorId="0" ref="P208">
      <text>
        <t xml:space="preserve">======
ID#AAAANVU23ME
較高比重科目    (2021-07-20 22:25:02)
英文、數學、M1/2、物理、生物、化學、組合科學、綜合科學、地理
(此處作x1.5)</t>
      </text>
    </comment>
    <comment authorId="0" ref="P182">
      <text>
        <t xml:space="preserve">======
ID#AAAANVU23Ls
Michael Chan    (2021-07-20 22:25:02)
2021年將不會計算比重
經考慮後，
此處將以不以原有比重作估算，請注意
x2: 旅遊及款待</t>
      </text>
    </comment>
    <comment authorId="0" ref="C42">
      <text>
        <t xml:space="preserve">======
ID#AAAANVU23LA
Michael Chan    (2021-07-20 22:25:02)
2021年將以Best 5 (包含英文)
(無比重)收生
此處仍以4C2X (原有比重) 作估算，請注意
x2: 英文</t>
      </text>
    </comment>
    <comment authorId="0" ref="C74">
      <text>
        <t xml:space="preserve">======
ID#AAAANVU23K0
Michael Chan    (2021-07-20 22:25:02)
x2: 英文，物理，化學，生物，組合科學，
x1.5: 數學，BAFS，ICT，DAT，M1/2，綜合科學</t>
      </text>
    </comment>
    <comment authorId="0" ref="C116">
      <text>
        <t xml:space="preserve">======
ID#AAAANVU23Ks
最高比重    (2021-07-20 22:25:02)
英文、化學、組合科學(化學)、DAT、視藝藝術</t>
      </text>
    </comment>
    <comment authorId="0" ref="C108">
      <text>
        <t xml:space="preserve">======
ID#AAAANVU23Kk
最高比重    (2021-07-20 22:25:02)
中文、英文、數學、通識、生物、組合科學(生物)</t>
      </text>
    </comment>
    <comment authorId="0" ref="C68">
      <text>
        <t xml:space="preserve">======
ID#AAAANVU23KQ
Michael Chan    (2021-07-20 22:25:02)
2021年將以Best 6 (包含英文、數學、最佳理科)收生
此處仍以4C2X作估算，請注意
x2: 英文，物理
x1.5: M1/2、化學
2021年生物科有x1.5比重
此處仍以2020年比重計算，請注意</t>
      </text>
    </comment>
    <comment authorId="0" ref="C145">
      <text>
        <t xml:space="preserve">======
ID#AAAANVU23Jg
最高比重    (2021-07-20 22:25:02)
英文、數學</t>
      </text>
    </comment>
    <comment authorId="0" ref="C148">
      <text>
        <t xml:space="preserve">======
ID#AAAANVU23Io
最高比重    (2021-07-20 22:25:02)
英文、數學</t>
      </text>
    </comment>
    <comment authorId="0" ref="C230">
      <text>
        <t xml:space="preserve">======
ID#AAAANVU23II
Michael Chan    (2021-07-20 22:25:02)
英文 x1.5 數學 x1
+
最佳2科理科 + 最佳1科 或
最佳1科理科 + 最佳2科
(生物/化學) x2
(M1/2 /物理/組合科學) x1</t>
      </text>
    </comment>
    <comment authorId="0" ref="AF169">
      <text>
        <t xml:space="preserve">======
ID#AAAANVU23IE
Michael Chan    (2021-07-20 22:25:02)
2021年將不會計算比重
經考慮後，
此處將以不以原有比重作估算，請注意
x2: 旅遊及款待</t>
      </text>
    </comment>
    <comment authorId="0" ref="C104">
      <text>
        <t xml:space="preserve">======
ID#AAAANVU23HY
Michael Chan    (2021-07-20 22:25:02)
Best 5 (包括英文)</t>
      </text>
    </comment>
    <comment authorId="0" ref="C59">
      <text>
        <t xml:space="preserve">======
ID#AAAANVU23HE
Michael Chan    (2021-07-20 22:25:02)
x2: 英文</t>
      </text>
    </comment>
    <comment authorId="0" ref="C132">
      <text>
        <t xml:space="preserve">======
ID#AAAANVU23HM
最高比重    (2021-07-20 22:25:02)
英文、數學、M1/2、生物、化學、物理、組合科學、ICT</t>
      </text>
    </comment>
    <comment authorId="0" ref="C144">
      <text>
        <t xml:space="preserve">======
ID#AAAANVU23Go
最高比重    (2021-07-20 22:25:02)
中文、英文</t>
      </text>
    </comment>
    <comment authorId="0" ref="C109">
      <text>
        <t xml:space="preserve">======
ID#AAAANVU23Gg
Michael Chan    (2021-07-20 22:25:02)
最高比重
英文、數學、M1/2、物理、化學、生物、組合科學</t>
      </text>
    </comment>
    <comment authorId="0" ref="C197">
      <text>
        <t xml:space="preserve">======
ID#AAAANVU23Fw
Michael Chan    (2021-07-20 22:25:02)
x1.5: 英文、物理、生物、化學、組合科學
、[數學、M1/2]其中最佳一科</t>
      </text>
    </comment>
    <comment authorId="0" ref="C272">
      <text>
        <t xml:space="preserve">======
ID#AAAANVU23Fs
Michael    (2021-07-20 22:25:02)
最佳5科必須包括 英文、數學、最佳理科*
M1/2可被當作一科選修
x2: 數學、M1/2、 生物、化學、物理、組合科學、綜合科學
x1.5: 英文
x1.25: 非理科選修科
*理科: 生物、化學、物理、組合科學、綜合科學</t>
      </text>
    </comment>
    <comment authorId="0" ref="C390">
      <text>
        <t xml:space="preserve">======
ID#AAAANVU23FY
Michael    (2021-07-20 22:25:02)
只考慮甲類科目</t>
      </text>
    </comment>
    <comment authorId="0" ref="C233">
      <text>
        <t xml:space="preserve">======
ID#AAAANVU23FQ
Michael Chan    (2021-07-20 22:25:02)
英文 x2 數學 x2
+
最佳理科 x2
(生物/ 化學 /物理 / 組合科學/DAT)
或
ICT x1
+
最佳2科 x1 (M1/2 x1.5)</t>
      </text>
    </comment>
    <comment authorId="0" ref="C43">
      <text>
        <t xml:space="preserve">======
ID#AAAANVU23Eo
Michael Chan    (2021-07-20 22:25:02)
2021年將以Best 5 (包含英文、數學、最佳理科)收生
(x2.5: 數學、第一理科 (生物、化學、物理、綜合科學、組合科學)
x1.5: 第二理科、地理、M1/2)
此處仍以4C2X(原本比重)作估算，請注意
x2.5: 數學、物理、化物、組合科學(化學及物理)
x2: 英文</t>
      </text>
    </comment>
    <comment authorId="0" ref="AF172">
      <text>
        <t xml:space="preserve">======
ID#AAAANVU23EY
Michael Chan    (2021-07-20 22:25:02)
2021年將以新比重收生
(x2: 英文、數學
x1.5: [M1/2、化學、物理或經濟] 其中最佳一科)
此處仍以原有比重作估算，請注意
x2: 英文、數學
x1.5: [M1/2、化學或物理] 其中最佳一科</t>
      </text>
    </comment>
    <comment authorId="0" ref="C196">
      <text>
        <t xml:space="preserve">======
ID#AAAANVU23EM
Michael Chan    (2021-07-20 22:25:02)
x1.5: 數學、M1/2、物理</t>
      </text>
    </comment>
    <comment authorId="0" ref="P195">
      <text>
        <t xml:space="preserve">======
ID#AAAANVU23Dk
Michael Chan    (2021-07-20 22:25:02)
x1.75: 數學、M1/2
x1.5: 物理、生物、化學、組合科學、經濟、BAFS、ICT
x1.25: 中文、英文</t>
      </text>
    </comment>
    <comment authorId="0" ref="C277">
      <text>
        <t xml:space="preserve">======
ID#AAAANVU23DE
Michael    (2021-07-20 22:25:02)
將考慮甲類及丙類科目，M1/2可被當作一科選修
最佳5科必須包括 英文、數學</t>
      </text>
    </comment>
    <comment authorId="0" ref="C87">
      <text>
        <t xml:space="preserve">======
ID#AAAANVU23DI
x1.5    (2021-07-20 22:25:02)
英文</t>
      </text>
    </comment>
    <comment authorId="0" ref="C291">
      <text>
        <t xml:space="preserve">======
ID#AAAANVU23Ck
Michael    (2021-07-20 22:25:02)
將考慮甲類及丙類科目，但不包括M1/2</t>
      </text>
    </comment>
    <comment authorId="0" ref="AF173">
      <text>
        <t xml:space="preserve">======
ID#AAAANVU23CU
Michael Chan    (2021-07-20 22:25:02)
x2: 英文、通識
x 1.5: 中文</t>
      </text>
    </comment>
    <comment authorId="0" ref="C134">
      <text>
        <t xml:space="preserve">======
ID#AAAANVU23CA
最高比重    (2021-07-20 22:25:02)
英文、數學、M1/2、物理、組合科學(物理)</t>
      </text>
    </comment>
    <comment authorId="0" ref="C243">
      <text>
        <t xml:space="preserve">======
ID#AAAANVU23B4
Michael Chan    (2021-07-20 22:25:02)
英文 x2 數學 x2
+
最佳4科 x1</t>
      </text>
    </comment>
    <comment authorId="0" ref="C45">
      <text>
        <t xml:space="preserve">======
ID#AAAANVU23Bw
Michael Chan    (2021-07-20 22:25:02)
x2: 英文、數學</t>
      </text>
    </comment>
    <comment authorId="0" ref="P222">
      <text>
        <t xml:space="preserve">======
ID#AAAANVU23A4
Michael Chan    (2021-07-20 22:25:02)
x1.5: 英文、通識</t>
      </text>
    </comment>
    <comment authorId="0" ref="P186">
      <text>
        <t xml:space="preserve">======
ID#AAAANVU23A0
SHEK, Kam Ming    (2021-07-20 22:25:02)
2021年將以Best 5 (包含英文)收生
此處仍以4C2X作估算，請注意</t>
      </text>
    </comment>
    <comment authorId="0" ref="C195">
      <text>
        <t xml:space="preserve">======
ID#AAAANVU23AI
Michael Chan    (2021-07-20 22:25:02)
x1.75: 數學、M1/2
x1.5: 物理、生物、化學、組合科學、經濟、BAFS、ICT
x1.25: 中文、英文</t>
      </text>
    </comment>
    <comment authorId="0" ref="C198">
      <text>
        <t xml:space="preserve">======
ID#AAAANVU22_w
Michael Chan    (2021-07-20 22:25:02)
x1.5: 數學、M1/2、物理、生物、化學、組合科學、DAT、ICT
x1.2: 經濟、地理
x0.5: 通識</t>
      </text>
    </comment>
    <comment authorId="0" ref="C194">
      <text>
        <t xml:space="preserve">======
ID#AAAANVU22_g
Michael Chan    (2021-07-20 22:25:02)
x1.75: M1/2
x1.5: 數學、物理、生物、化學、組合科學、ICT、DAT
x0.5: 通識</t>
      </text>
    </comment>
    <comment authorId="0" ref="C118">
      <text>
        <t xml:space="preserve">======
ID#AAAANVU22_c
最高比重    (2021-07-20 22:25:02)
英文、數學、M1/2、生物、化學、物理、組合科學、ICT</t>
      </text>
    </comment>
    <comment authorId="0" ref="C60">
      <text>
        <t xml:space="preserve">======
ID#AAAANVU22_A
CHAN, Koon Ho    (2021-07-20 22:25:02)
2021年新科目
x2.5: 數學、物理、生物、化學、經濟、M1/2
x2: 英文</t>
      </text>
    </comment>
    <comment authorId="0" ref="C65">
      <text>
        <t xml:space="preserve">======
ID#AAAANVU22-8
Michael Chan    (2021-07-20 22:25:02)
2021年將以Best 5 (包含數學)收生
此處仍以4C2X作估算，請注意
x2.5: 數學
x2: 英文、M1/2
x1.5: 組合科學，生物，化學，物理</t>
      </text>
    </comment>
    <comment authorId="0" ref="C114">
      <text>
        <t xml:space="preserve">======
ID#AAAANVU2290
最高比重    (2021-07-20 22:25:02)
英文、數學</t>
      </text>
    </comment>
    <comment authorId="0" ref="P220">
      <text>
        <t xml:space="preserve">======
ID#AAAANVU229k
Michael Chan    (2021-07-20 22:25:02)
x1.5: 英文、數學</t>
      </text>
    </comment>
    <comment authorId="0" ref="C54">
      <text>
        <t xml:space="preserve">======
ID#AAAANVU229Y
Michael Chan    (2021-07-20 22:25:02)
2021年將以Best 5 (包含英文)收生
此處仍以4C2X作估算，請注意
x1.25: 中文、英文</t>
      </text>
    </comment>
    <comment authorId="0" ref="C96">
      <text>
        <t xml:space="preserve">======
ID#AAAANVU229E
CHAN, Koon Ho    (2021-07-20 22:25:01)
2021年將以4C2X收生</t>
      </text>
    </comment>
    <comment authorId="0" ref="C284">
      <text>
        <t xml:space="preserve">======
ID#AAAANVU228g
Michael    (2021-07-20 22:25:01)
將考慮甲類及丙類科目，但不包括M1/2</t>
      </text>
    </comment>
    <comment authorId="0" ref="C208">
      <text>
        <t xml:space="preserve">======
ID#AAAANVU228Y
較高比重科目    (2021-07-20 22:25:01)
英文、數學、M1/2、物理、生物、化學、組合科學、綜合科學、地理
(此處作x1.5)</t>
      </text>
    </comment>
    <comment authorId="0" ref="C135">
      <text>
        <t xml:space="preserve">======
ID#AAAANVU227w
最高比重    (2021-07-20 22:25:01)
英文、數學、M1/2、生物、化學、物理、組合科學、ICT</t>
      </text>
    </comment>
    <comment authorId="0" ref="C154">
      <text>
        <t xml:space="preserve">======
ID#AAAANVU227k
最高比重    (2021-07-20 22:25:01)
數學、物理、組合科學(物理)</t>
      </text>
    </comment>
    <comment authorId="0" ref="C102">
      <text>
        <t xml:space="preserve">======
ID#AAAANVU227Y
x1.5    (2021-07-20 22:25:01)
中文、英文</t>
      </text>
    </comment>
    <comment authorId="0" ref="P213">
      <text>
        <t xml:space="preserve">======
ID#AAAANVU227U
Michael Chan    (2021-07-20 22:25:01)
2021年將以新比重收生
(x1.5: 英文)
此處將以原有比重作估算，請注意
x1.5: 英文、數學</t>
      </text>
    </comment>
    <comment authorId="0" ref="C280">
      <text>
        <t xml:space="preserve">======
ID#AAAANVU227c
Michael    (2021-07-20 22:25:01)
最佳6科必須包括 英文</t>
      </text>
    </comment>
    <comment authorId="0" ref="C138">
      <text>
        <t xml:space="preserve">======
ID#AAAANVU2264
最高比重    (2021-07-20 22:25:01)
英文、數學、M1/2、物理、組合科學(物理)</t>
      </text>
    </comment>
    <comment authorId="0" ref="C287">
      <text>
        <t xml:space="preserve">======
ID#AAAANVU226s
Michael Chan    (2021-07-20 22:25:01)
2021年新科目
最佳6科必須包括 英文、數學、M1/2、及最佳兩科理科*
x2: 英文、數學、M1/2、生物、化學、物理
x1.25: 其他選修科目
*理科: 生物、化學、物理、組合科學</t>
      </text>
    </comment>
    <comment authorId="0" ref="C207">
      <text>
        <t xml:space="preserve">======
ID#AAAANVU226k
Michael Chan    (2021-07-20 22:25:01)
x2: 數學、M1/2、物理、生物、化學、組合科學、綜合科學
x1.5: 中文或英文、經濟、地理、ICT、科技與生活
註: 只有最多三科將會用以計算比重</t>
      </text>
    </comment>
    <comment authorId="0" ref="C211">
      <text>
        <t xml:space="preserve">======
ID#AAAANVU226I
Michael Chan    (2021-07-20 22:25:01)
x2: 數學、M1/2</t>
      </text>
    </comment>
    <comment authorId="0" ref="C73">
      <text>
        <t xml:space="preserve">======
ID#AAAANVU225w
Michael Chan    (2021-07-20 22:25:01)
x2: 英文，物理，化學，生物，組合科學，
x1.5: 數學，BAFS，ICT，DAT，M1/2，綜合科學</t>
      </text>
    </comment>
    <comment authorId="0" ref="C213">
      <text>
        <t xml:space="preserve">======
ID#AAAANVU223k
Michael Chan    (2021-07-20 22:25:01)
2021年將以新比重收生
(x1.5: 英文)
此處將以原有比重作估算，請注意
x1.5: 英文、數學</t>
      </text>
    </comment>
    <comment authorId="0" ref="C219">
      <text>
        <t xml:space="preserve">======
ID#AAAANVU221w
Michael Chan    (2021-07-20 22:25:01)
x1.3: 英文</t>
      </text>
    </comment>
    <comment authorId="0" ref="P197">
      <text>
        <t xml:space="preserve">======
ID#AAAANVU221o
Michael Chan    (2021-07-20 22:25:01)
x1.5: 英文、物理、生物、化學、組合科學
、[數學、M1/2]其中最佳一科</t>
      </text>
    </comment>
    <comment authorId="0" ref="C127">
      <text>
        <t xml:space="preserve">======
ID#AAAANVU220s
最高比重    (2021-07-20 22:25:01)
中文、英文、生物、物理、組合科學(生物、物理)</t>
      </text>
    </comment>
    <comment authorId="0" ref="C150">
      <text>
        <t xml:space="preserve">======
ID#AAAANVU220g
Michael Chan    (2021-07-20 22:25:01)
最高比重
英文、數學、生物、組合科學(生物)</t>
      </text>
    </comment>
    <comment authorId="0" ref="C169">
      <text>
        <t xml:space="preserve">======
ID#AAAANVU22z4
Michael Chan    (2021-07-20 22:25:01)
2021年會以Best 5收生
此處仍以4C2X作估算，請注意
英文有較高比重
(此處作x1.5)</t>
      </text>
    </comment>
    <comment authorId="0" ref="C27">
      <text>
        <t xml:space="preserve">======
ID#AAAANVU22zU
CHAN, Koon Ho    (2021-07-20 22:25:01)
2021年將以Best 6 (包含英文、數學)收生
此處仍以4C2X作估算，請注意</t>
      </text>
    </comment>
    <comment authorId="0" ref="C259">
      <text>
        <t xml:space="preserve">======
ID#AAAANVU22zE
Michael    (2021-07-20 22:25:01)
將考慮甲類及丙類科目，但不包括M1/2</t>
      </text>
    </comment>
    <comment authorId="0" ref="C125">
      <text>
        <t xml:space="preserve">======
ID#AAAANVU22yw
最高比重    (2021-07-20 22:25:01)
中文、英文、數學、生物、化學、物理、組合科學</t>
      </text>
    </comment>
    <comment authorId="0" ref="C225">
      <text>
        <t xml:space="preserve">======
ID#AAAANVU22yc
Michael Chan    (2021-07-20 22:25:01)
x2: 英文、通識
x 1.5: 中文</t>
      </text>
    </comment>
    <comment authorId="0" ref="C47">
      <text>
        <t xml:space="preserve">======
ID#AAAANVU22yA
Michael Chan    (2021-07-20 22:25:01)
x2: 英文、數學</t>
      </text>
    </comment>
    <comment authorId="0" ref="C183">
      <text>
        <t xml:space="preserve">======
ID#AAAANVU22wg
Michael Chan    (2021-07-20 22:25:01)
包含英文及 [數學和M1/2]其中最佳一科</t>
      </text>
    </comment>
    <comment authorId="0" ref="C52">
      <text>
        <t xml:space="preserve">======
ID#AAAANVU22wc
Michael Chan    (2021-07-20 22:25:01)
2021年將以Best 5 (包含英文)收生
此處仍以4C2X作估算，請注意
x2.5: 英文
x1.5: 英國文學、通識</t>
      </text>
    </comment>
    <comment authorId="0" ref="P183">
      <text>
        <t xml:space="preserve">======
ID#AAAANVU22wY
Michael Chan    (2021-07-20 22:25:01)
包含英文及 [數學和M1/2]其中最佳一科</t>
      </text>
    </comment>
    <comment authorId="0" ref="C239">
      <text>
        <t xml:space="preserve">======
ID#AAAANVU22vo
Michael Chan    (2021-07-20 22:25:01)
英文 x2 數學 x2
+
最佳4科 x1</t>
      </text>
    </comment>
    <comment authorId="0" ref="C191">
      <text>
        <t xml:space="preserve">======
ID#AAAANVU22vU
Michael Chan    (2021-07-20 22:25:01)
包含英文
英文有較高比重
(此處作x1.5)</t>
      </text>
    </comment>
    <comment authorId="0" ref="C147">
      <text>
        <t xml:space="preserve">======
ID#AAAANVU22vQ
最高比重    (2021-07-20 22:25:01)
英文</t>
      </text>
    </comment>
    <comment authorId="0" ref="C113">
      <text>
        <t xml:space="preserve">======
ID#AAAANVU22uY
最高比重    (2021-07-20 22:25:01)
英文</t>
      </text>
    </comment>
    <comment authorId="0" ref="C279">
      <text>
        <t xml:space="preserve">======
ID#AAAANVU22s8
Michael    (2021-07-20 22:25:01)
最佳6科必須包括 英文</t>
      </text>
    </comment>
    <comment authorId="0" ref="C157">
      <text>
        <t xml:space="preserve">======
ID#AAAANVU22sw
最高比重    (2021-07-20 22:25:01)
數學、M1/2、物理、組合科學(物理)</t>
      </text>
    </comment>
    <comment authorId="0" ref="C99">
      <text>
        <t xml:space="preserve">======
ID#AAAANVU22so
Michael Chan    (2021-07-20 22:25:01)
Best 5 (包括英文)
x1.2:
英文</t>
      </text>
    </comment>
    <comment authorId="0" ref="C210">
      <text>
        <t xml:space="preserve">======
ID#AAAANVU22sg
較高比重科目    (2021-07-20 22:25:01)
數學、M1/2、物理
(此處作x1.5)</t>
      </text>
    </comment>
    <comment authorId="0" ref="C94">
      <text>
        <t xml:space="preserve">======
ID#AAAANVU22sc
Michael Chan    (2021-07-20 22:25:01)
x1.5: 中文、英文、生物
x1.25: 中史、中國文學、化學、組合科學、數學、物理</t>
      </text>
    </comment>
    <comment authorId="0" ref="P210">
      <text>
        <t xml:space="preserve">======
ID#AAAANVU22sQ
較高比重科目    (2021-07-20 22:25:01)
數學、M1/2、物理
(此處作x1.5)</t>
      </text>
    </comment>
    <comment authorId="0" ref="C209">
      <text>
        <t xml:space="preserve">======
ID#AAAANVU22sM
Michael Chan    (2021-07-20 22:25:01)
M1/2 有更高比重
(此處作x2)</t>
      </text>
    </comment>
    <comment authorId="0" ref="C242">
      <text>
        <t xml:space="preserve">======
ID#AAAANVU22rY
Michael Chan    (2021-07-20 22:25:01)
英文 x2 數學 x2
+
最佳4科 x1</t>
      </text>
    </comment>
    <comment authorId="0" ref="C215">
      <text>
        <t xml:space="preserve">======
ID#AAAANVU22rI
Michael Chan    (2021-07-20 22:25:01)
x1.5: 英文</t>
      </text>
    </comment>
    <comment authorId="0" ref="P217">
      <text>
        <t xml:space="preserve">======
ID#AAAANVU22qo
Michael Chan    (2021-07-20 22:25:01)
x1.5: 英文
x1.25: 中文、通識</t>
      </text>
    </comment>
    <comment authorId="0" ref="C44">
      <text>
        <t xml:space="preserve">======
ID#AAAANVU22qg
CHAN, Koon Ho    (2021-07-20 22:25:01)
2021年將以Best 6 (包含英文)收生
此處仍以4C2X作估算，請注意</t>
      </text>
    </comment>
    <comment authorId="0" ref="C237">
      <text>
        <t xml:space="preserve">======
ID#AAAANVU22qM
Michael Chan    (2021-07-20 22:25:01)
英文 x2 數學 x2
+
最佳4科 X1
或
下列最佳科目 x1.5
(M1/2/化學/經濟/物理)
+
最佳2科 x1</t>
      </text>
    </comment>
    <comment authorId="0" ref="C393">
      <text>
        <t xml:space="preserve">======
ID#AAAANVU22qA
優先考慮    (2021-07-20 22:25:01)
- 生物 或 組合科學 (生物) 考獲Lv.3或以上者
- 英文 考獲Lv.4或以上者</t>
      </text>
    </comment>
    <comment authorId="0" ref="C156">
      <text>
        <t xml:space="preserve">======
ID#AAAANVU22pw
最高比重    (2021-07-20 22:25:01)
化學、組合科學(化學)</t>
      </text>
    </comment>
    <comment authorId="0" ref="C228">
      <text>
        <t xml:space="preserve">======
ID#AAAANVU22pQ
Michael Chan    (2021-07-20 22:25:01)
英文 x1 數學 x1
+
最佳兩科 x1
(M1/2 / 生物/ 化學 /物理 / 組合科學)
+
最佳一科 x1</t>
      </text>
    </comment>
    <comment authorId="0" ref="C159">
      <text>
        <t xml:space="preserve">======
ID#AAAANVU22pI
最高比重    (2021-07-20 22:25:01)
英文、數學、M1/2、生物、化學、物理、組合科學、ICT</t>
      </text>
    </comment>
    <comment authorId="0" ref="C278">
      <text>
        <t xml:space="preserve">======
ID#AAAANVU22oY
Michael    (2021-07-20 22:25:01)
將考慮甲類及丙類科目，M1/2可被當作一科選修
最佳5科必須包括 英文、數學</t>
      </text>
    </comment>
    <comment authorId="0" ref="C140">
      <text>
        <t xml:space="preserve">======
ID#AAAANVU22oQ
最高比重    (2021-07-20 22:25:01)
英文、數學、M1/2、物理、組合科學(物理)</t>
      </text>
    </comment>
    <comment authorId="0" ref="P199">
      <text>
        <t xml:space="preserve">======
ID#AAAANVU22oM
Michael Chan    (2021-07-20 22:25:01)
x1.75: 數學、M1/2
x1.5: 物理、生物、化學、組合科學、ICT
x1.25: 中文、英文</t>
      </text>
    </comment>
    <comment authorId="0" ref="C97">
      <text>
        <t xml:space="preserve">======
ID#AAAANVU22n8
x2    (2021-07-20 22:25:01)
英文</t>
      </text>
    </comment>
    <comment authorId="0" ref="C50">
      <text>
        <t xml:space="preserve">======
ID#AAAANVU22no
Michael Chan    (2021-07-20 22:25:01)
2021年將以Best 5收生
此處仍以4C2X作估算，請注意</t>
      </text>
    </comment>
    <comment authorId="0" ref="C266">
      <text>
        <t xml:space="preserve">======
ID#AAAANVU22nY
Michael    (2021-07-20 22:25:01)
最佳6科必須包括 英文、數學、M1/2
x1.5: 英文
x1.25: 數學, M1/2</t>
      </text>
    </comment>
    <comment authorId="0" ref="C288">
      <text>
        <t xml:space="preserve">======
ID#AAAANVU22m4
Michael Chan    (2021-07-20 22:25:01)
最佳6科必須包括 英文、數學、M1/2
x2: 英文、數學、M1/2</t>
      </text>
    </comment>
    <comment authorId="0" ref="C251">
      <text>
        <t xml:space="preserve">======
ID#AAAANVU22mU
Michael Chan    (2021-07-20 22:25:01)
英文 x2 數學 x2
+
最佳4科 x1 (M1/2 x1.5)</t>
      </text>
    </comment>
    <comment authorId="0" ref="C149">
      <text>
        <t xml:space="preserve">======
ID#AAAANVU22mQ
最高比重    (2021-07-20 22:25:01)
英文、數學</t>
      </text>
    </comment>
    <comment authorId="0" ref="C142">
      <text>
        <t xml:space="preserve">======
ID#AAAANVU22l4
最高比重    (2021-07-20 22:25:01)
中文、英文</t>
      </text>
    </comment>
    <comment authorId="0" ref="AF177">
      <text>
        <t xml:space="preserve">======
ID#AAAANVU22lI
Michael Chan    (2021-07-20 22:25:01)
x1.5: 數學、M1/2、中文、英文</t>
      </text>
    </comment>
    <comment authorId="0" ref="C199">
      <text>
        <t xml:space="preserve">======
ID#AAAANVU22kk
Michael Chan    (2021-07-20 22:25:01)
x1.75: 數學、M1/2
x1.5: 物理、生物、化學、組合科學、ICT
x1.25: 中文、英文</t>
      </text>
    </comment>
    <comment authorId="0" ref="C49">
      <text>
        <t xml:space="preserve">======
ID#AAAANVU22kc
Michael Chan    (2021-07-20 22:25:01)
x2: 英文</t>
      </text>
    </comment>
    <comment authorId="0" ref="C188">
      <text>
        <t xml:space="preserve">======
ID#AAAANVU22kM
Michael Chan    (2021-07-20 22:25:01)
2021年將以新比重收生
(x2:英文、數學
x1.5: [M1/2、化學、物理及經濟]其中最佳一科 )
此處將以原有比重作估算，請注意
x2: 英文、數學、M1/2</t>
      </text>
    </comment>
    <comment authorId="0" ref="C240">
      <text>
        <t xml:space="preserve">======
ID#AAAANVU22jk
Michael Chan    (2021-07-20 22:25:01)
英文 x2 數學 x2
+
最佳4科 x1</t>
      </text>
    </comment>
    <comment authorId="0" ref="P190">
      <text>
        <t xml:space="preserve">======
ID#AAAANVU22jg
Michael Chan    (2021-07-20 22:25:01)
包含中文
中文有較高比重
(此處作x1.5)</t>
      </text>
    </comment>
    <comment authorId="0" ref="C110">
      <text>
        <t xml:space="preserve">======
ID#AAAANVU22jY
最高比重    (2021-07-20 22:25:01)
英文、數學、M1/2、生物、化學、物理、組合科學、ICT</t>
      </text>
    </comment>
    <comment authorId="0" ref="C260">
      <text>
        <t xml:space="preserve">======
ID#AAAANVU22ig
Michael    (2021-07-20 22:25:01)
將考慮甲類及丙類科目，但不包括M1/2
最佳5科必須包括 英文</t>
      </text>
    </comment>
    <comment authorId="0" ref="C229">
      <text>
        <t xml:space="preserve">======
ID#AAAANVU22iI
Michael Chan    (2021-07-20 22:25:01)
英文 x1.5 數學 x1
+
最佳2科理科 + 最佳1科 或
最佳1科理科 + 最佳2科
(M1/2/ 物理) x2
(生物 / 化學 / 組合科學) x1.5</t>
      </text>
    </comment>
    <comment authorId="0" ref="C182">
      <text>
        <t xml:space="preserve">======
ID#AAAANVU22h0
Michael Chan    (2021-07-20 22:25:01)
2021年將不會計算比重
經考慮後，
此處將以不以原有比重作估算，請注意
x2: 旅遊及款待</t>
      </text>
    </comment>
    <comment authorId="0" ref="C67">
      <text>
        <t xml:space="preserve">======
ID#AAAANVU22ho
Michael Chan    (2021-07-20 22:25:01)
2021年將以Best 5 (包含數學)收生
此處仍以4C2X作估算，請注意
x2: 英文，物理
x1.5: M1/2
x1.25: 數學</t>
      </text>
    </comment>
    <comment authorId="0" ref="C220">
      <text>
        <t xml:space="preserve">======
ID#AAAANVU22hM
Michael Chan    (2021-07-20 22:25:01)
x1.5: 英文、數學</t>
      </text>
    </comment>
    <comment authorId="0" ref="C263">
      <text>
        <t xml:space="preserve">======
ID#AAAANVU22hE
Michael Chan    (2021-07-20 22:25:01)
最佳6科必須包括 英文、數學
M1/2可被用作取代數學
x1.5: 英文、[數學或M1/2]</t>
      </text>
    </comment>
    <comment authorId="0" ref="P187">
      <text>
        <t xml:space="preserve">======
ID#AAAANVU22gw
Michael Chan    (2021-07-20 22:25:01)
x2: 英文、通識
x 1.5: 中文</t>
      </text>
    </comment>
    <comment authorId="0" ref="C128">
      <text>
        <t xml:space="preserve">======
ID#AAAANVU22f4
最高比重    (2021-07-20 22:25:01)
中文、英文、數學、通識、生物、組合科學(生物)</t>
      </text>
    </comment>
    <comment authorId="0" ref="C214">
      <text>
        <t xml:space="preserve">======
ID#AAAANVU22fs
Michael Chan    (2021-07-20 22:25:01)
x1.5: 數學、 [M1/2、物理、化學及經濟] 其中最佳一科</t>
      </text>
    </comment>
    <comment authorId="0" ref="P202">
      <text>
        <t xml:space="preserve">======
ID#AAAANVU22fg
較高比重科目    (2021-07-20 22:25:01)
物理、生物、化學、組合科學、綜合科學
(此處作x1.5)</t>
      </text>
    </comment>
    <comment authorId="0" ref="C236">
      <text>
        <t xml:space="preserve">======
ID#AAAANVU22fc
Michael Chan    (2021-07-20 22:25:01)
英文 x2 數學 x2
+
最佳4科 x1</t>
      </text>
    </comment>
    <comment authorId="0" ref="C258">
      <text>
        <t xml:space="preserve">======
ID#AAAANVU22fE
Michael    (2021-07-20 22:25:01)
將考慮甲類及丙類科目，但不包括M1/2</t>
      </text>
    </comment>
    <comment authorId="0" ref="C57">
      <text>
        <t xml:space="preserve">======
ID#AAAANVU22es
Michael Chan    (2021-07-20 22:25:01)
x2: 英文</t>
      </text>
    </comment>
    <comment authorId="0" ref="C66">
      <text>
        <t xml:space="preserve">======
ID#AAAANVU22eo
Michael Chan    (2021-07-20 22:25:01)
2021年將以Best 6 (包含數學)收生
此處仍以4C2X作估算，請注意
x2: 英文，數學，物理
x1.5: 組合科學(生物、化學)，化學，DAT，M1/2</t>
      </text>
    </comment>
    <comment authorId="0" ref="C262">
      <text>
        <t xml:space="preserve">======
ID#AAAANVU22eU
Michael Chan    (2021-07-20 22:25:01)
最佳6科必須包括 英文、數學
M1/2可被用作取代數學
x1.5: 英文、[數學或M1/2]</t>
      </text>
    </comment>
    <comment authorId="0" ref="C153">
      <text>
        <t xml:space="preserve">======
ID#AAAANVU22eA
最高比重    (2021-07-20 22:25:01)
英文、數學、M1/2、
物理、組合科學(物理)</t>
      </text>
    </comment>
    <comment authorId="0" ref="C234">
      <text>
        <t xml:space="preserve">======
ID#AAAANVU22d8
Michael Chan    (2021-07-20 22:25:01)
英文 x2 數學 x2
+
最佳理科 x2
(生物/ 化學 /物理 / 組合科學)
或
ICT x1
+
最佳2科 x1 (M1/2 x1.5)</t>
      </text>
    </comment>
    <comment authorId="0" ref="C139">
      <text>
        <t xml:space="preserve">======
ID#AAAANVU22d4
最高比重    (2021-07-20 22:25:01)
英文</t>
      </text>
    </comment>
    <comment authorId="0" ref="C247">
      <text>
        <t xml:space="preserve">======
ID#AAAANVU22c8
Michael Chan    (2021-07-20 22:25:01)
英文 x2 數學 x2
+
最佳4科 x1 (M1/2 x1.5)</t>
      </text>
    </comment>
    <comment authorId="0" ref="C249">
      <text>
        <t xml:space="preserve">======
ID#AAAANVU22cw
Michael Chan    (2021-07-20 22:25:01)
英文 x2 數學 x2
+
最佳4科 x1</t>
      </text>
    </comment>
    <comment authorId="0" ref="C256">
      <text>
        <t xml:space="preserve">======
ID#AAAANVU22ck
Michael Chan    (2021-07-20 22:25:01)
將考慮甲類及丙類科目，M1/2可被當作一科選修</t>
      </text>
    </comment>
    <comment authorId="0" ref="P166">
      <text>
        <t xml:space="preserve">======
ID#AAAANVU22b8
Michael Chan    (2021-07-20 22:25:01)
中文有較高比重
(此處作x1.5)</t>
      </text>
    </comment>
    <comment authorId="0" ref="C123">
      <text>
        <t xml:space="preserve">======
ID#AAAANVU22bw
最高比重    (2021-07-20 22:25:01)
英文、數學</t>
      </text>
    </comment>
    <comment authorId="0" ref="C252">
      <text>
        <t xml:space="preserve">======
ID#AAAANVU22bQ
Michael Chan    (2021-07-20 22:25:01)
英文 x2 數學 x2
+
最佳理科 x2
(生物/ 化學 /物理 / 組合科學)
或
ICT x1
+
最佳3科 x1 (M1/2 x1.5)</t>
      </text>
    </comment>
    <comment authorId="0" ref="C394">
      <text>
        <t xml:space="preserve">======
ID#AAAANVU22bA
優先考慮    (2021-07-20 22:25:01)
- 生物 或 組合科學 (生物) 考獲Lv.3或以上者
- 英文 考獲Lv.4或以上者</t>
      </text>
    </comment>
    <comment authorId="0" ref="C285">
      <text>
        <t xml:space="preserve">======
ID#AAAANVU22as
Michael    (2021-07-20 22:25:01)
將會考慮 數學科 或 數學及M1/2的組合分數 (公式如下) 較高者
[MA+(M1/M2*0.5)]/1.5</t>
      </text>
    </comment>
    <comment authorId="0" ref="C161">
      <text>
        <t xml:space="preserve">======
ID#AAAANVU22ak
最高比重    (2021-07-20 22:25:01)
英文、數學、生物、化學、物理、組合科學、ICT</t>
      </text>
    </comment>
    <comment authorId="0" ref="C212">
      <text>
        <t xml:space="preserve">======
ID#AAAANVU22aU
Michael Chan    (2021-07-20 22:25:01)
x1.3: 英文</t>
      </text>
    </comment>
    <comment authorId="0" ref="C271">
      <text>
        <t xml:space="preserve">======
ID#AAAANVU22Zw
Michael    (2021-07-20 22:25:01)
最佳5科必須包括 英文、中文
x1.5: 英文
x1.2: 中文</t>
      </text>
    </comment>
    <comment authorId="0" ref="C388">
      <text>
        <t xml:space="preserve">======
ID#AAAANVU22Zo
Michael Chan    (2021-07-20 22:25:01)
此處並無計算比重
x10: 英文、數學、BAFS、經濟、地理、ICT、物理、M1/2
x7: 中文、通識、組合科學、綜合科學、化學、生物
x5: 其他選修科目 (1個選修科)</t>
      </text>
    </comment>
    <comment authorId="0" ref="C136">
      <text>
        <t xml:space="preserve">======
ID#AAAANVU22ZY
最高比重    (2021-07-20 22:25:01)
英文、數學、物理、組合科學(物理)</t>
      </text>
    </comment>
    <comment authorId="0" ref="C290">
      <text>
        <t xml:space="preserve">======
ID#AAAANVU22ZQ
Michael    (2021-07-20 22:25:01)
將考慮甲類及丙類科目，但不包括M1/2</t>
      </text>
    </comment>
    <comment authorId="0" ref="P207">
      <text>
        <t xml:space="preserve">======
ID#AAAANVU22Y4
Michael Chan    (2021-07-20 22:25:01)
x2: 數學、M1/2、物理、生物、化學、組合科學、綜合科學
x1.5: 中文或英文、經濟、地理、ICT、科技與生活
註: 只有最多三科將會用以計算比重</t>
      </text>
    </comment>
    <comment authorId="0" ref="P191">
      <text>
        <t xml:space="preserve">======
ID#AAAANVU22Y0
Michael Chan    (2021-07-20 22:25:01)
包含英文
英文有較高比重
(此處作x1.5)</t>
      </text>
    </comment>
    <comment authorId="0" ref="C248">
      <text>
        <t xml:space="preserve">======
ID#AAAANVU22Ys
Michael Chan    (2021-07-20 22:25:01)
英文 x2 數學 x2
+
最佳下列理科 x1.5
(生物/化學)
+
最佳3科 x1</t>
      </text>
    </comment>
    <comment authorId="0" ref="C88">
      <text>
        <t xml:space="preserve">======
ID#AAAANVU22YQ
x1.5    (2021-07-20 22:25:01)
英文</t>
      </text>
    </comment>
    <comment authorId="0" ref="C190">
      <text>
        <t xml:space="preserve">======
ID#AAAANVU22YE
Michael Chan    (2021-07-20 22:25:01)
包含中文
中文有較高比重
(此處作x1.5)</t>
      </text>
    </comment>
    <comment authorId="0" ref="C48">
      <text>
        <t xml:space="preserve">======
ID#AAAANVU22YA
Michael Chan    (2021-07-20 22:25:01)
x2: 英文</t>
      </text>
    </comment>
    <comment authorId="0" ref="C289">
      <text>
        <t xml:space="preserve">======
ID#AAAANVU22Xo
Michael    (2021-07-20 22:25:01)
最佳5科必須包括 英文、數學、最佳理科*
M1/2可被當作一科選修
x2: 數學、M1/2、 生物、化學、物理、組合科學、綜合科學
x1.5: 英文
x1.25: 非理科選修科
*理科: 生物、化學、物理、組合科學、綜合科學</t>
      </text>
    </comment>
    <comment authorId="0" ref="P214">
      <text>
        <t xml:space="preserve">======
ID#AAAANVU22Xk
Michael Chan    (2021-07-20 22:25:01)
x1.5: 數學、 [M1/2、物理、化學及經濟] 其中最佳一科</t>
      </text>
    </comment>
    <comment authorId="0" ref="C275">
      <text>
        <t xml:space="preserve">======
ID#AAAANVU22XY
Michael    (2021-07-20 22:25:01)
將考慮甲類及丙類科目，M1/2可被當作一科選修
最佳5科必須包括 英文、數學</t>
      </text>
    </comment>
    <comment authorId="0" ref="C122">
      <text>
        <t xml:space="preserve">======
ID#AAAANVU22XU
最高比重    (2021-07-20 22:25:01)
英文、數學</t>
      </text>
    </comment>
  </commentList>
  <extLst>
    <ext uri="GoogleSheetsCustomDataVersion1">
      <go:sheetsCustomData xmlns:go="http://customooxmlschemas.google.com/" r:id="rId1" roundtripDataSignature="AMtx7mh9PXNQj69HRNQQKYapdbbNnrq5mA=="/>
    </ext>
  </extLst>
</comments>
</file>

<file path=xl/comments3.xml><?xml version="1.0" encoding="utf-8"?>
<comments xmlns:r="http://schemas.openxmlformats.org/officeDocument/2006/relationships" xmlns="http://schemas.openxmlformats.org/spreadsheetml/2006/main">
  <authors>
    <author/>
  </authors>
  <commentList>
    <comment authorId="0" ref="E241">
      <text>
        <t xml:space="preserve">======
ID#AAAANVU23y4
Michael Chan    (2021-07-20 22:25:02)
英文 x2 數學 x2
+
最佳4科 X1
或
下列最佳科目 x1.5
(M1/2/化學/經濟/物理)
+
最佳2科 x1</t>
      </text>
    </comment>
    <comment authorId="0" ref="E96">
      <text>
        <t xml:space="preserve">======
ID#AAAANVU23yo
Michael Chan    (2021-07-20 22:25:02)
Best 5 (包括英文)
x1.2:
英文</t>
      </text>
    </comment>
    <comment authorId="0" ref="E43">
      <text>
        <t xml:space="preserve">======
ID#AAAANVU23yk
Michael Chan    (2021-07-20 22:25:02)
英文x2，數學x2</t>
      </text>
    </comment>
    <comment authorId="0" ref="E248">
      <text>
        <t xml:space="preserve">======
ID#AAAANVU23yg
Michael Chan    (2021-07-20 22:25:02)
英文 x2 數學 x2
+
最佳理科 x2
(生物/ 化學 /物理 / 組合科學)
或
ICT x1
+
最佳3科 x1 (M1/2 x1.5)</t>
      </text>
    </comment>
    <comment authorId="0" ref="E195">
      <text>
        <t xml:space="preserve">======
ID#AAAANVU23x8
The following subjects are preferred    (2021-07-20 22:25:02)
• M1/M2
• Biology
• Chemistry
• Combined Science
• ICT
• Physics
^ Candidates with Level 4 in Mathematics (Compulsory Part) and good results in other HKDSE subjects will be exceptionally considered on a case by case basis.</t>
      </text>
    </comment>
    <comment authorId="0" ref="E265">
      <text>
        <t xml:space="preserve">======
ID#AAAANVU23xM
Michael    (2021-07-20 22:25:02)
The best 5 subjects must include Chinese Language and Liberal Studies
最高比重: Chinese Language
較高比重: Liberal Studies</t>
      </text>
    </comment>
    <comment authorId="0" ref="E70">
      <text>
        <t xml:space="preserve">======
ID#AAAANVU23xI
Michael Chan    (2021-07-20 22:25:02)
x2: 英文，物理，化學，生物，組合科學，
x1.5: 數學，BAFS，ICT，DAT，M1/2，綜合科學</t>
      </text>
    </comment>
    <comment authorId="0" ref="E95">
      <text>
        <t xml:space="preserve">======
ID#AAAANVU23v8
Michael Chan    (2021-07-20 22:25:02)
Best 5 (包括英文)
x1.2:
英文</t>
      </text>
    </comment>
    <comment authorId="0" ref="E100">
      <text>
        <t xml:space="preserve">======
ID#AAAANVU23vQ
Michael Chan    (2021-07-20 22:25:02)
Best 5 (包括英文)</t>
      </text>
    </comment>
    <comment authorId="0" ref="E244">
      <text>
        <t xml:space="preserve">======
ID#AAAANVU23vM
Michael Chan    (2021-07-20 22:25:02)
英文 x2 數學 x2
+
最佳下列理科 x1.5
(生物/化學)
+
最佳3科 x1</t>
      </text>
    </comment>
    <comment authorId="0" ref="E205">
      <text>
        <t xml:space="preserve">======
ID#AAAANVU23ug
Michael Chan    (2021-07-20 22:25:02)
The programme places much heavier emphasis on M1 or M2</t>
      </text>
    </comment>
    <comment authorId="0" ref="E166">
      <text>
        <t xml:space="preserve">======
ID#AAAANVU23sY
Michael Chan    (2021-07-20 22:25:02)
Visual Arts is preferred</t>
      </text>
    </comment>
    <comment authorId="0" ref="E162">
      <text>
        <t xml:space="preserve">======
ID#AAAANVU23sU
Michael Chan    (2021-07-20 22:25:02)
Chinese with heavier weighting</t>
      </text>
    </comment>
    <comment authorId="0" ref="E38">
      <text>
        <t xml:space="preserve">======
ID#AAAANVU23sE
Michael Chan    (2021-07-20 22:25:02)
英文x2</t>
      </text>
    </comment>
    <comment authorId="0" ref="E69">
      <text>
        <t xml:space="preserve">======
ID#AAAANVU23rI
Michael Chan    (2021-07-20 22:25:02)
x2: 英文，物理，化學，生物，組合科學，
x1.5: 數學，BAFS，ICT，DAT，M1/2，綜合科學</t>
      </text>
    </comment>
    <comment authorId="0" ref="E60">
      <text>
        <t xml:space="preserve">======
ID#AAAANVU23q8
Michael Chan    (2021-07-20 22:25:02)
x2: 英文，數學，組合科學(物理、化學)，組合科學(物理、生物)，物理，ICT，M1/2
x1.5: 組合科學(生物、化學)，生物，化學，綜合科學</t>
      </text>
    </comment>
    <comment authorId="0" ref="E229">
      <text>
        <t xml:space="preserve">======
ID#AAAANVU23qY
Michael Chan    (2021-07-20 22:25:02)
英文 x2 數學 x2
+
最佳理科 x2
(生物/ 化學 /物理 / 組合科學/DAT)
或
ICT x1
+
最佳2科 x1 (M1/2 x1.5)</t>
      </text>
    </comment>
    <comment authorId="0" ref="E55">
      <text>
        <t xml:space="preserve">======
ID#AAAANVU23p4
Michael Chan    (2021-07-20 22:25:02)
英文x2</t>
      </text>
    </comment>
    <comment authorId="0" ref="E48">
      <text>
        <t xml:space="preserve">======
ID#AAAANVU23o0
Michael Chan    (2021-07-20 22:25:02)
英文x2.5，通識x1.5，英國文學x1.5</t>
      </text>
    </comment>
    <comment authorId="0" ref="E25">
      <text>
        <t xml:space="preserve">======
ID#AAAANVU23oQ
Michael Chan    (2021-07-20 22:25:02)
英文x1.5</t>
      </text>
    </comment>
    <comment authorId="0" ref="E99">
      <text>
        <t xml:space="preserve">======
ID#AAAANVU23m8
x2    (2021-07-20 22:25:02)
英文
x1.2: 中國歷史、經濟、倫理及宗教科、地理、歷史、旅遊及款待</t>
      </text>
    </comment>
    <comment authorId="0" ref="E90">
      <text>
        <t xml:space="preserve">======
ID#AAAANVU23mM
Michael Chan    (2021-07-20 22:25:02)
x1.5: 中文、英文、生物
x1.25: 中史、中國文學、化學、組合科學、數學、物理</t>
      </text>
    </comment>
    <comment authorId="0" ref="E57">
      <text>
        <t xml:space="preserve">======
ID#AAAANVU23lg
CHAN, Koon Ho    (2021-07-20 22:25:02)
2021年新科目
x2.5:英文、數學、物理、M1/2、組合科學(含物理)、綜合科學
x1.5: 中文</t>
      </text>
    </comment>
    <comment authorId="0" ref="E171">
      <text>
        <t xml:space="preserve">======
ID#AAAANVU23lM
Michael Chan    (2021-07-20 22:25:02)
English and Chinese must be included</t>
      </text>
    </comment>
    <comment authorId="0" ref="E175">
      <text>
        <t xml:space="preserve">======
ID#AAAANVU23ks
Michael Chan    (2021-07-20 22:25:02)
(a) English Language at Level 4 or above is preferred</t>
      </text>
    </comment>
    <comment authorId="0" ref="E286">
      <text>
        <t xml:space="preserve">======
ID#AAAANVU23kQ
Michael    (2021-07-20 22:25:02)
Consideration of both Category A and C subjects, excluding M1/M2</t>
      </text>
    </comment>
    <comment authorId="0" ref="E260">
      <text>
        <t xml:space="preserve">======
ID#AAAANVU23jk
Michael Chan    (2021-07-20 22:25:02)
The best 6 subjects must include English Language, Mathematics.
M1/M2 can be included in lieu of Mathematics.
Weighting: English Language, Mathematics, M1/M2</t>
      </text>
    </comment>
    <comment authorId="0" ref="E206">
      <text>
        <t xml:space="preserve">======
ID#AAAANVU23jg
Subjects with heavier weighting    (2021-07-20 22:25:02)
• Mathematics
• M1 or M2
• Physics</t>
      </text>
    </comment>
    <comment authorId="0" ref="E59">
      <text>
        <t xml:space="preserve">======
ID#AAAANVU23io
Michael Chan    (2021-07-20 22:25:02)
英文x2</t>
      </text>
    </comment>
    <comment authorId="0" ref="E258">
      <text>
        <t xml:space="preserve">======
ID#AAAANVU23iU
Michael Chan    (2021-07-20 22:25:02)
The best 6 subjects must include English Language, Mathematics.
M1/M2 can be included in lieu of Mathematics.
Weighting: English Language, Mathematics, M1/M2</t>
      </text>
    </comment>
    <comment authorId="0" ref="E292">
      <text>
        <t xml:space="preserve">======
ID#AAAANVU23h8
Michael    (2021-07-20 22:25:02)
Consideration of both Category A and C subjects, in which M1/M2 can be
included as an elective.
The best 6 subjects must include English Language, Mathematics.</t>
      </text>
    </comment>
    <comment authorId="0" ref="E239">
      <text>
        <t xml:space="preserve">======
ID#AAAANVU23hY
Michael Chan    (2021-07-20 22:25:02)
英文 x2 數學 x2
+
最佳4科 x1</t>
      </text>
    </comment>
    <comment authorId="0" ref="E62">
      <text>
        <t xml:space="preserve">======
ID#AAAANVU23e4
Michael Chan    (2021-07-20 22:25:02)
x2: 英文，數學，物理
x1.5: 組合科學(生物、化學)，化學，DAT，M1/2</t>
      </text>
    </comment>
    <comment authorId="0" ref="E290">
      <text>
        <t xml:space="preserve">======
ID#AAAANVU23ew
Michael    (2021-07-20 22:25:02)
The best 6 subjects must include English Language, Mathematics, M1/M2.
最高比重: English Language, Mathematics, M1/M2
較高比重: Science Electives</t>
      </text>
    </comment>
    <comment authorId="0" ref="E267">
      <text>
        <t xml:space="preserve">======
ID#AAAANVU23ec
Michael    (2021-07-20 22:25:02)
The best 5 subjects must include English Language, Mathematics and
the best Science elective subject*
M1/M2 can be included.
最高比重: Mathematics, M1/M2, Science* Electives
較高比重: English Language, Non-Science* Electives
*: Biology, Chemistry, Physics, Combined Science, Integrated Science.</t>
      </text>
    </comment>
    <comment authorId="0" ref="E51">
      <text>
        <t xml:space="preserve">======
ID#AAAANVU23d0
Michael Chan    (2021-07-20 22:25:02)
英文x2，通識x1.5</t>
      </text>
    </comment>
    <comment authorId="0" ref="E291">
      <text>
        <t xml:space="preserve">======
ID#AAAANVU23dM
Michael Chan    (2021-07-20 22:25:02)
Consideration of both Category A and C subjects, in
which M1/M2 can be included as an elective.</t>
      </text>
    </comment>
    <comment authorId="0" ref="E228">
      <text>
        <t xml:space="preserve">======
ID#AAAANVU23dI
Michael Chan    (2021-07-20 22:25:02)
英文 x2 數學 x2
+
最佳理科 x2
(生物/ 化學 /物理 / 組合科學)
或
ICT x1
+
最佳2科 x1 (M1/2 x1.5)</t>
      </text>
    </comment>
    <comment authorId="0" ref="E83">
      <text>
        <t xml:space="preserve">======
ID#AAAANVU23aw
x1.5    (2021-07-20 22:25:02)
英文</t>
      </text>
    </comment>
    <comment authorId="0" ref="E65">
      <text>
        <t xml:space="preserve">======
ID#AAAANVU23as
Michael Chan    (2021-07-20 22:25:02)
x2: 英文，數學，化學，物理，生物，組合科學</t>
      </text>
    </comment>
    <comment authorId="0" ref="E231">
      <text>
        <t xml:space="preserve">======
ID#AAAANVU23ao
Michael Chan    (2021-07-20 22:25:02)
英文 x2 數學 x2
+
最佳4科 x1</t>
      </text>
    </comment>
    <comment authorId="0" ref="E170">
      <text>
        <t xml:space="preserve">======
ID#AAAANVU23aI
Michael Chan    (2021-07-20 22:25:02)
Music is preferred</t>
      </text>
    </comment>
    <comment authorId="0" ref="E235">
      <text>
        <t xml:space="preserve">======
ID#AAAANVU23Yc
Michael Chan    (2021-07-20 22:25:02)
英文 x2 數學 x2
+
最佳4科 x1</t>
      </text>
    </comment>
    <comment authorId="0" ref="E264">
      <text>
        <t xml:space="preserve">======
ID#AAAANVU23X0
Michael    (2021-07-20 22:25:02)
The best 5 subjects must include English Language and Liberal Studies
最高比重: English Language
較高比重: Liberal Studies</t>
      </text>
    </comment>
    <comment authorId="0" ref="E198">
      <text>
        <t xml:space="preserve">======
ID#AAAANVU23Xc
Subjects with heavier weighting    (2021-07-20 22:25:02)
• Biology, Chemistry, Combined Science, Integrated Science, Physics</t>
      </text>
    </comment>
    <comment authorId="0" ref="E85">
      <text>
        <t xml:space="preserve">======
ID#AAAANVU23XM
Michael Chan    (2021-07-20 22:25:02)
Best 5 (包括中、英文)
x1.25:
中文、英文</t>
      </text>
    </comment>
    <comment authorId="0" ref="E227">
      <text>
        <t xml:space="preserve">======
ID#AAAANVU23Ws
Michael Chan    (2021-07-20 22:25:02)
英文 x1.5 數學 x1
+
最佳2科理科 + 最佳1科 或
最佳1科理科 + 最佳2科
(M1/2/ 物理) x2
(生物 / 化學 / 組合科學) x1.5</t>
      </text>
    </comment>
    <comment authorId="0" ref="E251">
      <text>
        <t xml:space="preserve">======
ID#AAAANVU23Wk
Michael Chan    (2021-07-20 22:25:02)
Consideration of both Category A and C subjects, in
which M1/M2 can be included as an elective.</t>
      </text>
    </comment>
    <comment authorId="0" ref="E237">
      <text>
        <t xml:space="preserve">======
ID#AAAANVU23V8
Michael Chan    (2021-07-20 22:25:02)
英文 x2 數學 x2
+
最佳4科 x1</t>
      </text>
    </comment>
    <comment authorId="0" ref="E36">
      <text>
        <t xml:space="preserve">======
ID#AAAANVU23Vo
Michael Chan    (2021-07-20 22:25:02)
英文x2</t>
      </text>
    </comment>
    <comment authorId="0" ref="E84">
      <text>
        <t xml:space="preserve">======
ID#AAAANVU23VE
x1.5    (2021-07-20 22:25:02)
英文</t>
      </text>
    </comment>
    <comment authorId="0" ref="E252">
      <text>
        <t xml:space="preserve">======
ID#AAAANVU23T4
Michael    (2021-07-20 22:25:02)
Consideration of both Category A and C subjects, excluding M1/M2.</t>
      </text>
    </comment>
    <comment authorId="0" ref="E87">
      <text>
        <t xml:space="preserve">======
ID#AAAANVU23Tk
Michael Chan    (2021-07-20 22:25:02)
Best 5 (包括英文)</t>
      </text>
    </comment>
    <comment authorId="0" ref="E39">
      <text>
        <t xml:space="preserve">======
ID#AAAANVU23TY
Michael Chan    (2021-07-20 22:25:02)
英文x2, 數學x2.5, 化學/物理/組合科學(物理、化學)x2.5</t>
      </text>
    </comment>
    <comment authorId="0" ref="E273">
      <text>
        <t xml:space="preserve">======
ID#AAAANVU23SY
Michael    (2021-07-20 22:25:02)
Consideration of both Category A and C subjects, in
which M1/M2 can be included as an elective.
The best 5 subjects must include English Language and Mathematics.</t>
      </text>
    </comment>
    <comment authorId="0" ref="E89">
      <text>
        <t xml:space="preserve">======
ID#AAAANVU23Qk
Michael Chan    (2021-07-20 22:25:02)
2021年新科目
Best 5 (包括中、英文)
x1.25:
中文、英文</t>
      </text>
    </comment>
    <comment authorId="0" ref="E254">
      <text>
        <t xml:space="preserve">======
ID#AAAANVU23Qg
Michael    (2021-07-20 22:25:02)
Consideration of both Category A and C subjects, excluding M1/M2.</t>
      </text>
    </comment>
    <comment authorId="0" ref="E230">
      <text>
        <t xml:space="preserve">======
ID#AAAANVU23Po
Michael Chan    (2021-07-20 22:25:02)
英文 x2 數學 x2
+
最佳理科 x2
(生物/ 化學 /物理 / 組合科學)
或
ICT x1
+
最佳2科 x1 (M1/2 x1.5)</t>
      </text>
    </comment>
    <comment authorId="0" ref="E283">
      <text>
        <t xml:space="preserve">======
ID#AAAANVU23Pc
Michael    (2021-07-20 22:25:02)
The best 6 subjects must include English Language, Mathematics, M1/M2.
較高比重: English Language, Mathematics, M1/M2</t>
      </text>
    </comment>
    <comment authorId="0" ref="E45">
      <text>
        <t xml:space="preserve">======
ID#AAAANVU23O8
Michael Chan    (2021-07-20 22:25:02)
英文x2</t>
      </text>
    </comment>
    <comment authorId="0" ref="E37">
      <text>
        <t xml:space="preserve">======
ID#AAAANVU23Ow
Michael Chan    (2021-07-20 22:25:02)
英文x2，數學x1.5</t>
      </text>
    </comment>
    <comment authorId="0" ref="E247">
      <text>
        <t xml:space="preserve">======
ID#AAAANVU23O0
Michael Chan    (2021-07-20 22:25:02)
英文 x2 數學 x2
+
最佳4科 x1 (M1/2 x1.5)</t>
      </text>
    </comment>
    <comment authorId="0" ref="E279">
      <text>
        <t xml:space="preserve">======
ID#AAAANVU23OU
Michael    (2021-07-20 22:25:02)
Consideration of both Category A and C subjects, excluding M1/M2.</t>
      </text>
    </comment>
    <comment authorId="0" ref="E53">
      <text>
        <t xml:space="preserve">======
ID#AAAANVU23NE
Michael Chan    (2021-07-20 22:25:02)
英文x2</t>
      </text>
    </comment>
    <comment authorId="0" ref="E255">
      <text>
        <t xml:space="preserve">======
ID#AAAANVU23MY
Michael    (2021-07-20 22:25:02)
Consideration of both Category A and C subjects, excluding M1/M2.
The best 5 subjects must include English Language</t>
      </text>
    </comment>
    <comment authorId="0" ref="E280">
      <text>
        <t xml:space="preserve">======
ID#AAAANVU23Lc
Michael    (2021-07-20 22:25:02)
The score of Mathematics compulsory part (MA) or the combined score of
MA and M1/M2 calculated as below, whichever is higher, will be taken into
consideration.
[MA+(M1/M2*0.5)]/1.5</t>
      </text>
    </comment>
    <comment authorId="0" ref="E56">
      <text>
        <t xml:space="preserve">======
ID#AAAANVU23J8
CHAN, Koon Ho    (2021-07-20 22:25:02)
2021年新科目
x2.5:數學、物理、生物、化學、經濟、M1/2
x2:英文</t>
      </text>
    </comment>
    <comment authorId="0" ref="E282">
      <text>
        <t xml:space="preserve">======
ID#AAAANVU23Ig
Michael Chan    (2021-07-20 22:25:02)
2021年新科目
The best 6 subjects must include English Language, Mathematics, M1/M2, best two Science elective subjects*, plus the best one among the remaining subjects, excluding Integrated Science.
未公佈詳細科目比重
*: Biology, Chemistry, Physics, Combined Science.</t>
      </text>
    </comment>
    <comment authorId="0" ref="E281">
      <text>
        <t xml:space="preserve">======
ID#AAAANVU23IU
Michael    (2021-07-20 22:25:02)
The score of Mathematics compulsory part (MA) or the combined score of
MA and M1/M2 calculated as below, whichever is higher, will be taken into
consideration.
[MA+(M1/M2*0.5)]/1.5</t>
      </text>
    </comment>
    <comment authorId="0" ref="E269">
      <text>
        <t xml:space="preserve">======
ID#AAAANVU23HA
Michael    (2021-07-20 22:25:02)
Consideration of both Category A and C subjects, excluding M1/M2.</t>
      </text>
    </comment>
    <comment authorId="0" ref="E246">
      <text>
        <t xml:space="preserve">======
ID#AAAANVU23G8
Michael Chan    (2021-07-20 22:25:02)
英文 x2 數學 x2
+
M1/2 x 2 或
最佳下列科目 x1.5
(生物/化學/物理/組合科學/綜合科學/經濟)
+
最佳3科 x1</t>
      </text>
    </comment>
    <comment authorId="0" ref="E234">
      <text>
        <t xml:space="preserve">======
ID#AAAANVU23GU
Michael Chan    (2021-07-20 22:25:02)
英文 x2 數學 x2
+
最佳4科 x1</t>
      </text>
    </comment>
    <comment authorId="0" ref="E165">
      <text>
        <t xml:space="preserve">======
ID#AAAANVU23DY
Michael Chan    (2021-07-20 22:25:02)
Literature in English is preferred
English with heavier weighting</t>
      </text>
    </comment>
    <comment authorId="0" ref="E98">
      <text>
        <t xml:space="preserve">======
ID#AAAANVU23C0
x1.5    (2021-07-20 22:25:02)
中文、英文</t>
      </text>
    </comment>
    <comment authorId="0" ref="E259">
      <text>
        <t xml:space="preserve">======
ID#AAAANVU23Ag
Michael Chan    (2021-07-20 22:25:02)
The best 6 subjects must include English Language, Mathematics.
M1/M2 can be included.
Weighting: English Language, Mathematics</t>
      </text>
    </comment>
    <comment authorId="0" ref="E288">
      <text>
        <t xml:space="preserve">======
ID#AAAANVU22_0
Michael    (2021-07-20 22:25:02)
Consideration of both Category A and C subjects, excluding M1/M2</t>
      </text>
    </comment>
    <comment authorId="0" ref="E201">
      <text>
        <t xml:space="preserve">======
ID#AAAANVU22_Q
Preferred subjects for one of the two electives    (2021-07-20 22:25:02)
• Biology
• Chemistry
• Combined Science
• Integrated Science
• Physics</t>
      </text>
    </comment>
    <comment authorId="0" ref="E63">
      <text>
        <t xml:space="preserve">======
ID#AAAANVU22-s
Michael Chan    (2021-07-20 22:25:02)
x2: 英文，物理
x1.5: M1/2
x1.25: 數學</t>
      </text>
    </comment>
    <comment authorId="0" ref="E266">
      <text>
        <t xml:space="preserve">======
ID#AAAANVU2298
Michael    (2021-07-20 22:25:02)
The best 5 subjects must include English Language and Chinese Language.
最高比重: English Language
較高比重: Chinese Language</t>
      </text>
    </comment>
    <comment authorId="0" ref="E245">
      <text>
        <t xml:space="preserve">======
ID#AAAANVU229I
Michael Chan    (2021-07-20 22:25:01)
英文 x2 數學 x2
+
最佳4科 x1</t>
      </text>
    </comment>
    <comment authorId="0" ref="E35">
      <text>
        <t xml:space="preserve">======
ID#AAAANVU2278
Michael Chan    (2021-07-20 22:25:01)
英文x2</t>
      </text>
    </comment>
    <comment authorId="0" ref="E226">
      <text>
        <t xml:space="preserve">======
ID#AAAANVU227Q
Michael Chan    (2021-07-20 22:25:01)
英文 x1.5 數學 x1
+
最佳2科理科 + 最佳1科 或
最佳1科理科 + 最佳2科
(生物/化學) x2
(M1/2 /物理/組合科學) x1</t>
      </text>
    </comment>
    <comment authorId="0" ref="E50">
      <text>
        <t xml:space="preserve">======
ID#AAAANVU2254
Michael Chan    (2021-07-20 22:25:01)
中文x1.25，英文x1.25</t>
      </text>
    </comment>
    <comment authorId="0" ref="E61">
      <text>
        <t xml:space="preserve">======
ID#AAAANVU225Y
Michael Chan    (2021-07-20 22:25:01)
x2.5: 數學
x2: 英文、M1/2
x1.5: 組合科學，生物，化學，物理</t>
      </text>
    </comment>
    <comment authorId="0" ref="E271">
      <text>
        <t xml:space="preserve">======
ID#AAAANVU2240
Michael    (2021-07-20 22:25:01)
Consideration of both Category A and C subjects, in
which M1/M2 can be included as an elective.
The best 5 subjects must include English Language and Mathematics.</t>
      </text>
    </comment>
    <comment authorId="0" ref="E204">
      <text>
        <t xml:space="preserve">======
ID#AAAANVU2230
Subjects with heavier weighting    (2021-07-20 22:25:01)
• English
• Mathematics
• M1 or M2
• Biology, Chemistry, Combined Science, Geography, Integrated Science, Physics</t>
      </text>
    </comment>
    <comment authorId="0" ref="E97">
      <text>
        <t xml:space="preserve">======
ID#AAAANVU223o
x2    (2021-07-20 22:25:01)
英文
x1.5:
通識</t>
      </text>
    </comment>
    <comment authorId="0" ref="E233">
      <text>
        <t xml:space="preserve">======
ID#AAAANVU221M
Michael Chan    (2021-07-20 22:25:01)
英文 x2 數學 x2
+
最佳4科 X1
或
下列最佳科目 x1.5
(M1/2/化學/經濟/物理)
+
最佳2科 x1</t>
      </text>
    </comment>
    <comment authorId="0" ref="E278">
      <text>
        <t xml:space="preserve">======
ID#AAAANVU220w
Michael    (2021-07-20 22:25:01)
Consideration of both Category A and C subjects, excluding M1/M2.</t>
      </text>
    </comment>
    <comment authorId="0" ref="E275">
      <text>
        <t xml:space="preserve">======
ID#AAAANVU220E
Michael    (2021-07-20 22:25:01)
The best 6 subjects must include English Language</t>
      </text>
    </comment>
    <comment authorId="0" ref="E203">
      <text>
        <t xml:space="preserve">======
ID#AAAANVU22z8
Michael Chan    (2021-07-20 22:25:01)
(a) Category A subjects only
(b) Preferred subjects:
• M1/M2
• Biology
• Chemistry
• Combined Science
• Economics
• Geography
• ICT
• Integrated Science
• Physics
• Tech and Living (FST)</t>
      </text>
    </comment>
    <comment authorId="0" ref="E91">
      <text>
        <t xml:space="preserve">======
ID#AAAANVU22zo
Michael Chan    (2021-07-20 22:25:01)
x1.5: 中文、英文、化學
x1.25: 生物、中國文學、組合科學、數學、物理</t>
      </text>
    </comment>
    <comment authorId="0" ref="E86">
      <text>
        <t xml:space="preserve">======
ID#AAAANVU22zg
Michael Chan    (2021-07-20 22:25:01)
Best 5 (包括中、英文)
x1.25:
中文、英文</t>
      </text>
    </comment>
    <comment authorId="0" ref="E285">
      <text>
        <t xml:space="preserve">======
ID#AAAANVU22yg
Michael    (2021-07-20 22:25:01)
Consideration of both Category A and C subjects, excluding M1/M2</t>
      </text>
    </comment>
    <comment authorId="0" ref="E54">
      <text>
        <t xml:space="preserve">======
ID#AAAANVU22yI
Michael Chan    (2021-07-20 22:25:01)
英文x2</t>
      </text>
    </comment>
    <comment authorId="0" ref="E263">
      <text>
        <t xml:space="preserve">======
ID#AAAANVU22w0
Michael    (2021-07-20 22:25:01)
The bes t 6 subjects must include a Science elective subject*
Weighting: Science electives*, excluding Integrated Science
*:Biology, Chemistry, Physics, Combined Science, Integrated Science.</t>
      </text>
    </comment>
    <comment authorId="0" ref="E272">
      <text>
        <t xml:space="preserve">======
ID#AAAANVU22vE
Michael    (2021-07-20 22:25:01)
Consideration of both Category A and C subjects, in
which M1/M2 can be included as an elective.
The best 5 subjects must include English Language and Mathematics.</t>
      </text>
    </comment>
    <comment authorId="0" ref="E52">
      <text>
        <t xml:space="preserve">======
ID#AAAANVU22ug
Michael Chan    (2021-07-20 22:25:01)
英文x2</t>
      </text>
    </comment>
    <comment authorId="0" ref="E256">
      <text>
        <t xml:space="preserve">======
ID#AAAANVU22uM
Michael Chan    (2021-07-20 22:25:01)
The best 6 subjects must include English Language, Mathematics.
M1/M2 can be included.
Weighting: English Language, Mathematics</t>
      </text>
    </comment>
    <comment authorId="0" ref="E243">
      <text>
        <t xml:space="preserve">======
ID#AAAANVU22t8
Michael Chan    (2021-07-20 22:25:01)
英文 x2 數學 x2
+
最佳4科 x1 (M1/2 x1.5)</t>
      </text>
    </comment>
    <comment authorId="0" ref="E93">
      <text>
        <t xml:space="preserve">======
ID#AAAANVU22t0
x2    (2021-07-20 22:25:01)
英文</t>
      </text>
    </comment>
    <comment authorId="0" ref="E236">
      <text>
        <t xml:space="preserve">======
ID#AAAANVU22tM
Michael Chan    (2021-07-20 22:25:01)
英文 x2 數學 x2
+
最佳4科 x1</t>
      </text>
    </comment>
    <comment authorId="0" ref="E224">
      <text>
        <t xml:space="preserve">======
ID#AAAANVU22q4
Michael Chan    (2021-07-20 22:25:01)
英文 x1 數學 x1
+
最佳兩科 x1
(M1/2 / 生物/ 化學 /物理 / 組合科學)
+
最佳一科 x1</t>
      </text>
    </comment>
    <comment authorId="0" ref="E289">
      <text>
        <t xml:space="preserve">======
ID#AAAANVU22pU
Michael    (2021-07-20 22:25:01)
Consideration of both Category A and C subjects, excluding M1/M2</t>
      </text>
    </comment>
    <comment authorId="0" ref="E232">
      <text>
        <t xml:space="preserve">======
ID#AAAANVU22o0
Michael Chan    (2021-07-20 22:25:01)
英文 x2 數學 x2
+
最佳4科 x1</t>
      </text>
    </comment>
    <comment authorId="0" ref="E253">
      <text>
        <t xml:space="preserve">======
ID#AAAANVU22ow
Michael    (2021-07-20 22:25:01)
Consideration of both Category A and C subjects, excluding M1/M2.</t>
      </text>
    </comment>
    <comment authorId="0" ref="E277">
      <text>
        <t xml:space="preserve">======
ID#AAAANVU22ok
Michael    (2021-07-20 22:25:01)
The score of Mathematics compulsory part (MA) or the combined score of
MA and M1/M2 calculated as below, whichever is higher, will be taken into
consideration.
[MA+(M1/M2*0.5)]/1.5</t>
      </text>
    </comment>
    <comment authorId="0" ref="E240">
      <text>
        <t xml:space="preserve">======
ID#AAAANVU22ng
Michael Chan    (2021-07-20 22:25:01)
英文 x2 數學 x2
+
最佳4科 X1
或
下列最佳科目 x1.5
(M1/2/化學/經濟/物理)
+
最佳2科 x1</t>
      </text>
    </comment>
    <comment authorId="0" ref="E225">
      <text>
        <t xml:space="preserve">======
ID#AAAANVU22nA
Michael Chan    (2021-07-20 22:25:01)
英文 x1.5 數學 x1
+
最佳2科理科 + 最佳1科 或
最佳1科理科 + 最佳2科
(M1/2/ 物理) x2
(生物 / 化學 / 組合科學) x1.5</t>
      </text>
    </comment>
    <comment authorId="0" ref="E274">
      <text>
        <t xml:space="preserve">======
ID#AAAANVU22mI
Michael    (2021-07-20 22:25:01)
The best 6 subjects must include English Language</t>
      </text>
    </comment>
    <comment authorId="0" ref="E293">
      <text>
        <t xml:space="preserve">======
ID#AAAANVU22l0
Michael    (2021-07-20 22:25:01)
Consideration of both Category A and C subjects, excluding M1/M2.</t>
      </text>
    </comment>
    <comment authorId="0" ref="E44">
      <text>
        <t xml:space="preserve">======
ID#AAAANVU22lY
Michael Chan    (2021-07-20 22:25:01)
英文x2</t>
      </text>
    </comment>
    <comment authorId="0" ref="E47">
      <text>
        <t xml:space="preserve">======
ID#AAAANVU22ks
Michael Chan    (2021-07-20 22:25:01)
x2: 中文，英文
x1.5: 通識/中國歷史/中國文學/歷史/視覺藝術</t>
      </text>
    </comment>
    <comment authorId="0" ref="E257">
      <text>
        <t xml:space="preserve">======
ID#AAAANVU22j0
Michael Chan    (2021-07-20 22:25:01)
The best 6 subjects must include English Language, Mathematics.
M1/M2 can be included in lieu of Mathematics.
Weighting: English Language, Mathematics, M1/M2</t>
      </text>
    </comment>
    <comment authorId="0" ref="E49">
      <text>
        <t xml:space="preserve">======
ID#AAAANVU22jw
Michael Chan    (2021-07-20 22:25:01)
中文x1.5，英文x2</t>
      </text>
    </comment>
    <comment authorId="0" ref="E58">
      <text>
        <t xml:space="preserve">======
ID#AAAANVU22i8
Michael Chan    (2021-07-20 22:25:01)
x2: 英文，化學x2
x1.5: 數學，組合科學(化學)</t>
      </text>
    </comment>
    <comment authorId="0" ref="E270">
      <text>
        <t xml:space="preserve">======
ID#AAAANVU22h8
Michael    (2021-07-20 22:25:01)
Consideration of both Category A and C subjects, in
which M1/M2 can be included as an elective.
The best 5 subjects must include English Language and Mathematics.</t>
      </text>
    </comment>
    <comment authorId="0" ref="E190">
      <text>
        <t xml:space="preserve">======
ID#AAAANVU22hk
Michael Chan    (2021-07-20 22:25:01)
Mathematics (x 1.5)
• M1 or M2 (x 1.75)
• Biology, Chemistry, Combined Science, DAT, ICT, Physics (x 1.5)
• Liberal Studies (x 0.5)</t>
      </text>
    </comment>
    <comment authorId="0" ref="E92">
      <text>
        <t xml:space="preserve">======
ID#AAAANVU22hU
CHAN, Koon Ho    (2021-07-20 22:25:01)
2021年將以4C2X收生
此處仍以Best 6作估算，請注意</t>
      </text>
    </comment>
    <comment authorId="0" ref="E64">
      <text>
        <t xml:space="preserve">======
ID#AAAANVU22gA
Michael Chan    (2021-07-20 22:25:01)
x2: 英文，物理
x1.5: M1/2，化學</t>
      </text>
    </comment>
    <comment authorId="0" ref="E46">
      <text>
        <t xml:space="preserve">======
ID#AAAANVU22fk
Michael Chan    (2021-07-20 22:25:01)
(2020年改為所有科目x1)
英文x2，通識x1.5</t>
      </text>
    </comment>
    <comment authorId="0" ref="E284">
      <text>
        <t xml:space="preserve">======
ID#AAAANVU22eM
Michael    (2021-07-20 22:25:01)
The best 5 subjects must include English Language, Mathematics and the
best Science elective subject*.
M1/M2 can be included.
最高比重: Mathematics, M1/M2, Science* Electives
較高比重: English Language, Non-Science* Electives</t>
      </text>
    </comment>
    <comment authorId="0" ref="E68">
      <text>
        <t xml:space="preserve">======
ID#AAAANVU22dc
Michael Chan    (2021-07-20 22:25:01)
x2: 英文，物理，化學，生物，組合科學，
x1.5: 數學，BAFS，ICT，DAT，M1/2，綜合科學</t>
      </text>
    </comment>
    <comment authorId="0" ref="E42">
      <text>
        <t xml:space="preserve">======
ID#AAAANVU22dE
Michael Chan    (2021-07-20 22:25:01)
英文x2，數學x2</t>
      </text>
    </comment>
    <comment authorId="0" ref="E242">
      <text>
        <t xml:space="preserve">======
ID#AAAANVU22aw
Michael Chan    (2021-07-20 22:25:01)
英文 x2 中文 x1.5
+
最佳4科 x1</t>
      </text>
    </comment>
    <comment authorId="0" ref="E41">
      <text>
        <t xml:space="preserve">======
ID#AAAANVU22ao
Michael Chan    (2021-07-20 22:25:01)
英文x2，數學x2</t>
      </text>
    </comment>
    <comment authorId="0" ref="E261">
      <text>
        <t xml:space="preserve">======
ID#AAAANVU22aQ
Michael    (2021-07-20 22:25:01)
The best 6 subjects must include English Language, Mathematics,
M1/M2, plus the best three among the remaining subjects.
最高比重: English Language
較高比重: Mathematics, M1/M2</t>
      </text>
    </comment>
    <comment authorId="0" ref="E88">
      <text>
        <t xml:space="preserve">======
ID#AAAANVU22Zg
Michael Chan    (2021-07-20 22:25:01)
2021年新科目
Best 5 (包括中、英文)
x1.25:
中文、英文</t>
      </text>
    </comment>
    <comment authorId="0" ref="E238">
      <text>
        <t xml:space="preserve">======
ID#AAAANVU22YY
Michael Chan    (2021-07-20 22:25:01)
英文 x2 數學 x2
+
最佳4科 x1</t>
      </text>
    </comment>
    <comment authorId="0" ref="E81">
      <text>
        <t xml:space="preserve">======
ID#AAAANVU22Xw
x2    (2021-07-20 22:25:01)
英文、英語文學
x1.5:
中文、中國文學、通識、數學</t>
      </text>
    </comment>
    <comment authorId="0" ref="E188">
      <text>
        <t xml:space="preserve">======
ID#AAAANVU22XE
Michael Chan    (2021-07-20 22:25:01)
中文、英文 x 1.2, 數學、M1/2 x 1.5</t>
      </text>
    </comment>
    <comment authorId="0" ref="E262">
      <text>
        <t xml:space="preserve">======
ID#AAAANVU22W4
Michael Chan    (2021-07-20 22:25:01)
The best 6 subjects must include English Language, Mathematics.
M1/M2 can be included in lieu of Mathematics.
Weighting: English Language, Mathematics, M1/M2</t>
      </text>
    </comment>
  </commentList>
  <extLst>
    <ext uri="GoogleSheetsCustomDataVersion1">
      <go:sheetsCustomData xmlns:go="http://customooxmlschemas.google.com/" r:id="rId1" roundtripDataSignature="AMtx7miUG8OyCMCJHTHaAAUlOCUCJRKs4Q=="/>
    </ext>
  </extLst>
</comments>
</file>

<file path=xl/comments4.xml><?xml version="1.0" encoding="utf-8"?>
<comments xmlns:r="http://schemas.openxmlformats.org/officeDocument/2006/relationships" xmlns="http://schemas.openxmlformats.org/spreadsheetml/2006/main">
  <authors>
    <author/>
  </authors>
  <commentList>
    <comment authorId="0" ref="G30">
      <text>
        <t xml:space="preserve">======
ID#AAAANVU23uI
Michael Chan    (2021-07-20 22:25:02)
Penalty will be imposed on subjects which were retaken</t>
      </text>
    </comment>
    <comment authorId="0" ref="G33">
      <text>
        <t xml:space="preserve">======
ID#AAAANVU22zM
Michael Chan    (2021-07-20 22:25:01)
Penalty for previous sitting(s) (2019 or before) will be imposed on a case-by-case basis</t>
      </text>
    </comment>
    <comment authorId="0" ref="G40">
      <text>
        <t xml:space="preserve">======
ID#AAAANVU22yM
Michael Chan    (2021-07-20 22:25:01)
Penalty for previous sitting(s) (2019 or before) will be imposed on a case-by-case basis</t>
      </text>
    </comment>
    <comment authorId="0" ref="G31">
      <text>
        <t xml:space="preserve">======
ID#AAAANVU22ss
Michael Chan    (2021-07-20 22:25:01)
Penalty will be imposed on subjects which were retaken</t>
      </text>
    </comment>
    <comment authorId="0" ref="G14">
      <text>
        <t xml:space="preserve">======
ID#AAAANVU22ek
Michael Chan    (2021-07-20 22:25:01)
Penalty will be imposed on subjects which were retaken</t>
      </text>
    </comment>
    <comment authorId="0" ref="G27">
      <text>
        <t xml:space="preserve">======
ID#AAAANVU22b4
Michael Chan    (2021-07-20 22:25:01)
Penalty will be imposed on subjects which were retaken</t>
      </text>
    </comment>
  </commentList>
  <extLst>
    <ext uri="GoogleSheetsCustomDataVersion1">
      <go:sheetsCustomData xmlns:go="http://customooxmlschemas.google.com/" r:id="rId1" roundtripDataSignature="AMtx7mj4+mr4UQihltqeZ6MvHi6CPLD78w=="/>
    </ext>
  </extLst>
</comments>
</file>

<file path=xl/comments5.xml><?xml version="1.0" encoding="utf-8"?>
<comments xmlns:r="http://schemas.openxmlformats.org/officeDocument/2006/relationships" xmlns="http://schemas.openxmlformats.org/spreadsheetml/2006/main">
  <authors>
    <author/>
  </authors>
  <commentList>
    <comment authorId="0" ref="I261">
      <text>
        <t xml:space="preserve">======
ID#AAAANVU23y8
One of the following at Level 3 or above    (2021-07-20 22:25:02)
- Physics
- Combined Science (With Physics)</t>
      </text>
    </comment>
    <comment authorId="0" ref="I216">
      <text>
        <t xml:space="preserve">======
ID#AAAANVU23yI
以下一科    (2021-07-20 22:25:02)
生物/ 化學 /物理 / 組合科學/ ICT / DAT</t>
      </text>
    </comment>
    <comment authorId="0" ref="C273">
      <text>
        <t xml:space="preserve">======
ID#AAAANVU23xw
Michael    (2021-07-20 22:25:02)
Consideration of both Category A and C subjects, excluding M1/M2</t>
      </text>
    </comment>
    <comment authorId="0" ref="C249">
      <text>
        <t xml:space="preserve">======
ID#AAAANVU23xA
Michael    (2021-07-20 22:25:02)
The best 6 subjects must include English Language, Mathematics,
M1/M2, plus the best three among the remaining subjects.
最高比重: English Language
較高比重: Mathematics, M1/M2</t>
      </text>
    </comment>
    <comment authorId="0" ref="J165">
      <text>
        <t xml:space="preserve">======
ID#AAAANVU23wk
Michael    (2021-07-20 22:25:02)
(a) Mathematics (Module 1 or 2)
at Level 5 is required if
Mathematics (Compulsory
Part) is at Level 3 or 4</t>
      </text>
    </comment>
    <comment authorId="0" ref="C190">
      <text>
        <t xml:space="preserve">======
ID#AAAANVU23v4
較高比重科目    (2021-07-20 22:25:02)
英文、數學、M1/2、物理、生物、化學、組合科學、綜合科學、地理
(此處作x1.5)</t>
      </text>
    </comment>
    <comment authorId="0" ref="I247">
      <text>
        <t xml:space="preserve">======
ID#AAAANVU23v0
One of the following at Level 3 or above    (2021-07-20 22:25:02)
- Biology
- Chemistry
- Physics
- Combined Science
- ICT
- Integrated Science.</t>
      </text>
    </comment>
    <comment authorId="0" ref="I178">
      <text>
        <t xml:space="preserve">======
ID#AAAANVU23vg
One of the following    (2021-07-20 22:25:02)
• M1/M2
• Biology
• Chemistry
• Combined Science
• ICT
• Physics</t>
      </text>
    </comment>
    <comment authorId="0" ref="I265">
      <text>
        <t xml:space="preserve">======
ID#AAAANVU23vY
One of the following at Level 3 or above    (2021-07-20 22:25:02)
- Chemistry
- Combined Science (With Chemistry)</t>
      </text>
    </comment>
    <comment authorId="0" ref="J278">
      <text>
        <t xml:space="preserve">======
ID#AAAANVU23uA
Michael    (2021-07-20 22:25:02)
M1/2 is required.</t>
      </text>
    </comment>
    <comment authorId="0" ref="J174">
      <text>
        <t xml:space="preserve">======
ID#AAAANVU23t8
Michael    (2021-07-20 22:25:02)
M1/2 is required</t>
      </text>
    </comment>
    <comment authorId="0" ref="C212">
      <text>
        <t xml:space="preserve">======
ID#AAAANVU23ts
Michael Chan    (2021-07-20 22:25:02)
英文 x1.5 數學 x1
+
最佳2科理科 + 最佳1科 或
最佳1科理科 + 最佳2科
(M1/2/ 物理) x2
(生物 / 化學 / 組合科學) x1.5</t>
      </text>
    </comment>
    <comment authorId="0" ref="E55">
      <text>
        <t xml:space="preserve">======
ID#AAAANVU23tg
Michael    (2021-07-20 22:25:02)
入學要求</t>
      </text>
    </comment>
    <comment authorId="0" ref="C226">
      <text>
        <t xml:space="preserve">======
ID#AAAANVU23tU
Michael Chan    (2021-07-20 22:25:02)
英文 x2 數學 x2
+
最佳4科 x1</t>
      </text>
    </comment>
    <comment authorId="0" ref="E69">
      <text>
        <t xml:space="preserve">======
ID#AAAANVU23tE
Michael Chan    (2021-07-20 22:25:02)
Good results in Chinese Language and English Language subjects are preferred.
High choice banding in JUPAS application is preferred</t>
      </text>
    </comment>
    <comment authorId="0" ref="I211">
      <text>
        <t xml:space="preserve">======
ID#AAAANVU23sg
以下兩科    (2021-07-20 22:25:02)
M1/2 / 生物/ 化學 /物理 / 組合科學</t>
      </text>
    </comment>
    <comment authorId="0" ref="C196">
      <text>
        <t xml:space="preserve">======
ID#AAAANVU23sQ
Michael Chan    (2021-07-20 22:25:02)
x1.5: 數學、 M1/2、物理、化學及經濟 其中最佳一科</t>
      </text>
    </comment>
    <comment authorId="0" ref="C167">
      <text>
        <t xml:space="preserve">======
ID#AAAANVU23rc
Michael Chan    (2021-07-20 22:25:02)
x2: 英文、數學
x1.5: M1/2、化學或物理 其中最佳一科</t>
      </text>
    </comment>
    <comment authorId="0" ref="C227">
      <text>
        <t xml:space="preserve">======
ID#AAAANVU23pI
Michael Chan    (2021-07-20 22:25:02)
英文 x2 數學 x2
+
最佳4科 X1
或
下列最佳科目 x1.5
(M1/2/化學/經濟/物理)
+
最佳2科 x1</t>
      </text>
    </comment>
    <comment authorId="0" ref="I214">
      <text>
        <t xml:space="preserve">======
ID#AAAANVU23pE
以下一科    (2021-07-20 22:25:02)
M1/2 / 生物/ 化學 /物理 / 組合科學</t>
      </text>
    </comment>
    <comment authorId="0" ref="E87">
      <text>
        <t xml:space="preserve">======
ID#AAAANVU23o8
Michael    (2021-07-20 22:25:02)
入學要求</t>
      </text>
    </comment>
    <comment authorId="0" ref="C184">
      <text>
        <t xml:space="preserve">======
ID#AAAANVU23ok
較高比重科目    (2021-07-20 22:25:02)
物理、生物、化學、組合科學、綜合科學
(此處作x1.5)</t>
      </text>
    </comment>
    <comment authorId="0" ref="C262">
      <text>
        <t xml:space="preserve">======
ID#AAAANVU23oc
Michael    (2021-07-20 22:25:02)
The best 6 subjects must include English Language</t>
      </text>
    </comment>
    <comment authorId="0" ref="C168">
      <text>
        <t xml:space="preserve">======
ID#AAAANVU23oM
SHEK, Kam Ming    (2021-07-20 22:25:02)
2021年將以Best 5 (包含英文)收生
此處仍以4C2X作估算，請注意</t>
      </text>
    </comment>
    <comment authorId="0" ref="I268">
      <text>
        <t xml:space="preserve">======
ID#AAAANVU23n8
One of the following at Level 3 or above    (2021-07-20 22:25:02)
- Chemistry
- Combined Science (With Chemistry)</t>
      </text>
    </comment>
    <comment authorId="0" ref="J191">
      <text>
        <t xml:space="preserve">======
ID#AAAANVU23no
Michael    (2021-07-20 22:25:02)
M1/M2</t>
      </text>
    </comment>
    <comment authorId="0" ref="G40">
      <text>
        <t xml:space="preserve">======
ID#AAAANVU23nk
Michael    (2021-07-20 22:25:02)
Level 3 in Mathematics if no other science subject is taken</t>
      </text>
    </comment>
    <comment authorId="0" ref="E146">
      <text>
        <t xml:space="preserve">======
ID#AAAANVU23nU
Michael    (2021-07-20 22:25:02)
入學要求</t>
      </text>
    </comment>
    <comment authorId="0" ref="J51">
      <text>
        <t xml:space="preserve">======
ID#AAAANVU23nI
Level 3 in one elective subject from    (2021-07-20 22:25:02)
Biology
BAFS
Chemistry
DAT
ICT
M1/M2
Physics
Science (Combined or Integrated)</t>
      </text>
    </comment>
    <comment authorId="0" ref="C64">
      <text>
        <t xml:space="preserve">======
ID#AAAANVU23ls
x2    (2021-07-20 22:25:02)
英文、英語文學
x1.5:
中文、中國文學、通識、數學</t>
      </text>
    </comment>
    <comment authorId="0" ref="I21">
      <text>
        <t xml:space="preserve">======
ID#AAAANVU23lc
Level 3 in one elective subject from    (2021-07-20 22:25:02)
- Chemistry
- Combined Science
(Chemistry and Physics)
- Physics</t>
      </text>
    </comment>
    <comment authorId="0" ref="L87">
      <text>
        <t xml:space="preserve">======
ID#AAAANVU23lQ
Michael    (2021-07-20 22:25:02)
入學要求</t>
      </text>
    </comment>
    <comment authorId="0" ref="C232">
      <text>
        <t xml:space="preserve">======
ID#AAAANVU23lE
Michael Chan    (2021-07-20 22:25:02)
英文 x2 數學 x2
+
最佳4科 x1</t>
      </text>
    </comment>
    <comment authorId="0" ref="C68">
      <text>
        <t xml:space="preserve">======
ID#AAAANVU23lA
Michael Chan    (2021-07-20 22:25:02)
Best 5 (包括中、英文)
x1.25:
中文、英文</t>
      </text>
    </comment>
    <comment authorId="0" ref="L146">
      <text>
        <t xml:space="preserve">======
ID#AAAANVU23kU
Michael    (2021-07-20 22:25:02)
入學要求</t>
      </text>
    </comment>
    <comment authorId="0" ref="C72">
      <text>
        <t xml:space="preserve">======
ID#AAAANVU23kA
Michael Chan    (2021-07-20 22:25:02)
2021年新科目
Best 5 (包括中、英文)
x1.25:
中文、英文</t>
      </text>
    </comment>
    <comment authorId="0" ref="E68">
      <text>
        <t xml:space="preserve">======
ID#AAAANVU23js
Michael Chan    (2021-07-20 22:25:02)
Good results in Chinese Language and English Language subjects are preferred.
High choice banding in JUPAS application is preferred</t>
      </text>
    </comment>
    <comment authorId="0" ref="C269">
      <text>
        <t xml:space="preserve">======
ID#AAAANVU23jM
Michael    (2021-07-20 22:25:02)
The score of Mathematics compulsory part (MA) or the combined score of
MA and M1/M2 calculated as below, whichever is higher, will be taken into
consideration.
[MA+(M1/M2*0.5)]/1.5</t>
      </text>
    </comment>
    <comment authorId="0" ref="B182">
      <text>
        <t xml:space="preserve">======
ID#AAAANVU23jI
Michael Chan    (2021-07-20 22:25:02)
a) Chemistry is preferred
(b) Biology is preferred
(c) Taking a third elective and/or M1/M2 will be strongly recommended</t>
      </text>
    </comment>
    <comment authorId="0" ref="B187">
      <text>
        <t xml:space="preserve">======
ID#AAAANVU23jE
Preferred subjects for one of the two electives    (2021-07-20 22:25:02)
Biology
Chemistry
Combined Science
Integrated Science
Physics</t>
      </text>
    </comment>
    <comment authorId="0" ref="C267">
      <text>
        <t xml:space="preserve">======
ID#AAAANVU23i0
Michael    (2021-07-20 22:25:02)
Consideration of both Category A and C subjects, excluding M1/M2.</t>
      </text>
    </comment>
    <comment authorId="0" ref="J260">
      <text>
        <t xml:space="preserve">======
ID#AAAANVU23ic
Michael    (2021-07-20 22:25:02)
Level 3 or above in M1/2 is preferred (but not required).</t>
      </text>
    </comment>
    <comment authorId="0" ref="C214">
      <text>
        <t xml:space="preserve">======
ID#AAAANVU23iM
Michael Chan    (2021-07-20 22:25:02)
英文 x1.5 數學 x1
+
最佳2科理科 + 最佳1科 或
最佳1科理科 + 最佳2科
(M1/2/ 物理) x2
(生物 / 化學 / 組合科學) x1.5</t>
      </text>
    </comment>
    <comment authorId="0" ref="J211">
      <text>
        <t xml:space="preserve">======
ID#AAAANVU23h4
以下兩科    (2021-07-20 22:25:02)
M1/2 / 生物/ 化學 /物理 / 組合科學</t>
      </text>
    </comment>
    <comment authorId="0" ref="C74">
      <text>
        <t xml:space="preserve">======
ID#AAAANVU23hw
Michael Chan    (2021-07-20 22:25:02)
x1.5: 中文、英文、化學
x1.25: 生物、中國文學、組合科學、數學、物理</t>
      </text>
    </comment>
    <comment authorId="0" ref="C205">
      <text>
        <t xml:space="preserve">======
ID#AAAANVU23h0
Michael Chan    (2021-07-20 22:25:02)
x1.5: 英文</t>
      </text>
    </comment>
    <comment authorId="0" ref="I188">
      <text>
        <t xml:space="preserve">======
ID#AAAANVU23go
At Least one of the following    (2021-07-20 22:25:02)
Biology or Chemistry</t>
      </text>
    </comment>
    <comment authorId="0" ref="C172">
      <text>
        <t xml:space="preserve">======
ID#AAAANVU23gg
Michael Chan    (2021-07-20 22:25:02)
包含中文
中文有較高比重
(此處作x1.5)</t>
      </text>
    </comment>
    <comment authorId="0" ref="C234">
      <text>
        <t xml:space="preserve">======
ID#AAAANVU23gY
Michael Chan    (2021-07-20 22:25:02)
英文 x2 數學 x2
+
最佳4科 x1 (M1/2 x1.5)</t>
      </text>
    </comment>
    <comment authorId="0" ref="E2">
      <text>
        <t xml:space="preserve">======
ID#AAAANVU23e0
Michael    (2021-07-20 22:25:02)
入學要求</t>
      </text>
    </comment>
    <comment authorId="0" ref="C241">
      <text>
        <t xml:space="preserve">======
ID#AAAANVU23eo
Michael    (2021-07-20 22:25:02)
Consideration of both Category A and C subjects, excluding M1/M2.</t>
      </text>
    </comment>
    <comment authorId="0" ref="B188">
      <text>
        <t xml:space="preserve">======
ID#AAAANVU23eI
Michael Chan    (2021-07-20 22:25:02)
(a) Category A subjects only</t>
      </text>
    </comment>
    <comment authorId="0" ref="C261">
      <text>
        <t xml:space="preserve">======
ID#AAAANVU23d4
Michael    (2021-07-20 22:25:02)
Consideration of both Category A and C subjects, in
which M1/M2 can be included as an elective.
The best 5 subjects must include English Language and Mathematics.</t>
      </text>
    </comment>
    <comment authorId="0" ref="G181">
      <text>
        <t xml:space="preserve">======
ID#AAAANVU23dU
Michael    (2021-07-20 22:25:02)
^ Candidates with Level 4 in
Mathematics (Compulsory Part) and
good results in other HKDSE subjects
will be exceptionally considered on a
case by case basis.</t>
      </text>
    </comment>
    <comment authorId="0" ref="C276">
      <text>
        <t xml:space="preserve">======
ID#AAAANVU23c8
Michael    (2021-07-20 22:25:02)
Consideration of both Category A and C subjects, excluding M1/M2</t>
      </text>
    </comment>
    <comment authorId="0" ref="C235">
      <text>
        <t xml:space="preserve">======
ID#AAAANVU23co
Michael Chan    (2021-07-20 22:25:02)
英文 x2 數學 x2
+
最佳理科 x2
(生物/ 化學 /物理 / 組合科學)
或
ICT x1
+
最佳3科 x1 (M1/2 x1.5)</t>
      </text>
    </comment>
    <comment authorId="0" ref="J259">
      <text>
        <t xml:space="preserve">======
ID#AAAANVU23cc
Michael    (2021-07-20 22:25:02)
Level 3 or above in M1/2 is preferred (but not required).</t>
      </text>
    </comment>
    <comment authorId="0" ref="J277">
      <text>
        <t xml:space="preserve">======
ID#AAAANVU23cI
Michael    (2021-07-20 22:25:02)
Level 3 or above in M1/2 is preferred (but not required).</t>
      </text>
    </comment>
    <comment authorId="0" ref="I42">
      <text>
        <t xml:space="preserve">======
ID#AAAANVU23bw
Level 3 in one elective subject from    (2021-07-20 22:25:02)
- Biology
- Chemistry
- Combined Science
- Integrated Science
- ICT
- M1/M2
- Physics</t>
      </text>
    </comment>
    <comment authorId="0" ref="F67">
      <text>
        <t xml:space="preserve">======
ID#AAAANVU23b0
Michael Chan    (2021-07-20 22:25:02)
Good result in English Language subject is preferred.</t>
      </text>
    </comment>
    <comment authorId="0" ref="J247">
      <text>
        <t xml:space="preserve">======
ID#AAAANVU23bk
Michael    (2021-07-20 22:25:02)
Level 3 or above in M1/2 is preferred (but not required).</t>
      </text>
    </comment>
    <comment authorId="0" ref="C248">
      <text>
        <t xml:space="preserve">======
ID#AAAANVU23bc
Michael Chan    (2021-07-20 22:25:02)
The best 6 subjects must include English Language, Mathematics.
M1/M2 can be included in lieu of Mathematics.
Weighting: English Language, Mathematics, M1/M2</t>
      </text>
    </comment>
    <comment authorId="0" ref="I191">
      <text>
        <t xml:space="preserve">======
ID#AAAANVU23bU
One of the following    (2021-07-20 22:25:02)
• Biology
• Chemistry
• Combined Science
• Economics
• Geography
• ICT
• Integrated Science
• Physics
• Tech and Living (FST)</t>
      </text>
    </comment>
    <comment authorId="0" ref="F279">
      <text>
        <t xml:space="preserve">======
ID#AAAANVU23bI
Michael Chan    (2021-07-20 22:25:02)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264">
      <text>
        <t xml:space="preserve">======
ID#AAAANVU23ag
Michael    (2021-07-20 22:25:02)
Consideration of both Category A and C subjects, excluding M1/M2.</t>
      </text>
    </comment>
    <comment authorId="0" ref="C278">
      <text>
        <t xml:space="preserve">======
ID#AAAANVU23aE
Michael    (2021-07-20 22:25:02)
The best 6 subjects must include English Language, Mathematics, M1/M2.
最高比重: English Language, Mathematics, M1/M2
較高比重: Science Electives</t>
      </text>
    </comment>
    <comment authorId="0" ref="C240">
      <text>
        <t xml:space="preserve">======
ID#AAAANVU23Z0
Michael    (2021-07-20 22:25:02)
Consideration of both Category A and C subjects, excluding M1/M2.</t>
      </text>
    </comment>
    <comment authorId="0" ref="C258">
      <text>
        <t xml:space="preserve">======
ID#AAAANVU23ZU
Michael    (2021-07-20 22:25:02)
Consideration of both Category A and C subjects, in
which M1/M2 can be included as an elective.
The best 5 subjects must include English Language and Mathematics.</t>
      </text>
    </comment>
    <comment authorId="0" ref="I40">
      <text>
        <t xml:space="preserve">======
ID#AAAANVU23ZE
Level 3 in one elective subject from    (2021-07-20 22:25:02)
- Chemistry
- Combined Science
(Biology and Chemistry)
- Combined Science
(Chemistry and Physics)</t>
      </text>
    </comment>
    <comment authorId="0" ref="F69">
      <text>
        <t xml:space="preserve">======
ID#AAAANVU23Y8
Michael Chan    (2021-07-20 22:25:02)
Good results in Chinese Language and English Language subjects are preferred.
High choice banding in JUPAS application is preferred</t>
      </text>
    </comment>
    <comment authorId="0" ref="C274">
      <text>
        <t xml:space="preserve">======
ID#AAAANVU23YY
Michael    (2021-07-20 22:25:02)
Consideration of both Category A and C subjects, excluding M1/M2</t>
      </text>
    </comment>
    <comment authorId="0" ref="B156">
      <text>
        <t xml:space="preserve">======
ID#AAAANVU23YA
Michael Chan    (2021-07-20 22:25:02)
Music is preferred</t>
      </text>
    </comment>
    <comment authorId="0" ref="I51">
      <text>
        <t xml:space="preserve">======
ID#AAAANVU23Xo
Level 3 in one elective subject from    (2021-07-20 22:25:02)
- Biology
- Chemistry
- Combined Science</t>
      </text>
    </comment>
    <comment authorId="0" ref="C66">
      <text>
        <t xml:space="preserve">======
ID#AAAANVU23W8
x1.5    (2021-07-20 22:25:02)
英文</t>
      </text>
    </comment>
    <comment authorId="0" ref="C211">
      <text>
        <t xml:space="preserve">======
ID#AAAANVU23W0
Michael Chan    (2021-07-20 22:25:02)
英文 x1 數學 x1
+
最佳兩科 x1
(M1/2 / 生物/ 化學 /物理 / 組合科學)
+
最佳一科 x1</t>
      </text>
    </comment>
    <comment authorId="0" ref="B151">
      <text>
        <t xml:space="preserve">======
ID#AAAANVU23Wg
Michael Chan    (2021-07-20 22:25:02)
Literature in English is preferred</t>
      </text>
    </comment>
    <comment authorId="0" ref="C279">
      <text>
        <t xml:space="preserve">======
ID#AAAANVU23WY
Michael Chan    (2021-07-20 22:25:02)
Consideration of both Category A and C subjects, in
which M1/M2 can be included as an elective.</t>
      </text>
    </comment>
    <comment authorId="0" ref="C189">
      <text>
        <t xml:space="preserve">======
ID#AAAANVU23WE
Michael Chan    (2021-07-20 22:25:02)
x2: 數學、M1/2、物理、生物、化學、組合科學、綜合科學
x1.5: 中文或英文、經濟、地理、ICT、科技與生活
註: 只有最多三科將會用以計算比重</t>
      </text>
    </comment>
    <comment authorId="0" ref="F281">
      <text>
        <t xml:space="preserve">======
ID#AAAANVU23VI
Michael Chan    (2021-07-20 22:25:02)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277">
      <text>
        <t xml:space="preserve">======
ID#AAAANVU23U8
Michael    (2021-07-20 22:25:02)
Consideration of both Category A and C subjects, excluding M1/M2</t>
      </text>
    </comment>
    <comment authorId="0" ref="L2">
      <text>
        <t xml:space="preserve">======
ID#AAAANVU23Us
Michael    (2021-07-20 22:25:02)
入學要求</t>
      </text>
    </comment>
    <comment authorId="0" ref="I233">
      <text>
        <t xml:space="preserve">======
ID#AAAANVU23Ug
以下一科    (2021-07-20 22:25:02)
生物/ 化學 /物理 / 組合科學/ 綜合科學/
經濟/ M1/2</t>
      </text>
    </comment>
    <comment authorId="0" ref="I52">
      <text>
        <t xml:space="preserve">======
ID#AAAANVU23UU
Level 3 in one elective subject from    (2021-07-20 22:25:02)
- Biology
- Chemistry
- Combined Science</t>
      </text>
    </comment>
    <comment authorId="0" ref="C174">
      <text>
        <t xml:space="preserve">======
ID#AAAANVU23Tg
Michael Chan    (2021-07-20 22:25:02)
x1.5: 數學、M1/2
x1.2: 中文、英文</t>
      </text>
    </comment>
    <comment authorId="0" ref="I183">
      <text>
        <t xml:space="preserve">======
ID#AAAANVU23S8
At Least one of the following    (2021-07-20 22:25:02)
Biology or Chemistry</t>
      </text>
    </comment>
    <comment authorId="0" ref="I179">
      <text>
        <t xml:space="preserve">======
ID#AAAANVU23Sw
One of the following    (2021-07-20 22:25:02)
• M1/M2
• Biology
• Chemistry
• Combined Science
• Physics</t>
      </text>
    </comment>
    <comment authorId="0" ref="I267">
      <text>
        <t xml:space="preserve">======
ID#AAAANVU23Sg
One of the following at Level 3 or above    (2021-07-20 22:25:02)
- Biology
- Chemistry
- Physics
- Combined Science
- Integrated Science</t>
      </text>
    </comment>
    <comment authorId="0" ref="C244">
      <text>
        <t xml:space="preserve">======
ID#AAAANVU23SU
Michael Chan    (2021-07-20 22:25:02)
The best 6 subjects must include English Language, Mathematics.
M1/M2 can be included.
Weighting: English Language, Mathematics</t>
      </text>
    </comment>
    <comment authorId="0" ref="I47">
      <text>
        <t xml:space="preserve">======
ID#AAAANVU23SQ
Level 3 in one elective subject from    (2021-07-20 22:25:02)
- Biology
- Chemistry
- Combined Science
- Physics</t>
      </text>
    </comment>
    <comment authorId="0" ref="I48">
      <text>
        <t xml:space="preserve">======
ID#AAAANVU23SI
Level 3 in one elective subject from    (2021-07-20 22:25:02)
- Chemistry
- Combined Science (Physics)
- DAT
- ICT
- M1/2
- Physics</t>
      </text>
    </comment>
    <comment authorId="0" ref="I193">
      <text>
        <t xml:space="preserve">======
ID#AAAANVU23SE
Michael    (2021-07-20 22:25:02)
(a) Category A subjects only</t>
      </text>
    </comment>
    <comment authorId="0" ref="J271">
      <text>
        <t xml:space="preserve">======
ID#AAAANVU23Rk
Michael    (2021-07-20 22:25:02)
M1/2 is required.</t>
      </text>
    </comment>
    <comment authorId="0" ref="F278">
      <text>
        <t xml:space="preserve">======
ID#AAAANVU23RE
Michael Chan    (2021-07-20 22:25:02)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231">
      <text>
        <t xml:space="preserve">======
ID#AAAANVU23RA
Michael Chan    (2021-07-20 22:25:02)
英文 x2 數學 x2
+
最佳下列理科 x1.5
(生物/化學)
+
最佳3科 x1</t>
      </text>
    </comment>
    <comment authorId="0" ref="I165">
      <text>
        <t xml:space="preserve">======
ID#AAAANVU23Q8
Michael    (2021-07-20 22:25:02)
(a) Mathematics (Module 1 or 2)
at Level 5 is required if
Mathematics (Compulsory
Part) is at Level 3 or 4</t>
      </text>
    </comment>
    <comment authorId="0" ref="C165">
      <text>
        <t xml:space="preserve">======
ID#AAAANVU23Qw
Michael Chan    (2021-07-20 22:25:02)
包含英文及 數學和M1/2其中最佳一科</t>
      </text>
    </comment>
    <comment authorId="0" ref="I213">
      <text>
        <t xml:space="preserve">======
ID#AAAANVU23P8
以下一科    (2021-07-20 22:25:02)
M1/2 / 生物/ 化學 /物理 / 組合科學</t>
      </text>
    </comment>
    <comment authorId="0" ref="I46">
      <text>
        <t xml:space="preserve">======
ID#AAAANVU23Ps
Level 3 in one elective subject from    (2021-07-20 22:25:02)
- Chemistry
- Combined Science (Biology and Physics)
- Combined Science (Chemistry and Physics)
- DAT
- Physics</t>
      </text>
    </comment>
    <comment authorId="0" ref="C169">
      <text>
        <t xml:space="preserve">======
ID#AAAANVU23PM
Michael Chan    (2021-07-20 22:25:02)
x2: 英文、通識
x 1.5: 中文</t>
      </text>
    </comment>
    <comment authorId="0" ref="B184">
      <text>
        <t xml:space="preserve">======
ID#AAAANVU23Oc
Preferred subjects for one of the two electives    (2021-07-20 22:25:02)
Biology
Chemistry
Combined Science
Integrated Science
Physics</t>
      </text>
    </comment>
    <comment authorId="0" ref="I256">
      <text>
        <t xml:space="preserve">======
ID#AAAANVU23N0
One of the following at Level 3 or above    (2021-07-20 22:25:02)
- Biology
- Combined Science (Biology)</t>
      </text>
    </comment>
    <comment authorId="0" ref="C148">
      <text>
        <t xml:space="preserve">======
ID#AAAANVU23Nw
Michael Chan    (2021-07-20 22:25:02)
中文有較高比重
(此處作x1.5)</t>
      </text>
    </comment>
    <comment authorId="0" ref="I251">
      <text>
        <t xml:space="preserve">======
ID#AAAANVU23No
One of the following at Level 3 or above    (2021-07-20 22:25:02)
- Biology
- Chemistry
- Physics
- Combined Science
- Integrated Science</t>
      </text>
    </comment>
    <comment authorId="0" ref="C253">
      <text>
        <t xml:space="preserve">======
ID#AAAANVU23NQ
Michael    (2021-07-20 22:25:02)
The best 5 subjects must include Chinese Language and Liberal Studies
最高比重: Chinese Language
較高比重: Liberal Studies</t>
      </text>
    </comment>
    <comment authorId="0" ref="J190">
      <text>
        <t xml:space="preserve">======
ID#AAAANVU23NM
One of the following    (2021-07-20 22:25:02)
• M1/M2
• Biology
• Chemistry
• Combined Science
• Geography
• Integrated Science
• Physics</t>
      </text>
    </comment>
    <comment authorId="0" ref="C201">
      <text>
        <t xml:space="preserve">======
ID#AAAANVU23Mw
Michael Chan    (2021-07-20 22:25:02)
x1.3: 英文</t>
      </text>
    </comment>
    <comment authorId="0" ref="C178">
      <text>
        <t xml:space="preserve">======
ID#AAAANVU23Lw
Michael Chan    (2021-07-20 22:25:02)
x1.5: 數學、M1/2、物理</t>
      </text>
    </comment>
    <comment authorId="0" ref="C272">
      <text>
        <t xml:space="preserve">======
ID#AAAANVU23Lo
Michael    (2021-07-20 22:25:02)
The best 5 subjects must include English Language, Mathematics and the
best Science elective subject*.
M1/M2 can be included.
最高比重: Mathematics, M1/M2, Science* Electives
較高比重: English Language, Non-Science* Electives
*: Biology, Chemistry, Physics, Combined Science, Integrated Science.</t>
      </text>
    </comment>
    <comment authorId="0" ref="C199">
      <text>
        <t xml:space="preserve">======
ID#AAAANVU23LU
Michael Chan    (2021-07-20 22:25:02)
x1.5: 英文
x1.25: 中文、通識</t>
      </text>
    </comment>
    <comment authorId="0" ref="C67">
      <text>
        <t xml:space="preserve">======
ID#AAAANVU23LQ
x1.5    (2021-07-20 22:25:02)
英文</t>
      </text>
    </comment>
    <comment authorId="0" ref="C224">
      <text>
        <t xml:space="preserve">======
ID#AAAANVU23K4
Michael Chan    (2021-07-20 22:25:02)
英文 x2 數學 x2
+
最佳4科 x1</t>
      </text>
    </comment>
    <comment authorId="0" ref="C220">
      <text>
        <t xml:space="preserve">======
ID#AAAANVU23Ko
Michael Chan    (2021-07-20 22:25:02)
英文 x2 數學 x2
+
最佳4科 X1
或
下列最佳科目 x1.5
(M1/2/化學/經濟/物理)
+
最佳2科 x1</t>
      </text>
    </comment>
    <comment authorId="0" ref="E300">
      <text>
        <t xml:space="preserve">======
ID#AAAANVU23KY
Michael Chan    (2021-07-20 22:25:02)
2020年收生平均為: 5</t>
      </text>
    </comment>
    <comment authorId="0" ref="C80">
      <text>
        <t xml:space="preserve">======
ID#AAAANVU23KA
x2    (2021-07-20 22:25:02)
英文
x1.5:
通識</t>
      </text>
    </comment>
    <comment authorId="0" ref="C268">
      <text>
        <t xml:space="preserve">======
ID#AAAANVU23J4
Michael    (2021-07-20 22:25:02)
The score of Mathematics compulsory part (MA) or the combined score of
MA and M1/M2 calculated as below, whichever is higher, will be taken into
consideration.
[MA+(M1/M2*0.5)]/1.5</t>
      </text>
    </comment>
    <comment authorId="0" ref="C164">
      <text>
        <t xml:space="preserve">======
ID#AAAANVU23JY
Michael Chan    (2021-07-20 22:25:02)
2021年將不會計算比重
此處將以原有比重作估算，請注意
x2: 旅遊及款待</t>
      </text>
    </comment>
    <comment authorId="0" ref="E64">
      <text>
        <t xml:space="preserve">======
ID#AAAANVU23JE
Michael Chan    (2021-07-20 22:25:02)
Good results in Chinese and English Language subjects are preferred.</t>
      </text>
    </comment>
    <comment authorId="0" ref="C177">
      <text>
        <t xml:space="preserve">======
ID#AAAANVU23JA
Michael Chan    (2021-07-20 22:25:02)
x1.75: 數學、M1/2
x1.5: 物理、生物、化學、組合科學、經濟、BAFS、ICT
x1.25: 中文、英文</t>
      </text>
    </comment>
    <comment authorId="0" ref="I255">
      <text>
        <t xml:space="preserve">======
ID#AAAANVU23Is
One of the following at Level 3 or above    (2021-07-20 22:25:02)
- Biology
- Chemistry
- Physics
- Combined Science
- Integrated Science</t>
      </text>
    </comment>
    <comment authorId="0" ref="C280">
      <text>
        <t xml:space="preserve">======
ID#AAAANVU23IM
Michael    (2021-07-20 22:25:02)
Consideration of both Category A and C subjects, in which M1/M2 can be
included as an elective.
The best 6 subjects must include English Language, Mathematics.</t>
      </text>
    </comment>
    <comment authorId="0" ref="C266">
      <text>
        <t xml:space="preserve">======
ID#AAAANVU23Hk
Michael    (2021-07-20 22:25:02)
Consideration of both Category A and C subjects, excluding M1/M2.</t>
      </text>
    </comment>
    <comment authorId="0" ref="C192">
      <text>
        <t xml:space="preserve">======
ID#AAAANVU23Hg
較高比重科目    (2021-07-20 22:25:02)
數學、M1/2、物理
(此處作x1.5)</t>
      </text>
    </comment>
    <comment authorId="0" ref="C79">
      <text>
        <t xml:space="preserve">======
ID#AAAANVU23G0
Michael Chan    (2021-07-20 22:25:02)
Best 5 (包括英文)
x1.2:
英文</t>
      </text>
    </comment>
    <comment authorId="0" ref="C176">
      <text>
        <t xml:space="preserve">======
ID#AAAANVU23GQ
Michael Chan    (2021-07-20 22:25:02)
x1.75: M1/2
x1.5: 數學、物理、生物、化學、組合科學、ICT、DAT
x0.5: 通識</t>
      </text>
    </comment>
    <comment authorId="0" ref="I182">
      <text>
        <t xml:space="preserve">======
ID#AAAANVU23FU
At Least one of the following    (2021-07-20 22:25:02)
Biology or Chemistry</t>
      </text>
    </comment>
    <comment authorId="0" ref="C204">
      <text>
        <t xml:space="preserve">======
ID#AAAANVU23E4
Michael Chan    (2021-07-20 22:25:02)
x1.5: 英文、通識</t>
      </text>
    </comment>
    <comment authorId="0" ref="C76">
      <text>
        <t xml:space="preserve">======
ID#AAAANVU23Ec
x2    (2021-07-20 22:25:02)
英文</t>
      </text>
    </comment>
    <comment authorId="0" ref="F64">
      <text>
        <t xml:space="preserve">======
ID#AAAANVU23EQ
Michael Chan    (2021-07-20 22:25:02)
Good results in Chinese and English Language subjects are preferred.</t>
      </text>
    </comment>
    <comment authorId="0" ref="I176">
      <text>
        <t xml:space="preserve">======
ID#AAAANVU23EA
One of the following    (2021-07-20 22:25:02)
• M1/M2
• Biology
• Chemistry
• Combined Science
• Physics</t>
      </text>
    </comment>
    <comment authorId="0" ref="C170">
      <text>
        <t xml:space="preserve">======
ID#AAAANVU23D4
Michael Chan    (2021-07-20 22:25:02)
2021年將以新比重收生
(x2:英文、數學
x1.5: M1/2、化學、物理及經濟其中最佳一科 )
此處將以原有比重作估算，請注意
x2: 英文、數學、M1/2</t>
      </text>
    </comment>
    <comment authorId="0" ref="C207">
      <text>
        <t xml:space="preserve">======
ID#AAAANVU23Dw
Michael Chan    (2021-07-20 22:25:02)
x2: 英文、通識
x 1.5: 中文</t>
      </text>
    </comment>
    <comment authorId="0" ref="C216">
      <text>
        <t xml:space="preserve">======
ID#AAAANVU23CQ
Michael Chan    (2021-07-20 22:25:02)
英文 x2 數學 x2
+
最佳理科 x2
(生物/ 化學 /物理 / 組合科學/DAT)
或
ICT x1
+
最佳2科 x1 (M1/2 x1.5)</t>
      </text>
    </comment>
    <comment authorId="0" ref="C213">
      <text>
        <t xml:space="preserve">======
ID#AAAANVU23CE
Michael Chan    (2021-07-20 22:25:02)
英文 x1.5 數學 x1
+
最佳2科理科 + 最佳1科 或
最佳1科理科 + 最佳2科
(生物/化學) x2
(M1/2 /物理/組合科學) x1</t>
      </text>
    </comment>
    <comment authorId="0" ref="B177">
      <text>
        <t xml:space="preserve">======
ID#AAAANVU23B8
The following subjects are preferred    (2021-07-20 22:25:02)
• M1/M2
• Biology
• BAFS
• Chemistry
• Combined Science
• Economics
• ICT
• Physics</t>
      </text>
    </comment>
    <comment authorId="0" ref="I192">
      <text>
        <t xml:space="preserve">======
ID#AAAANVU23BQ
Michael    (2021-07-20 22:25:02)
Physics</t>
      </text>
    </comment>
    <comment authorId="0" ref="F280">
      <text>
        <t xml:space="preserve">======
ID#AAAANVU23BA
Michael Chan    (2021-07-20 22:25:02)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180">
      <text>
        <t xml:space="preserve">======
ID#AAAANVU23Aw
Michael Chan    (2021-07-20 22:25:02)
x1.5: 數學、M1/2、物理、生物、化學、組合科學、DAT、ICT
x1.2: 經濟、地理
x0.5: 通識</t>
      </text>
    </comment>
    <comment authorId="0" ref="F68">
      <text>
        <t xml:space="preserve">======
ID#AAAANVU23Ak
Michael Chan    (2021-07-20 22:25:02)
Good results in Chinese Language and English Language subjects are preferred.
High choice banding in JUPAS application is preferred</t>
      </text>
    </comment>
    <comment authorId="0" ref="C255">
      <text>
        <t xml:space="preserve">======
ID#AAAANVU23AY
Michael    (2021-07-20 22:25:02)
The best 5 subjects must include English Language, Mathematics and
the best Science elective subject*
M1/M2 can be included.
最高比重: Mathematics, M1/M2, Science* Electives
較高比重: English Language, Non-Science* Electives
*: Biology, Chemistry, Physics, Combined Science, Integrated Science.</t>
      </text>
    </comment>
    <comment authorId="0" ref="I73">
      <text>
        <t xml:space="preserve">======
ID#AAAANVU22_8
Michael    (2021-07-20 22:25:02)
One elective must be Biology or Chemistry.</t>
      </text>
    </comment>
    <comment authorId="0" ref="C193">
      <text>
        <t xml:space="preserve">======
ID#AAAANVU22_U
Michael Chan    (2021-07-20 22:25:02)
x2: 數學、M1/2</t>
      </text>
    </comment>
    <comment authorId="0" ref="E312">
      <text>
        <t xml:space="preserve">======
ID#AAAANVU22_E
Michael Chan    (2021-07-20 22:25:02)
2020年收生平均為: 5</t>
      </text>
    </comment>
    <comment authorId="0" ref="C259">
      <text>
        <t xml:space="preserve">======
ID#AAAANVU22-4
Michael    (2021-07-20 22:25:02)
Consideration of both Category A and C subjects, in
which M1/M2 can be included as an elective.
The best 5 subjects must include English Language and Mathematics.</t>
      </text>
    </comment>
    <comment authorId="0" ref="F313">
      <text>
        <t xml:space="preserve">======
ID#AAAANVU229c
Michael Chan    (2021-07-20 22:25:02)
2020年收生平均為: 5</t>
      </text>
    </comment>
    <comment authorId="0" ref="C173">
      <text>
        <t xml:space="preserve">======
ID#AAAANVU229M
Michael Chan    (2021-07-20 22:25:02)
包含英文
英文有較高比重
(此處作x1.5)</t>
      </text>
    </comment>
    <comment authorId="0" ref="I215">
      <text>
        <t xml:space="preserve">======
ID#AAAANVU2288
以下一科    (2021-07-20 22:25:01)
生物/ 化學 /物理 / 組合科學/ ICT</t>
      </text>
    </comment>
    <comment authorId="0" ref="C78">
      <text>
        <t xml:space="preserve">======
ID#AAAANVU228k
Michael Chan    (2021-07-20 22:25:01)
Best 5 (包括英文)
x1.2:
英文</t>
      </text>
    </comment>
    <comment authorId="0" ref="I45">
      <text>
        <t xml:space="preserve">======
ID#AAAANVU228U
Level 3 in one elective subject from    (2021-07-20 22:25:01)
- Chemistry
- Combined Science
(Biology and Physics)
- Combined Science
(Chemistry and Physics)
- DAT
- Physics</t>
      </text>
    </comment>
    <comment authorId="0" ref="C229">
      <text>
        <t xml:space="preserve">======
ID#AAAANVU228A
Michael Chan    (2021-07-20 22:25:01)
英文 x2 中文 x1.5
+
最佳4科 x1</t>
      </text>
    </comment>
    <comment authorId="0" ref="C252">
      <text>
        <t xml:space="preserve">======
ID#AAAANVU227o
Michael    (2021-07-20 22:25:01)
The best 5 subjects must include English Language and Liberal Studies
最高比重: English Language
較高比重: Liberal Studies</t>
      </text>
    </comment>
    <comment authorId="0" ref="C254">
      <text>
        <t xml:space="preserve">======
ID#AAAANVU227g
Michael    (2021-07-20 22:25:01)
The best 5 subjects must include English Language and Chinese Language.
最高比重: English Language
較高比重: Chinese Language</t>
      </text>
    </comment>
    <comment authorId="0" ref="C221">
      <text>
        <t xml:space="preserve">======
ID#AAAANVU226w
Michael Chan    (2021-07-20 22:25:01)
英文 x2 數學 x2
+
最佳4科 x1</t>
      </text>
    </comment>
    <comment authorId="0" ref="I231">
      <text>
        <t xml:space="preserve">======
ID#AAAANVU226o
以下一科    (2021-07-20 22:25:01)
生物/ 化學</t>
      </text>
    </comment>
    <comment authorId="0" ref="C246">
      <text>
        <t xml:space="preserve">======
ID#AAAANVU2250
Michael Chan    (2021-07-20 22:25:01)
The best 6 subjects must include English Language, Mathematics.
M1/M2 can be included in lieu of Mathematics.
Weighting: English Language, Mathematics, M1/M2</t>
      </text>
    </comment>
    <comment authorId="0" ref="I180">
      <text>
        <t xml:space="preserve">======
ID#AAAANVU225c
One of the following    (2021-07-20 22:25:01)
• M1/M2
• Biology
• Chemistry
• Combined Science
• DAT
• ICT
• Physics</t>
      </text>
    </comment>
    <comment authorId="0" ref="C233">
      <text>
        <t xml:space="preserve">======
ID#AAAANVU225Q
Michael Chan    (2021-07-20 22:25:01)
英文 x2 數學 x2
+
M1/2 x 2 或
最佳下列科目 x1.5
(生物/化學/物理/組合科學/綜合科學/經濟)
+
最佳3科 x1</t>
      </text>
    </comment>
    <comment authorId="0" ref="C194">
      <text>
        <t xml:space="preserve">======
ID#AAAANVU225I
Michael Chan    (2021-07-20 22:25:01)
x1.3: 英文</t>
      </text>
    </comment>
    <comment authorId="0" ref="J258">
      <text>
        <t xml:space="preserve">======
ID#AAAANVU2248
Michael    (2021-07-20 22:25:01)
Level 3 or above in M1/2 is preferred (but not required).</t>
      </text>
    </comment>
    <comment authorId="0" ref="I270">
      <text>
        <t xml:space="preserve">======
ID#AAAANVU2244
Two of te followings at Level 3 or above    (2021-07-20 22:25:01)
- Biology
- Chemistry
- Physics
- Combined Science</t>
      </text>
    </comment>
    <comment authorId="0" ref="C83">
      <text>
        <t xml:space="preserve">======
ID#AAAANVU224w
Michael Chan    (2021-07-20 22:25:01)
Best 5 (包括英文)</t>
      </text>
    </comment>
    <comment authorId="0" ref="C197">
      <text>
        <t xml:space="preserve">======
ID#AAAANVU224o
Michael Chan    (2021-07-20 22:25:01)
x1.5: 英文</t>
      </text>
    </comment>
    <comment authorId="0" ref="F161">
      <text>
        <t xml:space="preserve">======
ID#AAAANVU224g
Michael    (2021-07-20 22:25:01)
English Language at Level 4 or above is preferred</t>
      </text>
    </comment>
    <comment authorId="0" ref="B191">
      <text>
        <t xml:space="preserve">======
ID#AAAANVU224U
Michael Chan    (2021-07-20 22:25:01)
Good performance in M1/M2 will attract an additional bonus</t>
      </text>
    </comment>
    <comment authorId="0" ref="B176">
      <text>
        <t xml:space="preserve">======
ID#AAAANVU224I
(a) The following subjects are preferred    (2021-07-20 22:25:01)
• M1/M2
• Biology
• Chemistry
• Combined Science
• DAT
• ICT
• Physics</t>
      </text>
    </comment>
    <comment authorId="0" ref="I217">
      <text>
        <t xml:space="preserve">======
ID#AAAANVU2234
以下一科    (2021-07-20 22:25:01)
生物/ 化學 /物理 / 組合科學/ ICT</t>
      </text>
    </comment>
    <comment authorId="0" ref="L55">
      <text>
        <t xml:space="preserve">======
ID#AAAANVU2238
Michael    (2021-07-20 22:25:01)
入學要求</t>
      </text>
    </comment>
    <comment authorId="0" ref="C257">
      <text>
        <t xml:space="preserve">======
ID#AAAANVU223s
Michael    (2021-07-20 22:25:01)
Consideration of both Category A and C subjects, excluding M1/M2.</t>
      </text>
    </comment>
    <comment authorId="0" ref="I260">
      <text>
        <t xml:space="preserve">======
ID#AAAANVU223I
One of the following at Level 3 or above    (2021-07-20 22:25:01)
- Physics
- Combined Science (With Physics)</t>
      </text>
    </comment>
    <comment authorId="0" ref="L210">
      <text>
        <t xml:space="preserve">======
ID#AAAANVU223E
Michael    (2021-07-20 22:25:01)
入學要求</t>
      </text>
    </comment>
    <comment authorId="0" ref="I75">
      <text>
        <t xml:space="preserve">======
ID#AAAANVU2220
Michael Chan    (2021-07-20 22:25:01)
High choice banding in JUPAS application is preferred. 
Good results in science-related elective subjects is preferred.</t>
      </text>
    </comment>
    <comment authorId="0" ref="B193">
      <text>
        <t xml:space="preserve">======
ID#AAAANVU222g
Michael Chan    (2021-07-20 22:25:01)
Category A subjects only</t>
      </text>
    </comment>
    <comment authorId="0" ref="C218">
      <text>
        <t xml:space="preserve">======
ID#AAAANVU222Y
Michael Chan    (2021-07-20 22:25:01)
英文 x2 數學 x2
+
最佳4科 x1</t>
      </text>
    </comment>
    <comment authorId="0" ref="I272">
      <text>
        <t xml:space="preserve">======
ID#AAAANVU2210
One of the following at Level 3 or above    (2021-07-20 22:25:01)
- Biology
- Chemistry
- Physics
- Combined Science
- Integrated Science</t>
      </text>
    </comment>
    <comment authorId="0" ref="C70">
      <text>
        <t xml:space="preserve">======
ID#AAAANVU221Q
Michael Chan    (2021-07-20 22:25:01)
Best 5 (包括英文)</t>
      </text>
    </comment>
    <comment authorId="0" ref="C225">
      <text>
        <t xml:space="preserve">======
ID#AAAANVU221E
Michael Chan    (2021-07-20 22:25:01)
英文 x2 數學 x2
+
最佳4科 x1</t>
      </text>
    </comment>
    <comment authorId="0" ref="C228">
      <text>
        <t xml:space="preserve">======
ID#AAAANVU220Q
Michael Chan    (2021-07-20 22:25:01)
英文 x2 數學 x2
+
最佳4科 X1
或
下列最佳科目 x1.5
(M1/2/化學/經濟/物理)
+
最佳2科 x1</t>
      </text>
    </comment>
    <comment authorId="0" ref="I189">
      <text>
        <t xml:space="preserve">======
ID#AAAANVU22zQ
One of the following    (2021-07-20 22:25:01)
• M1/M2
• Biology
• Chemistry
• Combined Science
• Integrated Science
• Physics</t>
      </text>
    </comment>
    <comment authorId="0" ref="J249">
      <text>
        <t xml:space="preserve">======
ID#AAAANVU22y8
Michael    (2021-07-20 22:25:01)
M1/2 is required.</t>
      </text>
    </comment>
    <comment authorId="0" ref="I190">
      <text>
        <t xml:space="preserve">======
ID#AAAANVU22x0
One of the following    (2021-07-20 22:25:01)
• M1/M2
• Chemistry
• Combined Science
• Geography
• Physics</t>
      </text>
    </comment>
    <comment authorId="0" ref="C270">
      <text>
        <t xml:space="preserve">======
ID#AAAANVU22xo
Michael Chan    (2021-07-20 22:25:01)
2021年新科目
The best 6 subjects must include English Language, Mathematics, M1/M2, best two Science elective subjects*, plus the best one among the remaining subjects, excluding Integrated Science.
未公佈詳細科目比重
*: Biology, Chemistry, Physics, Combined Science.</t>
      </text>
    </comment>
    <comment authorId="0" ref="J40">
      <text>
        <t xml:space="preserve">======
ID#AAAANVU22xY
Michael    (2021-07-20 22:25:01)
若於數學科中獲Lv.3或以上的成績︰
任何一科
若於數學科中只獲Lv.2的成績︰
以下一科︰
- 物理
- 生物
- 化學
- 組合科學
- 綜合科學
- BAFS
- DAT
- ICT</t>
      </text>
    </comment>
    <comment authorId="0" ref="B152">
      <text>
        <t xml:space="preserve">======
ID#AAAANVU22xI
Michael Chan    (2021-07-20 22:25:01)
Visual Arts is preferred</t>
      </text>
    </comment>
    <comment authorId="0" ref="F270">
      <text>
        <t xml:space="preserve">======
ID#AAAANVU22ww
Michael Chan    (2021-07-20 22:25:01)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217">
      <text>
        <t xml:space="preserve">======
ID#AAAANVU22wk
Michael Chan    (2021-07-20 22:25:01)
英文 x2 數學 x2
+
最佳理科 x2
(生物/ 化學 /物理 / 組合科學)
或
ICT x1
+
最佳2科 x1 (M1/2 x1.5)</t>
      </text>
    </comment>
    <comment authorId="0" ref="J270">
      <text>
        <t xml:space="preserve">======
ID#AAAANVU22wU
Michael Chan    (2021-07-20 22:25:01)
Level 4 or above in M1/2 is required.</t>
      </text>
    </comment>
    <comment authorId="0" ref="F321">
      <text>
        <t xml:space="preserve">======
ID#AAAANVU22wI
Michael Chan    (2021-07-20 22:25:01)
2020年收生平均為: 5*</t>
      </text>
    </comment>
    <comment authorId="0" ref="C181">
      <text>
        <t xml:space="preserve">======
ID#AAAANVU22wE
Michael Chan    (2021-07-20 22:25:01)
x1.75: 數學、M1/2
x1.5: 物理、生物、化學、組合科學、ICT
x1.25: 中文、英文</t>
      </text>
    </comment>
    <comment authorId="0" ref="C243">
      <text>
        <t xml:space="preserve">======
ID#AAAANVU22v4
Michael    (2021-07-20 22:25:01)
Consideration of both Category A and C subjects, excluding M1/M2.
The best 5 subjects must include English Language</t>
      </text>
    </comment>
    <comment authorId="0" ref="J192">
      <text>
        <t xml:space="preserve">======
ID#AAAANVU22vg
One of the following    (2021-07-20 22:25:01)
• M1/M2 (Preferred)
• Biology
• Chemistry
• Combined Science
• Economics
• Geography
• ICT
• Integrated Science
• Tech and Living (FST)</t>
      </text>
    </comment>
    <comment authorId="0" ref="C82">
      <text>
        <t xml:space="preserve">======
ID#AAAANVU22vc
Michael Chan    (2021-07-20 22:25:01)
2021年英文有x2比重
此處仍以2020年比重計算，請注意
x1.2: 中國歷史、經濟、倫理及宗教科、地理、歷史、旅遊及款待</t>
      </text>
    </comment>
    <comment authorId="0" ref="C75">
      <text>
        <t xml:space="preserve">======
ID#AAAANVU22vA
CHAN, Koon Ho    (2021-07-20 22:25:01)
2021年將以4C2X收生
此處仍以Best 6作估算，請注意</t>
      </text>
    </comment>
    <comment authorId="0" ref="I44">
      <text>
        <t xml:space="preserve">======
ID#AAAANVU22uk
Level 3 in one elective subject from    (2021-07-20 22:25:01)
- Chemistry
- Combined Science
- M1/2
- DAT
- Physics</t>
      </text>
    </comment>
    <comment authorId="0" ref="C73">
      <text>
        <t xml:space="preserve">======
ID#AAAANVU22uA
Michael Chan    (2021-07-20 22:25:01)
x1.5: 中文、英文、生物
x1.25: 中史、中國文學、化學、組合科學、數學、物理</t>
      </text>
    </comment>
    <comment authorId="0" ref="C179">
      <text>
        <t xml:space="preserve">======
ID#AAAANVU22ts
Michael Chan    (2021-07-20 22:25:01)
x1.5: 英文、物理、生物、化學、組合科學
、數學及M1/2其中最佳一科</t>
      </text>
    </comment>
    <comment authorId="0" ref="I74">
      <text>
        <t xml:space="preserve">======
ID#AAAANVU22tw
Michael    (2021-07-20 22:25:01)
One elective must be Chemistry.</t>
      </text>
    </comment>
    <comment authorId="0" ref="F66">
      <text>
        <t xml:space="preserve">======
ID#AAAANVU22to
Michael Chan    (2021-07-20 22:25:01)
Good result in English Language subject is preferred.</t>
      </text>
    </comment>
    <comment authorId="0" ref="F70">
      <text>
        <t xml:space="preserve">======
ID#AAAANVU22tU
Michael Chan    (2021-07-20 22:25:01)
Good results in English Language subjects are preferred.
High choice banding in JUPAS application is preferred</t>
      </text>
    </comment>
    <comment authorId="0" ref="C151">
      <text>
        <t xml:space="preserve">======
ID#AAAANVU22sY
Michael Chan    (2021-07-20 22:25:01)
2021年會以Best 5收生
英文有較高比重
(此處作x1.5)</t>
      </text>
    </comment>
    <comment authorId="0" ref="J193">
      <text>
        <t xml:space="preserve">======
ID#AAAANVU22q8
Michael    (2021-07-20 22:25:01)
M1/2 is required</t>
      </text>
    </comment>
    <comment authorId="0" ref="I50">
      <text>
        <t xml:space="preserve">======
ID#AAAANVU22qw
Level 3 in one elective subject from    (2021-07-20 22:25:01)
- Biology
- Chemistry
- Combined Science</t>
      </text>
    </comment>
    <comment authorId="0" ref="C219">
      <text>
        <t xml:space="preserve">======
ID#AAAANVU22qQ
Michael Chan    (2021-07-20 22:25:01)
英文 x2 數學 x2
+
最佳4科 x1</t>
      </text>
    </comment>
    <comment authorId="0" ref="C281">
      <text>
        <t xml:space="preserve">======
ID#AAAANVU22qI
Michael    (2021-07-20 22:25:01)
Consideration of both Category A and C subjects, excluding M1/M2.</t>
      </text>
    </comment>
    <comment authorId="0" ref="I258">
      <text>
        <t xml:space="preserve">======
ID#AAAANVU22po
One of the following at Level 3 or above    (2021-07-20 22:25:01)
- Physics
- Combined Science (With Physics)</t>
      </text>
    </comment>
    <comment authorId="0" ref="B165">
      <text>
        <t xml:space="preserve">======
ID#AAAANVU22pE
Michael Chan    (2021-07-20 22:25:01)
Mathematics (Module 1 or 2) at Level 5 is required if Mathematics (Compulsory Part) is at Level 3 or 4</t>
      </text>
    </comment>
    <comment authorId="0" ref="E81">
      <text>
        <t xml:space="preserve">======
ID#AAAANVU22pA
Michael Chan    (2021-07-20 22:25:01)
Good results in Chinese Language and English Language subjects are preferred.
High choice banding in JUPAS application is preferred</t>
      </text>
    </comment>
    <comment authorId="0" ref="F81">
      <text>
        <t xml:space="preserve">======
ID#AAAANVU22o8
Michael Chan    (2021-07-20 22:25:01)
Good results in Chinese Language and English Language subjects are preferred.
High choice banding in JUPAS application is preferred</t>
      </text>
    </comment>
    <comment authorId="0" ref="E210">
      <text>
        <t xml:space="preserve">======
ID#AAAANVU22os
Michael    (2021-07-20 22:25:01)
入學要求</t>
      </text>
    </comment>
    <comment authorId="0" ref="F277">
      <text>
        <t xml:space="preserve">======
ID#AAAANVU22og
Michael Chan    (2021-07-20 22:25:01)
Candidates with level 4 in English Language and good results in other HKDSE subjects will be exceptionally considered on a case by case basis. If these candidates are admitted, they will be required to take 6 additional credits in Core University English to complete their degree studies.</t>
      </text>
    </comment>
    <comment authorId="0" ref="C265">
      <text>
        <t xml:space="preserve">======
ID#AAAANVU22oc
Michael    (2021-07-20 22:25:01)
The score of Mathematics compulsory part (MA) or the combined score of
MA and M1/M2 calculated as below, whichever is higher, will be taken into
consideration.
[MA+(M1/M2*0.5)]/1.5</t>
      </text>
    </comment>
    <comment authorId="0" ref="C271">
      <text>
        <t xml:space="preserve">======
ID#AAAANVU22oE
Michael    (2021-07-20 22:25:01)
The best 6 subjects must include English Language, Mathematics, M1/M2.
較高比重: English Language, Mathematics, M1/M2</t>
      </text>
    </comment>
    <comment authorId="0" ref="B192">
      <text>
        <t xml:space="preserve">======
ID#AAAANVU22oA
Michael Chan    (2021-07-20 22:25:01)
(a) M1/M2 is preferred</t>
      </text>
    </comment>
    <comment authorId="0" ref="C71">
      <text>
        <t xml:space="preserve">======
ID#AAAANVU22nw
Michael Chan    (2021-07-20 22:25:01)
2021年新科目
Best 5 (包括中、英文)
x1.25:
中文、英文</t>
      </text>
    </comment>
    <comment authorId="0" ref="C245">
      <text>
        <t xml:space="preserve">======
ID#AAAANVU22nc
Michael Chan    (2021-07-20 22:25:01)
The best 6 subjects must include English Language, Mathematics.
M1/M2 can be included in lieu of Mathematics.
Weighting: English Language, Mathematics, M1/M2</t>
      </text>
    </comment>
    <comment authorId="0" ref="B183">
      <text>
        <t xml:space="preserve">======
ID#AAAANVU22nQ
Michael Chan    (2021-07-20 22:25:01)
(a) Chemistry is preferred
(b) Biology is preferred
(c) Taking a third elective and/or M1/M2 will be strongly recommended
(d) Additional requirements: Total score &gt; 46 in 7 subjects with 5** in ANY 4 subjects</t>
      </text>
    </comment>
    <comment authorId="0" ref="C200">
      <text>
        <t xml:space="preserve">======
ID#AAAANVU22mo
Michael Chan    (2021-07-20 22:25:01)
x1.3: 英文、中文</t>
      </text>
    </comment>
    <comment authorId="0" ref="C69">
      <text>
        <t xml:space="preserve">======
ID#AAAANVU22mk
Michael Chan    (2021-07-20 22:25:01)
Best 5 (包括中、英文)
x1.25:
中文、英文</t>
      </text>
    </comment>
    <comment authorId="0" ref="J52">
      <text>
        <t xml:space="preserve">======
ID#AAAANVU22mA
Level 3 in one elective subject from    (2021-07-20 22:25:01)
Biology
BAFS
Chemistry
DAT
ICT
M1/M2
Physics
Science (Combined or Integrated)</t>
      </text>
    </comment>
    <comment authorId="0" ref="C251">
      <text>
        <t xml:space="preserve">======
ID#AAAANVU22kA
Michael    (2021-07-20 22:25:01)
The bes t 6 subjects must include a Science elective subject*
Weighting: Science electives*, excluding Integrated Science
*:Biology, Chemistry, Physics, Combined Science, Integrated Science.</t>
      </text>
    </comment>
    <comment authorId="0" ref="C215">
      <text>
        <t xml:space="preserve">======
ID#AAAANVU22js
Michael Chan    (2021-07-20 22:25:01)
英文 x2 數學 x2
+
最佳理科 x2
(生物/ 化學 /物理 / 組合科學)
或
ICT x1
+
最佳2科 x1 (M1/2 x1.5)</t>
      </text>
    </comment>
    <comment authorId="0" ref="C263">
      <text>
        <t xml:space="preserve">======
ID#AAAANVU22jM
Michael    (2021-07-20 22:25:01)
The best 6 subjects must include English Language</t>
      </text>
    </comment>
    <comment authorId="0" ref="I43">
      <text>
        <t xml:space="preserve">======
ID#AAAANVU22jA
Level 3 in one elective subject from    (2021-07-20 22:25:01)
Biology
BAFS
Chemistry
DAT
ICT
M1/M2
Physics
Science (Combined or Integrated)</t>
      </text>
    </comment>
    <comment authorId="0" ref="C247">
      <text>
        <t xml:space="preserve">======
ID#AAAANVU22iQ
Michael Chan    (2021-07-20 22:25:01)
The best 6 subjects must include English Language, Mathematics.
M1/M2 can be included.
Weighting: English Language, Mathematics</t>
      </text>
    </comment>
    <comment authorId="0" ref="I41">
      <text>
        <t xml:space="preserve">======
ID#AAAANVU22iM
Level 3 in one elective subject from    (2021-07-20 22:25:01)
- Biology
- Chemistry
- Combined Science
- ICT
- M1/M2
- Physics</t>
      </text>
    </comment>
    <comment authorId="0" ref="C260">
      <text>
        <t xml:space="preserve">======
ID#AAAANVU22hs
Michael    (2021-07-20 22:25:01)
Consideration of both Category A and C subjects, in
which M1/M2 can be included as an elective.
The best 5 subjects must include English Language and Mathematics.</t>
      </text>
    </comment>
    <comment authorId="0" ref="B189">
      <text>
        <t xml:space="preserve">======
ID#AAAANVU22gk
Michael Chan    (2021-07-20 22:25:01)
(a) Category A subjects only
(b) Preferred subjects:
• M1/M2
• Biology
• Chemistry
• Combined Science
• Economics
• Geography
• ICT
• Integrated Science
• Physics
• Tech and Living (FST)</t>
      </text>
    </comment>
    <comment authorId="0" ref="C239">
      <text>
        <t xml:space="preserve">======
ID#AAAANVU22gM
Michael Chan    (2021-07-20 22:25:01)
Consideration of both Category A and C subjects, in
which M1/M2 can be included as an elective.</t>
      </text>
    </comment>
    <comment authorId="0" ref="C191">
      <text>
        <t xml:space="preserve">======
ID#AAAANVU22f8
Michael Chan    (2021-07-20 22:25:01)
M1/2 有更高比重
(此處作x2)</t>
      </text>
    </comment>
    <comment authorId="0" ref="C223">
      <text>
        <t xml:space="preserve">======
ID#AAAANVU22fo
Michael Chan    (2021-07-20 22:25:01)
英文 x2 數學 x2
+
最佳4科 x1</t>
      </text>
    </comment>
    <comment authorId="0" ref="I259">
      <text>
        <t xml:space="preserve">======
ID#AAAANVU22fM
One of the following at Level 3 or above    (2021-07-20 22:25:01)
- Physics
- Combined Science (With Physics)</t>
      </text>
    </comment>
    <comment authorId="0" ref="C195">
      <text>
        <t xml:space="preserve">======
ID#AAAANVU22e0
Michael Chan    (2021-07-20 22:25:01)
2021年將以新比重收生
(x1.5: 英文)
此處將以原有比重作估算，請注意
x1.5: 英文、數學</t>
      </text>
    </comment>
    <comment authorId="0" ref="C81">
      <text>
        <t xml:space="preserve">======
ID#AAAANVU22ew
x1.5    (2021-07-20 22:25:01)
中文、英文</t>
      </text>
    </comment>
    <comment authorId="0" ref="F301">
      <text>
        <t xml:space="preserve">======
ID#AAAANVU22ec
Michael Chan    (2021-07-20 22:25:01)
2020年收生平均為: 5</t>
      </text>
    </comment>
    <comment authorId="0" ref="C157">
      <text>
        <t xml:space="preserve">======
ID#AAAANVU22d0
Michael Chan    (2021-07-20 22:25:01)
包含中文、英文</t>
      </text>
    </comment>
    <comment authorId="0" ref="C202">
      <text>
        <t xml:space="preserve">======
ID#AAAANVU22dM
Michael Chan    (2021-07-20 22:25:01)
x1.5: 英文、數學</t>
      </text>
    </comment>
    <comment authorId="0" ref="I49">
      <text>
        <t xml:space="preserve">======
ID#AAAANVU22dI
Michael    (2021-07-20 22:25:01)
Level 3 in Biology and Chemistry</t>
      </text>
    </comment>
    <comment authorId="0" ref="C222">
      <text>
        <t xml:space="preserve">======
ID#AAAANVU22cs
Michael Chan    (2021-07-20 22:25:01)
英文 x2 數學 x2
+
最佳4科 x1</t>
      </text>
    </comment>
    <comment authorId="0" ref="B181">
      <text>
        <t xml:space="preserve">======
ID#AAAANVU22co
The following subjects are preferred    (2021-07-20 22:25:01)
• M1/M2
• Biology
• Chemistry
• Combined Science
• ICT
• Physics
^ Candidates with Level 4 in Mathematics (Compulsory Part) and good results in other HKDSE subjects will be exceptionally considered on a case by case basis.</t>
      </text>
    </comment>
    <comment authorId="0" ref="I269">
      <text>
        <t xml:space="preserve">======
ID#AAAANVU22cQ
One of the following at Level 3 or above    (2021-07-20 22:25:01)
- Chemistry
- Biology
- Combined Science</t>
      </text>
    </comment>
    <comment authorId="0" ref="J49">
      <text>
        <t xml:space="preserve">======
ID#AAAANVU22b0
Michael    (2021-07-20 22:25:01)
Level 3 in Biology and Chemistry</t>
      </text>
    </comment>
    <comment authorId="0" ref="J50">
      <text>
        <t xml:space="preserve">======
ID#AAAANVU22bI
Level 3 in one elective subject from    (2021-07-20 22:25:01)
Biology
BAFS
Chemistry
DAT
ICT
M1/M2
Physics
Science (Combined or Integrated)</t>
      </text>
    </comment>
    <comment authorId="0" ref="C250">
      <text>
        <t xml:space="preserve">======
ID#AAAANVU22a8
Michael Chan    (2021-07-20 22:25:01)
The best 6 subjects must include English Language, Mathematics.
M1/M2 can be included in lieu of Mathematics.
Weighting: English Language, Mathematics, M1/M2</t>
      </text>
    </comment>
    <comment authorId="0" ref="I212">
      <text>
        <t xml:space="preserve">======
ID#AAAANVU22a4
以下一科    (2021-07-20 22:25:01)
M1/2 / 生物/ 化學 /物理 / 組合科學</t>
      </text>
    </comment>
    <comment authorId="0" ref="J261">
      <text>
        <t xml:space="preserve">======
ID#AAAANVU22ag
Michael    (2021-07-20 22:25:01)
Level 3 or above in M1/2 is preferred (but not required).</t>
      </text>
    </comment>
    <comment authorId="0" ref="I235">
      <text>
        <t xml:space="preserve">======
ID#AAAANVU22Zk
以下一科    (2021-07-20 22:25:01)
生物/ 化學 /物理 / 組合科學/ ICT</t>
      </text>
    </comment>
    <comment authorId="0" ref="B161">
      <text>
        <t xml:space="preserve">======
ID#AAAANVU22ZU
Michael Chan    (2021-07-20 22:25:01)
English Language at Level 4 or above is preferred</t>
      </text>
    </comment>
    <comment authorId="0" ref="G165">
      <text>
        <t xml:space="preserve">======
ID#AAAANVU22Xs
Michael    (2021-07-20 22:25:01)
(a) Mathematics (Module 1 or 2)
at Level 5 is required if
Mathematics (Compulsory
Part) is at Level 3 or 4</t>
      </text>
    </comment>
    <comment authorId="0" ref="C242">
      <text>
        <t xml:space="preserve">======
ID#AAAANVU22XM
Michael    (2021-07-20 22:25:01)
Consideration of both Category A and C subjects, excluding M1/M2.</t>
      </text>
    </comment>
    <comment authorId="0" ref="C230">
      <text>
        <t xml:space="preserve">======
ID#AAAANVU22W0
Michael Chan    (2021-07-20 22:25:01)
英文 x2 數學 x2
+
最佳4科 x1 (M1/2 x1.5)</t>
      </text>
    </comment>
  </commentList>
  <extLst>
    <ext uri="GoogleSheetsCustomDataVersion1">
      <go:sheetsCustomData xmlns:go="http://customooxmlschemas.google.com/" r:id="rId1" roundtripDataSignature="AMtx7mixerSB4P9WloKBFf/34pWlMu7KoQ=="/>
    </ext>
  </extLst>
</comments>
</file>

<file path=xl/comments6.xml><?xml version="1.0" encoding="utf-8"?>
<comments xmlns:r="http://schemas.openxmlformats.org/officeDocument/2006/relationships" xmlns="http://schemas.openxmlformats.org/spreadsheetml/2006/main">
  <authors>
    <author/>
  </authors>
  <commentList>
    <comment authorId="0" ref="M5">
      <text>
        <t xml:space="preserve">======
ID#AAAANVU23ys
CHAN, Koon Ho    (2021-07-20 22:25:02)
31 May to 3 June 2021
(On a selective basis)</t>
      </text>
    </comment>
    <comment authorId="0" ref="E36">
      <text>
        <t xml:space="preserve">======
ID#AAAANVU23xs
Michael Chan    (2021-07-20 22:25:02)
x2: 英文</t>
      </text>
    </comment>
    <comment authorId="0" ref="E27">
      <text>
        <t xml:space="preserve">======
ID#AAAANVU23wM
Michael Chan    (2021-07-20 22:25:02)
2021年將以Best 5收生
此處仍以4C2X作估算，請注意</t>
      </text>
    </comment>
    <comment authorId="0" ref="R40">
      <text>
        <t xml:space="preserve">======
ID#AAAANVU23u0
Michael    (2021-07-20 22:25:02)
以下一科︰
- 生物
- 化學
- 組合科學
- ICT
- M1/2
- 物理</t>
      </text>
    </comment>
    <comment authorId="0" ref="R39">
      <text>
        <t xml:space="preserve">======
ID#AAAANVU23tw
Michael    (2021-07-20 22:25:02)
以下一科︰
- 化學
- 組合科學 (化學)</t>
      </text>
    </comment>
    <comment authorId="0" ref="E34">
      <text>
        <t xml:space="preserve">======
ID#AAAANVU23ss
Michael Chan    (2021-07-20 22:25:02)
x2: 英文</t>
      </text>
    </comment>
    <comment authorId="0" ref="M13">
      <text>
        <t xml:space="preserve">======
ID#AAAANVU23rE
CHAN, Koon Ho    (2021-07-20 22:25:02)
15-16 June 2021
(On a selective basis)</t>
      </text>
    </comment>
    <comment authorId="0" ref="E44">
      <text>
        <t xml:space="preserve">======
ID#AAAANVU23qs
Michael Chan    (2021-07-20 22:25:02)
2021年將以Best 5 (包含數學)收生
此處仍以4C2X作估算，請注意
x2: 英文，物理
x1.5: M1/2
x1.25: 數學</t>
      </text>
    </comment>
    <comment authorId="0" ref="M37">
      <text>
        <t xml:space="preserve">======
ID#AAAANVU23p8
CHAN, Koon Ho    (2021-07-20 22:25:02)
前: June 2021 
後: Late July 2021
(On a selective basis)</t>
      </text>
    </comment>
    <comment authorId="0" ref="E22">
      <text>
        <t xml:space="preserve">======
ID#AAAANVU23ps
Michael Chan    (2021-07-20 22:25:02)
x2: 英文、數學</t>
      </text>
    </comment>
    <comment authorId="0" ref="E31">
      <text>
        <t xml:space="preserve">======
ID#AAAANVU23pc
Michael Chan    (2021-07-20 22:25:02)
2021年將以Best 5 (包含英文)收生
此處仍以4C2X作估算，請注意
x1.25: 中文、英文</t>
      </text>
    </comment>
    <comment authorId="0" ref="E20">
      <text>
        <t xml:space="preserve">======
ID#AAAANVU23pY
Michael Chan    (2021-07-20 22:25:02)
2021年將以Best 5 (包含英文、數學、最佳理科)收生
(x2.5: 數學、第一理科 (生物、化學、物理、綜合科學、組合科學)
x1.5: 第二理科、地理、M1/2)
此處仍以4C2X(原本比重)作估算，請注意
x2.5: 數學、物理、化物、組合科學(化學及物理)
x2: 英文</t>
      </text>
    </comment>
    <comment authorId="0" ref="E38">
      <text>
        <t xml:space="preserve">======
ID#AAAANVU23oU
CHAN, Koon Ho    (2021-07-20 22:25:02)
2021年新科目
(包含英文)
x2.5: 英文、數學、物理、M1/2、組合科學(含物理)、綜合科學
x1.5: 中文</t>
      </text>
    </comment>
    <comment authorId="0" ref="R51">
      <text>
        <t xml:space="preserve">======
ID#AAAANVU23oI
Michael    (2021-07-20 22:25:02)
以下一科︰
- 生物
- 化學
- 組合科學</t>
      </text>
    </comment>
    <comment authorId="0" ref="R20">
      <text>
        <t xml:space="preserve">======
ID#AAAANVU23mQ
Michael    (2021-07-20 22:25:02)
以下一科︰
- 化學
- 物理
- 組合科學 (物理、化學)</t>
      </text>
    </comment>
    <comment authorId="0" ref="E32">
      <text>
        <t xml:space="preserve">======
ID#AAAANVU23l0
Michael Chan    (2021-07-20 22:25:02)
2021年將以4C1X收生
此處仍以4C2X作估算，請注意
x2: 英文
x1.5: 通識</t>
      </text>
    </comment>
    <comment authorId="0" ref="S49">
      <text>
        <t xml:space="preserve">======
ID#AAAANVU23j0
Michael    (2021-07-20 22:25:02)
以下一科︰
- 生物
- BAFS
- 化學
- DAT
- 組合科學
- 綜合科學
- ICT
- M1/2
- 物理</t>
      </text>
    </comment>
    <comment authorId="0" ref="M2">
      <text>
        <t xml:space="preserve">======
ID#AAAANVU23jo
CHAN, Koon Ho    (2021-07-20 22:25:02)
Early/Mid-June 2021
(On a selective basis)</t>
      </text>
    </comment>
    <comment authorId="0" ref="R41">
      <text>
        <t xml:space="preserve">======
ID#AAAANVU23iw
Michael    (2021-07-20 22:25:02)
以下一科︰
- 生物
- 化學
- 組合科學
- 綜合科學
- ICT
- M1/2
- 物理</t>
      </text>
    </comment>
    <comment authorId="0" ref="E37">
      <text>
        <t xml:space="preserve">======
ID#AAAANVU23g8
CHAN, Koon Ho    (2021-07-20 22:25:02)
2021年新科目
x2.5: 數學、物理、生物、化學、經濟、M1/2
x2: 英文</t>
      </text>
    </comment>
    <comment authorId="0" ref="M10">
      <text>
        <t xml:space="preserve">======
ID#AAAANVU23gw
CHAN, Koon Ho    (2021-07-20 22:25:02)
June 2021
(On a selective basis)</t>
      </text>
    </comment>
    <comment authorId="0" ref="E50">
      <text>
        <t xml:space="preserve">======
ID#AAAANVU23gA
Michael Chan    (2021-07-20 22:25:02)
x2: 英文，物理，化學，生物，組合科學，
x1.5: 數學，BAFS，ICT，DAT，M1/2，綜合科學</t>
      </text>
    </comment>
    <comment authorId="0" ref="E6">
      <text>
        <t xml:space="preserve">======
ID#AAAANVU23fg
Michael Chan    (2021-07-20 22:25:02)
x1.5: 英文</t>
      </text>
    </comment>
    <comment authorId="0" ref="R46">
      <text>
        <t xml:space="preserve">======
ID#AAAANVU23fA
Michael    (2021-07-20 22:25:02)
以下一科︰
- 生物
- 化學
- 組合科學
- 物理</t>
      </text>
    </comment>
    <comment authorId="0" ref="E33">
      <text>
        <t xml:space="preserve">======
ID#AAAANVU23eg
Michael Chan    (2021-07-20 22:25:02)
x2: 英文</t>
      </text>
    </comment>
    <comment authorId="0" ref="X1">
      <text>
        <t xml:space="preserve">======
ID#AAAANVU23dY
Michael Chan    (2021-07-20 22:25:02)
Unspecified electives may include Category A elective subjects, Mathematics extended modules (M1/M2) (except for JS1801) and Category C other language subjects (at grade E or above) (except for JS1200, JS1201, JS1801, JS1805, JS1806 and JS1807)</t>
      </text>
    </comment>
    <comment authorId="0" ref="S51">
      <text>
        <t xml:space="preserve">======
ID#AAAANVU23c0
Michael    (2021-07-20 22:25:02)
以下一科︰
- 生物
- BAFS
- 化學
- DAT
- 組合科學
- 綜合科學
- ICT
- M1/2
- 物理</t>
      </text>
    </comment>
    <comment authorId="0" ref="S50">
      <text>
        <t xml:space="preserve">======
ID#AAAANVU23a0
Michael    (2021-07-20 22:25:02)
以下一科︰
- 生物
- BAFS
- 化學
- DAT
- 組合科學
- 綜合科學
- ICT
- M1/2
- 物理</t>
      </text>
    </comment>
    <comment authorId="0" ref="S48">
      <text>
        <t xml:space="preserve">======
ID#AAAANVU23YU
Michael    (2021-07-20 22:25:02)
以下兩科︰
- 生物
- 化學</t>
      </text>
    </comment>
    <comment authorId="0" ref="M30">
      <text>
        <t xml:space="preserve">======
ID#AAAANVU23Xg
CHAN, Koon Ho    (2021-07-20 22:25:02)
Late July to early August 2021
(On a selective basis)</t>
      </text>
    </comment>
    <comment authorId="0" ref="E45">
      <text>
        <t xml:space="preserve">======
ID#AAAANVU23XA
Michael Chan    (2021-07-20 22:25:02)
2021年將以Best 6 (包含英文、數學、最佳理科)收生
此處仍以4C2X作估算，請注意
x2: 英文，物理
x1.5: M1/2、化學
2021年生物科有x1.5比重
此處仍以2020年比重計算，請注意</t>
      </text>
    </comment>
    <comment authorId="0" ref="E17">
      <text>
        <t xml:space="preserve">======
ID#AAAANVU23Vg
Michael Chan    (2021-07-20 22:25:02)
x2: 英文</t>
      </text>
    </comment>
    <comment authorId="0" ref="E19">
      <text>
        <t xml:space="preserve">======
ID#AAAANVU23SA
Michael Chan    (2021-07-20 22:25:02)
2021年將以Best 5 (包含英文)(無比重)收生
此處仍以4C2X (原有比重) 作估算，請注意
x2: 英文</t>
      </text>
    </comment>
    <comment authorId="0" ref="E5">
      <text>
        <t xml:space="preserve">======
ID#AAAANVU23RQ
CHAN, Koon Ho    (2021-07-20 22:25:02)
2021年將以Best 6 (包含英文)收生
此處仍以4C2X作估算，請注意</t>
      </text>
    </comment>
    <comment authorId="0" ref="E29">
      <text>
        <t xml:space="preserve">======
ID#AAAANVU23Ns
Michael Chan    (2021-07-20 22:25:02)
2021年將以Best 5 (包含英文)收生
此處仍以4C2X作估算，請注意
x2.5: 英文
x1.5: 英國文學、通識</t>
      </text>
    </comment>
    <comment authorId="0" ref="M48">
      <text>
        <t xml:space="preserve">======
ID#AAAANVU23Ng
CHAN, Koon Ho    (2021-07-20 22:25:02)
Late July to early August 2021
(On a selective basis)</t>
      </text>
    </comment>
    <comment authorId="0" ref="M20">
      <text>
        <t xml:space="preserve">======
ID#AAAANVU23NI
CHAN, Koon Ho    (2021-07-20 22:25:02)
8-10 July 2021
(On a selective basis)</t>
      </text>
    </comment>
    <comment authorId="0" ref="E16">
      <text>
        <t xml:space="preserve">======
ID#AAAANVU23LM
Michael Chan    (2021-07-20 22:25:02)
x2: 英文</t>
      </text>
    </comment>
    <comment authorId="0" ref="M42">
      <text>
        <t xml:space="preserve">======
ID#AAAANVU23Kc
CHAN, Koon Ho    (2021-07-20 22:25:02)
22-24 June 2021
(On a selective basis)</t>
      </text>
    </comment>
    <comment authorId="0" ref="M22">
      <text>
        <t xml:space="preserve">======
ID#AAAANVU23Iw
CHAN, Koon Ho    (2021-07-20 22:25:02)
June/July 2021
(On a selective basis)</t>
      </text>
    </comment>
    <comment authorId="0" ref="R50">
      <text>
        <t xml:space="preserve">======
ID#AAAANVU23IY
Michael    (2021-07-20 22:25:02)
以下一科︰
- 生物
- 化學
- 組合科學</t>
      </text>
    </comment>
    <comment authorId="0" ref="M40">
      <text>
        <t xml:space="preserve">======
ID#AAAANVU23H0
CHAN, Koon Ho    (2021-07-20 22:25:02)
July 2021
(On a selective basis)</t>
      </text>
    </comment>
    <comment authorId="0" ref="E39">
      <text>
        <t xml:space="preserve">======
ID#AAAANVU23GM
Michael Chan    (2021-07-20 22:25:02)
2021年將以Best 5收生
此處仍以4C2X作估算，請注意
x2: 英文，化學
x1.5: 數學，組合科學(化學)</t>
      </text>
    </comment>
    <comment authorId="0" ref="E35">
      <text>
        <t xml:space="preserve">======
ID#AAAANVU23FI
Michael Chan    (2021-07-20 22:25:02)
x2: 英文</t>
      </text>
    </comment>
    <comment authorId="0" ref="E30">
      <text>
        <t xml:space="preserve">======
ID#AAAANVU23FE
Michael Chan    (2021-07-20 22:25:02)
x2: 英文
x1.5: 中文</t>
      </text>
    </comment>
    <comment authorId="0" ref="E24">
      <text>
        <t xml:space="preserve">======
ID#AAAANVU23Eg
Michael Chan    (2021-07-20 22:25:02)
x2: 英文、數學</t>
      </text>
    </comment>
    <comment authorId="0" ref="E51">
      <text>
        <t xml:space="preserve">======
ID#AAAANVU23DM
Michael Chan    (2021-07-20 22:25:02)
x2: 英文，物理，化學，生物，組合科學，
x1.5: 數學，BAFS，ICT，DAT，M1/2，綜合科學</t>
      </text>
    </comment>
    <comment authorId="0" ref="M4">
      <text>
        <t xml:space="preserve">======
ID#AAAANVU23Cw
CHAN, Koon Ho    (2021-07-20 22:25:02)
16-17 June 2021
(On a selective basis)</t>
      </text>
    </comment>
    <comment authorId="0" ref="R44">
      <text>
        <t xml:space="preserve">======
ID#AAAANVU23B0
Michael    (2021-07-20 22:25:02)
以下一科︰
- 化學
- 組合科學 (物理)
- DAT
- 物理</t>
      </text>
    </comment>
    <comment authorId="0" ref="E28">
      <text>
        <t xml:space="preserve">======
ID#AAAANVU22-w
Michael Chan    (2021-07-20 22:25:02)
x2: 中文，英文
x1.5: 通識/中國歷史/中國文學/歷史/視覺藝術</t>
      </text>
    </comment>
    <comment authorId="0" ref="M21">
      <text>
        <t xml:space="preserve">======
ID#AAAANVU22-Y
CHAN, Koon Ho    (2021-07-20 22:25:02)
To be confirmed
(On a selective basis)</t>
      </text>
    </comment>
    <comment authorId="0" ref="E18">
      <text>
        <t xml:space="preserve">======
ID#AAAANVU229o
Michael Chan    (2021-07-20 22:25:02)
x2: 英文
x1.5: 數學</t>
      </text>
    </comment>
    <comment authorId="0" ref="M6">
      <text>
        <t xml:space="preserve">======
ID#AAAANVU228w
CHAN, Koon Ho    (2021-07-20 22:25:01)
25-26 June 2021
(On a selective basis)</t>
      </text>
    </comment>
    <comment authorId="0" ref="M29">
      <text>
        <t xml:space="preserve">======
ID#AAAANVU228E
CHAN, Koon Ho    (2021-07-20 22:25:01)
June 2021
(On a selective basis)</t>
      </text>
    </comment>
    <comment authorId="0" ref="R1">
      <text>
        <t xml:space="preserve">======
ID#AAAANVU2274
Michael Chan    (2021-07-20 22:25:01)
Unspecified electives may include Category A elective subjects, Mathematics extended modules (M1/M2) (except for JS1801) and Category C other language subjects (at grade E or above) (except for JS1200, JS1201, JS1801, JS1805, JS1806 and JS1807)</t>
      </text>
    </comment>
    <comment authorId="0" ref="E42">
      <text>
        <t xml:space="preserve">======
ID#AAAANVU225U
Michael Chan    (2021-07-20 22:25:01)
2021年將以Best 5 (包含數學)收生
此處仍以4C2X作估算，請注意
x2.5: 數學
x2: 英文、M1/2
x1.5: 組合科學，生物，化學，物理</t>
      </text>
    </comment>
    <comment authorId="0" ref="M36">
      <text>
        <t xml:space="preserve">======
ID#AAAANVU223Y
CHAN, Koon Ho    (2021-07-20 22:25:01)
28 July to 3 August 2021
(On a selective basis)</t>
      </text>
    </comment>
    <comment authorId="0" ref="E49">
      <text>
        <t xml:space="preserve">======
ID#AAAANVU220o
Michael Chan    (2021-07-20 22:25:01)
x2: 英文，物理，化學，生物，組合科學，
x1.5: 數學，BAFS，ICT，DAT，M1/2，綜合科學</t>
      </text>
    </comment>
    <comment authorId="0" ref="E41">
      <text>
        <t xml:space="preserve">======
ID#AAAANVU220U
Michael Chan    (2021-07-20 22:25:01)
2021年將以Best 5 (包含英文、數學)收生
此處仍以4C2X作估算，請注意
x2: 英文、數學、組合科學(物理、化學)、組合科學(物理、生物)、物理、ICT、M1/2
x1.5: 組合科學(生物、化學)、生物、化學、綜合科學</t>
      </text>
    </comment>
    <comment authorId="0" ref="R49">
      <text>
        <t xml:space="preserve">======
ID#AAAANVU22zw
Michael    (2021-07-20 22:25:01)
以下一科︰
- 生物
- 化學
- 組合科學</t>
      </text>
    </comment>
    <comment authorId="0" ref="M39">
      <text>
        <t xml:space="preserve">======
ID#AAAANVU22zI
CHAN, Koon Ho    (2021-07-20 22:25:01)
July 2021
(On a selective basis)</t>
      </text>
    </comment>
    <comment authorId="0" ref="E23">
      <text>
        <t xml:space="preserve">======
ID#AAAANVU22v8
Michael Chan    (2021-07-20 22:25:01)
x2: 英文、數學</t>
      </text>
    </comment>
    <comment authorId="0" ref="E25">
      <text>
        <t xml:space="preserve">======
ID#AAAANVU22u0
Michael Chan    (2021-07-20 22:25:01)
x2: 英文</t>
      </text>
    </comment>
    <comment authorId="0" ref="R48">
      <text>
        <t xml:space="preserve">======
ID#AAAANVU22tY
Michael    (2021-07-20 22:25:01)
以下兩科︰
- 生物
- 化學</t>
      </text>
    </comment>
    <comment authorId="0" ref="M44">
      <text>
        <t xml:space="preserve">======
ID#AAAANVU22tI
CHAN, Koon Ho    (2021-07-20 22:25:01)
23-24 June 2021
(On a selective basis)</t>
      </text>
    </comment>
    <comment authorId="0" ref="M3">
      <text>
        <t xml:space="preserve">======
ID#AAAANVU22sU
CHAN, Koon Ho    (2021-07-20 22:25:01)
Early/Mid-June 2021
(On a selective basis)</t>
      </text>
    </comment>
    <comment authorId="0" ref="E4">
      <text>
        <t xml:space="preserve">======
ID#AAAANVU22r8
CHAN, Koon Ho    (2021-07-20 22:25:01)
2021年將以Best 6 (包含英文、數學)收生
此處仍以4C2X作估算，請注意</t>
      </text>
    </comment>
    <comment authorId="0" ref="S39">
      <text>
        <t xml:space="preserve">======
ID#AAAANVU22rc
Michael    (2021-07-20 22:25:01)
若於數學科中獲Lv.3或以上的成績︰
任何一科
若於數學科中只獲Lv.2的成績︰
以下一科︰
- BAFS
- 生物
- 化學
- DAT
- 組合科學
- 綜合科學
- ICT
- 物理</t>
      </text>
    </comment>
    <comment authorId="0" ref="E46">
      <text>
        <t xml:space="preserve">======
ID#AAAANVU22rQ
Michael Chan    (2021-07-20 22:25:01)
2021年將以Best 5收生
(若同學有修讀M1/2及數學，則只會取其中較高分者)
此處仍以4C2X作估算，請注意
x2: 英文，數學、化學，物理，生物，組合科學
2021年M1/2有x2比重
此處仍以2020年比重計算，請注意</t>
      </text>
    </comment>
    <comment authorId="0" ref="E47">
      <text>
        <t xml:space="preserve">======
ID#AAAANVU22qY
CHAN, Koon Ho    (2021-07-20 22:25:01)
2021年新科目
(包含英文、數學)
x2: 英文、數學、物理、M1/2、ICT
x1.5: 化學、組合科學(含物理)、DAT</t>
      </text>
    </comment>
    <comment authorId="0" ref="E48">
      <text>
        <t xml:space="preserve">======
ID#AAAANVU22o4
CHAN, Koon Ho    (2021-07-20 22:25:01)
2021年將以Best 6 (包含英文、數學、生物及化學)收生
此處仍以4C2X作估算，請注意</t>
      </text>
    </comment>
    <comment authorId="0" ref="E21">
      <text>
        <t xml:space="preserve">======
ID#AAAANVU22lQ
CHAN, Koon Ho    (2021-07-20 22:25:01)
2021年將以Best 6 (包含英文)收生
此處仍以4C2X作估算，請注意</t>
      </text>
    </comment>
    <comment authorId="0" ref="R45">
      <text>
        <t xml:space="preserve">======
ID#AAAANVU22k0
Michael    (2021-07-20 22:25:01)
以下一科︰
- 化學
- 組合科學 (物理)
- DAT
- 物理</t>
      </text>
    </comment>
    <comment authorId="0" ref="E43">
      <text>
        <t xml:space="preserve">======
ID#AAAANVU22kY
Michael Chan    (2021-07-20 22:25:01)
2021年將以Best 6 (包含數學)收生
此處仍以4C2X作估算，請注意
x2: 英文，數學，物理
x1.5: 組合科學(生物、化學)，化學，DAT，M1/2</t>
      </text>
    </comment>
    <comment authorId="0" ref="R43">
      <text>
        <t xml:space="preserve">======
ID#AAAANVU22kQ
Michael    (2021-07-20 22:25:01)
以下一科︰
- 化學
- 組合科學
- DAT
- M1/2
- 物理</t>
      </text>
    </comment>
    <comment authorId="0" ref="R42">
      <text>
        <t xml:space="preserve">======
ID#AAAANVU22jE
Michael    (2021-07-20 22:25:01)
以下一科︰
- 生物
- BAFS
- 化學
- DAT
- 組合科學
- 綜合科學
- ICT
- M1/2
- 物理</t>
      </text>
    </comment>
    <comment authorId="0" ref="E26">
      <text>
        <t xml:space="preserve">======
ID#AAAANVU22iU
Michael Chan    (2021-07-20 22:25:01)
x2: 英文</t>
      </text>
    </comment>
    <comment authorId="0" ref="E40">
      <text>
        <t xml:space="preserve">======
ID#AAAANVU22cc
CHAN, Koon Ho    (2021-07-20 22:25:01)
2021年將以Best 5 (包含英文、數學、最佳理科)
(無比重)收生
此處仍以4C2X(原有比重)作估算，請注意
x2: 英文</t>
      </text>
    </comment>
    <comment authorId="0" ref="R47">
      <text>
        <t xml:space="preserve">======
ID#AAAANVU22ZE
Michael    (2021-07-20 22:25:01)
以下一科︰
- 化學
- 組合科學 (物理)
- DAT
- ICT
- M1/2
- 物理</t>
      </text>
    </comment>
  </commentList>
  <extLst>
    <ext uri="GoogleSheetsCustomDataVersion1">
      <go:sheetsCustomData xmlns:go="http://customooxmlschemas.google.com/" r:id="rId1" roundtripDataSignature="AMtx7mij5QJ6v9DAzWHNp/2rhJtSsUif8w=="/>
    </ext>
  </extLst>
</comments>
</file>

<file path=xl/comments7.xml><?xml version="1.0" encoding="utf-8"?>
<comments xmlns:r="http://schemas.openxmlformats.org/officeDocument/2006/relationships" xmlns="http://schemas.openxmlformats.org/spreadsheetml/2006/main">
  <authors>
    <author/>
  </authors>
  <commentList>
    <comment authorId="0" ref="E22">
      <text>
        <t xml:space="preserve">======
ID#AAAANVU23sk
Michael Chan    (2021-07-20 22:25:02)
x2: 英文</t>
      </text>
    </comment>
    <comment authorId="0" ref="M16">
      <text>
        <t xml:space="preserve">======
ID#AAAANVU23sM
Michael Chan    (2021-07-20 22:25:02)
To be confirmed</t>
      </text>
    </comment>
    <comment authorId="0" ref="E13">
      <text>
        <t xml:space="preserve">======
ID#AAAANVU23r0
Michael Chan    (2021-07-20 22:25:02)
x1.5: 英文</t>
      </text>
    </comment>
    <comment authorId="0" ref="E29">
      <text>
        <t xml:space="preserve">======
ID#AAAANVU23qc
Michael Chan    (2021-07-20 22:25:02)
Best 5 (包括英文)</t>
      </text>
    </comment>
    <comment authorId="0" ref="C29">
      <text>
        <t xml:space="preserve">======
ID#AAAANVU23o4
Michael Chan    (2021-07-20 22:25:02)
申請人須遞交作品集，受邀的同學須參與入學測試及面試。
詳情請細閱以下網站: https://ava.hkbu.edu.hk/en/bachelor/admission/admission-ex/2
優先考慮 將學科放於聯招排位較前者</t>
      </text>
    </comment>
    <comment authorId="0" ref="M30">
      <text>
        <t xml:space="preserve">======
ID#AAAANVU23ow
Michael Chan    (2021-07-20 22:25:02)
前: 24-30 June 2021
後: 31 July &amp; 2 August 2021</t>
      </text>
    </comment>
    <comment authorId="0" ref="E17">
      <text>
        <t xml:space="preserve">======
ID#AAAANVU23n0
Michael Chan    (2021-07-20 22:25:02)
2021年新科目
Best 5 (包括中、英文)
x1.25: 中文、英文</t>
      </text>
    </comment>
    <comment authorId="0" ref="L24">
      <text>
        <t xml:space="preserve">======
ID#AAAANVU23ns
Michael Chan    (2021-07-20 22:25:02)
會考慮其他法語資歷</t>
      </text>
    </comment>
    <comment authorId="0" ref="L20">
      <text>
        <t xml:space="preserve">======
ID#AAAANVU23ng
CHAN, Koon Ho    (2021-07-20 22:25:02)
不能以其他資歷取代DSE中國語文科要求。</t>
      </text>
    </comment>
    <comment authorId="0" ref="E16">
      <text>
        <t xml:space="preserve">======
ID#AAAANVU23nM
Michael Chan    (2021-07-20 22:25:02)
Best 5 (包括英文)</t>
      </text>
    </comment>
    <comment authorId="0" ref="E24">
      <text>
        <t xml:space="preserve">======
ID#AAAANVU23l8
Michael Chan    (2021-07-20 22:25:02)
Best 5 (包括英文)
x1.2: 英文</t>
      </text>
    </comment>
    <comment authorId="0" ref="O13">
      <text>
        <t xml:space="preserve">======
ID#AAAANVU23kk
Michael Chan    (2021-07-20 22:25:02)
優先考慮 英文 成績優異者</t>
      </text>
    </comment>
    <comment authorId="0" ref="M15">
      <text>
        <t xml:space="preserve">======
ID#AAAANVU23i4
Michael Chan    (2021-07-20 22:25:02)
31 July &amp; 2 August 2021</t>
      </text>
    </comment>
    <comment authorId="0" ref="E18">
      <text>
        <t xml:space="preserve">======
ID#AAAANVU23ho
Michael Chan    (2021-07-20 22:25:02)
2021年新科目
Best 5 (包括中、英文)
x1.25: 中文、英文</t>
      </text>
    </comment>
    <comment authorId="0" ref="L25">
      <text>
        <t xml:space="preserve">======
ID#AAAANVU23gc
Michael Chan    (2021-07-20 22:25:02)
會考慮其他德語資歷</t>
      </text>
    </comment>
    <comment authorId="0" ref="R21">
      <text>
        <t xml:space="preserve">======
ID#AAAANVU23gE
Michael Chan    (2021-07-20 22:25:02)
優先考慮 理科* 成績優異者
優先考慮 將學科放於聯招排位較前者
*理科: 化學、生物、物理、數學、ICT、組合科學、綜合科學</t>
      </text>
    </comment>
    <comment authorId="0" ref="M20">
      <text>
        <t xml:space="preserve">======
ID#AAAANVU23fM
Michael Chan    (2021-07-20 22:25:02)
前: Mid – June 2021
後: 2-3 August 2021</t>
      </text>
    </comment>
    <comment authorId="0" ref="O18">
      <text>
        <t xml:space="preserve">======
ID#AAAANVU23cM
Michael Chan    (2021-07-20 22:25:02)
優先考慮 中文 及 英文 成績優異者
優先考慮 將學科放於聯招排位較前者</t>
      </text>
    </comment>
    <comment authorId="0" ref="M14">
      <text>
        <t xml:space="preserve">======
ID#AAAANVU23b8
Michael Chan    (2021-07-20 22:25:02)
31 July &amp; 2 August 2021</t>
      </text>
    </comment>
    <comment authorId="0" ref="E21">
      <text>
        <t xml:space="preserve">======
ID#AAAANVU23aA
CHAN, Koon Ho    (2021-07-20 22:25:02)
2021年將以4C2X收生
此處仍以Best 6作估算，請注意</t>
      </text>
    </comment>
    <comment authorId="0" ref="E20">
      <text>
        <t xml:space="preserve">======
ID#AAAANVU23ZM
Michael Chan    (2021-07-20 22:25:02)
x1.5: 中文、英文、化學
x1.25: 生物、中國文學、組合科學、數學、物理</t>
      </text>
    </comment>
    <comment authorId="0" ref="C14">
      <text>
        <t xml:space="preserve">======
ID#AAAANVU23W4
Michael Chan    (2021-07-20 22:25:02)
申請人或會被邀請出席面試。申請人只須於面試期間匯報其作品集。</t>
      </text>
    </comment>
    <comment authorId="0" ref="L29">
      <text>
        <t xml:space="preserve">======
ID#AAAANVU23WM
Michael Chan    (2021-07-20 22:25:02)
申請人須遞交作品集，受邀的同學須參與入學測試及面試。
詳情請細閱以下網站: https://ava.hkbu.edu.hk/en/bachelor/admission/admission-ex/2</t>
      </text>
    </comment>
    <comment authorId="0" ref="N15">
      <text>
        <t xml:space="preserve">======
ID#AAAANVU23UA
Michael Chan    (2021-07-20 22:25:02)
優先考慮 中文 及 英文 成績優異者
優先考慮 將學科放於聯招排位較前者</t>
      </text>
    </comment>
    <comment authorId="0" ref="C16">
      <text>
        <t xml:space="preserve">======
ID#AAAANVU23Q0
Michael Chan    (2021-07-20 22:25:02)
申請人須遞交作品集，受邀的同學須參與入學測試及面試。
詳情請細閱以下網站: http://af.hkbu.edu.hk/en/prog-bfa</t>
      </text>
    </comment>
    <comment authorId="0" ref="M13">
      <text>
        <t xml:space="preserve">======
ID#AAAANVU23QY
Michael Chan    (2021-07-20 22:25:02)
24-25 &amp; 28-30 June 2021</t>
      </text>
    </comment>
    <comment authorId="0" ref="N20">
      <text>
        <t xml:space="preserve">======
ID#AAAANVU23OI
CHAN, Koon Ho    (2021-07-20 22:25:02)
不接受香港文憑試之外的其他中文資歷</t>
      </text>
    </comment>
    <comment authorId="0" ref="C15">
      <text>
        <t xml:space="preserve">======
ID#AAAANVU23NY
Michael Chan    (2021-07-20 22:25:02)
申請人或會被邀請出席面試。申請人只須於面試期間匯報其作品集。</t>
      </text>
    </comment>
    <comment authorId="0" ref="M11">
      <text>
        <t xml:space="preserve">======
ID#AAAANVU23LY
Michael Chan    (2021-07-20 22:25:02)
前: By 30 June 2021
後: 31 July &amp; 2 August 2021</t>
      </text>
    </comment>
    <comment authorId="0" ref="R20">
      <text>
        <t xml:space="preserve">======
ID#AAAANVU23LE
Michael    (2021-07-20 22:25:02)
其中一科必須為 化學</t>
      </text>
    </comment>
    <comment authorId="0" ref="E25">
      <text>
        <t xml:space="preserve">======
ID#AAAANVU23KI
Michael Chan    (2021-07-20 22:25:02)
Best 5 (包括英文)
x1.2: 英文</t>
      </text>
    </comment>
    <comment authorId="0" ref="O12">
      <text>
        <t xml:space="preserve">======
ID#AAAANVU23KM
Michael Chan    (2021-07-20 22:25:02)
優先考慮 英文 成績優異者</t>
      </text>
    </comment>
    <comment authorId="0" ref="O16">
      <text>
        <t xml:space="preserve">======
ID#AAAANVU23JI
Michael Chan    (2021-07-20 22:25:02)
優先考慮 英文 成績優異者
優先考慮 將學科放於聯招排位較前者</t>
      </text>
    </comment>
    <comment authorId="0" ref="N17">
      <text>
        <t xml:space="preserve">======
ID#AAAANVU23H4
Michael Chan    (2021-07-20 22:25:02)
優先考慮 中文 及 英文 成績優異者
優先考慮 將學科放於聯招排位較前者</t>
      </text>
    </comment>
    <comment authorId="0" ref="E19">
      <text>
        <t xml:space="preserve">======
ID#AAAANVU23Fc
Michael Chan    (2021-07-20 22:25:02)
x1.5: 中文、英文、生物
x1.25: 中史、中國文學、化學、組合科學、數學、物理</t>
      </text>
    </comment>
    <comment authorId="0" ref="O10">
      <text>
        <t xml:space="preserve">======
ID#AAAANVU23EU
Michael Chan    (2021-07-20 22:25:02)
優先考慮 中文 及 英文 成績優異者</t>
      </text>
    </comment>
    <comment authorId="0" ref="L9">
      <text>
        <t xml:space="preserve">======
ID#AAAANVU22_s
Michael Chan    (2021-07-20 22:25:02)
學系將審視申請人的音樂資歷。
詳情請細閱以下網站: https://mus.hkbu.edu.hk/undergraduate.html</t>
      </text>
    </comment>
    <comment authorId="0" ref="M12">
      <text>
        <t xml:space="preserve">======
ID#AAAANVU22-A
Michael Chan    (2021-07-20 22:25:02)
24-25 &amp; 28-30 June 2021</t>
      </text>
    </comment>
    <comment authorId="0" ref="E12">
      <text>
        <t xml:space="preserve">======
ID#AAAANVU228I
Michael Chan    (2021-07-20 22:25:01)
x1.5: 英文</t>
      </text>
    </comment>
    <comment authorId="0" ref="O17">
      <text>
        <t xml:space="preserve">======
ID#AAAANVU227E
Michael Chan    (2021-07-20 22:25:01)
優先考慮 中文 及 英文 成績優異者
優先考慮 將學科放於聯招排位較前者</t>
      </text>
    </comment>
    <comment authorId="0" ref="C23">
      <text>
        <t xml:space="preserve">======
ID#AAAANVU226Q
Michael Chan    (2021-07-20 22:25:01)
優先考慮 將學科放於聯招排位較前者</t>
      </text>
    </comment>
    <comment authorId="0" ref="L16">
      <text>
        <t xml:space="preserve">======
ID#AAAANVU225s
Michael Chan    (2021-07-20 22:25:01)
申請人須遞交作品集，受邀的同學須參與入學測試及面試。
詳情請細閱以下網站:  http://af.hkbu.edu.hk/en/prog-bfa</t>
      </text>
    </comment>
    <comment authorId="0" ref="E28">
      <text>
        <t xml:space="preserve">======
ID#AAAANVU223Q
Michael Chan    (2021-07-20 22:25:01)
2021年英文有x2比重
此處仍以2020年比重計算，請注意
x1.2: 中國歷史、經濟、倫理及宗教科、地理、歷史、旅遊及款待</t>
      </text>
    </comment>
    <comment authorId="0" ref="M29">
      <text>
        <t xml:space="preserve">======
ID#AAAANVU2224
Michael Chan    (2021-07-20 22:25:01)
前: 24-25, 28-29 June 2021
後: 31 July &amp; 2 August 2021</t>
      </text>
    </comment>
    <comment authorId="0" ref="M7">
      <text>
        <t xml:space="preserve">======
ID#AAAANVU220k
Michael Chan    (2021-07-20 22:25:01)
By 30 June 2021</t>
      </text>
    </comment>
    <comment authorId="0" ref="M9">
      <text>
        <t xml:space="preserve">======
ID#AAAANVU220Y
Michael Chan    (2021-07-20 22:25:01)
前: By 30 June 2021
後: By 2 August 2021</t>
      </text>
    </comment>
    <comment authorId="0" ref="M10">
      <text>
        <t xml:space="preserve">======
ID#AAAANVU22z0
Michael Chan    (2021-07-20 22:25:01)
31 July &amp; 2 August 2021</t>
      </text>
    </comment>
    <comment authorId="0" ref="N18">
      <text>
        <t xml:space="preserve">======
ID#AAAANVU22uo
Michael Chan    (2021-07-20 22:25:01)
優先考慮 中文 及 英文 成績優異者
優先考慮 將學科放於聯招排位較前者</t>
      </text>
    </comment>
    <comment authorId="0" ref="M19">
      <text>
        <t xml:space="preserve">======
ID#AAAANVU22rU
Michael Chan    (2021-07-20 22:25:01)
前: Mid – June 2021
後: 2-3 August 2021</t>
      </text>
    </comment>
    <comment authorId="0" ref="R19">
      <text>
        <t xml:space="preserve">======
ID#AAAANVU22rE
Michael    (2021-07-20 22:25:01)
其中一科必須為 化學 或 生物</t>
      </text>
    </comment>
    <comment authorId="0" ref="E26">
      <text>
        <t xml:space="preserve">======
ID#AAAANVU22p0
Michael Chan    (2021-07-20 22:25:01)
x2: 英文
x1.5: 通識</t>
      </text>
    </comment>
    <comment authorId="0" ref="C11">
      <text>
        <t xml:space="preserve">======
ID#AAAANVU22pk
Michael Chan    (2021-07-20 22:25:01)
受邀的同學須遞交作品集，以及參與入學面試。
詳情請細閱以下網站: http://mus.hkbu.edu.hk/BM.html</t>
      </text>
    </comment>
    <comment authorId="0" ref="E15">
      <text>
        <t xml:space="preserve">======
ID#AAAANVU22lc
Michael Chan    (2021-07-20 22:25:01)
Best 5 (包括中、英文)
x1.25: 中文、英文</t>
      </text>
    </comment>
    <comment authorId="0" ref="E14">
      <text>
        <t xml:space="preserve">======
ID#AAAANVU22lA
Michael Chan    (2021-07-20 22:25:01)
Best 5 (包括中、英文)
x1.25: 中文、英文</t>
      </text>
    </comment>
    <comment authorId="0" ref="O27">
      <text>
        <t xml:space="preserve">======
ID#AAAANVU22k8
Michael Chan    (2021-07-20 22:25:01)
優先考慮 中文 及 英文 成績優異者
優先考慮 將學科放於聯招排位較前者</t>
      </text>
    </comment>
    <comment authorId="0" ref="N27">
      <text>
        <t xml:space="preserve">======
ID#AAAANVU22k4
Michael Chan    (2021-07-20 22:25:01)
優先考慮 中文 及 英文 成績優異者
優先考慮 將學科放於聯招排位較前者</t>
      </text>
    </comment>
    <comment authorId="0" ref="N14">
      <text>
        <t xml:space="preserve">======
ID#AAAANVU22i4
Michael Chan    (2021-07-20 22:25:01)
優先考慮 中文 及 英文 成績優異者
優先考慮 將學科放於聯招排位較前者</t>
      </text>
    </comment>
    <comment authorId="0" ref="O15">
      <text>
        <t xml:space="preserve">======
ID#AAAANVU22i0
Michael Chan    (2021-07-20 22:25:01)
優先考慮 中文 及 英文 成績優異者
優先考慮 將學科放於聯招排位較前者</t>
      </text>
    </comment>
    <comment authorId="0" ref="E10">
      <text>
        <t xml:space="preserve">======
ID#AAAANVU22io
Michael Chan    (2021-07-20 22:25:01)
x2: 英文、英語文學
x1.5: 中文、中國文學、通識、數學</t>
      </text>
    </comment>
    <comment authorId="0" ref="O14">
      <text>
        <t xml:space="preserve">======
ID#AAAANVU22iA
Michael Chan    (2021-07-20 22:25:01)
優先考慮 中文 及 英文 成績優異者
優先考慮 將學科放於聯招排位較前者</t>
      </text>
    </comment>
    <comment authorId="0" ref="C9">
      <text>
        <t xml:space="preserve">======
ID#AAAANVU22g8
CHAN, Koon Ho    (2021-07-20 22:25:01)
學系將審視申請人的音樂資歷。
同學應遞交作品集。受邀的同學須參與5月及6月的入學面試。
詳情請細閱以下網站: https://mus.hkbu.edu.hk/undergraduate.html</t>
      </text>
    </comment>
    <comment authorId="0" ref="N19">
      <text>
        <t xml:space="preserve">======
ID#AAAANVU22go
CHAN, Koon Ho    (2021-07-20 22:25:01)
不接受香港文憑試之外的其他中文資歷</t>
      </text>
    </comment>
    <comment authorId="0" ref="M27">
      <text>
        <t xml:space="preserve">======
ID#AAAANVU22gg
Michael Chan    (2021-07-20 22:25:01)
31 July &amp; 2 August 2021</t>
      </text>
    </comment>
    <comment authorId="0" ref="E27">
      <text>
        <t xml:space="preserve">======
ID#AAAANVU22aM
Michael Chan    (2021-07-20 22:25:01)
x1.5: 中文、英文</t>
      </text>
    </comment>
    <comment authorId="0" ref="C26">
      <text>
        <t xml:space="preserve">======
ID#AAAANVU22ZI
Michael Chan    (2021-07-20 22:25:01)
優先考慮 將學科放於聯招排位較前者</t>
      </text>
    </comment>
    <comment authorId="0" ref="L11">
      <text>
        <t xml:space="preserve">======
ID#AAAANVU22Y8
Michael Chan    (2021-07-20 22:25:01)
學系將審視申請人的音樂資歷。
詳情請細閱以下網站: https://mus.hkbu.edu.hk/undergraduate.html</t>
      </text>
    </comment>
    <comment authorId="0" ref="N10">
      <text>
        <t xml:space="preserve">======
ID#AAAANVU22Yk
Michael Chan    (2021-07-20 22:25:01)
優先考慮 中文 及 英文 成績優異者</t>
      </text>
    </comment>
  </commentList>
  <extLst>
    <ext uri="GoogleSheetsCustomDataVersion1">
      <go:sheetsCustomData xmlns:go="http://customooxmlschemas.google.com/" r:id="rId1" roundtripDataSignature="AMtx7mjciyNMiezSOAJqsW1rY52PyFiOmQ=="/>
    </ext>
  </extLst>
</comments>
</file>

<file path=xl/comments8.xml><?xml version="1.0" encoding="utf-8"?>
<comments xmlns:r="http://schemas.openxmlformats.org/officeDocument/2006/relationships" xmlns="http://schemas.openxmlformats.org/spreadsheetml/2006/main">
  <authors>
    <author/>
  </authors>
  <commentList>
    <comment authorId="0" ref="E18">
      <text>
        <t xml:space="preserve">======
ID#AAAANVU23yY
最高比重    (2021-07-20 22:25:02)
數學、M1/2、生物、化學、物理、組合科學</t>
      </text>
    </comment>
    <comment authorId="0" ref="M38">
      <text>
        <t xml:space="preserve">======
ID#AAAANVU23yA
Michael Chan    (2021-07-20 22:25:02)
Late July, if necessary</t>
      </text>
    </comment>
    <comment authorId="0" ref="E38">
      <text>
        <t xml:space="preserve">======
ID#AAAANVU23wI
最高比重    (2021-07-20 22:25:02)
中文、英文</t>
      </text>
    </comment>
    <comment authorId="0" ref="E27">
      <text>
        <t xml:space="preserve">======
ID#AAAANVU23u4
最高比重    (2021-07-20 22:25:02)
英文、數學、M1/2、生物、化學、物理、組合科學、ICT</t>
      </text>
    </comment>
    <comment authorId="0" ref="M46">
      <text>
        <t xml:space="preserve">======
ID#AAAANVU23uY
Michael Chan    (2021-07-20 22:25:02)
In June
(Suitable candidates, preferably from Band A and B will be invited for an interview)</t>
      </text>
    </comment>
    <comment authorId="0" ref="M42">
      <text>
        <t xml:space="preserve">======
ID#AAAANVU23uQ
Michael Chan    (2021-07-20 22:25:02)
In June
(Selected applicants will be invited for interview)</t>
      </text>
    </comment>
    <comment authorId="0" ref="M28">
      <text>
        <t xml:space="preserve">======
ID#AAAANVU23tI
Michael Chan    (2021-07-20 22:25:02)
To be confirmed
(Band A and Band B applicants may be invited to attend an interview)</t>
      </text>
    </comment>
    <comment authorId="0" ref="E45">
      <text>
        <t xml:space="preserve">======
ID#AAAANVU23tA
最高比重    (2021-07-20 22:25:02)
英文、數學、M1/2、物理、組合科學(物理)</t>
      </text>
    </comment>
    <comment authorId="0" ref="M24">
      <text>
        <t xml:space="preserve">======
ID#AAAANVU23s8
Michael Chan    (2021-07-20 22:25:02)
30 July or 2 August
(Only Band A applicants will be considered for admission. Selected Band A applicants will be invited for an interview upon release of HKDSE results)</t>
      </text>
    </comment>
    <comment authorId="0" ref="M35">
      <text>
        <t xml:space="preserve">======
ID#AAAANVU23qI
Michael Chan    (2021-07-20 22:25:02)
June/July
(Suitable candidates may be invited for interview)</t>
      </text>
    </comment>
    <comment authorId="0" ref="M31">
      <text>
        <t xml:space="preserve">======
ID#AAAANVU23oY
Michael Chan    (2021-07-20 22:25:02)
2 or 3 August
(Only Band A and B applicants will be considered for admission. Selected Band A and B applicants will be invited for an interview upon release of HKDSE results)</t>
      </text>
    </comment>
    <comment authorId="0" ref="E44">
      <text>
        <t xml:space="preserve">======
ID#AAAANVU23m0
Michael Chan    (2021-07-20 22:25:02)
最高比重
英文、數學、生物、組合科學(生物)</t>
      </text>
    </comment>
    <comment authorId="0" ref="E49">
      <text>
        <t xml:space="preserve">======
ID#AAAANVU23mk
最高比重    (2021-07-20 22:25:02)
數學、物理、組合科學(物理)</t>
      </text>
    </comment>
    <comment authorId="0" ref="M32">
      <text>
        <t xml:space="preserve">======
ID#AAAANVU23lw
Michael Chan    (2021-07-20 22:25:02)
To be confirmed
(Band A and Band B applicants may be invited to attend an interview)</t>
      </text>
    </comment>
    <comment authorId="0" ref="M52">
      <text>
        <t xml:space="preserve">======
ID#AAAANVU23j4
Michael Chan    (2021-07-20 22:25:02)
To be confirmed
(Band A and B applicants may be invited to attend an interview.)</t>
      </text>
    </comment>
    <comment authorId="0" ref="E33">
      <text>
        <t xml:space="preserve">======
ID#AAAANVU23is
最高比重    (2021-07-20 22:25:02)
英文</t>
      </text>
    </comment>
    <comment authorId="0" ref="E52">
      <text>
        <t xml:space="preserve">======
ID#AAAANVU23iQ
最高比重    (2021-07-20 22:25:02)
數學、M1/2、物理、組合科學(物理)</t>
      </text>
    </comment>
    <comment authorId="0" ref="E15">
      <text>
        <t xml:space="preserve">======
ID#AAAANVU23iI
最高比重    (2021-07-20 22:25:02)
英文、數學</t>
      </text>
    </comment>
    <comment authorId="0" ref="E23">
      <text>
        <t xml:space="preserve">======
ID#AAAANVU23iE
最高比重    (2021-07-20 22:25:02)
英文、數學、M1/2、生物、化學、物理、組合科學</t>
      </text>
    </comment>
    <comment authorId="0" ref="E6">
      <text>
        <t xml:space="preserve">======
ID#AAAANVU23iA
Michael Chan    (2021-07-20 22:25:02)
2021年將以新比重收生
最高比重: 英文、數學、M1/2、物理、組合科學(物理)、地理、ICT、綜合科學
此處仍以2020年比重作估算，請注意
最高比重: 英文、數學</t>
      </text>
    </comment>
    <comment authorId="0" ref="E41">
      <text>
        <t xml:space="preserve">======
ID#AAAANVU23hs
最高比重    (2021-07-20 22:25:02)
英文</t>
      </text>
    </comment>
    <comment authorId="0" ref="M33">
      <text>
        <t xml:space="preserve">======
ID#AAAANVU23hQ
Michael Chan    (2021-07-20 22:25:02)
To be confirmed
(Only Band A applicants will be invited for interview)</t>
      </text>
    </comment>
    <comment authorId="0" ref="E54">
      <text>
        <t xml:space="preserve">======
ID#AAAANVU23hA
最高比重    (2021-07-20 22:25:02)
英文、數學、M1/2、生物、化學、物理、組合科學、ICT</t>
      </text>
    </comment>
    <comment authorId="0" ref="E2">
      <text>
        <t xml:space="preserve">======
ID#AAAANVU23g0
最高比重    (2021-07-20 22:25:02)
中文、英文、數學、通識、生物、組合科學(生物)</t>
      </text>
    </comment>
    <comment authorId="0" ref="M4">
      <text>
        <t xml:space="preserve">======
ID#AAAANVU23bA
Michael Chan    (2021-07-20 22:25:02)
前: In June or 
後: In July
(Only applicants of Band A and B will be invited to the interview.)</t>
      </text>
    </comment>
    <comment authorId="0" ref="E28">
      <text>
        <t xml:space="preserve">======
ID#AAAANVU23bE
最高比重    (2021-07-20 22:25:02)
英文、數學、M1/2、物理、組合科學(物理)</t>
      </text>
    </comment>
    <comment authorId="0" ref="M8">
      <text>
        <t xml:space="preserve">======
ID#AAAANVU23aM
Michael Chan    (2021-07-20 22:25:02)
In June
(Suitable candidates may be invited for an interview)</t>
      </text>
    </comment>
    <comment authorId="0" ref="E9">
      <text>
        <t xml:space="preserve">======
ID#AAAANVU23Z8
最高比重    (2021-07-20 22:25:02)
英文、數學、M1/2、生物、化學、組合科學(生物、化學)</t>
      </text>
    </comment>
    <comment authorId="0" ref="M16">
      <text>
        <t xml:space="preserve">======
ID#AAAANVU23Z4
Michael Chan    (2021-07-20 22:25:02)
In June
(Selected applicants will be invited for interview)</t>
      </text>
    </comment>
    <comment authorId="0" ref="E48">
      <text>
        <t xml:space="preserve">======
ID#AAAANVU23Ys
最高比重    (2021-07-20 22:25:02)
英文、數學、M1/2、物理、組合科學(物理)</t>
      </text>
    </comment>
    <comment authorId="0" ref="M54">
      <text>
        <t xml:space="preserve">======
ID#AAAANVU23Yk
Michael Chan    (2021-07-20 22:25:02)
To be confirmed
(Selected Band A, B and C applicants will be invited for interview.)</t>
      </text>
    </comment>
    <comment authorId="0" ref="M17">
      <text>
        <t xml:space="preserve">======
ID#AAAANVU23Xw
Michael Chan    (2021-07-20 22:25:02)
In June
(Suitable candidates may be invited for an interview)</t>
      </text>
    </comment>
    <comment authorId="0" ref="M37">
      <text>
        <t xml:space="preserve">======
ID#AAAANVU23XQ
Michael Chan    (2021-07-20 22:25:02)
To be confirmed
(Preference will be given to Band A applicants and only Band A applicants will be invited to attend the interview)</t>
      </text>
    </comment>
    <comment authorId="0" ref="M39">
      <text>
        <t xml:space="preserve">======
ID#AAAANVU23Ww
Michael Chan    (2021-07-20 22:25:02)
August
(Suitable Band A candidates may be invited for interview.)</t>
      </text>
    </comment>
    <comment authorId="0" ref="M34">
      <text>
        <t xml:space="preserve">======
ID#AAAANVU23Wo
Michael Chan    (2021-07-20 22:25:02)
To be confirmed
(Only Band A applicants will be invited for interview)</t>
      </text>
    </comment>
    <comment authorId="0" ref="M27">
      <text>
        <t xml:space="preserve">======
ID#AAAANVU23VU
Michael Chan    (2021-07-20 22:25:02)
前: In June 
後: In July
(Only applicants of Band A and B will be invited to the interview)</t>
      </text>
    </comment>
    <comment authorId="0" ref="M51">
      <text>
        <t xml:space="preserve">======
ID#AAAANVU23Uk
Michael Chan    (2021-07-20 22:25:02)
If necessary
(Only selected applicants will be invited to the interview)</t>
      </text>
    </comment>
    <comment authorId="0" ref="M43">
      <text>
        <t xml:space="preserve">======
ID#AAAANVU23UY
Michael Chan    (2021-07-20 22:25:02)
In June
(Suitable candidates may be invited for an interview)</t>
      </text>
    </comment>
    <comment authorId="0" ref="M12">
      <text>
        <t xml:space="preserve">======
ID#AAAANVU23R8
Michael Chan    (2021-07-20 22:25:02)
前: Mid-June to late June and/or 
後: Late July
(Selected applicants will be invited to the interview)
(only Band A and some selected applicants will be invited to interview after the announcement of HKDSE results.)</t>
      </text>
    </comment>
    <comment authorId="0" ref="M44">
      <text>
        <t xml:space="preserve">======
ID#AAAANVU23Pw
Michael Chan    (2021-07-20 22:25:02)
If necessary
(Only selected applicants will be invited to the interview)</t>
      </text>
    </comment>
    <comment authorId="0" ref="M48">
      <text>
        <t xml:space="preserve">======
ID#AAAANVU23Pg
Michael Chan    (2021-07-20 22:25:02)
To be confirmed
(Only Band A applicants will be invited for interview)</t>
      </text>
    </comment>
    <comment authorId="0" ref="E42">
      <text>
        <t xml:space="preserve">======
ID#AAAANVU23Nc
最高比重    (2021-07-20 22:25:02)
英文、數學</t>
      </text>
    </comment>
    <comment authorId="0" ref="M7">
      <text>
        <t xml:space="preserve">======
ID#AAAANVU23Ms
Michael Chan    (2021-07-20 22:25:02)
To be confirmed
(Only Band A applicants will be shortlisted and invited for interview)</t>
      </text>
    </comment>
    <comment authorId="0" ref="E13">
      <text>
        <t xml:space="preserve">======
ID#AAAANVU23Mg
最高比重    (2021-07-20 22:25:02)
英文、數學</t>
      </text>
    </comment>
    <comment authorId="0" ref="M26">
      <text>
        <t xml:space="preserve">======
ID#AAAANVU23KU
Michael Chan    (2021-07-20 22:25:02)
前: Mid-June to late June and/or 
後: Late July
(Selected applicants will be invited to the interview)
(only Band A and some selected applicants will be invited to interview after the announcement of HKDSE results.)</t>
      </text>
    </comment>
    <comment authorId="0" ref="M30">
      <text>
        <t xml:space="preserve">======
ID#AAAANVU23JU
Michael Chan    (2021-07-20 22:25:02)
To be confirmed
(Only Band A and B applicants with the same admission scores will be invited to attend an interview.)</t>
      </text>
    </comment>
    <comment authorId="0" ref="E26">
      <text>
        <t xml:space="preserve">======
ID#AAAANVU23JQ
最高比重    (2021-07-20 22:25:02)
英文、數學、M1/2、生物、化學、物理、組合科學、ICT</t>
      </text>
    </comment>
    <comment authorId="0" ref="E12">
      <text>
        <t xml:space="preserve">======
ID#AAAANVU23I0
最高比重    (2021-07-20 22:25:02)
英文、數學、M1/2、生物、化學、物理、組合科學、ICT</t>
      </text>
    </comment>
    <comment authorId="0" ref="E35">
      <text>
        <t xml:space="preserve">======
ID#AAAANVU23H8
最高比重    (2021-07-20 22:25:02)
英文、數學</t>
      </text>
    </comment>
    <comment authorId="0" ref="E46">
      <text>
        <t xml:space="preserve">======
ID#AAAANVU23HQ
最高比重    (2021-07-20 22:25:02)
英文、數學、化學、組合科學(化學)</t>
      </text>
    </comment>
    <comment authorId="0" ref="M36">
      <text>
        <t xml:space="preserve">======
ID#AAAANVU23Gs
Michael Chan    (2021-07-20 22:25:02)
Late July, if necessary</t>
      </text>
    </comment>
    <comment authorId="0" ref="E10">
      <text>
        <t xml:space="preserve">======
ID#AAAANVU23Gk
最高比重    (2021-07-20 22:25:02)
英文、化學、組合科學(化學)、DAT、視藝藝術</t>
      </text>
    </comment>
    <comment authorId="0" ref="M45">
      <text>
        <t xml:space="preserve">======
ID#AAAANVU23GA
Michael Chan    (2021-07-20 22:25:02)
If necessary
(Only selected applicants will be invited to the interview)</t>
      </text>
    </comment>
    <comment authorId="0" ref="G31">
      <text>
        <t xml:space="preserve">======
ID#AAAANVU23FM
Michael Chan    (2021-07-20 22:25:02)
此科並無比重，但由於院校收生會考慮其他因素，包括面試表現等，故亦有可能出現LQ高於Median的情況。</t>
      </text>
    </comment>
    <comment authorId="0" ref="E3">
      <text>
        <t xml:space="preserve">======
ID#AAAANVU23CI
Michael Chan    (2021-07-20 22:25:02)
最高比重
英文、數學、M1/2、物理、化學、生物、組合科學</t>
      </text>
    </comment>
    <comment authorId="0" ref="C10">
      <text>
        <t xml:space="preserve">======
ID#AAAANVU23AM
Michael Chan    (2021-07-20 22:25:02)
Applicants are welcome to submit e-portfolios OR personal statements as supplementary information in support of their applications. This supplementary information is optional to all applicants, regardless of their intended future choice of specialism (e.g. fashion design). Detailed arrangements for and requirements of the e-portfolio or personal statement submission are announced to JUPAS applicants via email in June every year. 
(All students who are admitted with HKDSE results will start the programme with 3 common semesters of foundation training in fashion and textiles, after which they will be streamed into one of five specialisms, including designed related specialisms.)</t>
      </text>
    </comment>
    <comment authorId="0" ref="E22">
      <text>
        <t xml:space="preserve">======
ID#AAAANVU22-I
最高比重    (2021-07-20 22:25:02)
中文、英文、數學、通識、生物、組合科學(生物)</t>
      </text>
    </comment>
    <comment authorId="0" ref="M3">
      <text>
        <t xml:space="preserve">======
ID#AAAANVU22-E
Michael Chan    (2021-07-20 22:25:02)
If necessary
(Only selected applicants will be invited to the interview)</t>
      </text>
    </comment>
    <comment authorId="0" ref="M20">
      <text>
        <t xml:space="preserve">======
ID#AAAANVU2294
Michael Chan    (2021-07-20 22:25:02)
To be confirmed
(Only Band A applicants will be shortlisted and invited for interview)</t>
      </text>
    </comment>
    <comment authorId="0" ref="E20">
      <text>
        <t xml:space="preserve">======
ID#AAAANVU229s
最高比重    (2021-07-20 22:25:02)
中文、英文、生物、物理、組合科學</t>
      </text>
    </comment>
    <comment authorId="0" ref="E30">
      <text>
        <t xml:space="preserve">======
ID#AAAANVU229U
最高比重    (2021-07-20 22:25:02)
英文、數學、物理、組合科學(物理)</t>
      </text>
    </comment>
    <comment authorId="0" ref="M21">
      <text>
        <t xml:space="preserve">======
ID#AAAANVU229Q
Michael Chan    (2021-07-20 22:25:02)
To be confirmed
(Only Band A applicants will be shortlisted and invited for interview)</t>
      </text>
    </comment>
    <comment authorId="0" ref="C39">
      <text>
        <t xml:space="preserve">======
ID#AAAANVU228M
Michael Chan    (2021-07-20 22:25:01)
This programme has been restructured and retitled starting from 2021-22. 
Original Programme: JS3533
BBA(Hons) in Global Supply Chain Management
全球供應鏈管理(榮譽)工商管理學士學位</t>
      </text>
    </comment>
    <comment authorId="0" ref="E19">
      <text>
        <t xml:space="preserve">======
ID#AAAANVU2260
最高比重    (2021-07-20 22:25:01)
中文、英文、數學、生物、化學、物理、組合科學</t>
      </text>
    </comment>
    <comment authorId="0" ref="E53">
      <text>
        <t xml:space="preserve">======
ID#AAAANVU226A
最高比重    (2021-07-20 22:25:01)
英文、數學、M1/2、生物、化學、物理、組合科學、ICT</t>
      </text>
    </comment>
    <comment authorId="0" ref="E5">
      <text>
        <t xml:space="preserve">======
ID#AAAANVU225o
Michael Chan    (2021-07-20 22:25:01)
2021年將以新比重收生
最高比重: 中文、英文、數學、M1/2、通識、生物、化學、物理、組合科學、經濟、地理、綜合科學
此處仍以2020年比重作估算，請注意
最高比重: 英文、數學、M1/2、生物、化學、物理、組合科學</t>
      </text>
    </comment>
    <comment authorId="0" ref="M6">
      <text>
        <t xml:space="preserve">======
ID#AAAANVU225M
Michael Chan    (2021-07-20 22:25:01)
To be confirmed
(Only selected Band A and B applicants may be invited to attend an interview)</t>
      </text>
    </comment>
    <comment authorId="0" ref="M40">
      <text>
        <t xml:space="preserve">======
ID#AAAANVU223c
Michael Chan    (2021-07-20 22:25:01)
Between June and July
(Usually only Band A applicants will be invited to the interview)</t>
      </text>
    </comment>
    <comment authorId="0" ref="M14">
      <text>
        <t xml:space="preserve">======
ID#AAAANVU222c
Michael Chan    (2021-07-20 22:25:01)
前: Aptitude test in mid/end May
後: Mid/end July
(Only Band A, B applicants will be considered for admission)</t>
      </text>
    </comment>
    <comment authorId="0" ref="E25">
      <text>
        <t xml:space="preserve">======
ID#AAAANVU222I
最高比重    (2021-07-20 22:25:01)
英文、數學</t>
      </text>
    </comment>
    <comment authorId="0" ref="E29">
      <text>
        <t xml:space="preserve">======
ID#AAAANVU221s
最高比重    (2021-07-20 22:25:01)
英文、數學、M1/2、生物、化學、物理、組合科學、ICT</t>
      </text>
    </comment>
    <comment authorId="0" ref="E17">
      <text>
        <t xml:space="preserve">======
ID#AAAANVU221g
最高比重    (2021-07-20 22:25:01)
英文、數學</t>
      </text>
    </comment>
    <comment authorId="0" ref="E40">
      <text>
        <t xml:space="preserve">======
ID#AAAANVU22u4
最高比重    (2021-07-20 22:25:01)
英文、數學、M1/2、生物、化學、物理、BAFS、組合科學、經濟、ICT</t>
      </text>
    </comment>
    <comment authorId="0" ref="E34">
      <text>
        <t xml:space="preserve">======
ID#AAAANVU22us
最高比重    (2021-07-20 22:25:01)
英文、數學、M1/2、物理、組合科學(物理)</t>
      </text>
    </comment>
    <comment authorId="0" ref="E21">
      <text>
        <t xml:space="preserve">======
ID#AAAANVU22t4
最高比重    (2021-07-20 22:25:01)
中文、英文、生物、物理、組合科學(生物、物理)</t>
      </text>
    </comment>
    <comment authorId="0" ref="E4">
      <text>
        <t xml:space="preserve">======
ID#AAAANVU22qs
最高比重    (2021-07-20 22:25:01)
英文、數學、M1/2、生物、化學、物理、組合科學、ICT</t>
      </text>
    </comment>
    <comment authorId="0" ref="M25">
      <text>
        <t xml:space="preserve">======
ID#AAAANVU22pM
Michael Chan    (2021-07-20 22:25:01)
August
(Selected applicants will be invited for interview)</t>
      </text>
    </comment>
    <comment authorId="0" ref="M10">
      <text>
        <t xml:space="preserve">======
ID#AAAANVU22oU
Michael Chan    (2021-07-20 22:25:01)
Preference is given to Band A and B applicants. 
Admission to the programme is in primarily based on academic merit, plus the following optional supplements.</t>
      </text>
    </comment>
    <comment authorId="0" ref="E51">
      <text>
        <t xml:space="preserve">======
ID#AAAANVU22nk
最高比重    (2021-07-20 22:25:01)
化學、組合科學(化學)</t>
      </text>
    </comment>
    <comment authorId="0" ref="M5">
      <text>
        <t xml:space="preserve">======
ID#AAAANVU22mM
Michael Chan    (2021-07-20 22:25:01)
To be confirmed
(Band A and B applicants may be invited to attend an interview)</t>
      </text>
    </comment>
    <comment authorId="0" ref="E8">
      <text>
        <t xml:space="preserve">======
ID#AAAANVU22j8
最高比重    (2021-07-20 22:25:01)
英文、數學</t>
      </text>
    </comment>
    <comment authorId="0" ref="E16">
      <text>
        <t xml:space="preserve">======
ID#AAAANVU22h4
最高比重    (2021-07-20 22:25:01)
英文、數學</t>
      </text>
    </comment>
    <comment authorId="0" ref="E32">
      <text>
        <t xml:space="preserve">======
ID#AAAANVU22dQ
最高比重    (2021-07-20 22:25:01)
英文、數學、M1/2、物理、組合科學(物理)</t>
      </text>
    </comment>
    <comment authorId="0" ref="E7">
      <text>
        <t xml:space="preserve">======
ID#AAAANVU22dA
最高比重    (2021-07-20 22:25:01)
英文</t>
      </text>
    </comment>
    <comment authorId="0" ref="E14">
      <text>
        <t xml:space="preserve">======
ID#AAAANVU22cA
最高比重    (2021-07-20 22:25:01)
中文、英文、數學、通識、DAT、視覺藝術</t>
      </text>
    </comment>
    <comment authorId="0" ref="E43">
      <text>
        <t xml:space="preserve">======
ID#AAAANVU22ac
最高比重    (2021-07-20 22:25:01)
英文、數學</t>
      </text>
    </comment>
    <comment authorId="0" ref="E39">
      <text>
        <t xml:space="preserve">======
ID#AAAANVU22aA
最高比重    (2021-07-20 22:25:01)
英文、數學</t>
      </text>
    </comment>
    <comment authorId="0" ref="E56">
      <text>
        <t xml:space="preserve">======
ID#AAAANVU22Z4
最高比重    (2021-07-20 22:25:01)
英文、數學、生物、化學、物理、組合科學、ICT</t>
      </text>
    </comment>
    <comment authorId="0" ref="E36">
      <text>
        <t xml:space="preserve">======
ID#AAAANVU22X8
最高比重    (2021-07-20 22:25:01)
中文、英文</t>
      </text>
    </comment>
    <comment authorId="0" ref="E37">
      <text>
        <t xml:space="preserve">======
ID#AAAANVU22XQ
最高比重    (2021-07-20 22:25:01)
英文</t>
      </text>
    </comment>
    <comment authorId="0" ref="E11">
      <text>
        <t xml:space="preserve">======
ID#AAAANVU22W8
最高比重    (2021-07-20 22:25:01)
英文、數學、M1/2、生物、化學、物理、組合科學、ICT</t>
      </text>
    </comment>
  </commentList>
  <extLst>
    <ext uri="GoogleSheetsCustomDataVersion1">
      <go:sheetsCustomData xmlns:go="http://customooxmlschemas.google.com/" r:id="rId1" roundtripDataSignature="AMtx7mhnKAx/TRVlzIIH0pneIadmsMFtfg=="/>
    </ext>
  </extLst>
</comments>
</file>

<file path=xl/comments9.xml><?xml version="1.0" encoding="utf-8"?>
<comments xmlns:r="http://schemas.openxmlformats.org/officeDocument/2006/relationships" xmlns="http://schemas.openxmlformats.org/spreadsheetml/2006/main">
  <authors>
    <author/>
  </authors>
  <commentList>
    <comment authorId="0" ref="S46">
      <text>
        <t xml:space="preserve">======
ID#AAAANVU23x4
以下一科    (2021-07-20 22:25:02)
- 生物
- 化學
- 物理
- 經濟
- 地理
- ICT
- 組合科學
- 綜合科學
- 科技與生活 (食品科學與科技)</t>
      </text>
    </comment>
    <comment authorId="0" ref="N29">
      <text>
        <t xml:space="preserve">======
ID#AAAANVU23ww
Michael    (2021-07-20 22:25:02)
(On a selective basis)</t>
      </text>
    </comment>
    <comment authorId="0" ref="S44">
      <text>
        <t xml:space="preserve">======
ID#AAAANVU23wo
以下一科    (2021-07-20 22:25:02)
- M1/M2
- 生物
- 化學
- 物理
- 組合科學
- 綜合科學</t>
      </text>
    </comment>
    <comment authorId="0" ref="C38">
      <text>
        <t xml:space="preserve">======
ID#AAAANVU23wY
Michael Chan    (2021-07-20 22:25:02)
優先考慮修讀 化學、生物 者
及
優先考慮修讀 第三科選修 及/或 M1/2 
及
7科合共大於46分，及4科5**</t>
      </text>
    </comment>
    <comment authorId="0" ref="I22">
      <text>
        <t xml:space="preserve">======
ID#AAAANVU23wQ
Michael Chan    (2021-07-20 22:25:02)
重考扣分: 5%或更少
(此處作5%)
# Selected applicants with more than one sitting of the HKDSE examination will be invited for interview. Penalty may be waived for applicants with outstanding interview performance.</t>
      </text>
    </comment>
    <comment authorId="0" ref="E22">
      <text>
        <t xml:space="preserve">======
ID#AAAANVU23wA
Michael Chan    (2021-07-20 22:25:02)
2021年將以新比重收生
(x2: 英文、數學
x1.5: [M1/2、化學、物理或經濟] 其中最佳一科)
此處仍以原有比重作估算，請注意
x2: 英文、數學
x1.5: [M1/2、化學或物理] 其中最佳一科</t>
      </text>
    </comment>
    <comment authorId="0" ref="N61">
      <text>
        <t xml:space="preserve">======
ID#AAAANVU23vE
Michael    (2021-07-20 22:25:02)
前: 21-22 Jun
後: 31 Jul to early Aug
(On a selective basis)</t>
      </text>
    </comment>
    <comment authorId="0" ref="S47">
      <text>
        <t xml:space="preserve">======
ID#AAAANVU23uk
Michael    (2021-07-20 22:25:02)
必須修讀 物理</t>
      </text>
    </comment>
    <comment authorId="0" ref="I40">
      <text>
        <t xml:space="preserve">======
ID#AAAANVU23uE
Michael Chan    (2021-07-20 22:25:02)
重考扣分: 5%或更少
(此處作5%)</t>
      </text>
    </comment>
    <comment authorId="0" ref="S20">
      <text>
        <t xml:space="preserve">======
ID#AAAANVU23sw
Michael    (2021-07-20 22:25:02)
若數學科只考獲Lv.4或以下，M1/2需考獲Lv.5</t>
      </text>
    </comment>
    <comment authorId="0" ref="T29">
      <text>
        <t xml:space="preserve">======
ID#AAAANVU23sc
Michael    (2021-07-20 22:25:02)
其中一科必須為 M1/2</t>
      </text>
    </comment>
    <comment authorId="0" ref="Q36">
      <text>
        <t xml:space="preserve">======
ID#AAAANVU23sI
Michael    (2021-07-20 22:25:02)
數學科考獲 Lv.4 及 其他科目考獲優異成績的考生
將會按個別情況考慮</t>
      </text>
    </comment>
    <comment authorId="0" ref="C50">
      <text>
        <t xml:space="preserve">======
ID#AAAANVU23r4
Michael Chan    (2021-07-20 22:25:02)
此課程鼓勵申請人向學校遞交 設計作品集。 詳情請細閱學校網站。
www.arch.cuhk.edu.hk/programme/bachelor-social-science-architectural-studies.</t>
      </text>
    </comment>
    <comment authorId="0" ref="E39">
      <text>
        <t xml:space="preserve">======
ID#AAAANVU23ro
較高比重科目    (2021-07-20 22:25:02)
物理、生物、化學、組合科學、綜合科學
(此處作x1.5)</t>
      </text>
    </comment>
    <comment authorId="0" ref="N52">
      <text>
        <t xml:space="preserve">======
ID#AAAANVU23rY
Michael    (2021-07-20 22:25:02)
End of May
(On a selective basis)</t>
      </text>
    </comment>
    <comment authorId="0" ref="T20">
      <text>
        <t xml:space="preserve">======
ID#AAAANVU23q0
Michael    (2021-07-20 22:25:02)
若數學科只考獲Lv.4或以下，M1/2需考獲Lv.5</t>
      </text>
    </comment>
    <comment authorId="0" ref="S38">
      <text>
        <t xml:space="preserve">======
ID#AAAANVU23ms
以下一科    (2021-07-20 22:25:02)
- 化學
- 生物</t>
      </text>
    </comment>
    <comment authorId="0" ref="E62">
      <text>
        <t xml:space="preserve">======
ID#AAAANVU23mY
Michael Chan    (2021-07-20 22:25:02)
x2: 英文、通識
x1.5: 中文</t>
      </text>
    </comment>
    <comment authorId="0" ref="N60">
      <text>
        <t xml:space="preserve">======
ID#AAAANVU23kw
Michael    (2021-07-20 22:25:02)
前: 9, 11 Jun
後: 31 Jul to early Aug
(On a selective basis)</t>
      </text>
    </comment>
    <comment authorId="0" ref="N16">
      <text>
        <t xml:space="preserve">======
ID#AAAANVU23kM
Michael    (2021-07-20 22:25:02)
Early - mid Jun
(On a selective basis)</t>
      </text>
    </comment>
    <comment authorId="0" ref="E29">
      <text>
        <t xml:space="preserve">======
ID#AAAANVU23jY
Michael Chan    (2021-07-20 22:25:02)
x1.5: 數學、M1/2、中文、英文</t>
      </text>
    </comment>
    <comment authorId="0" ref="E55">
      <text>
        <t xml:space="preserve">======
ID#AAAANVU23jc
Michael Chan    (2021-07-20 22:25:02)
x1.3: 英文、中文</t>
      </text>
    </comment>
    <comment authorId="0" ref="I19">
      <text>
        <t xml:space="preserve">======
ID#AAAANVU23hg
Michael Chan    (2021-07-20 22:25:02)
重考扣分: 5%或更少
(此處作5%)
# Selected applicants with more than one sitting of the HKDSE examination will be invited for interview. Penalty may be waived for applicants with outstanding interview performance.</t>
      </text>
    </comment>
    <comment authorId="0" ref="Q23">
      <text>
        <t xml:space="preserve">======
ID#AAAANVU23hI
Michael Chan    (2021-07-20 22:25:02)
優先考慮 數學 考獲Lv.4或以上者</t>
      </text>
    </comment>
    <comment authorId="0" ref="S33">
      <text>
        <t xml:space="preserve">======
ID#AAAANVU23fk
以下一科    (2021-07-20 22:25:02)
- M1/M2
- 生物
- 化學
- 物理
- ICT
- 組合科學</t>
      </text>
    </comment>
    <comment authorId="0" ref="S43">
      <text>
        <t xml:space="preserve">======
ID#AAAANVU23fU
以下一科    (2021-07-20 22:25:02)
- 化學
- 生物</t>
      </text>
    </comment>
    <comment authorId="0" ref="N33">
      <text>
        <t xml:space="preserve">======
ID#AAAANVU23e8
Michael    (2021-07-20 22:25:02)
Late May to Jun
(On a selective basis)</t>
      </text>
    </comment>
    <comment authorId="0" ref="N17">
      <text>
        <t xml:space="preserve">======
ID#AAAANVU23eQ
Michael    (2021-07-20 22:25:02)
前: 15-18, 21-25 Jun
後: 31 Jul to early Aug
(On a selective basis)</t>
      </text>
    </comment>
    <comment authorId="0" ref="N62">
      <text>
        <t xml:space="preserve">======
ID#AAAANVU23eE
Michael    (2021-07-20 22:25:02)
前: 28 May - 3 Jun
後: 31 Jul to early Aug
(On a selective basis)</t>
      </text>
    </comment>
    <comment authorId="0" ref="N46">
      <text>
        <t xml:space="preserve">======
ID#AAAANVU23dk
Michael    (2021-07-20 22:25:02)
31 May - 2 Jun
(On a selective basis)</t>
      </text>
    </comment>
    <comment authorId="0" ref="S37">
      <text>
        <t xml:space="preserve">======
ID#AAAANVU23dc
以下一科    (2021-07-20 22:25:02)
- 化學
- 生物</t>
      </text>
    </comment>
    <comment authorId="0" ref="E49">
      <text>
        <t xml:space="preserve">======
ID#AAAANVU23a8
Michael Chan    (2021-07-20 22:25:02)
x1.3: 英文</t>
      </text>
    </comment>
    <comment authorId="0" ref="N36">
      <text>
        <t xml:space="preserve">======
ID#AAAANVU23a4
Michael    (2021-07-20 22:25:02)
Jun
(On a selective basis)</t>
      </text>
    </comment>
    <comment authorId="0" ref="T47">
      <text>
        <t xml:space="preserve">======
ID#AAAANVU23ak
以下一科    (2021-07-20 22:25:02)
- M1/2 (優先考慮)
- 生物
- 化學
- 經濟
- 地理
- ICT
- 組合科學
- 綜合科學
- 科技與生活 (食品科學與科技)</t>
      </text>
    </comment>
    <comment authorId="0" ref="C47">
      <text>
        <t xml:space="preserve">======
ID#AAAANVU23aQ
Michael Chan    (2021-07-20 22:25:02)
優先考慮修讀 M1/2 者</t>
      </text>
    </comment>
    <comment authorId="0" ref="N39">
      <text>
        <t xml:space="preserve">======
ID#AAAANVU23Zw
Michael    (2021-07-20 22:25:02)
(On a selective basis)</t>
      </text>
    </comment>
    <comment authorId="0" ref="N43">
      <text>
        <t xml:space="preserve">======
ID#AAAANVU23ZI
Michael    (2021-07-20 22:25:02)
(On a selective basis)</t>
      </text>
    </comment>
    <comment authorId="0" ref="C32">
      <text>
        <t xml:space="preserve">======
ID#AAAANVU23ZA
優先考慮修讀以下科目者    (2021-07-20 22:25:02)
- M1/2
- 生物
- 化學
- 物理
- 經濟
- 組合科學
- BAFS
- ICT</t>
      </text>
    </comment>
    <comment authorId="0" ref="E28">
      <text>
        <t xml:space="preserve">======
ID#AAAANVU23XE
Michael Chan    (2021-07-20 22:25:02)
包含英文
英文有較高比重
(此處作x1.5)</t>
      </text>
    </comment>
    <comment authorId="0" ref="C48">
      <text>
        <t xml:space="preserve">======
ID#AAAANVU23WQ
Michael Chan    (2021-07-20 22:25:02)
只考慮甲類科目</t>
      </text>
    </comment>
    <comment authorId="0" ref="N24">
      <text>
        <t xml:space="preserve">======
ID#AAAANVU23UI
Michael    (2021-07-20 22:25:02)
前: 2-4, 7-8 Jun
後: 31 Jul to early Aug
(On a selective basis)</t>
      </text>
    </comment>
    <comment authorId="0" ref="E36">
      <text>
        <t xml:space="preserve">======
ID#AAAANVU23Ts
Michael Chan    (2021-07-20 22:25:02)
x1.75: 數學、M1/2
x1.5: 物理、生物、化學、組合科學、ICT
x1.25: 中文、英文</t>
      </text>
    </comment>
    <comment authorId="0" ref="E51">
      <text>
        <t xml:space="preserve">======
ID#AAAANVU23Tc
Michael Chan    (2021-07-20 22:25:02)
x1.5: 數學、 [M1/2、物理、化學及經濟] 其中最佳一科</t>
      </text>
    </comment>
    <comment authorId="0" ref="C42">
      <text>
        <t xml:space="preserve">======
ID#AAAANVU23TQ
優先考慮修讀以下科目者    (2021-07-20 22:25:02)
- 生物
- 化學
- 物理
- 組合科學
- 綜合科學</t>
      </text>
    </comment>
    <comment authorId="0" ref="E33">
      <text>
        <t xml:space="preserve">======
ID#AAAANVU23S0
Michael Chan    (2021-07-20 22:25:02)
x1.5: 數學、M1/2、物理</t>
      </text>
    </comment>
    <comment authorId="0" ref="N49">
      <text>
        <t xml:space="preserve">======
ID#AAAANVU23Sk
Michael    (2021-07-20 22:25:02)
(On a selective basis)</t>
      </text>
    </comment>
    <comment authorId="0" ref="I62">
      <text>
        <t xml:space="preserve">======
ID#AAAANVU23SM
Michael Chan    (2021-07-20 22:25:02)
重考扣分: 5%或更少
(此處作5%)</t>
      </text>
    </comment>
    <comment authorId="0" ref="N6">
      <text>
        <t xml:space="preserve">======
ID#AAAANVU23RU
Michael    (2021-07-20 22:25:02)
前: 20-21 May
後: 31 Jul to early Aug
(On a selective basis)</t>
      </text>
    </comment>
    <comment authorId="0" ref="N26">
      <text>
        <t xml:space="preserve">======
ID#AAAANVU23QI
Michael    (2021-07-20 22:25:02)
(On a selective basis)</t>
      </text>
    </comment>
    <comment authorId="0" ref="N25">
      <text>
        <t xml:space="preserve">======
ID#AAAANVU23QA
Michael    (2021-07-20 22:25:02)
前: 15-18 Jun
後: 31 Jul to early Aug
(On a selective basis)</t>
      </text>
    </comment>
    <comment authorId="0" ref="I21">
      <text>
        <t xml:space="preserve">======
ID#AAAANVU23P0
Michael Chan    (2021-07-20 22:25:02)
重考扣分: 5%或更少
(此處作5%)
# Selected applicants with more than one sitting of the HKDSE examination will be invited for interview. Penalty may be waived for applicants with outstanding interview performance.</t>
      </text>
    </comment>
    <comment authorId="0" ref="E46">
      <text>
        <t xml:space="preserve">======
ID#AAAANVU23OY
Michael Chan    (2021-07-20 22:25:02)
M1/2 有更高比重
(此處作x2)</t>
      </text>
    </comment>
    <comment authorId="0" ref="E60">
      <text>
        <t xml:space="preserve">======
ID#AAAANVU23N4
Michael Chan    (2021-07-20 22:25:02)
x1.5: 英文</t>
      </text>
    </comment>
    <comment authorId="0" ref="N5">
      <text>
        <t xml:space="preserve">======
ID#AAAANVU23Nk
Michael    (2021-07-20 22:25:02)
(On a selective basis)</t>
      </text>
    </comment>
    <comment authorId="0" ref="N7">
      <text>
        <t xml:space="preserve">======
ID#AAAANVU23Mo
Michael    (2021-07-20 22:25:02)
(On a selective basis)</t>
      </text>
    </comment>
    <comment authorId="0" ref="N37">
      <text>
        <t xml:space="preserve">======
ID#AAAANVU23MI
Michael    (2021-07-20 22:25:02)
前: 21, 28 May &amp; 4, 22 Jun
後: 31 Jul to early Aug
(On a selective basis)</t>
      </text>
    </comment>
    <comment authorId="0" ref="N18">
      <text>
        <t xml:space="preserve">======
ID#AAAANVU23LI
Michael    (2021-07-20 22:25:02)
前: 15-18 Jun
後: 31 Jul to early Aug
(On a selective basis)</t>
      </text>
    </comment>
    <comment authorId="0" ref="C11">
      <text>
        <t xml:space="preserve">======
ID#AAAANVU23K8
Michael Chan    (2021-07-20 22:25:02)
優先考慮修讀 音樂 者</t>
      </text>
    </comment>
    <comment authorId="0" ref="I18">
      <text>
        <t xml:space="preserve">======
ID#AAAANVU23J0
Michael Chan    (2021-07-20 22:25:02)
重考扣分: 5%或更少
(此處作5%)
# Selected applicants with more than one sitting of the HKDSE examination will be invited for interview. Penalty may be waived for applicants with outstanding interview performance.</t>
      </text>
    </comment>
    <comment authorId="0" ref="I24">
      <text>
        <t xml:space="preserve">======
ID#AAAANVU23Jk
Michael Chan    (2021-07-20 22:25:02)
重考扣分: 5%或更少
(此處作5%)</t>
      </text>
    </comment>
    <comment authorId="0" ref="N28">
      <text>
        <t xml:space="preserve">======
ID#AAAANVU23Jc
Michael    (2021-07-20 22:25:02)
(On a selective basis)</t>
      </text>
    </comment>
    <comment authorId="0" ref="S45">
      <text>
        <t xml:space="preserve">======
ID#AAAANVU23Hw
以下一科    (2021-07-20 22:25:02)
- M1/M2
- 化學
- 物理
- 組合科學
- 地理</t>
      </text>
    </comment>
    <comment authorId="0" ref="E31">
      <text>
        <t xml:space="preserve">======
ID#AAAANVU23HU
Michael Chan    (2021-07-20 22:25:02)
x1.75: M1/2
x1.5: 數學、物理、生物、化學、組合科學、ICT、DAT
x0.5: 通識</t>
      </text>
    </comment>
    <comment authorId="0" ref="C31">
      <text>
        <t xml:space="preserve">======
ID#AAAANVU23GE
優先考慮修讀以下科目者    (2021-07-20 22:25:02)
- M1/2
- 生物
- 化學
- 物理
- 組合科學
- DAT
- ICT</t>
      </text>
    </comment>
    <comment authorId="0" ref="E20">
      <text>
        <t xml:space="preserve">======
ID#AAAANVU23F0
Michael Chan    (2021-07-20 22:25:02)
包含英文及 [數學和M1/2]其中最佳一科</t>
      </text>
    </comment>
    <comment authorId="0" ref="N54">
      <text>
        <t xml:space="preserve">======
ID#AAAANVU23Fk
Michael    (2021-07-20 22:25:02)
Late May - mid Jun
(On a selective basis)</t>
      </text>
    </comment>
    <comment authorId="0" ref="N40">
      <text>
        <t xml:space="preserve">======
ID#AAAANVU23EE
Michael    (2021-07-20 22:25:02)
前: 22-24 Jun
後: 31 Jul to early Aug
(On a selective basis)</t>
      </text>
    </comment>
    <comment authorId="0" ref="E56">
      <text>
        <t xml:space="preserve">======
ID#AAAANVU23EI
Michael Chan    (2021-07-20 22:25:02)
x1.3: 英文</t>
      </text>
    </comment>
    <comment authorId="0" ref="S35">
      <text>
        <t xml:space="preserve">======
ID#AAAANVU23D8
以下一科    (2021-07-20 22:25:02)
- M1/M2
- 生物
- 化學
- 物理
- ICT
- DAT
- 組合科學</t>
      </text>
    </comment>
    <comment authorId="0" ref="N45">
      <text>
        <t xml:space="preserve">======
ID#AAAANVU23Do
Michael    (2021-07-20 22:25:02)
24-25 May
(On a selective basis)</t>
      </text>
    </comment>
    <comment authorId="0" ref="E44">
      <text>
        <t xml:space="preserve">======
ID#AAAANVU23Dc
Michael Chan    (2021-07-20 22:25:02)
x2: 數學、M1/2、物理、生物、化學、組合科學、綜合科學
x1.5: 中文或英文、經濟、地理、ICT、科技與生活
註: 只有最多三科將會用以計算比重</t>
      </text>
    </comment>
    <comment authorId="0" ref="N53">
      <text>
        <t xml:space="preserve">======
ID#AAAANVU23Cc
Michael    (2021-07-20 22:25:02)
26 May
(On a selective basis)</t>
      </text>
    </comment>
    <comment authorId="0" ref="N34">
      <text>
        <t xml:space="preserve">======
ID#AAAANVU23CY
Michael    (2021-07-20 22:25:02)
前: 25-26 May
後: 31 Jul to early Aug
(On a selective basis)</t>
      </text>
    </comment>
    <comment authorId="0" ref="M50">
      <text>
        <t xml:space="preserve">======
ID#AAAANVU23CM
Michael Chan    (2021-07-20 22:25:02)
Applicants are not required but encouraged to submit a design portfolio to the General Office of the School of Architecture directly. Portfolio guidelines and additional information can be found on the School website 
www.arch.cuhk.edu.hk/programme/bachelor-social-science-architectural-studies.</t>
      </text>
    </comment>
    <comment authorId="0" ref="E25">
      <text>
        <t xml:space="preserve">======
ID#AAAANVU23Bc
Michael Chan    (2021-07-20 22:25:02)
2021年將以新比重收生
(x2: 英文、數學
x1.5: [M1/2、化學、物理及經濟]其中最佳一科 )
此處將以原有比重作估算，請注意
x2: 英文、數學、M1/2</t>
      </text>
    </comment>
    <comment authorId="0" ref="N19">
      <text>
        <t xml:space="preserve">======
ID#AAAANVU23BI
Michael    (2021-07-20 22:25:02)
Early Jun
(On a selective basis)</t>
      </text>
    </comment>
    <comment authorId="0" ref="N11">
      <text>
        <t xml:space="preserve">======
ID#AAAANVU23BE
Michael    (2021-07-20 22:25:02)
(1) Audition video submission deadline: 31 May
(2) Entrance Test: 31 May
(3) Interview: Jun or early Jul</t>
      </text>
    </comment>
    <comment authorId="0" ref="C36">
      <text>
        <t xml:space="preserve">======
ID#AAAANVU22_k
優先考慮修讀以下科目者    (2021-07-20 22:25:02)
- M1/2
- 生物
- 化學
- 物理
- 組合科學
- ICT</t>
      </text>
    </comment>
    <comment authorId="0" ref="N30">
      <text>
        <t xml:space="preserve">======
ID#AAAANVU22_I
Michael    (2021-07-20 22:25:02)
(On a selective basis)</t>
      </text>
    </comment>
    <comment authorId="0" ref="N27">
      <text>
        <t xml:space="preserve">======
ID#AAAANVU22-0
Michael    (2021-07-20 22:25:02)
(On a selective basis)</t>
      </text>
    </comment>
    <comment authorId="0" ref="E48">
      <text>
        <t xml:space="preserve">======
ID#AAAANVU22-o
Michael Chan    (2021-07-20 22:25:02)
x2: 數學、M1/2</t>
      </text>
    </comment>
    <comment authorId="0" ref="E47">
      <text>
        <t xml:space="preserve">======
ID#AAAANVU22-k
較高比重科目    (2021-07-20 22:25:02)
數學、M1/2、物理
(此處作x1.5)</t>
      </text>
    </comment>
    <comment authorId="0" ref="I38">
      <text>
        <t xml:space="preserve">======
ID#AAAANVU22-g
Additional requirements    (2021-07-20 22:25:02)
Total score &gt; 46 in 7 subjects with 5** in ANY 4 subjects
重考扣分: 6%至10%
(此處作10%)</t>
      </text>
    </comment>
    <comment authorId="0" ref="E34">
      <text>
        <t xml:space="preserve">======
ID#AAAANVU22-Q
Michael Chan    (2021-07-20 22:25:02)
x1.5: 英文、物理、生物、化學、組合科學
、[數學、M1/2]其中最佳一科</t>
      </text>
    </comment>
    <comment authorId="0" ref="N23">
      <text>
        <t xml:space="preserve">======
ID#AAAANVU229A
Michael    (2021-07-20 22:25:01)
前: 15-18 Jun
後: 31 Jul to early Aug
(On a selective basis)</t>
      </text>
    </comment>
    <comment authorId="0" ref="N38">
      <text>
        <t xml:space="preserve">======
ID#AAAANVU227s
Michael    (2021-07-20 22:25:01)
前: 21, 28 May &amp; 4, 22 Jun
後: 31 Jul to early Aug
(On a selective basis)</t>
      </text>
    </comment>
    <comment authorId="0" ref="I27">
      <text>
        <t xml:space="preserve">======
ID#AAAANVU227I
Michael Chan    (2021-07-20 22:25:01)
重考扣分: 5%或更少
(此處作5%)</t>
      </text>
    </comment>
    <comment authorId="0" ref="E19">
      <text>
        <t xml:space="preserve">======
ID#AAAANVU226g
Michael Chan    (2021-07-20 22:25:01)
2021年將不會計算比重
經考慮後，
此處將以不以原有比重作估算，請注意
x2: 旅遊及款待</t>
      </text>
    </comment>
    <comment authorId="0" ref="N44">
      <text>
        <t xml:space="preserve">======
ID#AAAANVU226c
Michael    (2021-07-20 22:25:01)
前: 24-27 May
後: 31 Jul to early Aug
(On a selective basis)</t>
      </text>
    </comment>
    <comment authorId="0" ref="E24">
      <text>
        <t xml:space="preserve">======
ID#AAAANVU226Y
Michael Chan    (2021-07-20 22:25:01)
x2: 英文、通識
x 1.5: 中文</t>
      </text>
    </comment>
    <comment authorId="0" ref="C37">
      <text>
        <t xml:space="preserve">======
ID#AAAANVU224Y
Michael Chan    (2021-07-20 22:25:01)
優先考慮修讀 化學、生物 者
及
優先考慮修讀 第三科選修 及/或 M1/2</t>
      </text>
    </comment>
    <comment authorId="0" ref="N42">
      <text>
        <t xml:space="preserve">======
ID#AAAANVU224Q
Michael    (2021-07-20 22:25:01)
前: 未公佈
後: 31 Jul to early Aug
(On a selective basis)</t>
      </text>
    </comment>
    <comment authorId="0" ref="I28">
      <text>
        <t xml:space="preserve">======
ID#AAAANVU223M
Michael Chan    (2021-07-20 22:25:01)
重考扣分: 5%或更少
(此處作5%)</t>
      </text>
    </comment>
    <comment authorId="0" ref="C46">
      <text>
        <t xml:space="preserve">======
ID#AAAANVU222k
Michael Chan    (2021-07-20 22:25:01)
優先考慮 M1/2 成績優異者</t>
      </text>
    </comment>
    <comment authorId="0" ref="I15">
      <text>
        <t xml:space="preserve">======
ID#AAAANVU222Q
Michael Chan    (2021-07-20 22:25:01)
重考扣分: 5%或更少
(此處作5%)</t>
      </text>
    </comment>
    <comment authorId="0" ref="M11">
      <text>
        <t xml:space="preserve">======
ID#AAAANVU2218
Michael Chan    (2021-07-20 22:25:01)
Applicants should have attained a level of proficiency in their main instrument/ voice at or above Grade 8 (ABRSM/ Trinity College).</t>
      </text>
    </comment>
    <comment authorId="0" ref="L37">
      <text>
        <t xml:space="preserve">======
ID#AAAANVU221U
Michael Chan    (2021-07-20 22:25:01)
Combined figure for programmes JS4501 &amp; JS4502</t>
      </text>
    </comment>
    <comment authorId="0" ref="E50">
      <text>
        <t xml:space="preserve">======
ID#AAAANVU221A
Michael Chan    (2021-07-20 22:25:01)
2021年將以新比重收生
(x1.5: 英文)
此處將以原有比重作估算，請注意
x1.5: 英文、數學</t>
      </text>
    </comment>
    <comment authorId="0" ref="C39">
      <text>
        <t xml:space="preserve">======
ID#AAAANVU2208
優先考慮修讀以下科目者    (2021-07-20 22:25:01)
- 生物
- 化學
- 物理
- 組合科學
- 綜合科學</t>
      </text>
    </comment>
    <comment authorId="0" ref="T46">
      <text>
        <t xml:space="preserve">======
ID#AAAANVU220M
Michael    (2021-07-20 22:25:01)
必須修讀M1/2</t>
      </text>
    </comment>
    <comment authorId="0" ref="P16">
      <text>
        <t xml:space="preserve">======
ID#AAAANVU220I
Michael    (2021-07-20 22:25:01)
優先考慮 英文 考獲Lv.4或以上者</t>
      </text>
    </comment>
    <comment authorId="0" ref="N48">
      <text>
        <t xml:space="preserve">======
ID#AAAANVU22zk
Michael    (2021-07-20 22:25:01)
9 Jun
(On a selective basis)</t>
      </text>
    </comment>
    <comment authorId="0" ref="N12">
      <text>
        <t xml:space="preserve">======
ID#AAAANVU22yk
Michael    (2021-07-20 22:25:01)
(On a selective basis)</t>
      </text>
    </comment>
    <comment authorId="0" ref="Q20">
      <text>
        <t xml:space="preserve">======
ID#AAAANVU22yY
Michael    (2021-07-20 22:25:01)
若數學科只考獲Lv.4或以下，M1/2需考獲Lv.5</t>
      </text>
    </comment>
    <comment authorId="0" ref="E59">
      <text>
        <t xml:space="preserve">======
ID#AAAANVU22yQ
Michael Chan    (2021-07-20 22:25:01)
x1.5: 英文、通識</t>
      </text>
    </comment>
    <comment authorId="0" ref="E27">
      <text>
        <t xml:space="preserve">======
ID#AAAANVU22yE
Michael Chan    (2021-07-20 22:25:01)
包含中文
中文有較高比重
(此處作x1.5)</t>
      </text>
    </comment>
    <comment authorId="0" ref="S31">
      <text>
        <t xml:space="preserve">======
ID#AAAANVU22x4
以下一科    (2021-07-20 22:25:01)
- M1/M2
- 生物
- 化學
- 物理
- 組合科學</t>
      </text>
    </comment>
    <comment authorId="0" ref="N58">
      <text>
        <t xml:space="preserve">======
ID#AAAANVU22xM
Michael    (2021-07-20 22:25:01)
前: 10 Jun
後: 31 Jul to early Aug
(On a selective basis)</t>
      </text>
    </comment>
    <comment authorId="0" ref="E12">
      <text>
        <t xml:space="preserve">======
ID#AAAANVU22wM
Michael Chan    (2021-07-20 22:25:01)
包含中文、英文</t>
      </text>
    </comment>
    <comment authorId="0" ref="I26">
      <text>
        <t xml:space="preserve">======
ID#AAAANVU22wA
Michael Chan    (2021-07-20 22:25:01)
重考扣分: 5%或更少
(此處作5%)</t>
      </text>
    </comment>
    <comment authorId="0" ref="J1">
      <text>
        <t xml:space="preserve">======
ID#AAAANVU22vw
Michael Chan    (2021-07-20 22:25:01)
可選擇：
UQ/Median/LQ</t>
      </text>
    </comment>
    <comment authorId="0" ref="M14">
      <text>
        <t xml:space="preserve">======
ID#AAAANVU22uQ
Michael Chan    (2021-07-20 22:25:01)
Programmes admitting less than 5 students are excluded.</t>
      </text>
    </comment>
    <comment authorId="0" ref="N20">
      <text>
        <t xml:space="preserve">======
ID#AAAANVU22tQ
Michael    (2021-07-20 22:25:01)
前: 28 Jun - 17 Jul
後: 31 Jul to early Aug
(On a selective basis)</t>
      </text>
    </comment>
    <comment authorId="0" ref="N47">
      <text>
        <t xml:space="preserve">======
ID#AAAANVU22sk
Michael    (2021-07-20 22:25:01)
27-28 May
(On a selective basis)</t>
      </text>
    </comment>
    <comment authorId="0" ref="N14">
      <text>
        <t xml:space="preserve">======
ID#AAAANVU22rw
Michael    (2021-07-20 22:25:01)
30 Jul to early Aug 2021.
(On a selective basis)</t>
      </text>
    </comment>
    <comment authorId="0" ref="N35">
      <text>
        <t xml:space="preserve">======
ID#AAAANVU22rs
Michael    (2021-07-20 22:25:01)
May - Jun
(On a selective basis)</t>
      </text>
    </comment>
    <comment authorId="0" ref="N22">
      <text>
        <t xml:space="preserve">======
ID#AAAANVU22rk
Michael    (2021-07-20 22:25:01)
前: 15-18 Jun
後: 31 Jul to early Aug
(On a selective basis)</t>
      </text>
    </comment>
    <comment authorId="0" ref="M18">
      <text>
        <t xml:space="preserve">======
ID#AAAANVU22rg
Michael Chan    (2021-07-20 22:25:01)
A minimum TOEFL score of 600 (paper) / 100 (internet) or a minimum IELTS score of 7.0 or native speaker documentation is required.</t>
      </text>
    </comment>
    <comment authorId="0" ref="I29">
      <text>
        <t xml:space="preserve">======
ID#AAAANVU22rM
Michael Chan    (2021-07-20 22:25:01)
重考扣分: 5%或更少
(此處作5%)</t>
      </text>
    </comment>
    <comment authorId="0" ref="N21">
      <text>
        <t xml:space="preserve">======
ID#AAAANVU22qU
Michael    (2021-07-20 22:25:01)
前: 21-25 Jun
後: 31 Jul to early Aug
(On a selective basis)</t>
      </text>
    </comment>
    <comment authorId="0" ref="N4">
      <text>
        <t xml:space="preserve">======
ID#AAAANVU22qE
Michael    (2021-07-20 22:25:01)
(On a selective basis)</t>
      </text>
    </comment>
    <comment authorId="0" ref="L13">
      <text>
        <t xml:space="preserve">======
ID#AAAANVU22p4
Michael Chan    (2021-07-20 22:25:01)
Combined figure for programmes JS4109 &amp; JS4111</t>
      </text>
    </comment>
    <comment authorId="0" ref="N31">
      <text>
        <t xml:space="preserve">======
ID#AAAANVU22pg
Michael    (2021-07-20 22:25:01)
Jun
(On a selective basis)</t>
      </text>
    </comment>
    <comment authorId="0" ref="C7">
      <text>
        <t xml:space="preserve">======
ID#AAAANVU22ns
Michael Chan    (2021-07-20 22:25:01)
優先考慮修讀 視覺藝術 者</t>
      </text>
    </comment>
    <comment authorId="0" ref="N51">
      <text>
        <t xml:space="preserve">======
ID#AAAANVU22mw
Michael    (2021-07-20 22:25:01)
前: 未公佈
後: 31 Jul to early Aug
(On a selective basis)</t>
      </text>
    </comment>
    <comment authorId="0" ref="C44">
      <text>
        <t xml:space="preserve">======
ID#AAAANVU22mc
Michael Chan    (2021-07-20 22:25:01)
只考慮甲類科目
及
優先考慮修讀以下科目者:
- M1/2
- 生物
- 化學
- 物理
- 經濟
- 地理
- ICT
- 組合科學
- 綜合科學
- 科技與生活</t>
      </text>
    </comment>
    <comment authorId="0" ref="S48">
      <text>
        <t xml:space="preserve">======
ID#AAAANVU22mY
Michael    (2021-07-20 22:25:01)
只限甲類科目</t>
      </text>
    </comment>
    <comment authorId="0" ref="E57">
      <text>
        <t xml:space="preserve">======
ID#AAAANVU22kE
Michael Chan    (2021-07-20 22:25:01)
x1.5: 英文、數學</t>
      </text>
    </comment>
    <comment authorId="0" ref="I20">
      <text>
        <t xml:space="preserve">======
ID#AAAANVU22j4
Michael Chan    (2021-07-20 22:25:01)
重考扣分: 6%至10%
(此處作10%)
# Selected applicants with more than one sitting of the HKDSE examination will be invited for interview. Penalty may be waived for applicants with outstanding interview performance.</t>
      </text>
    </comment>
    <comment authorId="0" ref="E52">
      <text>
        <t xml:space="preserve">======
ID#AAAANVU22jc
Michael Chan    (2021-07-20 22:25:01)
x1.5: 英文</t>
      </text>
    </comment>
    <comment authorId="0" ref="T45">
      <text>
        <t xml:space="preserve">======
ID#AAAANVU22jQ
以下一科    (2021-07-20 22:25:01)
- M1/M2
- 生物
- 化學
- 物理
- 組合科學
- 綜合科學
- 地理</t>
      </text>
    </comment>
    <comment authorId="0" ref="N32">
      <text>
        <t xml:space="preserve">======
ID#AAAANVU22jI
Michael    (2021-07-20 22:25:01)
Late May to early Jun
(On a selective basis)</t>
      </text>
    </comment>
    <comment authorId="0" ref="S34">
      <text>
        <t xml:space="preserve">======
ID#AAAANVU22ik
以下一科    (2021-07-20 22:25:01)
- M1/M2
- 生物
- 化學
- 物理
- 組合科學</t>
      </text>
    </comment>
    <comment authorId="0" ref="E23">
      <text>
        <t xml:space="preserve">======
ID#AAAANVU22g0
SHEK, Kam Ming    (2021-07-20 22:25:01)
2021年將以Best 5 (包含英文)收生
此處仍以4C2X作估算，請注意</t>
      </text>
    </comment>
    <comment authorId="0" ref="E6">
      <text>
        <t xml:space="preserve">======
ID#AAAANVU22gY
Michael Chan    (2021-07-20 22:25:01)
2021年會以Best 5收生
此處仍以4C2X作估算，請注意
英文有較高比重
(此處作x1.5)</t>
      </text>
    </comment>
    <comment authorId="0" ref="T48">
      <text>
        <t xml:space="preserve">======
ID#AAAANVU22gQ
Michael    (2021-07-20 22:25:01)
必須修讀 M1/2</t>
      </text>
    </comment>
    <comment authorId="0" ref="I54">
      <text>
        <t xml:space="preserve">======
ID#AAAANVU22fQ
Michael Chan    (2021-07-20 22:25:01)
重考扣分: 6%至10%
(此處作10%)</t>
      </text>
    </comment>
    <comment authorId="0" ref="E32">
      <text>
        <t xml:space="preserve">======
ID#AAAANVU22do
Michael Chan    (2021-07-20 22:25:01)
x1.75: 數學、M1/2
x1.5: 物理、生物、化學、組合科學、經濟、BAFS、ICT
x1.25: 中文、英文</t>
      </text>
    </comment>
    <comment authorId="0" ref="C6">
      <text>
        <t xml:space="preserve">======
ID#AAAANVU22cU
Michael Chan    (2021-07-20 22:25:01)
優先考慮修讀 英語文學 者</t>
      </text>
    </comment>
    <comment authorId="0" ref="E35">
      <text>
        <t xml:space="preserve">======
ID#AAAANVU22cE
Michael Chan    (2021-07-20 22:25:01)
x1.5: 數學、M1/2、物理、生物、化學、組合科學、DAT、ICT
x1.2: 經濟、地理
x0.5: 通識</t>
      </text>
    </comment>
    <comment authorId="0" ref="E45">
      <text>
        <t xml:space="preserve">======
ID#AAAANVU22bs
較高比重科目    (2021-07-20 22:25:01)
英文、數學、M1/2、物理、生物、化學、組合科學、綜合科學、地理
(此處作x1.5)</t>
      </text>
    </comment>
    <comment authorId="0" ref="I17">
      <text>
        <t xml:space="preserve">======
ID#AAAANVU22bg
Michael Chan    (2021-07-20 22:25:01)
重考扣分: 5%或更少
(此處作5%)
# Selected applicants with more than one sitting of the HKDSE examination will be invited for interview. Penalty may be waived for applicants with outstanding interview performance.</t>
      </text>
    </comment>
    <comment authorId="0" ref="C43">
      <text>
        <t xml:space="preserve">======
ID#AAAANVU22bU
Michael Chan    (2021-07-20 22:25:01)
只考慮甲類科目</t>
      </text>
    </comment>
    <comment authorId="0" ref="N9">
      <text>
        <t xml:space="preserve">======
ID#AAAANVU22bM
Michael    (2021-07-20 22:25:01)
(On a selective basis)</t>
      </text>
    </comment>
    <comment authorId="0" ref="I37">
      <text>
        <t xml:space="preserve">======
ID#AAAANVU22Z8
Michael Chan    (2021-07-20 22:25:01)
重考扣分: 6%至10%
(此處作10%)</t>
      </text>
    </comment>
    <comment authorId="0" ref="N13">
      <text>
        <t xml:space="preserve">======
ID#AAAANVU22Z0
Michael    (2021-07-20 22:25:01)
前: 27 May
後: 31 Jul to early Aug
(On a selective basis)</t>
      </text>
    </comment>
    <comment authorId="0" ref="L38">
      <text>
        <t xml:space="preserve">======
ID#AAAANVU22Zs
Michael Chan    (2021-07-20 22:25:01)
Intake quota 30-50 (combined figure of 265 for programmes JS4501 and JS4502)</t>
      </text>
    </comment>
    <comment authorId="0" ref="E3">
      <text>
        <t xml:space="preserve">======
ID#AAAANVU22Yg
Michael Chan    (2021-07-20 22:25:01)
中文有較高比重
(此處作x1.5)</t>
      </text>
    </comment>
    <comment authorId="0" ref="N59">
      <text>
        <t xml:space="preserve">======
ID#AAAANVU22YU
Michael    (2021-07-20 22:25:01)
前: 未公佈
後: 31 Jul to early Aug
(On a selective basis)</t>
      </text>
    </comment>
    <comment authorId="0" ref="E54">
      <text>
        <t xml:space="preserve">======
ID#AAAANVU22XA
Michael Chan    (2021-07-20 22:25:01)
x1.5: 英文
x1.25: 中文、通識</t>
      </text>
    </comment>
  </commentList>
  <extLst>
    <ext uri="GoogleSheetsCustomDataVersion1">
      <go:sheetsCustomData xmlns:go="http://customooxmlschemas.google.com/" r:id="rId1" roundtripDataSignature="AMtx7mhHsRjl2aS+tz2pIyuIWqI/OrTr5A=="/>
    </ext>
  </extLst>
</comments>
</file>

<file path=xl/comments10.xml><?xml version="1.0" encoding="utf-8"?>
<comments xmlns:r="http://schemas.openxmlformats.org/officeDocument/2006/relationships" xmlns="http://schemas.openxmlformats.org/spreadsheetml/2006/main">
  <authors>
    <author/>
  </authors>
  <commentList>
    <comment authorId="0" ref="E22">
      <text>
        <t xml:space="preserve">======
ID#AAAANVU23x0
Michael Chan    (2021-07-20 22:25:02)
英文 x2 數學 x2
+
最佳下列理科 x1.5
(生物/化學)
+
最佳3科 x1</t>
      </text>
    </comment>
    <comment authorId="0" ref="E26">
      <text>
        <t xml:space="preserve">======
ID#AAAANVU23xc
Michael Chan    (2021-07-20 22:25:02)
英文 x2 數學 x2
+
最佳理科 x2
(生物/ 化學 /物理 / 組合科學)
或
ICT x1
+
最佳3科 x1 (M1/2 x1.5)</t>
      </text>
    </comment>
    <comment authorId="0" ref="E12">
      <text>
        <t xml:space="preserve">======
ID#AAAANVU23ws
Michael Chan    (2021-07-20 22:25:02)
英文 x2 數學 x2
+
最佳4科 x1</t>
      </text>
    </comment>
    <comment authorId="0" ref="M3">
      <text>
        <t xml:space="preserve">======
ID#AAAANVU23wc
Michael    (2021-07-20 22:25:02)
12 May 2021
(For selected candidates)</t>
      </text>
    </comment>
    <comment authorId="0" ref="M13">
      <text>
        <t xml:space="preserve">======
ID#AAAANVU23vU
Michael    (2021-07-20 22:25:02)
29-30 May 2021; 
5-6 Jun 2021
(For selected candidates)</t>
      </text>
    </comment>
    <comment authorId="0" ref="R7">
      <text>
        <t xml:space="preserve">======
ID#AAAANVU23uo
以下一科    (2021-07-20 22:25:02)
生物/ 化學 /物理 / 組合科學/ ICT / DAT</t>
      </text>
    </comment>
    <comment authorId="0" ref="M11">
      <text>
        <t xml:space="preserve">======
ID#AAAANVU23t4
Michael    (2021-07-20 22:25:02)
29-30 May 2021; 
5-6 Jun 2021
(For selected candidates)</t>
      </text>
    </comment>
    <comment authorId="0" ref="M8">
      <text>
        <t xml:space="preserve">======
ID#AAAANVU23so
Michael    (2021-07-20 22:25:02)
1-2 Jun 2021
(For selected candidates)</t>
      </text>
    </comment>
    <comment authorId="0" ref="M14">
      <text>
        <t xml:space="preserve">======
ID#AAAANVU23oA
Michael    (2021-07-20 22:25:02)
29-30 May 2021; 
5-6 Jun 2021
(For selected candidates)</t>
      </text>
    </comment>
    <comment authorId="0" ref="E19">
      <text>
        <t xml:space="preserve">======
ID#AAAANVU23mo
Michael Chan    (2021-07-20 22:25:02)
英文 x2 數學 x2
+
最佳4科 X1
或
下列最佳科目 x1.5
(M1/2/化學/經濟/物理)
+
最佳2科 x1</t>
      </text>
    </comment>
    <comment authorId="0" ref="M25">
      <text>
        <t xml:space="preserve">======
ID#AAAANVU23jw
Michael    (2021-07-20 22:25:02)
前: 31 May 2021 ; 2 Jun 2021
後: Late Jul 2021
Interview is compulsory.</t>
      </text>
    </comment>
    <comment authorId="0" ref="M16">
      <text>
        <t xml:space="preserve">======
ID#AAAANVU23ik
Michael    (2021-07-20 22:25:02)
29-30 May 2021; 
5-6 Jun 2021
(For selected candidates)</t>
      </text>
    </comment>
    <comment authorId="0" ref="R3">
      <text>
        <t xml:space="preserve">======
ID#AAAANVU23ig
以下一科    (2021-07-20 22:25:02)
M1/2 / 生物/ 化學 /物理 / 組合科學</t>
      </text>
    </comment>
    <comment authorId="0" ref="E23">
      <text>
        <t xml:space="preserve">======
ID#AAAANVU23hM
Michael Chan    (2021-07-20 22:25:02)
英文 x2 數學 x2
+
最佳4科 x1</t>
      </text>
    </comment>
    <comment authorId="0" ref="R2">
      <text>
        <t xml:space="preserve">======
ID#AAAANVU23dQ
以下兩科    (2021-07-20 22:25:02)
M1/2 / 生物/ 化學 /物理 / 組合科學</t>
      </text>
    </comment>
    <comment authorId="0" ref="E13">
      <text>
        <t xml:space="preserve">======
ID#AAAANVU23bY
Michael Chan    (2021-07-20 22:25:02)
英文 x2 數學 x2
+
最佳4科 x1</t>
      </text>
    </comment>
    <comment authorId="0" ref="E11">
      <text>
        <t xml:space="preserve">======
ID#AAAANVU23ac
Michael Chan    (2021-07-20 22:25:02)
英文 x2 數學 x2
+
最佳4科 X1
或
下列最佳科目 x1.5
(M1/2/化學/經濟/物理)
+
最佳2科 x1</t>
      </text>
    </comment>
    <comment authorId="0" ref="M15">
      <text>
        <t xml:space="preserve">======
ID#AAAANVU23Zs
Michael    (2021-07-20 22:25:02)
29-30 May 2021; 
5-6 Jun 2021
(For selected candidates)</t>
      </text>
    </comment>
    <comment authorId="0" ref="R22">
      <text>
        <t xml:space="preserve">======
ID#AAAANVU23Zc
以下一科    (2021-07-20 22:25:02)
生物/ 化學</t>
      </text>
    </comment>
    <comment authorId="0" ref="E17">
      <text>
        <t xml:space="preserve">======
ID#AAAANVU23Yo
Michael Chan    (2021-07-20 22:25:02)
英文 x2 數學 x2
+
最佳4科 x1</t>
      </text>
    </comment>
    <comment authorId="0" ref="M9">
      <text>
        <t xml:space="preserve">======
ID#AAAANVU23R0
Michael    (2021-07-20 22:25:02)
29-30 May 2021; 
5-6 Jun 2021
(For selected candidates)</t>
      </text>
    </comment>
    <comment authorId="0" ref="E20">
      <text>
        <t xml:space="preserve">======
ID#AAAANVU23PE
Michael Chan    (2021-07-20 22:25:02)
英文 x2 中文 x1.5
+
最佳4科 x1</t>
      </text>
    </comment>
    <comment authorId="0" ref="E4">
      <text>
        <t xml:space="preserve">======
ID#AAAANVU23OM
Michael Chan    (2021-07-20 22:25:02)
英文 x1.5 數學 x1
+
最佳2科理科 + 最佳1科 或
最佳1科理科 + 最佳2科
x2: 生物/化學
x1.5: M1/2 /物理/組合科學</t>
      </text>
    </comment>
    <comment authorId="0" ref="M20">
      <text>
        <t xml:space="preserve">======
ID#AAAANVU23N8
Michael    (2021-07-20 22:25:02)
Jun 2021
(For selected candidates)</t>
      </text>
    </comment>
    <comment authorId="0" ref="R24">
      <text>
        <t xml:space="preserve">======
ID#AAAANVU23M4
以下一科    (2021-07-20 22:25:02)
生物/ 化學 /物理 / 組合科學/ 綜合科學/
經濟/ M1/2</t>
      </text>
    </comment>
    <comment authorId="0" ref="E6">
      <text>
        <t xml:space="preserve">======
ID#AAAANVU23MM
Michael Chan    (2021-07-20 22:25:02)
英文 x2 數學 x2
+
最佳理科 x2
(生物/ 化學 /物理 / 組合科學)
或
ICT x1
+
最佳2科 x1 (M1/2 x1.5)</t>
      </text>
    </comment>
    <comment authorId="0" ref="E10">
      <text>
        <t xml:space="preserve">======
ID#AAAANVU23Lg
Michael Chan    (2021-07-20 22:25:02)
英文 x2 數學 x2
+
最佳4科 x1</t>
      </text>
    </comment>
    <comment authorId="0" ref="E5">
      <text>
        <t xml:space="preserve">======
ID#AAAANVU23Js
Michael Chan    (2021-07-20 22:25:02)
2021年新科目
英文 x1.5 數學 x1
+
最佳2科理科 + 最佳1科 或
最佳1科理科 + 最佳2科
x2: M1/2/ 物理
x1.5: 生物 / 化學 / 組合科學</t>
      </text>
    </comment>
    <comment authorId="0" ref="E3">
      <text>
        <t xml:space="preserve">======
ID#AAAANVU23I4
Michael Chan    (2021-07-20 22:25:02)
英文 x1.5 數學 x1
+
最佳2科理科 + 最佳1科 或
最佳1科理科 + 最佳2科
x2: M1/2/ 物理
x1.5: 生物 / 化學 / 組合科學</t>
      </text>
    </comment>
    <comment authorId="0" ref="R4">
      <text>
        <t xml:space="preserve">======
ID#AAAANVU23HI
以下一科    (2021-07-20 22:25:02)
M1/2 / 生物/ 化學 /物理 / 組合科學</t>
      </text>
    </comment>
    <comment authorId="0" ref="E16">
      <text>
        <t xml:space="preserve">======
ID#AAAANVU23D0
Michael Chan    (2021-07-20 22:25:02)
英文 x2 數學 x2
+
最佳4科 x1</t>
      </text>
    </comment>
    <comment authorId="0" ref="R6">
      <text>
        <t xml:space="preserve">======
ID#AAAANVU23Dg
以下一科    (2021-07-20 22:25:02)
生物/ 化學 /物理 / 組合科學/ ICT</t>
      </text>
    </comment>
    <comment authorId="0" ref="M2">
      <text>
        <t xml:space="preserve">======
ID#AAAANVU23DA
Michael Chan    (2021-07-20 22:25:02)
Jul 2021
Interview is compulsory.</t>
      </text>
    </comment>
    <comment authorId="0" ref="E2">
      <text>
        <t xml:space="preserve">======
ID#AAAANVU23C4
Michael Chan    (2021-07-20 22:25:02)
英文 x1 數學 x1
+
最佳兩科理科 x1
(M1/2 / 生物/ 化學 /物理 / 組合科學)
+
最佳一科 x1</t>
      </text>
    </comment>
    <comment authorId="0" ref="L7">
      <text>
        <t xml:space="preserve">======
ID#AAAANVU23Cg
Michael    (2021-07-20 22:25:02)
Submission of Design and Technology Project experience document (DTP)/ Student Learning Profile (SLP)/ Other Experiences and Achievements (OEA) are compulsory for admissions to this program.</t>
      </text>
    </comment>
    <comment authorId="0" ref="M24">
      <text>
        <t xml:space="preserve">======
ID#AAAANVU23BM
Michael    (2021-07-20 22:25:02)
23 May 2021
(For selected candidates)</t>
      </text>
    </comment>
    <comment authorId="0" ref="M17">
      <text>
        <t xml:space="preserve">======
ID#AAAANVU22-c
Michael    (2021-07-20 22:25:02)
29-30 May 2021; 
5-6 Jun 2021
(For selected candidates)</t>
      </text>
    </comment>
    <comment authorId="0" ref="E24">
      <text>
        <t xml:space="preserve">======
ID#AAAANVU229w
Michael Chan    (2021-07-20 22:25:02)
英文 x2 數學 x2
+
M1/2 x 2 或
最佳下列科目 x1.5
(生物/化學/物理/組合科學/綜合科學/經濟)
+
最佳3科 x1</t>
      </text>
    </comment>
    <comment authorId="0" ref="E7">
      <text>
        <t xml:space="preserve">======
ID#AAAANVU228c
Michael Chan    (2021-07-20 22:25:01)
英文 x2 數學 x2
+
最佳理科 x2
(生物/ 化學 /物理 / 組合科學/DAT)
或
ICT x1
+
最佳2科 x1 (M1/2 x1.5)</t>
      </text>
    </comment>
    <comment authorId="0" ref="M22">
      <text>
        <t xml:space="preserve">======
ID#AAAANVU225g
Michael    (2021-07-20 22:25:01)
26 May 2021
(For selected candidates)</t>
      </text>
    </comment>
    <comment authorId="0" ref="M23">
      <text>
        <t xml:space="preserve">======
ID#AAAANVU221c
Michael    (2021-07-20 22:25:01)
前: 28 May 2021
後: Late Jul 2021
(For selected candidates)</t>
      </text>
    </comment>
    <comment authorId="0" ref="R8">
      <text>
        <t xml:space="preserve">======
ID#AAAANVU2204
以下一科    (2021-07-20 22:25:01)
生物/ 化學 /物理 / 組合科學/ ICT</t>
      </text>
    </comment>
    <comment authorId="0" ref="E8">
      <text>
        <t xml:space="preserve">======
ID#AAAANVU2200
Michael Chan    (2021-07-20 22:25:01)
2021年新科目
英文 x2 數學 x2
+
最佳理科 x2
(生物/ 化學 /物理 / 組合科學)
或
ICT x1
+
最佳2科 x1 (M1/2 x1.5)</t>
      </text>
    </comment>
    <comment authorId="0" ref="R5">
      <text>
        <t xml:space="preserve">======
ID#AAAANVU22y0
以下一科    (2021-07-20 22:25:01)
M1/2 / 生物/ 化學 /物理 / 組合科學</t>
      </text>
    </comment>
    <comment authorId="0" ref="M19">
      <text>
        <t xml:space="preserve">======
ID#AAAANVU22yU
Michael    (2021-07-20 22:25:01)
前: 29-30 May 2021; 5-6 Jun 2021
後: Late Jul 2021
Interview is compulsory.</t>
      </text>
    </comment>
    <comment authorId="0" ref="E21">
      <text>
        <t xml:space="preserve">======
ID#AAAANVU22xw
Michael Chan    (2021-07-20 22:25:01)
英文 x2 數學 x2
+
最佳4科 x1 (M1/2 x1.5)</t>
      </text>
    </comment>
    <comment authorId="0" ref="M26">
      <text>
        <t xml:space="preserve">======
ID#AAAANVU22xg
Michael    (2021-07-20 22:25:01)
前: 27 May 2021
後: Late Jul 2021
Interview is compulsory.</t>
      </text>
    </comment>
    <comment authorId="0" ref="M21">
      <text>
        <t xml:space="preserve">======
ID#AAAANVU22w4
Michael    (2021-07-20 22:25:01)
Jun 2021
(For selected candidates)</t>
      </text>
    </comment>
    <comment authorId="0" ref="E9">
      <text>
        <t xml:space="preserve">======
ID#AAAANVU22wo
Michael Chan    (2021-07-20 22:25:01)
英文 x2 數學 x2
+
最佳4科 x1</t>
      </text>
    </comment>
    <comment authorId="0" ref="M12">
      <text>
        <t xml:space="preserve">======
ID#AAAANVU22v0
Michael    (2021-07-20 22:25:01)
前: 29-30 May 2021; 5-6 Jun 2021
後: Late Jul/ Early Aug 2021
Interview is compulsory.</t>
      </text>
    </comment>
    <comment authorId="0" ref="K3">
      <text>
        <t xml:space="preserve">======
ID#AAAANVU22vM
Michael    (2021-07-20 22:25:01)
Combined Figure for JS5102 &amp; JS5103</t>
      </text>
    </comment>
    <comment authorId="0" ref="E14">
      <text>
        <t xml:space="preserve">======
ID#AAAANVU22tA
Michael Chan    (2021-07-20 22:25:01)
英文 x2 數學 x2
+
最佳4科 x1</t>
      </text>
    </comment>
    <comment authorId="0" ref="M6">
      <text>
        <t xml:space="preserve">======
ID#AAAANVU22sE
Michael    (2021-07-20 22:25:01)
1-2 Jun 2021
(For selected candidates)</t>
      </text>
    </comment>
    <comment authorId="0" ref="M7">
      <text>
        <t xml:space="preserve">======
ID#AAAANVU22ro
Michael    (2021-07-20 22:25:01)
前: 24–30 Jun 2021
後: 27–29 Jul 2021
Interview is compulsory.
Submission of Design and Technology Project experience document (DTP)/ Student Learning Profile (SLP)/ Other Experiences and Achievements (OEA) are compulsory for admissions to this program.</t>
      </text>
    </comment>
    <comment authorId="0" ref="M10">
      <text>
        <t xml:space="preserve">======
ID#AAAANVU22pY
Michael    (2021-07-20 22:25:01)
29-30 May 2021; 
5-6 Jun 2021
(For selected candidates)</t>
      </text>
    </comment>
    <comment authorId="0" ref="K13">
      <text>
        <t xml:space="preserve">======
ID#AAAANVU22jU
Michael Chan    (2021-07-20 22:25:01)
Combined Figure for JS5311, JS5314, JS5315, JS5316 &amp; JS5317</t>
      </text>
    </comment>
    <comment authorId="0" ref="E15">
      <text>
        <t xml:space="preserve">======
ID#AAAANVU22iE
Michael Chan    (2021-07-20 22:25:01)
英文 x2 數學 x2
+
最佳4科 x1</t>
      </text>
    </comment>
    <comment authorId="0" ref="M18">
      <text>
        <t xml:space="preserve">======
ID#AAAANVU22dU
Michael    (2021-07-20 22:25:01)
前: 29-30 May 2021; 5-6 Jun 2021
後: Late Jul 2021
Interview is compulsory.</t>
      </text>
    </comment>
    <comment authorId="0" ref="E18">
      <text>
        <t xml:space="preserve">======
ID#AAAANVU22c0
Michael Chan    (2021-07-20 22:25:01)
英文 x2 數學 x2
+
最佳4科 X1
或
下列最佳科目 x1.5
(M1/2/化學/經濟/物理)
+
最佳2科 x1</t>
      </text>
    </comment>
    <comment authorId="0" ref="R26">
      <text>
        <t xml:space="preserve">======
ID#AAAANVU22aY
以下一科    (2021-07-20 22:25:01)
生物/ 化學 /物理 / 組合科學/ ICT</t>
      </text>
    </comment>
    <comment authorId="0" ref="M4">
      <text>
        <t xml:space="preserve">======
ID#AAAANVU22aE
Michael    (2021-07-20 22:25:01)
12 May 2021
(For selected candidates)</t>
      </text>
    </comment>
    <comment authorId="0" ref="M5">
      <text>
        <t xml:space="preserve">======
ID#AAAANVU22Yw
Michael    (2021-07-20 22:25:01)
12 May 2021
(For selected candidates)</t>
      </text>
    </comment>
    <comment authorId="0" ref="E25">
      <text>
        <t xml:space="preserve">======
ID#AAAANVU22Yo
Michael Chan    (2021-07-20 22:25:01)
英文 x2 數學 x2
+
最佳4科 x1 (M1/2 x1.5)</t>
      </text>
    </comment>
    <comment authorId="0" ref="S2">
      <text>
        <t xml:space="preserve">======
ID#AAAANVU22YI
以下兩科    (2021-07-20 22:25:01)
M1/2 / 生物/ 化學 /物理 / 組合科學</t>
      </text>
    </comment>
    <comment authorId="0" ref="K10">
      <text>
        <t xml:space="preserve">======
ID#AAAANVU22Xc
Michael    (2021-07-20 22:25:01)
Combined Figure for JS5311, JS5314, JS5315, JS5316 &amp; JS5317</t>
      </text>
    </comment>
    <comment authorId="0" ref="L2">
      <text>
        <t xml:space="preserve">======
ID#AAAANVU22XI
Michael Chan    (2021-07-20 22:25:01)
Interview is compulsory for admission.</t>
      </text>
    </comment>
  </commentList>
  <extLst>
    <ext uri="GoogleSheetsCustomDataVersion1">
      <go:sheetsCustomData xmlns:go="http://customooxmlschemas.google.com/" r:id="rId1" roundtripDataSignature="AMtx7mipufW9fw2TaJ6MZIouFhF6UFlaeA=="/>
    </ext>
  </extLst>
</comments>
</file>

<file path=xl/comments11.xml><?xml version="1.0" encoding="utf-8"?>
<comments xmlns:r="http://schemas.openxmlformats.org/officeDocument/2006/relationships" xmlns="http://schemas.openxmlformats.org/spreadsheetml/2006/main">
  <authors>
    <author/>
  </authors>
  <commentList>
    <comment authorId="0" ref="T34">
      <text>
        <t xml:space="preserve">======
ID#AAAANVU23yc
Michael    (2021-07-20 22:25:02)
必須修讀M1/2</t>
      </text>
    </comment>
    <comment authorId="0" ref="P41">
      <text>
        <t xml:space="preserve">======
ID#AAAANVU23xo
Michael Chan    (2021-07-20 22:25:02)
英文科考獲 Lv.4 及 其他科目考獲優異成績的考生，將會按個別情況考慮。</t>
      </text>
    </comment>
    <comment authorId="0" ref="E37">
      <text>
        <t xml:space="preserve">======
ID#AAAANVU23w8
Michael    (2021-07-20 22:25:02)
將考慮甲類及丙類科目，但不包括M1/2</t>
      </text>
    </comment>
    <comment authorId="0" ref="N33">
      <text>
        <t xml:space="preserve">======
ID#AAAANVU23w4
前    (2021-07-20 22:25:02)
1st Round: Jan 13 to 15, 2021 (Updated)
2nd Round: June, 2021
後: To be confirmed
Selected applicants are ENCOURAGED to attend the interview before the release of HKDSE results. Priority will be given to applicants with outstanding performance in the interview.</t>
      </text>
    </comment>
    <comment authorId="0" ref="E22">
      <text>
        <t xml:space="preserve">======
ID#AAAANVU23w0
Michael    (2021-07-20 22:25:02)
將考慮甲類及丙類科目，M1/2可被當作一科選修
最佳5科必須包括 英文、數學</t>
      </text>
    </comment>
    <comment authorId="0" ref="T23">
      <text>
        <t xml:space="preserve">======
ID#AAAANVU23wg
Michael    (2021-07-20 22:25:02)
優先考慮 M1/2 考獲 Lv.3或以上者 (非必須)</t>
      </text>
    </comment>
    <comment authorId="0" ref="M42">
      <text>
        <t xml:space="preserve">======
ID#AAAANVU23wU
Michael Chan    (2021-07-20 22:25:02)
申請人須遞交至少 一份 創意作品 (如 畫作、寫作 或 任何創作) 供學系作考慮。
作品集應直接以電子版方式向學系遞交。
如果申請人想遞交推薦信(非必須)，申請人只可遞交不多於三封信，紙本及電子版均可接受。</t>
      </text>
    </comment>
    <comment authorId="0" ref="E42">
      <text>
        <t xml:space="preserve">======
ID#AAAANVU23us
Michael Chan    (2021-07-20 22:25:02)
將考慮甲類及丙類科目，M1/2可被當作一科選修</t>
      </text>
    </comment>
    <comment authorId="0" ref="E20">
      <text>
        <t xml:space="preserve">======
ID#AAAANVU23uU
Michael    (2021-07-20 22:25:02)
將考慮甲類及丙類科目，但不包括M1/2</t>
      </text>
    </comment>
    <comment authorId="0" ref="S31">
      <text>
        <t xml:space="preserve">======
ID#AAAANVU23t0
以下一科    (2021-07-20 22:25:02)
- 化學
- 組合科學 (化學)</t>
      </text>
    </comment>
    <comment authorId="0" ref="E11">
      <text>
        <t xml:space="preserve">======
ID#AAAANVU23tM
Michael Chan    (2021-07-20 22:25:02)
最佳6科必須包括 英文、數學
M1/2可被用作取代數學
x1.5: 英文、[數學或M1/2]</t>
      </text>
    </comment>
    <comment authorId="0" ref="E27">
      <text>
        <t xml:space="preserve">======
ID#AAAANVU23rU
Michael    (2021-07-20 22:25:02)
2021年新科目
將考慮甲類及丙類科目，但不包括M1/2
若同學欲接駁到 MBBS 的升學途徑，同學須獲一級榮譽畢業，以及DSE有修讀化學 或 組合科學 (化學)
* BNurs with first class honours and HKDSE “Chemistry” or “Combined Science (Chemistry)” are required for the MBBS articulation pathway</t>
      </text>
    </comment>
    <comment authorId="0" ref="E36">
      <text>
        <t xml:space="preserve">======
ID#AAAANVU23rQ
Michael    (2021-07-20 22:25:02)
將考慮甲類及丙類科目，但不包括M1/2</t>
      </text>
    </comment>
    <comment authorId="0" ref="N39">
      <text>
        <t xml:space="preserve">======
ID#AAAANVU23rA
Michael    (2021-07-20 22:25:02)
前: June 9 to 11
後: To be confirmed
Selected applicants are ENCOURAGED to attend the interview before the release of HKDSE results. Priority will be given to applicants with outstanding performance in the interview.</t>
      </text>
    </comment>
    <comment authorId="0" ref="E9">
      <text>
        <t xml:space="preserve">======
ID#AAAANVU23pw
Michael Chan    (2021-07-20 22:25:02)
最佳6科必須包括 英文、數學
M1/2可被用作取代數學
x1.5: 英文、[數學或M1/2]</t>
      </text>
    </comment>
    <comment authorId="0" ref="E24">
      <text>
        <t xml:space="preserve">======
ID#AAAANVU23pk
Michael    (2021-07-20 22:25:02)
將考慮甲類及丙類科目，M1/2可被當作一科選修
最佳5科必須包括 英文、數學</t>
      </text>
    </comment>
    <comment authorId="0" ref="N1">
      <text>
        <t xml:space="preserve">======
ID#AAAANVU23pU
Michael    (2021-07-20 22:25:02)
Note 1: In view of the large number of applicants, preference for interview invitation will be given to candidates who place the programme as their Band-A choice.
Note 2: If the programme has scheduled two interview sessions, candidates are normally required to attend one interview session only.</t>
      </text>
    </comment>
    <comment authorId="0" ref="M28">
      <text>
        <t xml:space="preserve">======
ID#AAAANVU23pA
Michael Chan    (2021-07-20 22:25:02)
重考扣分: 10%
(只有重修過的科目會被扣分)</t>
      </text>
    </comment>
    <comment authorId="0" ref="S14">
      <text>
        <t xml:space="preserve">======
ID#AAAANVU23nY
以下一科    (2021-07-20 22:25:02)
- 生物
- 化學
- 物理
- 組合科學
- 綜合科學</t>
      </text>
    </comment>
    <comment authorId="0" ref="E23">
      <text>
        <t xml:space="preserve">======
ID#AAAANVU23nQ
Michael    (2021-07-20 22:25:02)
將考慮甲類及丙類科目，M1/2可被當作一科選修
最佳5科必須包括 英文、數學</t>
      </text>
    </comment>
    <comment authorId="0" ref="E28">
      <text>
        <t xml:space="preserve">======
ID#AAAANVU23nA
Michael    (2021-07-20 22:25:02)
將會考慮 數學科 或 數學及M1/2的組合分數 (公式如下) 較高者
[MA+(M1/M2*0.5)]/1.5</t>
      </text>
    </comment>
    <comment authorId="0" ref="E25">
      <text>
        <t xml:space="preserve">======
ID#AAAANVU23ko
Michael    (2021-07-20 22:25:02)
最佳6科必須包括 英文</t>
      </text>
    </comment>
    <comment authorId="0" ref="M34">
      <text>
        <t xml:space="preserve">======
ID#AAAANVU23kc
Michael Chan    (2021-07-20 22:25:02)
以2019年或之前成績報考的重考扣分將會以個別情況考慮</t>
      </text>
    </comment>
    <comment authorId="0" ref="E14">
      <text>
        <t xml:space="preserve">======
ID#AAAANVU23kY
Michael    (2021-07-20 22:25:02)
最佳6科必須包括 理科 科目*
x1.3: [生物、化學、物理、組合科學] 其中最佳一科</t>
      </text>
    </comment>
    <comment authorId="0" ref="N29">
      <text>
        <t xml:space="preserve">======
ID#AAAANVU23iY
Michael    (2021-07-20 22:25:02)
前: Early June to Late June
後: Mid-July to Late July
(For selected candidates)</t>
      </text>
    </comment>
    <comment authorId="0" ref="P44">
      <text>
        <t xml:space="preserve">======
ID#AAAANVU23g4
Michael Chan    (2021-07-20 22:25:02)
英文科考獲 Lv.4 及 其他科目考獲優異成績的考生，將會按個別情況考慮。</t>
      </text>
    </comment>
    <comment authorId="0" ref="E44">
      <text>
        <t xml:space="preserve">======
ID#AAAANVU23f4
Michael    (2021-07-20 22:25:02)
將考慮甲類及丙類科目，但不包括M1/2</t>
      </text>
    </comment>
    <comment authorId="0" ref="N32">
      <text>
        <t xml:space="preserve">======
ID#AAAANVU23fY
Michael    (2021-07-20 22:25:02)
前: June 23
後: July 30
(For selected candidates)</t>
      </text>
    </comment>
    <comment authorId="0" ref="E8">
      <text>
        <t xml:space="preserve">======
ID#AAAANVU23ek
Michael Chan    (2021-07-20 22:25:02)
最佳6科必須包括 英文、數學
M1/2可被用作取代數學
x1.5: 英文、[數學或M1/2]</t>
      </text>
    </comment>
    <comment authorId="0" ref="N19">
      <text>
        <t xml:space="preserve">======
ID#AAAANVU23eM
Michael    (2021-07-20 22:25:02)
前: June 15 to 18
後: Late July to Early August
(For selected candidates)</t>
      </text>
    </comment>
    <comment authorId="0" ref="E7">
      <text>
        <t xml:space="preserve">======
ID#AAAANVU23eA
Michael Chan    (2021-07-20 22:25:02)
最佳6科必須包括 英文、數學
M1/2可被當作一科選修
x1.5: 英文、數學</t>
      </text>
    </comment>
    <comment authorId="0" ref="N8">
      <text>
        <t xml:space="preserve">======
ID#AAAANVU23ds
Michael    (2021-07-20 22:25:02)
前: June
後: Late July to Early August
(For selected candidates)</t>
      </text>
    </comment>
    <comment authorId="0" ref="T12">
      <text>
        <t xml:space="preserve">======
ID#AAAANVU23dA
Michael    (2021-07-20 22:25:02)
必須修讀M1/2</t>
      </text>
    </comment>
    <comment authorId="0" ref="N2">
      <text>
        <t xml:space="preserve">======
ID#AAAANVU23cU
Michael    (2021-07-20 22:25:02)
前: Late May to Early June
後: Late July to Early August
(For selected candidates)</t>
      </text>
    </comment>
    <comment authorId="0" ref="S10">
      <text>
        <t xml:space="preserve">======
ID#AAAANVU23cE
以下一科    (2021-07-20 22:25:02)
- 生物
- 化學
- 物理
- ICT
- 組合科學
- 綜合科學</t>
      </text>
    </comment>
    <comment authorId="0" ref="T33">
      <text>
        <t xml:space="preserve">======
ID#AAAANVU23b4
Michael Chan    (2021-07-20 22:25:02)
M1/2 必須考獲 Lv.4或以上</t>
      </text>
    </comment>
    <comment authorId="0" ref="E12">
      <text>
        <t xml:space="preserve">======
ID#AAAANVU23bo
Michael    (2021-07-20 22:25:02)
最佳6科必須包括 英文、數學、M1/2
x1.5: 英文
x1.25: 數學, M1/2</t>
      </text>
    </comment>
    <comment authorId="0" ref="N40">
      <text>
        <t xml:space="preserve">======
ID#AAAANVU23ZY
Michael    (2021-07-20 22:25:02)
前: June 14 to 18
後: To be confirmed
Selected applicants are ENCOURAGED to attend the interview before the release of HKDSE results. Priority will be given to applicants with outstanding performance in the interview.</t>
      </text>
    </comment>
    <comment authorId="0" ref="N21">
      <text>
        <t xml:space="preserve">======
ID#AAAANVU23Y4
前    (2021-07-20 22:25:02)
1st Round: Dec 28 to 30, 2020 (Updated)
2nd Round: June 15 to 17, 2021
後: To be confirmed
Selected applicants are ENCOURAGED to attend the interview before the release of HKDSE results. Priority will be given to applicants with outstanding performance in the interview.</t>
      </text>
    </comment>
    <comment authorId="0" ref="M31">
      <text>
        <t xml:space="preserve">======
ID#AAAANVU23YE
Michael Chan    (2021-07-20 22:25:02)
重考扣分: 10%
(只有重修過的科目會被扣分)</t>
      </text>
    </comment>
    <comment authorId="0" ref="E18">
      <text>
        <t xml:space="preserve">======
ID#AAAANVU23VY
Michael    (2021-07-20 22:25:02)
最佳5科必須包括 英文、數學、最佳理科*
M1/2可被當作一科選修
x2: 數學、M1/2、 生物、化學、物理、組合科學、綜合科學
x1.5: 英文
x1.25: 非理科選修科
*理科: 生物、化學、物理、組合科學、綜合科學</t>
      </text>
    </comment>
    <comment authorId="0" ref="E10">
      <text>
        <t xml:space="preserve">======
ID#AAAANVU23U4
Michael Chan    (2021-07-20 22:25:02)
最佳6科必須包括 英文、數學
M1/2可被當作一科選修
x1.5: 英文、數學</t>
      </text>
    </comment>
    <comment authorId="0" ref="N5">
      <text>
        <t xml:space="preserve">======
ID#AAAANVU23TI
Michael    (2021-07-20 22:25:02)
前: Mid-May to Late May
後: Late July
(For selected candidates)</t>
      </text>
    </comment>
    <comment authorId="0" ref="E41">
      <text>
        <t xml:space="preserve">======
ID#AAAANVU23Ss
Michael    (2021-07-20 22:25:02)
最佳6科必須包括 英文、數學、M1/2
x2: 英文、數學、M1/2
x1.5: 生物、化學、物理、組合科學、綜合科學、ICT</t>
      </text>
    </comment>
    <comment authorId="0" ref="T10">
      <text>
        <t xml:space="preserve">======
ID#AAAANVU23Q4
Michael    (2021-07-20 22:25:02)
優先考慮 M1/2 考獲 Lv.3或以上者 (非必須)</t>
      </text>
    </comment>
    <comment authorId="0" ref="E43">
      <text>
        <t xml:space="preserve">======
ID#AAAANVU23Qc
Michael    (2021-07-20 22:25:02)
最佳6科必須包括 英文、數學
將考慮甲類及丙類科目，M1/2可被當作一科選修</t>
      </text>
    </comment>
    <comment authorId="0" ref="L29">
      <text>
        <t xml:space="preserve">======
ID#AAAANVU23QQ
Michael Chan    (2021-07-20 22:25:02)
210 
(Combined figure for programmes JS6468 (195) &amp; JS6418 (15))</t>
      </text>
    </comment>
    <comment authorId="0" ref="N15">
      <text>
        <t xml:space="preserve">======
ID#AAAANVU23QM
Michael    (2021-07-20 22:25:02)
August 2 to 3
(For selected candidates)</t>
      </text>
    </comment>
    <comment authorId="0" ref="N12">
      <text>
        <t xml:space="preserve">======
ID#AAAANVU23PQ
Michael    (2021-07-20 22:25:02)
前: June
後: Late July to Early August
(For selected candidates)</t>
      </text>
    </comment>
    <comment authorId="0" ref="E5">
      <text>
        <t xml:space="preserve">======
ID#AAAANVU23M0
Michael    (2021-07-20 22:25:02)
將考慮甲類及丙類科目，但不包括M1/2</t>
      </text>
    </comment>
    <comment authorId="0" ref="E29">
      <text>
        <t xml:space="preserve">======
ID#AAAANVU23L4
Michael    (2021-07-20 22:25:02)
將考慮甲類及丙類科目，但不包括M1/2</t>
      </text>
    </comment>
    <comment authorId="0" ref="N9">
      <text>
        <t xml:space="preserve">======
ID#AAAANVU23L0
Michael    (2021-07-20 22:25:02)
前: June
後: Late July to Early August
(For selected candidates)</t>
      </text>
    </comment>
    <comment authorId="0" ref="L27">
      <text>
        <t xml:space="preserve">======
ID#AAAANVU23JM
Michael Chan    (2021-07-20 22:25:02)
210
(Combined figure for programmes JS6468 (195) &amp; JS6418 (15))</t>
      </text>
    </comment>
    <comment authorId="0" ref="S30">
      <text>
        <t xml:space="preserve">======
ID#AAAANVU23Ik
以下一科    (2021-07-20 22:25:02)
- 生物
- 化學
- 物理
- 組合科學
- 綜合科學</t>
      </text>
    </comment>
    <comment authorId="0" ref="M41">
      <text>
        <t xml:space="preserve">======
ID#AAAANVU23IA
Michael Chan    (2021-07-20 22:25:02)
以2019年或之前成績報考的重考扣分將會以個別情況考慮。</t>
      </text>
    </comment>
    <comment authorId="0" ref="S19">
      <text>
        <t xml:space="preserve">======
ID#AAAANVU23Ho
以下一科    (2021-07-20 22:25:02)
- 生物
- 組合科學 (生物)</t>
      </text>
    </comment>
    <comment authorId="0" ref="S24">
      <text>
        <t xml:space="preserve">======
ID#AAAANVU23G4
以下一科    (2021-07-20 22:25:02)
- 物理
- 組合科學 (物理)</t>
      </text>
    </comment>
    <comment authorId="0" ref="N16">
      <text>
        <t xml:space="preserve">======
ID#AAAANVU23Gc
Michael    (2021-07-20 22:25:02)
August 2 to 3
(For selected candidates)</t>
      </text>
    </comment>
    <comment authorId="0" ref="T21">
      <text>
        <t xml:space="preserve">======
ID#AAAANVU23Ek
Michael    (2021-07-20 22:25:02)
優先考慮 M1/2 考獲 Lv.3或以上者 (非必須)</t>
      </text>
    </comment>
    <comment authorId="0" ref="S23">
      <text>
        <t xml:space="preserve">======
ID#AAAANVU23Ds
以下一科    (2021-07-20 22:25:02)
- 物理
- 組合科學 (物理)</t>
      </text>
    </comment>
    <comment authorId="0" ref="M4">
      <text>
        <t xml:space="preserve">======
ID#AAAANVU23Cs
Michael    (2021-07-20 22:25:02)
申請人可遞交 一份 創意作品 (如 畫作、寫作 或 任何創作) 供學系作考慮。
作品集 及 推薦信(如有) 應直接以紙本方式向學系遞交。</t>
      </text>
    </comment>
    <comment authorId="0" ref="S18">
      <text>
        <t xml:space="preserve">======
ID#AAAANVU23BU
以下一科    (2021-07-20 22:25:02)
- 生物
- 化學
- 物理
- 組合科學
- 綜合科學</t>
      </text>
    </comment>
    <comment authorId="0" ref="S32">
      <text>
        <t xml:space="preserve">======
ID#AAAANVU23A8
以下一科    (2021-07-20 22:25:02)
- 化學
- 生物
- 組合科學</t>
      </text>
    </comment>
    <comment authorId="0" ref="E26">
      <text>
        <t xml:space="preserve">======
ID#AAAANVU23As
Michael    (2021-07-20 22:25:02)
最佳6科必須包括 英文</t>
      </text>
    </comment>
    <comment authorId="0" ref="M14">
      <text>
        <t xml:space="preserve">======
ID#AAAANVU23Ac
Michael Chan    (2021-07-20 22:25:02)
重考扣分: 10%
(只有重修過的科目會被扣分)</t>
      </text>
    </comment>
    <comment authorId="0" ref="E30">
      <text>
        <t xml:space="preserve">======
ID#AAAANVU23AQ
Michael    (2021-07-20 22:25:02)
將考慮甲類及丙類科目，但不包括M1/2</t>
      </text>
    </comment>
    <comment authorId="0" ref="E35">
      <text>
        <t xml:space="preserve">======
ID#AAAANVU22_Y
Michael    (2021-07-20 22:25:02)
最佳5科必須包括 英文、數學、最佳理科*
M1/2可被當作一科選修
x2: 數學、M1/2、 生物、化學、物理、組合科學、綜合科學
x1.5: 英文
x1.25: 非理科選修科
*理科: 生物、化學、物理、組合科學、綜合科學</t>
      </text>
    </comment>
    <comment authorId="0" ref="N42">
      <text>
        <t xml:space="preserve">======
ID#AAAANVU22-U
Michael    (2021-07-20 22:25:02)
前: Late May to June
後: Late July to Early August
(For selected candidates)</t>
      </text>
    </comment>
    <comment authorId="0" ref="E17">
      <text>
        <t xml:space="preserve">======
ID#AAAANVU228o
Michael    (2021-07-20 22:25:01)
最佳5科必須包括 英文、中文
x1.5: 英文
x1.2: 中文</t>
      </text>
    </comment>
    <comment authorId="0" ref="N17">
      <text>
        <t xml:space="preserve">======
ID#AAAANVU2268
Michael    (2021-07-20 22:25:01)
July 30 to August 3
(For selected candidates)</t>
      </text>
    </comment>
    <comment authorId="0" ref="M32">
      <text>
        <t xml:space="preserve">======
ID#AAAANVU226M
Michael Chan    (2021-07-20 22:25:01)
重考扣分: 10%
(只有重修過的科目會被扣分)</t>
      </text>
    </comment>
    <comment authorId="0" ref="L7">
      <text>
        <t xml:space="preserve">======
ID#AAAANVU226E
Michael    (2021-07-20 22:25:01)
Combined Figure for JS6767, 6781 &amp; 6860</t>
      </text>
    </comment>
    <comment authorId="0" ref="E39">
      <text>
        <t xml:space="preserve">======
ID#AAAANVU2258
Michael    (2021-07-20 22:25:01)
將考慮甲類及丙類科目，但不包括M1/2</t>
      </text>
    </comment>
    <comment authorId="0" ref="N23">
      <text>
        <t xml:space="preserve">======
ID#AAAANVU224c
前    (2021-07-20 22:25:01)
1st Round: Dec 28 to 30, 2020 (Updated)
2nd Round: June 15 to 17, 2021
後: To be confirmed
Selected applicants are ENCOURAGED to attend the interview before the release of HKDSE results. Priority will be given to applicants with outstanding performance in the interview.</t>
      </text>
    </comment>
    <comment authorId="0" ref="N37">
      <text>
        <t xml:space="preserve">======
ID#AAAANVU224E
Michael    (2021-07-20 22:25:01)
前: June 14 to 18
後: July 26 to 30
(For selected candidates)</t>
      </text>
    </comment>
    <comment authorId="0" ref="P40">
      <text>
        <t xml:space="preserve">======
ID#AAAANVU223w
Michael Chan    (2021-07-20 22:25:01)
英文科考獲 Lv.4 及 其他科目考獲優異成績的考生，將會按個別情況考慮。</t>
      </text>
    </comment>
    <comment authorId="0" ref="E15">
      <text>
        <t xml:space="preserve">======
ID#AAAANVU223U
Michael    (2021-07-20 22:25:01)
最佳5科必須包括 英文、通識
x1.5: 英文
x1.2: 通識</t>
      </text>
    </comment>
    <comment authorId="0" ref="N44">
      <text>
        <t xml:space="preserve">======
ID#AAAANVU222U
Michael    (2021-07-20 22:25:01)
前: June 7 to 11
後: July 26 to 30
(For selected candidates)</t>
      </text>
    </comment>
    <comment authorId="0" ref="E16">
      <text>
        <t xml:space="preserve">======
ID#AAAANVU221k
Michael    (2021-07-20 22:25:01)
最佳5科必須包括 中文、通識
x1.5: 中文
x1.2: 通識</t>
      </text>
    </comment>
    <comment authorId="0" ref="E2">
      <text>
        <t xml:space="preserve">======
ID#AAAANVU221Y
Michael Chan    (2021-07-20 22:25:01)
將考慮甲類及丙類科目，M1/2可被當作一科選修</t>
      </text>
    </comment>
    <comment authorId="0" ref="E13">
      <text>
        <t xml:space="preserve">======
ID#AAAANVU221I
Michael Chan    (2021-07-20 22:25:01)
最佳6科必須包括 英文、數學
M1/2可被用作取代數學
x1.5: 英文、[數學或M1/2]</t>
      </text>
    </comment>
    <comment authorId="0" ref="P33">
      <text>
        <t xml:space="preserve">======
ID#AAAANVU220c
Michael Chan    (2021-07-20 22:25:01)
英文科考獲 Lv.4 及 其他科目考獲優異成績的考生，將會按個別情況考慮。</t>
      </text>
    </comment>
    <comment authorId="0" ref="T22">
      <text>
        <t xml:space="preserve">======
ID#AAAANVU22x8
Michael    (2021-07-20 22:25:01)
優先考慮 M1/2 考獲 Lv.3或以上者 (非必須)</t>
      </text>
    </comment>
    <comment authorId="0" ref="E4">
      <text>
        <t xml:space="preserve">======
ID#AAAANVU22xE
Michael    (2021-07-20 22:25:01)
將考慮甲類及丙類科目，但不包括M1/2</t>
      </text>
    </comment>
    <comment authorId="0" ref="E34">
      <text>
        <t xml:space="preserve">======
ID#AAAANVU22xA
Michael Chan    (2021-07-20 22:25:01)
最佳6科必須包括 英文、數學、M1/2
x2: 英文、數學、M1/2</t>
      </text>
    </comment>
    <comment authorId="0" ref="T24">
      <text>
        <t xml:space="preserve">======
ID#AAAANVU22wQ
Michael    (2021-07-20 22:25:01)
優先考慮 M1/2 考獲 Lv.3或以上者 (非必須)</t>
      </text>
    </comment>
    <comment authorId="0" ref="N14">
      <text>
        <t xml:space="preserve">======
ID#AAAANVU22uw
Michael    (2021-07-20 22:25:01)
July 28 to August 3
(For selected candidates)</t>
      </text>
    </comment>
    <comment authorId="0" ref="N31">
      <text>
        <t xml:space="preserve">======
ID#AAAANVU22uc
Michael    (2021-07-20 22:25:01)
前: June 18
後: August 3
(For selected candidates)</t>
      </text>
    </comment>
    <comment authorId="0" ref="N24">
      <text>
        <t xml:space="preserve">======
ID#AAAANVU22uI
前    (2021-07-20 22:25:01)
1st Round: Dec 28 to 30, 2020 (Updated)
2nd Round: June 15 to 17, 2021
後: To be confirmed
Selected applicants are ENCOURAGED to attend the interview before the release of HKDSE results. Priority will be given to applicants with outstanding performance in the interview.</t>
      </text>
    </comment>
    <comment authorId="0" ref="E21">
      <text>
        <t xml:space="preserve">======
ID#AAAANVU22s0
Michael    (2021-07-20 22:25:01)
將考慮甲類及丙類科目，M1/2可被當作一科選修
最佳5科必須包括 英文、數學</t>
      </text>
    </comment>
    <comment authorId="0" ref="E33">
      <text>
        <t xml:space="preserve">======
ID#AAAANVU22qk
Michael Chan    (2021-07-20 22:25:01)
2021年新科目
最佳6科必須包括 英文、數學、M1/2、及最佳兩科理科*
x2: 英文、數學、M1/2、生物、化學、物理
x1.25: 其他選修科目
*理科: 生物、化學、物理、組合科學</t>
      </text>
    </comment>
    <comment authorId="0" ref="P43">
      <text>
        <t xml:space="preserve">======
ID#AAAANVU22ps
Michael Chan    (2021-07-20 22:25:01)
英文科考獲 Lv.4 及 其他科目考獲優異成績的考生，將會按個別情況考慮。</t>
      </text>
    </comment>
    <comment authorId="0" ref="N22">
      <text>
        <t xml:space="preserve">======
ID#AAAANVU22oI
前    (2021-07-20 22:25:01)
1st Round: Dec 28 to 30, 2020 (Updated)
2nd Round: June 15 to 17, 2021
後: To be confirmed
Selected applicants are ENCOURAGED to attend the interview before the release of HKDSE results. Priority will be given to applicants with outstanding performance in the interview.</t>
      </text>
    </comment>
    <comment authorId="0" ref="N41">
      <text>
        <t xml:space="preserve">======
ID#AAAANVU22nU
Michael    (2021-07-20 22:25:01)
前: June
後: To be confirmed
Selected applicants are ENCOURAGED to attend the interview before the release of HKDSE results. Priority will be given to applicants with outstanding performance in the interview.</t>
      </text>
    </comment>
    <comment authorId="0" ref="N34">
      <text>
        <t xml:space="preserve">======
ID#AAAANVU22nM
Michael    (2021-07-20 22:25:01)
前: June 
後: To be confirmed
Selected applicants are ENCOURAGED to attend the interview before the release of HKDSE results. Priority will be given to applicants with outstanding performance in the interview.</t>
      </text>
    </comment>
    <comment authorId="0" ref="N11">
      <text>
        <t xml:space="preserve">======
ID#AAAANVU22nI
Michael    (2021-07-20 22:25:01)
前: June
後: Late July to Early August
(For selected candidates)</t>
      </text>
    </comment>
    <comment authorId="0" ref="M2">
      <text>
        <t xml:space="preserve">======
ID#AAAANVU22nE
Michael    (2021-07-20 22:25:01)
申請人須參與 能力傾向測試(Aptitude Test)
詳情可細閱課程網站，受邀申請人亦會於電郵收到相應指示。</t>
      </text>
    </comment>
    <comment authorId="0" ref="E3">
      <text>
        <t xml:space="preserve">======
ID#AAAANVU22m8
Michael    (2021-07-20 22:25:01)
將考慮甲類及丙類科目，但不包括M1/2</t>
      </text>
    </comment>
    <comment authorId="0" ref="S28">
      <text>
        <t xml:space="preserve">======
ID#AAAANVU22mg
以下一科    (2021-07-20 22:25:01)
- 化學
- 組合科學 (化學)</t>
      </text>
    </comment>
    <comment authorId="0" ref="E32">
      <text>
        <t xml:space="preserve">======
ID#AAAANVU22lg
Michael    (2021-07-20 22:25:01)
將會考慮 數學科 或 數學及M1/2的組合分數 (公式如下) 較高者
[MA+(M1/M2*0.5)]/1.5</t>
      </text>
    </comment>
    <comment authorId="0" ref="S22">
      <text>
        <t xml:space="preserve">======
ID#AAAANVU22kU
以下一科    (2021-07-20 22:25:01)
- 物理
- 組合科學 (物理)</t>
      </text>
    </comment>
    <comment authorId="0" ref="N28">
      <text>
        <t xml:space="preserve">======
ID#AAAANVU22kI
前    (2021-07-20 22:25:01)
1st Round: Dec 21 to 39, 2020
2nd Round: June 16 to 17, 2021
後: August 2
(For selected candidates)</t>
      </text>
    </comment>
    <comment authorId="0" ref="T40">
      <text>
        <t xml:space="preserve">======
ID#AAAANVU22g4
Michael    (2021-07-20 22:25:01)
優先考慮 M1/2 考獲 Lv.3或以上者 (非必須)</t>
      </text>
    </comment>
    <comment authorId="0" ref="N43">
      <text>
        <t xml:space="preserve">======
ID#AAAANVU22e4
前    (2021-07-20 22:25:01)
1st Round: Dec 28 to 30, 2020 (Updated)
2nd Round: June 15 to 17, 2021
後: To be confirmed
Selected applicants are ENCOURAGED to attend the interview before the release of HKDSE results. Priority will be given to applicants with outstanding performance in the interview.</t>
      </text>
    </comment>
    <comment authorId="0" ref="P42">
      <text>
        <t xml:space="preserve">======
ID#AAAANVU22eI
Michael Chan    (2021-07-20 22:25:01)
英文科考獲 Lv.4 及 其他科目考獲優異成績的考生，將會按個別情況考慮。</t>
      </text>
    </comment>
    <comment authorId="0" ref="N13">
      <text>
        <t xml:space="preserve">======
ID#AAAANVU22eE
Michael    (2021-07-20 22:25:01)
前: June
後: Late July to Early August
(For selected candidates)</t>
      </text>
    </comment>
    <comment authorId="0" ref="N10">
      <text>
        <t xml:space="preserve">======
ID#AAAANVU22dY
Michael    (2021-07-20 22:25:01)
前: June
後: Late July to Early August
(For selected candidates)</t>
      </text>
    </comment>
    <comment authorId="0" ref="S21">
      <text>
        <t xml:space="preserve">======
ID#AAAANVU22cY
以下一科    (2021-07-20 22:25:01)
- 物理
- 組合科學 (物理)</t>
      </text>
    </comment>
    <comment authorId="0" ref="E6">
      <text>
        <t xml:space="preserve">======
ID#AAAANVU22bo
Michael    (2021-07-20 22:25:01)
將考慮甲類及丙類科目，但不包括M1/2
最佳5科必須包括 英文</t>
      </text>
    </comment>
    <comment authorId="0" ref="S33">
      <text>
        <t xml:space="preserve">======
ID#AAAANVU22bY
以下兩科    (2021-07-20 22:25:01)
- 生物
- 化學
- 物理
- 組合科學</t>
      </text>
    </comment>
    <comment authorId="0" ref="N30">
      <text>
        <t xml:space="preserve">======
ID#AAAANVU22a0
Michael    (2021-07-20 22:25:01)
前: June 23 to 29
後: July 27 to August 3
(For selected candidates)</t>
      </text>
    </comment>
    <comment authorId="0" ref="E31">
      <text>
        <t xml:space="preserve">======
ID#AAAANVU22Zc
Michael    (2021-07-20 22:25:01)
將會考慮 數學科 或 數學及M1/2的組合分數 (公式如下) 較高者
[MA+(M1/M2*0.5)]/1.5</t>
      </text>
    </comment>
    <comment authorId="0" ref="T41">
      <text>
        <t xml:space="preserve">======
ID#AAAANVU22ZM
Michael    (2021-07-20 22:25:01)
必須修讀M1/2</t>
      </text>
    </comment>
    <comment authorId="0" ref="E40">
      <text>
        <t xml:space="preserve">======
ID#AAAANVU22ZA
Michael    (2021-07-20 22:25:01)
將考慮甲類及丙類科目，但不包括M1/2</t>
      </text>
    </comment>
    <comment authorId="0" ref="N7">
      <text>
        <t xml:space="preserve">======
ID#AAAANVU22X0
Michael    (2021-07-20 22:25:01)
前: June
後: Late July to Early August
(For selected candidates)</t>
      </text>
    </comment>
    <comment authorId="0" ref="S35">
      <text>
        <t xml:space="preserve">======
ID#AAAANVU22Ww
以下一科    (2021-07-20 22:25:01)
- 生物
- 化學
- 物理
- 組合科學
- 綜合科學</t>
      </text>
    </comment>
  </commentList>
  <extLst>
    <ext uri="GoogleSheetsCustomDataVersion1">
      <go:sheetsCustomData xmlns:go="http://customooxmlschemas.google.com/" r:id="rId1" roundtripDataSignature="AMtx7mgXDLd/8aWFlaguYYiJEC7Vkkz0hg=="/>
    </ext>
  </extLst>
</comments>
</file>

<file path=xl/comments12.xml><?xml version="1.0" encoding="utf-8"?>
<comments xmlns:r="http://schemas.openxmlformats.org/officeDocument/2006/relationships" xmlns="http://schemas.openxmlformats.org/spreadsheetml/2006/main">
  <authors>
    <author/>
  </authors>
  <commentList>
    <comment authorId="0" ref="E7">
      <text>
        <t xml:space="preserve">======
ID#AAAANVU23bM
Michael    (2021-07-20 22:25:02)
x2: 英文、數學、ICT
x1.25: 化學、物理、組合科學、綜合科學</t>
      </text>
    </comment>
    <comment authorId="0" ref="E12">
      <text>
        <t xml:space="preserve">======
ID#AAAANVU23Rw
Michael    (2021-07-20 22:25:02)
x2: 英文
x1.5: 數學、中文</t>
      </text>
    </comment>
    <comment authorId="0" ref="E6">
      <text>
        <t xml:space="preserve">======
ID#AAAANVU23Qo
Michael    (2021-07-20 22:25:02)
x2: 英文
x1.5: 數學</t>
      </text>
    </comment>
    <comment authorId="0" ref="E10">
      <text>
        <t xml:space="preserve">======
ID#AAAANVU23QU
Michael    (2021-07-20 22:25:02)
x2: 英文
x1.5: 中文</t>
      </text>
    </comment>
    <comment authorId="0" ref="E4">
      <text>
        <t xml:space="preserve">======
ID#AAAANVU23P4
Michael    (2021-07-20 22:25:02)
x2: 英文
x1.5: 數學</t>
      </text>
    </comment>
    <comment authorId="0" ref="E13">
      <text>
        <t xml:space="preserve">======
ID#AAAANVU23Jw
Michael    (2021-07-20 22:25:02)
x2: 英文
x1.5: 中文</t>
      </text>
    </comment>
    <comment authorId="0" ref="E5">
      <text>
        <t xml:space="preserve">======
ID#AAAANVU23Hs
Michael    (2021-07-20 22:25:02)
x2: 英文
x1.5: 中文、中國文學、英國文學</t>
      </text>
    </comment>
    <comment authorId="0" ref="E3">
      <text>
        <t xml:space="preserve">======
ID#AAAANVU23Ao
Michael    (2021-07-20 22:25:02)
x2: 英文
x1.5: 通識</t>
      </text>
    </comment>
    <comment authorId="0" ref="E11">
      <text>
        <t xml:space="preserve">======
ID#AAAANVU22xc
Michael    (2021-07-20 22:25:01)
x2: 英文
x1.5: 中文
x1.2: 中國歷史、歷史</t>
      </text>
    </comment>
    <comment authorId="0" ref="E8">
      <text>
        <t xml:space="preserve">======
ID#AAAANVU22vY
Michael    (2021-07-20 22:25:01)
x2: 英文
x1.5: 數學、通識</t>
      </text>
    </comment>
    <comment authorId="0" ref="E9">
      <text>
        <t xml:space="preserve">======
ID#AAAANVU22s4
Michael    (2021-07-20 22:25:01)
2021年將以新比重收生
(x2.5: 英文
x1.5: 中文、英國文學)
此處將以原有比重作估算，請注意
x2: 英文
x1.5: 中文</t>
      </text>
    </comment>
    <comment authorId="0" ref="M2">
      <text>
        <t xml:space="preserve">======
ID#AAAANVU22fU
Michael    (2021-07-20 22:25:01)
22-24 June 2021
Detailed arrangements will be announced in early June.  Notifications will be sent to both applicant's personal email and “Message Box” in their JUPAS account. 
Applicants are advised to visit this webpage regularly to obtain the most updated interview arrangements information.</t>
      </text>
    </comment>
    <comment authorId="0" ref="E2">
      <text>
        <t xml:space="preserve">======
ID#AAAANVU22fA
Michael    (2021-07-20 22:25:01)
x1.5: 中文、英文、中國歷史 或 中國文學</t>
      </text>
    </comment>
  </commentList>
  <extLst>
    <ext uri="GoogleSheetsCustomDataVersion1">
      <go:sheetsCustomData xmlns:go="http://customooxmlschemas.google.com/" r:id="rId1" roundtripDataSignature="AMtx7mi3XwXQeFevRsPKTkjsDYW2kO9dNA=="/>
    </ext>
  </extLst>
</comments>
</file>

<file path=xl/comments13.xml><?xml version="1.0" encoding="utf-8"?>
<comments xmlns:r="http://schemas.openxmlformats.org/officeDocument/2006/relationships" xmlns="http://schemas.openxmlformats.org/spreadsheetml/2006/main">
  <authors>
    <author/>
  </authors>
  <commentList>
    <comment authorId="0" ref="N3">
      <text>
        <t xml:space="preserve">======
ID#AAAANVU23yM
Michael Chan    (2021-07-20 22:25:02)
2020年收生平均為: Lv.5</t>
      </text>
    </comment>
    <comment authorId="0" ref="E17">
      <text>
        <t xml:space="preserve">======
ID#AAAANVU23u8
Michael Chan    (2021-07-20 22:25:02)
音樂有最高比重</t>
      </text>
    </comment>
    <comment authorId="0" ref="K6">
      <text>
        <t xml:space="preserve">======
ID#AAAANVU23tc
Michael Chan    (2021-07-20 22:25:02)
同學亦須在額外的 入學測試/面試 中考獲優異成績</t>
      </text>
    </comment>
    <comment authorId="0" ref="E9">
      <text>
        <t xml:space="preserve">======
ID#AAAANVU23rs
以下科目有最高比重    (2021-07-20 22:25:02)
- 數學
- M1/2
- 生物
- 化學
- 物理
- ICT
- DAT
- 組合科學
- 綜合科學</t>
      </text>
    </comment>
    <comment authorId="0" ref="Q21">
      <text>
        <t xml:space="preserve">======
ID#AAAANVU23qw
Michael Chan    (2021-07-20 22:25:02)
優先考慮修讀 音樂 者
同學亦須在額外的 入學測試/面試 中考獲優異成績
音樂考獲 Lv.4或以上者 則可豁免該測試</t>
      </text>
    </comment>
    <comment authorId="0" ref="C6">
      <text>
        <t xml:space="preserve">======
ID#AAAANVU23oE
Michael Chan    (2021-07-20 22:25:02)
同學亦須在額外的 入學測試 中考獲優異成績</t>
      </text>
    </comment>
    <comment authorId="0" ref="N23">
      <text>
        <t xml:space="preserve">======
ID#AAAANVU23nw
Michael Chan    (2021-07-20 22:25:02)
2020年收生平均為: Lv.5*</t>
      </text>
    </comment>
    <comment authorId="0" ref="E21">
      <text>
        <t xml:space="preserve">======
ID#AAAANVU23m4
Michael Chan    (2021-07-20 22:25:02)
音樂有最高比重</t>
      </text>
    </comment>
    <comment authorId="0" ref="C17">
      <text>
        <t xml:space="preserve">======
ID#AAAANVU23mw
Michael Chan    (2021-07-20 22:25:02)
同學亦須在額外的 入學測試/面試 中考獲優異成績
音樂考獲 Lv.4或以上者 則可豁免該測試</t>
      </text>
    </comment>
    <comment authorId="0" ref="Q15">
      <text>
        <t xml:space="preserve">======
ID#AAAANVU23k4
Michael Chan    (2021-07-20 22:25:02)
優先考慮 英語文學 考獲 Lv.2 或以上者</t>
      </text>
    </comment>
    <comment authorId="0" ref="C22">
      <text>
        <t xml:space="preserve">======
ID#AAAANVU23fI
Michael Chan    (2021-07-20 22:25:02)
同學亦須在額外的 入學測試 中考獲優異成績
視覺藝術考獲 Lv.4或以上者 則可豁免該測試</t>
      </text>
    </comment>
    <comment authorId="0" ref="Q5">
      <text>
        <t xml:space="preserve">======
ID#AAAANVU23Zg
Michael Chan    (2021-07-20 22:25:02)
數學科考獲 Lv.3 及 M1/2 考獲 Lv.2
或
數學科考獲 Lv.5 但未有修讀M1/2者，將會按個別情況考慮。</t>
      </text>
    </comment>
    <comment authorId="0" ref="C21">
      <text>
        <t xml:space="preserve">======
ID#AAAANVU23ZQ
Michael Chan    (2021-07-20 22:25:02)
同學亦須在額外的 入學測試/面試 中考獲優異成績
音樂考獲 Lv.4或以上者 則可豁免該測試</t>
      </text>
    </comment>
    <comment authorId="0" ref="E11">
      <text>
        <t xml:space="preserve">======
ID#AAAANVU23Vs
以下科目有最高比重    (2021-07-20 22:25:02)
- 歷史
- 中國歷史
若申請人有同時修讀以上兩科，則只會較高分的科目會獲得比重</t>
      </text>
    </comment>
    <comment authorId="0" ref="E22">
      <text>
        <t xml:space="preserve">======
ID#AAAANVU23Sc
Michael Chan    (2021-07-20 22:25:02)
視覺藝術有最高比重</t>
      </text>
    </comment>
    <comment authorId="0" ref="Q9">
      <text>
        <t xml:space="preserve">======
ID#AAAANVU23KE
Michael Chan    (2021-07-20 22:25:02)
數學科考獲 Lv.3 及 M1/2 考獲 Lv.2
或
數學科考獲 Lv.5 但未有修讀M1/2者，將會按個別情況考慮。</t>
      </text>
    </comment>
    <comment authorId="0" ref="Q7">
      <text>
        <t xml:space="preserve">======
ID#AAAANVU23Hc
以下一科    (2021-07-20 22:25:02)
- ICT
或
- 生物
- 化學
- 物理
- 組合科學
- 綜合科學</t>
      </text>
    </comment>
    <comment authorId="0" ref="N15">
      <text>
        <t xml:space="preserve">======
ID#AAAANVU23FA
Michael Chan    (2021-07-20 22:25:02)
2020年收生平均為: Lv.5</t>
      </text>
    </comment>
    <comment authorId="0" ref="E14">
      <text>
        <t xml:space="preserve">======
ID#AAAANVU23Ew
Michael Chan    (2021-07-20 22:25:02)
中文有最高比重</t>
      </text>
    </comment>
    <comment authorId="0" ref="E6">
      <text>
        <t xml:space="preserve">======
ID#AAAANVU23C8
Michael Chan    (2021-07-20 22:25:02)
體育有最高比重</t>
      </text>
    </comment>
    <comment authorId="0" ref="M14">
      <text>
        <t xml:space="preserve">======
ID#AAAANVU22_M
Michael Chan    (2021-07-20 22:25:02)
2020年收生平均為: Lv.5</t>
      </text>
    </comment>
    <comment authorId="0" ref="Q17">
      <text>
        <t xml:space="preserve">======
ID#AAAANVU22-M
Michael Chan    (2021-07-20 22:25:02)
優先考慮修讀 音樂 者
同學亦須在額外的 入學測試/面試 中考獲優異成績
音樂考獲 Lv.4或以上者 則可豁免該測試</t>
      </text>
    </comment>
    <comment authorId="0" ref="L2">
      <text>
        <t xml:space="preserve">======
ID#AAAANVU224k
Michael    (2021-07-20 22:25:01)
前: 21 - 25 June 2021
後: 29 - 31 July 2021 / Mid - late August
Shortlisted candidates will receive an email notification with detailed arrangements of the admission interview/ test.</t>
      </text>
    </comment>
    <comment authorId="0" ref="E12">
      <text>
        <t xml:space="preserve">======
ID#AAAANVU222s
Michael Chan    (2021-07-20 22:25:01)
地理有最高比重</t>
      </text>
    </comment>
    <comment authorId="0" ref="Q11">
      <text>
        <t xml:space="preserve">======
ID#AAAANVU220A
Michael Chan    (2021-07-20 22:25:01)
優先考慮修讀 中國歷史、歷史 者</t>
      </text>
    </comment>
    <comment authorId="0" ref="E5">
      <text>
        <t xml:space="preserve">======
ID#AAAANVU22zY
以下科目有最高比重    (2021-07-20 22:25:01)
- 數學
- M1/2
- 生物
- 化學
- 物理
- ICT
- DAT
- 組合科學
- 綜合科學</t>
      </text>
    </comment>
    <comment authorId="0" ref="Q18">
      <text>
        <t xml:space="preserve">======
ID#AAAANVU22y4
Michael Chan    (2021-07-20 22:25:01)
同學亦須在額外的 入學測試 中考獲優異成績
視覺藝術考獲 Lv.4或以上者 則可豁免該測試</t>
      </text>
    </comment>
    <comment authorId="0" ref="C14">
      <text>
        <t xml:space="preserve">======
ID#AAAANVU22yo
Michael Chan    (2021-07-20 22:25:01)
此課程不能以其他資歷取代DSE中國語文科要求。</t>
      </text>
    </comment>
    <comment authorId="0" ref="C11">
      <text>
        <t xml:space="preserve">======
ID#AAAANVU22vI
Michael Chan    (2021-07-20 22:25:01)
優先考慮修讀 中國歷史、歷史 者</t>
      </text>
    </comment>
    <comment authorId="0" ref="C2">
      <text>
        <t xml:space="preserve">======
ID#AAAANVU22qc
Michael Chan    (2021-07-20 22:25:01)
此課程不能以其他資歷取代DSE中國語文科要求。</t>
      </text>
    </comment>
    <comment authorId="0" ref="E15">
      <text>
        <t xml:space="preserve">======
ID#AAAANVU22n0
Michael Chan    (2021-07-20 22:25:01)
英文有最高比重</t>
      </text>
    </comment>
    <comment authorId="0" ref="F11">
      <text>
        <t xml:space="preserve">======
ID#AAAANVU22n4
Michael Chan    (2021-07-20 22:25:01)
由於課程於2020年未有收生，此處引用2019年數字。</t>
      </text>
    </comment>
    <comment authorId="0" ref="E19">
      <text>
        <t xml:space="preserve">======
ID#AAAANVU22ms
Michael Chan    (2021-07-20 22:25:01)
英文有最高比重</t>
      </text>
    </comment>
    <comment authorId="0" ref="E18">
      <text>
        <t xml:space="preserve">======
ID#AAAANVU22mE
Michael Chan    (2021-07-20 22:25:01)
視覺藝術有最高比重</t>
      </text>
    </comment>
    <comment authorId="0" ref="C18">
      <text>
        <t xml:space="preserve">======
ID#AAAANVU22lU
Michael Chan    (2021-07-20 22:25:01)
同學亦須在額外的 入學測試 中考獲優異成績
視覺藝術考獲 Lv.4或以上者 則可豁免該測試</t>
      </text>
    </comment>
    <comment authorId="0" ref="Q22">
      <text>
        <t xml:space="preserve">======
ID#AAAANVU22lM
Michael Chan    (2021-07-20 22:25:01)
同學亦須在額外的 入學測試 中考獲優異成績
視覺藝術考獲 Lv.4或以上者 則可豁免該測試</t>
      </text>
    </comment>
    <comment authorId="0" ref="Q13">
      <text>
        <t xml:space="preserve">======
ID#AAAANVU22hY
以下一科考獲Lv.4    (2021-07-20 22:25:01)
- 生物
- 化學
- 物理
- 組合科學
- 綜合科學</t>
      </text>
    </comment>
    <comment authorId="0" ref="M2">
      <text>
        <t xml:space="preserve">======
ID#AAAANVU22gU
Michael Chan    (2021-07-20 22:25:01)
2020年收生平均為: Lv.5</t>
      </text>
    </comment>
    <comment authorId="0" ref="Q24">
      <text>
        <t xml:space="preserve">======
ID#AAAANVU22fY
入學要求    (2021-07-20 22:25:01)
中英+最佳3科</t>
      </text>
    </comment>
    <comment authorId="0" ref="Q14">
      <text>
        <t xml:space="preserve">======
ID#AAAANVU22e8
Michael Chan    (2021-07-20 22:25:01)
優先考慮 中國文學 考獲 Lv.2 或以上者</t>
      </text>
    </comment>
    <comment authorId="0" ref="E13">
      <text>
        <t xml:space="preserve">======
ID#AAAANVU22eg
以下科目有最高比重    (2021-07-20 22:25:01)
- 生物
- 化學
- 物理
- 組合科學
- 綜合科學</t>
      </text>
    </comment>
    <comment authorId="0" ref="E8">
      <text>
        <t xml:space="preserve">======
ID#AAAANVU22cM
Michael Chan    (2021-07-20 22:25:01)
BAFS有最大比重</t>
      </text>
    </comment>
    <comment authorId="0" ref="E7">
      <text>
        <t xml:space="preserve">======
ID#AAAANVU22bc
以下科目有最高比重    (2021-07-20 22:25:01)
- 英文
- 數學
- M1/2
- ICT</t>
      </text>
    </comment>
  </commentList>
  <extLst>
    <ext uri="GoogleSheetsCustomDataVersion1">
      <go:sheetsCustomData xmlns:go="http://customooxmlschemas.google.com/" r:id="rId1" roundtripDataSignature="AMtx7mjYLUtgJIz8Gmjp/JgOnTD+aBkLPQ=="/>
    </ext>
  </extLst>
</comments>
</file>

<file path=xl/comments14.xml><?xml version="1.0" encoding="utf-8"?>
<comments xmlns:r="http://schemas.openxmlformats.org/officeDocument/2006/relationships" xmlns="http://schemas.openxmlformats.org/spreadsheetml/2006/main">
  <authors>
    <author/>
  </authors>
  <commentList>
    <comment authorId="0" ref="C33">
      <text>
        <t xml:space="preserve">======
ID#AAAANVU23y0
Michael Chan    (2021-07-20 22:25:02)
選修科為理科*者將被優先考慮
理科*: 生物、化學、物理、組合科學、綜合科學、M1/2、ICT</t>
      </text>
    </comment>
    <comment authorId="0" ref="C34">
      <text>
        <t xml:space="preserve">======
ID#AAAANVU23yE
Michael Chan    (2021-07-20 22:25:02)
選修科為理科*者將被優先考慮
理科*: 生物、化學、物理、組合科學、綜合科學、M1/2、ICT</t>
      </text>
    </comment>
    <comment authorId="0" ref="E9">
      <text>
        <t xml:space="preserve">======
ID#AAAANVU23qQ
Michael Chan    (2021-07-20 22:25:02)
x2: 中文</t>
      </text>
    </comment>
    <comment authorId="0" ref="R33">
      <text>
        <t xml:space="preserve">======
ID#AAAANVU23i8
Michael Chan    (2021-07-20 22:25:02)
選修科為理科*者將被優先考慮
理科*: 生物、化學、物理、組合科學、綜合科學、M1/2、ICT</t>
      </text>
    </comment>
    <comment authorId="0" ref="E29">
      <text>
        <t xml:space="preserve">======
ID#AAAANVU23fE
Michael Chan    (2021-07-20 22:25:02)
x2: (ApL) 幼兒教育
Child Care and Education</t>
      </text>
    </comment>
    <comment authorId="0" ref="E27">
      <text>
        <t xml:space="preserve">======
ID#AAAANVU23XY
Michael Chan    (2021-07-20 22:25:02)
x2: 中文、中國文學</t>
      </text>
    </comment>
    <comment authorId="0" ref="E33">
      <text>
        <t xml:space="preserve">======
ID#AAAANVU23UE
Michael Chan    (2021-07-20 22:25:02)
2021新科目</t>
      </text>
    </comment>
    <comment authorId="0" ref="E25">
      <text>
        <t xml:space="preserve">======
ID#AAAANVU23Tw
Michael Chan    (2021-07-20 22:25:02)
x2: 英文</t>
      </text>
    </comment>
    <comment authorId="0" ref="E30">
      <text>
        <t xml:space="preserve">======
ID#AAAANVU23TU
Michael Chan    (2021-07-20 22:25:02)
2021新科目</t>
      </text>
    </comment>
    <comment authorId="0" ref="E31">
      <text>
        <t xml:space="preserve">======
ID#AAAANVU23MQ
Michael Chan    (2021-07-20 22:25:02)
2021新科目</t>
      </text>
    </comment>
    <comment authorId="0" ref="E10">
      <text>
        <t xml:space="preserve">======
ID#AAAANVU23Kg
Michael Chan    (2021-07-20 22:25:02)
x1.5: 中文、英文</t>
      </text>
    </comment>
    <comment authorId="0" ref="E24">
      <text>
        <t xml:space="preserve">======
ID#AAAANVU23Bs
Michael Chan    (2021-07-20 22:25:02)
x2: 英文</t>
      </text>
    </comment>
    <comment authorId="0" ref="R34">
      <text>
        <t xml:space="preserve">======
ID#AAAANVU23Bg
Michael Chan    (2021-07-20 22:25:02)
選修科為理科*者將被優先考慮
理科*: 生物、化學、物理、組合科學、綜合科學、M1/2、ICT</t>
      </text>
    </comment>
    <comment authorId="0" ref="E26">
      <text>
        <t xml:space="preserve">======
ID#AAAANVU228Q
Michael Chan    (2021-07-20 22:25:01)
x2: 中文、中國文學</t>
      </text>
    </comment>
    <comment authorId="0" ref="M29">
      <text>
        <t xml:space="preserve">======
ID#AAAANVU222A
Michael    (2021-07-20 22:25:01)
(On a selective basis)</t>
      </text>
    </comment>
    <comment authorId="0" ref="E11">
      <text>
        <t xml:space="preserve">======
ID#AAAANVU22xQ
Michael Chan    (2021-07-20 22:25:01)
x1.5: 中文、英文</t>
      </text>
    </comment>
    <comment authorId="0" ref="C29">
      <text>
        <t xml:space="preserve">======
ID#AAAANVU22uE
Michael Chan    (2021-07-20 22:25:01)
若應用學習科目 (乙類科目) 被用作滿足入學要求的選修科目，「幼兒教育」會被當作甲類科目看待。</t>
      </text>
    </comment>
    <comment authorId="0" ref="M27">
      <text>
        <t xml:space="preserve">======
ID#AAAANVU22lo
Michael    (2021-07-20 22:25:01)
(On a selective basis)</t>
      </text>
    </comment>
    <comment authorId="0" ref="E34">
      <text>
        <t xml:space="preserve">======
ID#AAAANVU22hI
Michael Chan    (2021-07-20 22:25:01)
2021新科目</t>
      </text>
    </comment>
    <comment authorId="0" ref="M24">
      <text>
        <t xml:space="preserve">======
ID#AAAANVU22bk
Michael    (2021-07-20 22:25:01)
(On a selective basis)</t>
      </text>
    </comment>
  </commentList>
  <extLst>
    <ext uri="GoogleSheetsCustomDataVersion1">
      <go:sheetsCustomData xmlns:go="http://customooxmlschemas.google.com/" r:id="rId1" roundtripDataSignature="AMtx7miBmL7eVAKV1bmAsJXKYstQ4sLjgA=="/>
    </ext>
  </extLst>
</comments>
</file>

<file path=xl/comments15.xml><?xml version="1.0" encoding="utf-8"?>
<comments xmlns:r="http://schemas.openxmlformats.org/officeDocument/2006/relationships" xmlns="http://schemas.openxmlformats.org/spreadsheetml/2006/main">
  <authors>
    <author/>
  </authors>
  <commentList>
    <comment authorId="0" ref="N11">
      <text>
        <t xml:space="preserve">======
ID#AAAANVU23vw
Michael    (2021-07-20 22:25:02)
申請者有機會獲邀參與入學面試。
獲邀申請者請按照指定面試時間及地點參加面試。未能依時參加者的入學機會可能被調低。
面試將於2021年5月至7月舉行，獲邀申請者將收到電郵通知有關詳情。</t>
      </text>
    </comment>
    <comment authorId="0" ref="N23">
      <text>
        <t xml:space="preserve">======
ID#AAAANVU23vk
Michael    (2021-07-20 22:25:02)
(On a selective basis)</t>
      </text>
    </comment>
    <comment authorId="0" ref="N40">
      <text>
        <t xml:space="preserve">======
ID#AAAANVU23tY
Michael Chan    (2021-07-20 22:25:02)
May require interview and/or test</t>
      </text>
    </comment>
    <comment authorId="0" ref="S19">
      <text>
        <t xml:space="preserve">======
ID#AAAANVU23sA
Michael Chan    (2021-07-20 22:25:02)
優先考慮 生物 或 組合科學 (生物) 考獲Lv.3或以上者</t>
      </text>
    </comment>
    <comment authorId="0" ref="E20">
      <text>
        <t xml:space="preserve">======
ID#AAAANVU23r8
Michael Chan    (2021-07-20 22:25:02)
x1.5: 中文、英文</t>
      </text>
    </comment>
    <comment authorId="0" ref="L43">
      <text>
        <t xml:space="preserve">======
ID#AAAANVU23pg
CHAN, Koon Ho    (2021-07-20 22:25:02)
This is the intake quota for 2021/22 cohort.</t>
      </text>
    </comment>
    <comment authorId="0" ref="P16">
      <text>
        <t xml:space="preserve">======
ID#AAAANVU23nc
Michael    (2021-07-20 22:25:02)
優先考慮 英文 考獲Lv.4或以上者</t>
      </text>
    </comment>
    <comment authorId="0" ref="N6">
      <text>
        <t xml:space="preserve">======
ID#AAAANVU23lU
Michael    (2021-07-20 22:25:02)
Selected applicants may be invited to attend an interview / written test.
The date and time of the interview will be informed during June 2021.</t>
      </text>
    </comment>
    <comment authorId="0" ref="L40">
      <text>
        <t xml:space="preserve">======
ID#AAAANVU23k8
CHAN, Koon Ho    (2021-07-20 22:25:02)
This is the intake quota for 2021/22 cohort.</t>
      </text>
    </comment>
    <comment authorId="0" ref="E17">
      <text>
        <t xml:space="preserve">======
ID#AAAANVU23kg
優先考慮    (2021-07-20 22:25:02)
- 英文 考獲Lv.4或以上者
- 數學 和 通識 考獲Lv.3或以上者
- 物理 或 綜合科學 或 組合科學(物理) 考獲Lv.3或以上者</t>
      </text>
    </comment>
    <comment authorId="0" ref="L44">
      <text>
        <t xml:space="preserve">======
ID#AAAANVU23jQ
CHAN, Koon Ho    (2021-07-20 22:25:02)
This is the intake quota for 2021/22 cohort.</t>
      </text>
    </comment>
    <comment authorId="0" ref="S16">
      <text>
        <t xml:space="preserve">======
ID#AAAANVU23gM
Michael    (2021-07-20 22:25:02)
優先考慮 化學 或 組合科學 (化學) 考獲Lv.4或以上者</t>
      </text>
    </comment>
    <comment authorId="0" ref="N45">
      <text>
        <t xml:space="preserve">======
ID#AAAANVU23gI
Michael Chan    (2021-07-20 22:25:02)
(On a selective basis)</t>
      </text>
    </comment>
    <comment authorId="0" ref="P4">
      <text>
        <t xml:space="preserve">======
ID#AAAANVU23do
Michael    (2021-07-20 22:25:02)
優先考慮 英文 考獲Lv.4或以上者</t>
      </text>
    </comment>
    <comment authorId="0" ref="N2">
      <text>
        <t xml:space="preserve">======
ID#AAAANVU23cY
Michael    (2021-07-20 22:25:02)
Applicant must have passed the admission interview for successful application.</t>
      </text>
    </comment>
    <comment authorId="0" ref="E15">
      <text>
        <t xml:space="preserve">======
ID#AAAANVU23bs
Michael    (2021-07-20 22:25:02)
只考慮甲類科目</t>
      </text>
    </comment>
    <comment authorId="0" ref="S46">
      <text>
        <t xml:space="preserve">======
ID#AAAANVU23aU
Michael Chan    (2021-07-20 22:25:02)
優先考慮 資訊及通訊科技 考獲Lv.3或以上者</t>
      </text>
    </comment>
    <comment authorId="0" ref="C17">
      <text>
        <t xml:space="preserve">======
ID#AAAANVU23Yg
Michael Chan    (2021-07-20 22:25:02)
申請人應有正常顏色視力</t>
      </text>
    </comment>
    <comment authorId="0" ref="N42">
      <text>
        <t xml:space="preserve">======
ID#AAAANVU23X4
Michael Chan    (2021-07-20 22:25:02)
May require interview and/or test</t>
      </text>
    </comment>
    <comment authorId="0" ref="E5">
      <text>
        <t xml:space="preserve">======
ID#AAAANVU23Xs
Michael Chan    (2021-07-20 22:25:02)
2021年新科目</t>
      </text>
    </comment>
    <comment authorId="0" ref="E13">
      <text>
        <t xml:space="preserve">======
ID#AAAANVU23T8
Michael Chan    (2021-07-20 22:25:02)
此處並無計算比重
x10: 英文、數學、BAFS、經濟、地理、ICT、物理、M1/2
x7: 中文、通識、組合科學、綜合科學、化學、生物
x5: 其他選修科目 (1個選修科)</t>
      </text>
    </comment>
    <comment authorId="0" ref="N14">
      <text>
        <t xml:space="preserve">======
ID#AAAANVU23TE
Michael    (2021-07-20 22:25:02)
申請者有機會獲邀參與入學面試，及需遞交藝術和設計相關的個人作品集。
獲邀申請者請按照指定面試時間及地點參加面試。未能依時參加者的入學機會可能被調低。
面試將於2021年5月至7月舉行，獲邀申請者將收到電郵通知有關詳情。</t>
      </text>
    </comment>
    <comment authorId="0" ref="N19">
      <text>
        <t xml:space="preserve">======
ID#AAAANVU23So
Michael Chan    (2021-07-20 22:25:02)
(On a selective basis)</t>
      </text>
    </comment>
    <comment authorId="0" ref="E11">
      <text>
        <t xml:space="preserve">======
ID#AAAANVU23RY
Michael Chan    (2021-07-20 22:25:02)
此處並無計算比重
x3: 數學、ICT、M1/2、經濟、BAFS、物理
x2: 中文、英文、通識、生物、化學、組合科學、綜合科學</t>
      </text>
    </comment>
    <comment authorId="0" ref="N36">
      <text>
        <t xml:space="preserve">======
ID#AAAANVU23QE
Michael Chan    (2021-07-20 22:25:02)
May require interview and/or test</t>
      </text>
    </comment>
    <comment authorId="0" ref="N35">
      <text>
        <t xml:space="preserve">======
ID#AAAANVU23PU
Michael Chan    (2021-07-20 22:25:02)
May require interview and/or test</t>
      </text>
    </comment>
    <comment authorId="0" ref="N18">
      <text>
        <t xml:space="preserve">======
ID#AAAANVU23Og
Michael Chan    (2021-07-20 22:25:02)
(On a selective basis)</t>
      </text>
    </comment>
    <comment authorId="0" ref="E10">
      <text>
        <t xml:space="preserve">======
ID#AAAANVU23L8
Michael Chan    (2021-07-20 22:25:02)
此處並無計算比重
x5: 英文、數學、BAFS、經濟、M1/2、經濟、物理
x3: 中文、通識、ICT、組合科學、綜合科學、化學、生物
x2: 其他選修科 (1個選修科)</t>
      </text>
    </comment>
    <comment authorId="0" ref="M15">
      <text>
        <t xml:space="preserve">======
ID#AAAANVU23Lk
Michael    (2021-07-20 22:25:02)
Applicants should be fluent in written English and Chinese, and in oral English and Cantonese.</t>
      </text>
    </comment>
    <comment authorId="0" ref="Q17">
      <text>
        <t xml:space="preserve">======
ID#AAAANVU23Kw
Michael    (2021-07-20 22:25:02)
優先考慮 數學 考獲Lv.3或以上者</t>
      </text>
    </comment>
    <comment authorId="0" ref="S39">
      <text>
        <t xml:space="preserve">======
ID#AAAANVU23Jo
以下一科    (2021-07-20 22:25:02)
- 生物
- 化學
- 物理
- 組合科學
- 綜合科學
- M1/2</t>
      </text>
    </comment>
    <comment authorId="0" ref="L41">
      <text>
        <t xml:space="preserve">======
ID#AAAANVU23Ic
CHAN, Koon Ho    (2021-07-20 22:25:02)
This is the intake quota for 2021/22 cohort.</t>
      </text>
    </comment>
    <comment authorId="0" ref="N5">
      <text>
        <t xml:space="preserve">======
ID#AAAANVU23IQ
Michael    (2021-07-20 22:25:02)
(Shortlisted local applicants will be invited)</t>
      </text>
    </comment>
    <comment authorId="0" ref="N43">
      <text>
        <t xml:space="preserve">======
ID#AAAANVU23Gw
Michael Chan    (2021-07-20 22:25:02)
May require interview and/or test</t>
      </text>
    </comment>
    <comment authorId="0" ref="E23">
      <text>
        <t xml:space="preserve">======
ID#AAAANVU23F8
Michael Chan    (2021-07-20 22:25:02)
x1.2: 生物、化學、物理、組合科學、綜合科學、HMSC</t>
      </text>
    </comment>
    <comment authorId="0" ref="E46">
      <text>
        <t xml:space="preserve">======
ID#AAAANVU23F4
Michael Chan    (2021-07-20 22:25:02)
2021年新科目
優先考慮 ICT 考獲Lv.3或以上者</t>
      </text>
    </comment>
    <comment authorId="0" ref="E42">
      <text>
        <t xml:space="preserve">======
ID#AAAANVU23E8
Michael Chan    (2021-07-20 22:25:02)
此處並無計算比重
x2: 體育</t>
      </text>
    </comment>
    <comment authorId="0" ref="N12">
      <text>
        <t xml:space="preserve">======
ID#AAAANVU23Co
Michael    (2021-07-20 22:25:02)
本課程不設筆試。
本課程按申請人的情況考慮是否需要面試。
面試將於2021年5月至7月期間進行。獲邀申請人將收到電郵通知有關詳情。</t>
      </text>
    </comment>
    <comment authorId="0" ref="E25">
      <text>
        <t xml:space="preserve">======
ID#AAAANVU23Bo
Michael Chan    (2021-07-20 22:25:02)
2020年原為JS9790
x2: 中文、英文、物理、生物、組合科學(物理、生物)</t>
      </text>
    </comment>
    <comment authorId="0" ref="N4">
      <text>
        <t xml:space="preserve">======
ID#AAAANVU23Bk
Michael    (2021-07-20 22:25:02)
(For selected candidates)</t>
      </text>
    </comment>
    <comment authorId="0" ref="N38">
      <text>
        <t xml:space="preserve">======
ID#AAAANVU23BY
Michael Chan    (2021-07-20 22:25:02)
May require interview and/or test</t>
      </text>
    </comment>
    <comment authorId="0" ref="N13">
      <text>
        <t xml:space="preserve">======
ID#AAAANVU228s
Michael    (2021-07-20 22:25:01)
申請者有機會獲邀參與入學面試。
獲邀申請者請按照指定面試時間及地點參加面試。未能依時參加者的入學機會可能被調低。
面試將於2021年5月至7月舉行，獲邀申請者將收到電郵通知有關詳情。</t>
      </text>
    </comment>
    <comment authorId="0" ref="C16">
      <text>
        <t xml:space="preserve">======
ID#AAAANVU227M
Michael    (2021-07-20 22:25:01)
申請人應有正常顏色視力</t>
      </text>
    </comment>
    <comment authorId="0" ref="E9">
      <text>
        <t xml:space="preserve">======
ID#AAAANVU227A
Michael Chan    (2021-07-20 22:25:01)
Best 5 (包括英文、數學)
此處並無計算比重
x10: 英文、數學、BAFS、經濟、地理、ICT、物理、M1/2
x7: 中文、通識、組合科學、綜合科學、化學、生物
x5: 其他選修科目 (1個選修科)</t>
      </text>
    </comment>
    <comment authorId="0" ref="E18">
      <text>
        <t xml:space="preserve">======
ID#AAAANVU226U
優先考慮    (2021-07-20 22:25:01)
- 生物 或 組合科學 (生物) 考獲Lv.3或以上者
- 英文 考獲Lv.4或以上者</t>
      </text>
    </comment>
    <comment authorId="0" ref="N3">
      <text>
        <t xml:space="preserve">======
ID#AAAANVU225E
Michael    (2021-07-20 22:25:01)
(For all applicants)</t>
      </text>
    </comment>
    <comment authorId="0" ref="S18">
      <text>
        <t xml:space="preserve">======
ID#AAAANVU224s
Michael Chan    (2021-07-20 22:25:01)
優先考慮 生物 或 組合科學 (生物) 考獲Lv.3或以上者</t>
      </text>
    </comment>
    <comment authorId="0" ref="L36">
      <text>
        <t xml:space="preserve">======
ID#AAAANVU2228
CHAN, Koon Ho    (2021-07-20 22:25:01)
This is the intake quota for 2021/22 cohort.</t>
      </text>
    </comment>
    <comment authorId="0" ref="E12">
      <text>
        <t xml:space="preserve">======
ID#AAAANVU22zA
Michael Chan    (2021-07-20 22:25:01)
Best 5 (包括數學)</t>
      </text>
    </comment>
    <comment authorId="0" ref="S17">
      <text>
        <t xml:space="preserve">======
ID#AAAANVU22ys
Michael    (2021-07-20 22:25:01)
以下一科
- 生物
- 化學
- 物理
- 組合科學
- 綜合科學
或
應用學習科目:
- 健康護理實務 (Health Care Practice)
‘Attained with Distinction (I)’
優先考慮 物理 或 綜合科學 或 組合科學(物理) 考獲Lv.4或以上者</t>
      </text>
    </comment>
    <comment authorId="0" ref="L38">
      <text>
        <t xml:space="preserve">======
ID#AAAANVU22xs
CHAN, Koon Ho    (2021-07-20 22:25:01)
This is the intake quota for 2021/22 cohort.</t>
      </text>
    </comment>
    <comment authorId="0" ref="P18">
      <text>
        <t xml:space="preserve">======
ID#AAAANVU22xk
Michael    (2021-07-20 22:25:01)
優先考慮 英文 考獲Lv.4或以上者</t>
      </text>
    </comment>
    <comment authorId="0" ref="E19">
      <text>
        <t xml:space="preserve">======
ID#AAAANVU22ws
優先考慮    (2021-07-20 22:25:01)
- 生物 或 組合科學 (生物) 考獲Lv.3或以上者
- 英文 考獲Lv.4或以上者</t>
      </text>
    </comment>
    <comment authorId="0" ref="E45">
      <text>
        <t xml:space="preserve">======
ID#AAAANVU22vs
Michael Chan    (2021-07-20 22:25:01)
2021新科目
未有提供資料</t>
      </text>
    </comment>
    <comment authorId="0" ref="N37">
      <text>
        <t xml:space="preserve">======
ID#AAAANVU22vk
Michael Chan    (2021-07-20 22:25:01)
May require interview and/or test</t>
      </text>
    </comment>
    <comment authorId="0" ref="E4">
      <text>
        <t xml:space="preserve">======
ID#AAAANVU22u8
Michael Chan    (2021-07-20 22:25:01)
2021年新科目
Preference will be given to applicants who have obtained Level 4 or above in English Language 
and Level 3 or above in Biology or Physics or Level 3 in Combined Science (Biology and Physics) in HKDSE.</t>
      </text>
    </comment>
    <comment authorId="0" ref="E22">
      <text>
        <t xml:space="preserve">======
ID#AAAANVU22uU
Michael Chan    (2021-07-20 22:25:01)
x1.5: 中文、英文</t>
      </text>
    </comment>
    <comment authorId="0" ref="N17">
      <text>
        <t xml:space="preserve">======
ID#AAAANVU22tg
Michael Chan    (2021-07-20 22:25:01)
(On a selective basis)</t>
      </text>
    </comment>
    <comment authorId="0" ref="E14">
      <text>
        <t xml:space="preserve">======
ID#AAAANVU22tc
Michael Chan    (2021-07-20 22:25:01)
2021年新科目</t>
      </text>
    </comment>
    <comment authorId="0" ref="P19">
      <text>
        <t xml:space="preserve">======
ID#AAAANVU22sI
Michael    (2021-07-20 22:25:01)
優先考慮 英文 考獲Lv.4或以上者</t>
      </text>
    </comment>
    <comment authorId="0" ref="S2">
      <text>
        <t xml:space="preserve">======
ID#AAAANVU22sA
Michael Chan    (2021-07-20 22:25:01)
優先考慮 生物 或 組合科學 (生物) 考獲Lv.2或以上者</t>
      </text>
    </comment>
    <comment authorId="0" ref="P17">
      <text>
        <t xml:space="preserve">======
ID#AAAANVU22r0
Michael    (2021-07-20 22:25:01)
優先考慮 英文 考獲Lv.4或以上者</t>
      </text>
    </comment>
    <comment authorId="0" ref="N44">
      <text>
        <t xml:space="preserve">======
ID#AAAANVU22rA
Michael Chan    (2021-07-20 22:25:01)
May require interview and/or test</t>
      </text>
    </comment>
    <comment authorId="0" ref="S4">
      <text>
        <t xml:space="preserve">======
ID#AAAANVU22q0
Michael Chan    (2021-07-20 22:25:01)
優先考慮 物理 或 生物 或 組合科學 (物理、生物) 考獲Lv.3或以上者</t>
      </text>
    </comment>
    <comment authorId="0" ref="C25">
      <text>
        <t xml:space="preserve">======
ID#AAAANVU22p8
Michael Chan    (2021-07-20 22:25:01)
JSSU55 Bachelor of Science with Honours in Physiotherapy has become a SSSDP programme since 2021. Its programme code has changed from JS9790 to JSSU55 accordingly.</t>
      </text>
    </comment>
    <comment authorId="0" ref="N24">
      <text>
        <t xml:space="preserve">======
ID#AAAANVU22pc
Michael    (2021-07-20 22:25:01)
(On a selective basis)</t>
      </text>
    </comment>
    <comment authorId="0" ref="N41">
      <text>
        <t xml:space="preserve">======
ID#AAAANVU22oo
Michael Chan    (2021-07-20 22:25:01)
May require interview and/or test</t>
      </text>
    </comment>
    <comment authorId="0" ref="L42">
      <text>
        <t xml:space="preserve">======
ID#AAAANVU22lw
CHAN, Koon Ho    (2021-07-20 22:25:01)
This is the intake quota for 2021/22 cohort.</t>
      </text>
    </comment>
    <comment authorId="0" ref="E24">
      <text>
        <t xml:space="preserve">======
ID#AAAANVU22ls
Michael Chan    (2021-07-20 22:25:01)
x1.2: 生物、化學、物理、組合科學、綜合科學、HMSC</t>
      </text>
    </comment>
    <comment authorId="0" ref="L35">
      <text>
        <t xml:space="preserve">======
ID#AAAANVU22lk
CHAN, Koon Ho    (2021-07-20 22:25:01)
This is the intake quota for 2021/22 cohort.</t>
      </text>
    </comment>
    <comment authorId="0" ref="E29">
      <text>
        <t xml:space="preserve">======
ID#AAAANVU22ko
Michael Chan    (2021-07-20 22:25:01)
2020年原為JS9780</t>
      </text>
    </comment>
    <comment authorId="0" ref="R17">
      <text>
        <t xml:space="preserve">======
ID#AAAANVU22ic
Michael    (2021-07-20 22:25:01)
優先考慮 通識 考獲Lv.4或以上者</t>
      </text>
    </comment>
    <comment authorId="0" ref="L37">
      <text>
        <t xml:space="preserve">======
ID#AAAANVU22hc
CHAN, Koon Ho    (2021-07-20 22:25:01)
This is the intake quota for 2021/22 cohort.</t>
      </text>
    </comment>
    <comment authorId="0" ref="L39">
      <text>
        <t xml:space="preserve">======
ID#AAAANVU22hQ
CHAN, Koon Ho    (2021-07-20 22:25:01)
This is the intake quota for 2021/22 cohort.</t>
      </text>
    </comment>
    <comment authorId="0" ref="N9">
      <text>
        <t xml:space="preserve">======
ID#AAAANVU22hA
Michael    (2021-07-20 22:25:01)
申請者有機會獲邀參與入學面試。
獲邀申請者請按照指定面試時間及地點參加面試。未能依時參加者的入學機會可能被調低。
面試將於2021年5月至7月舉行，獲邀申請者將收到電郵通知有關詳情。</t>
      </text>
    </comment>
    <comment authorId="0" ref="N46">
      <text>
        <t xml:space="preserve">======
ID#AAAANVU22gE
Michael Chan    (2021-07-20 22:25:01)
May require interview and/or test</t>
      </text>
    </comment>
    <comment authorId="0" ref="N10">
      <text>
        <t xml:space="preserve">======
ID#AAAANVU22fw
Michael    (2021-07-20 22:25:01)
個別申請人或需參加筆試及面試。</t>
      </text>
    </comment>
    <comment authorId="0" ref="E28">
      <text>
        <t xml:space="preserve">======
ID#AAAANVU22eY
Michael Chan    (2021-07-20 22:25:01)
2020年原為JS9769</t>
      </text>
    </comment>
    <comment authorId="0" ref="N15">
      <text>
        <t xml:space="preserve">======
ID#AAAANVU22eQ
Michael Chan    (2021-07-20 22:25:01)
(On a selective basis)</t>
      </text>
    </comment>
    <comment authorId="0" ref="E16">
      <text>
        <t xml:space="preserve">======
ID#AAAANVU22ds
優先考慮    (2021-07-20 22:25:01)
- 英文 考獲Lv.4或以上者
- 化學 或 組合科學 (化學) 考獲Lv.4或以上者</t>
      </text>
    </comment>
    <comment authorId="0" ref="N25">
      <text>
        <t xml:space="preserve">======
ID#AAAANVU22c4
Michael    (2021-07-20 22:25:01)
(On a selective basis)</t>
      </text>
    </comment>
    <comment authorId="0" ref="N39">
      <text>
        <t xml:space="preserve">======
ID#AAAANVU22cg
Michael Chan    (2021-07-20 22:25:01)
May require interview and/or test</t>
      </text>
    </comment>
    <comment authorId="0" ref="P15">
      <text>
        <t xml:space="preserve">======
ID#AAAANVU22aI
Michael    (2021-07-20 22:25:01)
優先考慮 英文 考獲Lv.4或以上者</t>
      </text>
    </comment>
    <comment authorId="0" ref="N16">
      <text>
        <t xml:space="preserve">======
ID#AAAANVU22Yc
Michael Chan    (2021-07-20 22:25:01)
(On a selective basis)</t>
      </text>
    </comment>
  </commentList>
  <extLst>
    <ext uri="GoogleSheetsCustomDataVersion1">
      <go:sheetsCustomData xmlns:go="http://customooxmlschemas.google.com/" r:id="rId1" roundtripDataSignature="AMtx7mj2ZL7m3RMtjnhcU4vQQNF+2G5hRQ=="/>
    </ext>
  </extLst>
</comments>
</file>

<file path=xl/comments16.xml><?xml version="1.0" encoding="utf-8"?>
<comments xmlns:r="http://schemas.openxmlformats.org/officeDocument/2006/relationships" xmlns="http://schemas.openxmlformats.org/spreadsheetml/2006/main">
  <authors>
    <author/>
  </authors>
  <commentList>
    <comment authorId="0" ref="C42">
      <text>
        <t xml:space="preserve">======
ID#AAAANVU23zM
最高比重    (2021-07-20 22:25:02)
英文</t>
      </text>
    </comment>
    <comment authorId="0" ref="C8">
      <text>
        <t xml:space="preserve">======
ID#AAAANVU23yw
最高比重    (2021-07-20 22:25:02)
英文</t>
      </text>
    </comment>
    <comment authorId="0" ref="C13">
      <text>
        <t xml:space="preserve">======
ID#AAAANVU23xU
最高比重    (2021-07-20 22:25:02)
英文、數學、M1/2、生物、化學、物理、組合科學、ICT</t>
      </text>
    </comment>
    <comment authorId="0" ref="C60">
      <text>
        <t xml:space="preserve">======
ID#AAAANVU23uw
最高比重    (2021-07-20 22:25:02)
英文、數學、M1/2、生物、化學、物理、組合科學、ICT</t>
      </text>
    </comment>
    <comment authorId="0" ref="C80">
      <text>
        <t xml:space="preserve">======
ID#AAAANVU23tQ
最高比重    (2021-07-20 22:25:02)
英文、數學、M1/2、物理、組合科學(物理)</t>
      </text>
    </comment>
    <comment authorId="0" ref="C75">
      <text>
        <t xml:space="preserve">======
ID#AAAANVU23qM
最高比重    (2021-07-20 22:25:02)
英文、數學、M1/2、生物、化學、物理、組合科學、ICT</t>
      </text>
    </comment>
    <comment authorId="0" ref="C36">
      <text>
        <t xml:space="preserve">======
ID#AAAANVU23lk
最高比重    (2021-07-20 22:25:02)
英文、數學</t>
      </text>
    </comment>
    <comment authorId="0" ref="C90">
      <text>
        <t xml:space="preserve">======
ID#AAAANVU23k0
最高比重    (2021-07-20 22:25:02)
英文、數學</t>
      </text>
    </comment>
    <comment authorId="0" ref="C40">
      <text>
        <t xml:space="preserve">======
ID#AAAANVU23kE
最高比重    (2021-07-20 22:25:02)
英文、數學</t>
      </text>
    </comment>
    <comment authorId="0" ref="C62">
      <text>
        <t xml:space="preserve">======
ID#AAAANVU23j8
最高比重    (2021-07-20 22:25:02)
中文、英文、數學、通識、DAT、視覺藝術</t>
      </text>
    </comment>
    <comment authorId="0" ref="C85">
      <text>
        <t xml:space="preserve">======
ID#AAAANVU23hU
最高比重    (2021-07-20 22:25:02)
英文</t>
      </text>
    </comment>
    <comment authorId="0" ref="C83">
      <text>
        <t xml:space="preserve">======
ID#AAAANVU23gU
最高比重    (2021-07-20 22:25:02)
英文、數學</t>
      </text>
    </comment>
    <comment authorId="0" ref="C81">
      <text>
        <t xml:space="preserve">======
ID#AAAANVU23f8
最高比重    (2021-07-20 22:25:02)
英文</t>
      </text>
    </comment>
    <comment authorId="0" ref="C53">
      <text>
        <t xml:space="preserve">======
ID#AAAANVU23fo
Michael Chan    (2021-07-20 22:25:02)
2021年將以新比重收生
最高比重: 中文、英文、數學、M1/2、通識、生物、化學、物理、組合科學、經濟、地理、綜合科學
此處仍以2020年比重作估算，請注意
最高比重: 英文、數學、M1/2、生物、化學、物理、組合科學</t>
      </text>
    </comment>
    <comment authorId="0" ref="C9">
      <text>
        <t xml:space="preserve">======
ID#AAAANVU23fQ
最高比重    (2021-07-20 22:25:02)
英文、數學</t>
      </text>
    </comment>
    <comment authorId="0" ref="C77">
      <text>
        <t xml:space="preserve">======
ID#AAAANVU23eU
最高比重    (2021-07-20 22:25:02)
英文、數學、M1/2、生物、化學、物理、組合科學、ICT</t>
      </text>
    </comment>
    <comment authorId="0" ref="C5">
      <text>
        <t xml:space="preserve">======
ID#AAAANVU23c4
最高比重    (2021-07-20 22:25:02)
英文、數學、M1/2、生物、化學、物理、組合科學、ICT</t>
      </text>
    </comment>
    <comment authorId="0" ref="C35">
      <text>
        <t xml:space="preserve">======
ID#AAAANVU23YI
最高比重    (2021-07-20 22:25:02)
英文、數學、M1/2、物理、組合科學(物理)</t>
      </text>
    </comment>
    <comment authorId="0" ref="C17">
      <text>
        <t xml:space="preserve">======
ID#AAAANVU23XU
最高比重    (2021-07-20 22:25:02)
英文、數學</t>
      </text>
    </comment>
    <comment authorId="0" ref="C55">
      <text>
        <t xml:space="preserve">======
ID#AAAANVU23V0
最高比重    (2021-07-20 22:25:02)
英文</t>
      </text>
    </comment>
    <comment authorId="0" ref="C73">
      <text>
        <t xml:space="preserve">======
ID#AAAANVU23VM
最高比重    (2021-07-20 22:25:02)
英文、數學</t>
      </text>
    </comment>
    <comment authorId="0" ref="C59">
      <text>
        <t xml:space="preserve">======
ID#AAAANVU23VA
最高比重    (2021-07-20 22:25:02)
英文、數學、M1/2、生物、化學、物理、組合科學、ICT</t>
      </text>
    </comment>
    <comment authorId="0" ref="C84">
      <text>
        <t xml:space="preserve">======
ID#AAAANVU23Uc
最高比重    (2021-07-20 22:25:02)
中文、英文</t>
      </text>
    </comment>
    <comment authorId="0" ref="C46">
      <text>
        <t xml:space="preserve">======
ID#AAAANVU23S4
最高比重    (2021-07-20 22:25:02)
英文、數學、M1/2、物理、組合科學(物理)</t>
      </text>
    </comment>
    <comment authorId="0" ref="C44">
      <text>
        <t xml:space="preserve">======
ID#AAAANVU23Rs
最高比重    (2021-07-20 22:25:02)
英文、數學</t>
      </text>
    </comment>
    <comment authorId="0" ref="C57">
      <text>
        <t xml:space="preserve">======
ID#AAAANVU23PY
最高比重    (2021-07-20 22:25:02)
英文、數學、M1/2、生物、化學、組合科學(生物、化學)</t>
      </text>
    </comment>
    <comment authorId="0" ref="C7">
      <text>
        <t xml:space="preserve">======
ID#AAAANVU23Ok
Michael Chan    (2021-07-20 22:25:02)
2021年將以新比重收生
最高比重: 英文、數學、M1/2、物理、組合科學(物理)、地理、ICT、綜合科學
此處仍以2020年比重作估算，請注意
最高比重: 英文、數學</t>
      </text>
    </comment>
    <comment authorId="0" ref="C34">
      <text>
        <t xml:space="preserve">======
ID#AAAANVU23OQ
最高比重    (2021-07-20 22:25:02)
英文</t>
      </text>
    </comment>
    <comment authorId="0" ref="C38">
      <text>
        <t xml:space="preserve">======
ID#AAAANVU23M8
最高比重    (2021-07-20 22:25:02)
英文</t>
      </text>
    </comment>
    <comment authorId="0" ref="C6">
      <text>
        <t xml:space="preserve">======
ID#AAAANVU23Mk
Michael Chan    (2021-07-20 22:25:02)
2021年將以新比重收生
最高比重: 中文、英文、數學、M1/2、通識、生物、化學、物理、組合科學、經濟、地理、綜合科學
此處仍以2020年比重作估算，請注意
最高比重: 英文、數學、M1/2、生物、化學、物理、組合科學</t>
      </text>
    </comment>
    <comment authorId="0" ref="C66">
      <text>
        <t xml:space="preserve">======
ID#AAAANVU23MA
最高比重    (2021-07-20 22:25:02)
數學、M1/2、生物、化學、物理、組合科學</t>
      </text>
    </comment>
    <comment authorId="0" ref="C19">
      <text>
        <t xml:space="preserve">======
ID#AAAANVU23I8
最高比重    (2021-07-20 22:25:02)
數學、M1/2、生物、化學、物理、組合科學</t>
      </text>
    </comment>
    <comment authorId="0" ref="C27">
      <text>
        <t xml:space="preserve">======
ID#AAAANVU23GY
最高比重    (2021-07-20 22:25:02)
英文、數學、M1/2、生物、化學、物理、組合科學、ICT</t>
      </text>
    </comment>
    <comment authorId="0" ref="C22">
      <text>
        <t xml:space="preserve">======
ID#AAAANVU23GI
最高比重    (2021-07-20 22:25:02)
中文、英文、生物、物理、組合科學(生物、物理)</t>
      </text>
    </comment>
    <comment authorId="0" ref="C12">
      <text>
        <t xml:space="preserve">======
ID#AAAANVU23Fo
最高比重    (2021-07-20 22:25:02)
英文、數學、M1/2、生物、化學、物理、組合科學、ICT</t>
      </text>
    </comment>
    <comment authorId="0" ref="C47">
      <text>
        <t xml:space="preserve">======
ID#AAAANVU23Fg
最高比重    (2021-07-20 22:25:02)
英文、數學、化學、組合科學(化學)</t>
      </text>
    </comment>
    <comment authorId="0" ref="C20">
      <text>
        <t xml:space="preserve">======
ID#AAAANVU23Es
最高比重    (2021-07-20 22:25:02)
中文、英文、數學、生物、化學、物理、組合科學</t>
      </text>
    </comment>
    <comment authorId="0" ref="C51">
      <text>
        <t xml:space="preserve">======
ID#AAAANVU23E0
Michael Chan    (2021-07-20 22:25:02)
最高比重
英文、數學、M1/2、物理、化學、生物、組合科學</t>
      </text>
    </comment>
    <comment authorId="0" ref="C74">
      <text>
        <t xml:space="preserve">======
ID#AAAANVU23DU
最高比重    (2021-07-20 22:25:02)
英文、數學、M1/2、生物、化學、物理、組合科學、ICT</t>
      </text>
    </comment>
    <comment authorId="0" ref="C76">
      <text>
        <t xml:space="preserve">======
ID#AAAANVU23DQ
最高比重    (2021-07-20 22:25:02)
英文、數學、M1/2、物理、組合科學(物理)</t>
      </text>
    </comment>
    <comment authorId="0" ref="C63">
      <text>
        <t xml:space="preserve">======
ID#AAAANVU23AU
最高比重    (2021-07-20 22:25:02)
英文、數學</t>
      </text>
    </comment>
    <comment authorId="0" ref="C88">
      <text>
        <t xml:space="preserve">======
ID#AAAANVU23AA
最高比重    (2021-07-20 22:25:02)
英文、數學、M1/2、生物、化學、物理、BAFS、組合科學、經濟、ICT</t>
      </text>
    </comment>
    <comment authorId="0" ref="C24">
      <text>
        <t xml:space="preserve">======
ID#AAAANVU23AE
最高比重    (2021-07-20 22:25:02)
英文、數學、M1/2、生物、化學、物理、組合科學</t>
      </text>
    </comment>
    <comment authorId="0" ref="C68">
      <text>
        <t xml:space="preserve">======
ID#AAAANVU22_4
最高比重    (2021-07-20 22:25:02)
中文、英文、生物、物理、組合科學</t>
      </text>
    </comment>
    <comment authorId="0" ref="C78">
      <text>
        <t xml:space="preserve">======
ID#AAAANVU22_o
最高比重    (2021-07-20 22:25:02)
英文、數學、物理、組合科學(物理)</t>
      </text>
    </comment>
    <comment authorId="0" ref="C61">
      <text>
        <t xml:space="preserve">======
ID#AAAANVU229g
最高比重    (2021-07-20 22:25:02)
英文、數學</t>
      </text>
    </comment>
    <comment authorId="0" ref="C30">
      <text>
        <t xml:space="preserve">======
ID#AAAANVU2284
最高比重    (2021-07-20 22:25:01)
英文、數學、M1/2、生物、化學、物理、組合科學、ICT</t>
      </text>
    </comment>
    <comment authorId="0" ref="C58">
      <text>
        <t xml:space="preserve">======
ID#AAAANVU2280
最高比重    (2021-07-20 22:25:01)
英文、化學、組合科學(化學)、DAT、視藝藝術</t>
      </text>
    </comment>
    <comment authorId="0" ref="C89">
      <text>
        <t xml:space="preserve">======
ID#AAAANVU2270
最高比重    (2021-07-20 22:25:01)
英文</t>
      </text>
    </comment>
    <comment authorId="0" ref="C41">
      <text>
        <t xml:space="preserve">======
ID#AAAANVU225k
最高比重    (2021-07-20 22:25:01)
英文、數學、M1/2、生物、化學、物理、BAFS、組合科學、經濟、ICT</t>
      </text>
    </comment>
    <comment authorId="0" ref="C87">
      <text>
        <t xml:space="preserve">======
ID#AAAANVU225A
最高比重    (2021-07-20 22:25:01)
英文、數學</t>
      </text>
    </comment>
    <comment authorId="0" ref="C31">
      <text>
        <t xml:space="preserve">======
ID#AAAANVU224M
最高比重    (2021-07-20 22:25:01)
英文、數學、物理、組合科學(物理)</t>
      </text>
    </comment>
    <comment authorId="0" ref="C3">
      <text>
        <t xml:space="preserve">======
ID#AAAANVU224A
最高比重    (2021-07-20 22:25:01)
中文、英文、數學、通識、生物、組合科學(生物)</t>
      </text>
    </comment>
    <comment authorId="0" ref="C94">
      <text>
        <t xml:space="preserve">======
ID#AAAANVU223g
最高比重    (2021-07-20 22:25:01)
英文、數學、化學、組合科學(化學)</t>
      </text>
    </comment>
    <comment authorId="0" ref="C69">
      <text>
        <t xml:space="preserve">======
ID#AAAANVU222w
最高比重    (2021-07-20 22:25:01)
中文、英文、生物、物理、組合科學(生物、物理)</t>
      </text>
    </comment>
    <comment authorId="0" ref="C16">
      <text>
        <t xml:space="preserve">======
ID#AAAANVU222o
最高比重    (2021-07-20 22:25:01)
英文、數學</t>
      </text>
    </comment>
    <comment authorId="0" ref="C70">
      <text>
        <t xml:space="preserve">======
ID#AAAANVU222E
最高比重    (2021-07-20 22:25:01)
中文、英文、數學、通識、生物、組合科學(生物)</t>
      </text>
    </comment>
    <comment authorId="0" ref="C52">
      <text>
        <t xml:space="preserve">======
ID#AAAANVU2214
最高比重    (2021-07-20 22:25:01)
英文、數學、M1/2、生物、化學、物理、組合科學、ICT</t>
      </text>
    </comment>
    <comment authorId="0" ref="C54">
      <text>
        <t xml:space="preserve">======
ID#AAAANVU22zc
Michael Chan    (2021-07-20 22:25:01)
2021年將以新比重收生
最高比重: 英文、數學、M1/2、物理、組合科學(物理)、地理、ICT、綜合科學
此處仍以2020年比重作估算，請注意
最高比重: 英文、數學</t>
      </text>
    </comment>
    <comment authorId="0" ref="C10">
      <text>
        <t xml:space="preserve">======
ID#AAAANVU22xU
最高比重    (2021-07-20 22:25:01)
英文、數學、M1/2、生物、化學、組合科學(生物、化學)</t>
      </text>
    </comment>
    <comment authorId="0" ref="C11">
      <text>
        <t xml:space="preserve">======
ID#AAAANVU22w8
最高比重    (2021-07-20 22:25:01)
英文、化學、組合科學(化學)、DAT、視藝藝術</t>
      </text>
    </comment>
    <comment authorId="0" ref="C45">
      <text>
        <t xml:space="preserve">======
ID#AAAANVU22tE
Michael Chan    (2021-07-20 22:25:01)
最高比重
英文、數學、生物、組合科學(生物)</t>
      </text>
    </comment>
    <comment authorId="0" ref="C18">
      <text>
        <t xml:space="preserve">======
ID#AAAANVU22r4
最高比重    (2021-07-20 22:25:01)
英文、數學</t>
      </text>
    </comment>
    <comment authorId="0" ref="C23">
      <text>
        <t xml:space="preserve">======
ID#AAAANVU22m0
最高比重    (2021-07-20 22:25:01)
中文、英文、數學、通識、生物、組合科學(生物)</t>
      </text>
    </comment>
    <comment authorId="0" ref="C93">
      <text>
        <t xml:space="preserve">======
ID#AAAANVU22lE
最高比重    (2021-07-20 22:25:01)
英文、數學、M1/2、物理、組合科學(物理)</t>
      </text>
    </comment>
    <comment authorId="0" ref="C64">
      <text>
        <t xml:space="preserve">======
ID#AAAANVU22kw
最高比重    (2021-07-20 22:25:01)
英文、數學</t>
      </text>
    </comment>
    <comment authorId="0" ref="C21">
      <text>
        <t xml:space="preserve">======
ID#AAAANVU22kg
最高比重    (2021-07-20 22:25:01)
中文、英文、生物、物理、組合科學</t>
      </text>
    </comment>
    <comment authorId="0" ref="C65">
      <text>
        <t xml:space="preserve">======
ID#AAAANVU22jo
最高比重    (2021-07-20 22:25:01)
英文、數學</t>
      </text>
    </comment>
    <comment authorId="0" ref="C67">
      <text>
        <t xml:space="preserve">======
ID#AAAANVU22iw
最高比重    (2021-07-20 22:25:01)
中文、英文、數學、生物、化學、物理、組合科學</t>
      </text>
    </comment>
    <comment authorId="0" ref="C26">
      <text>
        <t xml:space="preserve">======
ID#AAAANVU22is
最高比重    (2021-07-20 22:25:01)
英文、數學</t>
      </text>
    </comment>
    <comment authorId="0" ref="C28">
      <text>
        <t xml:space="preserve">======
ID#AAAANVU22iY
最高比重    (2021-07-20 22:25:01)
英文、數學、M1/2、生物、化學、物理、組合科學、ICT</t>
      </text>
    </comment>
    <comment authorId="0" ref="C37">
      <text>
        <t xml:space="preserve">======
ID#AAAANVU22hw
最高比重    (2021-07-20 22:25:01)
中文、英文</t>
      </text>
    </comment>
    <comment authorId="0" ref="C56">
      <text>
        <t xml:space="preserve">======
ID#AAAANVU22hg
最高比重    (2021-07-20 22:25:01)
英文、數學</t>
      </text>
    </comment>
    <comment authorId="0" ref="C39">
      <text>
        <t xml:space="preserve">======
ID#AAAANVU22gs
最高比重    (2021-07-20 22:25:01)
中文、英文</t>
      </text>
    </comment>
    <comment authorId="0" ref="C14">
      <text>
        <t xml:space="preserve">======
ID#AAAANVU22gc
最高比重    (2021-07-20 22:25:01)
英文、數學</t>
      </text>
    </comment>
    <comment authorId="0" ref="C29">
      <text>
        <t xml:space="preserve">======
ID#AAAANVU22gI
最高比重    (2021-07-20 22:25:01)
英文、數學、M1/2、物理、組合科學(物理)</t>
      </text>
    </comment>
    <comment authorId="0" ref="C92">
      <text>
        <t xml:space="preserve">======
ID#AAAANVU22fI
Michael Chan    (2021-07-20 22:25:01)
最高比重
英文、數學、生物、組合科學(生物)</t>
      </text>
    </comment>
    <comment authorId="0" ref="C43">
      <text>
        <t xml:space="preserve">======
ID#AAAANVU22dw
最高比重    (2021-07-20 22:25:01)
英文、數學</t>
      </text>
    </comment>
    <comment authorId="0" ref="C86">
      <text>
        <t xml:space="preserve">======
ID#AAAANVU22dk
最高比重    (2021-07-20 22:25:01)
中文、英文</t>
      </text>
    </comment>
    <comment authorId="0" ref="C82">
      <text>
        <t xml:space="preserve">======
ID#AAAANVU22dg
最高比重    (2021-07-20 22:25:01)
英文、數學、M1/2、物理、組合科學(物理)</t>
      </text>
    </comment>
    <comment authorId="0" ref="C33">
      <text>
        <t xml:space="preserve">======
ID#AAAANVU22cI
最高比重    (2021-07-20 22:25:01)
英文、數學、M1/2、物理、組合科學(物理)</t>
      </text>
    </comment>
    <comment authorId="0" ref="C4">
      <text>
        <t xml:space="preserve">======
ID#AAAANVU22bE
Michael Chan    (2021-07-20 22:25:01)
最高比重
英文、數學、M1/2、物理、化學、生物、組合科學</t>
      </text>
    </comment>
    <comment authorId="0" ref="C15">
      <text>
        <t xml:space="preserve">======
ID#AAAANVU22YM
最高比重    (2021-07-20 22:25:01)
中文、英文、數學、通識、DAT、視覺藝術</t>
      </text>
    </comment>
    <comment authorId="0" ref="C71">
      <text>
        <t xml:space="preserve">======
ID#AAAANVU22X4
最高比重    (2021-07-20 22:25:01)
英文、數學、M1/2、生物、化學、物理、組合科學</t>
      </text>
    </comment>
    <comment authorId="0" ref="C91">
      <text>
        <t xml:space="preserve">======
ID#AAAANVU22Xg
最高比重    (2021-07-20 22:25:01)
英文、數學</t>
      </text>
    </comment>
    <comment authorId="0" ref="C50">
      <text>
        <t xml:space="preserve">======
ID#AAAANVU22Ws
最高比重    (2021-07-20 22:25:01)
中文、英文、數學、通識、生物、組合科學(生物)</t>
      </text>
    </comment>
  </commentList>
  <extLst>
    <ext uri="GoogleSheetsCustomDataVersion1">
      <go:sheetsCustomData xmlns:go="http://customooxmlschemas.google.com/" r:id="rId1" roundtripDataSignature="AMtx7mjWQ0FTxvdvYgwdx1YW3JfffgXG7w=="/>
    </ext>
  </extLst>
</comments>
</file>

<file path=xl/comments17.xml><?xml version="1.0" encoding="utf-8"?>
<comments xmlns:r="http://schemas.openxmlformats.org/officeDocument/2006/relationships" xmlns="http://schemas.openxmlformats.org/spreadsheetml/2006/main">
  <authors>
    <author/>
  </authors>
  <commentList>
    <comment authorId="0" ref="C28">
      <text>
        <t xml:space="preserve">======
ID#AAAANVU23zE
Michael Chan    (2021-07-20 22:25:02)
x1.5: 英文
x1.25: 中文、通識</t>
      </text>
    </comment>
    <comment authorId="0" ref="C16">
      <text>
        <t xml:space="preserve">======
ID#AAAANVU23uM
Michael Chan    (2021-07-20 22:25:02)
2021年將不會計算比重
經考慮後，
此處將以不以原有比重作估算，請注意
x2: 旅遊及款待</t>
      </text>
    </comment>
    <comment authorId="0" ref="R64">
      <text>
        <t xml:space="preserve">======
ID#AAAANVU23p0
Michael Chan    (2021-07-20 22:25:02)
Penalty for previous sitting(s) (2019 and before) will be imposed on a case-by-case basis</t>
      </text>
    </comment>
    <comment authorId="0" ref="C22">
      <text>
        <t xml:space="preserve">======
ID#AAAANVU23YM
Michael Chan    (2021-07-20 22:25:02)
包含中文
中文有較高比重
(此處作x1.5)</t>
      </text>
    </comment>
    <comment authorId="0" ref="C17">
      <text>
        <t xml:space="preserve">======
ID#AAAANVU23XI
Michael Chan    (2021-07-20 22:25:02)
包含英文及 [數學和M1/2]其中最佳一科</t>
      </text>
    </comment>
    <comment authorId="0" ref="C24">
      <text>
        <t xml:space="preserve">======
ID#AAAANVU23T0
Michael Chan    (2021-07-20 22:25:02)
x1.5: 數學、M1/2、中文、英文</t>
      </text>
    </comment>
    <comment authorId="0" ref="C29">
      <text>
        <t xml:space="preserve">======
ID#AAAANVU23PI
Michael Chan    (2021-07-20 22:25:02)
x2: 英文、通識
x1.5: 中文</t>
      </text>
    </comment>
    <comment authorId="0" ref="C23">
      <text>
        <t xml:space="preserve">======
ID#AAAANVU223A
Michael Chan    (2021-07-20 22:25:01)
包含英文
英文有較高比重
(此處作x1.5)</t>
      </text>
    </comment>
    <comment authorId="0" ref="R65">
      <text>
        <t xml:space="preserve">======
ID#AAAANVU222M
Michael Chan    (2021-07-20 22:25:01)
Penalty for previous sitting(s) (2019 and before) will be imposed on a case-by-case basis</t>
      </text>
    </comment>
    <comment authorId="0" ref="R72">
      <text>
        <t xml:space="preserve">======
ID#AAAANVU22zs
Michael Chan    (2021-07-20 22:25:01)
Penalty for previous sitting(s) (2019 and before) will be imposed on a case-by-case basis</t>
      </text>
    </comment>
    <comment authorId="0" ref="C19">
      <text>
        <t xml:space="preserve">======
ID#AAAANVU22tk
Michael Chan    (2021-07-20 22:25:01)
2021年將以新比重收生
(x2: 英文、數學
x1.5: [M1/2、化學、物理或經濟] 其中最佳一科)
此處仍以原有比重作估算，請注意
x2: 英文、數學
x1.5: [M1/2、化學或物理] 其中最佳一科</t>
      </text>
    </comment>
    <comment authorId="0" ref="C20">
      <text>
        <t xml:space="preserve">======
ID#AAAANVU22f0
Michael Chan    (2021-07-20 22:25:01)
x2: 英文、通識
x 1.5: 中文</t>
      </text>
    </comment>
  </commentList>
  <extLst>
    <ext uri="GoogleSheetsCustomDataVersion1">
      <go:sheetsCustomData xmlns:go="http://customooxmlschemas.google.com/" r:id="rId1" roundtripDataSignature="AMtx7mg6eVa34gegCtOb8EDIB6TGk12Ffg=="/>
    </ext>
  </extLst>
</comments>
</file>

<file path=xl/sharedStrings.xml><?xml version="1.0" encoding="utf-8"?>
<sst xmlns="http://schemas.openxmlformats.org/spreadsheetml/2006/main" count="13825" uniqueCount="2347">
  <si>
    <t>簡化版 2021 聯招計分器 教學 (不能以Excel使用)</t>
  </si>
  <si>
    <t>有鑑於部份同學沒有Excel / 為Mac用戶，今晚無瞓整咗個「簡化版」:)</t>
  </si>
  <si>
    <t>若同學無法以Excel開啟正常計分器，則可用「簡化版」+ Google Sheet 方式使用。</t>
  </si>
  <si>
    <t>方式的原理是為此Google Sheet建立副本，再於你自己的Google Drive中使用，故以下不會用手機再作示範。</t>
  </si>
  <si>
    <r>
      <rPr>
        <rFont val="Arial"/>
        <b/>
        <color theme="1"/>
      </rPr>
      <t>第一步︰</t>
    </r>
    <r>
      <rPr>
        <rFont val="Arial"/>
        <color theme="1"/>
      </rPr>
      <t>返回 「JUPAS CAL」文件夾，亦即是計分器所在的Google Drive 連結。</t>
    </r>
  </si>
  <si>
    <r>
      <rPr>
        <rFont val="Arial"/>
        <b/>
        <color theme="1"/>
      </rPr>
      <t>第二步︰</t>
    </r>
    <r>
      <rPr>
        <rFont val="Arial"/>
        <color theme="1"/>
      </rPr>
      <t>選擇「簡化版」計分器，並對着它按下滑鼠右鍵以開啟選單。</t>
    </r>
  </si>
  <si>
    <r>
      <rPr>
        <rFont val="Arial"/>
        <b/>
        <color theme="1"/>
      </rPr>
      <t>第三步︰</t>
    </r>
    <r>
      <rPr>
        <rFont val="Arial"/>
        <color theme="1"/>
      </rPr>
      <t>按下 「建立副本」。</t>
    </r>
  </si>
  <si>
    <r>
      <rPr>
        <rFont val="Arial"/>
        <b/>
        <color theme="1"/>
      </rPr>
      <t>第四步︰</t>
    </r>
    <r>
      <rPr>
        <rFont val="Arial"/>
        <color theme="1"/>
      </rPr>
      <t>稍等片刻後，按下 「顯示檔案位置」。</t>
    </r>
  </si>
  <si>
    <r>
      <rPr>
        <rFont val="Arial"/>
        <b/>
        <color theme="1"/>
      </rPr>
      <t>第五步︰</t>
    </r>
    <r>
      <rPr>
        <rFont val="Arial"/>
        <b val="0"/>
        <color theme="1"/>
      </rPr>
      <t>開啟視窗後，即可雙擊開啟「簡化版」計算器，再按下方「主頁」以開始使用。</t>
    </r>
  </si>
  <si>
    <t xml:space="preserve">2021 JUPAS 計分器 (簡化版) Ver 1.2.7
</t>
  </si>
  <si>
    <t>只供參考</t>
  </si>
  <si>
    <t>請使用Google Sheet</t>
  </si>
  <si>
    <t>1.</t>
  </si>
  <si>
    <t>請輸入你的成績:</t>
  </si>
  <si>
    <t>2.</t>
  </si>
  <si>
    <t>分數概覽 (未加權) (已包括M1/2)</t>
  </si>
  <si>
    <t>v1.2.7 UPDATE PATCH:</t>
  </si>
  <si>
    <t>5** 請輸入 7，5*請輸入6，如此類推，不需計算加分制</t>
  </si>
  <si>
    <t>更正 JS6901 未有計算最佳理科比重</t>
  </si>
  <si>
    <t>核心科目</t>
  </si>
  <si>
    <t>請輸入</t>
  </si>
  <si>
    <t>Best 5</t>
  </si>
  <si>
    <t>4C+1X</t>
  </si>
  <si>
    <t>中國語文</t>
  </si>
  <si>
    <t>Best 6</t>
  </si>
  <si>
    <t>4C+2X</t>
  </si>
  <si>
    <t>英國語文</t>
  </si>
  <si>
    <t>^不計算語言科目</t>
  </si>
  <si>
    <t>請定期檢查更新</t>
  </si>
  <si>
    <t>數學</t>
  </si>
  <si>
    <t>通識教育</t>
  </si>
  <si>
    <t>3.</t>
  </si>
  <si>
    <t>JUPAS排位</t>
  </si>
  <si>
    <t>此處顯示為2020年方式及數字 (分數已計比重)</t>
  </si>
  <si>
    <t>M1/2</t>
  </si>
  <si>
    <t>請輸入JUPAS編號 (e.g. JS4862)</t>
  </si>
  <si>
    <t>請前往院校版面查看詳細註釋</t>
  </si>
  <si>
    <t xml:space="preserve"> </t>
  </si>
  <si>
    <t>2020年</t>
  </si>
  <si>
    <t>Band A</t>
  </si>
  <si>
    <t>例如課程要求M1/2，若同學沒有修讀，就會變紅</t>
  </si>
  <si>
    <t>請於下面複製完整科目名稱並貼上，輸入錯誤會變紅</t>
  </si>
  <si>
    <t>院校</t>
  </si>
  <si>
    <t>學科</t>
  </si>
  <si>
    <t>計分方式</t>
  </si>
  <si>
    <t>UQ</t>
  </si>
  <si>
    <t>Median</t>
  </si>
  <si>
    <t>LQ</t>
  </si>
  <si>
    <t>你的分數</t>
  </si>
  <si>
    <t>學額</t>
  </si>
  <si>
    <t>取錄人數</t>
  </si>
  <si>
    <t>競爭人數</t>
  </si>
  <si>
    <t>合乎基本入學要求?(並非入讀機率)</t>
  </si>
  <si>
    <t>選修科目 (請貼上)</t>
  </si>
  <si>
    <t>A1</t>
  </si>
  <si>
    <t>JS4862</t>
  </si>
  <si>
    <t>第一選修</t>
  </si>
  <si>
    <t>%差距</t>
  </si>
  <si>
    <t>第二選修</t>
  </si>
  <si>
    <t>A2</t>
  </si>
  <si>
    <t>JS7606</t>
  </si>
  <si>
    <r>
      <rPr>
        <rFont val="微軟正黑體"/>
        <b/>
        <color theme="1"/>
        <sz val="12.0"/>
      </rPr>
      <t>詳細資料及比重</t>
    </r>
    <r>
      <rPr>
        <rFont val="微軟正黑體"/>
        <color theme="1"/>
        <sz val="12.0"/>
      </rPr>
      <t>請前往院校分頁</t>
    </r>
  </si>
  <si>
    <t>第三選修</t>
  </si>
  <si>
    <t>第四選修</t>
  </si>
  <si>
    <t>A3</t>
  </si>
  <si>
    <t>語言科目</t>
  </si>
  <si>
    <t>*= 合併學額</t>
  </si>
  <si>
    <t>競爭人數: 幾多人爭一個位</t>
  </si>
  <si>
    <t>語言科目 請直接輸入 A、B、C、D、E等</t>
  </si>
  <si>
    <t>歡迎各位有心人Debug, 請於Drive中Debug文件內註明Bug及其位置</t>
  </si>
  <si>
    <r>
      <rPr>
        <rFont val="Microsoft JhengHei"/>
        <b/>
        <color rgb="FFFF0000"/>
        <sz val="11.0"/>
      </rPr>
      <t>每次使用前請檢查計分器是否為</t>
    </r>
    <r>
      <rPr>
        <rFont val="微軟正黑體"/>
        <b/>
        <color rgb="FFFF0000"/>
        <sz val="14.0"/>
      </rPr>
      <t>最新版本</t>
    </r>
    <r>
      <rPr>
        <rFont val="微軟正黑體"/>
        <b/>
        <color rgb="FFFF0000"/>
        <sz val="11.0"/>
      </rPr>
      <t>:</t>
    </r>
  </si>
  <si>
    <t>甲類選修科</t>
  </si>
  <si>
    <t>丙類選修科</t>
  </si>
  <si>
    <t>https://drive.google.com/drive/folders/1PmyDrmQ2CumbWrqY7NRqa0Ol-M9VnkFz?usp=sharing</t>
  </si>
  <si>
    <t>O&amp;A 及使用須知:</t>
  </si>
  <si>
    <t>物理</t>
  </si>
  <si>
    <t>法語</t>
  </si>
  <si>
    <t>https://docs.google.com/document/d/1bjzQUUMb8DlIscphMiGRqHmzj3IfXtknElbe2bmtTq4/edit?usp=sharing</t>
  </si>
  <si>
    <t>化學</t>
  </si>
  <si>
    <t>日語</t>
  </si>
  <si>
    <t>生物</t>
  </si>
  <si>
    <t>德語</t>
  </si>
  <si>
    <t>4.</t>
  </si>
  <si>
    <t>重考扣分 (測試中)</t>
  </si>
  <si>
    <t>Previous Update Patch</t>
  </si>
  <si>
    <t>經濟</t>
  </si>
  <si>
    <t>印地語</t>
  </si>
  <si>
    <t xml:space="preserve">(只需填寫有重新報考的科目) </t>
  </si>
  <si>
    <t>重考?</t>
  </si>
  <si>
    <t>更正 HKBU 未有計算 M1/2作選修</t>
  </si>
  <si>
    <t>地理</t>
  </si>
  <si>
    <t>西班牙語</t>
  </si>
  <si>
    <t>請輸入Y</t>
  </si>
  <si>
    <t>v1.2.6 UPDATE PATCH:</t>
  </si>
  <si>
    <t>更正 JS7101 分數計算錯誤</t>
  </si>
  <si>
    <t>音樂</t>
  </si>
  <si>
    <t>烏爾都語</t>
  </si>
  <si>
    <t>更正 JS6248 錯誤將M1/2視為入學要求</t>
  </si>
  <si>
    <t>更正 JS6781 錯誤計算 M1/2 為選修</t>
  </si>
  <si>
    <t>體育</t>
  </si>
  <si>
    <t>更正 JS6107 分數計算錯誤</t>
  </si>
  <si>
    <t>歷史</t>
  </si>
  <si>
    <t>v1.0.0-1.2.5 UPDATE PATCH:</t>
  </si>
  <si>
    <t>更正 HKU 商科 M1/2 比重 計算錯誤</t>
  </si>
  <si>
    <t>中國歷史</t>
  </si>
  <si>
    <t xml:space="preserve">更正 JS1113 數學入學要求錯誤 </t>
  </si>
  <si>
    <t>更正 JS6860/6793/6808 主頁 入學資格 錯誤</t>
  </si>
  <si>
    <t>視覺藝術</t>
  </si>
  <si>
    <t xml:space="preserve">更正 JS2410 入學要求錯誤 </t>
  </si>
  <si>
    <t>更正 SSSDP 東華 錯誤以 4C1X 計分</t>
  </si>
  <si>
    <t>綜合科學</t>
  </si>
  <si>
    <t>更正 JS4501 分數計算錯誤</t>
  </si>
  <si>
    <t>更正 JS1202 選修科 入學要求</t>
  </si>
  <si>
    <t>組合科學(物理、化學)</t>
  </si>
  <si>
    <t>選修科目</t>
  </si>
  <si>
    <t>更正 JS6901 錯誤計算 M1/2 及 通識比重</t>
  </si>
  <si>
    <t>更正 主頁 部分合併學額 顯示錯誤</t>
  </si>
  <si>
    <t>組合科學(生物、化學)</t>
  </si>
  <si>
    <t>更正 JS4252 未有計算選修比重</t>
  </si>
  <si>
    <t>更正 JS4252, JS7503 2021年 新比重</t>
  </si>
  <si>
    <t>組合科學(物理、生物)</t>
  </si>
  <si>
    <t>更正 CU及HKU醫療科 M1/2 計算錯誤</t>
  </si>
  <si>
    <t>更正 JS3739 通識比重 (應為x7而非x10)</t>
  </si>
  <si>
    <t>中國文學</t>
  </si>
  <si>
    <t>更正 HKBU 丙類科目分數</t>
  </si>
  <si>
    <t>更正 JS7225 數學科 入學要求</t>
  </si>
  <si>
    <t>英語文學</t>
  </si>
  <si>
    <t>更正 JS4719 參考分數錯誤</t>
  </si>
  <si>
    <t>更正 「組合科學」未有計算比重</t>
  </si>
  <si>
    <t>旅遊與款待</t>
  </si>
  <si>
    <t>更正 JS6224 錯誤計算理科為x2</t>
  </si>
  <si>
    <t>更正 JS6004 錯誤以Best 5計分</t>
  </si>
  <si>
    <t>倫理與宗教</t>
  </si>
  <si>
    <t>目前只得 CUHK 及 HKU 有列明重考扣分</t>
  </si>
  <si>
    <t>科技與生活</t>
  </si>
  <si>
    <t>此功能只能計算 2020 重考的情況，暫未能考慮其他年份</t>
  </si>
  <si>
    <t>資訊及通訊科技</t>
  </si>
  <si>
    <t>設計與應用科技</t>
  </si>
  <si>
    <t>健康管理與社會關懷</t>
  </si>
  <si>
    <t xml:space="preserve"> 使用須知 及 免責聲明</t>
  </si>
  <si>
    <t>企業、會計與財務概論</t>
  </si>
  <si>
    <r>
      <rPr>
        <rFont val="Microsoft JhengHei"/>
        <color theme="1"/>
        <sz val="10.0"/>
      </rPr>
      <t>此計算器提供的資料只作一般私人參考用途，並不可視為官方的詳盡及權威性的說明，亦不可取代專業諮詢。使用前請先留意</t>
    </r>
    <r>
      <rPr>
        <rFont val="微軟正黑體"/>
        <b/>
        <color theme="1"/>
        <sz val="11.0"/>
      </rPr>
      <t>最新版本</t>
    </r>
    <r>
      <rPr>
        <rFont val="微軟正黑體"/>
        <color theme="1"/>
        <sz val="10.0"/>
      </rPr>
      <t>，以及閱讀</t>
    </r>
    <r>
      <rPr>
        <rFont val="微軟正黑體"/>
        <b/>
        <color theme="1"/>
        <sz val="11.0"/>
      </rPr>
      <t>使用須知</t>
    </r>
    <r>
      <rPr>
        <rFont val="微軟正黑體"/>
        <color theme="1"/>
        <sz val="10.0"/>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</si>
  <si>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等級</t>
  </si>
  <si>
    <t>選修科</t>
  </si>
  <si>
    <t>第一選修科</t>
  </si>
  <si>
    <t>第二選修科</t>
  </si>
  <si>
    <t>第三選修科</t>
  </si>
  <si>
    <t>第四選修科</t>
  </si>
  <si>
    <t>丙類科目等級</t>
  </si>
  <si>
    <t>差距(UQ)</t>
  </si>
  <si>
    <t>請選擇等級</t>
  </si>
  <si>
    <t>請選擇第一選修科</t>
  </si>
  <si>
    <t>請選擇第二選修科</t>
  </si>
  <si>
    <t>請選擇第三選修科</t>
  </si>
  <si>
    <t>請選擇第四選修科</t>
  </si>
  <si>
    <t>請選擇語言科目</t>
  </si>
  <si>
    <t>2019年</t>
  </si>
  <si>
    <t>差距(Median)</t>
  </si>
  <si>
    <t>5**</t>
  </si>
  <si>
    <t>A</t>
  </si>
  <si>
    <t>2018年</t>
  </si>
  <si>
    <t>差距(LQ)</t>
  </si>
  <si>
    <t>5*</t>
  </si>
  <si>
    <t>B</t>
  </si>
  <si>
    <t>C</t>
  </si>
  <si>
    <t>D</t>
  </si>
  <si>
    <t>E</t>
  </si>
  <si>
    <t>U</t>
  </si>
  <si>
    <t>已選擇科目</t>
  </si>
  <si>
    <t>組合科學 (物理、化學)</t>
  </si>
  <si>
    <t>組合科學 (生物、化學)</t>
  </si>
  <si>
    <t>組合科學 (物理、生物)</t>
  </si>
  <si>
    <t>總分</t>
  </si>
  <si>
    <t>數學延伸</t>
  </si>
  <si>
    <t>CityU</t>
  </si>
  <si>
    <t>BU</t>
  </si>
  <si>
    <t>PolyU</t>
  </si>
  <si>
    <t>CUHK</t>
  </si>
  <si>
    <t>UST</t>
  </si>
  <si>
    <t>HKU</t>
  </si>
  <si>
    <t>LingU</t>
  </si>
  <si>
    <t>EdU</t>
  </si>
  <si>
    <t>Thei</t>
  </si>
  <si>
    <t>珠海</t>
  </si>
  <si>
    <t>OUHK</t>
  </si>
  <si>
    <t>無加分制</t>
  </si>
  <si>
    <t>Retake:</t>
  </si>
  <si>
    <t>Best 5 (M)</t>
  </si>
  <si>
    <t>4C+1X (M)</t>
  </si>
  <si>
    <t>Best 6 (M)</t>
  </si>
  <si>
    <t>4C+2X (M)</t>
  </si>
  <si>
    <t>4C2X</t>
  </si>
  <si>
    <t>理學(綜)</t>
  </si>
  <si>
    <t>JS2410/4501/5811</t>
  </si>
  <si>
    <t>有冇讀化/生</t>
  </si>
  <si>
    <t>理學/ICT/M</t>
  </si>
  <si>
    <t>理學/ICT/M/綜</t>
  </si>
  <si>
    <t>DAT/Phy/Chem/noM</t>
  </si>
  <si>
    <t>JS1210</t>
  </si>
  <si>
    <t>物</t>
  </si>
  <si>
    <t>化/組化</t>
  </si>
  <si>
    <t>JS1206</t>
  </si>
  <si>
    <t>PCB/M/BAFS/C/I/DAT/ICT</t>
  </si>
  <si>
    <t>JS1202</t>
  </si>
  <si>
    <t>PB/BAFS/C(PB)/I/DAT</t>
  </si>
  <si>
    <t>化/物/組</t>
  </si>
  <si>
    <t>化</t>
  </si>
  <si>
    <t>物/生</t>
  </si>
  <si>
    <t>JS1216</t>
  </si>
  <si>
    <t>P/C/DAT/ICT/M12/組</t>
  </si>
  <si>
    <t>JS1051 (2021計法)</t>
  </si>
  <si>
    <t>第一選修: 理學(組/綜)</t>
  </si>
  <si>
    <t>第二選修: 理學(組)/地/M</t>
  </si>
  <si>
    <t>中英3X</t>
  </si>
  <si>
    <t>第一選修:</t>
  </si>
  <si>
    <t>第二選修:</t>
  </si>
  <si>
    <t>第三選修:</t>
  </si>
  <si>
    <t>JS1200入學要求</t>
  </si>
  <si>
    <t>E1</t>
  </si>
  <si>
    <t>E2</t>
  </si>
  <si>
    <t>E3</t>
  </si>
  <si>
    <t>E4</t>
  </si>
  <si>
    <t>有冇生/化/物/經/M12其中兩科?</t>
  </si>
  <si>
    <t>JS1201入學要求</t>
  </si>
  <si>
    <t xml:space="preserve">有冇物/組(物)/綜 </t>
  </si>
  <si>
    <t>JS1801入學要求</t>
  </si>
  <si>
    <t>兩科都有</t>
  </si>
  <si>
    <t>HKBU</t>
  </si>
  <si>
    <t>JS2020</t>
  </si>
  <si>
    <t>文學士</t>
  </si>
  <si>
    <t>JS2021</t>
  </si>
  <si>
    <t>中國語言文學文學士</t>
  </si>
  <si>
    <t>JS2022</t>
  </si>
  <si>
    <t>創意及專業寫作文學士</t>
  </si>
  <si>
    <t>JS2023</t>
  </si>
  <si>
    <t>英國語言文學文學士</t>
  </si>
  <si>
    <t>JS2024</t>
  </si>
  <si>
    <t>人文學文學士</t>
  </si>
  <si>
    <t>JS2025</t>
  </si>
  <si>
    <t>宗教、哲學及倫理文學士</t>
  </si>
  <si>
    <t>JS2026</t>
  </si>
  <si>
    <t>翻譯學文學士</t>
  </si>
  <si>
    <t>JS2030</t>
  </si>
  <si>
    <t>音樂文學士</t>
  </si>
  <si>
    <t>JS2040</t>
  </si>
  <si>
    <t>英國語言文學及英語教學 (雙學位課程)</t>
  </si>
  <si>
    <t>JS2050</t>
  </si>
  <si>
    <t>創意產業音樂學士</t>
  </si>
  <si>
    <t>JS2110</t>
  </si>
  <si>
    <t>工商管理學士 - 會計學專修</t>
  </si>
  <si>
    <t>JS2120</t>
  </si>
  <si>
    <t>工商管理學士</t>
  </si>
  <si>
    <t>JS2320</t>
  </si>
  <si>
    <t>傳理學學士 - 電影主修 - 動畫及媒體藝術專修</t>
  </si>
  <si>
    <t>JS2330</t>
  </si>
  <si>
    <t>傳理學學士 - 電影主修 - 電影電視專修</t>
  </si>
  <si>
    <t>JS2340</t>
  </si>
  <si>
    <t>環球螢幕演技藝術學士</t>
  </si>
  <si>
    <t>JS2350</t>
  </si>
  <si>
    <t>傳理學學士 - 新聞與數碼媒體主修</t>
  </si>
  <si>
    <t>JS2360</t>
  </si>
  <si>
    <t>傳理學學士 - 公關及廣告主修</t>
  </si>
  <si>
    <t>JS2410</t>
  </si>
  <si>
    <t>中醫學學士及生物醫學理學士</t>
  </si>
  <si>
    <t>JS2420</t>
  </si>
  <si>
    <t>中藥學學士</t>
  </si>
  <si>
    <t>JS2510</t>
  </si>
  <si>
    <t>理學士</t>
  </si>
  <si>
    <t>JS2610</t>
  </si>
  <si>
    <t>文學士/ 社會科學學士 (地理/ 政治及國際關係學/ 歷史/ 社會學)</t>
  </si>
  <si>
    <t>JS2620</t>
  </si>
  <si>
    <t>體育及康樂管理文學士</t>
  </si>
  <si>
    <t>JS2630</t>
  </si>
  <si>
    <t>歐洲研究社會科學學士 - 法文</t>
  </si>
  <si>
    <t>JS2640</t>
  </si>
  <si>
    <t>歐洲研究社會科學學士 - 德文</t>
  </si>
  <si>
    <t>JS2660</t>
  </si>
  <si>
    <t>社會工作學士</t>
  </si>
  <si>
    <t>JS2670</t>
  </si>
  <si>
    <t>全球及中國研究社會科學學士</t>
  </si>
  <si>
    <t>JS2690</t>
  </si>
  <si>
    <t>地理/ 歷史/ 社會學及個人、社會及人文教學 (雙學位課程)</t>
  </si>
  <si>
    <t>JS2810</t>
  </si>
  <si>
    <t>視覺藝術文學士</t>
  </si>
  <si>
    <t>JS2910</t>
  </si>
  <si>
    <t>商業計算及數據分析理學士</t>
  </si>
  <si>
    <t>JS3337</t>
  </si>
  <si>
    <t>精神健康護理學(榮譽)理學士學位</t>
  </si>
  <si>
    <t>JS3349</t>
  </si>
  <si>
    <t>食品科技與食物安全(榮譽)理學士學位</t>
  </si>
  <si>
    <t>JS3351</t>
  </si>
  <si>
    <t>運輸系統工程學(榮譽)工學士學位</t>
  </si>
  <si>
    <t>JS3375</t>
  </si>
  <si>
    <t>環境工程與可持續發展學(榮譽)工學士學位</t>
  </si>
  <si>
    <t>JS3387</t>
  </si>
  <si>
    <t>土地測量及地理資訊學(榮譽)理學士學位</t>
  </si>
  <si>
    <t>JS3442</t>
  </si>
  <si>
    <t>物業管理學(榮譽)理學士學位</t>
  </si>
  <si>
    <t>JS3466</t>
  </si>
  <si>
    <t>會計及金融(榮譽)工商管理學士學位</t>
  </si>
  <si>
    <t>JS3478</t>
  </si>
  <si>
    <t>醫療化驗科學(榮譽)理學士學位</t>
  </si>
  <si>
    <t>JS3492</t>
  </si>
  <si>
    <t>服裝及紡織(榮譽)文學士學位組合課程</t>
  </si>
  <si>
    <t>JS3507</t>
  </si>
  <si>
    <t>航空工程學(榮譽)工學士學位</t>
  </si>
  <si>
    <t>JS3519</t>
  </si>
  <si>
    <t>互聯網及多媒體科技(榮譽)理學士學位</t>
  </si>
  <si>
    <t>JS3557</t>
  </si>
  <si>
    <t>產品及工業工程(榮譽)工學士學位組合課程</t>
  </si>
  <si>
    <t>JS3569</t>
  </si>
  <si>
    <t>設計學(榮譽)文學士學位組合課程</t>
  </si>
  <si>
    <t>JS3571</t>
  </si>
  <si>
    <t>物流及企業工程(榮譽)理學士學位組合課程</t>
  </si>
  <si>
    <t>JS3583</t>
  </si>
  <si>
    <t>管理學(榮譽)工商管理學士學位</t>
  </si>
  <si>
    <t>JS3595</t>
  </si>
  <si>
    <t>金融服務(榮譽)工商管理學士學位</t>
  </si>
  <si>
    <t>JS3600</t>
  </si>
  <si>
    <t>生物醫學工程(榮譽)理學士學位</t>
  </si>
  <si>
    <t>JS3612</t>
  </si>
  <si>
    <t>放射學(榮譽)理學士學位</t>
  </si>
  <si>
    <t>JS3624</t>
  </si>
  <si>
    <t>職業治療學(榮譽)理學士學位</t>
  </si>
  <si>
    <t>JS3636</t>
  </si>
  <si>
    <t>物理治療學(榮譽)理學士學位</t>
  </si>
  <si>
    <t>JS3648</t>
  </si>
  <si>
    <t>護理學(榮譽)理學士學位</t>
  </si>
  <si>
    <t>JS3650</t>
  </si>
  <si>
    <t>眼科視光學(榮譽)理學士學位</t>
  </si>
  <si>
    <t>JS3662</t>
  </si>
  <si>
    <t>社會工作(榮譽)文學士學位</t>
  </si>
  <si>
    <t>JS3674</t>
  </si>
  <si>
    <t>國際航運及物流管理(榮譽)工商管理學士學位</t>
  </si>
  <si>
    <t>JS3703</t>
  </si>
  <si>
    <t>電子及資訊工程學(榮譽)工學士學位</t>
  </si>
  <si>
    <t>JS3715</t>
  </si>
  <si>
    <t>電機工程學(榮譽)工學士學位</t>
  </si>
  <si>
    <t>JS3739</t>
  </si>
  <si>
    <t>土木工程學(榮譽)工學士學位</t>
  </si>
  <si>
    <t>JS3741</t>
  </si>
  <si>
    <t>機械工程(榮譽)工學士學位組合課程</t>
  </si>
  <si>
    <t>JS3753</t>
  </si>
  <si>
    <t>屋宇設備工程學(榮譽)工學士學位</t>
  </si>
  <si>
    <t>JS3765</t>
  </si>
  <si>
    <t>社會政策及社會創業(榮譽)文學士學位</t>
  </si>
  <si>
    <t>JS3777</t>
  </si>
  <si>
    <t>結構及消防安全工程學(榮譽)工學士學位</t>
  </si>
  <si>
    <t>JS3789</t>
  </si>
  <si>
    <t>地產及建設測量學(榮譽)理學士學位</t>
  </si>
  <si>
    <t>JS3791</t>
  </si>
  <si>
    <t>建築工程及管理學(榮譽)理學士學位</t>
  </si>
  <si>
    <t>JS3806</t>
  </si>
  <si>
    <t>投資科學及金融分析(榮譽)理學士學位</t>
  </si>
  <si>
    <t>JS5101</t>
  </si>
  <si>
    <t>理學</t>
  </si>
  <si>
    <t>JS3818</t>
  </si>
  <si>
    <t>語言學及翻譯學(榮譽)文學士學位</t>
  </si>
  <si>
    <t>中英+3X</t>
  </si>
  <si>
    <t>JS5200</t>
  </si>
  <si>
    <t>ICT</t>
  </si>
  <si>
    <t>JS3820</t>
  </si>
  <si>
    <t>旅遊業及會展管理(榮譽)理學士學位</t>
  </si>
  <si>
    <t>JS5211</t>
  </si>
  <si>
    <t>DAT</t>
  </si>
  <si>
    <t>JS3832</t>
  </si>
  <si>
    <t>專業英文(榮譽)文學士學位</t>
  </si>
  <si>
    <t>M/Chem/Econ/Phys</t>
  </si>
  <si>
    <t>JS3844</t>
  </si>
  <si>
    <t>供應鏈管理及分析(榮譽)工商管理學士學位</t>
  </si>
  <si>
    <t>JS3868</t>
  </si>
  <si>
    <t>電子計算(榮譽)理學士學位組合課程</t>
  </si>
  <si>
    <t>生/化</t>
  </si>
  <si>
    <t>JS3882</t>
  </si>
  <si>
    <t>酒店業管理(榮譽)理學士學位</t>
  </si>
  <si>
    <t>生/化/物/組/經</t>
  </si>
  <si>
    <t>JS3894</t>
  </si>
  <si>
    <t>市場學(榮譽)工商管理學士學位</t>
  </si>
  <si>
    <t>理學(組+綜)</t>
  </si>
  <si>
    <t>JS3911</t>
  </si>
  <si>
    <t>會計學(榮譽)工商管理學士學位</t>
  </si>
  <si>
    <t>化/物</t>
  </si>
  <si>
    <t>JS3923</t>
  </si>
  <si>
    <t>應用生物兼生物科技(榮譽)理學士學位</t>
  </si>
  <si>
    <t>JS3985</t>
  </si>
  <si>
    <t>工程物理學(榮譽)理學士學位</t>
  </si>
  <si>
    <t>JS3997</t>
  </si>
  <si>
    <t>化學科技(榮譽)理學士學位</t>
  </si>
  <si>
    <t>JS3014</t>
  </si>
  <si>
    <t>應用物理學高級文憑</t>
  </si>
  <si>
    <t>化/物/組/DAT</t>
  </si>
  <si>
    <t>JS3026</t>
  </si>
  <si>
    <t>屋宇設備工程學高級文憑</t>
  </si>
  <si>
    <t>物/綜/組物</t>
  </si>
  <si>
    <t>JS3038</t>
  </si>
  <si>
    <t>建築科技及管理學高級文憑(工程)</t>
  </si>
  <si>
    <t>JS3040</t>
  </si>
  <si>
    <t>化學科技高級文憑</t>
  </si>
  <si>
    <t>JS3052</t>
  </si>
  <si>
    <t>土木工程學高級文憑</t>
  </si>
  <si>
    <t>JS3064</t>
  </si>
  <si>
    <t>電機工程學高級文憑</t>
  </si>
  <si>
    <t>JS3076</t>
  </si>
  <si>
    <t>電子及資訊工程學高級文憑</t>
  </si>
  <si>
    <t>JS3105</t>
  </si>
  <si>
    <t>土地測量及地理資訊學高級文憑</t>
  </si>
  <si>
    <t>JS3117</t>
  </si>
  <si>
    <t>工業及系統工程學高級文憑</t>
  </si>
  <si>
    <t>JS1051</t>
  </si>
  <si>
    <t>理學(組)/地/M</t>
  </si>
  <si>
    <t>JS3284</t>
  </si>
  <si>
    <t>建築科技及管理學高級文憑(測量)</t>
  </si>
  <si>
    <t>理/BAFS/ICT/DAT</t>
  </si>
  <si>
    <t>JS4006</t>
  </si>
  <si>
    <t>人類學</t>
  </si>
  <si>
    <t>JS4018</t>
  </si>
  <si>
    <t>中國語言及文學</t>
  </si>
  <si>
    <t>5%或更少</t>
  </si>
  <si>
    <t>#CUHK!F15</t>
  </si>
  <si>
    <t>#CUHK!G15</t>
  </si>
  <si>
    <t>#CUHK!H15</t>
  </si>
  <si>
    <t>JS4020</t>
  </si>
  <si>
    <t>文化研究</t>
  </si>
  <si>
    <t>#CUHK!F17</t>
  </si>
  <si>
    <t>#CUHK!G17</t>
  </si>
  <si>
    <t>#CUHK!H17</t>
  </si>
  <si>
    <t>JS4022</t>
  </si>
  <si>
    <t>文化管理</t>
  </si>
  <si>
    <t>#CUHK!F18</t>
  </si>
  <si>
    <t>#CUHK!G18</t>
  </si>
  <si>
    <t>#CUHK!H18</t>
  </si>
  <si>
    <t>JS4032</t>
  </si>
  <si>
    <t>英文</t>
  </si>
  <si>
    <t>最高選修</t>
  </si>
  <si>
    <t>#CUHK!F19</t>
  </si>
  <si>
    <t>#CUHK!G19</t>
  </si>
  <si>
    <t>#CUHK!H19</t>
  </si>
  <si>
    <t>JS4044</t>
  </si>
  <si>
    <t>藝術</t>
  </si>
  <si>
    <t>6%-10%</t>
  </si>
  <si>
    <t>#CUHK!F20</t>
  </si>
  <si>
    <t>#CUHK!G20</t>
  </si>
  <si>
    <t>#CUHK!H20</t>
  </si>
  <si>
    <t>JS4056</t>
  </si>
  <si>
    <t>#CUHK!F21</t>
  </si>
  <si>
    <t>#CUHK!G21</t>
  </si>
  <si>
    <t>#CUHK!H21</t>
  </si>
  <si>
    <t>JS4068</t>
  </si>
  <si>
    <t>日本研究</t>
  </si>
  <si>
    <t>#CUHK!F22</t>
  </si>
  <si>
    <t>#CUHK!G22</t>
  </si>
  <si>
    <t>#CUHK!H22</t>
  </si>
  <si>
    <t>JS4070</t>
  </si>
  <si>
    <t>語言學</t>
  </si>
  <si>
    <t>#CUHK!F24</t>
  </si>
  <si>
    <t>#CUHK!G24</t>
  </si>
  <si>
    <t>#CUHK!H24</t>
  </si>
  <si>
    <t>JS4082</t>
  </si>
  <si>
    <t>#CUHK!F26</t>
  </si>
  <si>
    <t>#CUHK!G26</t>
  </si>
  <si>
    <t>#CUHK!H26</t>
  </si>
  <si>
    <t>JS4094</t>
  </si>
  <si>
    <t>哲學</t>
  </si>
  <si>
    <t>#CUHK!F27</t>
  </si>
  <si>
    <t>#CUHK!G27</t>
  </si>
  <si>
    <t>#CUHK!H27</t>
  </si>
  <si>
    <t>JS4109</t>
  </si>
  <si>
    <t>宗教研究</t>
  </si>
  <si>
    <t>#CUHK!F28</t>
  </si>
  <si>
    <t>#CUHK!G28</t>
  </si>
  <si>
    <t>#CUHK!H28</t>
  </si>
  <si>
    <t>JS4111</t>
  </si>
  <si>
    <t>神學</t>
  </si>
  <si>
    <t>#CUHK!F29</t>
  </si>
  <si>
    <t>#CUHK!G29</t>
  </si>
  <si>
    <t>#CUHK!H29</t>
  </si>
  <si>
    <t>JS4123</t>
  </si>
  <si>
    <t>翻譯</t>
  </si>
  <si>
    <t>4C3X</t>
  </si>
  <si>
    <t>#CUHK!F37</t>
  </si>
  <si>
    <t>#CUHK!G37</t>
  </si>
  <si>
    <t>#CUHK!H37</t>
  </si>
  <si>
    <t>JS4136</t>
  </si>
  <si>
    <t>中國研究</t>
  </si>
  <si>
    <t>#CUHK!F38</t>
  </si>
  <si>
    <t>#CUHK!G38</t>
  </si>
  <si>
    <t>#CUHK!H38</t>
  </si>
  <si>
    <t>JS4202</t>
  </si>
  <si>
    <t>工商管理學士綜合課程</t>
  </si>
  <si>
    <t>#CUHK!F40</t>
  </si>
  <si>
    <t>#CUHK!G40</t>
  </si>
  <si>
    <t>#CUHK!H40</t>
  </si>
  <si>
    <t>JS4214</t>
  </si>
  <si>
    <t>環球商業學</t>
  </si>
  <si>
    <t>#CUHK!F54</t>
  </si>
  <si>
    <t>#CUHK!G54</t>
  </si>
  <si>
    <t>#CUHK!H54</t>
  </si>
  <si>
    <t>JS4226</t>
  </si>
  <si>
    <t>酒店旅遊及房地產</t>
  </si>
  <si>
    <t>#CUHK!F62</t>
  </si>
  <si>
    <t>#CUHK!G62</t>
  </si>
  <si>
    <t>#CUHK!H62</t>
  </si>
  <si>
    <t>JS4238</t>
  </si>
  <si>
    <t>保險、金融與精算學</t>
  </si>
  <si>
    <t>JS4240</t>
  </si>
  <si>
    <t>專業會計學</t>
  </si>
  <si>
    <t>JS4252</t>
  </si>
  <si>
    <t>計量金融學</t>
  </si>
  <si>
    <t>JS4254</t>
  </si>
  <si>
    <t>環球經濟與金融跨學科主修課程</t>
  </si>
  <si>
    <t>JS4264</t>
  </si>
  <si>
    <t>工商管理學士（工商管理學士綜合課程）及法律博士</t>
  </si>
  <si>
    <t>JS4276</t>
  </si>
  <si>
    <t>計量金融學及風險管理科學</t>
  </si>
  <si>
    <t>JS4329</t>
  </si>
  <si>
    <t>健康與體育運動科學</t>
  </si>
  <si>
    <t>JS4331</t>
  </si>
  <si>
    <t>文學士及教育學士 (中國語文教育) 同期結業雙學位課程</t>
  </si>
  <si>
    <t>JS4343</t>
  </si>
  <si>
    <t>文學士(英國語文研究)及教育學士(英國語文教育)</t>
  </si>
  <si>
    <t>較高者</t>
  </si>
  <si>
    <t>JS4361</t>
  </si>
  <si>
    <t>教育學士(數學及數學教育)</t>
  </si>
  <si>
    <t>JS4372</t>
  </si>
  <si>
    <t>教育學士(幼兒教育)</t>
  </si>
  <si>
    <t>JS4501/4502</t>
  </si>
  <si>
    <t>JS4401</t>
  </si>
  <si>
    <t>工程學 (大類收生)</t>
  </si>
  <si>
    <t>JS4428</t>
  </si>
  <si>
    <t>金融科技學</t>
  </si>
  <si>
    <t>JS4434</t>
  </si>
  <si>
    <t>電子工程學</t>
  </si>
  <si>
    <t>最低分:</t>
  </si>
  <si>
    <t>JS4460</t>
  </si>
  <si>
    <t>生物醫學工程學</t>
  </si>
  <si>
    <t>JS4462</t>
  </si>
  <si>
    <t>能源與環境工程學</t>
  </si>
  <si>
    <t>JS4468</t>
  </si>
  <si>
    <t>人工智能：系統與科技 (工程學士)</t>
  </si>
  <si>
    <t>JS4501</t>
  </si>
  <si>
    <t>內外全科醫學士課程</t>
  </si>
  <si>
    <t>/</t>
  </si>
  <si>
    <t>JS4502</t>
  </si>
  <si>
    <t>內外全科醫學士課程環球醫學領袖培訓專修組別</t>
  </si>
  <si>
    <t>JS4513</t>
  </si>
  <si>
    <t>護理學</t>
  </si>
  <si>
    <t>JS4525</t>
  </si>
  <si>
    <t>藥劑學</t>
  </si>
  <si>
    <t>JS4601</t>
  </si>
  <si>
    <t>JS4537</t>
  </si>
  <si>
    <t>公共衞生</t>
  </si>
  <si>
    <t>中英較高者</t>
  </si>
  <si>
    <t>第一最高</t>
  </si>
  <si>
    <t>第二最高</t>
  </si>
  <si>
    <t>第三最高</t>
  </si>
  <si>
    <t>JS4542</t>
  </si>
  <si>
    <t>中醫學</t>
  </si>
  <si>
    <t>JS4550</t>
  </si>
  <si>
    <t>生物醫學</t>
  </si>
  <si>
    <t>JS4633</t>
  </si>
  <si>
    <t>地球系統科學 (大氣科學 / 地球物理)</t>
  </si>
  <si>
    <t>JS4682</t>
  </si>
  <si>
    <t>數學精研</t>
  </si>
  <si>
    <t>JS4690</t>
  </si>
  <si>
    <t>理論物理精研</t>
  </si>
  <si>
    <t>JS4719</t>
  </si>
  <si>
    <t>風險管理科學</t>
  </si>
  <si>
    <t>JS4801</t>
  </si>
  <si>
    <t>社會科學</t>
  </si>
  <si>
    <t>JS4812</t>
  </si>
  <si>
    <t>建築學</t>
  </si>
  <si>
    <t>JS4824</t>
  </si>
  <si>
    <t>經濟學</t>
  </si>
  <si>
    <t>JS4836</t>
  </si>
  <si>
    <t>地理與資源管理學</t>
  </si>
  <si>
    <t>JS4838</t>
  </si>
  <si>
    <t>城市研究</t>
  </si>
  <si>
    <t>JS4848</t>
  </si>
  <si>
    <t>政治與行政學</t>
  </si>
  <si>
    <t>JS4850</t>
  </si>
  <si>
    <t>新聞與傳播學</t>
  </si>
  <si>
    <t>JS4858</t>
  </si>
  <si>
    <t>全球傳播</t>
  </si>
  <si>
    <t>心理學</t>
  </si>
  <si>
    <t>JS4874</t>
  </si>
  <si>
    <t>社會工作學</t>
  </si>
  <si>
    <t>JS4886</t>
  </si>
  <si>
    <t>社會學</t>
  </si>
  <si>
    <t>JS4892</t>
  </si>
  <si>
    <t>全球研究</t>
  </si>
  <si>
    <t>JS4893</t>
  </si>
  <si>
    <t>數據科學與政策研究</t>
  </si>
  <si>
    <t>JS4903</t>
  </si>
  <si>
    <t>法學士</t>
  </si>
  <si>
    <t>國際科研</t>
  </si>
  <si>
    <t>英數Best3^</t>
  </si>
  <si>
    <t>最高理科</t>
  </si>
  <si>
    <t>第二理科</t>
  </si>
  <si>
    <t>2科理科?</t>
  </si>
  <si>
    <t>JS5102</t>
  </si>
  <si>
    <t>理學Ａ組</t>
  </si>
  <si>
    <t>英數Best3</t>
  </si>
  <si>
    <t>JS5103</t>
  </si>
  <si>
    <t>理學Ｂ組</t>
  </si>
  <si>
    <t>JS5181</t>
  </si>
  <si>
    <t>理學Ａ組– 延伸主修人工智能</t>
  </si>
  <si>
    <t>工程學</t>
  </si>
  <si>
    <t>第二高其他科</t>
  </si>
  <si>
    <t>第三高其他科</t>
  </si>
  <si>
    <t>其他科目</t>
  </si>
  <si>
    <t>理學士（綜合系統與設計）</t>
  </si>
  <si>
    <t>(下含比重)</t>
  </si>
  <si>
    <t>JS5282</t>
  </si>
  <si>
    <t>工程學– 延伸主修人工智能</t>
  </si>
  <si>
    <t>第一</t>
  </si>
  <si>
    <t>JS5300</t>
  </si>
  <si>
    <t>工商管理</t>
  </si>
  <si>
    <t>英數Best4</t>
  </si>
  <si>
    <t>理科?</t>
  </si>
  <si>
    <t>第二</t>
  </si>
  <si>
    <t>JS5311</t>
  </si>
  <si>
    <t>工商管理學士（經濟學）</t>
  </si>
  <si>
    <t>第三</t>
  </si>
  <si>
    <t>JS5312</t>
  </si>
  <si>
    <t>工商管理學士（金融學）</t>
  </si>
  <si>
    <t>JS5313</t>
  </si>
  <si>
    <t>工商管理學士（環球商業管理）</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</si>
  <si>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</si>
  <si>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</si>
  <si>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</si>
  <si>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</si>
  <si>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</si>
  <si>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</si>
  <si>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</si>
  <si>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</si>
  <si>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</si>
  <si>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</si>
  <si>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最高理科(無ICT+M)</t>
  </si>
  <si>
    <t>JS5331</t>
  </si>
  <si>
    <t>理學士（經濟及金融學）</t>
  </si>
  <si>
    <t>JS5200/5901</t>
  </si>
  <si>
    <t>JS5332</t>
  </si>
  <si>
    <t>理學士（量化金融學）</t>
  </si>
  <si>
    <t>最高理科(有ICT+無M)</t>
  </si>
  <si>
    <t>JS5411</t>
  </si>
  <si>
    <t>理學士（環球中國研究）</t>
  </si>
  <si>
    <t>中英Best4</t>
  </si>
  <si>
    <t>JS5412</t>
  </si>
  <si>
    <t>理學士（定量社會數據分析）</t>
  </si>
  <si>
    <t>物/化/經/M 最高</t>
  </si>
  <si>
    <t>JS5811</t>
  </si>
  <si>
    <t>理學士（生物科技及商學）</t>
  </si>
  <si>
    <t>JS5312/5331/5332</t>
  </si>
  <si>
    <t>JS5812</t>
  </si>
  <si>
    <t>理學士（環境管理及科技）</t>
  </si>
  <si>
    <t>生/化 最高</t>
  </si>
  <si>
    <t>JS5813</t>
  </si>
  <si>
    <t>理學士（數學與經濟學）</t>
  </si>
  <si>
    <t>JS5814</t>
  </si>
  <si>
    <t>理學士（風險管理及商業智能學）</t>
  </si>
  <si>
    <t>生/化/物/組/經/M 最高</t>
  </si>
  <si>
    <t>JS5901</t>
  </si>
  <si>
    <t>科技及管理學雙學位課程</t>
  </si>
  <si>
    <t>#C4</t>
  </si>
  <si>
    <t>#D4</t>
  </si>
  <si>
    <t>#E4</t>
  </si>
  <si>
    <t>#F4</t>
  </si>
  <si>
    <t>#G4</t>
  </si>
  <si>
    <t>#H4</t>
  </si>
  <si>
    <t>#I4</t>
  </si>
  <si>
    <t>#J4</t>
  </si>
  <si>
    <t>#K4</t>
  </si>
  <si>
    <t>#L4</t>
  </si>
  <si>
    <t>有?</t>
  </si>
  <si>
    <t>第一高</t>
  </si>
  <si>
    <t>第二高</t>
  </si>
  <si>
    <t>HKU商科</t>
  </si>
  <si>
    <t>PCB組</t>
  </si>
  <si>
    <t>Core &gt; M1/2?</t>
  </si>
  <si>
    <t>Core</t>
  </si>
  <si>
    <t>JS6688</t>
  </si>
  <si>
    <t>JS6482/6901/6119/6107</t>
  </si>
  <si>
    <t>PCB組綜</t>
  </si>
  <si>
    <t>JS6793</t>
  </si>
  <si>
    <t>PCB組綜+資</t>
  </si>
  <si>
    <t>JS6925/37/51/63</t>
  </si>
  <si>
    <t>物+組</t>
  </si>
  <si>
    <t>JS6456/6494</t>
  </si>
  <si>
    <t>化+組</t>
  </si>
  <si>
    <t>JS6157</t>
  </si>
  <si>
    <t>生+組</t>
  </si>
  <si>
    <t>JS6949</t>
  </si>
  <si>
    <t>生+化+組</t>
  </si>
  <si>
    <t>MA+(M1/2*0.5) /2</t>
  </si>
  <si>
    <t>最佳理科(有比重)</t>
  </si>
  <si>
    <t>計比重</t>
  </si>
  <si>
    <t>Penalty</t>
  </si>
  <si>
    <t>Final</t>
  </si>
  <si>
    <t>JS6107</t>
  </si>
  <si>
    <t>JS6119/6901</t>
  </si>
  <si>
    <t>JS6224</t>
  </si>
  <si>
    <t xml:space="preserve">JS7101 </t>
  </si>
  <si>
    <t>中文(榮譽)文學士</t>
  </si>
  <si>
    <t xml:space="preserve">JS7123 </t>
  </si>
  <si>
    <t>環球博雅教育(榮譽)文學士</t>
  </si>
  <si>
    <t>中史</t>
  </si>
  <si>
    <t xml:space="preserve">JS7200 </t>
  </si>
  <si>
    <t>工商管理(榮譽)學士</t>
  </si>
  <si>
    <t xml:space="preserve">JS7204 </t>
  </si>
  <si>
    <t>翻譯(榮譽)文學士</t>
  </si>
  <si>
    <t xml:space="preserve">JS7216 </t>
  </si>
  <si>
    <t>工商管理(榮譽)學士 - 風險及 保險管理</t>
  </si>
  <si>
    <t>JS7225</t>
  </si>
  <si>
    <t>數據科學(榮譽)理學士</t>
  </si>
  <si>
    <t>JS7300</t>
  </si>
  <si>
    <t>社會科學(榮譽)學士</t>
  </si>
  <si>
    <t xml:space="preserve">JS7503 </t>
  </si>
  <si>
    <t>當代英語語言文學課程(榮譽) 文學士</t>
  </si>
  <si>
    <t xml:space="preserve">JS7606 </t>
  </si>
  <si>
    <t>文化研究(榮譽)文學士</t>
  </si>
  <si>
    <t xml:space="preserve">JS7709 </t>
  </si>
  <si>
    <t>歷史(榮譽)文學士</t>
  </si>
  <si>
    <t xml:space="preserve">JS7802 </t>
  </si>
  <si>
    <t>哲學(榮譽)文學士</t>
  </si>
  <si>
    <t xml:space="preserve">JS7905 </t>
  </si>
  <si>
    <t>視覺研究(榮譽)文學士</t>
  </si>
  <si>
    <t xml:space="preserve">JS8105 </t>
  </si>
  <si>
    <t>中國語文教育榮譽學士</t>
  </si>
  <si>
    <t xml:space="preserve">JS8222 </t>
  </si>
  <si>
    <t>英國語文教育榮譽學士 — 小學</t>
  </si>
  <si>
    <t xml:space="preserve">JS8234 </t>
  </si>
  <si>
    <t>小學教育榮譽學士 - 常識</t>
  </si>
  <si>
    <t xml:space="preserve">JS8246 </t>
  </si>
  <si>
    <t>小學教育榮譽學士 - 數學</t>
  </si>
  <si>
    <t xml:space="preserve">JS8325 </t>
  </si>
  <si>
    <t>體育教育榮譽學士</t>
  </si>
  <si>
    <t xml:space="preserve">JS8361 </t>
  </si>
  <si>
    <t>中學教育榮譽學士 - 資訊及通訊科技</t>
  </si>
  <si>
    <t xml:space="preserve">JS8371 </t>
  </si>
  <si>
    <t>企業、會計與財務概論教育榮譽學士</t>
  </si>
  <si>
    <t>數學/M12</t>
  </si>
  <si>
    <t xml:space="preserve">JS8391 </t>
  </si>
  <si>
    <t>中學數學教育榮譽學士</t>
  </si>
  <si>
    <t xml:space="preserve">JS8404 </t>
  </si>
  <si>
    <t>幼兒教育榮譽學士</t>
  </si>
  <si>
    <t>JS8416</t>
  </si>
  <si>
    <t>中國歷史教育榮譽學士</t>
  </si>
  <si>
    <t xml:space="preserve">JS8428 </t>
  </si>
  <si>
    <t>地理教育榮譽學士</t>
  </si>
  <si>
    <t xml:space="preserve">JS8430 </t>
  </si>
  <si>
    <t>科學教育榮譽學士</t>
  </si>
  <si>
    <t>歷史/中史</t>
  </si>
  <si>
    <t xml:space="preserve">JS8600 </t>
  </si>
  <si>
    <t>語文研究榮譽文學士 (中文主修)</t>
  </si>
  <si>
    <t xml:space="preserve">JS8612 </t>
  </si>
  <si>
    <t>語文研究榮譽文學士 (英文主修)</t>
  </si>
  <si>
    <t xml:space="preserve">JS8624 </t>
  </si>
  <si>
    <t>全球及環境研究榮譽社會科學學士</t>
  </si>
  <si>
    <t xml:space="preserve">JS8636 </t>
  </si>
  <si>
    <t>創意藝術與文化榮譽文學士 (音樂)</t>
  </si>
  <si>
    <t xml:space="preserve">JS8648 </t>
  </si>
  <si>
    <t>創意藝術與文化榮譽文學士 (視覺藝術)</t>
  </si>
  <si>
    <t xml:space="preserve">JS8651 </t>
  </si>
  <si>
    <t>心理學榮譽社會科學學士</t>
  </si>
  <si>
    <t xml:space="preserve">JS8663 </t>
  </si>
  <si>
    <t>特殊教育榮譽文學士</t>
  </si>
  <si>
    <t xml:space="preserve">JS8801 </t>
  </si>
  <si>
    <t>創意藝術與文化榮譽文學士及音樂教育榮譽學士 (同期 結業雙學位課程)</t>
  </si>
  <si>
    <t xml:space="preserve">JS8813 </t>
  </si>
  <si>
    <t>創意藝術與文化榮譽文學士及視覺藝術教育榮譽學士 (同期結業雙學位課程)</t>
  </si>
  <si>
    <t xml:space="preserve">JS8825 </t>
  </si>
  <si>
    <t>語文研究榮譽文學士及英文教育榮譽學士 (同期結業雙 學位課程)</t>
  </si>
  <si>
    <t xml:space="preserve">JS8507 </t>
  </si>
  <si>
    <t>幼兒教育高級文憑</t>
  </si>
  <si>
    <t>JS9001</t>
  </si>
  <si>
    <t>4C1X</t>
  </si>
  <si>
    <t>JS9003</t>
  </si>
  <si>
    <t>政治及公共行政榮譽社會科學學士</t>
  </si>
  <si>
    <t>JS9004</t>
  </si>
  <si>
    <t>應用社會研究榮譽社會科學學士</t>
  </si>
  <si>
    <t>JS9005</t>
  </si>
  <si>
    <t>全球與中國研究榮譽社會科學學士</t>
  </si>
  <si>
    <t>JS9006</t>
  </si>
  <si>
    <t>高齡社會與服務研究榮譽社會科學學士</t>
  </si>
  <si>
    <t>JS9007</t>
  </si>
  <si>
    <t>經濟及公共政策分析榮譽社會科學學士</t>
  </si>
  <si>
    <t>JS9008</t>
  </si>
  <si>
    <t>心理學與精神健康榮譽社會科學學士</t>
  </si>
  <si>
    <t>JS9011</t>
  </si>
  <si>
    <t>中文榮譽文學士</t>
  </si>
  <si>
    <t>JS9013</t>
  </si>
  <si>
    <t>語言研究與翻譯榮譽文學士</t>
  </si>
  <si>
    <t>JS9016</t>
  </si>
  <si>
    <t>創意廣告及媒體設計榮譽文學士</t>
  </si>
  <si>
    <t>JS9019</t>
  </si>
  <si>
    <t>英語及文化榮譽文學士</t>
  </si>
  <si>
    <t>JS9220</t>
  </si>
  <si>
    <t>專業會計榮譽工商管理學士</t>
  </si>
  <si>
    <t>JS9222</t>
  </si>
  <si>
    <t>會計及稅務學榮譽工商管理學士</t>
  </si>
  <si>
    <t>JS9230</t>
  </si>
  <si>
    <t>商業管理學榮譽工商管理學士</t>
  </si>
  <si>
    <t>JS9240</t>
  </si>
  <si>
    <t>環球商業及市場學榮譽工商管理學士</t>
  </si>
  <si>
    <t>JS9250</t>
  </si>
  <si>
    <t>企業管治榮譽工商管理學士</t>
  </si>
  <si>
    <t>JS9261</t>
  </si>
  <si>
    <t>數碼商業榮譽工商管理學士</t>
  </si>
  <si>
    <t>JS9272</t>
  </si>
  <si>
    <t>財務及風險管理榮譽工商管理學士</t>
  </si>
  <si>
    <t>JS9276</t>
  </si>
  <si>
    <t>房地產及設施管理榮譽工商管理學士</t>
  </si>
  <si>
    <t>JS9280</t>
  </si>
  <si>
    <t>應用心理學榮譽學士，商業管理榮譽學士</t>
  </si>
  <si>
    <t>JS9291</t>
  </si>
  <si>
    <t>酒店及可持續旅遊管理榮譽工商管理學士</t>
  </si>
  <si>
    <t>JS9294</t>
  </si>
  <si>
    <t>運動及電競運動管理榮譽工商管理學士</t>
  </si>
  <si>
    <t>JS9530</t>
  </si>
  <si>
    <t>英語教學榮譽教育學士及英語研究榮譽學士</t>
  </si>
  <si>
    <t>JS9540</t>
  </si>
  <si>
    <t>英語研究榮譽學士</t>
  </si>
  <si>
    <t>JS9550</t>
  </si>
  <si>
    <t>語言研究榮譽學士(應用中國語言)</t>
  </si>
  <si>
    <t>JS9560</t>
  </si>
  <si>
    <t>教育榮譽學士（中國語文教學）及語言研究榮譽學士（應用中國語言）</t>
  </si>
  <si>
    <t>JS9570</t>
  </si>
  <si>
    <t>語言研究(雙語傳意)榮譽學士， 國際商業榮譽學士</t>
  </si>
  <si>
    <t>JS9580</t>
  </si>
  <si>
    <t>教育榮譽學士(幼兒教育: 領導及特殊教育需要)</t>
  </si>
  <si>
    <t>JS9718</t>
  </si>
  <si>
    <t>電腦科學榮譽理學士</t>
  </si>
  <si>
    <t>JS9719</t>
  </si>
  <si>
    <t>網路及電腦安全榮譽理學士</t>
  </si>
  <si>
    <t>JS9720</t>
  </si>
  <si>
    <t>電子及電腦工程學榮譽工學士</t>
  </si>
  <si>
    <t>JS9721</t>
  </si>
  <si>
    <t>屋宇設備工程及可持續發展榮譽工學士</t>
  </si>
  <si>
    <t>有 生/化/物/組/綜/M1/2/ICT</t>
  </si>
  <si>
    <t>JS9722</t>
  </si>
  <si>
    <t>土木及環境工程榮譽工學士</t>
  </si>
  <si>
    <t>JS9731</t>
  </si>
  <si>
    <t>環境科學與綠色管理榮譽理學士</t>
  </si>
  <si>
    <t>JS9732</t>
  </si>
  <si>
    <t>生命科學榮譽理學士</t>
  </si>
  <si>
    <t>SSSDP</t>
  </si>
  <si>
    <t>JSSA01</t>
  </si>
  <si>
    <t>護理學榮譽學士</t>
  </si>
  <si>
    <t>生物/組(生) 有冇Lv2?</t>
  </si>
  <si>
    <t>JSSA02</t>
  </si>
  <si>
    <t>數碼娛樂科技榮譽理學士</t>
  </si>
  <si>
    <t>JSSA03</t>
  </si>
  <si>
    <t>物理治療學（榮譽）理學士</t>
  </si>
  <si>
    <t>物/生/組(物、生) 有冇Lv3?</t>
  </si>
  <si>
    <t>JSSA04</t>
  </si>
  <si>
    <t>人工智能（榮譽）理學士</t>
  </si>
  <si>
    <t>JSSC02</t>
  </si>
  <si>
    <t>建築學（榮譽）理學士</t>
  </si>
  <si>
    <t>JSSC03</t>
  </si>
  <si>
    <t>資訊科學（榮譽）理學士</t>
  </si>
  <si>
    <t>JSSC04</t>
  </si>
  <si>
    <t>傳播及跨媒體（榮譽）文學士</t>
  </si>
  <si>
    <t>JSSH01</t>
  </si>
  <si>
    <t>供應鏈管理工商管理（榮譽）學士</t>
  </si>
  <si>
    <t>JSSH02</t>
  </si>
  <si>
    <t>精算及保險 （榮譽）理學士</t>
  </si>
  <si>
    <t>JSSH03</t>
  </si>
  <si>
    <t>應用及人本計算學（榮譽）文學士</t>
  </si>
  <si>
    <t>JSSH04</t>
  </si>
  <si>
    <t>數據科學及商業智能學（榮譽）理學士</t>
  </si>
  <si>
    <t>JSSH05</t>
  </si>
  <si>
    <t>管理科學與資訊管理（榮譽）學士</t>
  </si>
  <si>
    <t>JSSH06</t>
  </si>
  <si>
    <t>藝術設計（榮譽）文學士</t>
  </si>
  <si>
    <t>JSST01</t>
  </si>
  <si>
    <t>護理學（榮譽）健康科學學士</t>
  </si>
  <si>
    <t>JSST02</t>
  </si>
  <si>
    <t>醫療化驗科學（榮譽）理學士</t>
  </si>
  <si>
    <t>化學/組(化) 有冇Lv4?</t>
  </si>
  <si>
    <t>JSST03</t>
  </si>
  <si>
    <t>放射治療學（榮譽）理學士</t>
  </si>
  <si>
    <t>JSST04</t>
  </si>
  <si>
    <t>職業治療學（榮譽）理學士</t>
  </si>
  <si>
    <t>JSST05</t>
  </si>
  <si>
    <t>物理治療學(榮譽)理學士</t>
  </si>
  <si>
    <t>PCB綜組 有冇Lv3?</t>
  </si>
  <si>
    <t>JSSU12</t>
  </si>
  <si>
    <t>創意寫作與電影藝術榮譽文學士</t>
  </si>
  <si>
    <t>物理/組(物)/綜 有冇Lv3?</t>
  </si>
  <si>
    <t>JSSU14</t>
  </si>
  <si>
    <t>動畫及視覺特效榮譽藝術學士</t>
  </si>
  <si>
    <t>JSSU15</t>
  </si>
  <si>
    <t>影像設計及數碼藝術榮譽藝術學士</t>
  </si>
  <si>
    <t>JSSU40</t>
  </si>
  <si>
    <t>護理學榮譽學士（普通科）</t>
  </si>
  <si>
    <t>生物/組(生) 有冇Lv3?</t>
  </si>
  <si>
    <t>JSSU50</t>
  </si>
  <si>
    <t>護理學榮譽學士（精神科）</t>
  </si>
  <si>
    <t>JSSU55</t>
  </si>
  <si>
    <t>物理治療學榮譽理學士</t>
  </si>
  <si>
    <t>JSSU65</t>
  </si>
  <si>
    <t>檢測和認證榮譽工學士</t>
  </si>
  <si>
    <t>JSSU68</t>
  </si>
  <si>
    <t>檢測科學和認證榮譽理學士</t>
  </si>
  <si>
    <t>JSSU69</t>
  </si>
  <si>
    <t>食品測試科學榮譽理學士</t>
  </si>
  <si>
    <t>JSSU70</t>
  </si>
  <si>
    <t>數據科學及人工智能榮譽理學士</t>
  </si>
  <si>
    <t>JSSU71</t>
  </si>
  <si>
    <t>互聯網科技榮譽電腦學學士</t>
  </si>
  <si>
    <t>JSSU90</t>
  </si>
  <si>
    <t>國際款待及景區管理榮譽學士</t>
  </si>
  <si>
    <t>JSSU95</t>
  </si>
  <si>
    <t>運動及康樂管理榮譽學士</t>
  </si>
  <si>
    <t>JSSU96</t>
  </si>
  <si>
    <t>金融科技及創新榮譽工商管理學士</t>
  </si>
  <si>
    <t>JSSU97</t>
  </si>
  <si>
    <t>環球市場及供應鏈榮譽工商管理學士</t>
  </si>
  <si>
    <t>JSSV01</t>
  </si>
  <si>
    <t>時裝設計（榮譽）文學士</t>
  </si>
  <si>
    <t>JSSV02</t>
  </si>
  <si>
    <t>產品設計（榮譽）文學士</t>
  </si>
  <si>
    <t>JSSV03</t>
  </si>
  <si>
    <t>園境建築（榮譽）文學士</t>
  </si>
  <si>
    <t>JSSV04</t>
  </si>
  <si>
    <t>廚藝及管理（榮譽）文學士</t>
  </si>
  <si>
    <t>JSSV05</t>
  </si>
  <si>
    <t>土木工程（榮譽）工學士</t>
  </si>
  <si>
    <t>PCB綜組M 有冇Lv2?</t>
  </si>
  <si>
    <t>JSSV07</t>
  </si>
  <si>
    <t>園藝樹藝及園境管理（榮譽）理學士</t>
  </si>
  <si>
    <t>JSSV08</t>
  </si>
  <si>
    <t>測量學（榮譽）理學士</t>
  </si>
  <si>
    <t>JSSV09</t>
  </si>
  <si>
    <t>運動及康樂管理（榮譽）社會科學學士</t>
  </si>
  <si>
    <t>JSSV11</t>
  </si>
  <si>
    <t>創新及多媒體科技（榮譽）理學士</t>
  </si>
  <si>
    <t>JSSV12</t>
  </si>
  <si>
    <t>資訊及通訊科技（榮譽）理學士</t>
  </si>
  <si>
    <t>JSSW01</t>
  </si>
  <si>
    <t>營運及管理（榮譽）航空學士</t>
  </si>
  <si>
    <t>JSSY01</t>
  </si>
  <si>
    <t>金融科技（榮譽）商學士</t>
  </si>
  <si>
    <t>ICT有冇Lv3?</t>
  </si>
  <si>
    <t>JS1</t>
  </si>
  <si>
    <t>JS2</t>
  </si>
  <si>
    <t>JS3</t>
  </si>
  <si>
    <t>JS4</t>
  </si>
  <si>
    <t>JS5</t>
  </si>
  <si>
    <t>JS6</t>
  </si>
  <si>
    <t>JS7</t>
  </si>
  <si>
    <t>JS8</t>
  </si>
  <si>
    <t>EdUHK</t>
  </si>
  <si>
    <t>JUPAS CODE</t>
  </si>
  <si>
    <t>英文縮寫</t>
  </si>
  <si>
    <t>資格</t>
  </si>
  <si>
    <t>\</t>
  </si>
  <si>
    <t>Mean</t>
  </si>
  <si>
    <t>JS6004</t>
  </si>
  <si>
    <t>建築學院</t>
  </si>
  <si>
    <t>建築學文學士</t>
  </si>
  <si>
    <t>Best results in 2 or more sittings of DSE</t>
  </si>
  <si>
    <t>JS6016</t>
  </si>
  <si>
    <t>理學士(測量學)</t>
  </si>
  <si>
    <t xml:space="preserve">Best results in 2019 &amp; 2020 </t>
  </si>
  <si>
    <t>JS6028</t>
  </si>
  <si>
    <t>園境學文學士</t>
  </si>
  <si>
    <t>JS6042</t>
  </si>
  <si>
    <t>文學士(城市研究)</t>
  </si>
  <si>
    <t>Best results in latest 2 sittings of DSE (must include 2020)</t>
  </si>
  <si>
    <t>JS6054</t>
  </si>
  <si>
    <t>文學院</t>
  </si>
  <si>
    <t>JS6767</t>
  </si>
  <si>
    <t>經濟及工商管理學院</t>
  </si>
  <si>
    <t>經濟學學士 / 經濟金融學學士</t>
  </si>
  <si>
    <t>Best results in 2018, 2019 &amp; 2020</t>
  </si>
  <si>
    <t>JS6781</t>
  </si>
  <si>
    <t>工商管理學學士 / 工商管理學學士(會計及財務)</t>
  </si>
  <si>
    <t>JS6860</t>
  </si>
  <si>
    <t>金融學學士(資產管理及私人銀行)</t>
  </si>
  <si>
    <t>工商管理學學士(資訊系統)</t>
  </si>
  <si>
    <t>JS6808</t>
  </si>
  <si>
    <t>工商管理學學士(法學)及法學士 (雙學位課程)</t>
  </si>
  <si>
    <t>JS6884</t>
  </si>
  <si>
    <t>理學士(計量金融)</t>
  </si>
  <si>
    <t>JS6896</t>
  </si>
  <si>
    <t>工商管理學學士(國際商業及環球管理)</t>
  </si>
  <si>
    <t>牙醫學院</t>
  </si>
  <si>
    <t>牙醫學士</t>
  </si>
  <si>
    <t>JS6066</t>
  </si>
  <si>
    <t>教育學院</t>
  </si>
  <si>
    <t>文學士及教育學士(語文教育) - 英文教育 (雙學位課程)</t>
  </si>
  <si>
    <t>JS6080</t>
  </si>
  <si>
    <t>文學士及教育學士(語文教育) - 中文教育 (雙學位課程)</t>
  </si>
  <si>
    <t>JS6092</t>
  </si>
  <si>
    <t>教育學士(幼兒教育及特殊教育)</t>
  </si>
  <si>
    <t>JS6119</t>
  </si>
  <si>
    <t>教育學士及理學士 (雙學位課程)</t>
  </si>
  <si>
    <t>理學士(言語及聽覺科學)</t>
  </si>
  <si>
    <t>JS6195</t>
  </si>
  <si>
    <t>教育學士及社會科學學士 (雙學位課程)</t>
  </si>
  <si>
    <t>JS6925</t>
  </si>
  <si>
    <t>工程學院</t>
  </si>
  <si>
    <t>工學學士(生物醫學工程)</t>
  </si>
  <si>
    <t>Best results in the latest 3 sittings of DSE</t>
  </si>
  <si>
    <t>JS6937</t>
  </si>
  <si>
    <t>環球工程與商業課程</t>
  </si>
  <si>
    <t>JS6951</t>
  </si>
  <si>
    <t>工學學士(工程科學)</t>
  </si>
  <si>
    <t>JS6963</t>
  </si>
  <si>
    <t>工學學士</t>
  </si>
  <si>
    <t>JS6078</t>
  </si>
  <si>
    <t>法律學院</t>
  </si>
  <si>
    <t>文學士及法學士 (雙學位課程)</t>
  </si>
  <si>
    <t>JS6406</t>
  </si>
  <si>
    <t>JS6456</t>
  </si>
  <si>
    <t>醫學院</t>
  </si>
  <si>
    <t>內外全科醫學士</t>
  </si>
  <si>
    <t>Latest results in 2 or more sittings of DSE</t>
  </si>
  <si>
    <t>JS6468</t>
  </si>
  <si>
    <t>護理學學士</t>
  </si>
  <si>
    <t>JS6482</t>
  </si>
  <si>
    <t>中醫全科學士</t>
  </si>
  <si>
    <t>JS6494</t>
  </si>
  <si>
    <t>藥劑學學士</t>
  </si>
  <si>
    <t>生物醫學學士</t>
  </si>
  <si>
    <t>理學院</t>
  </si>
  <si>
    <t>科研專才啟導課程</t>
  </si>
  <si>
    <t>JS6729</t>
  </si>
  <si>
    <t>理學士(精算學)</t>
  </si>
  <si>
    <t>Best results in 2019 &amp; 2020 (other sitting(s) will be considered on a case-by-case basis)</t>
  </si>
  <si>
    <t>JS6901</t>
  </si>
  <si>
    <t>JS6717</t>
  </si>
  <si>
    <t>社會科學院</t>
  </si>
  <si>
    <t>社會科學學士</t>
  </si>
  <si>
    <t>JS6731</t>
  </si>
  <si>
    <t>社會工作學學士</t>
  </si>
  <si>
    <t>JS6810</t>
  </si>
  <si>
    <t>社會科學學士(政治學與法學)及法學士 (雙學位課程)</t>
  </si>
  <si>
    <t>JS6822</t>
  </si>
  <si>
    <t>新聞學學士</t>
  </si>
  <si>
    <t>JS6212</t>
  </si>
  <si>
    <t>文理學士學位</t>
  </si>
  <si>
    <t>文理學士</t>
  </si>
  <si>
    <t>文理學士(應用人工智能)</t>
  </si>
  <si>
    <t>JS6236</t>
  </si>
  <si>
    <t>文理學士(設計＋)</t>
  </si>
  <si>
    <t>JS6248</t>
  </si>
  <si>
    <t>文理學士(金融科技)</t>
  </si>
  <si>
    <t>JS6250</t>
  </si>
  <si>
    <t>文理學士(環球衞生及發展)</t>
  </si>
  <si>
    <t>商學院</t>
  </si>
  <si>
    <t>商學院/社會科學院</t>
  </si>
  <si>
    <t>商學院/法學院</t>
  </si>
  <si>
    <t>商學院/理學院</t>
  </si>
  <si>
    <t>法學院</t>
  </si>
  <si>
    <t>編號</t>
  </si>
  <si>
    <t>課程/學科</t>
  </si>
  <si>
    <t>中</t>
  </si>
  <si>
    <t>英</t>
  </si>
  <si>
    <t>數</t>
  </si>
  <si>
    <t>通</t>
  </si>
  <si>
    <t>M1/2?</t>
  </si>
  <si>
    <t>Cat C</t>
  </si>
  <si>
    <t>ApL</t>
  </si>
  <si>
    <t>v</t>
  </si>
  <si>
    <t>學院</t>
  </si>
  <si>
    <t>面試</t>
  </si>
  <si>
    <t>Total</t>
  </si>
  <si>
    <t>Band B</t>
  </si>
  <si>
    <t>Band C</t>
  </si>
  <si>
    <t>Band D</t>
  </si>
  <si>
    <t>Band E</t>
  </si>
  <si>
    <t>申請人數</t>
  </si>
  <si>
    <t>JS1000</t>
  </si>
  <si>
    <t>理學士(計算金融及金融科技)</t>
  </si>
  <si>
    <t>BScCFFT</t>
  </si>
  <si>
    <t>放榜前</t>
  </si>
  <si>
    <t>JS1001</t>
  </si>
  <si>
    <t>工商管理學士(環球商業)</t>
  </si>
  <si>
    <t>BBAGBU</t>
  </si>
  <si>
    <t>JS1002</t>
  </si>
  <si>
    <t>工商管理學士(會計)</t>
  </si>
  <si>
    <t>BBAAC</t>
  </si>
  <si>
    <t>JS1005</t>
  </si>
  <si>
    <t>工商管理學士(管理學)</t>
  </si>
  <si>
    <t>BBAMGMT</t>
  </si>
  <si>
    <t>JS1007</t>
  </si>
  <si>
    <t>工商管理學士(市場營銷)</t>
  </si>
  <si>
    <t>BBAMKT</t>
  </si>
  <si>
    <t>JS1012</t>
  </si>
  <si>
    <t>經濟及金融系 [選項: 工商管理學士(商業經濟)、工商管理學士(金融)]</t>
  </si>
  <si>
    <t>EF</t>
  </si>
  <si>
    <t>JS1013</t>
  </si>
  <si>
    <t>工商管理學士(商業經濟)</t>
  </si>
  <si>
    <t>BBABE</t>
  </si>
  <si>
    <t>JS1014</t>
  </si>
  <si>
    <t>工商管理學士(金融)</t>
  </si>
  <si>
    <t>BBAFIN</t>
  </si>
  <si>
    <t>JS1017</t>
  </si>
  <si>
    <t>資訊系統學系 [選項: 工商管理學士(環球商業系統管理)、工商管理學士(資訊管理)]</t>
  </si>
  <si>
    <t>IS</t>
  </si>
  <si>
    <t>JS1018</t>
  </si>
  <si>
    <t>工商管理學士(環球商業系統管理)</t>
  </si>
  <si>
    <t>BBAGBSM</t>
  </si>
  <si>
    <t>JS1019</t>
  </si>
  <si>
    <t>工商管理學士(資訊管理)</t>
  </si>
  <si>
    <t>BBAIFMG</t>
  </si>
  <si>
    <t>JS1025</t>
  </si>
  <si>
    <t>管理科學系 [選項: 工商管理學士(商業分析)、工商管理學士(商業營運管理)]</t>
  </si>
  <si>
    <t>MS</t>
  </si>
  <si>
    <t>JS1026</t>
  </si>
  <si>
    <t>工商管理學士(商業分析)</t>
  </si>
  <si>
    <t>BBABANL</t>
  </si>
  <si>
    <t>JS1027</t>
  </si>
  <si>
    <t>工商管理學士(商業營運管理)</t>
  </si>
  <si>
    <t>BBABOM</t>
  </si>
  <si>
    <t>JS1041</t>
  </si>
  <si>
    <t>創意媒體學院</t>
  </si>
  <si>
    <t>創意媒體學院 [選項: 文學士(創意媒體)、理學士(創意媒體)、文理學士(新媒體)]</t>
  </si>
  <si>
    <t>SCM</t>
  </si>
  <si>
    <t>JS1042</t>
  </si>
  <si>
    <t>文學士(創意媒體)</t>
  </si>
  <si>
    <t>BACM</t>
  </si>
  <si>
    <t>JS1043</t>
  </si>
  <si>
    <t>理學士(創意媒體)</t>
  </si>
  <si>
    <t>BScCM</t>
  </si>
  <si>
    <t>JS1044</t>
  </si>
  <si>
    <t>文理學士(新媒體)</t>
  </si>
  <si>
    <t>BAS</t>
  </si>
  <si>
    <t>能源及環境學院</t>
  </si>
  <si>
    <t>能源及環境學院 [選項: 工學士(能源科學及工程學)、工學士(環境科學及工程學)]</t>
  </si>
  <si>
    <t>SEE</t>
  </si>
  <si>
    <t>JS1061</t>
  </si>
  <si>
    <t>法律學學士</t>
  </si>
  <si>
    <t>LLB</t>
  </si>
  <si>
    <t>JS1071</t>
  </si>
  <si>
    <t>數據科學學院</t>
  </si>
  <si>
    <t>數據科學學院 [選項：理學士 (數據科學)、工學士 (數據與系統工程)]</t>
  </si>
  <si>
    <t>SDSC</t>
  </si>
  <si>
    <t>JS1072</t>
  </si>
  <si>
    <t>理學士(數據科學)</t>
  </si>
  <si>
    <t>BScDSC</t>
  </si>
  <si>
    <t>JS1073</t>
  </si>
  <si>
    <t>工學士(數據與系統工程)</t>
  </si>
  <si>
    <t>BEngDSE</t>
  </si>
  <si>
    <t>JS1091</t>
  </si>
  <si>
    <t>工學院</t>
  </si>
  <si>
    <t>建築科技學部 [選項: 理學副學士(屋宇裝備工程學)、理學副學士(建造工程及管理學)、理學副學士(測量學)]</t>
  </si>
  <si>
    <t>BST</t>
  </si>
  <si>
    <t>JS1093</t>
  </si>
  <si>
    <t>理學副學士(建築學)</t>
  </si>
  <si>
    <t>AScAS</t>
  </si>
  <si>
    <t>JS1102</t>
  </si>
  <si>
    <t>人文社會科學院</t>
  </si>
  <si>
    <t>社會科學學士(亞洲及國際研究)</t>
  </si>
  <si>
    <t>BSocScASIS</t>
  </si>
  <si>
    <t>JS1103</t>
  </si>
  <si>
    <t>文學士(中文及歷史)</t>
  </si>
  <si>
    <t>BACHIS</t>
  </si>
  <si>
    <t>JS1104</t>
  </si>
  <si>
    <t>文學士(英語語言)</t>
  </si>
  <si>
    <t>BAEN</t>
  </si>
  <si>
    <t>JS1105</t>
  </si>
  <si>
    <t>翻譯及語言學系 [選項: 文學士(語言學及語言應用)、文學士(翻譯及傳譯)]</t>
  </si>
  <si>
    <t>LT</t>
  </si>
  <si>
    <t>放榜後</t>
  </si>
  <si>
    <t>JS1106</t>
  </si>
  <si>
    <t>媒體與傳播系 [選項: 文學士(數碼電視與廣播)、文學士(媒體與傳播)]</t>
  </si>
  <si>
    <t>COM</t>
  </si>
  <si>
    <t>JS1108</t>
  </si>
  <si>
    <t>社會科學學士(公共政策與政治)</t>
  </si>
  <si>
    <t>BSocScPPP</t>
  </si>
  <si>
    <t>JS1110</t>
  </si>
  <si>
    <t>社會及行為科學系 [選項: 社會科學學士(犯罪學及社會學)、社會科學學士(心理學)、社會科學學士(社會工作)]</t>
  </si>
  <si>
    <t>SS</t>
  </si>
  <si>
    <t>JS1111</t>
  </si>
  <si>
    <t>社會科學學士(犯罪學及社會學)</t>
  </si>
  <si>
    <t>BSocScCRSO</t>
  </si>
  <si>
    <t>JS1112</t>
  </si>
  <si>
    <t>社會科學學士(心理學)</t>
  </si>
  <si>
    <t>BSocScPSY</t>
  </si>
  <si>
    <t>JS1113</t>
  </si>
  <si>
    <t>社會科學學士(社會工作)</t>
  </si>
  <si>
    <t>BSocScSW</t>
  </si>
  <si>
    <t>JS1200</t>
  </si>
  <si>
    <t>環球精研與科創課程</t>
  </si>
  <si>
    <t>GREAT</t>
  </si>
  <si>
    <t>放榜前+後</t>
  </si>
  <si>
    <t>JS1201</t>
  </si>
  <si>
    <t>建築學及土木工程學系 [選項: 工學士(建築工程)、工學士(土木工程)、理學士(測量學)]</t>
  </si>
  <si>
    <t>ACE</t>
  </si>
  <si>
    <t>理學士(化學)</t>
  </si>
  <si>
    <t>BScCHEM</t>
  </si>
  <si>
    <t>JS1204</t>
  </si>
  <si>
    <t>理學士(電腦科學)</t>
  </si>
  <si>
    <t>BScCSC</t>
  </si>
  <si>
    <t>JS1205</t>
  </si>
  <si>
    <t>電機工程學系 [選項: 工學士(電子計算機及數據工程學)、工學士(電子及電機工程學)、工學士(資訊工程學)]</t>
  </si>
  <si>
    <t>EE</t>
  </si>
  <si>
    <t>理學士(計算數學)</t>
  </si>
  <si>
    <t>JS1207</t>
  </si>
  <si>
    <t>機械工程學系 [選項: 工學士(機械工程)、工學士(核子及風險工程)]</t>
  </si>
  <si>
    <t>MNE</t>
  </si>
  <si>
    <t>JS1208</t>
  </si>
  <si>
    <t>理學士(物理學)</t>
  </si>
  <si>
    <t>BScPHY</t>
  </si>
  <si>
    <t>工學士(材料科學及工程)</t>
  </si>
  <si>
    <t>BEngMASE</t>
  </si>
  <si>
    <t>JS1211</t>
  </si>
  <si>
    <t>工學士(生物醫學工程)</t>
  </si>
  <si>
    <t>BEngBME</t>
  </si>
  <si>
    <t>工學士(智能製造工程學)</t>
  </si>
  <si>
    <t>ITME</t>
  </si>
  <si>
    <t>JS1801</t>
  </si>
  <si>
    <t>賽馬會動物醫學及生命科學院</t>
  </si>
  <si>
    <t>獸醫學學士</t>
  </si>
  <si>
    <t>BVM</t>
  </si>
  <si>
    <t>JS1805</t>
  </si>
  <si>
    <t>生物醫學系 [選項: 理學士(生物科學)、理學士(生物醫學)]</t>
  </si>
  <si>
    <t>BMS</t>
  </si>
  <si>
    <t>JS1806</t>
  </si>
  <si>
    <t>理學士(生物科學)</t>
  </si>
  <si>
    <t>BScBISI</t>
  </si>
  <si>
    <t>JS1807</t>
  </si>
  <si>
    <t>理學士(生物醫學)</t>
  </si>
  <si>
    <t>BScBMS</t>
  </si>
  <si>
    <r>
      <rPr>
        <rFont val="Microsoft JhengHei"/>
        <color theme="1"/>
        <sz val="10.0"/>
      </rPr>
      <t>*城大公佈的分數為</t>
    </r>
    <r>
      <rPr>
        <rFont val="微軟正黑體"/>
        <b/>
        <color theme="1"/>
        <sz val="12.0"/>
      </rPr>
      <t>已計比重的分數</t>
    </r>
    <r>
      <rPr>
        <rFont val="微軟正黑體"/>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</si>
  <si>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</si>
  <si>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*斜體 = 2021年新科目/新安排，粗體 = 有比重</t>
  </si>
  <si>
    <t>估算方式:</t>
  </si>
  <si>
    <t>由於城大每年均會直接公佈加權後分數 (即已計算比重)，故此處直接引用城大數字，未有作任何估算。</t>
  </si>
  <si>
    <t>參考資料:</t>
  </si>
  <si>
    <t>https://www.cityu.edu.hk/admo/hkdse/scores/jupas_scores2020.pdf</t>
  </si>
  <si>
    <t>https://www.admo.cityu.edu.hk/jupas/entreq/bd/</t>
  </si>
  <si>
    <t>https://www.admo.cityu.edu.hk/assessment/score_calculation/</t>
  </si>
  <si>
    <t>https://www.admo.cityu.edu.hk/jupas/assessment/bd</t>
  </si>
  <si>
    <t>https://www.admo.cityu.edu.hk/interview_arrangements/jupas</t>
  </si>
  <si>
    <t>BA</t>
  </si>
  <si>
    <t>BA(CHI)</t>
  </si>
  <si>
    <t>BA(CPW)</t>
  </si>
  <si>
    <t>BA(ENG)</t>
  </si>
  <si>
    <t>BA(HUM)</t>
  </si>
  <si>
    <t>BA(RPE)</t>
  </si>
  <si>
    <t>BA(TRAN)</t>
  </si>
  <si>
    <t>BA(MUSIC)</t>
  </si>
  <si>
    <t xml:space="preserve">放榜前+後 </t>
  </si>
  <si>
    <t>文學院/教育學院</t>
  </si>
  <si>
    <t>BA(ELL)&amp;BEd(ELT)</t>
  </si>
  <si>
    <t xml:space="preserve">放榜後 </t>
  </si>
  <si>
    <t>BMUSIC(CI)</t>
  </si>
  <si>
    <t>BBA(ACCT)</t>
  </si>
  <si>
    <t>BBA</t>
  </si>
  <si>
    <t>傳理學院</t>
  </si>
  <si>
    <t>BCOMM(AMA)</t>
  </si>
  <si>
    <t>BCOMM(FTV)</t>
  </si>
  <si>
    <t>BFA(AGS)</t>
  </si>
  <si>
    <t>TBC</t>
  </si>
  <si>
    <t>BCOMM(JOUR)</t>
  </si>
  <si>
    <t>BCOMM(PRA)</t>
  </si>
  <si>
    <t>中醫藥學院</t>
  </si>
  <si>
    <t>BCM&amp;BSc(BIOMED)</t>
  </si>
  <si>
    <t>BPharm</t>
  </si>
  <si>
    <t>BSc</t>
  </si>
  <si>
    <t>BA/ BSocSc</t>
  </si>
  <si>
    <t>BA(PERM)</t>
  </si>
  <si>
    <t>BSocSc(EURO-FREN)</t>
  </si>
  <si>
    <t>BSocSc(EURO-GERM)</t>
  </si>
  <si>
    <t>BSW</t>
  </si>
  <si>
    <t>BSocSc(GCS)</t>
  </si>
  <si>
    <t>社會科學院/教育學院</t>
  </si>
  <si>
    <t>BA/BSocSc&amp;BEd(PSHE)</t>
  </si>
  <si>
    <t>視覺藝術院</t>
  </si>
  <si>
    <t>BA(VA)</t>
  </si>
  <si>
    <t>理學院/工商管理學院</t>
  </si>
  <si>
    <t>BSc(BCDA)</t>
  </si>
  <si>
    <r>
      <rPr>
        <rFont val="Microsoft JhengHei"/>
        <color theme="1"/>
        <sz val="10.0"/>
      </rPr>
      <t>*浸大公佈的分數為平均分，以及</t>
    </r>
    <r>
      <rPr>
        <rFont val="微軟正黑體"/>
        <b/>
        <color theme="1"/>
        <sz val="12.0"/>
      </rPr>
      <t>未計比重的原始分數</t>
    </r>
    <r>
      <rPr>
        <rFont val="微軟正黑體"/>
        <color theme="1"/>
        <sz val="10.0"/>
      </rPr>
      <t>，以上含比重分數一律以</t>
    </r>
    <r>
      <rPr>
        <rFont val="微軟正黑體"/>
        <b/>
        <color theme="1"/>
        <sz val="12.0"/>
      </rPr>
      <t>最大比重</t>
    </r>
    <r>
      <rPr>
        <rFont val="微軟正黑體"/>
        <color theme="1"/>
        <sz val="10.0"/>
      </rPr>
      <t>作估算</t>
    </r>
    <r>
      <rPr>
        <rFont val="微軟正黑體"/>
        <b/>
        <color theme="1"/>
        <sz val="10.0"/>
      </rPr>
      <t>，</t>
    </r>
    <r>
      <rPr>
        <rFont val="微軟正黑體"/>
        <color theme="1"/>
        <sz val="10.0"/>
      </rPr>
      <t>或會</t>
    </r>
    <r>
      <rPr>
        <rFont val="微軟正黑體"/>
        <b/>
        <color theme="1"/>
        <sz val="12.0"/>
      </rPr>
      <t>稍為高於真實分數</t>
    </r>
    <r>
      <rPr>
        <rFont val="微軟正黑體"/>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</si>
  <si>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</si>
  <si>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由於浸大每年除了公佈平均分外，亦會公佈各分布位置(中位數、下四分位數)的同學的詳細分數，故此處即以其細分 加以比重 作估算。</t>
  </si>
  <si>
    <t>*無比重的學科 (如 JS2020, JS2021)，將直接以其計分方式計算 (如 4C2X，將會將4科主科分數相加，再加上最高的2科選修)。</t>
  </si>
  <si>
    <t>*只有主科有比重的學科 (如 JS2320)，則會直接為主科計算比重，然後再加上剩餘科目分數。</t>
  </si>
  <si>
    <t>*而選修有比重的學科 (如 JS2420)，由於浸大並未有列出參考分數的選修科目，此處保守起見，將會假設參考分數的選修科均有最大比重，故估算分數或會高於真實分數，請注意。</t>
  </si>
  <si>
    <t>*以JS2420為例，其比重為 「中文、英文、化學」x1.5、 「生物、中國文學、組合科學、數學、物理」x1.25</t>
  </si>
  <si>
    <r>
      <rPr>
        <rFont val="Microsoft JhengHei"/>
        <color theme="1"/>
        <sz val="10.0"/>
      </rPr>
      <t>*其中位數詳細分數為︰中文 3 、英文 4 、數學 3 、通識 4 、選修一  5 、選修二  4 ，此處將假設其兩科選修</t>
    </r>
    <r>
      <rPr>
        <rFont val="微軟正黑體"/>
        <b/>
        <color theme="1"/>
        <sz val="10.0"/>
      </rPr>
      <t>「食中曬比重」</t>
    </r>
    <r>
      <rPr>
        <rFont val="微軟正黑體"/>
        <color theme="1"/>
        <sz val="10.0"/>
      </rPr>
      <t>，即為 「化學」(x1.5) 及「生物/物理 等」(x1.25)。</t>
    </r>
  </si>
  <si>
    <r>
      <rPr>
        <rFont val="Microsoft JhengHei"/>
        <color theme="1"/>
        <sz val="10.0"/>
      </rPr>
      <t>*計算比重後，分數為︰中文 3x1.5 (</t>
    </r>
    <r>
      <rPr>
        <rFont val="微軟正黑體"/>
        <b/>
        <color theme="1"/>
        <sz val="10.0"/>
      </rPr>
      <t>4.5</t>
    </r>
    <r>
      <rPr>
        <rFont val="微軟正黑體"/>
        <color theme="1"/>
        <sz val="10.0"/>
      </rPr>
      <t>)、英文 4x1.5 (</t>
    </r>
    <r>
      <rPr>
        <rFont val="微軟正黑體"/>
        <b/>
        <color theme="1"/>
        <sz val="10.0"/>
      </rPr>
      <t>6</t>
    </r>
    <r>
      <rPr>
        <rFont val="微軟正黑體"/>
        <color theme="1"/>
        <sz val="10.0"/>
      </rPr>
      <t>) 、數學 3x1.25 (</t>
    </r>
    <r>
      <rPr>
        <rFont val="微軟正黑體"/>
        <b/>
        <color theme="1"/>
        <sz val="10.0"/>
      </rPr>
      <t>3.75</t>
    </r>
    <r>
      <rPr>
        <rFont val="微軟正黑體"/>
        <color theme="1"/>
        <sz val="10.0"/>
      </rPr>
      <t>) 、通識 4 (</t>
    </r>
    <r>
      <rPr>
        <rFont val="微軟正黑體"/>
        <b/>
        <color theme="1"/>
        <sz val="10.0"/>
      </rPr>
      <t>4</t>
    </r>
    <r>
      <rPr>
        <rFont val="微軟正黑體"/>
        <color theme="1"/>
        <sz val="10.0"/>
      </rPr>
      <t>) 、選修一  5x1.5 (</t>
    </r>
    <r>
      <rPr>
        <rFont val="微軟正黑體"/>
        <b/>
        <color theme="1"/>
        <sz val="10.0"/>
      </rPr>
      <t>7.5</t>
    </r>
    <r>
      <rPr>
        <rFont val="微軟正黑體"/>
        <color theme="1"/>
        <sz val="10.0"/>
      </rPr>
      <t>) 、選修二  4x1.25 (</t>
    </r>
    <r>
      <rPr>
        <rFont val="微軟正黑體"/>
        <b/>
        <color theme="1"/>
        <sz val="10.0"/>
      </rPr>
      <t>5</t>
    </r>
    <r>
      <rPr>
        <rFont val="微軟正黑體"/>
        <color theme="1"/>
        <sz val="10.0"/>
      </rPr>
      <t xml:space="preserve">) </t>
    </r>
  </si>
  <si>
    <r>
      <rPr>
        <rFont val="Microsoft JhengHei"/>
        <color theme="1"/>
        <sz val="10.0"/>
      </rPr>
      <t xml:space="preserve">*最後以其計分方式，即 Best 5 作挑選，得出︰7.5 + 6 + 5 + 4.5 + 4 = </t>
    </r>
    <r>
      <rPr>
        <rFont val="微軟正黑體"/>
        <b/>
        <color theme="1"/>
        <sz val="10.0"/>
      </rPr>
      <t>27</t>
    </r>
  </si>
  <si>
    <t>*為了公平比較往年數據，新學年修改了計分方式的學科 (如 JS2510) 在此處將繼續以往年方式估算，請注意。</t>
  </si>
  <si>
    <t>https://admissions.hkbu.edu.hk/en/hkdse.html</t>
  </si>
  <si>
    <t>https://admissions.hkbu.edu.hk/en/programmes-offer.html</t>
  </si>
  <si>
    <t>Year</t>
  </si>
  <si>
    <t>JS6418</t>
  </si>
  <si>
    <t>JS2680</t>
  </si>
  <si>
    <t>醫療及社會科學院</t>
  </si>
  <si>
    <t>MENTAL HEALTH NURSING</t>
  </si>
  <si>
    <t>應用科學及紡織學院</t>
  </si>
  <si>
    <t xml:space="preserve">	FOOD SAFE TECH</t>
  </si>
  <si>
    <t xml:space="preserve">	TRANS SYS ENGG</t>
  </si>
  <si>
    <t>建設及環境學院</t>
  </si>
  <si>
    <t xml:space="preserve">	ENV &amp; SUSTAIN DEVELOP</t>
  </si>
  <si>
    <t>LAND SUR &amp; GEO-INFO</t>
  </si>
  <si>
    <t xml:space="preserve">	PROPERTY MGT</t>
  </si>
  <si>
    <t>工商管理學院</t>
  </si>
  <si>
    <t xml:space="preserve">	ACCT &amp; FINANCE</t>
  </si>
  <si>
    <t xml:space="preserve">	MED LAB SCI</t>
  </si>
  <si>
    <t xml:space="preserve">	FASHION &amp; TEXTILES</t>
  </si>
  <si>
    <t xml:space="preserve">	AVIATION ENGG</t>
  </si>
  <si>
    <t xml:space="preserve">	INT &amp; MULTI MEDIA TECH</t>
  </si>
  <si>
    <t xml:space="preserve">	PROD &amp; INDUSTRIAL ENGG</t>
  </si>
  <si>
    <t>設計學院</t>
  </si>
  <si>
    <t xml:space="preserve">	DESIGN</t>
  </si>
  <si>
    <t xml:space="preserve">	LOG &amp; ENTERPRISE ENGG</t>
  </si>
  <si>
    <t xml:space="preserve">	MGT</t>
  </si>
  <si>
    <t>FINANCIAL SERV</t>
  </si>
  <si>
    <t xml:space="preserve">	BIOMEDICAL ENGG</t>
  </si>
  <si>
    <t xml:space="preserve">	RADIOGRAPHY</t>
  </si>
  <si>
    <t xml:space="preserve">	OCCUPATIONAL THERAPY</t>
  </si>
  <si>
    <t xml:space="preserve">	PHYSIOTHERAPY</t>
  </si>
  <si>
    <t xml:space="preserve">	NURSING</t>
  </si>
  <si>
    <t xml:space="preserve">	OPTOMETRY</t>
  </si>
  <si>
    <t xml:space="preserve">	SOCIAL WORK</t>
  </si>
  <si>
    <t xml:space="preserve">	INT'L SHIP &amp; TRANS LGT</t>
  </si>
  <si>
    <t xml:space="preserve">	ELECTRONIC &amp; INFO ENGG</t>
  </si>
  <si>
    <t xml:space="preserve">	ELECTRICAL ENGG</t>
  </si>
  <si>
    <t xml:space="preserve">	CIVIL ENGG</t>
  </si>
  <si>
    <t xml:space="preserve">	MECHANICAL ENGG</t>
  </si>
  <si>
    <t xml:space="preserve">	BLDG SERV ENGG</t>
  </si>
  <si>
    <t xml:space="preserve">	SOC POLICY &amp; SOC ENTREPR</t>
  </si>
  <si>
    <t>STRUCT &amp; FIRE SAFETY ENG</t>
  </si>
  <si>
    <t xml:space="preserve">	SURVEYING</t>
  </si>
  <si>
    <t>BLDG ENGG &amp; MGT</t>
  </si>
  <si>
    <t>INV SCI &amp; FIN ANALYTICS</t>
  </si>
  <si>
    <t>人文學院</t>
  </si>
  <si>
    <t xml:space="preserve">	LINGUISTICS &amp; TRANSLAT</t>
  </si>
  <si>
    <t>酒店及旅遊業管理學院</t>
  </si>
  <si>
    <t xml:space="preserve">	TOUR &amp; EVENTS MGT</t>
  </si>
  <si>
    <t>英文及應用語言學(榮譽)文學士學位</t>
  </si>
  <si>
    <t xml:space="preserve">	ENGL &amp; APP LINGUISTICS</t>
  </si>
  <si>
    <t>SUP CHAIN MGT &amp; ANALY</t>
  </si>
  <si>
    <t xml:space="preserve">	COMPUTING</t>
  </si>
  <si>
    <t xml:space="preserve">	HOTEL MGT</t>
  </si>
  <si>
    <t xml:space="preserve">	MARKETING</t>
  </si>
  <si>
    <t xml:space="preserve">	ACCOUNTANCY</t>
  </si>
  <si>
    <t xml:space="preserve">	APP BIO</t>
  </si>
  <si>
    <t xml:space="preserve">	ENGG PHY</t>
  </si>
  <si>
    <t xml:space="preserve">	CHEM TECH</t>
  </si>
  <si>
    <t>HD APP PHY</t>
  </si>
  <si>
    <t>最佳三科</t>
  </si>
  <si>
    <t xml:space="preserve">	HD BLDG SERV ENGG</t>
  </si>
  <si>
    <t xml:space="preserve">	HD BLDG TECH &amp; MGT(ENGG)</t>
  </si>
  <si>
    <t xml:space="preserve">	HD CHEM TECH</t>
  </si>
  <si>
    <t xml:space="preserve">	HD CIVIL ENGG</t>
  </si>
  <si>
    <t xml:space="preserve">	HD ELECTRICAL ENGG</t>
  </si>
  <si>
    <t xml:space="preserve">	HD ELECTRONIC INFO ENGG</t>
  </si>
  <si>
    <t xml:space="preserve">	HD LAND SUR &amp; GEO-INFO</t>
  </si>
  <si>
    <t xml:space="preserve">	HD INDUSTRIAL &amp; SYS ENGG</t>
  </si>
  <si>
    <t>HD BLDG TECH &amp; MGT(SURV)</t>
  </si>
  <si>
    <t>HD in Building Technology &amp; Management (Surveying)</t>
  </si>
  <si>
    <r>
      <rPr>
        <rFont val="微軟正黑體"/>
        <b val="0"/>
        <color theme="1"/>
        <sz val="10.0"/>
      </rPr>
      <t>*理大公佈的分數為</t>
    </r>
    <r>
      <rPr>
        <rFont val="微軟正黑體"/>
        <b/>
        <color theme="1"/>
        <sz val="12.0"/>
      </rPr>
      <t>未乘比重的原始分數</t>
    </r>
    <r>
      <rPr>
        <rFont val="微軟正黑體"/>
        <b val="0"/>
        <color theme="1"/>
        <sz val="10.0"/>
      </rPr>
      <t>，以上參考分數先加分制作基礎，再計算比重。</t>
    </r>
    <r>
      <rPr>
        <rFont val="微軟正黑體"/>
        <b/>
        <color theme="1"/>
        <sz val="12.0"/>
      </rPr>
      <t>含比重分數</t>
    </r>
    <r>
      <rPr>
        <rFont val="微軟正黑體"/>
        <b val="0"/>
        <color theme="1"/>
        <sz val="10.0"/>
      </rPr>
      <t>一律以</t>
    </r>
    <r>
      <rPr>
        <rFont val="微軟正黑體"/>
        <b/>
        <color theme="1"/>
        <sz val="12.0"/>
      </rPr>
      <t>最大比重</t>
    </r>
    <r>
      <rPr>
        <rFont val="微軟正黑體"/>
        <b val="0"/>
        <color theme="1"/>
        <sz val="10.0"/>
      </rPr>
      <t>作估算，或會</t>
    </r>
    <r>
      <rPr>
        <rFont val="微軟正黑體"/>
        <b/>
        <color theme="1"/>
        <sz val="12.0"/>
      </rPr>
      <t>稍為高於真實分數</t>
    </r>
    <r>
      <rPr>
        <rFont val="微軟正黑體"/>
        <b val="0"/>
        <color theme="1"/>
        <sz val="10.0"/>
      </rPr>
      <t>，只供參考。</t>
    </r>
  </si>
  <si>
    <t>*理大自2020/21年度起推出「加分制」，考獲5級或以上學科將獲額外加分。( Lv.5 -&gt; 5.5 | Lv.5* -&gt; 7 | Lv. 5** -&gt;8.5)</t>
  </si>
  <si>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</si>
  <si>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r>
      <rPr>
        <rFont val="Microsoft JhengHei"/>
        <color theme="1"/>
        <sz val="10.0"/>
      </rPr>
      <t xml:space="preserve">由於理大每年除了公佈平均分外，亦會公佈各分布位置(中位數、下四分位數)的同學的詳細分數，故此處即以其細分 加以比重 作估算。 </t>
    </r>
    <r>
      <rPr>
        <rFont val="微軟正黑體"/>
        <b/>
        <color theme="1"/>
        <sz val="11.0"/>
      </rPr>
      <t>(詳情請參考 Poly Ref Score 版面)</t>
    </r>
  </si>
  <si>
    <t>*理大的計分方式比較獨特，其比重計算方式如下︰被列作「最高比重」的科目，將會乘以 10倍 比重 ； 核心科目 (4C) 作最少會乘以 7倍 ；至於其他選修科目，則會乘以 5 或 7 倍 的比重。</t>
  </si>
  <si>
    <t>*「最佳X科」的計算方式，則是先計算「加分制」，再計算上述比重，最後從已計算比重的科目中挑選最高分者。</t>
  </si>
  <si>
    <t xml:space="preserve">*假設某同學考獲 物理 Lv.3 、化學 Lv.4，而比重為︰物理 x7、化學 x5，兩者選其一時則會是選擇 物理，因為 3x7(21) 大於 4x5(20) </t>
  </si>
  <si>
    <t>*此處為方便估算，「最高比重」科目將會 x10，核心科目至少 x7，其他選修則會一律當作 x5。(以下會列出例外)</t>
  </si>
  <si>
    <t>*無「最高比重」的學科 (即 JS3662 及 JS3765)，將會先計算比重 (核心科目 x 7、選修 x 5)，再以其計分方式計算 (如 4C2X，則會將4科主科分數相加，再加上最高的2科選修)。</t>
  </si>
  <si>
    <t>*而選修有「最高比重」的學科 (如 JS3650)，由於理大並未有列出參考分數的選修科目，此處保守起見，將會假設參考分數的選修科均有最大比重，故估算分數或會高於真實分數，請注意。</t>
  </si>
  <si>
    <t>*以JS3650為例，其「最高比重」科目為 「英文、數學、M1/2、生物、化學、物理、組合科學」</t>
  </si>
  <si>
    <r>
      <rPr>
        <rFont val="Microsoft JhengHei"/>
        <color theme="1"/>
        <sz val="10.0"/>
      </rPr>
      <t>*其中位數詳細分數為︰中文 4 、英文 5 、數學 5* 、通識 4 、選修一  5* 、選修二  5 、選修三 5 、 M1/2  5 ，此處將假設其三科選修</t>
    </r>
    <r>
      <rPr>
        <rFont val="微軟正黑體"/>
        <b/>
        <color theme="1"/>
        <sz val="10.0"/>
      </rPr>
      <t>「食中曬比重」</t>
    </r>
    <r>
      <rPr>
        <rFont val="微軟正黑體"/>
        <color theme="1"/>
        <sz val="10.0"/>
      </rPr>
      <t>，即為 「生物、化學、物理」。</t>
    </r>
  </si>
  <si>
    <r>
      <rPr>
        <rFont val="Microsoft JhengHei"/>
        <color theme="1"/>
        <sz val="10.0"/>
      </rPr>
      <t>*計算比重後，分數為︰中文 4x7 (</t>
    </r>
    <r>
      <rPr>
        <rFont val="微軟正黑體"/>
        <b/>
        <color theme="1"/>
        <sz val="10.0"/>
      </rPr>
      <t>28</t>
    </r>
    <r>
      <rPr>
        <rFont val="微軟正黑體"/>
        <color theme="1"/>
        <sz val="10.0"/>
      </rPr>
      <t>)、英文 5.5x10 (</t>
    </r>
    <r>
      <rPr>
        <rFont val="微軟正黑體"/>
        <b/>
        <color theme="1"/>
        <sz val="10.0"/>
      </rPr>
      <t>55</t>
    </r>
    <r>
      <rPr>
        <rFont val="微軟正黑體"/>
        <color theme="1"/>
        <sz val="10.0"/>
      </rPr>
      <t>) 、數學 7x10 (</t>
    </r>
    <r>
      <rPr>
        <rFont val="微軟正黑體"/>
        <b/>
        <color theme="1"/>
        <sz val="10.0"/>
      </rPr>
      <t>70</t>
    </r>
    <r>
      <rPr>
        <rFont val="微軟正黑體"/>
        <color theme="1"/>
        <sz val="10.0"/>
      </rPr>
      <t>) 、通識 4x7 (</t>
    </r>
    <r>
      <rPr>
        <rFont val="微軟正黑體"/>
        <b/>
        <color theme="1"/>
        <sz val="10.0"/>
      </rPr>
      <t>28</t>
    </r>
    <r>
      <rPr>
        <rFont val="微軟正黑體"/>
        <color theme="1"/>
        <sz val="10.0"/>
      </rPr>
      <t>) 、選修一  7x10 (</t>
    </r>
    <r>
      <rPr>
        <rFont val="微軟正黑體"/>
        <b/>
        <color theme="1"/>
        <sz val="10.0"/>
      </rPr>
      <t>70</t>
    </r>
    <r>
      <rPr>
        <rFont val="微軟正黑體"/>
        <color theme="1"/>
        <sz val="10.0"/>
      </rPr>
      <t>) 、選修二  5.5x10 (</t>
    </r>
    <r>
      <rPr>
        <rFont val="微軟正黑體"/>
        <b/>
        <color theme="1"/>
        <sz val="10.0"/>
      </rPr>
      <t>55</t>
    </r>
    <r>
      <rPr>
        <rFont val="微軟正黑體"/>
        <color theme="1"/>
        <sz val="10.0"/>
      </rPr>
      <t>) 、選修三 5.5x10 (</t>
    </r>
    <r>
      <rPr>
        <rFont val="微軟正黑體"/>
        <b/>
        <color theme="1"/>
        <sz val="10.0"/>
      </rPr>
      <t>55</t>
    </r>
    <r>
      <rPr>
        <rFont val="微軟正黑體"/>
        <color theme="1"/>
        <sz val="10.0"/>
      </rPr>
      <t>) 、 M1/2  5.5x10 (</t>
    </r>
    <r>
      <rPr>
        <rFont val="微軟正黑體"/>
        <b/>
        <color theme="1"/>
        <sz val="10.0"/>
      </rPr>
      <t>55</t>
    </r>
    <r>
      <rPr>
        <rFont val="微軟正黑體"/>
        <color theme="1"/>
        <sz val="10.0"/>
      </rPr>
      <t>)</t>
    </r>
  </si>
  <si>
    <r>
      <rPr>
        <rFont val="Microsoft JhengHei"/>
        <color theme="1"/>
        <sz val="10.0"/>
      </rPr>
      <t xml:space="preserve">*最後以其計分方式，即 Best 6 作挑選，得出︰70 + 70 + 55 + 55 + 55 + 55 = </t>
    </r>
    <r>
      <rPr>
        <rFont val="微軟正黑體"/>
        <b/>
        <color theme="1"/>
        <sz val="10.0"/>
      </rPr>
      <t>360</t>
    </r>
  </si>
  <si>
    <t>*部份學科 (如 JS3777) 或會列出兩科「最高比重」 (JS3777: 物理、組合科學(物理))，但此處只會為其中一科的選修作最高估算。</t>
  </si>
  <si>
    <t>*原因是現實中修讀「單一科學」(如 物理) 的同學，並不能同時修讀含有其成份的組合科學 (即 組合科學(物理、化學) 及 (物理、生物))。</t>
  </si>
  <si>
    <t>*故此其分數必然不可能有兩科選修有最高比重，故此類情況將只有估算其中一科作最高比重。</t>
  </si>
  <si>
    <t>*此外，因為此處將參考分數的比重儘量向上估算，部份學科或會出現估算後 下四分位數(LQ) 高於 中位數 (Median) 的情況。</t>
  </si>
  <si>
    <t>*經考慮後，此類學科的估算會作適量的調整，以免同學高估自己的入學機會。</t>
  </si>
  <si>
    <t xml:space="preserve">*調整過的學科有: </t>
  </si>
  <si>
    <t>*JS3375: 下四分位數只有兩科選修比重為 x10，剩餘選修 x5</t>
  </si>
  <si>
    <t>*JS3387: 中位數的其中一科選修比重為 x7，並非 x5</t>
  </si>
  <si>
    <t>*JS3466: 中位數的其中一科選修比重為 x7，並非 x5</t>
  </si>
  <si>
    <t>*JS3478: 下四分位數只有一科選修比重為 x10，其他選修 x5</t>
  </si>
  <si>
    <t>*JS3557: 中位數的其中一科選修比重為 x7，並非 x5</t>
  </si>
  <si>
    <t>*JS3636: 下四分位數的第二科選修比重為 x7，並非 x10</t>
  </si>
  <si>
    <t>*JS3674: 中位數的其中一科選修比重為 x7，並非 x5</t>
  </si>
  <si>
    <t>*由於理大並無公布高級文憑學科的詳細參考分數，此處並不能提供加權後的估算分數，只能引用其平均分，請注意。</t>
  </si>
  <si>
    <t>*為了公平比較往年數據，新學年修改了比重的學科 (如 JS3375) 在此處將繼續以往年比重估算，請注意。</t>
  </si>
  <si>
    <t>https://www51.polyu.edu.hk/eprospectus/ug/jupas/programme-requirements</t>
  </si>
  <si>
    <t>https://www51.polyu.edu.hk/eprospectus/ug/jupas/admission-selection</t>
  </si>
  <si>
    <t>https://www51.polyu.edu.hk/eprospectus/ug/jupas/interview-arrangement</t>
  </si>
  <si>
    <t>https://www.polyu.edu.hk/aradm/jupas/admission_figures.pdf</t>
  </si>
  <si>
    <t>ANTHROPOLOGY</t>
  </si>
  <si>
    <t xml:space="preserve">	CHI LANG &amp; LIT</t>
  </si>
  <si>
    <t xml:space="preserve">	CULTURAL STUDIES</t>
  </si>
  <si>
    <t xml:space="preserve">	CULTURAL MANAGEMENT</t>
  </si>
  <si>
    <t xml:space="preserve">	ENGLISH</t>
  </si>
  <si>
    <t>FINE ARTS</t>
  </si>
  <si>
    <t>HISTORY</t>
  </si>
  <si>
    <t>JAPANESE STUDIES</t>
  </si>
  <si>
    <t xml:space="preserve">	LINGUISTICS</t>
  </si>
  <si>
    <t xml:space="preserve">	MUSIC</t>
  </si>
  <si>
    <t xml:space="preserve">	PHILOSOPHY</t>
  </si>
  <si>
    <t xml:space="preserve">	RELIGION</t>
  </si>
  <si>
    <t>19*</t>
  </si>
  <si>
    <t>THEOLOGY</t>
  </si>
  <si>
    <t>TRANSLATION</t>
  </si>
  <si>
    <t xml:space="preserve">	CHINESE STUDIES</t>
  </si>
  <si>
    <t xml:space="preserve">	INTEGRATED BBA</t>
  </si>
  <si>
    <t>GBS</t>
  </si>
  <si>
    <t>HOSP &amp; REAL EST</t>
  </si>
  <si>
    <t xml:space="preserve">	IFAA</t>
  </si>
  <si>
    <t xml:space="preserve">	PROF ACCOUNTANCY</t>
  </si>
  <si>
    <t xml:space="preserve">	QFIN</t>
  </si>
  <si>
    <t>GLEF</t>
  </si>
  <si>
    <t xml:space="preserve">	BBA-JD</t>
  </si>
  <si>
    <t xml:space="preserve">	QFRM</t>
  </si>
  <si>
    <t xml:space="preserve">	PHY ED, EX SCI &amp; HEALTH</t>
  </si>
  <si>
    <t xml:space="preserve">	BA (CHI) BEd (CHI EDU)</t>
  </si>
  <si>
    <t xml:space="preserve">	BA (ENG) BEd (ENG EDU)</t>
  </si>
  <si>
    <t>MATHS EDUCATION</t>
  </si>
  <si>
    <t xml:space="preserve">	BEd (ECE)</t>
  </si>
  <si>
    <t xml:space="preserve">	ENGINEERING</t>
  </si>
  <si>
    <t xml:space="preserve">	BENG FINTECH</t>
  </si>
  <si>
    <t>ELEG</t>
  </si>
  <si>
    <t xml:space="preserve">	BMEG</t>
  </si>
  <si>
    <t>EEEN</t>
  </si>
  <si>
    <t xml:space="preserve">	AIST</t>
  </si>
  <si>
    <t>MBChB</t>
  </si>
  <si>
    <t>265*</t>
  </si>
  <si>
    <t>MBChB-GPS</t>
  </si>
  <si>
    <t>PHARMACY</t>
  </si>
  <si>
    <t xml:space="preserve">	PUBLIC HEALTH</t>
  </si>
  <si>
    <t>CHIN MEDICINE</t>
  </si>
  <si>
    <t xml:space="preserve">	BIOMEDICAL SCIENCES</t>
  </si>
  <si>
    <t xml:space="preserve">	SCIENCE</t>
  </si>
  <si>
    <t xml:space="preserve">	ESSC (AS / GEO)</t>
  </si>
  <si>
    <t xml:space="preserve">	ENRICHMENT MATHEMATICS</t>
  </si>
  <si>
    <t xml:space="preserve">	THEORETICAL PHYSICS</t>
  </si>
  <si>
    <t xml:space="preserve">	RISK MGT SCI</t>
  </si>
  <si>
    <t>SOCIAL SCIENCE</t>
  </si>
  <si>
    <t xml:space="preserve">	ARCHITECTURE</t>
  </si>
  <si>
    <t xml:space="preserve">	ECONOMICS</t>
  </si>
  <si>
    <t>GEO &amp; RES MGT</t>
  </si>
  <si>
    <t xml:space="preserve">	URBAN STUDIES</t>
  </si>
  <si>
    <t xml:space="preserve">	GOV'T &amp; PUBLIC ADMIN</t>
  </si>
  <si>
    <t>JOURNALISM &amp; COMMUN</t>
  </si>
  <si>
    <t xml:space="preserve">	GLOBAL COMM</t>
  </si>
  <si>
    <t>PSYCHOLOGY</t>
  </si>
  <si>
    <t xml:space="preserve">	SOCIOLOGY</t>
  </si>
  <si>
    <t>GLOBAL STUDIES</t>
  </si>
  <si>
    <t xml:space="preserve">	DSPS</t>
  </si>
  <si>
    <t xml:space="preserve">	LLB</t>
  </si>
  <si>
    <r>
      <rPr>
        <rFont val="微軟正黑體"/>
        <b val="0"/>
        <color theme="1"/>
        <sz val="10.0"/>
      </rPr>
      <t>*中大公佈的分數為</t>
    </r>
    <r>
      <rPr>
        <rFont val="微軟正黑體"/>
        <b/>
        <color theme="1"/>
        <sz val="12.0"/>
      </rPr>
      <t>未乘比重的原始分數</t>
    </r>
    <r>
      <rPr>
        <rFont val="微軟正黑體"/>
        <b val="0"/>
        <color theme="1"/>
        <sz val="10.0"/>
      </rPr>
      <t>，以上參考分數先加分制作基礎，再計算比重。</t>
    </r>
    <r>
      <rPr>
        <rFont val="微軟正黑體"/>
        <b/>
        <color theme="1"/>
        <sz val="12.0"/>
      </rPr>
      <t>含比重分數</t>
    </r>
    <r>
      <rPr>
        <rFont val="微軟正黑體"/>
        <b val="0"/>
        <color theme="1"/>
        <sz val="10.0"/>
      </rPr>
      <t>一律以</t>
    </r>
    <r>
      <rPr>
        <rFont val="微軟正黑體"/>
        <b/>
        <color theme="1"/>
        <sz val="12.0"/>
      </rPr>
      <t>最大比重</t>
    </r>
    <r>
      <rPr>
        <rFont val="微軟正黑體"/>
        <b val="0"/>
        <color theme="1"/>
        <sz val="10.0"/>
      </rPr>
      <t>作估算，或會</t>
    </r>
    <r>
      <rPr>
        <rFont val="微軟正黑體"/>
        <b/>
        <color theme="1"/>
        <sz val="12.0"/>
      </rPr>
      <t>稍為高於真實分數</t>
    </r>
    <r>
      <rPr>
        <rFont val="微軟正黑體"/>
        <b val="0"/>
        <color theme="1"/>
        <sz val="10.0"/>
      </rPr>
      <t>，只供參考。</t>
    </r>
  </si>
  <si>
    <t>*中大自2019/20年度起推出「加分制」，考獲5級或以上學科將獲額外加分。( Lv.5 -&gt; 5.5 | Lv.5* -&gt; 7 | Lv. 5** -&gt;8.5) (JS4501及JS4502 除外)</t>
  </si>
  <si>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</si>
  <si>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*放榜後 面試日期暫為 七月尾至八月頭 (30 Jul to early Aug 2021)。</t>
  </si>
  <si>
    <t>由於中大每年除了公佈平均分外，亦會公佈各分布位置(上四分位數、中位數、下四分位數)的同學的詳細分數，故此處即以其細分 加以比重 作估算。</t>
  </si>
  <si>
    <t>*所有科目先計算「加分制」，再計算上述比重，最後從已計算比重的科目中挑選最高分者。</t>
  </si>
  <si>
    <t>*無比重的學科 (如 JS4537)，將直接以其計分方式計算 (如 Best 5，將會將計算「加分制」後最高的5科相加)。</t>
  </si>
  <si>
    <t>*只有主科有比重的學科 (如 JS4862)，則會直接為主科計算比重，然後再加上剩餘科目分數。</t>
  </si>
  <si>
    <t>*而選修有比重的學科 (如 JS4401)，由於中大並未有列出參考分數的選修科目，此處保守起見，將會假設參考分數的選修科均有最大比重，故估算分數或會高於真實分數，請注意。</t>
  </si>
  <si>
    <t>*以JS4401為例，其比重為 「M1/2」x1.75 、「數學、物理、生物、化學、組合科學、ICT、DAT」x1.5 、「通識」x0.5</t>
  </si>
  <si>
    <r>
      <rPr>
        <rFont val="Microsoft JhengHei"/>
        <color theme="1"/>
        <sz val="10.0"/>
      </rPr>
      <t>*其中位數詳細分數為︰中文 5* 、英文 3 、數學 4 、通識 4 、選修一  4 、選修二  4 、 M1/2  3 ，此處將假設其兩科選修</t>
    </r>
    <r>
      <rPr>
        <rFont val="微軟正黑體"/>
        <b/>
        <color theme="1"/>
        <sz val="10.0"/>
      </rPr>
      <t>「食中曬比重」</t>
    </r>
    <r>
      <rPr>
        <rFont val="微軟正黑體"/>
        <color theme="1"/>
        <sz val="10.0"/>
      </rPr>
      <t>，即為 「物理、生物…等」(x1.5)。</t>
    </r>
  </si>
  <si>
    <r>
      <rPr>
        <rFont val="Microsoft JhengHei"/>
        <color theme="1"/>
        <sz val="10.0"/>
      </rPr>
      <t>*計算比重後，分數為︰中文 7 (</t>
    </r>
    <r>
      <rPr>
        <rFont val="微軟正黑體"/>
        <b/>
        <color theme="1"/>
        <sz val="10.0"/>
      </rPr>
      <t>7</t>
    </r>
    <r>
      <rPr>
        <rFont val="微軟正黑體"/>
        <color theme="1"/>
        <sz val="10.0"/>
      </rPr>
      <t>)、英文 3 (</t>
    </r>
    <r>
      <rPr>
        <rFont val="微軟正黑體"/>
        <b/>
        <color theme="1"/>
        <sz val="10.0"/>
      </rPr>
      <t>3</t>
    </r>
    <r>
      <rPr>
        <rFont val="微軟正黑體"/>
        <color theme="1"/>
        <sz val="10.0"/>
      </rPr>
      <t>) 、數學 4x1.5 (</t>
    </r>
    <r>
      <rPr>
        <rFont val="微軟正黑體"/>
        <b/>
        <color theme="1"/>
        <sz val="10.0"/>
      </rPr>
      <t>6</t>
    </r>
    <r>
      <rPr>
        <rFont val="微軟正黑體"/>
        <color theme="1"/>
        <sz val="10.0"/>
      </rPr>
      <t>) 、通識 4x0.5 (</t>
    </r>
    <r>
      <rPr>
        <rFont val="微軟正黑體"/>
        <b/>
        <color theme="1"/>
        <sz val="10.0"/>
      </rPr>
      <t>2</t>
    </r>
    <r>
      <rPr>
        <rFont val="微軟正黑體"/>
        <color theme="1"/>
        <sz val="10.0"/>
      </rPr>
      <t>) 、選修一  4x1.5 (</t>
    </r>
    <r>
      <rPr>
        <rFont val="微軟正黑體"/>
        <b/>
        <color theme="1"/>
        <sz val="10.0"/>
      </rPr>
      <t>6</t>
    </r>
    <r>
      <rPr>
        <rFont val="微軟正黑體"/>
        <color theme="1"/>
        <sz val="10.0"/>
      </rPr>
      <t>) 、選修二  4x1.5 (</t>
    </r>
    <r>
      <rPr>
        <rFont val="微軟正黑體"/>
        <b/>
        <color theme="1"/>
        <sz val="10.0"/>
      </rPr>
      <t>6</t>
    </r>
    <r>
      <rPr>
        <rFont val="微軟正黑體"/>
        <color theme="1"/>
        <sz val="10.0"/>
      </rPr>
      <t>) 、 M1/2  3x1.75 (</t>
    </r>
    <r>
      <rPr>
        <rFont val="微軟正黑體"/>
        <b/>
        <color theme="1"/>
        <sz val="10.0"/>
      </rPr>
      <t>5.25</t>
    </r>
    <r>
      <rPr>
        <rFont val="微軟正黑體"/>
        <color theme="1"/>
        <sz val="10.0"/>
      </rPr>
      <t>)</t>
    </r>
  </si>
  <si>
    <r>
      <rPr>
        <rFont val="Microsoft JhengHei"/>
        <color theme="1"/>
        <sz val="10.0"/>
      </rPr>
      <t xml:space="preserve">*最後以其計分方式，即 Best 5 作挑選，得出︰7 + 6 + 6 + 6 + 5.25 = </t>
    </r>
    <r>
      <rPr>
        <rFont val="微軟正黑體"/>
        <b/>
        <color theme="1"/>
        <sz val="10.0"/>
      </rPr>
      <t>30.25</t>
    </r>
  </si>
  <si>
    <t>*為了公平比較往年數據，新學年修改了計分方式 或 比重的學科 (如 JS4254、JS4812) 在此處將繼續以往年方式 或 比重估算，請注意。</t>
  </si>
  <si>
    <t>https://www.cuhk.edu.hk/adm/jupas/admission_grades_2020.pdf</t>
  </si>
  <si>
    <t>https://www.cuhk.edu.hk/adm/jupas/useful-information-2021.pdf</t>
  </si>
  <si>
    <t>https://www.cuhk.edu.hk/adm/jupas/arrangement-for-more-than-one-sitting-2021.pdf</t>
  </si>
  <si>
    <t>https://www.cuhk.edu.hk/adm/jupas/projected-enrolment-2021.pdf</t>
  </si>
  <si>
    <t>IRE</t>
  </si>
  <si>
    <t>SSCI-A</t>
  </si>
  <si>
    <t>424*</t>
  </si>
  <si>
    <t>SSCI-B</t>
  </si>
  <si>
    <t>SSCI-A (AI)</t>
  </si>
  <si>
    <t>ENGG</t>
  </si>
  <si>
    <t>ISDN</t>
  </si>
  <si>
    <t>ENGG+AI</t>
  </si>
  <si>
    <t>B&amp;M</t>
  </si>
  <si>
    <t>ECON</t>
  </si>
  <si>
    <t>FINA</t>
  </si>
  <si>
    <t>GBUS</t>
  </si>
  <si>
    <t>125*</t>
  </si>
  <si>
    <t>MGMT</t>
  </si>
  <si>
    <t>MARK</t>
  </si>
  <si>
    <t>OM</t>
  </si>
  <si>
    <t>ACCT</t>
  </si>
  <si>
    <t>ECOF</t>
  </si>
  <si>
    <t>QFIN</t>
  </si>
  <si>
    <t>人文社會科學學院</t>
  </si>
  <si>
    <t>GCS</t>
  </si>
  <si>
    <t>QSA</t>
  </si>
  <si>
    <t>跨學科課程</t>
  </si>
  <si>
    <t>BIBU</t>
  </si>
  <si>
    <t>EVMT</t>
  </si>
  <si>
    <t>MAEC</t>
  </si>
  <si>
    <t>RMBI</t>
  </si>
  <si>
    <t>T&amp;M-DDP</t>
  </si>
  <si>
    <r>
      <rPr>
        <rFont val="微軟正黑體"/>
        <b val="0"/>
        <color theme="1"/>
        <sz val="10.0"/>
      </rPr>
      <t>*科大公佈的分數為</t>
    </r>
    <r>
      <rPr>
        <rFont val="微軟正黑體"/>
        <b/>
        <color theme="1"/>
        <sz val="12.0"/>
      </rPr>
      <t>已計比重的分數</t>
    </r>
    <r>
      <rPr>
        <rFont val="微軟正黑體"/>
        <b val="0"/>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</si>
  <si>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</si>
  <si>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由於科大每年均會直接公佈加權後分數 (即已計算比重)，故此處直接引用科大數字，未有作任何估算。</t>
  </si>
  <si>
    <t>https://join.ust.hk/admissions/jupas</t>
  </si>
  <si>
    <t>https://join.ust.hk/admissions/jupas#jupas-interview</t>
  </si>
  <si>
    <t>https://www.jupas.edu.hk/f/page/3667/af_2020_JUPAS.pdf</t>
  </si>
  <si>
    <t>BA(AS)</t>
  </si>
  <si>
    <t xml:space="preserve">	BSC(SURV)</t>
  </si>
  <si>
    <t xml:space="preserve">	BA(LS)</t>
  </si>
  <si>
    <t xml:space="preserve">	BA(US)</t>
  </si>
  <si>
    <t xml:space="preserve">	BA</t>
  </si>
  <si>
    <t xml:space="preserve">	BEcon/BEcon&amp;Fin</t>
  </si>
  <si>
    <t>282*</t>
  </si>
  <si>
    <t xml:space="preserve">	BBA/BBA(Acc&amp;Fin)</t>
  </si>
  <si>
    <t xml:space="preserve">	BFin(AMPB)</t>
  </si>
  <si>
    <t xml:space="preserve">	BBA(IS)</t>
  </si>
  <si>
    <t xml:space="preserve">	BBA(Law)&amp;LLB</t>
  </si>
  <si>
    <t xml:space="preserve">	BSc(QFin)</t>
  </si>
  <si>
    <t>BBA(IBGM)</t>
  </si>
  <si>
    <t>BDS</t>
  </si>
  <si>
    <t>BA&amp;BED(LangEd)-Eng</t>
  </si>
  <si>
    <t xml:space="preserve">	BA&amp;BED(LangEd)-Chin</t>
  </si>
  <si>
    <t xml:space="preserve">	BED(ECE&amp;SE)</t>
  </si>
  <si>
    <t xml:space="preserve">	BED&amp;BSC</t>
  </si>
  <si>
    <t xml:space="preserve">	BSC(SPEECH)</t>
  </si>
  <si>
    <t>BED&amp;BSS</t>
  </si>
  <si>
    <t xml:space="preserve">	BENG(BME)</t>
  </si>
  <si>
    <t>GEBP</t>
  </si>
  <si>
    <t xml:space="preserve">	BENG(EngSc)</t>
  </si>
  <si>
    <t xml:space="preserve">	BENG</t>
  </si>
  <si>
    <t xml:space="preserve">	BA&amp;LLB</t>
  </si>
  <si>
    <t>護理學學士菁英領袖培育專修組別</t>
  </si>
  <si>
    <t>BNURS-ALT</t>
  </si>
  <si>
    <t>未公佈</t>
  </si>
  <si>
    <t xml:space="preserve">	MBBS</t>
  </si>
  <si>
    <t xml:space="preserve">	BNURS</t>
  </si>
  <si>
    <t>BChinMed</t>
  </si>
  <si>
    <t>Bpharm</t>
  </si>
  <si>
    <t xml:space="preserve">	BBiomedSc</t>
  </si>
  <si>
    <t>SMC</t>
  </si>
  <si>
    <t xml:space="preserve">	BSC(AC)</t>
  </si>
  <si>
    <t xml:space="preserve">	BSC</t>
  </si>
  <si>
    <t xml:space="preserve">	BSS</t>
  </si>
  <si>
    <t xml:space="preserve">	BSS(GL)&amp;LLB</t>
  </si>
  <si>
    <t xml:space="preserve">	BJ</t>
  </si>
  <si>
    <t xml:space="preserve">	BASc</t>
  </si>
  <si>
    <t>BASc(AppliedAI)</t>
  </si>
  <si>
    <t xml:space="preserve">	BASc(Design+)</t>
  </si>
  <si>
    <t xml:space="preserve">	BASc(FinTech)</t>
  </si>
  <si>
    <t xml:space="preserve">	BASc(GHD)</t>
  </si>
  <si>
    <r>
      <rPr>
        <rFont val="Microsoft JhengHei"/>
        <color theme="1"/>
        <sz val="10.0"/>
      </rPr>
      <t>*港大公佈的分數為</t>
    </r>
    <r>
      <rPr>
        <rFont val="微軟正黑體"/>
        <b/>
        <color theme="1"/>
        <sz val="12.0"/>
      </rPr>
      <t>已計加分制及比重的分數</t>
    </r>
    <r>
      <rPr>
        <rFont val="微軟正黑體"/>
        <color theme="1"/>
        <sz val="10.0"/>
      </rPr>
      <t>，只供參考。</t>
    </r>
  </si>
  <si>
    <t>*港大自2019/20年度起推出「加分制」，考獲5級或以上學科將獲額外加分。( Lv.5 -&gt; 5.5 | Lv.5* -&gt; 7 | Lv. 5** -&gt;8.5)</t>
  </si>
  <si>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</si>
  <si>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*Subjects that will be given heavier weightings range from 1.1 to 2.</t>
  </si>
  <si>
    <t>*面試須知:</t>
  </si>
  <si>
    <t>Note 1: In view of the large number of applicants, preference for interview invitation will be given to candidates who place the programme as their Band-A choice.</t>
  </si>
  <si>
    <t>Note 2: If the programme has scheduled two interview sessions, candidates are normally required to attend one interview session only.</t>
  </si>
  <si>
    <t>由於港大今年直接公佈加權後分數 (即已計算比重)，故此處直接引用港大數字，未有作任何估算。</t>
  </si>
  <si>
    <t>*然而，港大提供的新資料文件中或有少許錯漏，此處將列出其問題 及 處理。</t>
  </si>
  <si>
    <t>JS6004:</t>
  </si>
  <si>
    <t>在舊文件中，此科 中位數及下四分位數 分別為 34 及 32，但新文件中為 35 及 33。由於此科未有比重，故推論為人為錯誤。</t>
  </si>
  <si>
    <t>保守起見，計算器會採用更高之分數，即 35 及 33。</t>
  </si>
  <si>
    <t>JS6236:</t>
  </si>
  <si>
    <t>在舊文件中，此科 3個分數 分別為 39、 34 及 32，但在新文件中只有列出 中位數，並顯示為 41。</t>
  </si>
  <si>
    <t>由於該科於2020年的耶錄人數只有2位，故應為舊文件出錯，此處會採用 41 為 參考分數。</t>
  </si>
  <si>
    <t>https://aal.hku.hk/admissions/local/sites/default/files/2020%20Admissions%20Score.pdf</t>
  </si>
  <si>
    <t>https://admissions.hku.hk/sites/default/files/2021-07/HKU%20Programme%20Scoring%20Formula%20for%202021%20JUPAS%20Admissions.pdf</t>
  </si>
  <si>
    <t>https://aal.hku.hk/admissions/local/admissions-information?page=jupas-admissions-scheme</t>
  </si>
  <si>
    <t>https://aal.hku.hk/admissions/local/sites/default/files/2021%20Programme%20Admissions%20Information.pdf</t>
  </si>
  <si>
    <t>https://admissions.hku.hk/apply/jupas/interview</t>
  </si>
  <si>
    <t>JS7101</t>
  </si>
  <si>
    <t>BA (Hons) Chinese</t>
  </si>
  <si>
    <t>JS7123</t>
  </si>
  <si>
    <t>跨學院</t>
  </si>
  <si>
    <t>BA (Hons) GLA</t>
  </si>
  <si>
    <t>JS7200</t>
  </si>
  <si>
    <t>BBA (Hons)</t>
  </si>
  <si>
    <t>JS7204</t>
  </si>
  <si>
    <t>BA (Hons) Translation</t>
  </si>
  <si>
    <t>JS7216</t>
  </si>
  <si>
    <t>BBA (Hons) - RIM</t>
  </si>
  <si>
    <t>BSc (Hons) Data Science</t>
  </si>
  <si>
    <t>BSocSc (Hons)</t>
  </si>
  <si>
    <t>JS7503</t>
  </si>
  <si>
    <t>BA (Hons) Contem English</t>
  </si>
  <si>
    <t>BA (Hons) Cultural Stud</t>
  </si>
  <si>
    <t>JS7709</t>
  </si>
  <si>
    <t>BA (Hons) History</t>
  </si>
  <si>
    <t>JS7802</t>
  </si>
  <si>
    <t>BA (Hons) Philosophy</t>
  </si>
  <si>
    <t>JS7905</t>
  </si>
  <si>
    <t>BA (Hons) Visual Studies</t>
  </si>
  <si>
    <r>
      <rPr>
        <rFont val="Microsoft JhengHei"/>
        <color theme="1"/>
        <sz val="10.0"/>
      </rPr>
      <t>*嶺大公佈的分數為</t>
    </r>
    <r>
      <rPr>
        <rFont val="微軟正黑體"/>
        <b/>
        <color theme="1"/>
        <sz val="12.0"/>
      </rPr>
      <t>已乘比重的分數</t>
    </r>
    <r>
      <rPr>
        <rFont val="微軟正黑體"/>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</si>
  <si>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</si>
  <si>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由於嶺大每年均會直接公佈加權後分數 (即已計算比重)，故此處直接引用嶺大數字，未有作任何估算。</t>
  </si>
  <si>
    <t>https://www.ln.edu.hk/admissions/ug/jupas/admission-score/jupas-score-calculator</t>
  </si>
  <si>
    <t>https://www.ln.edu.hk/admissions/ug/jupas/admission-score/subject-weighting</t>
  </si>
  <si>
    <t>https://www.ln.edu.hk/admissions/ug/f/page/39/1433/2020-admissionscores.pdf</t>
  </si>
  <si>
    <t>https://www.ln.edu.hk/admissions/ug/jupas/interview-arrangement</t>
  </si>
  <si>
    <t>差距(Mean)</t>
  </si>
  <si>
    <t>JS8105</t>
  </si>
  <si>
    <t>BEd(CHI)</t>
  </si>
  <si>
    <t>JS8222</t>
  </si>
  <si>
    <t>BEd(ENG)-Pri</t>
  </si>
  <si>
    <t>JS8234</t>
  </si>
  <si>
    <t>博文及社會科學學院</t>
  </si>
  <si>
    <t>BEd(P)-GS</t>
  </si>
  <si>
    <t>JS8246</t>
  </si>
  <si>
    <t>BEd(P)-MA</t>
  </si>
  <si>
    <t>JS8325</t>
  </si>
  <si>
    <t>BEd(PE)</t>
  </si>
  <si>
    <t>JS8361</t>
  </si>
  <si>
    <t>BEd(S)-ICT</t>
  </si>
  <si>
    <t>JS8371</t>
  </si>
  <si>
    <t>BEd(BAFS)</t>
  </si>
  <si>
    <t>JS8391</t>
  </si>
  <si>
    <t>BEd(S)-MA</t>
  </si>
  <si>
    <t>JS8404</t>
  </si>
  <si>
    <t>教育及人類發展學院</t>
  </si>
  <si>
    <t>BEd(ECE)</t>
  </si>
  <si>
    <t>BEd(CHI HIST)</t>
  </si>
  <si>
    <t>JS8428</t>
  </si>
  <si>
    <t>BEd(GEOG)</t>
  </si>
  <si>
    <t>JS8430</t>
  </si>
  <si>
    <t>BEd(Science)</t>
  </si>
  <si>
    <t>JS8600</t>
  </si>
  <si>
    <t>HD(ECE)</t>
  </si>
  <si>
    <t>JS8612</t>
  </si>
  <si>
    <t>BA(Lang Studies)-CN</t>
  </si>
  <si>
    <t>JS8624</t>
  </si>
  <si>
    <t>BA(Lang Studies)-EG</t>
  </si>
  <si>
    <t>JS8636</t>
  </si>
  <si>
    <t>BSocSc(GES)</t>
  </si>
  <si>
    <t>JS8648</t>
  </si>
  <si>
    <t>BA(CAC)-MU</t>
  </si>
  <si>
    <t>JS8651</t>
  </si>
  <si>
    <t>BA(CAC)-VA</t>
  </si>
  <si>
    <t>JS8663</t>
  </si>
  <si>
    <t>BSocSc(Psy)</t>
  </si>
  <si>
    <t>JS8801</t>
  </si>
  <si>
    <t>BA(SE)</t>
  </si>
  <si>
    <t>JS8813</t>
  </si>
  <si>
    <t>BA(CAC) &amp; BEd(MU)</t>
  </si>
  <si>
    <t>JS8825</t>
  </si>
  <si>
    <t>BA(CAC) &amp; BEd(VA)</t>
  </si>
  <si>
    <t>JS8507</t>
  </si>
  <si>
    <t>BA(Lang Studies)&amp;BEd(EL)</t>
  </si>
  <si>
    <r>
      <rPr>
        <rFont val="微軟正黑體"/>
        <b val="0"/>
        <color theme="1"/>
        <sz val="10.0"/>
      </rPr>
      <t>*教大公佈的分數為</t>
    </r>
    <r>
      <rPr>
        <rFont val="微軟正黑體"/>
        <b/>
        <color theme="1"/>
        <sz val="12.0"/>
      </rPr>
      <t>最佳5科平均分數</t>
    </r>
    <r>
      <rPr>
        <rFont val="微軟正黑體"/>
        <b val="0"/>
        <color theme="1"/>
        <sz val="10.0"/>
      </rPr>
      <t>，但</t>
    </r>
    <r>
      <rPr>
        <rFont val="微軟正黑體"/>
        <b/>
        <color theme="1"/>
        <sz val="12.0"/>
      </rPr>
      <t>未計比重</t>
    </r>
    <r>
      <rPr>
        <rFont val="微軟正黑體"/>
        <b val="0"/>
        <color theme="1"/>
        <sz val="10.0"/>
      </rPr>
      <t>的分數</t>
    </r>
    <r>
      <rPr>
        <rFont val="微軟正黑體"/>
        <b/>
        <color theme="1"/>
        <sz val="10.0"/>
      </rPr>
      <t>，</t>
    </r>
    <r>
      <rPr>
        <rFont val="微軟正黑體"/>
        <b val="0"/>
        <color theme="1"/>
        <sz val="10.0"/>
      </rPr>
      <t>以上分數</t>
    </r>
    <r>
      <rPr>
        <rFont val="微軟正黑體"/>
        <b/>
        <color theme="1"/>
        <sz val="12.0"/>
      </rPr>
      <t>不含比重</t>
    </r>
    <r>
      <rPr>
        <rFont val="微軟正黑體"/>
        <b/>
        <color theme="1"/>
        <sz val="10.0"/>
      </rPr>
      <t>，</t>
    </r>
    <r>
      <rPr>
        <rFont val="微軟正黑體"/>
        <b val="0"/>
        <color theme="1"/>
        <sz val="10.0"/>
      </rPr>
      <t>或會與</t>
    </r>
    <r>
      <rPr>
        <rFont val="微軟正黑體"/>
        <b/>
        <color theme="1"/>
        <sz val="12.0"/>
      </rPr>
      <t>真實收生分數有別</t>
    </r>
    <r>
      <rPr>
        <rFont val="微軟正黑體"/>
        <b val="0"/>
        <color theme="1"/>
        <sz val="10.0"/>
      </rPr>
      <t>，只供參考</t>
    </r>
    <r>
      <rPr>
        <rFont val="微軟正黑體"/>
        <b/>
        <color theme="1"/>
        <sz val="10.0"/>
      </rPr>
      <t>。</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</si>
  <si>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</si>
  <si>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由於教大每年只會直接公佈未有計算比重的平均分數，故此處無法為比重作任何估算，只能列出其科目供同學參考。</t>
  </si>
  <si>
    <t>https://www.eduhk.hk/degree/pdf/admission%20scores_2020.pdf</t>
  </si>
  <si>
    <t>https://www.eduhk.hk/degree/jupas.htm</t>
  </si>
  <si>
    <t>BSSc(Hons)Psychology</t>
  </si>
  <si>
    <t>BSSc(Hons)Poltics&amp;PubAdm</t>
  </si>
  <si>
    <t>BSSc(Hons) App Soc Stud</t>
  </si>
  <si>
    <t>BSSc(Hons) Glob &amp; China</t>
  </si>
  <si>
    <t>BSSc(Hons)Ageing&amp;Serv</t>
  </si>
  <si>
    <t>BSSc(Hons)Econ&amp;PubPolAna</t>
  </si>
  <si>
    <t>BSSc(Hons) Psy&amp;Mental H</t>
  </si>
  <si>
    <t>BA(Hons) Chinese</t>
  </si>
  <si>
    <t>BA(Hons) LangStud &amp; Tran</t>
  </si>
  <si>
    <t>BA(Hons)CreAd&amp;MediaDesig</t>
  </si>
  <si>
    <t>BA(Hons) EngLang&amp;Cult</t>
  </si>
  <si>
    <t>李兆基商業管理學院</t>
  </si>
  <si>
    <t>BBA(Hons) Pro Acct</t>
  </si>
  <si>
    <t>BBA(Hons) Acct &amp; Tax</t>
  </si>
  <si>
    <t>BBA(Hons) Business Mgt</t>
  </si>
  <si>
    <t>BBA(Hons)GB &amp; Mktg</t>
  </si>
  <si>
    <t>BBA(Hons)Corp Governance</t>
  </si>
  <si>
    <t>BBA(Hons) DigBus</t>
  </si>
  <si>
    <t>BBA(Hons) Fin &amp; Risk Mgt</t>
  </si>
  <si>
    <t>BBA(Hons) RealEst&amp;FacMgt</t>
  </si>
  <si>
    <t>BAPH &amp; BBMH</t>
  </si>
  <si>
    <t>BBA(Hons)Hotel &amp;SustTour</t>
  </si>
  <si>
    <t>BBA(Hons) eSports Mgt</t>
  </si>
  <si>
    <t>教育及語文學院</t>
  </si>
  <si>
    <t>BEd(Hons)&amp;BEngLang(Hons)</t>
  </si>
  <si>
    <t>BEng Lang (Hons)</t>
  </si>
  <si>
    <t>BLang(Hons) Applied Chin</t>
  </si>
  <si>
    <t>BEd(Hons)&amp;BLang(Hons)Chi</t>
  </si>
  <si>
    <t>放榜前/後</t>
  </si>
  <si>
    <t>BLang(Hons)BGBus(Hons)</t>
  </si>
  <si>
    <t>BEd(Hons)ECE-Leader&amp;SEN</t>
  </si>
  <si>
    <t>科技學院</t>
  </si>
  <si>
    <t>BSc(Hons) Comp Sci</t>
  </si>
  <si>
    <t>BSc(Hons) Cyber&amp;ComSecy</t>
  </si>
  <si>
    <t>BEng(Hons)Elec &amp; CompEng</t>
  </si>
  <si>
    <t>BENG(Hons)BSE&amp;SustainDev</t>
  </si>
  <si>
    <t>BENG(Hons) Civil&amp;EnvrEng</t>
  </si>
  <si>
    <t>BSc(Hons)EnvSci&amp;GreenMgt</t>
  </si>
  <si>
    <t>BSc(Hons) LifeSci</t>
  </si>
  <si>
    <r>
      <rPr>
        <rFont val="Microsoft JhengHei"/>
        <color theme="1"/>
        <sz val="10.0"/>
      </rPr>
      <t>*公大公佈的分數為</t>
    </r>
    <r>
      <rPr>
        <rFont val="微軟正黑體"/>
        <b/>
        <color theme="1"/>
        <sz val="12.0"/>
      </rPr>
      <t>已計比重的分數</t>
    </r>
    <r>
      <rPr>
        <rFont val="微軟正黑體"/>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</si>
  <si>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</si>
  <si>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由於公大每年均會直接公佈加權後分數 (即已計算比重)，故此處直接引用公大數字，未有作任何估算。</t>
  </si>
  <si>
    <t>http://www.ouhk.edu.hk/wcsprd/Satellite?pagename=OUHK/tcSingPage&amp;c=C_CFTS&amp;cid=1600653170751&amp;lang=eng&amp;mid=0</t>
  </si>
  <si>
    <t>http://www.ouhk.edu.hk/wcsprd/Satellite?pagename=OUHK/tcSubWeb&amp;l=C_CFTS&amp;lid=1385174509933&amp;c=C_CFTS&amp;cid=1385183300596&amp;lang=eng&amp;mid=0</t>
  </si>
  <si>
    <t>明愛專上學院</t>
  </si>
  <si>
    <t>BN (Hons)</t>
  </si>
  <si>
    <t>有</t>
  </si>
  <si>
    <t>BSDET (Hons)</t>
  </si>
  <si>
    <t>BSPT (Hons)</t>
  </si>
  <si>
    <t>BSAI (Hons)</t>
  </si>
  <si>
    <t>珠海學院</t>
  </si>
  <si>
    <t>B.Sc (Hons) in Arch</t>
  </si>
  <si>
    <t>B.Sc (Hons) in CS</t>
  </si>
  <si>
    <t>BA (Hons) in JCC</t>
  </si>
  <si>
    <t>恒生大學</t>
  </si>
  <si>
    <t>BBA-SCM</t>
  </si>
  <si>
    <t>BSC-AIN</t>
  </si>
  <si>
    <t>BA-AHCC</t>
  </si>
  <si>
    <t>BSC-DSBI</t>
  </si>
  <si>
    <t>BMSIM</t>
  </si>
  <si>
    <t>BA-AD</t>
  </si>
  <si>
    <t>東華學院</t>
  </si>
  <si>
    <t>BHSc(N)</t>
  </si>
  <si>
    <t>BSc(MLSc)</t>
  </si>
  <si>
    <t>BSc(RT)</t>
  </si>
  <si>
    <t>BSc(OT)</t>
  </si>
  <si>
    <t>BSc(PT)</t>
  </si>
  <si>
    <t>公開大學</t>
  </si>
  <si>
    <t>BA(Hons) CreWri&amp;FilmArts</t>
  </si>
  <si>
    <t>BFA (Hons) Animation VE</t>
  </si>
  <si>
    <t>BFA (Hons) IDDA</t>
  </si>
  <si>
    <t>BNursing (Hons) General</t>
  </si>
  <si>
    <t>BNursing (Hons) Mental</t>
  </si>
  <si>
    <t>BSc(Hons) Physiotherapy</t>
  </si>
  <si>
    <t>BEng (Hons) Test &amp; Cert</t>
  </si>
  <si>
    <t>BSc(Hons)Test Sci &amp; Cert</t>
  </si>
  <si>
    <t>BSc(Hons)FoodTestSci</t>
  </si>
  <si>
    <t>BSc(Hons) Data Sci &amp; AI</t>
  </si>
  <si>
    <t>BComp(Hons)Internet Tech</t>
  </si>
  <si>
    <t>B Intl Hospitality(Hons)</t>
  </si>
  <si>
    <t>B(Hons)Sports &amp; R Mgnt</t>
  </si>
  <si>
    <t>BBA (Hons) Fintech</t>
  </si>
  <si>
    <t>BBA (Hons) GM &amp; SC Mgt</t>
  </si>
  <si>
    <t>THEi</t>
  </si>
  <si>
    <t>BA(FD)</t>
  </si>
  <si>
    <t>或有</t>
  </si>
  <si>
    <t>BA(PD)</t>
  </si>
  <si>
    <t>BA(LA)</t>
  </si>
  <si>
    <t>BA(CAM)</t>
  </si>
  <si>
    <t>BEng(CE)</t>
  </si>
  <si>
    <t>BSc(HALM)</t>
  </si>
  <si>
    <t>BSc(SUR)</t>
  </si>
  <si>
    <t>BSocSc(SRM)</t>
  </si>
  <si>
    <t>BSc(MTI)</t>
  </si>
  <si>
    <t>BSc(ICT)</t>
  </si>
  <si>
    <t>伍倫貢學院</t>
  </si>
  <si>
    <t>BAvOM</t>
  </si>
  <si>
    <t>無資料</t>
  </si>
  <si>
    <t>樹仁大學</t>
  </si>
  <si>
    <t>BCom (Hons) FinTech</t>
  </si>
  <si>
    <r>
      <rPr>
        <rFont val="Microsoft JhengHei"/>
        <color theme="1"/>
        <sz val="10.0"/>
      </rPr>
      <t>*SSSDP公佈的分數包括</t>
    </r>
    <r>
      <rPr>
        <rFont val="微軟正黑體"/>
        <b/>
        <color theme="1"/>
        <sz val="12.0"/>
      </rPr>
      <t>已計比重的分數</t>
    </r>
    <r>
      <rPr>
        <rFont val="微軟正黑體"/>
        <b/>
        <color theme="1"/>
        <sz val="10.0"/>
      </rPr>
      <t>，</t>
    </r>
    <r>
      <rPr>
        <rFont val="微軟正黑體"/>
        <color theme="1"/>
        <sz val="10.0"/>
      </rPr>
      <t>以及</t>
    </r>
    <r>
      <rPr>
        <rFont val="微軟正黑體"/>
        <b/>
        <color theme="1"/>
        <sz val="12.0"/>
      </rPr>
      <t>平均分數</t>
    </r>
    <r>
      <rPr>
        <rFont val="微軟正黑體"/>
        <color theme="1"/>
        <sz val="10.0"/>
      </rPr>
      <t>，只供參考。</t>
    </r>
  </si>
  <si>
    <r>
      <rPr>
        <rFont val="Microsoft JhengHei"/>
        <color theme="1"/>
        <sz val="10.0"/>
      </rPr>
      <t>*每年分數計算方式或有更改，以上一律以</t>
    </r>
    <r>
      <rPr>
        <rFont val="微軟正黑體"/>
        <b/>
        <color theme="1"/>
        <sz val="10.0"/>
      </rPr>
      <t>2020方式</t>
    </r>
    <r>
      <rPr>
        <rFont val="微軟正黑體"/>
        <color theme="1"/>
        <sz val="10.0"/>
      </rPr>
      <t>計算，以便估計分數差距。</t>
    </r>
  </si>
  <si>
    <t>SSSDP 各院校公佈的參考分數各有不同，以下將詳細列出各院校的方式。</t>
  </si>
  <si>
    <t>明愛:</t>
  </si>
  <si>
    <t>公佈的為未有計算比重的平均分數，但無提及科目比重，故未有作出估算。</t>
  </si>
  <si>
    <t>珠海:</t>
  </si>
  <si>
    <t>公佈的為未有計算比重的 上四分位數 及 下四分位數 ，但無提及科目比重，故未有作出估算。</t>
  </si>
  <si>
    <t>恆大:</t>
  </si>
  <si>
    <t>公佈的未有計算比重的平均分數，故此處無法為比重作任何估算，只能列出其科目供同學參考。</t>
  </si>
  <si>
    <t>東華:</t>
  </si>
  <si>
    <t>公大:</t>
  </si>
  <si>
    <t>公佈的為加權後分數 (即已計算比重)，故此處直接引用公大數字，未有作任何估算。</t>
  </si>
  <si>
    <t>THEi:</t>
  </si>
  <si>
    <t>伍倫貢:</t>
  </si>
  <si>
    <t>並未有公佈任何數字。</t>
  </si>
  <si>
    <t>樹仁:</t>
  </si>
  <si>
    <t>課程:</t>
  </si>
  <si>
    <t>https://www.jupas.edu.hk/en/programme/sssdp/</t>
  </si>
  <si>
    <t>分數:</t>
  </si>
  <si>
    <t>https://www.jupas.edu.hk/f/page/3669/af_2020_SSSDP.pdf</t>
  </si>
  <si>
    <t>https://www.cihe.edu.hk/en/programmes/index.html</t>
  </si>
  <si>
    <t>https://www.chuhai.edu.hk/study-subsidy-scheme-designated-professions-sectors-sssdp-202021</t>
  </si>
  <si>
    <t>https://registry.hsu.edu.hk/prospective-students/undergraduate/programmes-offered/</t>
  </si>
  <si>
    <t>https://www.twc.edu.hk/en/Programme_cat</t>
  </si>
  <si>
    <t>https://www.thei.edu.hk/admissions/local-students-admission-for-year-1-entry/student-subsidy-scheme-for-designated-professions-sections/sssdp-for-academic-year-2021-22</t>
  </si>
  <si>
    <t>https://www.uowchk.edu.hk/study-at-uowchk/find-programmes/programmes-by-entry-level/bachelor-degrees/</t>
  </si>
  <si>
    <t>https://ef.hksyu.edu/Programmes/BCom-in-FinTech</t>
  </si>
  <si>
    <t>UGC-funded</t>
  </si>
  <si>
    <t>BSc Computational Finance and Financial Technology</t>
  </si>
  <si>
    <t>BBA Global Business</t>
  </si>
  <si>
    <t>BBA Accountancy</t>
  </si>
  <si>
    <t>BBA Management</t>
  </si>
  <si>
    <t>BBA Marketing</t>
  </si>
  <si>
    <t>Department of Economics and Finance (options: BBA Business Economics, BBA Finance)UPDATED</t>
  </si>
  <si>
    <t>BBA Business EconomicsUPDATED</t>
  </si>
  <si>
    <t>BBA FinanceUPDATED</t>
  </si>
  <si>
    <t>Department of Information Systems (options: BBA Global Business Systems Management, BBA Information Management)UPDATED</t>
  </si>
  <si>
    <t>BBA Global Business Systems ManagementUPDATED</t>
  </si>
  <si>
    <t>BBA Information ManagementUPDATED</t>
  </si>
  <si>
    <t>Department of Management Sciences (options: BBA Business Analysis, BBA Business Operations Management)UPDATED</t>
  </si>
  <si>
    <t>BBA Business AnalysisUPDATED</t>
  </si>
  <si>
    <t>BBA Business Operations ManagementUPDATED</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</si>
  <si>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</si>
  <si>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</si>
  <si>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</si>
  <si>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</si>
  <si>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</si>
  <si>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</si>
  <si>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School of Data Science (options: BSc Data Science, BEng Data and Systems Engineering)</t>
  </si>
  <si>
    <t>BSc Data Science</t>
  </si>
  <si>
    <t>BEng Data and Systems Engineering</t>
  </si>
  <si>
    <t>Division of Building Science and Technology (options: ASc Building Services Engineering, ASc Construction Engineering and Management, ASc Surveying)</t>
  </si>
  <si>
    <t>ASc Architectural Studies</t>
  </si>
  <si>
    <t>BSocSc Asian and International Studies</t>
  </si>
  <si>
    <t>BA Chinese and History</t>
  </si>
  <si>
    <t>BA English</t>
  </si>
  <si>
    <t>Department of Linguistics and Translation (options: BA Linguistics and Language Applications, BA Translation and Interpretation)</t>
  </si>
  <si>
    <t>Department of Media and Communication (options: BA Digital Television and Broadcasting, BA Media and Communication)</t>
  </si>
  <si>
    <t>BSocSc Public Policy and Politics</t>
  </si>
  <si>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</si>
  <si>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</si>
  <si>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</si>
  <si>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</si>
  <si>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</si>
  <si>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Department of Architecture and Civil Engineering (options: BEng Architectural Engineering, BEng Civil Engineering, BSc Surveying)</t>
  </si>
  <si>
    <t>BSc Chemistry</t>
  </si>
  <si>
    <t>BSc Computer Science</t>
  </si>
  <si>
    <t>Department of Electrical Engineering (options:BEng Computer&amp;Data Engineering, BEng Electronic&amp;Electrical Engineering, BEng Information Engineering)</t>
  </si>
  <si>
    <t>BSc Computing Mathematics</t>
  </si>
  <si>
    <t>Department of Mechanical Engineering (options: BEng Mechanical Engineering,BEng Nuclear &amp; Risk Engineering)</t>
  </si>
  <si>
    <t>BSc Physics</t>
  </si>
  <si>
    <t>BEng Materials Science and Engineering</t>
  </si>
  <si>
    <t>BEng Biomedical Engineering</t>
  </si>
  <si>
    <t>Bachelor of Veterinary Medicine</t>
  </si>
  <si>
    <t>Department of Biomedical Sciences (options: BSc Biological Sciences, BSc Biomedical Sciences)</t>
  </si>
  <si>
    <t>BSc Biological Sciences</t>
  </si>
  <si>
    <t>BSc Biomedical Sciences</t>
  </si>
  <si>
    <t>Bachelor of Arts</t>
  </si>
  <si>
    <t>Bachelor of Arts in Chinese Language and Literature</t>
  </si>
  <si>
    <t>Bachelor of Arts in Creative and Professional Writing</t>
  </si>
  <si>
    <t>Bachelor of Arts in English Language and Literature</t>
  </si>
  <si>
    <t>Bachelor of Arts in Humanities</t>
  </si>
  <si>
    <t>Bachelor of Arts in Religion, Philosophy and Ethics</t>
  </si>
  <si>
    <t>Bachelor of Arts in Translation</t>
  </si>
  <si>
    <t>Bachelor of Arts in MusicUPDATED</t>
  </si>
  <si>
    <t>English Language &amp; Literature and English Language Teaching (Double Degree)</t>
  </si>
  <si>
    <t>Bachelor of Music in Creative Industries</t>
  </si>
  <si>
    <t>Bachelor of Business Administration - Accounting Concentration</t>
  </si>
  <si>
    <t>Bachelor of Business Administration</t>
  </si>
  <si>
    <t>Bachelor of Communication in Film (Animation and Media Arts Concentration)</t>
  </si>
  <si>
    <t>Bachelor of Communication in Film (Film and Television Concentration)</t>
  </si>
  <si>
    <t>Bachelor of Fine Arts in Acting for Global ScreenUPDATED</t>
  </si>
  <si>
    <t>Bachelor of Communication in Journalism and Digital MediaUPDATED</t>
  </si>
  <si>
    <t>Bachelor of Communication in Public Relations and Advertising</t>
  </si>
  <si>
    <t>Bachelor of Chinese Medicine and Bachelor of Science in Biomedical Science</t>
  </si>
  <si>
    <t>Bachelor of Pharmacy in Chinese Medicine</t>
  </si>
  <si>
    <t>Bachelor of Science</t>
  </si>
  <si>
    <t>Bachelor of Arts/ Bachelor of Social Sciences (Geography/ Government &amp; International Studies/ History/ Sociology)</t>
  </si>
  <si>
    <t>Bachelor of Arts in Physical Education and Recreation Management</t>
  </si>
  <si>
    <t>Bachelor of Social Sciences in European Studies - French Stream</t>
  </si>
  <si>
    <t>Bachelor of Social Sciences in European Studies - German Stream</t>
  </si>
  <si>
    <t>Bachelor of Social WorkUPDATED</t>
  </si>
  <si>
    <t>Bachelor of Social Sciences in Global and China Studies</t>
  </si>
  <si>
    <t>Geography/ History/ Sociology and Personal, Social and Humanities Education Teaching (Double Degree)</t>
  </si>
  <si>
    <t>Bachelor of Arts in Visual Arts</t>
  </si>
  <si>
    <t>Bachelor of Science in Business Computing and Data Analytics</t>
  </si>
  <si>
    <t>HD in Applied Physics</t>
  </si>
  <si>
    <t>HD BLDG SERV ENGG</t>
  </si>
  <si>
    <t>HD in Building Services Engineering</t>
  </si>
  <si>
    <t>HD BLDG TECH &amp; MGT(ENGG)</t>
  </si>
  <si>
    <t>HD in Building Technology &amp; Management (Engineering)</t>
  </si>
  <si>
    <t>HD CHEM TECH</t>
  </si>
  <si>
    <t>HD in Chemical Technology</t>
  </si>
  <si>
    <t>HD CIVIL ENGG</t>
  </si>
  <si>
    <t>HD in Civil Engineering</t>
  </si>
  <si>
    <t>HD ELECTRICAL ENGG</t>
  </si>
  <si>
    <t>HD in Electrical Engineering</t>
  </si>
  <si>
    <t>HD ELECTRONIC INFO ENGG</t>
  </si>
  <si>
    <t>HD in Electronic &amp; Information Engineering</t>
  </si>
  <si>
    <t>HD LAND SUR &amp; GEO-INFO</t>
  </si>
  <si>
    <t>HD in Land Surveying and Geo-Informatics</t>
  </si>
  <si>
    <t>HD INDUSTRIAL &amp; SYS ENGG</t>
  </si>
  <si>
    <t>HD in Industrial &amp; Systems Engineering</t>
  </si>
  <si>
    <t>BSc (Hons) in Mental Health Nursing</t>
  </si>
  <si>
    <t>FOOD SAFE TECH</t>
  </si>
  <si>
    <t>BSc (Hons) in Food Safety and Technology</t>
  </si>
  <si>
    <t>TRANS SYS ENGG</t>
  </si>
  <si>
    <t>BEng (Hons) in Transportation Systems Engineering</t>
  </si>
  <si>
    <t>ENV &amp; SUSTAIN DEVELOP</t>
  </si>
  <si>
    <t>BEng (Hons) in Environmental Engineering &amp; Sustainable DevelopmentUPDATED</t>
  </si>
  <si>
    <t>BSc (Hons) in Land Surveying and Geo-InformaticsUPDATED</t>
  </si>
  <si>
    <t>PROPERTY MGT</t>
  </si>
  <si>
    <t>BSc (Hons) in Property Management</t>
  </si>
  <si>
    <t>ACCT &amp; FINANCE</t>
  </si>
  <si>
    <t>BBA (Hons) in Accounting &amp; Finance</t>
  </si>
  <si>
    <t>MED LAB SCI</t>
  </si>
  <si>
    <t>BSc (Hons) in Medical Laboratory Science</t>
  </si>
  <si>
    <t>FASHION &amp; TEXTILES</t>
  </si>
  <si>
    <t>BA (Hons) Scheme in Fashion and Textiles</t>
  </si>
  <si>
    <t>AVIATION ENGG</t>
  </si>
  <si>
    <t>BEng (Hons) in Aviation Engineering</t>
  </si>
  <si>
    <t>INT &amp; MULTI MEDIA TECH</t>
  </si>
  <si>
    <t>BSc (Hons) in Internet &amp; Multimedia Technologies</t>
  </si>
  <si>
    <t>PROD &amp; INDUSTRIAL ENGG</t>
  </si>
  <si>
    <t>BEng (Hons) Scheme in Product and Industrial Engineering</t>
  </si>
  <si>
    <t>DESIGN</t>
  </si>
  <si>
    <t>BA (Hons) Scheme in DesignUPDATED</t>
  </si>
  <si>
    <t>LOG &amp; ENTERPRISE ENGG</t>
  </si>
  <si>
    <t>BSc (Hons) Scheme in Logistics and Enterprise Engineering</t>
  </si>
  <si>
    <t>MGT</t>
  </si>
  <si>
    <t>BBA (Hons) in Management</t>
  </si>
  <si>
    <t>BBA (Hons) in Financial Services</t>
  </si>
  <si>
    <t>BIOMEDICAL ENGG</t>
  </si>
  <si>
    <t>BSc (Hons) in Biomedical Engineering</t>
  </si>
  <si>
    <t>RADIOGRAPHY</t>
  </si>
  <si>
    <t>BSc (Hons) in Radiography</t>
  </si>
  <si>
    <t>OCCUPATIONAL THERAPY</t>
  </si>
  <si>
    <t>BSc (Hons) in Occupational Therapy</t>
  </si>
  <si>
    <t>PHYSIOTHERAPY</t>
  </si>
  <si>
    <t>BSc (Hons) in Physiotherapy</t>
  </si>
  <si>
    <t>NURSING</t>
  </si>
  <si>
    <t>BSc (Hons) in Nursing</t>
  </si>
  <si>
    <t>OPTOMETRY</t>
  </si>
  <si>
    <t>BSc (Hons) in Optometry</t>
  </si>
  <si>
    <t>SOCIAL WORK</t>
  </si>
  <si>
    <t>BA (Hons) in Social Work</t>
  </si>
  <si>
    <t>INT'L SHIP &amp; TRANS LGT</t>
  </si>
  <si>
    <t>BBA (Hons) in International Shipping &amp; Transport Logistics</t>
  </si>
  <si>
    <t>ELECTRONIC &amp; INFO ENGG</t>
  </si>
  <si>
    <t>BEng (Hons) in Electronic &amp; Information Engineering</t>
  </si>
  <si>
    <t>ELECTRICAL ENGG</t>
  </si>
  <si>
    <t>BEng (Hons) in Electrical Engineering</t>
  </si>
  <si>
    <t>CIVIL ENGG</t>
  </si>
  <si>
    <t>BEng (Hons) in Civil Engineering</t>
  </si>
  <si>
    <t>MECHANICAL ENGG</t>
  </si>
  <si>
    <t>BEng (Hons) Scheme in Mechanical Engineering</t>
  </si>
  <si>
    <t>BLDG SERV ENGG</t>
  </si>
  <si>
    <t>BEng (Hons) in Building Services Engineering</t>
  </si>
  <si>
    <t>SOC POLICY &amp; SOC ENTREPR</t>
  </si>
  <si>
    <t>BA (Hons) in Social Policy &amp; Social Entrepreneurship</t>
  </si>
  <si>
    <t>BEng (Hons) in Structural and Fire Safety Engineering</t>
  </si>
  <si>
    <t>SURVEYING</t>
  </si>
  <si>
    <t>BSc (Hons) in Surveying</t>
  </si>
  <si>
    <t>BSc (Hons) in Building Engineering and Management</t>
  </si>
  <si>
    <t>BSc (Hons) in Investment Science and Finance Analytics</t>
  </si>
  <si>
    <t>LINGUISTICS &amp; TRANSLAT</t>
  </si>
  <si>
    <t>BA (Hons) in Linguistics and Translation</t>
  </si>
  <si>
    <t>TOUR &amp; EVENTS MGT</t>
  </si>
  <si>
    <t>BSc (Hons) in Tourism &amp; Events Management</t>
  </si>
  <si>
    <t>ENGL &amp; APP LINGUISTICS</t>
  </si>
  <si>
    <t>BA (Hons) in English and Applied Linguistics</t>
  </si>
  <si>
    <t>BBA (Hons) in Supply Chain Management and Analytics</t>
  </si>
  <si>
    <t>COMPUTING</t>
  </si>
  <si>
    <t>BSc (Hons) Scheme in Computing</t>
  </si>
  <si>
    <t>HOTEL MGT</t>
  </si>
  <si>
    <t>BSc (Hons) in Hotel Management</t>
  </si>
  <si>
    <t>MARKETING</t>
  </si>
  <si>
    <t>BBA (Hons) in Marketing</t>
  </si>
  <si>
    <t>ACCOUNTANCY</t>
  </si>
  <si>
    <t>BBA (Hons) in Accountancy</t>
  </si>
  <si>
    <t>APP BIO</t>
  </si>
  <si>
    <t>BSc (Hons) in Applied Biology with Biotechnology</t>
  </si>
  <si>
    <t>ENGG PHY</t>
  </si>
  <si>
    <t>BSc (Hons) in Engineering Physics</t>
  </si>
  <si>
    <t>CHEM TECH</t>
  </si>
  <si>
    <t>BSc (Hons) in Chemical Technology</t>
  </si>
  <si>
    <t>Anthropology</t>
  </si>
  <si>
    <t>CHI LANG &amp; LIT</t>
  </si>
  <si>
    <t>Chinese Language and Literature</t>
  </si>
  <si>
    <t>CULTURAL STUDIES</t>
  </si>
  <si>
    <t>Cultural Studies</t>
  </si>
  <si>
    <t>CULTURAL MANAGEMENT</t>
  </si>
  <si>
    <t>Cultural Management</t>
  </si>
  <si>
    <t>ENGLISH</t>
  </si>
  <si>
    <t>English</t>
  </si>
  <si>
    <t>Fine Arts</t>
  </si>
  <si>
    <t>History</t>
  </si>
  <si>
    <t>Japanese Studies</t>
  </si>
  <si>
    <t>LINGUISTICS</t>
  </si>
  <si>
    <t>Linguistics</t>
  </si>
  <si>
    <t>MUSIC</t>
  </si>
  <si>
    <t>Music</t>
  </si>
  <si>
    <t>PHILOSOPHY</t>
  </si>
  <si>
    <t>Philosophy</t>
  </si>
  <si>
    <t>RELIGION</t>
  </si>
  <si>
    <t>Religious Studies</t>
  </si>
  <si>
    <t>Theology</t>
  </si>
  <si>
    <t>Translation</t>
  </si>
  <si>
    <t>CHINESE STUDIES</t>
  </si>
  <si>
    <t>Chinese Studies</t>
  </si>
  <si>
    <t>INTEGRATED BBA</t>
  </si>
  <si>
    <t>Integrated Bachelor of Business Administration Programme</t>
  </si>
  <si>
    <t>Global Business Studies</t>
  </si>
  <si>
    <t>Hospitality and Real Estate</t>
  </si>
  <si>
    <t>IFAA</t>
  </si>
  <si>
    <t>Insurance, Financial and Actuarial Analysis</t>
  </si>
  <si>
    <t>PROF ACCOUNTANCY</t>
  </si>
  <si>
    <t>Professional Accountancy</t>
  </si>
  <si>
    <t>Quantitative Finance</t>
  </si>
  <si>
    <t>Interdisciplinary Major Programme in Global Economics and Finance</t>
  </si>
  <si>
    <t>BBA-JD</t>
  </si>
  <si>
    <t>Bachelor of Business Administration (Integrated BBA Programme) and Juris Doctor Double Degree Programme</t>
  </si>
  <si>
    <t>工商管理學士（工商管理學士綜合課程）及法律博士雙學位課程</t>
  </si>
  <si>
    <t>QFRM</t>
  </si>
  <si>
    <t>Quantitative Finance and Risk Management Science</t>
  </si>
  <si>
    <t>PHY ED, EX SCI &amp; HEALTH</t>
  </si>
  <si>
    <t>Physical Education, Exercise Science and Health</t>
  </si>
  <si>
    <t>BA (CHI) BEd (CHI EDU)</t>
  </si>
  <si>
    <t>B.A. (Chinese Language Studies) and B.Ed. (Chinese Language Education)</t>
  </si>
  <si>
    <t>文學士 (中國語文研究) 及教育學士 (中國語文教育)</t>
  </si>
  <si>
    <t>BA (ENG) BEd (ENG EDU)</t>
  </si>
  <si>
    <t>B.A. (English Studies) and B.Ed. (English Language Education)</t>
  </si>
  <si>
    <t>B.Ed. in Mathematics and Mathematics Education</t>
  </si>
  <si>
    <t>BEd (ECE)</t>
  </si>
  <si>
    <t>B.Ed. in Early Childhood Education</t>
  </si>
  <si>
    <t>ENGINEERING</t>
  </si>
  <si>
    <t>Engineering</t>
  </si>
  <si>
    <t>BENG FINTECH</t>
  </si>
  <si>
    <t>BEng in Financial Technology</t>
  </si>
  <si>
    <t>BEng in Electronic Engineering</t>
  </si>
  <si>
    <t>BMEG</t>
  </si>
  <si>
    <t>BEng in Biomedical Engineering</t>
  </si>
  <si>
    <t>BEng in Energy and Environmental Engineering</t>
  </si>
  <si>
    <t>AIST</t>
  </si>
  <si>
    <t>BEng in Artificial Intelligence: Systems and Technologies</t>
  </si>
  <si>
    <t>人工智能：系統與科技</t>
  </si>
  <si>
    <t>Medicine (MBChB) Programme</t>
  </si>
  <si>
    <t>Medicine (MBChB) Programme Global Physician-Leadership Stream (GPS)</t>
  </si>
  <si>
    <t>Nursing</t>
  </si>
  <si>
    <t>Pharmacy</t>
  </si>
  <si>
    <t>PUBLIC HEALTH</t>
  </si>
  <si>
    <t>Public Health</t>
  </si>
  <si>
    <t>Chinese Medicine</t>
  </si>
  <si>
    <t>BIOMEDICAL SCIENCES</t>
  </si>
  <si>
    <t>Biomedical Sciences</t>
  </si>
  <si>
    <t>SCIENCE</t>
  </si>
  <si>
    <t>Science</t>
  </si>
  <si>
    <t>ESSC (AS / GEO)</t>
  </si>
  <si>
    <t>Earth System Science (Atmospheric Science / Geophysics)</t>
  </si>
  <si>
    <t>ENRICHMENT MATHEMATICS</t>
  </si>
  <si>
    <t>Enrichment Mathematics</t>
  </si>
  <si>
    <t>THEORETICAL PHYSICS</t>
  </si>
  <si>
    <t>Enrichment Stream in Theoretical Physics</t>
  </si>
  <si>
    <t>RISK MGT SCI</t>
  </si>
  <si>
    <t>Risk Management Science</t>
  </si>
  <si>
    <t>Social Science</t>
  </si>
  <si>
    <t>ARCHITECTURE</t>
  </si>
  <si>
    <t>Architectural Studies</t>
  </si>
  <si>
    <t>ECONOMICS</t>
  </si>
  <si>
    <t>EconomicsUPDATED</t>
  </si>
  <si>
    <t>Geography and Resource Management</t>
  </si>
  <si>
    <t>URBAN STUDIES</t>
  </si>
  <si>
    <t>Urban Studies</t>
  </si>
  <si>
    <t>GOV'T &amp; PUBLIC ADMIN</t>
  </si>
  <si>
    <t>Government and Public Administration</t>
  </si>
  <si>
    <t>Journalism and Communication</t>
  </si>
  <si>
    <t>GLOBAL COMM</t>
  </si>
  <si>
    <t>Global CommunicationUPDATED</t>
  </si>
  <si>
    <t>Psychology</t>
  </si>
  <si>
    <t>Social Work</t>
  </si>
  <si>
    <t>社會工作</t>
  </si>
  <si>
    <t>SOCIOLOGY</t>
  </si>
  <si>
    <t>Sociology</t>
  </si>
  <si>
    <t>Global Studies</t>
  </si>
  <si>
    <t>DSPS</t>
  </si>
  <si>
    <t>Data Science and Policy Studies</t>
  </si>
  <si>
    <t>HKUST</t>
  </si>
  <si>
    <t>International Research Enrichment</t>
  </si>
  <si>
    <t>Science (Group A)UPDATED</t>
  </si>
  <si>
    <t>Science (Group B)UPDATED</t>
  </si>
  <si>
    <t>Science (Group A) with an Extended Major in Artificial IntelligenceNEW</t>
  </si>
  <si>
    <t>EngineeringUPDATED</t>
  </si>
  <si>
    <t>BSc in Integrative Systems and DesignUPDATED</t>
  </si>
  <si>
    <t>Engineering with an Extended Major in Artificial IntelligenceNEW</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</si>
  <si>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</si>
  <si>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</si>
  <si>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</si>
  <si>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</si>
  <si>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</si>
  <si>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</si>
  <si>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</si>
  <si>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</si>
  <si>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</si>
  <si>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</si>
  <si>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</si>
  <si>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</si>
  <si>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</si>
  <si>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</si>
  <si>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</si>
  <si>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Mathematics and EconomicsUPDATED</t>
  </si>
  <si>
    <t>BSc in Risk Management and Business Intelligence</t>
  </si>
  <si>
    <t>BEng/BSc &amp; BBA Dual Degree Program in Technology &amp; Management</t>
  </si>
  <si>
    <t>Bachelor of Arts in Architectural Studies</t>
  </si>
  <si>
    <t>BSC(SURV)</t>
  </si>
  <si>
    <t>Bachelor of Science in Surveying</t>
  </si>
  <si>
    <t>BA(LS)</t>
  </si>
  <si>
    <t>Bachelor of Arts in Landscape StudiesUPDATED</t>
  </si>
  <si>
    <t>BA(US)</t>
  </si>
  <si>
    <t>Bachelor of Arts in Urban Studies</t>
  </si>
  <si>
    <t>Bachelor of Arts and Bachelor of Education in Language Education - English (double degree)</t>
  </si>
  <si>
    <t>BA&amp;LLB</t>
  </si>
  <si>
    <t>Bachelor of Arts and Bachelor of Laws (double degree)</t>
  </si>
  <si>
    <t>BA&amp;BED(LangEd)-Chin</t>
  </si>
  <si>
    <t>Bachelor of Arts and Bachelor of Education in Language Education - Chinese (double degree)</t>
  </si>
  <si>
    <t>BED(ECE&amp;SE)</t>
  </si>
  <si>
    <t>Bachelor of Education in Early Childhood Education and Special Education</t>
  </si>
  <si>
    <t>Bachelor of Dental Surgery</t>
  </si>
  <si>
    <t>BED&amp;BSC</t>
  </si>
  <si>
    <t>Bachelor of Education and Bachelor of Science (double degree)UPDATED</t>
  </si>
  <si>
    <t>BSC(SPEECH)</t>
  </si>
  <si>
    <t>Bachelor of Science in Speech and Hearing Sciences</t>
  </si>
  <si>
    <t>Bachelor of Education and Bachelor of Social Sciences (double degree)</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</si>
  <si>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</si>
  <si>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</si>
  <si>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</si>
  <si>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</si>
  <si>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</si>
  <si>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</si>
  <si>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</si>
  <si>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</si>
  <si>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</si>
  <si>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MBBS</t>
  </si>
  <si>
    <t>Bachelor of Medicine and Bachelor of Surgery</t>
  </si>
  <si>
    <t>BNURS</t>
  </si>
  <si>
    <t>Bachelor of Nursing</t>
  </si>
  <si>
    <t>Bachelor of Chinese Medicine</t>
  </si>
  <si>
    <t>Bachelor of Pharmacy</t>
  </si>
  <si>
    <t>Science Master ClassNEW</t>
  </si>
  <si>
    <t>BSS</t>
  </si>
  <si>
    <t>Bachelor of Social Sciences</t>
  </si>
  <si>
    <t>BSC(AC)</t>
  </si>
  <si>
    <t>Bachelor of Science in Actuarial Science</t>
  </si>
  <si>
    <t>Bachelor of Social Work</t>
  </si>
  <si>
    <t>BEcon/BEcon&amp;Fin</t>
  </si>
  <si>
    <t>Bachelor of Economics / Bachelor of Economics and Finance</t>
  </si>
  <si>
    <t>BBA/BBA(Acc&amp;Fin)</t>
  </si>
  <si>
    <t>Bachelor of Business Administration / Bachelor of Business Administration in Accounting and Finance</t>
  </si>
  <si>
    <t>BBA(IS)</t>
  </si>
  <si>
    <t>Bachelor of Business Administration (Information Systems)</t>
  </si>
  <si>
    <t>BBA(Law)&amp;LLB</t>
  </si>
  <si>
    <t>Bachelor of Business Administration (Law) and Bachelor of Laws (double degree)</t>
  </si>
  <si>
    <t>BSS(GL)&amp;LLB</t>
  </si>
  <si>
    <t>Bachelor of Social Sciences (Government and Laws) and Bachelor of Laws (double degree)</t>
  </si>
  <si>
    <t>BJ</t>
  </si>
  <si>
    <t>Bachelor of Journalism</t>
  </si>
  <si>
    <t>BFin(AMPB)</t>
  </si>
  <si>
    <t>Bachelor of Finance in Asset Management and Private Banking</t>
  </si>
  <si>
    <t>BSc(QFin)</t>
  </si>
  <si>
    <t>Bachelor of Science in Quantitative Finance</t>
  </si>
  <si>
    <t>Bachelor of Business Administration in International Business and Global Management</t>
  </si>
  <si>
    <t>BSC</t>
  </si>
  <si>
    <t>Bachelor of ScienceUPDATED</t>
  </si>
  <si>
    <t>BENG(BME)</t>
  </si>
  <si>
    <t>Bachelor of Engineering in Biomedical Engineering</t>
  </si>
  <si>
    <t>Global Engineering and Business Programme</t>
  </si>
  <si>
    <t>BBiomedSc</t>
  </si>
  <si>
    <t>Bachelor of Biomedical Sciences</t>
  </si>
  <si>
    <t>BENG(EngSc)</t>
  </si>
  <si>
    <t>Bachelor of Engineering in Engineering Science</t>
  </si>
  <si>
    <t>BENG</t>
  </si>
  <si>
    <t>Bachelor of Engineering</t>
  </si>
  <si>
    <t>LingnanU</t>
  </si>
  <si>
    <t>Bachelor of Arts (Honours) in Chinese</t>
  </si>
  <si>
    <t>Bachelor of Arts (Honours) in Global Liberal Arts</t>
  </si>
  <si>
    <t>Bachelor of Business Administration (Honours)</t>
  </si>
  <si>
    <t>Bachelor of Arts (Honours) in Translation</t>
  </si>
  <si>
    <t>Bachelor of Business Administration (Honours) - Risk and Insurance Management</t>
  </si>
  <si>
    <t>工商管理(榮譽)學士 - 風險及保險管理</t>
  </si>
  <si>
    <t>Bachelor of Science (Honours) in Data Science</t>
  </si>
  <si>
    <t>Bachelor of Social Sciences (Honours)</t>
  </si>
  <si>
    <t>Bachelor of Arts (Honours) in Contemporary English Studies</t>
  </si>
  <si>
    <t>當代英語語言文學課程(榮譽)文學士</t>
  </si>
  <si>
    <t>Bachelor of Arts (Honours) in Cultural Studies</t>
  </si>
  <si>
    <t>Bachelor of Arts (Honours) in History</t>
  </si>
  <si>
    <t>Bachelor of Arts (Honours) in Philosophy</t>
  </si>
  <si>
    <t>Bachelor of Arts (Honours) in Visual Studies</t>
  </si>
  <si>
    <t>Bachelor of Education (Honours) (Chinese Language)</t>
  </si>
  <si>
    <t>Bachelor of Education (Honours) (English Language) - Primary</t>
  </si>
  <si>
    <t>Bachelor of Education (Honours) (Primary) - General Studies</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</si>
  <si>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</si>
  <si>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</si>
  <si>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</si>
  <si>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</si>
  <si>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Bachelor of Education (Honours) (Secondary) in Mathematics</t>
  </si>
  <si>
    <t>Bachelor of Education (Honours) (Early Childhood Education)</t>
  </si>
  <si>
    <t>Bachelor of Education (Honours) (Chinese History)</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</si>
  <si>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</si>
  <si>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</si>
  <si>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</si>
  <si>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</si>
  <si>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</si>
  <si>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Bachelor of Social Sciences (Honours) in Global and Environmental Studies</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</si>
  <si>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</si>
  <si>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</si>
  <si>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</si>
  <si>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</si>
  <si>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</si>
  <si>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創意藝術與文化榮譽文學士及音樂教育榮譽學士 (同期結業雙學位課程)</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</si>
  <si>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</si>
  <si>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</si>
  <si>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語文研究榮譽文學士及英文教育榮譽學士 (同期結業雙學位課程)</t>
  </si>
  <si>
    <t>Self-financing</t>
  </si>
  <si>
    <t>Bachelor of Social Sciences with Honours in PsychologyUPDATED</t>
  </si>
  <si>
    <t>Bachelor of Social Sciences with Honours in Politics and Public AdministrationUPDATED</t>
  </si>
  <si>
    <t>Bachelor of Social Sciences with Honours in Applied Social StudiesUPDATED</t>
  </si>
  <si>
    <t>Bachelor of Social Sciences with Honours in Global and China StudiesUPDATED</t>
  </si>
  <si>
    <t>Bachelor of Social Sciences with Honours in Ageing Society and Services StudiesUPDATED</t>
  </si>
  <si>
    <t>Bachelor of Social Sciences with Honours in Economic and Public Policy AnalysisUPDATED</t>
  </si>
  <si>
    <t>Bachelor of Social Sciences with Honours in Psychology and Mental HealthUPDATED</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</si>
  <si>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</si>
  <si>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</si>
  <si>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</si>
  <si>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</si>
  <si>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</si>
  <si>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Bachelor of Business Administration with Honours in Accounting and TaxationUPDATED</t>
  </si>
  <si>
    <t>Bachelor of Business Administration with Honours in Business ManagementUPDATED</t>
  </si>
  <si>
    <t>Bachelor of Business Administration with Honours in Global Business and MarketingUPDATED</t>
  </si>
  <si>
    <t>Bachelor of Business Administration with Honours in Corporate GovernanceUPDATED</t>
  </si>
  <si>
    <t>Bachelor of Business Administration with Honours in Digital BusinessUPDATED</t>
  </si>
  <si>
    <t>Bachelor of Business Administration with Honours in Finance and Risk ManagementUPDATED</t>
  </si>
  <si>
    <t>Bachelor of Business Administration with Honours in Real Estate and Facilities ManagementUPDATED</t>
  </si>
  <si>
    <t>Bachelor of Applied Psychology with Honours, Bachelor of Business Management with HonoursUPDATED</t>
  </si>
  <si>
    <t>Bachelor of Business Administration with Honours in Hotel and Sustainable Tourism ManagementUPDATED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</si>
  <si>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</si>
  <si>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</si>
  <si>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</si>
  <si>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</si>
  <si>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語言研究榮譽學士（應用中國語言）</t>
  </si>
  <si>
    <t>Bachelor of Education with Honours (Chinese Language Teaching) and Bachelor of Language Studies with Honours (Applied Chinese Language Studies)UPDATED</t>
  </si>
  <si>
    <t>Bachelor of Language Studies with Honours (Bilingual Communication), Bachelor of Global Business with HonoursUPDATED</t>
  </si>
  <si>
    <t>語言硏究（雙語傳意）榮譽學士，國際商業榮譽學士</t>
  </si>
  <si>
    <t>Bachelor of Education with Honours in Early Childhood Education (Leadership and Special Educational Needs)UPDATED</t>
  </si>
  <si>
    <t>教育榮譽學士（幼兒教育：領導及特殊教育需要）</t>
  </si>
  <si>
    <t>Bachelor of Science with Honours in Computer ScienceUPDATED</t>
  </si>
  <si>
    <t>Bachelor of Science with Honours in Cyber and Computer SecurityUPDATED</t>
  </si>
  <si>
    <t>Bachelor of Engineering with Honours in Electronic and Computer EngineeringUPDATED</t>
  </si>
  <si>
    <t>Bachelor of Engineering with Honours in Building Services Engineering and Sustainable DevelopmentUPDATED</t>
  </si>
  <si>
    <t>Bachelor of Engineering with Honours in Civil and Environmental EngineeringUPDATED</t>
  </si>
  <si>
    <t>Bachelor of Science with Honours in Environmental Science and Green ManagementUPDATED</t>
  </si>
  <si>
    <t>Bachelor of Science with Honours in Life SciencesUPDATED</t>
  </si>
  <si>
    <t>Offered by CIHE: Bachelor of Nursing (Honours)</t>
  </si>
  <si>
    <t>由明愛專上學院開辦：護理學榮譽學士</t>
  </si>
  <si>
    <t>Offered by CIHE: Bachelor of Science (Honours) in Digital Entertainment Technology</t>
  </si>
  <si>
    <t>由明愛專上學院開辦：數碼娛樂科技（榮譽）理學士</t>
  </si>
  <si>
    <t>Offered by CIHE: Bachelor of Science (Honours) in Physiotherapy</t>
  </si>
  <si>
    <t>由明愛專上學院開辦：物理治療學（榮譽）理學士</t>
  </si>
  <si>
    <t>Offered by CIHE: Bachelor of Science (Honours) in Artificial Intelligence</t>
  </si>
  <si>
    <t>由明愛專上學院開辦：人工智能（榮譽）理學士</t>
  </si>
  <si>
    <t>Offered by CHC: Bachelor of Science (Honours) in Architecture</t>
  </si>
  <si>
    <t>由珠海學院開辦：建築學（榮譽）理學士</t>
  </si>
  <si>
    <t>Offered by CHC: Bachelor of Science (Honours) in Computer Science</t>
  </si>
  <si>
    <t>由珠海學院開辦：資訊科學（榮譽）理學士</t>
  </si>
  <si>
    <t>Offered by CHC: Bachelor of Arts (Honours) in Communication and Crossmedia</t>
  </si>
  <si>
    <t>由珠海學院開辦：傳播及跨媒體（榮譽）文學士</t>
  </si>
  <si>
    <t>Offered by HSUHK: Bachelor of Business Administration (Honours) in Supply Chain Management</t>
  </si>
  <si>
    <t>由恒大開辦：供應鏈管理工商管理（榮譽）學士</t>
  </si>
  <si>
    <t>Offered by HSUHK: Bachelor of Science (Honours) in Actuarial Studies and Insurance</t>
  </si>
  <si>
    <t>由恒大開辦：精算及保險 （榮譽）理學士</t>
  </si>
  <si>
    <t>Offered by HSUHK: Bachelor of Arts (Honours) in Applied and Human-Centred Computing</t>
  </si>
  <si>
    <t>由恒大開辦：應用及人本計算學（榮譽）文學士</t>
  </si>
  <si>
    <t>Offered by HSUHK: Bachelor of Science (Honours) in Data Science and Business Intelligence</t>
  </si>
  <si>
    <t>由恒大開辦：數據科學及商業智能學（榮譽）理學士</t>
  </si>
  <si>
    <t>Offered by HSUHK: Bachelor of Management Science and Information Management (Honours)</t>
  </si>
  <si>
    <t>由恒大開辦：管理科學與資訊管理（榮譽）學士</t>
  </si>
  <si>
    <t>Offered by HSUHK: Bachelor of Arts (Honours) in Art and Design</t>
  </si>
  <si>
    <t>由恒大開辦：藝術設計（榮譽）文學士</t>
  </si>
  <si>
    <t>Offered by TWC: Bachelor of Health Science (Honours) in Nursing</t>
  </si>
  <si>
    <t>由東華學院開辦：護理學（榮譽）健康科學學士</t>
  </si>
  <si>
    <t>Offered by TWC: Bachelor of Science (Honours) in Medical Laboratory Science</t>
  </si>
  <si>
    <t>由東華學院開辦：醫療化驗科學（榮譽）理學士</t>
  </si>
  <si>
    <t>Offered by TWC: Bachelor of Science (Honours) in Radiation Therapy</t>
  </si>
  <si>
    <t>由東華學院開辦：放射治療學（榮譽）理學士</t>
  </si>
  <si>
    <t>Offered by TWC: Bachelor of Science (Honours) in Occupational Therapy</t>
  </si>
  <si>
    <t>由東華學院開辦：職業治療學（榮譽）理學士</t>
  </si>
  <si>
    <t>Offered by TWC: Bachelor of Science (Honours) in Physiotherapy</t>
  </si>
  <si>
    <t>由東華學院開辦：物理治療學(榮譽)理學士</t>
  </si>
  <si>
    <t>Offered by OUHK: Bachelor of Arts with Honours in Creative Writing and Film ArtsUPDATED</t>
  </si>
  <si>
    <t>由公開大學開辦：創意寫作與電影藝術榮譽文學士</t>
  </si>
  <si>
    <t>Offered by OUHK: Bachelor of Fine Arts with Honours in Animation and Visual EffectsUPDATED</t>
  </si>
  <si>
    <t>由公開大學開辦：動畫及視覺特效榮譽藝術學士</t>
  </si>
  <si>
    <t>Offered by OUHK: Bachelor of Fine Arts with Honours in Imaging Design and Digital ArtUPDATED</t>
  </si>
  <si>
    <t>由公開大學開辦：影像設計及數碼藝術榮譽藝術學士</t>
  </si>
  <si>
    <t>Offered by OUHK: Bachelor of Nursing with Honours in General Health CareUPDATED</t>
  </si>
  <si>
    <t>由公開大學開辦：護理學榮譽學士（普通科）</t>
  </si>
  <si>
    <t>Offered by OUHK: Bachelor of Nursing with Honours in Mental Health CareUPDATED</t>
  </si>
  <si>
    <t>由公開大學開辦：護理學榮譽學士（精神科）</t>
  </si>
  <si>
    <t>Offered by OUHK: Bachelor of Science with Honours in PhysiotherapyUPDATED</t>
  </si>
  <si>
    <t>由公開大學開辦：物理治療學榮譽理學士</t>
  </si>
  <si>
    <t>Offered by OUHK: Bachelor of Engineering with Honours in Testing and CertificationUPDATED</t>
  </si>
  <si>
    <t>由公開大學開辦：檢測和認證榮譽工學士</t>
  </si>
  <si>
    <t>Offered by OUHK: Bachelor of Science with Honours in Testing Science and CertificationUPDATED</t>
  </si>
  <si>
    <t>由公開大學開辦：檢測科學和認證榮譽理學士</t>
  </si>
  <si>
    <t>Offered by OUHK: Bachelor of Science with Honours in Food Testing ScienceUPDATED</t>
  </si>
  <si>
    <t>由公開大學開辦：食品測試科學榮譽理學士</t>
  </si>
  <si>
    <t>Offered by OUHK: Bachelor of Science with Honours in Data Science and Artificial IntelligenceUPDATED</t>
  </si>
  <si>
    <t>由公開大學開辦：數據科學及人工智能榮譽理學士</t>
  </si>
  <si>
    <t>Offered by OUHK: Bachelor of Computing with Honours in Internet TechnologyUPDATED</t>
  </si>
  <si>
    <t>由公開大學開辦：互聯網科技榮譽電腦學學士</t>
  </si>
  <si>
    <t>Offered by OUHK: Bachelor of International Hospitality and Attractions Management with HonoursUPDATED</t>
  </si>
  <si>
    <t>由公開大學開辦：國際款待及景區管理榮譽學士</t>
  </si>
  <si>
    <t>Offered by OUHK: Bachelor of Sports and Recreation Management with HonoursUPDATED</t>
  </si>
  <si>
    <t>由公開大學開辦：運動及康樂管理榮譽學士</t>
  </si>
  <si>
    <t>Offered by OUHK: Bachelor of Business Administration with Honours in Financial Technology and InnovationUPDATED</t>
  </si>
  <si>
    <t>由公開大學開辦：金融科技及創新榮譽工商管理學士</t>
  </si>
  <si>
    <t>Offered by OUHK: Bachelor of Business Administration with Honours in Global Marketing and Supply Chain ManagementUPDATED</t>
  </si>
  <si>
    <t>由公開大學開辦：環球市場及供應鏈榮譽工商管理學士</t>
  </si>
  <si>
    <t>Offered by VTC-THEi: Bachelor of Arts (Honours) in Fashion DesignUPDATED</t>
  </si>
  <si>
    <t>由香港高科院開辦：時裝設計（榮譽）文學士</t>
  </si>
  <si>
    <t>Offered by VTC-THEi: Bachelor of Arts (Honours) in Product DesignUPDATED</t>
  </si>
  <si>
    <t>由香港高科院開辦：產品設計（榮譽）文學士</t>
  </si>
  <si>
    <t>Offered by VTC-THEi: Bachelor of Arts (Honours) in Landscape ArchitectureUPDATED</t>
  </si>
  <si>
    <t>由香港高科院開辦：園境建築（榮譽）文學士</t>
  </si>
  <si>
    <t>Offered by VTC-THEi: Bachelor of Arts (Honours) in Culinary Arts and ManagementUPDATED</t>
  </si>
  <si>
    <t>由香港高科院開辦：廚藝及管理（榮譽）文學士</t>
  </si>
  <si>
    <t>Offered by VTC-THEi: Bachelor of Engineering (Honours) in Civil EngineeringUPDATED</t>
  </si>
  <si>
    <t>由香港高科院開辦：土木工程（榮譽）工學士</t>
  </si>
  <si>
    <t>Offered by VTC-THEi: Bachelor of Science (Honours) in Horticulture, Arboriculture and Landscape ManagementUPDATED</t>
  </si>
  <si>
    <t>由香港高科院開辦：園藝樹藝及園境管理（榮譽）理學士</t>
  </si>
  <si>
    <t>Offered by VTC-THEi: Bachelor of Science (Honours) in SurveyingUPDATED</t>
  </si>
  <si>
    <t>由香港高科院開辦：測量學（榮譽）理學士</t>
  </si>
  <si>
    <t>Offered by VTC-THEi: Bachelor of Social Sciences (Honours) in Sports and Recreation ManagementUPDATED</t>
  </si>
  <si>
    <t>由香港高科院開辦：運動及康樂管理（榮譽）社會科學學士</t>
  </si>
  <si>
    <t>Offered by VTC-THEi: Bachelor of Science (Honours) in Multimedia Technology and Innovation</t>
  </si>
  <si>
    <t>由香港高科院開辦：創新及多媒體科技（榮譽）理學士</t>
  </si>
  <si>
    <t>Offered by VTC-THEi: Bachelor of Science (Honours) in Information and Communications TechnologyUPDATED</t>
  </si>
  <si>
    <t>由香港高科院開辦：資訊及通訊科技（榮譽）理學士</t>
  </si>
  <si>
    <t>Offered by UOWCHK: Bachelor of Aviation (Honours) in Operations and Management</t>
  </si>
  <si>
    <t>由香港伍倫貢學院開辦：營運及管理（榮譽）航空學士</t>
  </si>
  <si>
    <t>Offered by HKSYU: Bachelor of Commerce (Honours) in Financial Technology</t>
  </si>
  <si>
    <t>由仁大開辦： 金融科技（榮譽）商學士</t>
  </si>
  <si>
    <t>PolyU 參考分數</t>
  </si>
  <si>
    <t>X1</t>
  </si>
  <si>
    <t>X2</t>
  </si>
  <si>
    <t>X3</t>
  </si>
  <si>
    <t>比重</t>
  </si>
  <si>
    <t>估算</t>
  </si>
  <si>
    <t>*JS3765:此科並無比重，但由於院校收生會考慮其他因素，</t>
  </si>
  <si>
    <t>包括面試表現等，故亦有可能出現LQ高於Median的情況。</t>
  </si>
  <si>
    <t>JS3832@</t>
  </si>
  <si>
    <t>JS3533#</t>
  </si>
  <si>
    <t>Retake扣分資訊</t>
  </si>
  <si>
    <t>(請前往主頁更改Retake科目)</t>
  </si>
  <si>
    <t>今年重考</t>
  </si>
  <si>
    <t>現時香港只有CUHK及HKU兩間院校有列明重考扣分︰</t>
  </si>
  <si>
    <t>你的總分</t>
  </si>
  <si>
    <t>扣分</t>
  </si>
  <si>
    <t>合併成績</t>
  </si>
  <si>
    <t>最近3次</t>
  </si>
  <si>
    <t>Best results in 2 or more sittings of HKDSE</t>
  </si>
  <si>
    <t>Best results in year 2020 and 2021 Only</t>
  </si>
  <si>
    <t>Best results in the latest 2 sittings of HKDSE, one of which should include the year of admission (i.e. 2021)</t>
  </si>
  <si>
    <t>Best results in year 2019 and 2021, or, 2020 and 2021</t>
  </si>
  <si>
    <t>Best results in the latest 3 sittings of HKDSE</t>
  </si>
  <si>
    <t>Latest results in 2 or more sittings of HKDSE</t>
  </si>
  <si>
    <t>Best Results in Years 2020 and 2021 only (other sitting(s) will be considered on a case-by-case basis)</t>
  </si>
  <si>
    <t>Best results in the Latest 2 Sittings of HKDSE, one of which should include the year of admission (i.e. 2021)</t>
  </si>
  <si>
    <t>參考資料</t>
  </si>
  <si>
    <t>https://admissions.hku.hk/apply/jupas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</si>
</sst>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_);[Red]\(0.00\)"/>
    <numFmt numFmtId="165" formatCode="0.0%"/>
    <numFmt numFmtId="166" formatCode="\+0%;\-0%;0%"/>
    <numFmt numFmtId="167" formatCode="\+0.00;\-0.00;0"/>
    <numFmt numFmtId="168" formatCode="\(\+0%\);\(\-0%\);\(0%\)"/>
    <numFmt numFmtId="169" formatCode="0.####"/>
  </numFmts>
  <fonts count="53">
    <font>
      <sz val="12.0"/>
      <color theme="1"/>
      <name val="Calibri"/>
      <scheme val="minor"/>
    </font>
    <font>
      <color theme="1"/>
      <name val="Calibri"/>
    </font>
    <font>
      <b/>
      <sz val="24.0"/>
      <color theme="1"/>
      <name val="Arial"/>
    </font>
    <font>
      <color theme="1"/>
      <name val="Arial"/>
    </font>
    <font>
      <b/>
      <color theme="1"/>
      <name val="Arial"/>
    </font>
    <font>
      <sz val="12.0"/>
      <color theme="1"/>
      <name val="Microsoft JhengHei"/>
    </font>
    <font>
      <b/>
      <sz val="18.0"/>
      <color theme="1"/>
      <name val="Microsoft JhengHei"/>
    </font>
    <font>
      <b/>
      <sz val="20.0"/>
      <color theme="1"/>
      <name val="Microsoft JhengHei"/>
    </font>
    <font>
      <b/>
      <sz val="11.0"/>
      <color theme="1"/>
      <name val="Microsoft JhengHei"/>
    </font>
    <font>
      <b/>
      <sz val="12.0"/>
      <color theme="1"/>
      <name val="Microsoft JhengHei"/>
    </font>
    <font>
      <b/>
      <sz val="10.0"/>
      <color theme="1"/>
      <name val="Microsoft JhengHei"/>
    </font>
    <font>
      <sz val="9.0"/>
      <color rgb="FF385623"/>
      <name val="Microsoft JhengHei"/>
    </font>
    <font>
      <sz val="10.0"/>
      <color theme="1"/>
      <name val="Microsoft JhengHei"/>
    </font>
    <font>
      <sz val="9.0"/>
      <color rgb="FF000000"/>
      <name val="微軟正黑體"/>
    </font>
    <font>
      <sz val="9.0"/>
      <color theme="1"/>
      <name val="Microsoft JhengHei"/>
    </font>
    <font>
      <sz val="10.0"/>
      <color rgb="FF595959"/>
      <name val="Microsoft JhengHei"/>
    </font>
    <font>
      <b/>
      <sz val="8.0"/>
      <color theme="1"/>
      <name val="Microsoft JhengHei"/>
    </font>
    <font>
      <sz val="12.0"/>
      <color theme="0"/>
      <name val="Microsoft JhengHei"/>
    </font>
    <font>
      <b/>
      <sz val="12.0"/>
      <color rgb="FFFF0000"/>
      <name val="Microsoft JhengHei"/>
    </font>
    <font>
      <b/>
      <sz val="9.0"/>
      <color theme="1"/>
      <name val="Microsoft JhengHei"/>
    </font>
    <font>
      <sz val="10.0"/>
      <color rgb="FF385623"/>
      <name val="Microsoft JhengHei"/>
    </font>
    <font>
      <b/>
      <sz val="10.0"/>
      <color rgb="FF833C0B"/>
      <name val="Microsoft JhengHei"/>
    </font>
    <font>
      <sz val="11.0"/>
      <color theme="1"/>
      <name val="Microsoft JhengHei"/>
    </font>
    <font>
      <sz val="10.0"/>
      <color rgb="FF2F5496"/>
      <name val="Microsoft JhengHei"/>
    </font>
    <font>
      <sz val="12.0"/>
      <color rgb="FF2F5496"/>
      <name val="Microsoft JhengHei"/>
    </font>
    <font>
      <b/>
      <sz val="11.0"/>
      <color rgb="FFFF0000"/>
      <name val="Microsoft JhengHei"/>
    </font>
    <font>
      <u/>
      <sz val="10.0"/>
      <color theme="10"/>
      <name val="Microsoft JhengHei"/>
    </font>
    <font>
      <u/>
      <sz val="10.0"/>
      <color theme="10"/>
      <name val="Microsoft JhengHei"/>
    </font>
    <font>
      <sz val="9.0"/>
      <color rgb="FF000000"/>
      <name val="Microsoft JhengHei"/>
    </font>
    <font>
      <b/>
      <sz val="9.0"/>
      <color rgb="FF000000"/>
      <name val="微軟正黑體"/>
    </font>
    <font>
      <sz val="10.0"/>
      <color rgb="FF757070"/>
      <name val="Microsoft JhengHei"/>
    </font>
    <font/>
    <font>
      <sz val="10.0"/>
      <color rgb="FFC5E0B3"/>
      <name val="Microsoft JhengHei"/>
    </font>
    <font>
      <b/>
      <i/>
      <sz val="12.0"/>
      <color theme="1"/>
      <name val="Microsoft JhengHei"/>
    </font>
    <font>
      <sz val="12.0"/>
      <color rgb="FFFF0000"/>
      <name val="Microsoft JhengHei"/>
    </font>
    <font>
      <b/>
      <i/>
      <sz val="10.0"/>
      <color theme="1"/>
      <name val="Microsoft JhengHei"/>
    </font>
    <font>
      <i/>
      <sz val="10.0"/>
      <color theme="1"/>
      <name val="Microsoft JhengHei"/>
    </font>
    <font>
      <color theme="1"/>
      <name val="Calibri"/>
      <scheme val="minor"/>
    </font>
    <font>
      <sz val="10.0"/>
      <color rgb="FFFF0000"/>
      <name val="Microsoft JhengHei"/>
    </font>
    <font>
      <sz val="10.0"/>
      <color rgb="FF434343"/>
      <name val="Microsoft JhengHei"/>
    </font>
    <font>
      <b/>
      <i/>
      <sz val="10.0"/>
      <color rgb="FFFF0000"/>
      <name val="Microsoft JhengHei"/>
    </font>
    <font>
      <sz val="10.0"/>
      <color rgb="FFAEABAB"/>
      <name val="Microsoft JhengHei"/>
    </font>
    <font>
      <sz val="10.0"/>
      <color theme="1"/>
      <name val="Calibri"/>
    </font>
    <font>
      <b/>
      <sz val="10.0"/>
      <color theme="0"/>
      <name val="Microsoft JhengHei"/>
    </font>
    <font>
      <b/>
      <sz val="10.0"/>
      <color rgb="FFAEABAB"/>
      <name val="Microsoft JhengHei"/>
    </font>
    <font>
      <u/>
      <sz val="10.0"/>
      <color theme="10"/>
      <name val="Microsoft JhengHei"/>
    </font>
    <font>
      <u/>
      <sz val="10.0"/>
      <color theme="10"/>
      <name val="Microsoft JhengHei"/>
    </font>
    <font>
      <b/>
      <sz val="10.0"/>
      <color rgb="FFFFFFFF"/>
      <name val="Microsoft JhengHei"/>
    </font>
    <font>
      <b/>
      <sz val="12.0"/>
      <color theme="0"/>
      <name val="Microsoft JhengHei"/>
    </font>
    <font>
      <sz val="10.0"/>
      <color theme="0"/>
      <name val="Microsoft JhengHei"/>
    </font>
    <font>
      <sz val="12.0"/>
      <color theme="1"/>
      <name val="Calibri"/>
    </font>
    <font>
      <b/>
      <sz val="14.0"/>
      <color theme="1"/>
      <name val="Microsoft JhengHei"/>
    </font>
    <font>
      <b/>
      <sz val="11.0"/>
      <color rgb="FF385623"/>
      <name val="Microsoft JhengHei"/>
    </font>
  </fonts>
  <fills count="37">
    <fill>
      <patternFill patternType="none"/>
    </fill>
    <fill>
      <patternFill patternType="lightGray"/>
    </fill>
    <fill>
      <patternFill patternType="solid">
        <fgColor theme="0"/>
        <bgColor theme="0"/>
      </patternFill>
    </fill>
    <fill>
      <patternFill patternType="solid">
        <fgColor rgb="FFE2EFD9"/>
        <bgColor rgb="FFE2EFD9"/>
      </patternFill>
    </fill>
    <fill>
      <patternFill patternType="solid">
        <fgColor rgb="FFF2F2F2"/>
        <bgColor rgb="FFF2F2F2"/>
      </patternFill>
    </fill>
    <fill>
      <patternFill patternType="solid">
        <fgColor rgb="FFE7E6E6"/>
        <bgColor rgb="FFE7E6E6"/>
      </patternFill>
    </fill>
    <fill>
      <patternFill patternType="solid">
        <fgColor rgb="FFC5E0B3"/>
        <bgColor rgb="FFC5E0B3"/>
      </patternFill>
    </fill>
    <fill>
      <patternFill patternType="solid">
        <fgColor rgb="FFA8D08D"/>
        <bgColor rgb="FFA8D08D"/>
      </patternFill>
    </fill>
    <fill>
      <patternFill patternType="solid">
        <fgColor rgb="FFF7CAAC"/>
        <bgColor rgb="FFF7CAAC"/>
      </patternFill>
    </fill>
    <fill>
      <patternFill patternType="solid">
        <fgColor rgb="FFFFFF00"/>
        <bgColor rgb="FFFFFF00"/>
      </patternFill>
    </fill>
    <fill>
      <patternFill patternType="solid">
        <fgColor rgb="FFD8D8D8"/>
        <bgColor rgb="FFD8D8D8"/>
      </patternFill>
    </fill>
    <fill>
      <patternFill patternType="solid">
        <fgColor rgb="FFFEF2CB"/>
        <bgColor rgb="FFFEF2CB"/>
      </patternFill>
    </fill>
    <fill>
      <patternFill patternType="solid">
        <fgColor rgb="FFCC0066"/>
        <bgColor rgb="FFCC0066"/>
      </patternFill>
    </fill>
    <fill>
      <patternFill patternType="solid">
        <fgColor rgb="FFFFEBFF"/>
        <bgColor rgb="FFFFEBFF"/>
      </patternFill>
    </fill>
    <fill>
      <patternFill patternType="solid">
        <fgColor rgb="FF2F5496"/>
        <bgColor rgb="FF2F5496"/>
      </patternFill>
    </fill>
    <fill>
      <patternFill patternType="solid">
        <fgColor rgb="FFECE9D8"/>
        <bgColor rgb="FFECE9D8"/>
      </patternFill>
    </fill>
    <fill>
      <patternFill patternType="solid">
        <fgColor rgb="FFFFF3FF"/>
        <bgColor rgb="FFFFF3FF"/>
      </patternFill>
    </fill>
    <fill>
      <patternFill patternType="solid">
        <fgColor rgb="FFD9E2F3"/>
        <bgColor rgb="FFD9E2F3"/>
      </patternFill>
    </fill>
    <fill>
      <patternFill patternType="solid">
        <fgColor rgb="FFFBE4D5"/>
        <bgColor rgb="FFFBE4D5"/>
      </patternFill>
    </fill>
    <fill>
      <patternFill patternType="solid">
        <fgColor rgb="FFCCCCFF"/>
        <bgColor rgb="FFCCCCFF"/>
      </patternFill>
    </fill>
    <fill>
      <patternFill patternType="solid">
        <fgColor rgb="FFD0CECE"/>
        <bgColor rgb="FFD0CECE"/>
      </patternFill>
    </fill>
    <fill>
      <patternFill patternType="solid">
        <fgColor rgb="FFA04310"/>
        <bgColor rgb="FFA04310"/>
      </patternFill>
    </fill>
    <fill>
      <patternFill patternType="solid">
        <fgColor rgb="FFEFDDDD"/>
        <bgColor rgb="FFEFDDDD"/>
      </patternFill>
    </fill>
    <fill>
      <patternFill patternType="solid">
        <fgColor rgb="FF6600CC"/>
        <bgColor rgb="FF6600CC"/>
      </patternFill>
    </fill>
    <fill>
      <patternFill patternType="solid">
        <fgColor rgb="FFFFFFCC"/>
        <bgColor rgb="FFFFFFCC"/>
      </patternFill>
    </fill>
    <fill>
      <patternFill patternType="solid">
        <fgColor rgb="FFB4C6E7"/>
        <bgColor rgb="FFB4C6E7"/>
      </patternFill>
    </fill>
    <fill>
      <patternFill patternType="solid">
        <fgColor rgb="FF548135"/>
        <bgColor rgb="FF548135"/>
      </patternFill>
    </fill>
    <fill>
      <patternFill patternType="solid">
        <fgColor rgb="FFDDEBF7"/>
        <bgColor rgb="FFDDEBF7"/>
      </patternFill>
    </fill>
    <fill>
      <patternFill patternType="solid">
        <fgColor rgb="FFCC0000"/>
        <bgColor rgb="FFCC0000"/>
      </patternFill>
    </fill>
    <fill>
      <patternFill patternType="solid">
        <fgColor rgb="FFD9D9D9"/>
        <bgColor rgb="FFD9D9D9"/>
      </patternFill>
    </fill>
    <fill>
      <patternFill patternType="solid">
        <fgColor rgb="FFE24100"/>
        <bgColor rgb="FFE24100"/>
      </patternFill>
    </fill>
    <fill>
      <patternFill patternType="solid">
        <fgColor rgb="FFE2EFDA"/>
        <bgColor rgb="FFE2EFDA"/>
      </patternFill>
    </fill>
    <fill>
      <patternFill patternType="solid">
        <fgColor rgb="FF1E4E79"/>
        <bgColor rgb="FF1E4E79"/>
      </patternFill>
    </fill>
    <fill>
      <patternFill patternType="solid">
        <fgColor rgb="FF7F6000"/>
        <bgColor rgb="FF7F6000"/>
      </patternFill>
    </fill>
    <fill>
      <patternFill patternType="solid">
        <fgColor theme="5"/>
        <bgColor theme="5"/>
      </patternFill>
    </fill>
    <fill>
      <patternFill patternType="solid">
        <fgColor rgb="FFA9D08E"/>
        <bgColor rgb="FFA9D08E"/>
      </patternFill>
    </fill>
    <fill>
      <patternFill patternType="solid">
        <fgColor rgb="FF9933FF"/>
        <bgColor rgb="FF9933FF"/>
      </patternFill>
    </fill>
  </fills>
  <borders count="27">
    <border/>
    <border>
      <left/>
      <right/>
      <top/>
      <bottom/>
    </border>
    <border>
      <left style="thin">
        <color rgb="FFBFBFBF"/>
      </left>
      <right style="thin">
        <color rgb="FFBFBFBF"/>
      </right>
      <top style="thin">
        <color rgb="FFBFBFBF"/>
      </top>
      <bottom style="thin">
        <color rgb="FFBFBFBF"/>
      </bottom>
    </border>
    <border>
      <left/>
      <right/>
      <top/>
      <bottom style="thin">
        <color rgb="FFBFBFBF"/>
      </bottom>
    </border>
    <border>
      <left style="thin">
        <color rgb="FF000000"/>
      </left>
      <right style="thin">
        <color rgb="FF000000"/>
      </right>
      <top style="thin">
        <color rgb="FF000000"/>
      </top>
      <bottom style="thin">
        <color rgb="FF000000"/>
      </bottom>
    </border>
    <border>
      <left style="thin">
        <color rgb="FF548135"/>
      </left>
      <right/>
      <top/>
      <bottom/>
    </border>
    <border>
      <left style="thin">
        <color rgb="FF7F7F7F"/>
      </left>
      <right/>
      <top style="thin">
        <color rgb="FF7F7F7F"/>
      </top>
      <bottom style="thin">
        <color rgb="FF7F7F7F"/>
      </bottom>
    </border>
    <border>
      <left/>
      <right/>
      <top style="thin">
        <color rgb="FFBFBFBF"/>
      </top>
      <bottom/>
    </border>
    <border>
      <left/>
      <top/>
      <bottom/>
    </border>
    <border>
      <top/>
      <bottom/>
    </border>
    <border>
      <right/>
      <top/>
      <bottom/>
    </border>
    <border>
      <left/>
      <top/>
    </border>
    <border>
      <top/>
    </border>
    <border>
      <left/>
    </border>
    <border>
      <left style="thin">
        <color rgb="FFD8D8D8"/>
      </left>
      <right style="thin">
        <color rgb="FFD8D8D8"/>
      </right>
      <top style="thin">
        <color rgb="FFD8D8D8"/>
      </top>
      <bottom style="thin">
        <color rgb="FFD8D8D8"/>
      </bottom>
    </border>
    <border>
      <left style="thin">
        <color rgb="FFD8D8D8"/>
      </left>
      <right style="thin">
        <color rgb="FFD8D8D8"/>
      </right>
      <top style="thin">
        <color rgb="FFD8D8D8"/>
      </top>
    </border>
    <border>
      <left style="thin">
        <color rgb="FFD8D8D8"/>
      </left>
      <right style="thin">
        <color rgb="FFD8D8D8"/>
      </right>
    </border>
    <border>
      <left style="thin">
        <color rgb="FFD8D8D8"/>
      </left>
      <right style="thin">
        <color rgb="FFD8D8D8"/>
      </right>
      <bottom style="thin">
        <color rgb="FFD8D8D8"/>
      </bottom>
    </border>
    <border>
      <right style="thin">
        <color rgb="FFD8D8D8"/>
      </right>
      <top style="thin">
        <color rgb="FFD8D8D8"/>
      </top>
      <bottom style="thin">
        <color rgb="FFD8D8D8"/>
      </bottom>
    </border>
    <border>
      <left style="thin">
        <color rgb="FFD8D8D8"/>
      </left>
      <top style="thin">
        <color rgb="FFD8D8D8"/>
      </top>
      <bottom style="thin">
        <color rgb="FFD8D8D8"/>
      </bottom>
    </border>
    <border>
      <left/>
      <right/>
      <top/>
      <bottom style="thin">
        <color rgb="FFD8D8D8"/>
      </bottom>
    </border>
    <border>
      <left style="thin">
        <color theme="0"/>
      </left>
      <right style="thin">
        <color theme="0"/>
      </right>
      <top style="thin">
        <color theme="0"/>
      </top>
      <bottom style="thin">
        <color theme="0"/>
      </bottom>
    </border>
    <border>
      <left/>
      <right/>
      <top/>
    </border>
    <border>
      <left/>
      <right/>
      <top style="thin">
        <color rgb="FFD8D8D8"/>
      </top>
      <bottom style="thin">
        <color rgb="FFD8D8D8"/>
      </bottom>
    </border>
    <border>
      <left/>
      <right/>
    </border>
    <border>
      <left/>
      <right/>
      <top style="thin">
        <color rgb="FFD8D8D8"/>
      </top>
      <bottom/>
    </border>
    <border>
      <left/>
      <right style="thin">
        <color rgb="FFBFBFBF"/>
      </right>
      <top/>
      <bottom/>
    </border>
  </borders>
  <cellStyleXfs count="1">
    <xf borderId="0" fillId="0" fontId="0" numFmtId="0" applyAlignment="1" applyFont="1"/>
  </cellStyleXfs>
  <cellXfs count="400">
    <xf borderId="0" fillId="0" fontId="0" numFmtId="0" xfId="0" applyAlignment="1" applyFont="1">
      <alignment readingOrder="0" shrinkToFit="0" vertical="center"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vertical="center"/>
    </xf>
    <xf borderId="1" fillId="3" fontId="5" numFmtId="0" xfId="0" applyAlignment="1" applyBorder="1" applyFill="1" applyFont="1">
      <alignment vertical="center"/>
    </xf>
    <xf borderId="1" fillId="3" fontId="5" numFmtId="0" xfId="0" applyAlignment="1" applyBorder="1" applyFont="1">
      <alignment horizontal="center" vertical="center"/>
    </xf>
    <xf borderId="1" fillId="3" fontId="6" numFmtId="0" xfId="0" applyAlignment="1" applyBorder="1" applyFont="1">
      <alignment readingOrder="0" vertical="center"/>
    </xf>
    <xf borderId="1" fillId="3" fontId="7" numFmtId="0" xfId="0" applyAlignment="1" applyBorder="1" applyFont="1">
      <alignment horizontal="left" vertical="center"/>
    </xf>
    <xf borderId="1" fillId="3" fontId="5" numFmtId="0" xfId="0" applyAlignment="1" applyBorder="1" applyFont="1">
      <alignment horizontal="left" vertical="center"/>
    </xf>
    <xf borderId="1" fillId="3" fontId="8" numFmtId="0" xfId="0" applyAlignment="1" applyBorder="1" applyFont="1">
      <alignment horizontal="left" readingOrder="0" vertical="center"/>
    </xf>
    <xf borderId="1" fillId="3" fontId="9" numFmtId="49" xfId="0" applyAlignment="1" applyBorder="1" applyFont="1" applyNumberFormat="1">
      <alignment horizontal="right" vertical="center"/>
    </xf>
    <xf borderId="1" fillId="3" fontId="9" numFmtId="0" xfId="0" applyAlignment="1" applyBorder="1" applyFont="1">
      <alignment vertical="center"/>
    </xf>
    <xf borderId="1" fillId="3" fontId="9" numFmtId="0" xfId="0" applyAlignment="1" applyBorder="1" applyFont="1">
      <alignment horizontal="left" vertical="center"/>
    </xf>
    <xf borderId="1" fillId="4" fontId="10" numFmtId="0" xfId="0" applyAlignment="1" applyBorder="1" applyFill="1" applyFont="1">
      <alignment readingOrder="0" vertical="center"/>
    </xf>
    <xf borderId="1" fillId="4" fontId="5" numFmtId="0" xfId="0" applyAlignment="1" applyBorder="1" applyFont="1">
      <alignment vertical="center"/>
    </xf>
    <xf borderId="1" fillId="4" fontId="10" numFmtId="0" xfId="0" applyAlignment="1" applyBorder="1" applyFont="1">
      <alignment vertical="center"/>
    </xf>
    <xf borderId="1" fillId="3" fontId="11" numFmtId="0" xfId="0" applyAlignment="1" applyBorder="1" applyFont="1">
      <alignment vertical="center"/>
    </xf>
    <xf borderId="1" fillId="3" fontId="12" numFmtId="0" xfId="0" applyAlignment="1" applyBorder="1" applyFont="1">
      <alignment vertical="center"/>
    </xf>
    <xf borderId="0" fillId="4" fontId="13" numFmtId="0" xfId="0" applyAlignment="1" applyFont="1">
      <alignment readingOrder="0" shrinkToFit="0" vertical="center" wrapText="0"/>
    </xf>
    <xf borderId="1" fillId="4" fontId="14" numFmtId="0" xfId="0" applyAlignment="1" applyBorder="1" applyFont="1">
      <alignment vertical="center"/>
    </xf>
    <xf borderId="1" fillId="3" fontId="15" numFmtId="0" xfId="0" applyAlignment="1" applyBorder="1" applyFont="1">
      <alignment horizontal="center" vertical="center"/>
    </xf>
    <xf borderId="1" fillId="3" fontId="16" numFmtId="0" xfId="0" applyAlignment="1" applyBorder="1" applyFont="1">
      <alignment vertical="center"/>
    </xf>
    <xf borderId="1" fillId="4" fontId="9" numFmtId="0" xfId="0" applyAlignment="1" applyBorder="1" applyFont="1">
      <alignment vertical="center"/>
    </xf>
    <xf borderId="1" fillId="4" fontId="5" numFmtId="1" xfId="0" applyAlignment="1" applyBorder="1" applyFont="1" applyNumberFormat="1">
      <alignment horizontal="center" vertical="center"/>
    </xf>
    <xf borderId="1" fillId="4" fontId="14" numFmtId="0" xfId="0" applyAlignment="1" applyBorder="1" applyFont="1">
      <alignment readingOrder="0" vertical="center"/>
    </xf>
    <xf borderId="2" fillId="4" fontId="5" numFmtId="0" xfId="0" applyAlignment="1" applyBorder="1" applyFont="1">
      <alignment horizontal="center" readingOrder="0" vertical="top"/>
    </xf>
    <xf borderId="1" fillId="3" fontId="5" numFmtId="0" xfId="0" applyAlignment="1" applyBorder="1" applyFont="1">
      <alignment horizontal="left" vertical="top"/>
    </xf>
    <xf borderId="1" fillId="5" fontId="9" numFmtId="0" xfId="0" applyAlignment="1" applyBorder="1" applyFill="1" applyFont="1">
      <alignment vertical="center"/>
    </xf>
    <xf borderId="1" fillId="5" fontId="5" numFmtId="1" xfId="0" applyAlignment="1" applyBorder="1" applyFont="1" applyNumberFormat="1">
      <alignment horizontal="center" vertical="center"/>
    </xf>
    <xf borderId="1" fillId="5" fontId="5" numFmtId="0" xfId="0" applyAlignment="1" applyBorder="1" applyFont="1">
      <alignment vertical="center"/>
    </xf>
    <xf borderId="2" fillId="5" fontId="5" numFmtId="0" xfId="0" applyAlignment="1" applyBorder="1" applyFont="1">
      <alignment horizontal="center" readingOrder="0" vertical="top"/>
    </xf>
    <xf borderId="1" fillId="3" fontId="17" numFmtId="0" xfId="0" applyAlignment="1" applyBorder="1" applyFont="1">
      <alignment vertical="center"/>
    </xf>
    <xf borderId="1" fillId="3" fontId="18" numFmtId="0" xfId="0" applyAlignment="1" applyBorder="1" applyFont="1">
      <alignment vertical="center"/>
    </xf>
    <xf borderId="1" fillId="3" fontId="14" numFmtId="0" xfId="0" applyAlignment="1" applyBorder="1" applyFont="1">
      <alignment vertical="center"/>
    </xf>
    <xf borderId="1" fillId="3" fontId="19" numFmtId="0" xfId="0" applyAlignment="1" applyBorder="1" applyFont="1">
      <alignment horizontal="left" vertical="center"/>
    </xf>
    <xf borderId="1" fillId="3" fontId="20" numFmtId="0" xfId="0" applyAlignment="1" applyBorder="1" applyFont="1">
      <alignment horizontal="left" vertical="center"/>
    </xf>
    <xf borderId="1" fillId="3" fontId="19" numFmtId="0" xfId="0" applyAlignment="1" applyBorder="1" applyFont="1">
      <alignment vertical="center"/>
    </xf>
    <xf borderId="1" fillId="3" fontId="10" numFmtId="0" xfId="0" applyAlignment="1" applyBorder="1" applyFont="1">
      <alignment horizontal="center" vertical="center"/>
    </xf>
    <xf borderId="1" fillId="3" fontId="11" numFmtId="0" xfId="0" applyAlignment="1" applyBorder="1" applyFont="1">
      <alignment horizontal="left" vertical="center"/>
    </xf>
    <xf borderId="1" fillId="3" fontId="20" numFmtId="0" xfId="0" applyAlignment="1" applyBorder="1" applyFont="1">
      <alignment vertical="center"/>
    </xf>
    <xf borderId="1" fillId="3" fontId="10" numFmtId="0" xfId="0" applyAlignment="1" applyBorder="1" applyFont="1">
      <alignment horizontal="left" vertical="center"/>
    </xf>
    <xf borderId="1" fillId="3" fontId="10" numFmtId="0" xfId="0" applyAlignment="1" applyBorder="1" applyFont="1">
      <alignment vertical="center"/>
    </xf>
    <xf borderId="3" fillId="3" fontId="9" numFmtId="0" xfId="0" applyAlignment="1" applyBorder="1" applyFont="1">
      <alignment vertical="center"/>
    </xf>
    <xf borderId="1" fillId="3" fontId="5" numFmtId="0" xfId="0" applyAlignment="1" applyBorder="1" applyFont="1">
      <alignment horizontal="center" vertical="top"/>
    </xf>
    <xf borderId="1" fillId="3" fontId="9" numFmtId="0" xfId="0" applyAlignment="1" applyBorder="1" applyFont="1">
      <alignment horizontal="right" vertical="center"/>
    </xf>
    <xf borderId="4" fillId="3" fontId="5" numFmtId="0" xfId="0" applyAlignment="1" applyBorder="1" applyFont="1">
      <alignment vertical="center"/>
    </xf>
    <xf borderId="1" fillId="6" fontId="12" numFmtId="0" xfId="0" applyAlignment="1" applyBorder="1" applyFill="1" applyFont="1">
      <alignment horizontal="left" vertical="center"/>
    </xf>
    <xf borderId="5" fillId="6" fontId="12" numFmtId="0" xfId="0" applyAlignment="1" applyBorder="1" applyFont="1">
      <alignment horizontal="left" vertical="center"/>
    </xf>
    <xf borderId="1" fillId="6" fontId="12" numFmtId="0" xfId="0" applyAlignment="1" applyBorder="1" applyFont="1">
      <alignment horizontal="center" vertical="center"/>
    </xf>
    <xf borderId="1" fillId="6" fontId="21" numFmtId="164" xfId="0" applyAlignment="1" applyBorder="1" applyFont="1" applyNumberFormat="1">
      <alignment horizontal="center" vertical="center"/>
    </xf>
    <xf borderId="1" fillId="6" fontId="12" numFmtId="164" xfId="0" applyAlignment="1" applyBorder="1" applyFont="1" applyNumberFormat="1">
      <alignment horizontal="center" vertical="center"/>
    </xf>
    <xf borderId="1" fillId="7" fontId="5" numFmtId="0" xfId="0" applyAlignment="1" applyBorder="1" applyFill="1" applyFont="1">
      <alignment vertical="center"/>
    </xf>
    <xf borderId="1" fillId="3" fontId="22" numFmtId="0" xfId="0" applyAlignment="1" applyBorder="1" applyFont="1">
      <alignment horizontal="right" vertical="center"/>
    </xf>
    <xf borderId="6" fillId="3" fontId="22" numFmtId="0" xfId="0" applyAlignment="1" applyBorder="1" applyFont="1">
      <alignment horizontal="right" vertical="center"/>
    </xf>
    <xf borderId="2" fillId="4" fontId="14" numFmtId="0" xfId="0" applyAlignment="1" applyBorder="1" applyFont="1">
      <alignment horizontal="center" readingOrder="0" vertical="center"/>
    </xf>
    <xf borderId="1" fillId="3" fontId="12" numFmtId="0" xfId="0" applyAlignment="1" applyBorder="1" applyFont="1">
      <alignment horizontal="left" vertical="center"/>
    </xf>
    <xf borderId="1" fillId="3" fontId="12" numFmtId="0" xfId="0" applyAlignment="1" applyBorder="1" applyFont="1">
      <alignment horizontal="center" vertical="center"/>
    </xf>
    <xf borderId="1" fillId="3" fontId="11" numFmtId="0" xfId="0" applyAlignment="1" applyBorder="1" applyFont="1">
      <alignment horizontal="right" vertical="center"/>
    </xf>
    <xf borderId="1" fillId="3" fontId="10" numFmtId="165" xfId="0" applyAlignment="1" applyBorder="1" applyFont="1" applyNumberFormat="1">
      <alignment horizontal="center" vertical="center"/>
    </xf>
    <xf borderId="2" fillId="5" fontId="14" numFmtId="0" xfId="0" applyAlignment="1" applyBorder="1" applyFont="1">
      <alignment horizontal="center" readingOrder="0" vertical="center"/>
    </xf>
    <xf borderId="1" fillId="6" fontId="5" numFmtId="0" xfId="0" applyAlignment="1" applyBorder="1" applyFont="1">
      <alignment vertical="center"/>
    </xf>
    <xf borderId="1" fillId="3" fontId="23" numFmtId="0" xfId="0" applyAlignment="1" applyBorder="1" applyFont="1">
      <alignment horizontal="left" vertical="center"/>
    </xf>
    <xf borderId="2" fillId="5" fontId="14" numFmtId="0" xfId="0" applyAlignment="1" applyBorder="1" applyFont="1">
      <alignment horizontal="center" vertical="center"/>
    </xf>
    <xf borderId="2" fillId="5" fontId="5" numFmtId="0" xfId="0" applyAlignment="1" applyBorder="1" applyFont="1">
      <alignment horizontal="center" vertical="center"/>
    </xf>
    <xf borderId="2" fillId="4" fontId="14" numFmtId="0" xfId="0" applyAlignment="1" applyBorder="1" applyFont="1">
      <alignment horizontal="center" vertical="center"/>
    </xf>
    <xf borderId="2" fillId="4" fontId="5" numFmtId="0" xfId="0" applyAlignment="1" applyBorder="1" applyFont="1">
      <alignment horizontal="center" vertical="center"/>
    </xf>
    <xf borderId="1" fillId="3" fontId="15" numFmtId="0" xfId="0" applyAlignment="1" applyBorder="1" applyFont="1">
      <alignment vertical="center"/>
    </xf>
    <xf borderId="7" fillId="3" fontId="11" numFmtId="0" xfId="0" applyAlignment="1" applyBorder="1" applyFont="1">
      <alignment vertical="center"/>
    </xf>
    <xf borderId="1" fillId="3" fontId="24" numFmtId="0" xfId="0" applyAlignment="1" applyBorder="1" applyFont="1">
      <alignment horizontal="left" vertical="center"/>
    </xf>
    <xf borderId="1" fillId="3" fontId="25" numFmtId="0" xfId="0" applyAlignment="1" applyBorder="1" applyFont="1">
      <alignment vertical="center"/>
    </xf>
    <xf borderId="1" fillId="3" fontId="26" numFmtId="0" xfId="0" applyAlignment="1" applyBorder="1" applyFont="1">
      <alignment vertical="center"/>
    </xf>
    <xf borderId="1" fillId="4" fontId="19" numFmtId="0" xfId="0" applyAlignment="1" applyBorder="1" applyFont="1">
      <alignment horizontal="center" vertical="center"/>
    </xf>
    <xf borderId="1" fillId="4" fontId="10" numFmtId="0" xfId="0" applyAlignment="1" applyBorder="1" applyFont="1">
      <alignment horizontal="center" vertical="center"/>
    </xf>
    <xf borderId="1" fillId="3" fontId="18" numFmtId="0" xfId="0" applyAlignment="1" applyBorder="1" applyFont="1">
      <alignment horizontal="left" vertical="center"/>
    </xf>
    <xf borderId="1" fillId="3" fontId="27" numFmtId="0" xfId="0" applyAlignment="1" applyBorder="1" applyFont="1">
      <alignment horizontal="left" vertical="center"/>
    </xf>
    <xf borderId="1" fillId="4" fontId="14" numFmtId="0" xfId="0" applyAlignment="1" applyBorder="1" applyFont="1">
      <alignment horizontal="center" vertical="center"/>
    </xf>
    <xf borderId="1" fillId="4" fontId="14" numFmtId="0" xfId="0" applyAlignment="1" applyBorder="1" applyFont="1">
      <alignment horizontal="center" vertical="bottom"/>
    </xf>
    <xf borderId="1" fillId="4" fontId="19" numFmtId="0" xfId="0" applyAlignment="1" applyBorder="1" applyFont="1">
      <alignment readingOrder="0" vertical="center"/>
    </xf>
    <xf borderId="1" fillId="4" fontId="19" numFmtId="0" xfId="0" applyAlignment="1" applyBorder="1" applyFont="1">
      <alignment vertical="center"/>
    </xf>
    <xf borderId="8" fillId="4" fontId="14" numFmtId="0" xfId="0" applyAlignment="1" applyBorder="1" applyFont="1">
      <alignment readingOrder="0" vertical="center"/>
    </xf>
    <xf borderId="1" fillId="7" fontId="12" numFmtId="0" xfId="0" applyAlignment="1" applyBorder="1" applyFont="1">
      <alignment horizontal="center" vertical="center"/>
    </xf>
    <xf borderId="8" fillId="4" fontId="10" numFmtId="0" xfId="0" applyAlignment="1" applyBorder="1" applyFont="1">
      <alignment readingOrder="0" vertical="center"/>
    </xf>
    <xf borderId="9" fillId="4" fontId="19" numFmtId="0" xfId="0" applyAlignment="1" applyBorder="1" applyFont="1">
      <alignment readingOrder="0" vertical="center"/>
    </xf>
    <xf borderId="10" fillId="4" fontId="19" numFmtId="0" xfId="0" applyAlignment="1" applyBorder="1" applyFont="1">
      <alignment readingOrder="0" vertical="center"/>
    </xf>
    <xf borderId="0" fillId="4" fontId="13" numFmtId="0" xfId="0" applyAlignment="1" applyFont="1">
      <alignment shrinkToFit="0" vertical="center" wrapText="0"/>
    </xf>
    <xf borderId="1" fillId="4" fontId="5" numFmtId="0" xfId="0" applyAlignment="1" applyBorder="1" applyFont="1">
      <alignment horizontal="center" vertical="top"/>
    </xf>
    <xf borderId="0" fillId="4" fontId="13" numFmtId="0" xfId="0" applyAlignment="1" applyFont="1">
      <alignment horizontal="center" shrinkToFit="0" vertical="center" wrapText="0"/>
    </xf>
    <xf borderId="1" fillId="5" fontId="5" numFmtId="0" xfId="0" applyAlignment="1" applyBorder="1" applyFont="1">
      <alignment horizontal="center" vertical="top"/>
    </xf>
    <xf borderId="0" fillId="4" fontId="28" numFmtId="0" xfId="0" applyAlignment="1" applyFont="1">
      <alignment shrinkToFit="0" vertical="center" wrapText="0"/>
    </xf>
    <xf borderId="9" fillId="4" fontId="14" numFmtId="0" xfId="0" applyAlignment="1" applyBorder="1" applyFont="1">
      <alignment readingOrder="0" vertical="center"/>
    </xf>
    <xf borderId="10" fillId="4" fontId="14" numFmtId="0" xfId="0" applyAlignment="1" applyBorder="1" applyFont="1">
      <alignment readingOrder="0" vertical="center"/>
    </xf>
    <xf borderId="0" fillId="4" fontId="29" numFmtId="0" xfId="0" applyAlignment="1" applyFont="1">
      <alignment shrinkToFit="0" vertical="center" wrapText="0"/>
    </xf>
    <xf borderId="1" fillId="7" fontId="5" numFmtId="0" xfId="0" applyAlignment="1" applyBorder="1" applyFont="1">
      <alignment horizontal="center" vertical="center"/>
    </xf>
    <xf borderId="0" fillId="4" fontId="13" numFmtId="0" xfId="0" applyAlignment="1" applyFont="1">
      <alignment readingOrder="0" shrinkToFit="0" vertical="center" wrapText="0"/>
    </xf>
    <xf borderId="1" fillId="3" fontId="30" numFmtId="0" xfId="0" applyAlignment="1" applyBorder="1" applyFont="1">
      <alignment vertical="center"/>
    </xf>
    <xf borderId="11" fillId="4" fontId="12" numFmtId="0" xfId="0" applyAlignment="1" applyBorder="1" applyFont="1">
      <alignment horizontal="left" shrinkToFit="0" vertical="top" wrapText="1"/>
    </xf>
    <xf borderId="12" fillId="0" fontId="31" numFmtId="0" xfId="0" applyAlignment="1" applyBorder="1" applyFont="1">
      <alignment vertical="center"/>
    </xf>
    <xf borderId="13" fillId="0" fontId="31" numFmtId="0" xfId="0" applyAlignment="1" applyBorder="1" applyFont="1">
      <alignment vertical="center"/>
    </xf>
    <xf borderId="1" fillId="3" fontId="32" numFmtId="0" xfId="0" applyAlignment="1" applyBorder="1" applyFont="1">
      <alignment shrinkToFit="0" vertical="top" wrapText="1"/>
    </xf>
    <xf borderId="1" fillId="3" fontId="12" numFmtId="0" xfId="0" applyAlignment="1" applyBorder="1" applyFont="1">
      <alignment shrinkToFit="0" vertical="top" wrapText="1"/>
    </xf>
    <xf borderId="0" fillId="0" fontId="14" numFmtId="0" xfId="0" applyAlignment="1" applyFont="1">
      <alignment horizontal="center" vertical="bottom"/>
    </xf>
    <xf borderId="0" fillId="0" fontId="14" numFmtId="0" xfId="0" applyAlignment="1" applyFont="1">
      <alignment horizontal="center" vertical="center"/>
    </xf>
    <xf borderId="0" fillId="0" fontId="14" numFmtId="0" xfId="0" applyAlignment="1" applyFont="1">
      <alignment vertical="center"/>
    </xf>
    <xf borderId="14" fillId="8" fontId="5" numFmtId="0" xfId="0" applyAlignment="1" applyBorder="1" applyFill="1" applyFont="1">
      <alignment vertical="center"/>
    </xf>
    <xf borderId="14" fillId="8" fontId="9" numFmtId="0" xfId="0" applyAlignment="1" applyBorder="1" applyFont="1">
      <alignment horizontal="left" vertical="center"/>
    </xf>
    <xf borderId="14" fillId="8" fontId="9" numFmtId="0" xfId="0" applyAlignment="1" applyBorder="1" applyFont="1">
      <alignment vertical="center"/>
    </xf>
    <xf borderId="14" fillId="0" fontId="5" numFmtId="0" xfId="0" applyAlignment="1" applyBorder="1" applyFont="1">
      <alignment vertical="center"/>
    </xf>
    <xf borderId="14" fillId="0" fontId="5" numFmtId="0" xfId="0" applyAlignment="1" applyBorder="1" applyFont="1">
      <alignment horizontal="left" vertical="center"/>
    </xf>
    <xf borderId="14" fillId="0" fontId="9" numFmtId="0" xfId="0" applyAlignment="1" applyBorder="1" applyFont="1">
      <alignment vertical="center"/>
    </xf>
    <xf borderId="14" fillId="0" fontId="9" numFmtId="0" xfId="0" applyAlignment="1" applyBorder="1" applyFont="1">
      <alignment horizontal="left" vertical="center"/>
    </xf>
    <xf borderId="14" fillId="0" fontId="5" numFmtId="0" xfId="0" applyAlignment="1" applyBorder="1" applyFont="1">
      <alignment horizontal="center" vertical="center"/>
    </xf>
    <xf borderId="0" fillId="0" fontId="5" numFmtId="0" xfId="0" applyAlignment="1" applyFont="1">
      <alignment vertical="center"/>
    </xf>
    <xf borderId="14" fillId="0" fontId="5" numFmtId="0" xfId="0" applyAlignment="1" applyBorder="1" applyFont="1">
      <alignment horizontal="center" vertical="bottom"/>
    </xf>
    <xf borderId="15" fillId="0" fontId="5" numFmtId="0" xfId="0" applyAlignment="1" applyBorder="1" applyFont="1">
      <alignment vertical="center"/>
    </xf>
    <xf borderId="16" fillId="0" fontId="5" numFmtId="0" xfId="0" applyAlignment="1" applyBorder="1" applyFont="1">
      <alignment horizontal="left" vertical="center"/>
    </xf>
    <xf borderId="1" fillId="2" fontId="5" numFmtId="0" xfId="0" applyAlignment="1" applyBorder="1" applyFont="1">
      <alignment horizontal="center" vertical="center"/>
    </xf>
    <xf borderId="0" fillId="0" fontId="33" numFmtId="0" xfId="0" applyAlignment="1" applyFont="1">
      <alignment horizontal="center" vertical="center"/>
    </xf>
    <xf borderId="14" fillId="0" fontId="5" numFmtId="0" xfId="0" applyAlignment="1" applyBorder="1" applyFont="1">
      <alignment horizontal="right" vertical="center"/>
    </xf>
    <xf borderId="1" fillId="2" fontId="33" numFmtId="0" xfId="0" applyAlignment="1" applyBorder="1" applyFont="1">
      <alignment horizontal="center" vertical="center"/>
    </xf>
    <xf borderId="14" fillId="0" fontId="34" numFmtId="0" xfId="0" applyAlignment="1" applyBorder="1" applyFont="1">
      <alignment vertical="center"/>
    </xf>
    <xf borderId="14" fillId="5" fontId="5" numFmtId="0" xfId="0" applyAlignment="1" applyBorder="1" applyFont="1">
      <alignment vertical="center"/>
    </xf>
    <xf borderId="14" fillId="2" fontId="5" numFmtId="0" xfId="0" applyAlignment="1" applyBorder="1" applyFont="1">
      <alignment vertical="center"/>
    </xf>
    <xf borderId="14" fillId="0" fontId="18" numFmtId="0" xfId="0" applyAlignment="1" applyBorder="1" applyFont="1">
      <alignment vertical="center"/>
    </xf>
    <xf borderId="14" fillId="0" fontId="34" numFmtId="0" xfId="0" applyAlignment="1" applyBorder="1" applyFont="1">
      <alignment horizontal="left" vertical="center"/>
    </xf>
    <xf borderId="0" fillId="0" fontId="5" numFmtId="0" xfId="0" applyAlignment="1" applyFont="1">
      <alignment horizontal="left" vertical="center"/>
    </xf>
    <xf borderId="17" fillId="0" fontId="5" numFmtId="0" xfId="0" applyAlignment="1" applyBorder="1" applyFont="1">
      <alignment vertical="center"/>
    </xf>
    <xf borderId="17" fillId="0" fontId="5" numFmtId="0" xfId="0" applyAlignment="1" applyBorder="1" applyFont="1">
      <alignment horizontal="left" vertical="center"/>
    </xf>
    <xf borderId="0" fillId="0" fontId="5" numFmtId="0" xfId="0" applyAlignment="1" applyFont="1">
      <alignment horizontal="center" vertical="center"/>
    </xf>
    <xf borderId="18" fillId="0" fontId="5" numFmtId="0" xfId="0" applyAlignment="1" applyBorder="1" applyFont="1">
      <alignment vertical="center"/>
    </xf>
    <xf borderId="0" fillId="0" fontId="12" numFmtId="0" xfId="0" applyAlignment="1" applyFont="1">
      <alignment vertical="center"/>
    </xf>
    <xf borderId="1" fillId="2" fontId="12" numFmtId="0" xfId="0" applyAlignment="1" applyBorder="1" applyFont="1">
      <alignment horizontal="center" vertical="center"/>
    </xf>
    <xf borderId="1" fillId="2" fontId="10" numFmtId="0" xfId="0" applyAlignment="1" applyBorder="1" applyFont="1">
      <alignment horizontal="center" vertical="center"/>
    </xf>
    <xf borderId="14" fillId="0" fontId="33" numFmtId="0" xfId="0" applyAlignment="1" applyBorder="1" applyFont="1">
      <alignment vertical="center"/>
    </xf>
    <xf borderId="1" fillId="2" fontId="35" numFmtId="0" xfId="0" applyAlignment="1" applyBorder="1" applyFont="1">
      <alignment horizontal="center" vertical="center"/>
    </xf>
    <xf borderId="1" fillId="2" fontId="36" numFmtId="0" xfId="0" applyAlignment="1" applyBorder="1" applyFont="1">
      <alignment horizontal="center" vertical="center"/>
    </xf>
    <xf borderId="14" fillId="0" fontId="5" numFmtId="0" xfId="0" applyAlignment="1" applyBorder="1" applyFont="1">
      <alignment readingOrder="0" vertical="center"/>
    </xf>
    <xf borderId="0" fillId="0" fontId="37" numFmtId="0" xfId="0" applyAlignment="1" applyFont="1">
      <alignment vertical="center"/>
    </xf>
    <xf borderId="14" fillId="9" fontId="5" numFmtId="0" xfId="0" applyAlignment="1" applyBorder="1" applyFill="1" applyFont="1">
      <alignment vertical="center"/>
    </xf>
    <xf borderId="14" fillId="10" fontId="9" numFmtId="0" xfId="0" applyAlignment="1" applyBorder="1" applyFill="1" applyFont="1">
      <alignment vertical="center"/>
    </xf>
    <xf borderId="14" fillId="10" fontId="5" numFmtId="0" xfId="0" applyAlignment="1" applyBorder="1" applyFont="1">
      <alignment vertical="center"/>
    </xf>
    <xf borderId="14" fillId="11" fontId="5" numFmtId="0" xfId="0" applyAlignment="1" applyBorder="1" applyFill="1" applyFont="1">
      <alignment vertical="center"/>
    </xf>
    <xf borderId="1" fillId="2" fontId="12" numFmtId="0" xfId="0" applyAlignment="1" applyBorder="1" applyFont="1">
      <alignment vertical="center"/>
    </xf>
    <xf borderId="14" fillId="10" fontId="5" numFmtId="0" xfId="0" applyAlignment="1" applyBorder="1" applyFont="1">
      <alignment horizontal="left" vertical="center"/>
    </xf>
    <xf borderId="14" fillId="4" fontId="5" numFmtId="0" xfId="0" applyAlignment="1" applyBorder="1" applyFont="1">
      <alignment vertical="center"/>
    </xf>
    <xf borderId="15" fillId="0" fontId="5" numFmtId="0" xfId="0" applyAlignment="1" applyBorder="1" applyFont="1">
      <alignment horizontal="left" vertical="center"/>
    </xf>
    <xf borderId="19" fillId="0" fontId="5" numFmtId="0" xfId="0" applyAlignment="1" applyBorder="1" applyFont="1">
      <alignment vertical="center"/>
    </xf>
    <xf borderId="1" fillId="2" fontId="5" numFmtId="0" xfId="0" applyAlignment="1" applyBorder="1" applyFont="1">
      <alignment horizontal="left" vertical="center"/>
    </xf>
    <xf borderId="1" fillId="2" fontId="5" numFmtId="9" xfId="0" applyAlignment="1" applyBorder="1" applyFont="1" applyNumberFormat="1">
      <alignment horizontal="center" vertical="center"/>
    </xf>
    <xf borderId="1" fillId="2" fontId="9" numFmtId="0" xfId="0" applyAlignment="1" applyBorder="1" applyFont="1">
      <alignment horizontal="left" vertical="center"/>
    </xf>
    <xf borderId="1" fillId="2" fontId="18" numFmtId="0" xfId="0" applyAlignment="1" applyBorder="1" applyFont="1">
      <alignment horizontal="left" vertical="center"/>
    </xf>
    <xf borderId="1" fillId="2" fontId="33" numFmtId="0" xfId="0" applyAlignment="1" applyBorder="1" applyFont="1">
      <alignment horizontal="left" vertical="center"/>
    </xf>
    <xf borderId="0" fillId="0" fontId="33" numFmtId="0" xfId="0" applyAlignment="1" applyFont="1">
      <alignment horizontal="left" vertical="center"/>
    </xf>
    <xf borderId="0" fillId="0" fontId="5" numFmtId="164" xfId="0" applyAlignment="1" applyFont="1" applyNumberFormat="1">
      <alignment horizontal="right" vertical="center"/>
    </xf>
    <xf borderId="0" fillId="0" fontId="5" numFmtId="166" xfId="0" applyAlignment="1" applyFont="1" applyNumberFormat="1">
      <alignment horizontal="center" vertical="center"/>
    </xf>
    <xf borderId="0" fillId="0" fontId="5" numFmtId="164" xfId="0" applyAlignment="1" applyFont="1" applyNumberFormat="1">
      <alignment vertical="center"/>
    </xf>
    <xf borderId="0" fillId="0" fontId="5" numFmtId="0" xfId="0" applyAlignment="1" applyFont="1">
      <alignment horizontal="center" vertical="bottom"/>
    </xf>
    <xf borderId="0" fillId="0" fontId="34" numFmtId="0" xfId="0" applyAlignment="1" applyFont="1">
      <alignment vertical="center"/>
    </xf>
    <xf borderId="0" fillId="0" fontId="34" numFmtId="0" xfId="0" applyAlignment="1" applyFont="1">
      <alignment horizontal="left" vertical="center"/>
    </xf>
    <xf borderId="0" fillId="0" fontId="34" numFmtId="0" xfId="0" applyAlignment="1" applyFont="1">
      <alignment horizontal="center" vertical="center"/>
    </xf>
    <xf borderId="0" fillId="0" fontId="5" numFmtId="0" xfId="0" applyAlignment="1" applyFont="1">
      <alignment horizontal="right" vertical="center"/>
    </xf>
    <xf borderId="0" fillId="0" fontId="34" numFmtId="164" xfId="0" applyAlignment="1" applyFont="1" applyNumberFormat="1">
      <alignment horizontal="right" vertical="center"/>
    </xf>
    <xf borderId="0" fillId="0" fontId="38" numFmtId="0" xfId="0" applyAlignment="1" applyFont="1">
      <alignment vertical="center"/>
    </xf>
    <xf borderId="0" fillId="0" fontId="12" numFmtId="0" xfId="0" applyAlignment="1" applyFont="1">
      <alignment horizontal="center" vertical="center"/>
    </xf>
    <xf borderId="0" fillId="0" fontId="12" numFmtId="9" xfId="0" applyAlignment="1" applyFont="1" applyNumberFormat="1">
      <alignment horizontal="center" vertical="center"/>
    </xf>
    <xf borderId="0" fillId="0" fontId="10" numFmtId="0" xfId="0" applyAlignment="1" applyFont="1">
      <alignment vertical="center"/>
    </xf>
    <xf borderId="0" fillId="0" fontId="10" numFmtId="0" xfId="0" applyAlignment="1" applyFont="1">
      <alignment horizontal="center" vertical="center"/>
    </xf>
    <xf borderId="14" fillId="0" fontId="10" numFmtId="0" xfId="0" applyAlignment="1" applyBorder="1" applyFont="1">
      <alignment horizontal="center" vertical="center"/>
    </xf>
    <xf borderId="0" fillId="0" fontId="12" numFmtId="0" xfId="0" applyAlignment="1" applyFont="1">
      <alignment horizontal="center" readingOrder="0" vertical="center"/>
    </xf>
    <xf borderId="0" fillId="0" fontId="38" numFmtId="0" xfId="0" applyAlignment="1" applyFont="1">
      <alignment horizontal="center" vertical="center"/>
    </xf>
    <xf borderId="0" fillId="0" fontId="12" numFmtId="0" xfId="0" applyAlignment="1" applyFont="1">
      <alignment horizontal="left" vertical="center"/>
    </xf>
    <xf borderId="0" fillId="0" fontId="35" numFmtId="0" xfId="0" applyAlignment="1" applyFont="1">
      <alignment horizontal="left" vertical="center"/>
    </xf>
    <xf borderId="0" fillId="0" fontId="35" numFmtId="0" xfId="0" applyAlignment="1" applyFont="1">
      <alignment vertical="center"/>
    </xf>
    <xf borderId="0" fillId="0" fontId="39" numFmtId="0" xfId="0" applyAlignment="1" applyFont="1">
      <alignment vertical="center"/>
    </xf>
    <xf borderId="0" fillId="0" fontId="40" numFmtId="0" xfId="0" applyAlignment="1" applyFont="1">
      <alignment vertical="center"/>
    </xf>
    <xf borderId="14" fillId="0" fontId="12" numFmtId="0" xfId="0" applyAlignment="1" applyBorder="1" applyFont="1">
      <alignment vertical="center"/>
    </xf>
    <xf borderId="14" fillId="0" fontId="35" numFmtId="0" xfId="0" applyAlignment="1" applyBorder="1" applyFont="1">
      <alignment vertical="center"/>
    </xf>
    <xf borderId="0" fillId="0" fontId="41" numFmtId="0" xfId="0" applyAlignment="1" applyFont="1">
      <alignment horizontal="center" vertical="center"/>
    </xf>
    <xf borderId="0" fillId="0" fontId="12" numFmtId="167" xfId="0" applyAlignment="1" applyFont="1" applyNumberFormat="1">
      <alignment horizontal="right" vertical="center"/>
    </xf>
    <xf borderId="0" fillId="0" fontId="12" numFmtId="168" xfId="0" applyAlignment="1" applyFont="1" applyNumberFormat="1">
      <alignment horizontal="left" vertical="center"/>
    </xf>
    <xf borderId="0" fillId="0" fontId="42" numFmtId="0" xfId="0" applyAlignment="1" applyFont="1">
      <alignment vertical="center"/>
    </xf>
    <xf borderId="1" fillId="12" fontId="43" numFmtId="0" xfId="0" applyAlignment="1" applyBorder="1" applyFill="1" applyFont="1">
      <alignment vertical="center"/>
    </xf>
    <xf borderId="1" fillId="12" fontId="43" numFmtId="0" xfId="0" applyAlignment="1" applyBorder="1" applyFont="1">
      <alignment horizontal="left" vertical="center"/>
    </xf>
    <xf borderId="1" fillId="12" fontId="43" numFmtId="0" xfId="0" applyAlignment="1" applyBorder="1" applyFont="1">
      <alignment horizontal="center" vertical="center"/>
    </xf>
    <xf borderId="8" fillId="12" fontId="43" numFmtId="0" xfId="0" applyAlignment="1" applyBorder="1" applyFont="1">
      <alignment horizontal="center" vertical="center"/>
    </xf>
    <xf borderId="9" fillId="0" fontId="31" numFmtId="0" xfId="0" applyAlignment="1" applyBorder="1" applyFont="1">
      <alignment vertical="center"/>
    </xf>
    <xf borderId="1" fillId="13" fontId="12" numFmtId="0" xfId="0" applyAlignment="1" applyBorder="1" applyFill="1" applyFont="1">
      <alignment vertical="center"/>
    </xf>
    <xf borderId="1" fillId="13" fontId="12" numFmtId="0" xfId="0" applyAlignment="1" applyBorder="1" applyFont="1">
      <alignment horizontal="left" vertical="center"/>
    </xf>
    <xf borderId="1" fillId="13" fontId="12" numFmtId="0" xfId="0" applyAlignment="1" applyBorder="1" applyFont="1">
      <alignment horizontal="center" vertical="center"/>
    </xf>
    <xf borderId="1" fillId="13" fontId="41" numFmtId="0" xfId="0" applyAlignment="1" applyBorder="1" applyFont="1">
      <alignment horizontal="center" vertical="center"/>
    </xf>
    <xf borderId="1" fillId="13" fontId="21" numFmtId="164" xfId="0" applyAlignment="1" applyBorder="1" applyFont="1" applyNumberFormat="1">
      <alignment horizontal="center" vertical="center"/>
    </xf>
    <xf borderId="1" fillId="13" fontId="12" numFmtId="167" xfId="0" applyAlignment="1" applyBorder="1" applyFont="1" applyNumberFormat="1">
      <alignment horizontal="right" vertical="center"/>
    </xf>
    <xf borderId="1" fillId="13" fontId="12" numFmtId="168" xfId="0" applyAlignment="1" applyBorder="1" applyFont="1" applyNumberFormat="1">
      <alignment horizontal="left" vertical="center"/>
    </xf>
    <xf borderId="1" fillId="13" fontId="10" numFmtId="0" xfId="0" applyAlignment="1" applyBorder="1" applyFont="1">
      <alignment horizontal="center" vertical="center"/>
    </xf>
    <xf borderId="20" fillId="13" fontId="12" numFmtId="0" xfId="0" applyAlignment="1" applyBorder="1" applyFont="1">
      <alignment horizontal="center" vertical="center"/>
    </xf>
    <xf borderId="21" fillId="13" fontId="12" numFmtId="0" xfId="0" applyAlignment="1" applyBorder="1" applyFont="1">
      <alignment horizontal="center" vertical="center"/>
    </xf>
    <xf borderId="22" fillId="2" fontId="10" numFmtId="0" xfId="0" applyAlignment="1" applyBorder="1" applyFont="1">
      <alignment horizontal="center" vertical="center"/>
    </xf>
    <xf borderId="1" fillId="13" fontId="30" numFmtId="0" xfId="0" applyAlignment="1" applyBorder="1" applyFont="1">
      <alignment horizontal="center" vertical="center"/>
    </xf>
    <xf borderId="1" fillId="2" fontId="12" numFmtId="0" xfId="0" applyAlignment="1" applyBorder="1" applyFont="1">
      <alignment horizontal="left" vertical="center"/>
    </xf>
    <xf borderId="1" fillId="2" fontId="41" numFmtId="0" xfId="0" applyAlignment="1" applyBorder="1" applyFont="1">
      <alignment horizontal="center" vertical="center"/>
    </xf>
    <xf borderId="1" fillId="2" fontId="21" numFmtId="164" xfId="0" applyAlignment="1" applyBorder="1" applyFont="1" applyNumberFormat="1">
      <alignment horizontal="center" vertical="center"/>
    </xf>
    <xf borderId="1" fillId="2" fontId="12" numFmtId="167" xfId="0" applyAlignment="1" applyBorder="1" applyFont="1" applyNumberFormat="1">
      <alignment horizontal="right" vertical="center"/>
    </xf>
    <xf borderId="1" fillId="2" fontId="12" numFmtId="168" xfId="0" applyAlignment="1" applyBorder="1" applyFont="1" applyNumberFormat="1">
      <alignment horizontal="left" vertical="center"/>
    </xf>
    <xf borderId="23" fillId="2" fontId="12" numFmtId="0" xfId="0" applyAlignment="1" applyBorder="1" applyFont="1">
      <alignment horizontal="center" vertical="center"/>
    </xf>
    <xf borderId="21" fillId="2" fontId="12" numFmtId="0" xfId="0" applyAlignment="1" applyBorder="1" applyFont="1">
      <alignment horizontal="center" vertical="center"/>
    </xf>
    <xf borderId="24" fillId="0" fontId="31" numFmtId="0" xfId="0" applyAlignment="1" applyBorder="1" applyFont="1">
      <alignment vertical="center"/>
    </xf>
    <xf borderId="1" fillId="2" fontId="30" numFmtId="0" xfId="0" applyAlignment="1" applyBorder="1" applyFont="1">
      <alignment horizontal="center" vertical="center"/>
    </xf>
    <xf borderId="1" fillId="13" fontId="36" numFmtId="0" xfId="0" applyAlignment="1" applyBorder="1" applyFont="1">
      <alignment horizontal="center" vertical="center"/>
    </xf>
    <xf borderId="23" fillId="13" fontId="12" numFmtId="0" xfId="0" applyAlignment="1" applyBorder="1" applyFont="1">
      <alignment horizontal="center" vertical="center"/>
    </xf>
    <xf borderId="0" fillId="0" fontId="36" numFmtId="0" xfId="0" applyAlignment="1" applyFont="1">
      <alignment horizontal="center" vertical="center"/>
    </xf>
    <xf borderId="22" fillId="2" fontId="12" numFmtId="0" xfId="0" applyAlignment="1" applyBorder="1" applyFont="1">
      <alignment horizontal="center" vertical="center"/>
    </xf>
    <xf borderId="1" fillId="13" fontId="35" numFmtId="0" xfId="0" applyAlignment="1" applyBorder="1" applyFont="1">
      <alignment horizontal="center" vertical="center"/>
    </xf>
    <xf borderId="1" fillId="2" fontId="44" numFmtId="0" xfId="0" applyAlignment="1" applyBorder="1" applyFont="1">
      <alignment horizontal="center" vertical="center"/>
    </xf>
    <xf borderId="1" fillId="2" fontId="12" numFmtId="0" xfId="0" applyAlignment="1" applyBorder="1" applyFont="1">
      <alignment horizontal="center" readingOrder="0" vertical="center"/>
    </xf>
    <xf borderId="1" fillId="2" fontId="12" numFmtId="0" xfId="0" applyAlignment="1" applyBorder="1" applyFont="1">
      <alignment shrinkToFit="0" vertical="center" wrapText="1"/>
    </xf>
    <xf borderId="1" fillId="2" fontId="12" numFmtId="167" xfId="0" applyAlignment="1" applyBorder="1" applyFont="1" applyNumberFormat="1">
      <alignment horizontal="center" vertical="center"/>
    </xf>
    <xf borderId="1" fillId="13" fontId="12" numFmtId="167" xfId="0" applyAlignment="1" applyBorder="1" applyFont="1" applyNumberFormat="1">
      <alignment horizontal="center" vertical="center"/>
    </xf>
    <xf borderId="1" fillId="13" fontId="44" numFmtId="0" xfId="0" applyAlignment="1" applyBorder="1" applyFont="1">
      <alignment horizontal="center" vertical="center"/>
    </xf>
    <xf borderId="25" fillId="2" fontId="12" numFmtId="0" xfId="0" applyAlignment="1" applyBorder="1" applyFont="1">
      <alignment horizontal="center" vertical="center"/>
    </xf>
    <xf borderId="1" fillId="2" fontId="12" numFmtId="0" xfId="0" applyAlignment="1" applyBorder="1" applyFont="1">
      <alignment horizontal="right" vertical="center"/>
    </xf>
    <xf borderId="1" fillId="2" fontId="10" numFmtId="0" xfId="0" applyAlignment="1" applyBorder="1" applyFont="1">
      <alignment vertical="center"/>
    </xf>
    <xf borderId="1" fillId="2" fontId="45" numFmtId="0" xfId="0" applyAlignment="1" applyBorder="1" applyFont="1">
      <alignment vertical="center"/>
    </xf>
    <xf borderId="1" fillId="14" fontId="43" numFmtId="0" xfId="0" applyAlignment="1" applyBorder="1" applyFill="1" applyFont="1">
      <alignment vertical="center"/>
    </xf>
    <xf borderId="1" fillId="14" fontId="43" numFmtId="0" xfId="0" applyAlignment="1" applyBorder="1" applyFont="1">
      <alignment horizontal="center" vertical="center"/>
    </xf>
    <xf borderId="8" fillId="14" fontId="43" numFmtId="0" xfId="0" applyAlignment="1" applyBorder="1" applyFont="1">
      <alignment horizontal="center" vertical="center"/>
    </xf>
    <xf borderId="1" fillId="15" fontId="12" numFmtId="0" xfId="0" applyAlignment="1" applyBorder="1" applyFill="1" applyFont="1">
      <alignment vertical="center"/>
    </xf>
    <xf borderId="1" fillId="15" fontId="12" numFmtId="0" xfId="0" applyAlignment="1" applyBorder="1" applyFont="1">
      <alignment horizontal="center" vertical="center"/>
    </xf>
    <xf borderId="1" fillId="15" fontId="41" numFmtId="0" xfId="0" applyAlignment="1" applyBorder="1" applyFont="1">
      <alignment horizontal="center" vertical="center"/>
    </xf>
    <xf borderId="1" fillId="15" fontId="21" numFmtId="164" xfId="0" applyAlignment="1" applyBorder="1" applyFont="1" applyNumberFormat="1">
      <alignment horizontal="center" vertical="center"/>
    </xf>
    <xf borderId="1" fillId="15" fontId="12" numFmtId="167" xfId="0" applyAlignment="1" applyBorder="1" applyFont="1" applyNumberFormat="1">
      <alignment horizontal="right" vertical="center"/>
    </xf>
    <xf borderId="1" fillId="15" fontId="12" numFmtId="168" xfId="0" applyAlignment="1" applyBorder="1" applyFont="1" applyNumberFormat="1">
      <alignment horizontal="left" vertical="center"/>
    </xf>
    <xf borderId="1" fillId="15" fontId="10" numFmtId="0" xfId="0" applyAlignment="1" applyBorder="1" applyFont="1">
      <alignment horizontal="center" vertical="center"/>
    </xf>
    <xf borderId="20" fillId="15" fontId="12" numFmtId="0" xfId="0" applyAlignment="1" applyBorder="1" applyFont="1">
      <alignment horizontal="center" vertical="center"/>
    </xf>
    <xf borderId="21" fillId="15" fontId="12" numFmtId="0" xfId="0" applyAlignment="1" applyBorder="1" applyFont="1">
      <alignment horizontal="center" vertical="center"/>
    </xf>
    <xf borderId="1" fillId="15" fontId="30" numFmtId="0" xfId="0" applyAlignment="1" applyBorder="1" applyFont="1">
      <alignment horizontal="center" vertical="center"/>
    </xf>
    <xf borderId="23" fillId="15" fontId="12" numFmtId="0" xfId="0" applyAlignment="1" applyBorder="1" applyFont="1">
      <alignment horizontal="center" vertical="center"/>
    </xf>
    <xf borderId="1" fillId="15" fontId="36" numFmtId="0" xfId="0" applyAlignment="1" applyBorder="1" applyFont="1">
      <alignment horizontal="center" vertical="center"/>
    </xf>
    <xf borderId="1" fillId="2" fontId="12" numFmtId="168" xfId="0" applyAlignment="1" applyBorder="1" applyFont="1" applyNumberFormat="1">
      <alignment horizontal="center" vertical="center"/>
    </xf>
    <xf borderId="1" fillId="15" fontId="12" numFmtId="167" xfId="0" applyAlignment="1" applyBorder="1" applyFont="1" applyNumberFormat="1">
      <alignment horizontal="center" vertical="center"/>
    </xf>
    <xf borderId="1" fillId="15" fontId="12" numFmtId="168" xfId="0" applyAlignment="1" applyBorder="1" applyFont="1" applyNumberFormat="1">
      <alignment horizontal="center" vertical="center"/>
    </xf>
    <xf borderId="1" fillId="15" fontId="35" numFmtId="0" xfId="0" applyAlignment="1" applyBorder="1" applyFont="1">
      <alignment horizontal="center" vertical="center"/>
    </xf>
    <xf borderId="25" fillId="15" fontId="12" numFmtId="0" xfId="0" applyAlignment="1" applyBorder="1" applyFont="1">
      <alignment horizontal="center" vertical="center"/>
    </xf>
    <xf borderId="0" fillId="0" fontId="46" numFmtId="0" xfId="0" applyAlignment="1" applyFont="1">
      <alignment vertical="center"/>
    </xf>
    <xf borderId="26" fillId="2" fontId="12" numFmtId="0" xfId="0" applyAlignment="1" applyBorder="1" applyFont="1">
      <alignment horizontal="center" vertical="center"/>
    </xf>
    <xf borderId="1" fillId="16" fontId="10" numFmtId="0" xfId="0" applyAlignment="1" applyBorder="1" applyFill="1" applyFont="1">
      <alignment horizontal="center" vertical="center"/>
    </xf>
    <xf borderId="1" fillId="17" fontId="10" numFmtId="0" xfId="0" applyAlignment="1" applyBorder="1" applyFill="1" applyFont="1">
      <alignment horizontal="center" vertical="center"/>
    </xf>
    <xf borderId="1" fillId="18" fontId="12" numFmtId="0" xfId="0" applyAlignment="1" applyBorder="1" applyFill="1" applyFont="1">
      <alignment horizontal="center" vertical="center"/>
    </xf>
    <xf borderId="1" fillId="18" fontId="10" numFmtId="0" xfId="0" applyAlignment="1" applyBorder="1" applyFont="1">
      <alignment horizontal="center" vertical="center"/>
    </xf>
    <xf borderId="1" fillId="19" fontId="10" numFmtId="0" xfId="0" applyAlignment="1" applyBorder="1" applyFill="1" applyFont="1">
      <alignment horizontal="center" vertical="center"/>
    </xf>
    <xf borderId="1" fillId="11" fontId="10" numFmtId="0" xfId="0" applyAlignment="1" applyBorder="1" applyFont="1">
      <alignment horizontal="center" vertical="center"/>
    </xf>
    <xf borderId="1" fillId="20" fontId="10" numFmtId="0" xfId="0" applyAlignment="1" applyBorder="1" applyFill="1" applyFont="1">
      <alignment horizontal="center" vertical="center"/>
    </xf>
    <xf borderId="1" fillId="6" fontId="10" numFmtId="0" xfId="0" applyAlignment="1" applyBorder="1" applyFont="1">
      <alignment horizontal="center" vertical="center"/>
    </xf>
    <xf borderId="1" fillId="16" fontId="12" numFmtId="0" xfId="0" applyAlignment="1" applyBorder="1" applyFont="1">
      <alignment horizontal="center" vertical="center"/>
    </xf>
    <xf borderId="1" fillId="17" fontId="12" numFmtId="0" xfId="0" applyAlignment="1" applyBorder="1" applyFont="1">
      <alignment horizontal="center" vertical="center"/>
    </xf>
    <xf borderId="1" fillId="19" fontId="12" numFmtId="0" xfId="0" applyAlignment="1" applyBorder="1" applyFont="1">
      <alignment horizontal="center" vertical="center"/>
    </xf>
    <xf borderId="1" fillId="11" fontId="12" numFmtId="0" xfId="0" applyAlignment="1" applyBorder="1" applyFont="1">
      <alignment horizontal="center" vertical="center"/>
    </xf>
    <xf borderId="1" fillId="20" fontId="12" numFmtId="0" xfId="0" applyAlignment="1" applyBorder="1" applyFont="1">
      <alignment horizontal="center" vertical="center"/>
    </xf>
    <xf borderId="1" fillId="21" fontId="47" numFmtId="0" xfId="0" applyAlignment="1" applyBorder="1" applyFill="1" applyFont="1">
      <alignment vertical="center"/>
    </xf>
    <xf borderId="1" fillId="21" fontId="43" numFmtId="0" xfId="0" applyAlignment="1" applyBorder="1" applyFont="1">
      <alignment vertical="center"/>
    </xf>
    <xf borderId="1" fillId="21" fontId="43" numFmtId="0" xfId="0" applyAlignment="1" applyBorder="1" applyFont="1">
      <alignment horizontal="center" vertical="center"/>
    </xf>
    <xf borderId="8" fillId="21" fontId="43" numFmtId="0" xfId="0" applyAlignment="1" applyBorder="1" applyFont="1">
      <alignment horizontal="center" vertical="center"/>
    </xf>
    <xf borderId="1" fillId="21" fontId="48" numFmtId="0" xfId="0" applyAlignment="1" applyBorder="1" applyFont="1">
      <alignment vertical="center"/>
    </xf>
    <xf borderId="0" fillId="0" fontId="48" numFmtId="0" xfId="0" applyAlignment="1" applyFont="1">
      <alignment vertical="center"/>
    </xf>
    <xf borderId="1" fillId="22" fontId="12" numFmtId="0" xfId="0" applyAlignment="1" applyBorder="1" applyFill="1" applyFont="1">
      <alignment vertical="center"/>
    </xf>
    <xf borderId="1" fillId="22" fontId="10" numFmtId="0" xfId="0" applyAlignment="1" applyBorder="1" applyFont="1">
      <alignment horizontal="center" vertical="center"/>
    </xf>
    <xf borderId="1" fillId="22" fontId="41" numFmtId="0" xfId="0" applyAlignment="1" applyBorder="1" applyFont="1">
      <alignment horizontal="center" vertical="center"/>
    </xf>
    <xf borderId="1" fillId="22" fontId="21" numFmtId="164" xfId="0" applyAlignment="1" applyBorder="1" applyFont="1" applyNumberFormat="1">
      <alignment horizontal="center" vertical="center"/>
    </xf>
    <xf borderId="1" fillId="22" fontId="12" numFmtId="167" xfId="0" applyAlignment="1" applyBorder="1" applyFont="1" applyNumberFormat="1">
      <alignment horizontal="right" vertical="center"/>
    </xf>
    <xf borderId="1" fillId="22" fontId="12" numFmtId="168" xfId="0" applyAlignment="1" applyBorder="1" applyFont="1" applyNumberFormat="1">
      <alignment horizontal="left" vertical="center"/>
    </xf>
    <xf borderId="20" fillId="22" fontId="12" numFmtId="0" xfId="0" applyAlignment="1" applyBorder="1" applyFont="1">
      <alignment horizontal="center" vertical="center"/>
    </xf>
    <xf borderId="1" fillId="22" fontId="12" numFmtId="0" xfId="0" applyAlignment="1" applyBorder="1" applyFont="1">
      <alignment horizontal="center" vertical="center"/>
    </xf>
    <xf borderId="21" fillId="22" fontId="12" numFmtId="0" xfId="0" applyAlignment="1" applyBorder="1" applyFont="1">
      <alignment horizontal="center" vertical="center"/>
    </xf>
    <xf borderId="22" fillId="22" fontId="10" numFmtId="0" xfId="0" applyAlignment="1" applyBorder="1" applyFont="1">
      <alignment horizontal="center" vertical="center"/>
    </xf>
    <xf borderId="1" fillId="22" fontId="30" numFmtId="0" xfId="0" applyAlignment="1" applyBorder="1" applyFont="1">
      <alignment horizontal="center" vertical="center"/>
    </xf>
    <xf borderId="0" fillId="22" fontId="5" numFmtId="0" xfId="0" applyAlignment="1" applyFont="1">
      <alignment vertical="center"/>
    </xf>
    <xf borderId="23" fillId="22" fontId="12" numFmtId="0" xfId="0" applyAlignment="1" applyBorder="1" applyFont="1">
      <alignment horizontal="center" vertical="center"/>
    </xf>
    <xf borderId="1" fillId="22" fontId="35" numFmtId="0" xfId="0" applyAlignment="1" applyBorder="1" applyFont="1">
      <alignment horizontal="center" vertical="center"/>
    </xf>
    <xf borderId="1" fillId="22" fontId="36" numFmtId="0" xfId="0" applyAlignment="1" applyBorder="1" applyFont="1">
      <alignment horizontal="center" vertical="center"/>
    </xf>
    <xf borderId="1" fillId="2" fontId="5" numFmtId="0" xfId="0" applyAlignment="1" applyBorder="1" applyFont="1">
      <alignment vertical="center"/>
    </xf>
    <xf borderId="1" fillId="23" fontId="43" numFmtId="0" xfId="0" applyAlignment="1" applyBorder="1" applyFill="1" applyFont="1">
      <alignment vertical="center"/>
    </xf>
    <xf borderId="1" fillId="23" fontId="43" numFmtId="0" xfId="0" applyAlignment="1" applyBorder="1" applyFont="1">
      <alignment horizontal="center" vertical="center"/>
    </xf>
    <xf borderId="8" fillId="23" fontId="43" numFmtId="0" xfId="0" applyAlignment="1" applyBorder="1" applyFont="1">
      <alignment horizontal="center" vertical="center"/>
    </xf>
    <xf borderId="1" fillId="24" fontId="12" numFmtId="0" xfId="0" applyAlignment="1" applyBorder="1" applyFill="1" applyFont="1">
      <alignment vertical="center"/>
    </xf>
    <xf borderId="1" fillId="24" fontId="12" numFmtId="0" xfId="0" applyAlignment="1" applyBorder="1" applyFont="1">
      <alignment horizontal="center" vertical="center"/>
    </xf>
    <xf borderId="1" fillId="24" fontId="41" numFmtId="0" xfId="0" applyAlignment="1" applyBorder="1" applyFont="1">
      <alignment horizontal="center" vertical="center"/>
    </xf>
    <xf borderId="1" fillId="24" fontId="21" numFmtId="164" xfId="0" applyAlignment="1" applyBorder="1" applyFont="1" applyNumberFormat="1">
      <alignment horizontal="center" vertical="center"/>
    </xf>
    <xf borderId="1" fillId="24" fontId="12" numFmtId="167" xfId="0" applyAlignment="1" applyBorder="1" applyFont="1" applyNumberFormat="1">
      <alignment horizontal="center" vertical="center"/>
    </xf>
    <xf borderId="1" fillId="24" fontId="12" numFmtId="168" xfId="0" applyAlignment="1" applyBorder="1" applyFont="1" applyNumberFormat="1">
      <alignment horizontal="center" vertical="center"/>
    </xf>
    <xf borderId="1" fillId="24" fontId="10" numFmtId="0" xfId="0" applyAlignment="1" applyBorder="1" applyFont="1">
      <alignment horizontal="center" vertical="center"/>
    </xf>
    <xf borderId="20" fillId="24" fontId="12" numFmtId="0" xfId="0" applyAlignment="1" applyBorder="1" applyFont="1">
      <alignment horizontal="center" vertical="center"/>
    </xf>
    <xf borderId="21" fillId="24" fontId="12" numFmtId="0" xfId="0" applyAlignment="1" applyBorder="1" applyFont="1">
      <alignment horizontal="center" vertical="center"/>
    </xf>
    <xf borderId="1" fillId="24" fontId="30" numFmtId="0" xfId="0" applyAlignment="1" applyBorder="1" applyFont="1">
      <alignment horizontal="center" vertical="center"/>
    </xf>
    <xf borderId="21" fillId="0" fontId="12" numFmtId="0" xfId="0" applyAlignment="1" applyBorder="1" applyFont="1">
      <alignment horizontal="center" vertical="center"/>
    </xf>
    <xf borderId="23" fillId="24" fontId="12" numFmtId="0" xfId="0" applyAlignment="1" applyBorder="1" applyFont="1">
      <alignment horizontal="center" vertical="center"/>
    </xf>
    <xf borderId="1" fillId="24" fontId="36" numFmtId="0" xfId="0" applyAlignment="1" applyBorder="1" applyFont="1">
      <alignment horizontal="center" vertical="center"/>
    </xf>
    <xf borderId="1" fillId="24" fontId="35" numFmtId="0" xfId="0" applyAlignment="1" applyBorder="1" applyFont="1">
      <alignment horizontal="center" vertical="center"/>
    </xf>
    <xf borderId="1" fillId="24" fontId="39" numFmtId="0" xfId="0" applyAlignment="1" applyBorder="1" applyFont="1">
      <alignment vertical="center"/>
    </xf>
    <xf borderId="1" fillId="2" fontId="38" numFmtId="0" xfId="0" applyAlignment="1" applyBorder="1" applyFont="1">
      <alignment horizontal="center" vertical="center"/>
    </xf>
    <xf borderId="1" fillId="2" fontId="38" numFmtId="167" xfId="0" applyAlignment="1" applyBorder="1" applyFont="1" applyNumberFormat="1">
      <alignment horizontal="center" vertical="center"/>
    </xf>
    <xf borderId="1" fillId="2" fontId="38" numFmtId="168" xfId="0" applyAlignment="1" applyBorder="1" applyFont="1" applyNumberFormat="1">
      <alignment horizontal="center" vertical="center"/>
    </xf>
    <xf borderId="25" fillId="24" fontId="12" numFmtId="0" xfId="0" applyAlignment="1" applyBorder="1" applyFont="1">
      <alignment horizontal="center" vertical="center"/>
    </xf>
    <xf borderId="1" fillId="25" fontId="10" numFmtId="0" xfId="0" applyAlignment="1" applyBorder="1" applyFill="1" applyFont="1">
      <alignment vertical="center"/>
    </xf>
    <xf borderId="1" fillId="25" fontId="10" numFmtId="0" xfId="0" applyAlignment="1" applyBorder="1" applyFont="1">
      <alignment horizontal="left" vertical="center"/>
    </xf>
    <xf borderId="1" fillId="25" fontId="10" numFmtId="0" xfId="0" applyAlignment="1" applyBorder="1" applyFont="1">
      <alignment horizontal="center" vertical="center"/>
    </xf>
    <xf borderId="8" fillId="25" fontId="10" numFmtId="0" xfId="0" applyAlignment="1" applyBorder="1" applyFont="1">
      <alignment horizontal="center" vertical="center"/>
    </xf>
    <xf borderId="1" fillId="24" fontId="10" numFmtId="0" xfId="0" applyAlignment="1" applyBorder="1" applyFont="1">
      <alignment horizontal="left" vertical="center"/>
    </xf>
    <xf borderId="1" fillId="24" fontId="12" numFmtId="167" xfId="0" applyAlignment="1" applyBorder="1" applyFont="1" applyNumberFormat="1">
      <alignment horizontal="right" vertical="center"/>
    </xf>
    <xf borderId="1" fillId="24" fontId="12" numFmtId="168" xfId="0" applyAlignment="1" applyBorder="1" applyFont="1" applyNumberFormat="1">
      <alignment horizontal="left" vertical="center"/>
    </xf>
    <xf borderId="1" fillId="2" fontId="10" numFmtId="0" xfId="0" applyAlignment="1" applyBorder="1" applyFont="1">
      <alignment horizontal="left" vertical="center"/>
    </xf>
    <xf borderId="20" fillId="2" fontId="12" numFmtId="0" xfId="0" applyAlignment="1" applyBorder="1" applyFont="1">
      <alignment horizontal="center" vertical="center"/>
    </xf>
    <xf borderId="1" fillId="2" fontId="35" numFmtId="0" xfId="0" applyAlignment="1" applyBorder="1" applyFont="1">
      <alignment horizontal="left" vertical="center"/>
    </xf>
    <xf borderId="1" fillId="24" fontId="35" numFmtId="0" xfId="0" applyAlignment="1" applyBorder="1" applyFont="1">
      <alignment horizontal="left" vertical="center"/>
    </xf>
    <xf borderId="1" fillId="26" fontId="43" numFmtId="0" xfId="0" applyAlignment="1" applyBorder="1" applyFill="1" applyFont="1">
      <alignment vertical="center"/>
    </xf>
    <xf borderId="1" fillId="26" fontId="43" numFmtId="0" xfId="0" applyAlignment="1" applyBorder="1" applyFont="1">
      <alignment horizontal="center" vertical="center"/>
    </xf>
    <xf borderId="8" fillId="26" fontId="43" numFmtId="0" xfId="0" applyAlignment="1" applyBorder="1" applyFont="1">
      <alignment horizontal="center" vertical="center"/>
    </xf>
    <xf borderId="1" fillId="27" fontId="12" numFmtId="0" xfId="0" applyAlignment="1" applyBorder="1" applyFill="1" applyFont="1">
      <alignment vertical="center"/>
    </xf>
    <xf borderId="1" fillId="27" fontId="12" numFmtId="0" xfId="0" applyAlignment="1" applyBorder="1" applyFont="1">
      <alignment horizontal="center" vertical="center"/>
    </xf>
    <xf borderId="1" fillId="27" fontId="41" numFmtId="0" xfId="0" applyAlignment="1" applyBorder="1" applyFont="1">
      <alignment horizontal="center" vertical="center"/>
    </xf>
    <xf borderId="1" fillId="27" fontId="21" numFmtId="164" xfId="0" applyAlignment="1" applyBorder="1" applyFont="1" applyNumberFormat="1">
      <alignment horizontal="center" vertical="center"/>
    </xf>
    <xf borderId="1" fillId="27" fontId="12" numFmtId="167" xfId="0" applyAlignment="1" applyBorder="1" applyFont="1" applyNumberFormat="1">
      <alignment horizontal="right" vertical="center"/>
    </xf>
    <xf borderId="1" fillId="27" fontId="12" numFmtId="168" xfId="0" applyAlignment="1" applyBorder="1" applyFont="1" applyNumberFormat="1">
      <alignment horizontal="left" vertical="center"/>
    </xf>
    <xf borderId="1" fillId="27" fontId="10" numFmtId="0" xfId="0" applyAlignment="1" applyBorder="1" applyFont="1">
      <alignment horizontal="center" vertical="center"/>
    </xf>
    <xf borderId="20" fillId="27" fontId="12" numFmtId="0" xfId="0" applyAlignment="1" applyBorder="1" applyFont="1">
      <alignment vertical="center"/>
    </xf>
    <xf borderId="21" fillId="27" fontId="12" numFmtId="0" xfId="0" applyAlignment="1" applyBorder="1" applyFont="1">
      <alignment horizontal="center" vertical="center"/>
    </xf>
    <xf borderId="1" fillId="27" fontId="30" numFmtId="0" xfId="0" applyAlignment="1" applyBorder="1" applyFont="1">
      <alignment horizontal="center" vertical="center"/>
    </xf>
    <xf borderId="23" fillId="2" fontId="12" numFmtId="0" xfId="0" applyAlignment="1" applyBorder="1" applyFont="1">
      <alignment vertical="center"/>
    </xf>
    <xf borderId="23" fillId="27" fontId="12" numFmtId="0" xfId="0" applyAlignment="1" applyBorder="1" applyFont="1">
      <alignment vertical="center"/>
    </xf>
    <xf borderId="1" fillId="27" fontId="36" numFmtId="0" xfId="0" applyAlignment="1" applyBorder="1" applyFont="1">
      <alignment horizontal="center" vertical="center"/>
    </xf>
    <xf borderId="0" fillId="0" fontId="35" numFmtId="0" xfId="0" applyAlignment="1" applyFont="1">
      <alignment horizontal="center" vertical="center"/>
    </xf>
    <xf borderId="25" fillId="27" fontId="12" numFmtId="0" xfId="0" applyAlignment="1" applyBorder="1" applyFont="1">
      <alignment vertical="center"/>
    </xf>
    <xf borderId="8" fillId="2" fontId="12" numFmtId="0" xfId="0" applyAlignment="1" applyBorder="1" applyFont="1">
      <alignment horizontal="center" vertical="center"/>
    </xf>
    <xf borderId="0" fillId="2" fontId="12" numFmtId="0" xfId="0" applyAlignment="1" applyFont="1">
      <alignment horizontal="center" vertical="center"/>
    </xf>
    <xf borderId="10" fillId="2" fontId="12" numFmtId="0" xfId="0" applyAlignment="1" applyBorder="1" applyFont="1">
      <alignment horizontal="center" vertical="center"/>
    </xf>
    <xf borderId="1" fillId="28" fontId="43" numFmtId="0" xfId="0" applyAlignment="1" applyBorder="1" applyFill="1" applyFont="1">
      <alignment vertical="center"/>
    </xf>
    <xf borderId="1" fillId="28" fontId="43" numFmtId="0" xfId="0" applyAlignment="1" applyBorder="1" applyFont="1">
      <alignment horizontal="center" vertical="center"/>
    </xf>
    <xf borderId="8" fillId="28" fontId="43" numFmtId="0" xfId="0" applyAlignment="1" applyBorder="1" applyFont="1">
      <alignment horizontal="center" vertical="center"/>
    </xf>
    <xf borderId="1" fillId="28" fontId="49" numFmtId="0" xfId="0" applyAlignment="1" applyBorder="1" applyFont="1">
      <alignment horizontal="center" vertical="center"/>
    </xf>
    <xf borderId="1" fillId="29" fontId="12" numFmtId="0" xfId="0" applyAlignment="1" applyBorder="1" applyFill="1" applyFont="1">
      <alignment vertical="center"/>
    </xf>
    <xf borderId="1" fillId="29" fontId="10" numFmtId="0" xfId="0" applyAlignment="1" applyBorder="1" applyFont="1">
      <alignment horizontal="center" vertical="center"/>
    </xf>
    <xf borderId="1" fillId="29" fontId="41" numFmtId="0" xfId="0" applyAlignment="1" applyBorder="1" applyFont="1">
      <alignment horizontal="center" vertical="center"/>
    </xf>
    <xf borderId="1" fillId="29" fontId="21" numFmtId="164" xfId="0" applyAlignment="1" applyBorder="1" applyFont="1" applyNumberFormat="1">
      <alignment horizontal="center" vertical="center"/>
    </xf>
    <xf borderId="1" fillId="29" fontId="12" numFmtId="167" xfId="0" applyAlignment="1" applyBorder="1" applyFont="1" applyNumberFormat="1">
      <alignment horizontal="right" vertical="center"/>
    </xf>
    <xf borderId="1" fillId="29" fontId="12" numFmtId="168" xfId="0" applyAlignment="1" applyBorder="1" applyFont="1" applyNumberFormat="1">
      <alignment horizontal="left" vertical="center"/>
    </xf>
    <xf borderId="20" fillId="29" fontId="12" numFmtId="0" xfId="0" applyAlignment="1" applyBorder="1" applyFont="1">
      <alignment horizontal="center" vertical="center"/>
    </xf>
    <xf borderId="1" fillId="29" fontId="12" numFmtId="0" xfId="0" applyAlignment="1" applyBorder="1" applyFont="1">
      <alignment horizontal="center" vertical="center"/>
    </xf>
    <xf borderId="21" fillId="29" fontId="12" numFmtId="0" xfId="0" applyAlignment="1" applyBorder="1" applyFont="1">
      <alignment horizontal="center" vertical="center"/>
    </xf>
    <xf borderId="1" fillId="29" fontId="30" numFmtId="0" xfId="0" applyAlignment="1" applyBorder="1" applyFont="1">
      <alignment horizontal="center" vertical="center"/>
    </xf>
    <xf borderId="23" fillId="29" fontId="12" numFmtId="0" xfId="0" applyAlignment="1" applyBorder="1" applyFont="1">
      <alignment horizontal="center" vertical="center"/>
    </xf>
    <xf borderId="1" fillId="30" fontId="43" numFmtId="0" xfId="0" applyAlignment="1" applyBorder="1" applyFill="1" applyFont="1">
      <alignment vertical="center"/>
    </xf>
    <xf borderId="1" fillId="30" fontId="43" numFmtId="0" xfId="0" applyAlignment="1" applyBorder="1" applyFont="1">
      <alignment horizontal="center" vertical="center"/>
    </xf>
    <xf borderId="8" fillId="30" fontId="43" numFmtId="0" xfId="0" applyAlignment="1" applyBorder="1" applyFont="1">
      <alignment horizontal="center" vertical="center"/>
    </xf>
    <xf borderId="1" fillId="31" fontId="12" numFmtId="0" xfId="0" applyAlignment="1" applyBorder="1" applyFill="1" applyFont="1">
      <alignment vertical="center"/>
    </xf>
    <xf borderId="1" fillId="31" fontId="12" numFmtId="0" xfId="0" applyAlignment="1" applyBorder="1" applyFont="1">
      <alignment horizontal="center" vertical="center"/>
    </xf>
    <xf borderId="1" fillId="31" fontId="10" numFmtId="0" xfId="0" applyAlignment="1" applyBorder="1" applyFont="1">
      <alignment horizontal="center" vertical="center"/>
    </xf>
    <xf borderId="1" fillId="31" fontId="21" numFmtId="164" xfId="0" applyAlignment="1" applyBorder="1" applyFont="1" applyNumberFormat="1">
      <alignment horizontal="center" vertical="center"/>
    </xf>
    <xf borderId="1" fillId="31" fontId="12" numFmtId="167" xfId="0" applyAlignment="1" applyBorder="1" applyFont="1" applyNumberFormat="1">
      <alignment horizontal="right" vertical="center"/>
    </xf>
    <xf borderId="1" fillId="31" fontId="12" numFmtId="168" xfId="0" applyAlignment="1" applyBorder="1" applyFont="1" applyNumberFormat="1">
      <alignment horizontal="left" vertical="center"/>
    </xf>
    <xf borderId="20" fillId="31" fontId="12" numFmtId="0" xfId="0" applyAlignment="1" applyBorder="1" applyFont="1">
      <alignment horizontal="center" vertical="center"/>
    </xf>
    <xf borderId="21" fillId="31" fontId="12" numFmtId="0" xfId="0" applyAlignment="1" applyBorder="1" applyFont="1">
      <alignment horizontal="center" vertical="center"/>
    </xf>
    <xf borderId="1" fillId="31" fontId="30" numFmtId="0" xfId="0" applyAlignment="1" applyBorder="1" applyFont="1">
      <alignment horizontal="center" vertical="center"/>
    </xf>
    <xf borderId="1" fillId="31" fontId="50" numFmtId="0" xfId="0" applyAlignment="1" applyBorder="1" applyFont="1">
      <alignment horizontal="center" vertical="center"/>
    </xf>
    <xf borderId="1" fillId="2" fontId="50" numFmtId="0" xfId="0" applyAlignment="1" applyBorder="1" applyFont="1">
      <alignment horizontal="center" vertical="center"/>
    </xf>
    <xf borderId="1" fillId="2" fontId="50" numFmtId="0" xfId="0" applyAlignment="1" applyBorder="1" applyFont="1">
      <alignment vertical="center"/>
    </xf>
    <xf borderId="1" fillId="2" fontId="50" numFmtId="0" xfId="0" applyAlignment="1" applyBorder="1" applyFont="1">
      <alignment horizontal="right" vertical="center"/>
    </xf>
    <xf borderId="1" fillId="2" fontId="50" numFmtId="0" xfId="0" applyAlignment="1" applyBorder="1" applyFont="1">
      <alignment horizontal="left" vertical="center"/>
    </xf>
    <xf borderId="1" fillId="2" fontId="9" numFmtId="0" xfId="0" applyAlignment="1" applyBorder="1" applyFont="1">
      <alignment horizontal="center" vertical="center"/>
    </xf>
    <xf borderId="1" fillId="32" fontId="43" numFmtId="0" xfId="0" applyAlignment="1" applyBorder="1" applyFill="1" applyFont="1">
      <alignment vertical="center"/>
    </xf>
    <xf borderId="1" fillId="32" fontId="43" numFmtId="0" xfId="0" applyAlignment="1" applyBorder="1" applyFont="1">
      <alignment horizontal="center" vertical="center"/>
    </xf>
    <xf borderId="8" fillId="32" fontId="43" numFmtId="0" xfId="0" applyAlignment="1" applyBorder="1" applyFont="1">
      <alignment horizontal="center" vertical="center"/>
    </xf>
    <xf borderId="1" fillId="31" fontId="41" numFmtId="0" xfId="0" applyAlignment="1" applyBorder="1" applyFont="1">
      <alignment horizontal="center" vertical="center"/>
    </xf>
    <xf borderId="23" fillId="31" fontId="12" numFmtId="0" xfId="0" applyAlignment="1" applyBorder="1" applyFont="1">
      <alignment horizontal="center" vertical="center"/>
    </xf>
    <xf borderId="1" fillId="31" fontId="36" numFmtId="0" xfId="0" applyAlignment="1" applyBorder="1" applyFont="1">
      <alignment horizontal="center" vertical="center"/>
    </xf>
    <xf borderId="1" fillId="31" fontId="12" numFmtId="167" xfId="0" applyAlignment="1" applyBorder="1" applyFont="1" applyNumberFormat="1">
      <alignment horizontal="center" vertical="center"/>
    </xf>
    <xf borderId="1" fillId="2" fontId="5" numFmtId="0" xfId="0" applyAlignment="1" applyBorder="1" applyFont="1">
      <alignment horizontal="right" vertical="center"/>
    </xf>
    <xf borderId="1" fillId="33" fontId="43" numFmtId="0" xfId="0" applyAlignment="1" applyBorder="1" applyFill="1" applyFont="1">
      <alignment vertical="center"/>
    </xf>
    <xf borderId="1" fillId="33" fontId="43" numFmtId="0" xfId="0" applyAlignment="1" applyBorder="1" applyFont="1">
      <alignment horizontal="center" vertical="center"/>
    </xf>
    <xf borderId="8" fillId="33" fontId="43" numFmtId="0" xfId="0" applyAlignment="1" applyBorder="1" applyFont="1">
      <alignment horizontal="center" vertical="center"/>
    </xf>
    <xf borderId="1" fillId="2" fontId="10" numFmtId="0" xfId="0" applyAlignment="1" applyBorder="1" applyFont="1">
      <alignment horizontal="right" vertical="center"/>
    </xf>
    <xf borderId="0" fillId="0" fontId="50" numFmtId="0" xfId="0" applyAlignment="1" applyFont="1">
      <alignment horizontal="left" vertical="center"/>
    </xf>
    <xf borderId="1" fillId="2" fontId="51" numFmtId="0" xfId="0" applyAlignment="1" applyBorder="1" applyFont="1">
      <alignment horizontal="left" vertical="center"/>
    </xf>
    <xf borderId="1" fillId="34" fontId="43" numFmtId="0" xfId="0" applyAlignment="1" applyBorder="1" applyFill="1" applyFont="1">
      <alignment horizontal="center" vertical="center"/>
    </xf>
    <xf borderId="1" fillId="21" fontId="43" numFmtId="0" xfId="0" applyAlignment="1" applyBorder="1" applyFont="1">
      <alignment horizontal="left" vertical="center"/>
    </xf>
    <xf borderId="2" fillId="2" fontId="10" numFmtId="0" xfId="0" applyAlignment="1" applyBorder="1" applyFont="1">
      <alignment horizontal="center" vertical="center"/>
    </xf>
    <xf borderId="2" fillId="2" fontId="12" numFmtId="0" xfId="0" applyAlignment="1" applyBorder="1" applyFont="1">
      <alignment horizontal="center" vertical="center"/>
    </xf>
    <xf borderId="1" fillId="2" fontId="51" numFmtId="0" xfId="0" applyAlignment="1" applyBorder="1" applyFont="1">
      <alignment vertical="center"/>
    </xf>
    <xf borderId="1" fillId="35" fontId="10" numFmtId="0" xfId="0" applyAlignment="1" applyBorder="1" applyFill="1" applyFont="1">
      <alignment horizontal="left" vertical="center"/>
    </xf>
    <xf borderId="1" fillId="35" fontId="12" numFmtId="0" xfId="0" applyAlignment="1" applyBorder="1" applyFont="1">
      <alignment horizontal="center" vertical="center"/>
    </xf>
    <xf borderId="1" fillId="35" fontId="10" numFmtId="0" xfId="0" applyAlignment="1" applyBorder="1" applyFont="1">
      <alignment horizontal="center" vertical="center"/>
    </xf>
    <xf borderId="1" fillId="4" fontId="12" numFmtId="0" xfId="0" applyAlignment="1" applyBorder="1" applyFont="1">
      <alignment horizontal="left" vertical="center"/>
    </xf>
    <xf borderId="1" fillId="4" fontId="12" numFmtId="0" xfId="0" applyAlignment="1" applyBorder="1" applyFont="1">
      <alignment horizontal="center" vertical="center"/>
    </xf>
    <xf borderId="1" fillId="10" fontId="12" numFmtId="0" xfId="0" applyAlignment="1" applyBorder="1" applyFont="1">
      <alignment horizontal="left" vertical="center"/>
    </xf>
    <xf borderId="1" fillId="10" fontId="12" numFmtId="0" xfId="0" applyAlignment="1" applyBorder="1" applyFont="1">
      <alignment horizontal="center" vertical="center"/>
    </xf>
    <xf borderId="1" fillId="36" fontId="43" numFmtId="0" xfId="0" applyAlignment="1" applyBorder="1" applyFill="1" applyFont="1">
      <alignment horizontal="left" vertical="center"/>
    </xf>
    <xf borderId="1" fillId="36" fontId="43" numFmtId="0" xfId="0" applyAlignment="1" applyBorder="1" applyFont="1">
      <alignment horizontal="center" vertical="center"/>
    </xf>
    <xf borderId="1" fillId="2" fontId="15" numFmtId="0" xfId="0" applyAlignment="1" applyBorder="1" applyFont="1">
      <alignment horizontal="center" vertical="center"/>
    </xf>
    <xf borderId="1" fillId="2" fontId="52" numFmtId="169" xfId="0" applyAlignment="1" applyBorder="1" applyFont="1" applyNumberFormat="1">
      <alignment horizontal="center" vertical="center"/>
    </xf>
    <xf borderId="1" fillId="2" fontId="12" numFmtId="169" xfId="0" applyAlignment="1" applyBorder="1" applyFont="1" applyNumberFormat="1">
      <alignment horizontal="center" vertical="center"/>
    </xf>
    <xf borderId="1" fillId="26" fontId="43" numFmtId="0" xfId="0" applyAlignment="1" applyBorder="1" applyFont="1">
      <alignment horizontal="left" vertical="center"/>
    </xf>
    <xf borderId="1" fillId="26" fontId="12" numFmtId="0" xfId="0" applyAlignment="1" applyBorder="1" applyFont="1">
      <alignment horizontal="center" vertical="center"/>
    </xf>
    <xf borderId="1" fillId="2" fontId="12" numFmtId="9" xfId="0" applyAlignment="1" applyBorder="1" applyFont="1" applyNumberFormat="1">
      <alignment horizontal="center" vertical="center"/>
    </xf>
  </cellXfs>
  <cellStyles count="1">
    <cellStyle xfId="0" name="Normal" builtinId="0"/>
  </cellStyles>
  <dxfs count="34">
    <dxf>
      <font>
        <color rgb="FFFF0000"/>
      </font>
      <fill>
        <patternFill patternType="solid">
          <fgColor rgb="FFFF0000"/>
          <bgColor rgb="FFFF0000"/>
        </patternFill>
      </fill>
      <border/>
    </dxf>
    <dxf>
      <font>
        <color rgb="FF00B050"/>
      </font>
      <fill>
        <patternFill patternType="solid">
          <fgColor rgb="FF00B050"/>
          <bgColor rgb="FF00B050"/>
        </patternFill>
      </fill>
      <border/>
    </dxf>
    <dxf>
      <font>
        <color rgb="FFE1C30D"/>
      </font>
      <fill>
        <patternFill patternType="solid">
          <fgColor rgb="FFE1C30D"/>
          <bgColor rgb="FFE1C30D"/>
        </patternFill>
      </fill>
      <border/>
    </dxf>
    <dxf>
      <font/>
      <fill>
        <patternFill patternType="none"/>
      </fill>
      <border/>
    </dxf>
    <dxf>
      <font>
        <color rgb="FF9C0006"/>
      </font>
      <fill>
        <patternFill patternType="solid">
          <fgColor rgb="FFFFC7CE"/>
          <bgColor rgb="FFFFC7CE"/>
        </patternFill>
      </fill>
      <border/>
    </dxf>
    <dxf>
      <font>
        <color rgb="FF006100"/>
      </font>
      <fill>
        <patternFill patternType="solid">
          <fgColor rgb="FF79DD79"/>
          <bgColor rgb="FF79DD79"/>
        </patternFill>
      </fill>
      <border/>
    </dxf>
    <dxf>
      <font/>
      <fill>
        <patternFill patternType="solid">
          <fgColor rgb="FFA8D08D"/>
          <bgColor rgb="FFA8D08D"/>
        </patternFill>
      </fill>
      <border/>
    </dxf>
    <dxf>
      <font/>
      <fill>
        <patternFill patternType="solid">
          <fgColor theme="0"/>
          <bgColor theme="0"/>
        </patternFill>
      </fill>
      <border/>
    </dxf>
    <dxf>
      <font>
        <color rgb="FFF2F2F2"/>
      </font>
      <fill>
        <patternFill patternType="none"/>
      </fill>
      <border/>
    </dxf>
    <dxf>
      <font>
        <color rgb="FFE7E6E6"/>
      </font>
      <fill>
        <patternFill patternType="none"/>
      </fill>
      <border/>
    </dxf>
    <dxf>
      <font>
        <color rgb="FFE2EFD9"/>
      </font>
      <fill>
        <patternFill patternType="solid">
          <fgColor rgb="FFE2EFD9"/>
          <bgColor rgb="FFE2EFD9"/>
        </patternFill>
      </fill>
      <border/>
    </dxf>
    <dxf>
      <font/>
      <fill>
        <patternFill patternType="solid">
          <fgColor rgb="FFDEEAF6"/>
          <bgColor rgb="FFDEEAF6"/>
        </patternFill>
      </fill>
      <border/>
    </dxf>
    <dxf>
      <font/>
      <fill>
        <patternFill patternType="solid">
          <fgColor rgb="FFFEF2CB"/>
          <bgColor rgb="FFFEF2CB"/>
        </patternFill>
      </fill>
      <border/>
    </dxf>
    <dxf>
      <font/>
      <fill>
        <patternFill patternType="solid">
          <fgColor rgb="FFFBE4D5"/>
          <bgColor rgb="FFFBE4D5"/>
        </patternFill>
      </fill>
      <border/>
    </dxf>
    <dxf>
      <font/>
      <fill>
        <patternFill patternType="solid">
          <fgColor rgb="FFD9E2F3"/>
          <bgColor rgb="FFD9E2F3"/>
        </patternFill>
      </fill>
      <border/>
    </dxf>
    <dxf>
      <font/>
      <fill>
        <patternFill patternType="solid">
          <fgColor rgb="FFFAE1FF"/>
          <bgColor rgb="FFFAE1FF"/>
        </patternFill>
      </fill>
      <border/>
    </dxf>
    <dxf>
      <font/>
      <fill>
        <patternFill patternType="solid">
          <fgColor rgb="FFE2EFD9"/>
          <bgColor rgb="FFE2EFD9"/>
        </patternFill>
      </fill>
      <border/>
    </dxf>
    <dxf>
      <font/>
      <fill>
        <patternFill patternType="solid">
          <fgColor rgb="FFFFE5E5"/>
          <bgColor rgb="FFFFE5E5"/>
        </patternFill>
      </fill>
      <border/>
    </dxf>
    <dxf>
      <font/>
      <fill>
        <patternFill patternType="solid">
          <fgColor rgb="FFFFFFCC"/>
          <bgColor rgb="FFFFFFCC"/>
        </patternFill>
      </fill>
      <border/>
    </dxf>
    <dxf>
      <font/>
      <fill>
        <patternFill patternType="solid">
          <fgColor rgb="FFDDEBF7"/>
          <bgColor rgb="FFDDEBF7"/>
        </patternFill>
      </fill>
      <border/>
    </dxf>
    <dxf>
      <font/>
      <fill>
        <patternFill patternType="solid">
          <fgColor rgb="FFFFEBFF"/>
          <bgColor rgb="FFFFEBFF"/>
        </patternFill>
      </fill>
      <border/>
    </dxf>
    <dxf>
      <font>
        <color rgb="FF9C5700"/>
      </font>
      <fill>
        <patternFill patternType="solid">
          <fgColor rgb="FFFFEB9C"/>
          <bgColor rgb="FFFFEB9C"/>
        </patternFill>
      </fill>
      <border/>
    </dxf>
    <dxf>
      <font>
        <color rgb="FF006100"/>
      </font>
      <fill>
        <patternFill patternType="solid">
          <fgColor rgb="FFC6EFCE"/>
          <bgColor rgb="FFC6EFCE"/>
        </patternFill>
      </fill>
      <border/>
    </dxf>
    <dxf>
      <font>
        <b/>
        <color theme="1"/>
      </font>
      <fill>
        <patternFill patternType="none"/>
      </fill>
      <border/>
    </dxf>
    <dxf>
      <font>
        <color rgb="FFEED43A"/>
      </font>
      <fill>
        <patternFill patternType="solid">
          <fgColor rgb="FFEED43A"/>
          <bgColor rgb="FFEED43A"/>
        </patternFill>
      </fill>
      <border/>
    </dxf>
    <dxf>
      <font>
        <color rgb="FFFF6D6D"/>
      </font>
      <fill>
        <patternFill patternType="solid">
          <fgColor rgb="FFFF6D6D"/>
          <bgColor rgb="FFFF6D6D"/>
        </patternFill>
      </fill>
      <border/>
    </dxf>
    <dxf>
      <font>
        <color rgb="FF86C46A"/>
      </font>
      <fill>
        <patternFill patternType="solid">
          <fgColor rgb="FF86C46A"/>
          <bgColor rgb="FF86C46A"/>
        </patternFill>
      </fill>
      <border/>
    </dxf>
    <dxf>
      <font>
        <b/>
      </font>
      <fill>
        <patternFill patternType="none"/>
      </fill>
      <border/>
    </dxf>
    <dxf>
      <font/>
      <fill>
        <patternFill patternType="solid">
          <fgColor rgb="FFECE9D8"/>
          <bgColor rgb="FFECE9D8"/>
        </patternFill>
      </fill>
      <border/>
    </dxf>
    <dxf>
      <font/>
      <fill>
        <patternFill patternType="solid">
          <fgColor rgb="FFE2EFDA"/>
          <bgColor rgb="FFE2EFDA"/>
        </patternFill>
      </fill>
      <border/>
    </dxf>
    <dxf>
      <font/>
      <fill>
        <patternFill patternType="solid">
          <fgColor rgb="FFEFDDDD"/>
          <bgColor rgb="FFEFDDDD"/>
        </patternFill>
      </fill>
      <border/>
    </dxf>
    <dxf>
      <font/>
      <fill>
        <patternFill patternType="solid">
          <fgColor rgb="FFFF9999"/>
          <bgColor rgb="FFFF9999"/>
        </patternFill>
      </fill>
      <border/>
    </dxf>
    <dxf>
      <font>
        <b/>
        <color theme="0"/>
      </font>
      <fill>
        <patternFill patternType="solid">
          <fgColor rgb="FFFF0000"/>
          <bgColor rgb="FFFF0000"/>
        </patternFill>
      </fill>
      <border/>
    </dxf>
    <dxf>
      <font>
        <b/>
        <color rgb="FF9C0006"/>
      </font>
      <fill>
        <patternFill patternType="none"/>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externalLink" Target="externalLinks/externalLink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17</xdr:row>
      <xdr:rowOff>76200</xdr:rowOff>
    </xdr:from>
    <xdr:ext cx="7629525" cy="4819650"/>
    <xdr:pic>
      <xdr:nvPicPr>
        <xdr:cNvPr id="0" name="image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942975</xdr:colOff>
      <xdr:row>47</xdr:row>
      <xdr:rowOff>-180975</xdr:rowOff>
    </xdr:from>
    <xdr:ext cx="6067425" cy="5248275"/>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0</xdr:row>
      <xdr:rowOff>14077950</xdr:rowOff>
    </xdr:from>
    <xdr:ext cx="6067425" cy="5248275"/>
    <xdr:pic>
      <xdr:nvPicPr>
        <xdr:cNvPr id="0" name="image2.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885825</xdr:colOff>
      <xdr:row>107</xdr:row>
      <xdr:rowOff>104775</xdr:rowOff>
    </xdr:from>
    <xdr:ext cx="7743825" cy="2619375"/>
    <xdr:pic>
      <xdr:nvPicPr>
        <xdr:cNvPr id="0" name="image3.png" title="圖片"/>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1155109636_link_cuhk_edu_hk/Documents/Project/TheSchoolHK/JUPAS%20Cal/2021/12-3/Shek/2021_shek.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主頁"/>
      <sheetName val="A123"/>
      <sheetName val="入學要求"/>
      <sheetName val="計分版"/>
      <sheetName val="CityU"/>
      <sheetName val="HKBU"/>
      <sheetName val="PolyU"/>
      <sheetName val="UST"/>
      <sheetName val="HKU"/>
      <sheetName val="LingU"/>
      <sheetName val="EdUHK"/>
      <sheetName val="OUHK"/>
      <sheetName val="SSSDP"/>
      <sheetName val="Sheet1"/>
      <sheetName val="選單"/>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drive/folders/1PmyDrmQ2CumbWrqY7NRqa0Ol-M9VnkFz?usp=sharing" TargetMode="External"/><Relationship Id="rId3" Type="http://schemas.openxmlformats.org/officeDocument/2006/relationships/hyperlink" Target="https://docs.google.com/document/d/1bjzQUUMb8DlIscphMiGRqHmzj3IfXtknElbe2bmtTq4/edit?usp=sharing" TargetMode="External"/><Relationship Id="rId4" Type="http://schemas.openxmlformats.org/officeDocument/2006/relationships/drawing" Target="../drawings/drawing2.xml"/><Relationship Id="rId5"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cityu.edu.hk/admo/hkdse/scores/jupas_scores2020.pdf" TargetMode="External"/><Relationship Id="rId3" Type="http://schemas.openxmlformats.org/officeDocument/2006/relationships/hyperlink" Target="https://www.admo.cityu.edu.hk/jupas/entreq/bd/" TargetMode="External"/><Relationship Id="rId4" Type="http://schemas.openxmlformats.org/officeDocument/2006/relationships/hyperlink" Target="https://www.admo.cityu.edu.hk/assessment/score_calculation/" TargetMode="External"/><Relationship Id="rId5" Type="http://schemas.openxmlformats.org/officeDocument/2006/relationships/hyperlink" Target="https://www.admo.cityu.edu.hk/jupas/assessment/bd" TargetMode="External"/><Relationship Id="rId6" Type="http://schemas.openxmlformats.org/officeDocument/2006/relationships/hyperlink" Target="https://www.admo.cityu.edu.hk/interview_arrangements/jupas" TargetMode="External"/><Relationship Id="rId7" Type="http://schemas.openxmlformats.org/officeDocument/2006/relationships/drawing" Target="../drawings/drawing8.xml"/><Relationship Id="rId8"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admissions.hkbu.edu.hk/en/hkdse.html" TargetMode="External"/><Relationship Id="rId3" Type="http://schemas.openxmlformats.org/officeDocument/2006/relationships/hyperlink" Target="https://admissions.hkbu.edu.hk/en/programmes-offer.html" TargetMode="External"/><Relationship Id="rId4" Type="http://schemas.openxmlformats.org/officeDocument/2006/relationships/drawing" Target="../drawings/drawing9.xml"/><Relationship Id="rId5"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www51.polyu.edu.hk/eprospectus/ug/jupas/programme-requirements" TargetMode="External"/><Relationship Id="rId3" Type="http://schemas.openxmlformats.org/officeDocument/2006/relationships/hyperlink" Target="https://www51.polyu.edu.hk/eprospectus/ug/jupas/admission-selection" TargetMode="External"/><Relationship Id="rId4" Type="http://schemas.openxmlformats.org/officeDocument/2006/relationships/hyperlink" Target="https://www51.polyu.edu.hk/eprospectus/ug/jupas/interview-arrangement" TargetMode="External"/><Relationship Id="rId5" Type="http://schemas.openxmlformats.org/officeDocument/2006/relationships/hyperlink" Target="https://www.polyu.edu.hk/aradm/jupas/admission_figures.pdf" TargetMode="External"/><Relationship Id="rId6" Type="http://schemas.openxmlformats.org/officeDocument/2006/relationships/drawing" Target="../drawings/drawing11.xml"/><Relationship Id="rId7"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cuhk.edu.hk/adm/jupas/admission_grades_2020.pdf" TargetMode="External"/><Relationship Id="rId3" Type="http://schemas.openxmlformats.org/officeDocument/2006/relationships/hyperlink" Target="https://www.cuhk.edu.hk/adm/jupas/useful-information-2021.pdf" TargetMode="External"/><Relationship Id="rId4" Type="http://schemas.openxmlformats.org/officeDocument/2006/relationships/hyperlink" Target="https://www.cuhk.edu.hk/adm/jupas/arrangement-for-more-than-one-sitting-2021.pdf" TargetMode="External"/><Relationship Id="rId5" Type="http://schemas.openxmlformats.org/officeDocument/2006/relationships/hyperlink" Target="https://www.cuhk.edu.hk/adm/jupas/projected-enrolment-2021.pdf" TargetMode="External"/><Relationship Id="rId6" Type="http://schemas.openxmlformats.org/officeDocument/2006/relationships/drawing" Target="../drawings/drawing12.xml"/><Relationship Id="rId7"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join.ust.hk/admissions/jupas" TargetMode="External"/><Relationship Id="rId3" Type="http://schemas.openxmlformats.org/officeDocument/2006/relationships/hyperlink" Target="https://join.ust.hk/admissions/jupas" TargetMode="External"/><Relationship Id="rId4" Type="http://schemas.openxmlformats.org/officeDocument/2006/relationships/hyperlink" Target="https://www.jupas.edu.hk/f/page/3667/af_2020_JUPAS.pdf" TargetMode="External"/><Relationship Id="rId5" Type="http://schemas.openxmlformats.org/officeDocument/2006/relationships/drawing" Target="../drawings/drawing13.xml"/><Relationship Id="rId6"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s://aal.hku.hk/admissions/local/sites/default/files/2020%20Admissions%20Score.pdf" TargetMode="External"/><Relationship Id="rId3" Type="http://schemas.openxmlformats.org/officeDocument/2006/relationships/hyperlink" Target="https://admissions.hku.hk/sites/default/files/2021-07/HKU%20Programme%20Scoring%20Formula%20for%202021%20JUPAS%20Admissions.pdf" TargetMode="External"/><Relationship Id="rId4" Type="http://schemas.openxmlformats.org/officeDocument/2006/relationships/hyperlink" Target="https://aal.hku.hk/admissions/local/admissions-information?page=jupas-admissions-scheme" TargetMode="External"/><Relationship Id="rId5" Type="http://schemas.openxmlformats.org/officeDocument/2006/relationships/hyperlink" Target="https://aal.hku.hk/admissions/local/sites/default/files/2021%20Programme%20Admissions%20Information.pdf" TargetMode="External"/><Relationship Id="rId6" Type="http://schemas.openxmlformats.org/officeDocument/2006/relationships/hyperlink" Target="https://admissions.hku.hk/apply/jupas/interview" TargetMode="External"/><Relationship Id="rId7" Type="http://schemas.openxmlformats.org/officeDocument/2006/relationships/drawing" Target="../drawings/drawing14.xml"/><Relationship Id="rId8"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hyperlink" Target="https://www.ln.edu.hk/admissions/ug/jupas/admission-score/jupas-score-calculator" TargetMode="External"/><Relationship Id="rId3" Type="http://schemas.openxmlformats.org/officeDocument/2006/relationships/hyperlink" Target="https://www.ln.edu.hk/admissions/ug/jupas/admission-score/subject-weighting" TargetMode="External"/><Relationship Id="rId4" Type="http://schemas.openxmlformats.org/officeDocument/2006/relationships/hyperlink" Target="https://www.ln.edu.hk/admissions/ug/f/page/39/1433/2020-admissionscores.pdf" TargetMode="External"/><Relationship Id="rId5" Type="http://schemas.openxmlformats.org/officeDocument/2006/relationships/hyperlink" Target="https://www.ln.edu.hk/admissions/ug/jupas/interview-arrangement" TargetMode="External"/><Relationship Id="rId6" Type="http://schemas.openxmlformats.org/officeDocument/2006/relationships/drawing" Target="../drawings/drawing15.xml"/><Relationship Id="rId7"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hyperlink" Target="https://www.eduhk.hk/degree/jupas.htm" TargetMode="External"/><Relationship Id="rId3" Type="http://schemas.openxmlformats.org/officeDocument/2006/relationships/drawing" Target="../drawings/drawing16.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hyperlink" Target="http://www.ouhk.edu.hk/wcsprd/Satellite?pagename=OUHK/tcSingPage&amp;c=C_CFTS&amp;cid=1600653170751&amp;lang=eng&amp;mid=0" TargetMode="External"/><Relationship Id="rId3" Type="http://schemas.openxmlformats.org/officeDocument/2006/relationships/hyperlink" Target="http://www.ouhk.edu.hk/wcsprd/Satellite?pagename=OUHK/tcSubWeb&amp;l=C_CFTS&amp;lid=1385174509933&amp;c=C_CFTS&amp;cid=1385183300596&amp;lang=eng&amp;mid=0" TargetMode="External"/><Relationship Id="rId4" Type="http://schemas.openxmlformats.org/officeDocument/2006/relationships/drawing" Target="../drawings/drawing17.xml"/><Relationship Id="rId5"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1" Type="http://schemas.openxmlformats.org/officeDocument/2006/relationships/hyperlink" Target="https://ef.hksyu.edu/Programmes/BCom-in-FinTech" TargetMode="External"/><Relationship Id="rId10" Type="http://schemas.openxmlformats.org/officeDocument/2006/relationships/hyperlink" Target="https://www.uowchk.edu.hk/study-at-uowchk/find-programmes/programmes-by-entry-level/bachelor-degrees/" TargetMode="External"/><Relationship Id="rId13" Type="http://schemas.openxmlformats.org/officeDocument/2006/relationships/vmlDrawing" Target="../drawings/vmlDrawing15.vml"/><Relationship Id="rId12" Type="http://schemas.openxmlformats.org/officeDocument/2006/relationships/drawing" Target="../drawings/drawing18.xml"/><Relationship Id="rId1" Type="http://schemas.openxmlformats.org/officeDocument/2006/relationships/comments" Target="../comments15.xml"/><Relationship Id="rId2" Type="http://schemas.openxmlformats.org/officeDocument/2006/relationships/hyperlink" Target="https://www.jupas.edu.hk/en/programme/sssdp/" TargetMode="External"/><Relationship Id="rId3" Type="http://schemas.openxmlformats.org/officeDocument/2006/relationships/hyperlink" Target="https://www.jupas.edu.hk/f/page/3669/af_2020_SSSDP.pdf" TargetMode="External"/><Relationship Id="rId4" Type="http://schemas.openxmlformats.org/officeDocument/2006/relationships/hyperlink" Target="https://www.cihe.edu.hk/en/programmes/index.html" TargetMode="External"/><Relationship Id="rId9" Type="http://schemas.openxmlformats.org/officeDocument/2006/relationships/hyperlink" Target="https://www.thei.edu.hk/admissions/local-students-admission-for-year-1-entry/student-subsidy-scheme-for-designated-professions-sections/sssdp-for-academic-year-2021-22" TargetMode="External"/><Relationship Id="rId5" Type="http://schemas.openxmlformats.org/officeDocument/2006/relationships/hyperlink" Target="https://www.chuhai.edu.hk/study-subsidy-scheme-designated-professions-sectors-sssdp-202021" TargetMode="External"/><Relationship Id="rId6" Type="http://schemas.openxmlformats.org/officeDocument/2006/relationships/hyperlink" Target="https://registry.hsu.edu.hk/prospective-students/undergraduate/programmes-offered/" TargetMode="External"/><Relationship Id="rId7" Type="http://schemas.openxmlformats.org/officeDocument/2006/relationships/hyperlink" Target="https://www.twc.edu.hk/en/Programme_cat" TargetMode="External"/><Relationship Id="rId8" Type="http://schemas.openxmlformats.org/officeDocument/2006/relationships/hyperlink" Target="http://www.ouhk.edu.hk/wcsprd/Satellite?pagename=OUHK/tcSubWeb&amp;l=C_CFTS&amp;lid=1385174509933&amp;c=C_CFTS&amp;cid=1385183300596&amp;lang=eng&amp;mid=0"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0.xml"/><Relationship Id="rId3"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hyperlink" Target="https://www.cuhk.edu.hk/adm/jupas/arrangement-for-more-than-one-sitting-2021.pdf" TargetMode="External"/><Relationship Id="rId3" Type="http://schemas.openxmlformats.org/officeDocument/2006/relationships/hyperlink" Target="https://admissions.hku.hk/apply/jupas" TargetMode="External"/><Relationship Id="rId4" Type="http://schemas.openxmlformats.org/officeDocument/2006/relationships/drawing" Target="../drawings/drawing21.xml"/><Relationship Id="rId5"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2" max="2" width="7.11"/>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2" t="s">
        <v>0</v>
      </c>
      <c r="C3" s="1"/>
      <c r="D3" s="1"/>
      <c r="E3" s="1"/>
      <c r="F3" s="1"/>
      <c r="G3" s="1"/>
      <c r="H3" s="1"/>
      <c r="I3" s="1"/>
      <c r="J3" s="1"/>
      <c r="K3" s="1"/>
      <c r="L3" s="1"/>
      <c r="M3" s="1"/>
      <c r="N3" s="1"/>
      <c r="O3" s="1"/>
      <c r="P3" s="1"/>
      <c r="Q3" s="1"/>
      <c r="R3" s="1"/>
      <c r="S3" s="1"/>
      <c r="T3" s="1"/>
      <c r="U3" s="1"/>
      <c r="V3" s="1"/>
      <c r="W3" s="1"/>
      <c r="X3" s="1"/>
      <c r="Y3" s="1"/>
      <c r="Z3" s="1"/>
    </row>
    <row r="4">
      <c r="A4" s="1"/>
      <c r="B4" s="3"/>
      <c r="C4" s="1"/>
      <c r="D4" s="1"/>
      <c r="E4" s="1"/>
      <c r="F4" s="1"/>
      <c r="G4" s="1"/>
      <c r="H4" s="1"/>
      <c r="I4" s="1"/>
      <c r="J4" s="1"/>
      <c r="K4" s="1"/>
      <c r="L4" s="1"/>
      <c r="M4" s="1"/>
      <c r="N4" s="1"/>
      <c r="O4" s="1"/>
      <c r="P4" s="1"/>
      <c r="Q4" s="1"/>
      <c r="R4" s="1"/>
      <c r="S4" s="1"/>
      <c r="T4" s="1"/>
      <c r="U4" s="1"/>
      <c r="V4" s="1"/>
      <c r="W4" s="1"/>
      <c r="X4" s="1"/>
      <c r="Y4" s="1"/>
      <c r="Z4" s="1"/>
    </row>
    <row r="5">
      <c r="A5" s="1"/>
      <c r="B5" s="3"/>
      <c r="C5" s="1"/>
      <c r="D5" s="1"/>
      <c r="E5" s="1"/>
      <c r="F5" s="1"/>
      <c r="G5" s="1"/>
      <c r="H5" s="1"/>
      <c r="I5" s="1"/>
      <c r="J5" s="1"/>
      <c r="K5" s="1"/>
      <c r="L5" s="1"/>
      <c r="M5" s="1"/>
      <c r="N5" s="1"/>
      <c r="O5" s="1"/>
      <c r="P5" s="1"/>
      <c r="Q5" s="1"/>
      <c r="R5" s="1"/>
      <c r="S5" s="1"/>
      <c r="T5" s="1"/>
      <c r="U5" s="1"/>
      <c r="V5" s="1"/>
      <c r="W5" s="1"/>
      <c r="X5" s="1"/>
      <c r="Y5" s="1"/>
      <c r="Z5" s="1"/>
    </row>
    <row r="6">
      <c r="A6" s="1"/>
      <c r="C6" s="3" t="s">
        <v>1</v>
      </c>
      <c r="D6" s="1"/>
      <c r="E6" s="1"/>
      <c r="F6" s="1"/>
      <c r="G6" s="1"/>
      <c r="H6" s="1"/>
      <c r="I6" s="1"/>
      <c r="J6" s="1"/>
      <c r="K6" s="1"/>
      <c r="L6" s="1"/>
      <c r="M6" s="1"/>
      <c r="N6" s="1"/>
      <c r="O6" s="1"/>
      <c r="P6" s="1"/>
      <c r="Q6" s="1"/>
      <c r="R6" s="1"/>
      <c r="S6" s="1"/>
      <c r="T6" s="1"/>
      <c r="U6" s="1"/>
      <c r="V6" s="1"/>
      <c r="W6" s="1"/>
      <c r="X6" s="1"/>
      <c r="Y6" s="1"/>
      <c r="Z6" s="1"/>
    </row>
    <row r="7">
      <c r="A7" s="1"/>
      <c r="C7" s="3"/>
      <c r="D7" s="1"/>
      <c r="E7" s="1"/>
      <c r="F7" s="1"/>
      <c r="G7" s="1"/>
      <c r="H7" s="1"/>
      <c r="I7" s="1"/>
      <c r="J7" s="1"/>
      <c r="K7" s="1"/>
      <c r="L7" s="1"/>
      <c r="M7" s="1"/>
      <c r="N7" s="1"/>
      <c r="O7" s="1"/>
      <c r="P7" s="1"/>
      <c r="Q7" s="1"/>
      <c r="R7" s="1"/>
      <c r="S7" s="1"/>
      <c r="T7" s="1"/>
      <c r="U7" s="1"/>
      <c r="V7" s="1"/>
      <c r="W7" s="1"/>
      <c r="X7" s="1"/>
      <c r="Y7" s="1"/>
      <c r="Z7" s="1"/>
    </row>
    <row r="8">
      <c r="A8" s="1"/>
      <c r="C8" s="3" t="s">
        <v>2</v>
      </c>
      <c r="D8" s="1"/>
      <c r="E8" s="1"/>
      <c r="F8" s="1"/>
      <c r="G8" s="1"/>
      <c r="H8" s="1"/>
      <c r="I8" s="1"/>
      <c r="J8" s="1"/>
      <c r="K8" s="1"/>
      <c r="L8" s="1"/>
      <c r="M8" s="1"/>
      <c r="N8" s="1"/>
      <c r="O8" s="1"/>
      <c r="P8" s="1"/>
      <c r="Q8" s="1"/>
      <c r="R8" s="1"/>
      <c r="S8" s="1"/>
      <c r="T8" s="1"/>
      <c r="U8" s="1"/>
      <c r="V8" s="1"/>
      <c r="W8" s="1"/>
      <c r="X8" s="1"/>
      <c r="Y8" s="1"/>
      <c r="Z8" s="1"/>
    </row>
    <row r="9">
      <c r="A9" s="1"/>
      <c r="D9" s="1"/>
      <c r="E9" s="1"/>
      <c r="F9" s="1"/>
      <c r="G9" s="1"/>
      <c r="H9" s="1"/>
      <c r="I9" s="1"/>
      <c r="J9" s="1"/>
      <c r="K9" s="1"/>
      <c r="L9" s="1"/>
      <c r="M9" s="1"/>
      <c r="N9" s="1"/>
      <c r="O9" s="1"/>
      <c r="P9" s="1"/>
      <c r="Q9" s="1"/>
      <c r="R9" s="1"/>
      <c r="S9" s="1"/>
      <c r="T9" s="1"/>
      <c r="U9" s="1"/>
      <c r="V9" s="1"/>
      <c r="W9" s="1"/>
      <c r="X9" s="1"/>
      <c r="Y9" s="1"/>
      <c r="Z9" s="1"/>
    </row>
    <row r="10">
      <c r="A10" s="1"/>
      <c r="C10" s="3" t="s">
        <v>3</v>
      </c>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C12" s="1"/>
      <c r="D12" s="1"/>
      <c r="E12" s="1"/>
      <c r="F12" s="1"/>
      <c r="G12" s="1"/>
      <c r="H12" s="1"/>
      <c r="I12" s="1"/>
      <c r="J12" s="1"/>
      <c r="K12" s="1"/>
      <c r="L12" s="1"/>
      <c r="M12" s="1"/>
      <c r="N12" s="1"/>
      <c r="O12" s="1"/>
      <c r="P12" s="1"/>
      <c r="Q12" s="1"/>
      <c r="R12" s="1"/>
      <c r="S12" s="1"/>
      <c r="T12" s="1"/>
      <c r="U12" s="1"/>
      <c r="V12" s="1"/>
      <c r="W12" s="1"/>
      <c r="X12" s="1"/>
      <c r="Y12" s="1"/>
      <c r="Z12" s="1"/>
    </row>
    <row r="13">
      <c r="A13" s="1"/>
      <c r="B13" s="3" t="s">
        <v>4</v>
      </c>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3" t="s">
        <v>5</v>
      </c>
      <c r="C15" s="1"/>
      <c r="D15" s="1"/>
      <c r="E15" s="1"/>
      <c r="F15" s="1"/>
      <c r="G15" s="1"/>
      <c r="H15" s="1"/>
      <c r="I15" s="1"/>
      <c r="J15" s="1"/>
      <c r="K15" s="1"/>
      <c r="L15" s="1"/>
      <c r="M15" s="1"/>
      <c r="N15" s="1"/>
      <c r="O15" s="1"/>
      <c r="P15" s="1"/>
      <c r="Q15" s="1"/>
      <c r="R15" s="1"/>
      <c r="S15" s="1"/>
      <c r="T15" s="1"/>
      <c r="U15" s="1"/>
      <c r="V15" s="1"/>
      <c r="W15" s="1"/>
      <c r="X15" s="1"/>
      <c r="Y15" s="1"/>
      <c r="Z15" s="1"/>
    </row>
    <row r="16">
      <c r="A16" s="1"/>
      <c r="C16" s="1"/>
      <c r="D16" s="1"/>
      <c r="E16" s="1"/>
      <c r="F16" s="1"/>
      <c r="G16" s="1"/>
      <c r="H16" s="1"/>
      <c r="I16" s="1"/>
      <c r="J16" s="1"/>
      <c r="K16" s="1"/>
      <c r="L16" s="1"/>
      <c r="M16" s="1"/>
      <c r="N16" s="1"/>
      <c r="O16" s="1"/>
      <c r="P16" s="1"/>
      <c r="Q16" s="1"/>
      <c r="R16" s="1"/>
      <c r="S16" s="1"/>
      <c r="T16" s="1"/>
      <c r="U16" s="1"/>
      <c r="V16" s="1"/>
      <c r="W16" s="1"/>
      <c r="X16" s="1"/>
      <c r="Y16" s="1"/>
      <c r="Z16" s="1"/>
    </row>
    <row r="17">
      <c r="A17" s="1"/>
      <c r="B17" s="3" t="s">
        <v>6</v>
      </c>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3" t="s">
        <v>7</v>
      </c>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4" t="s">
        <v>8</v>
      </c>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9.0"/>
    <col customWidth="1" min="2" max="2" width="2.44"/>
    <col customWidth="1" min="3" max="3" width="17.0"/>
    <col customWidth="1" min="4" max="4" width="13.11"/>
    <col customWidth="1" min="5" max="5" width="6.67"/>
    <col customWidth="1" min="6" max="6" width="5.11"/>
    <col customWidth="1" min="7" max="7" width="8.89"/>
    <col customWidth="1" min="8" max="8" width="8.11"/>
    <col customWidth="1" min="9" max="9" width="9.33"/>
    <col customWidth="1" min="10" max="10" width="7.67"/>
    <col customWidth="1" min="11" max="11" width="7.33"/>
    <col customWidth="1" min="12" max="13" width="7.11"/>
    <col customWidth="1" min="14" max="14" width="7.67"/>
    <col customWidth="1" min="15" max="15" width="5.67"/>
    <col customWidth="1" min="16" max="16" width="7.44"/>
    <col customWidth="1" min="17" max="17" width="7.33"/>
    <col customWidth="1" min="18" max="18" width="3.67"/>
    <col customWidth="1" min="19" max="19" width="9.0"/>
    <col customWidth="1" min="20" max="20" width="9.44"/>
    <col customWidth="1" min="21" max="26" width="8.56"/>
  </cols>
  <sheetData>
    <row r="1" ht="15.75" customHeight="1">
      <c r="A1" s="5"/>
      <c r="B1" s="5"/>
      <c r="C1" s="5"/>
      <c r="D1" s="5"/>
      <c r="E1" s="5"/>
      <c r="F1" s="5"/>
      <c r="G1" s="5"/>
      <c r="H1" s="6"/>
      <c r="I1" s="6"/>
      <c r="J1" s="5"/>
      <c r="K1" s="5"/>
      <c r="L1" s="5"/>
      <c r="M1" s="5"/>
      <c r="N1" s="5"/>
      <c r="O1" s="5"/>
      <c r="P1" s="5"/>
      <c r="Q1" s="5"/>
      <c r="R1" s="5"/>
      <c r="S1" s="5"/>
      <c r="T1" s="5"/>
      <c r="U1" s="5"/>
      <c r="V1" s="5"/>
      <c r="W1" s="5"/>
      <c r="X1" s="5"/>
      <c r="Y1" s="5"/>
      <c r="Z1" s="5"/>
    </row>
    <row r="2" ht="19.5" customHeight="1">
      <c r="A2" s="5"/>
      <c r="B2" s="5"/>
      <c r="C2" s="7" t="s">
        <v>9</v>
      </c>
      <c r="D2" s="5"/>
      <c r="E2" s="5"/>
      <c r="F2" s="5"/>
      <c r="G2" s="5"/>
      <c r="H2" s="6"/>
      <c r="I2" s="8" t="s">
        <v>10</v>
      </c>
      <c r="J2" s="5"/>
      <c r="K2" s="5"/>
      <c r="L2" s="5"/>
      <c r="M2" s="5"/>
      <c r="N2" s="5"/>
      <c r="O2" s="5"/>
      <c r="P2" s="5"/>
      <c r="Q2" s="5"/>
      <c r="R2" s="5"/>
      <c r="S2" s="5"/>
      <c r="T2" s="5"/>
      <c r="U2" s="5"/>
      <c r="V2" s="5"/>
      <c r="W2" s="5"/>
      <c r="X2" s="5"/>
      <c r="Y2" s="5"/>
      <c r="Z2" s="5"/>
    </row>
    <row r="3" ht="15.75" customHeight="1">
      <c r="A3" s="5"/>
      <c r="B3" s="5"/>
      <c r="C3" s="5"/>
      <c r="D3" s="5"/>
      <c r="E3" s="5"/>
      <c r="F3" s="5"/>
      <c r="G3" s="5"/>
      <c r="H3" s="9"/>
      <c r="I3" s="10" t="s">
        <v>11</v>
      </c>
      <c r="J3" s="5"/>
      <c r="K3" s="5"/>
      <c r="L3" s="5"/>
      <c r="M3" s="5"/>
      <c r="N3" s="5"/>
      <c r="O3" s="5"/>
      <c r="P3" s="5"/>
      <c r="Q3" s="5"/>
      <c r="R3" s="5"/>
      <c r="S3" s="5"/>
      <c r="T3" s="5"/>
      <c r="U3" s="5"/>
      <c r="V3" s="5"/>
      <c r="W3" s="5"/>
      <c r="X3" s="5"/>
      <c r="Y3" s="5"/>
      <c r="Z3" s="5"/>
    </row>
    <row r="4" ht="15.75" customHeight="1">
      <c r="A4" s="5"/>
      <c r="B4" s="5"/>
      <c r="C4" s="5"/>
      <c r="D4" s="5"/>
      <c r="E4" s="5"/>
      <c r="F4" s="5"/>
      <c r="G4" s="5"/>
      <c r="H4" s="6"/>
      <c r="I4" s="6"/>
      <c r="J4" s="5"/>
      <c r="K4" s="5"/>
      <c r="L4" s="5"/>
      <c r="M4" s="5"/>
      <c r="N4" s="5"/>
      <c r="O4" s="5"/>
      <c r="P4" s="5"/>
      <c r="Q4" s="5"/>
      <c r="R4" s="5"/>
      <c r="S4" s="5"/>
      <c r="T4" s="5"/>
      <c r="U4" s="5"/>
      <c r="V4" s="5"/>
      <c r="W4" s="5"/>
      <c r="X4" s="5"/>
      <c r="Y4" s="5"/>
      <c r="Z4" s="5"/>
    </row>
    <row r="5" ht="15.75" customHeight="1">
      <c r="A5" s="5"/>
      <c r="B5" s="11" t="s">
        <v>12</v>
      </c>
      <c r="C5" s="12" t="s">
        <v>13</v>
      </c>
      <c r="D5" s="5"/>
      <c r="E5" s="5"/>
      <c r="F5" s="11" t="s">
        <v>14</v>
      </c>
      <c r="G5" s="13" t="s">
        <v>15</v>
      </c>
      <c r="H5" s="6"/>
      <c r="I5" s="6"/>
      <c r="J5" s="5"/>
      <c r="K5" s="5"/>
      <c r="L5" s="14" t="s">
        <v>16</v>
      </c>
      <c r="M5" s="15"/>
      <c r="N5" s="15"/>
      <c r="O5" s="15"/>
      <c r="P5" s="16"/>
      <c r="Q5" s="16"/>
      <c r="R5" s="5"/>
      <c r="S5" s="5"/>
      <c r="T5" s="5"/>
      <c r="U5" s="5"/>
      <c r="V5" s="5"/>
      <c r="W5" s="5"/>
      <c r="X5" s="5"/>
      <c r="Y5" s="5"/>
      <c r="Z5" s="5"/>
    </row>
    <row r="6" ht="15.75" customHeight="1">
      <c r="A6" s="5"/>
      <c r="B6" s="5"/>
      <c r="C6" s="17" t="s">
        <v>17</v>
      </c>
      <c r="D6" s="5"/>
      <c r="E6" s="18"/>
      <c r="F6" s="5"/>
      <c r="G6" s="5"/>
      <c r="H6" s="6"/>
      <c r="I6" s="6"/>
      <c r="J6" s="5"/>
      <c r="K6" s="5"/>
      <c r="L6" s="19" t="s">
        <v>18</v>
      </c>
      <c r="M6" s="15"/>
      <c r="N6" s="15"/>
      <c r="O6" s="15"/>
      <c r="P6" s="20"/>
      <c r="Q6" s="20"/>
      <c r="R6" s="5"/>
      <c r="S6" s="5"/>
      <c r="T6" s="5"/>
      <c r="U6" s="5"/>
      <c r="V6" s="5"/>
      <c r="W6" s="5"/>
      <c r="X6" s="5"/>
      <c r="Y6" s="5"/>
      <c r="Z6" s="5"/>
    </row>
    <row r="7" ht="15.75" customHeight="1">
      <c r="A7" s="21"/>
      <c r="B7" s="21"/>
      <c r="C7" s="12" t="s">
        <v>19</v>
      </c>
      <c r="D7" s="6" t="s">
        <v>20</v>
      </c>
      <c r="E7" s="22"/>
      <c r="F7" s="5"/>
      <c r="G7" s="23" t="s">
        <v>21</v>
      </c>
      <c r="H7" s="24">
        <f>'計分版'!E19</f>
        <v>0.0000000015</v>
      </c>
      <c r="I7" s="23" t="s">
        <v>22</v>
      </c>
      <c r="J7" s="24">
        <f>'計分版'!G19</f>
        <v>0.0000000015</v>
      </c>
      <c r="K7" s="5"/>
      <c r="L7" s="25"/>
      <c r="M7" s="15"/>
      <c r="N7" s="15"/>
      <c r="O7" s="15"/>
      <c r="P7" s="20"/>
      <c r="Q7" s="20"/>
      <c r="R7" s="5"/>
      <c r="S7" s="5"/>
      <c r="T7" s="5"/>
      <c r="U7" s="5"/>
      <c r="V7" s="5"/>
      <c r="W7" s="5"/>
      <c r="X7" s="5"/>
      <c r="Y7" s="5"/>
      <c r="Z7" s="5"/>
    </row>
    <row r="8" ht="15.75" customHeight="1">
      <c r="A8" s="5"/>
      <c r="B8" s="5"/>
      <c r="C8" s="15" t="s">
        <v>23</v>
      </c>
      <c r="D8" s="26"/>
      <c r="E8" s="27"/>
      <c r="F8" s="5"/>
      <c r="G8" s="28" t="s">
        <v>24</v>
      </c>
      <c r="H8" s="29">
        <f>'計分版'!E20</f>
        <v>0.0000000015</v>
      </c>
      <c r="I8" s="28" t="s">
        <v>25</v>
      </c>
      <c r="J8" s="29">
        <f>'計分版'!G20</f>
        <v>0.0000000015</v>
      </c>
      <c r="K8" s="5"/>
      <c r="L8" s="20"/>
      <c r="M8" s="15"/>
      <c r="N8" s="15"/>
      <c r="O8" s="15"/>
      <c r="P8" s="16"/>
      <c r="Q8" s="16"/>
      <c r="R8" s="5"/>
      <c r="S8" s="5"/>
      <c r="T8" s="5"/>
      <c r="U8" s="5"/>
      <c r="V8" s="5"/>
      <c r="W8" s="5"/>
      <c r="X8" s="5"/>
      <c r="Y8" s="5"/>
      <c r="Z8" s="5"/>
    </row>
    <row r="9" ht="15.75" customHeight="1">
      <c r="A9" s="5"/>
      <c r="B9" s="5"/>
      <c r="C9" s="30" t="s">
        <v>26</v>
      </c>
      <c r="D9" s="31"/>
      <c r="E9" s="27"/>
      <c r="F9" s="5"/>
      <c r="G9" s="5" t="s">
        <v>27</v>
      </c>
      <c r="H9" s="6"/>
      <c r="I9" s="6"/>
      <c r="J9" s="5"/>
      <c r="K9" s="32"/>
      <c r="L9" s="33" t="s">
        <v>28</v>
      </c>
      <c r="M9" s="5"/>
      <c r="N9" s="5"/>
      <c r="O9" s="5"/>
      <c r="P9" s="34"/>
      <c r="Q9" s="34"/>
      <c r="R9" s="5"/>
      <c r="S9" s="5"/>
      <c r="T9" s="5"/>
      <c r="U9" s="5"/>
      <c r="V9" s="5"/>
      <c r="W9" s="5"/>
      <c r="X9" s="5"/>
      <c r="Y9" s="5"/>
      <c r="Z9" s="5"/>
    </row>
    <row r="10" ht="15.75" customHeight="1">
      <c r="A10" s="5"/>
      <c r="B10" s="5"/>
      <c r="C10" s="15" t="s">
        <v>29</v>
      </c>
      <c r="D10" s="26"/>
      <c r="E10" s="27"/>
      <c r="F10" s="5"/>
      <c r="G10" s="5"/>
      <c r="H10" s="6"/>
      <c r="I10" s="6"/>
      <c r="J10" s="5"/>
      <c r="K10" s="5"/>
      <c r="L10" s="5"/>
      <c r="M10" s="5"/>
      <c r="N10" s="5"/>
      <c r="O10" s="5"/>
      <c r="P10" s="34"/>
      <c r="Q10" s="34"/>
      <c r="R10" s="5"/>
      <c r="S10" s="5"/>
      <c r="T10" s="5"/>
      <c r="U10" s="5"/>
      <c r="V10" s="5"/>
      <c r="W10" s="5"/>
      <c r="X10" s="5"/>
      <c r="Y10" s="5"/>
      <c r="Z10" s="5"/>
    </row>
    <row r="11" ht="15.75" customHeight="1">
      <c r="A11" s="5"/>
      <c r="B11" s="5"/>
      <c r="C11" s="30" t="s">
        <v>30</v>
      </c>
      <c r="D11" s="31"/>
      <c r="E11" s="27"/>
      <c r="F11" s="11" t="s">
        <v>31</v>
      </c>
      <c r="G11" s="13" t="s">
        <v>32</v>
      </c>
      <c r="H11" s="6"/>
      <c r="I11" s="6"/>
      <c r="J11" s="35" t="s">
        <v>33</v>
      </c>
      <c r="K11" s="5"/>
      <c r="L11" s="5"/>
      <c r="M11" s="5"/>
      <c r="N11" s="5"/>
      <c r="O11" s="5"/>
      <c r="P11" s="5"/>
      <c r="Q11" s="5"/>
      <c r="R11" s="5"/>
      <c r="S11" s="5"/>
      <c r="T11" s="5"/>
      <c r="U11" s="5"/>
      <c r="V11" s="5"/>
      <c r="W11" s="5"/>
      <c r="X11" s="5"/>
      <c r="Y11" s="5"/>
      <c r="Z11" s="5"/>
    </row>
    <row r="12" ht="15.75" customHeight="1">
      <c r="A12" s="5"/>
      <c r="B12" s="5"/>
      <c r="C12" s="15" t="s">
        <v>34</v>
      </c>
      <c r="D12" s="26"/>
      <c r="E12" s="27"/>
      <c r="F12" s="5"/>
      <c r="G12" s="36" t="s">
        <v>35</v>
      </c>
      <c r="H12" s="6"/>
      <c r="I12" s="6"/>
      <c r="J12" s="37" t="s">
        <v>36</v>
      </c>
      <c r="K12" s="5"/>
      <c r="L12" s="5"/>
      <c r="M12" s="5"/>
      <c r="N12" s="5"/>
      <c r="O12" s="5"/>
      <c r="P12" s="5"/>
      <c r="Q12" s="5"/>
      <c r="R12" s="5"/>
      <c r="S12" s="5"/>
      <c r="T12" s="5"/>
      <c r="U12" s="5"/>
      <c r="V12" s="5"/>
      <c r="W12" s="5"/>
      <c r="X12" s="5"/>
      <c r="Y12" s="5"/>
      <c r="Z12" s="5"/>
    </row>
    <row r="13" ht="14.25" customHeight="1">
      <c r="A13" s="5"/>
      <c r="B13" s="5"/>
      <c r="C13" s="5"/>
      <c r="D13" s="27"/>
      <c r="E13" s="27" t="s">
        <v>37</v>
      </c>
      <c r="F13" s="5"/>
      <c r="G13" s="5"/>
      <c r="H13" s="6"/>
      <c r="I13" s="6"/>
      <c r="J13" s="5"/>
      <c r="K13" s="5"/>
      <c r="L13" s="5"/>
      <c r="M13" s="5"/>
      <c r="N13" s="5"/>
      <c r="O13" s="5"/>
      <c r="P13" s="38" t="s">
        <v>38</v>
      </c>
      <c r="Q13" s="38" t="s">
        <v>39</v>
      </c>
      <c r="R13" s="39" t="s">
        <v>40</v>
      </c>
      <c r="S13" s="5"/>
      <c r="T13" s="5"/>
      <c r="U13" s="5"/>
      <c r="V13" s="5"/>
      <c r="W13" s="5"/>
      <c r="X13" s="5"/>
      <c r="Y13" s="5"/>
      <c r="Z13" s="5"/>
    </row>
    <row r="14" ht="15.75" customHeight="1">
      <c r="A14" s="5"/>
      <c r="B14" s="5"/>
      <c r="C14" s="40" t="s">
        <v>41</v>
      </c>
      <c r="D14" s="5"/>
      <c r="E14" s="27"/>
      <c r="F14" s="5"/>
      <c r="G14" s="5"/>
      <c r="H14" s="41" t="s">
        <v>42</v>
      </c>
      <c r="I14" s="41" t="s">
        <v>43</v>
      </c>
      <c r="J14" s="41" t="s">
        <v>44</v>
      </c>
      <c r="K14" s="38" t="s">
        <v>45</v>
      </c>
      <c r="L14" s="38" t="s">
        <v>46</v>
      </c>
      <c r="M14" s="38" t="s">
        <v>47</v>
      </c>
      <c r="N14" s="42" t="s">
        <v>48</v>
      </c>
      <c r="O14" s="38" t="s">
        <v>49</v>
      </c>
      <c r="P14" s="38" t="s">
        <v>50</v>
      </c>
      <c r="Q14" s="38" t="s">
        <v>51</v>
      </c>
      <c r="R14" s="42" t="s">
        <v>52</v>
      </c>
      <c r="S14" s="5"/>
      <c r="T14" s="5"/>
      <c r="U14" s="5"/>
      <c r="V14" s="5"/>
      <c r="W14" s="5"/>
      <c r="X14" s="5"/>
      <c r="Y14" s="5"/>
      <c r="Z14" s="5"/>
    </row>
    <row r="15" ht="15.75" customHeight="1">
      <c r="A15" s="5"/>
      <c r="B15" s="5"/>
      <c r="C15" s="43" t="s">
        <v>53</v>
      </c>
      <c r="D15" s="44" t="s">
        <v>20</v>
      </c>
      <c r="E15" s="27"/>
      <c r="F15" s="45" t="s">
        <v>54</v>
      </c>
      <c r="G15" s="46" t="s">
        <v>55</v>
      </c>
      <c r="H15" s="47" t="str">
        <f>'A123'!B16</f>
        <v>CUHK</v>
      </c>
      <c r="I15" s="47" t="str">
        <f>'A123'!D16</f>
        <v>PSYCHOLOGY</v>
      </c>
      <c r="J15" s="48" t="str">
        <f>'A123'!E16</f>
        <v>Best 5</v>
      </c>
      <c r="K15" s="49">
        <f>'A123'!F16</f>
        <v>37.5</v>
      </c>
      <c r="L15" s="49">
        <f>'A123'!G16</f>
        <v>35.25</v>
      </c>
      <c r="M15" s="49">
        <f>'A123'!H16</f>
        <v>33</v>
      </c>
      <c r="N15" s="50">
        <f>'A123'!I16</f>
        <v>0.00000000395</v>
      </c>
      <c r="O15" s="49">
        <f>'A123'!J16</f>
        <v>54</v>
      </c>
      <c r="P15" s="49">
        <f>'A123'!K16</f>
        <v>57</v>
      </c>
      <c r="Q15" s="51">
        <f>'A123'!L16</f>
        <v>6.709090909</v>
      </c>
      <c r="R15" s="52">
        <f>'A123'!M16</f>
        <v>0</v>
      </c>
      <c r="S15" s="5"/>
      <c r="T15" s="5"/>
      <c r="U15" s="5"/>
      <c r="V15" s="5"/>
      <c r="W15" s="5"/>
      <c r="X15" s="5"/>
      <c r="Y15" s="5"/>
      <c r="Z15" s="5"/>
    </row>
    <row r="16" ht="15.75" customHeight="1">
      <c r="A16" s="53" t="s">
        <v>56</v>
      </c>
      <c r="B16" s="54" t="str">
        <f>IF(C16="","x",'計分版'!J2)</f>
        <v>x</v>
      </c>
      <c r="C16" s="55"/>
      <c r="D16" s="26"/>
      <c r="E16" s="27"/>
      <c r="F16" s="12"/>
      <c r="G16" s="18"/>
      <c r="H16" s="56" t="str">
        <f>'A123'!C16</f>
        <v>心理學</v>
      </c>
      <c r="I16" s="57"/>
      <c r="J16" s="58" t="s">
        <v>57</v>
      </c>
      <c r="K16" s="59">
        <f>'A123'!F5</f>
        <v>-9493670885</v>
      </c>
      <c r="L16" s="59">
        <f>'A123'!G5</f>
        <v>-8924050632</v>
      </c>
      <c r="M16" s="59">
        <f>'A123'!H5</f>
        <v>-8354430379</v>
      </c>
      <c r="N16" s="57"/>
      <c r="O16" s="57"/>
      <c r="P16" s="57"/>
      <c r="Q16" s="57"/>
      <c r="R16" s="5"/>
      <c r="S16" s="5"/>
      <c r="T16" s="5"/>
      <c r="U16" s="5"/>
      <c r="V16" s="5"/>
      <c r="W16" s="5"/>
      <c r="X16" s="5"/>
      <c r="Y16" s="5"/>
      <c r="Z16" s="5"/>
    </row>
    <row r="17" ht="15.75" customHeight="1">
      <c r="A17" s="53" t="s">
        <v>58</v>
      </c>
      <c r="B17" s="54" t="str">
        <f>IF(C17="","x",'計分版'!K2)</f>
        <v>x</v>
      </c>
      <c r="C17" s="60"/>
      <c r="D17" s="31"/>
      <c r="E17" s="27"/>
      <c r="F17" s="45" t="s">
        <v>59</v>
      </c>
      <c r="G17" s="46" t="s">
        <v>60</v>
      </c>
      <c r="H17" s="47" t="str">
        <f>'A123'!B17</f>
        <v>LingU</v>
      </c>
      <c r="I17" s="47" t="str">
        <f>'A123'!D17</f>
        <v>BA (Hons) Cultural Stud</v>
      </c>
      <c r="J17" s="48" t="str">
        <f>'A123'!E17</f>
        <v>Best 5</v>
      </c>
      <c r="K17" s="49" t="str">
        <f>'A123'!F17</f>
        <v>/</v>
      </c>
      <c r="L17" s="49">
        <f>'A123'!G17</f>
        <v>26</v>
      </c>
      <c r="M17" s="49">
        <f>'A123'!H17</f>
        <v>25</v>
      </c>
      <c r="N17" s="50">
        <f>'A123'!I17</f>
        <v>0.00000000395</v>
      </c>
      <c r="O17" s="49">
        <f>'A123'!J17</f>
        <v>25</v>
      </c>
      <c r="P17" s="49">
        <f>'A123'!K17</f>
        <v>26</v>
      </c>
      <c r="Q17" s="51">
        <f>'A123'!L17</f>
        <v>14.42857143</v>
      </c>
      <c r="R17" s="61">
        <f>'A123'!M17</f>
        <v>0</v>
      </c>
      <c r="S17" s="5" t="s">
        <v>61</v>
      </c>
      <c r="T17" s="5"/>
      <c r="U17" s="5"/>
      <c r="V17" s="5"/>
      <c r="W17" s="5"/>
      <c r="X17" s="5"/>
      <c r="Y17" s="5"/>
      <c r="Z17" s="5"/>
    </row>
    <row r="18" ht="15.75" customHeight="1">
      <c r="A18" s="53" t="s">
        <v>62</v>
      </c>
      <c r="B18" s="54" t="str">
        <f>IF(C18="","x",'計分版'!L2)</f>
        <v>x</v>
      </c>
      <c r="C18" s="55"/>
      <c r="D18" s="26"/>
      <c r="E18" s="27"/>
      <c r="F18" s="12"/>
      <c r="G18" s="62"/>
      <c r="H18" s="56" t="str">
        <f>'A123'!C17</f>
        <v>文化研究(榮譽)文學士</v>
      </c>
      <c r="I18" s="57"/>
      <c r="J18" s="18"/>
      <c r="K18" s="59" t="str">
        <f>'A123'!F7</f>
        <v/>
      </c>
      <c r="L18" s="59">
        <f>'A123'!G7</f>
        <v>-6582278480</v>
      </c>
      <c r="M18" s="59">
        <f>'A123'!H7</f>
        <v>-6329113923</v>
      </c>
      <c r="N18" s="57"/>
      <c r="O18" s="57"/>
      <c r="P18" s="57"/>
      <c r="Q18" s="57"/>
      <c r="R18" s="5"/>
      <c r="S18" s="5"/>
      <c r="T18" s="5"/>
      <c r="U18" s="5"/>
      <c r="V18" s="5"/>
      <c r="W18" s="5"/>
      <c r="X18" s="5"/>
      <c r="Y18" s="5"/>
      <c r="Z18" s="5"/>
    </row>
    <row r="19" ht="15.75" customHeight="1">
      <c r="A19" s="53" t="s">
        <v>63</v>
      </c>
      <c r="B19" s="54" t="str">
        <f>IF(C19="","x",'計分版'!M2)</f>
        <v>x</v>
      </c>
      <c r="C19" s="63"/>
      <c r="D19" s="64"/>
      <c r="E19" s="27"/>
      <c r="F19" s="45" t="s">
        <v>64</v>
      </c>
      <c r="G19" s="46"/>
      <c r="H19" s="47" t="str">
        <f>'A123'!B18</f>
        <v/>
      </c>
      <c r="I19" s="47" t="str">
        <f>'A123'!D18</f>
        <v/>
      </c>
      <c r="J19" s="48" t="str">
        <f>'A123'!E18</f>
        <v/>
      </c>
      <c r="K19" s="49" t="str">
        <f>'A123'!F18</f>
        <v/>
      </c>
      <c r="L19" s="49" t="str">
        <f>'A123'!G18</f>
        <v/>
      </c>
      <c r="M19" s="49" t="str">
        <f>'A123'!H18</f>
        <v/>
      </c>
      <c r="N19" s="50" t="str">
        <f>'A123'!I18</f>
        <v/>
      </c>
      <c r="O19" s="49" t="str">
        <f>'A123'!J18</f>
        <v/>
      </c>
      <c r="P19" s="49" t="str">
        <f>'A123'!K18</f>
        <v/>
      </c>
      <c r="Q19" s="51" t="str">
        <f>'A123'!L18</f>
        <v/>
      </c>
      <c r="R19" s="61" t="str">
        <f>'A123'!M18</f>
        <v/>
      </c>
      <c r="S19" s="5"/>
      <c r="T19" s="5"/>
      <c r="U19" s="5"/>
      <c r="V19" s="5"/>
      <c r="W19" s="5"/>
      <c r="X19" s="5"/>
      <c r="Y19" s="5"/>
      <c r="Z19" s="5"/>
    </row>
    <row r="20" ht="15.75" customHeight="1">
      <c r="A20" s="53" t="s">
        <v>65</v>
      </c>
      <c r="B20" s="54" t="str">
        <f>IF(C20="","x",'計分版'!N2)</f>
        <v>x</v>
      </c>
      <c r="C20" s="65"/>
      <c r="D20" s="66"/>
      <c r="E20" s="27"/>
      <c r="F20" s="5"/>
      <c r="G20" s="62"/>
      <c r="H20" s="56" t="str">
        <f>'A123'!C18</f>
        <v/>
      </c>
      <c r="I20" s="57"/>
      <c r="J20" s="18"/>
      <c r="K20" s="59" t="str">
        <f>'A123'!F9</f>
        <v/>
      </c>
      <c r="L20" s="59" t="str">
        <f>'A123'!G9</f>
        <v/>
      </c>
      <c r="M20" s="59" t="str">
        <f>'A123'!H9</f>
        <v/>
      </c>
      <c r="N20" s="56"/>
      <c r="O20" s="39" t="s">
        <v>66</v>
      </c>
      <c r="P20" s="5"/>
      <c r="Q20" s="39" t="s">
        <v>67</v>
      </c>
      <c r="R20" s="5"/>
      <c r="S20" s="5"/>
      <c r="T20" s="5"/>
      <c r="U20" s="5"/>
      <c r="V20" s="5"/>
      <c r="W20" s="5"/>
      <c r="X20" s="5"/>
      <c r="Y20" s="5"/>
      <c r="Z20" s="5"/>
    </row>
    <row r="21" ht="15.75" customHeight="1">
      <c r="A21" s="67"/>
      <c r="B21" s="67"/>
      <c r="C21" s="68" t="s">
        <v>68</v>
      </c>
      <c r="D21" s="5"/>
      <c r="E21" s="5"/>
      <c r="F21" s="18" t="s">
        <v>69</v>
      </c>
      <c r="G21" s="69"/>
      <c r="H21" s="6"/>
      <c r="I21" s="6"/>
      <c r="J21" s="5"/>
      <c r="K21" s="5"/>
      <c r="L21" s="5"/>
      <c r="M21" s="5"/>
      <c r="N21" s="5"/>
      <c r="O21" s="5"/>
      <c r="P21" s="5"/>
      <c r="Q21" s="5"/>
      <c r="R21" s="5"/>
      <c r="S21" s="5"/>
      <c r="T21" s="5"/>
      <c r="U21" s="5"/>
      <c r="V21" s="5"/>
      <c r="W21" s="5"/>
      <c r="X21" s="5"/>
      <c r="Y21" s="5"/>
      <c r="Z21" s="5"/>
    </row>
    <row r="22" ht="15.75" customHeight="1">
      <c r="A22" s="5"/>
      <c r="B22" s="5"/>
      <c r="C22" s="5"/>
      <c r="D22" s="5"/>
      <c r="E22" s="5"/>
      <c r="F22" s="70" t="s">
        <v>70</v>
      </c>
      <c r="G22" s="5"/>
      <c r="H22" s="5"/>
      <c r="I22" s="6"/>
      <c r="J22" s="5"/>
      <c r="K22" s="5"/>
      <c r="L22" s="71"/>
      <c r="M22" s="71"/>
      <c r="N22" s="71"/>
      <c r="O22" s="71"/>
      <c r="P22" s="71"/>
      <c r="Q22" s="5"/>
      <c r="R22" s="5"/>
      <c r="S22" s="5"/>
      <c r="T22" s="5"/>
      <c r="U22" s="5"/>
      <c r="V22" s="5"/>
      <c r="W22" s="5"/>
      <c r="X22" s="5"/>
      <c r="Y22" s="5"/>
      <c r="Z22" s="5"/>
    </row>
    <row r="23" ht="15.75" customHeight="1">
      <c r="A23" s="5"/>
      <c r="B23" s="5"/>
      <c r="C23" s="72" t="s">
        <v>71</v>
      </c>
      <c r="D23" s="73" t="s">
        <v>72</v>
      </c>
      <c r="E23" s="5"/>
      <c r="F23" s="71" t="s">
        <v>73</v>
      </c>
      <c r="G23" s="5"/>
      <c r="H23" s="5"/>
      <c r="I23" s="5"/>
      <c r="J23" s="5"/>
      <c r="K23" s="6"/>
      <c r="L23" s="6"/>
      <c r="M23" s="5"/>
      <c r="N23" s="5"/>
      <c r="O23" s="5"/>
      <c r="P23" s="5"/>
      <c r="Q23" s="5"/>
      <c r="R23" s="5"/>
      <c r="S23" s="5"/>
      <c r="T23" s="5"/>
      <c r="U23" s="5"/>
      <c r="V23" s="5"/>
      <c r="W23" s="5"/>
      <c r="X23" s="5"/>
      <c r="Y23" s="5"/>
      <c r="Z23" s="5"/>
    </row>
    <row r="24" ht="15.75" customHeight="1">
      <c r="A24" s="5"/>
      <c r="B24" s="5"/>
      <c r="C24" s="20"/>
      <c r="D24" s="15"/>
      <c r="E24" s="5"/>
      <c r="F24" s="74" t="s">
        <v>74</v>
      </c>
      <c r="G24" s="5"/>
      <c r="H24" s="6"/>
      <c r="I24" s="6"/>
      <c r="J24" s="71"/>
      <c r="K24" s="71"/>
      <c r="L24" s="71"/>
      <c r="M24" s="71"/>
      <c r="N24" s="71"/>
      <c r="O24" s="71"/>
      <c r="P24" s="71"/>
      <c r="Q24" s="75"/>
      <c r="R24" s="5"/>
      <c r="S24" s="5"/>
      <c r="T24" s="5"/>
      <c r="U24" s="5"/>
      <c r="V24" s="5"/>
      <c r="W24" s="5"/>
      <c r="X24" s="5"/>
      <c r="Y24" s="5"/>
      <c r="Z24" s="5"/>
    </row>
    <row r="25" ht="15.75" customHeight="1">
      <c r="A25" s="5"/>
      <c r="B25" s="5"/>
      <c r="C25" s="76" t="s">
        <v>75</v>
      </c>
      <c r="D25" s="77" t="s">
        <v>76</v>
      </c>
      <c r="E25" s="5"/>
      <c r="F25" s="71" t="s">
        <v>77</v>
      </c>
      <c r="G25" s="5"/>
      <c r="H25" s="6"/>
      <c r="I25" s="6"/>
      <c r="J25" s="71"/>
      <c r="K25" s="71"/>
      <c r="L25" s="71"/>
      <c r="M25" s="71"/>
      <c r="N25" s="71"/>
      <c r="O25" s="71"/>
      <c r="P25" s="71"/>
      <c r="Q25" s="75"/>
      <c r="R25" s="5"/>
      <c r="S25" s="5"/>
      <c r="T25" s="5"/>
      <c r="U25" s="5"/>
      <c r="V25" s="5"/>
      <c r="W25" s="5"/>
      <c r="X25" s="5"/>
      <c r="Y25" s="5"/>
      <c r="Z25" s="5"/>
    </row>
    <row r="26" ht="15.75" customHeight="1">
      <c r="A26" s="5"/>
      <c r="B26" s="5"/>
      <c r="C26" s="76" t="s">
        <v>78</v>
      </c>
      <c r="D26" s="77" t="s">
        <v>79</v>
      </c>
      <c r="E26" s="5"/>
      <c r="F26" s="71"/>
      <c r="G26" s="5"/>
      <c r="H26" s="6"/>
      <c r="I26" s="6"/>
      <c r="J26" s="71"/>
      <c r="K26" s="71"/>
      <c r="L26" s="71"/>
      <c r="M26" s="71"/>
      <c r="N26" s="71"/>
      <c r="O26" s="71"/>
      <c r="P26" s="71"/>
      <c r="Q26" s="75"/>
      <c r="R26" s="5"/>
      <c r="S26" s="5"/>
      <c r="T26" s="5"/>
      <c r="U26" s="5"/>
      <c r="V26" s="5"/>
      <c r="W26" s="5"/>
      <c r="X26" s="5"/>
      <c r="Y26" s="5"/>
      <c r="Z26" s="5"/>
    </row>
    <row r="27" ht="15.75" customHeight="1">
      <c r="A27" s="5"/>
      <c r="B27" s="5"/>
      <c r="C27" s="76" t="s">
        <v>80</v>
      </c>
      <c r="D27" s="77" t="s">
        <v>81</v>
      </c>
      <c r="E27" s="5"/>
      <c r="F27" s="11" t="s">
        <v>82</v>
      </c>
      <c r="G27" s="12" t="s">
        <v>83</v>
      </c>
      <c r="H27" s="5"/>
      <c r="I27" s="67" t="s">
        <v>38</v>
      </c>
      <c r="J27" s="71"/>
      <c r="K27" s="71"/>
      <c r="L27" s="71"/>
      <c r="M27" s="78" t="s">
        <v>84</v>
      </c>
      <c r="N27" s="79"/>
      <c r="O27" s="20"/>
      <c r="P27" s="20"/>
      <c r="Q27" s="15"/>
      <c r="R27" s="20"/>
      <c r="S27" s="20"/>
      <c r="T27" s="20"/>
      <c r="U27" s="5"/>
      <c r="V27" s="5"/>
      <c r="W27" s="5"/>
      <c r="X27" s="5"/>
      <c r="Y27" s="5"/>
      <c r="Z27" s="5"/>
    </row>
    <row r="28" ht="15.75" customHeight="1">
      <c r="A28" s="5"/>
      <c r="B28" s="5"/>
      <c r="C28" s="76" t="s">
        <v>85</v>
      </c>
      <c r="D28" s="77" t="s">
        <v>86</v>
      </c>
      <c r="E28" s="5"/>
      <c r="F28" s="5"/>
      <c r="G28" s="67" t="s">
        <v>87</v>
      </c>
      <c r="H28" s="5"/>
      <c r="I28" s="5"/>
      <c r="J28" s="21" t="s">
        <v>88</v>
      </c>
      <c r="K28" s="71"/>
      <c r="L28" s="71"/>
      <c r="M28" s="79"/>
      <c r="N28" s="79"/>
      <c r="O28" s="20"/>
      <c r="P28" s="79"/>
      <c r="Q28" s="80" t="s">
        <v>89</v>
      </c>
      <c r="R28" s="20"/>
      <c r="S28" s="20"/>
      <c r="T28" s="20"/>
      <c r="U28" s="5"/>
      <c r="V28" s="5"/>
      <c r="W28" s="5"/>
      <c r="X28" s="5"/>
      <c r="Y28" s="5"/>
      <c r="Z28" s="5"/>
    </row>
    <row r="29" ht="15.75" customHeight="1">
      <c r="A29" s="5"/>
      <c r="B29" s="5"/>
      <c r="C29" s="76" t="s">
        <v>90</v>
      </c>
      <c r="D29" s="77" t="s">
        <v>91</v>
      </c>
      <c r="E29" s="5"/>
      <c r="F29" s="21"/>
      <c r="G29" s="12" t="s">
        <v>19</v>
      </c>
      <c r="H29" s="12"/>
      <c r="I29" s="5"/>
      <c r="J29" s="81" t="s">
        <v>92</v>
      </c>
      <c r="K29" s="71"/>
      <c r="L29" s="71"/>
      <c r="M29" s="82" t="s">
        <v>93</v>
      </c>
      <c r="N29" s="83"/>
      <c r="O29" s="84"/>
      <c r="P29" s="85"/>
      <c r="Q29" s="19" t="s">
        <v>94</v>
      </c>
      <c r="R29" s="20"/>
      <c r="S29" s="20"/>
      <c r="T29" s="20"/>
      <c r="U29" s="5"/>
      <c r="V29" s="5"/>
      <c r="W29" s="5"/>
      <c r="X29" s="5"/>
      <c r="Y29" s="5"/>
      <c r="Z29" s="5"/>
    </row>
    <row r="30" ht="15.75" customHeight="1">
      <c r="A30" s="5"/>
      <c r="B30" s="5"/>
      <c r="C30" s="76" t="s">
        <v>95</v>
      </c>
      <c r="D30" s="77" t="s">
        <v>96</v>
      </c>
      <c r="E30" s="5"/>
      <c r="F30" s="5"/>
      <c r="G30" s="15" t="s">
        <v>23</v>
      </c>
      <c r="H30" s="15"/>
      <c r="I30" s="86">
        <f t="shared" ref="I30:I34" si="1">IF(D8=0,0,LOOKUP(D8,{1,2,3,4,5,6,7,0},{1,2,3,4,5,"5*","5**","U"}))</f>
        <v>0</v>
      </c>
      <c r="J30" s="66"/>
      <c r="K30" s="71"/>
      <c r="L30" s="71"/>
      <c r="M30" s="19" t="s">
        <v>97</v>
      </c>
      <c r="N30" s="87"/>
      <c r="O30" s="87"/>
      <c r="P30" s="85"/>
      <c r="Q30" s="19" t="s">
        <v>98</v>
      </c>
      <c r="R30" s="20"/>
      <c r="S30" s="20"/>
      <c r="T30" s="20"/>
      <c r="U30" s="5"/>
      <c r="V30" s="5"/>
      <c r="W30" s="5"/>
      <c r="X30" s="5"/>
      <c r="Y30" s="5"/>
      <c r="Z30" s="5"/>
    </row>
    <row r="31" ht="15.75" customHeight="1">
      <c r="A31" s="5"/>
      <c r="B31" s="5"/>
      <c r="C31" s="76" t="s">
        <v>99</v>
      </c>
      <c r="D31" s="5"/>
      <c r="E31" s="5"/>
      <c r="F31" s="5"/>
      <c r="G31" s="30" t="s">
        <v>26</v>
      </c>
      <c r="H31" s="30"/>
      <c r="I31" s="88">
        <f t="shared" si="1"/>
        <v>0</v>
      </c>
      <c r="J31" s="64"/>
      <c r="K31" s="71"/>
      <c r="L31" s="71"/>
      <c r="M31" s="89"/>
      <c r="N31" s="85"/>
      <c r="O31" s="85"/>
      <c r="P31" s="85"/>
      <c r="Q31" s="19" t="s">
        <v>100</v>
      </c>
      <c r="R31" s="20"/>
      <c r="S31" s="20"/>
      <c r="T31" s="20"/>
      <c r="U31" s="5"/>
      <c r="V31" s="5"/>
      <c r="W31" s="5"/>
      <c r="X31" s="5"/>
      <c r="Y31" s="5"/>
      <c r="Z31" s="5"/>
    </row>
    <row r="32" ht="15.75" customHeight="1">
      <c r="A32" s="5"/>
      <c r="B32" s="5"/>
      <c r="C32" s="76" t="s">
        <v>101</v>
      </c>
      <c r="D32" s="5"/>
      <c r="E32" s="5"/>
      <c r="F32" s="5"/>
      <c r="G32" s="15" t="s">
        <v>29</v>
      </c>
      <c r="H32" s="15"/>
      <c r="I32" s="86">
        <f t="shared" si="1"/>
        <v>0</v>
      </c>
      <c r="J32" s="66"/>
      <c r="K32" s="71"/>
      <c r="L32" s="71"/>
      <c r="M32" s="82" t="s">
        <v>102</v>
      </c>
      <c r="N32" s="90"/>
      <c r="O32" s="91"/>
      <c r="P32" s="92"/>
      <c r="Q32" s="19" t="s">
        <v>103</v>
      </c>
      <c r="R32" s="20"/>
      <c r="S32" s="20"/>
      <c r="T32" s="20"/>
      <c r="U32" s="5"/>
      <c r="V32" s="5"/>
      <c r="W32" s="5"/>
      <c r="X32" s="5"/>
      <c r="Y32" s="5"/>
      <c r="Z32" s="5"/>
    </row>
    <row r="33" ht="15.75" customHeight="1">
      <c r="A33" s="5"/>
      <c r="B33" s="5"/>
      <c r="C33" s="76" t="s">
        <v>104</v>
      </c>
      <c r="D33" s="5"/>
      <c r="E33" s="5"/>
      <c r="F33" s="5"/>
      <c r="G33" s="30" t="s">
        <v>30</v>
      </c>
      <c r="H33" s="30"/>
      <c r="I33" s="88">
        <f t="shared" si="1"/>
        <v>0</v>
      </c>
      <c r="J33" s="64"/>
      <c r="K33" s="71"/>
      <c r="L33" s="71"/>
      <c r="M33" s="19" t="s">
        <v>105</v>
      </c>
      <c r="N33" s="85"/>
      <c r="O33" s="85"/>
      <c r="P33" s="85"/>
      <c r="Q33" s="19" t="s">
        <v>106</v>
      </c>
      <c r="R33" s="20"/>
      <c r="S33" s="20"/>
      <c r="T33" s="20"/>
      <c r="U33" s="5"/>
      <c r="V33" s="5"/>
      <c r="W33" s="5"/>
      <c r="X33" s="5"/>
      <c r="Y33" s="5"/>
      <c r="Z33" s="5"/>
    </row>
    <row r="34" ht="15.75" customHeight="1">
      <c r="A34" s="5"/>
      <c r="B34" s="5"/>
      <c r="C34" s="76" t="s">
        <v>107</v>
      </c>
      <c r="D34" s="5"/>
      <c r="E34" s="5"/>
      <c r="F34" s="5"/>
      <c r="G34" s="15" t="s">
        <v>34</v>
      </c>
      <c r="H34" s="15"/>
      <c r="I34" s="86">
        <f t="shared" si="1"/>
        <v>0</v>
      </c>
      <c r="J34" s="66"/>
      <c r="K34" s="71"/>
      <c r="L34" s="71"/>
      <c r="M34" s="19" t="s">
        <v>108</v>
      </c>
      <c r="N34" s="85"/>
      <c r="O34" s="85"/>
      <c r="P34" s="85"/>
      <c r="Q34" s="19" t="s">
        <v>109</v>
      </c>
      <c r="R34" s="20"/>
      <c r="S34" s="20"/>
      <c r="T34" s="20"/>
      <c r="U34" s="5"/>
      <c r="V34" s="5"/>
      <c r="W34" s="5"/>
      <c r="X34" s="5"/>
      <c r="Y34" s="5"/>
      <c r="Z34" s="5"/>
    </row>
    <row r="35" ht="15.75" customHeight="1">
      <c r="A35" s="5"/>
      <c r="B35" s="5"/>
      <c r="C35" s="76" t="s">
        <v>110</v>
      </c>
      <c r="D35" s="5"/>
      <c r="E35" s="5"/>
      <c r="F35" s="5"/>
      <c r="G35" s="5"/>
      <c r="H35" s="5"/>
      <c r="I35" s="27"/>
      <c r="J35" s="6"/>
      <c r="K35" s="71"/>
      <c r="L35" s="71"/>
      <c r="M35" s="19" t="s">
        <v>111</v>
      </c>
      <c r="N35" s="85"/>
      <c r="O35" s="85"/>
      <c r="P35" s="92"/>
      <c r="Q35" s="19" t="s">
        <v>112</v>
      </c>
      <c r="R35" s="20"/>
      <c r="S35" s="20"/>
      <c r="T35" s="20"/>
      <c r="U35" s="5"/>
      <c r="V35" s="5"/>
      <c r="W35" s="5"/>
      <c r="X35" s="5"/>
      <c r="Y35" s="5"/>
      <c r="Z35" s="5"/>
    </row>
    <row r="36" ht="15.75" customHeight="1">
      <c r="A36" s="5"/>
      <c r="B36" s="5"/>
      <c r="C36" s="76" t="s">
        <v>113</v>
      </c>
      <c r="D36" s="5"/>
      <c r="E36" s="5"/>
      <c r="F36" s="5"/>
      <c r="G36" s="12" t="s">
        <v>114</v>
      </c>
      <c r="H36" s="12" t="s">
        <v>114</v>
      </c>
      <c r="I36" s="27"/>
      <c r="J36" s="93"/>
      <c r="K36" s="71"/>
      <c r="L36" s="71"/>
      <c r="M36" s="19" t="s">
        <v>115</v>
      </c>
      <c r="N36" s="85"/>
      <c r="O36" s="85"/>
      <c r="P36" s="85"/>
      <c r="Q36" s="19" t="s">
        <v>116</v>
      </c>
      <c r="R36" s="20"/>
      <c r="S36" s="20"/>
      <c r="T36" s="20"/>
      <c r="U36" s="5"/>
      <c r="V36" s="5"/>
      <c r="W36" s="5"/>
      <c r="X36" s="5"/>
      <c r="Y36" s="5"/>
      <c r="Z36" s="5"/>
    </row>
    <row r="37" ht="15.75" customHeight="1">
      <c r="A37" s="5"/>
      <c r="B37" s="5"/>
      <c r="C37" s="76" t="s">
        <v>117</v>
      </c>
      <c r="D37" s="5"/>
      <c r="E37" s="5"/>
      <c r="F37" s="5"/>
      <c r="G37" s="15" t="str">
        <f>IF('計分版'!J$1=0,"",C16)</f>
        <v/>
      </c>
      <c r="H37" s="15"/>
      <c r="I37" s="86">
        <f t="array" ref="I37">IF('計分版'!J1=0,0,LOOKUP(D16,{0,1,2,3,4,5,6,7},{"U",1,2,3,4,5,"5*","5**"}))</f>
        <v>0</v>
      </c>
      <c r="J37" s="66"/>
      <c r="K37" s="71"/>
      <c r="L37" s="71"/>
      <c r="M37" s="19" t="s">
        <v>118</v>
      </c>
      <c r="N37" s="90"/>
      <c r="O37" s="91"/>
      <c r="P37" s="85"/>
      <c r="Q37" s="19" t="s">
        <v>119</v>
      </c>
      <c r="R37" s="20"/>
      <c r="S37" s="20"/>
      <c r="T37" s="20"/>
      <c r="U37" s="5"/>
      <c r="V37" s="5"/>
      <c r="W37" s="5"/>
      <c r="X37" s="5"/>
      <c r="Y37" s="5"/>
      <c r="Z37" s="5"/>
    </row>
    <row r="38" ht="15.75" customHeight="1">
      <c r="A38" s="5"/>
      <c r="B38" s="5"/>
      <c r="C38" s="76" t="s">
        <v>120</v>
      </c>
      <c r="D38" s="5"/>
      <c r="E38" s="5"/>
      <c r="F38" s="5"/>
      <c r="G38" s="30" t="str">
        <f>IF('計分版'!K$1=0,"",C17)</f>
        <v/>
      </c>
      <c r="H38" s="30"/>
      <c r="I38" s="88">
        <f t="array" ref="I38">IF('計分版'!K1=0,0,LOOKUP(D17,{0,1,2,3,4,5,6,7},{0,1,2,3,4,5,"5*","5**"}))</f>
        <v>0</v>
      </c>
      <c r="J38" s="64"/>
      <c r="K38" s="71"/>
      <c r="L38" s="71"/>
      <c r="M38" s="19" t="s">
        <v>121</v>
      </c>
      <c r="N38" s="85"/>
      <c r="O38" s="85"/>
      <c r="P38" s="92"/>
      <c r="Q38" s="19" t="s">
        <v>122</v>
      </c>
      <c r="R38" s="20"/>
      <c r="S38" s="20"/>
      <c r="T38" s="20"/>
      <c r="U38" s="5"/>
      <c r="V38" s="5"/>
      <c r="W38" s="5"/>
      <c r="X38" s="5"/>
      <c r="Y38" s="5"/>
      <c r="Z38" s="5"/>
    </row>
    <row r="39" ht="15.75" customHeight="1">
      <c r="A39" s="5"/>
      <c r="B39" s="5"/>
      <c r="C39" s="76" t="s">
        <v>123</v>
      </c>
      <c r="D39" s="5"/>
      <c r="E39" s="5"/>
      <c r="F39" s="5"/>
      <c r="G39" s="15" t="str">
        <f>IF('計分版'!L$1=0,"",C18)</f>
        <v/>
      </c>
      <c r="H39" s="15"/>
      <c r="I39" s="86">
        <f t="array" ref="I39">IF('計分版'!L1=0,0,LOOKUP(D18,{0,1,2,3,4,5,6,7},{"U",1,2,3,4,5,"5*","5**"}))</f>
        <v>0</v>
      </c>
      <c r="J39" s="66"/>
      <c r="K39" s="71"/>
      <c r="L39" s="71"/>
      <c r="M39" s="19" t="s">
        <v>124</v>
      </c>
      <c r="N39" s="90"/>
      <c r="O39" s="91"/>
      <c r="P39" s="85"/>
      <c r="Q39" s="94" t="s">
        <v>125</v>
      </c>
      <c r="R39" s="20"/>
      <c r="S39" s="20"/>
      <c r="T39" s="20"/>
      <c r="U39" s="5"/>
      <c r="V39" s="5"/>
      <c r="W39" s="5"/>
      <c r="X39" s="5"/>
      <c r="Y39" s="5"/>
      <c r="Z39" s="5"/>
    </row>
    <row r="40" ht="15.75" customHeight="1">
      <c r="A40" s="5"/>
      <c r="B40" s="5"/>
      <c r="C40" s="76" t="s">
        <v>126</v>
      </c>
      <c r="D40" s="5"/>
      <c r="E40" s="5"/>
      <c r="F40" s="5"/>
      <c r="G40" s="30" t="str">
        <f>IF('計分版'!M$1=0,"",C19)</f>
        <v/>
      </c>
      <c r="H40" s="30"/>
      <c r="I40" s="88">
        <f t="array" ref="I40">IF('計分版'!M1=0,0,LOOKUP(D19,{0,1,2,3,4,5,6,7},{"U",1,2,3,4,5,"5*","5**"}))</f>
        <v>0</v>
      </c>
      <c r="J40" s="64"/>
      <c r="K40" s="71"/>
      <c r="L40" s="71"/>
      <c r="M40" s="80" t="s">
        <v>127</v>
      </c>
      <c r="N40" s="85"/>
      <c r="O40" s="85"/>
      <c r="P40" s="92"/>
      <c r="Q40" s="94" t="s">
        <v>128</v>
      </c>
      <c r="R40" s="20"/>
      <c r="S40" s="20"/>
      <c r="T40" s="20"/>
      <c r="U40" s="5"/>
      <c r="V40" s="5"/>
      <c r="W40" s="5"/>
      <c r="X40" s="5"/>
      <c r="Y40" s="5"/>
      <c r="Z40" s="5"/>
    </row>
    <row r="41" ht="15.75" customHeight="1">
      <c r="A41" s="5"/>
      <c r="B41" s="5"/>
      <c r="C41" s="76" t="s">
        <v>129</v>
      </c>
      <c r="D41" s="5"/>
      <c r="E41" s="5"/>
      <c r="F41" s="5"/>
      <c r="G41" s="15" t="str">
        <f>IF('計分版'!N$1=0,"",C20)</f>
        <v/>
      </c>
      <c r="H41" s="15"/>
      <c r="I41" s="86">
        <f t="array" ref="I41">IF('計分版'!N1=0,0,LOOKUP(D20,{0,"E","D","C","B","A"},{"U","E","D","C","B","A"}))</f>
        <v>0</v>
      </c>
      <c r="J41" s="66"/>
      <c r="K41" s="71"/>
      <c r="L41" s="71"/>
      <c r="M41" s="19" t="s">
        <v>130</v>
      </c>
      <c r="N41" s="85"/>
      <c r="O41" s="85"/>
      <c r="P41" s="85"/>
      <c r="Q41" s="94" t="s">
        <v>131</v>
      </c>
      <c r="R41" s="20"/>
      <c r="S41" s="20"/>
      <c r="T41" s="20"/>
      <c r="U41" s="5"/>
      <c r="V41" s="5"/>
      <c r="W41" s="5"/>
      <c r="X41" s="5"/>
      <c r="Y41" s="5"/>
      <c r="Z41" s="5"/>
    </row>
    <row r="42" ht="15.75" customHeight="1">
      <c r="A42" s="5"/>
      <c r="B42" s="5"/>
      <c r="C42" s="76" t="s">
        <v>132</v>
      </c>
      <c r="D42" s="5"/>
      <c r="E42" s="5"/>
      <c r="F42" s="5"/>
      <c r="G42" s="95" t="s">
        <v>133</v>
      </c>
      <c r="H42" s="5"/>
      <c r="I42" s="5"/>
      <c r="J42" s="71"/>
      <c r="K42" s="71"/>
      <c r="L42" s="71"/>
      <c r="M42" s="25"/>
      <c r="N42" s="20"/>
      <c r="O42" s="20"/>
      <c r="P42" s="20"/>
      <c r="Q42" s="20"/>
      <c r="R42" s="20"/>
      <c r="S42" s="20"/>
      <c r="T42" s="20"/>
      <c r="U42" s="5"/>
      <c r="V42" s="5"/>
      <c r="W42" s="5"/>
      <c r="X42" s="5"/>
      <c r="Y42" s="5"/>
      <c r="Z42" s="5"/>
    </row>
    <row r="43" ht="15.75" customHeight="1">
      <c r="A43" s="5"/>
      <c r="B43" s="5"/>
      <c r="C43" s="76" t="s">
        <v>134</v>
      </c>
      <c r="D43" s="5"/>
      <c r="E43" s="5"/>
      <c r="F43" s="5"/>
      <c r="G43" s="95" t="s">
        <v>135</v>
      </c>
      <c r="H43" s="5"/>
      <c r="I43" s="5"/>
      <c r="J43" s="71"/>
      <c r="K43" s="71"/>
      <c r="L43" s="71"/>
      <c r="M43" s="71"/>
      <c r="N43" s="71"/>
      <c r="O43" s="71"/>
      <c r="P43" s="71"/>
      <c r="Q43" s="75"/>
      <c r="R43" s="5"/>
      <c r="S43" s="5"/>
      <c r="T43" s="5"/>
      <c r="U43" s="5"/>
      <c r="V43" s="5"/>
      <c r="W43" s="5"/>
      <c r="X43" s="5"/>
      <c r="Y43" s="5"/>
      <c r="Z43" s="5"/>
    </row>
    <row r="44" ht="15.75" customHeight="1">
      <c r="A44" s="5"/>
      <c r="B44" s="5"/>
      <c r="C44" s="76" t="s">
        <v>136</v>
      </c>
      <c r="D44" s="5"/>
      <c r="E44" s="5"/>
      <c r="F44" s="71"/>
      <c r="G44" s="5"/>
      <c r="H44" s="6"/>
      <c r="I44" s="6"/>
      <c r="J44" s="71"/>
      <c r="K44" s="71"/>
      <c r="L44" s="71"/>
      <c r="M44" s="71"/>
      <c r="N44" s="71"/>
      <c r="O44" s="71"/>
      <c r="P44" s="71"/>
      <c r="Q44" s="75"/>
      <c r="R44" s="5"/>
      <c r="S44" s="5"/>
      <c r="T44" s="5"/>
      <c r="U44" s="5"/>
      <c r="V44" s="5"/>
      <c r="W44" s="5"/>
      <c r="X44" s="5"/>
      <c r="Y44" s="5"/>
      <c r="Z44" s="5"/>
    </row>
    <row r="45" ht="15.75" customHeight="1">
      <c r="A45" s="5"/>
      <c r="B45" s="5"/>
      <c r="C45" s="76" t="s">
        <v>137</v>
      </c>
      <c r="D45" s="5"/>
      <c r="E45" s="5"/>
      <c r="F45" s="5"/>
      <c r="G45" s="5"/>
      <c r="H45" s="6"/>
      <c r="I45" s="6"/>
      <c r="J45" s="5"/>
      <c r="K45" s="5"/>
      <c r="L45" s="5"/>
      <c r="M45" s="5"/>
      <c r="N45" s="5"/>
      <c r="O45" s="5"/>
      <c r="P45" s="5"/>
      <c r="Q45" s="5"/>
      <c r="R45" s="5"/>
      <c r="S45" s="5"/>
      <c r="T45" s="5"/>
      <c r="U45" s="5"/>
      <c r="V45" s="5"/>
      <c r="W45" s="5"/>
      <c r="X45" s="5"/>
      <c r="Y45" s="5"/>
      <c r="Z45" s="5"/>
    </row>
    <row r="46" ht="15.75" customHeight="1">
      <c r="A46" s="5"/>
      <c r="B46" s="5"/>
      <c r="C46" s="76" t="s">
        <v>138</v>
      </c>
      <c r="D46" s="5"/>
      <c r="E46" s="5"/>
      <c r="F46" s="5"/>
      <c r="G46" s="16" t="s">
        <v>139</v>
      </c>
      <c r="H46" s="16"/>
      <c r="I46" s="16"/>
      <c r="J46" s="16"/>
      <c r="K46" s="16"/>
      <c r="L46" s="16"/>
      <c r="M46" s="16"/>
      <c r="N46" s="16"/>
      <c r="O46" s="16"/>
      <c r="P46" s="15"/>
      <c r="Q46" s="15"/>
      <c r="R46" s="15"/>
      <c r="S46" s="15"/>
      <c r="T46" s="15"/>
      <c r="U46" s="5"/>
      <c r="V46" s="5"/>
      <c r="W46" s="5"/>
      <c r="X46" s="5"/>
      <c r="Y46" s="5"/>
      <c r="Z46" s="5"/>
    </row>
    <row r="47" ht="15.75" customHeight="1">
      <c r="A47" s="5"/>
      <c r="B47" s="5"/>
      <c r="C47" s="76" t="s">
        <v>140</v>
      </c>
      <c r="D47" s="5"/>
      <c r="E47" s="5"/>
      <c r="F47" s="5"/>
      <c r="G47" s="15"/>
      <c r="H47" s="15"/>
      <c r="I47" s="15"/>
      <c r="J47" s="15"/>
      <c r="K47" s="15"/>
      <c r="L47" s="15"/>
      <c r="M47" s="15"/>
      <c r="N47" s="15"/>
      <c r="O47" s="15"/>
      <c r="P47" s="15"/>
      <c r="Q47" s="15"/>
      <c r="R47" s="15"/>
      <c r="S47" s="15"/>
      <c r="T47" s="15"/>
      <c r="U47" s="5"/>
      <c r="V47" s="5"/>
      <c r="W47" s="5"/>
      <c r="X47" s="5"/>
      <c r="Y47" s="5"/>
      <c r="Z47" s="5"/>
    </row>
    <row r="48" ht="16.5" customHeight="1">
      <c r="A48" s="5"/>
      <c r="B48" s="5"/>
      <c r="C48" s="5"/>
      <c r="D48" s="5"/>
      <c r="E48" s="5"/>
      <c r="F48" s="5"/>
      <c r="G48" s="96" t="s">
        <v>141</v>
      </c>
      <c r="H48" s="97"/>
      <c r="I48" s="97"/>
      <c r="J48" s="97"/>
      <c r="K48" s="97"/>
      <c r="L48" s="97"/>
      <c r="M48" s="97"/>
      <c r="N48" s="97"/>
      <c r="O48" s="97"/>
      <c r="P48" s="97"/>
      <c r="Q48" s="97"/>
      <c r="R48" s="97"/>
      <c r="S48" s="97"/>
      <c r="T48" s="97"/>
      <c r="U48" s="5"/>
      <c r="V48" s="5"/>
      <c r="W48" s="5"/>
      <c r="X48" s="5"/>
      <c r="Y48" s="5"/>
      <c r="Z48" s="5"/>
    </row>
    <row r="49" ht="15.75" customHeight="1">
      <c r="A49" s="5"/>
      <c r="B49" s="5"/>
      <c r="C49" s="5"/>
      <c r="D49" s="5"/>
      <c r="E49" s="5"/>
      <c r="F49" s="5"/>
      <c r="G49" s="98"/>
      <c r="U49" s="5"/>
      <c r="V49" s="5"/>
      <c r="W49" s="5"/>
      <c r="X49" s="5"/>
      <c r="Y49" s="5"/>
      <c r="Z49" s="5"/>
    </row>
    <row r="50" ht="15.75" customHeight="1">
      <c r="A50" s="5"/>
      <c r="B50" s="5"/>
      <c r="C50" s="5"/>
      <c r="D50" s="5"/>
      <c r="E50" s="5"/>
      <c r="F50" s="5"/>
      <c r="G50" s="98"/>
      <c r="U50" s="5"/>
      <c r="V50" s="5"/>
      <c r="W50" s="5"/>
      <c r="X50" s="5"/>
      <c r="Y50" s="5"/>
      <c r="Z50" s="5"/>
    </row>
    <row r="51" ht="15.75" customHeight="1">
      <c r="A51" s="5"/>
      <c r="B51" s="5"/>
      <c r="C51" s="5"/>
      <c r="D51" s="5"/>
      <c r="E51" s="5"/>
      <c r="F51" s="5"/>
      <c r="G51" s="98"/>
      <c r="U51" s="5"/>
      <c r="V51" s="5"/>
      <c r="W51" s="5"/>
      <c r="X51" s="5"/>
      <c r="Y51" s="5"/>
      <c r="Z51" s="5"/>
    </row>
    <row r="52" ht="15.75" customHeight="1">
      <c r="A52" s="5"/>
      <c r="B52" s="5"/>
      <c r="C52" s="5"/>
      <c r="D52" s="5"/>
      <c r="E52" s="5"/>
      <c r="F52" s="5"/>
      <c r="G52" s="98"/>
      <c r="U52" s="5"/>
      <c r="V52" s="5"/>
      <c r="W52" s="5"/>
      <c r="X52" s="5"/>
      <c r="Y52" s="5"/>
      <c r="Z52" s="5"/>
    </row>
    <row r="53" ht="15.75" customHeight="1">
      <c r="A53" s="5"/>
      <c r="B53" s="5"/>
      <c r="C53" s="5"/>
      <c r="D53" s="5"/>
      <c r="E53" s="5"/>
      <c r="F53" s="5"/>
      <c r="G53" s="98"/>
      <c r="U53" s="5"/>
      <c r="V53" s="5"/>
      <c r="W53" s="5"/>
      <c r="X53" s="5"/>
      <c r="Y53" s="5"/>
      <c r="Z53" s="5"/>
    </row>
    <row r="54" ht="15.0" customHeight="1">
      <c r="A54" s="5"/>
      <c r="B54" s="5"/>
      <c r="C54" s="5"/>
      <c r="D54" s="5"/>
      <c r="E54" s="5"/>
      <c r="F54" s="5"/>
      <c r="G54" s="99"/>
      <c r="H54" s="99"/>
      <c r="I54" s="99"/>
      <c r="J54" s="99"/>
      <c r="K54" s="99"/>
      <c r="L54" s="99"/>
      <c r="M54" s="99"/>
      <c r="N54" s="99"/>
      <c r="O54" s="99"/>
      <c r="P54" s="99"/>
      <c r="Q54" s="99"/>
      <c r="R54" s="99"/>
      <c r="S54" s="99"/>
      <c r="T54" s="99"/>
      <c r="U54" s="5"/>
      <c r="V54" s="5"/>
      <c r="W54" s="5"/>
      <c r="X54" s="5"/>
      <c r="Y54" s="5"/>
      <c r="Z54" s="5"/>
    </row>
    <row r="55" ht="15.75" customHeight="1">
      <c r="A55" s="5"/>
      <c r="B55" s="5"/>
      <c r="C55" s="5"/>
      <c r="D55" s="5"/>
      <c r="E55" s="5"/>
      <c r="F55" s="5"/>
      <c r="G55" s="99"/>
      <c r="H55" s="99"/>
      <c r="I55" s="99"/>
      <c r="J55" s="99"/>
      <c r="K55" s="99"/>
      <c r="L55" s="99"/>
      <c r="M55" s="99"/>
      <c r="N55" s="99"/>
      <c r="O55" s="99"/>
      <c r="P55" s="99"/>
      <c r="Q55" s="99"/>
      <c r="R55" s="99"/>
      <c r="S55" s="99"/>
      <c r="T55" s="99"/>
      <c r="U55" s="5"/>
      <c r="V55" s="5"/>
      <c r="W55" s="5"/>
      <c r="X55" s="5"/>
      <c r="Y55" s="5"/>
      <c r="Z55" s="5"/>
    </row>
    <row r="56" ht="15.75" hidden="1" customHeight="1">
      <c r="A56" s="5"/>
      <c r="B56" s="5"/>
      <c r="C56" s="5"/>
      <c r="D56" s="5"/>
      <c r="E56" s="5"/>
      <c r="F56" s="5"/>
      <c r="G56" s="99"/>
      <c r="H56" s="99"/>
      <c r="I56" s="99"/>
      <c r="J56" s="99"/>
      <c r="K56" s="99"/>
      <c r="L56" s="99"/>
      <c r="M56" s="99"/>
      <c r="N56" s="99"/>
      <c r="O56" s="99"/>
      <c r="P56" s="99"/>
      <c r="Q56" s="99"/>
      <c r="R56" s="99"/>
      <c r="S56" s="99"/>
      <c r="T56" s="99"/>
      <c r="U56" s="5"/>
      <c r="V56" s="5"/>
      <c r="W56" s="5"/>
      <c r="X56" s="5"/>
      <c r="Y56" s="5"/>
      <c r="Z56" s="5"/>
    </row>
    <row r="57" ht="15.75" hidden="1" customHeight="1">
      <c r="A57" s="5"/>
      <c r="B57" s="5"/>
      <c r="C57" s="5"/>
      <c r="D57" s="5"/>
      <c r="E57" s="5"/>
      <c r="F57" s="5"/>
      <c r="G57" s="5"/>
      <c r="H57" s="5"/>
      <c r="I57" s="5"/>
      <c r="J57" s="5"/>
      <c r="K57" s="5"/>
      <c r="L57" s="5"/>
      <c r="M57" s="100"/>
      <c r="N57" s="100"/>
      <c r="O57" s="100"/>
      <c r="P57" s="100"/>
      <c r="Q57" s="100"/>
      <c r="R57" s="100"/>
      <c r="S57" s="5"/>
      <c r="T57" s="5"/>
      <c r="U57" s="5"/>
      <c r="V57" s="5"/>
      <c r="W57" s="5"/>
      <c r="X57" s="5"/>
      <c r="Y57" s="5"/>
      <c r="Z57" s="5"/>
    </row>
    <row r="58" ht="15.75" hidden="1" customHeight="1">
      <c r="A58" s="5"/>
      <c r="B58" s="5"/>
      <c r="C58" s="5"/>
      <c r="D58" s="5"/>
      <c r="E58" s="5"/>
      <c r="F58" s="5"/>
      <c r="G58" s="5"/>
      <c r="H58" s="5"/>
      <c r="I58" s="5"/>
      <c r="J58" s="5"/>
      <c r="K58" s="5"/>
      <c r="L58" s="5"/>
      <c r="M58" s="100"/>
      <c r="N58" s="100"/>
      <c r="O58" s="100"/>
      <c r="P58" s="100"/>
      <c r="Q58" s="100"/>
      <c r="R58" s="100"/>
      <c r="S58" s="5"/>
      <c r="T58" s="5"/>
      <c r="U58" s="5"/>
      <c r="V58" s="5"/>
      <c r="W58" s="5"/>
      <c r="X58" s="5"/>
      <c r="Y58" s="5"/>
      <c r="Z58" s="5"/>
    </row>
    <row r="59" ht="15.75" hidden="1" customHeight="1">
      <c r="A59" s="5"/>
      <c r="B59" s="5"/>
      <c r="C59" s="5"/>
      <c r="D59" s="5"/>
      <c r="E59" s="5"/>
      <c r="F59" s="5"/>
      <c r="G59" s="5"/>
      <c r="H59" s="5"/>
      <c r="I59" s="5"/>
      <c r="J59" s="5"/>
      <c r="K59" s="5"/>
      <c r="L59" s="5"/>
      <c r="M59" s="100"/>
      <c r="N59" s="100"/>
      <c r="O59" s="100"/>
      <c r="P59" s="100"/>
      <c r="Q59" s="100"/>
      <c r="R59" s="100"/>
      <c r="S59" s="5"/>
      <c r="T59" s="5"/>
      <c r="U59" s="5"/>
      <c r="V59" s="5"/>
      <c r="W59" s="5"/>
      <c r="X59" s="5"/>
      <c r="Y59" s="5"/>
      <c r="Z59" s="5"/>
    </row>
    <row r="60" ht="15.75" hidden="1" customHeight="1">
      <c r="A60" s="5"/>
      <c r="B60" s="5"/>
      <c r="C60" s="5"/>
      <c r="D60" s="5"/>
      <c r="E60" s="5"/>
      <c r="F60" s="5"/>
      <c r="G60" s="5"/>
      <c r="H60" s="5"/>
      <c r="I60" s="5"/>
      <c r="J60" s="5"/>
      <c r="K60" s="5"/>
      <c r="L60" s="5"/>
      <c r="M60" s="100"/>
      <c r="N60" s="100"/>
      <c r="O60" s="100"/>
      <c r="P60" s="100"/>
      <c r="Q60" s="100"/>
      <c r="R60" s="100"/>
      <c r="S60" s="5"/>
      <c r="T60" s="5"/>
      <c r="U60" s="5"/>
      <c r="V60" s="5"/>
      <c r="W60" s="5"/>
      <c r="X60" s="5"/>
      <c r="Y60" s="5"/>
      <c r="Z60" s="5"/>
    </row>
    <row r="61" ht="15.75" hidden="1" customHeight="1">
      <c r="A61" s="5"/>
      <c r="B61" s="5"/>
      <c r="C61" s="5"/>
      <c r="D61" s="5"/>
      <c r="E61" s="5"/>
      <c r="F61" s="5"/>
      <c r="G61" s="5"/>
      <c r="H61" s="5"/>
      <c r="I61" s="5"/>
      <c r="J61" s="5"/>
      <c r="K61" s="5"/>
      <c r="L61" s="5"/>
      <c r="M61" s="100"/>
      <c r="N61" s="100"/>
      <c r="O61" s="100"/>
      <c r="P61" s="100"/>
      <c r="Q61" s="100"/>
      <c r="R61" s="100"/>
      <c r="S61" s="5"/>
      <c r="T61" s="5"/>
      <c r="U61" s="5"/>
      <c r="V61" s="5"/>
      <c r="W61" s="5"/>
      <c r="X61" s="5"/>
      <c r="Y61" s="5"/>
      <c r="Z61" s="5"/>
    </row>
    <row r="62" ht="15.75" customHeight="1">
      <c r="A62" s="5"/>
      <c r="B62" s="5"/>
      <c r="C62" s="5"/>
      <c r="D62" s="5"/>
      <c r="E62" s="5"/>
      <c r="F62" s="5"/>
      <c r="G62" s="5"/>
      <c r="H62" s="6"/>
      <c r="I62" s="6"/>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6"/>
      <c r="I63" s="6"/>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6"/>
      <c r="I64" s="6"/>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6"/>
      <c r="I65" s="6"/>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6"/>
      <c r="I66" s="6"/>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6"/>
      <c r="I67" s="6"/>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6"/>
      <c r="I68" s="6"/>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6"/>
      <c r="I69" s="6"/>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6"/>
      <c r="I70" s="6"/>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6"/>
      <c r="I71" s="6"/>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6"/>
      <c r="I72" s="6"/>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6"/>
      <c r="I73" s="6"/>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6"/>
      <c r="I74" s="6"/>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6"/>
      <c r="I75" s="6"/>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6"/>
      <c r="I76" s="6"/>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6"/>
      <c r="I77" s="6"/>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6"/>
      <c r="I78" s="6"/>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6"/>
      <c r="I79" s="6"/>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6"/>
      <c r="I80" s="6"/>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6"/>
      <c r="I81" s="6"/>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6"/>
      <c r="I82" s="6"/>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6"/>
      <c r="I83" s="6"/>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6"/>
      <c r="I84" s="6"/>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6"/>
      <c r="I85" s="6"/>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6"/>
      <c r="I86" s="6"/>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6"/>
      <c r="I87" s="6"/>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6"/>
      <c r="I88" s="6"/>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6"/>
      <c r="I89" s="6"/>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6"/>
      <c r="I90" s="6"/>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6"/>
      <c r="I91" s="6"/>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6"/>
      <c r="I92" s="6"/>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6"/>
      <c r="I93" s="6"/>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6"/>
      <c r="I94" s="6"/>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6"/>
      <c r="I95" s="6"/>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6"/>
      <c r="I96" s="6"/>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6"/>
      <c r="I97" s="6"/>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6"/>
      <c r="I98" s="6"/>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6"/>
      <c r="I99" s="6"/>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6"/>
      <c r="I100" s="6"/>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6"/>
      <c r="I101" s="6"/>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6"/>
      <c r="I102" s="6"/>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6"/>
      <c r="I103" s="6"/>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6"/>
      <c r="I104" s="6"/>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6"/>
      <c r="I105" s="6"/>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6"/>
      <c r="I106" s="6"/>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6"/>
      <c r="I107" s="6"/>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6"/>
      <c r="I108" s="6"/>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6"/>
      <c r="I109" s="6"/>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6"/>
      <c r="I110" s="6"/>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6"/>
      <c r="I111" s="6"/>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6"/>
      <c r="I112" s="6"/>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6"/>
      <c r="I113" s="6"/>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6"/>
      <c r="I114" s="6"/>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6"/>
      <c r="I115" s="6"/>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6"/>
      <c r="I116" s="6"/>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6"/>
      <c r="I117" s="6"/>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6"/>
      <c r="I118" s="6"/>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6"/>
      <c r="I119" s="6"/>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6"/>
      <c r="I120" s="6"/>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6"/>
      <c r="I121" s="6"/>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6"/>
      <c r="I122" s="6"/>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6"/>
      <c r="I123" s="6"/>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6"/>
      <c r="I124" s="6"/>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6"/>
      <c r="I125" s="6"/>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6"/>
      <c r="I126" s="6"/>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6"/>
      <c r="I127" s="6"/>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6"/>
      <c r="I128" s="6"/>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6"/>
      <c r="I129" s="6"/>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6"/>
      <c r="I130" s="6"/>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6"/>
      <c r="I131" s="6"/>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6"/>
      <c r="I132" s="6"/>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6"/>
      <c r="I133" s="6"/>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6"/>
      <c r="I134" s="6"/>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6"/>
      <c r="I135" s="6"/>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6"/>
      <c r="I136" s="6"/>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6"/>
      <c r="I137" s="6"/>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6"/>
      <c r="I138" s="6"/>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6"/>
      <c r="I139" s="6"/>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6"/>
      <c r="I140" s="6"/>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6"/>
      <c r="I141" s="6"/>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6"/>
      <c r="I142" s="6"/>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6"/>
      <c r="I143" s="6"/>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6"/>
      <c r="I144" s="6"/>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6"/>
      <c r="I145" s="6"/>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6"/>
      <c r="I146" s="6"/>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6"/>
      <c r="I147" s="6"/>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6"/>
      <c r="I148" s="6"/>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6"/>
      <c r="I149" s="6"/>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6"/>
      <c r="I150" s="6"/>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6"/>
      <c r="I151" s="6"/>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6"/>
      <c r="I152" s="6"/>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6"/>
      <c r="I153" s="6"/>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6"/>
      <c r="I154" s="6"/>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6"/>
      <c r="I155" s="6"/>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6"/>
      <c r="I156" s="6"/>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6"/>
      <c r="I157" s="6"/>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6"/>
      <c r="I158" s="6"/>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6"/>
      <c r="I159" s="6"/>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6"/>
      <c r="I160" s="6"/>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6"/>
      <c r="I161" s="6"/>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6"/>
      <c r="I162" s="6"/>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6"/>
      <c r="I163" s="6"/>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6"/>
      <c r="I164" s="6"/>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6"/>
      <c r="I165" s="6"/>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6"/>
      <c r="I166" s="6"/>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6"/>
      <c r="I167" s="6"/>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6"/>
      <c r="I168" s="6"/>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6"/>
      <c r="I169" s="6"/>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6"/>
      <c r="I170" s="6"/>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6"/>
      <c r="I171" s="6"/>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6"/>
      <c r="I172" s="6"/>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6"/>
      <c r="I173" s="6"/>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6"/>
      <c r="I174" s="6"/>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6"/>
      <c r="I175" s="6"/>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6"/>
      <c r="I176" s="6"/>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6"/>
      <c r="I177" s="6"/>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6"/>
      <c r="I178" s="6"/>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6"/>
      <c r="I179" s="6"/>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6"/>
      <c r="I180" s="6"/>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6"/>
      <c r="I181" s="6"/>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6"/>
      <c r="I182" s="6"/>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6"/>
      <c r="I183" s="6"/>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6"/>
      <c r="I184" s="6"/>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6"/>
      <c r="I185" s="6"/>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6"/>
      <c r="I186" s="6"/>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6"/>
      <c r="I187" s="6"/>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6"/>
      <c r="I188" s="6"/>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6"/>
      <c r="I189" s="6"/>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6"/>
      <c r="I190" s="6"/>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6"/>
      <c r="I191" s="6"/>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6"/>
      <c r="I192" s="6"/>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6"/>
      <c r="I193" s="6"/>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6"/>
      <c r="I194" s="6"/>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6"/>
      <c r="I195" s="6"/>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6"/>
      <c r="I196" s="6"/>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6"/>
      <c r="I197" s="6"/>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6"/>
      <c r="I198" s="6"/>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6"/>
      <c r="I199" s="6"/>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6"/>
      <c r="I200" s="6"/>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6"/>
      <c r="I201" s="6"/>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6"/>
      <c r="I202" s="6"/>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6"/>
      <c r="I203" s="6"/>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6"/>
      <c r="I204" s="6"/>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6"/>
      <c r="I205" s="6"/>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6"/>
      <c r="I206" s="6"/>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6"/>
      <c r="I207" s="6"/>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6"/>
      <c r="I208" s="6"/>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6"/>
      <c r="I209" s="6"/>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6"/>
      <c r="I210" s="6"/>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6"/>
      <c r="I211" s="6"/>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6"/>
      <c r="I212" s="6"/>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6"/>
      <c r="I213" s="6"/>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6"/>
      <c r="I214" s="6"/>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6"/>
      <c r="I215" s="6"/>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6"/>
      <c r="I216" s="6"/>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6"/>
      <c r="I217" s="6"/>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6"/>
      <c r="I218" s="6"/>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6"/>
      <c r="I219" s="6"/>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6"/>
      <c r="I220" s="6"/>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6"/>
      <c r="I221" s="6"/>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6"/>
      <c r="I222" s="6"/>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6"/>
      <c r="I223" s="6"/>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6"/>
      <c r="I224" s="6"/>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6"/>
      <c r="I225" s="6"/>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6"/>
      <c r="I226" s="6"/>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6"/>
      <c r="I227" s="6"/>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6"/>
      <c r="I228" s="6"/>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6"/>
      <c r="I229" s="6"/>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6"/>
      <c r="I230" s="6"/>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6"/>
      <c r="I231" s="6"/>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6"/>
      <c r="I232" s="6"/>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6"/>
      <c r="I233" s="6"/>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6"/>
      <c r="I234" s="6"/>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6"/>
      <c r="I235" s="6"/>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6"/>
      <c r="I236" s="6"/>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6"/>
      <c r="I237" s="6"/>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6"/>
      <c r="I238" s="6"/>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6"/>
      <c r="I239" s="6"/>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6"/>
      <c r="I240" s="6"/>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6"/>
      <c r="I241" s="6"/>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6"/>
      <c r="I242" s="6"/>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6"/>
      <c r="I243" s="6"/>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6"/>
      <c r="I244" s="6"/>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6"/>
      <c r="I245" s="6"/>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6"/>
      <c r="I246" s="6"/>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6"/>
      <c r="I247" s="6"/>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6"/>
      <c r="I248" s="6"/>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6"/>
      <c r="I249" s="6"/>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6"/>
      <c r="I250" s="6"/>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6"/>
      <c r="I251" s="6"/>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6"/>
      <c r="I252" s="6"/>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6"/>
      <c r="I253" s="6"/>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6"/>
      <c r="I254" s="6"/>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6"/>
      <c r="I255" s="6"/>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6"/>
      <c r="I256" s="6"/>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6"/>
      <c r="I257" s="6"/>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6"/>
      <c r="I258" s="6"/>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6"/>
      <c r="I259" s="6"/>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6"/>
      <c r="I260" s="6"/>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6"/>
      <c r="I261" s="6"/>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6"/>
      <c r="I262" s="6"/>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6"/>
      <c r="I263" s="6"/>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6"/>
      <c r="I264" s="6"/>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6"/>
      <c r="I265" s="6"/>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6"/>
      <c r="I266" s="6"/>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6"/>
      <c r="I267" s="6"/>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6"/>
      <c r="I268" s="6"/>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6"/>
      <c r="I269" s="6"/>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6"/>
      <c r="I270" s="6"/>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6"/>
      <c r="I271" s="6"/>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6"/>
      <c r="I272" s="6"/>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6"/>
      <c r="I273" s="6"/>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6"/>
      <c r="I274" s="6"/>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6"/>
      <c r="I275" s="6"/>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6"/>
      <c r="I276" s="6"/>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6"/>
      <c r="I277" s="6"/>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6"/>
      <c r="I278" s="6"/>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6"/>
      <c r="I279" s="6"/>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6"/>
      <c r="I280" s="6"/>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6"/>
      <c r="I281" s="6"/>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6"/>
      <c r="I282" s="6"/>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6"/>
      <c r="I283" s="6"/>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6"/>
      <c r="I284" s="6"/>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6"/>
      <c r="I285" s="6"/>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6"/>
      <c r="I286" s="6"/>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6"/>
      <c r="I287" s="6"/>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6"/>
      <c r="I288" s="6"/>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6"/>
      <c r="I289" s="6"/>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6"/>
      <c r="I290" s="6"/>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6"/>
      <c r="I291" s="6"/>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6"/>
      <c r="I292" s="6"/>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6"/>
      <c r="I293" s="6"/>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6"/>
      <c r="I294" s="6"/>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6"/>
      <c r="I295" s="6"/>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6"/>
      <c r="I296" s="6"/>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6"/>
      <c r="I297" s="6"/>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6"/>
      <c r="I298" s="6"/>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6"/>
      <c r="I299" s="6"/>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6"/>
      <c r="I300" s="6"/>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6"/>
      <c r="I301" s="6"/>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6"/>
      <c r="I302" s="6"/>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6"/>
      <c r="I303" s="6"/>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6"/>
      <c r="I304" s="6"/>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6"/>
      <c r="I305" s="6"/>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6"/>
      <c r="I306" s="6"/>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6"/>
      <c r="I307" s="6"/>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6"/>
      <c r="I308" s="6"/>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6"/>
      <c r="I309" s="6"/>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6"/>
      <c r="I310" s="6"/>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6"/>
      <c r="I311" s="6"/>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6"/>
      <c r="I312" s="6"/>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6"/>
      <c r="I313" s="6"/>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6"/>
      <c r="I314" s="6"/>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6"/>
      <c r="I315" s="6"/>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6"/>
      <c r="I316" s="6"/>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6"/>
      <c r="I317" s="6"/>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6"/>
      <c r="I318" s="6"/>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6"/>
      <c r="I319" s="6"/>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6"/>
      <c r="I320" s="6"/>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6"/>
      <c r="I321" s="6"/>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6"/>
      <c r="I322" s="6"/>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6"/>
      <c r="I323" s="6"/>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6"/>
      <c r="I324" s="6"/>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6"/>
      <c r="I325" s="6"/>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6"/>
      <c r="I326" s="6"/>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6"/>
      <c r="I327" s="6"/>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6"/>
      <c r="I328" s="6"/>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6"/>
      <c r="I329" s="6"/>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6"/>
      <c r="I330" s="6"/>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6"/>
      <c r="I331" s="6"/>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6"/>
      <c r="I332" s="6"/>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6"/>
      <c r="I333" s="6"/>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6"/>
      <c r="I334" s="6"/>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6"/>
      <c r="I335" s="6"/>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6"/>
      <c r="I336" s="6"/>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6"/>
      <c r="I337" s="6"/>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6"/>
      <c r="I338" s="6"/>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6"/>
      <c r="I339" s="6"/>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6"/>
      <c r="I340" s="6"/>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6"/>
      <c r="I341" s="6"/>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6"/>
      <c r="I342" s="6"/>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6"/>
      <c r="I343" s="6"/>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6"/>
      <c r="I344" s="6"/>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6"/>
      <c r="I345" s="6"/>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6"/>
      <c r="I346" s="6"/>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6"/>
      <c r="I347" s="6"/>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6"/>
      <c r="I348" s="6"/>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6"/>
      <c r="I349" s="6"/>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6"/>
      <c r="I350" s="6"/>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6"/>
      <c r="I351" s="6"/>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6"/>
      <c r="I352" s="6"/>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6"/>
      <c r="I353" s="6"/>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6"/>
      <c r="I354" s="6"/>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6"/>
      <c r="I355" s="6"/>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6"/>
      <c r="I356" s="6"/>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6"/>
      <c r="I357" s="6"/>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6"/>
      <c r="I358" s="6"/>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6"/>
      <c r="I359" s="6"/>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6"/>
      <c r="I360" s="6"/>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6"/>
      <c r="I361" s="6"/>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6"/>
      <c r="I362" s="6"/>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6"/>
      <c r="I363" s="6"/>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6"/>
      <c r="I364" s="6"/>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6"/>
      <c r="I365" s="6"/>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6"/>
      <c r="I366" s="6"/>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6"/>
      <c r="I367" s="6"/>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6"/>
      <c r="I368" s="6"/>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6"/>
      <c r="I369" s="6"/>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6"/>
      <c r="I370" s="6"/>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6"/>
      <c r="I371" s="6"/>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6"/>
      <c r="I372" s="6"/>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6"/>
      <c r="I373" s="6"/>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6"/>
      <c r="I374" s="6"/>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6"/>
      <c r="I375" s="6"/>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6"/>
      <c r="I376" s="6"/>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6"/>
      <c r="I377" s="6"/>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6"/>
      <c r="I378" s="6"/>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6"/>
      <c r="I379" s="6"/>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6"/>
      <c r="I380" s="6"/>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6"/>
      <c r="I381" s="6"/>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6"/>
      <c r="I382" s="6"/>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6"/>
      <c r="I383" s="6"/>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6"/>
      <c r="I384" s="6"/>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6"/>
      <c r="I385" s="6"/>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6"/>
      <c r="I386" s="6"/>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6"/>
      <c r="I387" s="6"/>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6"/>
      <c r="I388" s="6"/>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6"/>
      <c r="I389" s="6"/>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6"/>
      <c r="I390" s="6"/>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6"/>
      <c r="I391" s="6"/>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6"/>
      <c r="I392" s="6"/>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6"/>
      <c r="I393" s="6"/>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6"/>
      <c r="I394" s="6"/>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6"/>
      <c r="I395" s="6"/>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6"/>
      <c r="I396" s="6"/>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6"/>
      <c r="I397" s="6"/>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6"/>
      <c r="I398" s="6"/>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6"/>
      <c r="I399" s="6"/>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6"/>
      <c r="I400" s="6"/>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6"/>
      <c r="I401" s="6"/>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6"/>
      <c r="I402" s="6"/>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6"/>
      <c r="I403" s="6"/>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6"/>
      <c r="I404" s="6"/>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6"/>
      <c r="I405" s="6"/>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6"/>
      <c r="I406" s="6"/>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6"/>
      <c r="I407" s="6"/>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6"/>
      <c r="I408" s="6"/>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6"/>
      <c r="I409" s="6"/>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6"/>
      <c r="I410" s="6"/>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6"/>
      <c r="I411" s="6"/>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6"/>
      <c r="I412" s="6"/>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6"/>
      <c r="I413" s="6"/>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6"/>
      <c r="I414" s="6"/>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6"/>
      <c r="I415" s="6"/>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6"/>
      <c r="I416" s="6"/>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6"/>
      <c r="I417" s="6"/>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6"/>
      <c r="I418" s="6"/>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6"/>
      <c r="I419" s="6"/>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6"/>
      <c r="I420" s="6"/>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6"/>
      <c r="I421" s="6"/>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6"/>
      <c r="I422" s="6"/>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6"/>
      <c r="I423" s="6"/>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6"/>
      <c r="I424" s="6"/>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6"/>
      <c r="I425" s="6"/>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6"/>
      <c r="I426" s="6"/>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6"/>
      <c r="I427" s="6"/>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6"/>
      <c r="I428" s="6"/>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6"/>
      <c r="I429" s="6"/>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6"/>
      <c r="I430" s="6"/>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6"/>
      <c r="I431" s="6"/>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6"/>
      <c r="I432" s="6"/>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6"/>
      <c r="I433" s="6"/>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6"/>
      <c r="I434" s="6"/>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6"/>
      <c r="I435" s="6"/>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6"/>
      <c r="I436" s="6"/>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6"/>
      <c r="I437" s="6"/>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6"/>
      <c r="I438" s="6"/>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6"/>
      <c r="I439" s="6"/>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6"/>
      <c r="I440" s="6"/>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6"/>
      <c r="I441" s="6"/>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6"/>
      <c r="I442" s="6"/>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6"/>
      <c r="I443" s="6"/>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6"/>
      <c r="I444" s="6"/>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6"/>
      <c r="I445" s="6"/>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6"/>
      <c r="I446" s="6"/>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6"/>
      <c r="I447" s="6"/>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6"/>
      <c r="I448" s="6"/>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6"/>
      <c r="I449" s="6"/>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6"/>
      <c r="I450" s="6"/>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6"/>
      <c r="I451" s="6"/>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6"/>
      <c r="I452" s="6"/>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6"/>
      <c r="I453" s="6"/>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6"/>
      <c r="I454" s="6"/>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6"/>
      <c r="I455" s="6"/>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6"/>
      <c r="I456" s="6"/>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6"/>
      <c r="I457" s="6"/>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6"/>
      <c r="I458" s="6"/>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6"/>
      <c r="I459" s="6"/>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6"/>
      <c r="I460" s="6"/>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6"/>
      <c r="I461" s="6"/>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6"/>
      <c r="I462" s="6"/>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6"/>
      <c r="I463" s="6"/>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6"/>
      <c r="I464" s="6"/>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6"/>
      <c r="I465" s="6"/>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6"/>
      <c r="I466" s="6"/>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6"/>
      <c r="I467" s="6"/>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6"/>
      <c r="I468" s="6"/>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6"/>
      <c r="I469" s="6"/>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6"/>
      <c r="I470" s="6"/>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6"/>
      <c r="I471" s="6"/>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6"/>
      <c r="I472" s="6"/>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6"/>
      <c r="I473" s="6"/>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6"/>
      <c r="I474" s="6"/>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6"/>
      <c r="I475" s="6"/>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6"/>
      <c r="I476" s="6"/>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6"/>
      <c r="I477" s="6"/>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6"/>
      <c r="I478" s="6"/>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6"/>
      <c r="I479" s="6"/>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6"/>
      <c r="I480" s="6"/>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6"/>
      <c r="I481" s="6"/>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6"/>
      <c r="I482" s="6"/>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6"/>
      <c r="I483" s="6"/>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6"/>
      <c r="I484" s="6"/>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6"/>
      <c r="I485" s="6"/>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6"/>
      <c r="I486" s="6"/>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6"/>
      <c r="I487" s="6"/>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6"/>
      <c r="I488" s="6"/>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6"/>
      <c r="I489" s="6"/>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6"/>
      <c r="I490" s="6"/>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6"/>
      <c r="I491" s="6"/>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6"/>
      <c r="I492" s="6"/>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6"/>
      <c r="I493" s="6"/>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6"/>
      <c r="I494" s="6"/>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6"/>
      <c r="I495" s="6"/>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6"/>
      <c r="I496" s="6"/>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6"/>
      <c r="I497" s="6"/>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6"/>
      <c r="I498" s="6"/>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6"/>
      <c r="I499" s="6"/>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6"/>
      <c r="I500" s="6"/>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6"/>
      <c r="I501" s="6"/>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6"/>
      <c r="I502" s="6"/>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6"/>
      <c r="I503" s="6"/>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6"/>
      <c r="I504" s="6"/>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6"/>
      <c r="I505" s="6"/>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6"/>
      <c r="I506" s="6"/>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6"/>
      <c r="I507" s="6"/>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6"/>
      <c r="I508" s="6"/>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6"/>
      <c r="I509" s="6"/>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6"/>
      <c r="I510" s="6"/>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6"/>
      <c r="I511" s="6"/>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6"/>
      <c r="I512" s="6"/>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6"/>
      <c r="I513" s="6"/>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6"/>
      <c r="I514" s="6"/>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6"/>
      <c r="I515" s="6"/>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6"/>
      <c r="I516" s="6"/>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6"/>
      <c r="I517" s="6"/>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6"/>
      <c r="I518" s="6"/>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6"/>
      <c r="I519" s="6"/>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6"/>
      <c r="I520" s="6"/>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6"/>
      <c r="I521" s="6"/>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6"/>
      <c r="I522" s="6"/>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6"/>
      <c r="I523" s="6"/>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6"/>
      <c r="I524" s="6"/>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6"/>
      <c r="I525" s="6"/>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6"/>
      <c r="I526" s="6"/>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6"/>
      <c r="I527" s="6"/>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6"/>
      <c r="I528" s="6"/>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6"/>
      <c r="I529" s="6"/>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6"/>
      <c r="I530" s="6"/>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6"/>
      <c r="I531" s="6"/>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6"/>
      <c r="I532" s="6"/>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6"/>
      <c r="I533" s="6"/>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6"/>
      <c r="I534" s="6"/>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6"/>
      <c r="I535" s="6"/>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6"/>
      <c r="I536" s="6"/>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6"/>
      <c r="I537" s="6"/>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6"/>
      <c r="I538" s="6"/>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6"/>
      <c r="I539" s="6"/>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6"/>
      <c r="I540" s="6"/>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6"/>
      <c r="I541" s="6"/>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6"/>
      <c r="I542" s="6"/>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6"/>
      <c r="I543" s="6"/>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6"/>
      <c r="I544" s="6"/>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6"/>
      <c r="I545" s="6"/>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6"/>
      <c r="I546" s="6"/>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6"/>
      <c r="I547" s="6"/>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6"/>
      <c r="I548" s="6"/>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6"/>
      <c r="I549" s="6"/>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6"/>
      <c r="I550" s="6"/>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6"/>
      <c r="I551" s="6"/>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6"/>
      <c r="I552" s="6"/>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6"/>
      <c r="I553" s="6"/>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6"/>
      <c r="I554" s="6"/>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6"/>
      <c r="I555" s="6"/>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6"/>
      <c r="I556" s="6"/>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6"/>
      <c r="I557" s="6"/>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6"/>
      <c r="I558" s="6"/>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6"/>
      <c r="I559" s="6"/>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6"/>
      <c r="I560" s="6"/>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6"/>
      <c r="I561" s="6"/>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6"/>
      <c r="I562" s="6"/>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6"/>
      <c r="I563" s="6"/>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6"/>
      <c r="I564" s="6"/>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6"/>
      <c r="I565" s="6"/>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6"/>
      <c r="I566" s="6"/>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6"/>
      <c r="I567" s="6"/>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6"/>
      <c r="I568" s="6"/>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6"/>
      <c r="I569" s="6"/>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6"/>
      <c r="I570" s="6"/>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6"/>
      <c r="I571" s="6"/>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6"/>
      <c r="I572" s="6"/>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6"/>
      <c r="I573" s="6"/>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6"/>
      <c r="I574" s="6"/>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6"/>
      <c r="I575" s="6"/>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6"/>
      <c r="I576" s="6"/>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6"/>
      <c r="I577" s="6"/>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6"/>
      <c r="I578" s="6"/>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6"/>
      <c r="I579" s="6"/>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6"/>
      <c r="I580" s="6"/>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6"/>
      <c r="I581" s="6"/>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6"/>
      <c r="I582" s="6"/>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6"/>
      <c r="I583" s="6"/>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6"/>
      <c r="I584" s="6"/>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6"/>
      <c r="I585" s="6"/>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6"/>
      <c r="I586" s="6"/>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6"/>
      <c r="I587" s="6"/>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6"/>
      <c r="I588" s="6"/>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6"/>
      <c r="I589" s="6"/>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6"/>
      <c r="I590" s="6"/>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6"/>
      <c r="I591" s="6"/>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6"/>
      <c r="I592" s="6"/>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6"/>
      <c r="I593" s="6"/>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6"/>
      <c r="I594" s="6"/>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6"/>
      <c r="I595" s="6"/>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6"/>
      <c r="I596" s="6"/>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6"/>
      <c r="I597" s="6"/>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6"/>
      <c r="I598" s="6"/>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6"/>
      <c r="I599" s="6"/>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6"/>
      <c r="I600" s="6"/>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6"/>
      <c r="I601" s="6"/>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6"/>
      <c r="I602" s="6"/>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6"/>
      <c r="I603" s="6"/>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6"/>
      <c r="I604" s="6"/>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6"/>
      <c r="I605" s="6"/>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6"/>
      <c r="I606" s="6"/>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6"/>
      <c r="I607" s="6"/>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6"/>
      <c r="I608" s="6"/>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6"/>
      <c r="I609" s="6"/>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6"/>
      <c r="I610" s="6"/>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6"/>
      <c r="I611" s="6"/>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6"/>
      <c r="I612" s="6"/>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6"/>
      <c r="I613" s="6"/>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6"/>
      <c r="I614" s="6"/>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6"/>
      <c r="I615" s="6"/>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6"/>
      <c r="I616" s="6"/>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6"/>
      <c r="I617" s="6"/>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6"/>
      <c r="I618" s="6"/>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6"/>
      <c r="I619" s="6"/>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6"/>
      <c r="I620" s="6"/>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6"/>
      <c r="I621" s="6"/>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6"/>
      <c r="I622" s="6"/>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6"/>
      <c r="I623" s="6"/>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6"/>
      <c r="I624" s="6"/>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6"/>
      <c r="I625" s="6"/>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6"/>
      <c r="I626" s="6"/>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6"/>
      <c r="I627" s="6"/>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6"/>
      <c r="I628" s="6"/>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6"/>
      <c r="I629" s="6"/>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6"/>
      <c r="I630" s="6"/>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6"/>
      <c r="I631" s="6"/>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6"/>
      <c r="I632" s="6"/>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6"/>
      <c r="I633" s="6"/>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6"/>
      <c r="I634" s="6"/>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6"/>
      <c r="I635" s="6"/>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6"/>
      <c r="I636" s="6"/>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6"/>
      <c r="I637" s="6"/>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6"/>
      <c r="I638" s="6"/>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6"/>
      <c r="I639" s="6"/>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6"/>
      <c r="I640" s="6"/>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6"/>
      <c r="I641" s="6"/>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6"/>
      <c r="I642" s="6"/>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6"/>
      <c r="I643" s="6"/>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6"/>
      <c r="I644" s="6"/>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6"/>
      <c r="I645" s="6"/>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6"/>
      <c r="I646" s="6"/>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6"/>
      <c r="I647" s="6"/>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6"/>
      <c r="I648" s="6"/>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6"/>
      <c r="I649" s="6"/>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6"/>
      <c r="I650" s="6"/>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6"/>
      <c r="I651" s="6"/>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6"/>
      <c r="I652" s="6"/>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6"/>
      <c r="I653" s="6"/>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6"/>
      <c r="I654" s="6"/>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6"/>
      <c r="I655" s="6"/>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6"/>
      <c r="I656" s="6"/>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6"/>
      <c r="I657" s="6"/>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6"/>
      <c r="I658" s="6"/>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6"/>
      <c r="I659" s="6"/>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6"/>
      <c r="I660" s="6"/>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6"/>
      <c r="I661" s="6"/>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6"/>
      <c r="I662" s="6"/>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6"/>
      <c r="I663" s="6"/>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6"/>
      <c r="I664" s="6"/>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6"/>
      <c r="I665" s="6"/>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6"/>
      <c r="I666" s="6"/>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6"/>
      <c r="I667" s="6"/>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6"/>
      <c r="I668" s="6"/>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6"/>
      <c r="I669" s="6"/>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6"/>
      <c r="I670" s="6"/>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6"/>
      <c r="I671" s="6"/>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6"/>
      <c r="I672" s="6"/>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6"/>
      <c r="I673" s="6"/>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6"/>
      <c r="I674" s="6"/>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6"/>
      <c r="I675" s="6"/>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6"/>
      <c r="I676" s="6"/>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6"/>
      <c r="I677" s="6"/>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6"/>
      <c r="I678" s="6"/>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6"/>
      <c r="I679" s="6"/>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6"/>
      <c r="I680" s="6"/>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6"/>
      <c r="I681" s="6"/>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6"/>
      <c r="I682" s="6"/>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6"/>
      <c r="I683" s="6"/>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6"/>
      <c r="I684" s="6"/>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6"/>
      <c r="I685" s="6"/>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6"/>
      <c r="I686" s="6"/>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6"/>
      <c r="I687" s="6"/>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6"/>
      <c r="I688" s="6"/>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6"/>
      <c r="I689" s="6"/>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6"/>
      <c r="I690" s="6"/>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6"/>
      <c r="I691" s="6"/>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6"/>
      <c r="I692" s="6"/>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6"/>
      <c r="I693" s="6"/>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6"/>
      <c r="I694" s="6"/>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6"/>
      <c r="I695" s="6"/>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6"/>
      <c r="I696" s="6"/>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6"/>
      <c r="I697" s="6"/>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6"/>
      <c r="I698" s="6"/>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6"/>
      <c r="I699" s="6"/>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6"/>
      <c r="I700" s="6"/>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6"/>
      <c r="I701" s="6"/>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6"/>
      <c r="I702" s="6"/>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6"/>
      <c r="I703" s="6"/>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6"/>
      <c r="I704" s="6"/>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6"/>
      <c r="I705" s="6"/>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6"/>
      <c r="I706" s="6"/>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6"/>
      <c r="I707" s="6"/>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6"/>
      <c r="I708" s="6"/>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6"/>
      <c r="I709" s="6"/>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6"/>
      <c r="I710" s="6"/>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6"/>
      <c r="I711" s="6"/>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6"/>
      <c r="I712" s="6"/>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6"/>
      <c r="I713" s="6"/>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6"/>
      <c r="I714" s="6"/>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6"/>
      <c r="I715" s="6"/>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6"/>
      <c r="I716" s="6"/>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6"/>
      <c r="I717" s="6"/>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6"/>
      <c r="I718" s="6"/>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6"/>
      <c r="I719" s="6"/>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6"/>
      <c r="I720" s="6"/>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6"/>
      <c r="I721" s="6"/>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6"/>
      <c r="I722" s="6"/>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6"/>
      <c r="I723" s="6"/>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6"/>
      <c r="I724" s="6"/>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6"/>
      <c r="I725" s="6"/>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6"/>
      <c r="I726" s="6"/>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6"/>
      <c r="I727" s="6"/>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6"/>
      <c r="I728" s="6"/>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6"/>
      <c r="I729" s="6"/>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6"/>
      <c r="I730" s="6"/>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6"/>
      <c r="I731" s="6"/>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6"/>
      <c r="I732" s="6"/>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6"/>
      <c r="I733" s="6"/>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6"/>
      <c r="I734" s="6"/>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6"/>
      <c r="I735" s="6"/>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6"/>
      <c r="I736" s="6"/>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6"/>
      <c r="I737" s="6"/>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6"/>
      <c r="I738" s="6"/>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6"/>
      <c r="I739" s="6"/>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6"/>
      <c r="I740" s="6"/>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6"/>
      <c r="I741" s="6"/>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6"/>
      <c r="I742" s="6"/>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6"/>
      <c r="I743" s="6"/>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6"/>
      <c r="I744" s="6"/>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6"/>
      <c r="I745" s="6"/>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6"/>
      <c r="I746" s="6"/>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6"/>
      <c r="I747" s="6"/>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6"/>
      <c r="I748" s="6"/>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6"/>
      <c r="I749" s="6"/>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6"/>
      <c r="I750" s="6"/>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6"/>
      <c r="I751" s="6"/>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6"/>
      <c r="I752" s="6"/>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6"/>
      <c r="I753" s="6"/>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6"/>
      <c r="I754" s="6"/>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6"/>
      <c r="I755" s="6"/>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6"/>
      <c r="I756" s="6"/>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6"/>
      <c r="I757" s="6"/>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6"/>
      <c r="I758" s="6"/>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6"/>
      <c r="I759" s="6"/>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6"/>
      <c r="I760" s="6"/>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6"/>
      <c r="I761" s="6"/>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6"/>
      <c r="I762" s="6"/>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6"/>
      <c r="I763" s="6"/>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6"/>
      <c r="I764" s="6"/>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6"/>
      <c r="I765" s="6"/>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6"/>
      <c r="I766" s="6"/>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6"/>
      <c r="I767" s="6"/>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6"/>
      <c r="I768" s="6"/>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6"/>
      <c r="I769" s="6"/>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6"/>
      <c r="I770" s="6"/>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6"/>
      <c r="I771" s="6"/>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6"/>
      <c r="I772" s="6"/>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6"/>
      <c r="I773" s="6"/>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6"/>
      <c r="I774" s="6"/>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6"/>
      <c r="I775" s="6"/>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6"/>
      <c r="I776" s="6"/>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6"/>
      <c r="I777" s="6"/>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6"/>
      <c r="I778" s="6"/>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6"/>
      <c r="I779" s="6"/>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6"/>
      <c r="I780" s="6"/>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6"/>
      <c r="I781" s="6"/>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6"/>
      <c r="I782" s="6"/>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6"/>
      <c r="I783" s="6"/>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6"/>
      <c r="I784" s="6"/>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6"/>
      <c r="I785" s="6"/>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6"/>
      <c r="I786" s="6"/>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6"/>
      <c r="I787" s="6"/>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6"/>
      <c r="I788" s="6"/>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6"/>
      <c r="I789" s="6"/>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6"/>
      <c r="I790" s="6"/>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6"/>
      <c r="I791" s="6"/>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6"/>
      <c r="I792" s="6"/>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6"/>
      <c r="I793" s="6"/>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6"/>
      <c r="I794" s="6"/>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6"/>
      <c r="I795" s="6"/>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6"/>
      <c r="I796" s="6"/>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6"/>
      <c r="I797" s="6"/>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6"/>
      <c r="I798" s="6"/>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6"/>
      <c r="I799" s="6"/>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6"/>
      <c r="I800" s="6"/>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6"/>
      <c r="I801" s="6"/>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6"/>
      <c r="I802" s="6"/>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6"/>
      <c r="I803" s="6"/>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6"/>
      <c r="I804" s="6"/>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6"/>
      <c r="I805" s="6"/>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6"/>
      <c r="I806" s="6"/>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6"/>
      <c r="I807" s="6"/>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6"/>
      <c r="I808" s="6"/>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6"/>
      <c r="I809" s="6"/>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6"/>
      <c r="I810" s="6"/>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6"/>
      <c r="I811" s="6"/>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6"/>
      <c r="I812" s="6"/>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6"/>
      <c r="I813" s="6"/>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6"/>
      <c r="I814" s="6"/>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6"/>
      <c r="I815" s="6"/>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6"/>
      <c r="I816" s="6"/>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6"/>
      <c r="I817" s="6"/>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6"/>
      <c r="I818" s="6"/>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6"/>
      <c r="I819" s="6"/>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6"/>
      <c r="I820" s="6"/>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6"/>
      <c r="I821" s="6"/>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6"/>
      <c r="I822" s="6"/>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6"/>
      <c r="I823" s="6"/>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6"/>
      <c r="I824" s="6"/>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6"/>
      <c r="I825" s="6"/>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6"/>
      <c r="I826" s="6"/>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6"/>
      <c r="I827" s="6"/>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6"/>
      <c r="I828" s="6"/>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6"/>
      <c r="I829" s="6"/>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6"/>
      <c r="I830" s="6"/>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6"/>
      <c r="I831" s="6"/>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6"/>
      <c r="I832" s="6"/>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6"/>
      <c r="I833" s="6"/>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6"/>
      <c r="I834" s="6"/>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6"/>
      <c r="I835" s="6"/>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6"/>
      <c r="I836" s="6"/>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6"/>
      <c r="I837" s="6"/>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6"/>
      <c r="I838" s="6"/>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6"/>
      <c r="I839" s="6"/>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6"/>
      <c r="I840" s="6"/>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6"/>
      <c r="I841" s="6"/>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6"/>
      <c r="I842" s="6"/>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6"/>
      <c r="I843" s="6"/>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6"/>
      <c r="I844" s="6"/>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6"/>
      <c r="I845" s="6"/>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6"/>
      <c r="I846" s="6"/>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6"/>
      <c r="I847" s="6"/>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6"/>
      <c r="I848" s="6"/>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6"/>
      <c r="I849" s="6"/>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6"/>
      <c r="I850" s="6"/>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6"/>
      <c r="I851" s="6"/>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6"/>
      <c r="I852" s="6"/>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6"/>
      <c r="I853" s="6"/>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6"/>
      <c r="I854" s="6"/>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6"/>
      <c r="I855" s="6"/>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6"/>
      <c r="I856" s="6"/>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6"/>
      <c r="I857" s="6"/>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6"/>
      <c r="I858" s="6"/>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6"/>
      <c r="I859" s="6"/>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6"/>
      <c r="I860" s="6"/>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6"/>
      <c r="I861" s="6"/>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6"/>
      <c r="I862" s="6"/>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6"/>
      <c r="I863" s="6"/>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6"/>
      <c r="I864" s="6"/>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6"/>
      <c r="I865" s="6"/>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6"/>
      <c r="I866" s="6"/>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6"/>
      <c r="I867" s="6"/>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6"/>
      <c r="I868" s="6"/>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6"/>
      <c r="I869" s="6"/>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6"/>
      <c r="I870" s="6"/>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6"/>
      <c r="I871" s="6"/>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6"/>
      <c r="I872" s="6"/>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6"/>
      <c r="I873" s="6"/>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6"/>
      <c r="I874" s="6"/>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6"/>
      <c r="I875" s="6"/>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6"/>
      <c r="I876" s="6"/>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6"/>
      <c r="I877" s="6"/>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6"/>
      <c r="I878" s="6"/>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6"/>
      <c r="I879" s="6"/>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6"/>
      <c r="I880" s="6"/>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6"/>
      <c r="I881" s="6"/>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6"/>
      <c r="I882" s="6"/>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6"/>
      <c r="I883" s="6"/>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6"/>
      <c r="I884" s="6"/>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6"/>
      <c r="I885" s="6"/>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6"/>
      <c r="I886" s="6"/>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6"/>
      <c r="I887" s="6"/>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6"/>
      <c r="I888" s="6"/>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6"/>
      <c r="I889" s="6"/>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6"/>
      <c r="I890" s="6"/>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6"/>
      <c r="I891" s="6"/>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6"/>
      <c r="I892" s="6"/>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6"/>
      <c r="I893" s="6"/>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6"/>
      <c r="I894" s="6"/>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6"/>
      <c r="I895" s="6"/>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6"/>
      <c r="I896" s="6"/>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6"/>
      <c r="I897" s="6"/>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6"/>
      <c r="I898" s="6"/>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6"/>
      <c r="I899" s="6"/>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6"/>
      <c r="I900" s="6"/>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6"/>
      <c r="I901" s="6"/>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6"/>
      <c r="I902" s="6"/>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6"/>
      <c r="I903" s="6"/>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6"/>
      <c r="I904" s="6"/>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6"/>
      <c r="I905" s="6"/>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6"/>
      <c r="I906" s="6"/>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6"/>
      <c r="I907" s="6"/>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6"/>
      <c r="I908" s="6"/>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6"/>
      <c r="I909" s="6"/>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6"/>
      <c r="I910" s="6"/>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6"/>
      <c r="I911" s="6"/>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6"/>
      <c r="I912" s="6"/>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6"/>
      <c r="I913" s="6"/>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6"/>
      <c r="I914" s="6"/>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6"/>
      <c r="I915" s="6"/>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6"/>
      <c r="I916" s="6"/>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6"/>
      <c r="I917" s="6"/>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6"/>
      <c r="I918" s="6"/>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6"/>
      <c r="I919" s="6"/>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6"/>
      <c r="I920" s="6"/>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6"/>
      <c r="I921" s="6"/>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6"/>
      <c r="I922" s="6"/>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6"/>
      <c r="I923" s="6"/>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6"/>
      <c r="I924" s="6"/>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6"/>
      <c r="I925" s="6"/>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6"/>
      <c r="I926" s="6"/>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6"/>
      <c r="I927" s="6"/>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6"/>
      <c r="I928" s="6"/>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6"/>
      <c r="I929" s="6"/>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6"/>
      <c r="I930" s="6"/>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6"/>
      <c r="I931" s="6"/>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6"/>
      <c r="I932" s="6"/>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6"/>
      <c r="I933" s="6"/>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6"/>
      <c r="I934" s="6"/>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6"/>
      <c r="I935" s="6"/>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6"/>
      <c r="I936" s="6"/>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6"/>
      <c r="I937" s="6"/>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6"/>
      <c r="I938" s="6"/>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6"/>
      <c r="I939" s="6"/>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6"/>
      <c r="I940" s="6"/>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6"/>
      <c r="I941" s="6"/>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6"/>
      <c r="I942" s="6"/>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6"/>
      <c r="I943" s="6"/>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6"/>
      <c r="I944" s="6"/>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6"/>
      <c r="I945" s="6"/>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6"/>
      <c r="I946" s="6"/>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6"/>
      <c r="I947" s="6"/>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6"/>
      <c r="I948" s="6"/>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6"/>
      <c r="I949" s="6"/>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6"/>
      <c r="I950" s="6"/>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6"/>
      <c r="I951" s="6"/>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6"/>
      <c r="I952" s="6"/>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6"/>
      <c r="I953" s="6"/>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6"/>
      <c r="I954" s="6"/>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6"/>
      <c r="I955" s="6"/>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6"/>
      <c r="I956" s="6"/>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6"/>
      <c r="I957" s="6"/>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6"/>
      <c r="I958" s="6"/>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6"/>
      <c r="I959" s="6"/>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6"/>
      <c r="I960" s="6"/>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6"/>
      <c r="I961" s="6"/>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6"/>
      <c r="I962" s="6"/>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6"/>
      <c r="I963" s="6"/>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6"/>
      <c r="I964" s="6"/>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6"/>
      <c r="I965" s="6"/>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6"/>
      <c r="I966" s="6"/>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6"/>
      <c r="I967" s="6"/>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6"/>
      <c r="I968" s="6"/>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6"/>
      <c r="I969" s="6"/>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6"/>
      <c r="I970" s="6"/>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6"/>
      <c r="I971" s="6"/>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6"/>
      <c r="I972" s="6"/>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6"/>
      <c r="I973" s="6"/>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6"/>
      <c r="I974" s="6"/>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6"/>
      <c r="I975" s="6"/>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6"/>
      <c r="I976" s="6"/>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6"/>
      <c r="I977" s="6"/>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6"/>
      <c r="I978" s="6"/>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6"/>
      <c r="I979" s="6"/>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6"/>
      <c r="I980" s="6"/>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6"/>
      <c r="I981" s="6"/>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6"/>
      <c r="I982" s="6"/>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6"/>
      <c r="I983" s="6"/>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6"/>
      <c r="I984" s="6"/>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6"/>
      <c r="I985" s="6"/>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6"/>
      <c r="I986" s="6"/>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6"/>
      <c r="I987" s="6"/>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6"/>
      <c r="I988" s="6"/>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6"/>
      <c r="I989" s="6"/>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6"/>
      <c r="I990" s="6"/>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6"/>
      <c r="I991" s="6"/>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6"/>
      <c r="I992" s="6"/>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6"/>
      <c r="I993" s="6"/>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6"/>
      <c r="I994" s="6"/>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6"/>
      <c r="I995" s="6"/>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6"/>
      <c r="I996" s="6"/>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6"/>
      <c r="I997" s="6"/>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6"/>
      <c r="I998" s="6"/>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6"/>
      <c r="I999" s="6"/>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6"/>
      <c r="I1000" s="6"/>
      <c r="J1000" s="5"/>
      <c r="K1000" s="5"/>
      <c r="L1000" s="5"/>
      <c r="M1000" s="5"/>
      <c r="N1000" s="5"/>
      <c r="O1000" s="5"/>
      <c r="P1000" s="5"/>
      <c r="Q1000" s="5"/>
      <c r="R1000" s="5"/>
      <c r="S1000" s="5"/>
      <c r="T1000" s="5"/>
      <c r="U1000" s="5"/>
      <c r="V1000" s="5"/>
      <c r="W1000" s="5"/>
      <c r="X1000" s="5"/>
      <c r="Y1000" s="5"/>
      <c r="Z1000" s="5"/>
    </row>
  </sheetData>
  <mergeCells count="1">
    <mergeCell ref="G48:T53"/>
  </mergeCells>
  <conditionalFormatting sqref="R15 R17 R19">
    <cfRule type="cellIs" dxfId="0" priority="1" operator="equal">
      <formula>0</formula>
    </cfRule>
  </conditionalFormatting>
  <conditionalFormatting sqref="R15 R17 R19">
    <cfRule type="cellIs" dxfId="1" priority="2" operator="equal">
      <formula>1</formula>
    </cfRule>
  </conditionalFormatting>
  <conditionalFormatting sqref="R17 R19 R15">
    <cfRule type="cellIs" dxfId="2" priority="3" operator="equal">
      <formula>2</formula>
    </cfRule>
  </conditionalFormatting>
  <conditionalFormatting sqref="K16:M16 K18:M18 K20:M20">
    <cfRule type="containsBlanks" dxfId="3" priority="4" stopIfTrue="1">
      <formula>LEN(TRIM(K16))=0</formula>
    </cfRule>
  </conditionalFormatting>
  <conditionalFormatting sqref="K16:M16 K18:M18 K20:M20">
    <cfRule type="cellIs" dxfId="4" priority="5" operator="lessThan">
      <formula>0</formula>
    </cfRule>
  </conditionalFormatting>
  <conditionalFormatting sqref="K16:M16 K18:M18 K20:M20">
    <cfRule type="cellIs" dxfId="5" priority="6" operator="greaterThanOrEqual">
      <formula>0</formula>
    </cfRule>
  </conditionalFormatting>
  <conditionalFormatting sqref="C15:D15 C7:D7 G29:I29 G36:I36">
    <cfRule type="expression" dxfId="6" priority="7">
      <formula>TRUE</formula>
    </cfRule>
  </conditionalFormatting>
  <conditionalFormatting sqref="G15 G17 G19">
    <cfRule type="expression" dxfId="7" priority="8">
      <formula>TRUE</formula>
    </cfRule>
  </conditionalFormatting>
  <conditionalFormatting sqref="I30:I34">
    <cfRule type="expression" dxfId="8" priority="9">
      <formula>$I$30=0</formula>
    </cfRule>
  </conditionalFormatting>
  <conditionalFormatting sqref="I41">
    <cfRule type="expression" dxfId="8" priority="10">
      <formula>$I$41=0</formula>
    </cfRule>
  </conditionalFormatting>
  <conditionalFormatting sqref="I39">
    <cfRule type="expression" dxfId="8" priority="11">
      <formula>$I$39=0</formula>
    </cfRule>
  </conditionalFormatting>
  <conditionalFormatting sqref="I37:I41">
    <cfRule type="expression" dxfId="8" priority="12">
      <formula>$I$37=0</formula>
    </cfRule>
  </conditionalFormatting>
  <conditionalFormatting sqref="I34">
    <cfRule type="expression" dxfId="8" priority="13">
      <formula>$I$34=0</formula>
    </cfRule>
  </conditionalFormatting>
  <conditionalFormatting sqref="I32">
    <cfRule type="expression" dxfId="8" priority="14">
      <formula>$I$32=0</formula>
    </cfRule>
  </conditionalFormatting>
  <conditionalFormatting sqref="I31">
    <cfRule type="expression" dxfId="9" priority="15">
      <formula>$I$31=0</formula>
    </cfRule>
  </conditionalFormatting>
  <conditionalFormatting sqref="I33">
    <cfRule type="expression" dxfId="9" priority="16">
      <formula>$I$33=0</formula>
    </cfRule>
  </conditionalFormatting>
  <conditionalFormatting sqref="I38">
    <cfRule type="expression" dxfId="9" priority="17">
      <formula>$I$38=0</formula>
    </cfRule>
  </conditionalFormatting>
  <conditionalFormatting sqref="I40">
    <cfRule type="expression" dxfId="9" priority="18">
      <formula>$I$40=0</formula>
    </cfRule>
  </conditionalFormatting>
  <conditionalFormatting sqref="B16">
    <cfRule type="expression" dxfId="10" priority="19">
      <formula>$B$16="x"</formula>
    </cfRule>
  </conditionalFormatting>
  <conditionalFormatting sqref="B16">
    <cfRule type="expression" dxfId="0" priority="20">
      <formula>$B$16=0</formula>
    </cfRule>
  </conditionalFormatting>
  <conditionalFormatting sqref="B16">
    <cfRule type="expression" dxfId="1" priority="21">
      <formula>$B$16&gt;0</formula>
    </cfRule>
  </conditionalFormatting>
  <conditionalFormatting sqref="B17">
    <cfRule type="expression" dxfId="10" priority="22">
      <formula>$B$17="x"</formula>
    </cfRule>
  </conditionalFormatting>
  <conditionalFormatting sqref="B17">
    <cfRule type="expression" dxfId="0" priority="23">
      <formula>$B$17=0</formula>
    </cfRule>
  </conditionalFormatting>
  <conditionalFormatting sqref="B17">
    <cfRule type="expression" dxfId="1" priority="24">
      <formula>$B$17&gt;0</formula>
    </cfRule>
  </conditionalFormatting>
  <conditionalFormatting sqref="B18">
    <cfRule type="expression" dxfId="10" priority="25">
      <formula>$B$18="x"</formula>
    </cfRule>
  </conditionalFormatting>
  <conditionalFormatting sqref="B18">
    <cfRule type="expression" dxfId="0" priority="26">
      <formula>$B$18=0</formula>
    </cfRule>
  </conditionalFormatting>
  <conditionalFormatting sqref="B18">
    <cfRule type="expression" dxfId="1" priority="27">
      <formula>$B$18&gt;0</formula>
    </cfRule>
  </conditionalFormatting>
  <conditionalFormatting sqref="B19">
    <cfRule type="expression" dxfId="10" priority="28">
      <formula>$B$19="x"</formula>
    </cfRule>
  </conditionalFormatting>
  <conditionalFormatting sqref="B19">
    <cfRule type="expression" dxfId="0" priority="29">
      <formula>$B$19=0</formula>
    </cfRule>
  </conditionalFormatting>
  <conditionalFormatting sqref="B19">
    <cfRule type="expression" dxfId="1" priority="30">
      <formula>$B$19&gt;0</formula>
    </cfRule>
  </conditionalFormatting>
  <conditionalFormatting sqref="B20">
    <cfRule type="expression" dxfId="10" priority="31">
      <formula>$B$20="x"</formula>
    </cfRule>
  </conditionalFormatting>
  <conditionalFormatting sqref="B20">
    <cfRule type="expression" dxfId="0" priority="32">
      <formula>$B$20=0</formula>
    </cfRule>
  </conditionalFormatting>
  <conditionalFormatting sqref="B20">
    <cfRule type="expression" dxfId="1" priority="33">
      <formula>$B$20&gt;0</formula>
    </cfRule>
  </conditionalFormatting>
  <conditionalFormatting sqref="I37:I41">
    <cfRule type="expression" dxfId="8" priority="34">
      <formula>$I$30=0</formula>
    </cfRule>
  </conditionalFormatting>
  <hyperlinks>
    <hyperlink r:id="rId2" ref="F23"/>
    <hyperlink r:id="rId3" ref="F25"/>
  </hyperlinks>
  <printOptions/>
  <pageMargins bottom="0.75" footer="0.0" header="0.0" left="0.7" right="0.7" top="0.75"/>
  <pageSetup paperSize="9" orientation="portrait"/>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2.0"/>
    <col customWidth="1" min="2" max="4" width="18.11"/>
    <col customWidth="1" min="5" max="5" width="15.11"/>
    <col customWidth="1" min="6" max="6" width="14.11"/>
    <col customWidth="1" min="7" max="7" width="12.89"/>
    <col customWidth="1" min="8" max="8" width="9.0"/>
    <col customWidth="1" min="9" max="9" width="15.89"/>
    <col customWidth="1" min="10" max="10" width="12.11"/>
    <col customWidth="1" min="11" max="26" width="9.0"/>
  </cols>
  <sheetData>
    <row r="1" ht="12.75" customHeight="1">
      <c r="A1" s="101" t="s">
        <v>142</v>
      </c>
      <c r="B1" s="102" t="s">
        <v>143</v>
      </c>
      <c r="C1" s="101" t="s">
        <v>144</v>
      </c>
      <c r="D1" s="101" t="s">
        <v>145</v>
      </c>
      <c r="E1" s="101" t="s">
        <v>146</v>
      </c>
      <c r="F1" s="101" t="s">
        <v>147</v>
      </c>
      <c r="G1" s="101" t="s">
        <v>72</v>
      </c>
      <c r="H1" s="101" t="s">
        <v>148</v>
      </c>
      <c r="I1" s="101" t="s">
        <v>38</v>
      </c>
      <c r="J1" s="101" t="s">
        <v>149</v>
      </c>
      <c r="K1" s="103"/>
      <c r="L1" s="103"/>
      <c r="M1" s="103"/>
      <c r="N1" s="103"/>
      <c r="O1" s="103"/>
      <c r="P1" s="103"/>
      <c r="Q1" s="103"/>
      <c r="R1" s="103"/>
      <c r="S1" s="103"/>
      <c r="T1" s="103"/>
      <c r="U1" s="103"/>
      <c r="V1" s="103"/>
      <c r="W1" s="103"/>
      <c r="X1" s="103"/>
      <c r="Y1" s="103"/>
      <c r="Z1" s="103"/>
    </row>
    <row r="2" ht="12.75" customHeight="1">
      <c r="A2" s="101" t="s">
        <v>150</v>
      </c>
      <c r="B2" s="103"/>
      <c r="C2" s="101" t="s">
        <v>151</v>
      </c>
      <c r="D2" s="101" t="s">
        <v>152</v>
      </c>
      <c r="E2" s="101" t="s">
        <v>153</v>
      </c>
      <c r="F2" s="101" t="s">
        <v>154</v>
      </c>
      <c r="G2" s="101" t="s">
        <v>155</v>
      </c>
      <c r="H2" s="101" t="s">
        <v>150</v>
      </c>
      <c r="I2" s="101" t="s">
        <v>156</v>
      </c>
      <c r="J2" s="101" t="s">
        <v>157</v>
      </c>
      <c r="K2" s="103"/>
      <c r="L2" s="103"/>
      <c r="M2" s="103"/>
      <c r="N2" s="103"/>
      <c r="O2" s="103"/>
      <c r="P2" s="103"/>
      <c r="Q2" s="103"/>
      <c r="R2" s="103"/>
      <c r="S2" s="103"/>
      <c r="T2" s="103"/>
      <c r="U2" s="103"/>
      <c r="V2" s="103"/>
      <c r="W2" s="103"/>
      <c r="X2" s="103"/>
      <c r="Y2" s="103"/>
      <c r="Z2" s="103"/>
    </row>
    <row r="3" ht="12.75" customHeight="1">
      <c r="A3" s="101" t="s">
        <v>158</v>
      </c>
      <c r="B3" s="102" t="s">
        <v>75</v>
      </c>
      <c r="C3" s="101" t="str">
        <f t="shared" ref="C3:C25" si="1">IF(OR($B$30=B3,$B$31=B3,$B$32=B3),"",B3)</f>
        <v>物理</v>
      </c>
      <c r="D3" s="101" t="str">
        <f t="shared" ref="D3:D25" si="2">IF(OR($B$29=B3,$B$31=B3,$B$32=B3),"",B3)</f>
        <v>物理</v>
      </c>
      <c r="E3" s="101" t="str">
        <f t="shared" ref="E3:E25" si="3">IF(OR($B$29=B3,$B$30=B3,$B$32=B3),"",B3)</f>
        <v>物理</v>
      </c>
      <c r="F3" s="101" t="str">
        <f t="shared" ref="F3:F4" si="4">IF(OR($B$29=B8,$B$30=B8,$B$31=B8),"",B8)</f>
        <v>音樂</v>
      </c>
      <c r="G3" s="101" t="s">
        <v>76</v>
      </c>
      <c r="H3" s="101" t="s">
        <v>159</v>
      </c>
      <c r="I3" s="101" t="s">
        <v>160</v>
      </c>
      <c r="J3" s="101" t="s">
        <v>161</v>
      </c>
      <c r="K3" s="103"/>
      <c r="L3" s="103"/>
      <c r="M3" s="103"/>
      <c r="N3" s="103"/>
      <c r="O3" s="103"/>
      <c r="P3" s="103"/>
      <c r="Q3" s="103"/>
      <c r="R3" s="103"/>
      <c r="S3" s="103"/>
      <c r="T3" s="103"/>
      <c r="U3" s="103"/>
      <c r="V3" s="103"/>
      <c r="W3" s="103"/>
      <c r="X3" s="103"/>
      <c r="Y3" s="103"/>
      <c r="Z3" s="103"/>
    </row>
    <row r="4" ht="12.75" customHeight="1">
      <c r="A4" s="101" t="s">
        <v>162</v>
      </c>
      <c r="B4" s="102" t="s">
        <v>78</v>
      </c>
      <c r="C4" s="101" t="str">
        <f t="shared" si="1"/>
        <v>化學</v>
      </c>
      <c r="D4" s="101" t="str">
        <f t="shared" si="2"/>
        <v>化學</v>
      </c>
      <c r="E4" s="101" t="str">
        <f t="shared" si="3"/>
        <v>化學</v>
      </c>
      <c r="F4" s="101" t="str">
        <f t="shared" si="4"/>
        <v>體育</v>
      </c>
      <c r="G4" s="101" t="s">
        <v>79</v>
      </c>
      <c r="H4" s="101" t="s">
        <v>163</v>
      </c>
      <c r="I4" s="101"/>
      <c r="J4" s="103"/>
      <c r="K4" s="103"/>
      <c r="L4" s="103"/>
      <c r="M4" s="103"/>
      <c r="N4" s="103"/>
      <c r="O4" s="103"/>
      <c r="P4" s="103"/>
      <c r="Q4" s="103"/>
      <c r="R4" s="103"/>
      <c r="S4" s="103"/>
      <c r="T4" s="103"/>
      <c r="U4" s="103"/>
      <c r="V4" s="103"/>
      <c r="W4" s="103"/>
      <c r="X4" s="103"/>
      <c r="Y4" s="103"/>
      <c r="Z4" s="103"/>
    </row>
    <row r="5" ht="12.75" customHeight="1">
      <c r="A5" s="101">
        <v>5.0</v>
      </c>
      <c r="B5" s="102" t="s">
        <v>80</v>
      </c>
      <c r="C5" s="101" t="str">
        <f t="shared" si="1"/>
        <v>生物</v>
      </c>
      <c r="D5" s="101" t="str">
        <f t="shared" si="2"/>
        <v>生物</v>
      </c>
      <c r="E5" s="101" t="str">
        <f t="shared" si="3"/>
        <v>生物</v>
      </c>
      <c r="F5" s="101" t="str">
        <f>IF(OR($B$29=B12,$B$30=B12,$B$31=B12),"",B12)</f>
        <v>視覺藝術</v>
      </c>
      <c r="G5" s="101" t="s">
        <v>81</v>
      </c>
      <c r="H5" s="101" t="s">
        <v>164</v>
      </c>
      <c r="I5" s="101"/>
      <c r="J5" s="103"/>
      <c r="K5" s="103"/>
      <c r="L5" s="103"/>
      <c r="M5" s="103"/>
      <c r="N5" s="103"/>
      <c r="O5" s="103"/>
      <c r="P5" s="103"/>
      <c r="Q5" s="103"/>
      <c r="R5" s="103"/>
      <c r="S5" s="103"/>
      <c r="T5" s="103"/>
      <c r="U5" s="103"/>
      <c r="V5" s="103"/>
      <c r="W5" s="103"/>
      <c r="X5" s="103"/>
      <c r="Y5" s="103"/>
      <c r="Z5" s="103"/>
    </row>
    <row r="6" ht="12.75" customHeight="1">
      <c r="A6" s="101">
        <v>4.0</v>
      </c>
      <c r="B6" s="102" t="s">
        <v>85</v>
      </c>
      <c r="C6" s="101" t="str">
        <f t="shared" si="1"/>
        <v>經濟</v>
      </c>
      <c r="D6" s="101" t="str">
        <f t="shared" si="2"/>
        <v>經濟</v>
      </c>
      <c r="E6" s="101" t="str">
        <f t="shared" si="3"/>
        <v>經濟</v>
      </c>
      <c r="F6" s="101" t="str">
        <f>IF(OR($B$29=B20,$B$30=B20,$B$31=B20),"",B20)</f>
        <v>倫理與宗教</v>
      </c>
      <c r="G6" s="101" t="s">
        <v>86</v>
      </c>
      <c r="H6" s="101" t="s">
        <v>165</v>
      </c>
      <c r="I6" s="101"/>
      <c r="J6" s="103"/>
      <c r="K6" s="103"/>
      <c r="L6" s="103"/>
      <c r="M6" s="103"/>
      <c r="N6" s="103"/>
      <c r="O6" s="103"/>
      <c r="P6" s="103"/>
      <c r="Q6" s="103"/>
      <c r="R6" s="103"/>
      <c r="S6" s="103"/>
      <c r="T6" s="103"/>
      <c r="U6" s="103"/>
      <c r="V6" s="103"/>
      <c r="W6" s="103"/>
      <c r="X6" s="103"/>
      <c r="Y6" s="103"/>
      <c r="Z6" s="103"/>
    </row>
    <row r="7" ht="12.75" customHeight="1">
      <c r="A7" s="101">
        <v>3.0</v>
      </c>
      <c r="B7" s="102" t="s">
        <v>90</v>
      </c>
      <c r="C7" s="101" t="str">
        <f t="shared" si="1"/>
        <v>地理</v>
      </c>
      <c r="D7" s="101" t="str">
        <f t="shared" si="2"/>
        <v>地理</v>
      </c>
      <c r="E7" s="101" t="str">
        <f t="shared" si="3"/>
        <v>地理</v>
      </c>
      <c r="F7" s="101"/>
      <c r="G7" s="101" t="s">
        <v>91</v>
      </c>
      <c r="H7" s="101" t="s">
        <v>166</v>
      </c>
      <c r="I7" s="101"/>
      <c r="J7" s="103"/>
      <c r="K7" s="103"/>
      <c r="L7" s="103"/>
      <c r="M7" s="103"/>
      <c r="N7" s="103"/>
      <c r="O7" s="103"/>
      <c r="P7" s="103"/>
      <c r="Q7" s="103"/>
      <c r="R7" s="103"/>
      <c r="S7" s="103"/>
      <c r="T7" s="103"/>
      <c r="U7" s="103"/>
      <c r="V7" s="103"/>
      <c r="W7" s="103"/>
      <c r="X7" s="103"/>
      <c r="Y7" s="103"/>
      <c r="Z7" s="103"/>
    </row>
    <row r="8" ht="12.75" customHeight="1">
      <c r="A8" s="101">
        <v>2.0</v>
      </c>
      <c r="B8" s="102" t="s">
        <v>95</v>
      </c>
      <c r="C8" s="101" t="str">
        <f t="shared" si="1"/>
        <v>音樂</v>
      </c>
      <c r="D8" s="101" t="str">
        <f t="shared" si="2"/>
        <v>音樂</v>
      </c>
      <c r="E8" s="101" t="str">
        <f t="shared" si="3"/>
        <v>音樂</v>
      </c>
      <c r="F8" s="101"/>
      <c r="G8" s="101" t="s">
        <v>96</v>
      </c>
      <c r="H8" s="101" t="s">
        <v>167</v>
      </c>
      <c r="I8" s="101"/>
      <c r="J8" s="103"/>
      <c r="K8" s="103"/>
      <c r="L8" s="103"/>
      <c r="M8" s="103"/>
      <c r="N8" s="103"/>
      <c r="O8" s="103"/>
      <c r="P8" s="103"/>
      <c r="Q8" s="103"/>
      <c r="R8" s="103"/>
      <c r="S8" s="103"/>
      <c r="T8" s="103"/>
      <c r="U8" s="103"/>
      <c r="V8" s="103"/>
      <c r="W8" s="103"/>
      <c r="X8" s="103"/>
      <c r="Y8" s="103"/>
      <c r="Z8" s="103"/>
    </row>
    <row r="9" ht="12.75" customHeight="1">
      <c r="A9" s="101">
        <v>1.0</v>
      </c>
      <c r="B9" s="102" t="s">
        <v>99</v>
      </c>
      <c r="C9" s="101" t="str">
        <f t="shared" si="1"/>
        <v>體育</v>
      </c>
      <c r="D9" s="101" t="str">
        <f t="shared" si="2"/>
        <v>體育</v>
      </c>
      <c r="E9" s="101" t="str">
        <f t="shared" si="3"/>
        <v>體育</v>
      </c>
      <c r="F9" s="101"/>
      <c r="G9" s="101"/>
      <c r="H9" s="101"/>
      <c r="I9" s="101"/>
      <c r="J9" s="103"/>
      <c r="K9" s="103"/>
      <c r="L9" s="103"/>
      <c r="M9" s="103"/>
      <c r="N9" s="103"/>
      <c r="O9" s="103"/>
      <c r="P9" s="103"/>
      <c r="Q9" s="103"/>
      <c r="R9" s="103"/>
      <c r="S9" s="103"/>
      <c r="T9" s="103"/>
      <c r="U9" s="103"/>
      <c r="V9" s="103"/>
      <c r="W9" s="103"/>
      <c r="X9" s="103"/>
      <c r="Y9" s="103"/>
      <c r="Z9" s="103"/>
    </row>
    <row r="10" ht="12.75" customHeight="1">
      <c r="A10" s="101" t="s">
        <v>167</v>
      </c>
      <c r="B10" s="102" t="s">
        <v>101</v>
      </c>
      <c r="C10" s="101" t="str">
        <f t="shared" si="1"/>
        <v>歷史</v>
      </c>
      <c r="D10" s="101" t="str">
        <f t="shared" si="2"/>
        <v>歷史</v>
      </c>
      <c r="E10" s="101" t="str">
        <f t="shared" si="3"/>
        <v>歷史</v>
      </c>
      <c r="F10" s="101"/>
      <c r="G10" s="101"/>
      <c r="H10" s="101"/>
      <c r="I10" s="101"/>
      <c r="J10" s="103"/>
      <c r="K10" s="103"/>
      <c r="L10" s="103"/>
      <c r="M10" s="103"/>
      <c r="N10" s="103"/>
      <c r="O10" s="103"/>
      <c r="P10" s="103"/>
      <c r="Q10" s="103"/>
      <c r="R10" s="103"/>
      <c r="S10" s="103"/>
      <c r="T10" s="103"/>
      <c r="U10" s="103"/>
      <c r="V10" s="103"/>
      <c r="W10" s="103"/>
      <c r="X10" s="103"/>
      <c r="Y10" s="103"/>
      <c r="Z10" s="103"/>
    </row>
    <row r="11" ht="12.75" customHeight="1">
      <c r="A11" s="101"/>
      <c r="B11" s="102" t="s">
        <v>104</v>
      </c>
      <c r="C11" s="101" t="str">
        <f t="shared" si="1"/>
        <v>中國歷史</v>
      </c>
      <c r="D11" s="101" t="str">
        <f t="shared" si="2"/>
        <v>中國歷史</v>
      </c>
      <c r="E11" s="101" t="str">
        <f t="shared" si="3"/>
        <v>中國歷史</v>
      </c>
      <c r="F11" s="101"/>
      <c r="G11" s="101"/>
      <c r="H11" s="101"/>
      <c r="I11" s="101"/>
      <c r="J11" s="103"/>
      <c r="K11" s="103"/>
      <c r="L11" s="103"/>
      <c r="M11" s="103"/>
      <c r="N11" s="103"/>
      <c r="O11" s="103"/>
      <c r="P11" s="103"/>
      <c r="Q11" s="103"/>
      <c r="R11" s="103"/>
      <c r="S11" s="103"/>
      <c r="T11" s="103"/>
      <c r="U11" s="103"/>
      <c r="V11" s="103"/>
      <c r="W11" s="103"/>
      <c r="X11" s="103"/>
      <c r="Y11" s="103"/>
      <c r="Z11" s="103"/>
    </row>
    <row r="12" ht="12.75" customHeight="1">
      <c r="A12" s="101"/>
      <c r="B12" s="102" t="s">
        <v>107</v>
      </c>
      <c r="C12" s="101" t="str">
        <f t="shared" si="1"/>
        <v>視覺藝術</v>
      </c>
      <c r="D12" s="101" t="str">
        <f t="shared" si="2"/>
        <v>視覺藝術</v>
      </c>
      <c r="E12" s="101" t="str">
        <f t="shared" si="3"/>
        <v>視覺藝術</v>
      </c>
      <c r="F12" s="101"/>
      <c r="G12" s="101"/>
      <c r="H12" s="101"/>
      <c r="I12" s="101"/>
      <c r="J12" s="103"/>
      <c r="K12" s="103"/>
      <c r="L12" s="103"/>
      <c r="M12" s="103"/>
      <c r="N12" s="103"/>
      <c r="O12" s="103"/>
      <c r="P12" s="103"/>
      <c r="Q12" s="103"/>
      <c r="R12" s="103"/>
      <c r="S12" s="103"/>
      <c r="T12" s="103"/>
      <c r="U12" s="103"/>
      <c r="V12" s="103"/>
      <c r="W12" s="103"/>
      <c r="X12" s="103"/>
      <c r="Y12" s="103"/>
      <c r="Z12" s="103"/>
    </row>
    <row r="13" ht="12.75" customHeight="1">
      <c r="A13" s="101"/>
      <c r="B13" s="102" t="s">
        <v>110</v>
      </c>
      <c r="C13" s="101" t="str">
        <f t="shared" si="1"/>
        <v>綜合科學</v>
      </c>
      <c r="D13" s="101" t="str">
        <f t="shared" si="2"/>
        <v>綜合科學</v>
      </c>
      <c r="E13" s="101" t="str">
        <f t="shared" si="3"/>
        <v>綜合科學</v>
      </c>
      <c r="F13" s="101"/>
      <c r="G13" s="101"/>
      <c r="H13" s="101"/>
      <c r="I13" s="101"/>
      <c r="J13" s="103"/>
      <c r="K13" s="103"/>
      <c r="L13" s="103"/>
      <c r="M13" s="103"/>
      <c r="N13" s="103"/>
      <c r="O13" s="103"/>
      <c r="P13" s="103"/>
      <c r="Q13" s="103"/>
      <c r="R13" s="103"/>
      <c r="S13" s="103"/>
      <c r="T13" s="103"/>
      <c r="U13" s="103"/>
      <c r="V13" s="103"/>
      <c r="W13" s="103"/>
      <c r="X13" s="103"/>
      <c r="Y13" s="103"/>
      <c r="Z13" s="103"/>
    </row>
    <row r="14" ht="12.75" customHeight="1">
      <c r="A14" s="101"/>
      <c r="B14" s="102" t="s">
        <v>113</v>
      </c>
      <c r="C14" s="101" t="str">
        <f t="shared" si="1"/>
        <v>組合科學(物理、化學)</v>
      </c>
      <c r="D14" s="101" t="str">
        <f t="shared" si="2"/>
        <v>組合科學(物理、化學)</v>
      </c>
      <c r="E14" s="101" t="str">
        <f t="shared" si="3"/>
        <v>組合科學(物理、化學)</v>
      </c>
      <c r="F14" s="101"/>
      <c r="G14" s="101"/>
      <c r="H14" s="101"/>
      <c r="I14" s="101"/>
      <c r="J14" s="103"/>
      <c r="K14" s="103"/>
      <c r="L14" s="103"/>
      <c r="M14" s="103"/>
      <c r="N14" s="103"/>
      <c r="O14" s="103"/>
      <c r="P14" s="103"/>
      <c r="Q14" s="103"/>
      <c r="R14" s="103"/>
      <c r="S14" s="103"/>
      <c r="T14" s="103"/>
      <c r="U14" s="103"/>
      <c r="V14" s="103"/>
      <c r="W14" s="103"/>
      <c r="X14" s="103"/>
      <c r="Y14" s="103"/>
      <c r="Z14" s="103"/>
    </row>
    <row r="15" ht="12.75" customHeight="1">
      <c r="A15" s="101"/>
      <c r="B15" s="102" t="s">
        <v>117</v>
      </c>
      <c r="C15" s="101" t="str">
        <f t="shared" si="1"/>
        <v>組合科學(生物、化學)</v>
      </c>
      <c r="D15" s="101" t="str">
        <f t="shared" si="2"/>
        <v>組合科學(生物、化學)</v>
      </c>
      <c r="E15" s="101" t="str">
        <f t="shared" si="3"/>
        <v>組合科學(生物、化學)</v>
      </c>
      <c r="F15" s="101"/>
      <c r="G15" s="101"/>
      <c r="H15" s="101"/>
      <c r="I15" s="101"/>
      <c r="J15" s="103"/>
      <c r="K15" s="103"/>
      <c r="L15" s="103"/>
      <c r="M15" s="103"/>
      <c r="N15" s="103"/>
      <c r="O15" s="103"/>
      <c r="P15" s="103"/>
      <c r="Q15" s="103"/>
      <c r="R15" s="103"/>
      <c r="S15" s="103"/>
      <c r="T15" s="103"/>
      <c r="U15" s="103"/>
      <c r="V15" s="103"/>
      <c r="W15" s="103"/>
      <c r="X15" s="103"/>
      <c r="Y15" s="103"/>
      <c r="Z15" s="103"/>
    </row>
    <row r="16" ht="12.75" customHeight="1">
      <c r="A16" s="101"/>
      <c r="B16" s="102" t="s">
        <v>120</v>
      </c>
      <c r="C16" s="101" t="str">
        <f t="shared" si="1"/>
        <v>組合科學(物理、生物)</v>
      </c>
      <c r="D16" s="101" t="str">
        <f t="shared" si="2"/>
        <v>組合科學(物理、生物)</v>
      </c>
      <c r="E16" s="101" t="str">
        <f t="shared" si="3"/>
        <v>組合科學(物理、生物)</v>
      </c>
      <c r="F16" s="101"/>
      <c r="G16" s="101"/>
      <c r="H16" s="101"/>
      <c r="I16" s="101"/>
      <c r="J16" s="103"/>
      <c r="K16" s="103"/>
      <c r="L16" s="103"/>
      <c r="M16" s="103"/>
      <c r="N16" s="103"/>
      <c r="O16" s="103"/>
      <c r="P16" s="103"/>
      <c r="Q16" s="103"/>
      <c r="R16" s="103"/>
      <c r="S16" s="103"/>
      <c r="T16" s="103"/>
      <c r="U16" s="103"/>
      <c r="V16" s="103"/>
      <c r="W16" s="103"/>
      <c r="X16" s="103"/>
      <c r="Y16" s="103"/>
      <c r="Z16" s="103"/>
    </row>
    <row r="17" ht="12.75" customHeight="1">
      <c r="A17" s="101"/>
      <c r="B17" s="102" t="s">
        <v>123</v>
      </c>
      <c r="C17" s="101" t="str">
        <f t="shared" si="1"/>
        <v>中國文學</v>
      </c>
      <c r="D17" s="101" t="str">
        <f t="shared" si="2"/>
        <v>中國文學</v>
      </c>
      <c r="E17" s="101" t="str">
        <f t="shared" si="3"/>
        <v>中國文學</v>
      </c>
      <c r="F17" s="101"/>
      <c r="G17" s="101"/>
      <c r="H17" s="101"/>
      <c r="I17" s="101"/>
      <c r="J17" s="103"/>
      <c r="K17" s="103"/>
      <c r="L17" s="103"/>
      <c r="M17" s="103"/>
      <c r="N17" s="103"/>
      <c r="O17" s="103"/>
      <c r="P17" s="103"/>
      <c r="Q17" s="103"/>
      <c r="R17" s="103"/>
      <c r="S17" s="103"/>
      <c r="T17" s="103"/>
      <c r="U17" s="103"/>
      <c r="V17" s="103"/>
      <c r="W17" s="103"/>
      <c r="X17" s="103"/>
      <c r="Y17" s="103"/>
      <c r="Z17" s="103"/>
    </row>
    <row r="18" ht="12.75" customHeight="1">
      <c r="A18" s="101"/>
      <c r="B18" s="102" t="s">
        <v>126</v>
      </c>
      <c r="C18" s="101" t="str">
        <f t="shared" si="1"/>
        <v>英語文學</v>
      </c>
      <c r="D18" s="101" t="str">
        <f t="shared" si="2"/>
        <v>英語文學</v>
      </c>
      <c r="E18" s="101" t="str">
        <f t="shared" si="3"/>
        <v>英語文學</v>
      </c>
      <c r="F18" s="101"/>
      <c r="G18" s="101"/>
      <c r="H18" s="101"/>
      <c r="I18" s="101"/>
      <c r="J18" s="103"/>
      <c r="K18" s="103"/>
      <c r="L18" s="103"/>
      <c r="M18" s="103"/>
      <c r="N18" s="103"/>
      <c r="O18" s="103"/>
      <c r="P18" s="103"/>
      <c r="Q18" s="103"/>
      <c r="R18" s="103"/>
      <c r="S18" s="103"/>
      <c r="T18" s="103"/>
      <c r="U18" s="103"/>
      <c r="V18" s="103"/>
      <c r="W18" s="103"/>
      <c r="X18" s="103"/>
      <c r="Y18" s="103"/>
      <c r="Z18" s="103"/>
    </row>
    <row r="19" ht="12.75" customHeight="1">
      <c r="A19" s="101"/>
      <c r="B19" s="102" t="s">
        <v>129</v>
      </c>
      <c r="C19" s="101" t="str">
        <f t="shared" si="1"/>
        <v>旅遊與款待</v>
      </c>
      <c r="D19" s="101" t="str">
        <f t="shared" si="2"/>
        <v>旅遊與款待</v>
      </c>
      <c r="E19" s="101" t="str">
        <f t="shared" si="3"/>
        <v>旅遊與款待</v>
      </c>
      <c r="F19" s="101"/>
      <c r="G19" s="101"/>
      <c r="H19" s="101"/>
      <c r="I19" s="101"/>
      <c r="J19" s="103"/>
      <c r="K19" s="103"/>
      <c r="L19" s="103"/>
      <c r="M19" s="103"/>
      <c r="N19" s="103"/>
      <c r="O19" s="103"/>
      <c r="P19" s="103"/>
      <c r="Q19" s="103"/>
      <c r="R19" s="103"/>
      <c r="S19" s="103"/>
      <c r="T19" s="103"/>
      <c r="U19" s="103"/>
      <c r="V19" s="103"/>
      <c r="W19" s="103"/>
      <c r="X19" s="103"/>
      <c r="Y19" s="103"/>
      <c r="Z19" s="103"/>
    </row>
    <row r="20" ht="12.75" customHeight="1">
      <c r="A20" s="101"/>
      <c r="B20" s="102" t="s">
        <v>132</v>
      </c>
      <c r="C20" s="101" t="str">
        <f t="shared" si="1"/>
        <v>倫理與宗教</v>
      </c>
      <c r="D20" s="101" t="str">
        <f t="shared" si="2"/>
        <v>倫理與宗教</v>
      </c>
      <c r="E20" s="101" t="str">
        <f t="shared" si="3"/>
        <v>倫理與宗教</v>
      </c>
      <c r="F20" s="101"/>
      <c r="G20" s="101"/>
      <c r="H20" s="101"/>
      <c r="I20" s="101"/>
      <c r="J20" s="103"/>
      <c r="K20" s="103"/>
      <c r="L20" s="103"/>
      <c r="M20" s="103"/>
      <c r="N20" s="103"/>
      <c r="O20" s="103"/>
      <c r="P20" s="103"/>
      <c r="Q20" s="103"/>
      <c r="R20" s="103"/>
      <c r="S20" s="103"/>
      <c r="T20" s="103"/>
      <c r="U20" s="103"/>
      <c r="V20" s="103"/>
      <c r="W20" s="103"/>
      <c r="X20" s="103"/>
      <c r="Y20" s="103"/>
      <c r="Z20" s="103"/>
    </row>
    <row r="21" ht="12.75" customHeight="1">
      <c r="A21" s="101"/>
      <c r="B21" s="102" t="s">
        <v>134</v>
      </c>
      <c r="C21" s="101" t="str">
        <f t="shared" si="1"/>
        <v>科技與生活</v>
      </c>
      <c r="D21" s="101" t="str">
        <f t="shared" si="2"/>
        <v>科技與生活</v>
      </c>
      <c r="E21" s="101" t="str">
        <f t="shared" si="3"/>
        <v>科技與生活</v>
      </c>
      <c r="F21" s="101"/>
      <c r="G21" s="101"/>
      <c r="H21" s="101"/>
      <c r="I21" s="101"/>
      <c r="J21" s="103"/>
      <c r="K21" s="103"/>
      <c r="L21" s="103"/>
      <c r="M21" s="103"/>
      <c r="N21" s="103"/>
      <c r="O21" s="103"/>
      <c r="P21" s="103"/>
      <c r="Q21" s="103"/>
      <c r="R21" s="103"/>
      <c r="S21" s="103"/>
      <c r="T21" s="103"/>
      <c r="U21" s="103"/>
      <c r="V21" s="103"/>
      <c r="W21" s="103"/>
      <c r="X21" s="103"/>
      <c r="Y21" s="103"/>
      <c r="Z21" s="103"/>
    </row>
    <row r="22" ht="12.75" customHeight="1">
      <c r="A22" s="101"/>
      <c r="B22" s="102" t="s">
        <v>136</v>
      </c>
      <c r="C22" s="101" t="str">
        <f t="shared" si="1"/>
        <v>資訊及通訊科技</v>
      </c>
      <c r="D22" s="101" t="str">
        <f t="shared" si="2"/>
        <v>資訊及通訊科技</v>
      </c>
      <c r="E22" s="101" t="str">
        <f t="shared" si="3"/>
        <v>資訊及通訊科技</v>
      </c>
      <c r="F22" s="101"/>
      <c r="G22" s="101"/>
      <c r="H22" s="101"/>
      <c r="I22" s="101"/>
      <c r="J22" s="103"/>
      <c r="K22" s="103"/>
      <c r="L22" s="103"/>
      <c r="M22" s="103"/>
      <c r="N22" s="103"/>
      <c r="O22" s="103"/>
      <c r="P22" s="103"/>
      <c r="Q22" s="103"/>
      <c r="R22" s="103"/>
      <c r="S22" s="103"/>
      <c r="T22" s="103"/>
      <c r="U22" s="103"/>
      <c r="V22" s="103"/>
      <c r="W22" s="103"/>
      <c r="X22" s="103"/>
      <c r="Y22" s="103"/>
      <c r="Z22" s="103"/>
    </row>
    <row r="23" ht="12.75" customHeight="1">
      <c r="A23" s="101"/>
      <c r="B23" s="102" t="s">
        <v>137</v>
      </c>
      <c r="C23" s="101" t="str">
        <f t="shared" si="1"/>
        <v>設計與應用科技</v>
      </c>
      <c r="D23" s="101" t="str">
        <f t="shared" si="2"/>
        <v>設計與應用科技</v>
      </c>
      <c r="E23" s="101" t="str">
        <f t="shared" si="3"/>
        <v>設計與應用科技</v>
      </c>
      <c r="F23" s="101"/>
      <c r="G23" s="101"/>
      <c r="H23" s="101"/>
      <c r="I23" s="103"/>
      <c r="J23" s="103"/>
      <c r="K23" s="103"/>
      <c r="L23" s="103"/>
      <c r="M23" s="103"/>
      <c r="N23" s="103"/>
      <c r="O23" s="103"/>
      <c r="P23" s="103"/>
      <c r="Q23" s="103"/>
      <c r="R23" s="103"/>
      <c r="S23" s="103"/>
      <c r="T23" s="103"/>
      <c r="U23" s="103"/>
      <c r="V23" s="103"/>
      <c r="W23" s="103"/>
      <c r="X23" s="103"/>
      <c r="Y23" s="103"/>
      <c r="Z23" s="103"/>
    </row>
    <row r="24" ht="12.75" customHeight="1">
      <c r="A24" s="103"/>
      <c r="B24" s="102" t="s">
        <v>138</v>
      </c>
      <c r="C24" s="101" t="str">
        <f t="shared" si="1"/>
        <v>健康管理與社會關懷</v>
      </c>
      <c r="D24" s="101" t="str">
        <f t="shared" si="2"/>
        <v>健康管理與社會關懷</v>
      </c>
      <c r="E24" s="101" t="str">
        <f t="shared" si="3"/>
        <v>健康管理與社會關懷</v>
      </c>
      <c r="F24" s="103"/>
      <c r="G24" s="103"/>
      <c r="H24" s="103"/>
      <c r="I24" s="103"/>
      <c r="J24" s="103"/>
      <c r="K24" s="103"/>
      <c r="L24" s="103"/>
      <c r="M24" s="103"/>
      <c r="N24" s="103"/>
      <c r="O24" s="103"/>
      <c r="P24" s="103"/>
      <c r="Q24" s="103"/>
      <c r="R24" s="103"/>
      <c r="S24" s="103"/>
      <c r="T24" s="103"/>
      <c r="U24" s="103"/>
      <c r="V24" s="103"/>
      <c r="W24" s="103"/>
      <c r="X24" s="103"/>
      <c r="Y24" s="103"/>
      <c r="Z24" s="103"/>
    </row>
    <row r="25" ht="12.75" customHeight="1">
      <c r="A25" s="103"/>
      <c r="B25" s="102" t="s">
        <v>140</v>
      </c>
      <c r="C25" s="101" t="str">
        <f t="shared" si="1"/>
        <v>企業、會計與財務概論</v>
      </c>
      <c r="D25" s="101" t="str">
        <f t="shared" si="2"/>
        <v>企業、會計與財務概論</v>
      </c>
      <c r="E25" s="101" t="str">
        <f t="shared" si="3"/>
        <v>企業、會計與財務概論</v>
      </c>
      <c r="F25" s="103"/>
      <c r="G25" s="103"/>
      <c r="H25" s="103"/>
      <c r="I25" s="103"/>
      <c r="J25" s="103"/>
      <c r="K25" s="103"/>
      <c r="L25" s="103"/>
      <c r="M25" s="103"/>
      <c r="N25" s="103"/>
      <c r="O25" s="103"/>
      <c r="P25" s="103"/>
      <c r="Q25" s="103"/>
      <c r="R25" s="103"/>
      <c r="S25" s="103"/>
      <c r="T25" s="103"/>
      <c r="U25" s="103"/>
      <c r="V25" s="103"/>
      <c r="W25" s="103"/>
      <c r="X25" s="103"/>
      <c r="Y25" s="103"/>
      <c r="Z25" s="103"/>
    </row>
    <row r="26" ht="12.75" customHeight="1">
      <c r="A26" s="103"/>
      <c r="B26" s="101"/>
      <c r="C26" s="101"/>
      <c r="D26" s="101"/>
      <c r="E26" s="103"/>
      <c r="F26" s="103"/>
      <c r="G26" s="103"/>
      <c r="H26" s="103"/>
      <c r="I26" s="103"/>
      <c r="J26" s="103"/>
      <c r="K26" s="103"/>
      <c r="L26" s="103"/>
      <c r="M26" s="103"/>
      <c r="N26" s="103"/>
      <c r="O26" s="103"/>
      <c r="P26" s="103"/>
      <c r="Q26" s="103"/>
      <c r="R26" s="103"/>
      <c r="S26" s="103"/>
      <c r="T26" s="103"/>
      <c r="U26" s="103"/>
      <c r="V26" s="103"/>
      <c r="W26" s="103"/>
      <c r="X26" s="103"/>
      <c r="Y26" s="103"/>
      <c r="Z26" s="103"/>
    </row>
    <row r="27" ht="12.75" customHeight="1">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row>
    <row r="28" ht="12.75" customHeight="1">
      <c r="A28" s="103"/>
      <c r="B28" s="103" t="s">
        <v>168</v>
      </c>
      <c r="C28" s="101" t="s">
        <v>144</v>
      </c>
      <c r="D28" s="103"/>
      <c r="E28" s="103"/>
      <c r="F28" s="103"/>
      <c r="G28" s="103"/>
      <c r="H28" s="103"/>
      <c r="I28" s="103"/>
      <c r="J28" s="103"/>
      <c r="K28" s="103"/>
      <c r="L28" s="103"/>
      <c r="M28" s="103"/>
      <c r="N28" s="103"/>
      <c r="O28" s="103"/>
      <c r="P28" s="103"/>
      <c r="Q28" s="103"/>
      <c r="R28" s="103"/>
      <c r="S28" s="103"/>
      <c r="T28" s="103"/>
      <c r="U28" s="103"/>
      <c r="V28" s="103"/>
      <c r="W28" s="103"/>
      <c r="X28" s="103"/>
      <c r="Y28" s="103"/>
      <c r="Z28" s="103"/>
    </row>
    <row r="29" ht="12.75" customHeight="1">
      <c r="A29" s="103">
        <v>1.0</v>
      </c>
      <c r="B29" s="103" t="str">
        <f>'主頁'!C16</f>
        <v/>
      </c>
      <c r="C29" s="101" t="s">
        <v>151</v>
      </c>
      <c r="D29" s="103"/>
      <c r="E29" s="103"/>
      <c r="F29" s="103"/>
      <c r="G29" s="103"/>
      <c r="H29" s="103"/>
      <c r="I29" s="103"/>
      <c r="J29" s="103"/>
      <c r="K29" s="103"/>
      <c r="L29" s="103"/>
      <c r="M29" s="103"/>
      <c r="N29" s="103"/>
      <c r="O29" s="103"/>
      <c r="P29" s="103"/>
      <c r="Q29" s="103"/>
      <c r="R29" s="103"/>
      <c r="S29" s="103"/>
      <c r="T29" s="103"/>
      <c r="U29" s="103"/>
      <c r="V29" s="103"/>
      <c r="W29" s="103"/>
      <c r="X29" s="103"/>
      <c r="Y29" s="103"/>
      <c r="Z29" s="103"/>
    </row>
    <row r="30" ht="12.75" customHeight="1">
      <c r="A30" s="103">
        <v>2.0</v>
      </c>
      <c r="B30" s="103" t="str">
        <f>'主頁'!C17</f>
        <v/>
      </c>
      <c r="C30" s="101" t="str">
        <f>IF(OR(B30="物理",B31="物理",B32="物理"),"","物理")</f>
        <v>物理</v>
      </c>
      <c r="D30" s="101" t="str">
        <f t="shared" ref="D30:D52" si="5">IF(OR($B$30=B3,$B$31=B3,$B$32=B3),"",B3)</f>
        <v>物理</v>
      </c>
      <c r="E30" s="103"/>
      <c r="F30" s="103"/>
      <c r="G30" s="103"/>
      <c r="H30" s="103"/>
      <c r="I30" s="103"/>
      <c r="J30" s="103"/>
      <c r="K30" s="103"/>
      <c r="L30" s="103"/>
      <c r="M30" s="103"/>
      <c r="N30" s="103"/>
      <c r="O30" s="103"/>
      <c r="P30" s="103"/>
      <c r="Q30" s="103"/>
      <c r="R30" s="103"/>
      <c r="S30" s="103"/>
      <c r="T30" s="103"/>
      <c r="U30" s="103"/>
      <c r="V30" s="103"/>
      <c r="W30" s="103"/>
      <c r="X30" s="103"/>
      <c r="Y30" s="103"/>
      <c r="Z30" s="103"/>
    </row>
    <row r="31" ht="12.75" customHeight="1">
      <c r="A31" s="103">
        <v>3.0</v>
      </c>
      <c r="B31" s="103" t="str">
        <f>'主頁'!C18</f>
        <v/>
      </c>
      <c r="C31" s="101" t="str">
        <f>IF(OR(B30="化學",B31="化學",B32="化學"),"","化學")</f>
        <v>化學</v>
      </c>
      <c r="D31" s="101" t="str">
        <f t="shared" si="5"/>
        <v>化學</v>
      </c>
      <c r="E31" s="103"/>
      <c r="F31" s="103"/>
      <c r="G31" s="103"/>
      <c r="H31" s="103"/>
      <c r="I31" s="103"/>
      <c r="J31" s="103"/>
      <c r="K31" s="103"/>
      <c r="L31" s="103"/>
      <c r="M31" s="103"/>
      <c r="N31" s="103"/>
      <c r="O31" s="103"/>
      <c r="P31" s="103"/>
      <c r="Q31" s="103"/>
      <c r="R31" s="103"/>
      <c r="S31" s="103"/>
      <c r="T31" s="103"/>
      <c r="U31" s="103"/>
      <c r="V31" s="103"/>
      <c r="W31" s="103"/>
      <c r="X31" s="103"/>
      <c r="Y31" s="103"/>
      <c r="Z31" s="103"/>
    </row>
    <row r="32" ht="12.75" customHeight="1">
      <c r="A32" s="103">
        <v>4.0</v>
      </c>
      <c r="B32" s="103" t="str">
        <f>'主頁'!C19</f>
        <v/>
      </c>
      <c r="C32" s="101" t="str">
        <f>IF(OR(B30="生物",B31="生物",B32="生物"),"","生物")</f>
        <v>生物</v>
      </c>
      <c r="D32" s="101" t="str">
        <f t="shared" si="5"/>
        <v>生物</v>
      </c>
      <c r="E32" s="103"/>
      <c r="F32" s="103"/>
      <c r="G32" s="103"/>
      <c r="H32" s="103"/>
      <c r="I32" s="103"/>
      <c r="J32" s="103"/>
      <c r="K32" s="103"/>
      <c r="L32" s="103"/>
      <c r="M32" s="103"/>
      <c r="N32" s="103"/>
      <c r="O32" s="103"/>
      <c r="P32" s="103"/>
      <c r="Q32" s="103"/>
      <c r="R32" s="103"/>
      <c r="S32" s="103"/>
      <c r="T32" s="103"/>
      <c r="U32" s="103"/>
      <c r="V32" s="103"/>
      <c r="W32" s="103"/>
      <c r="X32" s="103"/>
      <c r="Y32" s="103"/>
      <c r="Z32" s="103"/>
    </row>
    <row r="33" ht="12.75" customHeight="1">
      <c r="A33" s="103"/>
      <c r="B33" s="103"/>
      <c r="C33" s="101" t="s">
        <v>85</v>
      </c>
      <c r="D33" s="101" t="str">
        <f t="shared" si="5"/>
        <v>經濟</v>
      </c>
      <c r="E33" s="103"/>
      <c r="F33" s="103"/>
      <c r="G33" s="103"/>
      <c r="H33" s="103"/>
      <c r="I33" s="103"/>
      <c r="J33" s="103"/>
      <c r="K33" s="103"/>
      <c r="L33" s="103"/>
      <c r="M33" s="103"/>
      <c r="N33" s="103"/>
      <c r="O33" s="103"/>
      <c r="P33" s="103"/>
      <c r="Q33" s="103"/>
      <c r="R33" s="103"/>
      <c r="S33" s="103"/>
      <c r="T33" s="103"/>
      <c r="U33" s="103"/>
      <c r="V33" s="103"/>
      <c r="W33" s="103"/>
      <c r="X33" s="103"/>
      <c r="Y33" s="103"/>
      <c r="Z33" s="103"/>
    </row>
    <row r="34" ht="12.75" customHeight="1">
      <c r="A34" s="103"/>
      <c r="B34" s="103"/>
      <c r="C34" s="101" t="s">
        <v>90</v>
      </c>
      <c r="D34" s="101" t="str">
        <f t="shared" si="5"/>
        <v>地理</v>
      </c>
      <c r="E34" s="103"/>
      <c r="F34" s="103"/>
      <c r="G34" s="103"/>
      <c r="H34" s="103"/>
      <c r="I34" s="103"/>
      <c r="J34" s="103"/>
      <c r="K34" s="103"/>
      <c r="L34" s="103"/>
      <c r="M34" s="103"/>
      <c r="N34" s="103"/>
      <c r="O34" s="103"/>
      <c r="P34" s="103"/>
      <c r="Q34" s="103"/>
      <c r="R34" s="103"/>
      <c r="S34" s="103"/>
      <c r="T34" s="103"/>
      <c r="U34" s="103"/>
      <c r="V34" s="103"/>
      <c r="W34" s="103"/>
      <c r="X34" s="103"/>
      <c r="Y34" s="103"/>
      <c r="Z34" s="103"/>
    </row>
    <row r="35" ht="12.75" customHeight="1">
      <c r="A35" s="103"/>
      <c r="B35" s="103"/>
      <c r="C35" s="101" t="s">
        <v>95</v>
      </c>
      <c r="D35" s="101" t="str">
        <f t="shared" si="5"/>
        <v>音樂</v>
      </c>
      <c r="E35" s="103"/>
      <c r="F35" s="103"/>
      <c r="G35" s="103"/>
      <c r="H35" s="103"/>
      <c r="I35" s="103"/>
      <c r="J35" s="103"/>
      <c r="K35" s="103"/>
      <c r="L35" s="103"/>
      <c r="M35" s="103"/>
      <c r="N35" s="103"/>
      <c r="O35" s="103"/>
      <c r="P35" s="103"/>
      <c r="Q35" s="103"/>
      <c r="R35" s="103"/>
      <c r="S35" s="103"/>
      <c r="T35" s="103"/>
      <c r="U35" s="103"/>
      <c r="V35" s="103"/>
      <c r="W35" s="103"/>
      <c r="X35" s="103"/>
      <c r="Y35" s="103"/>
      <c r="Z35" s="103"/>
    </row>
    <row r="36" ht="12.75" customHeight="1">
      <c r="A36" s="103"/>
      <c r="B36" s="103"/>
      <c r="C36" s="101" t="s">
        <v>99</v>
      </c>
      <c r="D36" s="101" t="str">
        <f t="shared" si="5"/>
        <v>體育</v>
      </c>
      <c r="E36" s="103"/>
      <c r="F36" s="103"/>
      <c r="G36" s="103"/>
      <c r="H36" s="103"/>
      <c r="I36" s="103"/>
      <c r="J36" s="103"/>
      <c r="K36" s="103"/>
      <c r="L36" s="103"/>
      <c r="M36" s="103"/>
      <c r="N36" s="103"/>
      <c r="O36" s="103"/>
      <c r="P36" s="103"/>
      <c r="Q36" s="103"/>
      <c r="R36" s="103"/>
      <c r="S36" s="103"/>
      <c r="T36" s="103"/>
      <c r="U36" s="103"/>
      <c r="V36" s="103"/>
      <c r="W36" s="103"/>
      <c r="X36" s="103"/>
      <c r="Y36" s="103"/>
      <c r="Z36" s="103"/>
    </row>
    <row r="37" ht="12.75" customHeight="1">
      <c r="A37" s="103"/>
      <c r="B37" s="103"/>
      <c r="C37" s="101" t="s">
        <v>101</v>
      </c>
      <c r="D37" s="101" t="str">
        <f t="shared" si="5"/>
        <v>歷史</v>
      </c>
      <c r="E37" s="103"/>
      <c r="F37" s="103"/>
      <c r="G37" s="103"/>
      <c r="H37" s="103"/>
      <c r="I37" s="103"/>
      <c r="J37" s="103"/>
      <c r="K37" s="103"/>
      <c r="L37" s="103"/>
      <c r="M37" s="103"/>
      <c r="N37" s="103"/>
      <c r="O37" s="103"/>
      <c r="P37" s="103"/>
      <c r="Q37" s="103"/>
      <c r="R37" s="103"/>
      <c r="S37" s="103"/>
      <c r="T37" s="103"/>
      <c r="U37" s="103"/>
      <c r="V37" s="103"/>
      <c r="W37" s="103"/>
      <c r="X37" s="103"/>
      <c r="Y37" s="103"/>
      <c r="Z37" s="103"/>
    </row>
    <row r="38" ht="12.75" customHeight="1">
      <c r="A38" s="103"/>
      <c r="B38" s="103"/>
      <c r="C38" s="101" t="s">
        <v>104</v>
      </c>
      <c r="D38" s="101" t="str">
        <f t="shared" si="5"/>
        <v>中國歷史</v>
      </c>
      <c r="E38" s="103"/>
      <c r="F38" s="103"/>
      <c r="G38" s="103"/>
      <c r="H38" s="103"/>
      <c r="I38" s="103"/>
      <c r="J38" s="103"/>
      <c r="K38" s="103"/>
      <c r="L38" s="103"/>
      <c r="M38" s="103"/>
      <c r="N38" s="103"/>
      <c r="O38" s="103"/>
      <c r="P38" s="103"/>
      <c r="Q38" s="103"/>
      <c r="R38" s="103"/>
      <c r="S38" s="103"/>
      <c r="T38" s="103"/>
      <c r="U38" s="103"/>
      <c r="V38" s="103"/>
      <c r="W38" s="103"/>
      <c r="X38" s="103"/>
      <c r="Y38" s="103"/>
      <c r="Z38" s="103"/>
    </row>
    <row r="39" ht="12.75" customHeight="1">
      <c r="A39" s="103"/>
      <c r="B39" s="103"/>
      <c r="C39" s="101" t="s">
        <v>107</v>
      </c>
      <c r="D39" s="101" t="str">
        <f t="shared" si="5"/>
        <v>視覺藝術</v>
      </c>
      <c r="E39" s="103"/>
      <c r="F39" s="103"/>
      <c r="G39" s="103"/>
      <c r="H39" s="103"/>
      <c r="I39" s="103"/>
      <c r="J39" s="103"/>
      <c r="K39" s="103"/>
      <c r="L39" s="103"/>
      <c r="M39" s="103"/>
      <c r="N39" s="103"/>
      <c r="O39" s="103"/>
      <c r="P39" s="103"/>
      <c r="Q39" s="103"/>
      <c r="R39" s="103"/>
      <c r="S39" s="103"/>
      <c r="T39" s="103"/>
      <c r="U39" s="103"/>
      <c r="V39" s="103"/>
      <c r="W39" s="103"/>
      <c r="X39" s="103"/>
      <c r="Y39" s="103"/>
      <c r="Z39" s="103"/>
    </row>
    <row r="40" ht="12.75" customHeight="1">
      <c r="A40" s="103"/>
      <c r="B40" s="103"/>
      <c r="C40" s="101" t="s">
        <v>110</v>
      </c>
      <c r="D40" s="101" t="str">
        <f t="shared" si="5"/>
        <v>綜合科學</v>
      </c>
      <c r="E40" s="103"/>
      <c r="F40" s="103"/>
      <c r="G40" s="103"/>
      <c r="H40" s="103"/>
      <c r="I40" s="103"/>
      <c r="J40" s="103"/>
      <c r="K40" s="103"/>
      <c r="L40" s="103"/>
      <c r="M40" s="103"/>
      <c r="N40" s="103"/>
      <c r="O40" s="103"/>
      <c r="P40" s="103"/>
      <c r="Q40" s="103"/>
      <c r="R40" s="103"/>
      <c r="S40" s="103"/>
      <c r="T40" s="103"/>
      <c r="U40" s="103"/>
      <c r="V40" s="103"/>
      <c r="W40" s="103"/>
      <c r="X40" s="103"/>
      <c r="Y40" s="103"/>
      <c r="Z40" s="103"/>
    </row>
    <row r="41" ht="12.75" customHeight="1">
      <c r="A41" s="103"/>
      <c r="B41" s="103"/>
      <c r="C41" s="101" t="s">
        <v>169</v>
      </c>
      <c r="D41" s="101" t="str">
        <f t="shared" si="5"/>
        <v>組合科學(物理、化學)</v>
      </c>
      <c r="E41" s="103"/>
      <c r="F41" s="103"/>
      <c r="G41" s="103"/>
      <c r="H41" s="103"/>
      <c r="I41" s="103"/>
      <c r="J41" s="103"/>
      <c r="K41" s="103"/>
      <c r="L41" s="103"/>
      <c r="M41" s="103"/>
      <c r="N41" s="103"/>
      <c r="O41" s="103"/>
      <c r="P41" s="103"/>
      <c r="Q41" s="103"/>
      <c r="R41" s="103"/>
      <c r="S41" s="103"/>
      <c r="T41" s="103"/>
      <c r="U41" s="103"/>
      <c r="V41" s="103"/>
      <c r="W41" s="103"/>
      <c r="X41" s="103"/>
      <c r="Y41" s="103"/>
      <c r="Z41" s="103"/>
    </row>
    <row r="42" ht="12.75" customHeight="1">
      <c r="A42" s="103"/>
      <c r="B42" s="103"/>
      <c r="C42" s="101" t="s">
        <v>170</v>
      </c>
      <c r="D42" s="101" t="str">
        <f t="shared" si="5"/>
        <v>組合科學(生物、化學)</v>
      </c>
      <c r="E42" s="103"/>
      <c r="F42" s="103"/>
      <c r="G42" s="103"/>
      <c r="H42" s="103"/>
      <c r="I42" s="103"/>
      <c r="J42" s="103"/>
      <c r="K42" s="103"/>
      <c r="L42" s="103"/>
      <c r="M42" s="103"/>
      <c r="N42" s="103"/>
      <c r="O42" s="103"/>
      <c r="P42" s="103"/>
      <c r="Q42" s="103"/>
      <c r="R42" s="103"/>
      <c r="S42" s="103"/>
      <c r="T42" s="103"/>
      <c r="U42" s="103"/>
      <c r="V42" s="103"/>
      <c r="W42" s="103"/>
      <c r="X42" s="103"/>
      <c r="Y42" s="103"/>
      <c r="Z42" s="103"/>
    </row>
    <row r="43" ht="12.75" customHeight="1">
      <c r="A43" s="103"/>
      <c r="B43" s="103"/>
      <c r="C43" s="101" t="s">
        <v>171</v>
      </c>
      <c r="D43" s="101" t="str">
        <f t="shared" si="5"/>
        <v>組合科學(物理、生物)</v>
      </c>
      <c r="E43" s="103"/>
      <c r="F43" s="103"/>
      <c r="G43" s="103"/>
      <c r="H43" s="103"/>
      <c r="I43" s="103"/>
      <c r="J43" s="103"/>
      <c r="K43" s="103"/>
      <c r="L43" s="103"/>
      <c r="M43" s="103"/>
      <c r="N43" s="103"/>
      <c r="O43" s="103"/>
      <c r="P43" s="103"/>
      <c r="Q43" s="103"/>
      <c r="R43" s="103"/>
      <c r="S43" s="103"/>
      <c r="T43" s="103"/>
      <c r="U43" s="103"/>
      <c r="V43" s="103"/>
      <c r="W43" s="103"/>
      <c r="X43" s="103"/>
      <c r="Y43" s="103"/>
      <c r="Z43" s="103"/>
    </row>
    <row r="44" ht="12.75" customHeight="1">
      <c r="A44" s="103"/>
      <c r="B44" s="103"/>
      <c r="C44" s="101" t="s">
        <v>123</v>
      </c>
      <c r="D44" s="101" t="str">
        <f t="shared" si="5"/>
        <v>中國文學</v>
      </c>
      <c r="E44" s="103"/>
      <c r="F44" s="103"/>
      <c r="G44" s="103"/>
      <c r="H44" s="103"/>
      <c r="I44" s="103"/>
      <c r="J44" s="103"/>
      <c r="K44" s="103"/>
      <c r="L44" s="103"/>
      <c r="M44" s="103"/>
      <c r="N44" s="103"/>
      <c r="O44" s="103"/>
      <c r="P44" s="103"/>
      <c r="Q44" s="103"/>
      <c r="R44" s="103"/>
      <c r="S44" s="103"/>
      <c r="T44" s="103"/>
      <c r="U44" s="103"/>
      <c r="V44" s="103"/>
      <c r="W44" s="103"/>
      <c r="X44" s="103"/>
      <c r="Y44" s="103"/>
      <c r="Z44" s="103"/>
    </row>
    <row r="45" ht="12.75" customHeight="1">
      <c r="A45" s="103"/>
      <c r="B45" s="103"/>
      <c r="C45" s="101" t="s">
        <v>126</v>
      </c>
      <c r="D45" s="101" t="str">
        <f t="shared" si="5"/>
        <v>英語文學</v>
      </c>
      <c r="E45" s="103"/>
      <c r="F45" s="103"/>
      <c r="G45" s="103"/>
      <c r="H45" s="101"/>
      <c r="I45" s="103"/>
      <c r="J45" s="103"/>
      <c r="K45" s="103"/>
      <c r="L45" s="103"/>
      <c r="M45" s="103"/>
      <c r="N45" s="103"/>
      <c r="O45" s="103"/>
      <c r="P45" s="103"/>
      <c r="Q45" s="103"/>
      <c r="R45" s="103"/>
      <c r="S45" s="103"/>
      <c r="T45" s="103"/>
      <c r="U45" s="103"/>
      <c r="V45" s="103"/>
      <c r="W45" s="103"/>
      <c r="X45" s="103"/>
      <c r="Y45" s="103"/>
      <c r="Z45" s="103"/>
    </row>
    <row r="46" ht="12.75" customHeight="1">
      <c r="A46" s="103"/>
      <c r="B46" s="103"/>
      <c r="C46" s="101" t="s">
        <v>129</v>
      </c>
      <c r="D46" s="101" t="str">
        <f t="shared" si="5"/>
        <v>旅遊與款待</v>
      </c>
      <c r="E46" s="103"/>
      <c r="F46" s="103"/>
      <c r="G46" s="103"/>
      <c r="H46" s="103"/>
      <c r="I46" s="103"/>
      <c r="J46" s="103"/>
      <c r="K46" s="103"/>
      <c r="L46" s="103"/>
      <c r="M46" s="103"/>
      <c r="N46" s="103"/>
      <c r="O46" s="103"/>
      <c r="P46" s="103"/>
      <c r="Q46" s="103"/>
      <c r="R46" s="103"/>
      <c r="S46" s="103"/>
      <c r="T46" s="103"/>
      <c r="U46" s="103"/>
      <c r="V46" s="103"/>
      <c r="W46" s="103"/>
      <c r="X46" s="103"/>
      <c r="Y46" s="103"/>
      <c r="Z46" s="103"/>
    </row>
    <row r="47" ht="12.75" customHeight="1">
      <c r="A47" s="103"/>
      <c r="B47" s="103"/>
      <c r="C47" s="101" t="s">
        <v>132</v>
      </c>
      <c r="D47" s="101" t="str">
        <f t="shared" si="5"/>
        <v>倫理與宗教</v>
      </c>
      <c r="E47" s="103"/>
      <c r="F47" s="103"/>
      <c r="G47" s="103"/>
      <c r="H47" s="103"/>
      <c r="I47" s="103"/>
      <c r="J47" s="103"/>
      <c r="K47" s="103"/>
      <c r="L47" s="103"/>
      <c r="M47" s="103"/>
      <c r="N47" s="103"/>
      <c r="O47" s="103"/>
      <c r="P47" s="103"/>
      <c r="Q47" s="103"/>
      <c r="R47" s="103"/>
      <c r="S47" s="103"/>
      <c r="T47" s="103"/>
      <c r="U47" s="103"/>
      <c r="V47" s="103"/>
      <c r="W47" s="103"/>
      <c r="X47" s="103"/>
      <c r="Y47" s="103"/>
      <c r="Z47" s="103"/>
    </row>
    <row r="48" ht="12.75" customHeight="1">
      <c r="A48" s="103"/>
      <c r="B48" s="103"/>
      <c r="C48" s="101" t="s">
        <v>134</v>
      </c>
      <c r="D48" s="101" t="str">
        <f t="shared" si="5"/>
        <v>科技與生活</v>
      </c>
      <c r="E48" s="103"/>
      <c r="F48" s="103"/>
      <c r="G48" s="103"/>
      <c r="H48" s="103"/>
      <c r="I48" s="103"/>
      <c r="J48" s="103"/>
      <c r="K48" s="103"/>
      <c r="L48" s="103"/>
      <c r="M48" s="103"/>
      <c r="N48" s="103"/>
      <c r="O48" s="103"/>
      <c r="P48" s="103"/>
      <c r="Q48" s="103"/>
      <c r="R48" s="103"/>
      <c r="S48" s="103"/>
      <c r="T48" s="103"/>
      <c r="U48" s="103"/>
      <c r="V48" s="103"/>
      <c r="W48" s="103"/>
      <c r="X48" s="103"/>
      <c r="Y48" s="103"/>
      <c r="Z48" s="103"/>
    </row>
    <row r="49" ht="12.75" customHeight="1">
      <c r="A49" s="103"/>
      <c r="B49" s="103"/>
      <c r="C49" s="101" t="s">
        <v>136</v>
      </c>
      <c r="D49" s="101" t="str">
        <f t="shared" si="5"/>
        <v>資訊及通訊科技</v>
      </c>
      <c r="E49" s="103"/>
      <c r="F49" s="103"/>
      <c r="G49" s="103"/>
      <c r="H49" s="103"/>
      <c r="I49" s="103"/>
      <c r="J49" s="103"/>
      <c r="K49" s="103"/>
      <c r="L49" s="103"/>
      <c r="M49" s="103"/>
      <c r="N49" s="103"/>
      <c r="O49" s="103"/>
      <c r="P49" s="103"/>
      <c r="Q49" s="103"/>
      <c r="R49" s="103"/>
      <c r="S49" s="103"/>
      <c r="T49" s="103"/>
      <c r="U49" s="103"/>
      <c r="V49" s="103"/>
      <c r="W49" s="103"/>
      <c r="X49" s="103"/>
      <c r="Y49" s="103"/>
      <c r="Z49" s="103"/>
    </row>
    <row r="50" ht="12.75" customHeight="1">
      <c r="A50" s="103"/>
      <c r="B50" s="103"/>
      <c r="C50" s="101" t="s">
        <v>137</v>
      </c>
      <c r="D50" s="101" t="str">
        <f t="shared" si="5"/>
        <v>設計與應用科技</v>
      </c>
      <c r="E50" s="103"/>
      <c r="F50" s="103"/>
      <c r="G50" s="103"/>
      <c r="H50" s="103"/>
      <c r="I50" s="103"/>
      <c r="J50" s="103"/>
      <c r="K50" s="103"/>
      <c r="L50" s="103"/>
      <c r="M50" s="103"/>
      <c r="N50" s="103"/>
      <c r="O50" s="103"/>
      <c r="P50" s="103"/>
      <c r="Q50" s="103"/>
      <c r="R50" s="103"/>
      <c r="S50" s="103"/>
      <c r="T50" s="103"/>
      <c r="U50" s="103"/>
      <c r="V50" s="103"/>
      <c r="W50" s="103"/>
      <c r="X50" s="103"/>
      <c r="Y50" s="103"/>
      <c r="Z50" s="103"/>
    </row>
    <row r="51" ht="12.75" customHeight="1">
      <c r="A51" s="103"/>
      <c r="B51" s="103"/>
      <c r="C51" s="101" t="s">
        <v>138</v>
      </c>
      <c r="D51" s="101" t="str">
        <f t="shared" si="5"/>
        <v>健康管理與社會關懷</v>
      </c>
      <c r="E51" s="103"/>
      <c r="F51" s="103"/>
      <c r="G51" s="103"/>
      <c r="H51" s="103"/>
      <c r="I51" s="103"/>
      <c r="J51" s="103"/>
      <c r="K51" s="103"/>
      <c r="L51" s="103"/>
      <c r="M51" s="103"/>
      <c r="N51" s="103"/>
      <c r="O51" s="103"/>
      <c r="P51" s="103"/>
      <c r="Q51" s="103"/>
      <c r="R51" s="103"/>
      <c r="S51" s="103"/>
      <c r="T51" s="103"/>
      <c r="U51" s="103"/>
      <c r="V51" s="103"/>
      <c r="W51" s="103"/>
      <c r="X51" s="103"/>
      <c r="Y51" s="103"/>
      <c r="Z51" s="103"/>
    </row>
    <row r="52" ht="12.75" customHeight="1">
      <c r="A52" s="103"/>
      <c r="B52" s="103"/>
      <c r="C52" s="101" t="s">
        <v>140</v>
      </c>
      <c r="D52" s="101" t="str">
        <f t="shared" si="5"/>
        <v>企業、會計與財務概論</v>
      </c>
      <c r="E52" s="103"/>
      <c r="F52" s="103"/>
      <c r="G52" s="103"/>
      <c r="H52" s="103"/>
      <c r="I52" s="103"/>
      <c r="J52" s="103"/>
      <c r="K52" s="103"/>
      <c r="L52" s="103"/>
      <c r="M52" s="103"/>
      <c r="N52" s="103"/>
      <c r="O52" s="103"/>
      <c r="P52" s="103"/>
      <c r="Q52" s="103"/>
      <c r="R52" s="103"/>
      <c r="S52" s="103"/>
      <c r="T52" s="103"/>
      <c r="U52" s="103"/>
      <c r="V52" s="103"/>
      <c r="W52" s="103"/>
      <c r="X52" s="103"/>
      <c r="Y52" s="103"/>
      <c r="Z52" s="103"/>
    </row>
    <row r="53" ht="12.7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row>
    <row r="54" ht="12.7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row>
    <row r="55" ht="12.7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row>
    <row r="56" ht="12.7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row>
    <row r="57" ht="12.7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row>
    <row r="58" ht="12.7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row>
    <row r="59" ht="12.7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row>
    <row r="60" ht="12.7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row>
    <row r="61" ht="12.7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row>
    <row r="62" ht="12.7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row>
    <row r="63" ht="12.7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row>
    <row r="64" ht="12.7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row>
    <row r="65" ht="12.7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row>
    <row r="66" ht="12.7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row>
    <row r="67" ht="12.7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row>
    <row r="68" ht="12.7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row>
    <row r="69" ht="12.7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row>
    <row r="70" ht="12.7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row>
    <row r="71" ht="12.7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row>
    <row r="72" ht="12.7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row>
    <row r="73" ht="12.7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row>
    <row r="74" ht="12.7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ht="12.7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row>
    <row r="76" ht="12.7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row>
    <row r="77" ht="12.7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row>
    <row r="78" ht="12.7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row>
    <row r="79" ht="12.7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row>
    <row r="80" ht="12.7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row>
    <row r="81" ht="12.7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row>
    <row r="82" ht="12.7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row>
    <row r="83" ht="12.7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row>
    <row r="84" ht="12.7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row>
    <row r="85" ht="12.7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row>
    <row r="86" ht="12.7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row>
    <row r="87" ht="12.7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row>
    <row r="88" ht="12.7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row>
    <row r="89" ht="12.7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row>
    <row r="90" ht="12.7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row>
    <row r="91" ht="12.7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row>
    <row r="92" ht="12.7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row>
    <row r="93" ht="12.7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row>
    <row r="94" ht="12.7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row>
    <row r="95" ht="12.7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row>
    <row r="96" ht="12.7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row>
    <row r="97" ht="12.7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row>
    <row r="98" ht="12.7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row>
    <row r="99" ht="12.7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row>
    <row r="100" ht="12.7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row>
    <row r="101" ht="12.7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row>
    <row r="102" ht="12.7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row>
    <row r="103" ht="12.7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row>
    <row r="104" ht="12.7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row>
    <row r="105" ht="12.7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row>
    <row r="106" ht="12.7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row>
    <row r="107" ht="12.7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row>
    <row r="108" ht="12.7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row>
    <row r="109" ht="12.7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row>
    <row r="110" ht="12.7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row>
    <row r="111" ht="12.7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row>
    <row r="112" ht="12.7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row>
    <row r="113" ht="12.7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row>
    <row r="114" ht="12.7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row>
    <row r="115" ht="12.7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row>
    <row r="116" ht="12.7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row>
    <row r="117" ht="12.7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row>
    <row r="118" ht="12.7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row>
    <row r="119" ht="12.7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row>
    <row r="120" ht="12.7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row>
    <row r="121" ht="12.7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row>
    <row r="122" ht="12.7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row>
    <row r="123" ht="12.7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row>
    <row r="124" ht="12.7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row>
    <row r="125" ht="12.7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row>
    <row r="126" ht="12.7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row>
    <row r="127" ht="12.7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row>
    <row r="128" ht="12.7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ht="12.7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row>
    <row r="130" ht="12.7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row>
    <row r="131" ht="12.7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row>
    <row r="132" ht="12.7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row>
    <row r="133" ht="12.7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row>
    <row r="134" ht="12.7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row>
    <row r="135" ht="12.7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row>
    <row r="136" ht="12.7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row>
    <row r="137" ht="12.7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row>
    <row r="138" ht="12.7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row>
    <row r="139" ht="12.7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row>
    <row r="140" ht="12.7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row>
    <row r="141" ht="12.7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row>
    <row r="142" ht="12.7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row>
    <row r="143" ht="12.7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row>
    <row r="144" ht="12.7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row>
    <row r="145" ht="12.7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row>
    <row r="146" ht="12.7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row>
    <row r="147" ht="12.7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row>
    <row r="148" ht="12.7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row>
    <row r="149" ht="12.7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row>
    <row r="150" ht="12.7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row>
    <row r="151" ht="12.7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row>
    <row r="152" ht="12.7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row>
    <row r="153" ht="12.7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row>
    <row r="154" ht="12.7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row>
    <row r="155" ht="12.7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row>
    <row r="156" ht="12.7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row>
    <row r="157" ht="12.7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row>
    <row r="158" ht="12.7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row>
    <row r="159" ht="12.7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row>
    <row r="160" ht="12.7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row>
    <row r="161" ht="12.7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row>
    <row r="162" ht="12.7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row>
    <row r="163" ht="12.7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row>
    <row r="164" ht="12.7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row>
    <row r="165" ht="12.7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row>
    <row r="166" ht="12.7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row>
    <row r="167" ht="12.7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row>
    <row r="168" ht="12.7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row>
    <row r="169" ht="12.7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row>
    <row r="170" ht="12.7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row>
    <row r="171" ht="12.7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row>
    <row r="172" ht="12.7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row>
    <row r="173" ht="12.7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row>
    <row r="174" ht="12.7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row>
    <row r="175" ht="12.7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row>
    <row r="176" ht="12.7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row>
    <row r="177" ht="12.7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row>
    <row r="178" ht="12.7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row>
    <row r="179" ht="12.7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row>
    <row r="180" ht="12.7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row>
    <row r="181" ht="12.7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row>
    <row r="182" ht="12.7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row>
    <row r="183" ht="12.7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row>
    <row r="184" ht="12.7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row>
    <row r="185" ht="12.7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row>
    <row r="186" ht="12.7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ht="12.7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row>
    <row r="188" ht="12.7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row>
    <row r="189" ht="12.7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row>
    <row r="190" ht="12.7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row>
    <row r="191" ht="12.7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row>
    <row r="192" ht="12.7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row>
    <row r="193" ht="12.7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row>
    <row r="194" ht="12.7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row>
    <row r="195" ht="12.7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row>
    <row r="196" ht="12.7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row>
    <row r="197" ht="12.7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row>
    <row r="198" ht="12.7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row>
    <row r="199" ht="12.7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row>
    <row r="200" ht="12.7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row>
    <row r="201" ht="12.7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row>
    <row r="202" ht="12.7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row>
    <row r="203" ht="12.7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row>
    <row r="204" ht="12.7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row>
    <row r="205" ht="12.7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ht="12.7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ht="12.7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row>
    <row r="208" ht="12.7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ht="12.7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row>
    <row r="210" ht="12.7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row>
    <row r="211" ht="12.7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row>
    <row r="212" ht="12.7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row>
    <row r="213" ht="12.7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row>
    <row r="214" ht="12.7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row>
    <row r="215" ht="12.7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ht="12.7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ht="12.7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row>
    <row r="218" ht="12.7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ht="12.7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row>
    <row r="220" ht="12.7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row>
    <row r="221" ht="12.7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row>
    <row r="222" ht="12.7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row>
    <row r="223" ht="12.7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row>
    <row r="224" ht="12.7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row>
    <row r="225" ht="12.7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ht="12.7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ht="12.7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row>
    <row r="228" ht="12.7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ht="12.7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row>
    <row r="230" ht="12.7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row>
    <row r="231" ht="12.7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row>
    <row r="232" ht="12.7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row>
    <row r="233" ht="12.7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row>
    <row r="234" ht="12.7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row>
    <row r="235" ht="12.7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ht="12.7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ht="12.7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row>
    <row r="238" ht="12.7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ht="12.7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row>
    <row r="240" ht="12.7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row>
    <row r="241" ht="12.7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row>
    <row r="242" ht="12.7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row>
    <row r="243" ht="12.7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row>
    <row r="244" ht="12.7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row>
    <row r="245" ht="12.7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row>
    <row r="246" ht="12.7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row>
    <row r="247" ht="12.7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row>
    <row r="248" ht="12.7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row>
    <row r="249" ht="12.7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row>
    <row r="250" ht="12.7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row>
    <row r="251" ht="12.7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row>
    <row r="252" ht="12.7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row>
    <row r="253" ht="12.7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row>
    <row r="254" ht="12.7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ht="12.7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row>
    <row r="256" ht="12.7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row>
    <row r="257" ht="12.7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row>
    <row r="258" ht="12.7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row>
    <row r="259" ht="12.7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row>
    <row r="260" ht="12.7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row>
    <row r="261" ht="12.7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row>
    <row r="262" ht="12.7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row>
    <row r="263" ht="12.7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row>
    <row r="264" ht="12.7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row>
    <row r="265" ht="12.7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row>
    <row r="266" ht="12.7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row>
    <row r="267" ht="12.7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row>
    <row r="268" ht="12.7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row>
    <row r="269" ht="12.7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ht="12.7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row>
    <row r="271" ht="12.7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row>
    <row r="272" ht="12.7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row>
    <row r="273" ht="12.7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row>
    <row r="274" ht="12.7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row>
    <row r="275" ht="12.7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row>
    <row r="276" ht="12.7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row>
    <row r="277" ht="12.7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row>
    <row r="278" ht="12.7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row>
    <row r="279" ht="12.7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row>
    <row r="280" ht="12.7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row>
    <row r="281" ht="12.7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row>
    <row r="282" ht="12.7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row>
    <row r="283" ht="12.7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row>
    <row r="284" ht="12.7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row>
    <row r="285" ht="12.7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row>
    <row r="286" ht="12.7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ht="12.7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row>
    <row r="288" ht="12.7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row>
    <row r="289" ht="12.7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row>
    <row r="290" ht="12.7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row>
    <row r="291" ht="12.7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row>
    <row r="292" ht="12.7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row>
    <row r="293" ht="12.7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row>
    <row r="294" ht="12.7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row>
    <row r="295" ht="12.7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row>
    <row r="296" ht="12.7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row>
    <row r="297" ht="12.7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row>
    <row r="298" ht="12.7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row>
    <row r="299" ht="12.7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row>
    <row r="300" ht="12.7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row>
    <row r="301" ht="12.7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row>
    <row r="302" ht="12.7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ht="12.7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row>
    <row r="304" ht="12.7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row>
    <row r="305" ht="12.7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row>
    <row r="306" ht="12.7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row>
    <row r="307" ht="12.7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row>
    <row r="308" ht="12.7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row>
    <row r="309" ht="12.7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row>
    <row r="310" ht="12.7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ht="12.7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row>
    <row r="312" ht="12.7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row>
    <row r="313" ht="12.7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row>
    <row r="314" ht="12.7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row>
    <row r="315" ht="12.7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row>
    <row r="316" ht="12.7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row>
    <row r="317" ht="12.7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row>
    <row r="318" ht="12.7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row>
    <row r="319" ht="12.7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row>
    <row r="320" ht="12.7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row>
    <row r="321" ht="12.7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row>
    <row r="322" ht="12.7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row>
    <row r="323" ht="12.7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ht="12.7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row>
    <row r="325" ht="12.7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row>
    <row r="326" ht="12.7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row>
    <row r="327" ht="12.7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row>
    <row r="328" ht="12.7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row>
    <row r="329" ht="12.7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row>
    <row r="330" ht="12.7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row>
    <row r="331" ht="12.7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row>
    <row r="332" ht="12.7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row>
    <row r="333" ht="12.7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row>
    <row r="334" ht="12.7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row>
    <row r="335" ht="12.7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row>
    <row r="336" ht="12.7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ht="12.7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row>
    <row r="338" ht="12.7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row>
    <row r="339" ht="12.7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row>
    <row r="340" ht="12.7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row>
    <row r="341" ht="12.7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row>
    <row r="342" ht="12.7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row>
    <row r="343" ht="12.7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row>
    <row r="344" ht="12.7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ht="12.7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row>
    <row r="346" ht="12.7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row>
    <row r="347" ht="12.7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row>
    <row r="348" ht="12.7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row>
    <row r="349" ht="12.7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row>
    <row r="350" ht="12.7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row>
    <row r="351" ht="12.7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row>
    <row r="352" ht="12.7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row>
    <row r="353" ht="12.7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row>
    <row r="354" ht="12.7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row>
    <row r="355" ht="12.7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ht="12.7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row>
    <row r="357" ht="12.7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row>
    <row r="358" ht="12.7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row>
    <row r="359" ht="12.7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row>
    <row r="360" ht="12.7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row>
    <row r="361" ht="12.7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row>
    <row r="362" ht="12.7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row>
    <row r="363" ht="12.7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row>
    <row r="364" ht="12.7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row>
    <row r="365" ht="12.7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row>
    <row r="366" ht="12.7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row>
    <row r="367" ht="12.7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ht="12.7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row>
    <row r="369" ht="12.7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row>
    <row r="370" ht="12.7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row>
    <row r="371" ht="12.7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row>
    <row r="372" ht="12.7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row>
    <row r="373" ht="12.7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row>
    <row r="374" ht="12.7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row>
    <row r="375" ht="12.7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ht="12.7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row>
    <row r="377" ht="12.7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row>
    <row r="378" ht="12.7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row>
    <row r="379" ht="12.7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row>
    <row r="380" ht="12.7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row>
    <row r="381" ht="12.7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row>
    <row r="382" ht="12.7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row>
    <row r="383" ht="12.7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row>
    <row r="384" ht="12.7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row>
    <row r="385" ht="12.7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row>
    <row r="386" ht="12.7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row>
    <row r="387" ht="12.7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row>
    <row r="388" ht="12.7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row>
    <row r="389" ht="12.7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row>
    <row r="390" ht="12.7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row>
    <row r="391" ht="12.7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row>
    <row r="392" ht="12.7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ht="12.7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row>
    <row r="394" ht="12.7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row>
    <row r="395" ht="12.7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row>
    <row r="396" ht="12.7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row>
    <row r="397" ht="12.7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row>
    <row r="398" ht="12.7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row>
    <row r="399" ht="12.7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row>
    <row r="400" ht="12.7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row>
    <row r="401" ht="12.7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row>
    <row r="402" ht="12.7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row>
    <row r="403" ht="12.7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row>
    <row r="404" ht="12.7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row>
    <row r="405" ht="12.7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row>
    <row r="406" ht="12.7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row>
    <row r="407" ht="12.7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row>
    <row r="408" ht="12.7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row>
    <row r="409" ht="12.7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ht="12.7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row>
    <row r="411" ht="12.7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row>
    <row r="412" ht="12.7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row>
    <row r="413" ht="12.7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row>
    <row r="414" ht="12.7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row>
    <row r="415" ht="12.7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row>
    <row r="416" ht="12.7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row>
    <row r="417" ht="12.7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row r="418" ht="12.7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row>
    <row r="419" ht="12.7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row>
    <row r="420" ht="12.7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row>
    <row r="421" ht="12.7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row>
    <row r="422" ht="12.7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row>
    <row r="423" ht="12.7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row>
    <row r="424" ht="12.7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row>
    <row r="425" ht="12.7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row>
    <row r="426" ht="12.7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row>
    <row r="427" ht="12.7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row>
    <row r="428" ht="12.7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row>
    <row r="429" ht="12.7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row>
    <row r="430" ht="12.7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row>
    <row r="431" ht="12.7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row>
    <row r="432" ht="12.7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row>
    <row r="433" ht="12.7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row>
    <row r="434" ht="12.7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row>
    <row r="435" ht="12.7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row>
    <row r="436" ht="12.7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row>
    <row r="437" ht="12.7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row>
    <row r="438" ht="12.7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row>
    <row r="439" ht="12.7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row>
    <row r="440" ht="12.7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row>
    <row r="441" ht="12.7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row>
    <row r="442" ht="12.7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row>
    <row r="443" ht="12.7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row>
    <row r="444" ht="12.7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row>
    <row r="445" ht="12.7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row>
    <row r="446" ht="12.7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row>
    <row r="447" ht="12.7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row>
    <row r="448" ht="12.7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row>
    <row r="449" ht="12.7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row>
    <row r="450" ht="12.7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row>
    <row r="451" ht="12.7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row>
    <row r="452" ht="12.7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row>
    <row r="453" ht="12.7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row>
    <row r="454" ht="12.7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row>
    <row r="455" ht="12.7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row>
    <row r="456" ht="12.7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row>
    <row r="457" ht="12.7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row>
    <row r="458" ht="12.7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row>
    <row r="459" ht="12.7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row>
    <row r="460" ht="12.7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row>
    <row r="461" ht="12.7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row>
    <row r="462" ht="12.7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row>
    <row r="463" ht="12.7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row>
    <row r="464" ht="12.7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row>
    <row r="465" ht="12.7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row>
    <row r="466" ht="12.7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row>
    <row r="467" ht="12.7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row>
    <row r="468" ht="12.7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row>
    <row r="469" ht="12.7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row>
    <row r="470" ht="12.7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row>
    <row r="471" ht="12.7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row>
    <row r="472" ht="12.7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row>
    <row r="473" ht="12.7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row>
    <row r="474" ht="12.7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row>
    <row r="475" ht="12.7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row>
    <row r="476" ht="12.7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row>
    <row r="477" ht="12.7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row>
    <row r="478" ht="12.7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row>
    <row r="479" ht="12.7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row>
    <row r="480" ht="12.7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row>
    <row r="481" ht="12.7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row>
    <row r="482" ht="12.7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row>
    <row r="483" ht="12.7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row>
    <row r="484" ht="12.7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row>
    <row r="485" ht="12.7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row>
    <row r="486" ht="12.7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row>
    <row r="487" ht="12.7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row>
    <row r="488" ht="12.7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row>
    <row r="489" ht="12.7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row>
    <row r="490" ht="12.7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row>
    <row r="491" ht="12.7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row>
    <row r="492" ht="12.7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row>
    <row r="493" ht="12.7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row>
    <row r="494" ht="12.7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row>
    <row r="495" ht="12.7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row>
    <row r="496" ht="12.7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row>
    <row r="497" ht="12.7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row>
    <row r="498" ht="12.7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row>
    <row r="499" ht="12.7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row>
    <row r="500" ht="12.7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row>
    <row r="501" ht="12.7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row>
    <row r="502" ht="12.7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row>
    <row r="503" ht="12.7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row>
    <row r="504" ht="12.7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row>
    <row r="505" ht="12.7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row>
    <row r="506" ht="12.7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row>
    <row r="507" ht="12.7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row>
    <row r="508" ht="12.7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row>
    <row r="509" ht="12.7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row>
    <row r="510" ht="12.7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row>
    <row r="511" ht="12.7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row>
    <row r="512" ht="12.7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row>
    <row r="513" ht="12.7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row>
    <row r="514" ht="12.7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row>
    <row r="515" ht="12.7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row>
    <row r="516" ht="12.7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row>
    <row r="517" ht="12.7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row>
    <row r="518" ht="12.7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row>
    <row r="519" ht="12.7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row>
    <row r="520" ht="12.7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row>
    <row r="521" ht="12.7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row>
    <row r="522" ht="12.7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row>
    <row r="523" ht="12.7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row>
    <row r="524" ht="12.7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row>
    <row r="525" ht="12.7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row>
    <row r="526" ht="12.7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row>
    <row r="527" ht="12.7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row>
    <row r="528" ht="12.7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row>
    <row r="529" ht="12.7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row>
    <row r="530" ht="12.7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ht="12.7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ht="12.7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ht="12.7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ht="12.7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ht="12.7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ht="12.7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ht="12.7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ht="12.7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ht="12.7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ht="12.7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ht="12.7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ht="12.7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ht="12.7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ht="12.7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ht="12.7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ht="12.7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ht="12.7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ht="12.7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ht="12.7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ht="12.7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ht="12.7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ht="12.7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ht="12.7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ht="12.7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ht="12.7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row>
    <row r="556" ht="12.7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row>
    <row r="557" ht="12.7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row>
    <row r="558" ht="12.7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row>
    <row r="559" ht="12.7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row>
    <row r="560" ht="12.7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row>
    <row r="561" ht="12.7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row>
    <row r="562" ht="12.7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row>
    <row r="563" ht="12.7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row>
    <row r="564" ht="12.7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row>
    <row r="565" ht="12.7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row>
    <row r="566" ht="12.7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row>
    <row r="567" ht="12.7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row>
    <row r="568" ht="12.7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row>
    <row r="569" ht="12.7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row>
    <row r="570" ht="12.7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row>
    <row r="571" ht="12.7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row>
    <row r="572" ht="12.7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row>
    <row r="573" ht="12.7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row>
    <row r="574" ht="12.7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row>
    <row r="575" ht="12.7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row>
    <row r="576" ht="12.7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row>
    <row r="577" ht="12.7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row>
    <row r="578" ht="12.7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row>
    <row r="579" ht="12.7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row>
    <row r="580" ht="12.7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row>
    <row r="581" ht="12.7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row>
    <row r="582" ht="12.7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row>
    <row r="583" ht="12.7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row>
    <row r="584" ht="12.7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row>
    <row r="585" ht="12.7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row>
    <row r="586" ht="12.7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row>
    <row r="587" ht="12.7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row>
    <row r="588" ht="12.7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row>
    <row r="589" ht="12.7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row>
    <row r="590" ht="12.7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row>
    <row r="591" ht="12.7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row>
    <row r="592" ht="12.7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row>
    <row r="593" ht="12.7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row>
    <row r="594" ht="12.7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row>
    <row r="595" ht="12.7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row>
    <row r="596" ht="12.7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row>
    <row r="597" ht="12.7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row>
    <row r="598" ht="12.7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row>
    <row r="599" ht="12.7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row>
    <row r="600" ht="12.7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row>
    <row r="601" ht="12.7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row>
    <row r="602" ht="12.7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row>
    <row r="603" ht="12.7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row>
    <row r="604" ht="12.7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row>
    <row r="605" ht="12.7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row>
    <row r="606" ht="12.7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row>
    <row r="607" ht="12.7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row>
    <row r="608" ht="12.7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row>
    <row r="609" ht="12.7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row>
    <row r="610" ht="12.7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row>
    <row r="611" ht="12.7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row>
    <row r="612" ht="12.7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row>
    <row r="613" ht="12.7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row>
    <row r="614" ht="12.7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row>
    <row r="615" ht="12.7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row>
    <row r="616" ht="12.7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row>
    <row r="617" ht="12.7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row>
    <row r="618" ht="12.7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row>
    <row r="619" ht="12.7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row>
    <row r="620" ht="12.7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row>
    <row r="621" ht="12.7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row>
    <row r="622" ht="12.7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row>
    <row r="623" ht="12.7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row>
    <row r="624" ht="12.7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row>
    <row r="625" ht="12.7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row>
    <row r="626" ht="12.7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row>
    <row r="627" ht="12.7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row>
    <row r="628" ht="12.7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row>
    <row r="629" ht="12.7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row>
    <row r="630" ht="12.7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row>
    <row r="631" ht="12.7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row>
    <row r="632" ht="12.7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row>
    <row r="633" ht="12.7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row>
    <row r="634" ht="12.7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row>
    <row r="635" ht="12.7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row>
    <row r="636" ht="12.7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row>
    <row r="637" ht="12.7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row>
    <row r="638" ht="12.7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row>
    <row r="639" ht="12.7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row>
    <row r="640" ht="12.7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row>
    <row r="641" ht="12.7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row>
    <row r="642" ht="12.7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row>
    <row r="643" ht="12.7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row>
    <row r="644" ht="12.7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row>
    <row r="645" ht="12.7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row>
    <row r="646" ht="12.7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row>
    <row r="647" ht="12.7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row>
    <row r="648" ht="12.7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row>
    <row r="649" ht="12.7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row>
    <row r="650" ht="12.7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row>
    <row r="651" ht="12.7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row>
    <row r="652" ht="12.7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row>
    <row r="653" ht="12.7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row>
    <row r="654" ht="12.7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row>
    <row r="655" ht="12.7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row>
    <row r="656" ht="12.7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row>
    <row r="657" ht="12.7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row>
    <row r="658" ht="12.7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row>
    <row r="659" ht="12.7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row>
    <row r="660" ht="12.7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row>
    <row r="661" ht="12.7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row>
    <row r="662" ht="12.7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row>
    <row r="663" ht="12.7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row>
    <row r="664" ht="12.7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row>
    <row r="665" ht="12.7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row>
    <row r="666" ht="12.7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row>
    <row r="667" ht="12.7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row>
    <row r="668" ht="12.7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row>
    <row r="669" ht="12.7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row>
    <row r="670" ht="12.7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row>
    <row r="671" ht="12.7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row>
    <row r="672" ht="12.7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row>
    <row r="673" ht="12.7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row>
    <row r="674" ht="12.7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row>
    <row r="675" ht="12.7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row>
    <row r="676" ht="12.7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row>
    <row r="677" ht="12.7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row>
    <row r="678" ht="12.7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row>
    <row r="679" ht="12.7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row>
    <row r="680" ht="12.7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row>
    <row r="681" ht="12.7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row>
    <row r="682" ht="12.7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row>
    <row r="683" ht="12.7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row>
    <row r="684" ht="12.7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row>
    <row r="685" ht="12.7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row>
    <row r="686" ht="12.7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row>
    <row r="687" ht="12.7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row>
    <row r="688" ht="12.7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row>
    <row r="689" ht="12.7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row>
    <row r="690" ht="12.7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row>
    <row r="691" ht="12.7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row>
    <row r="692" ht="12.7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row>
    <row r="693" ht="12.7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row>
    <row r="694" ht="12.7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row>
    <row r="695" ht="12.7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row>
    <row r="696" ht="12.7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row>
    <row r="697" ht="12.7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row>
    <row r="698" ht="12.7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row>
    <row r="699" ht="12.7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row>
    <row r="700" ht="12.7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row>
    <row r="701" ht="12.7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row>
    <row r="702" ht="12.7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row>
    <row r="703" ht="12.7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row>
    <row r="704" ht="12.7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row>
    <row r="705" ht="12.7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row>
    <row r="706" ht="12.7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row>
    <row r="707" ht="12.7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row>
    <row r="708" ht="12.7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row>
    <row r="709" ht="12.7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row>
    <row r="710" ht="12.7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row>
    <row r="711" ht="12.7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row>
    <row r="712" ht="12.7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row>
    <row r="713" ht="12.7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row>
    <row r="714" ht="12.7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row>
    <row r="715" ht="12.7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row>
    <row r="716" ht="12.7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row>
    <row r="717" ht="12.7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row>
    <row r="718" ht="12.7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row>
    <row r="719" ht="12.7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row>
    <row r="720" ht="12.7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row>
    <row r="721" ht="12.7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row>
    <row r="722" ht="12.7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row>
    <row r="723" ht="12.7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row>
    <row r="724" ht="12.7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row>
    <row r="725" ht="12.7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row>
    <row r="726" ht="12.7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row>
    <row r="727" ht="12.7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row>
    <row r="728" ht="12.7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row>
    <row r="729" ht="12.7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row>
    <row r="730" ht="12.7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row>
    <row r="731" ht="12.7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row>
    <row r="732" ht="12.7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row>
    <row r="733" ht="12.7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row>
    <row r="734" ht="12.7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row>
    <row r="735" ht="12.7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row>
    <row r="736" ht="12.7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row>
    <row r="737" ht="12.7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row>
    <row r="738" ht="12.7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row>
    <row r="739" ht="12.7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row>
    <row r="740" ht="12.7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row>
    <row r="741" ht="12.7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row>
    <row r="742" ht="12.7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row>
    <row r="743" ht="12.7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row>
    <row r="744" ht="12.7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row>
    <row r="745" ht="12.7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row>
    <row r="746" ht="12.7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row>
    <row r="747" ht="12.7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row>
    <row r="748" ht="12.7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row>
    <row r="749" ht="12.7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row>
    <row r="750" ht="12.7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row>
    <row r="751" ht="12.7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row>
    <row r="752" ht="12.7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row>
    <row r="753" ht="12.7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row>
    <row r="754" ht="12.7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row>
    <row r="755" ht="12.7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row>
    <row r="756" ht="12.7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row>
    <row r="757" ht="12.7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row>
    <row r="758" ht="12.7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row>
    <row r="759" ht="12.7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row>
    <row r="760" ht="12.7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row>
    <row r="761" ht="12.7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row>
    <row r="762" ht="12.7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row>
    <row r="763" ht="12.7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row>
    <row r="764" ht="12.7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ht="12.7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ht="12.7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ht="12.7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ht="12.7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ht="12.7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ht="12.7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ht="12.7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ht="12.7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ht="12.7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ht="12.7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ht="12.7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ht="12.7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ht="12.7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ht="12.7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ht="12.7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ht="12.7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ht="12.7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ht="12.7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ht="12.7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ht="12.7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ht="12.7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ht="12.7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ht="12.7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ht="12.7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ht="12.7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ht="12.7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ht="12.7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ht="12.7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ht="12.7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ht="12.7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ht="12.7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ht="12.7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ht="12.7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ht="12.7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ht="12.7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ht="12.7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ht="12.7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ht="12.7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ht="12.7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ht="12.7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ht="12.7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ht="12.7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ht="12.7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ht="12.7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ht="12.7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ht="12.7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ht="12.7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ht="12.7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ht="12.7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ht="12.7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ht="12.7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ht="12.7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ht="12.7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ht="12.7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ht="12.7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ht="12.7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ht="12.7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ht="12.7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ht="12.7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ht="12.7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ht="12.7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ht="12.7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ht="12.7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ht="12.7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ht="12.7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ht="12.7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ht="12.7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ht="12.7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ht="12.7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ht="12.7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ht="12.7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ht="12.7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ht="12.7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ht="12.7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ht="12.7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ht="12.7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ht="12.7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ht="12.7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ht="12.7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ht="12.7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ht="12.7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ht="12.7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ht="12.7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ht="12.7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ht="12.7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ht="12.7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ht="12.7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ht="12.7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ht="12.7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ht="12.7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ht="12.7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ht="12.7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ht="12.7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ht="12.7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ht="12.7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ht="12.7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ht="12.7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ht="12.7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ht="12.7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ht="12.7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ht="12.7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ht="12.7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ht="12.7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ht="12.7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ht="12.7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ht="12.7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ht="12.7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ht="12.7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ht="12.7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ht="12.7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ht="12.7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ht="12.7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ht="12.7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ht="12.7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ht="12.7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ht="12.7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ht="12.7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ht="12.7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ht="12.7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ht="12.7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ht="12.7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ht="12.7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ht="12.7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ht="12.7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ht="12.7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ht="12.7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ht="12.7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ht="12.7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ht="12.7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ht="12.7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ht="12.7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ht="12.7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ht="12.7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ht="12.7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ht="12.7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ht="12.7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ht="12.7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ht="12.7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ht="12.7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ht="12.7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ht="12.7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ht="12.7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ht="12.7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ht="12.7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ht="12.7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ht="12.7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ht="12.7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ht="12.7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ht="12.7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ht="12.7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ht="12.7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ht="12.7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row r="917" ht="12.7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row>
    <row r="918" ht="12.7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row>
    <row r="919" ht="12.7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row>
    <row r="920" ht="12.7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row>
    <row r="921" ht="12.7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row>
    <row r="922" ht="12.7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row>
    <row r="923" ht="12.7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row>
    <row r="924" ht="12.7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row>
    <row r="925" ht="12.7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row>
    <row r="926" ht="12.7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row>
    <row r="927" ht="12.7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row>
    <row r="928" ht="12.7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row>
    <row r="929" ht="12.7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row>
    <row r="930" ht="12.7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row>
    <row r="931" ht="12.7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row>
    <row r="932" ht="12.7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row>
    <row r="933" ht="12.7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row>
    <row r="934" ht="12.7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row>
    <row r="935" ht="12.7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row>
    <row r="936" ht="12.7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row>
    <row r="937" ht="12.7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row>
    <row r="938" ht="12.7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row>
    <row r="939" ht="12.7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row>
    <row r="940" ht="12.7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row>
    <row r="941" ht="12.7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row>
    <row r="942" ht="12.7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row>
    <row r="943" ht="12.7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row>
    <row r="944" ht="12.7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row>
    <row r="945" ht="12.7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row>
    <row r="946" ht="12.7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row>
    <row r="947" ht="12.7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row>
    <row r="948" ht="12.7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row>
    <row r="949" ht="12.7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row>
    <row r="950" ht="12.7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row>
    <row r="951" ht="12.7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row>
    <row r="952" ht="12.7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row>
    <row r="953" ht="12.7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row>
    <row r="954" ht="12.7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row>
    <row r="955" ht="12.7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row>
    <row r="956" ht="12.7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row>
    <row r="957" ht="12.7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row>
    <row r="958" ht="12.7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row>
    <row r="959" ht="12.7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row>
    <row r="960" ht="12.7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row>
    <row r="961" ht="12.7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row>
    <row r="962" ht="12.7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row>
    <row r="963" ht="12.7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row>
    <row r="964" ht="12.7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row>
    <row r="965" ht="12.7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row>
    <row r="966" ht="12.7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row>
    <row r="967" ht="12.7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row>
    <row r="968" ht="12.7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row>
    <row r="969" ht="12.7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row>
    <row r="970" ht="12.7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row>
    <row r="971" ht="12.7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row>
    <row r="972" ht="12.7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row>
    <row r="973" ht="12.7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row>
    <row r="974" ht="12.7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row>
    <row r="975" ht="12.7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row>
    <row r="976" ht="12.7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row>
    <row r="977" ht="12.7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row>
    <row r="978" ht="12.7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row>
    <row r="979" ht="12.7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row>
    <row r="980" ht="12.7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row>
    <row r="981" ht="12.7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row>
    <row r="982" ht="12.7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row>
    <row r="983" ht="12.7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row>
    <row r="984" ht="12.7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row>
    <row r="985" ht="12.7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row>
    <row r="986" ht="12.7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row>
    <row r="987" ht="12.7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row>
    <row r="988" ht="12.7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row>
    <row r="989" ht="12.7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row>
    <row r="990" ht="12.7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row>
    <row r="991" ht="12.7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row>
    <row r="992" ht="12.7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row>
    <row r="993" ht="12.7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row>
    <row r="994" ht="12.7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row>
    <row r="995" ht="12.7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row>
    <row r="996" ht="12.7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row>
    <row r="997" ht="12.7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row>
    <row r="998" ht="12.7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row>
    <row r="999" ht="12.7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row>
    <row r="1000" ht="12.7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7.89"/>
    <col customWidth="1" min="3" max="3" width="11.11"/>
    <col customWidth="1" min="4" max="4" width="8.89"/>
    <col customWidth="1" min="5" max="5" width="10.0"/>
    <col customWidth="1" min="6" max="6" width="10.11"/>
    <col customWidth="1" min="7" max="7" width="10.22"/>
    <col customWidth="1" min="8" max="8" width="10.11"/>
    <col customWidth="1" min="10" max="10" width="10.44"/>
    <col customWidth="1" min="11" max="11" width="7.78"/>
    <col customWidth="1" min="12" max="12" width="7.22"/>
    <col customWidth="1" min="13" max="13" width="7.78"/>
    <col customWidth="1" min="14" max="14" width="8.22"/>
    <col customWidth="1" min="15" max="15" width="10.11"/>
    <col customWidth="1" min="16" max="16" width="15.33"/>
    <col customWidth="1" min="17" max="17" width="10.44"/>
    <col customWidth="1" min="18" max="19" width="8.33"/>
    <col customWidth="1" min="20" max="20" width="7.89"/>
    <col customWidth="1" min="21" max="21" width="10.22"/>
    <col customWidth="1" min="22" max="22" width="9.44"/>
    <col customWidth="1" min="23" max="23" width="9.33"/>
    <col customWidth="1" min="24" max="24" width="8.67"/>
    <col customWidth="1" min="25" max="25" width="9.44"/>
    <col customWidth="1" min="26" max="26" width="10.33"/>
    <col customWidth="1" min="27" max="36" width="8.89"/>
  </cols>
  <sheetData>
    <row r="1" ht="15.75" customHeight="1">
      <c r="A1" s="104"/>
      <c r="B1" s="104"/>
      <c r="C1" s="104"/>
      <c r="D1" s="105" t="s">
        <v>172</v>
      </c>
      <c r="E1" s="105" t="s">
        <v>23</v>
      </c>
      <c r="F1" s="105" t="s">
        <v>26</v>
      </c>
      <c r="G1" s="105" t="s">
        <v>29</v>
      </c>
      <c r="H1" s="105" t="s">
        <v>30</v>
      </c>
      <c r="I1" s="105" t="s">
        <v>173</v>
      </c>
      <c r="J1" s="105">
        <f>IF(J2=0,0,'主頁'!C16)</f>
        <v>0</v>
      </c>
      <c r="K1" s="105">
        <f>IF(K2=0,0,'主頁'!C17)</f>
        <v>0</v>
      </c>
      <c r="L1" s="105">
        <f>IF(L2=0,0,'主頁'!C18)</f>
        <v>0</v>
      </c>
      <c r="M1" s="105">
        <f>IF(M2=0,0,'主頁'!C19)</f>
        <v>0</v>
      </c>
      <c r="N1" s="105">
        <f>IF(N2=0,0,'主頁'!G16)</f>
        <v>0</v>
      </c>
      <c r="O1" s="106"/>
      <c r="P1" s="104"/>
      <c r="Q1" s="104"/>
      <c r="R1" s="104"/>
      <c r="S1" s="104"/>
      <c r="T1" s="104"/>
      <c r="U1" s="104"/>
      <c r="V1" s="104"/>
      <c r="W1" s="104"/>
      <c r="X1" s="104"/>
      <c r="Y1" s="104"/>
      <c r="Z1" s="104"/>
      <c r="AA1" s="104"/>
      <c r="AB1" s="104"/>
      <c r="AC1" s="104"/>
      <c r="AD1" s="104"/>
      <c r="AE1" s="104"/>
      <c r="AF1" s="104"/>
      <c r="AG1" s="104"/>
      <c r="AH1" s="104"/>
      <c r="AI1" s="104"/>
      <c r="AJ1" s="104"/>
    </row>
    <row r="2" ht="15.75" customHeight="1">
      <c r="A2" s="107"/>
      <c r="B2" s="107"/>
      <c r="C2" s="108"/>
      <c r="D2" s="107"/>
      <c r="E2" s="107"/>
      <c r="F2" s="107"/>
      <c r="G2" s="107"/>
      <c r="H2" s="107"/>
      <c r="I2" s="107"/>
      <c r="J2" s="107">
        <f>IFERROR(MATCH('主頁'!C16,'計分版'!$Q$2:$Q$24,0),0)</f>
        <v>0</v>
      </c>
      <c r="K2" s="107">
        <f>IFERROR(MATCH('主頁'!C17,'計分版'!$Q$2:$Q$24,0),0)</f>
        <v>0</v>
      </c>
      <c r="L2" s="107">
        <f>IFERROR(MATCH('主頁'!C18,'計分版'!$Q$2:$Q$24,0),0)</f>
        <v>0</v>
      </c>
      <c r="M2" s="107">
        <f>IFERROR(MATCH('主頁'!C19,'計分版'!$Q$2:$Q$24,0),0)</f>
        <v>0</v>
      </c>
      <c r="N2" s="107">
        <f>IFERROR(MATCH('主頁'!C20,'計分版'!$R$2:$R$7,0),0)</f>
        <v>0</v>
      </c>
      <c r="O2" s="107"/>
      <c r="P2" s="107"/>
      <c r="Q2" s="102" t="s">
        <v>75</v>
      </c>
      <c r="R2" s="101" t="s">
        <v>76</v>
      </c>
      <c r="S2" s="107"/>
      <c r="T2" s="107"/>
      <c r="U2" s="107"/>
      <c r="V2" s="107"/>
      <c r="W2" s="107"/>
      <c r="X2" s="107"/>
      <c r="Y2" s="107"/>
      <c r="Z2" s="107"/>
      <c r="AA2" s="107"/>
      <c r="AB2" s="107"/>
      <c r="AC2" s="107"/>
      <c r="AD2" s="107"/>
      <c r="AE2" s="107"/>
      <c r="AF2" s="107"/>
      <c r="AG2" s="107"/>
      <c r="AH2" s="107"/>
      <c r="AI2" s="107"/>
      <c r="AJ2" s="107"/>
    </row>
    <row r="3" ht="15.75" customHeight="1">
      <c r="A3" s="109"/>
      <c r="B3" s="107"/>
      <c r="C3" s="109" t="s">
        <v>142</v>
      </c>
      <c r="D3" s="108"/>
      <c r="E3" s="108" t="str">
        <f>'主頁'!D8</f>
        <v/>
      </c>
      <c r="F3" s="108" t="str">
        <f>'主頁'!D9</f>
        <v/>
      </c>
      <c r="G3" s="108" t="str">
        <f>'主頁'!D10</f>
        <v/>
      </c>
      <c r="H3" s="108" t="str">
        <f>'主頁'!D11</f>
        <v/>
      </c>
      <c r="I3" s="108" t="str">
        <f>'主頁'!D12</f>
        <v/>
      </c>
      <c r="J3" s="108" t="str">
        <f>'主頁'!D16</f>
        <v/>
      </c>
      <c r="K3" s="108" t="str">
        <f>'主頁'!D17</f>
        <v/>
      </c>
      <c r="L3" s="108" t="str">
        <f>'主頁'!D18</f>
        <v/>
      </c>
      <c r="M3" s="108" t="str">
        <f>'主頁'!D19</f>
        <v/>
      </c>
      <c r="N3" s="108" t="str">
        <f>'主頁'!D20</f>
        <v/>
      </c>
      <c r="O3" s="107"/>
      <c r="P3" s="107"/>
      <c r="Q3" s="102" t="s">
        <v>78</v>
      </c>
      <c r="R3" s="101" t="s">
        <v>79</v>
      </c>
      <c r="S3" s="107"/>
      <c r="T3" s="107"/>
      <c r="U3" s="107"/>
      <c r="V3" s="107"/>
      <c r="W3" s="107"/>
      <c r="X3" s="107"/>
      <c r="Y3" s="107"/>
      <c r="Z3" s="107"/>
      <c r="AA3" s="107"/>
      <c r="AB3" s="107"/>
      <c r="AC3" s="107"/>
      <c r="AD3" s="107"/>
      <c r="AE3" s="107"/>
      <c r="AF3" s="107"/>
      <c r="AG3" s="107"/>
      <c r="AH3" s="107"/>
      <c r="AI3" s="107"/>
      <c r="AJ3" s="107"/>
    </row>
    <row r="4" ht="15.75" customHeight="1">
      <c r="A4" s="107"/>
      <c r="B4" s="107"/>
      <c r="C4" s="107"/>
      <c r="D4" s="110" t="s">
        <v>174</v>
      </c>
      <c r="E4" s="108">
        <f t="array" ref="E4">IF(E3=0,0,LOOKUP(E3,{0,1,2,3,4,5,6,7},{0,1,2,3,4,5,6,7}))+0.0000000001</f>
        <v>0.0000000001</v>
      </c>
      <c r="F4" s="108">
        <f t="array" ref="F4">IF(F3=0,0,LOOKUP(F3,{0,1,2,3,4,5,6,7},{0,1,2,3,4,5,6,7}))+0.0000000002</f>
        <v>0.0000000002</v>
      </c>
      <c r="G4" s="108">
        <f t="shared" ref="G4:G5" si="1">IF(G3=0,0,LOOKUP(G3,{0,1,2,3,4,5,6,7},{0,1,2,3,4,5,6,7}))+0.0000000003</f>
        <v>0.0000000003</v>
      </c>
      <c r="H4" s="108">
        <f t="array" ref="H4">IF(H3=0,0,LOOKUP(H3,{0,1,2,3,4,5,6,7},{0,1,2,3,4,5,6,7}))+0.0000000004</f>
        <v>0.0000000004</v>
      </c>
      <c r="I4" s="108">
        <f t="array" ref="I4">IF(I3=0,0,LOOKUP(I3,{0,1,2,3,4,5,6,7},{0,1,2,3,4,5,6,7}))+0.0000000005</f>
        <v>0.0000000005</v>
      </c>
      <c r="J4" s="108">
        <f t="array" ref="J4">IF(J1=0,0,LOOKUP(J3,{0,1,2,3,4,5,6,7},{0,1,2,3,4,5,6,7}))+0.0000000006</f>
        <v>0.0000000006</v>
      </c>
      <c r="K4" s="108">
        <f t="array" ref="K4">IF(K1=0,0,LOOKUP(K3,{0,1,2,3,4,5,6,7},{0,1,2,3,4,5,6,7}))+0.0000000007</f>
        <v>0.0000000007</v>
      </c>
      <c r="L4" s="108">
        <f t="shared" ref="L4:L5" si="2">IF($L$1=0,0,LOOKUP($L$3,{0,1,2,3,4,5,6,7},{0,1,2,3,4,5,6,7}))+0.0000000008</f>
        <v>0.0000000008</v>
      </c>
      <c r="M4" s="108">
        <f t="array" ref="M4">IF(M1=0,0,LOOKUP(M3,{0,1,2,3,4,5,6,7},{0,1,2,3,4,5,6,7}))+0.0000000009</f>
        <v>0.0000000009</v>
      </c>
      <c r="N4" s="108">
        <f t="array" ref="N4">IF(N1=0,0,LOOKUP(N3,{"A","B","C","D","E","U"},{5,4,3,2,1,0}))+0.00000000095</f>
        <v>0.00000000095</v>
      </c>
      <c r="O4" s="107"/>
      <c r="P4" s="107"/>
      <c r="Q4" s="102" t="s">
        <v>80</v>
      </c>
      <c r="R4" s="101" t="s">
        <v>81</v>
      </c>
      <c r="S4" s="107"/>
      <c r="T4" s="107"/>
      <c r="U4" s="107"/>
      <c r="V4" s="107"/>
      <c r="W4" s="107"/>
      <c r="X4" s="107"/>
      <c r="Y4" s="107"/>
      <c r="Z4" s="107"/>
      <c r="AA4" s="107"/>
      <c r="AB4" s="107"/>
      <c r="AC4" s="107"/>
      <c r="AD4" s="107"/>
      <c r="AE4" s="107"/>
      <c r="AF4" s="107"/>
      <c r="AG4" s="107"/>
      <c r="AH4" s="107"/>
      <c r="AI4" s="107"/>
      <c r="AJ4" s="107"/>
    </row>
    <row r="5" ht="15.75" customHeight="1">
      <c r="A5" s="107"/>
      <c r="B5" s="107"/>
      <c r="C5" s="107"/>
      <c r="D5" s="110" t="s">
        <v>175</v>
      </c>
      <c r="E5" s="108">
        <f t="array" ref="E5">IF(E3=0,0,LOOKUP(E3,{0,1,2,3,4,5,6,7},{0,1,2,3,4,5,6,7}))+0.0000000001</f>
        <v>0.0000000001</v>
      </c>
      <c r="F5" s="108">
        <f t="array" ref="F5">IF(F3=0,0,LOOKUP(F3,{0,1,2,3,4,5,6,7},{0,1,2,3,4,5,6,7}))+0.0000000002</f>
        <v>0.0000000002</v>
      </c>
      <c r="G5" s="108">
        <f t="shared" si="1"/>
        <v>0.0000000003</v>
      </c>
      <c r="H5" s="108">
        <f t="array" ref="H5">IF(H3=0,0,LOOKUP(H3,{0,1,2,3,4,5,6,7},{0,1,2,3,4,5,6,7}))+0.0000000004</f>
        <v>0.0000000004</v>
      </c>
      <c r="I5" s="108">
        <f t="array" ref="I5">IF(I3=0,0,LOOKUP(I3,{0,1,2,3,4,5,6,7},{0,1,2,3,4,5,6,7}))+0.0000000005</f>
        <v>0.0000000005</v>
      </c>
      <c r="J5" s="108">
        <f t="array" ref="J5">IF(J1=0,0,LOOKUP(J3,{0,1,2,3,4,5,6,7},{0,1,2,3,4,5,6,7}))+0.0000000006</f>
        <v>0.0000000006</v>
      </c>
      <c r="K5" s="108">
        <f t="array" ref="K5">IF(K1=0,0,LOOKUP(K3,{0,1,2,3,4,5,6,7},{0,1,2,3,4,5,6,7}))+0.0000000007</f>
        <v>0.0000000007</v>
      </c>
      <c r="L5" s="108">
        <f t="shared" si="2"/>
        <v>0.0000000008</v>
      </c>
      <c r="M5" s="108">
        <f t="array" ref="M5">IF(M1=0,0,LOOKUP(M3,{0,1,2,3,4,5,6,7},{0,1,2,3,4,5,6,7}))+0.0000000009</f>
        <v>0.0000000009</v>
      </c>
      <c r="N5" s="108">
        <f t="array" ref="N5">IF(N1=0,0,LOOKUP(N3,{"A","B","C","D","E","U"},{7,6,5,4,3,0}))+0.00000000095</f>
        <v>0.00000000095</v>
      </c>
      <c r="O5" s="107"/>
      <c r="P5" s="109"/>
      <c r="Q5" s="102" t="s">
        <v>85</v>
      </c>
      <c r="R5" s="101" t="s">
        <v>86</v>
      </c>
      <c r="S5" s="107"/>
      <c r="T5" s="111"/>
      <c r="U5" s="111"/>
      <c r="V5" s="111"/>
      <c r="W5" s="111"/>
      <c r="X5" s="107"/>
      <c r="Y5" s="107"/>
      <c r="Z5" s="111"/>
      <c r="AA5" s="107"/>
      <c r="AB5" s="107"/>
      <c r="AC5" s="107"/>
      <c r="AD5" s="107"/>
      <c r="AE5" s="107"/>
      <c r="AF5" s="107"/>
      <c r="AG5" s="107"/>
      <c r="AH5" s="107"/>
      <c r="AI5" s="107"/>
      <c r="AJ5" s="107"/>
    </row>
    <row r="6" ht="15.75" customHeight="1">
      <c r="A6" s="107"/>
      <c r="B6" s="107"/>
      <c r="C6" s="107"/>
      <c r="D6" s="110" t="s">
        <v>176</v>
      </c>
      <c r="E6" s="108">
        <f t="array" ref="E6">IF(E3=0,0,LOOKUP(E3,{0,1,2,3,4,5,6,7},{0,1,2,3,4,5.5,7,8.5}))+0.0000000001</f>
        <v>0.0000000001</v>
      </c>
      <c r="F6" s="108">
        <f t="array" ref="F6">IF(F3=0,0,LOOKUP(F3,{0,1,2,3,4,5,6,7},{0,1,2,3,4,5.5,7,8.5}))+0.0000000002</f>
        <v>0.0000000002</v>
      </c>
      <c r="G6" s="108">
        <f t="shared" ref="G6:G7" si="3">IF(G4=0,0,LOOKUP(G4,{0,1,2,3,4,5,6,7},{0,1,2,3,4,5.5,7,8.5}))+0.0000000003</f>
        <v>0.0000000003</v>
      </c>
      <c r="H6" s="108">
        <f t="array" ref="H6">IF(H3=0,0,LOOKUP(H3,{0,1,2,3,4,5,6,7},{0,1,2,3,4,5.5,7,8.5}))+0.0000000004</f>
        <v>0.0000000004</v>
      </c>
      <c r="I6" s="108">
        <f t="array" ref="I6">IF(I3=0,0,LOOKUP(I3,{0,1,2,3,4,5,6,7},{0,1,2,3,4,5.5,7,8.5}))+0.0000000005</f>
        <v>0.0000000005</v>
      </c>
      <c r="J6" s="108">
        <f t="array" ref="J6">IF(J1=0,0,LOOKUP(J3,{0,1,2,3,4,5,6,7},{0,1,2,3,4,5.5,7,8.5}))+0.0000000006</f>
        <v>0.0000000006</v>
      </c>
      <c r="K6" s="108">
        <f t="array" ref="K6">IF(K1=0,0,LOOKUP(K3,{0,1,2,3,4,5,6,7},{0,1,2,3,4,5.5,7,8.5}))+0.0000000007</f>
        <v>0.0000000007</v>
      </c>
      <c r="L6" s="108">
        <f t="shared" ref="L6:L7" si="4">IF($L$1=0,0,LOOKUP($L$3,{0,1,2,3,4,5,6,7},{0,1,2,3,4,5.5,7,8.5}))+0.0000000008</f>
        <v>0.0000000008</v>
      </c>
      <c r="M6" s="108">
        <f t="array" ref="M6">IF(M1=0,0,LOOKUP(M3,{0,1,2,3,4,5,6,7},{0,1,2,3,4,5.5,7,8.5}))+0.0000000009</f>
        <v>0.0000000009</v>
      </c>
      <c r="N6" s="108">
        <f t="array" ref="N6">IF(N1=0,0,LOOKUP(N3,{"A","B","C","D","E","U"},{5,4,3,2,1,0}))+0.00000000095</f>
        <v>0.00000000095</v>
      </c>
      <c r="O6" s="107"/>
      <c r="P6" s="107"/>
      <c r="Q6" s="102" t="s">
        <v>90</v>
      </c>
      <c r="R6" s="101" t="s">
        <v>91</v>
      </c>
      <c r="S6" s="107"/>
      <c r="T6" s="111"/>
      <c r="U6" s="111"/>
      <c r="V6" s="111"/>
      <c r="W6" s="111"/>
      <c r="X6" s="107"/>
      <c r="Y6" s="107"/>
      <c r="Z6" s="111"/>
      <c r="AA6" s="107"/>
      <c r="AB6" s="107"/>
      <c r="AC6" s="107"/>
      <c r="AD6" s="107"/>
      <c r="AE6" s="107"/>
      <c r="AF6" s="107"/>
      <c r="AG6" s="107"/>
      <c r="AH6" s="107"/>
      <c r="AI6" s="107"/>
      <c r="AJ6" s="107"/>
    </row>
    <row r="7" ht="15.75" customHeight="1">
      <c r="A7" s="107"/>
      <c r="B7" s="107"/>
      <c r="C7" s="107"/>
      <c r="D7" s="110" t="s">
        <v>177</v>
      </c>
      <c r="E7" s="108">
        <f t="array" ref="E7">IF(E3=0,0,LOOKUP(E3,{0,1,2,3,4,5,6,7},{0,1,2,3,4,5.5,7,8.5}))+0.0000000001</f>
        <v>0.0000000001</v>
      </c>
      <c r="F7" s="108">
        <f t="array" ref="F7">IF(F3=0,0,LOOKUP(F3,{0,1,2,3,4,5,6,7},{0,1,2,3,4,5.5,7,8.5}))+0.0000000002</f>
        <v>0.0000000002</v>
      </c>
      <c r="G7" s="108">
        <f t="shared" si="3"/>
        <v>0.0000000003</v>
      </c>
      <c r="H7" s="108">
        <f t="array" ref="H7">IF(H3=0,0,LOOKUP(H3,{0,1,2,3,4,5,6,7},{0,1,2,3,4,5.5,7,8.5}))+0.0000000004</f>
        <v>0.0000000004</v>
      </c>
      <c r="I7" s="108">
        <f t="array" ref="I7">IF(I3=0,0,LOOKUP(I3,{0,1,2,3,4,5,6,7},{0,1,2,3,4,5.5,7,8.5}))+0.0000000005</f>
        <v>0.0000000005</v>
      </c>
      <c r="J7" s="108">
        <f t="array" ref="J7">IF(J1=0,0,LOOKUP(J3,{0,1,2,3,4,5,6,7},{0,1,2,3,4,5.5,7,8.5}))+0.0000000006</f>
        <v>0.0000000006</v>
      </c>
      <c r="K7" s="108">
        <f t="array" ref="K7">IF(K1=0,0,LOOKUP(K3,{0,1,2,3,4,5,6,7},{0,1,2,3,4,5.5,7,8.5}))+0.0000000007</f>
        <v>0.0000000007</v>
      </c>
      <c r="L7" s="108">
        <f t="shared" si="4"/>
        <v>0.0000000008</v>
      </c>
      <c r="M7" s="108">
        <f t="array" ref="M7">IF(M1=0,0,LOOKUP(M3,{0,1,2,3,4,5,6,7},{0,1,2,3,4,5.5,7,8.5}))+0.0000000009</f>
        <v>0.0000000009</v>
      </c>
      <c r="N7" s="108">
        <f t="array" ref="N7">IF(N1=0,0,LOOKUP(N3,{"A","B","C","D","E","U"},{5.5,4,3,2,1,0}))+0.00000000095</f>
        <v>0.00000000095</v>
      </c>
      <c r="O7" s="107"/>
      <c r="P7" s="107"/>
      <c r="Q7" s="102" t="s">
        <v>95</v>
      </c>
      <c r="R7" s="101" t="s">
        <v>96</v>
      </c>
      <c r="S7" s="107"/>
      <c r="T7" s="111"/>
      <c r="U7" s="111"/>
      <c r="V7" s="111"/>
      <c r="W7" s="111"/>
      <c r="X7" s="107"/>
      <c r="Y7" s="107"/>
      <c r="Z7" s="111"/>
      <c r="AA7" s="107"/>
      <c r="AB7" s="107"/>
      <c r="AC7" s="107"/>
      <c r="AD7" s="107"/>
      <c r="AE7" s="107"/>
      <c r="AF7" s="107"/>
      <c r="AG7" s="107"/>
      <c r="AH7" s="107"/>
      <c r="AI7" s="107"/>
      <c r="AJ7" s="107"/>
    </row>
    <row r="8" ht="15.75" customHeight="1">
      <c r="A8" s="107"/>
      <c r="B8" s="107"/>
      <c r="C8" s="107"/>
      <c r="D8" s="110" t="s">
        <v>178</v>
      </c>
      <c r="E8" s="108">
        <f t="array" ref="E8">IF(E3=0,0,LOOKUP(E3,{0,1,2,3,4,5,6,7},{0,1,2,3,4,5,6,7}))+0.0000000001</f>
        <v>0.0000000001</v>
      </c>
      <c r="F8" s="108">
        <f t="array" ref="F8">IF(F3=0,0,LOOKUP(F3,{0,1,2,3,4,5,6,7},{0,1,2,3,4,5,6,7}))+0.0000000002</f>
        <v>0.0000000002</v>
      </c>
      <c r="G8" s="108">
        <f t="array" ref="G8">IF(G7=0,0,LOOKUP(G7,{0,1,2,3,4,5,6,7},{0,1,2,3,4,5,6,7}))+0.0000000003</f>
        <v>0.0000000003</v>
      </c>
      <c r="H8" s="108">
        <f t="array" ref="H8">IF(H3=0,0,LOOKUP(H3,{0,1,2,3,4,5,6,7},{0,1,2,3,4,5,6,7}))+0.0000000004</f>
        <v>0.0000000004</v>
      </c>
      <c r="I8" s="108">
        <f t="array" ref="I8">IF(I3=0,0,LOOKUP(I3,{0,1,2,3,4,5,6,7},{0,1,2,3,4,5,6,7}))+0.0000000005</f>
        <v>0.0000000005</v>
      </c>
      <c r="J8" s="108">
        <f t="array" ref="J8">IF(J1=0,0,LOOKUP(J3,{0,1,2,3,4,5,6,7},{0,1,2,3,4,5,6,7}))+0.0000000006</f>
        <v>0.0000000006</v>
      </c>
      <c r="K8" s="108">
        <f t="array" ref="K8">IF(K1=0,0,LOOKUP(K3,{0,1,2,3,4,5,6,7},{0,1,2,3,4,5,6,7}))+0.0000000007</f>
        <v>0.0000000007</v>
      </c>
      <c r="L8" s="108">
        <f t="array" ref="L8">IF($L$1=0,0,LOOKUP($L$3,{0,1,2,3,4,5,6,7},{0,1,2,3,4,5,6,7}))+0.0000000008</f>
        <v>0.0000000008</v>
      </c>
      <c r="M8" s="108">
        <f t="array" ref="M8">IF(M1=0,0,LOOKUP(M3,{0,1,2,3,4,5,6,7},{0,1,2,3,4,5,6,7}))+0.0000000009</f>
        <v>0.0000000009</v>
      </c>
      <c r="N8" s="108">
        <f t="array" ref="N8">IF(N1=0,0,LOOKUP(N3,{"A","B","C","D","E","U"},{7,5.5,4,2.5,1,0}))+0.00000000095</f>
        <v>0.00000000095</v>
      </c>
      <c r="O8" s="107"/>
      <c r="P8" s="107"/>
      <c r="Q8" s="102" t="s">
        <v>99</v>
      </c>
      <c r="R8" s="112"/>
      <c r="S8" s="107"/>
      <c r="T8" s="107"/>
      <c r="U8" s="107"/>
      <c r="V8" s="107"/>
      <c r="W8" s="107"/>
      <c r="X8" s="107"/>
      <c r="Y8" s="107"/>
      <c r="Z8" s="107"/>
      <c r="AA8" s="107"/>
      <c r="AB8" s="107"/>
      <c r="AC8" s="107"/>
      <c r="AD8" s="107"/>
      <c r="AE8" s="107"/>
      <c r="AF8" s="107"/>
      <c r="AG8" s="107"/>
      <c r="AH8" s="107"/>
      <c r="AI8" s="107"/>
      <c r="AJ8" s="107"/>
    </row>
    <row r="9" ht="15.75" customHeight="1">
      <c r="A9" s="107"/>
      <c r="B9" s="107"/>
      <c r="C9" s="107"/>
      <c r="D9" s="110" t="s">
        <v>179</v>
      </c>
      <c r="E9" s="108">
        <f t="array" ref="E9">IF(E3=0,0,LOOKUP(E3,{0,1,2,3,4,5,6,7},{0,1,2,3,4,5.5,7,8.5}))+0.0000000001</f>
        <v>0.0000000001</v>
      </c>
      <c r="F9" s="108">
        <f t="array" ref="F9">IF(F3=0,0,LOOKUP(F3,{0,1,2,3,4,5,6,7},{0,1,2,3,4,5.5,7,8.5}))+0.0000000002</f>
        <v>0.0000000002</v>
      </c>
      <c r="G9" s="108">
        <f t="array" ref="G9">IF(G7=0,0,LOOKUP(G7,{0,1,2,3,4,5,6,7},{0,1,2,3,4,5.5,7,8.5}))+0.0000000003</f>
        <v>0.0000000003</v>
      </c>
      <c r="H9" s="108">
        <f t="array" ref="H9">IF(H3=0,0,LOOKUP(H3,{0,1,2,3,4,5,6,7},{0,1,2,3,4,5.5,7,8.5}))+0.0000000004</f>
        <v>0.0000000004</v>
      </c>
      <c r="I9" s="108">
        <f t="array" ref="I9">IF(I3=0,0,LOOKUP(I3,{0,1,2,3,4,5,6,7},{0,1,2,3,4,5.5,7,8.5}))+0.0000000005</f>
        <v>0.0000000005</v>
      </c>
      <c r="J9" s="108">
        <f t="array" ref="J9">IF(J1=0,0,LOOKUP(J3,{0,1,2,3,4,5,6,7},{0,1,2,3,4,5.5,7,8.5}))+0.0000000006</f>
        <v>0.0000000006</v>
      </c>
      <c r="K9" s="108">
        <f t="array" ref="K9">IF(K1=0,0,LOOKUP(K3,{0,1,2,3,4,5,6,7},{0,1,2,3,4,5.5,7,8.5}))+0.0000000007</f>
        <v>0.0000000007</v>
      </c>
      <c r="L9" s="108">
        <f t="array" ref="L9">IF($L$1=0,0,LOOKUP($L$3,{0,1,2,3,4,5,6,7},{0,1,2,3,4,5.5,7,8.5}))+0.0000000008</f>
        <v>0.0000000008</v>
      </c>
      <c r="M9" s="108">
        <f t="array" ref="M9">IF(M1=0,0,LOOKUP(M3,{0,1,2,3,4,5,6,7},{0,1,2,3,4,5.5,7,8.5}))+0.0000000009</f>
        <v>0.0000000009</v>
      </c>
      <c r="N9" s="108">
        <f t="array" ref="N9">IF(N1=0,0,LOOKUP(N3,{"A","B","C","D","E","U"},{7,5.5,4,2.5,1,0}))+0.00000000095</f>
        <v>0.00000000095</v>
      </c>
      <c r="O9" s="107"/>
      <c r="P9" s="107"/>
      <c r="Q9" s="102" t="s">
        <v>101</v>
      </c>
      <c r="R9" s="112"/>
      <c r="S9" s="107"/>
      <c r="T9" s="107"/>
      <c r="U9" s="107"/>
      <c r="V9" s="107"/>
      <c r="W9" s="107"/>
      <c r="X9" s="107"/>
      <c r="Y9" s="107"/>
      <c r="Z9" s="107"/>
      <c r="AA9" s="107"/>
      <c r="AB9" s="107"/>
      <c r="AC9" s="107"/>
      <c r="AD9" s="107"/>
      <c r="AE9" s="107"/>
      <c r="AF9" s="107"/>
      <c r="AG9" s="107"/>
      <c r="AH9" s="107"/>
      <c r="AI9" s="107"/>
      <c r="AJ9" s="107"/>
    </row>
    <row r="10" ht="15.75" customHeight="1">
      <c r="A10" s="107"/>
      <c r="B10" s="107"/>
      <c r="C10" s="107"/>
      <c r="D10" s="110" t="s">
        <v>180</v>
      </c>
      <c r="E10" s="108">
        <f t="array" ref="E10">IF(E3=0,0,LOOKUP(E3,{0,1,2,3,4,5,6,7},{0,1,2,3,4,5,6,7}))+0.0000000001</f>
        <v>0.0000000001</v>
      </c>
      <c r="F10" s="108">
        <f t="array" ref="F10">IF(F3=0,0,LOOKUP(F3,{0,1,2,3,4,5,6,7},{0,1,2,3,4,5,6,7}))+0.0000000002</f>
        <v>0.0000000002</v>
      </c>
      <c r="G10" s="108">
        <f t="shared" ref="G10:G12" si="5">IF(G9=0,0,LOOKUP(G9,{0,1,2,3,4,5,6,7},{0,1,2,3,4,5,6,7}))+0.0000000003</f>
        <v>0.0000000003</v>
      </c>
      <c r="H10" s="108">
        <f t="array" ref="H10">IF(H3=0,0,LOOKUP(H3,{0,1,2,3,4,5,6,7},{0,1,2,3,4,5,6,7}))+0.0000000004</f>
        <v>0.0000000004</v>
      </c>
      <c r="I10" s="108">
        <f t="array" ref="I10">IF(I3=0,0,LOOKUP(I3,{0,1,2,3,4,5,6,7},{0,1,2,3,4,5,6,7}))+0.0000000005</f>
        <v>0.0000000005</v>
      </c>
      <c r="J10" s="108">
        <f t="array" ref="J10">IF(J1=0,0,LOOKUP(J3,{0,1,2,3,4,5,6,7},{0,1,2,3,4,5,6,7}))+0.0000000006</f>
        <v>0.0000000006</v>
      </c>
      <c r="K10" s="108">
        <f t="array" ref="K10">IF(K1=0,0,LOOKUP(K3,{0,1,2,3,4,5,6,7},{0,1,2,3,4,5,6,7}))+0.0000000007</f>
        <v>0.0000000007</v>
      </c>
      <c r="L10" s="108">
        <f t="shared" ref="L10:L12" si="6">IF($L$1=0,0,LOOKUP($L$3,{0,1,2,3,4,5,6,7},{0,1,2,3,4,5,6,7}))+0.0000000008</f>
        <v>0.0000000008</v>
      </c>
      <c r="M10" s="108">
        <f t="array" ref="M10">IF(M1=0,0,LOOKUP(M3,{0,1,2,3,4,5,6,7},{0,1,2,3,4,5,6,7}))+0.0000000009</f>
        <v>0.0000000009</v>
      </c>
      <c r="N10" s="108">
        <f t="array" ref="N10">IF(N1=0,0,LOOKUP(N3,{"A","B","C","D","E","U"},{5,4,3,2,1,0}))+0.00000000095</f>
        <v>0.00000000095</v>
      </c>
      <c r="O10" s="107"/>
      <c r="P10" s="107"/>
      <c r="Q10" s="102" t="s">
        <v>104</v>
      </c>
      <c r="R10" s="112"/>
      <c r="S10" s="107"/>
      <c r="T10" s="107"/>
      <c r="U10" s="107"/>
      <c r="V10" s="107"/>
      <c r="W10" s="107"/>
      <c r="X10" s="107"/>
      <c r="Y10" s="107"/>
      <c r="Z10" s="107"/>
      <c r="AA10" s="107"/>
      <c r="AB10" s="107"/>
      <c r="AC10" s="107"/>
      <c r="AD10" s="107"/>
      <c r="AE10" s="107"/>
      <c r="AF10" s="107"/>
      <c r="AG10" s="107"/>
      <c r="AH10" s="107"/>
      <c r="AI10" s="107"/>
      <c r="AJ10" s="107"/>
    </row>
    <row r="11" ht="15.75" customHeight="1">
      <c r="A11" s="107"/>
      <c r="B11" s="107"/>
      <c r="C11" s="107"/>
      <c r="D11" s="110" t="s">
        <v>181</v>
      </c>
      <c r="E11" s="108">
        <f t="array" ref="E11">IF(E3=0,0,LOOKUP(E3,{0,1,2,3,4,5,6,7},{0,1,2,3,4,5,6,7}))+0.0000000001</f>
        <v>0.0000000001</v>
      </c>
      <c r="F11" s="108">
        <f t="array" ref="F11">IF(F3=0,0,LOOKUP(F3,{0,1,2,3,4,5,6,7},{0,1,2,3,4,5,6,7}))+0.0000000002</f>
        <v>0.0000000002</v>
      </c>
      <c r="G11" s="108">
        <f t="shared" si="5"/>
        <v>0.0000000003</v>
      </c>
      <c r="H11" s="108">
        <f t="array" ref="H11">IF(H3=0,0,LOOKUP(H3,{0,1,2,3,4,5,6,7},{0,1,2,3,4,5,6,7}))+0.0000000004</f>
        <v>0.0000000004</v>
      </c>
      <c r="I11" s="108">
        <f t="array" ref="I11">IF(I3=0,0,LOOKUP(I3,{0,1,2,3,4,5,6,7},{0,1,2,3,4,5,6,7}))+0.0000000005</f>
        <v>0.0000000005</v>
      </c>
      <c r="J11" s="108">
        <f t="array" ref="J11">IF(J1=0,0,LOOKUP(J3,{0,1,2,3,4,5,6,7},{0,1,2,3,4,5,6,7}))+0.0000000006</f>
        <v>0.0000000006</v>
      </c>
      <c r="K11" s="108">
        <f t="array" ref="K11">IF(K1=0,0,LOOKUP(K3,{0,1,2,3,4,5,6,7},{0,1,2,3,4,5,6,7}))+0.0000000007</f>
        <v>0.0000000007</v>
      </c>
      <c r="L11" s="108">
        <f t="shared" si="6"/>
        <v>0.0000000008</v>
      </c>
      <c r="M11" s="108">
        <f t="array" ref="M11">IF(M1=0,0,LOOKUP(M3,{0,1,2,3,4,5,6,7},{0,1,2,3,4,5,6,7}))+0.0000000009</f>
        <v>0.0000000009</v>
      </c>
      <c r="N11" s="108">
        <f t="array" ref="N11">IF(N1=0,0,LOOKUP(N3,{"A","B","C","D","E","U"},{7,6,5,4,3,0}))+0.00000000095</f>
        <v>0.00000000095</v>
      </c>
      <c r="O11" s="107" t="s">
        <v>182</v>
      </c>
      <c r="P11" s="107" t="s">
        <v>183</v>
      </c>
      <c r="Q11" s="102" t="s">
        <v>107</v>
      </c>
      <c r="R11" s="112"/>
      <c r="S11" s="107"/>
      <c r="T11" s="107"/>
      <c r="U11" s="107"/>
      <c r="V11" s="107"/>
      <c r="W11" s="107"/>
      <c r="X11" s="107"/>
      <c r="Y11" s="107"/>
      <c r="Z11" s="107"/>
      <c r="AA11" s="107"/>
      <c r="AB11" s="107"/>
      <c r="AC11" s="107"/>
      <c r="AD11" s="107"/>
      <c r="AE11" s="107"/>
      <c r="AF11" s="107"/>
      <c r="AG11" s="107"/>
      <c r="AH11" s="107"/>
      <c r="AI11" s="107"/>
      <c r="AJ11" s="107"/>
    </row>
    <row r="12" ht="15.75" customHeight="1">
      <c r="A12" s="107"/>
      <c r="B12" s="107"/>
      <c r="C12" s="107"/>
      <c r="D12" s="110" t="s">
        <v>184</v>
      </c>
      <c r="E12" s="108">
        <f t="array" ref="E12">IF(E3=0,0,LOOKUP(E3,{0,1,2,3,4,5,6,7},{0,1,2,3,4,5,6,7}))+0.0000000001</f>
        <v>0.0000000001</v>
      </c>
      <c r="F12" s="108">
        <f t="array" ref="F12">IF(F3=0,0,LOOKUP(F3,{0,1,2,3,4,5,6,7},{0,1,2,3,4,5,6,7}))+0.0000000002</f>
        <v>0.0000000002</v>
      </c>
      <c r="G12" s="108">
        <f t="shared" si="5"/>
        <v>0.0000000003</v>
      </c>
      <c r="H12" s="108">
        <f t="array" ref="H12">IF(H3=0,0,LOOKUP(H3,{0,1,2,3,4,5,6,7},{0,1,2,3,4,5,6,7}))+0.0000000004</f>
        <v>0.0000000004</v>
      </c>
      <c r="I12" s="108">
        <f t="array" ref="I12">IF(I3=0,0,LOOKUP(I3,{0,1,2,3,4,5,6,7},{0,1,2,3,4,5,6,7}))+0.0000000005</f>
        <v>0.0000000005</v>
      </c>
      <c r="J12" s="108">
        <f t="array" ref="J12">IF(J1=0,0,LOOKUP(J3,{0,1,2,3,4,5,6,7},{0,1,2,3,4,5,6,7}))+0.0000000006</f>
        <v>0.0000000006</v>
      </c>
      <c r="K12" s="108">
        <f t="array" ref="K12">IF(K1=0,0,LOOKUP(K3,{0,1,2,3,4,5,6,7},{0,1,2,3,4,5,6,7}))+0.0000000007</f>
        <v>0.0000000007</v>
      </c>
      <c r="L12" s="108">
        <f t="shared" si="6"/>
        <v>0.0000000008</v>
      </c>
      <c r="M12" s="108">
        <f t="array" ref="M12">IF(M1=0,0,LOOKUP(M3,{0,1,2,3,4,5,6,7},{0,1,2,3,4,5,6,7}))+0.0000000009</f>
        <v>0.0000000009</v>
      </c>
      <c r="N12" s="108">
        <f t="array" ref="N12">IF(N1=0,0,LOOKUP(N3,{"A","B","C","D","E","U"},{6,5,4,3,2,0}))+0.00000000095</f>
        <v>0.00000000095</v>
      </c>
      <c r="O12" s="107">
        <f t="array" ref="O12">IF(N1=0,0,LOOKUP(N3,{"A","B","C","D","E","U"},{3,3,3,2,2,0}))+0.00000000095</f>
        <v>0.00000000095</v>
      </c>
      <c r="P12" s="107">
        <f t="array" ref="P12">IF(N1=0,0,LOOKUP(N3,{"A","B","C","D","E","U"},{5,4,3,2,1,0}))+0.00000000095</f>
        <v>0.00000000095</v>
      </c>
      <c r="Q12" s="102" t="s">
        <v>110</v>
      </c>
      <c r="R12" s="112"/>
      <c r="S12" s="107"/>
      <c r="T12" s="107"/>
      <c r="U12" s="107"/>
      <c r="V12" s="107"/>
      <c r="W12" s="107"/>
      <c r="X12" s="107"/>
      <c r="Y12" s="107"/>
      <c r="Z12" s="107"/>
      <c r="AA12" s="107"/>
      <c r="AB12" s="107"/>
      <c r="AC12" s="107"/>
      <c r="AD12" s="107"/>
      <c r="AE12" s="107"/>
      <c r="AF12" s="107"/>
      <c r="AG12" s="107"/>
      <c r="AH12" s="107"/>
      <c r="AI12" s="107"/>
      <c r="AJ12" s="107"/>
    </row>
    <row r="13" ht="15.75" customHeight="1">
      <c r="A13" s="107"/>
      <c r="B13" s="107"/>
      <c r="C13" s="107"/>
      <c r="D13" s="110"/>
      <c r="E13" s="108"/>
      <c r="F13" s="108"/>
      <c r="G13" s="108"/>
      <c r="H13" s="108"/>
      <c r="I13" s="108"/>
      <c r="J13" s="108"/>
      <c r="K13" s="108"/>
      <c r="L13" s="108"/>
      <c r="M13" s="108"/>
      <c r="N13" s="108"/>
      <c r="O13" s="107"/>
      <c r="P13" s="107"/>
      <c r="Q13" s="102" t="s">
        <v>113</v>
      </c>
      <c r="R13" s="112"/>
      <c r="S13" s="107"/>
      <c r="T13" s="107"/>
      <c r="U13" s="107"/>
      <c r="V13" s="107"/>
      <c r="W13" s="107"/>
      <c r="X13" s="107"/>
      <c r="Y13" s="107"/>
      <c r="Z13" s="107"/>
      <c r="AA13" s="107"/>
      <c r="AB13" s="107"/>
      <c r="AC13" s="107"/>
      <c r="AD13" s="107"/>
      <c r="AE13" s="107"/>
      <c r="AF13" s="107"/>
      <c r="AG13" s="107"/>
      <c r="AH13" s="107"/>
      <c r="AI13" s="107"/>
      <c r="AJ13" s="107"/>
    </row>
    <row r="14" ht="15.75" customHeight="1">
      <c r="A14" s="107"/>
      <c r="B14" s="107"/>
      <c r="C14" s="107"/>
      <c r="D14" s="110" t="s">
        <v>185</v>
      </c>
      <c r="E14" s="108">
        <f>E3+0.0000000001</f>
        <v>0.0000000001</v>
      </c>
      <c r="F14" s="108">
        <f>F3+0.0000000002</f>
        <v>0.0000000002</v>
      </c>
      <c r="G14" s="108">
        <f>G3+0.0000000003</f>
        <v>0.0000000003</v>
      </c>
      <c r="H14" s="108">
        <f>H3+0.0000000004</f>
        <v>0.0000000004</v>
      </c>
      <c r="I14" s="108">
        <f>I3+0.0000000005</f>
        <v>0.0000000005</v>
      </c>
      <c r="J14" s="108">
        <f>IF(J1=0,0,J3+0.0000000006)</f>
        <v>0</v>
      </c>
      <c r="K14" s="108">
        <f>IF(K1=0,0,K3+0.0000000007)</f>
        <v>0</v>
      </c>
      <c r="L14" s="108">
        <f>IF(L1=0,0,L3+0.0000000008)</f>
        <v>0</v>
      </c>
      <c r="M14" s="108">
        <f>IF(M1=0,0,M3+0.0000000009)</f>
        <v>0</v>
      </c>
      <c r="N14" s="108">
        <f>IF(N1=0,0,N3+0.00000000095)</f>
        <v>0</v>
      </c>
      <c r="O14" s="107"/>
      <c r="P14" s="107"/>
      <c r="Q14" s="102" t="s">
        <v>117</v>
      </c>
      <c r="R14" s="112"/>
      <c r="S14" s="107"/>
      <c r="T14" s="107"/>
      <c r="U14" s="107"/>
      <c r="V14" s="107"/>
      <c r="W14" s="107"/>
      <c r="X14" s="107"/>
      <c r="Y14" s="107"/>
      <c r="Z14" s="107"/>
      <c r="AA14" s="107"/>
      <c r="AB14" s="107"/>
      <c r="AC14" s="107"/>
      <c r="AD14" s="107"/>
      <c r="AE14" s="107"/>
      <c r="AF14" s="107"/>
      <c r="AG14" s="107"/>
      <c r="AH14" s="107"/>
      <c r="AI14" s="107"/>
      <c r="AJ14" s="107"/>
    </row>
    <row r="15" ht="15.75" customHeight="1">
      <c r="A15" s="107"/>
      <c r="B15" s="107"/>
      <c r="C15" s="107"/>
      <c r="D15" s="110"/>
      <c r="E15" s="108"/>
      <c r="F15" s="108"/>
      <c r="G15" s="108"/>
      <c r="H15" s="108"/>
      <c r="I15" s="108"/>
      <c r="J15" s="108"/>
      <c r="K15" s="108"/>
      <c r="L15" s="108"/>
      <c r="M15" s="108"/>
      <c r="N15" s="108"/>
      <c r="O15" s="107"/>
      <c r="P15" s="107"/>
      <c r="Q15" s="102" t="s">
        <v>120</v>
      </c>
      <c r="R15" s="112"/>
      <c r="S15" s="107"/>
      <c r="T15" s="107"/>
      <c r="U15" s="107"/>
      <c r="V15" s="107"/>
      <c r="W15" s="107"/>
      <c r="X15" s="107"/>
      <c r="Y15" s="107"/>
      <c r="Z15" s="107"/>
      <c r="AA15" s="107"/>
      <c r="AB15" s="107"/>
      <c r="AC15" s="107"/>
      <c r="AD15" s="107"/>
      <c r="AE15" s="107"/>
      <c r="AF15" s="107"/>
      <c r="AG15" s="107"/>
      <c r="AH15" s="107"/>
      <c r="AI15" s="107"/>
      <c r="AJ15" s="107"/>
    </row>
    <row r="16" ht="15.75" customHeight="1">
      <c r="A16" s="107"/>
      <c r="B16" s="107"/>
      <c r="C16" s="107"/>
      <c r="D16" s="110" t="s">
        <v>186</v>
      </c>
      <c r="E16" s="108" t="b">
        <f>IF('主頁'!J30="Y",TRUE)</f>
        <v>0</v>
      </c>
      <c r="F16" s="108" t="b">
        <f>IF('主頁'!J31="Y",TRUE)</f>
        <v>0</v>
      </c>
      <c r="G16" s="108" t="b">
        <f>IF('主頁'!J32="Y",TRUE)</f>
        <v>0</v>
      </c>
      <c r="H16" s="108" t="b">
        <f>IF('主頁'!J33="Y",TRUE)</f>
        <v>0</v>
      </c>
      <c r="I16" s="108" t="b">
        <f>IF('主頁'!J34="Y",TRUE)</f>
        <v>0</v>
      </c>
      <c r="J16" s="108" t="b">
        <f>IF('主頁'!J37="Y",TRUE)</f>
        <v>0</v>
      </c>
      <c r="K16" s="108" t="b">
        <f>IF('主頁'!J38="Y",TRUE)</f>
        <v>0</v>
      </c>
      <c r="L16" s="108" t="b">
        <f>IF('主頁'!J39="Y",TRUE)</f>
        <v>0</v>
      </c>
      <c r="M16" s="108" t="b">
        <f>IF('主頁'!J40="Y",TRUE)</f>
        <v>0</v>
      </c>
      <c r="N16" s="108" t="b">
        <f>IF('主頁'!J41="Y",TRUE)</f>
        <v>0</v>
      </c>
      <c r="O16" s="107"/>
      <c r="P16" s="107"/>
      <c r="Q16" s="102" t="s">
        <v>123</v>
      </c>
      <c r="R16" s="112"/>
      <c r="S16" s="107"/>
      <c r="T16" s="107"/>
      <c r="U16" s="107"/>
      <c r="V16" s="107"/>
      <c r="W16" s="107"/>
      <c r="X16" s="107"/>
      <c r="Y16" s="107"/>
      <c r="Z16" s="107"/>
      <c r="AA16" s="107"/>
      <c r="AB16" s="107"/>
      <c r="AC16" s="107"/>
      <c r="AD16" s="107"/>
      <c r="AE16" s="107"/>
      <c r="AF16" s="107"/>
      <c r="AG16" s="107"/>
      <c r="AH16" s="107"/>
      <c r="AI16" s="107"/>
      <c r="AJ16" s="107"/>
    </row>
    <row r="17" ht="15.75" customHeight="1">
      <c r="A17" s="107"/>
      <c r="B17" s="109"/>
      <c r="C17" s="108"/>
      <c r="D17" s="109"/>
      <c r="E17" s="107"/>
      <c r="F17" s="107"/>
      <c r="G17" s="107"/>
      <c r="H17" s="107"/>
      <c r="I17" s="107"/>
      <c r="J17" s="107"/>
      <c r="K17" s="107"/>
      <c r="L17" s="107"/>
      <c r="M17" s="107"/>
      <c r="N17" s="107"/>
      <c r="O17" s="107"/>
      <c r="P17" s="107"/>
      <c r="Q17" s="102" t="s">
        <v>126</v>
      </c>
      <c r="R17" s="112"/>
      <c r="S17" s="107"/>
      <c r="T17" s="107"/>
      <c r="U17" s="107"/>
      <c r="V17" s="107"/>
      <c r="W17" s="107"/>
      <c r="X17" s="107"/>
      <c r="Y17" s="107"/>
      <c r="Z17" s="107"/>
      <c r="AA17" s="107"/>
      <c r="AB17" s="107"/>
      <c r="AC17" s="107"/>
      <c r="AD17" s="107"/>
      <c r="AE17" s="107"/>
      <c r="AF17" s="107"/>
      <c r="AG17" s="107"/>
      <c r="AH17" s="107"/>
      <c r="AI17" s="107"/>
      <c r="AJ17" s="107"/>
    </row>
    <row r="18" ht="15.75" customHeight="1">
      <c r="A18" s="107"/>
      <c r="B18" s="109"/>
      <c r="C18" s="108"/>
      <c r="D18" s="107"/>
      <c r="E18" s="107"/>
      <c r="F18" s="107"/>
      <c r="G18" s="107"/>
      <c r="H18" s="107"/>
      <c r="I18" s="107"/>
      <c r="J18" s="107"/>
      <c r="K18" s="107"/>
      <c r="L18" s="107"/>
      <c r="M18" s="107"/>
      <c r="N18" s="107"/>
      <c r="O18" s="107"/>
      <c r="P18" s="107"/>
      <c r="Q18" s="102" t="s">
        <v>129</v>
      </c>
      <c r="R18" s="112"/>
      <c r="S18" s="107"/>
      <c r="T18" s="107"/>
      <c r="U18" s="107"/>
      <c r="V18" s="107"/>
      <c r="W18" s="107"/>
      <c r="X18" s="107"/>
      <c r="Y18" s="107"/>
      <c r="Z18" s="107"/>
      <c r="AA18" s="107"/>
      <c r="AB18" s="107"/>
      <c r="AC18" s="107"/>
      <c r="AD18" s="107"/>
      <c r="AE18" s="107"/>
      <c r="AF18" s="107"/>
      <c r="AG18" s="107"/>
      <c r="AH18" s="107"/>
      <c r="AI18" s="107"/>
      <c r="AJ18" s="107"/>
    </row>
    <row r="19" ht="15.75" customHeight="1">
      <c r="A19" s="109"/>
      <c r="B19" s="107"/>
      <c r="C19" s="108"/>
      <c r="D19" s="109" t="s">
        <v>187</v>
      </c>
      <c r="E19" s="107">
        <f>LARGE((E14:M14),1)+LARGE((E14:M14),2)+LARGE((E14:M14),3)+LARGE((E14:M14),4)+LARGE((E14:M14),5)</f>
        <v>0.0000000015</v>
      </c>
      <c r="F19" s="109" t="s">
        <v>188</v>
      </c>
      <c r="G19" s="107">
        <f>SUM($E$14:$H$14)+LARGE(($I$14:$M$14),1)</f>
        <v>0.0000000015</v>
      </c>
      <c r="H19" s="109"/>
      <c r="I19" s="107"/>
      <c r="J19" s="107"/>
      <c r="K19" s="107"/>
      <c r="L19" s="107"/>
      <c r="M19" s="107"/>
      <c r="N19" s="107"/>
      <c r="O19" s="107"/>
      <c r="P19" s="107"/>
      <c r="Q19" s="102" t="s">
        <v>132</v>
      </c>
      <c r="R19" s="112"/>
      <c r="S19" s="107"/>
      <c r="T19" s="107"/>
      <c r="U19" s="107"/>
      <c r="V19" s="107"/>
      <c r="W19" s="107"/>
      <c r="X19" s="107"/>
      <c r="Y19" s="107"/>
      <c r="Z19" s="107"/>
      <c r="AA19" s="107"/>
      <c r="AB19" s="107"/>
      <c r="AC19" s="107"/>
      <c r="AD19" s="107"/>
      <c r="AE19" s="107"/>
      <c r="AF19" s="107"/>
      <c r="AG19" s="107"/>
      <c r="AH19" s="107"/>
      <c r="AI19" s="107"/>
      <c r="AJ19" s="107"/>
    </row>
    <row r="20" ht="15.75" customHeight="1">
      <c r="A20" s="109"/>
      <c r="B20" s="107"/>
      <c r="C20" s="108"/>
      <c r="D20" s="109" t="s">
        <v>189</v>
      </c>
      <c r="E20" s="107">
        <f>LARGE((E14:M14),1)+LARGE((E14:M14),2)+LARGE((E14:M14),3)+LARGE((E14:M14),4)+LARGE((E14:M14),5)+LARGE((E14:M14),6)</f>
        <v>0.0000000015</v>
      </c>
      <c r="F20" s="109" t="s">
        <v>190</v>
      </c>
      <c r="G20" s="107">
        <f>SUM($E$14:$H$14)+LARGE(($I$14:$M$14),1)+LARGE(($I$14:$M$14),2)</f>
        <v>0.0000000015</v>
      </c>
      <c r="H20" s="107"/>
      <c r="I20" s="113"/>
      <c r="J20" s="113"/>
      <c r="K20" s="113"/>
      <c r="L20" s="107"/>
      <c r="M20" s="107"/>
      <c r="N20" s="107"/>
      <c r="O20" s="107"/>
      <c r="P20" s="107"/>
      <c r="Q20" s="102" t="s">
        <v>134</v>
      </c>
      <c r="R20" s="112"/>
      <c r="S20" s="107"/>
      <c r="T20" s="107"/>
      <c r="U20" s="107"/>
      <c r="V20" s="107"/>
      <c r="W20" s="107"/>
      <c r="X20" s="107"/>
      <c r="Y20" s="107"/>
      <c r="Z20" s="107"/>
      <c r="AA20" s="107"/>
      <c r="AB20" s="107"/>
      <c r="AC20" s="107"/>
      <c r="AD20" s="107"/>
      <c r="AE20" s="107"/>
      <c r="AF20" s="107"/>
      <c r="AG20" s="107"/>
      <c r="AH20" s="107"/>
      <c r="AI20" s="107"/>
      <c r="AJ20" s="107"/>
    </row>
    <row r="21" ht="15.75" customHeight="1">
      <c r="A21" s="109"/>
      <c r="B21" s="107"/>
      <c r="C21" s="108"/>
      <c r="D21" s="109"/>
      <c r="E21" s="107"/>
      <c r="F21" s="109"/>
      <c r="G21" s="107"/>
      <c r="H21" s="107"/>
      <c r="I21" s="107"/>
      <c r="J21" s="113"/>
      <c r="K21" s="113"/>
      <c r="L21" s="107"/>
      <c r="M21" s="107"/>
      <c r="N21" s="107"/>
      <c r="O21" s="107"/>
      <c r="P21" s="107"/>
      <c r="Q21" s="102" t="s">
        <v>136</v>
      </c>
      <c r="R21" s="112"/>
      <c r="S21" s="107"/>
      <c r="T21" s="107"/>
      <c r="U21" s="107"/>
      <c r="V21" s="107"/>
      <c r="W21" s="107"/>
      <c r="X21" s="107"/>
      <c r="Y21" s="107"/>
      <c r="Z21" s="107"/>
      <c r="AA21" s="107"/>
      <c r="AB21" s="107"/>
      <c r="AC21" s="107"/>
      <c r="AD21" s="107"/>
      <c r="AE21" s="107"/>
      <c r="AF21" s="107"/>
      <c r="AG21" s="107"/>
      <c r="AH21" s="107"/>
      <c r="AI21" s="107"/>
      <c r="AJ21" s="107"/>
    </row>
    <row r="22" ht="15.75" customHeight="1">
      <c r="A22" s="109"/>
      <c r="B22" s="107"/>
      <c r="C22" s="108"/>
      <c r="D22" s="109"/>
      <c r="E22" s="107"/>
      <c r="F22" s="109"/>
      <c r="G22" s="107"/>
      <c r="H22" s="107"/>
      <c r="I22" s="107"/>
      <c r="J22" s="113"/>
      <c r="K22" s="107"/>
      <c r="L22" s="107"/>
      <c r="M22" s="107"/>
      <c r="N22" s="107"/>
      <c r="O22" s="107"/>
      <c r="P22" s="107"/>
      <c r="Q22" s="102" t="s">
        <v>137</v>
      </c>
      <c r="R22" s="112"/>
      <c r="S22" s="107"/>
      <c r="T22" s="107"/>
      <c r="U22" s="107"/>
      <c r="V22" s="107"/>
      <c r="W22" s="107"/>
      <c r="X22" s="107"/>
      <c r="Y22" s="107"/>
      <c r="Z22" s="107"/>
      <c r="AA22" s="107"/>
      <c r="AB22" s="107"/>
      <c r="AC22" s="107"/>
      <c r="AD22" s="107"/>
      <c r="AE22" s="107"/>
      <c r="AF22" s="107"/>
      <c r="AG22" s="107"/>
      <c r="AH22" s="107"/>
      <c r="AI22" s="107"/>
      <c r="AJ22" s="107"/>
    </row>
    <row r="23" ht="15.75" customHeight="1">
      <c r="A23" s="114"/>
      <c r="B23" s="114"/>
      <c r="C23" s="115"/>
      <c r="D23" s="114"/>
      <c r="E23" s="114"/>
      <c r="F23" s="114"/>
      <c r="G23" s="114"/>
      <c r="H23" s="114"/>
      <c r="I23" s="114"/>
      <c r="J23" s="114"/>
      <c r="K23" s="114"/>
      <c r="L23" s="114"/>
      <c r="M23" s="114"/>
      <c r="N23" s="114"/>
      <c r="O23" s="107"/>
      <c r="P23" s="107"/>
      <c r="Q23" s="102" t="s">
        <v>138</v>
      </c>
      <c r="R23" s="112"/>
      <c r="S23" s="107"/>
      <c r="T23" s="107"/>
      <c r="U23" s="107"/>
      <c r="V23" s="107"/>
      <c r="W23" s="107"/>
      <c r="X23" s="107"/>
      <c r="Y23" s="107"/>
      <c r="Z23" s="107"/>
      <c r="AA23" s="107"/>
      <c r="AB23" s="107"/>
      <c r="AC23" s="107"/>
      <c r="AD23" s="107"/>
      <c r="AE23" s="107"/>
      <c r="AF23" s="107"/>
      <c r="AG23" s="107"/>
      <c r="AH23" s="107"/>
      <c r="AI23" s="107"/>
      <c r="AJ23" s="107"/>
    </row>
    <row r="24" ht="15.75" customHeight="1">
      <c r="A24" s="109" t="s">
        <v>174</v>
      </c>
      <c r="B24" s="107"/>
      <c r="C24" s="108"/>
      <c r="D24" s="107" t="str">
        <f t="shared" ref="D24:N24" si="7">D1</f>
        <v>總分</v>
      </c>
      <c r="E24" s="107" t="str">
        <f t="shared" si="7"/>
        <v>中國語文</v>
      </c>
      <c r="F24" s="107" t="str">
        <f t="shared" si="7"/>
        <v>英國語文</v>
      </c>
      <c r="G24" s="107" t="str">
        <f t="shared" si="7"/>
        <v>數學</v>
      </c>
      <c r="H24" s="107" t="str">
        <f t="shared" si="7"/>
        <v>通識教育</v>
      </c>
      <c r="I24" s="107" t="str">
        <f t="shared" si="7"/>
        <v>數學延伸</v>
      </c>
      <c r="J24" s="107">
        <f t="shared" si="7"/>
        <v>0</v>
      </c>
      <c r="K24" s="107">
        <f t="shared" si="7"/>
        <v>0</v>
      </c>
      <c r="L24" s="107">
        <f t="shared" si="7"/>
        <v>0</v>
      </c>
      <c r="M24" s="107">
        <f t="shared" si="7"/>
        <v>0</v>
      </c>
      <c r="N24" s="107">
        <f t="shared" si="7"/>
        <v>0</v>
      </c>
      <c r="O24" s="107"/>
      <c r="P24" s="107"/>
      <c r="Q24" s="102" t="s">
        <v>140</v>
      </c>
      <c r="R24" s="112"/>
      <c r="S24" s="107"/>
      <c r="T24" s="107"/>
      <c r="U24" s="107"/>
      <c r="V24" s="107"/>
      <c r="W24" s="107"/>
      <c r="X24" s="107"/>
      <c r="Y24" s="107"/>
      <c r="Z24" s="107"/>
      <c r="AA24" s="107"/>
      <c r="AB24" s="107"/>
      <c r="AC24" s="107"/>
      <c r="AD24" s="107"/>
      <c r="AE24" s="107"/>
      <c r="AF24" s="107"/>
      <c r="AG24" s="107"/>
      <c r="AH24" s="107"/>
      <c r="AI24" s="107"/>
      <c r="AJ24" s="107"/>
    </row>
    <row r="25" ht="15.75" customHeight="1">
      <c r="A25" s="107" t="str">
        <f>CityU!A2</f>
        <v>JS1000</v>
      </c>
      <c r="B25" s="107" t="str">
        <f>CityU!C2</f>
        <v>理學士(計算金融及金融科技)</v>
      </c>
      <c r="C25" s="116" t="s">
        <v>191</v>
      </c>
      <c r="D25" s="107">
        <f t="shared" ref="D25:D47" si="8">SUM(E25:H25)+LARGE((I25:N25),1)+LARGE((I25:N25),2)</f>
        <v>0.00000000285</v>
      </c>
      <c r="E25" s="107">
        <f t="shared" ref="E25:E50" si="9">$E$4</f>
        <v>0.0000000001</v>
      </c>
      <c r="F25" s="107">
        <f t="shared" ref="F25:F28" si="10">$F$4</f>
        <v>0.0000000002</v>
      </c>
      <c r="G25" s="107">
        <f t="shared" ref="G25:G40" si="11">$G$4</f>
        <v>0.0000000003</v>
      </c>
      <c r="H25" s="107">
        <f t="shared" ref="H25:H50" si="12">$H$4</f>
        <v>0.0000000004</v>
      </c>
      <c r="I25" s="107">
        <f t="shared" ref="I25:I59" si="13">$I$4</f>
        <v>0.0000000005</v>
      </c>
      <c r="J25" s="107">
        <f t="shared" ref="J25:J42" si="14">$J$4</f>
        <v>0.0000000006</v>
      </c>
      <c r="K25" s="107">
        <f t="shared" ref="K25:K42" si="15">$K$4</f>
        <v>0.0000000007</v>
      </c>
      <c r="L25" s="107">
        <f t="shared" ref="L25:L42" si="16">$L$4</f>
        <v>0.0000000008</v>
      </c>
      <c r="M25" s="107">
        <f t="shared" ref="M25:M42" si="17">$M$4</f>
        <v>0.0000000009</v>
      </c>
      <c r="N25" s="107">
        <f t="shared" ref="N25:N74" si="18">$N$4</f>
        <v>0.00000000095</v>
      </c>
      <c r="O25" s="107"/>
      <c r="P25" s="107"/>
      <c r="Q25" s="107"/>
      <c r="R25" s="107"/>
      <c r="S25" s="107"/>
      <c r="T25" s="107"/>
      <c r="U25" s="107"/>
      <c r="V25" s="107"/>
      <c r="W25" s="107"/>
      <c r="X25" s="107"/>
      <c r="Y25" s="107"/>
      <c r="Z25" s="107"/>
      <c r="AA25" s="107"/>
      <c r="AB25" s="107"/>
      <c r="AC25" s="107"/>
      <c r="AD25" s="107"/>
      <c r="AE25" s="107"/>
      <c r="AF25" s="107"/>
      <c r="AG25" s="107"/>
      <c r="AH25" s="107"/>
      <c r="AI25" s="107"/>
      <c r="AJ25" s="107"/>
    </row>
    <row r="26" ht="15.75" customHeight="1">
      <c r="A26" s="107" t="str">
        <f>CityU!A3</f>
        <v>JS1001</v>
      </c>
      <c r="B26" s="107" t="str">
        <f>CityU!C3</f>
        <v>工商管理學士(環球商業)</v>
      </c>
      <c r="C26" s="116" t="s">
        <v>191</v>
      </c>
      <c r="D26" s="107">
        <f t="shared" si="8"/>
        <v>0.00000000285</v>
      </c>
      <c r="E26" s="107">
        <f t="shared" si="9"/>
        <v>0.0000000001</v>
      </c>
      <c r="F26" s="107">
        <f t="shared" si="10"/>
        <v>0.0000000002</v>
      </c>
      <c r="G26" s="107">
        <f t="shared" si="11"/>
        <v>0.0000000003</v>
      </c>
      <c r="H26" s="107">
        <f t="shared" si="12"/>
        <v>0.0000000004</v>
      </c>
      <c r="I26" s="107">
        <f t="shared" si="13"/>
        <v>0.0000000005</v>
      </c>
      <c r="J26" s="107">
        <f t="shared" si="14"/>
        <v>0.0000000006</v>
      </c>
      <c r="K26" s="107">
        <f t="shared" si="15"/>
        <v>0.0000000007</v>
      </c>
      <c r="L26" s="107">
        <f t="shared" si="16"/>
        <v>0.0000000008</v>
      </c>
      <c r="M26" s="107">
        <f t="shared" si="17"/>
        <v>0.0000000009</v>
      </c>
      <c r="N26" s="107">
        <f t="shared" si="18"/>
        <v>0.00000000095</v>
      </c>
      <c r="O26" s="107"/>
      <c r="P26" s="107"/>
      <c r="Q26" s="107" t="s">
        <v>192</v>
      </c>
      <c r="R26" s="107">
        <f t="array" ref="R26">INDEX(J$1:M$1,MATCH(LARGE(S148:V148,1),S148:V148,0))</f>
        <v>0</v>
      </c>
      <c r="S26" s="107"/>
      <c r="T26" s="107"/>
      <c r="U26" s="107"/>
      <c r="V26" s="107"/>
      <c r="W26" s="107"/>
      <c r="X26" s="107"/>
      <c r="Y26" s="107"/>
      <c r="Z26" s="107"/>
      <c r="AA26" s="107"/>
      <c r="AB26" s="107"/>
      <c r="AC26" s="107"/>
      <c r="AD26" s="107"/>
      <c r="AE26" s="107"/>
      <c r="AF26" s="107"/>
      <c r="AG26" s="107"/>
      <c r="AH26" s="107"/>
      <c r="AI26" s="107"/>
      <c r="AJ26" s="107"/>
    </row>
    <row r="27" ht="15.75" customHeight="1">
      <c r="A27" s="107" t="str">
        <f>CityU!A4</f>
        <v>JS1002</v>
      </c>
      <c r="B27" s="107" t="str">
        <f>CityU!C4</f>
        <v>工商管理學士(會計)</v>
      </c>
      <c r="C27" s="117" t="s">
        <v>191</v>
      </c>
      <c r="D27" s="107">
        <f t="shared" si="8"/>
        <v>0.00000000285</v>
      </c>
      <c r="E27" s="107">
        <f t="shared" si="9"/>
        <v>0.0000000001</v>
      </c>
      <c r="F27" s="107">
        <f t="shared" si="10"/>
        <v>0.0000000002</v>
      </c>
      <c r="G27" s="107">
        <f t="shared" si="11"/>
        <v>0.0000000003</v>
      </c>
      <c r="H27" s="107">
        <f t="shared" si="12"/>
        <v>0.0000000004</v>
      </c>
      <c r="I27" s="107">
        <f t="shared" si="13"/>
        <v>0.0000000005</v>
      </c>
      <c r="J27" s="107">
        <f t="shared" si="14"/>
        <v>0.0000000006</v>
      </c>
      <c r="K27" s="107">
        <f t="shared" si="15"/>
        <v>0.0000000007</v>
      </c>
      <c r="L27" s="107">
        <f t="shared" si="16"/>
        <v>0.0000000008</v>
      </c>
      <c r="M27" s="107">
        <f t="shared" si="17"/>
        <v>0.0000000009</v>
      </c>
      <c r="N27" s="107">
        <f t="shared" si="18"/>
        <v>0.00000000095</v>
      </c>
      <c r="O27" s="107"/>
      <c r="P27" s="107"/>
      <c r="Q27" s="107"/>
      <c r="R27" s="107">
        <f>LARGE((S148:V148),1)</f>
        <v>0</v>
      </c>
      <c r="S27" s="107"/>
      <c r="T27" s="107"/>
      <c r="U27" s="107"/>
      <c r="V27" s="107"/>
      <c r="W27" s="107"/>
      <c r="X27" s="107"/>
      <c r="Y27" s="107"/>
      <c r="Z27" s="107"/>
      <c r="AA27" s="107"/>
      <c r="AB27" s="107"/>
      <c r="AC27" s="107"/>
      <c r="AD27" s="107"/>
      <c r="AE27" s="107"/>
      <c r="AF27" s="107"/>
      <c r="AG27" s="107"/>
      <c r="AH27" s="107"/>
      <c r="AI27" s="107"/>
      <c r="AJ27" s="107"/>
    </row>
    <row r="28" ht="15.75" customHeight="1">
      <c r="A28" s="107" t="str">
        <f>CityU!A5</f>
        <v>JS1005</v>
      </c>
      <c r="B28" s="107" t="str">
        <f>CityU!C5</f>
        <v>工商管理學士(管理學)</v>
      </c>
      <c r="C28" s="117" t="s">
        <v>191</v>
      </c>
      <c r="D28" s="107">
        <f t="shared" si="8"/>
        <v>0.00000000285</v>
      </c>
      <c r="E28" s="107">
        <f t="shared" si="9"/>
        <v>0.0000000001</v>
      </c>
      <c r="F28" s="107">
        <f t="shared" si="10"/>
        <v>0.0000000002</v>
      </c>
      <c r="G28" s="107">
        <f t="shared" si="11"/>
        <v>0.0000000003</v>
      </c>
      <c r="H28" s="107">
        <f t="shared" si="12"/>
        <v>0.0000000004</v>
      </c>
      <c r="I28" s="107">
        <f t="shared" si="13"/>
        <v>0.0000000005</v>
      </c>
      <c r="J28" s="107">
        <f t="shared" si="14"/>
        <v>0.0000000006</v>
      </c>
      <c r="K28" s="107">
        <f t="shared" si="15"/>
        <v>0.0000000007</v>
      </c>
      <c r="L28" s="107">
        <f t="shared" si="16"/>
        <v>0.0000000008</v>
      </c>
      <c r="M28" s="107">
        <f t="shared" si="17"/>
        <v>0.0000000009</v>
      </c>
      <c r="N28" s="107">
        <f t="shared" si="18"/>
        <v>0.00000000095</v>
      </c>
      <c r="O28" s="107"/>
      <c r="P28" s="107" t="s">
        <v>193</v>
      </c>
      <c r="Q28" s="118" t="s">
        <v>194</v>
      </c>
      <c r="R28" s="107">
        <f t="array" ref="R28">INDEX(J$1:M$1,MATCH(LARGE(S146:V146,1),S146:V146,0))</f>
        <v>0</v>
      </c>
      <c r="S28" s="107">
        <f>IF(OR(R28="化學",R28="生物"),1,0)</f>
        <v>0</v>
      </c>
      <c r="T28" s="107"/>
      <c r="U28" s="107"/>
      <c r="V28" s="107"/>
      <c r="W28" s="107"/>
      <c r="X28" s="107"/>
      <c r="Y28" s="107"/>
      <c r="Z28" s="107"/>
      <c r="AA28" s="107"/>
      <c r="AB28" s="107"/>
      <c r="AC28" s="107"/>
      <c r="AD28" s="107"/>
      <c r="AE28" s="107"/>
      <c r="AF28" s="107"/>
      <c r="AG28" s="107"/>
      <c r="AH28" s="107"/>
      <c r="AI28" s="107"/>
      <c r="AJ28" s="107"/>
    </row>
    <row r="29" ht="15.75" customHeight="1">
      <c r="A29" s="107" t="str">
        <f>CityU!A6</f>
        <v>JS1007</v>
      </c>
      <c r="B29" s="107" t="str">
        <f>CityU!C6</f>
        <v>工商管理學士(市場營銷)</v>
      </c>
      <c r="C29" s="116" t="s">
        <v>191</v>
      </c>
      <c r="D29" s="107">
        <f t="shared" si="8"/>
        <v>0.00000000295</v>
      </c>
      <c r="E29" s="107">
        <f t="shared" si="9"/>
        <v>0.0000000001</v>
      </c>
      <c r="F29" s="107">
        <f>$F$4*1.5</f>
        <v>0.0000000003</v>
      </c>
      <c r="G29" s="107">
        <f t="shared" si="11"/>
        <v>0.0000000003</v>
      </c>
      <c r="H29" s="107">
        <f t="shared" si="12"/>
        <v>0.0000000004</v>
      </c>
      <c r="I29" s="107">
        <f t="shared" si="13"/>
        <v>0.0000000005</v>
      </c>
      <c r="J29" s="107">
        <f t="shared" si="14"/>
        <v>0.0000000006</v>
      </c>
      <c r="K29" s="107">
        <f t="shared" si="15"/>
        <v>0.0000000007</v>
      </c>
      <c r="L29" s="107">
        <f t="shared" si="16"/>
        <v>0.0000000008</v>
      </c>
      <c r="M29" s="107">
        <f t="shared" si="17"/>
        <v>0.0000000009</v>
      </c>
      <c r="N29" s="107">
        <f t="shared" si="18"/>
        <v>0.00000000095</v>
      </c>
      <c r="O29" s="107"/>
      <c r="P29" s="107"/>
      <c r="Q29" s="107"/>
      <c r="R29" s="107">
        <f>LARGE((S149:V149),1)</f>
        <v>0</v>
      </c>
      <c r="S29" s="107"/>
      <c r="T29" s="107">
        <f t="shared" ref="T29:T40" si="19">IF(R29&lt;3,0,R29)</f>
        <v>0</v>
      </c>
      <c r="U29" s="107"/>
      <c r="V29" s="107"/>
      <c r="W29" s="107"/>
      <c r="X29" s="107"/>
      <c r="Y29" s="107"/>
      <c r="Z29" s="107"/>
      <c r="AA29" s="107"/>
      <c r="AB29" s="107"/>
      <c r="AC29" s="107"/>
      <c r="AD29" s="107"/>
      <c r="AE29" s="107"/>
      <c r="AF29" s="107"/>
      <c r="AG29" s="107"/>
      <c r="AH29" s="107"/>
      <c r="AI29" s="107"/>
      <c r="AJ29" s="107"/>
    </row>
    <row r="30" ht="15.75" customHeight="1">
      <c r="A30" s="107" t="str">
        <f>CityU!A7</f>
        <v>JS1012</v>
      </c>
      <c r="B30" s="107" t="str">
        <f>CityU!C7</f>
        <v>經濟及金融系 [選項: 工商管理學士(商業經濟)、工商管理學士(金融)]</v>
      </c>
      <c r="C30" s="116" t="s">
        <v>191</v>
      </c>
      <c r="D30" s="107">
        <f t="shared" si="8"/>
        <v>0.00000000285</v>
      </c>
      <c r="E30" s="107">
        <f t="shared" si="9"/>
        <v>0.0000000001</v>
      </c>
      <c r="F30" s="107">
        <f t="shared" ref="F30:F38" si="20">$F$4</f>
        <v>0.0000000002</v>
      </c>
      <c r="G30" s="107">
        <f t="shared" si="11"/>
        <v>0.0000000003</v>
      </c>
      <c r="H30" s="107">
        <f t="shared" si="12"/>
        <v>0.0000000004</v>
      </c>
      <c r="I30" s="107">
        <f t="shared" si="13"/>
        <v>0.0000000005</v>
      </c>
      <c r="J30" s="107">
        <f t="shared" si="14"/>
        <v>0.0000000006</v>
      </c>
      <c r="K30" s="107">
        <f t="shared" si="15"/>
        <v>0.0000000007</v>
      </c>
      <c r="L30" s="107">
        <f t="shared" si="16"/>
        <v>0.0000000008</v>
      </c>
      <c r="M30" s="107">
        <f t="shared" si="17"/>
        <v>0.0000000009</v>
      </c>
      <c r="N30" s="107">
        <f t="shared" si="18"/>
        <v>0.00000000095</v>
      </c>
      <c r="O30" s="107"/>
      <c r="P30" s="107"/>
      <c r="Q30" s="107" t="s">
        <v>195</v>
      </c>
      <c r="R30" s="107">
        <f t="shared" ref="R30:R34" si="21">LARGE((R150:V150),1)</f>
        <v>0.0000000005</v>
      </c>
      <c r="S30" s="107"/>
      <c r="T30" s="107">
        <f t="shared" si="19"/>
        <v>0</v>
      </c>
      <c r="U30" s="107"/>
      <c r="V30" s="107"/>
      <c r="W30" s="107"/>
      <c r="X30" s="107"/>
      <c r="Y30" s="107"/>
      <c r="Z30" s="107"/>
      <c r="AA30" s="107"/>
      <c r="AB30" s="107"/>
      <c r="AC30" s="107"/>
      <c r="AD30" s="107"/>
      <c r="AE30" s="107"/>
      <c r="AF30" s="107"/>
      <c r="AG30" s="107"/>
      <c r="AH30" s="107"/>
      <c r="AI30" s="107"/>
      <c r="AJ30" s="107"/>
    </row>
    <row r="31" ht="15.75" customHeight="1">
      <c r="A31" s="107" t="str">
        <f>CityU!A8</f>
        <v>JS1013</v>
      </c>
      <c r="B31" s="107" t="str">
        <f>CityU!C8</f>
        <v>工商管理學士(商業經濟)</v>
      </c>
      <c r="C31" s="116" t="s">
        <v>191</v>
      </c>
      <c r="D31" s="107">
        <f t="shared" si="8"/>
        <v>0.00000000285</v>
      </c>
      <c r="E31" s="107">
        <f t="shared" si="9"/>
        <v>0.0000000001</v>
      </c>
      <c r="F31" s="107">
        <f t="shared" si="20"/>
        <v>0.0000000002</v>
      </c>
      <c r="G31" s="107">
        <f t="shared" si="11"/>
        <v>0.0000000003</v>
      </c>
      <c r="H31" s="107">
        <f t="shared" si="12"/>
        <v>0.0000000004</v>
      </c>
      <c r="I31" s="107">
        <f t="shared" si="13"/>
        <v>0.0000000005</v>
      </c>
      <c r="J31" s="107">
        <f t="shared" si="14"/>
        <v>0.0000000006</v>
      </c>
      <c r="K31" s="107">
        <f t="shared" si="15"/>
        <v>0.0000000007</v>
      </c>
      <c r="L31" s="107">
        <f t="shared" si="16"/>
        <v>0.0000000008</v>
      </c>
      <c r="M31" s="107">
        <f t="shared" si="17"/>
        <v>0.0000000009</v>
      </c>
      <c r="N31" s="107">
        <f t="shared" si="18"/>
        <v>0.00000000095</v>
      </c>
      <c r="O31" s="107"/>
      <c r="P31" s="107"/>
      <c r="Q31" s="107" t="s">
        <v>196</v>
      </c>
      <c r="R31" s="107">
        <f t="shared" si="21"/>
        <v>0.0000000005</v>
      </c>
      <c r="S31" s="107"/>
      <c r="T31" s="107">
        <f t="shared" si="19"/>
        <v>0</v>
      </c>
      <c r="U31" s="107"/>
      <c r="V31" s="107"/>
      <c r="W31" s="107"/>
      <c r="X31" s="107"/>
      <c r="Y31" s="107"/>
      <c r="Z31" s="107"/>
      <c r="AA31" s="107"/>
      <c r="AB31" s="107"/>
      <c r="AC31" s="107"/>
      <c r="AD31" s="107"/>
      <c r="AE31" s="107"/>
      <c r="AF31" s="107"/>
      <c r="AG31" s="107"/>
      <c r="AH31" s="107"/>
      <c r="AI31" s="107"/>
      <c r="AJ31" s="107"/>
    </row>
    <row r="32" ht="15.75" customHeight="1">
      <c r="A32" s="107" t="str">
        <f>CityU!A9</f>
        <v>JS1014</v>
      </c>
      <c r="B32" s="107" t="str">
        <f>CityU!C9</f>
        <v>工商管理學士(金融)</v>
      </c>
      <c r="C32" s="116" t="s">
        <v>191</v>
      </c>
      <c r="D32" s="107">
        <f t="shared" si="8"/>
        <v>0.00000000285</v>
      </c>
      <c r="E32" s="107">
        <f t="shared" si="9"/>
        <v>0.0000000001</v>
      </c>
      <c r="F32" s="107">
        <f t="shared" si="20"/>
        <v>0.0000000002</v>
      </c>
      <c r="G32" s="107">
        <f t="shared" si="11"/>
        <v>0.0000000003</v>
      </c>
      <c r="H32" s="107">
        <f t="shared" si="12"/>
        <v>0.0000000004</v>
      </c>
      <c r="I32" s="107">
        <f t="shared" si="13"/>
        <v>0.0000000005</v>
      </c>
      <c r="J32" s="107">
        <f t="shared" si="14"/>
        <v>0.0000000006</v>
      </c>
      <c r="K32" s="107">
        <f t="shared" si="15"/>
        <v>0.0000000007</v>
      </c>
      <c r="L32" s="107">
        <f t="shared" si="16"/>
        <v>0.0000000008</v>
      </c>
      <c r="M32" s="107">
        <f t="shared" si="17"/>
        <v>0.0000000009</v>
      </c>
      <c r="N32" s="107">
        <f t="shared" si="18"/>
        <v>0.00000000095</v>
      </c>
      <c r="O32" s="107"/>
      <c r="P32" s="107"/>
      <c r="Q32" s="107" t="s">
        <v>197</v>
      </c>
      <c r="R32" s="107">
        <f t="shared" si="21"/>
        <v>0</v>
      </c>
      <c r="S32" s="107"/>
      <c r="T32" s="107">
        <f t="shared" si="19"/>
        <v>0</v>
      </c>
      <c r="U32" s="107"/>
      <c r="V32" s="107"/>
      <c r="W32" s="107"/>
      <c r="X32" s="107"/>
      <c r="Y32" s="107"/>
      <c r="Z32" s="107"/>
      <c r="AA32" s="107"/>
      <c r="AB32" s="107"/>
      <c r="AC32" s="107"/>
      <c r="AD32" s="107"/>
      <c r="AE32" s="107"/>
      <c r="AF32" s="107"/>
      <c r="AG32" s="107"/>
      <c r="AH32" s="107"/>
      <c r="AI32" s="107"/>
      <c r="AJ32" s="107"/>
    </row>
    <row r="33" ht="15.75" customHeight="1">
      <c r="A33" s="107" t="str">
        <f>CityU!A10</f>
        <v>JS1017</v>
      </c>
      <c r="B33" s="107" t="str">
        <f>CityU!C10</f>
        <v>資訊系統學系 [選項: 工商管理學士(環球商業系統管理)、工商管理學士(資訊管理)]</v>
      </c>
      <c r="C33" s="116" t="s">
        <v>191</v>
      </c>
      <c r="D33" s="107">
        <f t="shared" si="8"/>
        <v>0.00000000285</v>
      </c>
      <c r="E33" s="107">
        <f t="shared" si="9"/>
        <v>0.0000000001</v>
      </c>
      <c r="F33" s="107">
        <f t="shared" si="20"/>
        <v>0.0000000002</v>
      </c>
      <c r="G33" s="107">
        <f t="shared" si="11"/>
        <v>0.0000000003</v>
      </c>
      <c r="H33" s="107">
        <f t="shared" si="12"/>
        <v>0.0000000004</v>
      </c>
      <c r="I33" s="107">
        <f t="shared" si="13"/>
        <v>0.0000000005</v>
      </c>
      <c r="J33" s="107">
        <f t="shared" si="14"/>
        <v>0.0000000006</v>
      </c>
      <c r="K33" s="107">
        <f t="shared" si="15"/>
        <v>0.0000000007</v>
      </c>
      <c r="L33" s="107">
        <f t="shared" si="16"/>
        <v>0.0000000008</v>
      </c>
      <c r="M33" s="107">
        <f t="shared" si="17"/>
        <v>0.0000000009</v>
      </c>
      <c r="N33" s="107">
        <f t="shared" si="18"/>
        <v>0.00000000095</v>
      </c>
      <c r="O33" s="107"/>
      <c r="P33" s="107"/>
      <c r="Q33" s="107" t="s">
        <v>198</v>
      </c>
      <c r="R33" s="107">
        <f t="shared" si="21"/>
        <v>0</v>
      </c>
      <c r="S33" s="107"/>
      <c r="T33" s="107">
        <f t="shared" si="19"/>
        <v>0</v>
      </c>
      <c r="U33" s="107"/>
      <c r="V33" s="107"/>
      <c r="W33" s="107"/>
      <c r="X33" s="107"/>
      <c r="Y33" s="107"/>
      <c r="Z33" s="107"/>
      <c r="AA33" s="107"/>
      <c r="AB33" s="107"/>
      <c r="AC33" s="107"/>
      <c r="AD33" s="107"/>
      <c r="AE33" s="107"/>
      <c r="AF33" s="107"/>
      <c r="AG33" s="107"/>
      <c r="AH33" s="107"/>
      <c r="AI33" s="107"/>
      <c r="AJ33" s="107"/>
    </row>
    <row r="34" ht="15.75" customHeight="1">
      <c r="A34" s="107" t="str">
        <f>CityU!A11</f>
        <v>JS1018</v>
      </c>
      <c r="B34" s="107" t="str">
        <f>CityU!C11</f>
        <v>工商管理學士(環球商業系統管理)</v>
      </c>
      <c r="C34" s="116" t="s">
        <v>191</v>
      </c>
      <c r="D34" s="107">
        <f t="shared" si="8"/>
        <v>0.00000000285</v>
      </c>
      <c r="E34" s="107">
        <f t="shared" si="9"/>
        <v>0.0000000001</v>
      </c>
      <c r="F34" s="107">
        <f t="shared" si="20"/>
        <v>0.0000000002</v>
      </c>
      <c r="G34" s="107">
        <f t="shared" si="11"/>
        <v>0.0000000003</v>
      </c>
      <c r="H34" s="107">
        <f t="shared" si="12"/>
        <v>0.0000000004</v>
      </c>
      <c r="I34" s="107">
        <f t="shared" si="13"/>
        <v>0.0000000005</v>
      </c>
      <c r="J34" s="107">
        <f t="shared" si="14"/>
        <v>0.0000000006</v>
      </c>
      <c r="K34" s="107">
        <f t="shared" si="15"/>
        <v>0.0000000007</v>
      </c>
      <c r="L34" s="107">
        <f t="shared" si="16"/>
        <v>0.0000000008</v>
      </c>
      <c r="M34" s="107">
        <f t="shared" si="17"/>
        <v>0.0000000009</v>
      </c>
      <c r="N34" s="107">
        <f t="shared" si="18"/>
        <v>0.00000000095</v>
      </c>
      <c r="O34" s="107"/>
      <c r="P34" s="107"/>
      <c r="Q34" s="107" t="s">
        <v>199</v>
      </c>
      <c r="R34" s="107">
        <f t="shared" si="21"/>
        <v>0</v>
      </c>
      <c r="S34" s="107"/>
      <c r="T34" s="107">
        <f t="shared" si="19"/>
        <v>0</v>
      </c>
      <c r="U34" s="107"/>
      <c r="V34" s="107"/>
      <c r="W34" s="107"/>
      <c r="X34" s="107"/>
      <c r="Y34" s="107"/>
      <c r="Z34" s="107"/>
      <c r="AA34" s="107"/>
      <c r="AB34" s="107"/>
      <c r="AC34" s="107"/>
      <c r="AD34" s="107"/>
      <c r="AE34" s="107"/>
      <c r="AF34" s="107"/>
      <c r="AG34" s="107"/>
      <c r="AH34" s="107"/>
      <c r="AI34" s="107"/>
      <c r="AJ34" s="107"/>
    </row>
    <row r="35" ht="15.75" customHeight="1">
      <c r="A35" s="107" t="str">
        <f>CityU!A12</f>
        <v>JS1019</v>
      </c>
      <c r="B35" s="107" t="str">
        <f>CityU!C12</f>
        <v>工商管理學士(資訊管理)</v>
      </c>
      <c r="C35" s="116" t="s">
        <v>191</v>
      </c>
      <c r="D35" s="107">
        <f t="shared" si="8"/>
        <v>0.00000000285</v>
      </c>
      <c r="E35" s="107">
        <f t="shared" si="9"/>
        <v>0.0000000001</v>
      </c>
      <c r="F35" s="107">
        <f t="shared" si="20"/>
        <v>0.0000000002</v>
      </c>
      <c r="G35" s="107">
        <f t="shared" si="11"/>
        <v>0.0000000003</v>
      </c>
      <c r="H35" s="107">
        <f t="shared" si="12"/>
        <v>0.0000000004</v>
      </c>
      <c r="I35" s="107">
        <f t="shared" si="13"/>
        <v>0.0000000005</v>
      </c>
      <c r="J35" s="107">
        <f t="shared" si="14"/>
        <v>0.0000000006</v>
      </c>
      <c r="K35" s="107">
        <f t="shared" si="15"/>
        <v>0.0000000007</v>
      </c>
      <c r="L35" s="107">
        <f t="shared" si="16"/>
        <v>0.0000000008</v>
      </c>
      <c r="M35" s="107">
        <f t="shared" si="17"/>
        <v>0.0000000009</v>
      </c>
      <c r="N35" s="107">
        <f t="shared" si="18"/>
        <v>0.00000000095</v>
      </c>
      <c r="O35" s="107"/>
      <c r="P35" s="107"/>
      <c r="Q35" s="107" t="s">
        <v>200</v>
      </c>
      <c r="R35" s="107">
        <f>LARGE((S155:V155),1)</f>
        <v>0</v>
      </c>
      <c r="S35" s="107"/>
      <c r="T35" s="107">
        <f t="shared" si="19"/>
        <v>0</v>
      </c>
      <c r="U35" s="107"/>
      <c r="V35" s="107"/>
      <c r="W35" s="107"/>
      <c r="X35" s="107"/>
      <c r="Y35" s="107"/>
      <c r="Z35" s="107"/>
      <c r="AA35" s="107"/>
      <c r="AB35" s="107"/>
      <c r="AC35" s="107"/>
      <c r="AD35" s="107"/>
      <c r="AE35" s="107"/>
      <c r="AF35" s="107"/>
      <c r="AG35" s="107"/>
      <c r="AH35" s="107"/>
      <c r="AI35" s="107"/>
      <c r="AJ35" s="107"/>
    </row>
    <row r="36" ht="15.75" customHeight="1">
      <c r="A36" s="107" t="str">
        <f>CityU!A13</f>
        <v>JS1025</v>
      </c>
      <c r="B36" s="107" t="str">
        <f>CityU!C13</f>
        <v>管理科學系 [選項: 工商管理學士(商業分析)、工商管理學士(商業營運管理)]</v>
      </c>
      <c r="C36" s="116" t="s">
        <v>191</v>
      </c>
      <c r="D36" s="107">
        <f t="shared" si="8"/>
        <v>0.00000000285</v>
      </c>
      <c r="E36" s="107">
        <f t="shared" si="9"/>
        <v>0.0000000001</v>
      </c>
      <c r="F36" s="107">
        <f t="shared" si="20"/>
        <v>0.0000000002</v>
      </c>
      <c r="G36" s="107">
        <f t="shared" si="11"/>
        <v>0.0000000003</v>
      </c>
      <c r="H36" s="107">
        <f t="shared" si="12"/>
        <v>0.0000000004</v>
      </c>
      <c r="I36" s="107">
        <f t="shared" si="13"/>
        <v>0.0000000005</v>
      </c>
      <c r="J36" s="107">
        <f t="shared" si="14"/>
        <v>0.0000000006</v>
      </c>
      <c r="K36" s="107">
        <f t="shared" si="15"/>
        <v>0.0000000007</v>
      </c>
      <c r="L36" s="107">
        <f t="shared" si="16"/>
        <v>0.0000000008</v>
      </c>
      <c r="M36" s="107">
        <f t="shared" si="17"/>
        <v>0.0000000009</v>
      </c>
      <c r="N36" s="107">
        <f t="shared" si="18"/>
        <v>0.00000000095</v>
      </c>
      <c r="O36" s="107"/>
      <c r="P36" s="107" t="s">
        <v>201</v>
      </c>
      <c r="Q36" s="107" t="s">
        <v>202</v>
      </c>
      <c r="R36" s="107">
        <f>LARGE((R156:V156),1)</f>
        <v>0.0000000005</v>
      </c>
      <c r="S36" s="107"/>
      <c r="T36" s="107">
        <f t="shared" si="19"/>
        <v>0</v>
      </c>
      <c r="U36" s="107"/>
      <c r="V36" s="107"/>
      <c r="W36" s="107"/>
      <c r="X36" s="107"/>
      <c r="Y36" s="107"/>
      <c r="Z36" s="107"/>
      <c r="AA36" s="107"/>
      <c r="AB36" s="107"/>
      <c r="AC36" s="107"/>
      <c r="AD36" s="107"/>
      <c r="AE36" s="107"/>
      <c r="AF36" s="107"/>
      <c r="AG36" s="107"/>
      <c r="AH36" s="107"/>
      <c r="AI36" s="107"/>
      <c r="AJ36" s="107"/>
    </row>
    <row r="37" ht="15.75" customHeight="1">
      <c r="A37" s="107" t="str">
        <f>CityU!A14</f>
        <v>JS1026</v>
      </c>
      <c r="B37" s="107" t="str">
        <f>CityU!C14</f>
        <v>工商管理學士(商業分析)</v>
      </c>
      <c r="C37" s="116" t="s">
        <v>191</v>
      </c>
      <c r="D37" s="107">
        <f t="shared" si="8"/>
        <v>0.00000000285</v>
      </c>
      <c r="E37" s="107">
        <f t="shared" si="9"/>
        <v>0.0000000001</v>
      </c>
      <c r="F37" s="107">
        <f t="shared" si="20"/>
        <v>0.0000000002</v>
      </c>
      <c r="G37" s="107">
        <f t="shared" si="11"/>
        <v>0.0000000003</v>
      </c>
      <c r="H37" s="107">
        <f t="shared" si="12"/>
        <v>0.0000000004</v>
      </c>
      <c r="I37" s="107">
        <f t="shared" si="13"/>
        <v>0.0000000005</v>
      </c>
      <c r="J37" s="107">
        <f t="shared" si="14"/>
        <v>0.0000000006</v>
      </c>
      <c r="K37" s="107">
        <f t="shared" si="15"/>
        <v>0.0000000007</v>
      </c>
      <c r="L37" s="107">
        <f t="shared" si="16"/>
        <v>0.0000000008</v>
      </c>
      <c r="M37" s="107">
        <f t="shared" si="17"/>
        <v>0.0000000009</v>
      </c>
      <c r="N37" s="107">
        <f t="shared" si="18"/>
        <v>0.00000000095</v>
      </c>
      <c r="O37" s="107"/>
      <c r="P37" s="107" t="s">
        <v>203</v>
      </c>
      <c r="Q37" s="107" t="s">
        <v>204</v>
      </c>
      <c r="R37" s="107">
        <f>IF(LARGE((S157:V157),1)&gt;3,LARGE((S157:V157),1),0)</f>
        <v>0</v>
      </c>
      <c r="S37" s="107"/>
      <c r="T37" s="107">
        <f t="shared" si="19"/>
        <v>0</v>
      </c>
      <c r="U37" s="107"/>
      <c r="V37" s="107"/>
      <c r="W37" s="107"/>
      <c r="X37" s="107"/>
      <c r="Y37" s="107"/>
      <c r="Z37" s="107"/>
      <c r="AA37" s="107"/>
      <c r="AB37" s="107"/>
      <c r="AC37" s="107"/>
      <c r="AD37" s="107"/>
      <c r="AE37" s="107"/>
      <c r="AF37" s="107"/>
      <c r="AG37" s="107"/>
      <c r="AH37" s="107"/>
      <c r="AI37" s="107"/>
      <c r="AJ37" s="107"/>
    </row>
    <row r="38" ht="15.75" customHeight="1">
      <c r="A38" s="107" t="str">
        <f>CityU!A15</f>
        <v>JS1027</v>
      </c>
      <c r="B38" s="107" t="str">
        <f>CityU!C15</f>
        <v>工商管理學士(商業營運管理)</v>
      </c>
      <c r="C38" s="116" t="s">
        <v>191</v>
      </c>
      <c r="D38" s="107">
        <f t="shared" si="8"/>
        <v>0.00000000285</v>
      </c>
      <c r="E38" s="107">
        <f t="shared" si="9"/>
        <v>0.0000000001</v>
      </c>
      <c r="F38" s="107">
        <f t="shared" si="20"/>
        <v>0.0000000002</v>
      </c>
      <c r="G38" s="107">
        <f t="shared" si="11"/>
        <v>0.0000000003</v>
      </c>
      <c r="H38" s="107">
        <f t="shared" si="12"/>
        <v>0.0000000004</v>
      </c>
      <c r="I38" s="107">
        <f t="shared" si="13"/>
        <v>0.0000000005</v>
      </c>
      <c r="J38" s="107">
        <f t="shared" si="14"/>
        <v>0.0000000006</v>
      </c>
      <c r="K38" s="107">
        <f t="shared" si="15"/>
        <v>0.0000000007</v>
      </c>
      <c r="L38" s="107">
        <f t="shared" si="16"/>
        <v>0.0000000008</v>
      </c>
      <c r="M38" s="107">
        <f t="shared" si="17"/>
        <v>0.0000000009</v>
      </c>
      <c r="N38" s="107">
        <f t="shared" si="18"/>
        <v>0.00000000095</v>
      </c>
      <c r="O38" s="107"/>
      <c r="P38" s="107"/>
      <c r="Q38" s="107" t="s">
        <v>205</v>
      </c>
      <c r="R38" s="107">
        <f>LARGE((R158:V158),1)</f>
        <v>0</v>
      </c>
      <c r="S38" s="107">
        <f t="array" ref="S38">INDEX(J$1:M$1,MATCH(LARGE(S149:V149,1),S149:V149,0))</f>
        <v>0</v>
      </c>
      <c r="T38" s="107">
        <f t="shared" si="19"/>
        <v>0</v>
      </c>
      <c r="U38" s="107"/>
      <c r="V38" s="107"/>
      <c r="W38" s="107"/>
      <c r="X38" s="107"/>
      <c r="Y38" s="107"/>
      <c r="Z38" s="107"/>
      <c r="AA38" s="107"/>
      <c r="AB38" s="107"/>
      <c r="AC38" s="107"/>
      <c r="AD38" s="107"/>
      <c r="AE38" s="107"/>
      <c r="AF38" s="107"/>
      <c r="AG38" s="107"/>
      <c r="AH38" s="107"/>
      <c r="AI38" s="107"/>
      <c r="AJ38" s="107"/>
    </row>
    <row r="39" ht="15.75" customHeight="1">
      <c r="A39" s="107" t="str">
        <f>CityU!A16</f>
        <v>JS1041</v>
      </c>
      <c r="B39" s="107" t="str">
        <f>CityU!C16</f>
        <v>創意媒體學院 [選項: 文學士(創意媒體)、理學士(創意媒體)、文理學士(新媒體)]</v>
      </c>
      <c r="C39" s="116" t="s">
        <v>191</v>
      </c>
      <c r="D39" s="107">
        <f t="shared" si="8"/>
        <v>0.00000000305</v>
      </c>
      <c r="E39" s="107">
        <f t="shared" si="9"/>
        <v>0.0000000001</v>
      </c>
      <c r="F39" s="107">
        <f t="shared" ref="F39:F43" si="22">$F$4*2</f>
        <v>0.0000000004</v>
      </c>
      <c r="G39" s="107">
        <f t="shared" si="11"/>
        <v>0.0000000003</v>
      </c>
      <c r="H39" s="107">
        <f t="shared" si="12"/>
        <v>0.0000000004</v>
      </c>
      <c r="I39" s="107">
        <f t="shared" si="13"/>
        <v>0.0000000005</v>
      </c>
      <c r="J39" s="107">
        <f t="shared" si="14"/>
        <v>0.0000000006</v>
      </c>
      <c r="K39" s="107">
        <f t="shared" si="15"/>
        <v>0.0000000007</v>
      </c>
      <c r="L39" s="107">
        <f t="shared" si="16"/>
        <v>0.0000000008</v>
      </c>
      <c r="M39" s="107">
        <f t="shared" si="17"/>
        <v>0.0000000009</v>
      </c>
      <c r="N39" s="107">
        <f t="shared" si="18"/>
        <v>0.00000000095</v>
      </c>
      <c r="O39" s="107"/>
      <c r="P39" s="107"/>
      <c r="Q39" s="107" t="s">
        <v>206</v>
      </c>
      <c r="R39" s="107">
        <f t="shared" ref="R39:R40" si="23">LARGE((S159:V159),1)</f>
        <v>0</v>
      </c>
      <c r="S39" s="107"/>
      <c r="T39" s="107">
        <f t="shared" si="19"/>
        <v>0</v>
      </c>
      <c r="U39" s="107"/>
      <c r="V39" s="107"/>
      <c r="W39" s="107"/>
      <c r="X39" s="107"/>
      <c r="Y39" s="107"/>
      <c r="Z39" s="107"/>
      <c r="AA39" s="107"/>
      <c r="AB39" s="107"/>
      <c r="AC39" s="107"/>
      <c r="AD39" s="107"/>
      <c r="AE39" s="107"/>
      <c r="AF39" s="107"/>
      <c r="AG39" s="107"/>
      <c r="AH39" s="107"/>
      <c r="AI39" s="107"/>
      <c r="AJ39" s="107"/>
    </row>
    <row r="40" ht="15.75" customHeight="1">
      <c r="A40" s="107" t="str">
        <f>CityU!A17</f>
        <v>JS1042</v>
      </c>
      <c r="B40" s="107" t="str">
        <f>CityU!C17</f>
        <v>文學士(創意媒體)</v>
      </c>
      <c r="C40" s="116" t="s">
        <v>191</v>
      </c>
      <c r="D40" s="107">
        <f t="shared" si="8"/>
        <v>0.00000000305</v>
      </c>
      <c r="E40" s="107">
        <f t="shared" si="9"/>
        <v>0.0000000001</v>
      </c>
      <c r="F40" s="107">
        <f t="shared" si="22"/>
        <v>0.0000000004</v>
      </c>
      <c r="G40" s="107">
        <f t="shared" si="11"/>
        <v>0.0000000003</v>
      </c>
      <c r="H40" s="107">
        <f t="shared" si="12"/>
        <v>0.0000000004</v>
      </c>
      <c r="I40" s="107">
        <f t="shared" si="13"/>
        <v>0.0000000005</v>
      </c>
      <c r="J40" s="107">
        <f t="shared" si="14"/>
        <v>0.0000000006</v>
      </c>
      <c r="K40" s="107">
        <f t="shared" si="15"/>
        <v>0.0000000007</v>
      </c>
      <c r="L40" s="107">
        <f t="shared" si="16"/>
        <v>0.0000000008</v>
      </c>
      <c r="M40" s="107">
        <f t="shared" si="17"/>
        <v>0.0000000009</v>
      </c>
      <c r="N40" s="107">
        <f t="shared" si="18"/>
        <v>0.00000000095</v>
      </c>
      <c r="O40" s="107"/>
      <c r="P40" s="107"/>
      <c r="Q40" s="107" t="s">
        <v>207</v>
      </c>
      <c r="R40" s="107">
        <f t="shared" si="23"/>
        <v>0</v>
      </c>
      <c r="S40" s="107"/>
      <c r="T40" s="107">
        <f t="shared" si="19"/>
        <v>0</v>
      </c>
      <c r="U40" s="107"/>
      <c r="V40" s="107"/>
      <c r="W40" s="107"/>
      <c r="X40" s="107"/>
      <c r="Y40" s="107"/>
      <c r="Z40" s="107"/>
      <c r="AA40" s="107"/>
      <c r="AB40" s="107"/>
      <c r="AC40" s="107"/>
      <c r="AD40" s="107"/>
      <c r="AE40" s="107"/>
      <c r="AF40" s="107"/>
      <c r="AG40" s="107"/>
      <c r="AH40" s="107"/>
      <c r="AI40" s="107"/>
      <c r="AJ40" s="107"/>
    </row>
    <row r="41" ht="15.75" customHeight="1">
      <c r="A41" s="107" t="str">
        <f>CityU!A18</f>
        <v>JS1043</v>
      </c>
      <c r="B41" s="107" t="str">
        <f>CityU!C18</f>
        <v>理學士(創意媒體)</v>
      </c>
      <c r="C41" s="116" t="s">
        <v>191</v>
      </c>
      <c r="D41" s="107">
        <f t="shared" si="8"/>
        <v>0.0000000032</v>
      </c>
      <c r="E41" s="107">
        <f t="shared" si="9"/>
        <v>0.0000000001</v>
      </c>
      <c r="F41" s="107">
        <f t="shared" si="22"/>
        <v>0.0000000004</v>
      </c>
      <c r="G41" s="107">
        <f>$G$4*1.5</f>
        <v>0.00000000045</v>
      </c>
      <c r="H41" s="107">
        <f t="shared" si="12"/>
        <v>0.0000000004</v>
      </c>
      <c r="I41" s="107">
        <f t="shared" si="13"/>
        <v>0.0000000005</v>
      </c>
      <c r="J41" s="107">
        <f t="shared" si="14"/>
        <v>0.0000000006</v>
      </c>
      <c r="K41" s="107">
        <f t="shared" si="15"/>
        <v>0.0000000007</v>
      </c>
      <c r="L41" s="107">
        <f t="shared" si="16"/>
        <v>0.0000000008</v>
      </c>
      <c r="M41" s="107">
        <f t="shared" si="17"/>
        <v>0.0000000009</v>
      </c>
      <c r="N41" s="107">
        <f t="shared" si="18"/>
        <v>0.00000000095</v>
      </c>
      <c r="O41" s="107"/>
      <c r="P41" s="107" t="s">
        <v>208</v>
      </c>
      <c r="Q41" s="107" t="s">
        <v>209</v>
      </c>
      <c r="R41" s="107">
        <f>LARGE((R163:V163),1)</f>
        <v>0.0000000005</v>
      </c>
      <c r="S41" s="107"/>
      <c r="T41" s="107"/>
      <c r="U41" s="107"/>
      <c r="V41" s="107"/>
      <c r="W41" s="107"/>
      <c r="X41" s="107"/>
      <c r="Y41" s="107"/>
      <c r="Z41" s="107"/>
      <c r="AA41" s="107"/>
      <c r="AB41" s="107"/>
      <c r="AC41" s="107"/>
      <c r="AD41" s="107"/>
      <c r="AE41" s="107"/>
      <c r="AF41" s="107"/>
      <c r="AG41" s="107"/>
      <c r="AH41" s="107"/>
      <c r="AI41" s="107"/>
      <c r="AJ41" s="107"/>
    </row>
    <row r="42" ht="15.75" customHeight="1">
      <c r="A42" s="107" t="str">
        <f>CityU!A19</f>
        <v>JS1044</v>
      </c>
      <c r="B42" s="107" t="str">
        <f>CityU!C19</f>
        <v>文理學士(新媒體)</v>
      </c>
      <c r="C42" s="119" t="s">
        <v>191</v>
      </c>
      <c r="D42" s="107">
        <f t="shared" si="8"/>
        <v>0.00000000305</v>
      </c>
      <c r="E42" s="107">
        <f t="shared" si="9"/>
        <v>0.0000000001</v>
      </c>
      <c r="F42" s="107">
        <f t="shared" si="22"/>
        <v>0.0000000004</v>
      </c>
      <c r="G42" s="107">
        <f>$G$4</f>
        <v>0.0000000003</v>
      </c>
      <c r="H42" s="107">
        <f t="shared" si="12"/>
        <v>0.0000000004</v>
      </c>
      <c r="I42" s="107">
        <f t="shared" si="13"/>
        <v>0.0000000005</v>
      </c>
      <c r="J42" s="107">
        <f t="shared" si="14"/>
        <v>0.0000000006</v>
      </c>
      <c r="K42" s="107">
        <f t="shared" si="15"/>
        <v>0.0000000007</v>
      </c>
      <c r="L42" s="107">
        <f t="shared" si="16"/>
        <v>0.0000000008</v>
      </c>
      <c r="M42" s="107">
        <f t="shared" si="17"/>
        <v>0.0000000009</v>
      </c>
      <c r="N42" s="107">
        <f t="shared" si="18"/>
        <v>0.00000000095</v>
      </c>
      <c r="O42" s="107"/>
      <c r="P42" s="107"/>
      <c r="Q42" s="107"/>
      <c r="R42" s="107"/>
      <c r="S42" s="107"/>
      <c r="T42" s="107"/>
      <c r="U42" s="107"/>
      <c r="V42" s="107"/>
      <c r="W42" s="107"/>
      <c r="X42" s="107"/>
      <c r="Y42" s="107"/>
      <c r="Z42" s="107"/>
      <c r="AA42" s="107"/>
      <c r="AB42" s="107"/>
      <c r="AC42" s="107"/>
      <c r="AD42" s="107"/>
      <c r="AE42" s="107"/>
      <c r="AF42" s="107"/>
      <c r="AG42" s="107"/>
      <c r="AH42" s="107"/>
      <c r="AI42" s="107"/>
      <c r="AJ42" s="107"/>
    </row>
    <row r="43" ht="15.75" customHeight="1">
      <c r="A43" s="107" t="str">
        <f>CityU!A20</f>
        <v>JS1051</v>
      </c>
      <c r="B43" s="107" t="str">
        <f>CityU!C20</f>
        <v>能源及環境學院 [選項: 工學士(能源科學及工程學)、工學士(環境科學及工程學)]</v>
      </c>
      <c r="C43" s="119" t="s">
        <v>191</v>
      </c>
      <c r="D43" s="120">
        <f t="shared" si="8"/>
        <v>0.0000000059</v>
      </c>
      <c r="E43" s="120">
        <f t="shared" si="9"/>
        <v>0.0000000001</v>
      </c>
      <c r="F43" s="120">
        <f t="shared" si="22"/>
        <v>0.0000000004</v>
      </c>
      <c r="G43" s="120">
        <f>$G$4*2.5</f>
        <v>0.00000000075</v>
      </c>
      <c r="H43" s="120">
        <f t="shared" si="12"/>
        <v>0.0000000004</v>
      </c>
      <c r="I43" s="120">
        <f t="shared" si="13"/>
        <v>0.0000000005</v>
      </c>
      <c r="J43" s="120">
        <f>IF(J24=S38,J4*2.5,J4)</f>
        <v>0.0000000015</v>
      </c>
      <c r="K43" s="120">
        <f t="shared" ref="K43:M43" si="24">IF(K24=$S$38,K4*2.5,K4)</f>
        <v>0.00000000175</v>
      </c>
      <c r="L43" s="120">
        <f t="shared" si="24"/>
        <v>0.000000002</v>
      </c>
      <c r="M43" s="120">
        <f t="shared" si="24"/>
        <v>0.00000000225</v>
      </c>
      <c r="N43" s="120">
        <f t="shared" si="18"/>
        <v>0.00000000095</v>
      </c>
      <c r="O43" s="107"/>
      <c r="P43" s="107"/>
      <c r="Q43" s="107"/>
      <c r="R43" s="107"/>
      <c r="S43" s="107"/>
      <c r="T43" s="107"/>
      <c r="U43" s="107"/>
      <c r="V43" s="107"/>
      <c r="W43" s="107"/>
      <c r="X43" s="107"/>
      <c r="Y43" s="107"/>
      <c r="Z43" s="107"/>
      <c r="AA43" s="107"/>
      <c r="AB43" s="107"/>
      <c r="AC43" s="107"/>
      <c r="AD43" s="107"/>
      <c r="AE43" s="107"/>
      <c r="AF43" s="107"/>
      <c r="AG43" s="107"/>
      <c r="AH43" s="107"/>
      <c r="AI43" s="107"/>
      <c r="AJ43" s="107"/>
    </row>
    <row r="44" ht="15.75" customHeight="1">
      <c r="A44" s="107" t="str">
        <f>CityU!A21</f>
        <v>JS1061</v>
      </c>
      <c r="B44" s="107" t="str">
        <f>CityU!C21</f>
        <v>法律學學士</v>
      </c>
      <c r="C44" s="117" t="s">
        <v>191</v>
      </c>
      <c r="D44" s="107">
        <f t="shared" si="8"/>
        <v>0.00000000285</v>
      </c>
      <c r="E44" s="107">
        <f t="shared" si="9"/>
        <v>0.0000000001</v>
      </c>
      <c r="F44" s="107">
        <f>$F$4</f>
        <v>0.0000000002</v>
      </c>
      <c r="G44" s="107">
        <f>$G$4</f>
        <v>0.0000000003</v>
      </c>
      <c r="H44" s="107">
        <f t="shared" si="12"/>
        <v>0.0000000004</v>
      </c>
      <c r="I44" s="107">
        <f t="shared" si="13"/>
        <v>0.0000000005</v>
      </c>
      <c r="J44" s="107">
        <f t="shared" ref="J44:J50" si="25">$J$4</f>
        <v>0.0000000006</v>
      </c>
      <c r="K44" s="107">
        <f t="shared" ref="K44:K50" si="26">$K$4</f>
        <v>0.0000000007</v>
      </c>
      <c r="L44" s="107">
        <f t="shared" ref="L44:L50" si="27">$L$4</f>
        <v>0.0000000008</v>
      </c>
      <c r="M44" s="107">
        <f t="shared" ref="M44:M50" si="28">$M$4</f>
        <v>0.0000000009</v>
      </c>
      <c r="N44" s="107">
        <f t="shared" si="18"/>
        <v>0.00000000095</v>
      </c>
      <c r="O44" s="107"/>
      <c r="P44" s="107"/>
      <c r="Q44" s="121" t="s">
        <v>210</v>
      </c>
      <c r="R44" s="121"/>
      <c r="S44" s="121"/>
      <c r="T44" s="121"/>
      <c r="U44" s="121"/>
      <c r="V44" s="107"/>
      <c r="W44" s="107"/>
      <c r="X44" s="107"/>
      <c r="Y44" s="107"/>
      <c r="Z44" s="107"/>
      <c r="AA44" s="107"/>
      <c r="AB44" s="107"/>
      <c r="AC44" s="107"/>
      <c r="AD44" s="107"/>
      <c r="AE44" s="107"/>
      <c r="AF44" s="107"/>
      <c r="AG44" s="107"/>
      <c r="AH44" s="107"/>
      <c r="AI44" s="107"/>
      <c r="AJ44" s="107"/>
    </row>
    <row r="45" ht="15.75" customHeight="1">
      <c r="A45" s="107" t="str">
        <f>CityU!A22</f>
        <v>JS1071</v>
      </c>
      <c r="B45" s="107" t="str">
        <f>CityU!C22</f>
        <v>數據科學學院 [選項：理學士 (數據科學)、工學士 (數據與系統工程)]</v>
      </c>
      <c r="C45" s="116" t="s">
        <v>191</v>
      </c>
      <c r="D45" s="107">
        <f t="shared" si="8"/>
        <v>0.00000000335</v>
      </c>
      <c r="E45" s="107">
        <f t="shared" si="9"/>
        <v>0.0000000001</v>
      </c>
      <c r="F45" s="107">
        <f t="shared" ref="F45:F49" si="29">$F$4*2</f>
        <v>0.0000000004</v>
      </c>
      <c r="G45" s="107">
        <f t="shared" ref="G45:G47" si="30">$G$4*2</f>
        <v>0.0000000006</v>
      </c>
      <c r="H45" s="107">
        <f t="shared" si="12"/>
        <v>0.0000000004</v>
      </c>
      <c r="I45" s="107">
        <f t="shared" si="13"/>
        <v>0.0000000005</v>
      </c>
      <c r="J45" s="107">
        <f t="shared" si="25"/>
        <v>0.0000000006</v>
      </c>
      <c r="K45" s="107">
        <f t="shared" si="26"/>
        <v>0.0000000007</v>
      </c>
      <c r="L45" s="107">
        <f t="shared" si="27"/>
        <v>0.0000000008</v>
      </c>
      <c r="M45" s="107">
        <f t="shared" si="28"/>
        <v>0.0000000009</v>
      </c>
      <c r="N45" s="107">
        <f t="shared" si="18"/>
        <v>0.00000000095</v>
      </c>
      <c r="O45" s="107"/>
      <c r="P45" s="107"/>
      <c r="Q45" s="121" t="s">
        <v>211</v>
      </c>
      <c r="R45" s="121"/>
      <c r="S45" s="121" t="s">
        <v>212</v>
      </c>
      <c r="T45" s="121"/>
      <c r="U45" s="121"/>
      <c r="V45" s="107"/>
      <c r="W45" s="107"/>
      <c r="X45" s="107"/>
      <c r="Y45" s="107"/>
      <c r="Z45" s="107"/>
      <c r="AA45" s="107"/>
      <c r="AB45" s="107"/>
      <c r="AC45" s="107"/>
      <c r="AD45" s="107"/>
      <c r="AE45" s="107"/>
      <c r="AF45" s="107"/>
      <c r="AG45" s="107"/>
      <c r="AH45" s="107"/>
      <c r="AI45" s="107"/>
      <c r="AJ45" s="107"/>
    </row>
    <row r="46" ht="15.75" customHeight="1">
      <c r="A46" s="107" t="str">
        <f>CityU!A23</f>
        <v>JS1072</v>
      </c>
      <c r="B46" s="107" t="str">
        <f>CityU!C23</f>
        <v>理學士(數據科學)</v>
      </c>
      <c r="C46" s="116" t="s">
        <v>191</v>
      </c>
      <c r="D46" s="107">
        <f t="shared" si="8"/>
        <v>0.00000000335</v>
      </c>
      <c r="E46" s="107">
        <f t="shared" si="9"/>
        <v>0.0000000001</v>
      </c>
      <c r="F46" s="107">
        <f t="shared" si="29"/>
        <v>0.0000000004</v>
      </c>
      <c r="G46" s="107">
        <f t="shared" si="30"/>
        <v>0.0000000006</v>
      </c>
      <c r="H46" s="107">
        <f t="shared" si="12"/>
        <v>0.0000000004</v>
      </c>
      <c r="I46" s="107">
        <f t="shared" si="13"/>
        <v>0.0000000005</v>
      </c>
      <c r="J46" s="107">
        <f t="shared" si="25"/>
        <v>0.0000000006</v>
      </c>
      <c r="K46" s="107">
        <f t="shared" si="26"/>
        <v>0.0000000007</v>
      </c>
      <c r="L46" s="107">
        <f t="shared" si="27"/>
        <v>0.0000000008</v>
      </c>
      <c r="M46" s="107">
        <f t="shared" si="28"/>
        <v>0.0000000009</v>
      </c>
      <c r="N46" s="107">
        <f t="shared" si="18"/>
        <v>0.00000000095</v>
      </c>
      <c r="O46" s="107"/>
      <c r="P46" s="107"/>
      <c r="Q46" s="121">
        <f t="array" ref="Q46">INDEX(J$1:M$1,MATCH(LARGE(S148:V148,1),S148:V148,0))</f>
        <v>0</v>
      </c>
      <c r="R46" s="122">
        <f>LARGE((S148:V148),1)</f>
        <v>0</v>
      </c>
      <c r="S46" s="121" t="str">
        <f t="array" ref="S46">IF(T46=0,"無",IF(INDEX(I$1:M$1,MATCH(LARGE(R161:V161,1),R161:V161,0))=Q46,INDEX(I$1:M$1,MATCH(LARGE(R161:V161,2),R161:V161,0)),INDEX(I$1:M$1,MATCH(LARGE(R161:V161,1),R161:V161,0))))</f>
        <v>數學延伸</v>
      </c>
      <c r="T46" s="122">
        <f t="array" ref="T46">IF(INDEX(I$1:M$1,MATCH(LARGE(R161:V161,1),R161:V161,0))=Q46,LARGE(R161:V161,2),LARGE(R161:V161,1))</f>
        <v>0.0000000005</v>
      </c>
      <c r="U46" s="121"/>
      <c r="V46" s="107"/>
      <c r="W46" s="107"/>
      <c r="X46" s="107"/>
      <c r="Y46" s="107"/>
      <c r="Z46" s="107"/>
      <c r="AA46" s="107"/>
      <c r="AB46" s="107"/>
      <c r="AC46" s="107"/>
      <c r="AD46" s="107"/>
      <c r="AE46" s="107"/>
      <c r="AF46" s="107"/>
      <c r="AG46" s="107"/>
      <c r="AH46" s="107"/>
      <c r="AI46" s="107"/>
      <c r="AJ46" s="107"/>
    </row>
    <row r="47" ht="15.75" customHeight="1">
      <c r="A47" s="107" t="str">
        <f>CityU!A24</f>
        <v>JS1073</v>
      </c>
      <c r="B47" s="107" t="str">
        <f>CityU!C24</f>
        <v>工學士(數據與系統工程)</v>
      </c>
      <c r="C47" s="116" t="s">
        <v>191</v>
      </c>
      <c r="D47" s="107">
        <f t="shared" si="8"/>
        <v>0.00000000335</v>
      </c>
      <c r="E47" s="107">
        <f t="shared" si="9"/>
        <v>0.0000000001</v>
      </c>
      <c r="F47" s="107">
        <f t="shared" si="29"/>
        <v>0.0000000004</v>
      </c>
      <c r="G47" s="107">
        <f t="shared" si="30"/>
        <v>0.0000000006</v>
      </c>
      <c r="H47" s="107">
        <f t="shared" si="12"/>
        <v>0.0000000004</v>
      </c>
      <c r="I47" s="107">
        <f t="shared" si="13"/>
        <v>0.0000000005</v>
      </c>
      <c r="J47" s="107">
        <f t="shared" si="25"/>
        <v>0.0000000006</v>
      </c>
      <c r="K47" s="107">
        <f t="shared" si="26"/>
        <v>0.0000000007</v>
      </c>
      <c r="L47" s="107">
        <f t="shared" si="27"/>
        <v>0.0000000008</v>
      </c>
      <c r="M47" s="107">
        <f t="shared" si="28"/>
        <v>0.0000000009</v>
      </c>
      <c r="N47" s="107">
        <f t="shared" si="18"/>
        <v>0.00000000095</v>
      </c>
      <c r="O47" s="107"/>
      <c r="P47" s="107"/>
      <c r="Q47" s="121"/>
      <c r="R47" s="121"/>
      <c r="S47" s="121"/>
      <c r="T47" s="121"/>
      <c r="U47" s="121"/>
      <c r="V47" s="107"/>
      <c r="W47" s="107"/>
      <c r="X47" s="107"/>
      <c r="Y47" s="107"/>
      <c r="Z47" s="107"/>
      <c r="AA47" s="107"/>
      <c r="AB47" s="107"/>
      <c r="AC47" s="107"/>
      <c r="AD47" s="107"/>
      <c r="AE47" s="107"/>
      <c r="AF47" s="107"/>
      <c r="AG47" s="107"/>
      <c r="AH47" s="107"/>
      <c r="AI47" s="107"/>
      <c r="AJ47" s="107"/>
    </row>
    <row r="48" ht="15.75" customHeight="1">
      <c r="A48" s="107" t="str">
        <f>CityU!A25</f>
        <v>JS1091</v>
      </c>
      <c r="B48" s="107" t="str">
        <f>CityU!C25</f>
        <v>建築科技學部 [選項: 理學副學士(屋宇裝備工程學)、理學副學士(建造工程及管理學)、理學副學士(測量學)]</v>
      </c>
      <c r="C48" s="116" t="s">
        <v>213</v>
      </c>
      <c r="D48" s="107">
        <f t="shared" ref="D48:D49" si="31">SUM(E48:F48)+LARGE((G48:N48),1)+LARGE((G48:N48),2)+LARGE((G48:N48),3)</f>
        <v>0.00000000315</v>
      </c>
      <c r="E48" s="107">
        <f t="shared" si="9"/>
        <v>0.0000000001</v>
      </c>
      <c r="F48" s="107">
        <f t="shared" si="29"/>
        <v>0.0000000004</v>
      </c>
      <c r="G48" s="107">
        <f t="shared" ref="G48:G59" si="32">$G$4</f>
        <v>0.0000000003</v>
      </c>
      <c r="H48" s="107">
        <f t="shared" si="12"/>
        <v>0.0000000004</v>
      </c>
      <c r="I48" s="107">
        <f t="shared" si="13"/>
        <v>0.0000000005</v>
      </c>
      <c r="J48" s="107">
        <f t="shared" si="25"/>
        <v>0.0000000006</v>
      </c>
      <c r="K48" s="107">
        <f t="shared" si="26"/>
        <v>0.0000000007</v>
      </c>
      <c r="L48" s="107">
        <f t="shared" si="27"/>
        <v>0.0000000008</v>
      </c>
      <c r="M48" s="107">
        <f t="shared" si="28"/>
        <v>0.0000000009</v>
      </c>
      <c r="N48" s="107">
        <f t="shared" si="18"/>
        <v>0.00000000095</v>
      </c>
      <c r="O48" s="107"/>
      <c r="P48" s="107"/>
      <c r="Q48" s="121" t="s">
        <v>34</v>
      </c>
      <c r="R48" s="122">
        <f>IF(I24=S46,$I$4*1.5,$I$4)</f>
        <v>0.00000000075</v>
      </c>
      <c r="S48" s="121"/>
      <c r="T48" s="121"/>
      <c r="U48" s="121"/>
      <c r="V48" s="107"/>
      <c r="W48" s="107"/>
      <c r="X48" s="107"/>
      <c r="Y48" s="107"/>
      <c r="Z48" s="107"/>
      <c r="AA48" s="107"/>
      <c r="AB48" s="107"/>
      <c r="AC48" s="107"/>
      <c r="AD48" s="107"/>
      <c r="AE48" s="107"/>
      <c r="AF48" s="107"/>
      <c r="AG48" s="107"/>
      <c r="AH48" s="107"/>
      <c r="AI48" s="107"/>
      <c r="AJ48" s="107"/>
    </row>
    <row r="49" ht="15.75" customHeight="1">
      <c r="A49" s="107" t="str">
        <f>CityU!A26</f>
        <v>JS1093</v>
      </c>
      <c r="B49" s="107" t="str">
        <f>CityU!C26</f>
        <v>理學副學士(建築學)</v>
      </c>
      <c r="C49" s="116" t="s">
        <v>213</v>
      </c>
      <c r="D49" s="107">
        <f t="shared" si="31"/>
        <v>0.00000000315</v>
      </c>
      <c r="E49" s="107">
        <f t="shared" si="9"/>
        <v>0.0000000001</v>
      </c>
      <c r="F49" s="107">
        <f t="shared" si="29"/>
        <v>0.0000000004</v>
      </c>
      <c r="G49" s="107">
        <f t="shared" si="32"/>
        <v>0.0000000003</v>
      </c>
      <c r="H49" s="107">
        <f t="shared" si="12"/>
        <v>0.0000000004</v>
      </c>
      <c r="I49" s="107">
        <f t="shared" si="13"/>
        <v>0.0000000005</v>
      </c>
      <c r="J49" s="107">
        <f t="shared" si="25"/>
        <v>0.0000000006</v>
      </c>
      <c r="K49" s="107">
        <f t="shared" si="26"/>
        <v>0.0000000007</v>
      </c>
      <c r="L49" s="107">
        <f t="shared" si="27"/>
        <v>0.0000000008</v>
      </c>
      <c r="M49" s="107">
        <f t="shared" si="28"/>
        <v>0.0000000009</v>
      </c>
      <c r="N49" s="107">
        <f t="shared" si="18"/>
        <v>0.00000000095</v>
      </c>
      <c r="O49" s="107"/>
      <c r="P49" s="107"/>
      <c r="Q49" s="121" t="s">
        <v>214</v>
      </c>
      <c r="R49" s="122">
        <f>IF(J24=$Q$46,$R$46*2.5,(IF(J24=$S$46,$T$46*1.5,J4)))</f>
        <v>0</v>
      </c>
      <c r="S49" s="121"/>
      <c r="T49" s="121"/>
      <c r="U49" s="121"/>
      <c r="V49" s="107"/>
      <c r="W49" s="107"/>
      <c r="X49" s="107"/>
      <c r="Y49" s="107"/>
      <c r="Z49" s="107"/>
      <c r="AA49" s="107"/>
      <c r="AB49" s="107"/>
      <c r="AC49" s="107"/>
      <c r="AD49" s="107"/>
      <c r="AE49" s="107"/>
      <c r="AF49" s="107"/>
      <c r="AG49" s="107"/>
      <c r="AH49" s="107"/>
      <c r="AI49" s="107"/>
      <c r="AJ49" s="107"/>
    </row>
    <row r="50" ht="15.75" customHeight="1">
      <c r="A50" s="107" t="str">
        <f>CityU!A27</f>
        <v>JS1102</v>
      </c>
      <c r="B50" s="107" t="str">
        <f>CityU!C27</f>
        <v>社會科學學士(亞洲及國際研究)</v>
      </c>
      <c r="C50" s="119" t="s">
        <v>191</v>
      </c>
      <c r="D50" s="107">
        <f t="shared" ref="D50:D53" si="33">SUM(E50:H50)+LARGE((I50:N50),1)+LARGE((I50:N50),2)</f>
        <v>0.00000000285</v>
      </c>
      <c r="E50" s="107">
        <f t="shared" si="9"/>
        <v>0.0000000001</v>
      </c>
      <c r="F50" s="107">
        <f>$F$4</f>
        <v>0.0000000002</v>
      </c>
      <c r="G50" s="107">
        <f t="shared" si="32"/>
        <v>0.0000000003</v>
      </c>
      <c r="H50" s="107">
        <f t="shared" si="12"/>
        <v>0.0000000004</v>
      </c>
      <c r="I50" s="107">
        <f t="shared" si="13"/>
        <v>0.0000000005</v>
      </c>
      <c r="J50" s="107">
        <f t="shared" si="25"/>
        <v>0.0000000006</v>
      </c>
      <c r="K50" s="107">
        <f t="shared" si="26"/>
        <v>0.0000000007</v>
      </c>
      <c r="L50" s="107">
        <f t="shared" si="27"/>
        <v>0.0000000008</v>
      </c>
      <c r="M50" s="107">
        <f t="shared" si="28"/>
        <v>0.0000000009</v>
      </c>
      <c r="N50" s="107">
        <f t="shared" si="18"/>
        <v>0.00000000095</v>
      </c>
      <c r="O50" s="107"/>
      <c r="P50" s="107"/>
      <c r="Q50" s="121" t="s">
        <v>215</v>
      </c>
      <c r="R50" s="122">
        <f>IF(K24=$Q$46,$R$46*2.5,(IF(K24=$S$46,$T$46*1.5,K4)))</f>
        <v>0</v>
      </c>
      <c r="S50" s="121"/>
      <c r="T50" s="121"/>
      <c r="U50" s="121"/>
      <c r="V50" s="107"/>
      <c r="W50" s="107"/>
      <c r="X50" s="107"/>
      <c r="Y50" s="107"/>
      <c r="Z50" s="107"/>
      <c r="AA50" s="107"/>
      <c r="AB50" s="107"/>
      <c r="AC50" s="107"/>
      <c r="AD50" s="107"/>
      <c r="AE50" s="107"/>
      <c r="AF50" s="107"/>
      <c r="AG50" s="107"/>
      <c r="AH50" s="107"/>
      <c r="AI50" s="107"/>
      <c r="AJ50" s="107"/>
    </row>
    <row r="51" ht="15.75" customHeight="1">
      <c r="A51" s="107" t="str">
        <f>CityU!A28</f>
        <v>JS1103</v>
      </c>
      <c r="B51" s="107" t="str">
        <f>CityU!C28</f>
        <v>文學士(中文及歷史)</v>
      </c>
      <c r="C51" s="116" t="s">
        <v>191</v>
      </c>
      <c r="D51" s="107">
        <f t="shared" si="33"/>
        <v>0.00000000335</v>
      </c>
      <c r="E51" s="107">
        <f>$E$4*2</f>
        <v>0.0000000002</v>
      </c>
      <c r="F51" s="107">
        <f>$F$4*2</f>
        <v>0.0000000004</v>
      </c>
      <c r="G51" s="107">
        <f t="shared" si="32"/>
        <v>0.0000000003</v>
      </c>
      <c r="H51" s="107">
        <f t="shared" ref="H51:H52" si="35">$H$4*1.5</f>
        <v>0.0000000006</v>
      </c>
      <c r="I51" s="107">
        <f t="shared" si="13"/>
        <v>0.0000000005</v>
      </c>
      <c r="J51" s="107">
        <f t="shared" ref="J51:M51" si="34">IF(OR(J1="中國歷史",J1="中國文學",J1="歷史",J1="視覺藝術"),J4*1.5,J4)</f>
        <v>0.0000000006</v>
      </c>
      <c r="K51" s="107">
        <f t="shared" si="34"/>
        <v>0.0000000007</v>
      </c>
      <c r="L51" s="107">
        <f t="shared" si="34"/>
        <v>0.0000000008</v>
      </c>
      <c r="M51" s="107">
        <f t="shared" si="34"/>
        <v>0.0000000009</v>
      </c>
      <c r="N51" s="107">
        <f t="shared" si="18"/>
        <v>0.00000000095</v>
      </c>
      <c r="O51" s="107"/>
      <c r="P51" s="107"/>
      <c r="Q51" s="121" t="s">
        <v>216</v>
      </c>
      <c r="R51" s="122">
        <f>IF(L24=$Q$46,$R$46*2.5,(IF(L24=$S$46,$T$46*1.5,L4)))</f>
        <v>0</v>
      </c>
      <c r="S51" s="121"/>
      <c r="T51" s="121"/>
      <c r="U51" s="121"/>
      <c r="V51" s="107"/>
      <c r="W51" s="107"/>
      <c r="X51" s="107"/>
      <c r="Y51" s="107"/>
      <c r="Z51" s="107"/>
      <c r="AA51" s="107"/>
      <c r="AB51" s="107"/>
      <c r="AC51" s="107"/>
      <c r="AD51" s="107"/>
      <c r="AE51" s="107"/>
      <c r="AF51" s="107"/>
      <c r="AG51" s="107"/>
      <c r="AH51" s="107"/>
      <c r="AI51" s="107"/>
      <c r="AJ51" s="107"/>
    </row>
    <row r="52" ht="15.75" customHeight="1">
      <c r="A52" s="107" t="str">
        <f>CityU!A29</f>
        <v>JS1104</v>
      </c>
      <c r="B52" s="107" t="str">
        <f>CityU!C29</f>
        <v>文學士(英語語言)</v>
      </c>
      <c r="C52" s="119" t="s">
        <v>191</v>
      </c>
      <c r="D52" s="107">
        <f t="shared" si="33"/>
        <v>0.00000000335</v>
      </c>
      <c r="E52" s="107">
        <f>$E$4</f>
        <v>0.0000000001</v>
      </c>
      <c r="F52" s="107">
        <f>$F$4*2.5</f>
        <v>0.0000000005</v>
      </c>
      <c r="G52" s="107">
        <f t="shared" si="32"/>
        <v>0.0000000003</v>
      </c>
      <c r="H52" s="107">
        <f t="shared" si="35"/>
        <v>0.0000000006</v>
      </c>
      <c r="I52" s="107">
        <f t="shared" si="13"/>
        <v>0.0000000005</v>
      </c>
      <c r="J52" s="107">
        <f t="shared" ref="J52:M52" si="36">IF(OR(J1="英語文學"),J4*1.5,J4)</f>
        <v>0.0000000006</v>
      </c>
      <c r="K52" s="107">
        <f t="shared" si="36"/>
        <v>0.0000000007</v>
      </c>
      <c r="L52" s="107">
        <f t="shared" si="36"/>
        <v>0.0000000008</v>
      </c>
      <c r="M52" s="107">
        <f t="shared" si="36"/>
        <v>0.0000000009</v>
      </c>
      <c r="N52" s="107">
        <f t="shared" si="18"/>
        <v>0.00000000095</v>
      </c>
      <c r="O52" s="107"/>
      <c r="P52" s="107"/>
      <c r="Q52" s="121"/>
      <c r="R52" s="121"/>
      <c r="S52" s="121"/>
      <c r="T52" s="121"/>
      <c r="U52" s="121"/>
      <c r="V52" s="107"/>
      <c r="W52" s="107"/>
      <c r="X52" s="107"/>
      <c r="Y52" s="107"/>
      <c r="Z52" s="107"/>
      <c r="AA52" s="107"/>
      <c r="AB52" s="107"/>
      <c r="AC52" s="107"/>
      <c r="AD52" s="107"/>
      <c r="AE52" s="107"/>
      <c r="AF52" s="107"/>
      <c r="AG52" s="107"/>
      <c r="AH52" s="107"/>
      <c r="AI52" s="107"/>
      <c r="AJ52" s="107"/>
    </row>
    <row r="53" ht="15.75" customHeight="1">
      <c r="A53" s="107" t="str">
        <f>CityU!A30</f>
        <v>JS1105</v>
      </c>
      <c r="B53" s="107" t="str">
        <f>CityU!C30</f>
        <v>翻譯及語言學系 [選項: 文學士(語言學及語言應用)、文學士(翻譯及傳譯)]</v>
      </c>
      <c r="C53" s="116" t="s">
        <v>191</v>
      </c>
      <c r="D53" s="107">
        <f t="shared" si="33"/>
        <v>0.0000000031</v>
      </c>
      <c r="E53" s="107">
        <f>$E$4*1.5</f>
        <v>0.00000000015</v>
      </c>
      <c r="F53" s="107">
        <f>$F$4*2</f>
        <v>0.0000000004</v>
      </c>
      <c r="G53" s="107">
        <f t="shared" si="32"/>
        <v>0.0000000003</v>
      </c>
      <c r="H53" s="107">
        <f t="shared" ref="H53:H54" si="37">$H$4</f>
        <v>0.0000000004</v>
      </c>
      <c r="I53" s="107">
        <f t="shared" si="13"/>
        <v>0.0000000005</v>
      </c>
      <c r="J53" s="107">
        <f t="shared" ref="J53:J59" si="38">$J$4</f>
        <v>0.0000000006</v>
      </c>
      <c r="K53" s="107">
        <f t="shared" ref="K53:K59" si="39">$K$4</f>
        <v>0.0000000007</v>
      </c>
      <c r="L53" s="107">
        <f t="shared" ref="L53:L59" si="40">$L$4</f>
        <v>0.0000000008</v>
      </c>
      <c r="M53" s="107">
        <f t="shared" ref="M53:M59" si="41">$M$4</f>
        <v>0.0000000009</v>
      </c>
      <c r="N53" s="107">
        <f t="shared" si="18"/>
        <v>0.00000000095</v>
      </c>
      <c r="O53" s="107"/>
      <c r="P53" s="107"/>
      <c r="Q53" s="107"/>
      <c r="R53" s="107"/>
      <c r="S53" s="107"/>
      <c r="T53" s="107"/>
      <c r="U53" s="107"/>
      <c r="V53" s="107"/>
      <c r="W53" s="107"/>
      <c r="X53" s="107"/>
      <c r="Y53" s="107"/>
      <c r="Z53" s="107"/>
      <c r="AA53" s="107"/>
      <c r="AB53" s="107"/>
      <c r="AC53" s="107"/>
      <c r="AD53" s="107"/>
      <c r="AE53" s="107"/>
      <c r="AF53" s="107"/>
      <c r="AG53" s="107"/>
      <c r="AH53" s="107"/>
      <c r="AI53" s="107"/>
      <c r="AJ53" s="107"/>
    </row>
    <row r="54" ht="15.75" customHeight="1">
      <c r="A54" s="107" t="str">
        <f>CityU!A31</f>
        <v>JS1106</v>
      </c>
      <c r="B54" s="107" t="str">
        <f>CityU!C31</f>
        <v>媒體與傳播系 [選項: 文學士(數碼電視與廣播)、文學士(媒體與傳播)]</v>
      </c>
      <c r="C54" s="119" t="s">
        <v>191</v>
      </c>
      <c r="D54" s="107">
        <f>LARGE((E54:N54),1)+LARGE((E54:N54),2)+LARGE((E54:N54),3)+LARGE((E54:N54),4)+LARGE((E54:N54),5)</f>
        <v>0.00000000395</v>
      </c>
      <c r="E54" s="107">
        <f>$E$4*1.25</f>
        <v>0.000000000125</v>
      </c>
      <c r="F54" s="107">
        <f>$F$4*1.25</f>
        <v>0.00000000025</v>
      </c>
      <c r="G54" s="107">
        <f t="shared" si="32"/>
        <v>0.0000000003</v>
      </c>
      <c r="H54" s="107">
        <f t="shared" si="37"/>
        <v>0.0000000004</v>
      </c>
      <c r="I54" s="107">
        <f t="shared" si="13"/>
        <v>0.0000000005</v>
      </c>
      <c r="J54" s="107">
        <f t="shared" si="38"/>
        <v>0.0000000006</v>
      </c>
      <c r="K54" s="107">
        <f t="shared" si="39"/>
        <v>0.0000000007</v>
      </c>
      <c r="L54" s="107">
        <f t="shared" si="40"/>
        <v>0.0000000008</v>
      </c>
      <c r="M54" s="107">
        <f t="shared" si="41"/>
        <v>0.0000000009</v>
      </c>
      <c r="N54" s="107">
        <f t="shared" si="18"/>
        <v>0.00000000095</v>
      </c>
      <c r="O54" s="107"/>
      <c r="P54" s="107"/>
      <c r="Q54" s="107"/>
      <c r="R54" s="107"/>
      <c r="S54" s="107"/>
      <c r="T54" s="107"/>
      <c r="U54" s="107"/>
      <c r="V54" s="107"/>
      <c r="W54" s="107"/>
      <c r="X54" s="107"/>
      <c r="Y54" s="107"/>
      <c r="Z54" s="107"/>
      <c r="AA54" s="107"/>
      <c r="AB54" s="107"/>
      <c r="AC54" s="107"/>
      <c r="AD54" s="107"/>
      <c r="AE54" s="107"/>
      <c r="AF54" s="107"/>
      <c r="AG54" s="107"/>
      <c r="AH54" s="107"/>
      <c r="AI54" s="107"/>
      <c r="AJ54" s="107"/>
    </row>
    <row r="55" ht="15.75" customHeight="1">
      <c r="A55" s="107" t="str">
        <f>CityU!A32</f>
        <v>JS1108</v>
      </c>
      <c r="B55" s="107" t="str">
        <f>CityU!C32</f>
        <v>社會科學學士(公共政策與政治)</v>
      </c>
      <c r="C55" s="119" t="s">
        <v>191</v>
      </c>
      <c r="D55" s="107">
        <f t="shared" ref="D55:D59" si="42">SUM(E55:H55)+LARGE((I55:N55),1)+LARGE((I55:N55),2)</f>
        <v>0.00000000325</v>
      </c>
      <c r="E55" s="107">
        <f t="shared" ref="E55:E60" si="43">$E$4</f>
        <v>0.0000000001</v>
      </c>
      <c r="F55" s="107">
        <f t="shared" ref="F55:F60" si="44">$F$4*2</f>
        <v>0.0000000004</v>
      </c>
      <c r="G55" s="107">
        <f t="shared" si="32"/>
        <v>0.0000000003</v>
      </c>
      <c r="H55" s="107">
        <f>$H$4*1.5</f>
        <v>0.0000000006</v>
      </c>
      <c r="I55" s="107">
        <f t="shared" si="13"/>
        <v>0.0000000005</v>
      </c>
      <c r="J55" s="107">
        <f t="shared" si="38"/>
        <v>0.0000000006</v>
      </c>
      <c r="K55" s="107">
        <f t="shared" si="39"/>
        <v>0.0000000007</v>
      </c>
      <c r="L55" s="107">
        <f t="shared" si="40"/>
        <v>0.0000000008</v>
      </c>
      <c r="M55" s="107">
        <f t="shared" si="41"/>
        <v>0.0000000009</v>
      </c>
      <c r="N55" s="107">
        <f t="shared" si="18"/>
        <v>0.00000000095</v>
      </c>
      <c r="O55" s="107"/>
      <c r="P55" s="107"/>
      <c r="Q55" s="107"/>
      <c r="R55" s="107"/>
      <c r="S55" s="107"/>
      <c r="T55" s="107"/>
      <c r="U55" s="107"/>
      <c r="V55" s="107"/>
      <c r="W55" s="107"/>
      <c r="X55" s="107"/>
      <c r="Y55" s="107"/>
      <c r="Z55" s="107"/>
      <c r="AA55" s="107"/>
      <c r="AB55" s="107"/>
      <c r="AC55" s="107"/>
      <c r="AD55" s="107"/>
      <c r="AE55" s="107"/>
      <c r="AF55" s="107"/>
      <c r="AG55" s="107"/>
      <c r="AH55" s="107"/>
      <c r="AI55" s="107"/>
      <c r="AJ55" s="107"/>
    </row>
    <row r="56" ht="15.75" customHeight="1">
      <c r="A56" s="107" t="str">
        <f>CityU!A33</f>
        <v>JS1110</v>
      </c>
      <c r="B56" s="107" t="str">
        <f>CityU!C33</f>
        <v>社會及行為科學系 [選項: 社會科學學士(犯罪學及社會學)、社會科學學士(心理學)、社會科學學士(社會工作)]</v>
      </c>
      <c r="C56" s="116" t="s">
        <v>191</v>
      </c>
      <c r="D56" s="107">
        <f t="shared" si="42"/>
        <v>0.00000000305</v>
      </c>
      <c r="E56" s="107">
        <f t="shared" si="43"/>
        <v>0.0000000001</v>
      </c>
      <c r="F56" s="107">
        <f t="shared" si="44"/>
        <v>0.0000000004</v>
      </c>
      <c r="G56" s="107">
        <f t="shared" si="32"/>
        <v>0.0000000003</v>
      </c>
      <c r="H56" s="107">
        <f t="shared" ref="H56:H74" si="45">$H$4</f>
        <v>0.0000000004</v>
      </c>
      <c r="I56" s="107">
        <f t="shared" si="13"/>
        <v>0.0000000005</v>
      </c>
      <c r="J56" s="107">
        <f t="shared" si="38"/>
        <v>0.0000000006</v>
      </c>
      <c r="K56" s="107">
        <f t="shared" si="39"/>
        <v>0.0000000007</v>
      </c>
      <c r="L56" s="107">
        <f t="shared" si="40"/>
        <v>0.0000000008</v>
      </c>
      <c r="M56" s="107">
        <f t="shared" si="41"/>
        <v>0.0000000009</v>
      </c>
      <c r="N56" s="107">
        <f t="shared" si="18"/>
        <v>0.00000000095</v>
      </c>
      <c r="O56" s="107"/>
      <c r="P56" s="107"/>
      <c r="Q56" s="107"/>
      <c r="R56" s="107"/>
      <c r="S56" s="107"/>
      <c r="T56" s="107"/>
      <c r="U56" s="107"/>
      <c r="V56" s="107"/>
      <c r="W56" s="107"/>
      <c r="X56" s="107"/>
      <c r="Y56" s="107"/>
      <c r="Z56" s="107"/>
      <c r="AA56" s="107"/>
      <c r="AB56" s="107"/>
      <c r="AC56" s="107"/>
      <c r="AD56" s="107"/>
      <c r="AE56" s="107"/>
      <c r="AF56" s="107"/>
      <c r="AG56" s="107"/>
      <c r="AH56" s="107"/>
      <c r="AI56" s="107"/>
      <c r="AJ56" s="107"/>
    </row>
    <row r="57" ht="15.75" customHeight="1">
      <c r="A57" s="107" t="str">
        <f>CityU!A34</f>
        <v>JS1111</v>
      </c>
      <c r="B57" s="107" t="str">
        <f>CityU!C34</f>
        <v>社會科學學士(犯罪學及社會學)</v>
      </c>
      <c r="C57" s="116" t="s">
        <v>191</v>
      </c>
      <c r="D57" s="107">
        <f t="shared" si="42"/>
        <v>0.00000000305</v>
      </c>
      <c r="E57" s="107">
        <f t="shared" si="43"/>
        <v>0.0000000001</v>
      </c>
      <c r="F57" s="107">
        <f t="shared" si="44"/>
        <v>0.0000000004</v>
      </c>
      <c r="G57" s="107">
        <f t="shared" si="32"/>
        <v>0.0000000003</v>
      </c>
      <c r="H57" s="107">
        <f t="shared" si="45"/>
        <v>0.0000000004</v>
      </c>
      <c r="I57" s="107">
        <f t="shared" si="13"/>
        <v>0.0000000005</v>
      </c>
      <c r="J57" s="107">
        <f t="shared" si="38"/>
        <v>0.0000000006</v>
      </c>
      <c r="K57" s="107">
        <f t="shared" si="39"/>
        <v>0.0000000007</v>
      </c>
      <c r="L57" s="107">
        <f t="shared" si="40"/>
        <v>0.0000000008</v>
      </c>
      <c r="M57" s="107">
        <f t="shared" si="41"/>
        <v>0.0000000009</v>
      </c>
      <c r="N57" s="107">
        <f t="shared" si="18"/>
        <v>0.00000000095</v>
      </c>
      <c r="O57" s="107"/>
      <c r="P57" s="107"/>
      <c r="Q57" s="107"/>
      <c r="R57" s="107"/>
      <c r="S57" s="107"/>
      <c r="T57" s="107"/>
      <c r="U57" s="107"/>
      <c r="V57" s="107"/>
      <c r="W57" s="107"/>
      <c r="X57" s="107"/>
      <c r="Y57" s="107"/>
      <c r="Z57" s="107"/>
      <c r="AA57" s="107"/>
      <c r="AB57" s="107"/>
      <c r="AC57" s="107"/>
      <c r="AD57" s="107"/>
      <c r="AE57" s="107"/>
      <c r="AF57" s="107"/>
      <c r="AG57" s="107"/>
      <c r="AH57" s="107"/>
      <c r="AI57" s="107"/>
      <c r="AJ57" s="107"/>
    </row>
    <row r="58" ht="15.75" customHeight="1">
      <c r="A58" s="107" t="str">
        <f>CityU!A35</f>
        <v>JS1112</v>
      </c>
      <c r="B58" s="107" t="str">
        <f>CityU!C35</f>
        <v>社會科學學士(心理學)</v>
      </c>
      <c r="C58" s="116" t="s">
        <v>191</v>
      </c>
      <c r="D58" s="107">
        <f t="shared" si="42"/>
        <v>0.00000000305</v>
      </c>
      <c r="E58" s="107">
        <f t="shared" si="43"/>
        <v>0.0000000001</v>
      </c>
      <c r="F58" s="107">
        <f t="shared" si="44"/>
        <v>0.0000000004</v>
      </c>
      <c r="G58" s="107">
        <f t="shared" si="32"/>
        <v>0.0000000003</v>
      </c>
      <c r="H58" s="107">
        <f t="shared" si="45"/>
        <v>0.0000000004</v>
      </c>
      <c r="I58" s="107">
        <f t="shared" si="13"/>
        <v>0.0000000005</v>
      </c>
      <c r="J58" s="107">
        <f t="shared" si="38"/>
        <v>0.0000000006</v>
      </c>
      <c r="K58" s="107">
        <f t="shared" si="39"/>
        <v>0.0000000007</v>
      </c>
      <c r="L58" s="107">
        <f t="shared" si="40"/>
        <v>0.0000000008</v>
      </c>
      <c r="M58" s="107">
        <f t="shared" si="41"/>
        <v>0.0000000009</v>
      </c>
      <c r="N58" s="107">
        <f t="shared" si="18"/>
        <v>0.00000000095</v>
      </c>
      <c r="O58" s="107"/>
      <c r="P58" s="107"/>
      <c r="Q58" s="107"/>
      <c r="R58" s="107"/>
      <c r="S58" s="107"/>
      <c r="T58" s="107"/>
      <c r="U58" s="107"/>
      <c r="V58" s="107"/>
      <c r="W58" s="107"/>
      <c r="X58" s="107"/>
      <c r="Y58" s="107"/>
      <c r="Z58" s="107"/>
      <c r="AA58" s="107"/>
      <c r="AB58" s="107"/>
      <c r="AC58" s="107"/>
      <c r="AD58" s="107"/>
      <c r="AE58" s="107"/>
      <c r="AF58" s="107"/>
      <c r="AG58" s="107"/>
      <c r="AH58" s="107"/>
      <c r="AI58" s="107"/>
      <c r="AJ58" s="107"/>
    </row>
    <row r="59" ht="15.75" customHeight="1">
      <c r="A59" s="107" t="str">
        <f>CityU!A36</f>
        <v>JS1113</v>
      </c>
      <c r="B59" s="107" t="str">
        <f>CityU!C36</f>
        <v>社會科學學士(社會工作)</v>
      </c>
      <c r="C59" s="116" t="s">
        <v>191</v>
      </c>
      <c r="D59" s="107">
        <f t="shared" si="42"/>
        <v>0.00000000305</v>
      </c>
      <c r="E59" s="107">
        <f t="shared" si="43"/>
        <v>0.0000000001</v>
      </c>
      <c r="F59" s="107">
        <f t="shared" si="44"/>
        <v>0.0000000004</v>
      </c>
      <c r="G59" s="107">
        <f t="shared" si="32"/>
        <v>0.0000000003</v>
      </c>
      <c r="H59" s="107">
        <f t="shared" si="45"/>
        <v>0.0000000004</v>
      </c>
      <c r="I59" s="107">
        <f t="shared" si="13"/>
        <v>0.0000000005</v>
      </c>
      <c r="J59" s="107">
        <f t="shared" si="38"/>
        <v>0.0000000006</v>
      </c>
      <c r="K59" s="107">
        <f t="shared" si="39"/>
        <v>0.0000000007</v>
      </c>
      <c r="L59" s="107">
        <f t="shared" si="40"/>
        <v>0.0000000008</v>
      </c>
      <c r="M59" s="107">
        <f t="shared" si="41"/>
        <v>0.0000000009</v>
      </c>
      <c r="N59" s="107">
        <f t="shared" si="18"/>
        <v>0.00000000095</v>
      </c>
      <c r="O59" s="107"/>
      <c r="P59" s="107"/>
      <c r="Q59" s="121" t="s">
        <v>217</v>
      </c>
      <c r="R59" s="121"/>
      <c r="S59" s="121"/>
      <c r="T59" s="121"/>
      <c r="U59" s="121"/>
      <c r="V59" s="121"/>
      <c r="W59" s="121"/>
      <c r="X59" s="121"/>
      <c r="Y59" s="122"/>
      <c r="Z59" s="107"/>
      <c r="AA59" s="107"/>
      <c r="AB59" s="107"/>
      <c r="AC59" s="107"/>
      <c r="AD59" s="107"/>
      <c r="AE59" s="107"/>
      <c r="AF59" s="107"/>
      <c r="AG59" s="107"/>
      <c r="AH59" s="107"/>
      <c r="AI59" s="107"/>
      <c r="AJ59" s="107"/>
    </row>
    <row r="60" ht="15.75" customHeight="1">
      <c r="A60" s="107" t="str">
        <f>CityU!A37</f>
        <v>JS1200</v>
      </c>
      <c r="B60" s="107" t="str">
        <f>CityU!C37</f>
        <v>環球精研與科創課程</v>
      </c>
      <c r="C60" s="116" t="s">
        <v>21</v>
      </c>
      <c r="D60" s="107">
        <f>LARGE(E60:M60,1)+LARGE(E60:M60,2)+LARGE(E60:M60,3)+LARGE(E60:M60,4)+LARGE(E60:M60,5)</f>
        <v>0.0000000044</v>
      </c>
      <c r="E60" s="107">
        <f t="shared" si="43"/>
        <v>0.0000000001</v>
      </c>
      <c r="F60" s="107">
        <f t="shared" si="44"/>
        <v>0.0000000004</v>
      </c>
      <c r="G60" s="107">
        <f t="shared" ref="G60:G61" si="47">$G$4*2.5</f>
        <v>0.00000000075</v>
      </c>
      <c r="H60" s="107">
        <f t="shared" si="45"/>
        <v>0.0000000004</v>
      </c>
      <c r="I60" s="107">
        <f t="shared" ref="I60:I61" si="48">$I$4*2.5</f>
        <v>0.00000000125</v>
      </c>
      <c r="J60" s="107">
        <f t="shared" ref="J60:M60" si="46">IF(OR(J1="化學",J1="生物",J1="物理",J1="經濟"),J4*2.5,J4)</f>
        <v>0.0000000006</v>
      </c>
      <c r="K60" s="107">
        <f t="shared" si="46"/>
        <v>0.0000000007</v>
      </c>
      <c r="L60" s="107">
        <f t="shared" si="46"/>
        <v>0.0000000008</v>
      </c>
      <c r="M60" s="107">
        <f t="shared" si="46"/>
        <v>0.0000000009</v>
      </c>
      <c r="N60" s="107">
        <f t="shared" si="18"/>
        <v>0.00000000095</v>
      </c>
      <c r="O60" s="107"/>
      <c r="P60" s="107"/>
      <c r="Q60" s="121" t="s">
        <v>218</v>
      </c>
      <c r="R60" s="121" t="s">
        <v>219</v>
      </c>
      <c r="S60" s="121" t="s">
        <v>220</v>
      </c>
      <c r="T60" s="121" t="s">
        <v>221</v>
      </c>
      <c r="U60" s="121" t="s">
        <v>34</v>
      </c>
      <c r="V60" s="121" t="s">
        <v>222</v>
      </c>
      <c r="W60" s="121"/>
      <c r="X60" s="121"/>
      <c r="Y60" s="122"/>
      <c r="Z60" s="107"/>
      <c r="AA60" s="107"/>
      <c r="AB60" s="107"/>
      <c r="AC60" s="107"/>
      <c r="AD60" s="107"/>
      <c r="AE60" s="107"/>
      <c r="AF60" s="107"/>
      <c r="AG60" s="107"/>
      <c r="AH60" s="107"/>
      <c r="AI60" s="107"/>
      <c r="AJ60" s="107"/>
    </row>
    <row r="61" ht="15.75" customHeight="1">
      <c r="A61" s="107" t="str">
        <f>CityU!A38</f>
        <v>JS1201</v>
      </c>
      <c r="B61" s="107" t="str">
        <f>CityU!C38</f>
        <v>建築學及土木工程學系 [選項: 工學士(建築工程)、工學士(土木工程)、理學士(測量學)]</v>
      </c>
      <c r="C61" s="116" t="s">
        <v>24</v>
      </c>
      <c r="D61" s="107">
        <f>LARGE(E61:M61,1)+LARGE(E61:M61,2)+LARGE(E61:M61,3)+LARGE(E61:M61,4)+LARGE(E61:M61,5)+LARGE(E61:M61,6)</f>
        <v>0.000000005</v>
      </c>
      <c r="E61" s="107">
        <f>$E$4*1.5</f>
        <v>0.00000000015</v>
      </c>
      <c r="F61" s="107">
        <f>$F$4*2.5</f>
        <v>0.0000000005</v>
      </c>
      <c r="G61" s="107">
        <f t="shared" si="47"/>
        <v>0.00000000075</v>
      </c>
      <c r="H61" s="107">
        <f t="shared" si="45"/>
        <v>0.0000000004</v>
      </c>
      <c r="I61" s="107">
        <f t="shared" si="48"/>
        <v>0.00000000125</v>
      </c>
      <c r="J61" s="107">
        <f t="shared" ref="J61:M61" si="49">IF(OR(J1="物理",J1="組合科學(物理、化學)",J1="組合科學(物理、生物)",J1="綜合科學"),J4*2.5,J4)</f>
        <v>0.0000000006</v>
      </c>
      <c r="K61" s="107">
        <f t="shared" si="49"/>
        <v>0.0000000007</v>
      </c>
      <c r="L61" s="107">
        <f t="shared" si="49"/>
        <v>0.0000000008</v>
      </c>
      <c r="M61" s="107">
        <f t="shared" si="49"/>
        <v>0.0000000009</v>
      </c>
      <c r="N61" s="107">
        <f t="shared" si="18"/>
        <v>0.00000000095</v>
      </c>
      <c r="O61" s="107"/>
      <c r="P61" s="107"/>
      <c r="Q61" s="122">
        <f t="shared" ref="Q61:T61" si="50">IF(OR(J1="化學",J1="生物",J1="經濟",J1="物理"),1,0)</f>
        <v>0</v>
      </c>
      <c r="R61" s="122">
        <f t="shared" si="50"/>
        <v>0</v>
      </c>
      <c r="S61" s="122">
        <f t="shared" si="50"/>
        <v>0</v>
      </c>
      <c r="T61" s="122">
        <f t="shared" si="50"/>
        <v>0</v>
      </c>
      <c r="U61" s="122">
        <f>IF(I4&lt;1,0,1)</f>
        <v>0</v>
      </c>
      <c r="V61" s="122">
        <f>IF(SUM(Q61:U61)&gt;1,1,0)</f>
        <v>0</v>
      </c>
      <c r="W61" s="121"/>
      <c r="X61" s="121"/>
      <c r="Y61" s="122"/>
      <c r="Z61" s="107"/>
      <c r="AA61" s="107"/>
      <c r="AB61" s="107"/>
      <c r="AC61" s="107"/>
      <c r="AD61" s="107"/>
      <c r="AE61" s="107"/>
      <c r="AF61" s="107"/>
      <c r="AG61" s="107"/>
      <c r="AH61" s="107"/>
      <c r="AI61" s="107"/>
      <c r="AJ61" s="107"/>
    </row>
    <row r="62" ht="15.75" customHeight="1">
      <c r="A62" s="107" t="str">
        <f>CityU!A39</f>
        <v>JS1202</v>
      </c>
      <c r="B62" s="107" t="str">
        <f>CityU!C39</f>
        <v>理學士(化學)</v>
      </c>
      <c r="C62" s="119" t="s">
        <v>191</v>
      </c>
      <c r="D62" s="107">
        <f t="shared" ref="D62:D69" si="52">SUM(E62:H62)+LARGE((I62:N62),1)+LARGE((I62:N62),2)</f>
        <v>0.0000000032</v>
      </c>
      <c r="E62" s="107">
        <f t="shared" ref="E62:E74" si="53">$E$4</f>
        <v>0.0000000001</v>
      </c>
      <c r="F62" s="107">
        <f t="shared" ref="F62:F70" si="54">$F$4*2</f>
        <v>0.0000000004</v>
      </c>
      <c r="G62" s="107">
        <f>$G$4*1.5</f>
        <v>0.00000000045</v>
      </c>
      <c r="H62" s="107">
        <f t="shared" si="45"/>
        <v>0.0000000004</v>
      </c>
      <c r="I62" s="107">
        <f t="shared" ref="I62:I63" si="55">$I$4</f>
        <v>0.0000000005</v>
      </c>
      <c r="J62" s="107">
        <f t="shared" ref="J62:M62" si="51">IF(J1="化學",J4*2,IF(OR(J1="組合科學(物理、化學)",J1="組合科學(生物、化學)"),J4*1.5,J4))</f>
        <v>0.0000000006</v>
      </c>
      <c r="K62" s="107">
        <f t="shared" si="51"/>
        <v>0.0000000007</v>
      </c>
      <c r="L62" s="107">
        <f t="shared" si="51"/>
        <v>0.0000000008</v>
      </c>
      <c r="M62" s="107">
        <f t="shared" si="51"/>
        <v>0.0000000009</v>
      </c>
      <c r="N62" s="107">
        <f t="shared" si="18"/>
        <v>0.00000000095</v>
      </c>
      <c r="O62" s="107"/>
      <c r="P62" s="107"/>
      <c r="Q62" s="121"/>
      <c r="R62" s="121"/>
      <c r="S62" s="121"/>
      <c r="T62" s="121"/>
      <c r="U62" s="121"/>
      <c r="V62" s="121"/>
      <c r="W62" s="121"/>
      <c r="X62" s="121"/>
      <c r="Y62" s="122"/>
      <c r="Z62" s="107"/>
      <c r="AA62" s="107"/>
      <c r="AB62" s="107"/>
      <c r="AC62" s="107"/>
      <c r="AD62" s="107"/>
      <c r="AE62" s="107"/>
      <c r="AF62" s="107"/>
      <c r="AG62" s="107"/>
      <c r="AH62" s="107"/>
      <c r="AI62" s="107"/>
      <c r="AJ62" s="107"/>
    </row>
    <row r="63" ht="15.75" customHeight="1">
      <c r="A63" s="107" t="str">
        <f>CityU!A40</f>
        <v>JS1204</v>
      </c>
      <c r="B63" s="107" t="str">
        <f>CityU!C40</f>
        <v>理學士(電腦科學)</v>
      </c>
      <c r="C63" s="117" t="s">
        <v>191</v>
      </c>
      <c r="D63" s="107">
        <f t="shared" si="52"/>
        <v>0.00000000305</v>
      </c>
      <c r="E63" s="107">
        <f t="shared" si="53"/>
        <v>0.0000000001</v>
      </c>
      <c r="F63" s="107">
        <f t="shared" si="54"/>
        <v>0.0000000004</v>
      </c>
      <c r="G63" s="107">
        <f>$G$4</f>
        <v>0.0000000003</v>
      </c>
      <c r="H63" s="107">
        <f t="shared" si="45"/>
        <v>0.0000000004</v>
      </c>
      <c r="I63" s="107">
        <f t="shared" si="55"/>
        <v>0.0000000005</v>
      </c>
      <c r="J63" s="107">
        <f>$J$4</f>
        <v>0.0000000006</v>
      </c>
      <c r="K63" s="107">
        <f>$K$4</f>
        <v>0.0000000007</v>
      </c>
      <c r="L63" s="107">
        <f>$L$4</f>
        <v>0.0000000008</v>
      </c>
      <c r="M63" s="107">
        <f>$M$4</f>
        <v>0.0000000009</v>
      </c>
      <c r="N63" s="107">
        <f t="shared" si="18"/>
        <v>0.00000000095</v>
      </c>
      <c r="O63" s="107"/>
      <c r="P63" s="107"/>
      <c r="Q63" s="121" t="s">
        <v>223</v>
      </c>
      <c r="R63" s="121"/>
      <c r="S63" s="121"/>
      <c r="T63" s="121"/>
      <c r="U63" s="121"/>
      <c r="V63" s="121"/>
      <c r="W63" s="121"/>
      <c r="X63" s="121"/>
      <c r="Y63" s="122"/>
      <c r="Z63" s="107"/>
      <c r="AA63" s="107"/>
      <c r="AB63" s="107"/>
      <c r="AC63" s="107"/>
      <c r="AD63" s="107"/>
      <c r="AE63" s="107"/>
      <c r="AF63" s="107"/>
      <c r="AG63" s="107"/>
      <c r="AH63" s="107"/>
      <c r="AI63" s="107"/>
      <c r="AJ63" s="107"/>
    </row>
    <row r="64" ht="15.75" customHeight="1">
      <c r="A64" s="107" t="str">
        <f>CityU!A41</f>
        <v>JS1205</v>
      </c>
      <c r="B64" s="107" t="str">
        <f>CityU!C41</f>
        <v>電機工程學系 [選項: 工學士(電子計算機及數據工程學)、工學士(電子及電機工程學)、工學士(資訊工程學)]</v>
      </c>
      <c r="C64" s="119" t="s">
        <v>191</v>
      </c>
      <c r="D64" s="107">
        <f t="shared" si="52"/>
        <v>0.00000000345</v>
      </c>
      <c r="E64" s="107">
        <f t="shared" si="53"/>
        <v>0.0000000001</v>
      </c>
      <c r="F64" s="107">
        <f t="shared" si="54"/>
        <v>0.0000000004</v>
      </c>
      <c r="G64" s="107">
        <f>$G$4*2</f>
        <v>0.0000000006</v>
      </c>
      <c r="H64" s="107">
        <f t="shared" si="45"/>
        <v>0.0000000004</v>
      </c>
      <c r="I64" s="107">
        <f t="shared" ref="I64:I65" si="57">$I$4*2</f>
        <v>0.000000001</v>
      </c>
      <c r="J64" s="107">
        <f t="shared" ref="J64:M64" si="56">IF(OR(J1="組合科學(物理、化學)",J1="組合科學(物理、生物)",J1="物理",J1="資訊及通訊科技"),J4*2,IF(OR(J1="組合科學(生物、化學)",J1="生物",J1="化學",J1="綜合科學"),J4*1.5,J4))</f>
        <v>0.0000000006</v>
      </c>
      <c r="K64" s="107">
        <f t="shared" si="56"/>
        <v>0.0000000007</v>
      </c>
      <c r="L64" s="107">
        <f t="shared" si="56"/>
        <v>0.0000000008</v>
      </c>
      <c r="M64" s="107">
        <f t="shared" si="56"/>
        <v>0.0000000009</v>
      </c>
      <c r="N64" s="107">
        <f t="shared" si="18"/>
        <v>0.00000000095</v>
      </c>
      <c r="O64" s="107"/>
      <c r="P64" s="107"/>
      <c r="Q64" s="121" t="s">
        <v>218</v>
      </c>
      <c r="R64" s="121" t="s">
        <v>219</v>
      </c>
      <c r="S64" s="121" t="s">
        <v>220</v>
      </c>
      <c r="T64" s="121" t="s">
        <v>221</v>
      </c>
      <c r="U64" s="121"/>
      <c r="V64" s="121" t="s">
        <v>224</v>
      </c>
      <c r="W64" s="121"/>
      <c r="X64" s="121"/>
      <c r="Y64" s="122"/>
      <c r="Z64" s="107"/>
      <c r="AA64" s="107"/>
      <c r="AB64" s="107"/>
      <c r="AC64" s="107"/>
      <c r="AD64" s="107"/>
      <c r="AE64" s="107"/>
      <c r="AF64" s="107"/>
      <c r="AG64" s="107"/>
      <c r="AH64" s="107"/>
      <c r="AI64" s="107"/>
      <c r="AJ64" s="107"/>
    </row>
    <row r="65" ht="15.75" customHeight="1">
      <c r="A65" s="107" t="str">
        <f>CityU!A42</f>
        <v>JS1206</v>
      </c>
      <c r="B65" s="107" t="str">
        <f>CityU!C42</f>
        <v>理學士(計算數學)</v>
      </c>
      <c r="C65" s="119" t="s">
        <v>191</v>
      </c>
      <c r="D65" s="107">
        <f t="shared" si="52"/>
        <v>0.0000000036</v>
      </c>
      <c r="E65" s="107">
        <f t="shared" si="53"/>
        <v>0.0000000001</v>
      </c>
      <c r="F65" s="107">
        <f t="shared" si="54"/>
        <v>0.0000000004</v>
      </c>
      <c r="G65" s="107">
        <f>$G$4*2.5</f>
        <v>0.00000000075</v>
      </c>
      <c r="H65" s="107">
        <f t="shared" si="45"/>
        <v>0.0000000004</v>
      </c>
      <c r="I65" s="107">
        <f t="shared" si="57"/>
        <v>0.000000001</v>
      </c>
      <c r="J65" s="107">
        <f t="shared" ref="J65:M65" si="58">IF(OR(J1="物理",J1="化學",J1="組合科學(物理、化學)",J1="組合科學(生物、化學)",J1="組合科學(物理、生物)"),J4*1.5,J4)</f>
        <v>0.0000000006</v>
      </c>
      <c r="K65" s="107">
        <f t="shared" si="58"/>
        <v>0.0000000007</v>
      </c>
      <c r="L65" s="107">
        <f t="shared" si="58"/>
        <v>0.0000000008</v>
      </c>
      <c r="M65" s="107">
        <f t="shared" si="58"/>
        <v>0.0000000009</v>
      </c>
      <c r="N65" s="107">
        <f t="shared" si="18"/>
        <v>0.00000000095</v>
      </c>
      <c r="O65" s="107"/>
      <c r="P65" s="107"/>
      <c r="Q65" s="122">
        <f t="shared" ref="Q65:T65" si="59">IF(OR(J1="物理",J1="組合科學(物理、化學)",J1="組合科學(物理、生物)",J1="綜合科學"),1,0)</f>
        <v>0</v>
      </c>
      <c r="R65" s="122">
        <f t="shared" si="59"/>
        <v>0</v>
      </c>
      <c r="S65" s="122">
        <f t="shared" si="59"/>
        <v>0</v>
      </c>
      <c r="T65" s="122">
        <f t="shared" si="59"/>
        <v>0</v>
      </c>
      <c r="U65" s="122"/>
      <c r="V65" s="122">
        <f>IF(SUM(Q65:U65)&gt;0,1,0)</f>
        <v>0</v>
      </c>
      <c r="W65" s="121"/>
      <c r="X65" s="121"/>
      <c r="Y65" s="122"/>
      <c r="Z65" s="107"/>
      <c r="AA65" s="107"/>
      <c r="AB65" s="107"/>
      <c r="AC65" s="107"/>
      <c r="AD65" s="107"/>
      <c r="AE65" s="107"/>
      <c r="AF65" s="107"/>
      <c r="AG65" s="107"/>
      <c r="AH65" s="107"/>
      <c r="AI65" s="107"/>
      <c r="AJ65" s="107"/>
    </row>
    <row r="66" ht="15.75" customHeight="1">
      <c r="A66" s="107" t="str">
        <f>CityU!A43</f>
        <v>JS1207</v>
      </c>
      <c r="B66" s="107" t="str">
        <f>CityU!C43</f>
        <v>機械工程學系 [選項: 工學士(機械工程)、工學士(核子及風險工程)]</v>
      </c>
      <c r="C66" s="119" t="s">
        <v>191</v>
      </c>
      <c r="D66" s="107">
        <f t="shared" si="52"/>
        <v>0.00000000335</v>
      </c>
      <c r="E66" s="107">
        <f t="shared" si="53"/>
        <v>0.0000000001</v>
      </c>
      <c r="F66" s="107">
        <f t="shared" si="54"/>
        <v>0.0000000004</v>
      </c>
      <c r="G66" s="107">
        <f>$G$4*2</f>
        <v>0.0000000006</v>
      </c>
      <c r="H66" s="107">
        <f t="shared" si="45"/>
        <v>0.0000000004</v>
      </c>
      <c r="I66" s="107">
        <f t="shared" ref="I66:I68" si="61">$I$4*1.5</f>
        <v>0.00000000075</v>
      </c>
      <c r="J66" s="107">
        <f t="shared" ref="J66:M66" si="60">IF(J1="物理",J4*2,IF(OR(J1="化學",J1="組合科學(物理、化學)",J1="組合科學(生物、化學)",J1="組合科學(物理、生物)",J1="設計與生活"),J4*1.5,J4))</f>
        <v>0.0000000006</v>
      </c>
      <c r="K66" s="107">
        <f t="shared" si="60"/>
        <v>0.0000000007</v>
      </c>
      <c r="L66" s="107">
        <f t="shared" si="60"/>
        <v>0.0000000008</v>
      </c>
      <c r="M66" s="107">
        <f t="shared" si="60"/>
        <v>0.0000000009</v>
      </c>
      <c r="N66" s="107">
        <f t="shared" si="18"/>
        <v>0.00000000095</v>
      </c>
      <c r="O66" s="107"/>
      <c r="P66" s="107"/>
      <c r="Q66" s="121"/>
      <c r="R66" s="121"/>
      <c r="S66" s="121"/>
      <c r="T66" s="121"/>
      <c r="U66" s="121"/>
      <c r="V66" s="121"/>
      <c r="W66" s="121"/>
      <c r="X66" s="121"/>
      <c r="Y66" s="107"/>
      <c r="Z66" s="107"/>
      <c r="AA66" s="107"/>
      <c r="AB66" s="107"/>
      <c r="AC66" s="107"/>
      <c r="AD66" s="107"/>
      <c r="AE66" s="107"/>
      <c r="AF66" s="107"/>
      <c r="AG66" s="107"/>
      <c r="AH66" s="107"/>
      <c r="AI66" s="107"/>
      <c r="AJ66" s="107"/>
    </row>
    <row r="67" ht="15.75" customHeight="1">
      <c r="A67" s="107" t="str">
        <f>CityU!A44</f>
        <v>JS1208</v>
      </c>
      <c r="B67" s="107" t="str">
        <f>CityU!C44</f>
        <v>理學士(物理學)</v>
      </c>
      <c r="C67" s="119" t="s">
        <v>191</v>
      </c>
      <c r="D67" s="107">
        <f t="shared" si="52"/>
        <v>0.000000003125</v>
      </c>
      <c r="E67" s="107">
        <f t="shared" si="53"/>
        <v>0.0000000001</v>
      </c>
      <c r="F67" s="107">
        <f t="shared" si="54"/>
        <v>0.0000000004</v>
      </c>
      <c r="G67" s="107">
        <f>$G$4*1.25</f>
        <v>0.000000000375</v>
      </c>
      <c r="H67" s="107">
        <f t="shared" si="45"/>
        <v>0.0000000004</v>
      </c>
      <c r="I67" s="107">
        <f t="shared" si="61"/>
        <v>0.00000000075</v>
      </c>
      <c r="J67" s="107">
        <f t="shared" ref="J67:M67" si="62">IF(J1="物理",J4*2,J4)</f>
        <v>0.0000000006</v>
      </c>
      <c r="K67" s="107">
        <f t="shared" si="62"/>
        <v>0.0000000007</v>
      </c>
      <c r="L67" s="107">
        <f t="shared" si="62"/>
        <v>0.0000000008</v>
      </c>
      <c r="M67" s="107">
        <f t="shared" si="62"/>
        <v>0.0000000009</v>
      </c>
      <c r="N67" s="107">
        <f t="shared" si="18"/>
        <v>0.00000000095</v>
      </c>
      <c r="O67" s="107"/>
      <c r="P67" s="107"/>
      <c r="Q67" s="107"/>
      <c r="R67" s="107"/>
      <c r="S67" s="107"/>
      <c r="T67" s="107"/>
      <c r="U67" s="107"/>
      <c r="V67" s="107"/>
      <c r="W67" s="107"/>
      <c r="X67" s="107"/>
      <c r="Y67" s="107"/>
      <c r="Z67" s="107"/>
      <c r="AA67" s="107"/>
      <c r="AB67" s="107"/>
      <c r="AC67" s="107"/>
      <c r="AD67" s="107"/>
      <c r="AE67" s="107"/>
      <c r="AF67" s="107"/>
      <c r="AG67" s="107"/>
      <c r="AH67" s="107"/>
      <c r="AI67" s="107"/>
      <c r="AJ67" s="107"/>
    </row>
    <row r="68" ht="15.75" customHeight="1">
      <c r="A68" s="107" t="str">
        <f>CityU!A45</f>
        <v>JS1210</v>
      </c>
      <c r="B68" s="107" t="str">
        <f>CityU!C45</f>
        <v>工學士(材料科學及工程)</v>
      </c>
      <c r="C68" s="119" t="s">
        <v>191</v>
      </c>
      <c r="D68" s="107">
        <f t="shared" si="52"/>
        <v>0.00000000305</v>
      </c>
      <c r="E68" s="107">
        <f t="shared" si="53"/>
        <v>0.0000000001</v>
      </c>
      <c r="F68" s="107">
        <f t="shared" si="54"/>
        <v>0.0000000004</v>
      </c>
      <c r="G68" s="107">
        <f>$G$4</f>
        <v>0.0000000003</v>
      </c>
      <c r="H68" s="107">
        <f t="shared" si="45"/>
        <v>0.0000000004</v>
      </c>
      <c r="I68" s="107">
        <f t="shared" si="61"/>
        <v>0.00000000075</v>
      </c>
      <c r="J68" s="107">
        <f t="shared" ref="J68:M68" si="63">IF(J1="物理",J4*2,IF(J1="化學",J4*1.5,J4))</f>
        <v>0.0000000006</v>
      </c>
      <c r="K68" s="107">
        <f t="shared" si="63"/>
        <v>0.0000000007</v>
      </c>
      <c r="L68" s="107">
        <f t="shared" si="63"/>
        <v>0.0000000008</v>
      </c>
      <c r="M68" s="107">
        <f t="shared" si="63"/>
        <v>0.0000000009</v>
      </c>
      <c r="N68" s="107">
        <f t="shared" si="18"/>
        <v>0.00000000095</v>
      </c>
      <c r="O68" s="107"/>
      <c r="P68" s="107"/>
      <c r="Q68" s="107"/>
      <c r="R68" s="107"/>
      <c r="S68" s="107"/>
      <c r="T68" s="107"/>
      <c r="U68" s="107"/>
      <c r="V68" s="107"/>
      <c r="W68" s="107"/>
      <c r="X68" s="107"/>
      <c r="Y68" s="107"/>
      <c r="Z68" s="107"/>
      <c r="AA68" s="107"/>
      <c r="AB68" s="107"/>
      <c r="AC68" s="107"/>
      <c r="AD68" s="107"/>
      <c r="AE68" s="107"/>
      <c r="AF68" s="107"/>
      <c r="AG68" s="107"/>
      <c r="AH68" s="107"/>
      <c r="AI68" s="107"/>
      <c r="AJ68" s="107"/>
    </row>
    <row r="69" ht="15.75" customHeight="1">
      <c r="A69" s="107" t="str">
        <f>CityU!A46</f>
        <v>JS1211</v>
      </c>
      <c r="B69" s="107" t="str">
        <f>CityU!C46</f>
        <v>工學士(生物醫學工程)</v>
      </c>
      <c r="C69" s="119" t="s">
        <v>191</v>
      </c>
      <c r="D69" s="107">
        <f t="shared" si="52"/>
        <v>0.00000000335</v>
      </c>
      <c r="E69" s="107">
        <f t="shared" si="53"/>
        <v>0.0000000001</v>
      </c>
      <c r="F69" s="107">
        <f t="shared" si="54"/>
        <v>0.0000000004</v>
      </c>
      <c r="G69" s="107">
        <f t="shared" ref="G69:G70" si="65">$G$4*2</f>
        <v>0.0000000006</v>
      </c>
      <c r="H69" s="107">
        <f t="shared" si="45"/>
        <v>0.0000000004</v>
      </c>
      <c r="I69" s="107">
        <f>$I$4</f>
        <v>0.0000000005</v>
      </c>
      <c r="J69" s="107">
        <f t="shared" ref="J69:M69" si="64">IF(OR(J1="物理",J1="化學",J1="生物",J1="組合科學(物理、化學)",J1="組合科學(生物、化學)",J1="組合科學(物理、生物)"),J4*2,J4)</f>
        <v>0.0000000006</v>
      </c>
      <c r="K69" s="107">
        <f t="shared" si="64"/>
        <v>0.0000000007</v>
      </c>
      <c r="L69" s="107">
        <f t="shared" si="64"/>
        <v>0.0000000008</v>
      </c>
      <c r="M69" s="107">
        <f t="shared" si="64"/>
        <v>0.0000000009</v>
      </c>
      <c r="N69" s="107">
        <f t="shared" si="18"/>
        <v>0.00000000095</v>
      </c>
      <c r="O69" s="107"/>
      <c r="P69" s="107"/>
      <c r="Q69" s="107"/>
      <c r="R69" s="107"/>
      <c r="S69" s="107"/>
      <c r="T69" s="107"/>
      <c r="U69" s="107"/>
      <c r="V69" s="107"/>
      <c r="W69" s="107"/>
      <c r="X69" s="107"/>
      <c r="Y69" s="107"/>
      <c r="Z69" s="107"/>
      <c r="AA69" s="107"/>
      <c r="AB69" s="107"/>
      <c r="AC69" s="107"/>
      <c r="AD69" s="107"/>
      <c r="AE69" s="107"/>
      <c r="AF69" s="107"/>
      <c r="AG69" s="107"/>
      <c r="AH69" s="107"/>
      <c r="AI69" s="107"/>
      <c r="AJ69" s="107"/>
    </row>
    <row r="70" ht="15.75" customHeight="1">
      <c r="A70" s="107" t="str">
        <f>CityU!A47</f>
        <v>JS1216</v>
      </c>
      <c r="B70" s="107" t="str">
        <f>CityU!C47</f>
        <v>工學士(智能製造工程學)</v>
      </c>
      <c r="C70" s="116" t="s">
        <v>21</v>
      </c>
      <c r="D70" s="107">
        <f>LARGE(E70:M70,1)+LARGE(E70:M70,2)+LARGE(E70:M70,3)+LARGE(E70:M70,4)+LARGE(E70:M70,5)</f>
        <v>0.000000004</v>
      </c>
      <c r="E70" s="107">
        <f t="shared" si="53"/>
        <v>0.0000000001</v>
      </c>
      <c r="F70" s="107">
        <f t="shared" si="54"/>
        <v>0.0000000004</v>
      </c>
      <c r="G70" s="107">
        <f t="shared" si="65"/>
        <v>0.0000000006</v>
      </c>
      <c r="H70" s="107">
        <f t="shared" si="45"/>
        <v>0.0000000004</v>
      </c>
      <c r="I70" s="107">
        <f>$I$4*2</f>
        <v>0.000000001</v>
      </c>
      <c r="J70" s="107">
        <f t="shared" ref="J70:M70" si="66">IF(OR(J1="資訊及通訊科技",J1="物理"),J4*2,IF(OR(J1="組合科學(物理、化學)",J1="組合科學(物理、生物)",J1="化學",J1="科技與生活"),J4*1.5,J4))</f>
        <v>0.0000000006</v>
      </c>
      <c r="K70" s="107">
        <f t="shared" si="66"/>
        <v>0.0000000007</v>
      </c>
      <c r="L70" s="107">
        <f t="shared" si="66"/>
        <v>0.0000000008</v>
      </c>
      <c r="M70" s="107">
        <f t="shared" si="66"/>
        <v>0.0000000009</v>
      </c>
      <c r="N70" s="107">
        <f t="shared" si="18"/>
        <v>0.00000000095</v>
      </c>
      <c r="O70" s="107"/>
      <c r="P70" s="107"/>
      <c r="Q70" s="107"/>
      <c r="R70" s="107"/>
      <c r="S70" s="107"/>
      <c r="T70" s="107"/>
      <c r="U70" s="107"/>
      <c r="V70" s="107"/>
      <c r="W70" s="107"/>
      <c r="X70" s="107"/>
      <c r="Y70" s="107"/>
      <c r="Z70" s="107"/>
      <c r="AA70" s="107"/>
      <c r="AB70" s="107"/>
      <c r="AC70" s="107"/>
      <c r="AD70" s="107"/>
      <c r="AE70" s="107"/>
      <c r="AF70" s="107"/>
      <c r="AG70" s="107"/>
      <c r="AH70" s="107"/>
      <c r="AI70" s="107"/>
      <c r="AJ70" s="107"/>
    </row>
    <row r="71" ht="15.75" customHeight="1">
      <c r="A71" s="107" t="str">
        <f>CityU!A48</f>
        <v>JS1801</v>
      </c>
      <c r="B71" s="107" t="str">
        <f>CityU!C48</f>
        <v>獸醫學學士</v>
      </c>
      <c r="C71" s="119" t="s">
        <v>191</v>
      </c>
      <c r="D71" s="107">
        <f>SUM(E71:H71)+LARGE((J71:M71),1)+LARGE((J71:M71),2)</f>
        <v>0.0000000027</v>
      </c>
      <c r="E71" s="107">
        <f t="shared" si="53"/>
        <v>0.0000000001</v>
      </c>
      <c r="F71" s="107">
        <f>$F$4</f>
        <v>0.0000000002</v>
      </c>
      <c r="G71" s="107">
        <f>$G$4</f>
        <v>0.0000000003</v>
      </c>
      <c r="H71" s="107">
        <f t="shared" si="45"/>
        <v>0.0000000004</v>
      </c>
      <c r="I71" s="107">
        <f>$I$4</f>
        <v>0.0000000005</v>
      </c>
      <c r="J71" s="107">
        <f>$J$4</f>
        <v>0.0000000006</v>
      </c>
      <c r="K71" s="107">
        <f>$K$4</f>
        <v>0.0000000007</v>
      </c>
      <c r="L71" s="107">
        <f>$L$4</f>
        <v>0.0000000008</v>
      </c>
      <c r="M71" s="107">
        <f>$M$4</f>
        <v>0.0000000009</v>
      </c>
      <c r="N71" s="107">
        <f t="shared" si="18"/>
        <v>0.00000000095</v>
      </c>
      <c r="O71" s="107"/>
      <c r="P71" s="107"/>
      <c r="Q71" s="121" t="s">
        <v>225</v>
      </c>
      <c r="R71" s="121"/>
      <c r="S71" s="121"/>
      <c r="T71" s="121"/>
      <c r="U71" s="121"/>
      <c r="V71" s="107"/>
      <c r="W71" s="107"/>
      <c r="X71" s="107"/>
      <c r="Y71" s="107"/>
      <c r="Z71" s="107"/>
      <c r="AA71" s="107"/>
      <c r="AB71" s="107"/>
      <c r="AC71" s="107"/>
      <c r="AD71" s="107"/>
      <c r="AE71" s="107"/>
      <c r="AF71" s="107"/>
      <c r="AG71" s="107"/>
      <c r="AH71" s="107"/>
      <c r="AI71" s="107"/>
      <c r="AJ71" s="107"/>
    </row>
    <row r="72" ht="15.75" customHeight="1">
      <c r="A72" s="107" t="str">
        <f>CityU!A49</f>
        <v>JS1805</v>
      </c>
      <c r="B72" s="107" t="str">
        <f>CityU!C49</f>
        <v>生物醫學系 [選項: 理學士(生物科學)、理學士(生物醫學)]</v>
      </c>
      <c r="C72" s="116" t="s">
        <v>191</v>
      </c>
      <c r="D72" s="107">
        <f t="shared" ref="D72:D74" si="68">SUM(E72:H72)+LARGE((I72:M72),1)+LARGE((I72:M72),2)</f>
        <v>0.00000000305</v>
      </c>
      <c r="E72" s="107">
        <f t="shared" si="53"/>
        <v>0.0000000001</v>
      </c>
      <c r="F72" s="107">
        <f t="shared" ref="F72:F74" si="69">$F$4*2</f>
        <v>0.0000000004</v>
      </c>
      <c r="G72" s="107">
        <f t="shared" ref="G72:G74" si="70">$G$4*1.5</f>
        <v>0.00000000045</v>
      </c>
      <c r="H72" s="107">
        <f t="shared" si="45"/>
        <v>0.0000000004</v>
      </c>
      <c r="I72" s="107">
        <f t="shared" ref="I72:I74" si="71">$I$4*1.5</f>
        <v>0.00000000075</v>
      </c>
      <c r="J72" s="107">
        <f t="shared" ref="J72:M72" si="67">IF(OR(J1="化學",J1="生物",J1="組合科學(物理、化學)",J1="組合科學(生物、化學)",J1="組合科學(物理、生物)"),J4*2,IF(OR(J1="企業、會計與財務概論",J1="資訊及通訊科技",J1="科技與生活",J1="綜合科學",J1="物理"),J4*1.5,J4))</f>
        <v>0.0000000006</v>
      </c>
      <c r="K72" s="107">
        <f t="shared" si="67"/>
        <v>0.0000000007</v>
      </c>
      <c r="L72" s="107">
        <f t="shared" si="67"/>
        <v>0.0000000008</v>
      </c>
      <c r="M72" s="107">
        <f t="shared" si="67"/>
        <v>0.0000000009</v>
      </c>
      <c r="N72" s="107">
        <f t="shared" si="18"/>
        <v>0.00000000095</v>
      </c>
      <c r="O72" s="107"/>
      <c r="P72" s="107"/>
      <c r="Q72" s="121" t="s">
        <v>78</v>
      </c>
      <c r="R72" s="122">
        <f>IF(OR(J1="化學",K1="化學",L1="化學",M1="化學"),1,0)</f>
        <v>0</v>
      </c>
      <c r="S72" s="121" t="s">
        <v>226</v>
      </c>
      <c r="T72" s="122">
        <f>R72*R73</f>
        <v>0</v>
      </c>
      <c r="U72" s="121"/>
      <c r="V72" s="107"/>
      <c r="W72" s="107"/>
      <c r="X72" s="107"/>
      <c r="Y72" s="107"/>
      <c r="Z72" s="107"/>
      <c r="AA72" s="107"/>
      <c r="AB72" s="107"/>
      <c r="AC72" s="107"/>
      <c r="AD72" s="107"/>
      <c r="AE72" s="107"/>
      <c r="AF72" s="107"/>
      <c r="AG72" s="107"/>
      <c r="AH72" s="107"/>
      <c r="AI72" s="107"/>
      <c r="AJ72" s="107"/>
    </row>
    <row r="73" ht="15.75" customHeight="1">
      <c r="A73" s="107" t="str">
        <f>CityU!A50</f>
        <v>JS1806</v>
      </c>
      <c r="B73" s="107" t="str">
        <f>CityU!C50</f>
        <v>理學士(生物科學)</v>
      </c>
      <c r="C73" s="116" t="s">
        <v>191</v>
      </c>
      <c r="D73" s="107">
        <f t="shared" si="68"/>
        <v>0.00000000305</v>
      </c>
      <c r="E73" s="107">
        <f t="shared" si="53"/>
        <v>0.0000000001</v>
      </c>
      <c r="F73" s="107">
        <f t="shared" si="69"/>
        <v>0.0000000004</v>
      </c>
      <c r="G73" s="107">
        <f t="shared" si="70"/>
        <v>0.00000000045</v>
      </c>
      <c r="H73" s="107">
        <f t="shared" si="45"/>
        <v>0.0000000004</v>
      </c>
      <c r="I73" s="107">
        <f t="shared" si="71"/>
        <v>0.00000000075</v>
      </c>
      <c r="J73" s="107">
        <f t="shared" ref="J73:M73" si="72">IF(OR(J1="化學",J1="生物",J1="組合科學(物理、化學)",J1="組合科學(生物、化學)",J1="組合科學(物理、生物)"),J4*2,IF(OR(J1="企業、會計與財務概論",J1="資訊及通訊科技",J1="科技與生活",J1="綜合科學",J1="物理"),J4*1.5,J4))</f>
        <v>0.0000000006</v>
      </c>
      <c r="K73" s="107">
        <f t="shared" si="72"/>
        <v>0.0000000007</v>
      </c>
      <c r="L73" s="107">
        <f t="shared" si="72"/>
        <v>0.0000000008</v>
      </c>
      <c r="M73" s="107">
        <f t="shared" si="72"/>
        <v>0.0000000009</v>
      </c>
      <c r="N73" s="107">
        <f t="shared" si="18"/>
        <v>0.00000000095</v>
      </c>
      <c r="O73" s="107"/>
      <c r="P73" s="107"/>
      <c r="Q73" s="121" t="s">
        <v>80</v>
      </c>
      <c r="R73" s="122">
        <f>IF(OR(K1="生物",L1="生物",M1="生物",N1="生物"),1,0)</f>
        <v>0</v>
      </c>
      <c r="S73" s="121"/>
      <c r="T73" s="121"/>
      <c r="U73" s="121"/>
      <c r="V73" s="107"/>
      <c r="W73" s="107"/>
      <c r="X73" s="107"/>
      <c r="Y73" s="107"/>
      <c r="Z73" s="107"/>
      <c r="AA73" s="107"/>
      <c r="AB73" s="107"/>
      <c r="AC73" s="107"/>
      <c r="AD73" s="107"/>
      <c r="AE73" s="107"/>
      <c r="AF73" s="107"/>
      <c r="AG73" s="107"/>
      <c r="AH73" s="107"/>
      <c r="AI73" s="107"/>
      <c r="AJ73" s="107"/>
    </row>
    <row r="74" ht="15.75" customHeight="1">
      <c r="A74" s="107" t="str">
        <f>CityU!A51</f>
        <v>JS1807</v>
      </c>
      <c r="B74" s="107" t="str">
        <f>CityU!C51</f>
        <v>理學士(生物醫學)</v>
      </c>
      <c r="C74" s="116" t="s">
        <v>191</v>
      </c>
      <c r="D74" s="107">
        <f t="shared" si="68"/>
        <v>0.00000000305</v>
      </c>
      <c r="E74" s="107">
        <f t="shared" si="53"/>
        <v>0.0000000001</v>
      </c>
      <c r="F74" s="107">
        <f t="shared" si="69"/>
        <v>0.0000000004</v>
      </c>
      <c r="G74" s="107">
        <f t="shared" si="70"/>
        <v>0.00000000045</v>
      </c>
      <c r="H74" s="107">
        <f t="shared" si="45"/>
        <v>0.0000000004</v>
      </c>
      <c r="I74" s="107">
        <f t="shared" si="71"/>
        <v>0.00000000075</v>
      </c>
      <c r="J74" s="107">
        <f t="shared" ref="J74:M74" si="73">IF(OR(J1="化學",J1="生物",J1="組合科學(物理、化學)",J1="組合科學(生物、化學)",J1="組合科學(物理、生物)"),J4*2,IF(OR(J1="企業、會計與財務概論",J1="資訊及通訊科技",J1="科技與生活",J1="綜合科學",J1="物理"),J4*1.5,J4))</f>
        <v>0.0000000006</v>
      </c>
      <c r="K74" s="107">
        <f t="shared" si="73"/>
        <v>0.0000000007</v>
      </c>
      <c r="L74" s="107">
        <f t="shared" si="73"/>
        <v>0.0000000008</v>
      </c>
      <c r="M74" s="107">
        <f t="shared" si="73"/>
        <v>0.0000000009</v>
      </c>
      <c r="N74" s="107">
        <f t="shared" si="18"/>
        <v>0.00000000095</v>
      </c>
      <c r="O74" s="107"/>
      <c r="P74" s="113"/>
      <c r="Q74" s="121"/>
      <c r="R74" s="121"/>
      <c r="S74" s="121"/>
      <c r="T74" s="121"/>
      <c r="U74" s="121"/>
      <c r="V74" s="107"/>
      <c r="W74" s="107"/>
      <c r="X74" s="107"/>
      <c r="Y74" s="107"/>
      <c r="Z74" s="107"/>
      <c r="AA74" s="107"/>
      <c r="AB74" s="107"/>
      <c r="AC74" s="107"/>
      <c r="AD74" s="107"/>
      <c r="AE74" s="107"/>
      <c r="AF74" s="107"/>
      <c r="AG74" s="107"/>
      <c r="AH74" s="107"/>
      <c r="AI74" s="107"/>
      <c r="AJ74" s="107"/>
    </row>
    <row r="75" ht="15.75" customHeight="1">
      <c r="A75" s="107"/>
      <c r="B75" s="107"/>
      <c r="C75" s="108"/>
      <c r="D75" s="107"/>
      <c r="E75" s="107"/>
      <c r="F75" s="107"/>
      <c r="G75" s="107"/>
      <c r="H75" s="107"/>
      <c r="I75" s="107"/>
      <c r="J75" s="107"/>
      <c r="K75" s="107"/>
      <c r="L75" s="107"/>
      <c r="M75" s="107"/>
      <c r="N75" s="107"/>
      <c r="O75" s="107"/>
      <c r="P75" s="113"/>
      <c r="Q75" s="107"/>
      <c r="R75" s="107"/>
      <c r="S75" s="107"/>
      <c r="T75" s="107"/>
      <c r="U75" s="107"/>
      <c r="V75" s="107"/>
      <c r="W75" s="107"/>
      <c r="X75" s="107"/>
      <c r="Y75" s="107"/>
      <c r="Z75" s="107"/>
      <c r="AA75" s="107"/>
      <c r="AB75" s="107"/>
      <c r="AC75" s="107"/>
      <c r="AD75" s="107"/>
      <c r="AE75" s="107"/>
      <c r="AF75" s="107"/>
      <c r="AG75" s="107"/>
      <c r="AH75" s="107"/>
      <c r="AI75" s="107"/>
      <c r="AJ75" s="107"/>
    </row>
    <row r="76" ht="15.75" customHeight="1">
      <c r="A76" s="123" t="s">
        <v>227</v>
      </c>
      <c r="B76" s="120"/>
      <c r="C76" s="124"/>
      <c r="D76" s="120" t="str">
        <f t="shared" ref="D76:N76" si="74">D1</f>
        <v>總分</v>
      </c>
      <c r="E76" s="120" t="str">
        <f t="shared" si="74"/>
        <v>中國語文</v>
      </c>
      <c r="F76" s="120" t="str">
        <f t="shared" si="74"/>
        <v>英國語文</v>
      </c>
      <c r="G76" s="120" t="str">
        <f t="shared" si="74"/>
        <v>數學</v>
      </c>
      <c r="H76" s="120" t="str">
        <f t="shared" si="74"/>
        <v>通識教育</v>
      </c>
      <c r="I76" s="120" t="str">
        <f t="shared" si="74"/>
        <v>數學延伸</v>
      </c>
      <c r="J76" s="120">
        <f t="shared" si="74"/>
        <v>0</v>
      </c>
      <c r="K76" s="120">
        <f t="shared" si="74"/>
        <v>0</v>
      </c>
      <c r="L76" s="120">
        <f t="shared" si="74"/>
        <v>0</v>
      </c>
      <c r="M76" s="120">
        <f t="shared" si="74"/>
        <v>0</v>
      </c>
      <c r="N76" s="120">
        <f t="shared" si="74"/>
        <v>0</v>
      </c>
      <c r="O76" s="107"/>
      <c r="P76" s="107"/>
      <c r="Q76" s="107"/>
      <c r="R76" s="107"/>
      <c r="S76" s="107"/>
      <c r="T76" s="107"/>
      <c r="U76" s="107"/>
      <c r="V76" s="107"/>
      <c r="W76" s="107"/>
      <c r="X76" s="107"/>
      <c r="Y76" s="107"/>
      <c r="Z76" s="107"/>
      <c r="AA76" s="107"/>
      <c r="AB76" s="107"/>
      <c r="AC76" s="107"/>
      <c r="AD76" s="107"/>
      <c r="AE76" s="107"/>
      <c r="AF76" s="107"/>
      <c r="AG76" s="107"/>
      <c r="AH76" s="107"/>
      <c r="AI76" s="107"/>
      <c r="AJ76" s="107"/>
    </row>
    <row r="77" ht="15.75" customHeight="1">
      <c r="A77" s="107" t="s">
        <v>228</v>
      </c>
      <c r="B77" s="108" t="s">
        <v>229</v>
      </c>
      <c r="C77" s="125" t="s">
        <v>191</v>
      </c>
      <c r="D77" s="107">
        <f t="shared" ref="D77:D86" si="76">SUM(E77:H77)+LARGE((I77:N77),1)+LARGE((I77:N77),2)</f>
        <v>0.00000000285</v>
      </c>
      <c r="E77" s="107">
        <f t="shared" ref="E77:N77" si="75">E5</f>
        <v>0.0000000001</v>
      </c>
      <c r="F77" s="107">
        <f t="shared" si="75"/>
        <v>0.0000000002</v>
      </c>
      <c r="G77" s="107">
        <f t="shared" si="75"/>
        <v>0.0000000003</v>
      </c>
      <c r="H77" s="107">
        <f t="shared" si="75"/>
        <v>0.0000000004</v>
      </c>
      <c r="I77" s="107">
        <f t="shared" si="75"/>
        <v>0.0000000005</v>
      </c>
      <c r="J77" s="107">
        <f t="shared" si="75"/>
        <v>0.0000000006</v>
      </c>
      <c r="K77" s="107">
        <f t="shared" si="75"/>
        <v>0.0000000007</v>
      </c>
      <c r="L77" s="107">
        <f t="shared" si="75"/>
        <v>0.0000000008</v>
      </c>
      <c r="M77" s="107">
        <f t="shared" si="75"/>
        <v>0.0000000009</v>
      </c>
      <c r="N77" s="107">
        <f t="shared" si="75"/>
        <v>0.00000000095</v>
      </c>
      <c r="O77" s="107"/>
      <c r="P77" s="107"/>
      <c r="Q77" s="107"/>
      <c r="R77" s="107"/>
      <c r="S77" s="107"/>
      <c r="T77" s="107"/>
      <c r="U77" s="107"/>
      <c r="V77" s="107"/>
      <c r="W77" s="107"/>
      <c r="X77" s="107"/>
      <c r="Y77" s="107"/>
      <c r="Z77" s="107"/>
      <c r="AA77" s="107"/>
      <c r="AB77" s="107"/>
      <c r="AC77" s="107"/>
      <c r="AD77" s="107"/>
      <c r="AE77" s="107"/>
      <c r="AF77" s="107"/>
      <c r="AG77" s="107"/>
      <c r="AH77" s="107"/>
      <c r="AI77" s="107"/>
      <c r="AJ77" s="107"/>
    </row>
    <row r="78" ht="15.75" customHeight="1">
      <c r="A78" s="107" t="s">
        <v>230</v>
      </c>
      <c r="B78" s="108" t="s">
        <v>231</v>
      </c>
      <c r="C78" s="112" t="s">
        <v>191</v>
      </c>
      <c r="D78" s="107">
        <f t="shared" si="76"/>
        <v>0.00000000285</v>
      </c>
      <c r="E78" s="107">
        <f t="shared" ref="E78:N78" si="77">E5</f>
        <v>0.0000000001</v>
      </c>
      <c r="F78" s="107">
        <f t="shared" si="77"/>
        <v>0.0000000002</v>
      </c>
      <c r="G78" s="107">
        <f t="shared" si="77"/>
        <v>0.0000000003</v>
      </c>
      <c r="H78" s="107">
        <f t="shared" si="77"/>
        <v>0.0000000004</v>
      </c>
      <c r="I78" s="107">
        <f t="shared" si="77"/>
        <v>0.0000000005</v>
      </c>
      <c r="J78" s="107">
        <f t="shared" si="77"/>
        <v>0.0000000006</v>
      </c>
      <c r="K78" s="107">
        <f t="shared" si="77"/>
        <v>0.0000000007</v>
      </c>
      <c r="L78" s="107">
        <f t="shared" si="77"/>
        <v>0.0000000008</v>
      </c>
      <c r="M78" s="107">
        <f t="shared" si="77"/>
        <v>0.0000000009</v>
      </c>
      <c r="N78" s="107">
        <f t="shared" si="77"/>
        <v>0.00000000095</v>
      </c>
      <c r="O78" s="107"/>
      <c r="P78" s="107"/>
      <c r="Q78" s="107"/>
      <c r="R78" s="107"/>
      <c r="S78" s="107"/>
      <c r="T78" s="107"/>
      <c r="U78" s="107"/>
      <c r="V78" s="107"/>
      <c r="W78" s="107"/>
      <c r="X78" s="107"/>
      <c r="Y78" s="107"/>
      <c r="Z78" s="107"/>
      <c r="AA78" s="107"/>
      <c r="AB78" s="107"/>
      <c r="AC78" s="107"/>
      <c r="AD78" s="107"/>
      <c r="AE78" s="107"/>
      <c r="AF78" s="107"/>
      <c r="AG78" s="107"/>
      <c r="AH78" s="107"/>
      <c r="AI78" s="107"/>
      <c r="AJ78" s="107"/>
    </row>
    <row r="79" ht="15.75" customHeight="1">
      <c r="A79" s="107" t="s">
        <v>232</v>
      </c>
      <c r="B79" s="108" t="s">
        <v>233</v>
      </c>
      <c r="C79" s="112" t="s">
        <v>191</v>
      </c>
      <c r="D79" s="107">
        <f t="shared" si="76"/>
        <v>0.00000000285</v>
      </c>
      <c r="E79" s="107">
        <f t="shared" ref="E79:N79" si="78">E5</f>
        <v>0.0000000001</v>
      </c>
      <c r="F79" s="107">
        <f t="shared" si="78"/>
        <v>0.0000000002</v>
      </c>
      <c r="G79" s="107">
        <f t="shared" si="78"/>
        <v>0.0000000003</v>
      </c>
      <c r="H79" s="107">
        <f t="shared" si="78"/>
        <v>0.0000000004</v>
      </c>
      <c r="I79" s="107">
        <f t="shared" si="78"/>
        <v>0.0000000005</v>
      </c>
      <c r="J79" s="107">
        <f t="shared" si="78"/>
        <v>0.0000000006</v>
      </c>
      <c r="K79" s="107">
        <f t="shared" si="78"/>
        <v>0.0000000007</v>
      </c>
      <c r="L79" s="107">
        <f t="shared" si="78"/>
        <v>0.0000000008</v>
      </c>
      <c r="M79" s="107">
        <f t="shared" si="78"/>
        <v>0.0000000009</v>
      </c>
      <c r="N79" s="107">
        <f t="shared" si="78"/>
        <v>0.00000000095</v>
      </c>
      <c r="O79" s="107"/>
      <c r="P79" s="107"/>
      <c r="Q79" s="107"/>
      <c r="R79" s="107"/>
      <c r="S79" s="107"/>
      <c r="T79" s="107"/>
      <c r="U79" s="107"/>
      <c r="V79" s="107"/>
      <c r="W79" s="107"/>
      <c r="X79" s="107"/>
      <c r="Y79" s="107"/>
      <c r="Z79" s="107"/>
      <c r="AA79" s="107"/>
      <c r="AB79" s="107"/>
      <c r="AC79" s="107"/>
      <c r="AD79" s="107"/>
      <c r="AE79" s="107"/>
      <c r="AF79" s="107"/>
      <c r="AG79" s="107"/>
      <c r="AH79" s="107"/>
      <c r="AI79" s="107"/>
      <c r="AJ79" s="107"/>
    </row>
    <row r="80" ht="15.75" customHeight="1">
      <c r="A80" s="107" t="s">
        <v>234</v>
      </c>
      <c r="B80" s="108" t="s">
        <v>235</v>
      </c>
      <c r="C80" s="112" t="s">
        <v>191</v>
      </c>
      <c r="D80" s="107">
        <f t="shared" si="76"/>
        <v>0.00000000285</v>
      </c>
      <c r="E80" s="107">
        <f t="shared" ref="E80:N80" si="79">E5</f>
        <v>0.0000000001</v>
      </c>
      <c r="F80" s="107">
        <f t="shared" si="79"/>
        <v>0.0000000002</v>
      </c>
      <c r="G80" s="107">
        <f t="shared" si="79"/>
        <v>0.0000000003</v>
      </c>
      <c r="H80" s="107">
        <f t="shared" si="79"/>
        <v>0.0000000004</v>
      </c>
      <c r="I80" s="107">
        <f t="shared" si="79"/>
        <v>0.0000000005</v>
      </c>
      <c r="J80" s="107">
        <f t="shared" si="79"/>
        <v>0.0000000006</v>
      </c>
      <c r="K80" s="107">
        <f t="shared" si="79"/>
        <v>0.0000000007</v>
      </c>
      <c r="L80" s="107">
        <f t="shared" si="79"/>
        <v>0.0000000008</v>
      </c>
      <c r="M80" s="107">
        <f t="shared" si="79"/>
        <v>0.0000000009</v>
      </c>
      <c r="N80" s="107">
        <f t="shared" si="79"/>
        <v>0.00000000095</v>
      </c>
      <c r="O80" s="107"/>
      <c r="P80" s="107"/>
      <c r="Q80" s="107"/>
      <c r="R80" s="107"/>
      <c r="S80" s="107"/>
      <c r="T80" s="107"/>
      <c r="U80" s="107"/>
      <c r="V80" s="107"/>
      <c r="W80" s="107"/>
      <c r="X80" s="107"/>
      <c r="Y80" s="107"/>
      <c r="Z80" s="107"/>
      <c r="AA80" s="107"/>
      <c r="AB80" s="107"/>
      <c r="AC80" s="107"/>
      <c r="AD80" s="107"/>
      <c r="AE80" s="107"/>
      <c r="AF80" s="107"/>
      <c r="AG80" s="107"/>
      <c r="AH80" s="107"/>
      <c r="AI80" s="107"/>
      <c r="AJ80" s="107"/>
    </row>
    <row r="81" ht="15.75" customHeight="1">
      <c r="A81" s="107" t="s">
        <v>236</v>
      </c>
      <c r="B81" s="108" t="s">
        <v>237</v>
      </c>
      <c r="C81" s="112" t="s">
        <v>191</v>
      </c>
      <c r="D81" s="107">
        <f t="shared" si="76"/>
        <v>0.00000000285</v>
      </c>
      <c r="E81" s="107">
        <f t="shared" ref="E81:N81" si="80">E5</f>
        <v>0.0000000001</v>
      </c>
      <c r="F81" s="107">
        <f t="shared" si="80"/>
        <v>0.0000000002</v>
      </c>
      <c r="G81" s="107">
        <f t="shared" si="80"/>
        <v>0.0000000003</v>
      </c>
      <c r="H81" s="107">
        <f t="shared" si="80"/>
        <v>0.0000000004</v>
      </c>
      <c r="I81" s="107">
        <f t="shared" si="80"/>
        <v>0.0000000005</v>
      </c>
      <c r="J81" s="107">
        <f t="shared" si="80"/>
        <v>0.0000000006</v>
      </c>
      <c r="K81" s="107">
        <f t="shared" si="80"/>
        <v>0.0000000007</v>
      </c>
      <c r="L81" s="107">
        <f t="shared" si="80"/>
        <v>0.0000000008</v>
      </c>
      <c r="M81" s="107">
        <f t="shared" si="80"/>
        <v>0.0000000009</v>
      </c>
      <c r="N81" s="107">
        <f t="shared" si="80"/>
        <v>0.00000000095</v>
      </c>
      <c r="O81" s="107"/>
      <c r="P81" s="107"/>
      <c r="Q81" s="107"/>
      <c r="R81" s="107"/>
      <c r="S81" s="107"/>
      <c r="T81" s="107"/>
      <c r="U81" s="107"/>
      <c r="V81" s="107"/>
      <c r="W81" s="107"/>
      <c r="X81" s="107"/>
      <c r="Y81" s="107"/>
      <c r="Z81" s="107"/>
      <c r="AA81" s="107"/>
      <c r="AB81" s="107"/>
      <c r="AC81" s="107"/>
      <c r="AD81" s="107"/>
      <c r="AE81" s="107"/>
      <c r="AF81" s="107"/>
      <c r="AG81" s="107"/>
      <c r="AH81" s="107"/>
      <c r="AI81" s="107"/>
      <c r="AJ81" s="107"/>
    </row>
    <row r="82" ht="15.75" customHeight="1">
      <c r="A82" s="107" t="s">
        <v>238</v>
      </c>
      <c r="B82" s="108" t="s">
        <v>239</v>
      </c>
      <c r="C82" s="112" t="s">
        <v>191</v>
      </c>
      <c r="D82" s="107">
        <f t="shared" si="76"/>
        <v>0.00000000285</v>
      </c>
      <c r="E82" s="107">
        <f t="shared" ref="E82:N82" si="81">E5</f>
        <v>0.0000000001</v>
      </c>
      <c r="F82" s="107">
        <f t="shared" si="81"/>
        <v>0.0000000002</v>
      </c>
      <c r="G82" s="107">
        <f t="shared" si="81"/>
        <v>0.0000000003</v>
      </c>
      <c r="H82" s="107">
        <f t="shared" si="81"/>
        <v>0.0000000004</v>
      </c>
      <c r="I82" s="107">
        <f t="shared" si="81"/>
        <v>0.0000000005</v>
      </c>
      <c r="J82" s="107">
        <f t="shared" si="81"/>
        <v>0.0000000006</v>
      </c>
      <c r="K82" s="107">
        <f t="shared" si="81"/>
        <v>0.0000000007</v>
      </c>
      <c r="L82" s="107">
        <f t="shared" si="81"/>
        <v>0.0000000008</v>
      </c>
      <c r="M82" s="107">
        <f t="shared" si="81"/>
        <v>0.0000000009</v>
      </c>
      <c r="N82" s="107">
        <f t="shared" si="81"/>
        <v>0.00000000095</v>
      </c>
      <c r="O82" s="107"/>
      <c r="P82" s="107"/>
      <c r="Q82" s="107"/>
      <c r="R82" s="107"/>
      <c r="S82" s="107"/>
      <c r="T82" s="107"/>
      <c r="U82" s="107"/>
      <c r="V82" s="107"/>
      <c r="W82" s="107"/>
      <c r="X82" s="107"/>
      <c r="Y82" s="107"/>
      <c r="Z82" s="107"/>
      <c r="AA82" s="107"/>
      <c r="AB82" s="107"/>
      <c r="AC82" s="107"/>
      <c r="AD82" s="107"/>
      <c r="AE82" s="107"/>
      <c r="AF82" s="107"/>
      <c r="AG82" s="107"/>
      <c r="AH82" s="107"/>
      <c r="AI82" s="107"/>
      <c r="AJ82" s="107"/>
    </row>
    <row r="83" ht="15.75" customHeight="1">
      <c r="A83" s="107" t="s">
        <v>240</v>
      </c>
      <c r="B83" s="108" t="s">
        <v>241</v>
      </c>
      <c r="C83" s="112" t="s">
        <v>191</v>
      </c>
      <c r="D83" s="107">
        <f t="shared" si="76"/>
        <v>0.00000000285</v>
      </c>
      <c r="E83" s="107">
        <f t="shared" ref="E83:N83" si="82">E5</f>
        <v>0.0000000001</v>
      </c>
      <c r="F83" s="107">
        <f t="shared" si="82"/>
        <v>0.0000000002</v>
      </c>
      <c r="G83" s="107">
        <f t="shared" si="82"/>
        <v>0.0000000003</v>
      </c>
      <c r="H83" s="107">
        <f t="shared" si="82"/>
        <v>0.0000000004</v>
      </c>
      <c r="I83" s="107">
        <f t="shared" si="82"/>
        <v>0.0000000005</v>
      </c>
      <c r="J83" s="107">
        <f t="shared" si="82"/>
        <v>0.0000000006</v>
      </c>
      <c r="K83" s="107">
        <f t="shared" si="82"/>
        <v>0.0000000007</v>
      </c>
      <c r="L83" s="107">
        <f t="shared" si="82"/>
        <v>0.0000000008</v>
      </c>
      <c r="M83" s="107">
        <f t="shared" si="82"/>
        <v>0.0000000009</v>
      </c>
      <c r="N83" s="107">
        <f t="shared" si="82"/>
        <v>0.00000000095</v>
      </c>
      <c r="O83" s="107"/>
      <c r="P83" s="107"/>
      <c r="Q83" s="107"/>
      <c r="R83" s="107"/>
      <c r="S83" s="107"/>
      <c r="T83" s="107"/>
      <c r="U83" s="107"/>
      <c r="V83" s="107"/>
      <c r="W83" s="107"/>
      <c r="X83" s="107"/>
      <c r="Y83" s="107"/>
      <c r="Z83" s="107"/>
      <c r="AA83" s="107"/>
      <c r="AB83" s="107"/>
      <c r="AC83" s="107"/>
      <c r="AD83" s="107"/>
      <c r="AE83" s="107"/>
      <c r="AF83" s="107"/>
      <c r="AG83" s="107"/>
      <c r="AH83" s="107"/>
      <c r="AI83" s="107"/>
      <c r="AJ83" s="107"/>
    </row>
    <row r="84" ht="15.75" customHeight="1">
      <c r="A84" s="107" t="s">
        <v>242</v>
      </c>
      <c r="B84" s="108" t="s">
        <v>243</v>
      </c>
      <c r="C84" s="125" t="s">
        <v>191</v>
      </c>
      <c r="D84" s="107">
        <f t="shared" si="76"/>
        <v>0.00000000285</v>
      </c>
      <c r="E84" s="107">
        <f t="shared" ref="E84:N84" si="83">E5</f>
        <v>0.0000000001</v>
      </c>
      <c r="F84" s="107">
        <f t="shared" si="83"/>
        <v>0.0000000002</v>
      </c>
      <c r="G84" s="107">
        <f t="shared" si="83"/>
        <v>0.0000000003</v>
      </c>
      <c r="H84" s="107">
        <f t="shared" si="83"/>
        <v>0.0000000004</v>
      </c>
      <c r="I84" s="107">
        <f t="shared" si="83"/>
        <v>0.0000000005</v>
      </c>
      <c r="J84" s="107">
        <f t="shared" si="83"/>
        <v>0.0000000006</v>
      </c>
      <c r="K84" s="107">
        <f t="shared" si="83"/>
        <v>0.0000000007</v>
      </c>
      <c r="L84" s="107">
        <f t="shared" si="83"/>
        <v>0.0000000008</v>
      </c>
      <c r="M84" s="107">
        <f t="shared" si="83"/>
        <v>0.0000000009</v>
      </c>
      <c r="N84" s="107">
        <f t="shared" si="83"/>
        <v>0.00000000095</v>
      </c>
      <c r="O84" s="107"/>
      <c r="P84" s="107"/>
      <c r="Q84" s="107"/>
      <c r="R84" s="107"/>
      <c r="S84" s="107"/>
      <c r="T84" s="107"/>
      <c r="U84" s="107"/>
      <c r="V84" s="107"/>
      <c r="W84" s="107"/>
      <c r="X84" s="107"/>
      <c r="Y84" s="107"/>
      <c r="Z84" s="107"/>
      <c r="AA84" s="107"/>
      <c r="AB84" s="107"/>
      <c r="AC84" s="107"/>
      <c r="AD84" s="107"/>
      <c r="AE84" s="107"/>
      <c r="AF84" s="107"/>
      <c r="AG84" s="107"/>
      <c r="AH84" s="107"/>
      <c r="AI84" s="107"/>
      <c r="AJ84" s="107"/>
    </row>
    <row r="85" ht="15.75" customHeight="1">
      <c r="A85" s="107" t="s">
        <v>244</v>
      </c>
      <c r="B85" s="108" t="s">
        <v>245</v>
      </c>
      <c r="C85" s="125" t="s">
        <v>191</v>
      </c>
      <c r="D85" s="107">
        <f t="shared" si="76"/>
        <v>0.00000000345</v>
      </c>
      <c r="E85" s="107">
        <f>E5*1.5</f>
        <v>0.00000000015</v>
      </c>
      <c r="F85" s="107">
        <f>F5*2</f>
        <v>0.0000000004</v>
      </c>
      <c r="G85" s="107">
        <f t="shared" ref="G85:H85" si="84">G5*1.5</f>
        <v>0.00000000045</v>
      </c>
      <c r="H85" s="107">
        <f t="shared" si="84"/>
        <v>0.0000000006</v>
      </c>
      <c r="I85" s="107">
        <f>I5</f>
        <v>0.0000000005</v>
      </c>
      <c r="J85" s="107">
        <f t="shared" ref="J85:M85" si="85">IF(J1="英語文學",J5*2,IF(J1="中國文學",J5*1.5,J5))</f>
        <v>0.0000000006</v>
      </c>
      <c r="K85" s="107">
        <f t="shared" si="85"/>
        <v>0.0000000007</v>
      </c>
      <c r="L85" s="107">
        <f t="shared" si="85"/>
        <v>0.0000000008</v>
      </c>
      <c r="M85" s="107">
        <f t="shared" si="85"/>
        <v>0.0000000009</v>
      </c>
      <c r="N85" s="107">
        <f>N5</f>
        <v>0.00000000095</v>
      </c>
      <c r="O85" s="107"/>
      <c r="P85" s="107"/>
      <c r="Q85" s="107"/>
      <c r="R85" s="107"/>
      <c r="S85" s="107"/>
      <c r="T85" s="107"/>
      <c r="U85" s="107"/>
      <c r="V85" s="107"/>
      <c r="W85" s="107"/>
      <c r="X85" s="107"/>
      <c r="Y85" s="107"/>
      <c r="Z85" s="107"/>
      <c r="AA85" s="107"/>
      <c r="AB85" s="107"/>
      <c r="AC85" s="107"/>
      <c r="AD85" s="107"/>
      <c r="AE85" s="107"/>
      <c r="AF85" s="107"/>
      <c r="AG85" s="107"/>
      <c r="AH85" s="107"/>
      <c r="AI85" s="107"/>
      <c r="AJ85" s="107"/>
    </row>
    <row r="86" ht="15.75" customHeight="1">
      <c r="A86" s="107" t="s">
        <v>246</v>
      </c>
      <c r="B86" s="108" t="s">
        <v>247</v>
      </c>
      <c r="C86" s="125" t="s">
        <v>191</v>
      </c>
      <c r="D86" s="107">
        <f t="shared" si="76"/>
        <v>0.00000000285</v>
      </c>
      <c r="E86" s="107">
        <f t="shared" ref="E86:N86" si="86">E5</f>
        <v>0.0000000001</v>
      </c>
      <c r="F86" s="107">
        <f t="shared" si="86"/>
        <v>0.0000000002</v>
      </c>
      <c r="G86" s="107">
        <f t="shared" si="86"/>
        <v>0.0000000003</v>
      </c>
      <c r="H86" s="107">
        <f t="shared" si="86"/>
        <v>0.0000000004</v>
      </c>
      <c r="I86" s="107">
        <f t="shared" si="86"/>
        <v>0.0000000005</v>
      </c>
      <c r="J86" s="107">
        <f t="shared" si="86"/>
        <v>0.0000000006</v>
      </c>
      <c r="K86" s="107">
        <f t="shared" si="86"/>
        <v>0.0000000007</v>
      </c>
      <c r="L86" s="107">
        <f t="shared" si="86"/>
        <v>0.0000000008</v>
      </c>
      <c r="M86" s="107">
        <f t="shared" si="86"/>
        <v>0.0000000009</v>
      </c>
      <c r="N86" s="107">
        <f t="shared" si="86"/>
        <v>0.00000000095</v>
      </c>
      <c r="O86" s="107"/>
      <c r="P86" s="107"/>
      <c r="Q86" s="107"/>
      <c r="R86" s="107"/>
      <c r="S86" s="107"/>
      <c r="T86" s="107"/>
      <c r="U86" s="107"/>
      <c r="V86" s="107"/>
      <c r="W86" s="107"/>
      <c r="X86" s="107"/>
      <c r="Y86" s="107"/>
      <c r="Z86" s="107"/>
      <c r="AA86" s="107"/>
      <c r="AB86" s="107"/>
      <c r="AC86" s="107"/>
      <c r="AD86" s="107"/>
      <c r="AE86" s="107"/>
      <c r="AF86" s="107"/>
      <c r="AG86" s="107"/>
      <c r="AH86" s="107"/>
      <c r="AI86" s="107"/>
      <c r="AJ86" s="107"/>
    </row>
    <row r="87" ht="15.75" customHeight="1">
      <c r="A87" s="107" t="s">
        <v>248</v>
      </c>
      <c r="B87" s="108" t="s">
        <v>249</v>
      </c>
      <c r="C87" s="125" t="s">
        <v>24</v>
      </c>
      <c r="D87" s="107">
        <f t="shared" ref="D87:D88" si="88">LARGE((E87:N87),1)+LARGE((E87:N87),2)+LARGE((E87:N87),3)+LARGE((E87:N87),4)+LARGE((E87:N87),5)+LARGE((E87:N87),6)</f>
        <v>0.00000000445</v>
      </c>
      <c r="E87" s="107">
        <f>E5</f>
        <v>0.0000000001</v>
      </c>
      <c r="F87" s="107">
        <f>F5*1.5</f>
        <v>0.0000000003</v>
      </c>
      <c r="G87" s="107">
        <f t="shared" ref="G87:N87" si="87">G5</f>
        <v>0.0000000003</v>
      </c>
      <c r="H87" s="107">
        <f t="shared" si="87"/>
        <v>0.0000000004</v>
      </c>
      <c r="I87" s="107">
        <f t="shared" si="87"/>
        <v>0.0000000005</v>
      </c>
      <c r="J87" s="107">
        <f t="shared" si="87"/>
        <v>0.0000000006</v>
      </c>
      <c r="K87" s="107">
        <f t="shared" si="87"/>
        <v>0.0000000007</v>
      </c>
      <c r="L87" s="107">
        <f t="shared" si="87"/>
        <v>0.0000000008</v>
      </c>
      <c r="M87" s="107">
        <f t="shared" si="87"/>
        <v>0.0000000009</v>
      </c>
      <c r="N87" s="107">
        <f t="shared" si="87"/>
        <v>0.00000000095</v>
      </c>
      <c r="O87" s="107"/>
      <c r="P87" s="107"/>
      <c r="Q87" s="107"/>
      <c r="R87" s="107"/>
      <c r="S87" s="107"/>
      <c r="T87" s="107"/>
      <c r="U87" s="107"/>
      <c r="V87" s="107"/>
      <c r="W87" s="107"/>
      <c r="X87" s="107"/>
      <c r="Y87" s="107"/>
      <c r="Z87" s="107"/>
      <c r="AA87" s="107"/>
      <c r="AB87" s="107"/>
      <c r="AC87" s="107"/>
      <c r="AD87" s="107"/>
      <c r="AE87" s="107"/>
      <c r="AF87" s="107"/>
      <c r="AG87" s="107"/>
      <c r="AH87" s="107"/>
      <c r="AI87" s="107"/>
      <c r="AJ87" s="107"/>
    </row>
    <row r="88" ht="15.75" customHeight="1">
      <c r="A88" s="107" t="s">
        <v>250</v>
      </c>
      <c r="B88" s="108" t="s">
        <v>251</v>
      </c>
      <c r="C88" s="125" t="s">
        <v>24</v>
      </c>
      <c r="D88" s="107">
        <f t="shared" si="88"/>
        <v>0.00000000445</v>
      </c>
      <c r="E88" s="107">
        <f>E5</f>
        <v>0.0000000001</v>
      </c>
      <c r="F88" s="107">
        <f>F5*1.5</f>
        <v>0.0000000003</v>
      </c>
      <c r="G88" s="107">
        <f t="shared" ref="G88:N88" si="89">G5</f>
        <v>0.0000000003</v>
      </c>
      <c r="H88" s="107">
        <f t="shared" si="89"/>
        <v>0.0000000004</v>
      </c>
      <c r="I88" s="107">
        <f t="shared" si="89"/>
        <v>0.0000000005</v>
      </c>
      <c r="J88" s="107">
        <f t="shared" si="89"/>
        <v>0.0000000006</v>
      </c>
      <c r="K88" s="107">
        <f t="shared" si="89"/>
        <v>0.0000000007</v>
      </c>
      <c r="L88" s="107">
        <f t="shared" si="89"/>
        <v>0.0000000008</v>
      </c>
      <c r="M88" s="107">
        <f t="shared" si="89"/>
        <v>0.0000000009</v>
      </c>
      <c r="N88" s="107">
        <f t="shared" si="89"/>
        <v>0.00000000095</v>
      </c>
      <c r="O88" s="107"/>
      <c r="P88" s="107"/>
      <c r="Q88" s="107"/>
      <c r="R88" s="107"/>
      <c r="S88" s="107"/>
      <c r="T88" s="107"/>
      <c r="U88" s="107"/>
      <c r="V88" s="107"/>
      <c r="W88" s="107"/>
      <c r="X88" s="107"/>
      <c r="Y88" s="107"/>
      <c r="Z88" s="107"/>
      <c r="AA88" s="107"/>
      <c r="AB88" s="107"/>
      <c r="AC88" s="107"/>
      <c r="AD88" s="107"/>
      <c r="AE88" s="107"/>
      <c r="AF88" s="107"/>
      <c r="AG88" s="107"/>
      <c r="AH88" s="107"/>
      <c r="AI88" s="107"/>
      <c r="AJ88" s="107"/>
    </row>
    <row r="89" ht="15.75" customHeight="1">
      <c r="A89" s="107" t="s">
        <v>252</v>
      </c>
      <c r="B89" s="108" t="s">
        <v>253</v>
      </c>
      <c r="C89" s="125" t="s">
        <v>21</v>
      </c>
      <c r="D89" s="107">
        <f t="shared" ref="D89:D90" si="92">SUM(E89:F89)+LARGE((G89:N89),1)+LARGE((G89:N89),2)+LARGE((G89:N89),3)</f>
        <v>0.000000003025</v>
      </c>
      <c r="E89" s="107">
        <f t="shared" ref="E89:F89" si="90">E5*1.25</f>
        <v>0.000000000125</v>
      </c>
      <c r="F89" s="107">
        <f t="shared" si="90"/>
        <v>0.00000000025</v>
      </c>
      <c r="G89" s="107">
        <f t="shared" ref="G89:N89" si="91">G5</f>
        <v>0.0000000003</v>
      </c>
      <c r="H89" s="107">
        <f t="shared" si="91"/>
        <v>0.0000000004</v>
      </c>
      <c r="I89" s="107">
        <f t="shared" si="91"/>
        <v>0.0000000005</v>
      </c>
      <c r="J89" s="107">
        <f t="shared" si="91"/>
        <v>0.0000000006</v>
      </c>
      <c r="K89" s="107">
        <f t="shared" si="91"/>
        <v>0.0000000007</v>
      </c>
      <c r="L89" s="107">
        <f t="shared" si="91"/>
        <v>0.0000000008</v>
      </c>
      <c r="M89" s="107">
        <f t="shared" si="91"/>
        <v>0.0000000009</v>
      </c>
      <c r="N89" s="107">
        <f t="shared" si="91"/>
        <v>0.00000000095</v>
      </c>
      <c r="O89" s="107"/>
      <c r="P89" s="107"/>
      <c r="Q89" s="107"/>
      <c r="R89" s="107"/>
      <c r="S89" s="107"/>
      <c r="T89" s="107"/>
      <c r="U89" s="107"/>
      <c r="V89" s="107"/>
      <c r="W89" s="107"/>
      <c r="X89" s="107"/>
      <c r="Y89" s="107"/>
      <c r="Z89" s="107"/>
      <c r="AA89" s="107"/>
      <c r="AB89" s="107"/>
      <c r="AC89" s="107"/>
      <c r="AD89" s="107"/>
      <c r="AE89" s="107"/>
      <c r="AF89" s="107"/>
      <c r="AG89" s="107"/>
      <c r="AH89" s="107"/>
      <c r="AI89" s="107"/>
      <c r="AJ89" s="107"/>
    </row>
    <row r="90" ht="15.75" customHeight="1">
      <c r="A90" s="107" t="s">
        <v>254</v>
      </c>
      <c r="B90" s="108" t="s">
        <v>255</v>
      </c>
      <c r="C90" s="125" t="s">
        <v>21</v>
      </c>
      <c r="D90" s="107">
        <f t="shared" si="92"/>
        <v>0.000000003025</v>
      </c>
      <c r="E90" s="107">
        <f t="shared" ref="E90:F90" si="93">E5*1.25</f>
        <v>0.000000000125</v>
      </c>
      <c r="F90" s="107">
        <f t="shared" si="93"/>
        <v>0.00000000025</v>
      </c>
      <c r="G90" s="107">
        <f t="shared" ref="G90:N90" si="94">G5</f>
        <v>0.0000000003</v>
      </c>
      <c r="H90" s="107">
        <f t="shared" si="94"/>
        <v>0.0000000004</v>
      </c>
      <c r="I90" s="107">
        <f t="shared" si="94"/>
        <v>0.0000000005</v>
      </c>
      <c r="J90" s="107">
        <f t="shared" si="94"/>
        <v>0.0000000006</v>
      </c>
      <c r="K90" s="107">
        <f t="shared" si="94"/>
        <v>0.0000000007</v>
      </c>
      <c r="L90" s="107">
        <f t="shared" si="94"/>
        <v>0.0000000008</v>
      </c>
      <c r="M90" s="107">
        <f t="shared" si="94"/>
        <v>0.0000000009</v>
      </c>
      <c r="N90" s="107">
        <f t="shared" si="94"/>
        <v>0.00000000095</v>
      </c>
      <c r="O90" s="107"/>
      <c r="P90" s="107"/>
      <c r="Q90" s="107"/>
      <c r="R90" s="107"/>
      <c r="S90" s="107"/>
      <c r="T90" s="107"/>
      <c r="U90" s="107"/>
      <c r="V90" s="107"/>
      <c r="W90" s="107"/>
      <c r="X90" s="107"/>
      <c r="Y90" s="107"/>
      <c r="Z90" s="107"/>
      <c r="AA90" s="107"/>
      <c r="AB90" s="107"/>
      <c r="AC90" s="107"/>
      <c r="AD90" s="107"/>
      <c r="AE90" s="107"/>
      <c r="AF90" s="107"/>
      <c r="AG90" s="107"/>
      <c r="AH90" s="107"/>
      <c r="AI90" s="107"/>
      <c r="AJ90" s="107"/>
    </row>
    <row r="91" ht="15.75" customHeight="1">
      <c r="A91" s="107" t="s">
        <v>256</v>
      </c>
      <c r="B91" s="108" t="s">
        <v>257</v>
      </c>
      <c r="C91" s="125" t="s">
        <v>21</v>
      </c>
      <c r="D91" s="107">
        <f t="array" ref="D91">F91+LARGE({E91,G91:N91}, 1)+LARGE({E91,G91:N91}, 2)+LARGE({E91,G91:N91},3)+LARGE({E91,G91:N91}, 4)</f>
        <v>0.00000000355</v>
      </c>
      <c r="E91" s="107">
        <f t="shared" ref="E91:N91" si="95">E5</f>
        <v>0.0000000001</v>
      </c>
      <c r="F91" s="107">
        <f t="shared" si="95"/>
        <v>0.0000000002</v>
      </c>
      <c r="G91" s="107">
        <f t="shared" si="95"/>
        <v>0.0000000003</v>
      </c>
      <c r="H91" s="107">
        <f t="shared" si="95"/>
        <v>0.0000000004</v>
      </c>
      <c r="I91" s="107">
        <f t="shared" si="95"/>
        <v>0.0000000005</v>
      </c>
      <c r="J91" s="107">
        <f t="shared" si="95"/>
        <v>0.0000000006</v>
      </c>
      <c r="K91" s="107">
        <f t="shared" si="95"/>
        <v>0.0000000007</v>
      </c>
      <c r="L91" s="107">
        <f t="shared" si="95"/>
        <v>0.0000000008</v>
      </c>
      <c r="M91" s="107">
        <f t="shared" si="95"/>
        <v>0.0000000009</v>
      </c>
      <c r="N91" s="107">
        <f t="shared" si="95"/>
        <v>0.00000000095</v>
      </c>
      <c r="O91" s="107"/>
      <c r="P91" s="107"/>
      <c r="Q91" s="107"/>
      <c r="R91" s="107"/>
      <c r="S91" s="107"/>
      <c r="T91" s="107"/>
      <c r="U91" s="107"/>
      <c r="V91" s="107"/>
      <c r="W91" s="107"/>
      <c r="X91" s="107"/>
      <c r="Y91" s="107"/>
      <c r="Z91" s="107"/>
      <c r="AA91" s="107"/>
      <c r="AB91" s="107"/>
      <c r="AC91" s="107"/>
      <c r="AD91" s="107"/>
      <c r="AE91" s="107"/>
      <c r="AF91" s="107"/>
      <c r="AG91" s="107"/>
      <c r="AH91" s="107"/>
      <c r="AI91" s="107"/>
      <c r="AJ91" s="107"/>
    </row>
    <row r="92" ht="15.75" customHeight="1">
      <c r="A92" s="107" t="s">
        <v>258</v>
      </c>
      <c r="B92" s="107" t="s">
        <v>259</v>
      </c>
      <c r="C92" s="125" t="s">
        <v>21</v>
      </c>
      <c r="D92" s="107">
        <f t="shared" ref="D92:D93" si="98">SUM(E92:F92)+LARGE(G92:N92,1)+LARGE(G92:N92,2)+LARGE(G92:N92,3)</f>
        <v>0.000000003025</v>
      </c>
      <c r="E92" s="107">
        <f t="shared" ref="E92:F92" si="96">E5*1.25</f>
        <v>0.000000000125</v>
      </c>
      <c r="F92" s="107">
        <f t="shared" si="96"/>
        <v>0.00000000025</v>
      </c>
      <c r="G92" s="107">
        <f t="shared" ref="G92:N92" si="97">G5</f>
        <v>0.0000000003</v>
      </c>
      <c r="H92" s="107">
        <f t="shared" si="97"/>
        <v>0.0000000004</v>
      </c>
      <c r="I92" s="107">
        <f t="shared" si="97"/>
        <v>0.0000000005</v>
      </c>
      <c r="J92" s="107">
        <f t="shared" si="97"/>
        <v>0.0000000006</v>
      </c>
      <c r="K92" s="107">
        <f t="shared" si="97"/>
        <v>0.0000000007</v>
      </c>
      <c r="L92" s="107">
        <f t="shared" si="97"/>
        <v>0.0000000008</v>
      </c>
      <c r="M92" s="107">
        <f t="shared" si="97"/>
        <v>0.0000000009</v>
      </c>
      <c r="N92" s="107">
        <f t="shared" si="97"/>
        <v>0.00000000095</v>
      </c>
      <c r="O92" s="107"/>
      <c r="P92" s="107"/>
      <c r="Q92" s="107"/>
      <c r="R92" s="107"/>
      <c r="S92" s="107"/>
      <c r="T92" s="107"/>
      <c r="U92" s="107"/>
      <c r="V92" s="107"/>
      <c r="W92" s="107"/>
      <c r="X92" s="107"/>
      <c r="Y92" s="107"/>
      <c r="Z92" s="107"/>
      <c r="AA92" s="107"/>
      <c r="AB92" s="107"/>
      <c r="AC92" s="107"/>
      <c r="AD92" s="107"/>
      <c r="AE92" s="107"/>
      <c r="AF92" s="107"/>
      <c r="AG92" s="107"/>
      <c r="AH92" s="107"/>
      <c r="AI92" s="107"/>
      <c r="AJ92" s="107"/>
    </row>
    <row r="93" ht="15.75" customHeight="1">
      <c r="A93" s="107" t="s">
        <v>260</v>
      </c>
      <c r="B93" s="107" t="s">
        <v>261</v>
      </c>
      <c r="C93" s="125" t="s">
        <v>21</v>
      </c>
      <c r="D93" s="107">
        <f t="shared" si="98"/>
        <v>0.000000003025</v>
      </c>
      <c r="E93" s="107">
        <f t="shared" ref="E93:F93" si="99">E5*1.25</f>
        <v>0.000000000125</v>
      </c>
      <c r="F93" s="107">
        <f t="shared" si="99"/>
        <v>0.00000000025</v>
      </c>
      <c r="G93" s="107">
        <f t="shared" ref="G93:N93" si="100">G5</f>
        <v>0.0000000003</v>
      </c>
      <c r="H93" s="107">
        <f t="shared" si="100"/>
        <v>0.0000000004</v>
      </c>
      <c r="I93" s="107">
        <f t="shared" si="100"/>
        <v>0.0000000005</v>
      </c>
      <c r="J93" s="107">
        <f t="shared" si="100"/>
        <v>0.0000000006</v>
      </c>
      <c r="K93" s="107">
        <f t="shared" si="100"/>
        <v>0.0000000007</v>
      </c>
      <c r="L93" s="107">
        <f t="shared" si="100"/>
        <v>0.0000000008</v>
      </c>
      <c r="M93" s="107">
        <f t="shared" si="100"/>
        <v>0.0000000009</v>
      </c>
      <c r="N93" s="107">
        <f t="shared" si="100"/>
        <v>0.00000000095</v>
      </c>
      <c r="O93" s="107"/>
      <c r="P93" s="107"/>
      <c r="Q93" s="107"/>
      <c r="R93" s="107"/>
      <c r="S93" s="107"/>
      <c r="T93" s="107"/>
      <c r="U93" s="107"/>
      <c r="V93" s="107"/>
      <c r="W93" s="107"/>
      <c r="X93" s="107"/>
      <c r="Y93" s="107"/>
      <c r="Z93" s="107"/>
      <c r="AA93" s="107"/>
      <c r="AB93" s="107"/>
      <c r="AC93" s="107"/>
      <c r="AD93" s="107"/>
      <c r="AE93" s="107"/>
      <c r="AF93" s="107"/>
      <c r="AG93" s="107"/>
      <c r="AH93" s="107"/>
      <c r="AI93" s="107"/>
      <c r="AJ93" s="107"/>
    </row>
    <row r="94" ht="15.75" customHeight="1">
      <c r="A94" s="107" t="s">
        <v>262</v>
      </c>
      <c r="B94" s="108" t="s">
        <v>263</v>
      </c>
      <c r="C94" s="125" t="s">
        <v>21</v>
      </c>
      <c r="D94" s="107">
        <f t="shared" ref="D94:D95" si="104">LARGE((E94:N94),1)+LARGE((E94:N94),2)+LARGE((E94:N94),3)+LARGE((E94:N94),4)+LARGE((E94:N94),5)</f>
        <v>0.00000000395</v>
      </c>
      <c r="E94" s="107">
        <f t="shared" ref="E94:F94" si="101">E5*1.5</f>
        <v>0.00000000015</v>
      </c>
      <c r="F94" s="107">
        <f t="shared" si="101"/>
        <v>0.0000000003</v>
      </c>
      <c r="G94" s="107">
        <f t="shared" ref="G94:I94" si="102">G5</f>
        <v>0.0000000003</v>
      </c>
      <c r="H94" s="107">
        <f t="shared" si="102"/>
        <v>0.0000000004</v>
      </c>
      <c r="I94" s="107">
        <f t="shared" si="102"/>
        <v>0.0000000005</v>
      </c>
      <c r="J94" s="107">
        <f t="shared" ref="J94:M94" si="103">IF(J1="生物",J5*1.5,IF(OR(J1="中國歷史",J1="中國文學",J1="化學",J1="組合科學(物理、化學)",J1="組合科學(生物、化學)",J1="組合科學(物理、生物)",J1="數學",J1="物理"),J5*1.25,J5))</f>
        <v>0.0000000006</v>
      </c>
      <c r="K94" s="107">
        <f t="shared" si="103"/>
        <v>0.0000000007</v>
      </c>
      <c r="L94" s="107">
        <f t="shared" si="103"/>
        <v>0.0000000008</v>
      </c>
      <c r="M94" s="107">
        <f t="shared" si="103"/>
        <v>0.0000000009</v>
      </c>
      <c r="N94" s="107">
        <f>N5</f>
        <v>0.00000000095</v>
      </c>
      <c r="O94" s="107"/>
      <c r="P94" s="107"/>
      <c r="Q94" s="107"/>
      <c r="R94" s="107"/>
      <c r="S94" s="107"/>
      <c r="T94" s="107"/>
      <c r="U94" s="107"/>
      <c r="V94" s="107"/>
      <c r="W94" s="107"/>
      <c r="X94" s="107"/>
      <c r="Y94" s="107"/>
      <c r="Z94" s="107"/>
      <c r="AA94" s="107"/>
      <c r="AB94" s="107"/>
      <c r="AC94" s="107"/>
      <c r="AD94" s="107"/>
      <c r="AE94" s="107"/>
      <c r="AF94" s="107"/>
      <c r="AG94" s="107"/>
      <c r="AH94" s="107"/>
      <c r="AI94" s="107"/>
      <c r="AJ94" s="107"/>
    </row>
    <row r="95" ht="15.75" customHeight="1">
      <c r="A95" s="107" t="s">
        <v>264</v>
      </c>
      <c r="B95" s="108" t="s">
        <v>265</v>
      </c>
      <c r="C95" s="125" t="s">
        <v>21</v>
      </c>
      <c r="D95" s="107">
        <f t="shared" si="104"/>
        <v>0.00000000395</v>
      </c>
      <c r="E95" s="107">
        <f t="shared" ref="E95:F95" si="105">E5*1.5</f>
        <v>0.00000000015</v>
      </c>
      <c r="F95" s="107">
        <f t="shared" si="105"/>
        <v>0.0000000003</v>
      </c>
      <c r="G95" s="107">
        <f t="shared" ref="G95:I95" si="106">G5</f>
        <v>0.0000000003</v>
      </c>
      <c r="H95" s="107">
        <f t="shared" si="106"/>
        <v>0.0000000004</v>
      </c>
      <c r="I95" s="107">
        <f t="shared" si="106"/>
        <v>0.0000000005</v>
      </c>
      <c r="J95" s="107">
        <f t="shared" ref="J95:M95" si="107">IF(J1="化學",J5*1.5,IF(OR(J1="中國文學",J1="生物",J1="組合科學(物理、化學)",J1="組合科學(生物、化學)",J1="組合科學(物理、生物)",J1="數學",J1="物理"),J5*1.25,J5))</f>
        <v>0.0000000006</v>
      </c>
      <c r="K95" s="107">
        <f t="shared" si="107"/>
        <v>0.0000000007</v>
      </c>
      <c r="L95" s="107">
        <f t="shared" si="107"/>
        <v>0.0000000008</v>
      </c>
      <c r="M95" s="107">
        <f t="shared" si="107"/>
        <v>0.0000000009</v>
      </c>
      <c r="N95" s="107">
        <f>N5</f>
        <v>0.00000000095</v>
      </c>
      <c r="O95" s="107"/>
      <c r="P95" s="107"/>
      <c r="Q95" s="107"/>
      <c r="R95" s="107"/>
      <c r="S95" s="107"/>
      <c r="T95" s="107"/>
      <c r="U95" s="107"/>
      <c r="V95" s="107"/>
      <c r="W95" s="107"/>
      <c r="X95" s="107"/>
      <c r="Y95" s="107"/>
      <c r="Z95" s="107"/>
      <c r="AA95" s="107"/>
      <c r="AB95" s="107"/>
      <c r="AC95" s="107"/>
      <c r="AD95" s="107"/>
      <c r="AE95" s="107"/>
      <c r="AF95" s="107"/>
      <c r="AG95" s="107"/>
      <c r="AH95" s="107"/>
      <c r="AI95" s="107"/>
      <c r="AJ95" s="107"/>
    </row>
    <row r="96" ht="15.75" customHeight="1">
      <c r="A96" s="107" t="s">
        <v>266</v>
      </c>
      <c r="B96" s="108" t="s">
        <v>267</v>
      </c>
      <c r="C96" s="125" t="s">
        <v>24</v>
      </c>
      <c r="D96" s="107">
        <f>LARGE((E96:M96),1)+LARGE((E96:M96),2)+LARGE((E96:M96),3)+LARGE((E96:M96),4)+LARGE((E96:M96),5)+LARGE((E96:M96),6)</f>
        <v>0.0000000039</v>
      </c>
      <c r="E96" s="107">
        <f t="shared" ref="E96:N96" si="108">E5</f>
        <v>0.0000000001</v>
      </c>
      <c r="F96" s="107">
        <f t="shared" si="108"/>
        <v>0.0000000002</v>
      </c>
      <c r="G96" s="107">
        <f t="shared" si="108"/>
        <v>0.0000000003</v>
      </c>
      <c r="H96" s="107">
        <f t="shared" si="108"/>
        <v>0.0000000004</v>
      </c>
      <c r="I96" s="107">
        <f t="shared" si="108"/>
        <v>0.0000000005</v>
      </c>
      <c r="J96" s="107">
        <f t="shared" si="108"/>
        <v>0.0000000006</v>
      </c>
      <c r="K96" s="107">
        <f t="shared" si="108"/>
        <v>0.0000000007</v>
      </c>
      <c r="L96" s="107">
        <f t="shared" si="108"/>
        <v>0.0000000008</v>
      </c>
      <c r="M96" s="107">
        <f t="shared" si="108"/>
        <v>0.0000000009</v>
      </c>
      <c r="N96" s="107">
        <f t="shared" si="108"/>
        <v>0.00000000095</v>
      </c>
      <c r="O96" s="107"/>
      <c r="P96" s="107"/>
      <c r="Q96" s="107"/>
      <c r="R96" s="107"/>
      <c r="S96" s="107"/>
      <c r="T96" s="107"/>
      <c r="U96" s="107"/>
      <c r="V96" s="107"/>
      <c r="W96" s="107"/>
      <c r="X96" s="107"/>
      <c r="Y96" s="107"/>
      <c r="Z96" s="107"/>
      <c r="AA96" s="107"/>
      <c r="AB96" s="107"/>
      <c r="AC96" s="107"/>
      <c r="AD96" s="107"/>
      <c r="AE96" s="107"/>
      <c r="AF96" s="107"/>
      <c r="AG96" s="107"/>
      <c r="AH96" s="107"/>
      <c r="AI96" s="107"/>
      <c r="AJ96" s="107"/>
    </row>
    <row r="97" ht="15.75" customHeight="1">
      <c r="A97" s="107" t="s">
        <v>268</v>
      </c>
      <c r="B97" s="108" t="s">
        <v>269</v>
      </c>
      <c r="C97" s="125" t="s">
        <v>191</v>
      </c>
      <c r="D97" s="107">
        <f t="shared" ref="D97:D98" si="110">SUM(E97:H97)+LARGE((I97:N97),1)+LARGE((I97:N97),2)</f>
        <v>0.00000000305</v>
      </c>
      <c r="E97" s="107">
        <f>E5</f>
        <v>0.0000000001</v>
      </c>
      <c r="F97" s="107">
        <f>F5*2</f>
        <v>0.0000000004</v>
      </c>
      <c r="G97" s="107">
        <f t="shared" ref="G97:N97" si="109">G5</f>
        <v>0.0000000003</v>
      </c>
      <c r="H97" s="107">
        <f t="shared" si="109"/>
        <v>0.0000000004</v>
      </c>
      <c r="I97" s="107">
        <f t="shared" si="109"/>
        <v>0.0000000005</v>
      </c>
      <c r="J97" s="107">
        <f t="shared" si="109"/>
        <v>0.0000000006</v>
      </c>
      <c r="K97" s="107">
        <f t="shared" si="109"/>
        <v>0.0000000007</v>
      </c>
      <c r="L97" s="107">
        <f t="shared" si="109"/>
        <v>0.0000000008</v>
      </c>
      <c r="M97" s="107">
        <f t="shared" si="109"/>
        <v>0.0000000009</v>
      </c>
      <c r="N97" s="107">
        <f t="shared" si="109"/>
        <v>0.00000000095</v>
      </c>
      <c r="O97" s="107"/>
      <c r="P97" s="107"/>
      <c r="Q97" s="107"/>
      <c r="R97" s="107"/>
      <c r="S97" s="107"/>
      <c r="T97" s="107"/>
      <c r="U97" s="107"/>
      <c r="V97" s="107"/>
      <c r="W97" s="107"/>
      <c r="X97" s="107"/>
      <c r="Y97" s="107"/>
      <c r="Z97" s="107"/>
      <c r="AA97" s="107"/>
      <c r="AB97" s="107"/>
      <c r="AC97" s="107"/>
      <c r="AD97" s="107"/>
      <c r="AE97" s="107"/>
      <c r="AF97" s="107"/>
      <c r="AG97" s="107"/>
      <c r="AH97" s="107"/>
      <c r="AI97" s="107"/>
      <c r="AJ97" s="107"/>
    </row>
    <row r="98" ht="15.75" customHeight="1">
      <c r="A98" s="107" t="s">
        <v>270</v>
      </c>
      <c r="B98" s="108" t="s">
        <v>271</v>
      </c>
      <c r="C98" s="125" t="s">
        <v>191</v>
      </c>
      <c r="D98" s="107">
        <f t="shared" si="110"/>
        <v>0.00000000285</v>
      </c>
      <c r="E98" s="107">
        <f t="shared" ref="E98:N98" si="111">E5</f>
        <v>0.0000000001</v>
      </c>
      <c r="F98" s="107">
        <f t="shared" si="111"/>
        <v>0.0000000002</v>
      </c>
      <c r="G98" s="107">
        <f t="shared" si="111"/>
        <v>0.0000000003</v>
      </c>
      <c r="H98" s="107">
        <f t="shared" si="111"/>
        <v>0.0000000004</v>
      </c>
      <c r="I98" s="107">
        <f t="shared" si="111"/>
        <v>0.0000000005</v>
      </c>
      <c r="J98" s="107">
        <f t="shared" si="111"/>
        <v>0.0000000006</v>
      </c>
      <c r="K98" s="107">
        <f t="shared" si="111"/>
        <v>0.0000000007</v>
      </c>
      <c r="L98" s="107">
        <f t="shared" si="111"/>
        <v>0.0000000008</v>
      </c>
      <c r="M98" s="107">
        <f t="shared" si="111"/>
        <v>0.0000000009</v>
      </c>
      <c r="N98" s="107">
        <f t="shared" si="111"/>
        <v>0.00000000095</v>
      </c>
      <c r="O98" s="107"/>
      <c r="P98" s="107"/>
      <c r="Q98" s="107"/>
      <c r="R98" s="107"/>
      <c r="S98" s="107"/>
      <c r="T98" s="107"/>
      <c r="U98" s="107"/>
      <c r="V98" s="107"/>
      <c r="W98" s="107"/>
      <c r="X98" s="107"/>
      <c r="Y98" s="107"/>
      <c r="Z98" s="107"/>
      <c r="AA98" s="107"/>
      <c r="AB98" s="107"/>
      <c r="AC98" s="107"/>
      <c r="AD98" s="107"/>
      <c r="AE98" s="107"/>
      <c r="AF98" s="107"/>
      <c r="AG98" s="107"/>
      <c r="AH98" s="107"/>
      <c r="AI98" s="107"/>
      <c r="AJ98" s="107"/>
    </row>
    <row r="99" ht="15.75" customHeight="1">
      <c r="A99" s="107" t="s">
        <v>272</v>
      </c>
      <c r="B99" s="108" t="s">
        <v>273</v>
      </c>
      <c r="C99" s="125" t="s">
        <v>21</v>
      </c>
      <c r="D99" s="107">
        <f t="shared" ref="D99:D100" si="113">SUM(E99:F99)+LARGE((G99:N99),1)+LARGE((G99:N99),2)+LARGE((G99:N99),3)</f>
        <v>0.00000000299</v>
      </c>
      <c r="E99" s="107">
        <f>E5</f>
        <v>0.0000000001</v>
      </c>
      <c r="F99" s="107">
        <f>F5*1.2</f>
        <v>0.00000000024</v>
      </c>
      <c r="G99" s="107">
        <f t="shared" ref="G99:N99" si="112">G5</f>
        <v>0.0000000003</v>
      </c>
      <c r="H99" s="107">
        <f t="shared" si="112"/>
        <v>0.0000000004</v>
      </c>
      <c r="I99" s="107">
        <f t="shared" si="112"/>
        <v>0.0000000005</v>
      </c>
      <c r="J99" s="107">
        <f t="shared" si="112"/>
        <v>0.0000000006</v>
      </c>
      <c r="K99" s="107">
        <f t="shared" si="112"/>
        <v>0.0000000007</v>
      </c>
      <c r="L99" s="107">
        <f t="shared" si="112"/>
        <v>0.0000000008</v>
      </c>
      <c r="M99" s="107">
        <f t="shared" si="112"/>
        <v>0.0000000009</v>
      </c>
      <c r="N99" s="107">
        <f t="shared" si="112"/>
        <v>0.00000000095</v>
      </c>
      <c r="O99" s="107"/>
      <c r="P99" s="107"/>
      <c r="Q99" s="107"/>
      <c r="R99" s="107"/>
      <c r="S99" s="107"/>
      <c r="T99" s="107"/>
      <c r="U99" s="107"/>
      <c r="V99" s="107"/>
      <c r="W99" s="107"/>
      <c r="X99" s="107"/>
      <c r="Y99" s="107"/>
      <c r="Z99" s="107"/>
      <c r="AA99" s="107"/>
      <c r="AB99" s="107"/>
      <c r="AC99" s="107"/>
      <c r="AD99" s="107"/>
      <c r="AE99" s="107"/>
      <c r="AF99" s="107"/>
      <c r="AG99" s="107"/>
      <c r="AH99" s="107"/>
      <c r="AI99" s="107"/>
      <c r="AJ99" s="107"/>
    </row>
    <row r="100" ht="15.75" customHeight="1">
      <c r="A100" s="107" t="s">
        <v>274</v>
      </c>
      <c r="B100" s="108" t="s">
        <v>275</v>
      </c>
      <c r="C100" s="125" t="s">
        <v>21</v>
      </c>
      <c r="D100" s="107">
        <f t="shared" si="113"/>
        <v>0.00000000299</v>
      </c>
      <c r="E100" s="107">
        <f>E5</f>
        <v>0.0000000001</v>
      </c>
      <c r="F100" s="107">
        <f>F5*1.2</f>
        <v>0.00000000024</v>
      </c>
      <c r="G100" s="107">
        <f t="shared" ref="G100:N100" si="114">G5</f>
        <v>0.0000000003</v>
      </c>
      <c r="H100" s="107">
        <f t="shared" si="114"/>
        <v>0.0000000004</v>
      </c>
      <c r="I100" s="107">
        <f t="shared" si="114"/>
        <v>0.0000000005</v>
      </c>
      <c r="J100" s="107">
        <f t="shared" si="114"/>
        <v>0.0000000006</v>
      </c>
      <c r="K100" s="107">
        <f t="shared" si="114"/>
        <v>0.0000000007</v>
      </c>
      <c r="L100" s="107">
        <f t="shared" si="114"/>
        <v>0.0000000008</v>
      </c>
      <c r="M100" s="107">
        <f t="shared" si="114"/>
        <v>0.0000000009</v>
      </c>
      <c r="N100" s="107">
        <f t="shared" si="114"/>
        <v>0.00000000095</v>
      </c>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row>
    <row r="101" ht="15.75" customHeight="1">
      <c r="A101" s="107" t="s">
        <v>276</v>
      </c>
      <c r="B101" s="108" t="s">
        <v>277</v>
      </c>
      <c r="C101" s="125" t="s">
        <v>191</v>
      </c>
      <c r="D101" s="107">
        <f t="shared" ref="D101:D103" si="116">SUM(E101:H101)+LARGE((I101:N101),1)+LARGE((I101:N101),2)</f>
        <v>0.00000000325</v>
      </c>
      <c r="E101" s="107">
        <f>E5</f>
        <v>0.0000000001</v>
      </c>
      <c r="F101" s="107">
        <f>F5*2</f>
        <v>0.0000000004</v>
      </c>
      <c r="G101" s="107">
        <f>G5</f>
        <v>0.0000000003</v>
      </c>
      <c r="H101" s="107">
        <f>H5*1.5</f>
        <v>0.0000000006</v>
      </c>
      <c r="I101" s="107">
        <f t="shared" ref="I101:N101" si="115">I5</f>
        <v>0.0000000005</v>
      </c>
      <c r="J101" s="107">
        <f t="shared" si="115"/>
        <v>0.0000000006</v>
      </c>
      <c r="K101" s="107">
        <f t="shared" si="115"/>
        <v>0.0000000007</v>
      </c>
      <c r="L101" s="107">
        <f t="shared" si="115"/>
        <v>0.0000000008</v>
      </c>
      <c r="M101" s="107">
        <f t="shared" si="115"/>
        <v>0.0000000009</v>
      </c>
      <c r="N101" s="107">
        <f t="shared" si="115"/>
        <v>0.00000000095</v>
      </c>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row>
    <row r="102" ht="15.75" customHeight="1">
      <c r="A102" s="107" t="s">
        <v>278</v>
      </c>
      <c r="B102" s="108" t="s">
        <v>279</v>
      </c>
      <c r="C102" s="125" t="s">
        <v>191</v>
      </c>
      <c r="D102" s="107">
        <f t="shared" si="116"/>
        <v>0.000000003</v>
      </c>
      <c r="E102" s="107">
        <f t="shared" ref="E102:F102" si="117">E5*1.5</f>
        <v>0.00000000015</v>
      </c>
      <c r="F102" s="107">
        <f t="shared" si="117"/>
        <v>0.0000000003</v>
      </c>
      <c r="G102" s="107">
        <f t="shared" ref="G102:N102" si="118">G5</f>
        <v>0.0000000003</v>
      </c>
      <c r="H102" s="107">
        <f t="shared" si="118"/>
        <v>0.0000000004</v>
      </c>
      <c r="I102" s="107">
        <f t="shared" si="118"/>
        <v>0.0000000005</v>
      </c>
      <c r="J102" s="107">
        <f t="shared" si="118"/>
        <v>0.0000000006</v>
      </c>
      <c r="K102" s="107">
        <f t="shared" si="118"/>
        <v>0.0000000007</v>
      </c>
      <c r="L102" s="107">
        <f t="shared" si="118"/>
        <v>0.0000000008</v>
      </c>
      <c r="M102" s="107">
        <f t="shared" si="118"/>
        <v>0.0000000009</v>
      </c>
      <c r="N102" s="107">
        <f t="shared" si="118"/>
        <v>0.00000000095</v>
      </c>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row>
    <row r="103" ht="15.75" customHeight="1">
      <c r="A103" s="107" t="s">
        <v>280</v>
      </c>
      <c r="B103" s="108" t="s">
        <v>281</v>
      </c>
      <c r="C103" s="125" t="s">
        <v>191</v>
      </c>
      <c r="D103" s="107">
        <f t="shared" si="116"/>
        <v>0.00000000285</v>
      </c>
      <c r="E103" s="107">
        <f t="shared" ref="E103:I103" si="119">E5</f>
        <v>0.0000000001</v>
      </c>
      <c r="F103" s="107">
        <f t="shared" si="119"/>
        <v>0.0000000002</v>
      </c>
      <c r="G103" s="107">
        <f t="shared" si="119"/>
        <v>0.0000000003</v>
      </c>
      <c r="H103" s="107">
        <f t="shared" si="119"/>
        <v>0.0000000004</v>
      </c>
      <c r="I103" s="107">
        <f t="shared" si="119"/>
        <v>0.0000000005</v>
      </c>
      <c r="J103" s="107">
        <f t="shared" ref="J103:M103" si="120">IF(OR(J1="中國歷史",J1="經濟",J1="倫理及宗教",J1="地理",J1="歷史",J1="旅遊及款待"),J5*1.2,J5)</f>
        <v>0.0000000006</v>
      </c>
      <c r="K103" s="107">
        <f t="shared" si="120"/>
        <v>0.0000000007</v>
      </c>
      <c r="L103" s="107">
        <f t="shared" si="120"/>
        <v>0.0000000008</v>
      </c>
      <c r="M103" s="107">
        <f t="shared" si="120"/>
        <v>0.0000000009</v>
      </c>
      <c r="N103" s="107">
        <f>N5</f>
        <v>0.00000000095</v>
      </c>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row>
    <row r="104" ht="15.75" customHeight="1">
      <c r="A104" s="107" t="s">
        <v>282</v>
      </c>
      <c r="B104" s="108" t="s">
        <v>283</v>
      </c>
      <c r="C104" s="125" t="s">
        <v>21</v>
      </c>
      <c r="D104" s="107">
        <f t="array" ref="D104">F104+LARGE({E104,G104:N104}, 1)+LARGE({E104,G104:N104}, 2)+LARGE({E104,G104:N104},3)+LARGE({E104,G104:N104}, 4)</f>
        <v>0.00000000355</v>
      </c>
      <c r="E104" s="107">
        <f t="shared" ref="E104:N104" si="121">E5</f>
        <v>0.0000000001</v>
      </c>
      <c r="F104" s="107">
        <f t="shared" si="121"/>
        <v>0.0000000002</v>
      </c>
      <c r="G104" s="107">
        <f t="shared" si="121"/>
        <v>0.0000000003</v>
      </c>
      <c r="H104" s="107">
        <f t="shared" si="121"/>
        <v>0.0000000004</v>
      </c>
      <c r="I104" s="107">
        <f t="shared" si="121"/>
        <v>0.0000000005</v>
      </c>
      <c r="J104" s="107">
        <f t="shared" si="121"/>
        <v>0.0000000006</v>
      </c>
      <c r="K104" s="107">
        <f t="shared" si="121"/>
        <v>0.0000000007</v>
      </c>
      <c r="L104" s="107">
        <f t="shared" si="121"/>
        <v>0.0000000008</v>
      </c>
      <c r="M104" s="107">
        <f t="shared" si="121"/>
        <v>0.0000000009</v>
      </c>
      <c r="N104" s="107">
        <f t="shared" si="121"/>
        <v>0.00000000095</v>
      </c>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row>
    <row r="105" ht="15.75" customHeight="1">
      <c r="A105" s="107" t="s">
        <v>284</v>
      </c>
      <c r="B105" s="108" t="s">
        <v>285</v>
      </c>
      <c r="C105" s="125" t="s">
        <v>24</v>
      </c>
      <c r="D105" s="107">
        <f>LARGE((E105:M105),1)+LARGE((E105:M105),2)+LARGE((E105:M105),3)+LARGE((E105:M105),4)+LARGE((E105:M105),5)+LARGE((E105:M105),6)</f>
        <v>0.0000000039</v>
      </c>
      <c r="E105" s="107">
        <f t="shared" ref="E105:N105" si="122">E5</f>
        <v>0.0000000001</v>
      </c>
      <c r="F105" s="107">
        <f t="shared" si="122"/>
        <v>0.0000000002</v>
      </c>
      <c r="G105" s="107">
        <f t="shared" si="122"/>
        <v>0.0000000003</v>
      </c>
      <c r="H105" s="107">
        <f t="shared" si="122"/>
        <v>0.0000000004</v>
      </c>
      <c r="I105" s="107">
        <f t="shared" si="122"/>
        <v>0.0000000005</v>
      </c>
      <c r="J105" s="107">
        <f t="shared" si="122"/>
        <v>0.0000000006</v>
      </c>
      <c r="K105" s="107">
        <f t="shared" si="122"/>
        <v>0.0000000007</v>
      </c>
      <c r="L105" s="107">
        <f t="shared" si="122"/>
        <v>0.0000000008</v>
      </c>
      <c r="M105" s="107">
        <f t="shared" si="122"/>
        <v>0.0000000009</v>
      </c>
      <c r="N105" s="107">
        <f t="shared" si="122"/>
        <v>0.00000000095</v>
      </c>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row>
    <row r="106" ht="15.75" customHeight="1">
      <c r="A106" s="126"/>
      <c r="B106" s="126"/>
      <c r="C106" s="127"/>
      <c r="D106" s="126"/>
      <c r="E106" s="126"/>
      <c r="F106" s="126"/>
      <c r="G106" s="126"/>
      <c r="H106" s="126"/>
      <c r="I106" s="126"/>
      <c r="J106" s="126"/>
      <c r="K106" s="126"/>
      <c r="L106" s="126"/>
      <c r="M106" s="126"/>
      <c r="N106" s="126"/>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row>
    <row r="107" ht="15.75" customHeight="1">
      <c r="A107" s="109" t="s">
        <v>176</v>
      </c>
      <c r="B107" s="107"/>
      <c r="C107" s="108"/>
      <c r="D107" s="109" t="s">
        <v>172</v>
      </c>
      <c r="E107" s="109" t="str">
        <f t="shared" ref="E107:N107" si="123">E1</f>
        <v>中國語文</v>
      </c>
      <c r="F107" s="109" t="str">
        <f t="shared" si="123"/>
        <v>英國語文</v>
      </c>
      <c r="G107" s="109" t="str">
        <f t="shared" si="123"/>
        <v>數學</v>
      </c>
      <c r="H107" s="109" t="str">
        <f t="shared" si="123"/>
        <v>通識教育</v>
      </c>
      <c r="I107" s="109" t="str">
        <f t="shared" si="123"/>
        <v>數學延伸</v>
      </c>
      <c r="J107" s="109">
        <f t="shared" si="123"/>
        <v>0</v>
      </c>
      <c r="K107" s="109">
        <f t="shared" si="123"/>
        <v>0</v>
      </c>
      <c r="L107" s="109">
        <f t="shared" si="123"/>
        <v>0</v>
      </c>
      <c r="M107" s="109">
        <f t="shared" si="123"/>
        <v>0</v>
      </c>
      <c r="N107" s="109">
        <f t="shared" si="123"/>
        <v>0</v>
      </c>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row>
    <row r="108" ht="15.75" customHeight="1">
      <c r="A108" s="107" t="s">
        <v>286</v>
      </c>
      <c r="B108" s="107" t="s">
        <v>287</v>
      </c>
      <c r="C108" s="128" t="s">
        <v>191</v>
      </c>
      <c r="D108" s="107">
        <f>SUM(E108:H108)+LARGE((I108:N108),1)+LARGE((I108:N108),2)</f>
        <v>0.00000001925</v>
      </c>
      <c r="E108" s="107">
        <f t="shared" ref="E108:H108" si="124">E6*10</f>
        <v>0.000000001</v>
      </c>
      <c r="F108" s="107">
        <f t="shared" si="124"/>
        <v>0.000000002</v>
      </c>
      <c r="G108" s="107">
        <f t="shared" si="124"/>
        <v>0.000000003</v>
      </c>
      <c r="H108" s="107">
        <f t="shared" si="124"/>
        <v>0.000000004</v>
      </c>
      <c r="I108" s="107">
        <f>I6*5</f>
        <v>0.0000000025</v>
      </c>
      <c r="J108" s="107">
        <f t="shared" ref="J108:M108" si="125">IF(OR(J1="生物",J1="組合科學(生物、化學)",J1="組合科學(物理、生物)"),J6*10,J6*5)</f>
        <v>0.000000003</v>
      </c>
      <c r="K108" s="107">
        <f t="shared" si="125"/>
        <v>0.0000000035</v>
      </c>
      <c r="L108" s="107">
        <f t="shared" si="125"/>
        <v>0.000000004</v>
      </c>
      <c r="M108" s="107">
        <f t="shared" si="125"/>
        <v>0.0000000045</v>
      </c>
      <c r="N108" s="107">
        <f>N6*5</f>
        <v>0.00000000475</v>
      </c>
      <c r="O108" s="109"/>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row>
    <row r="109" ht="15.75" customHeight="1">
      <c r="A109" s="107" t="s">
        <v>288</v>
      </c>
      <c r="B109" s="107" t="s">
        <v>289</v>
      </c>
      <c r="C109" s="128" t="s">
        <v>21</v>
      </c>
      <c r="D109" s="107">
        <f t="shared" ref="D109:D114" si="128">LARGE((E109:N109),1)+LARGE((E109:N109),2)+LARGE((E109:N109),3)+LARGE((E109:N109),4)+LARGE((E109:N109),5)</f>
        <v>0.00000002175</v>
      </c>
      <c r="E109" s="107">
        <f>E6*7</f>
        <v>0.0000000007</v>
      </c>
      <c r="F109" s="107">
        <f t="shared" ref="F109:G109" si="126">F6*10</f>
        <v>0.000000002</v>
      </c>
      <c r="G109" s="107">
        <f t="shared" si="126"/>
        <v>0.000000003</v>
      </c>
      <c r="H109" s="107">
        <f>H6*7</f>
        <v>0.0000000028</v>
      </c>
      <c r="I109" s="107">
        <f>I6*10</f>
        <v>0.000000005</v>
      </c>
      <c r="J109" s="107">
        <f t="shared" ref="J109:M109" si="127">IF(OR(J1="物理",J1="化學",J1="生物",J1="組合科學(物理、化學)",J1="組合科學(生物、化學)",J1="組合科學(物理、生物)"),J6*10,J6*5)</f>
        <v>0.000000003</v>
      </c>
      <c r="K109" s="107">
        <f t="shared" si="127"/>
        <v>0.0000000035</v>
      </c>
      <c r="L109" s="107">
        <f t="shared" si="127"/>
        <v>0.000000004</v>
      </c>
      <c r="M109" s="107">
        <f t="shared" si="127"/>
        <v>0.0000000045</v>
      </c>
      <c r="N109" s="107">
        <f>N6*5</f>
        <v>0.00000000475</v>
      </c>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row>
    <row r="110" ht="15.75" customHeight="1">
      <c r="A110" s="107" t="s">
        <v>290</v>
      </c>
      <c r="B110" s="107" t="s">
        <v>291</v>
      </c>
      <c r="C110" s="128" t="s">
        <v>21</v>
      </c>
      <c r="D110" s="107">
        <f t="shared" si="128"/>
        <v>0.00000002175</v>
      </c>
      <c r="E110" s="107">
        <f>E6*7</f>
        <v>0.0000000007</v>
      </c>
      <c r="F110" s="107">
        <f t="shared" ref="F110:G110" si="129">F6*10</f>
        <v>0.000000002</v>
      </c>
      <c r="G110" s="107">
        <f t="shared" si="129"/>
        <v>0.000000003</v>
      </c>
      <c r="H110" s="107">
        <f>H6*7</f>
        <v>0.0000000028</v>
      </c>
      <c r="I110" s="107">
        <f>I6*10</f>
        <v>0.000000005</v>
      </c>
      <c r="J110" s="107">
        <f t="shared" ref="J110:M110" si="130">IF(OR(J1="物理",J1="化學",J1="生物",J1="組合科學(物理、化學)",J1="組合科學(生物、化學)",J1="組合科學(物理、生物)",J1="資訊及通訊科技"),J6*10,J6*5)</f>
        <v>0.000000003</v>
      </c>
      <c r="K110" s="107">
        <f t="shared" si="130"/>
        <v>0.0000000035</v>
      </c>
      <c r="L110" s="107">
        <f t="shared" si="130"/>
        <v>0.000000004</v>
      </c>
      <c r="M110" s="107">
        <f t="shared" si="130"/>
        <v>0.0000000045</v>
      </c>
      <c r="N110" s="107">
        <f>N6*5</f>
        <v>0.00000000475</v>
      </c>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row>
    <row r="111" ht="15.75" customHeight="1">
      <c r="A111" s="107" t="s">
        <v>292</v>
      </c>
      <c r="B111" s="107" t="s">
        <v>293</v>
      </c>
      <c r="C111" s="117" t="s">
        <v>21</v>
      </c>
      <c r="D111" s="107">
        <f t="shared" si="128"/>
        <v>0.00000001975</v>
      </c>
      <c r="E111" s="107">
        <f>E6*7</f>
        <v>0.0000000007</v>
      </c>
      <c r="F111" s="107">
        <f t="shared" ref="F111:G111" si="131">F6*10</f>
        <v>0.000000002</v>
      </c>
      <c r="G111" s="107">
        <f t="shared" si="131"/>
        <v>0.000000003</v>
      </c>
      <c r="H111" s="107">
        <f>H6*7</f>
        <v>0.0000000028</v>
      </c>
      <c r="I111" s="107">
        <f>I6*5</f>
        <v>0.0000000025</v>
      </c>
      <c r="J111" s="107">
        <f t="shared" ref="J111:M111" si="132">IF(OR(J1="物理",J1="化學",J1="組合科學(物理、化學)",J1="組合科學(生物、化學)",J1="組合科學(物理、生物)"),J6*10,J6*5)</f>
        <v>0.000000003</v>
      </c>
      <c r="K111" s="107">
        <f t="shared" si="132"/>
        <v>0.0000000035</v>
      </c>
      <c r="L111" s="107">
        <f t="shared" si="132"/>
        <v>0.000000004</v>
      </c>
      <c r="M111" s="107">
        <f t="shared" si="132"/>
        <v>0.0000000045</v>
      </c>
      <c r="N111" s="107">
        <f>N6*5</f>
        <v>0.00000000475</v>
      </c>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row>
    <row r="112" ht="15.75" customHeight="1">
      <c r="A112" s="107" t="s">
        <v>294</v>
      </c>
      <c r="B112" s="107" t="s">
        <v>295</v>
      </c>
      <c r="C112" s="117" t="s">
        <v>21</v>
      </c>
      <c r="D112" s="107">
        <f t="shared" si="128"/>
        <v>0.00000001975</v>
      </c>
      <c r="E112" s="107">
        <f>E6*7</f>
        <v>0.0000000007</v>
      </c>
      <c r="F112" s="107">
        <f t="shared" ref="F112:G112" si="133">F6*10</f>
        <v>0.000000002</v>
      </c>
      <c r="G112" s="107">
        <f t="shared" si="133"/>
        <v>0.000000003</v>
      </c>
      <c r="H112" s="107">
        <f>H6*7</f>
        <v>0.0000000028</v>
      </c>
      <c r="I112" s="107">
        <f t="shared" ref="I112:N112" si="134">I6*5</f>
        <v>0.0000000025</v>
      </c>
      <c r="J112" s="107">
        <f t="shared" si="134"/>
        <v>0.000000003</v>
      </c>
      <c r="K112" s="107">
        <f t="shared" si="134"/>
        <v>0.0000000035</v>
      </c>
      <c r="L112" s="107">
        <f t="shared" si="134"/>
        <v>0.000000004</v>
      </c>
      <c r="M112" s="107">
        <f t="shared" si="134"/>
        <v>0.0000000045</v>
      </c>
      <c r="N112" s="107">
        <f t="shared" si="134"/>
        <v>0.00000000475</v>
      </c>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row>
    <row r="113" ht="15.75" customHeight="1">
      <c r="A113" s="107" t="s">
        <v>296</v>
      </c>
      <c r="B113" s="107" t="s">
        <v>297</v>
      </c>
      <c r="C113" s="128" t="s">
        <v>21</v>
      </c>
      <c r="D113" s="107">
        <f t="shared" si="128"/>
        <v>0.00000003875</v>
      </c>
      <c r="E113" s="107">
        <f>E6*7</f>
        <v>0.0000000007</v>
      </c>
      <c r="F113" s="107">
        <f>F6*10</f>
        <v>0.000000002</v>
      </c>
      <c r="G113" s="107">
        <f t="shared" ref="G113:H113" si="135">G6*7</f>
        <v>0.0000000021</v>
      </c>
      <c r="H113" s="107">
        <f t="shared" si="135"/>
        <v>0.0000000028</v>
      </c>
      <c r="I113" s="107">
        <f t="shared" ref="I113:M113" si="136">I6*5</f>
        <v>0.0000000025</v>
      </c>
      <c r="J113" s="107">
        <f t="shared" si="136"/>
        <v>0.000000003</v>
      </c>
      <c r="K113" s="107">
        <f t="shared" si="136"/>
        <v>0.0000000035</v>
      </c>
      <c r="L113" s="107">
        <f t="shared" si="136"/>
        <v>0.000000004</v>
      </c>
      <c r="M113" s="107">
        <f t="shared" si="136"/>
        <v>0.0000000045</v>
      </c>
      <c r="N113" s="107">
        <f>N6*5*5</f>
        <v>0.00000002375</v>
      </c>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row>
    <row r="114" ht="15.75" customHeight="1">
      <c r="A114" s="107" t="s">
        <v>298</v>
      </c>
      <c r="B114" s="107" t="s">
        <v>299</v>
      </c>
      <c r="C114" s="128" t="s">
        <v>21</v>
      </c>
      <c r="D114" s="107">
        <f t="shared" si="128"/>
        <v>0.00000001825</v>
      </c>
      <c r="E114" s="107">
        <f>E6*7</f>
        <v>0.0000000007</v>
      </c>
      <c r="F114" s="107">
        <f t="shared" ref="F114:G114" si="137">F6*10</f>
        <v>0.000000002</v>
      </c>
      <c r="G114" s="107">
        <f t="shared" si="137"/>
        <v>0.000000003</v>
      </c>
      <c r="H114" s="107">
        <f>H6*7</f>
        <v>0.0000000028</v>
      </c>
      <c r="I114" s="107">
        <f t="shared" ref="I114:L114" si="138">I6*5</f>
        <v>0.0000000025</v>
      </c>
      <c r="J114" s="107">
        <f t="shared" si="138"/>
        <v>0.000000003</v>
      </c>
      <c r="K114" s="107">
        <f t="shared" si="138"/>
        <v>0.0000000035</v>
      </c>
      <c r="L114" s="107">
        <f t="shared" si="138"/>
        <v>0.000000004</v>
      </c>
      <c r="M114" s="107">
        <f>M6</f>
        <v>0.0000000009</v>
      </c>
      <c r="N114" s="107">
        <f>N6*5</f>
        <v>0.00000000475</v>
      </c>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row>
    <row r="115" ht="15.75" customHeight="1">
      <c r="A115" s="107" t="s">
        <v>300</v>
      </c>
      <c r="B115" s="107" t="s">
        <v>301</v>
      </c>
      <c r="C115" s="128" t="s">
        <v>24</v>
      </c>
      <c r="D115" s="107">
        <f>LARGE((E115:N115),1)+LARGE((E115:N115),2)+LARGE((E115:N115),3)+LARGE((E115:N115),4)+LARGE((E115:N115),5)+LARGE((E115:N115),6)</f>
        <v>0.00000002475</v>
      </c>
      <c r="E115" s="107">
        <f>E6*7</f>
        <v>0.0000000007</v>
      </c>
      <c r="F115" s="107">
        <f t="shared" ref="F115:G115" si="139">F6*10</f>
        <v>0.000000002</v>
      </c>
      <c r="G115" s="107">
        <f t="shared" si="139"/>
        <v>0.000000003</v>
      </c>
      <c r="H115" s="107">
        <f>H6*7</f>
        <v>0.0000000028</v>
      </c>
      <c r="I115" s="107">
        <f>I6*10</f>
        <v>0.000000005</v>
      </c>
      <c r="J115" s="107">
        <f t="shared" ref="J115:M115" si="140">IF(OR(J1="化學",J1="生物",J1="組合科學(生物、化學)"),J6*10,J6*5)</f>
        <v>0.000000003</v>
      </c>
      <c r="K115" s="107">
        <f t="shared" si="140"/>
        <v>0.0000000035</v>
      </c>
      <c r="L115" s="107">
        <f t="shared" si="140"/>
        <v>0.000000004</v>
      </c>
      <c r="M115" s="107">
        <f t="shared" si="140"/>
        <v>0.0000000045</v>
      </c>
      <c r="N115" s="107">
        <f>N6*5</f>
        <v>0.00000000475</v>
      </c>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row>
    <row r="116" ht="15.75" customHeight="1">
      <c r="A116" s="107" t="s">
        <v>302</v>
      </c>
      <c r="B116" s="107" t="s">
        <v>303</v>
      </c>
      <c r="C116" s="128" t="s">
        <v>21</v>
      </c>
      <c r="D116" s="107">
        <f t="shared" ref="D116:D124" si="143">LARGE((E116:N116),1)+LARGE((E116:N116),2)+LARGE((E116:N116),3)+LARGE((E116:N116),4)+LARGE((E116:N116),5)</f>
        <v>0.00000001975</v>
      </c>
      <c r="E116" s="107">
        <f>E6*7</f>
        <v>0.0000000007</v>
      </c>
      <c r="F116" s="107">
        <f>F6*10</f>
        <v>0.000000002</v>
      </c>
      <c r="G116" s="107">
        <f t="shared" ref="G116:H116" si="141">G6*7</f>
        <v>0.0000000021</v>
      </c>
      <c r="H116" s="107">
        <f t="shared" si="141"/>
        <v>0.0000000028</v>
      </c>
      <c r="I116" s="107">
        <f>I6*5</f>
        <v>0.0000000025</v>
      </c>
      <c r="J116" s="107">
        <f t="shared" ref="J116:M116" si="142">IF(OR(J1="化學",J1="組合科學(物理、化學)",J1="組合科學(生物、化學)",J1="設計及應用科技",J1="視覺藝術"),J6*10,J6*5)</f>
        <v>0.000000003</v>
      </c>
      <c r="K116" s="107">
        <f t="shared" si="142"/>
        <v>0.0000000035</v>
      </c>
      <c r="L116" s="107">
        <f t="shared" si="142"/>
        <v>0.000000004</v>
      </c>
      <c r="M116" s="107">
        <f t="shared" si="142"/>
        <v>0.0000000045</v>
      </c>
      <c r="N116" s="107">
        <f>N6*5</f>
        <v>0.00000000475</v>
      </c>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row>
    <row r="117" ht="15.75" customHeight="1">
      <c r="A117" s="107" t="s">
        <v>304</v>
      </c>
      <c r="B117" s="107" t="s">
        <v>305</v>
      </c>
      <c r="C117" s="128" t="s">
        <v>21</v>
      </c>
      <c r="D117" s="107">
        <f t="shared" si="143"/>
        <v>0.00000002175</v>
      </c>
      <c r="E117" s="107">
        <f>E6*7</f>
        <v>0.0000000007</v>
      </c>
      <c r="F117" s="107">
        <f t="shared" ref="F117:G117" si="144">F6*10</f>
        <v>0.000000002</v>
      </c>
      <c r="G117" s="107">
        <f t="shared" si="144"/>
        <v>0.000000003</v>
      </c>
      <c r="H117" s="107">
        <f>H6*7</f>
        <v>0.0000000028</v>
      </c>
      <c r="I117" s="107">
        <f>I6*10</f>
        <v>0.000000005</v>
      </c>
      <c r="J117" s="107">
        <f t="shared" ref="J117:M117" si="145">IF(OR(J1="物理",J1="化學",J1="組合科學(物理、化學)",J1="組合科學(生物、化學)",J1="組合科學(物理、生物)"),J6*10,J6*5)</f>
        <v>0.000000003</v>
      </c>
      <c r="K117" s="107">
        <f t="shared" si="145"/>
        <v>0.0000000035</v>
      </c>
      <c r="L117" s="107">
        <f t="shared" si="145"/>
        <v>0.000000004</v>
      </c>
      <c r="M117" s="107">
        <f t="shared" si="145"/>
        <v>0.0000000045</v>
      </c>
      <c r="N117" s="107">
        <f>N6*5</f>
        <v>0.00000000475</v>
      </c>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row>
    <row r="118" ht="15.75" customHeight="1">
      <c r="A118" s="107" t="s">
        <v>306</v>
      </c>
      <c r="B118" s="107" t="s">
        <v>307</v>
      </c>
      <c r="C118" s="128" t="s">
        <v>21</v>
      </c>
      <c r="D118" s="107">
        <f t="shared" si="143"/>
        <v>0.00000002175</v>
      </c>
      <c r="E118" s="107">
        <f>E6*7</f>
        <v>0.0000000007</v>
      </c>
      <c r="F118" s="107">
        <f t="shared" ref="F118:G118" si="146">F6*10</f>
        <v>0.000000002</v>
      </c>
      <c r="G118" s="107">
        <f t="shared" si="146"/>
        <v>0.000000003</v>
      </c>
      <c r="H118" s="107">
        <f>H6*7</f>
        <v>0.0000000028</v>
      </c>
      <c r="I118" s="107">
        <f>I6*10</f>
        <v>0.000000005</v>
      </c>
      <c r="J118" s="107">
        <f t="shared" ref="J118:M118" si="147">IF(OR(J1="物理",J1="化學",J1="組合科學(物理、化學)",J1="組合科學(生物、化學)",J1="組合科學(物理、生物)"),J6*10,J6*5)</f>
        <v>0.000000003</v>
      </c>
      <c r="K118" s="107">
        <f t="shared" si="147"/>
        <v>0.0000000035</v>
      </c>
      <c r="L118" s="107">
        <f t="shared" si="147"/>
        <v>0.000000004</v>
      </c>
      <c r="M118" s="107">
        <f t="shared" si="147"/>
        <v>0.0000000045</v>
      </c>
      <c r="N118" s="107">
        <f>N6*5</f>
        <v>0.00000000475</v>
      </c>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row>
    <row r="119" ht="15.75" customHeight="1">
      <c r="A119" s="107" t="s">
        <v>308</v>
      </c>
      <c r="B119" s="107" t="s">
        <v>309</v>
      </c>
      <c r="C119" s="128" t="s">
        <v>21</v>
      </c>
      <c r="D119" s="107">
        <f t="shared" si="143"/>
        <v>0.00000001975</v>
      </c>
      <c r="E119" s="107">
        <f>E6*7</f>
        <v>0.0000000007</v>
      </c>
      <c r="F119" s="107">
        <f t="shared" ref="F119:G119" si="148">F6*10</f>
        <v>0.000000002</v>
      </c>
      <c r="G119" s="107">
        <f t="shared" si="148"/>
        <v>0.000000003</v>
      </c>
      <c r="H119" s="107">
        <f>H6*7</f>
        <v>0.0000000028</v>
      </c>
      <c r="I119" s="107">
        <f t="shared" ref="I119:N119" si="149">I6*5</f>
        <v>0.0000000025</v>
      </c>
      <c r="J119" s="107">
        <f t="shared" si="149"/>
        <v>0.000000003</v>
      </c>
      <c r="K119" s="107">
        <f t="shared" si="149"/>
        <v>0.0000000035</v>
      </c>
      <c r="L119" s="107">
        <f t="shared" si="149"/>
        <v>0.000000004</v>
      </c>
      <c r="M119" s="107">
        <f t="shared" si="149"/>
        <v>0.0000000045</v>
      </c>
      <c r="N119" s="107">
        <f t="shared" si="149"/>
        <v>0.00000000475</v>
      </c>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row>
    <row r="120" ht="15.75" customHeight="1">
      <c r="A120" s="107" t="s">
        <v>310</v>
      </c>
      <c r="B120" s="107" t="s">
        <v>311</v>
      </c>
      <c r="C120" s="128" t="s">
        <v>21</v>
      </c>
      <c r="D120" s="107">
        <f t="shared" si="143"/>
        <v>0.00000002075</v>
      </c>
      <c r="E120" s="107">
        <f t="shared" ref="E120:H120" si="150">E6*10</f>
        <v>0.000000001</v>
      </c>
      <c r="F120" s="107">
        <f t="shared" si="150"/>
        <v>0.000000002</v>
      </c>
      <c r="G120" s="107">
        <f t="shared" si="150"/>
        <v>0.000000003</v>
      </c>
      <c r="H120" s="107">
        <f t="shared" si="150"/>
        <v>0.000000004</v>
      </c>
      <c r="I120" s="107">
        <f>I6*5</f>
        <v>0.0000000025</v>
      </c>
      <c r="J120" s="107">
        <f t="shared" ref="J120:M120" si="151">IF(OR(J1="設計與應用科技",J1="視覺藝術"),J6*10,J6*5)</f>
        <v>0.000000003</v>
      </c>
      <c r="K120" s="107">
        <f t="shared" si="151"/>
        <v>0.0000000035</v>
      </c>
      <c r="L120" s="107">
        <f t="shared" si="151"/>
        <v>0.000000004</v>
      </c>
      <c r="M120" s="107">
        <f t="shared" si="151"/>
        <v>0.0000000045</v>
      </c>
      <c r="N120" s="107">
        <f>N6*5</f>
        <v>0.00000000475</v>
      </c>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row>
    <row r="121" ht="15.75" customHeight="1">
      <c r="A121" s="107" t="s">
        <v>312</v>
      </c>
      <c r="B121" s="107" t="s">
        <v>313</v>
      </c>
      <c r="C121" s="128" t="s">
        <v>21</v>
      </c>
      <c r="D121" s="107">
        <f t="shared" si="143"/>
        <v>0.00000001975</v>
      </c>
      <c r="E121" s="107">
        <f>E6*7</f>
        <v>0.0000000007</v>
      </c>
      <c r="F121" s="107">
        <f t="shared" ref="F121:G121" si="152">F6*10</f>
        <v>0.000000002</v>
      </c>
      <c r="G121" s="107">
        <f t="shared" si="152"/>
        <v>0.000000003</v>
      </c>
      <c r="H121" s="107">
        <f>H6*7</f>
        <v>0.0000000028</v>
      </c>
      <c r="I121" s="107">
        <f t="shared" ref="I121:N121" si="153">I6*5</f>
        <v>0.0000000025</v>
      </c>
      <c r="J121" s="107">
        <f t="shared" si="153"/>
        <v>0.000000003</v>
      </c>
      <c r="K121" s="107">
        <f t="shared" si="153"/>
        <v>0.0000000035</v>
      </c>
      <c r="L121" s="107">
        <f t="shared" si="153"/>
        <v>0.000000004</v>
      </c>
      <c r="M121" s="107">
        <f t="shared" si="153"/>
        <v>0.0000000045</v>
      </c>
      <c r="N121" s="107">
        <f t="shared" si="153"/>
        <v>0.00000000475</v>
      </c>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row>
    <row r="122" ht="15.75" customHeight="1">
      <c r="A122" s="107" t="s">
        <v>314</v>
      </c>
      <c r="B122" s="107" t="s">
        <v>315</v>
      </c>
      <c r="C122" s="128" t="s">
        <v>21</v>
      </c>
      <c r="D122" s="107">
        <f t="shared" si="143"/>
        <v>0.00000001975</v>
      </c>
      <c r="E122" s="107">
        <f>E6*7</f>
        <v>0.0000000007</v>
      </c>
      <c r="F122" s="107">
        <f t="shared" ref="F122:G122" si="154">F6*10</f>
        <v>0.000000002</v>
      </c>
      <c r="G122" s="107">
        <f t="shared" si="154"/>
        <v>0.000000003</v>
      </c>
      <c r="H122" s="107">
        <f>H6*7</f>
        <v>0.0000000028</v>
      </c>
      <c r="I122" s="107">
        <f t="shared" ref="I122:N122" si="155">I6*5</f>
        <v>0.0000000025</v>
      </c>
      <c r="J122" s="107">
        <f t="shared" si="155"/>
        <v>0.000000003</v>
      </c>
      <c r="K122" s="107">
        <f t="shared" si="155"/>
        <v>0.0000000035</v>
      </c>
      <c r="L122" s="107">
        <f t="shared" si="155"/>
        <v>0.000000004</v>
      </c>
      <c r="M122" s="107">
        <f t="shared" si="155"/>
        <v>0.0000000045</v>
      </c>
      <c r="N122" s="107">
        <f t="shared" si="155"/>
        <v>0.00000000475</v>
      </c>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row>
    <row r="123" ht="15.75" customHeight="1">
      <c r="A123" s="107" t="s">
        <v>316</v>
      </c>
      <c r="B123" s="107" t="s">
        <v>317</v>
      </c>
      <c r="C123" s="128" t="s">
        <v>21</v>
      </c>
      <c r="D123" s="107">
        <f t="shared" si="143"/>
        <v>0.00000001975</v>
      </c>
      <c r="E123" s="107">
        <f>E6*7</f>
        <v>0.0000000007</v>
      </c>
      <c r="F123" s="107">
        <f t="shared" ref="F123:G123" si="156">F6*10</f>
        <v>0.000000002</v>
      </c>
      <c r="G123" s="107">
        <f t="shared" si="156"/>
        <v>0.000000003</v>
      </c>
      <c r="H123" s="107">
        <f>H6*7</f>
        <v>0.0000000028</v>
      </c>
      <c r="I123" s="107">
        <f t="shared" ref="I123:N123" si="157">I6*5</f>
        <v>0.0000000025</v>
      </c>
      <c r="J123" s="107">
        <f t="shared" si="157"/>
        <v>0.000000003</v>
      </c>
      <c r="K123" s="107">
        <f t="shared" si="157"/>
        <v>0.0000000035</v>
      </c>
      <c r="L123" s="107">
        <f t="shared" si="157"/>
        <v>0.000000004</v>
      </c>
      <c r="M123" s="107">
        <f t="shared" si="157"/>
        <v>0.0000000045</v>
      </c>
      <c r="N123" s="107">
        <f t="shared" si="157"/>
        <v>0.00000000475</v>
      </c>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row>
    <row r="124" ht="15.75" customHeight="1">
      <c r="A124" s="107" t="s">
        <v>318</v>
      </c>
      <c r="B124" s="107" t="s">
        <v>319</v>
      </c>
      <c r="C124" s="128" t="s">
        <v>21</v>
      </c>
      <c r="D124" s="107">
        <f t="shared" si="143"/>
        <v>0.00000002175</v>
      </c>
      <c r="E124" s="107">
        <f t="shared" ref="E124:F124" si="158">E6*7</f>
        <v>0.0000000007</v>
      </c>
      <c r="F124" s="107">
        <f t="shared" si="158"/>
        <v>0.0000000014</v>
      </c>
      <c r="G124" s="107">
        <f>G6*10</f>
        <v>0.000000003</v>
      </c>
      <c r="H124" s="107">
        <f>H6*7</f>
        <v>0.0000000028</v>
      </c>
      <c r="I124" s="107">
        <f>I6*10</f>
        <v>0.000000005</v>
      </c>
      <c r="J124" s="107">
        <f t="shared" ref="J124:M124" si="159">IF(OR(J1="物理",J1="化學",J1="生物",J1="組合科學(物理、化學)",J1="組合科學(生物、化學)",J1="組合科學(物理、生物)"),J6*10,J6*5)</f>
        <v>0.000000003</v>
      </c>
      <c r="K124" s="107">
        <f t="shared" si="159"/>
        <v>0.0000000035</v>
      </c>
      <c r="L124" s="107">
        <f t="shared" si="159"/>
        <v>0.000000004</v>
      </c>
      <c r="M124" s="107">
        <f t="shared" si="159"/>
        <v>0.0000000045</v>
      </c>
      <c r="N124" s="107">
        <f>N6*5</f>
        <v>0.00000000475</v>
      </c>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row>
    <row r="125" ht="15.75" customHeight="1">
      <c r="A125" s="107" t="s">
        <v>320</v>
      </c>
      <c r="B125" s="107" t="s">
        <v>321</v>
      </c>
      <c r="C125" s="128" t="s">
        <v>24</v>
      </c>
      <c r="D125" s="107">
        <f t="shared" ref="D125:D127" si="162">LARGE((E125:N125),1)+LARGE((E125:N125),2)+LARGE((E125:N125),3)+LARGE((E125:N125),4)+LARGE((E125:N125),5)+LARGE((E125:N125),6)</f>
        <v>0.00000002275</v>
      </c>
      <c r="E125" s="107">
        <f t="shared" ref="E125:G125" si="160">E6*10</f>
        <v>0.000000001</v>
      </c>
      <c r="F125" s="107">
        <f t="shared" si="160"/>
        <v>0.000000002</v>
      </c>
      <c r="G125" s="107">
        <f t="shared" si="160"/>
        <v>0.000000003</v>
      </c>
      <c r="H125" s="107">
        <f>H6*7</f>
        <v>0.0000000028</v>
      </c>
      <c r="I125" s="107">
        <f>I6*5</f>
        <v>0.0000000025</v>
      </c>
      <c r="J125" s="107">
        <f>IF(OR(J1="物理",J1="化學",J1="生物",J1="組合科學(物理、化學)",J1="組合科學(生物、化學)",J1="組合科學(物理、生物)"),J6*10,J6*5)</f>
        <v>0.000000003</v>
      </c>
      <c r="K125" s="107">
        <f t="shared" ref="K125:M125" si="161">IF(OR(K1="物理",K1="化學",K1="生物",K1="組合科學(物理、化學)",K1="組合科學(生物、化學)",K1="組合科學(物理、生物)",K1="綜合科學"),K6*10,K6*5)</f>
        <v>0.0000000035</v>
      </c>
      <c r="L125" s="107">
        <f t="shared" si="161"/>
        <v>0.000000004</v>
      </c>
      <c r="M125" s="107">
        <f t="shared" si="161"/>
        <v>0.0000000045</v>
      </c>
      <c r="N125" s="107">
        <f>N6*5</f>
        <v>0.00000000475</v>
      </c>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row>
    <row r="126" ht="15.75" customHeight="1">
      <c r="A126" s="107" t="s">
        <v>322</v>
      </c>
      <c r="B126" s="107" t="s">
        <v>323</v>
      </c>
      <c r="C126" s="128" t="s">
        <v>24</v>
      </c>
      <c r="D126" s="107">
        <f t="shared" si="162"/>
        <v>0.00000002255</v>
      </c>
      <c r="E126" s="107">
        <f t="shared" ref="E126:F126" si="163">E6*10</f>
        <v>0.000000001</v>
      </c>
      <c r="F126" s="107">
        <f t="shared" si="163"/>
        <v>0.000000002</v>
      </c>
      <c r="G126" s="107">
        <f t="shared" ref="G126:H126" si="164">G6*7</f>
        <v>0.0000000021</v>
      </c>
      <c r="H126" s="107">
        <f t="shared" si="164"/>
        <v>0.0000000028</v>
      </c>
      <c r="I126" s="107">
        <f>I6*5</f>
        <v>0.0000000025</v>
      </c>
      <c r="J126" s="107">
        <f>IF(OR(J1="物理",J1="生物",J1="組合科學(物理、化學)",J1="組合科學(生物、化學)",J1="組合科學(物理、生物)"),J6*10,J6*5)</f>
        <v>0.000000003</v>
      </c>
      <c r="K126" s="107">
        <f t="shared" ref="K126:M126" si="165">IF(OR(K1="物理",K1="生物",K1="組合科學(物理、化學)",K1="組合科學(生物、化學)",K1="組合科學(物理、生物)",K1="綜合科學"),K6*10,K6*5)</f>
        <v>0.0000000035</v>
      </c>
      <c r="L126" s="107">
        <f t="shared" si="165"/>
        <v>0.000000004</v>
      </c>
      <c r="M126" s="107">
        <f t="shared" si="165"/>
        <v>0.0000000045</v>
      </c>
      <c r="N126" s="107">
        <f>N6*5</f>
        <v>0.00000000475</v>
      </c>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row>
    <row r="127" ht="15.75" customHeight="1">
      <c r="A127" s="107" t="s">
        <v>324</v>
      </c>
      <c r="B127" s="107" t="s">
        <v>325</v>
      </c>
      <c r="C127" s="128" t="s">
        <v>24</v>
      </c>
      <c r="D127" s="107">
        <f t="shared" si="162"/>
        <v>0.00000002255</v>
      </c>
      <c r="E127" s="107">
        <f t="shared" ref="E127:F127" si="166">E6*10</f>
        <v>0.000000001</v>
      </c>
      <c r="F127" s="107">
        <f t="shared" si="166"/>
        <v>0.000000002</v>
      </c>
      <c r="G127" s="107">
        <f t="shared" ref="G127:H127" si="167">G6*7</f>
        <v>0.0000000021</v>
      </c>
      <c r="H127" s="107">
        <f t="shared" si="167"/>
        <v>0.0000000028</v>
      </c>
      <c r="I127" s="107">
        <f>I6*5</f>
        <v>0.0000000025</v>
      </c>
      <c r="J127" s="107">
        <f t="shared" ref="J127:N127" si="168">IF(OR(J1="物理",J1="生物",J1="組合科學(物理、生物)"),J6*10,J6*5)</f>
        <v>0.000000003</v>
      </c>
      <c r="K127" s="107">
        <f t="shared" si="168"/>
        <v>0.0000000035</v>
      </c>
      <c r="L127" s="107">
        <f t="shared" si="168"/>
        <v>0.000000004</v>
      </c>
      <c r="M127" s="107">
        <f t="shared" si="168"/>
        <v>0.0000000045</v>
      </c>
      <c r="N127" s="107">
        <f t="shared" si="168"/>
        <v>0.00000000475</v>
      </c>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row>
    <row r="128" ht="15.75" customHeight="1">
      <c r="A128" s="107" t="s">
        <v>326</v>
      </c>
      <c r="B128" s="107" t="s">
        <v>327</v>
      </c>
      <c r="C128" s="128" t="s">
        <v>191</v>
      </c>
      <c r="D128" s="107">
        <f>SUM(E128:H128)+LARGE((I128:N128),1)+LARGE((I128:N128),2)</f>
        <v>0.00000001925</v>
      </c>
      <c r="E128" s="107">
        <f t="shared" ref="E128:H128" si="169">E6*10</f>
        <v>0.000000001</v>
      </c>
      <c r="F128" s="107">
        <f t="shared" si="169"/>
        <v>0.000000002</v>
      </c>
      <c r="G128" s="107">
        <f t="shared" si="169"/>
        <v>0.000000003</v>
      </c>
      <c r="H128" s="107">
        <f t="shared" si="169"/>
        <v>0.000000004</v>
      </c>
      <c r="I128" s="107">
        <f>I6*5</f>
        <v>0.0000000025</v>
      </c>
      <c r="J128" s="107">
        <f t="shared" ref="J128:M128" si="170">IF(OR(J1="生物",J1="組合科學(生物、化學)",J1="組合科學(物理、生物)"),J6*10,J6*5)</f>
        <v>0.000000003</v>
      </c>
      <c r="K128" s="107">
        <f t="shared" si="170"/>
        <v>0.0000000035</v>
      </c>
      <c r="L128" s="107">
        <f t="shared" si="170"/>
        <v>0.000000004</v>
      </c>
      <c r="M128" s="107">
        <f t="shared" si="170"/>
        <v>0.0000000045</v>
      </c>
      <c r="N128" s="107">
        <f>N6*5</f>
        <v>0.00000000475</v>
      </c>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row>
    <row r="129" ht="15.75" customHeight="1">
      <c r="A129" s="107" t="s">
        <v>328</v>
      </c>
      <c r="B129" s="107" t="s">
        <v>329</v>
      </c>
      <c r="C129" s="128" t="s">
        <v>24</v>
      </c>
      <c r="D129" s="107">
        <f>LARGE((E129:N129),1)+LARGE((E129:N129),2)+LARGE((E129:N129),3)+LARGE((E129:N129),4)+LARGE((E129:N129),5)+LARGE((E129:N129),6)</f>
        <v>0.00000002475</v>
      </c>
      <c r="E129" s="107">
        <f>E6*7</f>
        <v>0.0000000007</v>
      </c>
      <c r="F129" s="107">
        <f t="shared" ref="F129:G129" si="171">F6*10</f>
        <v>0.000000002</v>
      </c>
      <c r="G129" s="107">
        <f t="shared" si="171"/>
        <v>0.000000003</v>
      </c>
      <c r="H129" s="107">
        <f>H6*7</f>
        <v>0.0000000028</v>
      </c>
      <c r="I129" s="107">
        <f>I6*10</f>
        <v>0.000000005</v>
      </c>
      <c r="J129" s="107">
        <f t="shared" ref="J129:M129" si="172">IF(OR(J1="物理",J1="化學",J1="生物",J1="組合科學(物理、化學)",J1="組合科學(生物、化學)",J1="組合科學(物理、生物)"),J6*10,J6*5)</f>
        <v>0.000000003</v>
      </c>
      <c r="K129" s="107">
        <f t="shared" si="172"/>
        <v>0.0000000035</v>
      </c>
      <c r="L129" s="107">
        <f t="shared" si="172"/>
        <v>0.000000004</v>
      </c>
      <c r="M129" s="107">
        <f t="shared" si="172"/>
        <v>0.0000000045</v>
      </c>
      <c r="N129" s="107">
        <f>N6*5</f>
        <v>0.00000000475</v>
      </c>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row>
    <row r="130" ht="15.75" customHeight="1">
      <c r="A130" s="107" t="s">
        <v>330</v>
      </c>
      <c r="B130" s="107" t="s">
        <v>331</v>
      </c>
      <c r="C130" s="128" t="s">
        <v>191</v>
      </c>
      <c r="D130" s="107">
        <f>SUM(E130:H130)+LARGE((I130:N130),1)+LARGE((I130:N130),2)</f>
        <v>0.00000001625</v>
      </c>
      <c r="E130" s="107">
        <f t="shared" ref="E130:H130" si="173">E6*7</f>
        <v>0.0000000007</v>
      </c>
      <c r="F130" s="107">
        <f t="shared" si="173"/>
        <v>0.0000000014</v>
      </c>
      <c r="G130" s="107">
        <f t="shared" si="173"/>
        <v>0.0000000021</v>
      </c>
      <c r="H130" s="107">
        <f t="shared" si="173"/>
        <v>0.0000000028</v>
      </c>
      <c r="I130" s="107">
        <f t="shared" ref="I130:N130" si="174">I6*5</f>
        <v>0.0000000025</v>
      </c>
      <c r="J130" s="107">
        <f t="shared" si="174"/>
        <v>0.000000003</v>
      </c>
      <c r="K130" s="107">
        <f t="shared" si="174"/>
        <v>0.0000000035</v>
      </c>
      <c r="L130" s="107">
        <f t="shared" si="174"/>
        <v>0.000000004</v>
      </c>
      <c r="M130" s="107">
        <f t="shared" si="174"/>
        <v>0.0000000045</v>
      </c>
      <c r="N130" s="107">
        <f t="shared" si="174"/>
        <v>0.00000000475</v>
      </c>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row>
    <row r="131" ht="15.75" customHeight="1">
      <c r="A131" s="107" t="s">
        <v>332</v>
      </c>
      <c r="B131" s="107" t="s">
        <v>333</v>
      </c>
      <c r="C131" s="128" t="s">
        <v>21</v>
      </c>
      <c r="D131" s="107">
        <f t="shared" ref="D131:D136" si="177">LARGE((E131:N131),1)+LARGE((E131:N131),2)+LARGE((E131:N131),3)+LARGE((E131:N131),4)+LARGE((E131:N131),5)</f>
        <v>0.00000001975</v>
      </c>
      <c r="E131" s="107">
        <f>E6*7</f>
        <v>0.0000000007</v>
      </c>
      <c r="F131" s="107">
        <f t="shared" ref="F131:G131" si="175">F6*10</f>
        <v>0.000000002</v>
      </c>
      <c r="G131" s="107">
        <f t="shared" si="175"/>
        <v>0.000000003</v>
      </c>
      <c r="H131" s="107">
        <f>H6*7</f>
        <v>0.0000000028</v>
      </c>
      <c r="I131" s="107">
        <f t="shared" ref="I131:N131" si="176">I6*5</f>
        <v>0.0000000025</v>
      </c>
      <c r="J131" s="107">
        <f t="shared" si="176"/>
        <v>0.000000003</v>
      </c>
      <c r="K131" s="107">
        <f t="shared" si="176"/>
        <v>0.0000000035</v>
      </c>
      <c r="L131" s="107">
        <f t="shared" si="176"/>
        <v>0.000000004</v>
      </c>
      <c r="M131" s="107">
        <f t="shared" si="176"/>
        <v>0.0000000045</v>
      </c>
      <c r="N131" s="107">
        <f t="shared" si="176"/>
        <v>0.00000000475</v>
      </c>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row>
    <row r="132" ht="15.75" customHeight="1">
      <c r="A132" s="107" t="s">
        <v>334</v>
      </c>
      <c r="B132" s="107" t="s">
        <v>335</v>
      </c>
      <c r="C132" s="128" t="s">
        <v>21</v>
      </c>
      <c r="D132" s="107">
        <f t="shared" si="177"/>
        <v>0.00000002175</v>
      </c>
      <c r="E132" s="107">
        <f>E6*7</f>
        <v>0.0000000007</v>
      </c>
      <c r="F132" s="107">
        <f t="shared" ref="F132:G132" si="178">F6*10</f>
        <v>0.000000002</v>
      </c>
      <c r="G132" s="107">
        <f t="shared" si="178"/>
        <v>0.000000003</v>
      </c>
      <c r="H132" s="107">
        <f>H6*7</f>
        <v>0.0000000028</v>
      </c>
      <c r="I132" s="107">
        <f>I6*10</f>
        <v>0.000000005</v>
      </c>
      <c r="J132" s="107">
        <f t="shared" ref="J132:M132" si="179">IF(OR(J1="物理",J1="化學",J1="生物",J1="組合科學(物理、化學)",J1="組合科學(生物、化學)",J1="組合科學(物理、生物)",J1="資訊及通訊科技"),J6*10,J6*5)</f>
        <v>0.000000003</v>
      </c>
      <c r="K132" s="107">
        <f t="shared" si="179"/>
        <v>0.0000000035</v>
      </c>
      <c r="L132" s="107">
        <f t="shared" si="179"/>
        <v>0.000000004</v>
      </c>
      <c r="M132" s="107">
        <f t="shared" si="179"/>
        <v>0.0000000045</v>
      </c>
      <c r="N132" s="107">
        <f>N6*5</f>
        <v>0.00000000475</v>
      </c>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row>
    <row r="133" ht="15.75" customHeight="1">
      <c r="A133" s="107" t="s">
        <v>336</v>
      </c>
      <c r="B133" s="107" t="s">
        <v>337</v>
      </c>
      <c r="C133" s="128" t="s">
        <v>21</v>
      </c>
      <c r="D133" s="107">
        <f t="shared" si="177"/>
        <v>0.00000002175</v>
      </c>
      <c r="E133" s="107">
        <f>E6*7</f>
        <v>0.0000000007</v>
      </c>
      <c r="F133" s="107">
        <f t="shared" ref="F133:G133" si="180">F6*10</f>
        <v>0.000000002</v>
      </c>
      <c r="G133" s="107">
        <f t="shared" si="180"/>
        <v>0.000000003</v>
      </c>
      <c r="H133" s="107">
        <f>H6*7</f>
        <v>0.0000000028</v>
      </c>
      <c r="I133" s="107">
        <f>I6*10</f>
        <v>0.000000005</v>
      </c>
      <c r="J133" s="107">
        <f t="shared" ref="J133:M133" si="181">IF(OR(J1="物理",J1="化學",J1="生物",J1="組合科學(物理、化學)",J1="組合科學(生物、化學)",J1="組合科學(物理、生物)",J1="資訊及通訊科技"),J6*10,J6*5)</f>
        <v>0.000000003</v>
      </c>
      <c r="K133" s="107">
        <f t="shared" si="181"/>
        <v>0.0000000035</v>
      </c>
      <c r="L133" s="107">
        <f t="shared" si="181"/>
        <v>0.000000004</v>
      </c>
      <c r="M133" s="107">
        <f t="shared" si="181"/>
        <v>0.0000000045</v>
      </c>
      <c r="N133" s="107">
        <f>N6*5</f>
        <v>0.00000000475</v>
      </c>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row>
    <row r="134" ht="15.75" customHeight="1">
      <c r="A134" s="107" t="s">
        <v>338</v>
      </c>
      <c r="B134" s="107" t="s">
        <v>339</v>
      </c>
      <c r="C134" s="128" t="s">
        <v>21</v>
      </c>
      <c r="D134" s="107">
        <f t="shared" si="177"/>
        <v>0.00000002175</v>
      </c>
      <c r="E134" s="107">
        <f>E6*7</f>
        <v>0.0000000007</v>
      </c>
      <c r="F134" s="107">
        <f t="shared" ref="F134:G134" si="182">F6*10</f>
        <v>0.000000002</v>
      </c>
      <c r="G134" s="107">
        <f t="shared" si="182"/>
        <v>0.000000003</v>
      </c>
      <c r="H134" s="107">
        <f>H6*7</f>
        <v>0.0000000028</v>
      </c>
      <c r="I134" s="107">
        <f>I6*10</f>
        <v>0.000000005</v>
      </c>
      <c r="J134" s="107">
        <f t="shared" ref="J134:M134" si="183">IF(OR(J1="物理",J1="組合科學(物理、化學)",J1="組合科學(物理、生物)"),J6*10,J6*5)</f>
        <v>0.000000003</v>
      </c>
      <c r="K134" s="107">
        <f t="shared" si="183"/>
        <v>0.0000000035</v>
      </c>
      <c r="L134" s="107">
        <f t="shared" si="183"/>
        <v>0.000000004</v>
      </c>
      <c r="M134" s="107">
        <f t="shared" si="183"/>
        <v>0.0000000045</v>
      </c>
      <c r="N134" s="107">
        <f>N6*5</f>
        <v>0.00000000475</v>
      </c>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row>
    <row r="135" ht="15.75" customHeight="1">
      <c r="A135" s="107" t="s">
        <v>340</v>
      </c>
      <c r="B135" s="107" t="s">
        <v>341</v>
      </c>
      <c r="C135" s="128" t="s">
        <v>21</v>
      </c>
      <c r="D135" s="107">
        <f t="shared" si="177"/>
        <v>0.00000002175</v>
      </c>
      <c r="E135" s="107">
        <f>E6*7</f>
        <v>0.0000000007</v>
      </c>
      <c r="F135" s="107">
        <f t="shared" ref="F135:G135" si="184">F6*10</f>
        <v>0.000000002</v>
      </c>
      <c r="G135" s="107">
        <f t="shared" si="184"/>
        <v>0.000000003</v>
      </c>
      <c r="H135" s="107">
        <f>H6*7</f>
        <v>0.0000000028</v>
      </c>
      <c r="I135" s="107">
        <f>I6*10</f>
        <v>0.000000005</v>
      </c>
      <c r="J135" s="107">
        <f t="shared" ref="J135:M135" si="185">IF(OR(J1="物理",J1="化學",J1="生物",J1="組合科學(物理、化學)",J1="組合科學(生物、化學)",J1="組合科學(物理、生物)",J1="資訊及通訊科技"),J6*10,J6*5)</f>
        <v>0.000000003</v>
      </c>
      <c r="K135" s="107">
        <f t="shared" si="185"/>
        <v>0.0000000035</v>
      </c>
      <c r="L135" s="107">
        <f t="shared" si="185"/>
        <v>0.000000004</v>
      </c>
      <c r="M135" s="107">
        <f t="shared" si="185"/>
        <v>0.0000000045</v>
      </c>
      <c r="N135" s="107">
        <f>N6*5</f>
        <v>0.00000000475</v>
      </c>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row>
    <row r="136" ht="15.75" customHeight="1">
      <c r="A136" s="107" t="s">
        <v>342</v>
      </c>
      <c r="B136" s="107" t="s">
        <v>343</v>
      </c>
      <c r="C136" s="128" t="s">
        <v>21</v>
      </c>
      <c r="D136" s="107">
        <f t="shared" si="177"/>
        <v>0.00000001975</v>
      </c>
      <c r="E136" s="107">
        <f>E6*7</f>
        <v>0.0000000007</v>
      </c>
      <c r="F136" s="107">
        <f t="shared" ref="F136:G136" si="186">F6*10</f>
        <v>0.000000002</v>
      </c>
      <c r="G136" s="107">
        <f t="shared" si="186"/>
        <v>0.000000003</v>
      </c>
      <c r="H136" s="107">
        <f>H6*7</f>
        <v>0.0000000028</v>
      </c>
      <c r="I136" s="107">
        <f>I6*5</f>
        <v>0.0000000025</v>
      </c>
      <c r="J136" s="107">
        <f t="shared" ref="J136:M136" si="187">IF(OR(J1="物理",J1="組合科學(物理、化學)",J1="組合科學(物理、生物)"),J6*10,J6*5)</f>
        <v>0.000000003</v>
      </c>
      <c r="K136" s="107">
        <f t="shared" si="187"/>
        <v>0.0000000035</v>
      </c>
      <c r="L136" s="107">
        <f t="shared" si="187"/>
        <v>0.000000004</v>
      </c>
      <c r="M136" s="107">
        <f t="shared" si="187"/>
        <v>0.0000000045</v>
      </c>
      <c r="N136" s="107">
        <f>N6*5</f>
        <v>0.00000000475</v>
      </c>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row>
    <row r="137" ht="15.75" customHeight="1">
      <c r="A137" s="107" t="s">
        <v>344</v>
      </c>
      <c r="B137" s="107" t="s">
        <v>345</v>
      </c>
      <c r="C137" s="128" t="s">
        <v>191</v>
      </c>
      <c r="D137" s="107">
        <f>SUM(E137:H137)+LARGE((I137:N137),1)+LARGE((I137:N137),2)</f>
        <v>0.00000001625</v>
      </c>
      <c r="E137" s="107">
        <f t="shared" ref="E137:H137" si="188">E6*7</f>
        <v>0.0000000007</v>
      </c>
      <c r="F137" s="107">
        <f t="shared" si="188"/>
        <v>0.0000000014</v>
      </c>
      <c r="G137" s="107">
        <f t="shared" si="188"/>
        <v>0.0000000021</v>
      </c>
      <c r="H137" s="107">
        <f t="shared" si="188"/>
        <v>0.0000000028</v>
      </c>
      <c r="I137" s="107">
        <f t="shared" ref="I137:N137" si="189">I6*5</f>
        <v>0.0000000025</v>
      </c>
      <c r="J137" s="107">
        <f t="shared" si="189"/>
        <v>0.000000003</v>
      </c>
      <c r="K137" s="107">
        <f t="shared" si="189"/>
        <v>0.0000000035</v>
      </c>
      <c r="L137" s="107">
        <f t="shared" si="189"/>
        <v>0.000000004</v>
      </c>
      <c r="M137" s="107">
        <f t="shared" si="189"/>
        <v>0.0000000045</v>
      </c>
      <c r="N137" s="107">
        <f t="shared" si="189"/>
        <v>0.00000000475</v>
      </c>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row>
    <row r="138" ht="15.75" customHeight="1">
      <c r="A138" s="107" t="s">
        <v>346</v>
      </c>
      <c r="B138" s="107" t="s">
        <v>347</v>
      </c>
      <c r="C138" s="128" t="s">
        <v>21</v>
      </c>
      <c r="D138" s="107">
        <f t="shared" ref="D138:D141" si="192">LARGE((E138:N138),1)+LARGE((E138:N138),2)+LARGE((E138:N138),3)+LARGE((E138:N138),4)+LARGE((E138:N138),5)</f>
        <v>0.00000002175</v>
      </c>
      <c r="E138" s="107">
        <f>E6*7</f>
        <v>0.0000000007</v>
      </c>
      <c r="F138" s="107">
        <f t="shared" ref="F138:G138" si="190">F6*10</f>
        <v>0.000000002</v>
      </c>
      <c r="G138" s="107">
        <f t="shared" si="190"/>
        <v>0.000000003</v>
      </c>
      <c r="H138" s="107">
        <f>H6*7</f>
        <v>0.0000000028</v>
      </c>
      <c r="I138" s="107">
        <f>I6*10</f>
        <v>0.000000005</v>
      </c>
      <c r="J138" s="107">
        <f t="shared" ref="J138:M138" si="191">IF(OR(J1="物理",J1="組合科學(物理、化學)",J1="組合科學(物理、生物)"),J6*10,J6*5)</f>
        <v>0.000000003</v>
      </c>
      <c r="K138" s="107">
        <f t="shared" si="191"/>
        <v>0.0000000035</v>
      </c>
      <c r="L138" s="107">
        <f t="shared" si="191"/>
        <v>0.000000004</v>
      </c>
      <c r="M138" s="107">
        <f t="shared" si="191"/>
        <v>0.0000000045</v>
      </c>
      <c r="N138" s="107">
        <f>N6*5</f>
        <v>0.00000000475</v>
      </c>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row>
    <row r="139" ht="15.75" customHeight="1">
      <c r="A139" s="107" t="s">
        <v>348</v>
      </c>
      <c r="B139" s="107" t="s">
        <v>349</v>
      </c>
      <c r="C139" s="128" t="s">
        <v>21</v>
      </c>
      <c r="D139" s="107">
        <f t="shared" si="192"/>
        <v>0.00000001975</v>
      </c>
      <c r="E139" s="107">
        <f>E6*7</f>
        <v>0.0000000007</v>
      </c>
      <c r="F139" s="107">
        <f>F6*10</f>
        <v>0.000000002</v>
      </c>
      <c r="G139" s="107">
        <f t="shared" ref="G139:H139" si="193">G6*7</f>
        <v>0.0000000021</v>
      </c>
      <c r="H139" s="107">
        <f t="shared" si="193"/>
        <v>0.0000000028</v>
      </c>
      <c r="I139" s="107">
        <f t="shared" ref="I139:N139" si="194">I6*5</f>
        <v>0.0000000025</v>
      </c>
      <c r="J139" s="107">
        <f t="shared" si="194"/>
        <v>0.000000003</v>
      </c>
      <c r="K139" s="107">
        <f t="shared" si="194"/>
        <v>0.0000000035</v>
      </c>
      <c r="L139" s="107">
        <f t="shared" si="194"/>
        <v>0.000000004</v>
      </c>
      <c r="M139" s="107">
        <f t="shared" si="194"/>
        <v>0.0000000045</v>
      </c>
      <c r="N139" s="107">
        <f t="shared" si="194"/>
        <v>0.00000000475</v>
      </c>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row>
    <row r="140" ht="15.75" customHeight="1">
      <c r="A140" s="107" t="s">
        <v>350</v>
      </c>
      <c r="B140" s="107" t="s">
        <v>351</v>
      </c>
      <c r="C140" s="128" t="s">
        <v>21</v>
      </c>
      <c r="D140" s="107">
        <f t="shared" si="192"/>
        <v>0.00000002175</v>
      </c>
      <c r="E140" s="107">
        <f>E6*7</f>
        <v>0.0000000007</v>
      </c>
      <c r="F140" s="107">
        <f t="shared" ref="F140:G140" si="195">F6*10</f>
        <v>0.000000002</v>
      </c>
      <c r="G140" s="107">
        <f t="shared" si="195"/>
        <v>0.000000003</v>
      </c>
      <c r="H140" s="107">
        <f>H6*7</f>
        <v>0.0000000028</v>
      </c>
      <c r="I140" s="107">
        <f>I6*10</f>
        <v>0.000000005</v>
      </c>
      <c r="J140" s="107">
        <f t="shared" ref="J140:M140" si="196">IF(OR(J1="物理",J1="組合科學(物理、化學)",J1="組合科學(物理、生物)"),J6*10,J6*5)</f>
        <v>0.000000003</v>
      </c>
      <c r="K140" s="107">
        <f t="shared" si="196"/>
        <v>0.0000000035</v>
      </c>
      <c r="L140" s="107">
        <f t="shared" si="196"/>
        <v>0.000000004</v>
      </c>
      <c r="M140" s="107">
        <f t="shared" si="196"/>
        <v>0.0000000045</v>
      </c>
      <c r="N140" s="107">
        <f>N6*5</f>
        <v>0.00000000475</v>
      </c>
      <c r="O140" s="107"/>
      <c r="P140" s="107"/>
      <c r="Q140" s="107"/>
      <c r="R140" s="107" t="str">
        <f t="shared" ref="R140:V140" si="197">I1</f>
        <v>數學延伸</v>
      </c>
      <c r="S140" s="107">
        <f t="shared" si="197"/>
        <v>0</v>
      </c>
      <c r="T140" s="107">
        <f t="shared" si="197"/>
        <v>0</v>
      </c>
      <c r="U140" s="107">
        <f t="shared" si="197"/>
        <v>0</v>
      </c>
      <c r="V140" s="107">
        <f t="shared" si="197"/>
        <v>0</v>
      </c>
      <c r="W140" s="107"/>
      <c r="X140" s="107"/>
      <c r="Y140" s="107"/>
      <c r="Z140" s="107"/>
      <c r="AA140" s="107"/>
      <c r="AB140" s="107"/>
      <c r="AC140" s="107"/>
      <c r="AD140" s="107"/>
      <c r="AE140" s="107"/>
      <c r="AF140" s="107"/>
      <c r="AG140" s="107"/>
      <c r="AH140" s="107"/>
      <c r="AI140" s="107"/>
      <c r="AJ140" s="107"/>
    </row>
    <row r="141" ht="15.75" customHeight="1">
      <c r="A141" s="107" t="s">
        <v>352</v>
      </c>
      <c r="B141" s="107" t="s">
        <v>353</v>
      </c>
      <c r="C141" s="128" t="s">
        <v>21</v>
      </c>
      <c r="D141" s="107">
        <f t="shared" si="192"/>
        <v>0.00000001975</v>
      </c>
      <c r="E141" s="107">
        <f>E6*7</f>
        <v>0.0000000007</v>
      </c>
      <c r="F141" s="107">
        <f t="shared" ref="F141:G141" si="198">F6*10</f>
        <v>0.000000002</v>
      </c>
      <c r="G141" s="107">
        <f t="shared" si="198"/>
        <v>0.000000003</v>
      </c>
      <c r="H141" s="107">
        <f>H6*7</f>
        <v>0.0000000028</v>
      </c>
      <c r="I141" s="107">
        <f t="shared" ref="I141:N141" si="199">I6*5</f>
        <v>0.0000000025</v>
      </c>
      <c r="J141" s="107">
        <f t="shared" si="199"/>
        <v>0.000000003</v>
      </c>
      <c r="K141" s="107">
        <f t="shared" si="199"/>
        <v>0.0000000035</v>
      </c>
      <c r="L141" s="107">
        <f t="shared" si="199"/>
        <v>0.000000004</v>
      </c>
      <c r="M141" s="107">
        <f t="shared" si="199"/>
        <v>0.0000000045</v>
      </c>
      <c r="N141" s="107">
        <f t="shared" si="199"/>
        <v>0.00000000475</v>
      </c>
      <c r="O141" s="107"/>
      <c r="P141" s="107" t="s">
        <v>354</v>
      </c>
      <c r="Q141" s="107" t="s">
        <v>355</v>
      </c>
      <c r="R141" s="107">
        <f>I8</f>
        <v>0.0000000005</v>
      </c>
      <c r="S141" s="107">
        <f t="shared" ref="S141:V141" si="200">IF(OR(J1="物理",J1="化學",J1="生物",J1="組合科學(物理、化學)",J1="組合科學(生物、化學)",J1="組合科學(物理、生物)"),J14,0)</f>
        <v>0</v>
      </c>
      <c r="T141" s="107">
        <f t="shared" si="200"/>
        <v>0</v>
      </c>
      <c r="U141" s="107">
        <f t="shared" si="200"/>
        <v>0</v>
      </c>
      <c r="V141" s="107">
        <f t="shared" si="200"/>
        <v>0</v>
      </c>
      <c r="W141" s="107"/>
      <c r="X141" s="107"/>
      <c r="Y141" s="107"/>
      <c r="Z141" s="107"/>
      <c r="AA141" s="107"/>
      <c r="AB141" s="107"/>
      <c r="AC141" s="107"/>
      <c r="AD141" s="107"/>
      <c r="AE141" s="107"/>
      <c r="AF141" s="107"/>
      <c r="AG141" s="107"/>
      <c r="AH141" s="107"/>
      <c r="AI141" s="107"/>
      <c r="AJ141" s="107"/>
    </row>
    <row r="142" ht="15.75" customHeight="1">
      <c r="A142" s="107" t="s">
        <v>356</v>
      </c>
      <c r="B142" s="107" t="s">
        <v>357</v>
      </c>
      <c r="C142" s="128" t="s">
        <v>358</v>
      </c>
      <c r="D142" s="107">
        <f>E142+F142+LARGE((G142:N142),1)+LARGE((G142:N142),2)+LARGE((G142:N142),3)</f>
        <v>0.00000001625</v>
      </c>
      <c r="E142" s="107">
        <f t="shared" ref="E142:F142" si="201">E6*10</f>
        <v>0.000000001</v>
      </c>
      <c r="F142" s="107">
        <f t="shared" si="201"/>
        <v>0.000000002</v>
      </c>
      <c r="G142" s="107">
        <f t="shared" ref="G142:H142" si="202">G6*7</f>
        <v>0.0000000021</v>
      </c>
      <c r="H142" s="107">
        <f t="shared" si="202"/>
        <v>0.0000000028</v>
      </c>
      <c r="I142" s="107">
        <f t="shared" ref="I142:N142" si="203">I6*5</f>
        <v>0.0000000025</v>
      </c>
      <c r="J142" s="107">
        <f t="shared" si="203"/>
        <v>0.000000003</v>
      </c>
      <c r="K142" s="107">
        <f t="shared" si="203"/>
        <v>0.0000000035</v>
      </c>
      <c r="L142" s="107">
        <f t="shared" si="203"/>
        <v>0.000000004</v>
      </c>
      <c r="M142" s="107">
        <f t="shared" si="203"/>
        <v>0.0000000045</v>
      </c>
      <c r="N142" s="107">
        <f t="shared" si="203"/>
        <v>0.00000000475</v>
      </c>
      <c r="O142" s="107"/>
      <c r="P142" s="107" t="s">
        <v>359</v>
      </c>
      <c r="Q142" s="107" t="s">
        <v>360</v>
      </c>
      <c r="R142" s="107"/>
      <c r="S142" s="107">
        <f t="shared" ref="S142:V142" si="204">IF(OR(J1="資訊及通訊科技"),J14,0)</f>
        <v>0</v>
      </c>
      <c r="T142" s="107">
        <f t="shared" si="204"/>
        <v>0</v>
      </c>
      <c r="U142" s="107">
        <f t="shared" si="204"/>
        <v>0</v>
      </c>
      <c r="V142" s="107">
        <f t="shared" si="204"/>
        <v>0</v>
      </c>
      <c r="W142" s="107"/>
      <c r="X142" s="107"/>
      <c r="Y142" s="107"/>
      <c r="Z142" s="107"/>
      <c r="AA142" s="107"/>
      <c r="AB142" s="107"/>
      <c r="AC142" s="107"/>
      <c r="AD142" s="107"/>
      <c r="AE142" s="107"/>
      <c r="AF142" s="107"/>
      <c r="AG142" s="107"/>
      <c r="AH142" s="107"/>
      <c r="AI142" s="107"/>
      <c r="AJ142" s="107"/>
    </row>
    <row r="143" ht="15.75" customHeight="1">
      <c r="A143" s="107" t="s">
        <v>361</v>
      </c>
      <c r="B143" s="107" t="s">
        <v>362</v>
      </c>
      <c r="C143" s="128" t="s">
        <v>21</v>
      </c>
      <c r="D143" s="107">
        <f>LARGE((E143:N143),1)+LARGE((E143:N143),2)+LARGE((E143:N143),3)+LARGE((E143:N143),4)+LARGE((E143:N143),5)</f>
        <v>0.00000001975</v>
      </c>
      <c r="E143" s="107">
        <f>E6*7</f>
        <v>0.0000000007</v>
      </c>
      <c r="F143" s="107">
        <f>F6*10</f>
        <v>0.000000002</v>
      </c>
      <c r="G143" s="107">
        <f t="shared" ref="G143:H143" si="205">G6*7</f>
        <v>0.0000000021</v>
      </c>
      <c r="H143" s="107">
        <f t="shared" si="205"/>
        <v>0.0000000028</v>
      </c>
      <c r="I143" s="107">
        <f t="shared" ref="I143:N143" si="206">I6*5</f>
        <v>0.0000000025</v>
      </c>
      <c r="J143" s="107">
        <f t="shared" si="206"/>
        <v>0.000000003</v>
      </c>
      <c r="K143" s="107">
        <f t="shared" si="206"/>
        <v>0.0000000035</v>
      </c>
      <c r="L143" s="107">
        <f t="shared" si="206"/>
        <v>0.000000004</v>
      </c>
      <c r="M143" s="107">
        <f t="shared" si="206"/>
        <v>0.0000000045</v>
      </c>
      <c r="N143" s="107">
        <f t="shared" si="206"/>
        <v>0.00000000475</v>
      </c>
      <c r="O143" s="107"/>
      <c r="P143" s="107" t="s">
        <v>363</v>
      </c>
      <c r="Q143" s="107" t="s">
        <v>364</v>
      </c>
      <c r="R143" s="107"/>
      <c r="S143" s="107">
        <f t="shared" ref="S143:V143" si="207">IF(OR(J1="物理",J1="化學",J1="生物",J1="設計與應用科技",J1="組合科學(物理、化學)",J1="組合科學(生物、化學)",J1="組合科學(物理、生物)"),J14,0)</f>
        <v>0</v>
      </c>
      <c r="T143" s="107">
        <f t="shared" si="207"/>
        <v>0</v>
      </c>
      <c r="U143" s="107">
        <f t="shared" si="207"/>
        <v>0</v>
      </c>
      <c r="V143" s="107">
        <f t="shared" si="207"/>
        <v>0</v>
      </c>
      <c r="W143" s="107"/>
      <c r="X143" s="107"/>
      <c r="Y143" s="107"/>
      <c r="Z143" s="107"/>
      <c r="AA143" s="107"/>
      <c r="AB143" s="107"/>
      <c r="AC143" s="107"/>
      <c r="AD143" s="107"/>
      <c r="AE143" s="107"/>
      <c r="AF143" s="107"/>
      <c r="AG143" s="107"/>
      <c r="AH143" s="107"/>
      <c r="AI143" s="107"/>
      <c r="AJ143" s="107"/>
    </row>
    <row r="144" ht="15.75" customHeight="1">
      <c r="A144" s="107" t="s">
        <v>365</v>
      </c>
      <c r="B144" s="107" t="s">
        <v>366</v>
      </c>
      <c r="C144" s="128" t="s">
        <v>358</v>
      </c>
      <c r="D144" s="107">
        <f>E144+F144+LARGE((G144:N144),1)+LARGE((G144:N144),2)+LARGE((G144:N144),3)</f>
        <v>0.00000001625</v>
      </c>
      <c r="E144" s="107">
        <f t="shared" ref="E144:F144" si="208">E6*10</f>
        <v>0.000000001</v>
      </c>
      <c r="F144" s="107">
        <f t="shared" si="208"/>
        <v>0.000000002</v>
      </c>
      <c r="G144" s="107">
        <f t="shared" ref="G144:H144" si="209">G6*7</f>
        <v>0.0000000021</v>
      </c>
      <c r="H144" s="107">
        <f t="shared" si="209"/>
        <v>0.0000000028</v>
      </c>
      <c r="I144" s="107">
        <f t="shared" ref="I144:N144" si="210">I6*5</f>
        <v>0.0000000025</v>
      </c>
      <c r="J144" s="107">
        <f t="shared" si="210"/>
        <v>0.000000003</v>
      </c>
      <c r="K144" s="107">
        <f t="shared" si="210"/>
        <v>0.0000000035</v>
      </c>
      <c r="L144" s="107">
        <f t="shared" si="210"/>
        <v>0.000000004</v>
      </c>
      <c r="M144" s="107">
        <f t="shared" si="210"/>
        <v>0.0000000045</v>
      </c>
      <c r="N144" s="107">
        <f t="shared" si="210"/>
        <v>0.00000000475</v>
      </c>
      <c r="O144" s="107"/>
      <c r="P144" s="107"/>
      <c r="Q144" s="107" t="s">
        <v>367</v>
      </c>
      <c r="R144" s="107">
        <f>I8</f>
        <v>0.0000000005</v>
      </c>
      <c r="S144" s="107">
        <f t="shared" ref="S144:V144" si="211">IF(OR(J1="物理",J1="化學",J1="經濟"),J14,0)</f>
        <v>0</v>
      </c>
      <c r="T144" s="107">
        <f t="shared" si="211"/>
        <v>0</v>
      </c>
      <c r="U144" s="107">
        <f t="shared" si="211"/>
        <v>0</v>
      </c>
      <c r="V144" s="107">
        <f t="shared" si="211"/>
        <v>0</v>
      </c>
      <c r="W144" s="107"/>
      <c r="X144" s="107"/>
      <c r="Y144" s="107"/>
      <c r="Z144" s="107"/>
      <c r="AA144" s="107"/>
      <c r="AB144" s="107"/>
      <c r="AC144" s="107"/>
      <c r="AD144" s="107"/>
      <c r="AE144" s="107"/>
      <c r="AF144" s="107"/>
      <c r="AG144" s="107"/>
      <c r="AH144" s="107"/>
      <c r="AI144" s="107"/>
      <c r="AJ144" s="107"/>
    </row>
    <row r="145" ht="15.75" customHeight="1">
      <c r="A145" s="107" t="s">
        <v>368</v>
      </c>
      <c r="B145" s="107" t="s">
        <v>369</v>
      </c>
      <c r="C145" s="128" t="s">
        <v>21</v>
      </c>
      <c r="D145" s="107">
        <f t="shared" ref="D145:D152" si="214">LARGE((E145:N145),1)+LARGE((E145:N145),2)+LARGE((E145:N145),3)+LARGE((E145:N145),4)+LARGE((E145:N145),5)</f>
        <v>0.00000001975</v>
      </c>
      <c r="E145" s="107">
        <f>E6*7</f>
        <v>0.0000000007</v>
      </c>
      <c r="F145" s="107">
        <f t="shared" ref="F145:G145" si="212">F6*10</f>
        <v>0.000000002</v>
      </c>
      <c r="G145" s="107">
        <f t="shared" si="212"/>
        <v>0.000000003</v>
      </c>
      <c r="H145" s="107">
        <f>H6*7</f>
        <v>0.0000000028</v>
      </c>
      <c r="I145" s="107">
        <f t="shared" ref="I145:N145" si="213">I6*5</f>
        <v>0.0000000025</v>
      </c>
      <c r="J145" s="107">
        <f t="shared" si="213"/>
        <v>0.000000003</v>
      </c>
      <c r="K145" s="107">
        <f t="shared" si="213"/>
        <v>0.0000000035</v>
      </c>
      <c r="L145" s="107">
        <f t="shared" si="213"/>
        <v>0.000000004</v>
      </c>
      <c r="M145" s="107">
        <f t="shared" si="213"/>
        <v>0.0000000045</v>
      </c>
      <c r="N145" s="107">
        <f t="shared" si="213"/>
        <v>0.00000000475</v>
      </c>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row>
    <row r="146" ht="15.75" customHeight="1">
      <c r="A146" s="107" t="s">
        <v>370</v>
      </c>
      <c r="B146" s="107" t="s">
        <v>371</v>
      </c>
      <c r="C146" s="128" t="s">
        <v>21</v>
      </c>
      <c r="D146" s="107">
        <f t="shared" si="214"/>
        <v>0.00000002175</v>
      </c>
      <c r="E146" s="107">
        <f>E6*7</f>
        <v>0.0000000007</v>
      </c>
      <c r="F146" s="107">
        <f t="shared" ref="F146:G146" si="215">F6*10</f>
        <v>0.000000002</v>
      </c>
      <c r="G146" s="107">
        <f t="shared" si="215"/>
        <v>0.000000003</v>
      </c>
      <c r="H146" s="107">
        <f>H6*7</f>
        <v>0.0000000028</v>
      </c>
      <c r="I146" s="107">
        <f>I6*10</f>
        <v>0.000000005</v>
      </c>
      <c r="J146" s="107">
        <f t="shared" ref="J146:M146" si="216">IF(OR(J1="物理",J1="化學",J1="生物",J1="組合科學(物理、化學)",J1="組合科學(生物、化學)",J1="組合科學(物理、生物)", J1="經濟",J1="資訊及通訊科技",J1="企業、會計與財務概論"),J6*10,J6*5)</f>
        <v>0.000000003</v>
      </c>
      <c r="K146" s="107">
        <f t="shared" si="216"/>
        <v>0.0000000035</v>
      </c>
      <c r="L146" s="107">
        <f t="shared" si="216"/>
        <v>0.000000004</v>
      </c>
      <c r="M146" s="107">
        <f t="shared" si="216"/>
        <v>0.0000000045</v>
      </c>
      <c r="N146" s="107">
        <f>N6*5</f>
        <v>0.00000000475</v>
      </c>
      <c r="O146" s="107"/>
      <c r="P146" s="107"/>
      <c r="Q146" s="107" t="s">
        <v>372</v>
      </c>
      <c r="R146" s="107"/>
      <c r="S146" s="107">
        <f t="shared" ref="S146:V146" si="217">IF(OR(J1="化學",J1="生物"),J14,0)</f>
        <v>0</v>
      </c>
      <c r="T146" s="107">
        <f t="shared" si="217"/>
        <v>0</v>
      </c>
      <c r="U146" s="107">
        <f t="shared" si="217"/>
        <v>0</v>
      </c>
      <c r="V146" s="107">
        <f t="shared" si="217"/>
        <v>0</v>
      </c>
      <c r="W146" s="107"/>
      <c r="X146" s="107"/>
      <c r="Y146" s="107"/>
      <c r="Z146" s="107"/>
      <c r="AA146" s="107"/>
      <c r="AB146" s="107"/>
      <c r="AC146" s="107"/>
      <c r="AD146" s="107"/>
      <c r="AE146" s="107"/>
      <c r="AF146" s="107"/>
      <c r="AG146" s="107"/>
      <c r="AH146" s="107"/>
      <c r="AI146" s="107"/>
      <c r="AJ146" s="107"/>
    </row>
    <row r="147" ht="15.75" customHeight="1">
      <c r="A147" s="107" t="s">
        <v>373</v>
      </c>
      <c r="B147" s="107" t="s">
        <v>374</v>
      </c>
      <c r="C147" s="128" t="s">
        <v>21</v>
      </c>
      <c r="D147" s="107">
        <f t="shared" si="214"/>
        <v>0.00000001975</v>
      </c>
      <c r="E147" s="107">
        <f>E6*7</f>
        <v>0.0000000007</v>
      </c>
      <c r="F147" s="107">
        <f>F6*10</f>
        <v>0.000000002</v>
      </c>
      <c r="G147" s="107">
        <f t="shared" ref="G147:H147" si="218">G6*7</f>
        <v>0.0000000021</v>
      </c>
      <c r="H147" s="107">
        <f t="shared" si="218"/>
        <v>0.0000000028</v>
      </c>
      <c r="I147" s="107">
        <f t="shared" ref="I147:N147" si="219">I6*5</f>
        <v>0.0000000025</v>
      </c>
      <c r="J147" s="107">
        <f t="shared" si="219"/>
        <v>0.000000003</v>
      </c>
      <c r="K147" s="107">
        <f t="shared" si="219"/>
        <v>0.0000000035</v>
      </c>
      <c r="L147" s="107">
        <f t="shared" si="219"/>
        <v>0.000000004</v>
      </c>
      <c r="M147" s="107">
        <f t="shared" si="219"/>
        <v>0.0000000045</v>
      </c>
      <c r="N147" s="107">
        <f t="shared" si="219"/>
        <v>0.00000000475</v>
      </c>
      <c r="O147" s="107"/>
      <c r="P147" s="107"/>
      <c r="Q147" s="107" t="s">
        <v>375</v>
      </c>
      <c r="R147" s="107">
        <f>I8</f>
        <v>0.0000000005</v>
      </c>
      <c r="S147" s="107">
        <f t="shared" ref="S147:V147" si="220">IF(OR(J1="物理",J1="化學",J1="生物",J1="經濟",J1="組合科學(物理、化學)",J1="組合科學(生物、化學)",J1="組合科學(物理、生物)"),J14,0)</f>
        <v>0</v>
      </c>
      <c r="T147" s="107">
        <f t="shared" si="220"/>
        <v>0</v>
      </c>
      <c r="U147" s="107">
        <f t="shared" si="220"/>
        <v>0</v>
      </c>
      <c r="V147" s="107">
        <f t="shared" si="220"/>
        <v>0</v>
      </c>
      <c r="W147" s="107"/>
      <c r="X147" s="107"/>
      <c r="Y147" s="107"/>
      <c r="Z147" s="107"/>
      <c r="AA147" s="107"/>
      <c r="AB147" s="107"/>
      <c r="AC147" s="107"/>
      <c r="AD147" s="107"/>
      <c r="AE147" s="107"/>
      <c r="AF147" s="107"/>
      <c r="AG147" s="107"/>
      <c r="AH147" s="107"/>
      <c r="AI147" s="107"/>
      <c r="AJ147" s="107"/>
    </row>
    <row r="148" ht="15.75" customHeight="1">
      <c r="A148" s="107" t="s">
        <v>376</v>
      </c>
      <c r="B148" s="107" t="s">
        <v>377</v>
      </c>
      <c r="C148" s="128" t="s">
        <v>21</v>
      </c>
      <c r="D148" s="107">
        <f t="shared" si="214"/>
        <v>0.00000001975</v>
      </c>
      <c r="E148" s="107">
        <f>E6*7</f>
        <v>0.0000000007</v>
      </c>
      <c r="F148" s="107">
        <f t="shared" ref="F148:G148" si="221">F6*10</f>
        <v>0.000000002</v>
      </c>
      <c r="G148" s="107">
        <f t="shared" si="221"/>
        <v>0.000000003</v>
      </c>
      <c r="H148" s="107">
        <f>H6*7</f>
        <v>0.0000000028</v>
      </c>
      <c r="I148" s="107">
        <f t="shared" ref="I148:N148" si="222">I6*5</f>
        <v>0.0000000025</v>
      </c>
      <c r="J148" s="107">
        <f t="shared" si="222"/>
        <v>0.000000003</v>
      </c>
      <c r="K148" s="107">
        <f t="shared" si="222"/>
        <v>0.0000000035</v>
      </c>
      <c r="L148" s="107">
        <f t="shared" si="222"/>
        <v>0.000000004</v>
      </c>
      <c r="M148" s="107">
        <f t="shared" si="222"/>
        <v>0.0000000045</v>
      </c>
      <c r="N148" s="107">
        <f t="shared" si="222"/>
        <v>0.00000000475</v>
      </c>
      <c r="O148" s="107"/>
      <c r="P148" s="107"/>
      <c r="Q148" s="107" t="s">
        <v>378</v>
      </c>
      <c r="R148" s="107">
        <f>I8</f>
        <v>0.0000000005</v>
      </c>
      <c r="S148" s="107">
        <f t="shared" ref="S148:V148" si="223">IF(OR(J1="物理",J1="化學",J1="生物",J1="組合科學(物理、化學)",J1="組合科學(生物、化學)",J1="組合科學(物理、生物)",J1="綜合科學"),J14,0)</f>
        <v>0</v>
      </c>
      <c r="T148" s="107">
        <f t="shared" si="223"/>
        <v>0</v>
      </c>
      <c r="U148" s="107">
        <f t="shared" si="223"/>
        <v>0</v>
      </c>
      <c r="V148" s="107">
        <f t="shared" si="223"/>
        <v>0</v>
      </c>
      <c r="W148" s="107"/>
      <c r="X148" s="107"/>
      <c r="Y148" s="107"/>
      <c r="Z148" s="107"/>
      <c r="AA148" s="107"/>
      <c r="AB148" s="107"/>
      <c r="AC148" s="107"/>
      <c r="AD148" s="107"/>
      <c r="AE148" s="107"/>
      <c r="AF148" s="107"/>
      <c r="AG148" s="107"/>
      <c r="AH148" s="107"/>
      <c r="AI148" s="107"/>
      <c r="AJ148" s="107"/>
    </row>
    <row r="149" ht="15.75" customHeight="1">
      <c r="A149" s="107" t="s">
        <v>379</v>
      </c>
      <c r="B149" s="107" t="s">
        <v>380</v>
      </c>
      <c r="C149" s="128" t="s">
        <v>21</v>
      </c>
      <c r="D149" s="107">
        <f t="shared" si="214"/>
        <v>0.00000002025</v>
      </c>
      <c r="E149" s="107">
        <f>E6*7</f>
        <v>0.0000000007</v>
      </c>
      <c r="F149" s="107">
        <f t="shared" ref="F149:G149" si="224">F6*10</f>
        <v>0.000000002</v>
      </c>
      <c r="G149" s="107">
        <f t="shared" si="224"/>
        <v>0.000000003</v>
      </c>
      <c r="H149" s="107">
        <f t="shared" ref="H149:I149" si="225">H6*7</f>
        <v>0.0000000028</v>
      </c>
      <c r="I149" s="107">
        <f t="shared" si="225"/>
        <v>0.0000000035</v>
      </c>
      <c r="J149" s="107">
        <f t="shared" ref="J149:N149" si="226">J6*5</f>
        <v>0.000000003</v>
      </c>
      <c r="K149" s="107">
        <f t="shared" si="226"/>
        <v>0.0000000035</v>
      </c>
      <c r="L149" s="107">
        <f t="shared" si="226"/>
        <v>0.000000004</v>
      </c>
      <c r="M149" s="107">
        <f t="shared" si="226"/>
        <v>0.0000000045</v>
      </c>
      <c r="N149" s="107">
        <f t="shared" si="226"/>
        <v>0.00000000475</v>
      </c>
      <c r="O149" s="107"/>
      <c r="P149" s="107"/>
      <c r="Q149" s="107" t="s">
        <v>381</v>
      </c>
      <c r="R149" s="107"/>
      <c r="S149" s="107">
        <f t="shared" ref="S149:V149" si="227">IF(OR(J1="物理",J1="化學",J1="組合科學(物理、化學)"),J14,0)</f>
        <v>0</v>
      </c>
      <c r="T149" s="107">
        <f t="shared" si="227"/>
        <v>0</v>
      </c>
      <c r="U149" s="107">
        <f t="shared" si="227"/>
        <v>0</v>
      </c>
      <c r="V149" s="107">
        <f t="shared" si="227"/>
        <v>0</v>
      </c>
      <c r="W149" s="107"/>
      <c r="X149" s="107"/>
      <c r="Y149" s="107"/>
      <c r="Z149" s="107"/>
      <c r="AA149" s="107"/>
      <c r="AB149" s="107"/>
      <c r="AC149" s="107"/>
      <c r="AD149" s="107"/>
      <c r="AE149" s="107"/>
      <c r="AF149" s="107"/>
      <c r="AG149" s="107"/>
      <c r="AH149" s="107"/>
      <c r="AI149" s="107"/>
      <c r="AJ149" s="107"/>
    </row>
    <row r="150" ht="15.75" customHeight="1">
      <c r="A150" s="107" t="s">
        <v>382</v>
      </c>
      <c r="B150" s="107" t="s">
        <v>383</v>
      </c>
      <c r="C150" s="128" t="s">
        <v>21</v>
      </c>
      <c r="D150" s="107">
        <f t="shared" si="214"/>
        <v>0.00000001975</v>
      </c>
      <c r="E150" s="107">
        <f>E6*7</f>
        <v>0.0000000007</v>
      </c>
      <c r="F150" s="107">
        <f t="shared" ref="F150:G150" si="228">F6*10</f>
        <v>0.000000002</v>
      </c>
      <c r="G150" s="107">
        <f t="shared" si="228"/>
        <v>0.000000003</v>
      </c>
      <c r="H150" s="107">
        <f>H6*7</f>
        <v>0.0000000028</v>
      </c>
      <c r="I150" s="107">
        <f>I6*5</f>
        <v>0.0000000025</v>
      </c>
      <c r="J150" s="107">
        <f t="shared" ref="J150:M150" si="229">IF(OR(J1="生物",J1="組合科學(生物、化學)",J1="組合科學(物理、生物)"),J6*10,J6*5)</f>
        <v>0.000000003</v>
      </c>
      <c r="K150" s="107">
        <f t="shared" si="229"/>
        <v>0.0000000035</v>
      </c>
      <c r="L150" s="107">
        <f t="shared" si="229"/>
        <v>0.000000004</v>
      </c>
      <c r="M150" s="107">
        <f t="shared" si="229"/>
        <v>0.0000000045</v>
      </c>
      <c r="N150" s="107">
        <f>N6*5</f>
        <v>0.00000000475</v>
      </c>
      <c r="O150" s="107"/>
      <c r="P150" s="107"/>
      <c r="Q150" s="107" t="s">
        <v>195</v>
      </c>
      <c r="R150" s="107">
        <f>I4</f>
        <v>0.0000000005</v>
      </c>
      <c r="S150" s="107">
        <f t="shared" ref="S150:V150" si="230">IF(OR(J1="物理",J1="化學",J1="生物",J1="組合科學(物理、化學)",J1="組合科學(生物、化學)",J1="組合科學(物理、生物)",J1="資訊及通訊科技"),J4,0)</f>
        <v>0</v>
      </c>
      <c r="T150" s="107">
        <f t="shared" si="230"/>
        <v>0</v>
      </c>
      <c r="U150" s="107">
        <f t="shared" si="230"/>
        <v>0</v>
      </c>
      <c r="V150" s="107">
        <f t="shared" si="230"/>
        <v>0</v>
      </c>
      <c r="W150" s="107"/>
      <c r="X150" s="107"/>
      <c r="Y150" s="107"/>
      <c r="Z150" s="107"/>
      <c r="AA150" s="107"/>
      <c r="AB150" s="107"/>
      <c r="AC150" s="107"/>
      <c r="AD150" s="107"/>
      <c r="AE150" s="107"/>
      <c r="AF150" s="107"/>
      <c r="AG150" s="107"/>
      <c r="AH150" s="107"/>
      <c r="AI150" s="107"/>
      <c r="AJ150" s="107"/>
    </row>
    <row r="151" ht="15.75" customHeight="1">
      <c r="A151" s="107" t="s">
        <v>384</v>
      </c>
      <c r="B151" s="107" t="s">
        <v>385</v>
      </c>
      <c r="C151" s="128" t="s">
        <v>21</v>
      </c>
      <c r="D151" s="107">
        <f t="shared" si="214"/>
        <v>0.00000002075</v>
      </c>
      <c r="E151" s="107">
        <f>E6*7</f>
        <v>0.0000000007</v>
      </c>
      <c r="F151" s="107">
        <f t="shared" ref="F151:G151" si="231">F6*10</f>
        <v>0.000000002</v>
      </c>
      <c r="G151" s="107">
        <f t="shared" si="231"/>
        <v>0.000000003</v>
      </c>
      <c r="H151" s="107">
        <f>H6*7</f>
        <v>0.0000000028</v>
      </c>
      <c r="I151" s="107">
        <f>I6*10</f>
        <v>0.000000005</v>
      </c>
      <c r="J151" s="107">
        <f t="shared" ref="J151:K151" si="232">IF(OR(J1="物理",J1="組合科學(物理、化學)",J1="組合科學(物理、生物)"),J6*10,J6*5)</f>
        <v>0.000000003</v>
      </c>
      <c r="K151" s="107">
        <f t="shared" si="232"/>
        <v>0.0000000035</v>
      </c>
      <c r="L151" s="107">
        <f>L74</f>
        <v>0.0000000008</v>
      </c>
      <c r="M151" s="107">
        <f>IF(OR(M1="物理",M1="組合科學(物理、化學)",M1="組合科學(物理、生物)"),M6*10,M6*5)</f>
        <v>0.0000000045</v>
      </c>
      <c r="N151" s="107">
        <f>N6*5</f>
        <v>0.00000000475</v>
      </c>
      <c r="O151" s="107"/>
      <c r="P151" s="107"/>
      <c r="Q151" s="107" t="s">
        <v>196</v>
      </c>
      <c r="R151" s="107">
        <f>I4</f>
        <v>0.0000000005</v>
      </c>
      <c r="S151" s="107">
        <f t="shared" ref="S151:V151" si="233">IF(OR(J1="物理",J1="化學",J1="生物",J1="組合科學(物理、化學)",J1="組合科學(生物、化學)",J1="組合科學(物理、生物)",J1="資訊及通訊科技",J1="綜合科學"),J4,0)</f>
        <v>0</v>
      </c>
      <c r="T151" s="107">
        <f t="shared" si="233"/>
        <v>0</v>
      </c>
      <c r="U151" s="107">
        <f t="shared" si="233"/>
        <v>0</v>
      </c>
      <c r="V151" s="107">
        <f t="shared" si="233"/>
        <v>0</v>
      </c>
      <c r="W151" s="107"/>
      <c r="X151" s="107"/>
      <c r="Y151" s="107"/>
      <c r="Z151" s="107"/>
      <c r="AA151" s="107"/>
      <c r="AB151" s="107"/>
      <c r="AC151" s="107"/>
      <c r="AD151" s="107"/>
      <c r="AE151" s="107"/>
      <c r="AF151" s="107"/>
      <c r="AG151" s="107"/>
      <c r="AH151" s="107"/>
      <c r="AI151" s="107"/>
      <c r="AJ151" s="107"/>
    </row>
    <row r="152" ht="15.75" customHeight="1">
      <c r="A152" s="107" t="s">
        <v>386</v>
      </c>
      <c r="B152" s="107" t="s">
        <v>387</v>
      </c>
      <c r="C152" s="128" t="s">
        <v>21</v>
      </c>
      <c r="D152" s="107">
        <f t="shared" si="214"/>
        <v>0.00000001975</v>
      </c>
      <c r="E152" s="107">
        <f>E6*7</f>
        <v>0.0000000007</v>
      </c>
      <c r="F152" s="107">
        <f t="shared" ref="F152:G152" si="234">F6*10</f>
        <v>0.000000002</v>
      </c>
      <c r="G152" s="107">
        <f t="shared" si="234"/>
        <v>0.000000003</v>
      </c>
      <c r="H152" s="107">
        <f>H6*7</f>
        <v>0.0000000028</v>
      </c>
      <c r="I152" s="107">
        <f>I6*5</f>
        <v>0.0000000025</v>
      </c>
      <c r="J152" s="107">
        <f t="shared" ref="J152:M152" si="235">IF(OR(J1="化學",J1="組合科學(物理、化學)",J1="組合科學(生物、化學)"),J6*10,J6*5)</f>
        <v>0.000000003</v>
      </c>
      <c r="K152" s="107">
        <f t="shared" si="235"/>
        <v>0.0000000035</v>
      </c>
      <c r="L152" s="107">
        <f t="shared" si="235"/>
        <v>0.000000004</v>
      </c>
      <c r="M152" s="107">
        <f t="shared" si="235"/>
        <v>0.0000000045</v>
      </c>
      <c r="N152" s="107">
        <f>N6*5</f>
        <v>0.00000000475</v>
      </c>
      <c r="O152" s="107"/>
      <c r="P152" s="107"/>
      <c r="Q152" s="107" t="s">
        <v>197</v>
      </c>
      <c r="R152" s="107"/>
      <c r="S152" s="107">
        <f t="shared" ref="S152:V152" si="236">IF(OR(J1="物理",J1="化學",J1="設計與應用科技",J1="組合科學(物理、化學)",J1="組合科學(生物、化學)",J1="組合科學(物理、生物)"),J4,0)</f>
        <v>0</v>
      </c>
      <c r="T152" s="107">
        <f t="shared" si="236"/>
        <v>0</v>
      </c>
      <c r="U152" s="107">
        <f t="shared" si="236"/>
        <v>0</v>
      </c>
      <c r="V152" s="107">
        <f t="shared" si="236"/>
        <v>0</v>
      </c>
      <c r="W152" s="107"/>
      <c r="X152" s="107"/>
      <c r="Y152" s="107"/>
      <c r="Z152" s="107"/>
      <c r="AA152" s="107"/>
      <c r="AB152" s="107"/>
      <c r="AC152" s="107"/>
      <c r="AD152" s="107"/>
      <c r="AE152" s="107"/>
      <c r="AF152" s="107"/>
      <c r="AG152" s="107"/>
      <c r="AH152" s="107"/>
      <c r="AI152" s="107"/>
      <c r="AJ152" s="107"/>
    </row>
    <row r="153" ht="15.75" customHeight="1">
      <c r="A153" s="107" t="s">
        <v>388</v>
      </c>
      <c r="B153" s="107" t="s">
        <v>389</v>
      </c>
      <c r="C153" s="128" t="s">
        <v>358</v>
      </c>
      <c r="D153" s="107">
        <f t="shared" ref="D153:D162" si="239">E153+F153+LARGE((G153:N153),1)+LARGE((G153:N153),2)+LARGE((G153:N153),3)</f>
        <v>0.00000000295</v>
      </c>
      <c r="E153" s="107">
        <f t="shared" ref="E153:N153" si="237">E6</f>
        <v>0.0000000001</v>
      </c>
      <c r="F153" s="107">
        <f t="shared" si="237"/>
        <v>0.0000000002</v>
      </c>
      <c r="G153" s="107">
        <f t="shared" si="237"/>
        <v>0.0000000003</v>
      </c>
      <c r="H153" s="107">
        <f t="shared" si="237"/>
        <v>0.0000000004</v>
      </c>
      <c r="I153" s="107">
        <f t="shared" si="237"/>
        <v>0.0000000005</v>
      </c>
      <c r="J153" s="107">
        <f t="shared" si="237"/>
        <v>0.0000000006</v>
      </c>
      <c r="K153" s="107">
        <f t="shared" si="237"/>
        <v>0.0000000007</v>
      </c>
      <c r="L153" s="107">
        <f t="shared" si="237"/>
        <v>0.0000000008</v>
      </c>
      <c r="M153" s="107">
        <f t="shared" si="237"/>
        <v>0.0000000009</v>
      </c>
      <c r="N153" s="107">
        <f t="shared" si="237"/>
        <v>0.00000000095</v>
      </c>
      <c r="O153" s="107"/>
      <c r="P153" s="107"/>
      <c r="Q153" s="107" t="s">
        <v>390</v>
      </c>
      <c r="R153" s="107"/>
      <c r="S153" s="107">
        <f t="shared" ref="S153:V153" si="238">IF(OR(J1="物理",J1="化學",J1="設計與應用科技",J1="組合科學(物理、化學)",J1="組合科學(物理、生物)"),J4,0)</f>
        <v>0</v>
      </c>
      <c r="T153" s="107">
        <f t="shared" si="238"/>
        <v>0</v>
      </c>
      <c r="U153" s="107">
        <f t="shared" si="238"/>
        <v>0</v>
      </c>
      <c r="V153" s="107">
        <f t="shared" si="238"/>
        <v>0</v>
      </c>
      <c r="W153" s="107"/>
      <c r="X153" s="107"/>
      <c r="Y153" s="107"/>
      <c r="Z153" s="107"/>
      <c r="AA153" s="107"/>
      <c r="AB153" s="107"/>
      <c r="AC153" s="107"/>
      <c r="AD153" s="107"/>
      <c r="AE153" s="107"/>
      <c r="AF153" s="107"/>
      <c r="AG153" s="107"/>
      <c r="AH153" s="107"/>
      <c r="AI153" s="107"/>
      <c r="AJ153" s="107"/>
    </row>
    <row r="154" ht="15.75" customHeight="1">
      <c r="A154" s="107" t="s">
        <v>391</v>
      </c>
      <c r="B154" s="107" t="s">
        <v>392</v>
      </c>
      <c r="C154" s="128" t="s">
        <v>358</v>
      </c>
      <c r="D154" s="107">
        <f t="shared" si="239"/>
        <v>0.00000000295</v>
      </c>
      <c r="E154" s="107">
        <f t="shared" ref="E154:N154" si="240">E6</f>
        <v>0.0000000001</v>
      </c>
      <c r="F154" s="107">
        <f t="shared" si="240"/>
        <v>0.0000000002</v>
      </c>
      <c r="G154" s="107">
        <f t="shared" si="240"/>
        <v>0.0000000003</v>
      </c>
      <c r="H154" s="107">
        <f t="shared" si="240"/>
        <v>0.0000000004</v>
      </c>
      <c r="I154" s="107">
        <f t="shared" si="240"/>
        <v>0.0000000005</v>
      </c>
      <c r="J154" s="107">
        <f t="shared" si="240"/>
        <v>0.0000000006</v>
      </c>
      <c r="K154" s="107">
        <f t="shared" si="240"/>
        <v>0.0000000007</v>
      </c>
      <c r="L154" s="107">
        <f t="shared" si="240"/>
        <v>0.0000000008</v>
      </c>
      <c r="M154" s="107">
        <f t="shared" si="240"/>
        <v>0.0000000009</v>
      </c>
      <c r="N154" s="107">
        <f t="shared" si="240"/>
        <v>0.00000000095</v>
      </c>
      <c r="O154" s="107"/>
      <c r="P154" s="107"/>
      <c r="Q154" s="107" t="s">
        <v>393</v>
      </c>
      <c r="R154" s="107"/>
      <c r="S154" s="107">
        <f t="shared" ref="S154:V154" si="241">IF(OR(J1="物理",J1="綜合科學",J1="組合科學(物理、化學)",J1="組合科學(物理、生物)"),J4,0)</f>
        <v>0</v>
      </c>
      <c r="T154" s="107">
        <f t="shared" si="241"/>
        <v>0</v>
      </c>
      <c r="U154" s="107">
        <f t="shared" si="241"/>
        <v>0</v>
      </c>
      <c r="V154" s="107">
        <f t="shared" si="241"/>
        <v>0</v>
      </c>
      <c r="W154" s="107"/>
      <c r="X154" s="107"/>
      <c r="Y154" s="107"/>
      <c r="Z154" s="107"/>
      <c r="AA154" s="107"/>
      <c r="AB154" s="107"/>
      <c r="AC154" s="107"/>
      <c r="AD154" s="107"/>
      <c r="AE154" s="107"/>
      <c r="AF154" s="107"/>
      <c r="AG154" s="107"/>
      <c r="AH154" s="107"/>
      <c r="AI154" s="107"/>
      <c r="AJ154" s="107"/>
    </row>
    <row r="155" ht="15.75" customHeight="1">
      <c r="A155" s="107" t="s">
        <v>394</v>
      </c>
      <c r="B155" s="107" t="s">
        <v>395</v>
      </c>
      <c r="C155" s="128" t="s">
        <v>358</v>
      </c>
      <c r="D155" s="107">
        <f t="shared" si="239"/>
        <v>0.00000000295</v>
      </c>
      <c r="E155" s="107">
        <f t="shared" ref="E155:N155" si="242">E6</f>
        <v>0.0000000001</v>
      </c>
      <c r="F155" s="107">
        <f t="shared" si="242"/>
        <v>0.0000000002</v>
      </c>
      <c r="G155" s="107">
        <f t="shared" si="242"/>
        <v>0.0000000003</v>
      </c>
      <c r="H155" s="107">
        <f t="shared" si="242"/>
        <v>0.0000000004</v>
      </c>
      <c r="I155" s="107">
        <f t="shared" si="242"/>
        <v>0.0000000005</v>
      </c>
      <c r="J155" s="107">
        <f t="shared" si="242"/>
        <v>0.0000000006</v>
      </c>
      <c r="K155" s="107">
        <f t="shared" si="242"/>
        <v>0.0000000007</v>
      </c>
      <c r="L155" s="107">
        <f t="shared" si="242"/>
        <v>0.0000000008</v>
      </c>
      <c r="M155" s="107">
        <f t="shared" si="242"/>
        <v>0.0000000009</v>
      </c>
      <c r="N155" s="107">
        <f t="shared" si="242"/>
        <v>0.00000000095</v>
      </c>
      <c r="O155" s="107"/>
      <c r="P155" s="107"/>
      <c r="Q155" s="107" t="s">
        <v>200</v>
      </c>
      <c r="R155" s="107"/>
      <c r="S155" s="107">
        <f t="shared" ref="S155:V155" si="243">IF(OR(J1="化學",J1="組合科學(物理、化學)",J1="組合科學(生物、化學)"),J4,0)</f>
        <v>0</v>
      </c>
      <c r="T155" s="107">
        <f t="shared" si="243"/>
        <v>0</v>
      </c>
      <c r="U155" s="107">
        <f t="shared" si="243"/>
        <v>0</v>
      </c>
      <c r="V155" s="107">
        <f t="shared" si="243"/>
        <v>0</v>
      </c>
      <c r="W155" s="107"/>
      <c r="X155" s="107"/>
      <c r="Y155" s="107"/>
      <c r="Z155" s="107"/>
      <c r="AA155" s="107"/>
      <c r="AB155" s="107"/>
      <c r="AC155" s="107"/>
      <c r="AD155" s="107"/>
      <c r="AE155" s="107"/>
      <c r="AF155" s="107"/>
      <c r="AG155" s="107"/>
      <c r="AH155" s="107"/>
      <c r="AI155" s="107"/>
      <c r="AJ155" s="107"/>
    </row>
    <row r="156" ht="15.75" customHeight="1">
      <c r="A156" s="107" t="s">
        <v>396</v>
      </c>
      <c r="B156" s="107" t="s">
        <v>397</v>
      </c>
      <c r="C156" s="128" t="s">
        <v>358</v>
      </c>
      <c r="D156" s="107">
        <f t="shared" si="239"/>
        <v>0.00000000295</v>
      </c>
      <c r="E156" s="107">
        <f t="shared" ref="E156:N156" si="244">E6</f>
        <v>0.0000000001</v>
      </c>
      <c r="F156" s="107">
        <f t="shared" si="244"/>
        <v>0.0000000002</v>
      </c>
      <c r="G156" s="107">
        <f t="shared" si="244"/>
        <v>0.0000000003</v>
      </c>
      <c r="H156" s="107">
        <f t="shared" si="244"/>
        <v>0.0000000004</v>
      </c>
      <c r="I156" s="107">
        <f t="shared" si="244"/>
        <v>0.0000000005</v>
      </c>
      <c r="J156" s="107">
        <f t="shared" si="244"/>
        <v>0.0000000006</v>
      </c>
      <c r="K156" s="107">
        <f t="shared" si="244"/>
        <v>0.0000000007</v>
      </c>
      <c r="L156" s="107">
        <f t="shared" si="244"/>
        <v>0.0000000008</v>
      </c>
      <c r="M156" s="107">
        <f t="shared" si="244"/>
        <v>0.0000000009</v>
      </c>
      <c r="N156" s="107">
        <f t="shared" si="244"/>
        <v>0.00000000095</v>
      </c>
      <c r="O156" s="107"/>
      <c r="P156" s="107" t="s">
        <v>201</v>
      </c>
      <c r="Q156" s="107" t="s">
        <v>202</v>
      </c>
      <c r="R156" s="107">
        <f>I4</f>
        <v>0.0000000005</v>
      </c>
      <c r="S156" s="107">
        <f t="shared" ref="S156:V156" si="245">IF(OR(J1="物理",J1="化學",J1="生物",J1="資訊及通訊科技",J1="科技與生活",J1="綜合科學",J1="組合科學(物理、化學)",J1="組合科學(生物、化學)",J1="組合科學(物理、生物)",J1="企業、會計與財務概論"),J4,0)</f>
        <v>0</v>
      </c>
      <c r="T156" s="107">
        <f t="shared" si="245"/>
        <v>0</v>
      </c>
      <c r="U156" s="107">
        <f t="shared" si="245"/>
        <v>0</v>
      </c>
      <c r="V156" s="107">
        <f t="shared" si="245"/>
        <v>0</v>
      </c>
      <c r="W156" s="107"/>
      <c r="X156" s="107"/>
      <c r="Y156" s="107"/>
      <c r="Z156" s="107"/>
      <c r="AA156" s="107"/>
      <c r="AB156" s="107"/>
      <c r="AC156" s="107"/>
      <c r="AD156" s="107"/>
      <c r="AE156" s="107"/>
      <c r="AF156" s="107"/>
      <c r="AG156" s="107"/>
      <c r="AH156" s="107"/>
      <c r="AI156" s="107"/>
      <c r="AJ156" s="107"/>
    </row>
    <row r="157" ht="15.75" customHeight="1">
      <c r="A157" s="107" t="s">
        <v>398</v>
      </c>
      <c r="B157" s="107" t="s">
        <v>399</v>
      </c>
      <c r="C157" s="128" t="s">
        <v>358</v>
      </c>
      <c r="D157" s="107">
        <f t="shared" si="239"/>
        <v>0.00000000295</v>
      </c>
      <c r="E157" s="107">
        <f t="shared" ref="E157:N157" si="246">E6</f>
        <v>0.0000000001</v>
      </c>
      <c r="F157" s="107">
        <f t="shared" si="246"/>
        <v>0.0000000002</v>
      </c>
      <c r="G157" s="107">
        <f t="shared" si="246"/>
        <v>0.0000000003</v>
      </c>
      <c r="H157" s="107">
        <f t="shared" si="246"/>
        <v>0.0000000004</v>
      </c>
      <c r="I157" s="107">
        <f t="shared" si="246"/>
        <v>0.0000000005</v>
      </c>
      <c r="J157" s="107">
        <f t="shared" si="246"/>
        <v>0.0000000006</v>
      </c>
      <c r="K157" s="107">
        <f t="shared" si="246"/>
        <v>0.0000000007</v>
      </c>
      <c r="L157" s="107">
        <f t="shared" si="246"/>
        <v>0.0000000008</v>
      </c>
      <c r="M157" s="107">
        <f t="shared" si="246"/>
        <v>0.0000000009</v>
      </c>
      <c r="N157" s="107">
        <f t="shared" si="246"/>
        <v>0.00000000095</v>
      </c>
      <c r="O157" s="107"/>
      <c r="P157" s="107" t="s">
        <v>203</v>
      </c>
      <c r="Q157" s="107" t="s">
        <v>204</v>
      </c>
      <c r="R157" s="107"/>
      <c r="S157" s="107">
        <f t="shared" ref="S157:V157" si="247">IF(OR(J1="物理",J1="生物",J1="設計與應用科技",J1="綜合科學",J1="組合科學(物理、生物)",J1="企業、會計與財務概論"),J4,0)</f>
        <v>0</v>
      </c>
      <c r="T157" s="107">
        <f t="shared" si="247"/>
        <v>0</v>
      </c>
      <c r="U157" s="107">
        <f t="shared" si="247"/>
        <v>0</v>
      </c>
      <c r="V157" s="107">
        <f t="shared" si="247"/>
        <v>0</v>
      </c>
      <c r="W157" s="107"/>
      <c r="X157" s="107"/>
      <c r="Y157" s="107"/>
      <c r="Z157" s="107"/>
      <c r="AA157" s="107"/>
      <c r="AB157" s="107"/>
      <c r="AC157" s="107"/>
      <c r="AD157" s="107"/>
      <c r="AE157" s="107"/>
      <c r="AF157" s="107"/>
      <c r="AG157" s="107"/>
      <c r="AH157" s="107"/>
      <c r="AI157" s="107"/>
      <c r="AJ157" s="107"/>
    </row>
    <row r="158" ht="15.75" customHeight="1">
      <c r="A158" s="107" t="s">
        <v>400</v>
      </c>
      <c r="B158" s="107" t="s">
        <v>401</v>
      </c>
      <c r="C158" s="128" t="s">
        <v>358</v>
      </c>
      <c r="D158" s="107">
        <f t="shared" si="239"/>
        <v>0.00000000295</v>
      </c>
      <c r="E158" s="107">
        <f t="shared" ref="E158:N158" si="248">E6</f>
        <v>0.0000000001</v>
      </c>
      <c r="F158" s="107">
        <f t="shared" si="248"/>
        <v>0.0000000002</v>
      </c>
      <c r="G158" s="107">
        <f t="shared" si="248"/>
        <v>0.0000000003</v>
      </c>
      <c r="H158" s="107">
        <f t="shared" si="248"/>
        <v>0.0000000004</v>
      </c>
      <c r="I158" s="107">
        <f t="shared" si="248"/>
        <v>0.0000000005</v>
      </c>
      <c r="J158" s="107">
        <f t="shared" si="248"/>
        <v>0.0000000006</v>
      </c>
      <c r="K158" s="107">
        <f t="shared" si="248"/>
        <v>0.0000000007</v>
      </c>
      <c r="L158" s="107">
        <f t="shared" si="248"/>
        <v>0.0000000008</v>
      </c>
      <c r="M158" s="107">
        <f t="shared" si="248"/>
        <v>0.0000000009</v>
      </c>
      <c r="N158" s="107">
        <f t="shared" si="248"/>
        <v>0.00000000095</v>
      </c>
      <c r="O158" s="107"/>
      <c r="P158" s="107"/>
      <c r="Q158" s="107" t="s">
        <v>205</v>
      </c>
      <c r="R158" s="107"/>
      <c r="S158" s="107">
        <f t="shared" ref="S158:V158" si="249">IF(OR(J1="化學",J1="生物",J1="組合科學(物理、化學)",J1="組合科學(生物、化學)",J1="組合科學(物理、生物)"),J14,0)</f>
        <v>0</v>
      </c>
      <c r="T158" s="107">
        <f t="shared" si="249"/>
        <v>0</v>
      </c>
      <c r="U158" s="107">
        <f t="shared" si="249"/>
        <v>0</v>
      </c>
      <c r="V158" s="107">
        <f t="shared" si="249"/>
        <v>0</v>
      </c>
      <c r="W158" s="107"/>
      <c r="X158" s="107"/>
      <c r="Y158" s="107"/>
      <c r="Z158" s="107"/>
      <c r="AA158" s="107"/>
      <c r="AB158" s="107"/>
      <c r="AC158" s="107"/>
      <c r="AD158" s="107"/>
      <c r="AE158" s="107"/>
      <c r="AF158" s="107"/>
      <c r="AG158" s="107"/>
      <c r="AH158" s="107"/>
      <c r="AI158" s="107"/>
      <c r="AJ158" s="107"/>
    </row>
    <row r="159" ht="15.75" customHeight="1">
      <c r="A159" s="107" t="s">
        <v>402</v>
      </c>
      <c r="B159" s="107" t="s">
        <v>403</v>
      </c>
      <c r="C159" s="128" t="s">
        <v>358</v>
      </c>
      <c r="D159" s="107">
        <f t="shared" si="239"/>
        <v>0.00000000295</v>
      </c>
      <c r="E159" s="107">
        <f t="shared" ref="E159:N159" si="250">E6</f>
        <v>0.0000000001</v>
      </c>
      <c r="F159" s="107">
        <f t="shared" si="250"/>
        <v>0.0000000002</v>
      </c>
      <c r="G159" s="107">
        <f t="shared" si="250"/>
        <v>0.0000000003</v>
      </c>
      <c r="H159" s="107">
        <f t="shared" si="250"/>
        <v>0.0000000004</v>
      </c>
      <c r="I159" s="107">
        <f t="shared" si="250"/>
        <v>0.0000000005</v>
      </c>
      <c r="J159" s="107">
        <f t="shared" si="250"/>
        <v>0.0000000006</v>
      </c>
      <c r="K159" s="107">
        <f t="shared" si="250"/>
        <v>0.0000000007</v>
      </c>
      <c r="L159" s="107">
        <f t="shared" si="250"/>
        <v>0.0000000008</v>
      </c>
      <c r="M159" s="107">
        <f t="shared" si="250"/>
        <v>0.0000000009</v>
      </c>
      <c r="N159" s="107">
        <f t="shared" si="250"/>
        <v>0.00000000095</v>
      </c>
      <c r="O159" s="107"/>
      <c r="P159" s="107"/>
      <c r="Q159" s="107" t="s">
        <v>206</v>
      </c>
      <c r="R159" s="107"/>
      <c r="S159" s="107">
        <f t="shared" ref="S159:V159" si="251">IF(J1="化學",J14,0)</f>
        <v>0</v>
      </c>
      <c r="T159" s="107">
        <f t="shared" si="251"/>
        <v>0</v>
      </c>
      <c r="U159" s="107">
        <f t="shared" si="251"/>
        <v>0</v>
      </c>
      <c r="V159" s="107">
        <f t="shared" si="251"/>
        <v>0</v>
      </c>
      <c r="W159" s="107"/>
      <c r="X159" s="107"/>
      <c r="Y159" s="107"/>
      <c r="Z159" s="107"/>
      <c r="AA159" s="107"/>
      <c r="AB159" s="107"/>
      <c r="AC159" s="107"/>
      <c r="AD159" s="107"/>
      <c r="AE159" s="107"/>
      <c r="AF159" s="107"/>
      <c r="AG159" s="107"/>
      <c r="AH159" s="107"/>
      <c r="AI159" s="107"/>
      <c r="AJ159" s="107"/>
    </row>
    <row r="160" ht="15.75" customHeight="1">
      <c r="A160" s="107" t="s">
        <v>404</v>
      </c>
      <c r="B160" s="107" t="s">
        <v>405</v>
      </c>
      <c r="C160" s="128" t="s">
        <v>358</v>
      </c>
      <c r="D160" s="107">
        <f t="shared" si="239"/>
        <v>0.00000000295</v>
      </c>
      <c r="E160" s="107">
        <f t="shared" ref="E160:N160" si="252">E6</f>
        <v>0.0000000001</v>
      </c>
      <c r="F160" s="107">
        <f t="shared" si="252"/>
        <v>0.0000000002</v>
      </c>
      <c r="G160" s="107">
        <f t="shared" si="252"/>
        <v>0.0000000003</v>
      </c>
      <c r="H160" s="107">
        <f t="shared" si="252"/>
        <v>0.0000000004</v>
      </c>
      <c r="I160" s="107">
        <f t="shared" si="252"/>
        <v>0.0000000005</v>
      </c>
      <c r="J160" s="107">
        <f t="shared" si="252"/>
        <v>0.0000000006</v>
      </c>
      <c r="K160" s="107">
        <f t="shared" si="252"/>
        <v>0.0000000007</v>
      </c>
      <c r="L160" s="107">
        <f t="shared" si="252"/>
        <v>0.0000000008</v>
      </c>
      <c r="M160" s="107">
        <f t="shared" si="252"/>
        <v>0.0000000009</v>
      </c>
      <c r="N160" s="107">
        <f t="shared" si="252"/>
        <v>0.00000000095</v>
      </c>
      <c r="O160" s="107"/>
      <c r="P160" s="107"/>
      <c r="Q160" s="107" t="s">
        <v>207</v>
      </c>
      <c r="R160" s="107"/>
      <c r="S160" s="107">
        <f t="shared" ref="S160:V160" si="253">IF(OR(J1="物理",J1="生物",J1="組合科學(物理、生物)"),J14,0)</f>
        <v>0</v>
      </c>
      <c r="T160" s="107">
        <f t="shared" si="253"/>
        <v>0</v>
      </c>
      <c r="U160" s="107">
        <f t="shared" si="253"/>
        <v>0</v>
      </c>
      <c r="V160" s="107">
        <f t="shared" si="253"/>
        <v>0</v>
      </c>
      <c r="W160" s="107"/>
      <c r="X160" s="107"/>
      <c r="Y160" s="107"/>
      <c r="Z160" s="107"/>
      <c r="AA160" s="107"/>
      <c r="AB160" s="107"/>
      <c r="AC160" s="107"/>
      <c r="AD160" s="107"/>
      <c r="AE160" s="107"/>
      <c r="AF160" s="107"/>
      <c r="AG160" s="107"/>
      <c r="AH160" s="107"/>
      <c r="AI160" s="107"/>
      <c r="AJ160" s="107"/>
    </row>
    <row r="161" ht="15.75" customHeight="1">
      <c r="A161" s="107" t="s">
        <v>406</v>
      </c>
      <c r="B161" s="107" t="s">
        <v>407</v>
      </c>
      <c r="C161" s="128" t="s">
        <v>358</v>
      </c>
      <c r="D161" s="107">
        <f t="shared" si="239"/>
        <v>0.00000000295</v>
      </c>
      <c r="E161" s="107">
        <f t="shared" ref="E161:N161" si="254">E6</f>
        <v>0.0000000001</v>
      </c>
      <c r="F161" s="107">
        <f t="shared" si="254"/>
        <v>0.0000000002</v>
      </c>
      <c r="G161" s="107">
        <f t="shared" si="254"/>
        <v>0.0000000003</v>
      </c>
      <c r="H161" s="107">
        <f t="shared" si="254"/>
        <v>0.0000000004</v>
      </c>
      <c r="I161" s="107">
        <f t="shared" si="254"/>
        <v>0.0000000005</v>
      </c>
      <c r="J161" s="107">
        <f t="shared" si="254"/>
        <v>0.0000000006</v>
      </c>
      <c r="K161" s="107">
        <f t="shared" si="254"/>
        <v>0.0000000007</v>
      </c>
      <c r="L161" s="107">
        <f t="shared" si="254"/>
        <v>0.0000000008</v>
      </c>
      <c r="M161" s="107">
        <f t="shared" si="254"/>
        <v>0.0000000009</v>
      </c>
      <c r="N161" s="107">
        <f t="shared" si="254"/>
        <v>0.00000000095</v>
      </c>
      <c r="O161" s="107"/>
      <c r="P161" s="107" t="s">
        <v>408</v>
      </c>
      <c r="Q161" s="107" t="s">
        <v>409</v>
      </c>
      <c r="R161" s="107">
        <f>I4</f>
        <v>0.0000000005</v>
      </c>
      <c r="S161" s="107">
        <f t="shared" ref="S161:V161" si="255">IF(OR(J1="物理",J1="化學",J1="生物",J1="組合科學(物理、化學)",J1="組合科學(生物、化學)",J1="組合科學(物理、生物)",J1="地理"),J4,0)</f>
        <v>0</v>
      </c>
      <c r="T161" s="107">
        <f t="shared" si="255"/>
        <v>0</v>
      </c>
      <c r="U161" s="107">
        <f t="shared" si="255"/>
        <v>0</v>
      </c>
      <c r="V161" s="107">
        <f t="shared" si="255"/>
        <v>0</v>
      </c>
      <c r="W161" s="107"/>
      <c r="X161" s="107"/>
      <c r="Y161" s="107"/>
      <c r="Z161" s="107"/>
      <c r="AA161" s="107"/>
      <c r="AB161" s="107"/>
      <c r="AC161" s="107"/>
      <c r="AD161" s="107"/>
      <c r="AE161" s="107"/>
      <c r="AF161" s="107"/>
      <c r="AG161" s="107"/>
      <c r="AH161" s="107"/>
      <c r="AI161" s="107"/>
      <c r="AJ161" s="107"/>
    </row>
    <row r="162" ht="15.75" customHeight="1">
      <c r="A162" s="107" t="s">
        <v>410</v>
      </c>
      <c r="B162" s="107" t="s">
        <v>411</v>
      </c>
      <c r="C162" s="128" t="s">
        <v>358</v>
      </c>
      <c r="D162" s="107">
        <f t="shared" si="239"/>
        <v>0.00000000295</v>
      </c>
      <c r="E162" s="107">
        <f t="shared" ref="E162:N162" si="256">E6</f>
        <v>0.0000000001</v>
      </c>
      <c r="F162" s="107">
        <f t="shared" si="256"/>
        <v>0.0000000002</v>
      </c>
      <c r="G162" s="107">
        <f t="shared" si="256"/>
        <v>0.0000000003</v>
      </c>
      <c r="H162" s="107">
        <f t="shared" si="256"/>
        <v>0.0000000004</v>
      </c>
      <c r="I162" s="107">
        <f t="shared" si="256"/>
        <v>0.0000000005</v>
      </c>
      <c r="J162" s="107">
        <f t="shared" si="256"/>
        <v>0.0000000006</v>
      </c>
      <c r="K162" s="107">
        <f t="shared" si="256"/>
        <v>0.0000000007</v>
      </c>
      <c r="L162" s="107">
        <f t="shared" si="256"/>
        <v>0.0000000008</v>
      </c>
      <c r="M162" s="107">
        <f t="shared" si="256"/>
        <v>0.0000000009</v>
      </c>
      <c r="N162" s="107">
        <f t="shared" si="256"/>
        <v>0.00000000095</v>
      </c>
      <c r="O162" s="107"/>
      <c r="P162" s="107" t="s">
        <v>203</v>
      </c>
      <c r="Q162" s="107" t="s">
        <v>412</v>
      </c>
      <c r="R162" s="107"/>
      <c r="S162" s="107">
        <f t="shared" ref="S162:V162" si="257">IF(OR(J1="物理",J1="化學",J1="生物",J1="資訊及通訊科技",J1="企業、會計與財務概論",J1="綜合科學",J1="組合科學(物理、化學)",J1="組合科學(生物、化學)",J1="組合科學(物理、生物)",J1="企業、會計與財務概論"),J4,0)</f>
        <v>0</v>
      </c>
      <c r="T162" s="107">
        <f t="shared" si="257"/>
        <v>0</v>
      </c>
      <c r="U162" s="107">
        <f t="shared" si="257"/>
        <v>0</v>
      </c>
      <c r="V162" s="107">
        <f t="shared" si="257"/>
        <v>0</v>
      </c>
      <c r="W162" s="107"/>
      <c r="X162" s="107"/>
      <c r="Y162" s="107"/>
      <c r="Z162" s="107"/>
      <c r="AA162" s="107"/>
      <c r="AB162" s="107"/>
      <c r="AC162" s="107"/>
      <c r="AD162" s="107"/>
      <c r="AE162" s="107"/>
      <c r="AF162" s="107"/>
      <c r="AG162" s="107"/>
      <c r="AH162" s="107"/>
      <c r="AI162" s="107"/>
      <c r="AJ162" s="107"/>
    </row>
    <row r="163" ht="15.75" customHeight="1">
      <c r="A163" s="107"/>
      <c r="B163" s="107"/>
      <c r="C163" s="108"/>
      <c r="D163" s="107"/>
      <c r="E163" s="107"/>
      <c r="F163" s="107"/>
      <c r="G163" s="107"/>
      <c r="H163" s="107"/>
      <c r="I163" s="107"/>
      <c r="J163" s="107"/>
      <c r="K163" s="107"/>
      <c r="L163" s="107"/>
      <c r="M163" s="107"/>
      <c r="N163" s="107"/>
      <c r="O163" s="107"/>
      <c r="P163" s="107" t="s">
        <v>208</v>
      </c>
      <c r="Q163" s="107" t="s">
        <v>209</v>
      </c>
      <c r="R163" s="107">
        <f>I4</f>
        <v>0.0000000005</v>
      </c>
      <c r="S163" s="107">
        <f t="shared" ref="S163:V163" si="258">IF(OR(J1="物理",J1="化學",J1="資訊及通訊科技",J1="科技與生活",J1="組合科學(物理、化學)",J1="組合科學(物理、生物)"),J4,0)</f>
        <v>0</v>
      </c>
      <c r="T163" s="107">
        <f t="shared" si="258"/>
        <v>0</v>
      </c>
      <c r="U163" s="107">
        <f t="shared" si="258"/>
        <v>0</v>
      </c>
      <c r="V163" s="107">
        <f t="shared" si="258"/>
        <v>0</v>
      </c>
      <c r="W163" s="107"/>
      <c r="X163" s="107"/>
      <c r="Y163" s="107"/>
      <c r="Z163" s="107"/>
      <c r="AA163" s="107"/>
      <c r="AB163" s="107"/>
      <c r="AC163" s="107"/>
      <c r="AD163" s="107"/>
      <c r="AE163" s="107"/>
      <c r="AF163" s="107"/>
      <c r="AG163" s="107"/>
      <c r="AH163" s="107"/>
      <c r="AI163" s="107"/>
      <c r="AJ163" s="107"/>
    </row>
    <row r="164" ht="15.75" customHeight="1">
      <c r="A164" s="123" t="s">
        <v>177</v>
      </c>
      <c r="B164" s="107"/>
      <c r="C164" s="108"/>
      <c r="D164" s="107" t="s">
        <v>172</v>
      </c>
      <c r="E164" s="109" t="s">
        <v>23</v>
      </c>
      <c r="F164" s="109" t="s">
        <v>26</v>
      </c>
      <c r="G164" s="109" t="s">
        <v>29</v>
      </c>
      <c r="H164" s="109" t="s">
        <v>30</v>
      </c>
      <c r="I164" s="109" t="s">
        <v>173</v>
      </c>
      <c r="J164" s="109">
        <f t="shared" ref="J164:N164" si="259">J1</f>
        <v>0</v>
      </c>
      <c r="K164" s="109">
        <f t="shared" si="259"/>
        <v>0</v>
      </c>
      <c r="L164" s="109">
        <f t="shared" si="259"/>
        <v>0</v>
      </c>
      <c r="M164" s="109">
        <f t="shared" si="259"/>
        <v>0</v>
      </c>
      <c r="N164" s="109">
        <f t="shared" si="259"/>
        <v>0</v>
      </c>
      <c r="O164" s="129"/>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row>
    <row r="165" ht="15.75" customHeight="1">
      <c r="A165" s="107" t="s">
        <v>413</v>
      </c>
      <c r="B165" s="107" t="s">
        <v>414</v>
      </c>
      <c r="C165" s="107" t="s">
        <v>21</v>
      </c>
      <c r="D165" s="107">
        <f t="shared" ref="D165:D168" si="261">LARGE(E165:N165, 1)+LARGE(E165:N165, 2)+LARGE(E165:N165, 3)+LARGE(E165:N165, 4)+LARGE(E165:N165, 5)</f>
        <v>0.00000000395</v>
      </c>
      <c r="E165" s="107">
        <f t="shared" ref="E165:N165" si="260">E7</f>
        <v>0.0000000001</v>
      </c>
      <c r="F165" s="107">
        <f t="shared" si="260"/>
        <v>0.0000000002</v>
      </c>
      <c r="G165" s="107">
        <f t="shared" si="260"/>
        <v>0.0000000003</v>
      </c>
      <c r="H165" s="107">
        <f t="shared" si="260"/>
        <v>0.0000000004</v>
      </c>
      <c r="I165" s="107">
        <f t="shared" si="260"/>
        <v>0.0000000005</v>
      </c>
      <c r="J165" s="107">
        <f t="shared" si="260"/>
        <v>0.0000000006</v>
      </c>
      <c r="K165" s="107">
        <f t="shared" si="260"/>
        <v>0.0000000007</v>
      </c>
      <c r="L165" s="107">
        <f t="shared" si="260"/>
        <v>0.0000000008</v>
      </c>
      <c r="M165" s="107">
        <f t="shared" si="260"/>
        <v>0.0000000009</v>
      </c>
      <c r="N165" s="107">
        <f t="shared" si="260"/>
        <v>0.00000000095</v>
      </c>
      <c r="O165" s="130"/>
      <c r="P165" s="131"/>
      <c r="Q165" s="107"/>
      <c r="R165" s="107"/>
      <c r="S165" s="107"/>
      <c r="T165" s="107"/>
      <c r="U165" s="107"/>
      <c r="V165" s="107"/>
      <c r="W165" s="107"/>
      <c r="X165" s="107"/>
      <c r="Y165" s="107"/>
      <c r="Z165" s="107"/>
      <c r="AA165" s="107"/>
      <c r="AB165" s="107"/>
      <c r="AC165" s="107"/>
      <c r="AD165" s="107"/>
      <c r="AE165" s="130"/>
      <c r="AF165" s="131"/>
      <c r="AG165" s="107"/>
      <c r="AH165" s="107"/>
      <c r="AI165" s="107"/>
      <c r="AJ165" s="107"/>
    </row>
    <row r="166" ht="15.75" customHeight="1">
      <c r="A166" s="107" t="s">
        <v>415</v>
      </c>
      <c r="B166" s="107" t="s">
        <v>416</v>
      </c>
      <c r="C166" s="107" t="s">
        <v>21</v>
      </c>
      <c r="D166" s="107">
        <f t="shared" si="261"/>
        <v>0.00000000395</v>
      </c>
      <c r="E166" s="107">
        <f>E7*1.5</f>
        <v>0.00000000015</v>
      </c>
      <c r="F166" s="107">
        <f t="shared" ref="F166:N166" si="262">F7</f>
        <v>0.0000000002</v>
      </c>
      <c r="G166" s="107">
        <f t="shared" si="262"/>
        <v>0.0000000003</v>
      </c>
      <c r="H166" s="107">
        <f t="shared" si="262"/>
        <v>0.0000000004</v>
      </c>
      <c r="I166" s="107">
        <f t="shared" si="262"/>
        <v>0.0000000005</v>
      </c>
      <c r="J166" s="107">
        <f t="shared" si="262"/>
        <v>0.0000000006</v>
      </c>
      <c r="K166" s="107">
        <f t="shared" si="262"/>
        <v>0.0000000007</v>
      </c>
      <c r="L166" s="107">
        <f t="shared" si="262"/>
        <v>0.0000000008</v>
      </c>
      <c r="M166" s="107">
        <f t="shared" si="262"/>
        <v>0.0000000009</v>
      </c>
      <c r="N166" s="107">
        <f t="shared" si="262"/>
        <v>0.00000000095</v>
      </c>
      <c r="O166" s="130"/>
      <c r="P166" s="132"/>
      <c r="Q166" s="107"/>
      <c r="R166" s="107"/>
      <c r="S166" s="107"/>
      <c r="T166" s="107"/>
      <c r="U166" s="107"/>
      <c r="V166" s="107"/>
      <c r="W166" s="107"/>
      <c r="X166" s="107"/>
      <c r="Y166" s="107"/>
      <c r="Z166" s="107"/>
      <c r="AA166" s="107"/>
      <c r="AB166" s="107"/>
      <c r="AC166" s="107"/>
      <c r="AD166" s="107"/>
      <c r="AE166" s="130" t="s">
        <v>417</v>
      </c>
      <c r="AF166" s="131" t="s">
        <v>21</v>
      </c>
      <c r="AG166" s="107" t="s">
        <v>418</v>
      </c>
      <c r="AH166" s="107" t="s">
        <v>419</v>
      </c>
      <c r="AI166" s="107" t="s">
        <v>420</v>
      </c>
      <c r="AJ166" s="107"/>
    </row>
    <row r="167" ht="15.75" customHeight="1">
      <c r="A167" s="107" t="s">
        <v>421</v>
      </c>
      <c r="B167" s="107" t="s">
        <v>422</v>
      </c>
      <c r="C167" s="107" t="s">
        <v>21</v>
      </c>
      <c r="D167" s="107">
        <f t="shared" si="261"/>
        <v>0.00000000395</v>
      </c>
      <c r="E167" s="107">
        <f t="shared" ref="E167:N167" si="263">E7</f>
        <v>0.0000000001</v>
      </c>
      <c r="F167" s="107">
        <f t="shared" si="263"/>
        <v>0.0000000002</v>
      </c>
      <c r="G167" s="107">
        <f t="shared" si="263"/>
        <v>0.0000000003</v>
      </c>
      <c r="H167" s="107">
        <f t="shared" si="263"/>
        <v>0.0000000004</v>
      </c>
      <c r="I167" s="107">
        <f t="shared" si="263"/>
        <v>0.0000000005</v>
      </c>
      <c r="J167" s="107">
        <f t="shared" si="263"/>
        <v>0.0000000006</v>
      </c>
      <c r="K167" s="107">
        <f t="shared" si="263"/>
        <v>0.0000000007</v>
      </c>
      <c r="L167" s="107">
        <f t="shared" si="263"/>
        <v>0.0000000008</v>
      </c>
      <c r="M167" s="107">
        <f t="shared" si="263"/>
        <v>0.0000000009</v>
      </c>
      <c r="N167" s="107">
        <f t="shared" si="263"/>
        <v>0.00000000095</v>
      </c>
      <c r="O167" s="130"/>
      <c r="P167" s="131"/>
      <c r="Q167" s="107"/>
      <c r="R167" s="107"/>
      <c r="S167" s="107"/>
      <c r="T167" s="107"/>
      <c r="U167" s="107"/>
      <c r="V167" s="107"/>
      <c r="W167" s="107"/>
      <c r="X167" s="107"/>
      <c r="Y167" s="107"/>
      <c r="Z167" s="107"/>
      <c r="AA167" s="107"/>
      <c r="AB167" s="107"/>
      <c r="AC167" s="107"/>
      <c r="AD167" s="107"/>
      <c r="AE167" s="130" t="s">
        <v>417</v>
      </c>
      <c r="AF167" s="131" t="s">
        <v>21</v>
      </c>
      <c r="AG167" s="107" t="s">
        <v>423</v>
      </c>
      <c r="AH167" s="107" t="s">
        <v>424</v>
      </c>
      <c r="AI167" s="107" t="s">
        <v>425</v>
      </c>
      <c r="AJ167" s="107"/>
    </row>
    <row r="168" ht="15.75" customHeight="1">
      <c r="A168" s="107" t="s">
        <v>426</v>
      </c>
      <c r="B168" s="107" t="s">
        <v>427</v>
      </c>
      <c r="C168" s="107" t="s">
        <v>21</v>
      </c>
      <c r="D168" s="107">
        <f t="shared" si="261"/>
        <v>0.00000000395</v>
      </c>
      <c r="E168" s="107">
        <f t="shared" ref="E168:N168" si="264">E7</f>
        <v>0.0000000001</v>
      </c>
      <c r="F168" s="107">
        <f t="shared" si="264"/>
        <v>0.0000000002</v>
      </c>
      <c r="G168" s="107">
        <f t="shared" si="264"/>
        <v>0.0000000003</v>
      </c>
      <c r="H168" s="107">
        <f t="shared" si="264"/>
        <v>0.0000000004</v>
      </c>
      <c r="I168" s="107">
        <f t="shared" si="264"/>
        <v>0.0000000005</v>
      </c>
      <c r="J168" s="107">
        <f t="shared" si="264"/>
        <v>0.0000000006</v>
      </c>
      <c r="K168" s="107">
        <f t="shared" si="264"/>
        <v>0.0000000007</v>
      </c>
      <c r="L168" s="107">
        <f t="shared" si="264"/>
        <v>0.0000000008</v>
      </c>
      <c r="M168" s="107">
        <f t="shared" si="264"/>
        <v>0.0000000009</v>
      </c>
      <c r="N168" s="107">
        <f t="shared" si="264"/>
        <v>0.00000000095</v>
      </c>
      <c r="O168" s="130"/>
      <c r="P168" s="131"/>
      <c r="Q168" s="107"/>
      <c r="R168" s="107"/>
      <c r="S168" s="107"/>
      <c r="T168" s="107"/>
      <c r="U168" s="107"/>
      <c r="V168" s="107"/>
      <c r="W168" s="107"/>
      <c r="X168" s="107"/>
      <c r="Y168" s="107"/>
      <c r="Z168" s="107"/>
      <c r="AA168" s="107"/>
      <c r="AB168" s="107"/>
      <c r="AC168" s="107"/>
      <c r="AD168" s="107"/>
      <c r="AE168" s="130" t="s">
        <v>417</v>
      </c>
      <c r="AF168" s="131" t="s">
        <v>191</v>
      </c>
      <c r="AG168" s="107" t="s">
        <v>428</v>
      </c>
      <c r="AH168" s="107" t="s">
        <v>429</v>
      </c>
      <c r="AI168" s="107" t="s">
        <v>430</v>
      </c>
      <c r="AJ168" s="107"/>
    </row>
    <row r="169" ht="15.75" customHeight="1">
      <c r="A169" s="107" t="s">
        <v>431</v>
      </c>
      <c r="B169" s="107" t="s">
        <v>432</v>
      </c>
      <c r="C169" s="133" t="s">
        <v>191</v>
      </c>
      <c r="D169" s="107">
        <f>SUM(E169:H169)+LARGE(I169:N169,1)+LARGE(I169:N169,2)</f>
        <v>0.00000000295</v>
      </c>
      <c r="E169" s="107">
        <f>E7</f>
        <v>0.0000000001</v>
      </c>
      <c r="F169" s="107">
        <f>F7*1.5</f>
        <v>0.0000000003</v>
      </c>
      <c r="G169" s="107">
        <f t="shared" ref="G169:N169" si="265">G7</f>
        <v>0.0000000003</v>
      </c>
      <c r="H169" s="107">
        <f t="shared" si="265"/>
        <v>0.0000000004</v>
      </c>
      <c r="I169" s="107">
        <f t="shared" si="265"/>
        <v>0.0000000005</v>
      </c>
      <c r="J169" s="107">
        <f t="shared" si="265"/>
        <v>0.0000000006</v>
      </c>
      <c r="K169" s="107">
        <f t="shared" si="265"/>
        <v>0.0000000007</v>
      </c>
      <c r="L169" s="107">
        <f t="shared" si="265"/>
        <v>0.0000000008</v>
      </c>
      <c r="M169" s="107">
        <f t="shared" si="265"/>
        <v>0.0000000009</v>
      </c>
      <c r="N169" s="107">
        <f t="shared" si="265"/>
        <v>0.00000000095</v>
      </c>
      <c r="O169" s="130"/>
      <c r="P169" s="134"/>
      <c r="Q169" s="109">
        <f t="shared" ref="Q169:T169" si="266">J1</f>
        <v>0</v>
      </c>
      <c r="R169" s="109">
        <f t="shared" si="266"/>
        <v>0</v>
      </c>
      <c r="S169" s="109">
        <f t="shared" si="266"/>
        <v>0</v>
      </c>
      <c r="T169" s="109">
        <f t="shared" si="266"/>
        <v>0</v>
      </c>
      <c r="U169" s="109" t="s">
        <v>433</v>
      </c>
      <c r="V169" s="107"/>
      <c r="W169" s="107"/>
      <c r="X169" s="107"/>
      <c r="Y169" s="107"/>
      <c r="Z169" s="107"/>
      <c r="AA169" s="107"/>
      <c r="AB169" s="107"/>
      <c r="AC169" s="107"/>
      <c r="AD169" s="107"/>
      <c r="AE169" s="130" t="s">
        <v>417</v>
      </c>
      <c r="AF169" s="134" t="s">
        <v>21</v>
      </c>
      <c r="AG169" s="107" t="s">
        <v>434</v>
      </c>
      <c r="AH169" s="107" t="s">
        <v>435</v>
      </c>
      <c r="AI169" s="107" t="s">
        <v>436</v>
      </c>
      <c r="AJ169" s="107"/>
    </row>
    <row r="170" ht="15.75" customHeight="1">
      <c r="A170" s="107" t="s">
        <v>437</v>
      </c>
      <c r="B170" s="107" t="s">
        <v>438</v>
      </c>
      <c r="C170" s="107" t="s">
        <v>21</v>
      </c>
      <c r="D170" s="107">
        <f t="shared" ref="D170:D174" si="269">LARGE(E170:N170, 1)+LARGE(E170:N170, 2)+LARGE(E170:N170, 3)+LARGE(E170:N170, 4)+LARGE(E170:N170, 5)</f>
        <v>0.00000000395</v>
      </c>
      <c r="E170" s="107">
        <f t="shared" ref="E170:N170" si="267">E7</f>
        <v>0.0000000001</v>
      </c>
      <c r="F170" s="107">
        <f t="shared" si="267"/>
        <v>0.0000000002</v>
      </c>
      <c r="G170" s="107">
        <f t="shared" si="267"/>
        <v>0.0000000003</v>
      </c>
      <c r="H170" s="107">
        <f t="shared" si="267"/>
        <v>0.0000000004</v>
      </c>
      <c r="I170" s="107">
        <f t="shared" si="267"/>
        <v>0.0000000005</v>
      </c>
      <c r="J170" s="107">
        <f t="shared" si="267"/>
        <v>0.0000000006</v>
      </c>
      <c r="K170" s="107">
        <f t="shared" si="267"/>
        <v>0.0000000007</v>
      </c>
      <c r="L170" s="107">
        <f t="shared" si="267"/>
        <v>0.0000000008</v>
      </c>
      <c r="M170" s="107">
        <f t="shared" si="267"/>
        <v>0.0000000009</v>
      </c>
      <c r="N170" s="107">
        <f t="shared" si="267"/>
        <v>0.00000000095</v>
      </c>
      <c r="O170" s="130"/>
      <c r="P170" s="131"/>
      <c r="Q170" s="107">
        <f t="shared" ref="Q170:T170" si="268">IF(OR(J1="英語文學"),I7,0)</f>
        <v>0</v>
      </c>
      <c r="R170" s="107">
        <f t="shared" si="268"/>
        <v>0</v>
      </c>
      <c r="S170" s="107">
        <f t="shared" si="268"/>
        <v>0</v>
      </c>
      <c r="T170" s="107">
        <f t="shared" si="268"/>
        <v>0</v>
      </c>
      <c r="U170" s="107">
        <f t="array" ref="U170">INDEX(J$1:M$1,MATCH(LARGE(Q170:T170,1),Q175:T175,0))</f>
        <v>0</v>
      </c>
      <c r="V170" s="107">
        <f>IF(U170="英語文學",1,0)</f>
        <v>0</v>
      </c>
      <c r="W170" s="107"/>
      <c r="X170" s="107"/>
      <c r="Y170" s="107"/>
      <c r="Z170" s="107"/>
      <c r="AA170" s="107"/>
      <c r="AB170" s="107"/>
      <c r="AC170" s="107"/>
      <c r="AD170" s="107"/>
      <c r="AE170" s="130" t="s">
        <v>439</v>
      </c>
      <c r="AF170" s="131" t="s">
        <v>21</v>
      </c>
      <c r="AG170" s="107" t="s">
        <v>440</v>
      </c>
      <c r="AH170" s="107" t="s">
        <v>441</v>
      </c>
      <c r="AI170" s="107" t="s">
        <v>442</v>
      </c>
      <c r="AJ170" s="107"/>
    </row>
    <row r="171" ht="15.75" customHeight="1">
      <c r="A171" s="107" t="s">
        <v>443</v>
      </c>
      <c r="B171" s="107" t="s">
        <v>101</v>
      </c>
      <c r="C171" s="107" t="s">
        <v>21</v>
      </c>
      <c r="D171" s="107">
        <f t="shared" si="269"/>
        <v>0.00000000395</v>
      </c>
      <c r="E171" s="107">
        <f t="shared" ref="E171:N171" si="270">E7</f>
        <v>0.0000000001</v>
      </c>
      <c r="F171" s="107">
        <f t="shared" si="270"/>
        <v>0.0000000002</v>
      </c>
      <c r="G171" s="107">
        <f t="shared" si="270"/>
        <v>0.0000000003</v>
      </c>
      <c r="H171" s="107">
        <f t="shared" si="270"/>
        <v>0.0000000004</v>
      </c>
      <c r="I171" s="107">
        <f t="shared" si="270"/>
        <v>0.0000000005</v>
      </c>
      <c r="J171" s="107">
        <f t="shared" si="270"/>
        <v>0.0000000006</v>
      </c>
      <c r="K171" s="107">
        <f t="shared" si="270"/>
        <v>0.0000000007</v>
      </c>
      <c r="L171" s="107">
        <f t="shared" si="270"/>
        <v>0.0000000008</v>
      </c>
      <c r="M171" s="107">
        <f t="shared" si="270"/>
        <v>0.0000000009</v>
      </c>
      <c r="N171" s="107">
        <f t="shared" si="270"/>
        <v>0.00000000095</v>
      </c>
      <c r="O171" s="130"/>
      <c r="P171" s="131"/>
      <c r="Q171" s="107">
        <f t="shared" ref="Q171:T171" si="271">IF(OR(J1="視覺藝術"),I7,0)</f>
        <v>0</v>
      </c>
      <c r="R171" s="107">
        <f t="shared" si="271"/>
        <v>0</v>
      </c>
      <c r="S171" s="107">
        <f t="shared" si="271"/>
        <v>0</v>
      </c>
      <c r="T171" s="107">
        <f t="shared" si="271"/>
        <v>0</v>
      </c>
      <c r="U171" s="107">
        <f t="array" ref="U171">INDEX(J$1:M$1,MATCH(LARGE(Q171:T171,1),Q175:T175,0))</f>
        <v>0</v>
      </c>
      <c r="V171" s="107">
        <f>IF(U171="視覺藝術",1,0)</f>
        <v>0</v>
      </c>
      <c r="W171" s="107"/>
      <c r="X171" s="107"/>
      <c r="Y171" s="107"/>
      <c r="Z171" s="107"/>
      <c r="AA171" s="107"/>
      <c r="AB171" s="107"/>
      <c r="AC171" s="107"/>
      <c r="AD171" s="107"/>
      <c r="AE171" s="130" t="s">
        <v>417</v>
      </c>
      <c r="AF171" s="131" t="s">
        <v>21</v>
      </c>
      <c r="AG171" s="107" t="s">
        <v>444</v>
      </c>
      <c r="AH171" s="107" t="s">
        <v>445</v>
      </c>
      <c r="AI171" s="107" t="s">
        <v>446</v>
      </c>
      <c r="AJ171" s="107"/>
    </row>
    <row r="172" ht="15.75" customHeight="1">
      <c r="A172" s="107" t="s">
        <v>447</v>
      </c>
      <c r="B172" s="107" t="s">
        <v>448</v>
      </c>
      <c r="C172" s="107" t="s">
        <v>21</v>
      </c>
      <c r="D172" s="107">
        <f t="shared" si="269"/>
        <v>0.00000000395</v>
      </c>
      <c r="E172" s="107">
        <f t="shared" ref="E172:N172" si="272">E7</f>
        <v>0.0000000001</v>
      </c>
      <c r="F172" s="107">
        <f t="shared" si="272"/>
        <v>0.0000000002</v>
      </c>
      <c r="G172" s="107">
        <f t="shared" si="272"/>
        <v>0.0000000003</v>
      </c>
      <c r="H172" s="107">
        <f t="shared" si="272"/>
        <v>0.0000000004</v>
      </c>
      <c r="I172" s="107">
        <f t="shared" si="272"/>
        <v>0.0000000005</v>
      </c>
      <c r="J172" s="107">
        <f t="shared" si="272"/>
        <v>0.0000000006</v>
      </c>
      <c r="K172" s="107">
        <f t="shared" si="272"/>
        <v>0.0000000007</v>
      </c>
      <c r="L172" s="107">
        <f t="shared" si="272"/>
        <v>0.0000000008</v>
      </c>
      <c r="M172" s="107">
        <f t="shared" si="272"/>
        <v>0.0000000009</v>
      </c>
      <c r="N172" s="107">
        <f t="shared" si="272"/>
        <v>0.00000000095</v>
      </c>
      <c r="O172" s="130"/>
      <c r="P172" s="131"/>
      <c r="Q172" s="107"/>
      <c r="R172" s="107"/>
      <c r="S172" s="107"/>
      <c r="T172" s="107"/>
      <c r="U172" s="107"/>
      <c r="V172" s="107"/>
      <c r="W172" s="107"/>
      <c r="X172" s="107"/>
      <c r="Y172" s="107"/>
      <c r="Z172" s="107"/>
      <c r="AA172" s="107"/>
      <c r="AB172" s="107"/>
      <c r="AC172" s="107"/>
      <c r="AD172" s="107"/>
      <c r="AE172" s="130" t="s">
        <v>417</v>
      </c>
      <c r="AF172" s="134" t="s">
        <v>21</v>
      </c>
      <c r="AG172" s="107" t="s">
        <v>449</v>
      </c>
      <c r="AH172" s="107" t="s">
        <v>450</v>
      </c>
      <c r="AI172" s="107" t="s">
        <v>451</v>
      </c>
      <c r="AJ172" s="107"/>
    </row>
    <row r="173" ht="15.75" customHeight="1">
      <c r="A173" s="107" t="s">
        <v>452</v>
      </c>
      <c r="B173" s="107" t="s">
        <v>453</v>
      </c>
      <c r="C173" s="107" t="s">
        <v>21</v>
      </c>
      <c r="D173" s="107">
        <f t="shared" si="269"/>
        <v>0.00000000395</v>
      </c>
      <c r="E173" s="107">
        <f t="shared" ref="E173:N173" si="273">E7</f>
        <v>0.0000000001</v>
      </c>
      <c r="F173" s="107">
        <f t="shared" si="273"/>
        <v>0.0000000002</v>
      </c>
      <c r="G173" s="107">
        <f t="shared" si="273"/>
        <v>0.0000000003</v>
      </c>
      <c r="H173" s="107">
        <f t="shared" si="273"/>
        <v>0.0000000004</v>
      </c>
      <c r="I173" s="107">
        <f t="shared" si="273"/>
        <v>0.0000000005</v>
      </c>
      <c r="J173" s="107">
        <f t="shared" si="273"/>
        <v>0.0000000006</v>
      </c>
      <c r="K173" s="107">
        <f t="shared" si="273"/>
        <v>0.0000000007</v>
      </c>
      <c r="L173" s="107">
        <f t="shared" si="273"/>
        <v>0.0000000008</v>
      </c>
      <c r="M173" s="107">
        <f t="shared" si="273"/>
        <v>0.0000000009</v>
      </c>
      <c r="N173" s="107">
        <f t="shared" si="273"/>
        <v>0.00000000095</v>
      </c>
      <c r="O173" s="130"/>
      <c r="P173" s="131"/>
      <c r="Q173" s="107"/>
      <c r="R173" s="107"/>
      <c r="S173" s="107"/>
      <c r="T173" s="107"/>
      <c r="U173" s="107"/>
      <c r="V173" s="107"/>
      <c r="W173" s="107"/>
      <c r="X173" s="107"/>
      <c r="Y173" s="107"/>
      <c r="Z173" s="107"/>
      <c r="AA173" s="107"/>
      <c r="AB173" s="107"/>
      <c r="AC173" s="107"/>
      <c r="AD173" s="107"/>
      <c r="AE173" s="130" t="s">
        <v>417</v>
      </c>
      <c r="AF173" s="132" t="s">
        <v>191</v>
      </c>
      <c r="AG173" s="107" t="s">
        <v>454</v>
      </c>
      <c r="AH173" s="107" t="s">
        <v>455</v>
      </c>
      <c r="AI173" s="107" t="s">
        <v>456</v>
      </c>
      <c r="AJ173" s="107"/>
    </row>
    <row r="174" ht="15.75" customHeight="1">
      <c r="A174" s="107" t="s">
        <v>457</v>
      </c>
      <c r="B174" s="107" t="s">
        <v>95</v>
      </c>
      <c r="C174" s="107" t="s">
        <v>21</v>
      </c>
      <c r="D174" s="107">
        <f t="shared" si="269"/>
        <v>0.00000000395</v>
      </c>
      <c r="E174" s="107">
        <f t="shared" ref="E174:N174" si="274">E7</f>
        <v>0.0000000001</v>
      </c>
      <c r="F174" s="107">
        <f t="shared" si="274"/>
        <v>0.0000000002</v>
      </c>
      <c r="G174" s="107">
        <f t="shared" si="274"/>
        <v>0.0000000003</v>
      </c>
      <c r="H174" s="107">
        <f t="shared" si="274"/>
        <v>0.0000000004</v>
      </c>
      <c r="I174" s="107">
        <f t="shared" si="274"/>
        <v>0.0000000005</v>
      </c>
      <c r="J174" s="107">
        <f t="shared" si="274"/>
        <v>0.0000000006</v>
      </c>
      <c r="K174" s="107">
        <f t="shared" si="274"/>
        <v>0.0000000007</v>
      </c>
      <c r="L174" s="107">
        <f t="shared" si="274"/>
        <v>0.0000000008</v>
      </c>
      <c r="M174" s="107">
        <f t="shared" si="274"/>
        <v>0.0000000009</v>
      </c>
      <c r="N174" s="107">
        <f t="shared" si="274"/>
        <v>0.00000000095</v>
      </c>
      <c r="O174" s="130"/>
      <c r="P174" s="131"/>
      <c r="Q174" s="107"/>
      <c r="R174" s="107"/>
      <c r="S174" s="107"/>
      <c r="T174" s="107"/>
      <c r="U174" s="107"/>
      <c r="V174" s="107"/>
      <c r="W174" s="107"/>
      <c r="X174" s="107"/>
      <c r="Y174" s="107"/>
      <c r="Z174" s="107"/>
      <c r="AA174" s="107"/>
      <c r="AB174" s="107"/>
      <c r="AC174" s="107"/>
      <c r="AD174" s="107"/>
      <c r="AE174" s="130" t="s">
        <v>417</v>
      </c>
      <c r="AF174" s="131" t="s">
        <v>21</v>
      </c>
      <c r="AG174" s="107" t="s">
        <v>458</v>
      </c>
      <c r="AH174" s="107" t="s">
        <v>459</v>
      </c>
      <c r="AI174" s="107" t="s">
        <v>460</v>
      </c>
      <c r="AJ174" s="107"/>
    </row>
    <row r="175" ht="15.75" customHeight="1">
      <c r="A175" s="107" t="s">
        <v>461</v>
      </c>
      <c r="B175" s="107" t="s">
        <v>462</v>
      </c>
      <c r="C175" s="107" t="s">
        <v>21</v>
      </c>
      <c r="D175" s="107">
        <f>SUM(E175:F175)+LARGE(G175:N175, 1)+LARGE(G175:N175, 2)+LARGE(G175:N175, 3)</f>
        <v>0.00000000295</v>
      </c>
      <c r="E175" s="107">
        <f t="shared" ref="E175:N175" si="275">E7</f>
        <v>0.0000000001</v>
      </c>
      <c r="F175" s="107">
        <f t="shared" si="275"/>
        <v>0.0000000002</v>
      </c>
      <c r="G175" s="107">
        <f t="shared" si="275"/>
        <v>0.0000000003</v>
      </c>
      <c r="H175" s="107">
        <f t="shared" si="275"/>
        <v>0.0000000004</v>
      </c>
      <c r="I175" s="107">
        <f t="shared" si="275"/>
        <v>0.0000000005</v>
      </c>
      <c r="J175" s="107">
        <f t="shared" si="275"/>
        <v>0.0000000006</v>
      </c>
      <c r="K175" s="107">
        <f t="shared" si="275"/>
        <v>0.0000000007</v>
      </c>
      <c r="L175" s="107">
        <f t="shared" si="275"/>
        <v>0.0000000008</v>
      </c>
      <c r="M175" s="107">
        <f t="shared" si="275"/>
        <v>0.0000000009</v>
      </c>
      <c r="N175" s="107">
        <f t="shared" si="275"/>
        <v>0.00000000095</v>
      </c>
      <c r="O175" s="130"/>
      <c r="P175" s="131"/>
      <c r="Q175" s="107">
        <f t="shared" ref="Q175:T175" si="276">IF(OR(J1="音樂"),J7,0)</f>
        <v>0</v>
      </c>
      <c r="R175" s="107">
        <f t="shared" si="276"/>
        <v>0</v>
      </c>
      <c r="S175" s="107">
        <f t="shared" si="276"/>
        <v>0</v>
      </c>
      <c r="T175" s="107">
        <f t="shared" si="276"/>
        <v>0</v>
      </c>
      <c r="U175" s="107">
        <f t="array" ref="U175">INDEX(J$1:M$1,MATCH(LARGE(Q175:T175,1),Q175:T175,0))</f>
        <v>0</v>
      </c>
      <c r="V175" s="107">
        <f>IF(U175="音樂",1,0)</f>
        <v>0</v>
      </c>
      <c r="W175" s="107"/>
      <c r="X175" s="107"/>
      <c r="Y175" s="107"/>
      <c r="Z175" s="107"/>
      <c r="AA175" s="107"/>
      <c r="AB175" s="107"/>
      <c r="AC175" s="107"/>
      <c r="AD175" s="107"/>
      <c r="AE175" s="130" t="s">
        <v>417</v>
      </c>
      <c r="AF175" s="132" t="s">
        <v>21</v>
      </c>
      <c r="AG175" s="107" t="s">
        <v>463</v>
      </c>
      <c r="AH175" s="107" t="s">
        <v>464</v>
      </c>
      <c r="AI175" s="107" t="s">
        <v>465</v>
      </c>
      <c r="AJ175" s="107"/>
    </row>
    <row r="176" ht="15.75" customHeight="1">
      <c r="A176" s="107" t="s">
        <v>466</v>
      </c>
      <c r="B176" s="107" t="s">
        <v>467</v>
      </c>
      <c r="C176" s="107" t="s">
        <v>21</v>
      </c>
      <c r="D176" s="107">
        <f t="shared" ref="D176:D180" si="278">LARGE(E176:N176, 1)+LARGE(E176:N176, 2)+LARGE(E176:N176, 3)+LARGE(E176:N176, 4)+LARGE(E176:N176, 5)</f>
        <v>0.00000000395</v>
      </c>
      <c r="E176" s="107">
        <f t="shared" ref="E176:N176" si="277">E7</f>
        <v>0.0000000001</v>
      </c>
      <c r="F176" s="107">
        <f t="shared" si="277"/>
        <v>0.0000000002</v>
      </c>
      <c r="G176" s="107">
        <f t="shared" si="277"/>
        <v>0.0000000003</v>
      </c>
      <c r="H176" s="107">
        <f t="shared" si="277"/>
        <v>0.0000000004</v>
      </c>
      <c r="I176" s="107">
        <f t="shared" si="277"/>
        <v>0.0000000005</v>
      </c>
      <c r="J176" s="107">
        <f t="shared" si="277"/>
        <v>0.0000000006</v>
      </c>
      <c r="K176" s="107">
        <f t="shared" si="277"/>
        <v>0.0000000007</v>
      </c>
      <c r="L176" s="107">
        <f t="shared" si="277"/>
        <v>0.0000000008</v>
      </c>
      <c r="M176" s="107">
        <f t="shared" si="277"/>
        <v>0.0000000009</v>
      </c>
      <c r="N176" s="107">
        <f t="shared" si="277"/>
        <v>0.00000000095</v>
      </c>
      <c r="O176" s="130"/>
      <c r="P176" s="131"/>
      <c r="Q176" s="107"/>
      <c r="R176" s="107"/>
      <c r="S176" s="107"/>
      <c r="T176" s="107"/>
      <c r="U176" s="107"/>
      <c r="V176" s="107"/>
      <c r="W176" s="107"/>
      <c r="X176" s="107"/>
      <c r="Y176" s="107"/>
      <c r="Z176" s="107"/>
      <c r="AA176" s="107"/>
      <c r="AB176" s="107"/>
      <c r="AC176" s="107"/>
      <c r="AD176" s="107"/>
      <c r="AE176" s="130" t="s">
        <v>417</v>
      </c>
      <c r="AF176" s="132" t="s">
        <v>21</v>
      </c>
      <c r="AG176" s="107" t="s">
        <v>468</v>
      </c>
      <c r="AH176" s="107" t="s">
        <v>469</v>
      </c>
      <c r="AI176" s="107" t="s">
        <v>470</v>
      </c>
      <c r="AJ176" s="107"/>
    </row>
    <row r="177" ht="15.75" customHeight="1">
      <c r="A177" s="107" t="s">
        <v>471</v>
      </c>
      <c r="B177" s="107" t="s">
        <v>472</v>
      </c>
      <c r="C177" s="107" t="s">
        <v>21</v>
      </c>
      <c r="D177" s="107">
        <f t="shared" si="278"/>
        <v>0.00000000395</v>
      </c>
      <c r="E177" s="107">
        <f t="shared" ref="E177:N177" si="279">E7</f>
        <v>0.0000000001</v>
      </c>
      <c r="F177" s="107">
        <f t="shared" si="279"/>
        <v>0.0000000002</v>
      </c>
      <c r="G177" s="107">
        <f t="shared" si="279"/>
        <v>0.0000000003</v>
      </c>
      <c r="H177" s="107">
        <f t="shared" si="279"/>
        <v>0.0000000004</v>
      </c>
      <c r="I177" s="107">
        <f t="shared" si="279"/>
        <v>0.0000000005</v>
      </c>
      <c r="J177" s="107">
        <f t="shared" si="279"/>
        <v>0.0000000006</v>
      </c>
      <c r="K177" s="107">
        <f t="shared" si="279"/>
        <v>0.0000000007</v>
      </c>
      <c r="L177" s="107">
        <f t="shared" si="279"/>
        <v>0.0000000008</v>
      </c>
      <c r="M177" s="107">
        <f t="shared" si="279"/>
        <v>0.0000000009</v>
      </c>
      <c r="N177" s="107">
        <f t="shared" si="279"/>
        <v>0.00000000095</v>
      </c>
      <c r="O177" s="130"/>
      <c r="P177" s="131"/>
      <c r="Q177" s="107"/>
      <c r="R177" s="107"/>
      <c r="S177" s="107"/>
      <c r="T177" s="107"/>
      <c r="U177" s="107"/>
      <c r="V177" s="107"/>
      <c r="W177" s="107"/>
      <c r="X177" s="107"/>
      <c r="Y177" s="107"/>
      <c r="Z177" s="107"/>
      <c r="AA177" s="107"/>
      <c r="AB177" s="107"/>
      <c r="AC177" s="107"/>
      <c r="AD177" s="107"/>
      <c r="AE177" s="130" t="s">
        <v>417</v>
      </c>
      <c r="AF177" s="132" t="s">
        <v>21</v>
      </c>
      <c r="AG177" s="107" t="s">
        <v>473</v>
      </c>
      <c r="AH177" s="107" t="s">
        <v>474</v>
      </c>
      <c r="AI177" s="107" t="s">
        <v>475</v>
      </c>
      <c r="AJ177" s="107"/>
    </row>
    <row r="178" ht="15.75" customHeight="1">
      <c r="A178" s="107" t="s">
        <v>476</v>
      </c>
      <c r="B178" s="107" t="s">
        <v>477</v>
      </c>
      <c r="C178" s="107" t="s">
        <v>21</v>
      </c>
      <c r="D178" s="107">
        <f t="shared" si="278"/>
        <v>0.00000000395</v>
      </c>
      <c r="E178" s="107">
        <f t="shared" ref="E178:N178" si="280">IF(E16=FALSE,E7,E7*0.95)</f>
        <v>0.0000000001</v>
      </c>
      <c r="F178" s="107">
        <f t="shared" si="280"/>
        <v>0.0000000002</v>
      </c>
      <c r="G178" s="107">
        <f t="shared" si="280"/>
        <v>0.0000000003</v>
      </c>
      <c r="H178" s="107">
        <f t="shared" si="280"/>
        <v>0.0000000004</v>
      </c>
      <c r="I178" s="107">
        <f t="shared" si="280"/>
        <v>0.0000000005</v>
      </c>
      <c r="J178" s="107">
        <f t="shared" si="280"/>
        <v>0.0000000006</v>
      </c>
      <c r="K178" s="107">
        <f t="shared" si="280"/>
        <v>0.0000000007</v>
      </c>
      <c r="L178" s="107">
        <f t="shared" si="280"/>
        <v>0.0000000008</v>
      </c>
      <c r="M178" s="107">
        <f t="shared" si="280"/>
        <v>0.0000000009</v>
      </c>
      <c r="N178" s="107">
        <f t="shared" si="280"/>
        <v>0.00000000095</v>
      </c>
      <c r="O178" s="130" t="s">
        <v>417</v>
      </c>
      <c r="P178" s="131"/>
      <c r="Q178" s="107"/>
      <c r="R178" s="107"/>
      <c r="S178" s="107"/>
      <c r="T178" s="107"/>
      <c r="U178" s="107"/>
      <c r="V178" s="107"/>
      <c r="W178" s="107"/>
      <c r="X178" s="107"/>
      <c r="Y178" s="107"/>
      <c r="Z178" s="107"/>
      <c r="AA178" s="107"/>
      <c r="AB178" s="107"/>
      <c r="AC178" s="107"/>
      <c r="AD178" s="107"/>
      <c r="AE178" s="130" t="s">
        <v>439</v>
      </c>
      <c r="AF178" s="131" t="s">
        <v>478</v>
      </c>
      <c r="AG178" s="107" t="s">
        <v>479</v>
      </c>
      <c r="AH178" s="107" t="s">
        <v>480</v>
      </c>
      <c r="AI178" s="107" t="s">
        <v>481</v>
      </c>
      <c r="AJ178" s="107"/>
    </row>
    <row r="179" ht="15.75" customHeight="1">
      <c r="A179" s="107" t="s">
        <v>482</v>
      </c>
      <c r="B179" s="107" t="s">
        <v>483</v>
      </c>
      <c r="C179" s="107" t="s">
        <v>21</v>
      </c>
      <c r="D179" s="107">
        <f t="shared" si="278"/>
        <v>0.00000000395</v>
      </c>
      <c r="E179" s="107">
        <f t="shared" ref="E179:N179" si="281">E7</f>
        <v>0.0000000001</v>
      </c>
      <c r="F179" s="107">
        <f t="shared" si="281"/>
        <v>0.0000000002</v>
      </c>
      <c r="G179" s="107">
        <f t="shared" si="281"/>
        <v>0.0000000003</v>
      </c>
      <c r="H179" s="107">
        <f t="shared" si="281"/>
        <v>0.0000000004</v>
      </c>
      <c r="I179" s="107">
        <f t="shared" si="281"/>
        <v>0.0000000005</v>
      </c>
      <c r="J179" s="107">
        <f t="shared" si="281"/>
        <v>0.0000000006</v>
      </c>
      <c r="K179" s="107">
        <f t="shared" si="281"/>
        <v>0.0000000007</v>
      </c>
      <c r="L179" s="107">
        <f t="shared" si="281"/>
        <v>0.0000000008</v>
      </c>
      <c r="M179" s="107">
        <f t="shared" si="281"/>
        <v>0.0000000009</v>
      </c>
      <c r="N179" s="107">
        <f t="shared" si="281"/>
        <v>0.00000000095</v>
      </c>
      <c r="O179" s="130"/>
      <c r="P179" s="131"/>
      <c r="Q179" s="107"/>
      <c r="R179" s="107"/>
      <c r="S179" s="107"/>
      <c r="T179" s="107"/>
      <c r="U179" s="107"/>
      <c r="V179" s="107"/>
      <c r="W179" s="107"/>
      <c r="X179" s="107"/>
      <c r="Y179" s="107"/>
      <c r="Z179" s="107"/>
      <c r="AA179" s="107"/>
      <c r="AB179" s="107"/>
      <c r="AC179" s="107"/>
      <c r="AD179" s="107"/>
      <c r="AE179" s="130" t="s">
        <v>439</v>
      </c>
      <c r="AF179" s="131" t="s">
        <v>478</v>
      </c>
      <c r="AG179" s="107" t="s">
        <v>484</v>
      </c>
      <c r="AH179" s="107" t="s">
        <v>485</v>
      </c>
      <c r="AI179" s="107" t="s">
        <v>486</v>
      </c>
      <c r="AJ179" s="107"/>
    </row>
    <row r="180" ht="15.75" customHeight="1">
      <c r="A180" s="107" t="s">
        <v>487</v>
      </c>
      <c r="B180" s="107" t="s">
        <v>488</v>
      </c>
      <c r="C180" s="107" t="s">
        <v>21</v>
      </c>
      <c r="D180" s="107">
        <f t="shared" si="278"/>
        <v>0.00000000395</v>
      </c>
      <c r="E180" s="107">
        <f t="shared" ref="E180:N180" si="282">IF(E16=FALSE,E7,E7*0.95)</f>
        <v>0.0000000001</v>
      </c>
      <c r="F180" s="107">
        <f t="shared" si="282"/>
        <v>0.0000000002</v>
      </c>
      <c r="G180" s="107">
        <f t="shared" si="282"/>
        <v>0.0000000003</v>
      </c>
      <c r="H180" s="107">
        <f t="shared" si="282"/>
        <v>0.0000000004</v>
      </c>
      <c r="I180" s="107">
        <f t="shared" si="282"/>
        <v>0.0000000005</v>
      </c>
      <c r="J180" s="107">
        <f t="shared" si="282"/>
        <v>0.0000000006</v>
      </c>
      <c r="K180" s="107">
        <f t="shared" si="282"/>
        <v>0.0000000007</v>
      </c>
      <c r="L180" s="107">
        <f t="shared" si="282"/>
        <v>0.0000000008</v>
      </c>
      <c r="M180" s="107">
        <f t="shared" si="282"/>
        <v>0.0000000009</v>
      </c>
      <c r="N180" s="107">
        <f t="shared" si="282"/>
        <v>0.00000000095</v>
      </c>
      <c r="O180" s="130" t="s">
        <v>417</v>
      </c>
      <c r="P180" s="131"/>
      <c r="Q180" s="107"/>
      <c r="R180" s="107"/>
      <c r="S180" s="107"/>
      <c r="T180" s="107"/>
      <c r="U180" s="107"/>
      <c r="V180" s="107"/>
      <c r="W180" s="107"/>
      <c r="X180" s="107"/>
      <c r="Y180" s="107"/>
      <c r="Z180" s="107"/>
      <c r="AA180" s="107"/>
      <c r="AB180" s="107"/>
      <c r="AC180" s="107"/>
      <c r="AD180" s="107"/>
      <c r="AE180" s="130" t="s">
        <v>417</v>
      </c>
      <c r="AF180" s="131" t="s">
        <v>191</v>
      </c>
      <c r="AG180" s="107" t="s">
        <v>489</v>
      </c>
      <c r="AH180" s="107" t="s">
        <v>490</v>
      </c>
      <c r="AI180" s="107" t="s">
        <v>491</v>
      </c>
      <c r="AJ180" s="107"/>
    </row>
    <row r="181" ht="15.75" customHeight="1">
      <c r="A181" s="107" t="s">
        <v>492</v>
      </c>
      <c r="B181" s="107" t="s">
        <v>493</v>
      </c>
      <c r="C181" s="107" t="s">
        <v>191</v>
      </c>
      <c r="D181" s="107">
        <f>SUM(E181:H181)+LARGE(I181:N181,1)+LARGE(I181:N181,2)</f>
        <v>0.00000000285</v>
      </c>
      <c r="E181" s="107">
        <f t="shared" ref="E181:N181" si="283">IF(E16=FALSE,E7,E7*0.95)</f>
        <v>0.0000000001</v>
      </c>
      <c r="F181" s="107">
        <f t="shared" si="283"/>
        <v>0.0000000002</v>
      </c>
      <c r="G181" s="107">
        <f t="shared" si="283"/>
        <v>0.0000000003</v>
      </c>
      <c r="H181" s="107">
        <f t="shared" si="283"/>
        <v>0.0000000004</v>
      </c>
      <c r="I181" s="107">
        <f t="shared" si="283"/>
        <v>0.0000000005</v>
      </c>
      <c r="J181" s="107">
        <f t="shared" si="283"/>
        <v>0.0000000006</v>
      </c>
      <c r="K181" s="107">
        <f t="shared" si="283"/>
        <v>0.0000000007</v>
      </c>
      <c r="L181" s="107">
        <f t="shared" si="283"/>
        <v>0.0000000008</v>
      </c>
      <c r="M181" s="107">
        <f t="shared" si="283"/>
        <v>0.0000000009</v>
      </c>
      <c r="N181" s="107">
        <f t="shared" si="283"/>
        <v>0.00000000095</v>
      </c>
      <c r="O181" s="130" t="s">
        <v>417</v>
      </c>
      <c r="P181" s="131"/>
      <c r="Q181" s="107"/>
      <c r="R181" s="107"/>
      <c r="S181" s="107"/>
      <c r="T181" s="107"/>
      <c r="U181" s="107"/>
      <c r="V181" s="107"/>
      <c r="W181" s="107"/>
      <c r="X181" s="107"/>
      <c r="Y181" s="107"/>
      <c r="Z181" s="107"/>
      <c r="AA181" s="107"/>
      <c r="AB181" s="107"/>
      <c r="AC181" s="107"/>
      <c r="AD181" s="107"/>
      <c r="AE181" s="130" t="s">
        <v>439</v>
      </c>
      <c r="AF181" s="132" t="s">
        <v>191</v>
      </c>
      <c r="AG181" s="107" t="s">
        <v>494</v>
      </c>
      <c r="AH181" s="107" t="s">
        <v>495</v>
      </c>
      <c r="AI181" s="107" t="s">
        <v>496</v>
      </c>
      <c r="AJ181" s="107"/>
    </row>
    <row r="182" ht="15.75" customHeight="1">
      <c r="A182" s="107" t="s">
        <v>497</v>
      </c>
      <c r="B182" s="107" t="s">
        <v>498</v>
      </c>
      <c r="C182" s="133" t="s">
        <v>21</v>
      </c>
      <c r="D182" s="107">
        <f>LARGE(E182:N182, 1)+LARGE(E182:N182, 2)+LARGE(E182:N182, 3)+LARGE(E182:N182, 4)+LARGE(E182:N182, 5)</f>
        <v>0.00000000395</v>
      </c>
      <c r="E182" s="107">
        <f t="shared" ref="E182:N182" si="284">IF(E16=FALSE,E7,E7*0.95)</f>
        <v>0.0000000001</v>
      </c>
      <c r="F182" s="107">
        <f t="shared" si="284"/>
        <v>0.0000000002</v>
      </c>
      <c r="G182" s="107">
        <f t="shared" si="284"/>
        <v>0.0000000003</v>
      </c>
      <c r="H182" s="107">
        <f t="shared" si="284"/>
        <v>0.0000000004</v>
      </c>
      <c r="I182" s="107">
        <f t="shared" si="284"/>
        <v>0.0000000005</v>
      </c>
      <c r="J182" s="107">
        <f t="shared" si="284"/>
        <v>0.0000000006</v>
      </c>
      <c r="K182" s="107">
        <f t="shared" si="284"/>
        <v>0.0000000007</v>
      </c>
      <c r="L182" s="107">
        <f t="shared" si="284"/>
        <v>0.0000000008</v>
      </c>
      <c r="M182" s="107">
        <f t="shared" si="284"/>
        <v>0.0000000009</v>
      </c>
      <c r="N182" s="107">
        <f t="shared" si="284"/>
        <v>0.00000000095</v>
      </c>
      <c r="O182" s="130" t="s">
        <v>417</v>
      </c>
      <c r="P182" s="134"/>
      <c r="Q182" s="107"/>
      <c r="R182" s="107"/>
      <c r="S182" s="107"/>
      <c r="T182" s="107"/>
      <c r="U182" s="107"/>
      <c r="V182" s="107"/>
      <c r="W182" s="107"/>
      <c r="X182" s="107"/>
      <c r="Y182" s="107"/>
      <c r="Z182" s="107"/>
      <c r="AA182" s="107"/>
      <c r="AB182" s="107"/>
      <c r="AC182" s="107"/>
      <c r="AD182" s="107"/>
      <c r="AE182" s="130" t="s">
        <v>417</v>
      </c>
      <c r="AF182" s="132" t="s">
        <v>191</v>
      </c>
      <c r="AG182" s="107" t="s">
        <v>499</v>
      </c>
      <c r="AH182" s="107" t="s">
        <v>500</v>
      </c>
      <c r="AI182" s="107" t="s">
        <v>501</v>
      </c>
      <c r="AJ182" s="107"/>
    </row>
    <row r="183" ht="15.75" customHeight="1">
      <c r="A183" s="107" t="s">
        <v>502</v>
      </c>
      <c r="B183" s="107" t="s">
        <v>503</v>
      </c>
      <c r="C183" s="107" t="s">
        <v>21</v>
      </c>
      <c r="D183" s="107">
        <f t="array" ref="D183">IF(G183&gt;I183,SUM(F183,G183)+LARGE({E183,H183:N183},1)+LARGE({E183,H183:N183},2)+LARGE({E183,H183:N183},3),SUM(F183,I183)+LARGE({E183,G183:H183,J183:N183},1)+LARGE({E183,G183:H183,J183:N183},2)+LARGE({E183,G183:H183,J183:N183},3))</f>
        <v>0.00000000335</v>
      </c>
      <c r="E183" s="107">
        <f t="shared" ref="E183:N183" si="285">IF(E16=FALSE,E7,E7*0.9)</f>
        <v>0.0000000001</v>
      </c>
      <c r="F183" s="107">
        <f t="shared" si="285"/>
        <v>0.0000000002</v>
      </c>
      <c r="G183" s="107">
        <f t="shared" si="285"/>
        <v>0.0000000003</v>
      </c>
      <c r="H183" s="107">
        <f t="shared" si="285"/>
        <v>0.0000000004</v>
      </c>
      <c r="I183" s="107">
        <f t="shared" si="285"/>
        <v>0.0000000005</v>
      </c>
      <c r="J183" s="107">
        <f t="shared" si="285"/>
        <v>0.0000000006</v>
      </c>
      <c r="K183" s="107">
        <f t="shared" si="285"/>
        <v>0.0000000007</v>
      </c>
      <c r="L183" s="107">
        <f t="shared" si="285"/>
        <v>0.0000000008</v>
      </c>
      <c r="M183" s="107">
        <f t="shared" si="285"/>
        <v>0.0000000009</v>
      </c>
      <c r="N183" s="107">
        <f t="shared" si="285"/>
        <v>0.00000000095</v>
      </c>
      <c r="O183" s="130" t="s">
        <v>439</v>
      </c>
      <c r="P183" s="131"/>
      <c r="Q183" s="107"/>
      <c r="R183" s="107"/>
      <c r="S183" s="107"/>
      <c r="T183" s="107"/>
      <c r="U183" s="107"/>
      <c r="V183" s="107"/>
      <c r="W183" s="107"/>
      <c r="X183" s="107"/>
      <c r="Y183" s="107"/>
      <c r="Z183" s="107"/>
      <c r="AA183" s="107"/>
      <c r="AB183" s="107"/>
      <c r="AC183" s="107"/>
      <c r="AD183" s="107"/>
      <c r="AE183" s="107"/>
      <c r="AF183" s="107"/>
      <c r="AG183" s="107"/>
      <c r="AH183" s="107"/>
      <c r="AI183" s="107"/>
      <c r="AJ183" s="107"/>
    </row>
    <row r="184" ht="15.75" customHeight="1">
      <c r="A184" s="107" t="s">
        <v>504</v>
      </c>
      <c r="B184" s="107" t="s">
        <v>505</v>
      </c>
      <c r="C184" s="107" t="s">
        <v>21</v>
      </c>
      <c r="D184" s="107">
        <f t="shared" ref="D184:D185" si="287">LARGE(E184:N184, 1)+LARGE(E184:N184, 2)+LARGE(E184:N184, 3)+LARGE(E184:N184, 4)+LARGE(E184:N184, 5)</f>
        <v>0.00000000395</v>
      </c>
      <c r="E184" s="107">
        <f t="shared" ref="E184:N184" si="286">IF(E16=FALSE,E7,E7*0.95)</f>
        <v>0.0000000001</v>
      </c>
      <c r="F184" s="107">
        <f t="shared" si="286"/>
        <v>0.0000000002</v>
      </c>
      <c r="G184" s="107">
        <f t="shared" si="286"/>
        <v>0.0000000003</v>
      </c>
      <c r="H184" s="107">
        <f t="shared" si="286"/>
        <v>0.0000000004</v>
      </c>
      <c r="I184" s="107">
        <f t="shared" si="286"/>
        <v>0.0000000005</v>
      </c>
      <c r="J184" s="107">
        <f t="shared" si="286"/>
        <v>0.0000000006</v>
      </c>
      <c r="K184" s="107">
        <f t="shared" si="286"/>
        <v>0.0000000007</v>
      </c>
      <c r="L184" s="107">
        <f t="shared" si="286"/>
        <v>0.0000000008</v>
      </c>
      <c r="M184" s="107">
        <f t="shared" si="286"/>
        <v>0.0000000009</v>
      </c>
      <c r="N184" s="107">
        <f t="shared" si="286"/>
        <v>0.00000000095</v>
      </c>
      <c r="O184" s="130" t="s">
        <v>417</v>
      </c>
      <c r="P184" s="131"/>
      <c r="Q184" s="107"/>
      <c r="R184" s="107"/>
      <c r="S184" s="107"/>
      <c r="T184" s="107"/>
      <c r="U184" s="107"/>
      <c r="V184" s="107"/>
      <c r="W184" s="107"/>
      <c r="X184" s="107"/>
      <c r="Y184" s="107"/>
      <c r="Z184" s="107"/>
      <c r="AA184" s="107"/>
      <c r="AB184" s="107"/>
      <c r="AC184" s="107"/>
      <c r="AD184" s="107"/>
      <c r="AE184" s="107"/>
      <c r="AF184" s="107"/>
      <c r="AG184" s="107"/>
      <c r="AH184" s="107"/>
      <c r="AI184" s="107"/>
      <c r="AJ184" s="107"/>
    </row>
    <row r="185" ht="15.75" customHeight="1">
      <c r="A185" s="107" t="s">
        <v>506</v>
      </c>
      <c r="B185" s="107" t="s">
        <v>507</v>
      </c>
      <c r="C185" s="107" t="s">
        <v>21</v>
      </c>
      <c r="D185" s="107">
        <f t="shared" si="287"/>
        <v>0.0000000041</v>
      </c>
      <c r="E185" s="107">
        <f>IF(E16=FALSE,E7,E7*0.95)</f>
        <v>0.0000000001</v>
      </c>
      <c r="F185" s="107">
        <f t="shared" ref="F185:G185" si="288">IF(F16=FALSE,F7*2,F7*2*0.95)</f>
        <v>0.0000000004</v>
      </c>
      <c r="G185" s="107">
        <f t="shared" si="288"/>
        <v>0.0000000006</v>
      </c>
      <c r="H185" s="107">
        <f>IF(H16=FALSE,H7,H7*0.95)</f>
        <v>0.0000000004</v>
      </c>
      <c r="I185" s="107">
        <f t="shared" ref="I185:M185" si="289">IF(I16=FALSE,IF(I164=$V$186,I7*1.5,I7),IF(I164=$V$186,I7*1.5*0.95,I7*0.95))</f>
        <v>0.00000000075</v>
      </c>
      <c r="J185" s="107">
        <f t="shared" si="289"/>
        <v>0.0000000006</v>
      </c>
      <c r="K185" s="107">
        <f t="shared" si="289"/>
        <v>0.0000000007</v>
      </c>
      <c r="L185" s="107">
        <f t="shared" si="289"/>
        <v>0.0000000008</v>
      </c>
      <c r="M185" s="107">
        <f t="shared" si="289"/>
        <v>0.0000000009</v>
      </c>
      <c r="N185" s="107">
        <f>IF(N16=FALSE,N7,N7*0.95)</f>
        <v>0.00000000095</v>
      </c>
      <c r="O185" s="130" t="s">
        <v>417</v>
      </c>
      <c r="P185" s="134"/>
      <c r="Q185" s="109" t="str">
        <f t="shared" ref="Q185:U185" si="290">I1</f>
        <v>數學延伸</v>
      </c>
      <c r="R185" s="109">
        <f t="shared" si="290"/>
        <v>0</v>
      </c>
      <c r="S185" s="109">
        <f t="shared" si="290"/>
        <v>0</v>
      </c>
      <c r="T185" s="109">
        <f t="shared" si="290"/>
        <v>0</v>
      </c>
      <c r="U185" s="109">
        <f t="shared" si="290"/>
        <v>0</v>
      </c>
      <c r="V185" s="109" t="s">
        <v>433</v>
      </c>
      <c r="W185" s="107"/>
      <c r="X185" s="107"/>
      <c r="Y185" s="107"/>
      <c r="Z185" s="107"/>
      <c r="AA185" s="107"/>
      <c r="AB185" s="107"/>
      <c r="AC185" s="107"/>
      <c r="AD185" s="107"/>
      <c r="AE185" s="107"/>
      <c r="AF185" s="107"/>
      <c r="AG185" s="107"/>
      <c r="AH185" s="107"/>
      <c r="AI185" s="107"/>
      <c r="AJ185" s="107"/>
    </row>
    <row r="186" ht="15.75" customHeight="1">
      <c r="A186" s="107" t="s">
        <v>508</v>
      </c>
      <c r="B186" s="107" t="s">
        <v>509</v>
      </c>
      <c r="C186" s="133" t="s">
        <v>191</v>
      </c>
      <c r="D186" s="107">
        <f t="shared" ref="D186:D187" si="293">SUM(E186:H186)+LARGE(I186:N186,1)+LARGE(I186:N186,2)</f>
        <v>0.00000000285</v>
      </c>
      <c r="E186" s="107">
        <f t="shared" ref="E186:N186" si="291">E7</f>
        <v>0.0000000001</v>
      </c>
      <c r="F186" s="107">
        <f t="shared" si="291"/>
        <v>0.0000000002</v>
      </c>
      <c r="G186" s="107">
        <f t="shared" si="291"/>
        <v>0.0000000003</v>
      </c>
      <c r="H186" s="107">
        <f t="shared" si="291"/>
        <v>0.0000000004</v>
      </c>
      <c r="I186" s="107">
        <f t="shared" si="291"/>
        <v>0.0000000005</v>
      </c>
      <c r="J186" s="107">
        <f t="shared" si="291"/>
        <v>0.0000000006</v>
      </c>
      <c r="K186" s="107">
        <f t="shared" si="291"/>
        <v>0.0000000007</v>
      </c>
      <c r="L186" s="107">
        <f t="shared" si="291"/>
        <v>0.0000000008</v>
      </c>
      <c r="M186" s="107">
        <f t="shared" si="291"/>
        <v>0.0000000009</v>
      </c>
      <c r="N186" s="107">
        <f t="shared" si="291"/>
        <v>0.00000000095</v>
      </c>
      <c r="O186" s="130"/>
      <c r="P186" s="135"/>
      <c r="Q186" s="107">
        <f>I7</f>
        <v>0.0000000005</v>
      </c>
      <c r="R186" s="107">
        <f t="shared" ref="R186:U186" si="292">IF(OR(J1="物理",J1="化學"),J7,0)</f>
        <v>0</v>
      </c>
      <c r="S186" s="107">
        <f t="shared" si="292"/>
        <v>0</v>
      </c>
      <c r="T186" s="107">
        <f t="shared" si="292"/>
        <v>0</v>
      </c>
      <c r="U186" s="107">
        <f t="shared" si="292"/>
        <v>0</v>
      </c>
      <c r="V186" s="107" t="str">
        <f t="array" ref="V186">INDEX(I$1:M$1,MATCH(LARGE(Q186:U186,1),Q186:U186,0))</f>
        <v>數學延伸</v>
      </c>
      <c r="W186" s="107"/>
      <c r="X186" s="107"/>
      <c r="Y186" s="107"/>
      <c r="Z186" s="107"/>
      <c r="AA186" s="107"/>
      <c r="AB186" s="107"/>
      <c r="AC186" s="107"/>
      <c r="AD186" s="107"/>
      <c r="AE186" s="107"/>
      <c r="AF186" s="107"/>
      <c r="AG186" s="107"/>
      <c r="AH186" s="107"/>
      <c r="AI186" s="107"/>
      <c r="AJ186" s="107"/>
    </row>
    <row r="187" ht="15.75" customHeight="1">
      <c r="A187" s="107" t="s">
        <v>510</v>
      </c>
      <c r="B187" s="107" t="s">
        <v>511</v>
      </c>
      <c r="C187" s="107" t="s">
        <v>191</v>
      </c>
      <c r="D187" s="107">
        <f t="shared" si="293"/>
        <v>0.0000000035</v>
      </c>
      <c r="E187" s="107">
        <f>IF(E16=FALSE,E7*1.5,E7*1.5*0.95)</f>
        <v>0.00000000015</v>
      </c>
      <c r="F187" s="107">
        <f>IF(F16=FALSE,F7*2,F7*2*0.95)</f>
        <v>0.0000000004</v>
      </c>
      <c r="G187" s="107">
        <f>IF(G16=FALSE,G7,G7*0.95)</f>
        <v>0.0000000003</v>
      </c>
      <c r="H187" s="107">
        <f>IF(H16=FALSE,H7*2,H7*2*0.95)</f>
        <v>0.0000000008</v>
      </c>
      <c r="I187" s="107">
        <f t="shared" ref="I187:N187" si="294">IF(I16=FALSE,I7,I7*0.95)</f>
        <v>0.0000000005</v>
      </c>
      <c r="J187" s="107">
        <f t="shared" si="294"/>
        <v>0.0000000006</v>
      </c>
      <c r="K187" s="107">
        <f t="shared" si="294"/>
        <v>0.0000000007</v>
      </c>
      <c r="L187" s="107">
        <f t="shared" si="294"/>
        <v>0.0000000008</v>
      </c>
      <c r="M187" s="107">
        <f t="shared" si="294"/>
        <v>0.0000000009</v>
      </c>
      <c r="N187" s="107">
        <f t="shared" si="294"/>
        <v>0.00000000095</v>
      </c>
      <c r="O187" s="130" t="s">
        <v>417</v>
      </c>
      <c r="P187" s="132"/>
      <c r="Q187" s="107"/>
      <c r="R187" s="107"/>
      <c r="S187" s="107"/>
      <c r="T187" s="107"/>
      <c r="U187" s="107"/>
      <c r="V187" s="107"/>
      <c r="W187" s="107"/>
      <c r="X187" s="107"/>
      <c r="Y187" s="107"/>
      <c r="Z187" s="107"/>
      <c r="AA187" s="107"/>
      <c r="AB187" s="107"/>
      <c r="AC187" s="107"/>
      <c r="AD187" s="107"/>
      <c r="AE187" s="107"/>
      <c r="AF187" s="107"/>
      <c r="AG187" s="107"/>
      <c r="AH187" s="107"/>
      <c r="AI187" s="107"/>
      <c r="AJ187" s="107"/>
    </row>
    <row r="188" ht="15.75" customHeight="1">
      <c r="A188" s="107" t="s">
        <v>512</v>
      </c>
      <c r="B188" s="107" t="s">
        <v>513</v>
      </c>
      <c r="C188" s="133" t="s">
        <v>21</v>
      </c>
      <c r="D188" s="107">
        <f t="shared" ref="D188:D189" si="297">LARGE(E188:N188, 1)+LARGE(E188:N188, 2)+LARGE(E188:N188, 3)+LARGE(E188:N188, 4)+LARGE(E188:N188, 5)</f>
        <v>0.00000000435</v>
      </c>
      <c r="E188" s="107">
        <f>E7</f>
        <v>0.0000000001</v>
      </c>
      <c r="F188" s="107">
        <f t="shared" ref="F188:G188" si="295">F7*2</f>
        <v>0.0000000004</v>
      </c>
      <c r="G188" s="107">
        <f t="shared" si="295"/>
        <v>0.0000000006</v>
      </c>
      <c r="H188" s="107">
        <f>H7</f>
        <v>0.0000000004</v>
      </c>
      <c r="I188" s="107">
        <f>I7*2</f>
        <v>0.000000001</v>
      </c>
      <c r="J188" s="107">
        <f t="shared" ref="J188:N188" si="296">J7</f>
        <v>0.0000000006</v>
      </c>
      <c r="K188" s="107">
        <f t="shared" si="296"/>
        <v>0.0000000007</v>
      </c>
      <c r="L188" s="107">
        <f t="shared" si="296"/>
        <v>0.0000000008</v>
      </c>
      <c r="M188" s="107">
        <f t="shared" si="296"/>
        <v>0.0000000009</v>
      </c>
      <c r="N188" s="107">
        <f t="shared" si="296"/>
        <v>0.00000000095</v>
      </c>
      <c r="O188" s="130"/>
      <c r="P188" s="134"/>
      <c r="Q188" s="107"/>
      <c r="R188" s="107"/>
      <c r="S188" s="107"/>
      <c r="T188" s="107"/>
      <c r="U188" s="107"/>
      <c r="V188" s="107"/>
      <c r="W188" s="107"/>
      <c r="X188" s="107"/>
      <c r="Y188" s="107"/>
      <c r="Z188" s="107"/>
      <c r="AA188" s="107"/>
      <c r="AB188" s="107"/>
      <c r="AC188" s="107"/>
      <c r="AD188" s="107"/>
      <c r="AE188" s="107"/>
      <c r="AF188" s="107"/>
      <c r="AG188" s="107"/>
      <c r="AH188" s="107"/>
      <c r="AI188" s="107"/>
      <c r="AJ188" s="107"/>
    </row>
    <row r="189" ht="15.75" customHeight="1">
      <c r="A189" s="107" t="s">
        <v>514</v>
      </c>
      <c r="B189" s="107" t="s">
        <v>515</v>
      </c>
      <c r="C189" s="107" t="s">
        <v>21</v>
      </c>
      <c r="D189" s="107">
        <f t="shared" si="297"/>
        <v>0.00000000395</v>
      </c>
      <c r="E189" s="107">
        <f t="shared" ref="E189:N189" si="298">IF(E16=FALSE,E7,E7*0.95)</f>
        <v>0.0000000001</v>
      </c>
      <c r="F189" s="107">
        <f t="shared" si="298"/>
        <v>0.0000000002</v>
      </c>
      <c r="G189" s="107">
        <f t="shared" si="298"/>
        <v>0.0000000003</v>
      </c>
      <c r="H189" s="107">
        <f t="shared" si="298"/>
        <v>0.0000000004</v>
      </c>
      <c r="I189" s="107">
        <f t="shared" si="298"/>
        <v>0.0000000005</v>
      </c>
      <c r="J189" s="107">
        <f t="shared" si="298"/>
        <v>0.0000000006</v>
      </c>
      <c r="K189" s="107">
        <f t="shared" si="298"/>
        <v>0.0000000007</v>
      </c>
      <c r="L189" s="107">
        <f t="shared" si="298"/>
        <v>0.0000000008</v>
      </c>
      <c r="M189" s="107">
        <f t="shared" si="298"/>
        <v>0.0000000009</v>
      </c>
      <c r="N189" s="107">
        <f t="shared" si="298"/>
        <v>0.00000000095</v>
      </c>
      <c r="O189" s="130" t="s">
        <v>417</v>
      </c>
      <c r="P189" s="131"/>
      <c r="Q189" s="107"/>
      <c r="R189" s="107"/>
      <c r="S189" s="107"/>
      <c r="T189" s="107"/>
      <c r="U189" s="107"/>
      <c r="V189" s="107"/>
      <c r="W189" s="107"/>
      <c r="X189" s="107"/>
      <c r="Y189" s="107"/>
      <c r="Z189" s="107"/>
      <c r="AA189" s="107"/>
      <c r="AB189" s="107"/>
      <c r="AC189" s="107"/>
      <c r="AD189" s="107"/>
      <c r="AE189" s="107"/>
      <c r="AF189" s="107"/>
      <c r="AG189" s="107"/>
      <c r="AH189" s="107"/>
      <c r="AI189" s="107"/>
      <c r="AJ189" s="107"/>
    </row>
    <row r="190" ht="15.75" customHeight="1">
      <c r="A190" s="107" t="s">
        <v>516</v>
      </c>
      <c r="B190" s="107" t="s">
        <v>517</v>
      </c>
      <c r="C190" s="107" t="s">
        <v>21</v>
      </c>
      <c r="D190" s="107">
        <f>E190+LARGE(F190:N190, 1)+LARGE(F190:N190, 2)+LARGE(F190:N190, 3)+LARGE(F190:N190, 4)</f>
        <v>0.0000000035</v>
      </c>
      <c r="E190" s="107">
        <f>IF(E16=FALSE,E7*1.5,E7*1.5*0.95)</f>
        <v>0.00000000015</v>
      </c>
      <c r="F190" s="107">
        <f t="shared" ref="F190:N190" si="299">IF(F16=FALSE,F7,F7*0.95)</f>
        <v>0.0000000002</v>
      </c>
      <c r="G190" s="107">
        <f t="shared" si="299"/>
        <v>0.0000000003</v>
      </c>
      <c r="H190" s="107">
        <f t="shared" si="299"/>
        <v>0.0000000004</v>
      </c>
      <c r="I190" s="107">
        <f t="shared" si="299"/>
        <v>0.0000000005</v>
      </c>
      <c r="J190" s="107">
        <f t="shared" si="299"/>
        <v>0.0000000006</v>
      </c>
      <c r="K190" s="107">
        <f t="shared" si="299"/>
        <v>0.0000000007</v>
      </c>
      <c r="L190" s="107">
        <f t="shared" si="299"/>
        <v>0.0000000008</v>
      </c>
      <c r="M190" s="107">
        <f t="shared" si="299"/>
        <v>0.0000000009</v>
      </c>
      <c r="N190" s="107">
        <f t="shared" si="299"/>
        <v>0.00000000095</v>
      </c>
      <c r="O190" s="130" t="s">
        <v>417</v>
      </c>
      <c r="P190" s="132"/>
      <c r="Q190" s="107"/>
      <c r="R190" s="107"/>
      <c r="S190" s="107"/>
      <c r="T190" s="107"/>
      <c r="U190" s="107"/>
      <c r="V190" s="107"/>
      <c r="W190" s="107"/>
      <c r="X190" s="107"/>
      <c r="Y190" s="107"/>
      <c r="Z190" s="107"/>
      <c r="AA190" s="107"/>
      <c r="AB190" s="107"/>
      <c r="AC190" s="107"/>
      <c r="AD190" s="107"/>
      <c r="AE190" s="107"/>
      <c r="AF190" s="107"/>
      <c r="AG190" s="107"/>
      <c r="AH190" s="107"/>
      <c r="AI190" s="107"/>
      <c r="AJ190" s="107"/>
    </row>
    <row r="191" ht="15.75" customHeight="1">
      <c r="A191" s="107" t="s">
        <v>518</v>
      </c>
      <c r="B191" s="107" t="s">
        <v>519</v>
      </c>
      <c r="C191" s="107" t="s">
        <v>21</v>
      </c>
      <c r="D191" s="107">
        <f t="array" ref="D191">F191+LARGE({E191,G191:N191},1)+LARGE({E191,G191:N191},2)+LARGE({E191,G191:N191},3)+LARGE({E191,G191:N191},4)</f>
        <v>0.00000000365</v>
      </c>
      <c r="E191" s="107">
        <f>IF(E16=FALSE,E7,E7*0.95)</f>
        <v>0.0000000001</v>
      </c>
      <c r="F191" s="107">
        <f>IF(F16=FALSE,F7*1.5,F7*1.5*0.95)</f>
        <v>0.0000000003</v>
      </c>
      <c r="G191" s="107">
        <f t="shared" ref="G191:N191" si="300">IF(G16=FALSE,G7,G7*0.95)</f>
        <v>0.0000000003</v>
      </c>
      <c r="H191" s="107">
        <f t="shared" si="300"/>
        <v>0.0000000004</v>
      </c>
      <c r="I191" s="107">
        <f t="shared" si="300"/>
        <v>0.0000000005</v>
      </c>
      <c r="J191" s="107">
        <f t="shared" si="300"/>
        <v>0.0000000006</v>
      </c>
      <c r="K191" s="107">
        <f t="shared" si="300"/>
        <v>0.0000000007</v>
      </c>
      <c r="L191" s="107">
        <f t="shared" si="300"/>
        <v>0.0000000008</v>
      </c>
      <c r="M191" s="107">
        <f t="shared" si="300"/>
        <v>0.0000000009</v>
      </c>
      <c r="N191" s="107">
        <f t="shared" si="300"/>
        <v>0.00000000095</v>
      </c>
      <c r="O191" s="130" t="s">
        <v>417</v>
      </c>
      <c r="P191" s="132"/>
      <c r="Q191" s="107"/>
      <c r="S191" s="109" t="s">
        <v>29</v>
      </c>
      <c r="T191" s="109"/>
      <c r="U191" s="109" t="s">
        <v>173</v>
      </c>
      <c r="V191" s="107"/>
      <c r="W191" s="109" t="s">
        <v>520</v>
      </c>
      <c r="X191" s="107"/>
      <c r="Y191" s="107"/>
      <c r="Z191" s="107"/>
      <c r="AA191" s="107"/>
      <c r="AB191" s="107"/>
      <c r="AC191" s="107"/>
      <c r="AD191" s="107"/>
      <c r="AE191" s="107"/>
      <c r="AF191" s="107"/>
      <c r="AG191" s="107"/>
      <c r="AH191" s="107"/>
      <c r="AI191" s="107"/>
      <c r="AJ191" s="107"/>
    </row>
    <row r="192" ht="15.75" customHeight="1">
      <c r="A192" s="107" t="s">
        <v>521</v>
      </c>
      <c r="B192" s="107" t="s">
        <v>522</v>
      </c>
      <c r="C192" s="107" t="s">
        <v>21</v>
      </c>
      <c r="D192" s="107">
        <f t="array" ref="D192">G192+I192+LARGE({E192:F192,H192,J192:N192},1)+LARGE({E192:F192,H192,J192:N192},2)+LARGE({E192:F192,H192,J192:N192},3)</f>
        <v>0.00000000385</v>
      </c>
      <c r="E192" s="107">
        <f t="shared" ref="E192:G192" si="301">IF(E16=FALSE,E7*1.5,E7*1.5*0.95)</f>
        <v>0.00000000015</v>
      </c>
      <c r="F192" s="107">
        <f t="shared" si="301"/>
        <v>0.0000000003</v>
      </c>
      <c r="G192" s="107">
        <f t="shared" si="301"/>
        <v>0.00000000045</v>
      </c>
      <c r="H192" s="107">
        <f>IF(H16=FALSE,H7,H7*0.95)</f>
        <v>0.0000000004</v>
      </c>
      <c r="I192" s="107">
        <f>IF(I16=FALSE,I7*1.5,I7*1.5*0.95)</f>
        <v>0.00000000075</v>
      </c>
      <c r="J192" s="107">
        <f t="shared" ref="J192:N192" si="302">IF(J16=FALSE,J7,J7*0.95)</f>
        <v>0.0000000006</v>
      </c>
      <c r="K192" s="107">
        <f t="shared" si="302"/>
        <v>0.0000000007</v>
      </c>
      <c r="L192" s="107">
        <f t="shared" si="302"/>
        <v>0.0000000008</v>
      </c>
      <c r="M192" s="107">
        <f t="shared" si="302"/>
        <v>0.0000000009</v>
      </c>
      <c r="N192" s="107">
        <f t="shared" si="302"/>
        <v>0.00000000095</v>
      </c>
      <c r="O192" s="130" t="s">
        <v>417</v>
      </c>
      <c r="P192" s="132"/>
      <c r="Q192" s="107"/>
      <c r="S192" s="107">
        <f>G7</f>
        <v>0.0000000003</v>
      </c>
      <c r="T192" s="107"/>
      <c r="U192" s="107">
        <f>I7</f>
        <v>0.0000000005</v>
      </c>
      <c r="V192" s="107"/>
      <c r="W192" s="107" t="str">
        <f t="array" ref="W192">INDEX(G$1:I$1,MATCH(LARGE(S192:U192,1),S192:U192,0))</f>
        <v>數學延伸</v>
      </c>
      <c r="X192" s="107"/>
      <c r="Y192" s="107"/>
      <c r="Z192" s="107"/>
      <c r="AA192" s="107"/>
      <c r="AB192" s="107"/>
      <c r="AC192" s="107"/>
      <c r="AD192" s="107"/>
      <c r="AE192" s="107"/>
      <c r="AF192" s="107"/>
      <c r="AG192" s="107"/>
      <c r="AH192" s="107"/>
      <c r="AI192" s="107"/>
      <c r="AJ192" s="107"/>
    </row>
    <row r="193" ht="15.75" customHeight="1">
      <c r="A193" s="107" t="s">
        <v>523</v>
      </c>
      <c r="B193" s="107" t="s">
        <v>524</v>
      </c>
      <c r="C193" s="107" t="s">
        <v>21</v>
      </c>
      <c r="D193" s="107">
        <f t="shared" ref="D193:D199" si="304">LARGE(E193:N193, 1)+LARGE(E193:N193, 2)+LARGE(E193:N193, 3)+LARGE(E193:N193, 4)+LARGE(E193:N193, 5)</f>
        <v>0.00000000395</v>
      </c>
      <c r="E193" s="107">
        <f t="shared" ref="E193:N193" si="303">E7</f>
        <v>0.0000000001</v>
      </c>
      <c r="F193" s="107">
        <f t="shared" si="303"/>
        <v>0.0000000002</v>
      </c>
      <c r="G193" s="107">
        <f t="shared" si="303"/>
        <v>0.0000000003</v>
      </c>
      <c r="H193" s="107">
        <f t="shared" si="303"/>
        <v>0.0000000004</v>
      </c>
      <c r="I193" s="107">
        <f t="shared" si="303"/>
        <v>0.0000000005</v>
      </c>
      <c r="J193" s="107">
        <f t="shared" si="303"/>
        <v>0.0000000006</v>
      </c>
      <c r="K193" s="107">
        <f t="shared" si="303"/>
        <v>0.0000000007</v>
      </c>
      <c r="L193" s="107">
        <f t="shared" si="303"/>
        <v>0.0000000008</v>
      </c>
      <c r="M193" s="107">
        <f t="shared" si="303"/>
        <v>0.0000000009</v>
      </c>
      <c r="N193" s="107">
        <f t="shared" si="303"/>
        <v>0.00000000095</v>
      </c>
      <c r="O193" s="130"/>
      <c r="P193" s="131"/>
      <c r="Q193" s="136" t="s">
        <v>525</v>
      </c>
      <c r="W193" s="107"/>
      <c r="X193" s="107"/>
      <c r="Y193" s="107"/>
      <c r="Z193" s="107"/>
      <c r="AA193" s="107"/>
      <c r="AB193" s="107"/>
      <c r="AC193" s="107"/>
      <c r="AD193" s="107"/>
      <c r="AE193" s="107"/>
      <c r="AF193" s="107"/>
      <c r="AG193" s="107"/>
      <c r="AH193" s="107"/>
      <c r="AI193" s="107"/>
      <c r="AJ193" s="107"/>
    </row>
    <row r="194" ht="15.75" customHeight="1">
      <c r="A194" s="107" t="s">
        <v>526</v>
      </c>
      <c r="B194" s="107" t="s">
        <v>527</v>
      </c>
      <c r="C194" s="107" t="s">
        <v>21</v>
      </c>
      <c r="D194" s="107">
        <f t="shared" si="304"/>
        <v>0.000000004225</v>
      </c>
      <c r="E194" s="107">
        <f t="shared" ref="E194:F194" si="305">E7</f>
        <v>0.0000000001</v>
      </c>
      <c r="F194" s="107">
        <f t="shared" si="305"/>
        <v>0.0000000002</v>
      </c>
      <c r="G194" s="107">
        <f>G7*1.5</f>
        <v>0.00000000045</v>
      </c>
      <c r="H194" s="107">
        <f>H7*0.5</f>
        <v>0.0000000002</v>
      </c>
      <c r="I194" s="107">
        <f>I7*1.75</f>
        <v>0.000000000875</v>
      </c>
      <c r="J194" s="107">
        <f t="shared" ref="J194:M194" si="306">IF(OR(J1="物理",J1="化學",J1="生物",J1="組合科學(物理、化學)",J1="組合科學(生物、化學)",J1="組合科學(物理、生物)",J1="資訊及通訊科技",J1="設計與應用科技"),J7*1.5,J7)</f>
        <v>0.0000000006</v>
      </c>
      <c r="K194" s="107">
        <f t="shared" si="306"/>
        <v>0.0000000007</v>
      </c>
      <c r="L194" s="107">
        <f t="shared" si="306"/>
        <v>0.0000000008</v>
      </c>
      <c r="M194" s="107">
        <f t="shared" si="306"/>
        <v>0.0000000009</v>
      </c>
      <c r="N194" s="107">
        <f>N7</f>
        <v>0.00000000095</v>
      </c>
      <c r="O194" s="130"/>
      <c r="P194" s="132"/>
      <c r="Q194" s="107" t="str">
        <f t="shared" ref="Q194:T194" si="307">E1</f>
        <v>中國語文</v>
      </c>
      <c r="R194" s="107" t="str">
        <f t="shared" si="307"/>
        <v>英國語文</v>
      </c>
      <c r="S194" s="107" t="str">
        <f t="shared" si="307"/>
        <v>數學</v>
      </c>
      <c r="T194" s="107" t="str">
        <f t="shared" si="307"/>
        <v>通識教育</v>
      </c>
      <c r="U194" s="107">
        <f t="shared" ref="U194:Y194" si="308">J1</f>
        <v>0</v>
      </c>
      <c r="V194" s="107">
        <f t="shared" si="308"/>
        <v>0</v>
      </c>
      <c r="W194" s="107">
        <f t="shared" si="308"/>
        <v>0</v>
      </c>
      <c r="X194" s="107">
        <f t="shared" si="308"/>
        <v>0</v>
      </c>
      <c r="Y194" s="107">
        <f t="shared" si="308"/>
        <v>0</v>
      </c>
      <c r="Z194" s="107"/>
      <c r="AA194" s="107"/>
      <c r="AB194" s="107"/>
      <c r="AC194" s="107"/>
      <c r="AD194" s="107"/>
      <c r="AE194" s="107"/>
      <c r="AF194" s="107"/>
      <c r="AG194" s="107"/>
      <c r="AH194" s="107"/>
      <c r="AI194" s="107"/>
      <c r="AJ194" s="107"/>
    </row>
    <row r="195" ht="15.75" customHeight="1">
      <c r="A195" s="107" t="s">
        <v>528</v>
      </c>
      <c r="B195" s="107" t="s">
        <v>529</v>
      </c>
      <c r="C195" s="107" t="s">
        <v>21</v>
      </c>
      <c r="D195" s="107">
        <f t="shared" si="304"/>
        <v>0.000000004225</v>
      </c>
      <c r="E195" s="107">
        <f t="shared" ref="E195:F195" si="309">E7*1.25</f>
        <v>0.000000000125</v>
      </c>
      <c r="F195" s="107">
        <f t="shared" si="309"/>
        <v>0.00000000025</v>
      </c>
      <c r="G195" s="107">
        <f>G7*1.75</f>
        <v>0.000000000525</v>
      </c>
      <c r="H195" s="107">
        <f>H7</f>
        <v>0.0000000004</v>
      </c>
      <c r="I195" s="107">
        <f>I7*1.75</f>
        <v>0.000000000875</v>
      </c>
      <c r="J195" s="107">
        <f t="shared" ref="J195:M195" si="310">IF(OR(J1="物理",J1="化學",J1="生物",J1="組合科學(物理、化學)",J1="組合科學(生物、化學)",J1="組合科學(物理、生物)",J1="資訊及通訊科技",J1="經濟",J1="企業、會計與財務概論"),J7*1.5,J7)</f>
        <v>0.0000000006</v>
      </c>
      <c r="K195" s="107">
        <f t="shared" si="310"/>
        <v>0.0000000007</v>
      </c>
      <c r="L195" s="107">
        <f t="shared" si="310"/>
        <v>0.0000000008</v>
      </c>
      <c r="M195" s="107">
        <f t="shared" si="310"/>
        <v>0.0000000009</v>
      </c>
      <c r="N195" s="107">
        <f>N7</f>
        <v>0.00000000095</v>
      </c>
      <c r="O195" s="130"/>
      <c r="P195" s="132"/>
      <c r="Q195" s="107">
        <f t="shared" ref="Q195:T195" si="311">IF(E16=TRUE,E14*0.9,E14)</f>
        <v>0.0000000001</v>
      </c>
      <c r="R195" s="107">
        <f t="shared" si="311"/>
        <v>0.0000000002</v>
      </c>
      <c r="S195" s="107">
        <f t="shared" si="311"/>
        <v>0.0000000003</v>
      </c>
      <c r="T195" s="107">
        <f t="shared" si="311"/>
        <v>0.0000000004</v>
      </c>
      <c r="U195" s="107">
        <f t="shared" ref="U195:Y195" si="312">IF(J16=TRUE,J14*0.9,J14)</f>
        <v>0</v>
      </c>
      <c r="V195" s="107">
        <f t="shared" si="312"/>
        <v>0</v>
      </c>
      <c r="W195" s="107">
        <f t="shared" si="312"/>
        <v>0</v>
      </c>
      <c r="X195" s="107">
        <f t="shared" si="312"/>
        <v>0</v>
      </c>
      <c r="Y195" s="107">
        <f t="shared" si="312"/>
        <v>0</v>
      </c>
      <c r="Z195" s="107"/>
      <c r="AA195" s="107"/>
      <c r="AB195" s="107"/>
      <c r="AC195" s="107"/>
      <c r="AD195" s="107"/>
      <c r="AE195" s="107"/>
      <c r="AF195" s="107"/>
      <c r="AG195" s="107"/>
      <c r="AH195" s="107"/>
      <c r="AI195" s="107"/>
      <c r="AJ195" s="107"/>
    </row>
    <row r="196" ht="15.75" customHeight="1">
      <c r="A196" s="107" t="s">
        <v>530</v>
      </c>
      <c r="B196" s="107" t="s">
        <v>531</v>
      </c>
      <c r="C196" s="107" t="s">
        <v>21</v>
      </c>
      <c r="D196" s="107">
        <f t="shared" si="304"/>
        <v>0.0000000041</v>
      </c>
      <c r="E196" s="107">
        <f t="shared" ref="E196:F196" si="313">E7</f>
        <v>0.0000000001</v>
      </c>
      <c r="F196" s="107">
        <f t="shared" si="313"/>
        <v>0.0000000002</v>
      </c>
      <c r="G196" s="107">
        <f>G7*1.5</f>
        <v>0.00000000045</v>
      </c>
      <c r="H196" s="107">
        <f>H7</f>
        <v>0.0000000004</v>
      </c>
      <c r="I196" s="107">
        <f>I7*1.5</f>
        <v>0.00000000075</v>
      </c>
      <c r="J196" s="107">
        <f t="shared" ref="J196:M196" si="314">IF(OR(J1="物理"),J7*1.5,J7)</f>
        <v>0.0000000006</v>
      </c>
      <c r="K196" s="107">
        <f t="shared" si="314"/>
        <v>0.0000000007</v>
      </c>
      <c r="L196" s="107">
        <f t="shared" si="314"/>
        <v>0.0000000008</v>
      </c>
      <c r="M196" s="107">
        <f t="shared" si="314"/>
        <v>0.0000000009</v>
      </c>
      <c r="N196" s="107">
        <f>N7</f>
        <v>0.00000000095</v>
      </c>
      <c r="O196" s="130"/>
      <c r="P196" s="132"/>
      <c r="Q196" s="107"/>
      <c r="R196" s="107"/>
      <c r="S196" s="107"/>
      <c r="T196" s="107"/>
      <c r="U196" s="107">
        <f>RANK(U195,$U$195:$Y$195,1)</f>
        <v>1</v>
      </c>
      <c r="V196" s="107">
        <f t="shared" ref="V196:Y196" si="315">RANK(V195,$U$195:$Y$195,0)</f>
        <v>1</v>
      </c>
      <c r="W196" s="107">
        <f t="shared" si="315"/>
        <v>1</v>
      </c>
      <c r="X196" s="107">
        <f t="shared" si="315"/>
        <v>1</v>
      </c>
      <c r="Y196" s="107">
        <f t="shared" si="315"/>
        <v>1</v>
      </c>
      <c r="Z196" s="107"/>
      <c r="AA196" s="136" t="s">
        <v>532</v>
      </c>
      <c r="AB196" s="107">
        <f t="array" ref="AB196">INDEX(Q$194:Y$194,MATCH(SMALL(Q197:Y197,1),Q197:Y197,0))</f>
        <v>0</v>
      </c>
      <c r="AC196" s="107" t="str">
        <f>I1</f>
        <v>數學延伸</v>
      </c>
      <c r="AD196" s="107"/>
      <c r="AE196" s="107"/>
      <c r="AF196" s="107"/>
      <c r="AG196" s="107"/>
      <c r="AH196" s="107"/>
      <c r="AI196" s="107"/>
      <c r="AJ196" s="107"/>
    </row>
    <row r="197" ht="15.75" customHeight="1">
      <c r="A197" s="107" t="s">
        <v>533</v>
      </c>
      <c r="B197" s="107" t="s">
        <v>534</v>
      </c>
      <c r="C197" s="107" t="s">
        <v>21</v>
      </c>
      <c r="D197" s="107">
        <f t="shared" si="304"/>
        <v>0.0000000041</v>
      </c>
      <c r="E197" s="107">
        <f>E7</f>
        <v>0.0000000001</v>
      </c>
      <c r="F197" s="107">
        <f>F7*1.5</f>
        <v>0.0000000003</v>
      </c>
      <c r="G197" s="107">
        <f>IF(G1=W192,G7*1.5,G7)</f>
        <v>0.0000000003</v>
      </c>
      <c r="H197" s="107">
        <f>H7</f>
        <v>0.0000000004</v>
      </c>
      <c r="I197" s="107">
        <f>IF(I1=W192,I7*1.5,I7)</f>
        <v>0.00000000075</v>
      </c>
      <c r="J197" s="107">
        <f t="shared" ref="J197:M197" si="316">IF(OR(J1="物理",J1="化學",J1="生物",J1="組合科學(物理、化學)",J1="組合科學(生物、化學)",J1="組合科學(物理、生物)"),J7*1.5,J7)</f>
        <v>0.0000000006</v>
      </c>
      <c r="K197" s="107">
        <f t="shared" si="316"/>
        <v>0.0000000007</v>
      </c>
      <c r="L197" s="107">
        <f t="shared" si="316"/>
        <v>0.0000000008</v>
      </c>
      <c r="M197" s="107">
        <f t="shared" si="316"/>
        <v>0.0000000009</v>
      </c>
      <c r="N197" s="107">
        <f>N7</f>
        <v>0.00000000095</v>
      </c>
      <c r="O197" s="130"/>
      <c r="P197" s="132"/>
      <c r="Q197" s="107">
        <f t="shared" ref="Q197:T197" si="317">Q195</f>
        <v>0.0000000001</v>
      </c>
      <c r="R197" s="107">
        <f t="shared" si="317"/>
        <v>0.0000000002</v>
      </c>
      <c r="S197" s="107">
        <f t="shared" si="317"/>
        <v>0.0000000003</v>
      </c>
      <c r="T197" s="107">
        <f t="shared" si="317"/>
        <v>0.0000000004</v>
      </c>
      <c r="U197" s="137">
        <f t="shared" ref="U197:Y197" si="318">IF(U196&gt;3,"",U195)</f>
        <v>0</v>
      </c>
      <c r="V197" s="137">
        <f t="shared" si="318"/>
        <v>0</v>
      </c>
      <c r="W197" s="137">
        <f t="shared" si="318"/>
        <v>0</v>
      </c>
      <c r="X197" s="137">
        <f t="shared" si="318"/>
        <v>0</v>
      </c>
      <c r="Y197" s="137">
        <f t="shared" si="318"/>
        <v>0</v>
      </c>
      <c r="Z197" s="107"/>
      <c r="AA197" s="107"/>
      <c r="AB197" s="107">
        <f>SMALL(Q197:Y197,1)</f>
        <v>0</v>
      </c>
      <c r="AC197" s="107">
        <f>I14</f>
        <v>0.0000000005</v>
      </c>
      <c r="AD197" s="107"/>
      <c r="AE197" s="107"/>
      <c r="AF197" s="107"/>
      <c r="AG197" s="107"/>
      <c r="AH197" s="107"/>
      <c r="AI197" s="107"/>
      <c r="AJ197" s="107"/>
    </row>
    <row r="198" ht="15.75" customHeight="1">
      <c r="A198" s="107" t="s">
        <v>535</v>
      </c>
      <c r="B198" s="107" t="s">
        <v>536</v>
      </c>
      <c r="C198" s="107" t="s">
        <v>21</v>
      </c>
      <c r="D198" s="107">
        <f t="shared" si="304"/>
        <v>0.0000000041</v>
      </c>
      <c r="E198" s="107">
        <f t="shared" ref="E198:F198" si="319">E7</f>
        <v>0.0000000001</v>
      </c>
      <c r="F198" s="107">
        <f t="shared" si="319"/>
        <v>0.0000000002</v>
      </c>
      <c r="G198" s="107">
        <f>G7*1.5</f>
        <v>0.00000000045</v>
      </c>
      <c r="H198" s="107">
        <f>H7</f>
        <v>0.0000000004</v>
      </c>
      <c r="I198" s="107">
        <f>I7*1.5</f>
        <v>0.00000000075</v>
      </c>
      <c r="J198" s="107">
        <f t="shared" ref="J198:M198" si="320">IF(OR(J1="物理",J1="化學",J1="生物",J1="組合科學(物理、化學)",J1="組合科學(生物、化學)",J1="組合科學(物理、生物)",J1="資訊及通訊科技",J1="經濟",J1="企業、會計與財務概論"),J7*1.5,IF(OR(J1="經濟",J1="地理"),J7*1.2,J7))</f>
        <v>0.0000000006</v>
      </c>
      <c r="K198" s="107">
        <f t="shared" si="320"/>
        <v>0.0000000007</v>
      </c>
      <c r="L198" s="107">
        <f t="shared" si="320"/>
        <v>0.0000000008</v>
      </c>
      <c r="M198" s="107">
        <f t="shared" si="320"/>
        <v>0.0000000009</v>
      </c>
      <c r="N198" s="107">
        <f>N7</f>
        <v>0.00000000095</v>
      </c>
      <c r="O198" s="130"/>
      <c r="P198" s="132"/>
      <c r="Q198" s="107">
        <f t="shared" ref="Q198:Y198" si="321">IF(Q194=$AB$196,$AB$198,Q197)</f>
        <v>0.0000000001</v>
      </c>
      <c r="R198" s="107">
        <f t="shared" si="321"/>
        <v>0.0000000002</v>
      </c>
      <c r="S198" s="107">
        <f t="shared" si="321"/>
        <v>0.0000000003</v>
      </c>
      <c r="T198" s="107">
        <f t="shared" si="321"/>
        <v>0.0000000004</v>
      </c>
      <c r="U198" s="107">
        <f t="shared" si="321"/>
        <v>0.00000000025</v>
      </c>
      <c r="V198" s="107">
        <f t="shared" si="321"/>
        <v>0.00000000025</v>
      </c>
      <c r="W198" s="107">
        <f t="shared" si="321"/>
        <v>0.00000000025</v>
      </c>
      <c r="X198" s="107">
        <f t="shared" si="321"/>
        <v>0.00000000025</v>
      </c>
      <c r="Y198" s="107">
        <f t="shared" si="321"/>
        <v>0.00000000025</v>
      </c>
      <c r="Z198" s="107"/>
      <c r="AA198" s="107"/>
      <c r="AB198" s="138">
        <f>IF(AC197&gt;AB197,(AB197+AC197)/2,AB197)</f>
        <v>0.00000000025</v>
      </c>
      <c r="AC198" s="107"/>
      <c r="AD198" s="107"/>
      <c r="AE198" s="107"/>
      <c r="AF198" s="107"/>
      <c r="AG198" s="107"/>
      <c r="AH198" s="107"/>
      <c r="AI198" s="107"/>
      <c r="AJ198" s="107"/>
    </row>
    <row r="199" ht="15.75" customHeight="1">
      <c r="A199" s="107" t="s">
        <v>537</v>
      </c>
      <c r="B199" s="107" t="s">
        <v>538</v>
      </c>
      <c r="C199" s="107" t="s">
        <v>21</v>
      </c>
      <c r="D199" s="107">
        <f t="shared" si="304"/>
        <v>0.000000004225</v>
      </c>
      <c r="E199" s="107">
        <f t="shared" ref="E199:F199" si="322">E7*1.25</f>
        <v>0.000000000125</v>
      </c>
      <c r="F199" s="107">
        <f t="shared" si="322"/>
        <v>0.00000000025</v>
      </c>
      <c r="G199" s="107">
        <f>G7*1.75</f>
        <v>0.000000000525</v>
      </c>
      <c r="H199" s="107">
        <f>H7</f>
        <v>0.0000000004</v>
      </c>
      <c r="I199" s="107">
        <f>I7*1.75</f>
        <v>0.000000000875</v>
      </c>
      <c r="J199" s="107">
        <f t="shared" ref="J199:M199" si="323">IF(OR(J1="物理",J1="化學",J1="生物",J1="組合科學(物理、化學)",J1="組合科學(生物、化學)",J1="組合科學(物理、生物)",J1="資訊及通訊科技"),J7*1.5,J7)</f>
        <v>0.0000000006</v>
      </c>
      <c r="K199" s="107">
        <f t="shared" si="323"/>
        <v>0.0000000007</v>
      </c>
      <c r="L199" s="107">
        <f t="shared" si="323"/>
        <v>0.0000000008</v>
      </c>
      <c r="M199" s="107">
        <f t="shared" si="323"/>
        <v>0.0000000009</v>
      </c>
      <c r="N199" s="107">
        <f>N7</f>
        <v>0.00000000095</v>
      </c>
      <c r="O199" s="130"/>
      <c r="P199" s="132"/>
      <c r="Q199" s="107"/>
      <c r="R199" s="107"/>
      <c r="S199" s="107"/>
      <c r="T199" s="107"/>
      <c r="U199" s="107"/>
      <c r="V199" s="107"/>
      <c r="W199" s="107"/>
      <c r="X199" s="107"/>
      <c r="Y199" s="107"/>
      <c r="Z199" s="107"/>
      <c r="AA199" s="107"/>
      <c r="AB199" s="107"/>
      <c r="AC199" s="107"/>
      <c r="AD199" s="107"/>
      <c r="AE199" s="107"/>
      <c r="AF199" s="107"/>
      <c r="AG199" s="107"/>
      <c r="AH199" s="107"/>
      <c r="AI199" s="107"/>
      <c r="AJ199" s="107"/>
    </row>
    <row r="200" ht="15.75" customHeight="1">
      <c r="A200" s="107" t="s">
        <v>539</v>
      </c>
      <c r="B200" s="107" t="s">
        <v>540</v>
      </c>
      <c r="C200" s="107" t="s">
        <v>478</v>
      </c>
      <c r="D200" s="107">
        <f t="shared" ref="D200:D201" si="326">SUM(E200:H200)+LARGE(J200:M200,1)+LARGE(J200:M200,2)+LARGE(J200:M200,3)</f>
        <v>0.00000000175</v>
      </c>
      <c r="E200" s="107">
        <f t="shared" ref="E200:H200" si="324">Q198</f>
        <v>0.0000000001</v>
      </c>
      <c r="F200" s="107">
        <f t="shared" si="324"/>
        <v>0.0000000002</v>
      </c>
      <c r="G200" s="107">
        <f t="shared" si="324"/>
        <v>0.0000000003</v>
      </c>
      <c r="H200" s="107">
        <f t="shared" si="324"/>
        <v>0.0000000004</v>
      </c>
      <c r="I200" s="136" t="s">
        <v>541</v>
      </c>
      <c r="J200" s="107">
        <f t="shared" ref="J200:N200" si="325">U198</f>
        <v>0.00000000025</v>
      </c>
      <c r="K200" s="107">
        <f t="shared" si="325"/>
        <v>0.00000000025</v>
      </c>
      <c r="L200" s="107">
        <f t="shared" si="325"/>
        <v>0.00000000025</v>
      </c>
      <c r="M200" s="107">
        <f t="shared" si="325"/>
        <v>0.00000000025</v>
      </c>
      <c r="N200" s="107">
        <f t="shared" si="325"/>
        <v>0.00000000025</v>
      </c>
      <c r="O200" s="130" t="s">
        <v>439</v>
      </c>
      <c r="P200" s="131"/>
      <c r="Q200" s="107"/>
      <c r="R200" s="109"/>
      <c r="S200" s="111"/>
      <c r="T200" s="107"/>
      <c r="U200" s="107"/>
      <c r="V200" s="107"/>
      <c r="W200" s="107"/>
      <c r="X200" s="107"/>
      <c r="Y200" s="107"/>
      <c r="Z200" s="107"/>
      <c r="AA200" s="107"/>
      <c r="AB200" s="107"/>
      <c r="AC200" s="107"/>
      <c r="AD200" s="107"/>
      <c r="AE200" s="107"/>
      <c r="AF200" s="107"/>
      <c r="AG200" s="107"/>
      <c r="AH200" s="107"/>
      <c r="AI200" s="107"/>
      <c r="AJ200" s="107"/>
    </row>
    <row r="201" ht="15.75" customHeight="1">
      <c r="A201" s="107" t="s">
        <v>542</v>
      </c>
      <c r="B201" s="107" t="s">
        <v>543</v>
      </c>
      <c r="C201" s="107" t="s">
        <v>478</v>
      </c>
      <c r="D201" s="107">
        <f t="shared" si="326"/>
        <v>0.00000000175</v>
      </c>
      <c r="E201" s="107">
        <f t="shared" ref="E201:H201" si="327">Q198</f>
        <v>0.0000000001</v>
      </c>
      <c r="F201" s="107">
        <f t="shared" si="327"/>
        <v>0.0000000002</v>
      </c>
      <c r="G201" s="107">
        <f t="shared" si="327"/>
        <v>0.0000000003</v>
      </c>
      <c r="H201" s="107">
        <f t="shared" si="327"/>
        <v>0.0000000004</v>
      </c>
      <c r="I201" s="136" t="s">
        <v>541</v>
      </c>
      <c r="J201" s="107">
        <f t="shared" ref="J201:N201" si="328">U198</f>
        <v>0.00000000025</v>
      </c>
      <c r="K201" s="107">
        <f t="shared" si="328"/>
        <v>0.00000000025</v>
      </c>
      <c r="L201" s="107">
        <f t="shared" si="328"/>
        <v>0.00000000025</v>
      </c>
      <c r="M201" s="107">
        <f t="shared" si="328"/>
        <v>0.00000000025</v>
      </c>
      <c r="N201" s="107">
        <f t="shared" si="328"/>
        <v>0.00000000025</v>
      </c>
      <c r="O201" s="130" t="s">
        <v>439</v>
      </c>
      <c r="P201" s="131"/>
      <c r="Q201" s="107"/>
      <c r="R201" s="107"/>
      <c r="S201" s="111"/>
      <c r="T201" s="107"/>
      <c r="U201" s="107"/>
      <c r="V201" s="107"/>
      <c r="W201" s="107"/>
      <c r="X201" s="107"/>
      <c r="Y201" s="107"/>
      <c r="Z201" s="107"/>
      <c r="AA201" s="107"/>
      <c r="AB201" s="107"/>
      <c r="AC201" s="107"/>
      <c r="AD201" s="107"/>
      <c r="AE201" s="107"/>
      <c r="AF201" s="107"/>
      <c r="AG201" s="107"/>
      <c r="AH201" s="107"/>
      <c r="AI201" s="107"/>
      <c r="AJ201" s="107"/>
    </row>
    <row r="202" ht="15.75" customHeight="1">
      <c r="A202" s="107" t="s">
        <v>544</v>
      </c>
      <c r="B202" s="107" t="s">
        <v>545</v>
      </c>
      <c r="C202" s="107" t="s">
        <v>191</v>
      </c>
      <c r="D202" s="107">
        <f t="shared" ref="D202:D203" si="331">SUM(E202:H202)+LARGE(I202:N202,1)+LARGE(I202:N202,2)</f>
        <v>0.00000000285</v>
      </c>
      <c r="E202" s="107">
        <f t="shared" ref="E202:I202" si="329">E7</f>
        <v>0.0000000001</v>
      </c>
      <c r="F202" s="107">
        <f t="shared" si="329"/>
        <v>0.0000000002</v>
      </c>
      <c r="G202" s="107">
        <f t="shared" si="329"/>
        <v>0.0000000003</v>
      </c>
      <c r="H202" s="107">
        <f t="shared" si="329"/>
        <v>0.0000000004</v>
      </c>
      <c r="I202" s="107">
        <f t="shared" si="329"/>
        <v>0.0000000005</v>
      </c>
      <c r="J202" s="107">
        <f t="shared" ref="J202:M202" si="330">IF(OR(J1="物理",J1="化學",J1="生物",J1="組合科學(物理、化學)",J1="組合科學(生物、化學)",J1="組合科學(物理、生物)",J1="綜合科學"),J7*1.5,J7)</f>
        <v>0.0000000006</v>
      </c>
      <c r="K202" s="107">
        <f t="shared" si="330"/>
        <v>0.0000000007</v>
      </c>
      <c r="L202" s="107">
        <f t="shared" si="330"/>
        <v>0.0000000008</v>
      </c>
      <c r="M202" s="107">
        <f t="shared" si="330"/>
        <v>0.0000000009</v>
      </c>
      <c r="N202" s="107">
        <f>N7</f>
        <v>0.00000000095</v>
      </c>
      <c r="O202" s="130"/>
      <c r="P202" s="132"/>
      <c r="Q202" s="107"/>
      <c r="R202" s="107"/>
      <c r="S202" s="107"/>
      <c r="T202" s="107"/>
      <c r="U202" s="107"/>
      <c r="V202" s="107"/>
      <c r="W202" s="107"/>
      <c r="X202" s="107"/>
      <c r="Y202" s="107"/>
      <c r="Z202" s="107"/>
      <c r="AA202" s="107"/>
      <c r="AB202" s="107"/>
      <c r="AC202" s="107"/>
      <c r="AD202" s="107"/>
      <c r="AE202" s="107"/>
      <c r="AF202" s="107"/>
      <c r="AG202" s="107"/>
      <c r="AH202" s="107"/>
      <c r="AI202" s="107"/>
      <c r="AJ202" s="107"/>
    </row>
    <row r="203" ht="15.75" customHeight="1">
      <c r="A203" s="107" t="s">
        <v>546</v>
      </c>
      <c r="B203" s="107" t="s">
        <v>547</v>
      </c>
      <c r="C203" s="107" t="s">
        <v>191</v>
      </c>
      <c r="D203" s="107">
        <f t="shared" si="331"/>
        <v>0.00000000285</v>
      </c>
      <c r="E203" s="107">
        <f t="shared" ref="E203:N203" si="332">IF(E16=FALSE,E7,E7*0.95)</f>
        <v>0.0000000001</v>
      </c>
      <c r="F203" s="107">
        <f t="shared" si="332"/>
        <v>0.0000000002</v>
      </c>
      <c r="G203" s="107">
        <f t="shared" si="332"/>
        <v>0.0000000003</v>
      </c>
      <c r="H203" s="107">
        <f t="shared" si="332"/>
        <v>0.0000000004</v>
      </c>
      <c r="I203" s="107">
        <f t="shared" si="332"/>
        <v>0.0000000005</v>
      </c>
      <c r="J203" s="107">
        <f t="shared" si="332"/>
        <v>0.0000000006</v>
      </c>
      <c r="K203" s="107">
        <f t="shared" si="332"/>
        <v>0.0000000007</v>
      </c>
      <c r="L203" s="107">
        <f t="shared" si="332"/>
        <v>0.0000000008</v>
      </c>
      <c r="M203" s="107">
        <f t="shared" si="332"/>
        <v>0.0000000009</v>
      </c>
      <c r="N203" s="107">
        <f t="shared" si="332"/>
        <v>0.00000000095</v>
      </c>
      <c r="O203" s="130" t="s">
        <v>417</v>
      </c>
      <c r="P203" s="131"/>
      <c r="Q203" s="107" t="s">
        <v>548</v>
      </c>
      <c r="R203" s="107"/>
      <c r="S203" s="107"/>
      <c r="T203" s="107"/>
      <c r="U203" s="107"/>
      <c r="V203" s="107"/>
      <c r="W203" s="107"/>
      <c r="X203" s="107"/>
      <c r="Y203" s="107"/>
      <c r="Z203" s="107"/>
      <c r="AA203" s="107"/>
      <c r="AB203" s="107"/>
      <c r="AC203" s="107"/>
      <c r="AD203" s="107"/>
      <c r="AE203" s="107"/>
      <c r="AF203" s="107"/>
      <c r="AG203" s="107"/>
      <c r="AH203" s="107"/>
      <c r="AI203" s="107"/>
      <c r="AJ203" s="107"/>
    </row>
    <row r="204" ht="15.75" customHeight="1">
      <c r="A204" s="107" t="s">
        <v>549</v>
      </c>
      <c r="B204" s="107" t="s">
        <v>550</v>
      </c>
      <c r="C204" s="107" t="s">
        <v>21</v>
      </c>
      <c r="D204" s="107">
        <f>LARGE(E204:N204, 1)+LARGE(E204:N204, 2)+LARGE(E204:N204, 3)+LARGE(E204:N204, 4)+LARGE(E204:N204, 5)</f>
        <v>0.00000000395</v>
      </c>
      <c r="E204" s="107">
        <f t="shared" ref="E204:N204" si="333">E7</f>
        <v>0.0000000001</v>
      </c>
      <c r="F204" s="107">
        <f t="shared" si="333"/>
        <v>0.0000000002</v>
      </c>
      <c r="G204" s="107">
        <f t="shared" si="333"/>
        <v>0.0000000003</v>
      </c>
      <c r="H204" s="107">
        <f t="shared" si="333"/>
        <v>0.0000000004</v>
      </c>
      <c r="I204" s="107">
        <f t="shared" si="333"/>
        <v>0.0000000005</v>
      </c>
      <c r="J204" s="107">
        <f t="shared" si="333"/>
        <v>0.0000000006</v>
      </c>
      <c r="K204" s="107">
        <f t="shared" si="333"/>
        <v>0.0000000007</v>
      </c>
      <c r="L204" s="107">
        <f t="shared" si="333"/>
        <v>0.0000000008</v>
      </c>
      <c r="M204" s="107">
        <f t="shared" si="333"/>
        <v>0.0000000009</v>
      </c>
      <c r="N204" s="107">
        <f t="shared" si="333"/>
        <v>0.00000000095</v>
      </c>
      <c r="O204" s="130"/>
      <c r="P204" s="131"/>
      <c r="Q204" s="139" t="s">
        <v>551</v>
      </c>
      <c r="R204" s="140"/>
      <c r="S204" s="139" t="s">
        <v>552</v>
      </c>
      <c r="T204" s="139" t="s">
        <v>553</v>
      </c>
      <c r="U204" s="139" t="s">
        <v>554</v>
      </c>
      <c r="V204" s="140"/>
      <c r="W204" s="140"/>
      <c r="X204" s="140"/>
      <c r="Y204" s="140"/>
      <c r="Z204" s="140"/>
      <c r="AA204" s="140"/>
      <c r="AB204" s="107"/>
      <c r="AC204" s="107"/>
      <c r="AD204" s="107"/>
      <c r="AE204" s="107"/>
      <c r="AF204" s="107"/>
      <c r="AG204" s="107"/>
      <c r="AH204" s="107"/>
      <c r="AI204" s="107"/>
      <c r="AJ204" s="107"/>
    </row>
    <row r="205" ht="15.75" customHeight="1">
      <c r="A205" s="107" t="s">
        <v>555</v>
      </c>
      <c r="B205" s="107" t="s">
        <v>556</v>
      </c>
      <c r="C205" s="107" t="s">
        <v>191</v>
      </c>
      <c r="D205" s="107">
        <f t="shared" ref="D205:D206" si="335">SUM(E205:H205)+LARGE(I205:N205,1)+LARGE(I205:N205,2)</f>
        <v>0.00000000285</v>
      </c>
      <c r="E205" s="107">
        <f t="shared" ref="E205:N205" si="334">E7</f>
        <v>0.0000000001</v>
      </c>
      <c r="F205" s="107">
        <f t="shared" si="334"/>
        <v>0.0000000002</v>
      </c>
      <c r="G205" s="107">
        <f t="shared" si="334"/>
        <v>0.0000000003</v>
      </c>
      <c r="H205" s="107">
        <f t="shared" si="334"/>
        <v>0.0000000004</v>
      </c>
      <c r="I205" s="107">
        <f t="shared" si="334"/>
        <v>0.0000000005</v>
      </c>
      <c r="J205" s="107">
        <f t="shared" si="334"/>
        <v>0.0000000006</v>
      </c>
      <c r="K205" s="107">
        <f t="shared" si="334"/>
        <v>0.0000000007</v>
      </c>
      <c r="L205" s="107">
        <f t="shared" si="334"/>
        <v>0.0000000008</v>
      </c>
      <c r="M205" s="107">
        <f t="shared" si="334"/>
        <v>0.0000000009</v>
      </c>
      <c r="N205" s="107">
        <f t="shared" si="334"/>
        <v>0.00000000095</v>
      </c>
      <c r="O205" s="130"/>
      <c r="P205" s="131"/>
      <c r="Q205" s="140" t="str">
        <f>IF(E7&gt;F7,E1,F1)</f>
        <v>英國語文</v>
      </c>
      <c r="R205" s="140"/>
      <c r="S205" s="140" t="str">
        <f t="array" ref="S205">INDEX(E1:N1,MATCH(LARGE(Q208:Z208,1),Q208:Z208,0))</f>
        <v>數學延伸</v>
      </c>
      <c r="T205" s="140">
        <f t="array" ref="T205">INDEX(E1:N1,MATCH(LARGE(Q208:Z208,2),Q208:Z208,0))</f>
        <v>0</v>
      </c>
      <c r="U205" s="140" t="str">
        <f t="array" ref="U205">INDEX(Q207:Z207,MATCH(LARGE(Q208:Z208,3),Q208:Z208,0))</f>
        <v>數學</v>
      </c>
      <c r="V205" s="140"/>
      <c r="W205" s="140"/>
      <c r="X205" s="140"/>
      <c r="Y205" s="140"/>
      <c r="Z205" s="140"/>
      <c r="AA205" s="140"/>
      <c r="AB205" s="107"/>
      <c r="AC205" s="107"/>
      <c r="AD205" s="107"/>
      <c r="AE205" s="107"/>
      <c r="AF205" s="107"/>
      <c r="AG205" s="107"/>
      <c r="AH205" s="107"/>
      <c r="AI205" s="107"/>
      <c r="AJ205" s="107"/>
    </row>
    <row r="206" ht="15.75" customHeight="1">
      <c r="A206" s="107" t="s">
        <v>557</v>
      </c>
      <c r="B206" s="107" t="s">
        <v>558</v>
      </c>
      <c r="C206" s="107" t="s">
        <v>191</v>
      </c>
      <c r="D206" s="107">
        <f t="shared" si="335"/>
        <v>0.00000000285</v>
      </c>
      <c r="E206" s="107">
        <f t="shared" ref="E206:N206" si="336">E7</f>
        <v>0.0000000001</v>
      </c>
      <c r="F206" s="107">
        <f t="shared" si="336"/>
        <v>0.0000000002</v>
      </c>
      <c r="G206" s="107">
        <f t="shared" si="336"/>
        <v>0.0000000003</v>
      </c>
      <c r="H206" s="107">
        <f t="shared" si="336"/>
        <v>0.0000000004</v>
      </c>
      <c r="I206" s="107">
        <f t="shared" si="336"/>
        <v>0.0000000005</v>
      </c>
      <c r="J206" s="107">
        <f t="shared" si="336"/>
        <v>0.0000000006</v>
      </c>
      <c r="K206" s="107">
        <f t="shared" si="336"/>
        <v>0.0000000007</v>
      </c>
      <c r="L206" s="107">
        <f t="shared" si="336"/>
        <v>0.0000000008</v>
      </c>
      <c r="M206" s="107">
        <f t="shared" si="336"/>
        <v>0.0000000009</v>
      </c>
      <c r="N206" s="107">
        <f t="shared" si="336"/>
        <v>0.00000000095</v>
      </c>
      <c r="O206" s="130"/>
      <c r="P206" s="131"/>
      <c r="Q206" s="140"/>
      <c r="R206" s="140"/>
      <c r="S206" s="140"/>
      <c r="T206" s="140"/>
      <c r="U206" s="140"/>
      <c r="V206" s="140"/>
      <c r="W206" s="140"/>
      <c r="X206" s="140"/>
      <c r="Y206" s="140"/>
      <c r="Z206" s="140"/>
      <c r="AA206" s="140"/>
      <c r="AB206" s="107"/>
      <c r="AC206" s="107"/>
      <c r="AD206" s="107"/>
      <c r="AE206" s="107"/>
      <c r="AF206" s="107"/>
      <c r="AG206" s="107"/>
      <c r="AH206" s="107"/>
      <c r="AI206" s="107"/>
      <c r="AJ206" s="107"/>
    </row>
    <row r="207" ht="15.75" customHeight="1">
      <c r="A207" s="107" t="s">
        <v>548</v>
      </c>
      <c r="B207" s="107" t="s">
        <v>355</v>
      </c>
      <c r="C207" s="107" t="s">
        <v>21</v>
      </c>
      <c r="D207" s="107">
        <f t="shared" ref="D207:D216" si="338">LARGE(E207:N207, 1)+LARGE(E207:N207, 2)+LARGE(E207:N207, 3)+LARGE(E207:N207, 4)+LARGE(E207:N207, 5)</f>
        <v>0.00000000315</v>
      </c>
      <c r="E207" s="107">
        <f>IF(OR(E1=S205,E1=T205,E1=U205),E7*1.5,E7)</f>
        <v>0.0000000001</v>
      </c>
      <c r="F207" s="107">
        <f>IF(OR(F1=S205,F1=T205,F1=U205),F7*1.5,F7)</f>
        <v>0.0000000002</v>
      </c>
      <c r="G207" s="107">
        <f>IF(OR(G1=S205,G1=T205,G1=U205),G7*2,G7)</f>
        <v>0.0000000006</v>
      </c>
      <c r="H207" s="107">
        <f>H7</f>
        <v>0.0000000004</v>
      </c>
      <c r="I207" s="107">
        <f>IF(OR(I1=S205,I1=T205,I1=U205),I7*2,I7)</f>
        <v>0.000000001</v>
      </c>
      <c r="J207" s="107">
        <f>IF(OR(J1=S205,J1=T205,J1=U205),V208,J7)</f>
        <v>0</v>
      </c>
      <c r="K207" s="107">
        <f>IF(OR(K1=S205,K1=T205,K1=U205),W208,K7)</f>
        <v>0</v>
      </c>
      <c r="L207" s="107">
        <f>IF(OR(L1=S205,L1=T205,L1=U205),X208,L7)</f>
        <v>0</v>
      </c>
      <c r="M207" s="107">
        <f>IF(OR(M1=S205,M1=T205,M1=U205),Y208,M7)</f>
        <v>0</v>
      </c>
      <c r="N207" s="107">
        <f>N7</f>
        <v>0.00000000095</v>
      </c>
      <c r="O207" s="130"/>
      <c r="P207" s="132"/>
      <c r="Q207" s="139" t="str">
        <f t="shared" ref="Q207:Z207" si="337">E1</f>
        <v>中國語文</v>
      </c>
      <c r="R207" s="139" t="str">
        <f t="shared" si="337"/>
        <v>英國語文</v>
      </c>
      <c r="S207" s="139" t="str">
        <f t="shared" si="337"/>
        <v>數學</v>
      </c>
      <c r="T207" s="139" t="str">
        <f t="shared" si="337"/>
        <v>通識教育</v>
      </c>
      <c r="U207" s="139" t="str">
        <f t="shared" si="337"/>
        <v>數學延伸</v>
      </c>
      <c r="V207" s="139">
        <f t="shared" si="337"/>
        <v>0</v>
      </c>
      <c r="W207" s="139">
        <f t="shared" si="337"/>
        <v>0</v>
      </c>
      <c r="X207" s="139">
        <f t="shared" si="337"/>
        <v>0</v>
      </c>
      <c r="Y207" s="139">
        <f t="shared" si="337"/>
        <v>0</v>
      </c>
      <c r="Z207" s="139">
        <f t="shared" si="337"/>
        <v>0</v>
      </c>
      <c r="AA207" s="140"/>
      <c r="AB207" s="107"/>
      <c r="AC207" s="107"/>
      <c r="AD207" s="107"/>
      <c r="AE207" s="107"/>
      <c r="AF207" s="107"/>
      <c r="AG207" s="107"/>
      <c r="AH207" s="107"/>
      <c r="AI207" s="107"/>
      <c r="AJ207" s="107"/>
    </row>
    <row r="208" ht="15.75" customHeight="1">
      <c r="A208" s="107" t="s">
        <v>559</v>
      </c>
      <c r="B208" s="107" t="s">
        <v>560</v>
      </c>
      <c r="C208" s="107" t="s">
        <v>21</v>
      </c>
      <c r="D208" s="107">
        <f t="shared" si="338"/>
        <v>0.0000000041</v>
      </c>
      <c r="E208" s="107">
        <f>E7</f>
        <v>0.0000000001</v>
      </c>
      <c r="F208" s="107">
        <f t="shared" ref="F208:G208" si="339">F7*1.5</f>
        <v>0.0000000003</v>
      </c>
      <c r="G208" s="107">
        <f t="shared" si="339"/>
        <v>0.00000000045</v>
      </c>
      <c r="H208" s="107">
        <f>H7</f>
        <v>0.0000000004</v>
      </c>
      <c r="I208" s="107">
        <f>I7*1.5</f>
        <v>0.00000000075</v>
      </c>
      <c r="J208" s="107">
        <f t="shared" ref="J208:M208" si="340">IF(OR(J1="物理",J1="化學",J1="生物",J1="組合科學(物理、化學)",J1="組合科學(生物、化學)",J1="組合科學(物理、生物)",J1="地理",J1="綜合科學"),J7*1.5,J7)</f>
        <v>0.0000000006</v>
      </c>
      <c r="K208" s="107">
        <f t="shared" si="340"/>
        <v>0.0000000007</v>
      </c>
      <c r="L208" s="107">
        <f t="shared" si="340"/>
        <v>0.0000000008</v>
      </c>
      <c r="M208" s="107">
        <f t="shared" si="340"/>
        <v>0.0000000009</v>
      </c>
      <c r="N208" s="107">
        <f>N7</f>
        <v>0.00000000095</v>
      </c>
      <c r="O208" s="130"/>
      <c r="P208" s="132"/>
      <c r="Q208" s="140">
        <f>IF(Q207=Q205,E7*1.5,E7)</f>
        <v>0.0000000001</v>
      </c>
      <c r="R208" s="140">
        <f>IF(R207=Q205,F7*1.5,F7)</f>
        <v>0.0000000003</v>
      </c>
      <c r="S208" s="140">
        <f>G7*2</f>
        <v>0.0000000006</v>
      </c>
      <c r="T208" s="140">
        <f>H7</f>
        <v>0.0000000004</v>
      </c>
      <c r="U208" s="140">
        <f>I7*2</f>
        <v>0.000000001</v>
      </c>
      <c r="V208" s="140">
        <f t="shared" ref="V208:Y208" si="341">IF(OR(J1="物理",J1="化學",J1="生物",J1="組合科學(物理、化學)",J1="組合科學(生物、化學)",J1="組合科學(物理、生物)",J1="綜合科學"),J7*2,IF(OR(J1="經濟",J1="地理",J1="科技與生活",J1="資訊及通訊科技"),J7*1.5,0))</f>
        <v>0</v>
      </c>
      <c r="W208" s="140">
        <f t="shared" si="341"/>
        <v>0</v>
      </c>
      <c r="X208" s="140">
        <f t="shared" si="341"/>
        <v>0</v>
      </c>
      <c r="Y208" s="140">
        <f t="shared" si="341"/>
        <v>0</v>
      </c>
      <c r="Z208" s="140">
        <f>N7</f>
        <v>0.00000000095</v>
      </c>
      <c r="AA208" s="140"/>
      <c r="AB208" s="107"/>
      <c r="AC208" s="107"/>
      <c r="AD208" s="107"/>
      <c r="AE208" s="107"/>
      <c r="AF208" s="107"/>
      <c r="AG208" s="107"/>
      <c r="AH208" s="107"/>
      <c r="AI208" s="107"/>
      <c r="AJ208" s="107"/>
    </row>
    <row r="209" ht="15.75" customHeight="1">
      <c r="A209" s="107" t="s">
        <v>561</v>
      </c>
      <c r="B209" s="107" t="s">
        <v>562</v>
      </c>
      <c r="C209" s="107" t="s">
        <v>21</v>
      </c>
      <c r="D209" s="107">
        <f t="shared" si="338"/>
        <v>0.00000000435</v>
      </c>
      <c r="E209" s="107">
        <f t="shared" ref="E209:H209" si="342">E7</f>
        <v>0.0000000001</v>
      </c>
      <c r="F209" s="107">
        <f t="shared" si="342"/>
        <v>0.0000000002</v>
      </c>
      <c r="G209" s="107">
        <f t="shared" si="342"/>
        <v>0.0000000003</v>
      </c>
      <c r="H209" s="107">
        <f t="shared" si="342"/>
        <v>0.0000000004</v>
      </c>
      <c r="I209" s="107">
        <f>I7*2</f>
        <v>0.000000001</v>
      </c>
      <c r="J209" s="107">
        <f t="shared" ref="J209:N209" si="343">J7</f>
        <v>0.0000000006</v>
      </c>
      <c r="K209" s="107">
        <f t="shared" si="343"/>
        <v>0.0000000007</v>
      </c>
      <c r="L209" s="107">
        <f t="shared" si="343"/>
        <v>0.0000000008</v>
      </c>
      <c r="M209" s="107">
        <f t="shared" si="343"/>
        <v>0.0000000009</v>
      </c>
      <c r="N209" s="107">
        <f t="shared" si="343"/>
        <v>0.00000000095</v>
      </c>
      <c r="O209" s="130"/>
      <c r="P209" s="132"/>
      <c r="Q209" s="107"/>
      <c r="R209" s="107"/>
      <c r="S209" s="107"/>
      <c r="T209" s="107"/>
      <c r="U209" s="107"/>
      <c r="V209" s="107"/>
      <c r="W209" s="107"/>
      <c r="X209" s="107"/>
      <c r="Y209" s="107"/>
      <c r="Z209" s="107"/>
      <c r="AA209" s="107"/>
      <c r="AB209" s="107"/>
      <c r="AC209" s="107"/>
      <c r="AD209" s="107"/>
      <c r="AE209" s="107"/>
      <c r="AF209" s="107"/>
      <c r="AG209" s="107"/>
      <c r="AH209" s="107"/>
      <c r="AI209" s="107"/>
      <c r="AJ209" s="107"/>
    </row>
    <row r="210" ht="15.75" customHeight="1">
      <c r="A210" s="107" t="s">
        <v>563</v>
      </c>
      <c r="B210" s="107" t="s">
        <v>564</v>
      </c>
      <c r="C210" s="107" t="s">
        <v>21</v>
      </c>
      <c r="D210" s="107">
        <f t="shared" si="338"/>
        <v>0.0000000041</v>
      </c>
      <c r="E210" s="107">
        <f t="shared" ref="E210:F210" si="344">E7</f>
        <v>0.0000000001</v>
      </c>
      <c r="F210" s="107">
        <f t="shared" si="344"/>
        <v>0.0000000002</v>
      </c>
      <c r="G210" s="107">
        <f>G7*1.5</f>
        <v>0.00000000045</v>
      </c>
      <c r="H210" s="107">
        <f>H7</f>
        <v>0.0000000004</v>
      </c>
      <c r="I210" s="107">
        <f>I7*1.5</f>
        <v>0.00000000075</v>
      </c>
      <c r="J210" s="107">
        <f t="shared" ref="J210:M210" si="345">IF(OR(J1="物理"),J7*1.5,J7)</f>
        <v>0.0000000006</v>
      </c>
      <c r="K210" s="107">
        <f t="shared" si="345"/>
        <v>0.0000000007</v>
      </c>
      <c r="L210" s="107">
        <f t="shared" si="345"/>
        <v>0.0000000008</v>
      </c>
      <c r="M210" s="107">
        <f t="shared" si="345"/>
        <v>0.0000000009</v>
      </c>
      <c r="N210" s="107">
        <f>N7</f>
        <v>0.00000000095</v>
      </c>
      <c r="O210" s="130"/>
      <c r="P210" s="132"/>
      <c r="Q210" s="109" t="str">
        <f t="shared" ref="Q210:U210" si="346">I1</f>
        <v>數學延伸</v>
      </c>
      <c r="R210" s="109">
        <f t="shared" si="346"/>
        <v>0</v>
      </c>
      <c r="S210" s="109">
        <f t="shared" si="346"/>
        <v>0</v>
      </c>
      <c r="T210" s="109">
        <f t="shared" si="346"/>
        <v>0</v>
      </c>
      <c r="U210" s="109">
        <f t="shared" si="346"/>
        <v>0</v>
      </c>
      <c r="V210" s="107"/>
      <c r="W210" s="107"/>
      <c r="X210" s="109" t="s">
        <v>552</v>
      </c>
      <c r="Y210" s="109"/>
      <c r="Z210" s="109"/>
      <c r="AA210" s="109"/>
      <c r="AB210" s="107"/>
      <c r="AC210" s="107"/>
      <c r="AD210" s="107"/>
      <c r="AE210" s="107"/>
      <c r="AF210" s="107"/>
      <c r="AG210" s="107"/>
      <c r="AH210" s="107"/>
      <c r="AI210" s="107"/>
      <c r="AJ210" s="107"/>
    </row>
    <row r="211" ht="15.75" customHeight="1">
      <c r="A211" s="107" t="s">
        <v>565</v>
      </c>
      <c r="B211" s="107" t="s">
        <v>566</v>
      </c>
      <c r="C211" s="107" t="s">
        <v>21</v>
      </c>
      <c r="D211" s="107">
        <f t="shared" si="338"/>
        <v>0.00000000435</v>
      </c>
      <c r="E211" s="107">
        <f t="shared" ref="E211:F211" si="347">E7</f>
        <v>0.0000000001</v>
      </c>
      <c r="F211" s="107">
        <f t="shared" si="347"/>
        <v>0.0000000002</v>
      </c>
      <c r="G211" s="107">
        <f>G7*2</f>
        <v>0.0000000006</v>
      </c>
      <c r="H211" s="107">
        <f>H7</f>
        <v>0.0000000004</v>
      </c>
      <c r="I211" s="107">
        <f>I7*2</f>
        <v>0.000000001</v>
      </c>
      <c r="J211" s="107">
        <f t="shared" ref="J211:N211" si="348">J7</f>
        <v>0.0000000006</v>
      </c>
      <c r="K211" s="107">
        <f t="shared" si="348"/>
        <v>0.0000000007</v>
      </c>
      <c r="L211" s="107">
        <f t="shared" si="348"/>
        <v>0.0000000008</v>
      </c>
      <c r="M211" s="107">
        <f t="shared" si="348"/>
        <v>0.0000000009</v>
      </c>
      <c r="N211" s="107">
        <f t="shared" si="348"/>
        <v>0.00000000095</v>
      </c>
      <c r="O211" s="130"/>
      <c r="P211" s="132"/>
      <c r="Q211" s="107">
        <f>I14</f>
        <v>0.0000000005</v>
      </c>
      <c r="R211" s="107">
        <f t="shared" ref="R211:U211" si="349">IF(OR(J1="物理",J1="化學",J1="地理",J1="組合科學(物理、化學)",J1="組合科學(生物、化學)",J1="組合科學(物理、生物)"),J14,0)</f>
        <v>0</v>
      </c>
      <c r="S211" s="107">
        <f t="shared" si="349"/>
        <v>0</v>
      </c>
      <c r="T211" s="107">
        <f t="shared" si="349"/>
        <v>0</v>
      </c>
      <c r="U211" s="107">
        <f t="shared" si="349"/>
        <v>0</v>
      </c>
      <c r="V211" s="107"/>
      <c r="W211" s="107"/>
      <c r="X211" s="107" t="str">
        <f t="array" ref="X211">INDEX(Q210:U210,MATCH(LARGE(Q211:U211,1),Q211:U211,0))</f>
        <v>數學延伸</v>
      </c>
      <c r="Y211" s="107"/>
      <c r="Z211" s="107"/>
      <c r="AA211" s="107"/>
      <c r="AB211" s="107"/>
      <c r="AC211" s="107"/>
      <c r="AD211" s="107"/>
      <c r="AE211" s="107"/>
      <c r="AF211" s="107"/>
      <c r="AG211" s="107"/>
      <c r="AH211" s="107"/>
      <c r="AI211" s="107"/>
      <c r="AJ211" s="107"/>
    </row>
    <row r="212" ht="15.75" customHeight="1">
      <c r="A212" s="107" t="s">
        <v>567</v>
      </c>
      <c r="B212" s="107" t="s">
        <v>568</v>
      </c>
      <c r="C212" s="107" t="s">
        <v>21</v>
      </c>
      <c r="D212" s="107">
        <f t="shared" si="338"/>
        <v>0.00000000395</v>
      </c>
      <c r="E212" s="107">
        <f>E7</f>
        <v>0.0000000001</v>
      </c>
      <c r="F212" s="107">
        <f>F7*1.3</f>
        <v>0.00000000026</v>
      </c>
      <c r="G212" s="107">
        <f t="shared" ref="G212:N212" si="350">G7</f>
        <v>0.0000000003</v>
      </c>
      <c r="H212" s="107">
        <f t="shared" si="350"/>
        <v>0.0000000004</v>
      </c>
      <c r="I212" s="107">
        <f t="shared" si="350"/>
        <v>0.0000000005</v>
      </c>
      <c r="J212" s="107">
        <f t="shared" si="350"/>
        <v>0.0000000006</v>
      </c>
      <c r="K212" s="107">
        <f t="shared" si="350"/>
        <v>0.0000000007</v>
      </c>
      <c r="L212" s="107">
        <f t="shared" si="350"/>
        <v>0.0000000008</v>
      </c>
      <c r="M212" s="107">
        <f t="shared" si="350"/>
        <v>0.0000000009</v>
      </c>
      <c r="N212" s="107">
        <f t="shared" si="350"/>
        <v>0.00000000095</v>
      </c>
      <c r="O212" s="130"/>
      <c r="P212" s="132"/>
      <c r="Q212" s="107"/>
      <c r="R212" s="107"/>
      <c r="S212" s="107"/>
      <c r="T212" s="107"/>
      <c r="U212" s="107"/>
      <c r="V212" s="107"/>
      <c r="W212" s="107"/>
      <c r="X212" s="107">
        <f>LARGE(Q211:U211,1)</f>
        <v>0.0000000005</v>
      </c>
      <c r="Y212" s="107"/>
      <c r="Z212" s="107"/>
      <c r="AA212" s="107"/>
      <c r="AB212" s="107"/>
      <c r="AC212" s="107"/>
      <c r="AD212" s="107"/>
      <c r="AE212" s="107"/>
      <c r="AF212" s="107"/>
      <c r="AG212" s="107"/>
      <c r="AH212" s="107"/>
      <c r="AI212" s="107"/>
      <c r="AJ212" s="107"/>
    </row>
    <row r="213" ht="15.75" customHeight="1">
      <c r="A213" s="107" t="s">
        <v>569</v>
      </c>
      <c r="B213" s="107" t="s">
        <v>570</v>
      </c>
      <c r="C213" s="133" t="s">
        <v>21</v>
      </c>
      <c r="D213" s="107">
        <f t="shared" si="338"/>
        <v>0.00000000395</v>
      </c>
      <c r="E213" s="107">
        <f>E7</f>
        <v>0.0000000001</v>
      </c>
      <c r="F213" s="107">
        <f t="shared" ref="F213:G213" si="351">F7*1.5</f>
        <v>0.0000000003</v>
      </c>
      <c r="G213" s="107">
        <f t="shared" si="351"/>
        <v>0.00000000045</v>
      </c>
      <c r="H213" s="107">
        <f t="shared" ref="H213:N213" si="352">H7</f>
        <v>0.0000000004</v>
      </c>
      <c r="I213" s="107">
        <f t="shared" si="352"/>
        <v>0.0000000005</v>
      </c>
      <c r="J213" s="107">
        <f t="shared" si="352"/>
        <v>0.0000000006</v>
      </c>
      <c r="K213" s="107">
        <f t="shared" si="352"/>
        <v>0.0000000007</v>
      </c>
      <c r="L213" s="107">
        <f t="shared" si="352"/>
        <v>0.0000000008</v>
      </c>
      <c r="M213" s="107">
        <f t="shared" si="352"/>
        <v>0.0000000009</v>
      </c>
      <c r="N213" s="107">
        <f t="shared" si="352"/>
        <v>0.00000000095</v>
      </c>
      <c r="O213" s="130"/>
      <c r="P213" s="134"/>
      <c r="Q213" s="109" t="str">
        <f t="shared" ref="Q213:U213" si="353">I1</f>
        <v>數學延伸</v>
      </c>
      <c r="R213" s="109">
        <f t="shared" si="353"/>
        <v>0</v>
      </c>
      <c r="S213" s="109">
        <f t="shared" si="353"/>
        <v>0</v>
      </c>
      <c r="T213" s="109">
        <f t="shared" si="353"/>
        <v>0</v>
      </c>
      <c r="U213" s="109">
        <f t="shared" si="353"/>
        <v>0</v>
      </c>
      <c r="V213" s="107"/>
      <c r="W213" s="107"/>
      <c r="X213" s="109" t="s">
        <v>552</v>
      </c>
      <c r="Y213" s="109"/>
      <c r="Z213" s="109"/>
      <c r="AA213" s="107"/>
      <c r="AB213" s="107"/>
      <c r="AC213" s="107"/>
      <c r="AD213" s="107"/>
      <c r="AE213" s="107"/>
      <c r="AF213" s="107"/>
      <c r="AG213" s="107"/>
      <c r="AH213" s="107"/>
      <c r="AI213" s="107"/>
      <c r="AJ213" s="107"/>
    </row>
    <row r="214" ht="15.75" customHeight="1">
      <c r="A214" s="107" t="s">
        <v>571</v>
      </c>
      <c r="B214" s="107" t="s">
        <v>572</v>
      </c>
      <c r="C214" s="107" t="s">
        <v>21</v>
      </c>
      <c r="D214" s="107">
        <f t="shared" si="338"/>
        <v>0.0000000041</v>
      </c>
      <c r="E214" s="107">
        <f t="shared" ref="E214:F214" si="354">E7</f>
        <v>0.0000000001</v>
      </c>
      <c r="F214" s="107">
        <f t="shared" si="354"/>
        <v>0.0000000002</v>
      </c>
      <c r="G214" s="107">
        <f>G7*1.5</f>
        <v>0.00000000045</v>
      </c>
      <c r="H214" s="107">
        <f>H7</f>
        <v>0.0000000004</v>
      </c>
      <c r="I214" s="107">
        <f>IF(I164=V218,I7*1.5,I7)</f>
        <v>0.00000000075</v>
      </c>
      <c r="J214" s="107">
        <f>IF(J164=V218,J7*1.5,J7)</f>
        <v>0.0000000006</v>
      </c>
      <c r="K214" s="107">
        <f>IF(K164=V218,K7*1.5,K7)</f>
        <v>0.0000000007</v>
      </c>
      <c r="L214" s="107">
        <f>IF(L164=V218,L7*1.5,L7)</f>
        <v>0.0000000008</v>
      </c>
      <c r="M214" s="107">
        <f>IF(M164=V218,M7*1.5,M7)</f>
        <v>0.0000000009</v>
      </c>
      <c r="N214" s="107">
        <f>N7</f>
        <v>0.00000000095</v>
      </c>
      <c r="O214" s="130"/>
      <c r="P214" s="132"/>
      <c r="Q214" s="107">
        <f>I14</f>
        <v>0.0000000005</v>
      </c>
      <c r="R214" s="107">
        <f t="shared" ref="R214:U214" si="355">IF(OR(J1="物理",J1="化學",J1="地理",J1="生物",J1="綜合科學",J1="組合科學(物理、化學)",J1="組合科學(生物、化學)",J1="組合科學(物理、生物)"),J14,0)</f>
        <v>0</v>
      </c>
      <c r="S214" s="107">
        <f t="shared" si="355"/>
        <v>0</v>
      </c>
      <c r="T214" s="107">
        <f t="shared" si="355"/>
        <v>0</v>
      </c>
      <c r="U214" s="107">
        <f t="shared" si="355"/>
        <v>0</v>
      </c>
      <c r="V214" s="107"/>
      <c r="W214" s="107"/>
      <c r="X214" s="107" t="str">
        <f t="array" ref="X214">INDEX(Q213:U213,MATCH(LARGE(Q215:U215,1),Q215:U215,0))</f>
        <v>數學延伸</v>
      </c>
      <c r="Y214" s="107"/>
      <c r="Z214" s="107"/>
      <c r="AA214" s="107"/>
      <c r="AB214" s="107"/>
      <c r="AC214" s="107"/>
      <c r="AD214" s="107"/>
      <c r="AE214" s="107"/>
      <c r="AF214" s="107"/>
      <c r="AG214" s="107"/>
      <c r="AH214" s="107"/>
      <c r="AI214" s="107"/>
      <c r="AJ214" s="107"/>
    </row>
    <row r="215" ht="15.75" customHeight="1">
      <c r="A215" s="107" t="s">
        <v>573</v>
      </c>
      <c r="B215" s="107" t="s">
        <v>574</v>
      </c>
      <c r="C215" s="107" t="s">
        <v>21</v>
      </c>
      <c r="D215" s="107">
        <f t="shared" si="338"/>
        <v>0.00000000395</v>
      </c>
      <c r="E215" s="107">
        <f>E7</f>
        <v>0.0000000001</v>
      </c>
      <c r="F215" s="107">
        <f>F7*1.5</f>
        <v>0.0000000003</v>
      </c>
      <c r="G215" s="107">
        <f t="shared" ref="G215:N215" si="356">G7</f>
        <v>0.0000000003</v>
      </c>
      <c r="H215" s="107">
        <f t="shared" si="356"/>
        <v>0.0000000004</v>
      </c>
      <c r="I215" s="107">
        <f t="shared" si="356"/>
        <v>0.0000000005</v>
      </c>
      <c r="J215" s="107">
        <f t="shared" si="356"/>
        <v>0.0000000006</v>
      </c>
      <c r="K215" s="107">
        <f t="shared" si="356"/>
        <v>0.0000000007</v>
      </c>
      <c r="L215" s="107">
        <f t="shared" si="356"/>
        <v>0.0000000008</v>
      </c>
      <c r="M215" s="107">
        <f t="shared" si="356"/>
        <v>0.0000000009</v>
      </c>
      <c r="N215" s="107">
        <f t="shared" si="356"/>
        <v>0.00000000095</v>
      </c>
      <c r="O215" s="130"/>
      <c r="P215" s="132"/>
      <c r="Q215" s="107">
        <f>IF(Q213=X211,0,Q214)</f>
        <v>0</v>
      </c>
      <c r="R215" s="107">
        <f>IF(R213=X211,0,R214)</f>
        <v>0</v>
      </c>
      <c r="S215" s="107">
        <f>IF(S213=X211,0,S214)</f>
        <v>0</v>
      </c>
      <c r="T215" s="107">
        <f>IF(T213=X211,0,T214)</f>
        <v>0</v>
      </c>
      <c r="U215" s="107">
        <f>IF(U213=AA211,0,U214)</f>
        <v>0</v>
      </c>
      <c r="V215" s="107"/>
      <c r="W215" s="107"/>
      <c r="X215" s="107">
        <f>LARGE(Q215:U215,1)</f>
        <v>0</v>
      </c>
      <c r="Y215" s="107"/>
      <c r="Z215" s="107"/>
      <c r="AA215" s="107"/>
      <c r="AB215" s="107"/>
      <c r="AC215" s="107"/>
      <c r="AD215" s="107"/>
      <c r="AE215" s="107"/>
      <c r="AF215" s="107"/>
      <c r="AG215" s="107"/>
      <c r="AH215" s="107"/>
      <c r="AI215" s="107"/>
      <c r="AJ215" s="107"/>
    </row>
    <row r="216" ht="15.75" customHeight="1">
      <c r="A216" s="107" t="s">
        <v>575</v>
      </c>
      <c r="B216" s="107" t="s">
        <v>576</v>
      </c>
      <c r="C216" s="107" t="s">
        <v>21</v>
      </c>
      <c r="D216" s="107">
        <f t="shared" si="338"/>
        <v>0.00000000395</v>
      </c>
      <c r="E216" s="107">
        <f t="shared" ref="E216:N216" si="357">E7</f>
        <v>0.0000000001</v>
      </c>
      <c r="F216" s="107">
        <f t="shared" si="357"/>
        <v>0.0000000002</v>
      </c>
      <c r="G216" s="107">
        <f t="shared" si="357"/>
        <v>0.0000000003</v>
      </c>
      <c r="H216" s="107">
        <f t="shared" si="357"/>
        <v>0.0000000004</v>
      </c>
      <c r="I216" s="107">
        <f t="shared" si="357"/>
        <v>0.0000000005</v>
      </c>
      <c r="J216" s="107">
        <f t="shared" si="357"/>
        <v>0.0000000006</v>
      </c>
      <c r="K216" s="107">
        <f t="shared" si="357"/>
        <v>0.0000000007</v>
      </c>
      <c r="L216" s="107">
        <f t="shared" si="357"/>
        <v>0.0000000008</v>
      </c>
      <c r="M216" s="107">
        <f t="shared" si="357"/>
        <v>0.0000000009</v>
      </c>
      <c r="N216" s="107">
        <f t="shared" si="357"/>
        <v>0.00000000095</v>
      </c>
      <c r="O216" s="130"/>
      <c r="P216" s="131"/>
      <c r="Q216" s="107" t="s">
        <v>571</v>
      </c>
      <c r="R216" s="107"/>
      <c r="S216" s="107"/>
      <c r="T216" s="107"/>
      <c r="U216" s="107"/>
      <c r="V216" s="107"/>
      <c r="W216" s="107"/>
      <c r="X216" s="113"/>
      <c r="Y216" s="107"/>
      <c r="Z216" s="107"/>
      <c r="AA216" s="107"/>
      <c r="AB216" s="107"/>
      <c r="AC216" s="107"/>
      <c r="AD216" s="107"/>
      <c r="AE216" s="107"/>
      <c r="AF216" s="107"/>
      <c r="AG216" s="107"/>
      <c r="AH216" s="107"/>
      <c r="AI216" s="107"/>
      <c r="AJ216" s="107"/>
    </row>
    <row r="217" ht="15.75" customHeight="1">
      <c r="A217" s="107" t="s">
        <v>577</v>
      </c>
      <c r="B217" s="107" t="s">
        <v>578</v>
      </c>
      <c r="C217" s="107" t="s">
        <v>191</v>
      </c>
      <c r="D217" s="107">
        <f>SUM(E217:H217)+LARGE(I217:N217,1)+LARGE(I217:N217,2)</f>
        <v>0.000000003075</v>
      </c>
      <c r="E217" s="107">
        <f>IF(E16=FALSE,E7*1.25,E7*1.25*0.9)</f>
        <v>0.000000000125</v>
      </c>
      <c r="F217" s="107">
        <f>IF(F16=FALSE,F7*1.5,F7*1.5*0.9)</f>
        <v>0.0000000003</v>
      </c>
      <c r="G217" s="107">
        <f>IF(G16=FALSE,G7,G7*0.9)</f>
        <v>0.0000000003</v>
      </c>
      <c r="H217" s="107">
        <f>IF(H16=FALSE,H7*1.25,H7*1.25*0.9)</f>
        <v>0.0000000005</v>
      </c>
      <c r="I217" s="107">
        <f t="shared" ref="I217:N217" si="358">IF(I16=FALSE,I7,I7*0.9)</f>
        <v>0.0000000005</v>
      </c>
      <c r="J217" s="107">
        <f t="shared" si="358"/>
        <v>0.0000000006</v>
      </c>
      <c r="K217" s="107">
        <f t="shared" si="358"/>
        <v>0.0000000007</v>
      </c>
      <c r="L217" s="107">
        <f t="shared" si="358"/>
        <v>0.0000000008</v>
      </c>
      <c r="M217" s="107">
        <f t="shared" si="358"/>
        <v>0.0000000009</v>
      </c>
      <c r="N217" s="107">
        <f t="shared" si="358"/>
        <v>0.00000000095</v>
      </c>
      <c r="O217" s="130" t="s">
        <v>439</v>
      </c>
      <c r="P217" s="132"/>
      <c r="Q217" s="109" t="str">
        <f t="shared" ref="Q217:U217" si="359">I1</f>
        <v>數學延伸</v>
      </c>
      <c r="R217" s="109">
        <f t="shared" si="359"/>
        <v>0</v>
      </c>
      <c r="S217" s="109">
        <f t="shared" si="359"/>
        <v>0</v>
      </c>
      <c r="T217" s="109">
        <f t="shared" si="359"/>
        <v>0</v>
      </c>
      <c r="U217" s="109">
        <f t="shared" si="359"/>
        <v>0</v>
      </c>
      <c r="V217" s="109" t="s">
        <v>433</v>
      </c>
      <c r="W217" s="107"/>
      <c r="X217" s="113"/>
      <c r="Y217" s="107"/>
      <c r="Z217" s="107"/>
      <c r="AA217" s="107"/>
      <c r="AB217" s="107"/>
      <c r="AC217" s="107"/>
      <c r="AD217" s="107"/>
      <c r="AE217" s="107"/>
      <c r="AF217" s="107"/>
      <c r="AG217" s="107"/>
      <c r="AH217" s="107"/>
      <c r="AI217" s="107"/>
      <c r="AJ217" s="107"/>
    </row>
    <row r="218" ht="15.75" customHeight="1">
      <c r="A218" s="107" t="s">
        <v>579</v>
      </c>
      <c r="B218" s="107" t="s">
        <v>580</v>
      </c>
      <c r="C218" s="107" t="s">
        <v>21</v>
      </c>
      <c r="D218" s="107">
        <f t="shared" ref="D218:D224" si="363">LARGE(E218:N218, 1)+LARGE(E218:N218, 2)+LARGE(E218:N218, 3)+LARGE(E218:N218, 4)+LARGE(E218:N218, 5)</f>
        <v>0.00000000395</v>
      </c>
      <c r="E218" s="107">
        <f t="shared" ref="E218:F218" si="360">E7*1.3</f>
        <v>0.00000000013</v>
      </c>
      <c r="F218" s="107">
        <f t="shared" si="360"/>
        <v>0.00000000026</v>
      </c>
      <c r="G218" s="107">
        <f t="shared" ref="G218:N218" si="361">G7</f>
        <v>0.0000000003</v>
      </c>
      <c r="H218" s="107">
        <f t="shared" si="361"/>
        <v>0.0000000004</v>
      </c>
      <c r="I218" s="107">
        <f t="shared" si="361"/>
        <v>0.0000000005</v>
      </c>
      <c r="J218" s="107">
        <f t="shared" si="361"/>
        <v>0.0000000006</v>
      </c>
      <c r="K218" s="107">
        <f t="shared" si="361"/>
        <v>0.0000000007</v>
      </c>
      <c r="L218" s="107">
        <f t="shared" si="361"/>
        <v>0.0000000008</v>
      </c>
      <c r="M218" s="107">
        <f t="shared" si="361"/>
        <v>0.0000000009</v>
      </c>
      <c r="N218" s="107">
        <f t="shared" si="361"/>
        <v>0.00000000095</v>
      </c>
      <c r="O218" s="130"/>
      <c r="P218" s="132"/>
      <c r="Q218" s="141">
        <f>I7</f>
        <v>0.0000000005</v>
      </c>
      <c r="R218" s="141">
        <f t="shared" ref="R218:U218" si="362">IF(OR(J1="物理",J1="化學",J1="經濟"),J7,0)</f>
        <v>0</v>
      </c>
      <c r="S218" s="141">
        <f t="shared" si="362"/>
        <v>0</v>
      </c>
      <c r="T218" s="141">
        <f t="shared" si="362"/>
        <v>0</v>
      </c>
      <c r="U218" s="141">
        <f t="shared" si="362"/>
        <v>0</v>
      </c>
      <c r="V218" s="141" t="str">
        <f t="array" ref="V218">INDEX(I$1:M$1,MATCH(LARGE(Q218:U218,1),Q218:U218,0))</f>
        <v>數學延伸</v>
      </c>
      <c r="W218" s="107"/>
      <c r="X218" s="113"/>
      <c r="Y218" s="107"/>
      <c r="Z218" s="107"/>
      <c r="AA218" s="107"/>
      <c r="AB218" s="107"/>
      <c r="AC218" s="107"/>
      <c r="AD218" s="107"/>
      <c r="AE218" s="107"/>
      <c r="AF218" s="107"/>
      <c r="AG218" s="107"/>
      <c r="AH218" s="107"/>
      <c r="AI218" s="107"/>
      <c r="AJ218" s="107"/>
    </row>
    <row r="219" ht="15.75" customHeight="1">
      <c r="A219" s="107" t="s">
        <v>581</v>
      </c>
      <c r="B219" s="107" t="s">
        <v>582</v>
      </c>
      <c r="C219" s="107" t="s">
        <v>21</v>
      </c>
      <c r="D219" s="107">
        <f t="shared" si="363"/>
        <v>0.00000000395</v>
      </c>
      <c r="E219" s="107">
        <f>E7</f>
        <v>0.0000000001</v>
      </c>
      <c r="F219" s="107">
        <f>F7*1.3</f>
        <v>0.00000000026</v>
      </c>
      <c r="G219" s="107">
        <f t="shared" ref="G219:N219" si="364">G7</f>
        <v>0.0000000003</v>
      </c>
      <c r="H219" s="107">
        <f t="shared" si="364"/>
        <v>0.0000000004</v>
      </c>
      <c r="I219" s="107">
        <f t="shared" si="364"/>
        <v>0.0000000005</v>
      </c>
      <c r="J219" s="107">
        <f t="shared" si="364"/>
        <v>0.0000000006</v>
      </c>
      <c r="K219" s="107">
        <f t="shared" si="364"/>
        <v>0.0000000007</v>
      </c>
      <c r="L219" s="107">
        <f t="shared" si="364"/>
        <v>0.0000000008</v>
      </c>
      <c r="M219" s="107">
        <f t="shared" si="364"/>
        <v>0.0000000009</v>
      </c>
      <c r="N219" s="107">
        <f t="shared" si="364"/>
        <v>0.00000000095</v>
      </c>
      <c r="O219" s="130"/>
      <c r="P219" s="132"/>
      <c r="Q219" s="107"/>
      <c r="R219" s="107"/>
      <c r="S219" s="107"/>
      <c r="T219" s="107"/>
      <c r="U219" s="107"/>
      <c r="V219" s="107"/>
      <c r="W219" s="107"/>
      <c r="X219" s="113"/>
      <c r="Y219" s="107"/>
      <c r="Z219" s="107"/>
      <c r="AA219" s="107"/>
      <c r="AB219" s="107"/>
      <c r="AC219" s="107"/>
      <c r="AD219" s="107"/>
      <c r="AE219" s="107"/>
      <c r="AF219" s="107"/>
      <c r="AG219" s="107"/>
      <c r="AH219" s="107"/>
      <c r="AI219" s="107"/>
      <c r="AJ219" s="107"/>
    </row>
    <row r="220" ht="15.75" customHeight="1">
      <c r="A220" s="107" t="s">
        <v>55</v>
      </c>
      <c r="B220" s="107" t="s">
        <v>583</v>
      </c>
      <c r="C220" s="107" t="s">
        <v>21</v>
      </c>
      <c r="D220" s="107">
        <f t="shared" si="363"/>
        <v>0.00000000395</v>
      </c>
      <c r="E220" s="107">
        <f>E7</f>
        <v>0.0000000001</v>
      </c>
      <c r="F220" s="107">
        <f t="shared" ref="F220:G220" si="365">F7*1.5</f>
        <v>0.0000000003</v>
      </c>
      <c r="G220" s="107">
        <f t="shared" si="365"/>
        <v>0.00000000045</v>
      </c>
      <c r="H220" s="107">
        <f t="shared" ref="H220:N220" si="366">H7</f>
        <v>0.0000000004</v>
      </c>
      <c r="I220" s="107">
        <f t="shared" si="366"/>
        <v>0.0000000005</v>
      </c>
      <c r="J220" s="107">
        <f t="shared" si="366"/>
        <v>0.0000000006</v>
      </c>
      <c r="K220" s="107">
        <f t="shared" si="366"/>
        <v>0.0000000007</v>
      </c>
      <c r="L220" s="107">
        <f t="shared" si="366"/>
        <v>0.0000000008</v>
      </c>
      <c r="M220" s="107">
        <f t="shared" si="366"/>
        <v>0.0000000009</v>
      </c>
      <c r="N220" s="107">
        <f t="shared" si="366"/>
        <v>0.00000000095</v>
      </c>
      <c r="O220" s="130"/>
      <c r="P220" s="132"/>
      <c r="Q220" s="107"/>
      <c r="R220" s="107"/>
      <c r="S220" s="107"/>
      <c r="T220" s="107"/>
      <c r="U220" s="107"/>
      <c r="V220" s="113"/>
      <c r="W220" s="107"/>
      <c r="X220" s="107"/>
      <c r="Y220" s="107"/>
      <c r="Z220" s="107"/>
      <c r="AA220" s="107"/>
      <c r="AB220" s="107"/>
      <c r="AC220" s="107"/>
      <c r="AD220" s="107"/>
      <c r="AE220" s="107"/>
      <c r="AF220" s="107"/>
      <c r="AG220" s="107"/>
      <c r="AH220" s="107"/>
      <c r="AI220" s="107"/>
      <c r="AJ220" s="107"/>
    </row>
    <row r="221" ht="15.75" customHeight="1">
      <c r="A221" s="107" t="s">
        <v>584</v>
      </c>
      <c r="B221" s="107" t="s">
        <v>585</v>
      </c>
      <c r="C221" s="107" t="s">
        <v>21</v>
      </c>
      <c r="D221" s="107">
        <f t="shared" si="363"/>
        <v>0.00000000395</v>
      </c>
      <c r="E221" s="107">
        <f t="shared" ref="E221:N221" si="367">E7</f>
        <v>0.0000000001</v>
      </c>
      <c r="F221" s="107">
        <f t="shared" si="367"/>
        <v>0.0000000002</v>
      </c>
      <c r="G221" s="107">
        <f t="shared" si="367"/>
        <v>0.0000000003</v>
      </c>
      <c r="H221" s="107">
        <f t="shared" si="367"/>
        <v>0.0000000004</v>
      </c>
      <c r="I221" s="107">
        <f t="shared" si="367"/>
        <v>0.0000000005</v>
      </c>
      <c r="J221" s="107">
        <f t="shared" si="367"/>
        <v>0.0000000006</v>
      </c>
      <c r="K221" s="107">
        <f t="shared" si="367"/>
        <v>0.0000000007</v>
      </c>
      <c r="L221" s="107">
        <f t="shared" si="367"/>
        <v>0.0000000008</v>
      </c>
      <c r="M221" s="107">
        <f t="shared" si="367"/>
        <v>0.0000000009</v>
      </c>
      <c r="N221" s="107">
        <f t="shared" si="367"/>
        <v>0.00000000095</v>
      </c>
      <c r="O221" s="130"/>
      <c r="P221" s="131"/>
      <c r="Q221" s="107"/>
      <c r="R221" s="107"/>
      <c r="S221" s="107"/>
      <c r="T221" s="107"/>
      <c r="U221" s="107"/>
      <c r="V221" s="113"/>
      <c r="W221" s="107"/>
      <c r="X221" s="107"/>
      <c r="Y221" s="107"/>
      <c r="Z221" s="107"/>
      <c r="AA221" s="107"/>
      <c r="AB221" s="107"/>
      <c r="AC221" s="107"/>
      <c r="AD221" s="107"/>
      <c r="AE221" s="107"/>
      <c r="AF221" s="107"/>
      <c r="AG221" s="107"/>
      <c r="AH221" s="107"/>
      <c r="AI221" s="107"/>
      <c r="AJ221" s="107"/>
    </row>
    <row r="222" ht="15.75" customHeight="1">
      <c r="A222" s="107" t="s">
        <v>586</v>
      </c>
      <c r="B222" s="107" t="s">
        <v>587</v>
      </c>
      <c r="C222" s="107" t="s">
        <v>21</v>
      </c>
      <c r="D222" s="107">
        <f t="shared" si="363"/>
        <v>0.00000000395</v>
      </c>
      <c r="E222" s="107">
        <f>E7</f>
        <v>0.0000000001</v>
      </c>
      <c r="F222" s="107">
        <f>F7*1.5</f>
        <v>0.0000000003</v>
      </c>
      <c r="G222" s="107">
        <f>G7</f>
        <v>0.0000000003</v>
      </c>
      <c r="H222" s="107">
        <f>H7*1.5</f>
        <v>0.0000000006</v>
      </c>
      <c r="I222" s="107">
        <f t="shared" ref="I222:N222" si="368">I7</f>
        <v>0.0000000005</v>
      </c>
      <c r="J222" s="107">
        <f t="shared" si="368"/>
        <v>0.0000000006</v>
      </c>
      <c r="K222" s="107">
        <f t="shared" si="368"/>
        <v>0.0000000007</v>
      </c>
      <c r="L222" s="107">
        <f t="shared" si="368"/>
        <v>0.0000000008</v>
      </c>
      <c r="M222" s="107">
        <f t="shared" si="368"/>
        <v>0.0000000009</v>
      </c>
      <c r="N222" s="107">
        <f t="shared" si="368"/>
        <v>0.00000000095</v>
      </c>
      <c r="O222" s="130"/>
      <c r="P222" s="132"/>
      <c r="Q222" s="107"/>
      <c r="R222" s="107"/>
      <c r="S222" s="107"/>
      <c r="T222" s="107"/>
      <c r="U222" s="107"/>
      <c r="V222" s="107"/>
      <c r="W222" s="107"/>
      <c r="X222" s="107"/>
      <c r="Y222" s="107"/>
      <c r="Z222" s="107"/>
      <c r="AA222" s="107"/>
      <c r="AB222" s="107"/>
      <c r="AC222" s="107"/>
      <c r="AD222" s="107"/>
      <c r="AE222" s="107"/>
      <c r="AF222" s="107"/>
      <c r="AG222" s="107"/>
      <c r="AH222" s="107"/>
      <c r="AI222" s="107"/>
      <c r="AJ222" s="107"/>
    </row>
    <row r="223" ht="15.75" customHeight="1">
      <c r="A223" s="107" t="s">
        <v>588</v>
      </c>
      <c r="B223" s="107" t="s">
        <v>589</v>
      </c>
      <c r="C223" s="107" t="s">
        <v>21</v>
      </c>
      <c r="D223" s="107">
        <f t="shared" si="363"/>
        <v>0.00000000395</v>
      </c>
      <c r="E223" s="107">
        <f>E7</f>
        <v>0.0000000001</v>
      </c>
      <c r="F223" s="107">
        <f>F7*1.5</f>
        <v>0.0000000003</v>
      </c>
      <c r="G223" s="107">
        <f t="shared" ref="G223:N223" si="369">G7</f>
        <v>0.0000000003</v>
      </c>
      <c r="H223" s="107">
        <f t="shared" si="369"/>
        <v>0.0000000004</v>
      </c>
      <c r="I223" s="107">
        <f t="shared" si="369"/>
        <v>0.0000000005</v>
      </c>
      <c r="J223" s="107">
        <f t="shared" si="369"/>
        <v>0.0000000006</v>
      </c>
      <c r="K223" s="107">
        <f t="shared" si="369"/>
        <v>0.0000000007</v>
      </c>
      <c r="L223" s="107">
        <f t="shared" si="369"/>
        <v>0.0000000008</v>
      </c>
      <c r="M223" s="107">
        <f t="shared" si="369"/>
        <v>0.0000000009</v>
      </c>
      <c r="N223" s="107">
        <f t="shared" si="369"/>
        <v>0.00000000095</v>
      </c>
      <c r="O223" s="130"/>
      <c r="P223" s="132"/>
      <c r="Q223" s="107"/>
      <c r="R223" s="107"/>
      <c r="S223" s="107"/>
      <c r="T223" s="107"/>
      <c r="U223" s="107"/>
      <c r="V223" s="107"/>
      <c r="W223" s="107"/>
      <c r="X223" s="107"/>
      <c r="Y223" s="107"/>
      <c r="Z223" s="107"/>
      <c r="AA223" s="107"/>
      <c r="AB223" s="107"/>
      <c r="AC223" s="107"/>
      <c r="AD223" s="107"/>
      <c r="AE223" s="107"/>
      <c r="AF223" s="107"/>
      <c r="AG223" s="107"/>
      <c r="AH223" s="107"/>
      <c r="AI223" s="107"/>
      <c r="AJ223" s="107"/>
    </row>
    <row r="224" ht="15.75" customHeight="1">
      <c r="A224" s="107" t="s">
        <v>590</v>
      </c>
      <c r="B224" s="107" t="s">
        <v>591</v>
      </c>
      <c r="C224" s="107" t="s">
        <v>21</v>
      </c>
      <c r="D224" s="107">
        <f t="shared" si="363"/>
        <v>0.00000000395</v>
      </c>
      <c r="E224" s="107">
        <f t="shared" ref="E224:N224" si="370">E7</f>
        <v>0.0000000001</v>
      </c>
      <c r="F224" s="107">
        <f t="shared" si="370"/>
        <v>0.0000000002</v>
      </c>
      <c r="G224" s="107">
        <f t="shared" si="370"/>
        <v>0.0000000003</v>
      </c>
      <c r="H224" s="107">
        <f t="shared" si="370"/>
        <v>0.0000000004</v>
      </c>
      <c r="I224" s="107">
        <f t="shared" si="370"/>
        <v>0.0000000005</v>
      </c>
      <c r="J224" s="107">
        <f t="shared" si="370"/>
        <v>0.0000000006</v>
      </c>
      <c r="K224" s="107">
        <f t="shared" si="370"/>
        <v>0.0000000007</v>
      </c>
      <c r="L224" s="107">
        <f t="shared" si="370"/>
        <v>0.0000000008</v>
      </c>
      <c r="M224" s="107">
        <f t="shared" si="370"/>
        <v>0.0000000009</v>
      </c>
      <c r="N224" s="107">
        <f t="shared" si="370"/>
        <v>0.00000000095</v>
      </c>
      <c r="O224" s="130"/>
      <c r="P224" s="131"/>
      <c r="Q224" s="107"/>
      <c r="R224" s="107"/>
      <c r="S224" s="107"/>
      <c r="T224" s="107"/>
      <c r="U224" s="107"/>
      <c r="V224" s="107"/>
      <c r="W224" s="107"/>
      <c r="X224" s="107"/>
      <c r="Y224" s="107"/>
      <c r="Z224" s="107"/>
      <c r="AA224" s="107"/>
      <c r="AB224" s="107"/>
      <c r="AC224" s="107"/>
      <c r="AD224" s="107"/>
      <c r="AE224" s="107"/>
      <c r="AF224" s="107"/>
      <c r="AG224" s="107"/>
      <c r="AH224" s="107"/>
      <c r="AI224" s="107"/>
      <c r="AJ224" s="107"/>
    </row>
    <row r="225" ht="15.75" customHeight="1">
      <c r="A225" s="107" t="s">
        <v>592</v>
      </c>
      <c r="B225" s="107" t="s">
        <v>593</v>
      </c>
      <c r="C225" s="107" t="s">
        <v>191</v>
      </c>
      <c r="D225" s="107">
        <f>SUM(E225:H225)+LARGE(I225:N225,1)+LARGE(I225:N225,2)</f>
        <v>0.0000000035</v>
      </c>
      <c r="E225" s="107">
        <f>IF(E16=FALSE,E7*1.5,E7*1.5*0.95)</f>
        <v>0.00000000015</v>
      </c>
      <c r="F225" s="107">
        <f>IF(F16=FALSE,F7*2,F7*2*0.95)</f>
        <v>0.0000000004</v>
      </c>
      <c r="G225" s="107">
        <f>IF(G16=FALSE,G7,G7*0.95)</f>
        <v>0.0000000003</v>
      </c>
      <c r="H225" s="107">
        <f>IF(H16=FALSE,H7*2,H7*2*0.95)</f>
        <v>0.0000000008</v>
      </c>
      <c r="I225" s="107">
        <f t="shared" ref="I225:N225" si="371">IF(I16=FALSE,I7,I7*0.95)</f>
        <v>0.0000000005</v>
      </c>
      <c r="J225" s="107">
        <f t="shared" si="371"/>
        <v>0.0000000006</v>
      </c>
      <c r="K225" s="107">
        <f t="shared" si="371"/>
        <v>0.0000000007</v>
      </c>
      <c r="L225" s="107">
        <f t="shared" si="371"/>
        <v>0.0000000008</v>
      </c>
      <c r="M225" s="107">
        <f t="shared" si="371"/>
        <v>0.0000000009</v>
      </c>
      <c r="N225" s="107">
        <f t="shared" si="371"/>
        <v>0.00000000095</v>
      </c>
      <c r="O225" s="130" t="s">
        <v>417</v>
      </c>
      <c r="P225" s="132"/>
      <c r="Q225" s="107"/>
      <c r="R225" s="107"/>
      <c r="S225" s="107"/>
      <c r="T225" s="107"/>
      <c r="U225" s="107"/>
      <c r="V225" s="107"/>
      <c r="W225" s="107"/>
      <c r="X225" s="107"/>
      <c r="Y225" s="107"/>
      <c r="Z225" s="107"/>
      <c r="AA225" s="107"/>
      <c r="AB225" s="107"/>
      <c r="AC225" s="107"/>
      <c r="AD225" s="107"/>
      <c r="AE225" s="107"/>
      <c r="AF225" s="107"/>
      <c r="AG225" s="107"/>
      <c r="AH225" s="107"/>
      <c r="AI225" s="107"/>
      <c r="AJ225" s="107"/>
    </row>
    <row r="226" ht="15.75" customHeight="1">
      <c r="A226" s="142"/>
      <c r="B226" s="142"/>
      <c r="C226" s="142"/>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row>
    <row r="227" ht="15.75" customHeight="1">
      <c r="A227" s="123" t="s">
        <v>178</v>
      </c>
      <c r="B227" s="109"/>
      <c r="C227" s="110"/>
      <c r="D227" s="107" t="str">
        <f t="shared" ref="D227:N227" si="372">D1</f>
        <v>總分</v>
      </c>
      <c r="E227" s="107" t="str">
        <f t="shared" si="372"/>
        <v>中國語文</v>
      </c>
      <c r="F227" s="107" t="str">
        <f t="shared" si="372"/>
        <v>英國語文</v>
      </c>
      <c r="G227" s="107" t="str">
        <f t="shared" si="372"/>
        <v>數學</v>
      </c>
      <c r="H227" s="107" t="str">
        <f t="shared" si="372"/>
        <v>通識教育</v>
      </c>
      <c r="I227" s="107" t="str">
        <f t="shared" si="372"/>
        <v>數學延伸</v>
      </c>
      <c r="J227" s="107">
        <f t="shared" si="372"/>
        <v>0</v>
      </c>
      <c r="K227" s="107">
        <f t="shared" si="372"/>
        <v>0</v>
      </c>
      <c r="L227" s="107">
        <f t="shared" si="372"/>
        <v>0</v>
      </c>
      <c r="M227" s="107">
        <f t="shared" si="372"/>
        <v>0</v>
      </c>
      <c r="N227" s="107">
        <f t="shared" si="372"/>
        <v>0</v>
      </c>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row>
    <row r="228" ht="15.75" customHeight="1">
      <c r="A228" s="107" t="s">
        <v>354</v>
      </c>
      <c r="B228" s="107" t="s">
        <v>594</v>
      </c>
      <c r="C228" s="108" t="s">
        <v>595</v>
      </c>
      <c r="D228" s="107">
        <f t="array" ref="D228">F228+G228+Q230+T230+LARGE({H228:N228,E228},1)</f>
        <v>0.00000000195</v>
      </c>
      <c r="E228" s="107">
        <f t="shared" ref="E228:H228" si="373">E$8</f>
        <v>0.0000000001</v>
      </c>
      <c r="F228" s="107">
        <f t="shared" si="373"/>
        <v>0.0000000002</v>
      </c>
      <c r="G228" s="107">
        <f t="shared" si="373"/>
        <v>0.0000000003</v>
      </c>
      <c r="H228" s="107">
        <f t="shared" si="373"/>
        <v>0.0000000004</v>
      </c>
      <c r="I228" s="107">
        <f>IF(OR(I227=$T$229,I227=$Q$229),0,I$8)</f>
        <v>0</v>
      </c>
      <c r="J228" s="107">
        <f t="shared" ref="J228:M228" si="374">IF(OR(J227=$U$229,J227=$R$229),0,J$8)</f>
        <v>0</v>
      </c>
      <c r="K228" s="107">
        <f t="shared" si="374"/>
        <v>0</v>
      </c>
      <c r="L228" s="107">
        <f t="shared" si="374"/>
        <v>0</v>
      </c>
      <c r="M228" s="107">
        <f t="shared" si="374"/>
        <v>0</v>
      </c>
      <c r="N228" s="107">
        <f>N$8</f>
        <v>0.00000000095</v>
      </c>
      <c r="O228" s="107"/>
      <c r="P228" s="140" t="s">
        <v>354</v>
      </c>
      <c r="Q228" s="143" t="s">
        <v>433</v>
      </c>
      <c r="R228" s="140" t="s">
        <v>596</v>
      </c>
      <c r="S228" s="140"/>
      <c r="T228" s="143" t="s">
        <v>58</v>
      </c>
      <c r="U228" s="140" t="s">
        <v>597</v>
      </c>
      <c r="V228" s="140" t="s">
        <v>598</v>
      </c>
      <c r="W228" s="107"/>
      <c r="X228" s="107"/>
      <c r="Y228" s="107"/>
      <c r="Z228" s="107"/>
      <c r="AA228" s="107"/>
      <c r="AB228" s="107"/>
      <c r="AC228" s="107"/>
      <c r="AD228" s="107"/>
      <c r="AE228" s="107"/>
      <c r="AF228" s="107"/>
      <c r="AG228" s="107"/>
      <c r="AH228" s="107"/>
      <c r="AI228" s="107"/>
      <c r="AJ228" s="107"/>
    </row>
    <row r="229" ht="15.75" customHeight="1">
      <c r="A229" s="107" t="s">
        <v>599</v>
      </c>
      <c r="B229" s="107" t="s">
        <v>600</v>
      </c>
      <c r="C229" s="108" t="s">
        <v>601</v>
      </c>
      <c r="D229" s="107">
        <f>F229+G229+R234+T234+V234</f>
        <v>0.0000000033</v>
      </c>
      <c r="E229" s="107">
        <f t="shared" ref="E229:E231" si="376">E$8</f>
        <v>0.0000000001</v>
      </c>
      <c r="F229" s="107">
        <f>F8*1.5</f>
        <v>0.0000000003</v>
      </c>
      <c r="G229" s="107">
        <f>G8</f>
        <v>0.0000000003</v>
      </c>
      <c r="H229" s="107">
        <f t="shared" ref="H229:N229" si="375">H$8</f>
        <v>0.0000000004</v>
      </c>
      <c r="I229" s="107">
        <f t="shared" si="375"/>
        <v>0.0000000005</v>
      </c>
      <c r="J229" s="107">
        <f t="shared" si="375"/>
        <v>0.0000000006</v>
      </c>
      <c r="K229" s="107">
        <f t="shared" si="375"/>
        <v>0.0000000007</v>
      </c>
      <c r="L229" s="107">
        <f t="shared" si="375"/>
        <v>0.0000000008</v>
      </c>
      <c r="M229" s="107">
        <f t="shared" si="375"/>
        <v>0.0000000009</v>
      </c>
      <c r="N229" s="107">
        <f t="shared" si="375"/>
        <v>0.00000000095</v>
      </c>
      <c r="O229" s="107"/>
      <c r="P229" s="140"/>
      <c r="Q229" s="144" t="str">
        <f t="array" ref="Q229">INDEX(I$1:M$1,MATCH(LARGE(R141:V141,1),R141:V141,0))</f>
        <v>數學延伸</v>
      </c>
      <c r="R229" s="144" t="str">
        <f>IF(OR(Q229="物理",Q229="化學",Q229="生物",Q229="數學延伸",Q229="組合科學(物理、化學)",Q229="組合科學(生物、化學)",Q229="組合科學(物理、生物)"),Q229,0)</f>
        <v>數學延伸</v>
      </c>
      <c r="S229" s="140"/>
      <c r="T229" s="144">
        <f t="array" ref="T229">INDEX(I$1:M$1,MATCH(LARGE(R141:V141,2),R141:V141,0))</f>
        <v>0</v>
      </c>
      <c r="U229" s="140">
        <f>IF(OR(T229="物理",T229="化學",T229="生物",T229="組合科學(物理、化學)",T229="組合科學(生物、化學)",T229="組合科學(物理、生物)"),T229,0)</f>
        <v>0</v>
      </c>
      <c r="V229" s="140">
        <f>IF(OR(R230=0,U230=0),0,1)</f>
        <v>0</v>
      </c>
      <c r="W229" s="107"/>
      <c r="X229" s="107"/>
      <c r="Y229" s="107"/>
      <c r="Z229" s="107"/>
      <c r="AA229" s="107"/>
      <c r="AB229" s="107"/>
      <c r="AC229" s="107"/>
      <c r="AD229" s="107"/>
      <c r="AE229" s="107"/>
      <c r="AF229" s="107"/>
      <c r="AG229" s="107"/>
      <c r="AH229" s="107"/>
      <c r="AI229" s="107"/>
      <c r="AJ229" s="107"/>
    </row>
    <row r="230" ht="15.75" customHeight="1">
      <c r="A230" s="107" t="s">
        <v>602</v>
      </c>
      <c r="B230" s="107" t="s">
        <v>603</v>
      </c>
      <c r="C230" s="108" t="s">
        <v>601</v>
      </c>
      <c r="D230" s="107">
        <f>F230+G230+R238+T238+V238</f>
        <v>0.00000000265</v>
      </c>
      <c r="E230" s="107">
        <f t="shared" si="376"/>
        <v>0.0000000001</v>
      </c>
      <c r="F230" s="107">
        <f>F8*1.5</f>
        <v>0.0000000003</v>
      </c>
      <c r="G230" s="107">
        <f>G8</f>
        <v>0.0000000003</v>
      </c>
      <c r="H230" s="107">
        <f t="shared" ref="H230:N230" si="377">H$8</f>
        <v>0.0000000004</v>
      </c>
      <c r="I230" s="107">
        <f t="shared" si="377"/>
        <v>0.0000000005</v>
      </c>
      <c r="J230" s="107">
        <f t="shared" si="377"/>
        <v>0.0000000006</v>
      </c>
      <c r="K230" s="107">
        <f t="shared" si="377"/>
        <v>0.0000000007</v>
      </c>
      <c r="L230" s="107">
        <f t="shared" si="377"/>
        <v>0.0000000008</v>
      </c>
      <c r="M230" s="107">
        <f t="shared" si="377"/>
        <v>0.0000000009</v>
      </c>
      <c r="N230" s="107">
        <f t="shared" si="377"/>
        <v>0.00000000095</v>
      </c>
      <c r="O230" s="107"/>
      <c r="P230" s="140"/>
      <c r="Q230" s="140">
        <f>LARGE((R141:V141),1)</f>
        <v>0.0000000005</v>
      </c>
      <c r="R230" s="140">
        <f>IF(Q230&lt;3,0,Q230)</f>
        <v>0</v>
      </c>
      <c r="S230" s="140"/>
      <c r="T230" s="140">
        <f>LARGE((R141:V141),2)</f>
        <v>0</v>
      </c>
      <c r="U230" s="140">
        <f>IF(T230&lt;3,0,T230)</f>
        <v>0</v>
      </c>
      <c r="V230" s="140"/>
      <c r="W230" s="107"/>
      <c r="X230" s="107"/>
      <c r="Y230" s="107"/>
      <c r="Z230" s="107"/>
      <c r="AA230" s="107"/>
      <c r="AB230" s="107"/>
      <c r="AC230" s="107"/>
      <c r="AD230" s="107"/>
      <c r="AE230" s="107"/>
      <c r="AF230" s="107"/>
      <c r="AG230" s="107"/>
      <c r="AH230" s="107"/>
      <c r="AI230" s="107"/>
      <c r="AJ230" s="107"/>
    </row>
    <row r="231" ht="15.75" customHeight="1">
      <c r="A231" s="107" t="s">
        <v>604</v>
      </c>
      <c r="B231" s="107" t="s">
        <v>605</v>
      </c>
      <c r="C231" s="108" t="s">
        <v>601</v>
      </c>
      <c r="D231" s="107">
        <f>F229+G229+R234+T234+V234</f>
        <v>0.0000000033</v>
      </c>
      <c r="E231" s="107">
        <f t="shared" si="376"/>
        <v>0.0000000001</v>
      </c>
      <c r="F231" s="107">
        <f>F8*1.5</f>
        <v>0.0000000003</v>
      </c>
      <c r="G231" s="107">
        <f>G8</f>
        <v>0.0000000003</v>
      </c>
      <c r="H231" s="107">
        <f t="shared" ref="H231:N231" si="378">H$8</f>
        <v>0.0000000004</v>
      </c>
      <c r="I231" s="107">
        <f t="shared" si="378"/>
        <v>0.0000000005</v>
      </c>
      <c r="J231" s="107">
        <f t="shared" si="378"/>
        <v>0.0000000006</v>
      </c>
      <c r="K231" s="107">
        <f t="shared" si="378"/>
        <v>0.0000000007</v>
      </c>
      <c r="L231" s="107">
        <f t="shared" si="378"/>
        <v>0.0000000008</v>
      </c>
      <c r="M231" s="107">
        <f t="shared" si="378"/>
        <v>0.0000000009</v>
      </c>
      <c r="N231" s="107">
        <f t="shared" si="378"/>
        <v>0.00000000095</v>
      </c>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row>
    <row r="232" ht="15.75" customHeight="1">
      <c r="A232" s="107" t="s">
        <v>359</v>
      </c>
      <c r="B232" s="107" t="s">
        <v>606</v>
      </c>
      <c r="C232" s="108" t="s">
        <v>601</v>
      </c>
      <c r="D232" s="107">
        <f t="array" ref="D232">IF(R244*2&gt;T244,R244*2+LARGE({E232,H232:N232},1)+LARGE({E232,H232:N232},2)+F232+G232,T244+LARGE({E232,H232:N232},1)+LARGE({E232,H232:N232},2)+F232+G232)</f>
        <v>0.00000000285</v>
      </c>
      <c r="E232" s="107">
        <f>E8</f>
        <v>0.0000000001</v>
      </c>
      <c r="F232" s="107">
        <f t="shared" ref="F232:G232" si="379">F8*2</f>
        <v>0.0000000004</v>
      </c>
      <c r="G232" s="107">
        <f t="shared" si="379"/>
        <v>0.0000000006</v>
      </c>
      <c r="H232" s="107">
        <f>H8</f>
        <v>0.0000000004</v>
      </c>
      <c r="I232" s="107">
        <f>I8*1.5</f>
        <v>0.00000000075</v>
      </c>
      <c r="J232" s="107">
        <f t="shared" ref="J232:M232" si="380">IF(AND(J227=$Q$244,$R$244*2&gt;$T$244),0,IF(AND(J227=$S$244,$R$244*2&lt;$T$244),0,J8))</f>
        <v>0.0000000006</v>
      </c>
      <c r="K232" s="107">
        <f t="shared" si="380"/>
        <v>0.0000000007</v>
      </c>
      <c r="L232" s="107">
        <f t="shared" si="380"/>
        <v>0.0000000008</v>
      </c>
      <c r="M232" s="107">
        <f t="shared" si="380"/>
        <v>0.0000000009</v>
      </c>
      <c r="N232" s="107">
        <f t="shared" ref="N232:N252" si="383">N$8</f>
        <v>0.00000000095</v>
      </c>
      <c r="O232" s="107"/>
      <c r="P232" s="140"/>
      <c r="Q232" s="143" t="s">
        <v>433</v>
      </c>
      <c r="R232" s="140"/>
      <c r="S232" s="140" t="s">
        <v>607</v>
      </c>
      <c r="T232" s="140"/>
      <c r="U232" s="140" t="s">
        <v>608</v>
      </c>
      <c r="V232" s="140"/>
      <c r="W232" s="143" t="s">
        <v>609</v>
      </c>
      <c r="X232" s="140"/>
      <c r="Y232" s="140"/>
      <c r="Z232" s="140"/>
      <c r="AA232" s="140"/>
      <c r="AB232" s="140"/>
      <c r="AC232" s="140"/>
      <c r="AD232" s="107"/>
      <c r="AE232" s="107"/>
      <c r="AF232" s="107"/>
      <c r="AG232" s="107"/>
      <c r="AH232" s="107"/>
      <c r="AI232" s="107"/>
      <c r="AJ232" s="107"/>
    </row>
    <row r="233" ht="15.75" customHeight="1">
      <c r="A233" s="107" t="s">
        <v>363</v>
      </c>
      <c r="B233" s="107" t="s">
        <v>610</v>
      </c>
      <c r="C233" s="108" t="s">
        <v>601</v>
      </c>
      <c r="D233" s="107">
        <f t="array" ref="D233">IF(R246*2&gt;T244,R246*2+LARGE({E233,H233:M233},1)+LARGE({E233,H233:M233},2)+F233+G233,T244+LARGE({E233,H233:M233},1)+LARGE({E233,H233:M233},2)+F233+G233)</f>
        <v>0.0000000027</v>
      </c>
      <c r="E233" s="107">
        <f>E8</f>
        <v>0.0000000001</v>
      </c>
      <c r="F233" s="107">
        <f t="shared" ref="F233:G233" si="381">F8*2</f>
        <v>0.0000000004</v>
      </c>
      <c r="G233" s="107">
        <f t="shared" si="381"/>
        <v>0.0000000006</v>
      </c>
      <c r="H233" s="107">
        <f>H8</f>
        <v>0.0000000004</v>
      </c>
      <c r="I233" s="107">
        <f>I8*1.5</f>
        <v>0.00000000075</v>
      </c>
      <c r="J233" s="107">
        <f t="shared" ref="J233:M233" si="382">IF(AND(J227=$Q$246,$R$246*2&gt;$T$244),0,IF(AND(J227=$S$244,$R$246*2&lt;$T$244),0,J8))</f>
        <v>0.0000000006</v>
      </c>
      <c r="K233" s="107">
        <f t="shared" si="382"/>
        <v>0.0000000007</v>
      </c>
      <c r="L233" s="107">
        <f t="shared" si="382"/>
        <v>0.0000000008</v>
      </c>
      <c r="M233" s="107">
        <f t="shared" si="382"/>
        <v>0.0000000009</v>
      </c>
      <c r="N233" s="107">
        <f t="shared" si="383"/>
        <v>0.00000000095</v>
      </c>
      <c r="O233" s="107"/>
      <c r="P233" s="140"/>
      <c r="Q233" s="140" t="s">
        <v>611</v>
      </c>
      <c r="R233" s="140"/>
      <c r="S233" s="140"/>
      <c r="T233" s="140"/>
      <c r="U233" s="140"/>
      <c r="V233" s="140"/>
      <c r="W233" s="140" t="str">
        <f>E1</f>
        <v>中國語文</v>
      </c>
      <c r="X233" s="140" t="str">
        <f t="shared" ref="X233:AC233" si="384">H1</f>
        <v>通識教育</v>
      </c>
      <c r="Y233" s="140" t="str">
        <f t="shared" si="384"/>
        <v>數學延伸</v>
      </c>
      <c r="Z233" s="140">
        <f t="shared" si="384"/>
        <v>0</v>
      </c>
      <c r="AA233" s="140">
        <f t="shared" si="384"/>
        <v>0</v>
      </c>
      <c r="AB233" s="140">
        <f t="shared" si="384"/>
        <v>0</v>
      </c>
      <c r="AC233" s="140">
        <f t="shared" si="384"/>
        <v>0</v>
      </c>
      <c r="AD233" s="107"/>
      <c r="AE233" s="107"/>
      <c r="AF233" s="107"/>
      <c r="AG233" s="107"/>
      <c r="AH233" s="107"/>
      <c r="AI233" s="107"/>
      <c r="AJ233" s="107"/>
    </row>
    <row r="234" ht="15.75" customHeight="1">
      <c r="A234" s="107" t="s">
        <v>612</v>
      </c>
      <c r="B234" s="107" t="s">
        <v>613</v>
      </c>
      <c r="C234" s="108" t="s">
        <v>601</v>
      </c>
      <c r="D234" s="107">
        <f t="array" ref="D234">IF(R244*2&gt;T244,R244*2+LARGE({E234,H234:N234},1)+LARGE({E234,H234:N234},2)+F234+G234,T244+LARGE({E234,H234:N234},1)+LARGE({E234,H234:N234},2)+F234+G234)</f>
        <v>0.00000000285</v>
      </c>
      <c r="E234" s="107">
        <f>E8</f>
        <v>0.0000000001</v>
      </c>
      <c r="F234" s="107">
        <f t="shared" ref="F234:G234" si="385">F8*2</f>
        <v>0.0000000004</v>
      </c>
      <c r="G234" s="107">
        <f t="shared" si="385"/>
        <v>0.0000000006</v>
      </c>
      <c r="H234" s="107">
        <f>H8</f>
        <v>0.0000000004</v>
      </c>
      <c r="I234" s="107">
        <f>I8*1.5</f>
        <v>0.00000000075</v>
      </c>
      <c r="J234" s="107">
        <f t="shared" ref="J234:M234" si="386">IF(AND(J227=$Q$244,$R$244*2&gt;$T$244),0,IF(AND(J227=$S$244,$R$244*2&lt;$T$244),0,J8))</f>
        <v>0.0000000006</v>
      </c>
      <c r="K234" s="107">
        <f t="shared" si="386"/>
        <v>0.0000000007</v>
      </c>
      <c r="L234" s="107">
        <f t="shared" si="386"/>
        <v>0.0000000008</v>
      </c>
      <c r="M234" s="107">
        <f t="shared" si="386"/>
        <v>0.0000000009</v>
      </c>
      <c r="N234" s="107">
        <f t="shared" si="383"/>
        <v>0.00000000095</v>
      </c>
      <c r="O234" s="107"/>
      <c r="P234" s="140" t="s">
        <v>599</v>
      </c>
      <c r="Q234" s="144" t="str">
        <f t="array" ref="Q234">INDEX(I$1:M$1,MATCH(LARGE(Y234:AC234,1),Y234:AC234,0))</f>
        <v>數學延伸</v>
      </c>
      <c r="R234" s="107">
        <f>LARGE(Y234:AC234,1)</f>
        <v>0.000000001</v>
      </c>
      <c r="S234" s="144">
        <f t="array" ref="S234">INDEX(W233:AC233,MATCH(LARGE(W235:AC235,1),W235:AC235,0))</f>
        <v>0</v>
      </c>
      <c r="T234" s="107">
        <f>LARGE(W235:AC235,1)</f>
        <v>0.0000000009</v>
      </c>
      <c r="U234" s="144">
        <f t="array" ref="U234">IF(R235+T235=2,INDEX(W233:AC233,MATCH(LARGE(W236:AC236,1),W236:AC236,0)),INDEX(W233:AC233,MATCH(LARGE(W235:AC235,2),W235:AC235,0)))</f>
        <v>0</v>
      </c>
      <c r="V234" s="107">
        <f>IF(R235+T235=2,LARGE(W236:AC236,1),LARGE(W235:AC235,2))</f>
        <v>0.0000000008</v>
      </c>
      <c r="W234" s="140">
        <f>E8</f>
        <v>0.0000000001</v>
      </c>
      <c r="X234" s="140">
        <f>H8</f>
        <v>0.0000000004</v>
      </c>
      <c r="Y234" s="140">
        <f>I8*2</f>
        <v>0.000000001</v>
      </c>
      <c r="Z234" s="140">
        <f t="shared" ref="Z234:AC234" si="387">IF(OR(Z233="物理"),J8*2,IF(OR(Z233="生物",Z233="化學",Z233="組合科學(物理、化學)",Z233="組合科學(生物、化學)",Z233="組合科學(物理、生物)"),J8*1.5,J8))</f>
        <v>0.0000000006</v>
      </c>
      <c r="AA234" s="140">
        <f t="shared" si="387"/>
        <v>0.0000000007</v>
      </c>
      <c r="AB234" s="140">
        <f t="shared" si="387"/>
        <v>0.0000000008</v>
      </c>
      <c r="AC234" s="140">
        <f t="shared" si="387"/>
        <v>0.0000000009</v>
      </c>
      <c r="AD234" s="107" t="s">
        <v>614</v>
      </c>
      <c r="AE234" s="107"/>
      <c r="AF234" s="107"/>
      <c r="AG234" s="107"/>
      <c r="AH234" s="107"/>
      <c r="AI234" s="107"/>
      <c r="AJ234" s="107"/>
    </row>
    <row r="235" ht="15.75" customHeight="1">
      <c r="A235" s="107" t="s">
        <v>615</v>
      </c>
      <c r="B235" s="107" t="s">
        <v>616</v>
      </c>
      <c r="C235" s="108" t="s">
        <v>617</v>
      </c>
      <c r="D235" s="107">
        <f t="shared" ref="D235:D245" si="391">F235+G235+LARGE({E235,H235:M235},1)+LARGE({E235,H235:M235},2)+LARGE({E235,H235:M235},3)+LARGE({E235,H235:M235},4)</f>
        <v>0.000000004</v>
      </c>
      <c r="E235" s="107">
        <f>E8</f>
        <v>0.0000000001</v>
      </c>
      <c r="F235" s="107">
        <f t="shared" ref="F235:G235" si="388">F8*2</f>
        <v>0.0000000004</v>
      </c>
      <c r="G235" s="107">
        <f t="shared" si="388"/>
        <v>0.0000000006</v>
      </c>
      <c r="H235" s="107">
        <f t="shared" ref="H235:M235" si="389">H8</f>
        <v>0.0000000004</v>
      </c>
      <c r="I235" s="107">
        <f t="shared" si="389"/>
        <v>0.0000000005</v>
      </c>
      <c r="J235" s="107">
        <f t="shared" si="389"/>
        <v>0.0000000006</v>
      </c>
      <c r="K235" s="107">
        <f t="shared" si="389"/>
        <v>0.0000000007</v>
      </c>
      <c r="L235" s="107">
        <f t="shared" si="389"/>
        <v>0.0000000008</v>
      </c>
      <c r="M235" s="107">
        <f t="shared" si="389"/>
        <v>0.0000000009</v>
      </c>
      <c r="N235" s="107">
        <f t="shared" si="383"/>
        <v>0.00000000095</v>
      </c>
      <c r="O235" s="107"/>
      <c r="P235" s="140"/>
      <c r="Q235" s="140" t="s">
        <v>618</v>
      </c>
      <c r="R235" s="140">
        <f>IF(OR(Q234="物理",Q234="化學",Q234="生物",Q234="數學延伸",Q234="組合科學(物理、化學)",Q234="組合科學(生物、化學)",Q234="組合科學(物理、生物)"),1,0)</f>
        <v>1</v>
      </c>
      <c r="S235" s="140"/>
      <c r="T235" s="140">
        <f>IF(OR(S234="物理",S234="化學",S234="生物",S234="數學延伸",S234="組合科學(物理、化學)",S234="組合科學(生物、化學)",S234="組合科學(物理、生物)"),1,0)</f>
        <v>0</v>
      </c>
      <c r="U235" s="140"/>
      <c r="V235" s="140" t="str">
        <f>IF(R235+T235=2,"無比重","有比重")</f>
        <v>有比重</v>
      </c>
      <c r="W235" s="140">
        <f t="shared" ref="W235:AC235" si="390">IF(W233=$Q$234,0,W234)</f>
        <v>0.0000000001</v>
      </c>
      <c r="X235" s="140">
        <f t="shared" si="390"/>
        <v>0.0000000004</v>
      </c>
      <c r="Y235" s="140">
        <f t="shared" si="390"/>
        <v>0</v>
      </c>
      <c r="Z235" s="140">
        <f t="shared" si="390"/>
        <v>0.0000000006</v>
      </c>
      <c r="AA235" s="140">
        <f t="shared" si="390"/>
        <v>0.0000000007</v>
      </c>
      <c r="AB235" s="140">
        <f t="shared" si="390"/>
        <v>0.0000000008</v>
      </c>
      <c r="AC235" s="140">
        <f t="shared" si="390"/>
        <v>0.0000000009</v>
      </c>
      <c r="AD235" s="107" t="s">
        <v>619</v>
      </c>
      <c r="AE235" s="107"/>
      <c r="AF235" s="107"/>
      <c r="AG235" s="107"/>
      <c r="AH235" s="107"/>
      <c r="AI235" s="107"/>
      <c r="AJ235" s="107"/>
    </row>
    <row r="236" ht="15.75" customHeight="1">
      <c r="A236" s="107" t="s">
        <v>620</v>
      </c>
      <c r="B236" s="107" t="s">
        <v>621</v>
      </c>
      <c r="C236" s="108" t="s">
        <v>617</v>
      </c>
      <c r="D236" s="107">
        <f t="shared" si="391"/>
        <v>0.000000004</v>
      </c>
      <c r="E236" s="107">
        <f>E8</f>
        <v>0.0000000001</v>
      </c>
      <c r="F236" s="107">
        <f t="shared" ref="F236:G236" si="392">F8*2</f>
        <v>0.0000000004</v>
      </c>
      <c r="G236" s="107">
        <f t="shared" si="392"/>
        <v>0.0000000006</v>
      </c>
      <c r="H236" s="107">
        <f t="shared" ref="H236:M236" si="393">H8</f>
        <v>0.0000000004</v>
      </c>
      <c r="I236" s="107">
        <f t="shared" si="393"/>
        <v>0.0000000005</v>
      </c>
      <c r="J236" s="107">
        <f t="shared" si="393"/>
        <v>0.0000000006</v>
      </c>
      <c r="K236" s="107">
        <f t="shared" si="393"/>
        <v>0.0000000007</v>
      </c>
      <c r="L236" s="107">
        <f t="shared" si="393"/>
        <v>0.0000000008</v>
      </c>
      <c r="M236" s="107">
        <f t="shared" si="393"/>
        <v>0.0000000009</v>
      </c>
      <c r="N236" s="107">
        <f t="shared" si="383"/>
        <v>0.00000000095</v>
      </c>
      <c r="O236" s="107"/>
      <c r="P236" s="140"/>
      <c r="Q236" s="140"/>
      <c r="R236" s="140"/>
      <c r="S236" s="140"/>
      <c r="T236" s="140"/>
      <c r="U236" s="140"/>
      <c r="V236" s="140"/>
      <c r="W236" s="140">
        <f>IF(OR(W233=$Q$234,W233=$S$234),0,E8)</f>
        <v>0.0000000001</v>
      </c>
      <c r="X236" s="140">
        <f t="shared" ref="X236:AC236" si="394">IF(OR(X233=$Q$234,X233=$S$234),0,H8)</f>
        <v>0.0000000004</v>
      </c>
      <c r="Y236" s="140">
        <f t="shared" si="394"/>
        <v>0</v>
      </c>
      <c r="Z236" s="140">
        <f t="shared" si="394"/>
        <v>0</v>
      </c>
      <c r="AA236" s="140">
        <f t="shared" si="394"/>
        <v>0</v>
      </c>
      <c r="AB236" s="140">
        <f t="shared" si="394"/>
        <v>0</v>
      </c>
      <c r="AC236" s="140">
        <f t="shared" si="394"/>
        <v>0</v>
      </c>
      <c r="AD236" s="107" t="s">
        <v>622</v>
      </c>
      <c r="AE236" s="107"/>
      <c r="AF236" s="107"/>
      <c r="AG236" s="107"/>
      <c r="AH236" s="107"/>
      <c r="AI236" s="107"/>
      <c r="AJ236" s="107"/>
    </row>
    <row r="237" ht="15.75" customHeight="1">
      <c r="A237" s="107" t="s">
        <v>623</v>
      </c>
      <c r="B237" s="107" t="s">
        <v>624</v>
      </c>
      <c r="C237" s="108" t="s">
        <v>617</v>
      </c>
      <c r="D237" s="107">
        <f t="shared" si="391"/>
        <v>0.00000000415</v>
      </c>
      <c r="E237" s="107">
        <f>E8</f>
        <v>0.0000000001</v>
      </c>
      <c r="F237" s="107">
        <f t="shared" ref="F237:G237" si="395">F8*2</f>
        <v>0.0000000004</v>
      </c>
      <c r="G237" s="107">
        <f t="shared" si="395"/>
        <v>0.0000000006</v>
      </c>
      <c r="H237" s="107">
        <f>H8</f>
        <v>0.0000000004</v>
      </c>
      <c r="I237" s="107">
        <f t="shared" ref="I237:M237" si="396">IF(I227=$Q$248,I8*1.5,I8)</f>
        <v>0.00000000075</v>
      </c>
      <c r="J237" s="107">
        <f t="shared" si="396"/>
        <v>0.0000000006</v>
      </c>
      <c r="K237" s="107">
        <f t="shared" si="396"/>
        <v>0.0000000007</v>
      </c>
      <c r="L237" s="107">
        <f t="shared" si="396"/>
        <v>0.0000000008</v>
      </c>
      <c r="M237" s="107">
        <f t="shared" si="396"/>
        <v>0.0000000009</v>
      </c>
      <c r="N237" s="107">
        <f t="shared" si="383"/>
        <v>0.00000000095</v>
      </c>
      <c r="O237" s="107"/>
      <c r="P237" s="140"/>
      <c r="Q237" s="140"/>
      <c r="R237" s="140"/>
      <c r="S237" s="140"/>
      <c r="T237" s="140"/>
      <c r="U237" s="140"/>
      <c r="V237" s="140"/>
      <c r="W237" s="140"/>
      <c r="X237" s="140"/>
      <c r="Y237" s="140"/>
      <c r="Z237" s="140"/>
      <c r="AA237" s="140"/>
      <c r="AB237" s="140"/>
      <c r="AC237" s="140"/>
      <c r="AD237" s="107"/>
      <c r="AE237" s="107"/>
      <c r="AF237" s="107"/>
      <c r="AG237" s="107"/>
      <c r="AH237" s="107"/>
      <c r="AI237" s="107"/>
      <c r="AJ237" s="107"/>
    </row>
    <row r="238" ht="15.75" customHeight="1">
      <c r="A238" s="107" t="s">
        <v>625</v>
      </c>
      <c r="B238" s="107" t="s">
        <v>626</v>
      </c>
      <c r="C238" s="108" t="s">
        <v>617</v>
      </c>
      <c r="D238" s="107">
        <f t="shared" si="391"/>
        <v>0.000000004</v>
      </c>
      <c r="E238" s="107">
        <f>E8</f>
        <v>0.0000000001</v>
      </c>
      <c r="F238" s="107">
        <f t="shared" ref="F238:G238" si="397">F8*2</f>
        <v>0.0000000004</v>
      </c>
      <c r="G238" s="107">
        <f t="shared" si="397"/>
        <v>0.0000000006</v>
      </c>
      <c r="H238" s="107">
        <f t="shared" ref="H238:M238" si="398">H8</f>
        <v>0.0000000004</v>
      </c>
      <c r="I238" s="107">
        <f t="shared" si="398"/>
        <v>0.0000000005</v>
      </c>
      <c r="J238" s="107">
        <f t="shared" si="398"/>
        <v>0.0000000006</v>
      </c>
      <c r="K238" s="107">
        <f t="shared" si="398"/>
        <v>0.0000000007</v>
      </c>
      <c r="L238" s="107">
        <f t="shared" si="398"/>
        <v>0.0000000008</v>
      </c>
      <c r="M238" s="107">
        <f t="shared" si="398"/>
        <v>0.0000000009</v>
      </c>
      <c r="N238" s="107">
        <f t="shared" si="383"/>
        <v>0.00000000095</v>
      </c>
      <c r="O238" s="107"/>
      <c r="P238" s="140" t="s">
        <v>602</v>
      </c>
      <c r="Q238" s="144">
        <f t="array" ref="Q238">INDEX(I$1:M$1,MATCH(LARGE(Y238:AC238,1),Y238:AC238,0))</f>
        <v>0</v>
      </c>
      <c r="R238" s="107">
        <f>LARGE(Y238:AC238,1)</f>
        <v>0.0000000009</v>
      </c>
      <c r="S238" s="144" t="str">
        <f t="array" ref="S238">INDEX(W233:AC233,MATCH(LARGE(W239:AC239,1),W239:AC239,0))</f>
        <v>數學延伸</v>
      </c>
      <c r="T238" s="107">
        <f>LARGE(W239:AC239,1)</f>
        <v>0.00000000075</v>
      </c>
      <c r="U238" s="144" t="str">
        <f t="array" ref="U238">IF(R239+T239=2,INDEX(W233:AC233,MATCH(LARGE(W240:AC240,1),W240:AC240,0)),INDEX(W233:AC233,MATCH(LARGE(W239:AC239,2),W239:AC239,0)))</f>
        <v>通識教育</v>
      </c>
      <c r="V238" s="107">
        <f>IF(R239+T239=2,LARGE(W240:AC240,1),LARGE(W239:AC239,2))</f>
        <v>0.0000000004</v>
      </c>
      <c r="W238" s="140">
        <f>E8</f>
        <v>0.0000000001</v>
      </c>
      <c r="X238" s="140">
        <f>H8</f>
        <v>0.0000000004</v>
      </c>
      <c r="Y238" s="140">
        <f>I8*1.5</f>
        <v>0.00000000075</v>
      </c>
      <c r="Z238" s="140">
        <f t="shared" ref="Z238:AC238" si="399">IF(OR(Z233="生物",Z233="化學"),J8*2,IF(OR(Z233="物理",Z233="組合科學(物理、化學)",Z233="組合科學(生物、化學)",Z233="組合科學(物理、生物)"),J8*1.5,J8))</f>
        <v>0.0000000006</v>
      </c>
      <c r="AA238" s="140">
        <f t="shared" si="399"/>
        <v>0.0000000007</v>
      </c>
      <c r="AB238" s="140">
        <f t="shared" si="399"/>
        <v>0.0000000008</v>
      </c>
      <c r="AC238" s="140">
        <f t="shared" si="399"/>
        <v>0.0000000009</v>
      </c>
      <c r="AD238" s="107" t="s">
        <v>614</v>
      </c>
      <c r="AE238" s="107"/>
      <c r="AF238" s="107"/>
      <c r="AG238" s="107"/>
      <c r="AH238" s="107"/>
      <c r="AI238" s="107"/>
      <c r="AJ238" s="107"/>
    </row>
    <row r="239" ht="15.75" customHeight="1">
      <c r="A239" s="107" t="s">
        <v>627</v>
      </c>
      <c r="B239" s="107" t="s">
        <v>628</v>
      </c>
      <c r="C239" s="108" t="s">
        <v>617</v>
      </c>
      <c r="D239" s="107">
        <f t="shared" si="391"/>
        <v>0.000000004</v>
      </c>
      <c r="E239" s="107">
        <f>E8</f>
        <v>0.0000000001</v>
      </c>
      <c r="F239" s="107">
        <f t="shared" ref="F239:G239" si="400">F8*2</f>
        <v>0.0000000004</v>
      </c>
      <c r="G239" s="107">
        <f t="shared" si="400"/>
        <v>0.0000000006</v>
      </c>
      <c r="H239" s="107">
        <f t="shared" ref="H239:M239" si="401">H8</f>
        <v>0.0000000004</v>
      </c>
      <c r="I239" s="107">
        <f t="shared" si="401"/>
        <v>0.0000000005</v>
      </c>
      <c r="J239" s="107">
        <f t="shared" si="401"/>
        <v>0.0000000006</v>
      </c>
      <c r="K239" s="107">
        <f t="shared" si="401"/>
        <v>0.0000000007</v>
      </c>
      <c r="L239" s="107">
        <f t="shared" si="401"/>
        <v>0.0000000008</v>
      </c>
      <c r="M239" s="107">
        <f t="shared" si="401"/>
        <v>0.0000000009</v>
      </c>
      <c r="N239" s="107">
        <f t="shared" si="383"/>
        <v>0.00000000095</v>
      </c>
      <c r="O239" s="107"/>
      <c r="P239" s="140"/>
      <c r="Q239" s="140" t="s">
        <v>618</v>
      </c>
      <c r="R239" s="140">
        <f>IF(OR(Q238="物理",Q238="化學",Q238="生物",Q238="數學延伸",Q238="組合科學(物理、化學)",Q238="組合科學(生物、化學)",Q238="組合科學(物理、生物)"),1,0)</f>
        <v>0</v>
      </c>
      <c r="S239" s="140"/>
      <c r="T239" s="140">
        <f>IF(OR(S238="物理",S238="化學",S238="生物",S238="數學延伸",S238="組合科學(物理、化學)",S238="組合科學(生物、化學)",S238="組合科學(物理、生物)"),1,0)</f>
        <v>1</v>
      </c>
      <c r="U239" s="140"/>
      <c r="V239" s="140" t="str">
        <f>IF(R239+T239=2,"無比重","有比重")</f>
        <v>有比重</v>
      </c>
      <c r="W239" s="140">
        <f t="shared" ref="W239:AC239" si="402">IF(W233=$Q$238,0,W238)</f>
        <v>0.0000000001</v>
      </c>
      <c r="X239" s="140">
        <f t="shared" si="402"/>
        <v>0.0000000004</v>
      </c>
      <c r="Y239" s="140">
        <f t="shared" si="402"/>
        <v>0.00000000075</v>
      </c>
      <c r="Z239" s="140">
        <f t="shared" si="402"/>
        <v>0</v>
      </c>
      <c r="AA239" s="140">
        <f t="shared" si="402"/>
        <v>0</v>
      </c>
      <c r="AB239" s="140">
        <f t="shared" si="402"/>
        <v>0</v>
      </c>
      <c r="AC239" s="140">
        <f t="shared" si="402"/>
        <v>0</v>
      </c>
      <c r="AD239" s="107" t="s">
        <v>619</v>
      </c>
      <c r="AE239" s="107"/>
      <c r="AF239" s="107"/>
      <c r="AG239" s="107"/>
      <c r="AH239" s="107"/>
      <c r="AI239" s="107"/>
      <c r="AJ239" s="107"/>
    </row>
    <row r="240" ht="15.75" customHeight="1">
      <c r="A240" s="107" t="s">
        <v>629</v>
      </c>
      <c r="B240" s="107" t="s">
        <v>630</v>
      </c>
      <c r="C240" s="108" t="s">
        <v>617</v>
      </c>
      <c r="D240" s="107">
        <f t="shared" si="391"/>
        <v>0.000000004</v>
      </c>
      <c r="E240" s="107">
        <f>E8</f>
        <v>0.0000000001</v>
      </c>
      <c r="F240" s="107">
        <f t="shared" ref="F240:G240" si="403">F8*2</f>
        <v>0.0000000004</v>
      </c>
      <c r="G240" s="107">
        <f t="shared" si="403"/>
        <v>0.0000000006</v>
      </c>
      <c r="H240" s="107">
        <f t="shared" ref="H240:M240" si="404">H8</f>
        <v>0.0000000004</v>
      </c>
      <c r="I240" s="107">
        <f t="shared" si="404"/>
        <v>0.0000000005</v>
      </c>
      <c r="J240" s="107">
        <f t="shared" si="404"/>
        <v>0.0000000006</v>
      </c>
      <c r="K240" s="107">
        <f t="shared" si="404"/>
        <v>0.0000000007</v>
      </c>
      <c r="L240" s="107">
        <f t="shared" si="404"/>
        <v>0.0000000008</v>
      </c>
      <c r="M240" s="107">
        <f t="shared" si="404"/>
        <v>0.0000000009</v>
      </c>
      <c r="N240" s="107">
        <f t="shared" si="383"/>
        <v>0.00000000095</v>
      </c>
      <c r="O240" s="107"/>
      <c r="P240" s="140"/>
      <c r="Q240" s="140"/>
      <c r="R240" s="140"/>
      <c r="S240" s="140"/>
      <c r="T240" s="140"/>
      <c r="U240" s="140"/>
      <c r="V240" s="140"/>
      <c r="W240" s="140">
        <f>IF(OR(W$233=$Q$238,W$233=$S$238),0,E$8)</f>
        <v>0.0000000001</v>
      </c>
      <c r="X240" s="140">
        <f t="shared" ref="X240:AC240" si="405">IF(OR(X$233=$Q$238,X$233=$S$238),0,H$8)</f>
        <v>0.0000000004</v>
      </c>
      <c r="Y240" s="140">
        <f t="shared" si="405"/>
        <v>0</v>
      </c>
      <c r="Z240" s="140">
        <f t="shared" si="405"/>
        <v>0</v>
      </c>
      <c r="AA240" s="140">
        <f t="shared" si="405"/>
        <v>0</v>
      </c>
      <c r="AB240" s="140">
        <f t="shared" si="405"/>
        <v>0</v>
      </c>
      <c r="AC240" s="140">
        <f t="shared" si="405"/>
        <v>0</v>
      </c>
      <c r="AD240" s="107" t="s">
        <v>622</v>
      </c>
      <c r="AE240" s="107"/>
      <c r="AF240" s="107"/>
      <c r="AG240" s="107"/>
      <c r="AH240" s="107"/>
      <c r="AI240" s="107"/>
      <c r="AJ240" s="107"/>
    </row>
    <row r="241" ht="15.75" customHeight="1">
      <c r="A241" s="107" t="s">
        <v>631</v>
      </c>
      <c r="B241" s="107" t="s">
        <v>632</v>
      </c>
      <c r="C241" s="108" t="s">
        <v>617</v>
      </c>
      <c r="D241" s="107">
        <f t="shared" si="391"/>
        <v>0.000000004</v>
      </c>
      <c r="E241" s="107">
        <f>E8</f>
        <v>0.0000000001</v>
      </c>
      <c r="F241" s="107">
        <f t="shared" ref="F241:G241" si="406">F8*2</f>
        <v>0.0000000004</v>
      </c>
      <c r="G241" s="107">
        <f t="shared" si="406"/>
        <v>0.0000000006</v>
      </c>
      <c r="H241" s="107">
        <f t="shared" ref="H241:M241" si="407">H8</f>
        <v>0.0000000004</v>
      </c>
      <c r="I241" s="107">
        <f t="shared" si="407"/>
        <v>0.0000000005</v>
      </c>
      <c r="J241" s="107">
        <f t="shared" si="407"/>
        <v>0.0000000006</v>
      </c>
      <c r="K241" s="107">
        <f t="shared" si="407"/>
        <v>0.0000000007</v>
      </c>
      <c r="L241" s="107">
        <f t="shared" si="407"/>
        <v>0.0000000008</v>
      </c>
      <c r="M241" s="107">
        <f t="shared" si="407"/>
        <v>0.0000000009</v>
      </c>
      <c r="N241" s="107">
        <f t="shared" si="383"/>
        <v>0.00000000095</v>
      </c>
      <c r="O241" s="107"/>
      <c r="P241" s="140"/>
      <c r="Q241" s="140"/>
      <c r="R241" s="140"/>
      <c r="S241" s="140"/>
      <c r="T241" s="140"/>
      <c r="U241" s="140"/>
      <c r="V241" s="140"/>
      <c r="W241" s="140"/>
      <c r="X241" s="140"/>
      <c r="Y241" s="140"/>
      <c r="Z241" s="140"/>
      <c r="AA241" s="140"/>
      <c r="AB241" s="140"/>
      <c r="AC241" s="140"/>
      <c r="AD241" s="107"/>
      <c r="AE241" s="107"/>
      <c r="AF241" s="107"/>
      <c r="AG241" s="107"/>
      <c r="AH241" s="107"/>
      <c r="AI241" s="107"/>
      <c r="AJ241" s="107"/>
    </row>
    <row r="242" ht="15.75" customHeight="1">
      <c r="A242" s="107" t="s">
        <v>633</v>
      </c>
      <c r="B242" s="107" t="s">
        <v>634</v>
      </c>
      <c r="C242" s="108" t="s">
        <v>617</v>
      </c>
      <c r="D242" s="107">
        <f t="shared" si="391"/>
        <v>0.000000004</v>
      </c>
      <c r="E242" s="107">
        <f>E8</f>
        <v>0.0000000001</v>
      </c>
      <c r="F242" s="107">
        <f t="shared" ref="F242:G242" si="408">F8*2</f>
        <v>0.0000000004</v>
      </c>
      <c r="G242" s="107">
        <f t="shared" si="408"/>
        <v>0.0000000006</v>
      </c>
      <c r="H242" s="107">
        <f t="shared" ref="H242:M242" si="409">H8</f>
        <v>0.0000000004</v>
      </c>
      <c r="I242" s="107">
        <f t="shared" si="409"/>
        <v>0.0000000005</v>
      </c>
      <c r="J242" s="107">
        <f t="shared" si="409"/>
        <v>0.0000000006</v>
      </c>
      <c r="K242" s="107">
        <f t="shared" si="409"/>
        <v>0.0000000007</v>
      </c>
      <c r="L242" s="107">
        <f t="shared" si="409"/>
        <v>0.0000000008</v>
      </c>
      <c r="M242" s="107">
        <f t="shared" si="409"/>
        <v>0.0000000009</v>
      </c>
      <c r="N242" s="107">
        <f t="shared" si="383"/>
        <v>0.00000000095</v>
      </c>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row>
    <row r="243" ht="15.75" customHeight="1">
      <c r="A243" s="107" t="s">
        <v>635</v>
      </c>
      <c r="B243" s="107" t="s">
        <v>636</v>
      </c>
      <c r="C243" s="108" t="s">
        <v>617</v>
      </c>
      <c r="D243" s="107">
        <f t="shared" si="391"/>
        <v>0.000000004</v>
      </c>
      <c r="E243" s="107">
        <f>E8</f>
        <v>0.0000000001</v>
      </c>
      <c r="F243" s="107">
        <f t="shared" ref="F243:G243" si="410">F8*2</f>
        <v>0.0000000004</v>
      </c>
      <c r="G243" s="107">
        <f t="shared" si="410"/>
        <v>0.0000000006</v>
      </c>
      <c r="H243" s="107">
        <f t="shared" ref="H243:M243" si="411">H8</f>
        <v>0.0000000004</v>
      </c>
      <c r="I243" s="107">
        <f t="shared" si="411"/>
        <v>0.0000000005</v>
      </c>
      <c r="J243" s="107">
        <f t="shared" si="411"/>
        <v>0.0000000006</v>
      </c>
      <c r="K243" s="107">
        <f t="shared" si="411"/>
        <v>0.0000000007</v>
      </c>
      <c r="L243" s="107">
        <f t="shared" si="411"/>
        <v>0.0000000008</v>
      </c>
      <c r="M243" s="107">
        <f t="shared" si="411"/>
        <v>0.0000000009</v>
      </c>
      <c r="N243" s="107">
        <f t="shared" si="383"/>
        <v>0.00000000095</v>
      </c>
      <c r="O243" s="107"/>
      <c r="P243" s="140"/>
      <c r="Q243" s="143" t="s">
        <v>637</v>
      </c>
      <c r="R243" s="140"/>
      <c r="S243" s="140"/>
      <c r="T243" s="140"/>
      <c r="U243" s="140"/>
      <c r="V243" s="107"/>
      <c r="W243" s="107"/>
      <c r="X243" s="107"/>
      <c r="Y243" s="107"/>
      <c r="Z243" s="107"/>
      <c r="AA243" s="107"/>
      <c r="AB243" s="107"/>
      <c r="AC243" s="107"/>
      <c r="AD243" s="107"/>
      <c r="AE243" s="107"/>
      <c r="AF243" s="107"/>
      <c r="AG243" s="107"/>
      <c r="AH243" s="107"/>
      <c r="AI243" s="107"/>
      <c r="AJ243" s="107"/>
    </row>
    <row r="244" ht="15.75" customHeight="1">
      <c r="A244" s="107" t="s">
        <v>638</v>
      </c>
      <c r="B244" s="107" t="s">
        <v>639</v>
      </c>
      <c r="C244" s="108" t="s">
        <v>617</v>
      </c>
      <c r="D244" s="107">
        <f t="shared" si="391"/>
        <v>0.00000000415</v>
      </c>
      <c r="E244" s="107">
        <f>E8</f>
        <v>0.0000000001</v>
      </c>
      <c r="F244" s="107">
        <f t="shared" ref="F244:G244" si="412">F8*2</f>
        <v>0.0000000004</v>
      </c>
      <c r="G244" s="107">
        <f t="shared" si="412"/>
        <v>0.0000000006</v>
      </c>
      <c r="H244" s="107">
        <f>H8</f>
        <v>0.0000000004</v>
      </c>
      <c r="I244" s="107">
        <f t="shared" ref="I244:M244" si="413">IF(I227=$Q$248,I8*1.5,I8)</f>
        <v>0.00000000075</v>
      </c>
      <c r="J244" s="107">
        <f t="shared" si="413"/>
        <v>0.0000000006</v>
      </c>
      <c r="K244" s="107">
        <f t="shared" si="413"/>
        <v>0.0000000007</v>
      </c>
      <c r="L244" s="107">
        <f t="shared" si="413"/>
        <v>0.0000000008</v>
      </c>
      <c r="M244" s="107">
        <f t="shared" si="413"/>
        <v>0.0000000009</v>
      </c>
      <c r="N244" s="107">
        <f t="shared" si="383"/>
        <v>0.00000000095</v>
      </c>
      <c r="O244" s="107"/>
      <c r="P244" s="140" t="s">
        <v>640</v>
      </c>
      <c r="Q244" s="144">
        <f t="array" ref="Q244">INDEX(J$1:M$1,MATCH(LARGE(S141:V141,1),S141:V141,0))</f>
        <v>0</v>
      </c>
      <c r="R244" s="122">
        <f>LARGE((S141:V141),1)</f>
        <v>0</v>
      </c>
      <c r="S244" s="144">
        <f t="array" ref="S244">INDEX(J$1:M$1,MATCH(LARGE(S142:V142,1),S142:V142,0))</f>
        <v>0</v>
      </c>
      <c r="T244" s="122">
        <f>IF(R244=0,LARGE((S142:V142),1),0)</f>
        <v>0</v>
      </c>
      <c r="U244" s="140"/>
      <c r="V244" s="107"/>
      <c r="W244" s="107"/>
      <c r="X244" s="107"/>
      <c r="Y244" s="107"/>
      <c r="Z244" s="107"/>
      <c r="AA244" s="107"/>
      <c r="AB244" s="107"/>
      <c r="AC244" s="107"/>
      <c r="AD244" s="107"/>
      <c r="AE244" s="107"/>
      <c r="AF244" s="107"/>
      <c r="AG244" s="107"/>
      <c r="AH244" s="107"/>
      <c r="AI244" s="107"/>
      <c r="AJ244" s="107"/>
    </row>
    <row r="245" ht="15.75" customHeight="1">
      <c r="A245" s="107" t="s">
        <v>641</v>
      </c>
      <c r="B245" s="107" t="s">
        <v>642</v>
      </c>
      <c r="C245" s="108" t="s">
        <v>617</v>
      </c>
      <c r="D245" s="107">
        <f t="shared" si="391"/>
        <v>0.00000000415</v>
      </c>
      <c r="E245" s="107">
        <f>E8</f>
        <v>0.0000000001</v>
      </c>
      <c r="F245" s="107">
        <f t="shared" ref="F245:G245" si="414">F8*2</f>
        <v>0.0000000004</v>
      </c>
      <c r="G245" s="107">
        <f t="shared" si="414"/>
        <v>0.0000000006</v>
      </c>
      <c r="H245" s="107">
        <f>H8</f>
        <v>0.0000000004</v>
      </c>
      <c r="I245" s="107">
        <f>IF(I227=$T$248,I8*1.5,I8)</f>
        <v>0.00000000075</v>
      </c>
      <c r="J245" s="107">
        <f t="shared" ref="J245:M245" si="415">IF(J227=$Q$248,J8*1.5,J8)</f>
        <v>0.0000000006</v>
      </c>
      <c r="K245" s="107">
        <f t="shared" si="415"/>
        <v>0.0000000007</v>
      </c>
      <c r="L245" s="107">
        <f t="shared" si="415"/>
        <v>0.0000000008</v>
      </c>
      <c r="M245" s="107">
        <f t="shared" si="415"/>
        <v>0.0000000009</v>
      </c>
      <c r="N245" s="107">
        <f t="shared" si="383"/>
        <v>0.00000000095</v>
      </c>
      <c r="O245" s="107"/>
      <c r="P245" s="140"/>
      <c r="Q245" s="143" t="s">
        <v>643</v>
      </c>
      <c r="R245" s="140"/>
      <c r="S245" s="140"/>
      <c r="T245" s="140"/>
      <c r="U245" s="140"/>
      <c r="V245" s="107"/>
      <c r="W245" s="107"/>
      <c r="X245" s="107"/>
      <c r="Y245" s="107"/>
      <c r="Z245" s="107"/>
      <c r="AA245" s="107"/>
      <c r="AB245" s="107"/>
      <c r="AC245" s="107"/>
      <c r="AD245" s="107"/>
      <c r="AE245" s="107"/>
      <c r="AF245" s="107"/>
      <c r="AG245" s="107"/>
      <c r="AH245" s="107"/>
      <c r="AI245" s="107"/>
      <c r="AJ245" s="107"/>
    </row>
    <row r="246" ht="15.75" customHeight="1">
      <c r="A246" s="107" t="s">
        <v>644</v>
      </c>
      <c r="B246" s="107" t="s">
        <v>645</v>
      </c>
      <c r="C246" s="108" t="s">
        <v>646</v>
      </c>
      <c r="D246" s="107">
        <f t="array" ref="D246">E246+F246+LARGE(G246:M246,1)+LARGE(G246:M246,2)+LARGE(G246:M246,3)+LARGE(G246:M246,4)</f>
        <v>0.00000000355</v>
      </c>
      <c r="E246" s="107">
        <f>E8*1.5</f>
        <v>0.00000000015</v>
      </c>
      <c r="F246" s="107">
        <f>F8*2</f>
        <v>0.0000000004</v>
      </c>
      <c r="G246" s="107">
        <f t="shared" ref="G246:M246" si="416">G8</f>
        <v>0.0000000003</v>
      </c>
      <c r="H246" s="107">
        <f t="shared" si="416"/>
        <v>0.0000000004</v>
      </c>
      <c r="I246" s="107">
        <f t="shared" si="416"/>
        <v>0.0000000005</v>
      </c>
      <c r="J246" s="107">
        <f t="shared" si="416"/>
        <v>0.0000000006</v>
      </c>
      <c r="K246" s="107">
        <f t="shared" si="416"/>
        <v>0.0000000007</v>
      </c>
      <c r="L246" s="107">
        <f t="shared" si="416"/>
        <v>0.0000000008</v>
      </c>
      <c r="M246" s="107">
        <f t="shared" si="416"/>
        <v>0.0000000009</v>
      </c>
      <c r="N246" s="107">
        <f t="shared" si="383"/>
        <v>0.00000000095</v>
      </c>
      <c r="O246" s="107"/>
      <c r="P246" s="140" t="s">
        <v>363</v>
      </c>
      <c r="Q246" s="144">
        <f t="array" ref="Q246">INDEX(J$1:M$1,MATCH(LARGE(S143:V143,1),S143:V143,0))</f>
        <v>0</v>
      </c>
      <c r="R246" s="122">
        <f>LARGE((S143:V143),1)</f>
        <v>0</v>
      </c>
      <c r="S246" s="140"/>
      <c r="T246" s="140"/>
      <c r="U246" s="140"/>
      <c r="V246" s="107"/>
      <c r="W246" s="107"/>
      <c r="X246" s="107"/>
      <c r="Y246" s="107"/>
      <c r="Z246" s="107"/>
      <c r="AA246" s="107"/>
      <c r="AB246" s="107"/>
      <c r="AC246" s="107"/>
      <c r="AD246" s="107"/>
      <c r="AE246" s="107"/>
      <c r="AF246" s="107"/>
      <c r="AG246" s="107"/>
      <c r="AH246" s="107"/>
      <c r="AI246" s="107"/>
      <c r="AJ246" s="107"/>
    </row>
    <row r="247" ht="15.75" customHeight="1">
      <c r="A247" s="107" t="s">
        <v>647</v>
      </c>
      <c r="B247" s="107" t="s">
        <v>648</v>
      </c>
      <c r="C247" s="108" t="s">
        <v>617</v>
      </c>
      <c r="D247" s="107">
        <f t="array" ref="D247">F247+G247+LARGE({E247,H247:M247},1)+LARGE({E247,H247:M247},2)+LARGE({E247,H247:M247},3)+LARGE({E247,H247:M247},4)</f>
        <v>0.00000000415</v>
      </c>
      <c r="E247" s="107">
        <f>E8</f>
        <v>0.0000000001</v>
      </c>
      <c r="F247" s="107">
        <f t="shared" ref="F247:G247" si="417">F8*2</f>
        <v>0.0000000004</v>
      </c>
      <c r="G247" s="107">
        <f t="shared" si="417"/>
        <v>0.0000000006</v>
      </c>
      <c r="H247" s="107">
        <f>H8</f>
        <v>0.0000000004</v>
      </c>
      <c r="I247" s="107">
        <f>I8*1.5</f>
        <v>0.00000000075</v>
      </c>
      <c r="J247" s="107">
        <f t="shared" ref="J247:M247" si="418">J8</f>
        <v>0.0000000006</v>
      </c>
      <c r="K247" s="107">
        <f t="shared" si="418"/>
        <v>0.0000000007</v>
      </c>
      <c r="L247" s="107">
        <f t="shared" si="418"/>
        <v>0.0000000008</v>
      </c>
      <c r="M247" s="107">
        <f t="shared" si="418"/>
        <v>0.0000000009</v>
      </c>
      <c r="N247" s="107">
        <f t="shared" si="383"/>
        <v>0.00000000095</v>
      </c>
      <c r="O247" s="107"/>
      <c r="P247" s="140"/>
      <c r="Q247" s="140" t="s">
        <v>649</v>
      </c>
      <c r="R247" s="140"/>
      <c r="S247" s="140"/>
      <c r="T247" s="140"/>
      <c r="U247" s="140"/>
      <c r="V247" s="107"/>
      <c r="W247" s="107"/>
      <c r="X247" s="107"/>
      <c r="Y247" s="107"/>
      <c r="Z247" s="107"/>
      <c r="AA247" s="107"/>
      <c r="AB247" s="107"/>
      <c r="AC247" s="107"/>
      <c r="AD247" s="107"/>
      <c r="AE247" s="107"/>
      <c r="AF247" s="107"/>
      <c r="AG247" s="107"/>
      <c r="AH247" s="107"/>
      <c r="AI247" s="107"/>
      <c r="AJ247" s="107"/>
    </row>
    <row r="248" ht="15.75" customHeight="1">
      <c r="A248" s="107" t="s">
        <v>650</v>
      </c>
      <c r="B248" s="107" t="s">
        <v>651</v>
      </c>
      <c r="C248" s="108" t="s">
        <v>617</v>
      </c>
      <c r="D248" s="107">
        <f t="array" ref="D248">F248+G248+R250+LARGE({E248,H248:M248},1)+LARGE({E248,H248:M248},2)+LARGE({E248,H248:M248},3)</f>
        <v>0.000000002</v>
      </c>
      <c r="E248" s="107">
        <f>E8</f>
        <v>0.0000000001</v>
      </c>
      <c r="F248" s="107">
        <f t="shared" ref="F248:G248" si="419">F8*2</f>
        <v>0.0000000004</v>
      </c>
      <c r="G248" s="107">
        <f t="shared" si="419"/>
        <v>0.0000000006</v>
      </c>
      <c r="H248" s="107">
        <f t="shared" ref="H248:I248" si="420">H8</f>
        <v>0.0000000004</v>
      </c>
      <c r="I248" s="107">
        <f t="shared" si="420"/>
        <v>0.0000000005</v>
      </c>
      <c r="J248" s="107">
        <f t="shared" ref="J248:M248" si="421">IF(J227=$Q$250,0,J8)</f>
        <v>0</v>
      </c>
      <c r="K248" s="107">
        <f t="shared" si="421"/>
        <v>0</v>
      </c>
      <c r="L248" s="107">
        <f t="shared" si="421"/>
        <v>0</v>
      </c>
      <c r="M248" s="107">
        <f t="shared" si="421"/>
        <v>0</v>
      </c>
      <c r="N248" s="107">
        <f t="shared" si="383"/>
        <v>0.00000000095</v>
      </c>
      <c r="O248" s="107"/>
      <c r="P248" s="140" t="s">
        <v>652</v>
      </c>
      <c r="Q248" s="144" t="str">
        <f>IF(OR(T248="物理",T248="化學",T248="經濟",T248="數學延伸"),T248,0)</f>
        <v>數學延伸</v>
      </c>
      <c r="R248" s="122">
        <f>LARGE((R144:V144),1)</f>
        <v>0.0000000005</v>
      </c>
      <c r="S248" s="140"/>
      <c r="T248" s="140" t="str">
        <f t="array" ref="T248">INDEX(I$1:M$1,MATCH(LARGE(R144:V144,1),R144:V144,0))</f>
        <v>數學延伸</v>
      </c>
      <c r="U248" s="140"/>
      <c r="V248" s="107"/>
      <c r="W248" s="107"/>
      <c r="X248" s="107"/>
      <c r="Y248" s="107"/>
      <c r="Z248" s="107"/>
      <c r="AA248" s="107"/>
      <c r="AB248" s="107"/>
      <c r="AC248" s="107"/>
      <c r="AD248" s="107"/>
      <c r="AE248" s="107"/>
      <c r="AF248" s="107"/>
      <c r="AG248" s="107"/>
      <c r="AH248" s="107"/>
      <c r="AI248" s="107"/>
      <c r="AJ248" s="107"/>
    </row>
    <row r="249" ht="15.75" customHeight="1">
      <c r="A249" s="107" t="s">
        <v>653</v>
      </c>
      <c r="B249" s="107" t="s">
        <v>654</v>
      </c>
      <c r="C249" s="108" t="s">
        <v>617</v>
      </c>
      <c r="D249" s="107">
        <f t="array" ref="D249">F249+G249+LARGE({E249,H249:M249},1)+LARGE({E249,H249:M249},2)+LARGE({E249,H249:M249},3)+LARGE({E249,H249:M249},4)</f>
        <v>0.000000004</v>
      </c>
      <c r="E249" s="107">
        <f>E8</f>
        <v>0.0000000001</v>
      </c>
      <c r="F249" s="107">
        <f t="shared" ref="F249:G249" si="422">F8*2</f>
        <v>0.0000000004</v>
      </c>
      <c r="G249" s="107">
        <f t="shared" si="422"/>
        <v>0.0000000006</v>
      </c>
      <c r="H249" s="107">
        <f t="shared" ref="H249:M249" si="423">H8</f>
        <v>0.0000000004</v>
      </c>
      <c r="I249" s="107">
        <f t="shared" si="423"/>
        <v>0.0000000005</v>
      </c>
      <c r="J249" s="107">
        <f t="shared" si="423"/>
        <v>0.0000000006</v>
      </c>
      <c r="K249" s="107">
        <f t="shared" si="423"/>
        <v>0.0000000007</v>
      </c>
      <c r="L249" s="107">
        <f t="shared" si="423"/>
        <v>0.0000000008</v>
      </c>
      <c r="M249" s="107">
        <f t="shared" si="423"/>
        <v>0.0000000009</v>
      </c>
      <c r="N249" s="107">
        <f t="shared" si="383"/>
        <v>0.00000000095</v>
      </c>
      <c r="O249" s="107"/>
      <c r="P249" s="140"/>
      <c r="Q249" s="140" t="s">
        <v>655</v>
      </c>
      <c r="R249" s="140"/>
      <c r="S249" s="140"/>
      <c r="T249" s="140"/>
      <c r="U249" s="140"/>
      <c r="V249" s="107"/>
      <c r="W249" s="107"/>
      <c r="X249" s="107"/>
      <c r="Y249" s="107"/>
      <c r="Z249" s="107"/>
      <c r="AA249" s="107"/>
      <c r="AB249" s="107"/>
      <c r="AC249" s="107"/>
      <c r="AD249" s="107"/>
      <c r="AE249" s="107"/>
      <c r="AF249" s="107"/>
      <c r="AG249" s="107"/>
      <c r="AH249" s="107"/>
      <c r="AI249" s="107"/>
      <c r="AJ249" s="107"/>
    </row>
    <row r="250" ht="15.75" customHeight="1">
      <c r="A250" s="107" t="s">
        <v>656</v>
      </c>
      <c r="B250" s="107" t="s">
        <v>657</v>
      </c>
      <c r="C250" s="108" t="s">
        <v>617</v>
      </c>
      <c r="D250" s="107">
        <f t="array" ref="D250">F250+G250+R252+LARGE({E250,H250:M250},1)+LARGE({E250,H250:M250},2)+LARGE({E250,H250:M250},3)</f>
        <v>0.0000000044</v>
      </c>
      <c r="E250" s="107">
        <f>E8</f>
        <v>0.0000000001</v>
      </c>
      <c r="F250" s="107">
        <f t="shared" ref="F250:G250" si="424">F8*2</f>
        <v>0.0000000004</v>
      </c>
      <c r="G250" s="107">
        <f t="shared" si="424"/>
        <v>0.0000000006</v>
      </c>
      <c r="H250" s="107">
        <f>H8</f>
        <v>0.0000000004</v>
      </c>
      <c r="I250" s="107">
        <f t="shared" ref="I250:M250" si="425">IF(I227=$Q$252,0,I8)</f>
        <v>0</v>
      </c>
      <c r="J250" s="107">
        <f t="shared" si="425"/>
        <v>0.0000000006</v>
      </c>
      <c r="K250" s="107">
        <f t="shared" si="425"/>
        <v>0.0000000007</v>
      </c>
      <c r="L250" s="107">
        <f t="shared" si="425"/>
        <v>0.0000000008</v>
      </c>
      <c r="M250" s="107">
        <f t="shared" si="425"/>
        <v>0.0000000009</v>
      </c>
      <c r="N250" s="107">
        <f t="shared" si="383"/>
        <v>0.00000000095</v>
      </c>
      <c r="O250" s="107"/>
      <c r="P250" s="143" t="s">
        <v>650</v>
      </c>
      <c r="Q250" s="144">
        <f>IF(OR(T250="化學",T250="生物"),T250,0)</f>
        <v>0</v>
      </c>
      <c r="R250" s="122">
        <f>LARGE((R146:V146),1)*1.5</f>
        <v>0</v>
      </c>
      <c r="S250" s="140"/>
      <c r="T250" s="140">
        <f t="array" ref="T250">INDEX(I$1:M$1,MATCH(LARGE(R146:V146,1),R146:V146,0))</f>
        <v>0</v>
      </c>
      <c r="U250" s="140"/>
      <c r="V250" s="107"/>
      <c r="W250" s="107"/>
      <c r="X250" s="107"/>
      <c r="Y250" s="107"/>
      <c r="Z250" s="107"/>
      <c r="AA250" s="107"/>
      <c r="AB250" s="107"/>
      <c r="AC250" s="107"/>
      <c r="AD250" s="107"/>
      <c r="AE250" s="107"/>
      <c r="AF250" s="107"/>
      <c r="AG250" s="107"/>
      <c r="AH250" s="107"/>
      <c r="AI250" s="107"/>
      <c r="AJ250" s="107"/>
    </row>
    <row r="251" ht="15.75" customHeight="1">
      <c r="A251" s="107" t="s">
        <v>658</v>
      </c>
      <c r="B251" s="107" t="s">
        <v>659</v>
      </c>
      <c r="C251" s="108" t="s">
        <v>617</v>
      </c>
      <c r="D251" s="107">
        <f t="array" ref="D251">F251+G251+LARGE({E251,H251:M251},1)+LARGE({E251,H251:M251},2)+LARGE({E251,H251:M251},3)+LARGE({E251,H251:M251},4)</f>
        <v>0.00000000415</v>
      </c>
      <c r="E251" s="107">
        <f>E8</f>
        <v>0.0000000001</v>
      </c>
      <c r="F251" s="107">
        <f t="shared" ref="F251:G251" si="426">F8*2</f>
        <v>0.0000000004</v>
      </c>
      <c r="G251" s="107">
        <f t="shared" si="426"/>
        <v>0.0000000006</v>
      </c>
      <c r="H251" s="107">
        <f>H8</f>
        <v>0.0000000004</v>
      </c>
      <c r="I251" s="107">
        <f>I8*1.5</f>
        <v>0.00000000075</v>
      </c>
      <c r="J251" s="107">
        <f t="shared" ref="J251:M251" si="427">J8</f>
        <v>0.0000000006</v>
      </c>
      <c r="K251" s="107">
        <f t="shared" si="427"/>
        <v>0.0000000007</v>
      </c>
      <c r="L251" s="107">
        <f t="shared" si="427"/>
        <v>0.0000000008</v>
      </c>
      <c r="M251" s="107">
        <f t="shared" si="427"/>
        <v>0.0000000009</v>
      </c>
      <c r="N251" s="107">
        <f t="shared" si="383"/>
        <v>0.00000000095</v>
      </c>
      <c r="O251" s="107"/>
      <c r="P251" s="140"/>
      <c r="Q251" s="140" t="s">
        <v>660</v>
      </c>
      <c r="R251" s="140"/>
      <c r="S251" s="140"/>
      <c r="T251" s="140"/>
      <c r="U251" s="140"/>
      <c r="V251" s="107"/>
      <c r="W251" s="107"/>
      <c r="X251" s="107"/>
      <c r="Y251" s="107"/>
      <c r="Z251" s="107"/>
      <c r="AA251" s="107"/>
      <c r="AB251" s="107"/>
      <c r="AC251" s="107"/>
      <c r="AD251" s="107"/>
      <c r="AE251" s="107"/>
      <c r="AF251" s="107"/>
      <c r="AG251" s="107"/>
      <c r="AH251" s="107"/>
      <c r="AI251" s="107"/>
      <c r="AJ251" s="107"/>
    </row>
    <row r="252" ht="15.75" customHeight="1">
      <c r="A252" s="107" t="s">
        <v>661</v>
      </c>
      <c r="B252" s="107" t="s">
        <v>662</v>
      </c>
      <c r="C252" s="108" t="s">
        <v>617</v>
      </c>
      <c r="D252" s="107">
        <f t="array" ref="D252">IF(R244*2&gt;T244,R244*2+LARGE({E252,H252:M252},1)+LARGE({E252,H252:M252},2)+LARGE({E252,H252:M252},3)+F252+G252,T244+LARGE({E252,H252:M252},1)+LARGE({E252,H252:M252},2)+LARGE({G252,H252:M252},3)+F252+G252)</f>
        <v>0.00000000345</v>
      </c>
      <c r="E252" s="107">
        <f>E8</f>
        <v>0.0000000001</v>
      </c>
      <c r="F252" s="107">
        <f t="shared" ref="F252:G252" si="428">F8*2</f>
        <v>0.0000000004</v>
      </c>
      <c r="G252" s="107">
        <f t="shared" si="428"/>
        <v>0.0000000006</v>
      </c>
      <c r="H252" s="107">
        <f>H8</f>
        <v>0.0000000004</v>
      </c>
      <c r="I252" s="107">
        <f>I8*1.5</f>
        <v>0.00000000075</v>
      </c>
      <c r="J252" s="107">
        <f t="shared" ref="J252:M252" si="429">IF(J227=$Q$229,0,J8)</f>
        <v>0.0000000006</v>
      </c>
      <c r="K252" s="107">
        <f t="shared" si="429"/>
        <v>0.0000000007</v>
      </c>
      <c r="L252" s="107">
        <f t="shared" si="429"/>
        <v>0.0000000008</v>
      </c>
      <c r="M252" s="107">
        <f t="shared" si="429"/>
        <v>0.0000000009</v>
      </c>
      <c r="N252" s="107">
        <f t="shared" si="383"/>
        <v>0.00000000095</v>
      </c>
      <c r="O252" s="107"/>
      <c r="P252" s="140" t="s">
        <v>656</v>
      </c>
      <c r="Q252" s="144" t="str">
        <f>IF(OR(T252="數學延伸",T252="物理",T252="化學",T252="生物",T252="經濟",T252="組合科學(物理、化學)",T252="組合科學(生物、化學)",T252="組合科學(物理、生物)"),T252,0)</f>
        <v>數學延伸</v>
      </c>
      <c r="R252" s="122">
        <f>IF(Q252="數學延伸",U252*2,U252*1.5)</f>
        <v>0.000000001</v>
      </c>
      <c r="S252" s="140"/>
      <c r="T252" s="140" t="str">
        <f t="array" ref="T252">INDEX(I$1:M$1,MATCH(LARGE(R147:V147,1),R147:V147,0))</f>
        <v>數學延伸</v>
      </c>
      <c r="U252" s="140">
        <f>LARGE((R147:V147),1)</f>
        <v>0.0000000005</v>
      </c>
      <c r="V252" s="107"/>
      <c r="W252" s="107"/>
      <c r="X252" s="107"/>
      <c r="Y252" s="107"/>
      <c r="Z252" s="107"/>
      <c r="AA252" s="107"/>
      <c r="AB252" s="107"/>
      <c r="AC252" s="107"/>
      <c r="AD252" s="107"/>
      <c r="AE252" s="107"/>
      <c r="AF252" s="107"/>
      <c r="AG252" s="107"/>
      <c r="AH252" s="107"/>
      <c r="AI252" s="107"/>
      <c r="AJ252" s="107"/>
    </row>
    <row r="253" ht="15.75" customHeight="1">
      <c r="A253" s="107"/>
      <c r="B253" s="107"/>
      <c r="C253" s="108"/>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row>
    <row r="254" ht="15.75" customHeight="1">
      <c r="A254" s="109"/>
      <c r="B254" s="107"/>
      <c r="C254" s="108"/>
      <c r="D254" s="107"/>
      <c r="E254" s="107" t="s">
        <v>663</v>
      </c>
      <c r="F254" s="107" t="s">
        <v>664</v>
      </c>
      <c r="G254" s="107" t="s">
        <v>665</v>
      </c>
      <c r="H254" s="107" t="s">
        <v>666</v>
      </c>
      <c r="I254" s="107" t="s">
        <v>667</v>
      </c>
      <c r="J254" s="107" t="s">
        <v>668</v>
      </c>
      <c r="K254" s="107" t="s">
        <v>669</v>
      </c>
      <c r="L254" s="107" t="s">
        <v>670</v>
      </c>
      <c r="M254" s="107" t="s">
        <v>671</v>
      </c>
      <c r="N254" s="107" t="s">
        <v>672</v>
      </c>
      <c r="O254" s="107"/>
      <c r="P254" s="109" t="s">
        <v>673</v>
      </c>
      <c r="Q254" s="109" t="s">
        <v>596</v>
      </c>
      <c r="R254" s="109" t="s">
        <v>674</v>
      </c>
      <c r="S254" s="107"/>
      <c r="T254" s="109" t="s">
        <v>675</v>
      </c>
      <c r="U254" s="107"/>
      <c r="V254" s="109" t="s">
        <v>676</v>
      </c>
      <c r="W254" s="107"/>
      <c r="X254" s="107"/>
      <c r="Y254" s="107"/>
      <c r="Z254" s="107"/>
      <c r="AA254" s="107"/>
      <c r="AB254" s="107"/>
      <c r="AC254" s="107"/>
      <c r="AD254" s="107"/>
      <c r="AE254" s="107"/>
      <c r="AF254" s="107"/>
      <c r="AG254" s="107"/>
      <c r="AH254" s="107"/>
      <c r="AI254" s="107"/>
      <c r="AJ254" s="107"/>
    </row>
    <row r="255" ht="15.75" customHeight="1">
      <c r="A255" s="123" t="s">
        <v>179</v>
      </c>
      <c r="B255" s="107"/>
      <c r="C255" s="145"/>
      <c r="D255" s="109" t="s">
        <v>172</v>
      </c>
      <c r="E255" s="109" t="s">
        <v>23</v>
      </c>
      <c r="F255" s="109" t="s">
        <v>26</v>
      </c>
      <c r="G255" s="109" t="s">
        <v>29</v>
      </c>
      <c r="H255" s="109" t="s">
        <v>30</v>
      </c>
      <c r="I255" s="109" t="s">
        <v>173</v>
      </c>
      <c r="J255" s="109">
        <f t="shared" ref="J255:N255" si="430">J1</f>
        <v>0</v>
      </c>
      <c r="K255" s="109">
        <f t="shared" si="430"/>
        <v>0</v>
      </c>
      <c r="L255" s="109">
        <f t="shared" si="430"/>
        <v>0</v>
      </c>
      <c r="M255" s="109">
        <f t="shared" si="430"/>
        <v>0</v>
      </c>
      <c r="N255" s="109">
        <f t="shared" si="430"/>
        <v>0</v>
      </c>
      <c r="O255" s="107"/>
      <c r="P255" s="107"/>
      <c r="Q255" s="109" t="s">
        <v>677</v>
      </c>
      <c r="R255" s="107"/>
      <c r="S255" s="107"/>
      <c r="T255" s="107"/>
      <c r="U255" s="107"/>
      <c r="V255" s="107" t="s">
        <v>678</v>
      </c>
      <c r="W255" s="107"/>
      <c r="X255" s="107" t="b">
        <f>IF(V257&gt;W257,TRUE,FALSE)</f>
        <v>0</v>
      </c>
      <c r="Y255" s="107"/>
      <c r="Z255" s="107"/>
      <c r="AA255" s="107"/>
      <c r="AB255" s="107"/>
      <c r="AC255" s="107"/>
      <c r="AD255" s="107"/>
      <c r="AE255" s="107"/>
      <c r="AF255" s="107"/>
      <c r="AG255" s="107"/>
      <c r="AH255" s="107"/>
      <c r="AI255" s="107"/>
      <c r="AJ255" s="107"/>
    </row>
    <row r="256" ht="15.75" customHeight="1">
      <c r="A256" s="107" t="str">
        <f>HKU!A2</f>
        <v>JS6004</v>
      </c>
      <c r="B256" s="146" t="str">
        <f>HKU!C2</f>
        <v>建築學文學士</v>
      </c>
      <c r="C256" s="147" t="s">
        <v>24</v>
      </c>
      <c r="D256" s="129">
        <f>LARGE(E256:N256,1)+LARGE(E256:N256,2)+LARGE(E256:N256,3)+LARGE(E256:N256,4)+LARGE(E256:N256,5)+LARGE(E256:N256,6)</f>
        <v>0.00000000445</v>
      </c>
      <c r="E256" s="107">
        <f t="shared" ref="E256:I256" si="431">E$9</f>
        <v>0.0000000001</v>
      </c>
      <c r="F256" s="107">
        <f t="shared" si="431"/>
        <v>0.0000000002</v>
      </c>
      <c r="G256" s="107">
        <f t="shared" si="431"/>
        <v>0.0000000003</v>
      </c>
      <c r="H256" s="107">
        <f t="shared" si="431"/>
        <v>0.0000000004</v>
      </c>
      <c r="I256" s="107">
        <f t="shared" si="431"/>
        <v>0.0000000005</v>
      </c>
      <c r="J256" s="107">
        <f t="shared" ref="J256:M256" si="432">J9</f>
        <v>0.0000000006</v>
      </c>
      <c r="K256" s="107">
        <f t="shared" si="432"/>
        <v>0.0000000007</v>
      </c>
      <c r="L256" s="107">
        <f t="shared" si="432"/>
        <v>0.0000000008</v>
      </c>
      <c r="M256" s="107">
        <f t="shared" si="432"/>
        <v>0.0000000009</v>
      </c>
      <c r="N256" s="107">
        <f t="shared" ref="N256:N267" si="435">N$9</f>
        <v>0.00000000095</v>
      </c>
      <c r="O256" s="148"/>
      <c r="P256" s="107">
        <f>IF(Q256="無",0,1)</f>
        <v>0</v>
      </c>
      <c r="Q256" s="111" t="str">
        <f t="array" ref="Q256">IF(R256&gt;0,INDEX(R271:U271,MATCH(LARGE(R273:U273,1),R273:U273,0)),"無")</f>
        <v>無</v>
      </c>
      <c r="R256" s="111">
        <f>LARGE(R273:U273,1)</f>
        <v>0</v>
      </c>
      <c r="S256" s="107" t="str">
        <f t="array" ref="S256">IF(T256&gt;0,INDEX(R271:U271,MATCH(LARGE(R273:U273,2),R273:U273,0)),"無")</f>
        <v>無</v>
      </c>
      <c r="T256" s="107">
        <f>LARGE(R273:U273,2)</f>
        <v>0</v>
      </c>
      <c r="U256" s="107"/>
      <c r="V256" s="109" t="s">
        <v>679</v>
      </c>
      <c r="W256" s="109" t="s">
        <v>34</v>
      </c>
      <c r="X256" s="107"/>
      <c r="Y256" s="107"/>
      <c r="Z256" s="107"/>
      <c r="AA256" s="107"/>
      <c r="AB256" s="107"/>
      <c r="AC256" s="107"/>
      <c r="AD256" s="107"/>
      <c r="AE256" s="107"/>
      <c r="AF256" s="107"/>
      <c r="AG256" s="107"/>
      <c r="AH256" s="107"/>
      <c r="AI256" s="107"/>
      <c r="AJ256" s="107"/>
    </row>
    <row r="257" ht="15.75" customHeight="1">
      <c r="A257" s="107" t="str">
        <f>HKU!A3</f>
        <v>JS6016</v>
      </c>
      <c r="B257" s="146" t="str">
        <f>HKU!C3</f>
        <v>理學士(測量學)</v>
      </c>
      <c r="C257" s="147" t="s">
        <v>21</v>
      </c>
      <c r="D257" s="129">
        <f t="shared" ref="D257:D259" si="436">LARGE({E257:H257,J257:N257},1)+LARGE({E257:H257,J257:N257},2)+LARGE({E257:H257,J257:N257},3)+LARGE({E257:H257,J257:N257},4)+LARGE({E257:H257,J257:N257},5)</f>
        <v>0.00000000395</v>
      </c>
      <c r="E257" s="107">
        <f t="shared" ref="E257:I257" si="433">E$9</f>
        <v>0.0000000001</v>
      </c>
      <c r="F257" s="107">
        <f t="shared" si="433"/>
        <v>0.0000000002</v>
      </c>
      <c r="G257" s="107">
        <f t="shared" si="433"/>
        <v>0.0000000003</v>
      </c>
      <c r="H257" s="107">
        <f t="shared" si="433"/>
        <v>0.0000000004</v>
      </c>
      <c r="I257" s="107">
        <f t="shared" si="433"/>
        <v>0.0000000005</v>
      </c>
      <c r="J257" s="107">
        <f t="shared" ref="J257:M257" si="434">J9</f>
        <v>0.0000000006</v>
      </c>
      <c r="K257" s="107">
        <f t="shared" si="434"/>
        <v>0.0000000007</v>
      </c>
      <c r="L257" s="107">
        <f t="shared" si="434"/>
        <v>0.0000000008</v>
      </c>
      <c r="M257" s="107">
        <f t="shared" si="434"/>
        <v>0.0000000009</v>
      </c>
      <c r="N257" s="107">
        <f t="shared" si="435"/>
        <v>0.00000000095</v>
      </c>
      <c r="O257" s="148"/>
      <c r="P257" s="107"/>
      <c r="Q257" s="107" t="s">
        <v>680</v>
      </c>
      <c r="R257" s="107">
        <f>LARGE(R272:U272,1)</f>
        <v>0</v>
      </c>
      <c r="S257" s="107"/>
      <c r="T257" s="107">
        <f>LARGE(R272:U272,2)</f>
        <v>0</v>
      </c>
      <c r="U257" s="107"/>
      <c r="V257" s="108">
        <f>G9</f>
        <v>0.0000000003</v>
      </c>
      <c r="W257" s="108">
        <f>I9</f>
        <v>0.0000000005</v>
      </c>
      <c r="X257" s="107"/>
      <c r="Y257" s="107"/>
      <c r="Z257" s="107"/>
      <c r="AA257" s="107"/>
      <c r="AB257" s="107"/>
      <c r="AC257" s="107"/>
      <c r="AD257" s="107"/>
      <c r="AE257" s="107"/>
      <c r="AF257" s="107"/>
      <c r="AG257" s="107"/>
      <c r="AH257" s="107"/>
      <c r="AI257" s="107"/>
      <c r="AJ257" s="107"/>
    </row>
    <row r="258" ht="15.75" customHeight="1">
      <c r="A258" s="107" t="str">
        <f>HKU!A4</f>
        <v>JS6028</v>
      </c>
      <c r="B258" s="146" t="str">
        <f>HKU!C4</f>
        <v>園境學文學士</v>
      </c>
      <c r="C258" s="147" t="s">
        <v>21</v>
      </c>
      <c r="D258" s="129">
        <f t="shared" si="436"/>
        <v>0.00000000395</v>
      </c>
      <c r="E258" s="107">
        <f t="shared" ref="E258:I258" si="437">E$9</f>
        <v>0.0000000001</v>
      </c>
      <c r="F258" s="107">
        <f t="shared" si="437"/>
        <v>0.0000000002</v>
      </c>
      <c r="G258" s="107">
        <f t="shared" si="437"/>
        <v>0.0000000003</v>
      </c>
      <c r="H258" s="107">
        <f t="shared" si="437"/>
        <v>0.0000000004</v>
      </c>
      <c r="I258" s="107">
        <f t="shared" si="437"/>
        <v>0.0000000005</v>
      </c>
      <c r="J258" s="107">
        <f t="shared" ref="J258:M258" si="438">J9</f>
        <v>0.0000000006</v>
      </c>
      <c r="K258" s="107">
        <f t="shared" si="438"/>
        <v>0.0000000007</v>
      </c>
      <c r="L258" s="107">
        <f t="shared" si="438"/>
        <v>0.0000000008</v>
      </c>
      <c r="M258" s="107">
        <f t="shared" si="438"/>
        <v>0.0000000009</v>
      </c>
      <c r="N258" s="107">
        <f t="shared" si="435"/>
        <v>0.00000000095</v>
      </c>
      <c r="O258" s="148"/>
      <c r="P258" s="107" t="s">
        <v>681</v>
      </c>
      <c r="Q258" s="109" t="s">
        <v>682</v>
      </c>
      <c r="R258" s="111"/>
      <c r="S258" s="107"/>
      <c r="T258" s="107"/>
      <c r="U258" s="107"/>
      <c r="V258" s="107"/>
      <c r="W258" s="107"/>
      <c r="X258" s="107"/>
      <c r="Y258" s="107"/>
      <c r="Z258" s="107"/>
      <c r="AA258" s="107"/>
      <c r="AB258" s="107"/>
      <c r="AC258" s="107"/>
      <c r="AD258" s="107"/>
      <c r="AE258" s="107"/>
      <c r="AF258" s="107"/>
      <c r="AG258" s="107"/>
      <c r="AH258" s="107"/>
      <c r="AI258" s="107"/>
      <c r="AJ258" s="107"/>
    </row>
    <row r="259" ht="15.75" customHeight="1">
      <c r="A259" s="107" t="str">
        <f>HKU!A5</f>
        <v>JS6042</v>
      </c>
      <c r="B259" s="146" t="str">
        <f>HKU!C5</f>
        <v>文學士(城市研究)</v>
      </c>
      <c r="C259" s="147" t="s">
        <v>21</v>
      </c>
      <c r="D259" s="129">
        <f t="shared" si="436"/>
        <v>0.00000000395</v>
      </c>
      <c r="E259" s="107">
        <f t="shared" ref="E259:I259" si="439">E$9</f>
        <v>0.0000000001</v>
      </c>
      <c r="F259" s="107">
        <f t="shared" si="439"/>
        <v>0.0000000002</v>
      </c>
      <c r="G259" s="107">
        <f t="shared" si="439"/>
        <v>0.0000000003</v>
      </c>
      <c r="H259" s="107">
        <f t="shared" si="439"/>
        <v>0.0000000004</v>
      </c>
      <c r="I259" s="107">
        <f t="shared" si="439"/>
        <v>0.0000000005</v>
      </c>
      <c r="J259" s="107">
        <f t="shared" ref="J259:M259" si="440">J9</f>
        <v>0.0000000006</v>
      </c>
      <c r="K259" s="107">
        <f t="shared" si="440"/>
        <v>0.0000000007</v>
      </c>
      <c r="L259" s="107">
        <f t="shared" si="440"/>
        <v>0.0000000008</v>
      </c>
      <c r="M259" s="107">
        <f t="shared" si="440"/>
        <v>0.0000000009</v>
      </c>
      <c r="N259" s="107">
        <f t="shared" si="435"/>
        <v>0.00000000095</v>
      </c>
      <c r="O259" s="148"/>
      <c r="P259" s="107">
        <f>IF(Q259="無",0,1)</f>
        <v>0</v>
      </c>
      <c r="Q259" s="111" t="str">
        <f t="array" ref="Q259">IF(R259&gt;0,INDEX(R271:U271,MATCH(LARGE(R274:U274,1),R274:U274,0)),"無")</f>
        <v>無</v>
      </c>
      <c r="R259" s="111">
        <f>LARGE(R274:U274,1)</f>
        <v>0</v>
      </c>
      <c r="S259" s="107"/>
      <c r="T259" s="107"/>
      <c r="U259" s="107"/>
      <c r="V259" s="107"/>
      <c r="W259" s="107"/>
      <c r="X259" s="107"/>
      <c r="Y259" s="107"/>
      <c r="Z259" s="107"/>
      <c r="AA259" s="107"/>
      <c r="AB259" s="107"/>
      <c r="AC259" s="107"/>
      <c r="AD259" s="107"/>
      <c r="AE259" s="107"/>
      <c r="AF259" s="107"/>
      <c r="AG259" s="107"/>
      <c r="AH259" s="107"/>
      <c r="AI259" s="107"/>
      <c r="AJ259" s="107"/>
    </row>
    <row r="260" ht="15.75" customHeight="1">
      <c r="A260" s="107" t="str">
        <f>HKU!A6</f>
        <v>JS6054</v>
      </c>
      <c r="B260" s="146" t="str">
        <f>HKU!C6</f>
        <v>文學士</v>
      </c>
      <c r="C260" s="147" t="s">
        <v>21</v>
      </c>
      <c r="D260" s="129">
        <f t="array" ref="D260">F260+LARGE({E260,G260:H260,J260:N260},1)+LARGE({E260,G260:H260,J260:N260},2)+LARGE({E260,G260:H260,J260:N260},3)+LARGE({E260,G260:H260,J260:N260},4)</f>
        <v>0.00000000355</v>
      </c>
      <c r="E260" s="107">
        <f t="shared" ref="E260:I260" si="441">E$9</f>
        <v>0.0000000001</v>
      </c>
      <c r="F260" s="107">
        <f t="shared" si="441"/>
        <v>0.0000000002</v>
      </c>
      <c r="G260" s="107">
        <f t="shared" si="441"/>
        <v>0.0000000003</v>
      </c>
      <c r="H260" s="107">
        <f t="shared" si="441"/>
        <v>0.0000000004</v>
      </c>
      <c r="I260" s="107">
        <f t="shared" si="441"/>
        <v>0.0000000005</v>
      </c>
      <c r="J260" s="107">
        <f t="shared" ref="J260:M260" si="442">J9</f>
        <v>0.0000000006</v>
      </c>
      <c r="K260" s="107">
        <f t="shared" si="442"/>
        <v>0.0000000007</v>
      </c>
      <c r="L260" s="107">
        <f t="shared" si="442"/>
        <v>0.0000000008</v>
      </c>
      <c r="M260" s="107">
        <f t="shared" si="442"/>
        <v>0.0000000009</v>
      </c>
      <c r="N260" s="107">
        <f t="shared" si="435"/>
        <v>0.00000000095</v>
      </c>
      <c r="O260" s="148"/>
      <c r="P260" s="107" t="s">
        <v>683</v>
      </c>
      <c r="Q260" s="109" t="s">
        <v>684</v>
      </c>
      <c r="R260" s="111"/>
      <c r="S260" s="107"/>
      <c r="T260" s="107"/>
      <c r="U260" s="107"/>
      <c r="V260" s="107"/>
      <c r="W260" s="107"/>
      <c r="X260" s="107"/>
      <c r="Y260" s="107"/>
      <c r="Z260" s="107"/>
      <c r="AA260" s="107"/>
      <c r="AB260" s="107"/>
      <c r="AC260" s="107"/>
      <c r="AD260" s="107"/>
      <c r="AE260" s="107"/>
      <c r="AF260" s="107"/>
      <c r="AG260" s="107"/>
      <c r="AH260" s="107"/>
      <c r="AI260" s="107"/>
      <c r="AJ260" s="107"/>
    </row>
    <row r="261" ht="15.75" customHeight="1">
      <c r="A261" s="107" t="str">
        <f>HKU!A7</f>
        <v>JS6767</v>
      </c>
      <c r="B261" s="146" t="str">
        <f>HKU!C7</f>
        <v>經濟學學士 / 經濟金融學學士</v>
      </c>
      <c r="C261" s="149" t="s">
        <v>24</v>
      </c>
      <c r="D261" s="129">
        <f t="array" ref="D261">F261+G261+LARGE({E261,H261:M261},1)+LARGE({E261,H261:M261},2)+LARGE({E261,H261:M261},3)+LARGE({E261,H261:M261},4)</f>
        <v>0.00000000375</v>
      </c>
      <c r="E261" s="107">
        <f t="shared" ref="E261:E267" si="446">E$9</f>
        <v>0.0000000001</v>
      </c>
      <c r="F261" s="107">
        <f t="shared" ref="F261:G261" si="443">F$9*1.5</f>
        <v>0.0000000003</v>
      </c>
      <c r="G261" s="107">
        <f t="shared" si="443"/>
        <v>0.00000000045</v>
      </c>
      <c r="H261" s="107">
        <f t="shared" ref="H261:I261" si="444">H$9</f>
        <v>0.0000000004</v>
      </c>
      <c r="I261" s="107">
        <f t="shared" si="444"/>
        <v>0.0000000005</v>
      </c>
      <c r="J261" s="107">
        <f t="shared" ref="J261:M261" si="445">J9</f>
        <v>0.0000000006</v>
      </c>
      <c r="K261" s="107">
        <f t="shared" si="445"/>
        <v>0.0000000007</v>
      </c>
      <c r="L261" s="107">
        <f t="shared" si="445"/>
        <v>0.0000000008</v>
      </c>
      <c r="M261" s="107">
        <f t="shared" si="445"/>
        <v>0.0000000009</v>
      </c>
      <c r="N261" s="107">
        <f t="shared" si="435"/>
        <v>0.00000000095</v>
      </c>
      <c r="O261" s="148"/>
      <c r="P261" s="107">
        <f>IF(Q261="無",0,1)</f>
        <v>0</v>
      </c>
      <c r="Q261" s="111" t="str">
        <f t="array" ref="Q261">IF(R261&gt;0,INDEX(R271:U271,MATCH(LARGE(R275:U275,1),R275:U275,0)),"無")</f>
        <v>無</v>
      </c>
      <c r="R261" s="111">
        <f>LARGE(R275:U275,1)</f>
        <v>0</v>
      </c>
      <c r="S261" s="107"/>
      <c r="T261" s="107"/>
      <c r="U261" s="107"/>
      <c r="V261" s="107"/>
      <c r="W261" s="107"/>
      <c r="X261" s="107"/>
      <c r="Y261" s="107"/>
      <c r="Z261" s="107"/>
      <c r="AA261" s="107"/>
      <c r="AB261" s="107"/>
      <c r="AC261" s="107"/>
      <c r="AD261" s="107"/>
      <c r="AE261" s="107"/>
      <c r="AF261" s="107"/>
      <c r="AG261" s="107"/>
      <c r="AH261" s="107"/>
      <c r="AI261" s="107"/>
      <c r="AJ261" s="107"/>
    </row>
    <row r="262" ht="15.75" customHeight="1">
      <c r="A262" s="107" t="str">
        <f>HKU!A8</f>
        <v>JS6781</v>
      </c>
      <c r="B262" s="146" t="str">
        <f>HKU!C8</f>
        <v>工商管理學學士 / 工商管理學學士(會計及財務)</v>
      </c>
      <c r="C262" s="150" t="s">
        <v>24</v>
      </c>
      <c r="D262" s="129">
        <f t="shared" ref="D262:D263" si="449">IF($X$255=TRUE,F262+G262*1.5+LARGE({E262,H262,J262:M262},1)+LARGE({E262,H262,J262:M262},2)+LARGE({E262,H262,J262:M262},3)+LARGE({E262,H262,J262:M262},4),F262+I262*1.5+LARGE({E262,G262,H262,J262:M262},1)+LARGE({E262,G262,H262,J262:M262},2)+LARGE({E262,G262,H262,J262:M262},3)+LARGE({E262,G262,H262,J262:M262},4))</f>
        <v>0.00000000405</v>
      </c>
      <c r="E262" s="107">
        <f t="shared" si="446"/>
        <v>0.0000000001</v>
      </c>
      <c r="F262" s="107">
        <f t="shared" ref="F262:F267" si="450">F$9*1.5</f>
        <v>0.0000000003</v>
      </c>
      <c r="G262" s="107">
        <f t="shared" ref="G262:I262" si="447">G$9</f>
        <v>0.0000000003</v>
      </c>
      <c r="H262" s="107">
        <f t="shared" si="447"/>
        <v>0.0000000004</v>
      </c>
      <c r="I262" s="107">
        <f t="shared" si="447"/>
        <v>0.0000000005</v>
      </c>
      <c r="J262" s="107">
        <f t="shared" ref="J262:M262" si="448">J9</f>
        <v>0.0000000006</v>
      </c>
      <c r="K262" s="107">
        <f t="shared" si="448"/>
        <v>0.0000000007</v>
      </c>
      <c r="L262" s="107">
        <f t="shared" si="448"/>
        <v>0.0000000008</v>
      </c>
      <c r="M262" s="107">
        <f t="shared" si="448"/>
        <v>0.0000000009</v>
      </c>
      <c r="N262" s="107">
        <f t="shared" si="435"/>
        <v>0.00000000095</v>
      </c>
      <c r="O262" s="148"/>
      <c r="P262" s="107" t="s">
        <v>685</v>
      </c>
      <c r="Q262" s="109" t="s">
        <v>686</v>
      </c>
      <c r="R262" s="107"/>
      <c r="S262" s="107"/>
      <c r="T262" s="107"/>
      <c r="U262" s="107"/>
      <c r="V262" s="107"/>
      <c r="W262" s="107"/>
      <c r="X262" s="107"/>
      <c r="Y262" s="107"/>
      <c r="Z262" s="107"/>
      <c r="AA262" s="107"/>
      <c r="AB262" s="107"/>
      <c r="AC262" s="107"/>
      <c r="AD262" s="107"/>
      <c r="AE262" s="107"/>
      <c r="AF262" s="107"/>
      <c r="AG262" s="107"/>
      <c r="AH262" s="107"/>
      <c r="AI262" s="107"/>
      <c r="AJ262" s="107"/>
    </row>
    <row r="263" ht="15.75" customHeight="1">
      <c r="A263" s="107" t="str">
        <f>HKU!A9</f>
        <v>JS6860</v>
      </c>
      <c r="B263" s="146" t="str">
        <f>HKU!C9</f>
        <v>金融學學士(資產管理及私人銀行)</v>
      </c>
      <c r="C263" s="150" t="s">
        <v>24</v>
      </c>
      <c r="D263" s="129">
        <f t="shared" si="449"/>
        <v>0.00000000405</v>
      </c>
      <c r="E263" s="107">
        <f t="shared" si="446"/>
        <v>0.0000000001</v>
      </c>
      <c r="F263" s="107">
        <f t="shared" si="450"/>
        <v>0.0000000003</v>
      </c>
      <c r="G263" s="107">
        <f t="shared" ref="G263:I263" si="451">G$9</f>
        <v>0.0000000003</v>
      </c>
      <c r="H263" s="107">
        <f t="shared" si="451"/>
        <v>0.0000000004</v>
      </c>
      <c r="I263" s="107">
        <f t="shared" si="451"/>
        <v>0.0000000005</v>
      </c>
      <c r="J263" s="107">
        <f t="shared" ref="J263:M263" si="452">J9</f>
        <v>0.0000000006</v>
      </c>
      <c r="K263" s="107">
        <f t="shared" si="452"/>
        <v>0.0000000007</v>
      </c>
      <c r="L263" s="107">
        <f t="shared" si="452"/>
        <v>0.0000000008</v>
      </c>
      <c r="M263" s="107">
        <f t="shared" si="452"/>
        <v>0.0000000009</v>
      </c>
      <c r="N263" s="107">
        <f t="shared" si="435"/>
        <v>0.00000000095</v>
      </c>
      <c r="O263" s="148"/>
      <c r="P263" s="107">
        <f>IF(Q263="無",0,1)</f>
        <v>0</v>
      </c>
      <c r="Q263" s="107" t="str">
        <f t="array" ref="Q263">IF(R263&gt;0,INDEX($R$271:$U$271,MATCH(LARGE(R276:U276,1),R276:U276,0)),"無")</f>
        <v>無</v>
      </c>
      <c r="R263" s="111">
        <f>LARGE(R276:U276,1)</f>
        <v>0</v>
      </c>
      <c r="S263" s="107"/>
      <c r="T263" s="107"/>
      <c r="U263" s="107"/>
      <c r="V263" s="107"/>
      <c r="W263" s="107"/>
      <c r="X263" s="107"/>
      <c r="Y263" s="107"/>
      <c r="Z263" s="107"/>
      <c r="AA263" s="107"/>
      <c r="AB263" s="107"/>
      <c r="AC263" s="107"/>
      <c r="AD263" s="107"/>
      <c r="AE263" s="107"/>
      <c r="AF263" s="107"/>
      <c r="AG263" s="107"/>
      <c r="AH263" s="107"/>
      <c r="AI263" s="107"/>
      <c r="AJ263" s="107"/>
    </row>
    <row r="264" ht="15.75" customHeight="1">
      <c r="A264" s="107" t="str">
        <f>HKU!A10</f>
        <v>JS6793</v>
      </c>
      <c r="B264" s="146" t="str">
        <f>HKU!C10</f>
        <v>工商管理學學士(資訊系統)</v>
      </c>
      <c r="C264" s="149" t="s">
        <v>24</v>
      </c>
      <c r="D264" s="129">
        <f t="array" ref="D264">F264+G264+LARGE({E264,H264:M264},1)+LARGE({E264,H264:M264},2)+LARGE({E264,H264:M264},3)+LARGE({E264,H264:M264},4)</f>
        <v>0.00000000375</v>
      </c>
      <c r="E264" s="107">
        <f t="shared" si="446"/>
        <v>0.0000000001</v>
      </c>
      <c r="F264" s="107">
        <f t="shared" si="450"/>
        <v>0.0000000003</v>
      </c>
      <c r="G264" s="107">
        <f>G$9*1.5</f>
        <v>0.00000000045</v>
      </c>
      <c r="H264" s="107">
        <f t="shared" ref="H264:I264" si="453">H$9</f>
        <v>0.0000000004</v>
      </c>
      <c r="I264" s="107">
        <f t="shared" si="453"/>
        <v>0.0000000005</v>
      </c>
      <c r="J264" s="107">
        <f t="shared" ref="J264:M264" si="454">J9</f>
        <v>0.0000000006</v>
      </c>
      <c r="K264" s="107">
        <f t="shared" si="454"/>
        <v>0.0000000007</v>
      </c>
      <c r="L264" s="107">
        <f t="shared" si="454"/>
        <v>0.0000000008</v>
      </c>
      <c r="M264" s="107">
        <f t="shared" si="454"/>
        <v>0.0000000009</v>
      </c>
      <c r="N264" s="107">
        <f t="shared" si="435"/>
        <v>0.00000000095</v>
      </c>
      <c r="O264" s="148"/>
      <c r="P264" s="107" t="s">
        <v>687</v>
      </c>
      <c r="Q264" s="109" t="s">
        <v>688</v>
      </c>
      <c r="R264" s="111"/>
      <c r="S264" s="107"/>
      <c r="T264" s="107"/>
      <c r="U264" s="107"/>
      <c r="V264" s="107"/>
      <c r="W264" s="107"/>
      <c r="X264" s="107"/>
      <c r="Y264" s="107"/>
      <c r="Z264" s="107"/>
      <c r="AA264" s="107"/>
      <c r="AB264" s="107"/>
      <c r="AC264" s="107"/>
      <c r="AD264" s="107"/>
      <c r="AE264" s="107"/>
      <c r="AF264" s="107"/>
      <c r="AG264" s="107"/>
      <c r="AH264" s="107"/>
      <c r="AI264" s="107"/>
      <c r="AJ264" s="107"/>
    </row>
    <row r="265" ht="15.75" customHeight="1">
      <c r="A265" s="107" t="str">
        <f>HKU!A11</f>
        <v>JS6808</v>
      </c>
      <c r="B265" s="146" t="str">
        <f>HKU!C11</f>
        <v>工商管理學學士(法學)及法學士 (雙學位課程)</v>
      </c>
      <c r="C265" s="150" t="s">
        <v>24</v>
      </c>
      <c r="D265" s="129">
        <f t="array" ref="D265">IF($X$255=TRUE,F265+G265*1.5+LARGE({E265,H265,J265:M265},1)+LARGE({E265,H265,J265:M265},2)+LARGE({E265,H265,J265:M265},3)+LARGE({E265,H265,J265:M265},4),F265+I265*1.5+LARGE({E265,G265,H265,J265:M265},1)+LARGE({E265,G265,H265,J265:M265},2)+LARGE({E265,G265,H265,J265:M265},3)+LARGE({E265,G265,H265,J265:M265},4))</f>
        <v>0.00000000405</v>
      </c>
      <c r="E265" s="107">
        <f t="shared" si="446"/>
        <v>0.0000000001</v>
      </c>
      <c r="F265" s="107">
        <f t="shared" si="450"/>
        <v>0.0000000003</v>
      </c>
      <c r="G265" s="107">
        <f t="shared" ref="G265:I265" si="455">G$9</f>
        <v>0.0000000003</v>
      </c>
      <c r="H265" s="107">
        <f t="shared" si="455"/>
        <v>0.0000000004</v>
      </c>
      <c r="I265" s="107">
        <f t="shared" si="455"/>
        <v>0.0000000005</v>
      </c>
      <c r="J265" s="107">
        <f t="shared" ref="J265:M265" si="456">J9</f>
        <v>0.0000000006</v>
      </c>
      <c r="K265" s="107">
        <f t="shared" si="456"/>
        <v>0.0000000007</v>
      </c>
      <c r="L265" s="107">
        <f t="shared" si="456"/>
        <v>0.0000000008</v>
      </c>
      <c r="M265" s="107">
        <f t="shared" si="456"/>
        <v>0.0000000009</v>
      </c>
      <c r="N265" s="107">
        <f t="shared" si="435"/>
        <v>0.00000000095</v>
      </c>
      <c r="O265" s="148"/>
      <c r="P265" s="107">
        <f>IF(Q265="無",0,1)</f>
        <v>0</v>
      </c>
      <c r="Q265" s="107" t="str">
        <f t="array" ref="Q265">IF(R265&gt;0,INDEX(R271:U271,MATCH(LARGE(R277:U277,1),R277:U277,0)),"無")</f>
        <v>無</v>
      </c>
      <c r="R265" s="111">
        <f>LARGE(R277:U277,1)</f>
        <v>0</v>
      </c>
      <c r="S265" s="107"/>
      <c r="T265" s="107"/>
      <c r="U265" s="107"/>
      <c r="V265" s="107"/>
      <c r="W265" s="107"/>
      <c r="X265" s="107"/>
      <c r="Y265" s="107"/>
      <c r="Z265" s="107"/>
      <c r="AA265" s="107"/>
      <c r="AB265" s="107"/>
      <c r="AC265" s="107"/>
      <c r="AD265" s="107"/>
      <c r="AE265" s="107"/>
      <c r="AF265" s="107"/>
      <c r="AG265" s="107"/>
      <c r="AH265" s="107"/>
      <c r="AI265" s="107"/>
      <c r="AJ265" s="107"/>
    </row>
    <row r="266" ht="15.75" customHeight="1">
      <c r="A266" s="107" t="str">
        <f>HKU!A12</f>
        <v>JS6884</v>
      </c>
      <c r="B266" s="146" t="str">
        <f>HKU!C12</f>
        <v>理學士(計量金融)</v>
      </c>
      <c r="C266" s="149" t="s">
        <v>24</v>
      </c>
      <c r="D266" s="129">
        <f t="array" ref="D266">F266+G266+I266+LARGE({E266,H266,J266:M266},1)+LARGE({E266,H266,J266:M266},2)+LARGE({E266,H266,J266:M266},3)</f>
        <v>0.0000000037</v>
      </c>
      <c r="E266" s="107">
        <f t="shared" si="446"/>
        <v>0.0000000001</v>
      </c>
      <c r="F266" s="107">
        <f t="shared" si="450"/>
        <v>0.0000000003</v>
      </c>
      <c r="G266" s="107">
        <f>G$9*1.25</f>
        <v>0.000000000375</v>
      </c>
      <c r="H266" s="107">
        <f>H$9</f>
        <v>0.0000000004</v>
      </c>
      <c r="I266" s="107">
        <f>I$9*1.25</f>
        <v>0.000000000625</v>
      </c>
      <c r="J266" s="107">
        <f t="shared" ref="J266:M266" si="457">J9</f>
        <v>0.0000000006</v>
      </c>
      <c r="K266" s="107">
        <f t="shared" si="457"/>
        <v>0.0000000007</v>
      </c>
      <c r="L266" s="107">
        <f t="shared" si="457"/>
        <v>0.0000000008</v>
      </c>
      <c r="M266" s="107">
        <f t="shared" si="457"/>
        <v>0.0000000009</v>
      </c>
      <c r="N266" s="107">
        <f t="shared" si="435"/>
        <v>0.00000000095</v>
      </c>
      <c r="O266" s="148"/>
      <c r="P266" s="107" t="s">
        <v>689</v>
      </c>
      <c r="Q266" s="109" t="s">
        <v>690</v>
      </c>
      <c r="R266" s="107"/>
      <c r="S266" s="107"/>
      <c r="T266" s="107"/>
      <c r="U266" s="107"/>
      <c r="V266" s="107"/>
      <c r="W266" s="107"/>
      <c r="X266" s="107"/>
      <c r="Y266" s="107"/>
      <c r="Z266" s="107"/>
      <c r="AA266" s="107"/>
      <c r="AB266" s="107"/>
      <c r="AC266" s="107"/>
      <c r="AD266" s="107"/>
      <c r="AE266" s="107"/>
      <c r="AF266" s="107"/>
      <c r="AG266" s="107"/>
      <c r="AH266" s="107"/>
      <c r="AI266" s="107"/>
      <c r="AJ266" s="107"/>
    </row>
    <row r="267" ht="15.75" customHeight="1">
      <c r="A267" s="107" t="str">
        <f>HKU!A13</f>
        <v>JS6896</v>
      </c>
      <c r="B267" s="146" t="str">
        <f>HKU!C13</f>
        <v>工商管理學學士(國際商業及環球管理)</v>
      </c>
      <c r="C267" s="150" t="s">
        <v>24</v>
      </c>
      <c r="D267" s="129">
        <f t="array" ref="D267">IF($X$255=TRUE,F267+G267*1.5+LARGE({E267,H267,J267:M267},1)+LARGE({E267,H267,J267:M267},2)+LARGE({E267,H267,J267:M267},3)+LARGE({E267,H267,J267:M267},4),F267+I267*1.5+LARGE({E267,G267,H267,J267:M267},1)+LARGE({E267,G267,H267,J267:M267},2)+LARGE({E267,G267,H267,J267:M267},3)+LARGE({E267,G267,H267,J267:M267},4))</f>
        <v>0.00000000405</v>
      </c>
      <c r="E267" s="107">
        <f t="shared" si="446"/>
        <v>0.0000000001</v>
      </c>
      <c r="F267" s="107">
        <f t="shared" si="450"/>
        <v>0.0000000003</v>
      </c>
      <c r="G267" s="107">
        <f t="shared" ref="G267:I267" si="458">G$9</f>
        <v>0.0000000003</v>
      </c>
      <c r="H267" s="107">
        <f t="shared" si="458"/>
        <v>0.0000000004</v>
      </c>
      <c r="I267" s="107">
        <f t="shared" si="458"/>
        <v>0.0000000005</v>
      </c>
      <c r="J267" s="107">
        <f t="shared" ref="J267:M267" si="459">J9</f>
        <v>0.0000000006</v>
      </c>
      <c r="K267" s="107">
        <f t="shared" si="459"/>
        <v>0.0000000007</v>
      </c>
      <c r="L267" s="107">
        <f t="shared" si="459"/>
        <v>0.0000000008</v>
      </c>
      <c r="M267" s="107">
        <f t="shared" si="459"/>
        <v>0.0000000009</v>
      </c>
      <c r="N267" s="107">
        <f t="shared" si="435"/>
        <v>0.00000000095</v>
      </c>
      <c r="O267" s="148"/>
      <c r="P267" s="107">
        <f>IF(Q267="無",0,1)</f>
        <v>0</v>
      </c>
      <c r="Q267" s="107" t="str">
        <f t="array" ref="Q267">IF(R267&gt;0,INDEX($R$271:$U$271,MATCH(LARGE(R278:U278,1),R278:U278,0)),"無")</f>
        <v>無</v>
      </c>
      <c r="R267" s="111">
        <f>LARGE(R278:U278,1)</f>
        <v>0</v>
      </c>
      <c r="S267" s="107"/>
      <c r="T267" s="107"/>
      <c r="U267" s="107"/>
      <c r="V267" s="107"/>
      <c r="W267" s="107"/>
      <c r="X267" s="107"/>
      <c r="Y267" s="107"/>
      <c r="Z267" s="107"/>
      <c r="AA267" s="107"/>
      <c r="AB267" s="107"/>
      <c r="AC267" s="107"/>
      <c r="AD267" s="107"/>
      <c r="AE267" s="107"/>
      <c r="AF267" s="107"/>
      <c r="AG267" s="107"/>
      <c r="AH267" s="107"/>
      <c r="AI267" s="107"/>
      <c r="AJ267" s="107"/>
    </row>
    <row r="268" ht="15.75" customHeight="1">
      <c r="A268" s="107" t="str">
        <f>HKU!A14</f>
        <v>JS6107</v>
      </c>
      <c r="B268" s="146" t="str">
        <f>HKU!C14</f>
        <v>牙醫學士</v>
      </c>
      <c r="C268" s="147" t="s">
        <v>24</v>
      </c>
      <c r="D268" s="129">
        <f t="array" ref="D268">Z285+LARGE({E268:H268,J268:M268},1)+LARGE({E268:H268,J268:M268},2)+LARGE({E268:H268,J268:M268},3)+LARGE({E268:H268,J268:M268},4)+LARGE({E268:H268,J268:M268},5)</f>
        <v>0.000000001</v>
      </c>
      <c r="E268" s="107">
        <f t="shared" ref="E268:I268" si="460">IF(E16=FALSE,E$9,E$9*0.9)</f>
        <v>0.0000000001</v>
      </c>
      <c r="F268" s="107">
        <f t="shared" si="460"/>
        <v>0.0000000002</v>
      </c>
      <c r="G268" s="107">
        <f t="shared" si="460"/>
        <v>0.0000000003</v>
      </c>
      <c r="H268" s="107">
        <f t="shared" si="460"/>
        <v>0.0000000004</v>
      </c>
      <c r="I268" s="107">
        <f t="shared" si="460"/>
        <v>0.0000000005</v>
      </c>
      <c r="J268" s="107">
        <f t="shared" ref="J268:M268" si="461">IF(J16=FALSE,Q286,Q286*0.9)</f>
        <v>0</v>
      </c>
      <c r="K268" s="107">
        <f t="shared" si="461"/>
        <v>0</v>
      </c>
      <c r="L268" s="107">
        <f t="shared" si="461"/>
        <v>0</v>
      </c>
      <c r="M268" s="107">
        <f t="shared" si="461"/>
        <v>0</v>
      </c>
      <c r="N268" s="107">
        <f>IF(N16=FALSE,N$9,N$9*0.9)</f>
        <v>0.00000000095</v>
      </c>
      <c r="O268" s="148">
        <v>0.1</v>
      </c>
      <c r="P268" s="107" t="s">
        <v>691</v>
      </c>
      <c r="Q268" s="109" t="s">
        <v>692</v>
      </c>
      <c r="R268" s="107"/>
      <c r="S268" s="107"/>
      <c r="T268" s="107"/>
      <c r="U268" s="107"/>
      <c r="V268" s="107"/>
      <c r="W268" s="107"/>
      <c r="X268" s="107"/>
      <c r="Y268" s="107"/>
      <c r="Z268" s="107"/>
      <c r="AA268" s="107"/>
      <c r="AB268" s="107"/>
      <c r="AC268" s="107"/>
      <c r="AD268" s="107"/>
      <c r="AE268" s="107"/>
      <c r="AF268" s="107"/>
      <c r="AG268" s="107"/>
      <c r="AH268" s="107"/>
      <c r="AI268" s="107"/>
      <c r="AJ268" s="107"/>
    </row>
    <row r="269" ht="15.75" customHeight="1">
      <c r="A269" s="107" t="str">
        <f>HKU!A15</f>
        <v>JS6066</v>
      </c>
      <c r="B269" s="146" t="str">
        <f>HKU!C15</f>
        <v>文學士及教育學士(語文教育) - 英文教育 (雙學位課程)</v>
      </c>
      <c r="C269" s="147" t="s">
        <v>21</v>
      </c>
      <c r="D269" s="129">
        <f t="array" ref="D269">F269+H269+LARGE({E269,G269,J269:M269},1)+LARGE({E269,G269,J269:M269},2)+LARGE({E269,G269,J269:M269},3)</f>
        <v>0.00000000318</v>
      </c>
      <c r="E269" s="107">
        <f>E$9</f>
        <v>0.0000000001</v>
      </c>
      <c r="F269" s="107">
        <f>F$9*1.5</f>
        <v>0.0000000003</v>
      </c>
      <c r="G269" s="107">
        <f>G$9</f>
        <v>0.0000000003</v>
      </c>
      <c r="H269" s="107">
        <f t="shared" ref="H269:H270" si="464">H$9*1.2</f>
        <v>0.00000000048</v>
      </c>
      <c r="I269" s="107">
        <f t="shared" ref="I269:I270" si="465">I$9</f>
        <v>0.0000000005</v>
      </c>
      <c r="J269" s="107">
        <f t="shared" ref="J269:M269" si="462">J9</f>
        <v>0.0000000006</v>
      </c>
      <c r="K269" s="107">
        <f t="shared" si="462"/>
        <v>0.0000000007</v>
      </c>
      <c r="L269" s="107">
        <f t="shared" si="462"/>
        <v>0.0000000008</v>
      </c>
      <c r="M269" s="107">
        <f t="shared" si="462"/>
        <v>0.0000000009</v>
      </c>
      <c r="N269" s="107">
        <f t="shared" ref="N269:N280" si="467">N$9</f>
        <v>0.00000000095</v>
      </c>
      <c r="O269" s="148"/>
      <c r="P269" s="107">
        <f>IF(Q269="無",0,1)</f>
        <v>0</v>
      </c>
      <c r="Q269" s="107" t="str">
        <f t="array" ref="Q269">IF(R269&gt;0,INDEX($R$271:$U$271,MATCH(LARGE(R279:U279,1),R279:U279,0)),"無")</f>
        <v>無</v>
      </c>
      <c r="R269" s="111">
        <f>LARGE(R279:U279,1)</f>
        <v>0</v>
      </c>
      <c r="S269" s="107"/>
      <c r="T269" s="107"/>
      <c r="U269" s="107"/>
      <c r="V269" s="107"/>
      <c r="W269" s="107"/>
      <c r="X269" s="107"/>
      <c r="Y269" s="107"/>
      <c r="Z269" s="107"/>
      <c r="AA269" s="107"/>
      <c r="AB269" s="107"/>
      <c r="AC269" s="107"/>
      <c r="AD269" s="107"/>
      <c r="AE269" s="107"/>
      <c r="AF269" s="107"/>
      <c r="AG269" s="107"/>
      <c r="AH269" s="107"/>
      <c r="AI269" s="107"/>
      <c r="AJ269" s="107"/>
    </row>
    <row r="270" ht="15.75" customHeight="1">
      <c r="A270" s="107" t="str">
        <f>HKU!A16</f>
        <v>JS6080</v>
      </c>
      <c r="B270" s="146" t="str">
        <f>HKU!C16</f>
        <v>文學士及教育學士(語文教育) - 中文教育 (雙學位課程)</v>
      </c>
      <c r="C270" s="147" t="s">
        <v>21</v>
      </c>
      <c r="D270" s="129">
        <f t="array" ref="D270">E270+H270+LARGE({F270:G270,J270:M270},1)+LARGE({F270:G270,J270:M270},2)+LARGE({F270:G270,J270:M270},3)</f>
        <v>0.00000000303</v>
      </c>
      <c r="E270" s="107">
        <f>E$9*1.5</f>
        <v>0.00000000015</v>
      </c>
      <c r="F270" s="107">
        <f t="shared" ref="F270:G270" si="463">F$9</f>
        <v>0.0000000002</v>
      </c>
      <c r="G270" s="107">
        <f t="shared" si="463"/>
        <v>0.0000000003</v>
      </c>
      <c r="H270" s="107">
        <f t="shared" si="464"/>
        <v>0.00000000048</v>
      </c>
      <c r="I270" s="107">
        <f t="shared" si="465"/>
        <v>0.0000000005</v>
      </c>
      <c r="J270" s="107">
        <f t="shared" ref="J270:M270" si="466">J9</f>
        <v>0.0000000006</v>
      </c>
      <c r="K270" s="107">
        <f t="shared" si="466"/>
        <v>0.0000000007</v>
      </c>
      <c r="L270" s="107">
        <f t="shared" si="466"/>
        <v>0.0000000008</v>
      </c>
      <c r="M270" s="107">
        <f t="shared" si="466"/>
        <v>0.0000000009</v>
      </c>
      <c r="N270" s="107">
        <f t="shared" si="467"/>
        <v>0.00000000095</v>
      </c>
      <c r="O270" s="148"/>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row>
    <row r="271" ht="15.75" customHeight="1">
      <c r="A271" s="107" t="str">
        <f>HKU!A17</f>
        <v>JS6092</v>
      </c>
      <c r="B271" s="146" t="str">
        <f>HKU!C17</f>
        <v>教育學士(幼兒教育及特殊教育)</v>
      </c>
      <c r="C271" s="147" t="s">
        <v>21</v>
      </c>
      <c r="D271" s="129">
        <f t="array" ref="D271">E271+F271+LARGE({G271:H271,J271:M271},1)+LARGE({G271:H271,J271:M271},2)+LARGE({G271:H271,J271:M271},3)</f>
        <v>0.00000000282</v>
      </c>
      <c r="E271" s="107">
        <f>E$9*1.2</f>
        <v>0.00000000012</v>
      </c>
      <c r="F271" s="107">
        <f t="shared" ref="F271:F272" si="471">F$9*1.5</f>
        <v>0.0000000003</v>
      </c>
      <c r="G271" s="107">
        <f t="shared" ref="G271:I271" si="468">G$9</f>
        <v>0.0000000003</v>
      </c>
      <c r="H271" s="107">
        <f t="shared" si="468"/>
        <v>0.0000000004</v>
      </c>
      <c r="I271" s="107">
        <f t="shared" si="468"/>
        <v>0.0000000005</v>
      </c>
      <c r="J271" s="107">
        <f t="shared" ref="J271:M271" si="469">J9</f>
        <v>0.0000000006</v>
      </c>
      <c r="K271" s="107">
        <f t="shared" si="469"/>
        <v>0.0000000007</v>
      </c>
      <c r="L271" s="107">
        <f t="shared" si="469"/>
        <v>0.0000000008</v>
      </c>
      <c r="M271" s="107">
        <f t="shared" si="469"/>
        <v>0.0000000009</v>
      </c>
      <c r="N271" s="107">
        <f t="shared" si="467"/>
        <v>0.00000000095</v>
      </c>
      <c r="O271" s="148"/>
      <c r="P271" s="107"/>
      <c r="Q271" s="107" t="str">
        <f t="shared" ref="Q271:U271" si="470">I1</f>
        <v>數學延伸</v>
      </c>
      <c r="R271" s="107">
        <f t="shared" si="470"/>
        <v>0</v>
      </c>
      <c r="S271" s="107">
        <f t="shared" si="470"/>
        <v>0</v>
      </c>
      <c r="T271" s="107">
        <f t="shared" si="470"/>
        <v>0</v>
      </c>
      <c r="U271" s="107">
        <f t="shared" si="470"/>
        <v>0</v>
      </c>
      <c r="V271" s="107"/>
      <c r="W271" s="107"/>
      <c r="X271" s="107"/>
      <c r="Y271" s="107"/>
      <c r="Z271" s="107"/>
      <c r="AA271" s="107"/>
      <c r="AB271" s="107"/>
      <c r="AC271" s="107"/>
      <c r="AD271" s="107"/>
      <c r="AE271" s="107"/>
      <c r="AF271" s="107"/>
      <c r="AG271" s="107"/>
      <c r="AH271" s="107"/>
      <c r="AI271" s="107"/>
      <c r="AJ271" s="107"/>
    </row>
    <row r="272" ht="15.75" customHeight="1">
      <c r="A272" s="107" t="str">
        <f>HKU!A18</f>
        <v>JS6119</v>
      </c>
      <c r="B272" s="146" t="str">
        <f>HKU!C18</f>
        <v>教育學士及理學士 (雙學位課程)</v>
      </c>
      <c r="C272" s="147" t="s">
        <v>21</v>
      </c>
      <c r="D272" s="129">
        <f t="array" ref="D272">F272+G272+$R$259*2+LARGE({E272,H272:M272},1)+LARGE({E272,H272:M272},2)</f>
        <v>0.000000003025</v>
      </c>
      <c r="E272" s="107">
        <f t="shared" ref="E272:E281" si="474">E$9</f>
        <v>0.0000000001</v>
      </c>
      <c r="F272" s="107">
        <f t="shared" si="471"/>
        <v>0.0000000003</v>
      </c>
      <c r="G272" s="107">
        <f>G$9*2</f>
        <v>0.0000000006</v>
      </c>
      <c r="H272" s="107">
        <f>H$9</f>
        <v>0.0000000004</v>
      </c>
      <c r="I272" s="107">
        <f>I$9*2</f>
        <v>0.000000001</v>
      </c>
      <c r="J272" s="107">
        <f t="shared" ref="J272:M272" si="472">IF(J1=$Q$259,0,Q287)</f>
        <v>0.00000000075</v>
      </c>
      <c r="K272" s="107">
        <f t="shared" si="472"/>
        <v>0.000000000875</v>
      </c>
      <c r="L272" s="107">
        <f t="shared" si="472"/>
        <v>0.000000001</v>
      </c>
      <c r="M272" s="107">
        <f t="shared" si="472"/>
        <v>0.000000001125</v>
      </c>
      <c r="N272" s="107">
        <f t="shared" si="467"/>
        <v>0.00000000095</v>
      </c>
      <c r="O272" s="148"/>
      <c r="P272" s="109" t="s">
        <v>680</v>
      </c>
      <c r="Q272" s="107"/>
      <c r="R272" s="107">
        <f t="shared" ref="R272:U272" si="473">IF(OR(J1="物理",J1="化學",J1="生物"),J7*2,IF(OR(J1="組合科學(物理、化學)",J1="組合科學(物理、生物)",J1="組合科學(生物、化學)"),J7,0))</f>
        <v>0</v>
      </c>
      <c r="S272" s="107">
        <f t="shared" si="473"/>
        <v>0</v>
      </c>
      <c r="T272" s="107">
        <f t="shared" si="473"/>
        <v>0</v>
      </c>
      <c r="U272" s="107">
        <f t="shared" si="473"/>
        <v>0</v>
      </c>
      <c r="V272" s="107"/>
      <c r="W272" s="107"/>
      <c r="X272" s="107"/>
      <c r="Y272" s="107"/>
      <c r="Z272" s="107"/>
      <c r="AA272" s="107"/>
      <c r="AB272" s="107"/>
      <c r="AC272" s="107"/>
      <c r="AD272" s="107"/>
      <c r="AE272" s="107"/>
      <c r="AF272" s="107"/>
      <c r="AG272" s="107"/>
      <c r="AH272" s="107"/>
      <c r="AI272" s="107"/>
      <c r="AJ272" s="107"/>
    </row>
    <row r="273" ht="15.75" customHeight="1">
      <c r="A273" s="107" t="str">
        <f>HKU!A19</f>
        <v>JS6157</v>
      </c>
      <c r="B273" s="146" t="str">
        <f>HKU!C19</f>
        <v>理學士(言語及聽覺科學)</v>
      </c>
      <c r="C273" s="147" t="s">
        <v>24</v>
      </c>
      <c r="D273" s="129">
        <f t="array" ref="D273">LARGE({E273:H273,J273:M273},1)+LARGE({E273:H273,J273:M273},2)+LARGE({E273:H273,J273:M273},3)+LARGE({E273:H273,J273:M273},4)+LARGE({E273:H273,J273:M273},5)+LARGE({E273:H273,J273:M273},6)</f>
        <v>0.0000000037</v>
      </c>
      <c r="E273" s="107">
        <f t="shared" si="474"/>
        <v>0.0000000001</v>
      </c>
      <c r="F273" s="107">
        <f t="shared" ref="F273:I273" si="475">F$9</f>
        <v>0.0000000002</v>
      </c>
      <c r="G273" s="107">
        <f t="shared" si="475"/>
        <v>0.0000000003</v>
      </c>
      <c r="H273" s="107">
        <f t="shared" si="475"/>
        <v>0.0000000004</v>
      </c>
      <c r="I273" s="107">
        <f t="shared" si="475"/>
        <v>0.0000000005</v>
      </c>
      <c r="J273" s="107">
        <f t="shared" ref="J273:M273" si="476">J9</f>
        <v>0.0000000006</v>
      </c>
      <c r="K273" s="107">
        <f t="shared" si="476"/>
        <v>0.0000000007</v>
      </c>
      <c r="L273" s="107">
        <f t="shared" si="476"/>
        <v>0.0000000008</v>
      </c>
      <c r="M273" s="107">
        <f t="shared" si="476"/>
        <v>0.0000000009</v>
      </c>
      <c r="N273" s="107">
        <f t="shared" si="467"/>
        <v>0.00000000095</v>
      </c>
      <c r="O273" s="148"/>
      <c r="P273" s="109" t="s">
        <v>677</v>
      </c>
      <c r="Q273" s="107">
        <f t="shared" ref="Q273:Q279" si="480">I$14</f>
        <v>0.0000000005</v>
      </c>
      <c r="R273" s="107">
        <f t="shared" ref="R273:U273" si="477">IF(OR(J1="物理",J1="化學",J1="生物",J1="組合科學(物理、化學)",J1="組合科學(物理、生物)",J1="組合科學(生物、化學)"),J7,0)</f>
        <v>0</v>
      </c>
      <c r="S273" s="107">
        <f t="shared" si="477"/>
        <v>0</v>
      </c>
      <c r="T273" s="107">
        <f t="shared" si="477"/>
        <v>0</v>
      </c>
      <c r="U273" s="107">
        <f t="shared" si="477"/>
        <v>0</v>
      </c>
      <c r="V273" s="107"/>
      <c r="W273" s="107"/>
      <c r="X273" s="107"/>
      <c r="Y273" s="107"/>
      <c r="Z273" s="107"/>
      <c r="AA273" s="107"/>
      <c r="AB273" s="107"/>
      <c r="AC273" s="107"/>
      <c r="AD273" s="107"/>
      <c r="AE273" s="107"/>
      <c r="AF273" s="107"/>
      <c r="AG273" s="107"/>
      <c r="AH273" s="107"/>
      <c r="AI273" s="107"/>
      <c r="AJ273" s="107"/>
    </row>
    <row r="274" ht="15.75" customHeight="1">
      <c r="A274" s="107" t="str">
        <f>HKU!A20</f>
        <v>JS6195</v>
      </c>
      <c r="B274" s="146" t="str">
        <f>HKU!C20</f>
        <v>教育學士及社會科學學士 (雙學位課程)</v>
      </c>
      <c r="C274" s="147" t="s">
        <v>21</v>
      </c>
      <c r="D274" s="129">
        <f t="array" ref="D274">LARGE({E274:H274,J274:N274},1)+LARGE({E274:H274,J274:N274},2)+LARGE({E274:H274,J274:N274},3)+LARGE({E274:H274,J274:N274},4)+LARGE({E274:H274,J274:N274},5)</f>
        <v>0.00000000395</v>
      </c>
      <c r="E274" s="107">
        <f t="shared" si="474"/>
        <v>0.0000000001</v>
      </c>
      <c r="F274" s="107">
        <f t="shared" ref="F274:I274" si="478">F$9</f>
        <v>0.0000000002</v>
      </c>
      <c r="G274" s="107">
        <f t="shared" si="478"/>
        <v>0.0000000003</v>
      </c>
      <c r="H274" s="107">
        <f t="shared" si="478"/>
        <v>0.0000000004</v>
      </c>
      <c r="I274" s="107">
        <f t="shared" si="478"/>
        <v>0.0000000005</v>
      </c>
      <c r="J274" s="107">
        <f t="shared" ref="J274:M274" si="479">J9</f>
        <v>0.0000000006</v>
      </c>
      <c r="K274" s="107">
        <f t="shared" si="479"/>
        <v>0.0000000007</v>
      </c>
      <c r="L274" s="107">
        <f t="shared" si="479"/>
        <v>0.0000000008</v>
      </c>
      <c r="M274" s="107">
        <f t="shared" si="479"/>
        <v>0.0000000009</v>
      </c>
      <c r="N274" s="107">
        <f t="shared" si="467"/>
        <v>0.00000000095</v>
      </c>
      <c r="O274" s="148"/>
      <c r="P274" s="109" t="s">
        <v>682</v>
      </c>
      <c r="Q274" s="107">
        <f t="shared" si="480"/>
        <v>0.0000000005</v>
      </c>
      <c r="R274" s="107">
        <f t="shared" ref="R274:U274" si="481">IF(OR(J1="物理",J1="化學",J1="生物",J1="組合科學(物理、化學)",J1="組合科學(物理、生物)",J1="組合科學(生物、化學)",J1="綜合科學"),J7,0)</f>
        <v>0</v>
      </c>
      <c r="S274" s="107">
        <f t="shared" si="481"/>
        <v>0</v>
      </c>
      <c r="T274" s="107">
        <f t="shared" si="481"/>
        <v>0</v>
      </c>
      <c r="U274" s="107">
        <f t="shared" si="481"/>
        <v>0</v>
      </c>
      <c r="V274" s="107"/>
      <c r="W274" s="107"/>
      <c r="X274" s="107"/>
      <c r="Y274" s="107"/>
      <c r="Z274" s="107"/>
      <c r="AA274" s="107"/>
      <c r="AB274" s="107"/>
      <c r="AC274" s="107"/>
      <c r="AD274" s="107"/>
      <c r="AE274" s="107"/>
      <c r="AF274" s="107"/>
      <c r="AG274" s="107"/>
      <c r="AH274" s="107"/>
      <c r="AI274" s="107"/>
      <c r="AJ274" s="107"/>
    </row>
    <row r="275" ht="15.75" customHeight="1">
      <c r="A275" s="107" t="str">
        <f>HKU!A21</f>
        <v>JS6925</v>
      </c>
      <c r="B275" s="146" t="str">
        <f>HKU!C21</f>
        <v>工學學士(生物醫學工程)</v>
      </c>
      <c r="C275" s="147" t="s">
        <v>21</v>
      </c>
      <c r="D275" s="129">
        <f t="shared" ref="D275:D278" si="485">F275+G275+LARGE({E275,H275:N275},1)+LARGE({E275,H275:N275},2)+LARGE({E275,H275:N275},3)</f>
        <v>0.00000000315</v>
      </c>
      <c r="E275" s="107">
        <f t="shared" si="474"/>
        <v>0.0000000001</v>
      </c>
      <c r="F275" s="107">
        <f t="shared" ref="F275:I275" si="482">F$9</f>
        <v>0.0000000002</v>
      </c>
      <c r="G275" s="107">
        <f t="shared" si="482"/>
        <v>0.0000000003</v>
      </c>
      <c r="H275" s="107">
        <f t="shared" si="482"/>
        <v>0.0000000004</v>
      </c>
      <c r="I275" s="107">
        <f t="shared" si="482"/>
        <v>0.0000000005</v>
      </c>
      <c r="J275" s="107">
        <f t="shared" ref="J275:M275" si="483">J9</f>
        <v>0.0000000006</v>
      </c>
      <c r="K275" s="107">
        <f t="shared" si="483"/>
        <v>0.0000000007</v>
      </c>
      <c r="L275" s="107">
        <f t="shared" si="483"/>
        <v>0.0000000008</v>
      </c>
      <c r="M275" s="107">
        <f t="shared" si="483"/>
        <v>0.0000000009</v>
      </c>
      <c r="N275" s="107">
        <f t="shared" si="467"/>
        <v>0.00000000095</v>
      </c>
      <c r="O275" s="148"/>
      <c r="P275" s="109" t="s">
        <v>684</v>
      </c>
      <c r="Q275" s="107">
        <f t="shared" si="480"/>
        <v>0.0000000005</v>
      </c>
      <c r="R275" s="107">
        <f t="shared" ref="R275:U275" si="484">IF(OR(J1="物理",J1="化學",J1="生物",J1="組合科學(物理、化學)",J1="組合科學(物理、生物)",J1="組合科學(生物、化學)",J1="綜合科學",J1="資訊及通訊科技"),J7,0)</f>
        <v>0</v>
      </c>
      <c r="S275" s="107">
        <f t="shared" si="484"/>
        <v>0</v>
      </c>
      <c r="T275" s="107">
        <f t="shared" si="484"/>
        <v>0</v>
      </c>
      <c r="U275" s="107">
        <f t="shared" si="484"/>
        <v>0</v>
      </c>
      <c r="V275" s="107"/>
      <c r="W275" s="107"/>
      <c r="X275" s="107"/>
      <c r="Y275" s="107"/>
      <c r="Z275" s="107"/>
      <c r="AA275" s="107"/>
      <c r="AB275" s="107"/>
      <c r="AC275" s="107"/>
      <c r="AD275" s="107"/>
      <c r="AE275" s="107"/>
      <c r="AF275" s="107"/>
      <c r="AG275" s="107"/>
      <c r="AH275" s="107"/>
      <c r="AI275" s="107"/>
      <c r="AJ275" s="107"/>
    </row>
    <row r="276" ht="15.75" customHeight="1">
      <c r="A276" s="107" t="str">
        <f>HKU!A22</f>
        <v>JS6937</v>
      </c>
      <c r="B276" s="146" t="str">
        <f>HKU!C22</f>
        <v>環球工程與商業課程</v>
      </c>
      <c r="C276" s="147" t="s">
        <v>21</v>
      </c>
      <c r="D276" s="129">
        <f t="shared" si="485"/>
        <v>0.00000000315</v>
      </c>
      <c r="E276" s="107">
        <f t="shared" si="474"/>
        <v>0.0000000001</v>
      </c>
      <c r="F276" s="107">
        <f t="shared" ref="F276:I276" si="486">F$9</f>
        <v>0.0000000002</v>
      </c>
      <c r="G276" s="107">
        <f t="shared" si="486"/>
        <v>0.0000000003</v>
      </c>
      <c r="H276" s="107">
        <f t="shared" si="486"/>
        <v>0.0000000004</v>
      </c>
      <c r="I276" s="107">
        <f t="shared" si="486"/>
        <v>0.0000000005</v>
      </c>
      <c r="J276" s="107">
        <f t="shared" ref="J276:M276" si="487">J9</f>
        <v>0.0000000006</v>
      </c>
      <c r="K276" s="107">
        <f t="shared" si="487"/>
        <v>0.0000000007</v>
      </c>
      <c r="L276" s="107">
        <f t="shared" si="487"/>
        <v>0.0000000008</v>
      </c>
      <c r="M276" s="107">
        <f t="shared" si="487"/>
        <v>0.0000000009</v>
      </c>
      <c r="N276" s="107">
        <f t="shared" si="467"/>
        <v>0.00000000095</v>
      </c>
      <c r="O276" s="148"/>
      <c r="P276" s="109" t="s">
        <v>686</v>
      </c>
      <c r="Q276" s="107">
        <f t="shared" si="480"/>
        <v>0.0000000005</v>
      </c>
      <c r="R276" s="107">
        <f t="shared" ref="R276:U276" si="488">IF(OR(J1="物理",J1="組合科學(物理、化學)",J1="組合科學(物理、生物)"),J7,0)</f>
        <v>0</v>
      </c>
      <c r="S276" s="107">
        <f t="shared" si="488"/>
        <v>0</v>
      </c>
      <c r="T276" s="107">
        <f t="shared" si="488"/>
        <v>0</v>
      </c>
      <c r="U276" s="107">
        <f t="shared" si="488"/>
        <v>0</v>
      </c>
      <c r="V276" s="107"/>
      <c r="W276" s="107"/>
      <c r="X276" s="107"/>
      <c r="Y276" s="107"/>
      <c r="Z276" s="107"/>
      <c r="AA276" s="107"/>
      <c r="AB276" s="107"/>
      <c r="AC276" s="107"/>
      <c r="AD276" s="107"/>
      <c r="AE276" s="107"/>
      <c r="AF276" s="107"/>
      <c r="AG276" s="107"/>
      <c r="AH276" s="107"/>
      <c r="AI276" s="107"/>
      <c r="AJ276" s="107"/>
    </row>
    <row r="277" ht="15.75" customHeight="1">
      <c r="A277" s="107" t="str">
        <f>HKU!A23</f>
        <v>JS6951</v>
      </c>
      <c r="B277" s="146" t="str">
        <f>HKU!C23</f>
        <v>工學學士(工程科學)</v>
      </c>
      <c r="C277" s="147" t="s">
        <v>21</v>
      </c>
      <c r="D277" s="129">
        <f t="shared" si="485"/>
        <v>0.00000000315</v>
      </c>
      <c r="E277" s="107">
        <f t="shared" si="474"/>
        <v>0.0000000001</v>
      </c>
      <c r="F277" s="107">
        <f t="shared" ref="F277:I277" si="489">F$9</f>
        <v>0.0000000002</v>
      </c>
      <c r="G277" s="107">
        <f t="shared" si="489"/>
        <v>0.0000000003</v>
      </c>
      <c r="H277" s="107">
        <f t="shared" si="489"/>
        <v>0.0000000004</v>
      </c>
      <c r="I277" s="107">
        <f t="shared" si="489"/>
        <v>0.0000000005</v>
      </c>
      <c r="J277" s="107">
        <f t="shared" ref="J277:M277" si="490">J9</f>
        <v>0.0000000006</v>
      </c>
      <c r="K277" s="107">
        <f t="shared" si="490"/>
        <v>0.0000000007</v>
      </c>
      <c r="L277" s="107">
        <f t="shared" si="490"/>
        <v>0.0000000008</v>
      </c>
      <c r="M277" s="107">
        <f t="shared" si="490"/>
        <v>0.0000000009</v>
      </c>
      <c r="N277" s="107">
        <f t="shared" si="467"/>
        <v>0.00000000095</v>
      </c>
      <c r="O277" s="148"/>
      <c r="P277" s="109" t="s">
        <v>688</v>
      </c>
      <c r="Q277" s="107">
        <f t="shared" si="480"/>
        <v>0.0000000005</v>
      </c>
      <c r="R277" s="107">
        <f t="shared" ref="R277:U277" si="491">IF(OR(J1="化學",J1="組合科學(物理、化學)",J1="組合科學(生物、化學)"),J7,0)</f>
        <v>0</v>
      </c>
      <c r="S277" s="107">
        <f t="shared" si="491"/>
        <v>0</v>
      </c>
      <c r="T277" s="107">
        <f t="shared" si="491"/>
        <v>0</v>
      </c>
      <c r="U277" s="107">
        <f t="shared" si="491"/>
        <v>0</v>
      </c>
      <c r="V277" s="107"/>
      <c r="W277" s="107"/>
      <c r="X277" s="107"/>
      <c r="Y277" s="107"/>
      <c r="Z277" s="107"/>
      <c r="AA277" s="107"/>
      <c r="AB277" s="107"/>
      <c r="AC277" s="107"/>
      <c r="AD277" s="107"/>
      <c r="AE277" s="107"/>
      <c r="AF277" s="107"/>
      <c r="AG277" s="107"/>
      <c r="AH277" s="107"/>
      <c r="AI277" s="107"/>
      <c r="AJ277" s="107"/>
    </row>
    <row r="278" ht="15.75" customHeight="1">
      <c r="A278" s="107" t="str">
        <f>HKU!A24</f>
        <v>JS6963</v>
      </c>
      <c r="B278" s="146" t="str">
        <f>HKU!C24</f>
        <v>工學學士</v>
      </c>
      <c r="C278" s="147" t="s">
        <v>21</v>
      </c>
      <c r="D278" s="129">
        <f t="shared" si="485"/>
        <v>0.00000000315</v>
      </c>
      <c r="E278" s="107">
        <f t="shared" si="474"/>
        <v>0.0000000001</v>
      </c>
      <c r="F278" s="107">
        <f t="shared" ref="F278:I278" si="492">F$9</f>
        <v>0.0000000002</v>
      </c>
      <c r="G278" s="107">
        <f t="shared" si="492"/>
        <v>0.0000000003</v>
      </c>
      <c r="H278" s="107">
        <f t="shared" si="492"/>
        <v>0.0000000004</v>
      </c>
      <c r="I278" s="107">
        <f t="shared" si="492"/>
        <v>0.0000000005</v>
      </c>
      <c r="J278" s="107">
        <f t="shared" ref="J278:M278" si="493">J9</f>
        <v>0.0000000006</v>
      </c>
      <c r="K278" s="107">
        <f t="shared" si="493"/>
        <v>0.0000000007</v>
      </c>
      <c r="L278" s="107">
        <f t="shared" si="493"/>
        <v>0.0000000008</v>
      </c>
      <c r="M278" s="107">
        <f t="shared" si="493"/>
        <v>0.0000000009</v>
      </c>
      <c r="N278" s="107">
        <f t="shared" si="467"/>
        <v>0.00000000095</v>
      </c>
      <c r="O278" s="148"/>
      <c r="P278" s="109" t="s">
        <v>690</v>
      </c>
      <c r="Q278" s="107">
        <f t="shared" si="480"/>
        <v>0.0000000005</v>
      </c>
      <c r="R278" s="107">
        <f t="shared" ref="R278:U278" si="494">IF(OR(J1="生物",J1="組合科學(物理、生物)",J1="組合科學(生物、化學)"),J7,0)</f>
        <v>0</v>
      </c>
      <c r="S278" s="107">
        <f t="shared" si="494"/>
        <v>0</v>
      </c>
      <c r="T278" s="107">
        <f t="shared" si="494"/>
        <v>0</v>
      </c>
      <c r="U278" s="107">
        <f t="shared" si="494"/>
        <v>0</v>
      </c>
      <c r="V278" s="107"/>
      <c r="W278" s="107"/>
      <c r="X278" s="107"/>
      <c r="Y278" s="107"/>
      <c r="Z278" s="107"/>
      <c r="AA278" s="107"/>
      <c r="AB278" s="107"/>
      <c r="AC278" s="107"/>
      <c r="AD278" s="107"/>
      <c r="AE278" s="107"/>
      <c r="AF278" s="107"/>
      <c r="AG278" s="107"/>
      <c r="AH278" s="107"/>
      <c r="AI278" s="107"/>
      <c r="AJ278" s="107"/>
    </row>
    <row r="279" ht="15.75" customHeight="1">
      <c r="A279" s="107" t="str">
        <f>HKU!A25</f>
        <v>JS6078</v>
      </c>
      <c r="B279" s="146" t="str">
        <f>HKU!C25</f>
        <v>文學士及法學士 (雙學位課程)</v>
      </c>
      <c r="C279" s="147" t="s">
        <v>24</v>
      </c>
      <c r="D279" s="129">
        <f t="shared" ref="D279:D280" si="498">F279+LARGE({E279,G279:H279,J279:M279},1)+LARGE({E279,G279:H279,J279:M279},2)+LARGE({E279,G279:H279,J279:M279},3)+LARGE({E279,G279:H279,J279:M279},4)+LARGE({E279,G279:H279,J279:M279},5)</f>
        <v>0.0000000036</v>
      </c>
      <c r="E279" s="107">
        <f t="shared" si="474"/>
        <v>0.0000000001</v>
      </c>
      <c r="F279" s="107">
        <f t="shared" ref="F279:I279" si="495">F$9</f>
        <v>0.0000000002</v>
      </c>
      <c r="G279" s="107">
        <f t="shared" si="495"/>
        <v>0.0000000003</v>
      </c>
      <c r="H279" s="107">
        <f t="shared" si="495"/>
        <v>0.0000000004</v>
      </c>
      <c r="I279" s="107">
        <f t="shared" si="495"/>
        <v>0.0000000005</v>
      </c>
      <c r="J279" s="107">
        <f t="shared" ref="J279:M279" si="496">J9</f>
        <v>0.0000000006</v>
      </c>
      <c r="K279" s="107">
        <f t="shared" si="496"/>
        <v>0.0000000007</v>
      </c>
      <c r="L279" s="107">
        <f t="shared" si="496"/>
        <v>0.0000000008</v>
      </c>
      <c r="M279" s="107">
        <f t="shared" si="496"/>
        <v>0.0000000009</v>
      </c>
      <c r="N279" s="107">
        <f t="shared" si="467"/>
        <v>0.00000000095</v>
      </c>
      <c r="O279" s="148"/>
      <c r="P279" s="109" t="s">
        <v>692</v>
      </c>
      <c r="Q279" s="107">
        <f t="shared" si="480"/>
        <v>0.0000000005</v>
      </c>
      <c r="R279" s="107">
        <f t="shared" ref="R279:U279" si="497">IF(OR(J1="化學",J1="生物",J1="組合科學(物理、化學)",J1="組合科學(物理、生物)",J1="組合科學(生物、化學)"),J7,0)</f>
        <v>0</v>
      </c>
      <c r="S279" s="107">
        <f t="shared" si="497"/>
        <v>0</v>
      </c>
      <c r="T279" s="107">
        <f t="shared" si="497"/>
        <v>0</v>
      </c>
      <c r="U279" s="107">
        <f t="shared" si="497"/>
        <v>0</v>
      </c>
      <c r="V279" s="107"/>
      <c r="W279" s="107"/>
      <c r="X279" s="107"/>
      <c r="Y279" s="107"/>
      <c r="Z279" s="107"/>
      <c r="AA279" s="107"/>
      <c r="AB279" s="107"/>
      <c r="AC279" s="107"/>
      <c r="AD279" s="107"/>
      <c r="AE279" s="107"/>
      <c r="AF279" s="107"/>
      <c r="AG279" s="107"/>
      <c r="AH279" s="107"/>
      <c r="AI279" s="107"/>
      <c r="AJ279" s="107"/>
    </row>
    <row r="280" ht="15.75" customHeight="1">
      <c r="A280" s="107" t="str">
        <f>HKU!A26</f>
        <v>JS6406</v>
      </c>
      <c r="B280" s="146" t="str">
        <f>HKU!C26</f>
        <v>法學士</v>
      </c>
      <c r="C280" s="147" t="s">
        <v>24</v>
      </c>
      <c r="D280" s="129">
        <f t="shared" si="498"/>
        <v>0.0000000036</v>
      </c>
      <c r="E280" s="107">
        <f t="shared" si="474"/>
        <v>0.0000000001</v>
      </c>
      <c r="F280" s="107">
        <f t="shared" ref="F280:I280" si="499">F$9</f>
        <v>0.0000000002</v>
      </c>
      <c r="G280" s="107">
        <f t="shared" si="499"/>
        <v>0.0000000003</v>
      </c>
      <c r="H280" s="107">
        <f t="shared" si="499"/>
        <v>0.0000000004</v>
      </c>
      <c r="I280" s="107">
        <f t="shared" si="499"/>
        <v>0.0000000005</v>
      </c>
      <c r="J280" s="107">
        <f t="shared" ref="J280:M280" si="500">J9</f>
        <v>0.0000000006</v>
      </c>
      <c r="K280" s="107">
        <f t="shared" si="500"/>
        <v>0.0000000007</v>
      </c>
      <c r="L280" s="107">
        <f t="shared" si="500"/>
        <v>0.0000000008</v>
      </c>
      <c r="M280" s="107">
        <f t="shared" si="500"/>
        <v>0.0000000009</v>
      </c>
      <c r="N280" s="107">
        <f t="shared" si="467"/>
        <v>0.00000000095</v>
      </c>
      <c r="O280" s="148"/>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row>
    <row r="281" ht="15.75" customHeight="1">
      <c r="A281" s="107" t="str">
        <f>HKU!A27</f>
        <v>JS6418</v>
      </c>
      <c r="B281" s="146" t="str">
        <f>HKU!C27</f>
        <v>護理學學士菁英領袖培育專修組別</v>
      </c>
      <c r="C281" s="151" t="s">
        <v>21</v>
      </c>
      <c r="D281" s="129">
        <f t="array" ref="D281">LARGE({E281:H281,J281:M281},1)+LARGE({E281:H281,J281:M281},2)+LARGE({E281:H281,J281:M281},3)+LARGE({E281:H281,J281:M281},4)+LARGE({E281:H281,J281:M281},5)</f>
        <v>0.0000000034</v>
      </c>
      <c r="E281" s="107">
        <f t="shared" si="474"/>
        <v>0.0000000001</v>
      </c>
      <c r="F281" s="107">
        <f t="shared" ref="F281:N281" si="501">F$9</f>
        <v>0.0000000002</v>
      </c>
      <c r="G281" s="107">
        <f t="shared" si="501"/>
        <v>0.0000000003</v>
      </c>
      <c r="H281" s="107">
        <f t="shared" si="501"/>
        <v>0.0000000004</v>
      </c>
      <c r="I281" s="107">
        <f t="shared" si="501"/>
        <v>0.0000000005</v>
      </c>
      <c r="J281" s="107">
        <f t="shared" si="501"/>
        <v>0.0000000006</v>
      </c>
      <c r="K281" s="107">
        <f t="shared" si="501"/>
        <v>0.0000000007</v>
      </c>
      <c r="L281" s="107">
        <f t="shared" si="501"/>
        <v>0.0000000008</v>
      </c>
      <c r="M281" s="107">
        <f t="shared" si="501"/>
        <v>0.0000000009</v>
      </c>
      <c r="N281" s="107">
        <f t="shared" si="501"/>
        <v>0.00000000095</v>
      </c>
      <c r="O281" s="148"/>
      <c r="P281" s="107"/>
      <c r="Q281" s="109" t="s">
        <v>693</v>
      </c>
      <c r="R281" s="107"/>
      <c r="S281" s="107"/>
      <c r="T281" s="107"/>
      <c r="U281" s="107"/>
      <c r="V281" s="107"/>
      <c r="W281" s="107"/>
      <c r="X281" s="107"/>
      <c r="Y281" s="107"/>
      <c r="Z281" s="107"/>
      <c r="AA281" s="107"/>
      <c r="AB281" s="107"/>
      <c r="AC281" s="107"/>
      <c r="AD281" s="107"/>
      <c r="AE281" s="107"/>
      <c r="AF281" s="107"/>
      <c r="AG281" s="107"/>
      <c r="AH281" s="107"/>
      <c r="AI281" s="107"/>
      <c r="AJ281" s="107"/>
    </row>
    <row r="282" ht="15.75" customHeight="1">
      <c r="A282" s="107" t="str">
        <f>HKU!A28</f>
        <v>JS6456</v>
      </c>
      <c r="B282" s="146" t="str">
        <f>HKU!C28</f>
        <v>內外全科醫學士</v>
      </c>
      <c r="C282" s="147" t="s">
        <v>24</v>
      </c>
      <c r="D282" s="129">
        <f t="array" ref="D282">IF($G$14&gt;$Q$282,(LARGE({E282:H282,J282:M282},1)+LARGE({E282:H282,J282:M282},2)+LARGE({E282:H282,J282:M282},3)+LARGE({E282:H282,J282:M282},4)+LARGE({E282:H282,J282:M282},5)+LARGE({E282:H282,J282:M282},6)),(LARGE({E282:F282,H282,$Q$282,J282:M282},1)+LARGE({E282:F282,H282,$Q$282,J282:M282},2)+LARGE({E282:F282,H282,$Q$282,J282:M282},3)+LARGE({E282:F282,H282,$Q$282,J282:M282},4)+LARGE({E282:F282,H282,$Q$282,J282:M282},5)+LARGE({E282:F282,H282,$Q$282,J282:M282},6)))</f>
        <v>0.000000003766666667</v>
      </c>
      <c r="E282" s="107">
        <f t="shared" ref="E282:N282" si="502">IF(E16=FALSE,E$9,E$9*0.9)</f>
        <v>0.0000000001</v>
      </c>
      <c r="F282" s="107">
        <f t="shared" si="502"/>
        <v>0.0000000002</v>
      </c>
      <c r="G282" s="107">
        <f t="shared" si="502"/>
        <v>0.0000000003</v>
      </c>
      <c r="H282" s="107">
        <f t="shared" si="502"/>
        <v>0.0000000004</v>
      </c>
      <c r="I282" s="107">
        <f t="shared" si="502"/>
        <v>0.0000000005</v>
      </c>
      <c r="J282" s="107">
        <f t="shared" si="502"/>
        <v>0.0000000006</v>
      </c>
      <c r="K282" s="107">
        <f t="shared" si="502"/>
        <v>0.0000000007</v>
      </c>
      <c r="L282" s="107">
        <f t="shared" si="502"/>
        <v>0.0000000008</v>
      </c>
      <c r="M282" s="107">
        <f t="shared" si="502"/>
        <v>0.0000000009</v>
      </c>
      <c r="N282" s="107">
        <f t="shared" si="502"/>
        <v>0.00000000095</v>
      </c>
      <c r="O282" s="148">
        <v>0.1</v>
      </c>
      <c r="P282" s="107"/>
      <c r="Q282" s="107">
        <f>(G9+I9*0.5)/1.5</f>
        <v>0.0000000003666666667</v>
      </c>
      <c r="R282" s="107"/>
      <c r="S282" s="107"/>
      <c r="T282" s="107"/>
      <c r="U282" s="107"/>
      <c r="V282" s="107"/>
      <c r="W282" s="107"/>
      <c r="X282" s="107"/>
      <c r="Y282" s="107"/>
      <c r="Z282" s="107"/>
      <c r="AA282" s="107"/>
      <c r="AB282" s="107"/>
      <c r="AC282" s="107"/>
      <c r="AD282" s="107"/>
      <c r="AE282" s="107"/>
      <c r="AF282" s="107"/>
      <c r="AG282" s="107"/>
      <c r="AH282" s="107"/>
      <c r="AI282" s="107"/>
      <c r="AJ282" s="107"/>
    </row>
    <row r="283" ht="15.75" customHeight="1">
      <c r="A283" s="107" t="str">
        <f>HKU!A29</f>
        <v>JS6468</v>
      </c>
      <c r="B283" s="146" t="str">
        <f>HKU!C29</f>
        <v>護理學學士</v>
      </c>
      <c r="C283" s="147" t="s">
        <v>21</v>
      </c>
      <c r="D283" s="129">
        <f t="shared" ref="D283:D284" si="505">LARGE({E283:H283,J283:M283},1)+LARGE({E283:H283,J283:M283},2)+LARGE({E283:H283,J283:M283},3)+LARGE({E283:H283,J283:M283},4)+LARGE({E283:H283,J283:M283},5)</f>
        <v>0.0000000034</v>
      </c>
      <c r="E283" s="107">
        <f t="shared" ref="E283:I283" si="503">E$9</f>
        <v>0.0000000001</v>
      </c>
      <c r="F283" s="107">
        <f t="shared" si="503"/>
        <v>0.0000000002</v>
      </c>
      <c r="G283" s="107">
        <f t="shared" si="503"/>
        <v>0.0000000003</v>
      </c>
      <c r="H283" s="107">
        <f t="shared" si="503"/>
        <v>0.0000000004</v>
      </c>
      <c r="I283" s="107">
        <f t="shared" si="503"/>
        <v>0.0000000005</v>
      </c>
      <c r="J283" s="107">
        <f t="shared" ref="J283:M283" si="504">J9</f>
        <v>0.0000000006</v>
      </c>
      <c r="K283" s="107">
        <f t="shared" si="504"/>
        <v>0.0000000007</v>
      </c>
      <c r="L283" s="107">
        <f t="shared" si="504"/>
        <v>0.0000000008</v>
      </c>
      <c r="M283" s="107">
        <f t="shared" si="504"/>
        <v>0.0000000009</v>
      </c>
      <c r="N283" s="107">
        <f t="shared" ref="N283:N284" si="508">N$9</f>
        <v>0.00000000095</v>
      </c>
      <c r="O283" s="148"/>
      <c r="P283" s="107"/>
      <c r="Q283" s="107"/>
      <c r="R283" s="107"/>
      <c r="S283" s="107"/>
      <c r="T283" s="107"/>
      <c r="U283" s="107" t="s">
        <v>694</v>
      </c>
      <c r="V283" s="107"/>
      <c r="W283" s="107"/>
      <c r="X283" s="107"/>
      <c r="Y283" s="107"/>
      <c r="Z283" s="107"/>
      <c r="AA283" s="107"/>
      <c r="AB283" s="107"/>
      <c r="AC283" s="107"/>
      <c r="AD283" s="107"/>
      <c r="AE283" s="107"/>
      <c r="AF283" s="107"/>
      <c r="AG283" s="107"/>
      <c r="AH283" s="107"/>
      <c r="AI283" s="107"/>
      <c r="AJ283" s="107"/>
    </row>
    <row r="284" ht="15.75" customHeight="1">
      <c r="A284" s="107" t="str">
        <f>HKU!A30</f>
        <v>JS6482</v>
      </c>
      <c r="B284" s="146" t="str">
        <f>HKU!C30</f>
        <v>中醫全科學士</v>
      </c>
      <c r="C284" s="147" t="s">
        <v>21</v>
      </c>
      <c r="D284" s="129">
        <f t="shared" si="505"/>
        <v>0.0000000034</v>
      </c>
      <c r="E284" s="107">
        <f t="shared" ref="E284:I284" si="506">E$9</f>
        <v>0.0000000001</v>
      </c>
      <c r="F284" s="107">
        <f t="shared" si="506"/>
        <v>0.0000000002</v>
      </c>
      <c r="G284" s="107">
        <f t="shared" si="506"/>
        <v>0.0000000003</v>
      </c>
      <c r="H284" s="107">
        <f t="shared" si="506"/>
        <v>0.0000000004</v>
      </c>
      <c r="I284" s="107">
        <f t="shared" si="506"/>
        <v>0.0000000005</v>
      </c>
      <c r="J284" s="107">
        <f t="shared" ref="J284:M284" si="507">J9</f>
        <v>0.0000000006</v>
      </c>
      <c r="K284" s="107">
        <f t="shared" si="507"/>
        <v>0.0000000007</v>
      </c>
      <c r="L284" s="107">
        <f t="shared" si="507"/>
        <v>0.0000000008</v>
      </c>
      <c r="M284" s="107">
        <f t="shared" si="507"/>
        <v>0.0000000009</v>
      </c>
      <c r="N284" s="107">
        <f t="shared" si="508"/>
        <v>0.00000000095</v>
      </c>
      <c r="O284" s="148"/>
      <c r="P284" s="109" t="s">
        <v>695</v>
      </c>
      <c r="Q284" s="107">
        <f t="shared" ref="Q284:T284" si="509">J1</f>
        <v>0</v>
      </c>
      <c r="R284" s="107">
        <f t="shared" si="509"/>
        <v>0</v>
      </c>
      <c r="S284" s="107">
        <f t="shared" si="509"/>
        <v>0</v>
      </c>
      <c r="T284" s="107">
        <f t="shared" si="509"/>
        <v>0</v>
      </c>
      <c r="U284" s="107">
        <f t="array" ref="U284">INDEX(J$1:M$1,MATCH(LARGE(Q285:T285,1),Q285:T285,0))</f>
        <v>0</v>
      </c>
      <c r="V284" s="107" t="s">
        <v>696</v>
      </c>
      <c r="W284" s="107"/>
      <c r="X284" s="107"/>
      <c r="Y284" s="107"/>
      <c r="Z284" s="107" t="s">
        <v>697</v>
      </c>
      <c r="AA284" s="107"/>
      <c r="AB284" s="107"/>
      <c r="AC284" s="107"/>
      <c r="AD284" s="107"/>
      <c r="AE284" s="107"/>
      <c r="AF284" s="107"/>
      <c r="AG284" s="107"/>
      <c r="AH284" s="107"/>
      <c r="AI284" s="107"/>
      <c r="AJ284" s="107"/>
    </row>
    <row r="285" ht="15.75" customHeight="1">
      <c r="A285" s="107" t="str">
        <f>HKU!A31</f>
        <v>JS6494</v>
      </c>
      <c r="B285" s="146" t="str">
        <f>HKU!C31</f>
        <v>藥劑學學士</v>
      </c>
      <c r="C285" s="147" t="s">
        <v>24</v>
      </c>
      <c r="D285" s="129">
        <f t="shared" ref="D285:D286" si="512">IF($G$14&gt;$Q$282,(LARGE({E285:H285,J285:M285},1)+LARGE({E285:H285,J285:M285},2)+LARGE({E285:H285,J285:M285},3)+LARGE({E285:H285,J285:M285},4)+LARGE({E285:H285,J285:M285},5)+LARGE({E285:H285,J285:M285},6)),(LARGE({E285:F285,H285,$Q$282,J285:M285},1)+LARGE({E285:F285,H285,$Q$282,J285:M285},2)+LARGE({E285:F285,H285,$Q$282,J285:M285},3)+LARGE({E285:F285,H285,$Q$282,J285:M285},4)+LARGE({E285:F285,H285,$Q$282,J285:M285},5)+LARGE({E285:F285,H285,$Q$282,J285:M285},6)))</f>
        <v>0.000000003766666667</v>
      </c>
      <c r="E285" s="107">
        <f t="shared" ref="E285:N285" si="510">IF(E16=FALSE,E$9,E$9*0.9)</f>
        <v>0.0000000001</v>
      </c>
      <c r="F285" s="107">
        <f t="shared" si="510"/>
        <v>0.0000000002</v>
      </c>
      <c r="G285" s="107">
        <f t="shared" si="510"/>
        <v>0.0000000003</v>
      </c>
      <c r="H285" s="107">
        <f t="shared" si="510"/>
        <v>0.0000000004</v>
      </c>
      <c r="I285" s="107">
        <f t="shared" si="510"/>
        <v>0.0000000005</v>
      </c>
      <c r="J285" s="107">
        <f t="shared" si="510"/>
        <v>0.0000000006</v>
      </c>
      <c r="K285" s="107">
        <f t="shared" si="510"/>
        <v>0.0000000007</v>
      </c>
      <c r="L285" s="107">
        <f t="shared" si="510"/>
        <v>0.0000000008</v>
      </c>
      <c r="M285" s="107">
        <f t="shared" si="510"/>
        <v>0.0000000009</v>
      </c>
      <c r="N285" s="107">
        <f t="shared" si="510"/>
        <v>0.00000000095</v>
      </c>
      <c r="O285" s="148">
        <v>0.1</v>
      </c>
      <c r="P285" s="107" t="s">
        <v>698</v>
      </c>
      <c r="Q285" s="107">
        <f t="shared" ref="Q285:T285" si="511">IF(OR(J1="物理",J1="化學",J1="生物",J1="組合科學(物理、化學)",J1="組合科學(生物、化學)",J1="組合科學(物理、生物)"),J9,0)</f>
        <v>0</v>
      </c>
      <c r="R285" s="107">
        <f t="shared" si="511"/>
        <v>0</v>
      </c>
      <c r="S285" s="107">
        <f t="shared" si="511"/>
        <v>0</v>
      </c>
      <c r="T285" s="107">
        <f t="shared" si="511"/>
        <v>0</v>
      </c>
      <c r="U285" s="107">
        <f>LARGE(Q285:T285,1)*1.3</f>
        <v>0</v>
      </c>
      <c r="V285" s="107">
        <f>IF(AND(J16=TRUE,U284=J1),$U$285*0.9,$U$285)</f>
        <v>0</v>
      </c>
      <c r="W285" s="107">
        <f>IF(AND(K16=TRUE,U284=K1),$U$285*0.9,$U$285)</f>
        <v>0</v>
      </c>
      <c r="X285" s="107">
        <f>IF(AND(L16=TRUE,U284=L1),$U$285*0.9,$U$285)</f>
        <v>0</v>
      </c>
      <c r="Y285" s="107">
        <f>IF(AND(M16=TRUE,U284=M1),$U$285*0.9,$U$285)</f>
        <v>0</v>
      </c>
      <c r="Z285" s="107">
        <f>LARGE(V285:Y285,4)</f>
        <v>0</v>
      </c>
      <c r="AA285" s="107"/>
      <c r="AB285" s="107"/>
      <c r="AC285" s="107"/>
      <c r="AD285" s="107"/>
      <c r="AE285" s="107"/>
      <c r="AF285" s="107"/>
      <c r="AG285" s="107"/>
      <c r="AH285" s="107"/>
      <c r="AI285" s="107"/>
      <c r="AJ285" s="107"/>
    </row>
    <row r="286" ht="15.75" customHeight="1">
      <c r="A286" s="107" t="str">
        <f>HKU!A32</f>
        <v>JS6949</v>
      </c>
      <c r="B286" s="146" t="str">
        <f>HKU!C32</f>
        <v>生物醫學學士</v>
      </c>
      <c r="C286" s="147" t="s">
        <v>24</v>
      </c>
      <c r="D286" s="129">
        <f t="shared" si="512"/>
        <v>0.000000003766666667</v>
      </c>
      <c r="E286" s="107">
        <f t="shared" ref="E286:N286" si="513">IF(E16=FALSE,E$9,E$9*0.9)</f>
        <v>0.0000000001</v>
      </c>
      <c r="F286" s="107">
        <f t="shared" si="513"/>
        <v>0.0000000002</v>
      </c>
      <c r="G286" s="107">
        <f t="shared" si="513"/>
        <v>0.0000000003</v>
      </c>
      <c r="H286" s="107">
        <f t="shared" si="513"/>
        <v>0.0000000004</v>
      </c>
      <c r="I286" s="107">
        <f t="shared" si="513"/>
        <v>0.0000000005</v>
      </c>
      <c r="J286" s="107">
        <f t="shared" si="513"/>
        <v>0.0000000006</v>
      </c>
      <c r="K286" s="107">
        <f t="shared" si="513"/>
        <v>0.0000000007</v>
      </c>
      <c r="L286" s="107">
        <f t="shared" si="513"/>
        <v>0.0000000008</v>
      </c>
      <c r="M286" s="107">
        <f t="shared" si="513"/>
        <v>0.0000000009</v>
      </c>
      <c r="N286" s="107">
        <f t="shared" si="513"/>
        <v>0.00000000095</v>
      </c>
      <c r="O286" s="148">
        <v>0.1</v>
      </c>
      <c r="P286" s="107"/>
      <c r="Q286" s="107">
        <f>IF(Q284=U284,0,J9)</f>
        <v>0</v>
      </c>
      <c r="R286" s="107">
        <f>IF(R284=U284,0,K9)</f>
        <v>0</v>
      </c>
      <c r="S286" s="107">
        <f>IF(S284=U284,0,L9)</f>
        <v>0</v>
      </c>
      <c r="T286" s="107">
        <f>IF(T284=U284,0,M9)</f>
        <v>0</v>
      </c>
      <c r="U286" s="107"/>
      <c r="V286" s="107"/>
      <c r="W286" s="107"/>
      <c r="X286" s="107"/>
      <c r="Y286" s="107"/>
      <c r="Z286" s="107"/>
      <c r="AA286" s="107"/>
      <c r="AB286" s="107"/>
      <c r="AC286" s="107"/>
      <c r="AD286" s="107"/>
      <c r="AE286" s="107"/>
      <c r="AF286" s="107"/>
      <c r="AG286" s="107"/>
      <c r="AH286" s="107"/>
      <c r="AI286" s="107"/>
      <c r="AJ286" s="107"/>
    </row>
    <row r="287" ht="15.75" customHeight="1">
      <c r="A287" s="107" t="str">
        <f>HKU!A33</f>
        <v>JS6688</v>
      </c>
      <c r="B287" s="146" t="str">
        <f>HKU!C33</f>
        <v>科研專才啟導課程</v>
      </c>
      <c r="C287" s="152" t="s">
        <v>24</v>
      </c>
      <c r="D287" s="129">
        <f t="array" ref="D287">F287+G287+I287+R257+T257+LARGE({J287:M287,H287,E287},1)</f>
        <v>0.000000003125</v>
      </c>
      <c r="E287" s="107">
        <f t="shared" ref="E287:E298" si="517">E$9</f>
        <v>0.0000000001</v>
      </c>
      <c r="F287" s="107">
        <f t="shared" ref="F287:G287" si="514">F$9*2</f>
        <v>0.0000000004</v>
      </c>
      <c r="G287" s="107">
        <f t="shared" si="514"/>
        <v>0.0000000006</v>
      </c>
      <c r="H287" s="107">
        <f t="shared" ref="H287:H289" si="519">H$9</f>
        <v>0.0000000004</v>
      </c>
      <c r="I287" s="107">
        <f t="shared" ref="I287:I288" si="520">I$9*2</f>
        <v>0.000000001</v>
      </c>
      <c r="J287" s="107">
        <f t="shared" ref="J287:M287" si="515">IF(OR(J1=$Q$256,J1=$S$256),0,Q288)</f>
        <v>0.00000000075</v>
      </c>
      <c r="K287" s="107">
        <f t="shared" si="515"/>
        <v>0.000000000875</v>
      </c>
      <c r="L287" s="107">
        <f t="shared" si="515"/>
        <v>0.000000001</v>
      </c>
      <c r="M287" s="107">
        <f t="shared" si="515"/>
        <v>0.000000001125</v>
      </c>
      <c r="N287" s="107">
        <f>N$9</f>
        <v>0.00000000095</v>
      </c>
      <c r="O287" s="148"/>
      <c r="P287" s="107" t="s">
        <v>699</v>
      </c>
      <c r="Q287" s="107">
        <f t="shared" ref="Q287:T287" si="516">IF(OR(J1="物理",J1="化學",J1="生物",J1="組合科學(物理、化學)",J1="組合科學(生物、化學)",J1="組合科學(物理、生物)",J1="綜合科學"),J9*2,J9*1.25)</f>
        <v>0.00000000075</v>
      </c>
      <c r="R287" s="107">
        <f t="shared" si="516"/>
        <v>0.000000000875</v>
      </c>
      <c r="S287" s="107">
        <f t="shared" si="516"/>
        <v>0.000000001</v>
      </c>
      <c r="T287" s="107">
        <f t="shared" si="516"/>
        <v>0.000000001125</v>
      </c>
      <c r="U287" s="107"/>
      <c r="V287" s="107"/>
      <c r="W287" s="107"/>
      <c r="X287" s="107"/>
      <c r="Y287" s="107"/>
      <c r="Z287" s="107"/>
      <c r="AA287" s="107"/>
      <c r="AB287" s="107"/>
      <c r="AC287" s="107"/>
      <c r="AD287" s="107"/>
      <c r="AE287" s="107"/>
      <c r="AF287" s="107"/>
      <c r="AG287" s="107"/>
      <c r="AH287" s="107"/>
      <c r="AI287" s="107"/>
      <c r="AJ287" s="107"/>
    </row>
    <row r="288" ht="15.75" customHeight="1">
      <c r="A288" s="107" t="str">
        <f>HKU!A34</f>
        <v>JS6729</v>
      </c>
      <c r="B288" s="146" t="str">
        <f>HKU!C34</f>
        <v>理學士(精算學)</v>
      </c>
      <c r="C288" s="147" t="s">
        <v>24</v>
      </c>
      <c r="D288" s="129">
        <f t="array" ref="D288">F288+G288+I288+LARGE({E288,H288,J288:M288},1)+LARGE({E288,H288,J288:M288},2)+LARGE({E288,H288,J288:M288},3)</f>
        <v>0.0000000044</v>
      </c>
      <c r="E288" s="107">
        <f t="shared" si="517"/>
        <v>0.0000000001</v>
      </c>
      <c r="F288" s="107">
        <f t="shared" ref="F288:G288" si="518">F$9*2</f>
        <v>0.0000000004</v>
      </c>
      <c r="G288" s="107">
        <f t="shared" si="518"/>
        <v>0.0000000006</v>
      </c>
      <c r="H288" s="107">
        <f t="shared" si="519"/>
        <v>0.0000000004</v>
      </c>
      <c r="I288" s="107">
        <f t="shared" si="520"/>
        <v>0.000000001</v>
      </c>
      <c r="J288" s="107">
        <f t="shared" ref="J288:N288" si="521">J$9</f>
        <v>0.0000000006</v>
      </c>
      <c r="K288" s="107">
        <f t="shared" si="521"/>
        <v>0.0000000007</v>
      </c>
      <c r="L288" s="107">
        <f t="shared" si="521"/>
        <v>0.0000000008</v>
      </c>
      <c r="M288" s="107">
        <f t="shared" si="521"/>
        <v>0.0000000009</v>
      </c>
      <c r="N288" s="107">
        <f t="shared" si="521"/>
        <v>0.00000000095</v>
      </c>
      <c r="O288" s="148"/>
      <c r="P288" s="107" t="s">
        <v>680</v>
      </c>
      <c r="Q288" s="107">
        <f t="shared" ref="Q288:T288" si="522">IF(OR(J1="物理",J1="化學",J1="生物"),J9*2,J9*1.25)</f>
        <v>0.00000000075</v>
      </c>
      <c r="R288" s="107">
        <f t="shared" si="522"/>
        <v>0.000000000875</v>
      </c>
      <c r="S288" s="107">
        <f t="shared" si="522"/>
        <v>0.000000001</v>
      </c>
      <c r="T288" s="107">
        <f t="shared" si="522"/>
        <v>0.000000001125</v>
      </c>
      <c r="U288" s="107"/>
      <c r="V288" s="107"/>
      <c r="W288" s="107"/>
      <c r="X288" s="107"/>
      <c r="Y288" s="107"/>
      <c r="Z288" s="107"/>
      <c r="AA288" s="107"/>
      <c r="AB288" s="107"/>
      <c r="AC288" s="107"/>
      <c r="AD288" s="107"/>
      <c r="AE288" s="107"/>
      <c r="AF288" s="107"/>
      <c r="AG288" s="107"/>
      <c r="AH288" s="107"/>
      <c r="AI288" s="107"/>
      <c r="AJ288" s="107"/>
    </row>
    <row r="289" ht="15.75" customHeight="1">
      <c r="A289" s="107" t="str">
        <f>HKU!A35</f>
        <v>JS6901</v>
      </c>
      <c r="B289" s="146" t="str">
        <f>HKU!C35</f>
        <v>理學士</v>
      </c>
      <c r="C289" s="147" t="s">
        <v>21</v>
      </c>
      <c r="D289" s="129">
        <f t="array" ref="D289">F289+G289+$R$259*2+LARGE({E289,H289:M289},1)+LARGE({E289,H289:M289},2)</f>
        <v>0.000000003025</v>
      </c>
      <c r="E289" s="107">
        <f t="shared" si="517"/>
        <v>0.0000000001</v>
      </c>
      <c r="F289" s="107">
        <f>F$9*1.5</f>
        <v>0.0000000003</v>
      </c>
      <c r="G289" s="107">
        <f>G$9*2</f>
        <v>0.0000000006</v>
      </c>
      <c r="H289" s="107">
        <f t="shared" si="519"/>
        <v>0.0000000004</v>
      </c>
      <c r="I289" s="107">
        <f>I$9*2</f>
        <v>0.000000001</v>
      </c>
      <c r="J289" s="107">
        <f t="shared" ref="J289:M289" si="523">IF(J1=$Q$259,0,Q287)</f>
        <v>0.00000000075</v>
      </c>
      <c r="K289" s="107">
        <f t="shared" si="523"/>
        <v>0.000000000875</v>
      </c>
      <c r="L289" s="107">
        <f t="shared" si="523"/>
        <v>0.000000001</v>
      </c>
      <c r="M289" s="107">
        <f t="shared" si="523"/>
        <v>0.000000001125</v>
      </c>
      <c r="N289" s="107">
        <f t="shared" ref="N289:N298" si="527">N$9</f>
        <v>0.00000000095</v>
      </c>
      <c r="O289" s="148"/>
      <c r="P289" s="107" t="s">
        <v>700</v>
      </c>
      <c r="Q289" s="107">
        <f t="shared" ref="Q289:T289" si="524">IF(OR(J1="物理",J1="化學",J1="生物",J1="組合科學(物理、化學)",J1="組合科學(生物、化學)",J1="組合科學(物理、生物)",J1="綜合科學",J1="資訊及通訊科技"),J9*1.5,J9)</f>
        <v>0.0000000006</v>
      </c>
      <c r="R289" s="107">
        <f t="shared" si="524"/>
        <v>0.0000000007</v>
      </c>
      <c r="S289" s="107">
        <f t="shared" si="524"/>
        <v>0.0000000008</v>
      </c>
      <c r="T289" s="107">
        <f t="shared" si="524"/>
        <v>0.0000000009</v>
      </c>
      <c r="U289" s="107"/>
      <c r="V289" s="107"/>
      <c r="W289" s="107"/>
      <c r="X289" s="107"/>
      <c r="Y289" s="107"/>
      <c r="Z289" s="107"/>
      <c r="AA289" s="107"/>
      <c r="AB289" s="107"/>
      <c r="AC289" s="107"/>
      <c r="AD289" s="107"/>
      <c r="AE289" s="107"/>
      <c r="AF289" s="107"/>
      <c r="AG289" s="107"/>
      <c r="AH289" s="107"/>
      <c r="AI289" s="107"/>
      <c r="AJ289" s="107"/>
    </row>
    <row r="290" ht="15.75" customHeight="1">
      <c r="A290" s="107" t="str">
        <f>HKU!A36</f>
        <v>JS6717</v>
      </c>
      <c r="B290" s="146" t="str">
        <f>HKU!C36</f>
        <v>社會科學學士</v>
      </c>
      <c r="C290" s="147" t="s">
        <v>21</v>
      </c>
      <c r="D290" s="129">
        <f t="shared" ref="D290:D291" si="528">LARGE({E290:H290,J290:N290},1)+LARGE({E290:H290,J290:N290},2)+LARGE({E290:H290,J290:N290},3)+LARGE({E290:H290,J290:N290},4)+LARGE({E290:H290,J290:N290},5)</f>
        <v>0.00000000395</v>
      </c>
      <c r="E290" s="107">
        <f t="shared" si="517"/>
        <v>0.0000000001</v>
      </c>
      <c r="F290" s="107">
        <f t="shared" ref="F290:I290" si="525">F$9</f>
        <v>0.0000000002</v>
      </c>
      <c r="G290" s="107">
        <f t="shared" si="525"/>
        <v>0.0000000003</v>
      </c>
      <c r="H290" s="107">
        <f t="shared" si="525"/>
        <v>0.0000000004</v>
      </c>
      <c r="I290" s="107">
        <f t="shared" si="525"/>
        <v>0.0000000005</v>
      </c>
      <c r="J290" s="107">
        <f t="shared" ref="J290:M290" si="526">J9</f>
        <v>0.0000000006</v>
      </c>
      <c r="K290" s="107">
        <f t="shared" si="526"/>
        <v>0.0000000007</v>
      </c>
      <c r="L290" s="107">
        <f t="shared" si="526"/>
        <v>0.0000000008</v>
      </c>
      <c r="M290" s="107">
        <f t="shared" si="526"/>
        <v>0.0000000009</v>
      </c>
      <c r="N290" s="107">
        <f t="shared" si="527"/>
        <v>0.00000000095</v>
      </c>
      <c r="O290" s="148"/>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row>
    <row r="291" ht="15.75" customHeight="1">
      <c r="A291" s="107" t="str">
        <f>HKU!A37</f>
        <v>JS6731</v>
      </c>
      <c r="B291" s="146" t="str">
        <f>HKU!C37</f>
        <v>社會工作學學士</v>
      </c>
      <c r="C291" s="147" t="s">
        <v>21</v>
      </c>
      <c r="D291" s="129">
        <f t="shared" si="528"/>
        <v>0.00000000395</v>
      </c>
      <c r="E291" s="107">
        <f t="shared" si="517"/>
        <v>0.0000000001</v>
      </c>
      <c r="F291" s="107">
        <f t="shared" ref="F291:I291" si="529">F$9</f>
        <v>0.0000000002</v>
      </c>
      <c r="G291" s="107">
        <f t="shared" si="529"/>
        <v>0.0000000003</v>
      </c>
      <c r="H291" s="107">
        <f t="shared" si="529"/>
        <v>0.0000000004</v>
      </c>
      <c r="I291" s="107">
        <f t="shared" si="529"/>
        <v>0.0000000005</v>
      </c>
      <c r="J291" s="107">
        <f t="shared" ref="J291:M291" si="530">J9</f>
        <v>0.0000000006</v>
      </c>
      <c r="K291" s="107">
        <f t="shared" si="530"/>
        <v>0.0000000007</v>
      </c>
      <c r="L291" s="107">
        <f t="shared" si="530"/>
        <v>0.0000000008</v>
      </c>
      <c r="M291" s="107">
        <f t="shared" si="530"/>
        <v>0.0000000009</v>
      </c>
      <c r="N291" s="107">
        <f t="shared" si="527"/>
        <v>0.00000000095</v>
      </c>
      <c r="O291" s="148"/>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row>
    <row r="292" ht="15.75" customHeight="1">
      <c r="A292" s="107" t="str">
        <f>HKU!A38</f>
        <v>JS6810</v>
      </c>
      <c r="B292" s="146" t="str">
        <f>HKU!C38</f>
        <v>社會科學學士(政治學與法學)及法學士 (雙學位課程)</v>
      </c>
      <c r="C292" s="147" t="s">
        <v>24</v>
      </c>
      <c r="D292" s="129">
        <f t="array" ref="D292">LARGE({E292:H292,J292:M292},1)+LARGE({E292:H292,J292:M292},2)+LARGE({E292:H292,J292:M292},3)+LARGE({E292:H292,J292:M292},4)+LARGE({E292:H292,J292:M292},5)+LARGE({E292:H292,J292:M292},6)</f>
        <v>0.0000000037</v>
      </c>
      <c r="E292" s="107">
        <f t="shared" si="517"/>
        <v>0.0000000001</v>
      </c>
      <c r="F292" s="107">
        <f t="shared" ref="F292:I292" si="531">F$9</f>
        <v>0.0000000002</v>
      </c>
      <c r="G292" s="107">
        <f t="shared" si="531"/>
        <v>0.0000000003</v>
      </c>
      <c r="H292" s="107">
        <f t="shared" si="531"/>
        <v>0.0000000004</v>
      </c>
      <c r="I292" s="107">
        <f t="shared" si="531"/>
        <v>0.0000000005</v>
      </c>
      <c r="J292" s="107">
        <f t="shared" ref="J292:M292" si="532">J9</f>
        <v>0.0000000006</v>
      </c>
      <c r="K292" s="107">
        <f t="shared" si="532"/>
        <v>0.0000000007</v>
      </c>
      <c r="L292" s="107">
        <f t="shared" si="532"/>
        <v>0.0000000008</v>
      </c>
      <c r="M292" s="107">
        <f t="shared" si="532"/>
        <v>0.0000000009</v>
      </c>
      <c r="N292" s="107">
        <f t="shared" si="527"/>
        <v>0.00000000095</v>
      </c>
      <c r="O292" s="148"/>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row>
    <row r="293" ht="15.75" customHeight="1">
      <c r="A293" s="107" t="str">
        <f>HKU!A39</f>
        <v>JS6822</v>
      </c>
      <c r="B293" s="146" t="str">
        <f>HKU!C39</f>
        <v>新聞學學士</v>
      </c>
      <c r="C293" s="147" t="s">
        <v>21</v>
      </c>
      <c r="D293" s="129">
        <f t="shared" ref="D293:D294" si="535">LARGE({E293:H293,J293:N293},1)+LARGE({E293:H293,J293:N293},2)+LARGE({E293:H293,J293:N293},3)+LARGE({E293:H293,J293:N293},4)+LARGE({E293:H293,J293:N293},5)</f>
        <v>0.00000000395</v>
      </c>
      <c r="E293" s="107">
        <f t="shared" si="517"/>
        <v>0.0000000001</v>
      </c>
      <c r="F293" s="107">
        <f t="shared" ref="F293:I293" si="533">F$9</f>
        <v>0.0000000002</v>
      </c>
      <c r="G293" s="107">
        <f t="shared" si="533"/>
        <v>0.0000000003</v>
      </c>
      <c r="H293" s="107">
        <f t="shared" si="533"/>
        <v>0.0000000004</v>
      </c>
      <c r="I293" s="107">
        <f t="shared" si="533"/>
        <v>0.0000000005</v>
      </c>
      <c r="J293" s="107">
        <f t="shared" ref="J293:M293" si="534">J9</f>
        <v>0.0000000006</v>
      </c>
      <c r="K293" s="107">
        <f t="shared" si="534"/>
        <v>0.0000000007</v>
      </c>
      <c r="L293" s="107">
        <f t="shared" si="534"/>
        <v>0.0000000008</v>
      </c>
      <c r="M293" s="107">
        <f t="shared" si="534"/>
        <v>0.0000000009</v>
      </c>
      <c r="N293" s="107">
        <f t="shared" si="527"/>
        <v>0.00000000095</v>
      </c>
      <c r="O293" s="148"/>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row>
    <row r="294" ht="15.75" customHeight="1">
      <c r="A294" s="107" t="str">
        <f>HKU!A40</f>
        <v>JS6212</v>
      </c>
      <c r="B294" s="146" t="str">
        <f>HKU!C40</f>
        <v>文理學士</v>
      </c>
      <c r="C294" s="147" t="s">
        <v>21</v>
      </c>
      <c r="D294" s="129">
        <f t="shared" si="535"/>
        <v>0.00000000395</v>
      </c>
      <c r="E294" s="107">
        <f t="shared" si="517"/>
        <v>0.0000000001</v>
      </c>
      <c r="F294" s="107">
        <f t="shared" ref="F294:I294" si="536">F$9</f>
        <v>0.0000000002</v>
      </c>
      <c r="G294" s="107">
        <f t="shared" si="536"/>
        <v>0.0000000003</v>
      </c>
      <c r="H294" s="107">
        <f t="shared" si="536"/>
        <v>0.0000000004</v>
      </c>
      <c r="I294" s="107">
        <f t="shared" si="536"/>
        <v>0.0000000005</v>
      </c>
      <c r="J294" s="107">
        <f t="shared" ref="J294:M294" si="537">J9</f>
        <v>0.0000000006</v>
      </c>
      <c r="K294" s="107">
        <f t="shared" si="537"/>
        <v>0.0000000007</v>
      </c>
      <c r="L294" s="107">
        <f t="shared" si="537"/>
        <v>0.0000000008</v>
      </c>
      <c r="M294" s="107">
        <f t="shared" si="537"/>
        <v>0.0000000009</v>
      </c>
      <c r="N294" s="107">
        <f t="shared" si="527"/>
        <v>0.00000000095</v>
      </c>
      <c r="O294" s="148"/>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row>
    <row r="295" ht="15.75" customHeight="1">
      <c r="A295" s="107" t="str">
        <f>HKU!A41</f>
        <v>JS6224</v>
      </c>
      <c r="B295" s="146" t="str">
        <f>HKU!C41</f>
        <v>文理學士(應用人工智能)</v>
      </c>
      <c r="C295" s="147" t="s">
        <v>24</v>
      </c>
      <c r="D295" s="129">
        <f t="array" ref="D295">F295+G295+I295+LARGE({E295,H295,J295:M295},1)+LARGE({E295,H295,J295:M295},2)+LARGE({E295,H295,J295:M295},3)</f>
        <v>0.0000000044</v>
      </c>
      <c r="E295" s="107">
        <f t="shared" si="517"/>
        <v>0.0000000001</v>
      </c>
      <c r="F295" s="107">
        <f t="shared" ref="F295:G295" si="538">F$9*2</f>
        <v>0.0000000004</v>
      </c>
      <c r="G295" s="107">
        <f t="shared" si="538"/>
        <v>0.0000000006</v>
      </c>
      <c r="H295" s="107">
        <f>H$9</f>
        <v>0.0000000004</v>
      </c>
      <c r="I295" s="107">
        <f>I$9*2</f>
        <v>0.000000001</v>
      </c>
      <c r="J295" s="107">
        <f t="shared" ref="J295:M295" si="539">Q289</f>
        <v>0.0000000006</v>
      </c>
      <c r="K295" s="107">
        <f t="shared" si="539"/>
        <v>0.0000000007</v>
      </c>
      <c r="L295" s="107">
        <f t="shared" si="539"/>
        <v>0.0000000008</v>
      </c>
      <c r="M295" s="107">
        <f t="shared" si="539"/>
        <v>0.0000000009</v>
      </c>
      <c r="N295" s="107">
        <f t="shared" si="527"/>
        <v>0.00000000095</v>
      </c>
      <c r="O295" s="148"/>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row>
    <row r="296" ht="15.75" customHeight="1">
      <c r="A296" s="107" t="str">
        <f>HKU!A42</f>
        <v>JS6236</v>
      </c>
      <c r="B296" s="146" t="str">
        <f>HKU!C42</f>
        <v>文理學士(設計＋)</v>
      </c>
      <c r="C296" s="147" t="s">
        <v>24</v>
      </c>
      <c r="D296" s="129">
        <f>LARGE((E296:N296),1)+LARGE((E296:N296),2)+LARGE((E296:N296),3)+LARGE((E296:N296),4)+LARGE((E296:N296),5)+LARGE((E296:N296),6)</f>
        <v>0.00000000445</v>
      </c>
      <c r="E296" s="107">
        <f t="shared" si="517"/>
        <v>0.0000000001</v>
      </c>
      <c r="F296" s="107">
        <f t="shared" ref="F296:I296" si="540">F$9</f>
        <v>0.0000000002</v>
      </c>
      <c r="G296" s="107">
        <f t="shared" si="540"/>
        <v>0.0000000003</v>
      </c>
      <c r="H296" s="107">
        <f t="shared" si="540"/>
        <v>0.0000000004</v>
      </c>
      <c r="I296" s="107">
        <f t="shared" si="540"/>
        <v>0.0000000005</v>
      </c>
      <c r="J296" s="107">
        <f t="shared" ref="J296:M296" si="541">J9</f>
        <v>0.0000000006</v>
      </c>
      <c r="K296" s="107">
        <f t="shared" si="541"/>
        <v>0.0000000007</v>
      </c>
      <c r="L296" s="107">
        <f t="shared" si="541"/>
        <v>0.0000000008</v>
      </c>
      <c r="M296" s="107">
        <f t="shared" si="541"/>
        <v>0.0000000009</v>
      </c>
      <c r="N296" s="107">
        <f t="shared" si="527"/>
        <v>0.00000000095</v>
      </c>
      <c r="O296" s="148"/>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row>
    <row r="297" ht="15.75" customHeight="1">
      <c r="A297" s="107" t="str">
        <f>HKU!A43</f>
        <v>JS6248</v>
      </c>
      <c r="B297" s="146" t="str">
        <f>HKU!C43</f>
        <v>文理學士(金融科技)</v>
      </c>
      <c r="C297" s="147" t="s">
        <v>24</v>
      </c>
      <c r="D297" s="129">
        <f t="array" ref="D297">F297+G297+LARGE({E297,H297:N297},1)+LARGE({E297,H297:N297},2)+LARGE({E297,H297:N297},3)+LARGE({E297,H297:N297},4)</f>
        <v>0.00000000385</v>
      </c>
      <c r="E297" s="107">
        <f t="shared" si="517"/>
        <v>0.0000000001</v>
      </c>
      <c r="F297" s="107">
        <f t="shared" ref="F297:I297" si="542">F$9</f>
        <v>0.0000000002</v>
      </c>
      <c r="G297" s="107">
        <f t="shared" si="542"/>
        <v>0.0000000003</v>
      </c>
      <c r="H297" s="107">
        <f t="shared" si="542"/>
        <v>0.0000000004</v>
      </c>
      <c r="I297" s="107">
        <f t="shared" si="542"/>
        <v>0.0000000005</v>
      </c>
      <c r="J297" s="107">
        <f t="shared" ref="J297:M297" si="543">J9</f>
        <v>0.0000000006</v>
      </c>
      <c r="K297" s="107">
        <f t="shared" si="543"/>
        <v>0.0000000007</v>
      </c>
      <c r="L297" s="107">
        <f t="shared" si="543"/>
        <v>0.0000000008</v>
      </c>
      <c r="M297" s="107">
        <f t="shared" si="543"/>
        <v>0.0000000009</v>
      </c>
      <c r="N297" s="107">
        <f t="shared" si="527"/>
        <v>0.00000000095</v>
      </c>
      <c r="O297" s="148"/>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row>
    <row r="298" ht="15.75" customHeight="1">
      <c r="A298" s="107" t="str">
        <f>HKU!A44</f>
        <v>JS6250</v>
      </c>
      <c r="B298" s="146" t="str">
        <f>HKU!C44</f>
        <v>文理學士(環球衞生及發展)</v>
      </c>
      <c r="C298" s="147" t="s">
        <v>21</v>
      </c>
      <c r="D298" s="129">
        <f t="array" ref="D298">LARGE({E298:H298,J298:N298},1)+LARGE({E298:H298,J298:N298},2)+LARGE({E298:H298,J298:N298},3)+LARGE({E298:H298,J298:N298},4)+LARGE({E298:H298,J298:N298},5)</f>
        <v>0.00000000395</v>
      </c>
      <c r="E298" s="107">
        <f t="shared" si="517"/>
        <v>0.0000000001</v>
      </c>
      <c r="F298" s="107">
        <f t="shared" ref="F298:I298" si="544">F$9</f>
        <v>0.0000000002</v>
      </c>
      <c r="G298" s="107">
        <f t="shared" si="544"/>
        <v>0.0000000003</v>
      </c>
      <c r="H298" s="107">
        <f t="shared" si="544"/>
        <v>0.0000000004</v>
      </c>
      <c r="I298" s="107">
        <f t="shared" si="544"/>
        <v>0.0000000005</v>
      </c>
      <c r="J298" s="107">
        <f t="shared" ref="J298:M298" si="545">J9</f>
        <v>0.0000000006</v>
      </c>
      <c r="K298" s="107">
        <f t="shared" si="545"/>
        <v>0.0000000007</v>
      </c>
      <c r="L298" s="107">
        <f t="shared" si="545"/>
        <v>0.0000000008</v>
      </c>
      <c r="M298" s="107">
        <f t="shared" si="545"/>
        <v>0.0000000009</v>
      </c>
      <c r="N298" s="107">
        <f t="shared" si="527"/>
        <v>0.00000000095</v>
      </c>
      <c r="O298" s="148"/>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row>
    <row r="299" ht="15.75" customHeight="1">
      <c r="A299" s="107"/>
      <c r="B299" s="107"/>
      <c r="C299" s="108"/>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row>
    <row r="300" ht="15.75" customHeight="1">
      <c r="A300" s="123" t="s">
        <v>180</v>
      </c>
      <c r="B300" s="107"/>
      <c r="C300" s="108"/>
      <c r="D300" s="107" t="str">
        <f t="shared" ref="D300:N300" si="546">D1</f>
        <v>總分</v>
      </c>
      <c r="E300" s="107" t="str">
        <f t="shared" si="546"/>
        <v>中國語文</v>
      </c>
      <c r="F300" s="107" t="str">
        <f t="shared" si="546"/>
        <v>英國語文</v>
      </c>
      <c r="G300" s="107" t="str">
        <f t="shared" si="546"/>
        <v>數學</v>
      </c>
      <c r="H300" s="107" t="str">
        <f t="shared" si="546"/>
        <v>通識教育</v>
      </c>
      <c r="I300" s="107" t="str">
        <f t="shared" si="546"/>
        <v>數學延伸</v>
      </c>
      <c r="J300" s="107">
        <f t="shared" si="546"/>
        <v>0</v>
      </c>
      <c r="K300" s="107">
        <f t="shared" si="546"/>
        <v>0</v>
      </c>
      <c r="L300" s="107">
        <f t="shared" si="546"/>
        <v>0</v>
      </c>
      <c r="M300" s="107">
        <f t="shared" si="546"/>
        <v>0</v>
      </c>
      <c r="N300" s="107">
        <f t="shared" si="546"/>
        <v>0</v>
      </c>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row>
    <row r="301" ht="15.75" customHeight="1">
      <c r="A301" s="107" t="s">
        <v>701</v>
      </c>
      <c r="B301" s="107" t="s">
        <v>702</v>
      </c>
      <c r="C301" s="108" t="s">
        <v>21</v>
      </c>
      <c r="D301" s="107">
        <f t="shared" ref="D301:D312" si="550">LARGE(E301:N301, 1)+LARGE(E301:N301, 2)+LARGE(E301:N301, 3)+LARGE(E301:N301, 4)+LARGE(E301:N301, 5)</f>
        <v>0.00000000395</v>
      </c>
      <c r="E301" s="107">
        <f t="shared" ref="E301:F301" si="547">E10*1.5</f>
        <v>0.00000000015</v>
      </c>
      <c r="F301" s="107">
        <f t="shared" si="547"/>
        <v>0.0000000003</v>
      </c>
      <c r="G301" s="107">
        <f t="shared" ref="G301:H301" si="548">G10</f>
        <v>0.0000000003</v>
      </c>
      <c r="H301" s="107">
        <f t="shared" si="548"/>
        <v>0.0000000004</v>
      </c>
      <c r="I301" s="111"/>
      <c r="J301" s="107">
        <f t="shared" ref="J301:M301" si="549">IF(OR(J300="中國歷史",J300="中國文學"),0,J10)</f>
        <v>0.0000000006</v>
      </c>
      <c r="K301" s="107">
        <f t="shared" si="549"/>
        <v>0.0000000007</v>
      </c>
      <c r="L301" s="107">
        <f t="shared" si="549"/>
        <v>0.0000000008</v>
      </c>
      <c r="M301" s="107">
        <f t="shared" si="549"/>
        <v>0.0000000009</v>
      </c>
      <c r="N301" s="107">
        <f>N10</f>
        <v>0.00000000095</v>
      </c>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row>
    <row r="302" ht="15.75" customHeight="1">
      <c r="A302" s="107" t="s">
        <v>703</v>
      </c>
      <c r="B302" s="107" t="s">
        <v>704</v>
      </c>
      <c r="C302" s="108" t="s">
        <v>21</v>
      </c>
      <c r="D302" s="107">
        <f t="shared" si="550"/>
        <v>0.00000000395</v>
      </c>
      <c r="E302" s="107">
        <f>E10</f>
        <v>0.0000000001</v>
      </c>
      <c r="F302" s="107">
        <f>F10*2</f>
        <v>0.0000000004</v>
      </c>
      <c r="G302" s="107">
        <f>G10</f>
        <v>0.0000000003</v>
      </c>
      <c r="H302" s="107">
        <f>H10*1.5</f>
        <v>0.0000000006</v>
      </c>
      <c r="I302" s="111"/>
      <c r="J302" s="107">
        <f t="shared" ref="J302:N302" si="551">J10</f>
        <v>0.0000000006</v>
      </c>
      <c r="K302" s="107">
        <f t="shared" si="551"/>
        <v>0.0000000007</v>
      </c>
      <c r="L302" s="107">
        <f t="shared" si="551"/>
        <v>0.0000000008</v>
      </c>
      <c r="M302" s="107">
        <f t="shared" si="551"/>
        <v>0.0000000009</v>
      </c>
      <c r="N302" s="107">
        <f t="shared" si="551"/>
        <v>0.00000000095</v>
      </c>
      <c r="O302" s="107"/>
      <c r="P302" s="107">
        <f>IF(S302&gt;U302,S302,U302)</f>
        <v>0</v>
      </c>
      <c r="Q302" s="107">
        <f>IF(AND(S302&gt;0,U302&gt;0),IF(S302&gt;U302,U302/1.5,S302/1.5),0)</f>
        <v>0</v>
      </c>
      <c r="R302" s="107" t="s">
        <v>705</v>
      </c>
      <c r="S302" s="107">
        <f>IF(J1="中國歷史",J10*1.5,IF(K1="中國歷史",K10*1.5,IF(L1="中國歷史",L10*1.5,IF(M1="中國歷史",M10*1.5,0))))</f>
        <v>0</v>
      </c>
      <c r="T302" s="107" t="s">
        <v>123</v>
      </c>
      <c r="U302" s="107">
        <f>IF(J1="中國文學",J10*1.5,IF(K1="中國文學",K10*1.5,IF(L1="中國文學",L10*1.5,IF(M1="中國文學",M10*1.5,0))))</f>
        <v>0</v>
      </c>
      <c r="V302" s="107"/>
      <c r="W302" s="107"/>
      <c r="X302" s="107"/>
      <c r="Y302" s="107"/>
      <c r="Z302" s="107"/>
      <c r="AA302" s="107"/>
      <c r="AB302" s="107"/>
      <c r="AC302" s="107"/>
      <c r="AD302" s="107"/>
      <c r="AE302" s="107"/>
      <c r="AF302" s="107"/>
      <c r="AG302" s="107"/>
      <c r="AH302" s="107"/>
      <c r="AI302" s="107"/>
      <c r="AJ302" s="107"/>
    </row>
    <row r="303" ht="15.75" customHeight="1">
      <c r="A303" s="107" t="s">
        <v>706</v>
      </c>
      <c r="B303" s="107" t="s">
        <v>707</v>
      </c>
      <c r="C303" s="108" t="s">
        <v>21</v>
      </c>
      <c r="D303" s="107">
        <f t="shared" si="550"/>
        <v>0.00000000395</v>
      </c>
      <c r="E303" s="107">
        <f>E10</f>
        <v>0.0000000001</v>
      </c>
      <c r="F303" s="107">
        <f>F10*2</f>
        <v>0.0000000004</v>
      </c>
      <c r="G303" s="107">
        <f>G10*1.5</f>
        <v>0.00000000045</v>
      </c>
      <c r="H303" s="107">
        <f>H10</f>
        <v>0.0000000004</v>
      </c>
      <c r="I303" s="111"/>
      <c r="J303" s="107">
        <f t="shared" ref="J303:N303" si="552">J10</f>
        <v>0.0000000006</v>
      </c>
      <c r="K303" s="107">
        <f t="shared" si="552"/>
        <v>0.0000000007</v>
      </c>
      <c r="L303" s="107">
        <f t="shared" si="552"/>
        <v>0.0000000008</v>
      </c>
      <c r="M303" s="107">
        <f t="shared" si="552"/>
        <v>0.0000000009</v>
      </c>
      <c r="N303" s="107">
        <f t="shared" si="552"/>
        <v>0.00000000095</v>
      </c>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row>
    <row r="304" ht="15.75" customHeight="1">
      <c r="A304" s="107" t="s">
        <v>708</v>
      </c>
      <c r="B304" s="107" t="s">
        <v>709</v>
      </c>
      <c r="C304" s="108" t="s">
        <v>21</v>
      </c>
      <c r="D304" s="107">
        <f t="shared" si="550"/>
        <v>0.00000000395</v>
      </c>
      <c r="E304" s="107">
        <f>E10*1.5</f>
        <v>0.00000000015</v>
      </c>
      <c r="F304" s="107">
        <f>F10*2</f>
        <v>0.0000000004</v>
      </c>
      <c r="G304" s="107">
        <f t="shared" ref="G304:H304" si="553">G10</f>
        <v>0.0000000003</v>
      </c>
      <c r="H304" s="107">
        <f t="shared" si="553"/>
        <v>0.0000000004</v>
      </c>
      <c r="I304" s="111"/>
      <c r="J304" s="107">
        <f t="shared" ref="J304:M304" si="554">IF(OR(J300="英語文學",J300="中國文學"),J10*1.5,J10)</f>
        <v>0.0000000006</v>
      </c>
      <c r="K304" s="107">
        <f t="shared" si="554"/>
        <v>0.0000000007</v>
      </c>
      <c r="L304" s="107">
        <f t="shared" si="554"/>
        <v>0.0000000008</v>
      </c>
      <c r="M304" s="107">
        <f t="shared" si="554"/>
        <v>0.0000000009</v>
      </c>
      <c r="N304" s="107">
        <f>N10</f>
        <v>0.00000000095</v>
      </c>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row>
    <row r="305" ht="15.75" customHeight="1">
      <c r="A305" s="107" t="s">
        <v>710</v>
      </c>
      <c r="B305" s="107" t="s">
        <v>711</v>
      </c>
      <c r="C305" s="108" t="s">
        <v>21</v>
      </c>
      <c r="D305" s="107">
        <f t="shared" si="550"/>
        <v>0.00000000395</v>
      </c>
      <c r="E305" s="107">
        <f>E10</f>
        <v>0.0000000001</v>
      </c>
      <c r="F305" s="107">
        <f>F10*2</f>
        <v>0.0000000004</v>
      </c>
      <c r="G305" s="107">
        <f>G10*1.5</f>
        <v>0.00000000045</v>
      </c>
      <c r="H305" s="107">
        <f>H10</f>
        <v>0.0000000004</v>
      </c>
      <c r="I305" s="111"/>
      <c r="J305" s="107">
        <f t="shared" ref="J305:N305" si="555">J10</f>
        <v>0.0000000006</v>
      </c>
      <c r="K305" s="107">
        <f t="shared" si="555"/>
        <v>0.0000000007</v>
      </c>
      <c r="L305" s="107">
        <f t="shared" si="555"/>
        <v>0.0000000008</v>
      </c>
      <c r="M305" s="107">
        <f t="shared" si="555"/>
        <v>0.0000000009</v>
      </c>
      <c r="N305" s="107">
        <f t="shared" si="555"/>
        <v>0.00000000095</v>
      </c>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row>
    <row r="306" ht="15.75" customHeight="1">
      <c r="A306" s="107" t="s">
        <v>712</v>
      </c>
      <c r="B306" s="107" t="s">
        <v>713</v>
      </c>
      <c r="C306" s="108" t="s">
        <v>21</v>
      </c>
      <c r="D306" s="107">
        <f t="shared" si="550"/>
        <v>0.00000000395</v>
      </c>
      <c r="E306" s="107">
        <f>E10</f>
        <v>0.0000000001</v>
      </c>
      <c r="F306" s="107">
        <f t="shared" ref="F306:G306" si="556">F10*2</f>
        <v>0.0000000004</v>
      </c>
      <c r="G306" s="107">
        <f t="shared" si="556"/>
        <v>0.0000000006</v>
      </c>
      <c r="H306" s="107">
        <f>H10</f>
        <v>0.0000000004</v>
      </c>
      <c r="I306" s="111"/>
      <c r="J306" s="107">
        <f t="shared" ref="J306:L306" si="557">IF(OR(J300="化學",J300="物理",J300="組合科學(物理、化學)",J300="組合科學(生物、化學)",J300="組合科學(物理、生物)",J300="綜合科學"),J10*1.25,IF(J300="資訊及通訊科技",J10*2,J10))</f>
        <v>0.0000000006</v>
      </c>
      <c r="K306" s="107">
        <f t="shared" si="557"/>
        <v>0.0000000007</v>
      </c>
      <c r="L306" s="107">
        <f t="shared" si="557"/>
        <v>0.0000000008</v>
      </c>
      <c r="M306" s="107">
        <f>IF(OR(M300="化學",M300="物理",M300="組合科學(物理、化學)",M300="組合科學(生物、化學)",M300="組合科學(物理、生物)",M300="綜合科學"),M10*1.25,IF(M300="資訊科技",M10*2,M10))</f>
        <v>0.0000000009</v>
      </c>
      <c r="N306" s="107">
        <f>N10</f>
        <v>0.00000000095</v>
      </c>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row>
    <row r="307" ht="15.75" customHeight="1">
      <c r="A307" s="107" t="s">
        <v>714</v>
      </c>
      <c r="B307" s="107" t="s">
        <v>715</v>
      </c>
      <c r="C307" s="108" t="s">
        <v>21</v>
      </c>
      <c r="D307" s="107">
        <f t="shared" si="550"/>
        <v>0.00000000395</v>
      </c>
      <c r="E307" s="107">
        <f>E10</f>
        <v>0.0000000001</v>
      </c>
      <c r="F307" s="107">
        <f>F10*2</f>
        <v>0.0000000004</v>
      </c>
      <c r="G307" s="107">
        <f t="shared" ref="G307:H307" si="558">G10*1.5</f>
        <v>0.00000000045</v>
      </c>
      <c r="H307" s="107">
        <f t="shared" si="558"/>
        <v>0.0000000006</v>
      </c>
      <c r="I307" s="111"/>
      <c r="J307" s="107">
        <f t="shared" ref="J307:N307" si="559">J10</f>
        <v>0.0000000006</v>
      </c>
      <c r="K307" s="107">
        <f t="shared" si="559"/>
        <v>0.0000000007</v>
      </c>
      <c r="L307" s="107">
        <f t="shared" si="559"/>
        <v>0.0000000008</v>
      </c>
      <c r="M307" s="107">
        <f t="shared" si="559"/>
        <v>0.0000000009</v>
      </c>
      <c r="N307" s="107">
        <f t="shared" si="559"/>
        <v>0.00000000095</v>
      </c>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row>
    <row r="308" ht="15.75" customHeight="1">
      <c r="A308" s="107" t="s">
        <v>716</v>
      </c>
      <c r="B308" s="107" t="s">
        <v>717</v>
      </c>
      <c r="C308" s="108" t="s">
        <v>21</v>
      </c>
      <c r="D308" s="107">
        <f t="shared" si="550"/>
        <v>0.00000000395</v>
      </c>
      <c r="E308" s="107">
        <f>E10*1.5</f>
        <v>0.00000000015</v>
      </c>
      <c r="F308" s="107">
        <f>F10*2</f>
        <v>0.0000000004</v>
      </c>
      <c r="G308" s="107">
        <f t="shared" ref="G308:H308" si="560">G10</f>
        <v>0.0000000003</v>
      </c>
      <c r="H308" s="107">
        <f t="shared" si="560"/>
        <v>0.0000000004</v>
      </c>
      <c r="I308" s="111"/>
      <c r="J308" s="107">
        <f t="shared" ref="J308:N308" si="561">J10</f>
        <v>0.0000000006</v>
      </c>
      <c r="K308" s="107">
        <f t="shared" si="561"/>
        <v>0.0000000007</v>
      </c>
      <c r="L308" s="107">
        <f t="shared" si="561"/>
        <v>0.0000000008</v>
      </c>
      <c r="M308" s="107">
        <f t="shared" si="561"/>
        <v>0.0000000009</v>
      </c>
      <c r="N308" s="107">
        <f t="shared" si="561"/>
        <v>0.00000000095</v>
      </c>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row>
    <row r="309" ht="15.75" customHeight="1">
      <c r="A309" s="107" t="s">
        <v>718</v>
      </c>
      <c r="B309" s="107" t="s">
        <v>719</v>
      </c>
      <c r="C309" s="108" t="s">
        <v>21</v>
      </c>
      <c r="D309" s="107">
        <f t="shared" si="550"/>
        <v>0.00000000395</v>
      </c>
      <c r="E309" s="107">
        <f>E10*1.5</f>
        <v>0.00000000015</v>
      </c>
      <c r="F309" s="107">
        <f>F10*2</f>
        <v>0.0000000004</v>
      </c>
      <c r="G309" s="107">
        <f t="shared" ref="G309:H309" si="562">G10</f>
        <v>0.0000000003</v>
      </c>
      <c r="H309" s="107">
        <f t="shared" si="562"/>
        <v>0.0000000004</v>
      </c>
      <c r="I309" s="111"/>
      <c r="J309" s="107">
        <f t="shared" ref="J309:N309" si="563">J10</f>
        <v>0.0000000006</v>
      </c>
      <c r="K309" s="107">
        <f t="shared" si="563"/>
        <v>0.0000000007</v>
      </c>
      <c r="L309" s="107">
        <f t="shared" si="563"/>
        <v>0.0000000008</v>
      </c>
      <c r="M309" s="107">
        <f t="shared" si="563"/>
        <v>0.0000000009</v>
      </c>
      <c r="N309" s="107">
        <f t="shared" si="563"/>
        <v>0.00000000095</v>
      </c>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row>
    <row r="310" ht="15.75" customHeight="1">
      <c r="A310" s="107" t="s">
        <v>720</v>
      </c>
      <c r="B310" s="107" t="s">
        <v>721</v>
      </c>
      <c r="C310" s="108" t="s">
        <v>21</v>
      </c>
      <c r="D310" s="107">
        <f t="shared" si="550"/>
        <v>0.00000000395</v>
      </c>
      <c r="E310" s="107">
        <f>E10*1.5</f>
        <v>0.00000000015</v>
      </c>
      <c r="F310" s="107">
        <f>F10*2</f>
        <v>0.0000000004</v>
      </c>
      <c r="G310" s="107">
        <f t="shared" ref="G310:H310" si="564">G10</f>
        <v>0.0000000003</v>
      </c>
      <c r="H310" s="107">
        <f t="shared" si="564"/>
        <v>0.0000000004</v>
      </c>
      <c r="I310" s="111"/>
      <c r="J310" s="107">
        <f t="shared" ref="J310:M310" si="565">IF(OR(J300="歷史",J300="中國歷史"),J10*1.2,J10)</f>
        <v>0.0000000006</v>
      </c>
      <c r="K310" s="107">
        <f t="shared" si="565"/>
        <v>0.0000000007</v>
      </c>
      <c r="L310" s="107">
        <f t="shared" si="565"/>
        <v>0.0000000008</v>
      </c>
      <c r="M310" s="107">
        <f t="shared" si="565"/>
        <v>0.0000000009</v>
      </c>
      <c r="N310" s="107">
        <f>N10</f>
        <v>0.00000000095</v>
      </c>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row>
    <row r="311" ht="15.75" customHeight="1">
      <c r="A311" s="107" t="s">
        <v>722</v>
      </c>
      <c r="B311" s="107" t="s">
        <v>723</v>
      </c>
      <c r="C311" s="108" t="s">
        <v>21</v>
      </c>
      <c r="D311" s="107">
        <f t="shared" si="550"/>
        <v>0.00000000395</v>
      </c>
      <c r="E311" s="107">
        <f>E10*1.5</f>
        <v>0.00000000015</v>
      </c>
      <c r="F311" s="107">
        <f>F10*2</f>
        <v>0.0000000004</v>
      </c>
      <c r="G311" s="107">
        <f>G10*1.5</f>
        <v>0.00000000045</v>
      </c>
      <c r="H311" s="107">
        <f>H10</f>
        <v>0.0000000004</v>
      </c>
      <c r="I311" s="111"/>
      <c r="J311" s="107">
        <f t="shared" ref="J311:N311" si="566">J10</f>
        <v>0.0000000006</v>
      </c>
      <c r="K311" s="107">
        <f t="shared" si="566"/>
        <v>0.0000000007</v>
      </c>
      <c r="L311" s="107">
        <f t="shared" si="566"/>
        <v>0.0000000008</v>
      </c>
      <c r="M311" s="107">
        <f t="shared" si="566"/>
        <v>0.0000000009</v>
      </c>
      <c r="N311" s="107">
        <f t="shared" si="566"/>
        <v>0.00000000095</v>
      </c>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row>
    <row r="312" ht="15.75" customHeight="1">
      <c r="A312" s="107" t="s">
        <v>724</v>
      </c>
      <c r="B312" s="107" t="s">
        <v>725</v>
      </c>
      <c r="C312" s="108" t="s">
        <v>21</v>
      </c>
      <c r="D312" s="107">
        <f t="shared" si="550"/>
        <v>0.00000000395</v>
      </c>
      <c r="E312" s="107">
        <f>E10*1.5</f>
        <v>0.00000000015</v>
      </c>
      <c r="F312" s="107">
        <f>F10*2</f>
        <v>0.0000000004</v>
      </c>
      <c r="G312" s="107">
        <f t="shared" ref="G312:H312" si="567">G10</f>
        <v>0.0000000003</v>
      </c>
      <c r="H312" s="107">
        <f t="shared" si="567"/>
        <v>0.0000000004</v>
      </c>
      <c r="I312" s="111"/>
      <c r="J312" s="107">
        <f t="shared" ref="J312:N312" si="568">J10</f>
        <v>0.0000000006</v>
      </c>
      <c r="K312" s="107">
        <f t="shared" si="568"/>
        <v>0.0000000007</v>
      </c>
      <c r="L312" s="107">
        <f t="shared" si="568"/>
        <v>0.0000000008</v>
      </c>
      <c r="M312" s="107">
        <f t="shared" si="568"/>
        <v>0.0000000009</v>
      </c>
      <c r="N312" s="107">
        <f t="shared" si="568"/>
        <v>0.00000000095</v>
      </c>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row>
    <row r="313" ht="15.75" customHeight="1">
      <c r="A313" s="107"/>
      <c r="B313" s="107"/>
      <c r="C313" s="108"/>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row>
    <row r="314" ht="15.75" customHeight="1">
      <c r="A314" s="123" t="s">
        <v>181</v>
      </c>
      <c r="B314" s="107"/>
      <c r="C314" s="108"/>
      <c r="D314" s="107" t="str">
        <f t="shared" ref="D314:N314" si="569">D1</f>
        <v>總分</v>
      </c>
      <c r="E314" s="107" t="str">
        <f t="shared" si="569"/>
        <v>中國語文</v>
      </c>
      <c r="F314" s="107" t="str">
        <f t="shared" si="569"/>
        <v>英國語文</v>
      </c>
      <c r="G314" s="107" t="str">
        <f t="shared" si="569"/>
        <v>數學</v>
      </c>
      <c r="H314" s="107" t="str">
        <f t="shared" si="569"/>
        <v>通識教育</v>
      </c>
      <c r="I314" s="107" t="str">
        <f t="shared" si="569"/>
        <v>數學延伸</v>
      </c>
      <c r="J314" s="107">
        <f t="shared" si="569"/>
        <v>0</v>
      </c>
      <c r="K314" s="107">
        <f t="shared" si="569"/>
        <v>0</v>
      </c>
      <c r="L314" s="107">
        <f t="shared" si="569"/>
        <v>0</v>
      </c>
      <c r="M314" s="107">
        <f t="shared" si="569"/>
        <v>0</v>
      </c>
      <c r="N314" s="107">
        <f t="shared" si="569"/>
        <v>0</v>
      </c>
      <c r="O314" s="107"/>
      <c r="P314" s="113"/>
      <c r="Q314" s="107"/>
      <c r="R314" s="107"/>
      <c r="S314" s="107"/>
      <c r="T314" s="107"/>
      <c r="U314" s="107"/>
      <c r="V314" s="107"/>
      <c r="W314" s="107"/>
      <c r="X314" s="107"/>
      <c r="Y314" s="107"/>
      <c r="Z314" s="107"/>
      <c r="AA314" s="107"/>
      <c r="AB314" s="107"/>
      <c r="AC314" s="107"/>
      <c r="AD314" s="107"/>
      <c r="AE314" s="107"/>
      <c r="AF314" s="107"/>
      <c r="AG314" s="107"/>
      <c r="AH314" s="107"/>
      <c r="AI314" s="107"/>
      <c r="AJ314" s="107"/>
    </row>
    <row r="315" ht="15.75" customHeight="1">
      <c r="A315" s="107" t="s">
        <v>726</v>
      </c>
      <c r="B315" s="107" t="s">
        <v>727</v>
      </c>
      <c r="C315" s="108" t="s">
        <v>21</v>
      </c>
      <c r="D315" s="111">
        <f t="shared" ref="D315:D337" si="571">LARGE(E315:N315, 1)+LARGE(E315:N315, 2)+LARGE(E315:N315, 3)+LARGE(E315:N315, 4)+LARGE(E315:N315, 5)</f>
        <v>0.00000000395</v>
      </c>
      <c r="E315" s="107">
        <f t="shared" ref="E315:N315" si="570">E11</f>
        <v>0.0000000001</v>
      </c>
      <c r="F315" s="107">
        <f t="shared" si="570"/>
        <v>0.0000000002</v>
      </c>
      <c r="G315" s="107">
        <f t="shared" si="570"/>
        <v>0.0000000003</v>
      </c>
      <c r="H315" s="107">
        <f t="shared" si="570"/>
        <v>0.0000000004</v>
      </c>
      <c r="I315" s="107">
        <f t="shared" si="570"/>
        <v>0.0000000005</v>
      </c>
      <c r="J315" s="107">
        <f t="shared" si="570"/>
        <v>0.0000000006</v>
      </c>
      <c r="K315" s="107">
        <f t="shared" si="570"/>
        <v>0.0000000007</v>
      </c>
      <c r="L315" s="107">
        <f t="shared" si="570"/>
        <v>0.0000000008</v>
      </c>
      <c r="M315" s="107">
        <f t="shared" si="570"/>
        <v>0.0000000009</v>
      </c>
      <c r="N315" s="107">
        <f t="shared" si="570"/>
        <v>0.00000000095</v>
      </c>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row>
    <row r="316" ht="15.75" customHeight="1">
      <c r="A316" s="107" t="s">
        <v>728</v>
      </c>
      <c r="B316" s="107" t="s">
        <v>729</v>
      </c>
      <c r="C316" s="108" t="s">
        <v>21</v>
      </c>
      <c r="D316" s="111">
        <f t="shared" si="571"/>
        <v>0.00000000395</v>
      </c>
      <c r="E316" s="107">
        <f t="shared" ref="E316:N316" si="572">E11</f>
        <v>0.0000000001</v>
      </c>
      <c r="F316" s="107">
        <f t="shared" si="572"/>
        <v>0.0000000002</v>
      </c>
      <c r="G316" s="107">
        <f t="shared" si="572"/>
        <v>0.0000000003</v>
      </c>
      <c r="H316" s="107">
        <f t="shared" si="572"/>
        <v>0.0000000004</v>
      </c>
      <c r="I316" s="107">
        <f t="shared" si="572"/>
        <v>0.0000000005</v>
      </c>
      <c r="J316" s="107">
        <f t="shared" si="572"/>
        <v>0.0000000006</v>
      </c>
      <c r="K316" s="107">
        <f t="shared" si="572"/>
        <v>0.0000000007</v>
      </c>
      <c r="L316" s="107">
        <f t="shared" si="572"/>
        <v>0.0000000008</v>
      </c>
      <c r="M316" s="107">
        <f t="shared" si="572"/>
        <v>0.0000000009</v>
      </c>
      <c r="N316" s="107">
        <f t="shared" si="572"/>
        <v>0.00000000095</v>
      </c>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row>
    <row r="317" ht="15.75" customHeight="1">
      <c r="A317" s="107" t="s">
        <v>730</v>
      </c>
      <c r="B317" s="107" t="s">
        <v>731</v>
      </c>
      <c r="C317" s="108" t="s">
        <v>21</v>
      </c>
      <c r="D317" s="111">
        <f t="shared" si="571"/>
        <v>0.00000000395</v>
      </c>
      <c r="E317" s="107">
        <f t="shared" ref="E317:N317" si="573">E11</f>
        <v>0.0000000001</v>
      </c>
      <c r="F317" s="107">
        <f t="shared" si="573"/>
        <v>0.0000000002</v>
      </c>
      <c r="G317" s="107">
        <f t="shared" si="573"/>
        <v>0.0000000003</v>
      </c>
      <c r="H317" s="107">
        <f t="shared" si="573"/>
        <v>0.0000000004</v>
      </c>
      <c r="I317" s="107">
        <f t="shared" si="573"/>
        <v>0.0000000005</v>
      </c>
      <c r="J317" s="107">
        <f t="shared" si="573"/>
        <v>0.0000000006</v>
      </c>
      <c r="K317" s="107">
        <f t="shared" si="573"/>
        <v>0.0000000007</v>
      </c>
      <c r="L317" s="107">
        <f t="shared" si="573"/>
        <v>0.0000000008</v>
      </c>
      <c r="M317" s="107">
        <f t="shared" si="573"/>
        <v>0.0000000009</v>
      </c>
      <c r="N317" s="107">
        <f t="shared" si="573"/>
        <v>0.00000000095</v>
      </c>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row>
    <row r="318" ht="15.75" customHeight="1">
      <c r="A318" s="107" t="s">
        <v>732</v>
      </c>
      <c r="B318" s="107" t="s">
        <v>733</v>
      </c>
      <c r="C318" s="108" t="s">
        <v>21</v>
      </c>
      <c r="D318" s="111">
        <f t="shared" si="571"/>
        <v>0.00000000395</v>
      </c>
      <c r="E318" s="107">
        <f t="shared" ref="E318:N318" si="574">E11</f>
        <v>0.0000000001</v>
      </c>
      <c r="F318" s="107">
        <f t="shared" si="574"/>
        <v>0.0000000002</v>
      </c>
      <c r="G318" s="107">
        <f t="shared" si="574"/>
        <v>0.0000000003</v>
      </c>
      <c r="H318" s="107">
        <f t="shared" si="574"/>
        <v>0.0000000004</v>
      </c>
      <c r="I318" s="107">
        <f t="shared" si="574"/>
        <v>0.0000000005</v>
      </c>
      <c r="J318" s="107">
        <f t="shared" si="574"/>
        <v>0.0000000006</v>
      </c>
      <c r="K318" s="107">
        <f t="shared" si="574"/>
        <v>0.0000000007</v>
      </c>
      <c r="L318" s="107">
        <f t="shared" si="574"/>
        <v>0.0000000008</v>
      </c>
      <c r="M318" s="107">
        <f t="shared" si="574"/>
        <v>0.0000000009</v>
      </c>
      <c r="N318" s="107">
        <f t="shared" si="574"/>
        <v>0.00000000095</v>
      </c>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row>
    <row r="319" ht="15.75" customHeight="1">
      <c r="A319" s="107" t="s">
        <v>734</v>
      </c>
      <c r="B319" s="107" t="s">
        <v>735</v>
      </c>
      <c r="C319" s="108" t="s">
        <v>21</v>
      </c>
      <c r="D319" s="111">
        <f t="shared" si="571"/>
        <v>0.00000000395</v>
      </c>
      <c r="E319" s="107">
        <f t="shared" ref="E319:N319" si="575">E11</f>
        <v>0.0000000001</v>
      </c>
      <c r="F319" s="107">
        <f t="shared" si="575"/>
        <v>0.0000000002</v>
      </c>
      <c r="G319" s="107">
        <f t="shared" si="575"/>
        <v>0.0000000003</v>
      </c>
      <c r="H319" s="107">
        <f t="shared" si="575"/>
        <v>0.0000000004</v>
      </c>
      <c r="I319" s="107">
        <f t="shared" si="575"/>
        <v>0.0000000005</v>
      </c>
      <c r="J319" s="107">
        <f t="shared" si="575"/>
        <v>0.0000000006</v>
      </c>
      <c r="K319" s="107">
        <f t="shared" si="575"/>
        <v>0.0000000007</v>
      </c>
      <c r="L319" s="107">
        <f t="shared" si="575"/>
        <v>0.0000000008</v>
      </c>
      <c r="M319" s="107">
        <f t="shared" si="575"/>
        <v>0.0000000009</v>
      </c>
      <c r="N319" s="107">
        <f t="shared" si="575"/>
        <v>0.00000000095</v>
      </c>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row>
    <row r="320" ht="15.75" customHeight="1">
      <c r="A320" s="107" t="s">
        <v>736</v>
      </c>
      <c r="B320" s="107" t="s">
        <v>737</v>
      </c>
      <c r="C320" s="108" t="s">
        <v>21</v>
      </c>
      <c r="D320" s="111">
        <f t="shared" si="571"/>
        <v>0.00000000395</v>
      </c>
      <c r="E320" s="107">
        <f t="shared" ref="E320:N320" si="576">E11</f>
        <v>0.0000000001</v>
      </c>
      <c r="F320" s="107">
        <f t="shared" si="576"/>
        <v>0.0000000002</v>
      </c>
      <c r="G320" s="107">
        <f t="shared" si="576"/>
        <v>0.0000000003</v>
      </c>
      <c r="H320" s="107">
        <f t="shared" si="576"/>
        <v>0.0000000004</v>
      </c>
      <c r="I320" s="107">
        <f t="shared" si="576"/>
        <v>0.0000000005</v>
      </c>
      <c r="J320" s="107">
        <f t="shared" si="576"/>
        <v>0.0000000006</v>
      </c>
      <c r="K320" s="107">
        <f t="shared" si="576"/>
        <v>0.0000000007</v>
      </c>
      <c r="L320" s="107">
        <f t="shared" si="576"/>
        <v>0.0000000008</v>
      </c>
      <c r="M320" s="107">
        <f t="shared" si="576"/>
        <v>0.0000000009</v>
      </c>
      <c r="N320" s="107">
        <f t="shared" si="576"/>
        <v>0.00000000095</v>
      </c>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row>
    <row r="321" ht="15.75" customHeight="1">
      <c r="A321" s="107" t="s">
        <v>738</v>
      </c>
      <c r="B321" s="107" t="s">
        <v>739</v>
      </c>
      <c r="C321" s="108" t="s">
        <v>21</v>
      </c>
      <c r="D321" s="111">
        <f t="shared" si="571"/>
        <v>0.00000000395</v>
      </c>
      <c r="E321" s="107">
        <f t="shared" ref="E321:N321" si="577">E11</f>
        <v>0.0000000001</v>
      </c>
      <c r="F321" s="107">
        <f t="shared" si="577"/>
        <v>0.0000000002</v>
      </c>
      <c r="G321" s="107">
        <f t="shared" si="577"/>
        <v>0.0000000003</v>
      </c>
      <c r="H321" s="107">
        <f t="shared" si="577"/>
        <v>0.0000000004</v>
      </c>
      <c r="I321" s="107">
        <f t="shared" si="577"/>
        <v>0.0000000005</v>
      </c>
      <c r="J321" s="107">
        <f t="shared" si="577"/>
        <v>0.0000000006</v>
      </c>
      <c r="K321" s="107">
        <f t="shared" si="577"/>
        <v>0.0000000007</v>
      </c>
      <c r="L321" s="107">
        <f t="shared" si="577"/>
        <v>0.0000000008</v>
      </c>
      <c r="M321" s="107">
        <f t="shared" si="577"/>
        <v>0.0000000009</v>
      </c>
      <c r="N321" s="107">
        <f t="shared" si="577"/>
        <v>0.00000000095</v>
      </c>
      <c r="O321" s="107"/>
      <c r="P321" s="107" t="s">
        <v>740</v>
      </c>
      <c r="Q321" s="107">
        <f>IF(AND(G11&lt;3,I11&lt;2),0,IF(G11&gt;4,2,0))</f>
        <v>0</v>
      </c>
      <c r="R321" s="107"/>
      <c r="S321" s="107"/>
      <c r="T321" s="107"/>
      <c r="U321" s="107"/>
      <c r="V321" s="107"/>
      <c r="W321" s="107"/>
      <c r="X321" s="107"/>
      <c r="Y321" s="107"/>
      <c r="Z321" s="107"/>
      <c r="AA321" s="107"/>
      <c r="AB321" s="107"/>
      <c r="AC321" s="107"/>
      <c r="AD321" s="107"/>
      <c r="AE321" s="107"/>
      <c r="AF321" s="107"/>
      <c r="AG321" s="107"/>
      <c r="AH321" s="107"/>
      <c r="AI321" s="107"/>
      <c r="AJ321" s="107"/>
    </row>
    <row r="322" ht="15.75" customHeight="1">
      <c r="A322" s="107" t="s">
        <v>741</v>
      </c>
      <c r="B322" s="107" t="s">
        <v>742</v>
      </c>
      <c r="C322" s="108" t="s">
        <v>21</v>
      </c>
      <c r="D322" s="111">
        <f t="shared" si="571"/>
        <v>0.00000000395</v>
      </c>
      <c r="E322" s="107">
        <f t="shared" ref="E322:N322" si="578">E11</f>
        <v>0.0000000001</v>
      </c>
      <c r="F322" s="107">
        <f t="shared" si="578"/>
        <v>0.0000000002</v>
      </c>
      <c r="G322" s="107">
        <f t="shared" si="578"/>
        <v>0.0000000003</v>
      </c>
      <c r="H322" s="107">
        <f t="shared" si="578"/>
        <v>0.0000000004</v>
      </c>
      <c r="I322" s="107">
        <f t="shared" si="578"/>
        <v>0.0000000005</v>
      </c>
      <c r="J322" s="107">
        <f t="shared" si="578"/>
        <v>0.0000000006</v>
      </c>
      <c r="K322" s="107">
        <f t="shared" si="578"/>
        <v>0.0000000007</v>
      </c>
      <c r="L322" s="107">
        <f t="shared" si="578"/>
        <v>0.0000000008</v>
      </c>
      <c r="M322" s="107">
        <f t="shared" si="578"/>
        <v>0.0000000009</v>
      </c>
      <c r="N322" s="107">
        <f t="shared" si="578"/>
        <v>0.00000000095</v>
      </c>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row>
    <row r="323" ht="15.75" customHeight="1">
      <c r="A323" s="107" t="s">
        <v>743</v>
      </c>
      <c r="B323" s="107" t="s">
        <v>744</v>
      </c>
      <c r="C323" s="108" t="s">
        <v>21</v>
      </c>
      <c r="D323" s="111">
        <f t="shared" si="571"/>
        <v>0.00000000395</v>
      </c>
      <c r="E323" s="107">
        <f t="shared" ref="E323:N323" si="579">E11</f>
        <v>0.0000000001</v>
      </c>
      <c r="F323" s="107">
        <f t="shared" si="579"/>
        <v>0.0000000002</v>
      </c>
      <c r="G323" s="107">
        <f t="shared" si="579"/>
        <v>0.0000000003</v>
      </c>
      <c r="H323" s="107">
        <f t="shared" si="579"/>
        <v>0.0000000004</v>
      </c>
      <c r="I323" s="107">
        <f t="shared" si="579"/>
        <v>0.0000000005</v>
      </c>
      <c r="J323" s="107">
        <f t="shared" si="579"/>
        <v>0.0000000006</v>
      </c>
      <c r="K323" s="107">
        <f t="shared" si="579"/>
        <v>0.0000000007</v>
      </c>
      <c r="L323" s="107">
        <f t="shared" si="579"/>
        <v>0.0000000008</v>
      </c>
      <c r="M323" s="107">
        <f t="shared" si="579"/>
        <v>0.0000000009</v>
      </c>
      <c r="N323" s="107">
        <f t="shared" si="579"/>
        <v>0.00000000095</v>
      </c>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row>
    <row r="324" ht="15.75" customHeight="1">
      <c r="A324" s="107" t="s">
        <v>745</v>
      </c>
      <c r="B324" s="107" t="s">
        <v>746</v>
      </c>
      <c r="C324" s="108" t="s">
        <v>21</v>
      </c>
      <c r="D324" s="111">
        <f t="shared" si="571"/>
        <v>0.00000000395</v>
      </c>
      <c r="E324" s="107">
        <f t="shared" ref="E324:N324" si="580">E11</f>
        <v>0.0000000001</v>
      </c>
      <c r="F324" s="107">
        <f t="shared" si="580"/>
        <v>0.0000000002</v>
      </c>
      <c r="G324" s="107">
        <f t="shared" si="580"/>
        <v>0.0000000003</v>
      </c>
      <c r="H324" s="107">
        <f t="shared" si="580"/>
        <v>0.0000000004</v>
      </c>
      <c r="I324" s="107">
        <f t="shared" si="580"/>
        <v>0.0000000005</v>
      </c>
      <c r="J324" s="107">
        <f t="shared" si="580"/>
        <v>0.0000000006</v>
      </c>
      <c r="K324" s="107">
        <f t="shared" si="580"/>
        <v>0.0000000007</v>
      </c>
      <c r="L324" s="107">
        <f t="shared" si="580"/>
        <v>0.0000000008</v>
      </c>
      <c r="M324" s="107">
        <f t="shared" si="580"/>
        <v>0.0000000009</v>
      </c>
      <c r="N324" s="107">
        <f t="shared" si="580"/>
        <v>0.00000000095</v>
      </c>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row>
    <row r="325" ht="15.75" customHeight="1">
      <c r="A325" s="107" t="s">
        <v>747</v>
      </c>
      <c r="B325" s="107" t="s">
        <v>748</v>
      </c>
      <c r="C325" s="108" t="s">
        <v>21</v>
      </c>
      <c r="D325" s="111">
        <f t="shared" si="571"/>
        <v>0.00000000395</v>
      </c>
      <c r="E325" s="107">
        <f t="shared" ref="E325:N325" si="581">E11</f>
        <v>0.0000000001</v>
      </c>
      <c r="F325" s="107">
        <f t="shared" si="581"/>
        <v>0.0000000002</v>
      </c>
      <c r="G325" s="107">
        <f t="shared" si="581"/>
        <v>0.0000000003</v>
      </c>
      <c r="H325" s="107">
        <f t="shared" si="581"/>
        <v>0.0000000004</v>
      </c>
      <c r="I325" s="107">
        <f t="shared" si="581"/>
        <v>0.0000000005</v>
      </c>
      <c r="J325" s="107">
        <f t="shared" si="581"/>
        <v>0.0000000006</v>
      </c>
      <c r="K325" s="107">
        <f t="shared" si="581"/>
        <v>0.0000000007</v>
      </c>
      <c r="L325" s="107">
        <f t="shared" si="581"/>
        <v>0.0000000008</v>
      </c>
      <c r="M325" s="107">
        <f t="shared" si="581"/>
        <v>0.0000000009</v>
      </c>
      <c r="N325" s="107">
        <f t="shared" si="581"/>
        <v>0.00000000095</v>
      </c>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row>
    <row r="326" ht="15.75" customHeight="1">
      <c r="A326" s="107" t="s">
        <v>749</v>
      </c>
      <c r="B326" s="107" t="s">
        <v>750</v>
      </c>
      <c r="C326" s="108" t="s">
        <v>21</v>
      </c>
      <c r="D326" s="111">
        <f t="shared" si="571"/>
        <v>0.00000000395</v>
      </c>
      <c r="E326" s="107">
        <f t="shared" ref="E326:N326" si="582">E11</f>
        <v>0.0000000001</v>
      </c>
      <c r="F326" s="107">
        <f t="shared" si="582"/>
        <v>0.0000000002</v>
      </c>
      <c r="G326" s="107">
        <f t="shared" si="582"/>
        <v>0.0000000003</v>
      </c>
      <c r="H326" s="107">
        <f t="shared" si="582"/>
        <v>0.0000000004</v>
      </c>
      <c r="I326" s="107">
        <f t="shared" si="582"/>
        <v>0.0000000005</v>
      </c>
      <c r="J326" s="107">
        <f t="shared" si="582"/>
        <v>0.0000000006</v>
      </c>
      <c r="K326" s="107">
        <f t="shared" si="582"/>
        <v>0.0000000007</v>
      </c>
      <c r="L326" s="107">
        <f t="shared" si="582"/>
        <v>0.0000000008</v>
      </c>
      <c r="M326" s="107">
        <f t="shared" si="582"/>
        <v>0.0000000009</v>
      </c>
      <c r="N326" s="107">
        <f t="shared" si="582"/>
        <v>0.00000000095</v>
      </c>
      <c r="O326" s="107"/>
      <c r="P326" s="107" t="s">
        <v>751</v>
      </c>
      <c r="Q326" s="107">
        <f>IF(OR(J1="歷史",J1="中國歷史",K1="歷史",K1="中國歷史",L1="歷史",L1="中國歷史"),1,0)</f>
        <v>0</v>
      </c>
      <c r="R326" s="107"/>
      <c r="S326" s="107"/>
      <c r="T326" s="107"/>
      <c r="U326" s="107"/>
      <c r="V326" s="107"/>
      <c r="W326" s="107"/>
      <c r="X326" s="107"/>
      <c r="Y326" s="107"/>
      <c r="Z326" s="107"/>
      <c r="AA326" s="107"/>
      <c r="AB326" s="107"/>
      <c r="AC326" s="107"/>
      <c r="AD326" s="107"/>
      <c r="AE326" s="107"/>
      <c r="AF326" s="107"/>
      <c r="AG326" s="107"/>
      <c r="AH326" s="107"/>
      <c r="AI326" s="107"/>
      <c r="AJ326" s="107"/>
    </row>
    <row r="327" ht="15.75" customHeight="1">
      <c r="A327" s="107" t="s">
        <v>752</v>
      </c>
      <c r="B327" s="107" t="s">
        <v>753</v>
      </c>
      <c r="C327" s="108" t="s">
        <v>21</v>
      </c>
      <c r="D327" s="111">
        <f t="shared" si="571"/>
        <v>0.00000000395</v>
      </c>
      <c r="E327" s="107">
        <f t="shared" ref="E327:N327" si="583">E11</f>
        <v>0.0000000001</v>
      </c>
      <c r="F327" s="107">
        <f t="shared" si="583"/>
        <v>0.0000000002</v>
      </c>
      <c r="G327" s="107">
        <f t="shared" si="583"/>
        <v>0.0000000003</v>
      </c>
      <c r="H327" s="107">
        <f t="shared" si="583"/>
        <v>0.0000000004</v>
      </c>
      <c r="I327" s="107">
        <f t="shared" si="583"/>
        <v>0.0000000005</v>
      </c>
      <c r="J327" s="107">
        <f t="shared" si="583"/>
        <v>0.0000000006</v>
      </c>
      <c r="K327" s="107">
        <f t="shared" si="583"/>
        <v>0.0000000007</v>
      </c>
      <c r="L327" s="107">
        <f t="shared" si="583"/>
        <v>0.0000000008</v>
      </c>
      <c r="M327" s="107">
        <f t="shared" si="583"/>
        <v>0.0000000009</v>
      </c>
      <c r="N327" s="107">
        <f t="shared" si="583"/>
        <v>0.00000000095</v>
      </c>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row>
    <row r="328" ht="15.75" customHeight="1">
      <c r="A328" s="107" t="s">
        <v>754</v>
      </c>
      <c r="B328" s="107" t="s">
        <v>755</v>
      </c>
      <c r="C328" s="108" t="s">
        <v>21</v>
      </c>
      <c r="D328" s="111">
        <f t="shared" si="571"/>
        <v>0.00000000395</v>
      </c>
      <c r="E328" s="107">
        <f t="shared" ref="E328:N328" si="584">E11</f>
        <v>0.0000000001</v>
      </c>
      <c r="F328" s="107">
        <f t="shared" si="584"/>
        <v>0.0000000002</v>
      </c>
      <c r="G328" s="107">
        <f t="shared" si="584"/>
        <v>0.0000000003</v>
      </c>
      <c r="H328" s="107">
        <f t="shared" si="584"/>
        <v>0.0000000004</v>
      </c>
      <c r="I328" s="107">
        <f t="shared" si="584"/>
        <v>0.0000000005</v>
      </c>
      <c r="J328" s="107">
        <f t="shared" si="584"/>
        <v>0.0000000006</v>
      </c>
      <c r="K328" s="107">
        <f t="shared" si="584"/>
        <v>0.0000000007</v>
      </c>
      <c r="L328" s="107">
        <f t="shared" si="584"/>
        <v>0.0000000008</v>
      </c>
      <c r="M328" s="107">
        <f t="shared" si="584"/>
        <v>0.0000000009</v>
      </c>
      <c r="N328" s="107">
        <f t="shared" si="584"/>
        <v>0.00000000095</v>
      </c>
      <c r="O328" s="107"/>
      <c r="P328" s="107" t="s">
        <v>123</v>
      </c>
      <c r="Q328" s="107">
        <f t="shared" ref="Q328:T328" si="585">IF(J1="中國文學",J14,0)</f>
        <v>0</v>
      </c>
      <c r="R328" s="107">
        <f t="shared" si="585"/>
        <v>0</v>
      </c>
      <c r="S328" s="107">
        <f t="shared" si="585"/>
        <v>0</v>
      </c>
      <c r="T328" s="107">
        <f t="shared" si="585"/>
        <v>0</v>
      </c>
      <c r="U328" s="107">
        <f t="shared" ref="U328:U329" si="588">SUM(Q328:T328)</f>
        <v>0</v>
      </c>
      <c r="V328" s="107"/>
      <c r="W328" s="107"/>
      <c r="X328" s="107"/>
      <c r="Y328" s="107"/>
      <c r="Z328" s="107"/>
      <c r="AA328" s="107"/>
      <c r="AB328" s="107"/>
      <c r="AC328" s="107"/>
      <c r="AD328" s="107"/>
      <c r="AE328" s="107"/>
      <c r="AF328" s="107"/>
      <c r="AG328" s="107"/>
      <c r="AH328" s="107"/>
      <c r="AI328" s="107"/>
      <c r="AJ328" s="107"/>
    </row>
    <row r="329" ht="15.75" customHeight="1">
      <c r="A329" s="107" t="s">
        <v>756</v>
      </c>
      <c r="B329" s="107" t="s">
        <v>757</v>
      </c>
      <c r="C329" s="108" t="s">
        <v>21</v>
      </c>
      <c r="D329" s="111">
        <f t="shared" si="571"/>
        <v>0.00000000395</v>
      </c>
      <c r="E329" s="107">
        <f t="shared" ref="E329:N329" si="586">E11</f>
        <v>0.0000000001</v>
      </c>
      <c r="F329" s="107">
        <f t="shared" si="586"/>
        <v>0.0000000002</v>
      </c>
      <c r="G329" s="107">
        <f t="shared" si="586"/>
        <v>0.0000000003</v>
      </c>
      <c r="H329" s="107">
        <f t="shared" si="586"/>
        <v>0.0000000004</v>
      </c>
      <c r="I329" s="107">
        <f t="shared" si="586"/>
        <v>0.0000000005</v>
      </c>
      <c r="J329" s="107">
        <f t="shared" si="586"/>
        <v>0.0000000006</v>
      </c>
      <c r="K329" s="107">
        <f t="shared" si="586"/>
        <v>0.0000000007</v>
      </c>
      <c r="L329" s="107">
        <f t="shared" si="586"/>
        <v>0.0000000008</v>
      </c>
      <c r="M329" s="107">
        <f t="shared" si="586"/>
        <v>0.0000000009</v>
      </c>
      <c r="N329" s="107">
        <f t="shared" si="586"/>
        <v>0.00000000095</v>
      </c>
      <c r="O329" s="107"/>
      <c r="P329" s="107" t="s">
        <v>126</v>
      </c>
      <c r="Q329" s="107">
        <f>IF(J1="英語文學",J14,0)</f>
        <v>0</v>
      </c>
      <c r="R329" s="107">
        <f t="shared" ref="R329:T329" si="587">IF(K$1="英語文學",K$14,0)</f>
        <v>0</v>
      </c>
      <c r="S329" s="107">
        <f t="shared" si="587"/>
        <v>0</v>
      </c>
      <c r="T329" s="107">
        <f t="shared" si="587"/>
        <v>0</v>
      </c>
      <c r="U329" s="107">
        <f t="shared" si="588"/>
        <v>0</v>
      </c>
      <c r="V329" s="107"/>
      <c r="W329" s="107"/>
      <c r="X329" s="107"/>
      <c r="Y329" s="107"/>
      <c r="Z329" s="107"/>
      <c r="AA329" s="107"/>
      <c r="AB329" s="107"/>
      <c r="AC329" s="107"/>
      <c r="AD329" s="107"/>
      <c r="AE329" s="107"/>
      <c r="AF329" s="107"/>
      <c r="AG329" s="107"/>
      <c r="AH329" s="107"/>
      <c r="AI329" s="107"/>
      <c r="AJ329" s="107"/>
    </row>
    <row r="330" ht="15.75" customHeight="1">
      <c r="A330" s="107" t="s">
        <v>758</v>
      </c>
      <c r="B330" s="107" t="s">
        <v>759</v>
      </c>
      <c r="C330" s="108" t="s">
        <v>21</v>
      </c>
      <c r="D330" s="111">
        <f t="shared" si="571"/>
        <v>0.00000000395</v>
      </c>
      <c r="E330" s="107">
        <f t="shared" ref="E330:N330" si="589">E11</f>
        <v>0.0000000001</v>
      </c>
      <c r="F330" s="107">
        <f t="shared" si="589"/>
        <v>0.0000000002</v>
      </c>
      <c r="G330" s="107">
        <f t="shared" si="589"/>
        <v>0.0000000003</v>
      </c>
      <c r="H330" s="107">
        <f t="shared" si="589"/>
        <v>0.0000000004</v>
      </c>
      <c r="I330" s="107">
        <f t="shared" si="589"/>
        <v>0.0000000005</v>
      </c>
      <c r="J330" s="107">
        <f t="shared" si="589"/>
        <v>0.0000000006</v>
      </c>
      <c r="K330" s="107">
        <f t="shared" si="589"/>
        <v>0.0000000007</v>
      </c>
      <c r="L330" s="107">
        <f t="shared" si="589"/>
        <v>0.0000000008</v>
      </c>
      <c r="M330" s="107">
        <f t="shared" si="589"/>
        <v>0.0000000009</v>
      </c>
      <c r="N330" s="107">
        <f t="shared" si="589"/>
        <v>0.00000000095</v>
      </c>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row>
    <row r="331" ht="15.75" customHeight="1">
      <c r="A331" s="107" t="s">
        <v>760</v>
      </c>
      <c r="B331" s="107" t="s">
        <v>761</v>
      </c>
      <c r="C331" s="108" t="s">
        <v>21</v>
      </c>
      <c r="D331" s="111">
        <f t="shared" si="571"/>
        <v>0.00000000395</v>
      </c>
      <c r="E331" s="107">
        <f t="shared" ref="E331:N331" si="590">E11</f>
        <v>0.0000000001</v>
      </c>
      <c r="F331" s="107">
        <f t="shared" si="590"/>
        <v>0.0000000002</v>
      </c>
      <c r="G331" s="107">
        <f t="shared" si="590"/>
        <v>0.0000000003</v>
      </c>
      <c r="H331" s="107">
        <f t="shared" si="590"/>
        <v>0.0000000004</v>
      </c>
      <c r="I331" s="107">
        <f t="shared" si="590"/>
        <v>0.0000000005</v>
      </c>
      <c r="J331" s="107">
        <f t="shared" si="590"/>
        <v>0.0000000006</v>
      </c>
      <c r="K331" s="107">
        <f t="shared" si="590"/>
        <v>0.0000000007</v>
      </c>
      <c r="L331" s="107">
        <f t="shared" si="590"/>
        <v>0.0000000008</v>
      </c>
      <c r="M331" s="107">
        <f t="shared" si="590"/>
        <v>0.0000000009</v>
      </c>
      <c r="N331" s="107">
        <f t="shared" si="590"/>
        <v>0.00000000095</v>
      </c>
      <c r="O331" s="107"/>
      <c r="P331" s="107" t="s">
        <v>95</v>
      </c>
      <c r="Q331" s="107">
        <f t="shared" ref="Q331:T331" si="591">IF(J1="音樂",J14,0)</f>
        <v>0</v>
      </c>
      <c r="R331" s="107">
        <f t="shared" si="591"/>
        <v>0</v>
      </c>
      <c r="S331" s="107">
        <f t="shared" si="591"/>
        <v>0</v>
      </c>
      <c r="T331" s="107">
        <f t="shared" si="591"/>
        <v>0</v>
      </c>
      <c r="U331" s="107">
        <f t="shared" ref="U331:U332" si="594">SUM(Q331:T331)</f>
        <v>0</v>
      </c>
      <c r="V331" s="107"/>
      <c r="W331" s="107"/>
      <c r="X331" s="107"/>
      <c r="Y331" s="107"/>
      <c r="Z331" s="107"/>
      <c r="AA331" s="107"/>
      <c r="AB331" s="107"/>
      <c r="AC331" s="107"/>
      <c r="AD331" s="107"/>
      <c r="AE331" s="107"/>
      <c r="AF331" s="107"/>
      <c r="AG331" s="107"/>
      <c r="AH331" s="107"/>
      <c r="AI331" s="107"/>
      <c r="AJ331" s="107"/>
    </row>
    <row r="332" ht="15.75" customHeight="1">
      <c r="A332" s="107" t="s">
        <v>762</v>
      </c>
      <c r="B332" s="107" t="s">
        <v>763</v>
      </c>
      <c r="C332" s="108" t="s">
        <v>21</v>
      </c>
      <c r="D332" s="111">
        <f t="shared" si="571"/>
        <v>0.00000000395</v>
      </c>
      <c r="E332" s="107">
        <f t="shared" ref="E332:N332" si="592">E11</f>
        <v>0.0000000001</v>
      </c>
      <c r="F332" s="107">
        <f t="shared" si="592"/>
        <v>0.0000000002</v>
      </c>
      <c r="G332" s="107">
        <f t="shared" si="592"/>
        <v>0.0000000003</v>
      </c>
      <c r="H332" s="107">
        <f t="shared" si="592"/>
        <v>0.0000000004</v>
      </c>
      <c r="I332" s="107">
        <f t="shared" si="592"/>
        <v>0.0000000005</v>
      </c>
      <c r="J332" s="107">
        <f t="shared" si="592"/>
        <v>0.0000000006</v>
      </c>
      <c r="K332" s="107">
        <f t="shared" si="592"/>
        <v>0.0000000007</v>
      </c>
      <c r="L332" s="107">
        <f t="shared" si="592"/>
        <v>0.0000000008</v>
      </c>
      <c r="M332" s="107">
        <f t="shared" si="592"/>
        <v>0.0000000009</v>
      </c>
      <c r="N332" s="107">
        <f t="shared" si="592"/>
        <v>0.00000000095</v>
      </c>
      <c r="O332" s="107"/>
      <c r="P332" s="107" t="s">
        <v>107</v>
      </c>
      <c r="Q332" s="107">
        <f t="shared" ref="Q332:T332" si="593">IF(J1="視覺藝術",J14,0)</f>
        <v>0</v>
      </c>
      <c r="R332" s="107">
        <f t="shared" si="593"/>
        <v>0</v>
      </c>
      <c r="S332" s="107">
        <f t="shared" si="593"/>
        <v>0</v>
      </c>
      <c r="T332" s="107">
        <f t="shared" si="593"/>
        <v>0</v>
      </c>
      <c r="U332" s="107">
        <f t="shared" si="594"/>
        <v>0</v>
      </c>
      <c r="V332" s="107"/>
      <c r="W332" s="107"/>
      <c r="X332" s="107"/>
      <c r="Y332" s="107"/>
      <c r="Z332" s="107"/>
      <c r="AA332" s="107"/>
      <c r="AB332" s="107"/>
      <c r="AC332" s="107"/>
      <c r="AD332" s="107"/>
      <c r="AE332" s="107"/>
      <c r="AF332" s="107"/>
      <c r="AG332" s="107"/>
      <c r="AH332" s="107"/>
      <c r="AI332" s="107"/>
      <c r="AJ332" s="107"/>
    </row>
    <row r="333" ht="15.75" customHeight="1">
      <c r="A333" s="107" t="s">
        <v>764</v>
      </c>
      <c r="B333" s="107" t="s">
        <v>765</v>
      </c>
      <c r="C333" s="108" t="s">
        <v>21</v>
      </c>
      <c r="D333" s="111">
        <f t="shared" si="571"/>
        <v>0.00000000395</v>
      </c>
      <c r="E333" s="107">
        <f t="shared" ref="E333:N333" si="595">E11</f>
        <v>0.0000000001</v>
      </c>
      <c r="F333" s="107">
        <f t="shared" si="595"/>
        <v>0.0000000002</v>
      </c>
      <c r="G333" s="107">
        <f t="shared" si="595"/>
        <v>0.0000000003</v>
      </c>
      <c r="H333" s="107">
        <f t="shared" si="595"/>
        <v>0.0000000004</v>
      </c>
      <c r="I333" s="107">
        <f t="shared" si="595"/>
        <v>0.0000000005</v>
      </c>
      <c r="J333" s="107">
        <f t="shared" si="595"/>
        <v>0.0000000006</v>
      </c>
      <c r="K333" s="107">
        <f t="shared" si="595"/>
        <v>0.0000000007</v>
      </c>
      <c r="L333" s="107">
        <f t="shared" si="595"/>
        <v>0.0000000008</v>
      </c>
      <c r="M333" s="107">
        <f t="shared" si="595"/>
        <v>0.0000000009</v>
      </c>
      <c r="N333" s="107">
        <f t="shared" si="595"/>
        <v>0.00000000095</v>
      </c>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row>
    <row r="334" ht="15.75" customHeight="1">
      <c r="A334" s="107" t="s">
        <v>766</v>
      </c>
      <c r="B334" s="107" t="s">
        <v>767</v>
      </c>
      <c r="C334" s="108" t="s">
        <v>21</v>
      </c>
      <c r="D334" s="111">
        <f t="shared" si="571"/>
        <v>0.00000000395</v>
      </c>
      <c r="E334" s="107">
        <f t="shared" ref="E334:N334" si="596">E11</f>
        <v>0.0000000001</v>
      </c>
      <c r="F334" s="107">
        <f t="shared" si="596"/>
        <v>0.0000000002</v>
      </c>
      <c r="G334" s="107">
        <f t="shared" si="596"/>
        <v>0.0000000003</v>
      </c>
      <c r="H334" s="107">
        <f t="shared" si="596"/>
        <v>0.0000000004</v>
      </c>
      <c r="I334" s="107">
        <f t="shared" si="596"/>
        <v>0.0000000005</v>
      </c>
      <c r="J334" s="107">
        <f t="shared" si="596"/>
        <v>0.0000000006</v>
      </c>
      <c r="K334" s="107">
        <f t="shared" si="596"/>
        <v>0.0000000007</v>
      </c>
      <c r="L334" s="107">
        <f t="shared" si="596"/>
        <v>0.0000000008</v>
      </c>
      <c r="M334" s="107">
        <f t="shared" si="596"/>
        <v>0.0000000009</v>
      </c>
      <c r="N334" s="107">
        <f t="shared" si="596"/>
        <v>0.00000000095</v>
      </c>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row>
    <row r="335" ht="15.75" customHeight="1">
      <c r="A335" s="107" t="s">
        <v>768</v>
      </c>
      <c r="B335" s="107" t="s">
        <v>769</v>
      </c>
      <c r="C335" s="108" t="s">
        <v>21</v>
      </c>
      <c r="D335" s="111">
        <f t="shared" si="571"/>
        <v>0.00000000395</v>
      </c>
      <c r="E335" s="107">
        <f t="shared" ref="E335:N335" si="597">E11</f>
        <v>0.0000000001</v>
      </c>
      <c r="F335" s="107">
        <f t="shared" si="597"/>
        <v>0.0000000002</v>
      </c>
      <c r="G335" s="107">
        <f t="shared" si="597"/>
        <v>0.0000000003</v>
      </c>
      <c r="H335" s="107">
        <f t="shared" si="597"/>
        <v>0.0000000004</v>
      </c>
      <c r="I335" s="107">
        <f t="shared" si="597"/>
        <v>0.0000000005</v>
      </c>
      <c r="J335" s="107">
        <f t="shared" si="597"/>
        <v>0.0000000006</v>
      </c>
      <c r="K335" s="107">
        <f t="shared" si="597"/>
        <v>0.0000000007</v>
      </c>
      <c r="L335" s="107">
        <f t="shared" si="597"/>
        <v>0.0000000008</v>
      </c>
      <c r="M335" s="107">
        <f t="shared" si="597"/>
        <v>0.0000000009</v>
      </c>
      <c r="N335" s="107">
        <f t="shared" si="597"/>
        <v>0.00000000095</v>
      </c>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row>
    <row r="336" ht="15.75" customHeight="1">
      <c r="A336" s="107" t="s">
        <v>770</v>
      </c>
      <c r="B336" s="107" t="s">
        <v>771</v>
      </c>
      <c r="C336" s="108" t="s">
        <v>21</v>
      </c>
      <c r="D336" s="111">
        <f t="shared" si="571"/>
        <v>0.00000000395</v>
      </c>
      <c r="E336" s="107">
        <f t="shared" ref="E336:N336" si="598">E11</f>
        <v>0.0000000001</v>
      </c>
      <c r="F336" s="107">
        <f t="shared" si="598"/>
        <v>0.0000000002</v>
      </c>
      <c r="G336" s="107">
        <f t="shared" si="598"/>
        <v>0.0000000003</v>
      </c>
      <c r="H336" s="107">
        <f t="shared" si="598"/>
        <v>0.0000000004</v>
      </c>
      <c r="I336" s="107">
        <f t="shared" si="598"/>
        <v>0.0000000005</v>
      </c>
      <c r="J336" s="107">
        <f t="shared" si="598"/>
        <v>0.0000000006</v>
      </c>
      <c r="K336" s="107">
        <f t="shared" si="598"/>
        <v>0.0000000007</v>
      </c>
      <c r="L336" s="107">
        <f t="shared" si="598"/>
        <v>0.0000000008</v>
      </c>
      <c r="M336" s="107">
        <f t="shared" si="598"/>
        <v>0.0000000009</v>
      </c>
      <c r="N336" s="107">
        <f t="shared" si="598"/>
        <v>0.00000000095</v>
      </c>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row>
    <row r="337" ht="15.75" customHeight="1">
      <c r="A337" s="107" t="s">
        <v>772</v>
      </c>
      <c r="B337" s="107" t="s">
        <v>773</v>
      </c>
      <c r="C337" s="108" t="s">
        <v>21</v>
      </c>
      <c r="D337" s="111">
        <f t="shared" si="571"/>
        <v>0.00000000395</v>
      </c>
      <c r="E337" s="107">
        <f t="shared" ref="E337:N337" si="599">E11</f>
        <v>0.0000000001</v>
      </c>
      <c r="F337" s="107">
        <f t="shared" si="599"/>
        <v>0.0000000002</v>
      </c>
      <c r="G337" s="107">
        <f t="shared" si="599"/>
        <v>0.0000000003</v>
      </c>
      <c r="H337" s="107">
        <f t="shared" si="599"/>
        <v>0.0000000004</v>
      </c>
      <c r="I337" s="107">
        <f t="shared" si="599"/>
        <v>0.0000000005</v>
      </c>
      <c r="J337" s="107">
        <f t="shared" si="599"/>
        <v>0.0000000006</v>
      </c>
      <c r="K337" s="107">
        <f t="shared" si="599"/>
        <v>0.0000000007</v>
      </c>
      <c r="L337" s="107">
        <f t="shared" si="599"/>
        <v>0.0000000008</v>
      </c>
      <c r="M337" s="107">
        <f t="shared" si="599"/>
        <v>0.0000000009</v>
      </c>
      <c r="N337" s="107">
        <f t="shared" si="599"/>
        <v>0.00000000095</v>
      </c>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row>
    <row r="338" ht="15.75" customHeight="1">
      <c r="A338" s="107"/>
      <c r="B338" s="107"/>
      <c r="C338" s="108"/>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row>
    <row r="339" ht="15.75" customHeight="1">
      <c r="A339" s="123" t="s">
        <v>184</v>
      </c>
      <c r="B339" s="107"/>
      <c r="C339" s="108"/>
      <c r="D339" s="107" t="str">
        <f t="shared" ref="D339:N339" si="600">D1</f>
        <v>總分</v>
      </c>
      <c r="E339" s="107" t="str">
        <f t="shared" si="600"/>
        <v>中國語文</v>
      </c>
      <c r="F339" s="107" t="str">
        <f t="shared" si="600"/>
        <v>英國語文</v>
      </c>
      <c r="G339" s="107" t="str">
        <f t="shared" si="600"/>
        <v>數學</v>
      </c>
      <c r="H339" s="107" t="str">
        <f t="shared" si="600"/>
        <v>通識教育</v>
      </c>
      <c r="I339" s="107" t="str">
        <f t="shared" si="600"/>
        <v>數學延伸</v>
      </c>
      <c r="J339" s="107">
        <f t="shared" si="600"/>
        <v>0</v>
      </c>
      <c r="K339" s="107">
        <f t="shared" si="600"/>
        <v>0</v>
      </c>
      <c r="L339" s="107">
        <f t="shared" si="600"/>
        <v>0</v>
      </c>
      <c r="M339" s="107">
        <f t="shared" si="600"/>
        <v>0</v>
      </c>
      <c r="N339" s="107">
        <f t="shared" si="600"/>
        <v>0</v>
      </c>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row>
    <row r="340" ht="15.75" customHeight="1">
      <c r="A340" s="107" t="s">
        <v>774</v>
      </c>
      <c r="B340" s="108" t="s">
        <v>763</v>
      </c>
      <c r="C340" s="107" t="s">
        <v>775</v>
      </c>
      <c r="D340" s="107">
        <f t="shared" ref="D340:D361" si="603">SUM(E340:H340)+LARGE(J340:N340,1)</f>
        <v>0.00000000195</v>
      </c>
      <c r="E340" s="107">
        <f t="shared" ref="E340:H340" si="601">E12</f>
        <v>0.0000000001</v>
      </c>
      <c r="F340" s="107">
        <f t="shared" si="601"/>
        <v>0.0000000002</v>
      </c>
      <c r="G340" s="107">
        <f t="shared" si="601"/>
        <v>0.0000000003</v>
      </c>
      <c r="H340" s="107">
        <f t="shared" si="601"/>
        <v>0.0000000004</v>
      </c>
      <c r="I340" s="107"/>
      <c r="J340" s="107">
        <f t="shared" ref="J340:N340" si="602">J12</f>
        <v>0.0000000006</v>
      </c>
      <c r="K340" s="107">
        <f t="shared" si="602"/>
        <v>0.0000000007</v>
      </c>
      <c r="L340" s="107">
        <f t="shared" si="602"/>
        <v>0.0000000008</v>
      </c>
      <c r="M340" s="107">
        <f t="shared" si="602"/>
        <v>0.0000000009</v>
      </c>
      <c r="N340" s="107">
        <f t="shared" si="602"/>
        <v>0.00000000095</v>
      </c>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row>
    <row r="341" ht="15.75" customHeight="1">
      <c r="A341" s="107" t="s">
        <v>776</v>
      </c>
      <c r="B341" s="108" t="s">
        <v>777</v>
      </c>
      <c r="C341" s="107" t="s">
        <v>775</v>
      </c>
      <c r="D341" s="107">
        <f t="shared" si="603"/>
        <v>0.00000000195</v>
      </c>
      <c r="E341" s="107">
        <f t="shared" ref="E341:H341" si="604">E12</f>
        <v>0.0000000001</v>
      </c>
      <c r="F341" s="107">
        <f t="shared" si="604"/>
        <v>0.0000000002</v>
      </c>
      <c r="G341" s="107">
        <f t="shared" si="604"/>
        <v>0.0000000003</v>
      </c>
      <c r="H341" s="107">
        <f t="shared" si="604"/>
        <v>0.0000000004</v>
      </c>
      <c r="I341" s="107"/>
      <c r="J341" s="107">
        <f t="shared" ref="J341:N341" si="605">J12</f>
        <v>0.0000000006</v>
      </c>
      <c r="K341" s="107">
        <f t="shared" si="605"/>
        <v>0.0000000007</v>
      </c>
      <c r="L341" s="107">
        <f t="shared" si="605"/>
        <v>0.0000000008</v>
      </c>
      <c r="M341" s="107">
        <f t="shared" si="605"/>
        <v>0.0000000009</v>
      </c>
      <c r="N341" s="107">
        <f t="shared" si="605"/>
        <v>0.00000000095</v>
      </c>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row>
    <row r="342" ht="15.75" customHeight="1">
      <c r="A342" s="107" t="s">
        <v>778</v>
      </c>
      <c r="B342" s="108" t="s">
        <v>779</v>
      </c>
      <c r="C342" s="107" t="s">
        <v>775</v>
      </c>
      <c r="D342" s="107">
        <f t="shared" si="603"/>
        <v>0.00000000195</v>
      </c>
      <c r="E342" s="107">
        <f t="shared" ref="E342:H342" si="606">E12</f>
        <v>0.0000000001</v>
      </c>
      <c r="F342" s="107">
        <f t="shared" si="606"/>
        <v>0.0000000002</v>
      </c>
      <c r="G342" s="107">
        <f t="shared" si="606"/>
        <v>0.0000000003</v>
      </c>
      <c r="H342" s="107">
        <f t="shared" si="606"/>
        <v>0.0000000004</v>
      </c>
      <c r="I342" s="107"/>
      <c r="J342" s="107">
        <f t="shared" ref="J342:N342" si="607">J12</f>
        <v>0.0000000006</v>
      </c>
      <c r="K342" s="107">
        <f t="shared" si="607"/>
        <v>0.0000000007</v>
      </c>
      <c r="L342" s="107">
        <f t="shared" si="607"/>
        <v>0.0000000008</v>
      </c>
      <c r="M342" s="107">
        <f t="shared" si="607"/>
        <v>0.0000000009</v>
      </c>
      <c r="N342" s="107">
        <f t="shared" si="607"/>
        <v>0.00000000095</v>
      </c>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row>
    <row r="343" ht="15.75" customHeight="1">
      <c r="A343" s="107" t="s">
        <v>780</v>
      </c>
      <c r="B343" s="108" t="s">
        <v>781</v>
      </c>
      <c r="C343" s="107" t="s">
        <v>775</v>
      </c>
      <c r="D343" s="107">
        <f t="shared" si="603"/>
        <v>0.00000000195</v>
      </c>
      <c r="E343" s="107">
        <f t="shared" ref="E343:H343" si="608">E12</f>
        <v>0.0000000001</v>
      </c>
      <c r="F343" s="107">
        <f t="shared" si="608"/>
        <v>0.0000000002</v>
      </c>
      <c r="G343" s="107">
        <f t="shared" si="608"/>
        <v>0.0000000003</v>
      </c>
      <c r="H343" s="107">
        <f t="shared" si="608"/>
        <v>0.0000000004</v>
      </c>
      <c r="I343" s="107"/>
      <c r="J343" s="107">
        <f t="shared" ref="J343:N343" si="609">J12</f>
        <v>0.0000000006</v>
      </c>
      <c r="K343" s="107">
        <f t="shared" si="609"/>
        <v>0.0000000007</v>
      </c>
      <c r="L343" s="107">
        <f t="shared" si="609"/>
        <v>0.0000000008</v>
      </c>
      <c r="M343" s="107">
        <f t="shared" si="609"/>
        <v>0.0000000009</v>
      </c>
      <c r="N343" s="107">
        <f t="shared" si="609"/>
        <v>0.00000000095</v>
      </c>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row>
    <row r="344" ht="15.75" customHeight="1">
      <c r="A344" s="107" t="s">
        <v>782</v>
      </c>
      <c r="B344" s="108" t="s">
        <v>783</v>
      </c>
      <c r="C344" s="107" t="s">
        <v>775</v>
      </c>
      <c r="D344" s="107">
        <f t="shared" si="603"/>
        <v>0.00000000195</v>
      </c>
      <c r="E344" s="107">
        <f t="shared" ref="E344:H344" si="610">E12</f>
        <v>0.0000000001</v>
      </c>
      <c r="F344" s="107">
        <f t="shared" si="610"/>
        <v>0.0000000002</v>
      </c>
      <c r="G344" s="107">
        <f t="shared" si="610"/>
        <v>0.0000000003</v>
      </c>
      <c r="H344" s="107">
        <f t="shared" si="610"/>
        <v>0.0000000004</v>
      </c>
      <c r="I344" s="107"/>
      <c r="J344" s="107">
        <f t="shared" ref="J344:N344" si="611">J12</f>
        <v>0.0000000006</v>
      </c>
      <c r="K344" s="107">
        <f t="shared" si="611"/>
        <v>0.0000000007</v>
      </c>
      <c r="L344" s="107">
        <f t="shared" si="611"/>
        <v>0.0000000008</v>
      </c>
      <c r="M344" s="107">
        <f t="shared" si="611"/>
        <v>0.0000000009</v>
      </c>
      <c r="N344" s="107">
        <f t="shared" si="611"/>
        <v>0.00000000095</v>
      </c>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row>
    <row r="345" ht="15.75" customHeight="1">
      <c r="A345" s="107" t="s">
        <v>784</v>
      </c>
      <c r="B345" s="108" t="s">
        <v>785</v>
      </c>
      <c r="C345" s="107" t="s">
        <v>775</v>
      </c>
      <c r="D345" s="107">
        <f t="shared" si="603"/>
        <v>0.00000000195</v>
      </c>
      <c r="E345" s="107">
        <f t="shared" ref="E345:H345" si="612">E12</f>
        <v>0.0000000001</v>
      </c>
      <c r="F345" s="107">
        <f t="shared" si="612"/>
        <v>0.0000000002</v>
      </c>
      <c r="G345" s="107">
        <f t="shared" si="612"/>
        <v>0.0000000003</v>
      </c>
      <c r="H345" s="107">
        <f t="shared" si="612"/>
        <v>0.0000000004</v>
      </c>
      <c r="I345" s="107"/>
      <c r="J345" s="107">
        <f t="shared" ref="J345:N345" si="613">J12</f>
        <v>0.0000000006</v>
      </c>
      <c r="K345" s="107">
        <f t="shared" si="613"/>
        <v>0.0000000007</v>
      </c>
      <c r="L345" s="107">
        <f t="shared" si="613"/>
        <v>0.0000000008</v>
      </c>
      <c r="M345" s="107">
        <f t="shared" si="613"/>
        <v>0.0000000009</v>
      </c>
      <c r="N345" s="107">
        <f t="shared" si="613"/>
        <v>0.00000000095</v>
      </c>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row>
    <row r="346" ht="15.75" customHeight="1">
      <c r="A346" s="107" t="s">
        <v>786</v>
      </c>
      <c r="B346" s="108" t="s">
        <v>787</v>
      </c>
      <c r="C346" s="107" t="s">
        <v>775</v>
      </c>
      <c r="D346" s="107">
        <f t="shared" si="603"/>
        <v>0.00000000195</v>
      </c>
      <c r="E346" s="107">
        <f t="shared" ref="E346:H346" si="614">E12</f>
        <v>0.0000000001</v>
      </c>
      <c r="F346" s="107">
        <f t="shared" si="614"/>
        <v>0.0000000002</v>
      </c>
      <c r="G346" s="107">
        <f t="shared" si="614"/>
        <v>0.0000000003</v>
      </c>
      <c r="H346" s="107">
        <f t="shared" si="614"/>
        <v>0.0000000004</v>
      </c>
      <c r="I346" s="107"/>
      <c r="J346" s="107">
        <f t="shared" ref="J346:N346" si="615">J12</f>
        <v>0.0000000006</v>
      </c>
      <c r="K346" s="107">
        <f t="shared" si="615"/>
        <v>0.0000000007</v>
      </c>
      <c r="L346" s="107">
        <f t="shared" si="615"/>
        <v>0.0000000008</v>
      </c>
      <c r="M346" s="107">
        <f t="shared" si="615"/>
        <v>0.0000000009</v>
      </c>
      <c r="N346" s="107">
        <f t="shared" si="615"/>
        <v>0.00000000095</v>
      </c>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row>
    <row r="347" ht="15.75" customHeight="1">
      <c r="A347" s="107" t="s">
        <v>788</v>
      </c>
      <c r="B347" s="108" t="s">
        <v>789</v>
      </c>
      <c r="C347" s="107" t="s">
        <v>775</v>
      </c>
      <c r="D347" s="107">
        <f t="shared" si="603"/>
        <v>0.00000000205</v>
      </c>
      <c r="E347" s="107">
        <f>E12*2</f>
        <v>0.0000000002</v>
      </c>
      <c r="F347" s="107">
        <f t="shared" ref="F347:H347" si="616">F12</f>
        <v>0.0000000002</v>
      </c>
      <c r="G347" s="107">
        <f t="shared" si="616"/>
        <v>0.0000000003</v>
      </c>
      <c r="H347" s="107">
        <f t="shared" si="616"/>
        <v>0.0000000004</v>
      </c>
      <c r="I347" s="107"/>
      <c r="J347" s="107">
        <f t="shared" ref="J347:N347" si="617">J12</f>
        <v>0.0000000006</v>
      </c>
      <c r="K347" s="107">
        <f t="shared" si="617"/>
        <v>0.0000000007</v>
      </c>
      <c r="L347" s="107">
        <f t="shared" si="617"/>
        <v>0.0000000008</v>
      </c>
      <c r="M347" s="107">
        <f t="shared" si="617"/>
        <v>0.0000000009</v>
      </c>
      <c r="N347" s="107">
        <f t="shared" si="617"/>
        <v>0.00000000095</v>
      </c>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row>
    <row r="348" ht="15.75" customHeight="1">
      <c r="A348" s="107" t="s">
        <v>790</v>
      </c>
      <c r="B348" s="108" t="s">
        <v>791</v>
      </c>
      <c r="C348" s="107" t="s">
        <v>775</v>
      </c>
      <c r="D348" s="107">
        <f t="shared" si="603"/>
        <v>0.0000000021</v>
      </c>
      <c r="E348" s="107">
        <f t="shared" ref="E348:F348" si="618">E12*1.5</f>
        <v>0.00000000015</v>
      </c>
      <c r="F348" s="107">
        <f t="shared" si="618"/>
        <v>0.0000000003</v>
      </c>
      <c r="G348" s="107">
        <f t="shared" ref="G348:H348" si="619">G12</f>
        <v>0.0000000003</v>
      </c>
      <c r="H348" s="107">
        <f t="shared" si="619"/>
        <v>0.0000000004</v>
      </c>
      <c r="I348" s="107"/>
      <c r="J348" s="107">
        <f t="shared" ref="J348:N348" si="620">J12</f>
        <v>0.0000000006</v>
      </c>
      <c r="K348" s="107">
        <f t="shared" si="620"/>
        <v>0.0000000007</v>
      </c>
      <c r="L348" s="107">
        <f t="shared" si="620"/>
        <v>0.0000000008</v>
      </c>
      <c r="M348" s="107">
        <f t="shared" si="620"/>
        <v>0.0000000009</v>
      </c>
      <c r="N348" s="107">
        <f t="shared" si="620"/>
        <v>0.00000000095</v>
      </c>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row>
    <row r="349" ht="15.75" customHeight="1">
      <c r="A349" s="107" t="s">
        <v>792</v>
      </c>
      <c r="B349" s="108" t="s">
        <v>793</v>
      </c>
      <c r="C349" s="107" t="s">
        <v>775</v>
      </c>
      <c r="D349" s="107">
        <f t="shared" si="603"/>
        <v>0.0000000021</v>
      </c>
      <c r="E349" s="107">
        <f t="shared" ref="E349:F349" si="621">E12*1.5</f>
        <v>0.00000000015</v>
      </c>
      <c r="F349" s="107">
        <f t="shared" si="621"/>
        <v>0.0000000003</v>
      </c>
      <c r="G349" s="107">
        <f t="shared" ref="G349:H349" si="622">G12</f>
        <v>0.0000000003</v>
      </c>
      <c r="H349" s="107">
        <f t="shared" si="622"/>
        <v>0.0000000004</v>
      </c>
      <c r="I349" s="107"/>
      <c r="J349" s="107">
        <f t="shared" ref="J349:N349" si="623">J12</f>
        <v>0.0000000006</v>
      </c>
      <c r="K349" s="107">
        <f t="shared" si="623"/>
        <v>0.0000000007</v>
      </c>
      <c r="L349" s="107">
        <f t="shared" si="623"/>
        <v>0.0000000008</v>
      </c>
      <c r="M349" s="107">
        <f t="shared" si="623"/>
        <v>0.0000000009</v>
      </c>
      <c r="N349" s="107">
        <f t="shared" si="623"/>
        <v>0.00000000095</v>
      </c>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row>
    <row r="350" ht="15.75" customHeight="1">
      <c r="A350" s="107" t="s">
        <v>794</v>
      </c>
      <c r="B350" s="108" t="s">
        <v>795</v>
      </c>
      <c r="C350" s="107" t="s">
        <v>775</v>
      </c>
      <c r="D350" s="107">
        <f t="shared" si="603"/>
        <v>0.00000000195</v>
      </c>
      <c r="E350" s="107">
        <f t="shared" ref="E350:H350" si="624">E12</f>
        <v>0.0000000001</v>
      </c>
      <c r="F350" s="107">
        <f t="shared" si="624"/>
        <v>0.0000000002</v>
      </c>
      <c r="G350" s="107">
        <f t="shared" si="624"/>
        <v>0.0000000003</v>
      </c>
      <c r="H350" s="107">
        <f t="shared" si="624"/>
        <v>0.0000000004</v>
      </c>
      <c r="I350" s="107"/>
      <c r="J350" s="107">
        <f t="shared" ref="J350:N350" si="625">J12</f>
        <v>0.0000000006</v>
      </c>
      <c r="K350" s="107">
        <f t="shared" si="625"/>
        <v>0.0000000007</v>
      </c>
      <c r="L350" s="107">
        <f t="shared" si="625"/>
        <v>0.0000000008</v>
      </c>
      <c r="M350" s="107">
        <f t="shared" si="625"/>
        <v>0.0000000009</v>
      </c>
      <c r="N350" s="107">
        <f t="shared" si="625"/>
        <v>0.00000000095</v>
      </c>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row>
    <row r="351" ht="15.75" customHeight="1">
      <c r="A351" s="107" t="s">
        <v>796</v>
      </c>
      <c r="B351" s="108" t="s">
        <v>797</v>
      </c>
      <c r="C351" s="107" t="s">
        <v>775</v>
      </c>
      <c r="D351" s="107">
        <f t="shared" si="603"/>
        <v>0.00000000195</v>
      </c>
      <c r="E351" s="107">
        <f t="shared" ref="E351:H351" si="626">E12</f>
        <v>0.0000000001</v>
      </c>
      <c r="F351" s="107">
        <f t="shared" si="626"/>
        <v>0.0000000002</v>
      </c>
      <c r="G351" s="107">
        <f t="shared" si="626"/>
        <v>0.0000000003</v>
      </c>
      <c r="H351" s="107">
        <f t="shared" si="626"/>
        <v>0.0000000004</v>
      </c>
      <c r="I351" s="107"/>
      <c r="J351" s="107">
        <f t="shared" ref="J351:N351" si="627">J12</f>
        <v>0.0000000006</v>
      </c>
      <c r="K351" s="107">
        <f t="shared" si="627"/>
        <v>0.0000000007</v>
      </c>
      <c r="L351" s="107">
        <f t="shared" si="627"/>
        <v>0.0000000008</v>
      </c>
      <c r="M351" s="107">
        <f t="shared" si="627"/>
        <v>0.0000000009</v>
      </c>
      <c r="N351" s="107">
        <f t="shared" si="627"/>
        <v>0.00000000095</v>
      </c>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row>
    <row r="352" ht="15.75" customHeight="1">
      <c r="A352" s="107" t="s">
        <v>798</v>
      </c>
      <c r="B352" s="108" t="s">
        <v>799</v>
      </c>
      <c r="C352" s="107" t="s">
        <v>775</v>
      </c>
      <c r="D352" s="107">
        <f t="shared" si="603"/>
        <v>0.00000000195</v>
      </c>
      <c r="E352" s="107">
        <f t="shared" ref="E352:H352" si="628">E12</f>
        <v>0.0000000001</v>
      </c>
      <c r="F352" s="107">
        <f t="shared" si="628"/>
        <v>0.0000000002</v>
      </c>
      <c r="G352" s="107">
        <f t="shared" si="628"/>
        <v>0.0000000003</v>
      </c>
      <c r="H352" s="107">
        <f t="shared" si="628"/>
        <v>0.0000000004</v>
      </c>
      <c r="I352" s="107"/>
      <c r="J352" s="107">
        <f t="shared" ref="J352:N352" si="629">J12</f>
        <v>0.0000000006</v>
      </c>
      <c r="K352" s="107">
        <f t="shared" si="629"/>
        <v>0.0000000007</v>
      </c>
      <c r="L352" s="107">
        <f t="shared" si="629"/>
        <v>0.0000000008</v>
      </c>
      <c r="M352" s="107">
        <f t="shared" si="629"/>
        <v>0.0000000009</v>
      </c>
      <c r="N352" s="107">
        <f t="shared" si="629"/>
        <v>0.00000000095</v>
      </c>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row>
    <row r="353" ht="15.75" customHeight="1">
      <c r="A353" s="107" t="s">
        <v>800</v>
      </c>
      <c r="B353" s="108" t="s">
        <v>801</v>
      </c>
      <c r="C353" s="107" t="s">
        <v>775</v>
      </c>
      <c r="D353" s="107">
        <f t="shared" si="603"/>
        <v>0.00000000195</v>
      </c>
      <c r="E353" s="107">
        <f t="shared" ref="E353:H353" si="630">E12</f>
        <v>0.0000000001</v>
      </c>
      <c r="F353" s="107">
        <f t="shared" si="630"/>
        <v>0.0000000002</v>
      </c>
      <c r="G353" s="107">
        <f t="shared" si="630"/>
        <v>0.0000000003</v>
      </c>
      <c r="H353" s="107">
        <f t="shared" si="630"/>
        <v>0.0000000004</v>
      </c>
      <c r="I353" s="107"/>
      <c r="J353" s="107">
        <f t="shared" ref="J353:N353" si="631">J12</f>
        <v>0.0000000006</v>
      </c>
      <c r="K353" s="107">
        <f t="shared" si="631"/>
        <v>0.0000000007</v>
      </c>
      <c r="L353" s="107">
        <f t="shared" si="631"/>
        <v>0.0000000008</v>
      </c>
      <c r="M353" s="107">
        <f t="shared" si="631"/>
        <v>0.0000000009</v>
      </c>
      <c r="N353" s="107">
        <f t="shared" si="631"/>
        <v>0.00000000095</v>
      </c>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row>
    <row r="354" ht="15.75" customHeight="1">
      <c r="A354" s="107" t="s">
        <v>802</v>
      </c>
      <c r="B354" s="108" t="s">
        <v>803</v>
      </c>
      <c r="C354" s="107" t="s">
        <v>775</v>
      </c>
      <c r="D354" s="107">
        <f t="shared" si="603"/>
        <v>0.00000000195</v>
      </c>
      <c r="E354" s="107">
        <f t="shared" ref="E354:H354" si="632">E12</f>
        <v>0.0000000001</v>
      </c>
      <c r="F354" s="107">
        <f t="shared" si="632"/>
        <v>0.0000000002</v>
      </c>
      <c r="G354" s="107">
        <f t="shared" si="632"/>
        <v>0.0000000003</v>
      </c>
      <c r="H354" s="107">
        <f t="shared" si="632"/>
        <v>0.0000000004</v>
      </c>
      <c r="I354" s="107"/>
      <c r="J354" s="107">
        <f t="shared" ref="J354:N354" si="633">J12</f>
        <v>0.0000000006</v>
      </c>
      <c r="K354" s="107">
        <f t="shared" si="633"/>
        <v>0.0000000007</v>
      </c>
      <c r="L354" s="107">
        <f t="shared" si="633"/>
        <v>0.0000000008</v>
      </c>
      <c r="M354" s="107">
        <f t="shared" si="633"/>
        <v>0.0000000009</v>
      </c>
      <c r="N354" s="107">
        <f t="shared" si="633"/>
        <v>0.00000000095</v>
      </c>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row>
    <row r="355" ht="15.75" customHeight="1">
      <c r="A355" s="107" t="s">
        <v>804</v>
      </c>
      <c r="B355" s="108" t="s">
        <v>805</v>
      </c>
      <c r="C355" s="107" t="s">
        <v>775</v>
      </c>
      <c r="D355" s="107">
        <f t="shared" si="603"/>
        <v>0.00000000195</v>
      </c>
      <c r="E355" s="107">
        <f t="shared" ref="E355:H355" si="634">E12</f>
        <v>0.0000000001</v>
      </c>
      <c r="F355" s="107">
        <f t="shared" si="634"/>
        <v>0.0000000002</v>
      </c>
      <c r="G355" s="107">
        <f t="shared" si="634"/>
        <v>0.0000000003</v>
      </c>
      <c r="H355" s="107">
        <f t="shared" si="634"/>
        <v>0.0000000004</v>
      </c>
      <c r="I355" s="107"/>
      <c r="J355" s="107">
        <f t="shared" ref="J355:N355" si="635">J12</f>
        <v>0.0000000006</v>
      </c>
      <c r="K355" s="107">
        <f t="shared" si="635"/>
        <v>0.0000000007</v>
      </c>
      <c r="L355" s="107">
        <f t="shared" si="635"/>
        <v>0.0000000008</v>
      </c>
      <c r="M355" s="107">
        <f t="shared" si="635"/>
        <v>0.0000000009</v>
      </c>
      <c r="N355" s="107">
        <f t="shared" si="635"/>
        <v>0.00000000095</v>
      </c>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row>
    <row r="356" ht="15.75" customHeight="1">
      <c r="A356" s="107" t="s">
        <v>806</v>
      </c>
      <c r="B356" s="108" t="s">
        <v>807</v>
      </c>
      <c r="C356" s="107" t="s">
        <v>775</v>
      </c>
      <c r="D356" s="107">
        <f t="shared" si="603"/>
        <v>0.00000000195</v>
      </c>
      <c r="E356" s="107">
        <f t="shared" ref="E356:H356" si="636">E12</f>
        <v>0.0000000001</v>
      </c>
      <c r="F356" s="107">
        <f t="shared" si="636"/>
        <v>0.0000000002</v>
      </c>
      <c r="G356" s="107">
        <f t="shared" si="636"/>
        <v>0.0000000003</v>
      </c>
      <c r="H356" s="107">
        <f t="shared" si="636"/>
        <v>0.0000000004</v>
      </c>
      <c r="I356" s="107"/>
      <c r="J356" s="107">
        <f t="shared" ref="J356:N356" si="637">J12</f>
        <v>0.0000000006</v>
      </c>
      <c r="K356" s="107">
        <f t="shared" si="637"/>
        <v>0.0000000007</v>
      </c>
      <c r="L356" s="107">
        <f t="shared" si="637"/>
        <v>0.0000000008</v>
      </c>
      <c r="M356" s="107">
        <f t="shared" si="637"/>
        <v>0.0000000009</v>
      </c>
      <c r="N356" s="107">
        <f t="shared" si="637"/>
        <v>0.00000000095</v>
      </c>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row>
    <row r="357" ht="15.75" customHeight="1">
      <c r="A357" s="107" t="s">
        <v>808</v>
      </c>
      <c r="B357" s="108" t="s">
        <v>809</v>
      </c>
      <c r="C357" s="107" t="s">
        <v>775</v>
      </c>
      <c r="D357" s="107">
        <f t="shared" si="603"/>
        <v>0.00000000195</v>
      </c>
      <c r="E357" s="107">
        <f t="shared" ref="E357:H357" si="638">E12</f>
        <v>0.0000000001</v>
      </c>
      <c r="F357" s="107">
        <f t="shared" si="638"/>
        <v>0.0000000002</v>
      </c>
      <c r="G357" s="107">
        <f t="shared" si="638"/>
        <v>0.0000000003</v>
      </c>
      <c r="H357" s="107">
        <f t="shared" si="638"/>
        <v>0.0000000004</v>
      </c>
      <c r="I357" s="107"/>
      <c r="J357" s="107">
        <f t="shared" ref="J357:N357" si="639">J12</f>
        <v>0.0000000006</v>
      </c>
      <c r="K357" s="107">
        <f t="shared" si="639"/>
        <v>0.0000000007</v>
      </c>
      <c r="L357" s="107">
        <f t="shared" si="639"/>
        <v>0.0000000008</v>
      </c>
      <c r="M357" s="107">
        <f t="shared" si="639"/>
        <v>0.0000000009</v>
      </c>
      <c r="N357" s="107">
        <f t="shared" si="639"/>
        <v>0.00000000095</v>
      </c>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row>
    <row r="358" ht="15.75" customHeight="1">
      <c r="A358" s="107" t="s">
        <v>810</v>
      </c>
      <c r="B358" s="108" t="s">
        <v>811</v>
      </c>
      <c r="C358" s="107" t="s">
        <v>775</v>
      </c>
      <c r="D358" s="107">
        <f t="shared" si="603"/>
        <v>0.00000000195</v>
      </c>
      <c r="E358" s="107">
        <f t="shared" ref="E358:H358" si="640">E12</f>
        <v>0.0000000001</v>
      </c>
      <c r="F358" s="107">
        <f t="shared" si="640"/>
        <v>0.0000000002</v>
      </c>
      <c r="G358" s="107">
        <f t="shared" si="640"/>
        <v>0.0000000003</v>
      </c>
      <c r="H358" s="107">
        <f t="shared" si="640"/>
        <v>0.0000000004</v>
      </c>
      <c r="I358" s="107"/>
      <c r="J358" s="107">
        <f t="shared" ref="J358:N358" si="641">J12</f>
        <v>0.0000000006</v>
      </c>
      <c r="K358" s="107">
        <f t="shared" si="641"/>
        <v>0.0000000007</v>
      </c>
      <c r="L358" s="107">
        <f t="shared" si="641"/>
        <v>0.0000000008</v>
      </c>
      <c r="M358" s="107">
        <f t="shared" si="641"/>
        <v>0.0000000009</v>
      </c>
      <c r="N358" s="107">
        <f t="shared" si="641"/>
        <v>0.00000000095</v>
      </c>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row>
    <row r="359" ht="15.75" customHeight="1">
      <c r="A359" s="107" t="s">
        <v>812</v>
      </c>
      <c r="B359" s="108" t="s">
        <v>813</v>
      </c>
      <c r="C359" s="107" t="s">
        <v>775</v>
      </c>
      <c r="D359" s="107">
        <f t="shared" si="603"/>
        <v>0.00000000195</v>
      </c>
      <c r="E359" s="107">
        <f t="shared" ref="E359:H359" si="642">E12</f>
        <v>0.0000000001</v>
      </c>
      <c r="F359" s="107">
        <f t="shared" si="642"/>
        <v>0.0000000002</v>
      </c>
      <c r="G359" s="107">
        <f t="shared" si="642"/>
        <v>0.0000000003</v>
      </c>
      <c r="H359" s="107">
        <f t="shared" si="642"/>
        <v>0.0000000004</v>
      </c>
      <c r="I359" s="107"/>
      <c r="J359" s="107">
        <f t="shared" ref="J359:N359" si="643">J12</f>
        <v>0.0000000006</v>
      </c>
      <c r="K359" s="107">
        <f t="shared" si="643"/>
        <v>0.0000000007</v>
      </c>
      <c r="L359" s="107">
        <f t="shared" si="643"/>
        <v>0.0000000008</v>
      </c>
      <c r="M359" s="107">
        <f t="shared" si="643"/>
        <v>0.0000000009</v>
      </c>
      <c r="N359" s="107">
        <f t="shared" si="643"/>
        <v>0.00000000095</v>
      </c>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row>
    <row r="360" ht="15.75" customHeight="1">
      <c r="A360" s="107" t="s">
        <v>814</v>
      </c>
      <c r="B360" s="108" t="s">
        <v>815</v>
      </c>
      <c r="C360" s="107" t="s">
        <v>775</v>
      </c>
      <c r="D360" s="107">
        <f t="shared" si="603"/>
        <v>0.00000000195</v>
      </c>
      <c r="E360" s="107">
        <f t="shared" ref="E360:H360" si="644">E12</f>
        <v>0.0000000001</v>
      </c>
      <c r="F360" s="107">
        <f t="shared" si="644"/>
        <v>0.0000000002</v>
      </c>
      <c r="G360" s="107">
        <f t="shared" si="644"/>
        <v>0.0000000003</v>
      </c>
      <c r="H360" s="107">
        <f t="shared" si="644"/>
        <v>0.0000000004</v>
      </c>
      <c r="I360" s="107"/>
      <c r="J360" s="107">
        <f t="shared" ref="J360:N360" si="645">J12</f>
        <v>0.0000000006</v>
      </c>
      <c r="K360" s="107">
        <f t="shared" si="645"/>
        <v>0.0000000007</v>
      </c>
      <c r="L360" s="107">
        <f t="shared" si="645"/>
        <v>0.0000000008</v>
      </c>
      <c r="M360" s="107">
        <f t="shared" si="645"/>
        <v>0.0000000009</v>
      </c>
      <c r="N360" s="107">
        <f t="shared" si="645"/>
        <v>0.00000000095</v>
      </c>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row>
    <row r="361" ht="15.75" customHeight="1">
      <c r="A361" s="107" t="s">
        <v>816</v>
      </c>
      <c r="B361" s="108" t="s">
        <v>817</v>
      </c>
      <c r="C361" s="107" t="s">
        <v>775</v>
      </c>
      <c r="D361" s="107">
        <f t="shared" si="603"/>
        <v>0.00000000195</v>
      </c>
      <c r="E361" s="107">
        <f t="shared" ref="E361:H361" si="646">E12</f>
        <v>0.0000000001</v>
      </c>
      <c r="F361" s="107">
        <f t="shared" si="646"/>
        <v>0.0000000002</v>
      </c>
      <c r="G361" s="107">
        <f t="shared" si="646"/>
        <v>0.0000000003</v>
      </c>
      <c r="H361" s="107">
        <f t="shared" si="646"/>
        <v>0.0000000004</v>
      </c>
      <c r="I361" s="107"/>
      <c r="J361" s="107">
        <f t="shared" ref="J361:N361" si="647">J12</f>
        <v>0.0000000006</v>
      </c>
      <c r="K361" s="107">
        <f t="shared" si="647"/>
        <v>0.0000000007</v>
      </c>
      <c r="L361" s="107">
        <f t="shared" si="647"/>
        <v>0.0000000008</v>
      </c>
      <c r="M361" s="107">
        <f t="shared" si="647"/>
        <v>0.0000000009</v>
      </c>
      <c r="N361" s="107">
        <f t="shared" si="647"/>
        <v>0.00000000095</v>
      </c>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row>
    <row r="362" ht="15.75" customHeight="1">
      <c r="A362" s="107" t="s">
        <v>818</v>
      </c>
      <c r="B362" s="108" t="s">
        <v>819</v>
      </c>
      <c r="C362" s="107" t="s">
        <v>21</v>
      </c>
      <c r="D362" s="107">
        <f t="shared" ref="D362:D367" si="650">LARGE(E362:N362,1)+LARGE(E362:N362,2)+LARGE(E362:N362,3)+LARGE(E362:N362,4)+LARGE(E362:N362,5)</f>
        <v>0.00000000395</v>
      </c>
      <c r="E362" s="107">
        <f>E12</f>
        <v>0.0000000001</v>
      </c>
      <c r="F362" s="107">
        <f>F12*2</f>
        <v>0.0000000004</v>
      </c>
      <c r="G362" s="107">
        <f t="shared" ref="G362:H362" si="648">G12</f>
        <v>0.0000000003</v>
      </c>
      <c r="H362" s="107">
        <f t="shared" si="648"/>
        <v>0.0000000004</v>
      </c>
      <c r="I362" s="107"/>
      <c r="J362" s="107">
        <f t="shared" ref="J362:N362" si="649">J12</f>
        <v>0.0000000006</v>
      </c>
      <c r="K362" s="107">
        <f t="shared" si="649"/>
        <v>0.0000000007</v>
      </c>
      <c r="L362" s="107">
        <f t="shared" si="649"/>
        <v>0.0000000008</v>
      </c>
      <c r="M362" s="107">
        <f t="shared" si="649"/>
        <v>0.0000000009</v>
      </c>
      <c r="N362" s="107">
        <f t="shared" si="649"/>
        <v>0.00000000095</v>
      </c>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row>
    <row r="363" ht="15.75" customHeight="1">
      <c r="A363" s="107" t="s">
        <v>820</v>
      </c>
      <c r="B363" s="108" t="s">
        <v>821</v>
      </c>
      <c r="C363" s="107" t="s">
        <v>21</v>
      </c>
      <c r="D363" s="107">
        <f t="shared" si="650"/>
        <v>0.00000000395</v>
      </c>
      <c r="E363" s="107">
        <f>E12</f>
        <v>0.0000000001</v>
      </c>
      <c r="F363" s="107">
        <f>F12*2</f>
        <v>0.0000000004</v>
      </c>
      <c r="G363" s="107">
        <f t="shared" ref="G363:H363" si="651">G12</f>
        <v>0.0000000003</v>
      </c>
      <c r="H363" s="107">
        <f t="shared" si="651"/>
        <v>0.0000000004</v>
      </c>
      <c r="I363" s="107"/>
      <c r="J363" s="107">
        <f t="shared" ref="J363:N363" si="652">J12</f>
        <v>0.0000000006</v>
      </c>
      <c r="K363" s="107">
        <f t="shared" si="652"/>
        <v>0.0000000007</v>
      </c>
      <c r="L363" s="107">
        <f t="shared" si="652"/>
        <v>0.0000000008</v>
      </c>
      <c r="M363" s="107">
        <f t="shared" si="652"/>
        <v>0.0000000009</v>
      </c>
      <c r="N363" s="107">
        <f t="shared" si="652"/>
        <v>0.00000000095</v>
      </c>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row>
    <row r="364" ht="15.75" customHeight="1">
      <c r="A364" s="107" t="s">
        <v>822</v>
      </c>
      <c r="B364" s="108" t="s">
        <v>823</v>
      </c>
      <c r="C364" s="107" t="s">
        <v>21</v>
      </c>
      <c r="D364" s="107">
        <f t="shared" si="650"/>
        <v>0.00000000395</v>
      </c>
      <c r="E364" s="107">
        <f>E12*2</f>
        <v>0.0000000002</v>
      </c>
      <c r="F364" s="107">
        <f t="shared" ref="F364:H364" si="653">F12</f>
        <v>0.0000000002</v>
      </c>
      <c r="G364" s="107">
        <f t="shared" si="653"/>
        <v>0.0000000003</v>
      </c>
      <c r="H364" s="107">
        <f t="shared" si="653"/>
        <v>0.0000000004</v>
      </c>
      <c r="I364" s="107"/>
      <c r="J364" s="107">
        <f t="shared" ref="J364:M364" si="654">IF(J1="中國文學",J12*1.5,J12)</f>
        <v>0.0000000006</v>
      </c>
      <c r="K364" s="107">
        <f t="shared" si="654"/>
        <v>0.0000000007</v>
      </c>
      <c r="L364" s="107">
        <f t="shared" si="654"/>
        <v>0.0000000008</v>
      </c>
      <c r="M364" s="107">
        <f t="shared" si="654"/>
        <v>0.0000000009</v>
      </c>
      <c r="N364" s="107">
        <f>N12</f>
        <v>0.00000000095</v>
      </c>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row>
    <row r="365" ht="15.75" customHeight="1">
      <c r="A365" s="107" t="s">
        <v>824</v>
      </c>
      <c r="B365" s="108" t="s">
        <v>825</v>
      </c>
      <c r="C365" s="107" t="s">
        <v>21</v>
      </c>
      <c r="D365" s="107">
        <f t="shared" si="650"/>
        <v>0.00000000395</v>
      </c>
      <c r="E365" s="107">
        <f>E12*2</f>
        <v>0.0000000002</v>
      </c>
      <c r="F365" s="107">
        <f t="shared" ref="F365:H365" si="655">F12</f>
        <v>0.0000000002</v>
      </c>
      <c r="G365" s="107">
        <f t="shared" si="655"/>
        <v>0.0000000003</v>
      </c>
      <c r="H365" s="107">
        <f t="shared" si="655"/>
        <v>0.0000000004</v>
      </c>
      <c r="I365" s="107"/>
      <c r="J365" s="107">
        <f t="shared" ref="J365:M365" si="656">IF(J1="中國文學",J12*1.5,J12)</f>
        <v>0.0000000006</v>
      </c>
      <c r="K365" s="107">
        <f t="shared" si="656"/>
        <v>0.0000000007</v>
      </c>
      <c r="L365" s="107">
        <f t="shared" si="656"/>
        <v>0.0000000008</v>
      </c>
      <c r="M365" s="107">
        <f t="shared" si="656"/>
        <v>0.0000000009</v>
      </c>
      <c r="N365" s="107">
        <f>N12</f>
        <v>0.00000000095</v>
      </c>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row>
    <row r="366" ht="15.75" customHeight="1">
      <c r="A366" s="107" t="s">
        <v>826</v>
      </c>
      <c r="B366" s="108" t="s">
        <v>827</v>
      </c>
      <c r="C366" s="107" t="s">
        <v>21</v>
      </c>
      <c r="D366" s="107">
        <f t="shared" si="650"/>
        <v>0.00000000395</v>
      </c>
      <c r="E366" s="107">
        <f t="shared" ref="E366:H366" si="657">E12</f>
        <v>0.0000000001</v>
      </c>
      <c r="F366" s="107">
        <f t="shared" si="657"/>
        <v>0.0000000002</v>
      </c>
      <c r="G366" s="107">
        <f t="shared" si="657"/>
        <v>0.0000000003</v>
      </c>
      <c r="H366" s="107">
        <f t="shared" si="657"/>
        <v>0.0000000004</v>
      </c>
      <c r="I366" s="107"/>
      <c r="J366" s="107">
        <f t="shared" ref="J366:N366" si="658">J12</f>
        <v>0.0000000006</v>
      </c>
      <c r="K366" s="107">
        <f t="shared" si="658"/>
        <v>0.0000000007</v>
      </c>
      <c r="L366" s="107">
        <f t="shared" si="658"/>
        <v>0.0000000008</v>
      </c>
      <c r="M366" s="107">
        <f t="shared" si="658"/>
        <v>0.0000000009</v>
      </c>
      <c r="N366" s="107">
        <f t="shared" si="658"/>
        <v>0.00000000095</v>
      </c>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row>
    <row r="367" ht="15.75" customHeight="1">
      <c r="A367" s="107" t="s">
        <v>828</v>
      </c>
      <c r="B367" s="108" t="s">
        <v>829</v>
      </c>
      <c r="C367" s="107" t="s">
        <v>21</v>
      </c>
      <c r="D367" s="107">
        <f t="shared" si="650"/>
        <v>0.00000000395</v>
      </c>
      <c r="E367" s="107">
        <f t="shared" ref="E367:H367" si="659">E12</f>
        <v>0.0000000001</v>
      </c>
      <c r="F367" s="107">
        <f t="shared" si="659"/>
        <v>0.0000000002</v>
      </c>
      <c r="G367" s="107">
        <f t="shared" si="659"/>
        <v>0.0000000003</v>
      </c>
      <c r="H367" s="107">
        <f t="shared" si="659"/>
        <v>0.0000000004</v>
      </c>
      <c r="I367" s="107"/>
      <c r="J367" s="107">
        <f t="shared" ref="J367:N367" si="660">J12</f>
        <v>0.0000000006</v>
      </c>
      <c r="K367" s="107">
        <f t="shared" si="660"/>
        <v>0.0000000007</v>
      </c>
      <c r="L367" s="107">
        <f t="shared" si="660"/>
        <v>0.0000000008</v>
      </c>
      <c r="M367" s="107">
        <f t="shared" si="660"/>
        <v>0.0000000009</v>
      </c>
      <c r="N367" s="107">
        <f t="shared" si="660"/>
        <v>0.00000000095</v>
      </c>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row>
    <row r="368" ht="15.75" customHeight="1">
      <c r="A368" s="107" t="s">
        <v>830</v>
      </c>
      <c r="B368" s="108" t="s">
        <v>831</v>
      </c>
      <c r="C368" s="107" t="s">
        <v>775</v>
      </c>
      <c r="D368" s="107">
        <f t="shared" ref="D368:D374" si="663">SUM(E368:H368)+LARGE(J368:N368,1)</f>
        <v>0.00000000195</v>
      </c>
      <c r="E368" s="107">
        <f t="shared" ref="E368:H368" si="661">E$12</f>
        <v>0.0000000001</v>
      </c>
      <c r="F368" s="107">
        <f t="shared" si="661"/>
        <v>0.0000000002</v>
      </c>
      <c r="G368" s="107">
        <f t="shared" si="661"/>
        <v>0.0000000003</v>
      </c>
      <c r="H368" s="107">
        <f t="shared" si="661"/>
        <v>0.0000000004</v>
      </c>
      <c r="I368" s="107"/>
      <c r="J368" s="107">
        <f t="shared" ref="J368:N368" si="662">J$12</f>
        <v>0.0000000006</v>
      </c>
      <c r="K368" s="107">
        <f t="shared" si="662"/>
        <v>0.0000000007</v>
      </c>
      <c r="L368" s="107">
        <f t="shared" si="662"/>
        <v>0.0000000008</v>
      </c>
      <c r="M368" s="107">
        <f t="shared" si="662"/>
        <v>0.0000000009</v>
      </c>
      <c r="N368" s="107">
        <f t="shared" si="662"/>
        <v>0.00000000095</v>
      </c>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row>
    <row r="369" ht="15.75" customHeight="1">
      <c r="A369" s="107" t="s">
        <v>832</v>
      </c>
      <c r="B369" s="108" t="s">
        <v>833</v>
      </c>
      <c r="C369" s="107" t="s">
        <v>775</v>
      </c>
      <c r="D369" s="107">
        <f t="shared" si="663"/>
        <v>0.00000000195</v>
      </c>
      <c r="E369" s="107">
        <f t="shared" ref="E369:H369" si="664">E$12</f>
        <v>0.0000000001</v>
      </c>
      <c r="F369" s="107">
        <f t="shared" si="664"/>
        <v>0.0000000002</v>
      </c>
      <c r="G369" s="107">
        <f t="shared" si="664"/>
        <v>0.0000000003</v>
      </c>
      <c r="H369" s="107">
        <f t="shared" si="664"/>
        <v>0.0000000004</v>
      </c>
      <c r="I369" s="107"/>
      <c r="J369" s="107">
        <f t="shared" ref="J369:N369" si="665">J$12</f>
        <v>0.0000000006</v>
      </c>
      <c r="K369" s="107">
        <f t="shared" si="665"/>
        <v>0.0000000007</v>
      </c>
      <c r="L369" s="107">
        <f t="shared" si="665"/>
        <v>0.0000000008</v>
      </c>
      <c r="M369" s="107">
        <f t="shared" si="665"/>
        <v>0.0000000009</v>
      </c>
      <c r="N369" s="107">
        <f t="shared" si="665"/>
        <v>0.00000000095</v>
      </c>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row>
    <row r="370" ht="15.75" customHeight="1">
      <c r="A370" s="107" t="s">
        <v>834</v>
      </c>
      <c r="B370" s="108" t="s">
        <v>835</v>
      </c>
      <c r="C370" s="107" t="s">
        <v>775</v>
      </c>
      <c r="D370" s="107">
        <f t="shared" si="663"/>
        <v>0.00000000195</v>
      </c>
      <c r="E370" s="107">
        <f t="shared" ref="E370:H370" si="666">E$12</f>
        <v>0.0000000001</v>
      </c>
      <c r="F370" s="107">
        <f t="shared" si="666"/>
        <v>0.0000000002</v>
      </c>
      <c r="G370" s="107">
        <f t="shared" si="666"/>
        <v>0.0000000003</v>
      </c>
      <c r="H370" s="107">
        <f t="shared" si="666"/>
        <v>0.0000000004</v>
      </c>
      <c r="I370" s="107"/>
      <c r="J370" s="107">
        <f t="shared" ref="J370:N370" si="667">J$12</f>
        <v>0.0000000006</v>
      </c>
      <c r="K370" s="107">
        <f t="shared" si="667"/>
        <v>0.0000000007</v>
      </c>
      <c r="L370" s="107">
        <f t="shared" si="667"/>
        <v>0.0000000008</v>
      </c>
      <c r="M370" s="107">
        <f t="shared" si="667"/>
        <v>0.0000000009</v>
      </c>
      <c r="N370" s="107">
        <f t="shared" si="667"/>
        <v>0.00000000095</v>
      </c>
      <c r="O370" s="107"/>
      <c r="P370" s="140"/>
      <c r="Q370" s="140"/>
      <c r="R370" s="140"/>
      <c r="S370" s="140"/>
      <c r="T370" s="140"/>
      <c r="U370" s="107"/>
      <c r="V370" s="107"/>
      <c r="W370" s="107"/>
      <c r="X370" s="107"/>
      <c r="Y370" s="107"/>
      <c r="Z370" s="107"/>
      <c r="AA370" s="107"/>
      <c r="AB370" s="107"/>
      <c r="AC370" s="107"/>
      <c r="AD370" s="107"/>
      <c r="AE370" s="107"/>
      <c r="AF370" s="107"/>
      <c r="AG370" s="107"/>
      <c r="AH370" s="107"/>
      <c r="AI370" s="107"/>
      <c r="AJ370" s="107"/>
    </row>
    <row r="371" ht="15.75" customHeight="1">
      <c r="A371" s="107" t="s">
        <v>836</v>
      </c>
      <c r="B371" s="108" t="s">
        <v>837</v>
      </c>
      <c r="C371" s="107" t="s">
        <v>775</v>
      </c>
      <c r="D371" s="107">
        <f t="shared" si="663"/>
        <v>0.00000000195</v>
      </c>
      <c r="E371" s="107">
        <f t="shared" ref="E371:H371" si="668">E$12</f>
        <v>0.0000000001</v>
      </c>
      <c r="F371" s="107">
        <f t="shared" si="668"/>
        <v>0.0000000002</v>
      </c>
      <c r="G371" s="107">
        <f t="shared" si="668"/>
        <v>0.0000000003</v>
      </c>
      <c r="H371" s="107">
        <f t="shared" si="668"/>
        <v>0.0000000004</v>
      </c>
      <c r="I371" s="107"/>
      <c r="J371" s="107">
        <f t="shared" ref="J371:N371" si="669">J$12</f>
        <v>0.0000000006</v>
      </c>
      <c r="K371" s="107">
        <f t="shared" si="669"/>
        <v>0.0000000007</v>
      </c>
      <c r="L371" s="107">
        <f t="shared" si="669"/>
        <v>0.0000000008</v>
      </c>
      <c r="M371" s="107">
        <f t="shared" si="669"/>
        <v>0.0000000009</v>
      </c>
      <c r="N371" s="107">
        <f t="shared" si="669"/>
        <v>0.00000000095</v>
      </c>
      <c r="O371" s="107"/>
      <c r="P371" s="144" t="s">
        <v>838</v>
      </c>
      <c r="Q371" s="144"/>
      <c r="R371" s="144"/>
      <c r="S371" s="144"/>
      <c r="T371" s="122">
        <f>IF(LARGE(P372:T372,1)&gt;4,1,0)</f>
        <v>0</v>
      </c>
      <c r="U371" s="107"/>
      <c r="V371" s="107"/>
      <c r="W371" s="107"/>
      <c r="X371" s="107"/>
      <c r="Y371" s="107"/>
      <c r="Z371" s="107"/>
      <c r="AA371" s="107"/>
      <c r="AB371" s="107"/>
      <c r="AC371" s="107"/>
      <c r="AD371" s="107"/>
      <c r="AE371" s="107"/>
      <c r="AF371" s="107"/>
      <c r="AG371" s="107"/>
      <c r="AH371" s="107"/>
      <c r="AI371" s="107"/>
      <c r="AJ371" s="107"/>
    </row>
    <row r="372" ht="15.75" customHeight="1">
      <c r="A372" s="107" t="s">
        <v>839</v>
      </c>
      <c r="B372" s="108" t="s">
        <v>840</v>
      </c>
      <c r="C372" s="107" t="s">
        <v>775</v>
      </c>
      <c r="D372" s="107">
        <f t="shared" si="663"/>
        <v>0.00000000195</v>
      </c>
      <c r="E372" s="107">
        <f t="shared" ref="E372:H372" si="670">E$12</f>
        <v>0.0000000001</v>
      </c>
      <c r="F372" s="107">
        <f t="shared" si="670"/>
        <v>0.0000000002</v>
      </c>
      <c r="G372" s="107">
        <f t="shared" si="670"/>
        <v>0.0000000003</v>
      </c>
      <c r="H372" s="107">
        <f t="shared" si="670"/>
        <v>0.0000000004</v>
      </c>
      <c r="I372" s="107"/>
      <c r="J372" s="107">
        <f t="shared" ref="J372:N372" si="671">J$12</f>
        <v>0.0000000006</v>
      </c>
      <c r="K372" s="107">
        <f t="shared" si="671"/>
        <v>0.0000000007</v>
      </c>
      <c r="L372" s="107">
        <f t="shared" si="671"/>
        <v>0.0000000008</v>
      </c>
      <c r="M372" s="107">
        <f t="shared" si="671"/>
        <v>0.0000000009</v>
      </c>
      <c r="N372" s="107">
        <f t="shared" si="671"/>
        <v>0.00000000095</v>
      </c>
      <c r="O372" s="107"/>
      <c r="P372" s="140">
        <f>I14</f>
        <v>0.0000000005</v>
      </c>
      <c r="Q372" s="140">
        <f t="shared" ref="Q372:T372" si="672">IF(OR(J1="化學",J1="生物",J1="物理",J1="組合科學(物理、化學)",J1="組合科學(物理、生物)",J1="組合科學(生物、化學)",J1="綜合科學",J1="資訊及通訊科技"),J14,0)</f>
        <v>0</v>
      </c>
      <c r="R372" s="140">
        <f t="shared" si="672"/>
        <v>0</v>
      </c>
      <c r="S372" s="140">
        <f t="shared" si="672"/>
        <v>0</v>
      </c>
      <c r="T372" s="140">
        <f t="shared" si="672"/>
        <v>0</v>
      </c>
      <c r="U372" s="140"/>
      <c r="V372" s="107"/>
      <c r="W372" s="107"/>
      <c r="X372" s="107"/>
      <c r="Y372" s="107"/>
      <c r="Z372" s="107"/>
      <c r="AA372" s="107"/>
      <c r="AB372" s="107"/>
      <c r="AC372" s="107"/>
      <c r="AD372" s="107"/>
      <c r="AE372" s="107"/>
      <c r="AF372" s="107"/>
      <c r="AG372" s="107"/>
      <c r="AH372" s="107"/>
      <c r="AI372" s="107"/>
      <c r="AJ372" s="107"/>
    </row>
    <row r="373" ht="15.75" customHeight="1">
      <c r="A373" s="107" t="s">
        <v>841</v>
      </c>
      <c r="B373" s="108" t="s">
        <v>842</v>
      </c>
      <c r="C373" s="107" t="s">
        <v>775</v>
      </c>
      <c r="D373" s="107">
        <f t="shared" si="663"/>
        <v>0.00000000195</v>
      </c>
      <c r="E373" s="107">
        <f t="shared" ref="E373:G373" si="673">E12</f>
        <v>0.0000000001</v>
      </c>
      <c r="F373" s="107">
        <f t="shared" si="673"/>
        <v>0.0000000002</v>
      </c>
      <c r="G373" s="107">
        <f t="shared" si="673"/>
        <v>0.0000000003</v>
      </c>
      <c r="H373" s="107">
        <f>H$12</f>
        <v>0.0000000004</v>
      </c>
      <c r="I373" s="107"/>
      <c r="J373" s="107">
        <f t="shared" ref="J373:N373" si="674">J12</f>
        <v>0.0000000006</v>
      </c>
      <c r="K373" s="107">
        <f t="shared" si="674"/>
        <v>0.0000000007</v>
      </c>
      <c r="L373" s="107">
        <f t="shared" si="674"/>
        <v>0.0000000008</v>
      </c>
      <c r="M373" s="107">
        <f t="shared" si="674"/>
        <v>0.0000000009</v>
      </c>
      <c r="N373" s="107">
        <f t="shared" si="674"/>
        <v>0.00000000095</v>
      </c>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row>
    <row r="374" ht="15.75" customHeight="1">
      <c r="A374" s="107" t="s">
        <v>843</v>
      </c>
      <c r="B374" s="108" t="s">
        <v>844</v>
      </c>
      <c r="C374" s="107" t="s">
        <v>775</v>
      </c>
      <c r="D374" s="107">
        <f t="shared" si="663"/>
        <v>0.00000000195</v>
      </c>
      <c r="E374" s="107">
        <f t="shared" ref="E374:H374" si="675">E12</f>
        <v>0.0000000001</v>
      </c>
      <c r="F374" s="107">
        <f t="shared" si="675"/>
        <v>0.0000000002</v>
      </c>
      <c r="G374" s="107">
        <f t="shared" si="675"/>
        <v>0.0000000003</v>
      </c>
      <c r="H374" s="107">
        <f t="shared" si="675"/>
        <v>0.0000000004</v>
      </c>
      <c r="I374" s="107"/>
      <c r="J374" s="107">
        <f t="shared" ref="J374:N374" si="676">J12</f>
        <v>0.0000000006</v>
      </c>
      <c r="K374" s="107">
        <f t="shared" si="676"/>
        <v>0.0000000007</v>
      </c>
      <c r="L374" s="107">
        <f t="shared" si="676"/>
        <v>0.0000000008</v>
      </c>
      <c r="M374" s="107">
        <f t="shared" si="676"/>
        <v>0.0000000009</v>
      </c>
      <c r="N374" s="107">
        <f t="shared" si="676"/>
        <v>0.00000000095</v>
      </c>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row>
    <row r="375" ht="15.75" customHeight="1">
      <c r="A375" s="107"/>
      <c r="B375" s="107"/>
      <c r="C375" s="108"/>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row>
    <row r="376" ht="15.75" customHeight="1">
      <c r="A376" s="123" t="s">
        <v>845</v>
      </c>
      <c r="B376" s="107"/>
      <c r="C376" s="108"/>
      <c r="D376" s="107" t="str">
        <f t="shared" ref="D376:N376" si="677">D1</f>
        <v>總分</v>
      </c>
      <c r="E376" s="107" t="str">
        <f t="shared" si="677"/>
        <v>中國語文</v>
      </c>
      <c r="F376" s="107" t="str">
        <f t="shared" si="677"/>
        <v>英國語文</v>
      </c>
      <c r="G376" s="107" t="str">
        <f t="shared" si="677"/>
        <v>數學</v>
      </c>
      <c r="H376" s="107" t="str">
        <f t="shared" si="677"/>
        <v>通識教育</v>
      </c>
      <c r="I376" s="107" t="str">
        <f t="shared" si="677"/>
        <v>數學延伸</v>
      </c>
      <c r="J376" s="107">
        <f t="shared" si="677"/>
        <v>0</v>
      </c>
      <c r="K376" s="107">
        <f t="shared" si="677"/>
        <v>0</v>
      </c>
      <c r="L376" s="107">
        <f t="shared" si="677"/>
        <v>0</v>
      </c>
      <c r="M376" s="107">
        <f t="shared" si="677"/>
        <v>0</v>
      </c>
      <c r="N376" s="107">
        <f t="shared" si="677"/>
        <v>0</v>
      </c>
      <c r="O376" s="107"/>
      <c r="P376" s="140"/>
      <c r="Q376" s="140"/>
      <c r="R376" s="140"/>
      <c r="S376" s="140"/>
      <c r="T376" s="140"/>
      <c r="U376" s="140"/>
      <c r="V376" s="107"/>
      <c r="W376" s="107"/>
      <c r="X376" s="107"/>
      <c r="Y376" s="107"/>
      <c r="Z376" s="107"/>
      <c r="AA376" s="107"/>
      <c r="AB376" s="107"/>
      <c r="AC376" s="107"/>
      <c r="AD376" s="107"/>
      <c r="AE376" s="107"/>
      <c r="AF376" s="107"/>
      <c r="AG376" s="107"/>
      <c r="AH376" s="107"/>
      <c r="AI376" s="107"/>
      <c r="AJ376" s="107"/>
    </row>
    <row r="377" ht="15.75" customHeight="1">
      <c r="A377" s="107" t="s">
        <v>846</v>
      </c>
      <c r="B377" s="108" t="s">
        <v>847</v>
      </c>
      <c r="C377" s="107" t="s">
        <v>775</v>
      </c>
      <c r="D377" s="107">
        <f t="shared" ref="D377:D383" si="680">SUM(E377:H377)+LARGE(I377:N377,1)</f>
        <v>0.0000000019</v>
      </c>
      <c r="E377" s="107">
        <f t="shared" ref="E377:H377" si="678">E$12</f>
        <v>0.0000000001</v>
      </c>
      <c r="F377" s="107">
        <f t="shared" si="678"/>
        <v>0.0000000002</v>
      </c>
      <c r="G377" s="107">
        <f t="shared" si="678"/>
        <v>0.0000000003</v>
      </c>
      <c r="H377" s="107">
        <f t="shared" si="678"/>
        <v>0.0000000004</v>
      </c>
      <c r="I377" s="107"/>
      <c r="J377" s="107">
        <f t="shared" ref="J377:M377" si="679">J$12</f>
        <v>0.0000000006</v>
      </c>
      <c r="K377" s="107">
        <f t="shared" si="679"/>
        <v>0.0000000007</v>
      </c>
      <c r="L377" s="107">
        <f t="shared" si="679"/>
        <v>0.0000000008</v>
      </c>
      <c r="M377" s="107">
        <f t="shared" si="679"/>
        <v>0.0000000009</v>
      </c>
      <c r="N377" s="107"/>
      <c r="O377" s="107"/>
      <c r="P377" s="140" t="s">
        <v>846</v>
      </c>
      <c r="Q377" s="144" t="s">
        <v>848</v>
      </c>
      <c r="R377" s="144"/>
      <c r="S377" s="144"/>
      <c r="T377" s="107">
        <f>IF(LARGE(Q378:T378,1)&gt;2,1,0)</f>
        <v>0</v>
      </c>
      <c r="U377" s="140"/>
      <c r="V377" s="107"/>
      <c r="W377" s="107"/>
      <c r="X377" s="107"/>
      <c r="Y377" s="107"/>
      <c r="Z377" s="107"/>
      <c r="AA377" s="107"/>
      <c r="AB377" s="107"/>
      <c r="AC377" s="107"/>
      <c r="AD377" s="107"/>
      <c r="AE377" s="107"/>
      <c r="AF377" s="107"/>
      <c r="AG377" s="107"/>
      <c r="AH377" s="107"/>
      <c r="AI377" s="107"/>
      <c r="AJ377" s="107"/>
    </row>
    <row r="378" ht="15.75" customHeight="1">
      <c r="A378" s="107" t="s">
        <v>849</v>
      </c>
      <c r="B378" s="108" t="s">
        <v>850</v>
      </c>
      <c r="C378" s="107" t="s">
        <v>775</v>
      </c>
      <c r="D378" s="107">
        <f t="shared" si="680"/>
        <v>0.0000000019</v>
      </c>
      <c r="E378" s="107">
        <f t="shared" ref="E378:H378" si="681">E$12</f>
        <v>0.0000000001</v>
      </c>
      <c r="F378" s="107">
        <f t="shared" si="681"/>
        <v>0.0000000002</v>
      </c>
      <c r="G378" s="107">
        <f t="shared" si="681"/>
        <v>0.0000000003</v>
      </c>
      <c r="H378" s="107">
        <f t="shared" si="681"/>
        <v>0.0000000004</v>
      </c>
      <c r="I378" s="107"/>
      <c r="J378" s="107">
        <f t="shared" ref="J378:M378" si="682">J$12</f>
        <v>0.0000000006</v>
      </c>
      <c r="K378" s="107">
        <f t="shared" si="682"/>
        <v>0.0000000007</v>
      </c>
      <c r="L378" s="107">
        <f t="shared" si="682"/>
        <v>0.0000000008</v>
      </c>
      <c r="M378" s="107">
        <f t="shared" si="682"/>
        <v>0.0000000009</v>
      </c>
      <c r="N378" s="107"/>
      <c r="O378" s="107"/>
      <c r="P378" s="140"/>
      <c r="Q378" s="140">
        <f t="shared" ref="Q378:T378" si="683">IF(OR(J1="生物",J1="組合科學(物理、生物)",J1="組合科學(生物、化學)"),J14,0)</f>
        <v>0</v>
      </c>
      <c r="R378" s="140">
        <f t="shared" si="683"/>
        <v>0</v>
      </c>
      <c r="S378" s="140">
        <f t="shared" si="683"/>
        <v>0</v>
      </c>
      <c r="T378" s="140">
        <f t="shared" si="683"/>
        <v>0</v>
      </c>
      <c r="U378" s="140"/>
      <c r="V378" s="107"/>
      <c r="W378" s="107"/>
      <c r="X378" s="107"/>
      <c r="Y378" s="107"/>
      <c r="Z378" s="107"/>
      <c r="AA378" s="107"/>
      <c r="AB378" s="107"/>
      <c r="AC378" s="107"/>
      <c r="AD378" s="107"/>
      <c r="AE378" s="107"/>
      <c r="AF378" s="107"/>
      <c r="AG378" s="107"/>
      <c r="AH378" s="107"/>
      <c r="AI378" s="107"/>
      <c r="AJ378" s="107"/>
    </row>
    <row r="379" ht="15.75" customHeight="1">
      <c r="A379" s="107" t="s">
        <v>851</v>
      </c>
      <c r="B379" s="108" t="s">
        <v>852</v>
      </c>
      <c r="C379" s="107" t="s">
        <v>775</v>
      </c>
      <c r="D379" s="107">
        <f t="shared" si="680"/>
        <v>0.0000000019</v>
      </c>
      <c r="E379" s="107">
        <f t="shared" ref="E379:H379" si="684">E$12</f>
        <v>0.0000000001</v>
      </c>
      <c r="F379" s="107">
        <f t="shared" si="684"/>
        <v>0.0000000002</v>
      </c>
      <c r="G379" s="107">
        <f t="shared" si="684"/>
        <v>0.0000000003</v>
      </c>
      <c r="H379" s="107">
        <f t="shared" si="684"/>
        <v>0.0000000004</v>
      </c>
      <c r="I379" s="107"/>
      <c r="J379" s="107">
        <f t="shared" ref="J379:M379" si="685">J$12</f>
        <v>0.0000000006</v>
      </c>
      <c r="K379" s="107">
        <f t="shared" si="685"/>
        <v>0.0000000007</v>
      </c>
      <c r="L379" s="107">
        <f t="shared" si="685"/>
        <v>0.0000000008</v>
      </c>
      <c r="M379" s="107">
        <f t="shared" si="685"/>
        <v>0.0000000009</v>
      </c>
      <c r="N379" s="107"/>
      <c r="O379" s="107"/>
      <c r="P379" s="140" t="s">
        <v>851</v>
      </c>
      <c r="Q379" s="144" t="s">
        <v>853</v>
      </c>
      <c r="R379" s="144"/>
      <c r="S379" s="144"/>
      <c r="T379" s="107">
        <f>IF(LARGE(Q380:T380,1)&gt;3,1,0)</f>
        <v>0</v>
      </c>
      <c r="U379" s="140"/>
      <c r="V379" s="107"/>
      <c r="W379" s="107"/>
      <c r="X379" s="107"/>
      <c r="Y379" s="107"/>
      <c r="Z379" s="107"/>
      <c r="AA379" s="107"/>
      <c r="AB379" s="107"/>
      <c r="AC379" s="107"/>
      <c r="AD379" s="107"/>
      <c r="AE379" s="107"/>
      <c r="AF379" s="107"/>
      <c r="AG379" s="107"/>
      <c r="AH379" s="107"/>
      <c r="AI379" s="107"/>
      <c r="AJ379" s="107"/>
    </row>
    <row r="380" ht="15.75" customHeight="1">
      <c r="A380" s="107" t="s">
        <v>854</v>
      </c>
      <c r="B380" s="108" t="s">
        <v>855</v>
      </c>
      <c r="C380" s="107" t="s">
        <v>775</v>
      </c>
      <c r="D380" s="107">
        <f t="shared" si="680"/>
        <v>0.0000000019</v>
      </c>
      <c r="E380" s="107">
        <f t="shared" ref="E380:H380" si="686">E$12</f>
        <v>0.0000000001</v>
      </c>
      <c r="F380" s="107">
        <f t="shared" si="686"/>
        <v>0.0000000002</v>
      </c>
      <c r="G380" s="107">
        <f t="shared" si="686"/>
        <v>0.0000000003</v>
      </c>
      <c r="H380" s="107">
        <f t="shared" si="686"/>
        <v>0.0000000004</v>
      </c>
      <c r="I380" s="107"/>
      <c r="J380" s="107">
        <f t="shared" ref="J380:M380" si="687">J$12</f>
        <v>0.0000000006</v>
      </c>
      <c r="K380" s="107">
        <f t="shared" si="687"/>
        <v>0.0000000007</v>
      </c>
      <c r="L380" s="107">
        <f t="shared" si="687"/>
        <v>0.0000000008</v>
      </c>
      <c r="M380" s="107">
        <f t="shared" si="687"/>
        <v>0.0000000009</v>
      </c>
      <c r="N380" s="107"/>
      <c r="O380" s="107"/>
      <c r="P380" s="140"/>
      <c r="Q380" s="140">
        <f t="shared" ref="Q380:T380" si="688">IF(OR(J1="生物",J1="物理",J1="組合科學(物理、生物)"),J14,0)</f>
        <v>0</v>
      </c>
      <c r="R380" s="140">
        <f t="shared" si="688"/>
        <v>0</v>
      </c>
      <c r="S380" s="140">
        <f t="shared" si="688"/>
        <v>0</v>
      </c>
      <c r="T380" s="140">
        <f t="shared" si="688"/>
        <v>0</v>
      </c>
      <c r="U380" s="140"/>
      <c r="V380" s="107"/>
      <c r="W380" s="107"/>
      <c r="X380" s="107"/>
      <c r="Y380" s="107"/>
      <c r="Z380" s="107"/>
      <c r="AA380" s="107"/>
      <c r="AB380" s="107"/>
      <c r="AC380" s="107"/>
      <c r="AD380" s="107"/>
      <c r="AE380" s="107"/>
      <c r="AF380" s="107"/>
      <c r="AG380" s="107"/>
      <c r="AH380" s="107"/>
      <c r="AI380" s="107"/>
      <c r="AJ380" s="107"/>
    </row>
    <row r="381" ht="15.75" customHeight="1">
      <c r="A381" s="107" t="s">
        <v>856</v>
      </c>
      <c r="B381" s="108" t="s">
        <v>857</v>
      </c>
      <c r="C381" s="107" t="s">
        <v>775</v>
      </c>
      <c r="D381" s="107">
        <f t="shared" si="680"/>
        <v>0.00000000195</v>
      </c>
      <c r="E381" s="107">
        <f t="shared" ref="E381:M381" si="689">E12</f>
        <v>0.0000000001</v>
      </c>
      <c r="F381" s="107">
        <f t="shared" si="689"/>
        <v>0.0000000002</v>
      </c>
      <c r="G381" s="107">
        <f t="shared" si="689"/>
        <v>0.0000000003</v>
      </c>
      <c r="H381" s="107">
        <f t="shared" si="689"/>
        <v>0.0000000004</v>
      </c>
      <c r="I381" s="107">
        <f t="shared" si="689"/>
        <v>0.0000000005</v>
      </c>
      <c r="J381" s="107">
        <f t="shared" si="689"/>
        <v>0.0000000006</v>
      </c>
      <c r="K381" s="107">
        <f t="shared" si="689"/>
        <v>0.0000000007</v>
      </c>
      <c r="L381" s="107">
        <f t="shared" si="689"/>
        <v>0.0000000008</v>
      </c>
      <c r="M381" s="107">
        <f t="shared" si="689"/>
        <v>0.0000000009</v>
      </c>
      <c r="N381" s="107">
        <f>P12</f>
        <v>0.00000000095</v>
      </c>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row>
    <row r="382" ht="15.75" customHeight="1">
      <c r="A382" s="107" t="s">
        <v>858</v>
      </c>
      <c r="B382" s="108" t="s">
        <v>859</v>
      </c>
      <c r="C382" s="107" t="s">
        <v>775</v>
      </c>
      <c r="D382" s="107">
        <f t="shared" si="680"/>
        <v>0.00000000195</v>
      </c>
      <c r="E382" s="107">
        <f t="shared" ref="E382:M382" si="690">E12</f>
        <v>0.0000000001</v>
      </c>
      <c r="F382" s="107">
        <f t="shared" si="690"/>
        <v>0.0000000002</v>
      </c>
      <c r="G382" s="107">
        <f t="shared" si="690"/>
        <v>0.0000000003</v>
      </c>
      <c r="H382" s="107">
        <f t="shared" si="690"/>
        <v>0.0000000004</v>
      </c>
      <c r="I382" s="107">
        <f t="shared" si="690"/>
        <v>0.0000000005</v>
      </c>
      <c r="J382" s="107">
        <f t="shared" si="690"/>
        <v>0.0000000006</v>
      </c>
      <c r="K382" s="107">
        <f t="shared" si="690"/>
        <v>0.0000000007</v>
      </c>
      <c r="L382" s="107">
        <f t="shared" si="690"/>
        <v>0.0000000008</v>
      </c>
      <c r="M382" s="107">
        <f t="shared" si="690"/>
        <v>0.0000000009</v>
      </c>
      <c r="N382" s="107">
        <f>P12</f>
        <v>0.00000000095</v>
      </c>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row>
    <row r="383" ht="15.75" customHeight="1">
      <c r="A383" s="107" t="s">
        <v>860</v>
      </c>
      <c r="B383" s="108" t="s">
        <v>861</v>
      </c>
      <c r="C383" s="107" t="s">
        <v>775</v>
      </c>
      <c r="D383" s="107">
        <f t="shared" si="680"/>
        <v>0.00000000195</v>
      </c>
      <c r="E383" s="107">
        <f t="shared" ref="E383:M383" si="691">E12</f>
        <v>0.0000000001</v>
      </c>
      <c r="F383" s="107">
        <f t="shared" si="691"/>
        <v>0.0000000002</v>
      </c>
      <c r="G383" s="107">
        <f t="shared" si="691"/>
        <v>0.0000000003</v>
      </c>
      <c r="H383" s="107">
        <f t="shared" si="691"/>
        <v>0.0000000004</v>
      </c>
      <c r="I383" s="107">
        <f t="shared" si="691"/>
        <v>0.0000000005</v>
      </c>
      <c r="J383" s="107">
        <f t="shared" si="691"/>
        <v>0.0000000006</v>
      </c>
      <c r="K383" s="107">
        <f t="shared" si="691"/>
        <v>0.0000000007</v>
      </c>
      <c r="L383" s="107">
        <f t="shared" si="691"/>
        <v>0.0000000008</v>
      </c>
      <c r="M383" s="107">
        <f t="shared" si="691"/>
        <v>0.0000000009</v>
      </c>
      <c r="N383" s="107">
        <f>P12</f>
        <v>0.00000000095</v>
      </c>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row>
    <row r="384" ht="15.75" customHeight="1">
      <c r="A384" s="107" t="s">
        <v>862</v>
      </c>
      <c r="B384" s="108" t="s">
        <v>863</v>
      </c>
      <c r="C384" s="107" t="s">
        <v>21</v>
      </c>
      <c r="D384" s="107">
        <f t="array" ref="D384">F384+G384+LARGE({E384,H384:M384},1)+LARGE({E384,H384:M384},2)+LARGE({E384,H384:M384},3)</f>
        <v>0.0000000029</v>
      </c>
      <c r="E384" s="107">
        <f t="shared" ref="E384:M384" si="692">E12</f>
        <v>0.0000000001</v>
      </c>
      <c r="F384" s="107">
        <f t="shared" si="692"/>
        <v>0.0000000002</v>
      </c>
      <c r="G384" s="107">
        <f t="shared" si="692"/>
        <v>0.0000000003</v>
      </c>
      <c r="H384" s="107">
        <f t="shared" si="692"/>
        <v>0.0000000004</v>
      </c>
      <c r="I384" s="107">
        <f t="shared" si="692"/>
        <v>0.0000000005</v>
      </c>
      <c r="J384" s="107">
        <f t="shared" si="692"/>
        <v>0.0000000006</v>
      </c>
      <c r="K384" s="107">
        <f t="shared" si="692"/>
        <v>0.0000000007</v>
      </c>
      <c r="L384" s="107">
        <f t="shared" si="692"/>
        <v>0.0000000008</v>
      </c>
      <c r="M384" s="107">
        <f t="shared" si="692"/>
        <v>0.0000000009</v>
      </c>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row>
    <row r="385" ht="15.75" customHeight="1">
      <c r="A385" s="107" t="s">
        <v>864</v>
      </c>
      <c r="B385" s="108" t="s">
        <v>865</v>
      </c>
      <c r="C385" s="107" t="s">
        <v>21</v>
      </c>
      <c r="D385" s="107">
        <f t="shared" ref="D385:D386" si="694">LARGE(E385:M385,1)+LARGE(E385:M385,2)+LARGE(E385:M385,3)+LARGE(E385:M385,4)+LARGE(E385:M385,5)</f>
        <v>0.0000000035</v>
      </c>
      <c r="E385" s="107">
        <f t="shared" ref="E385:M385" si="693">E12</f>
        <v>0.0000000001</v>
      </c>
      <c r="F385" s="107">
        <f t="shared" si="693"/>
        <v>0.0000000002</v>
      </c>
      <c r="G385" s="107">
        <f t="shared" si="693"/>
        <v>0.0000000003</v>
      </c>
      <c r="H385" s="107">
        <f t="shared" si="693"/>
        <v>0.0000000004</v>
      </c>
      <c r="I385" s="107">
        <f t="shared" si="693"/>
        <v>0.0000000005</v>
      </c>
      <c r="J385" s="107">
        <f t="shared" si="693"/>
        <v>0.0000000006</v>
      </c>
      <c r="K385" s="107">
        <f t="shared" si="693"/>
        <v>0.0000000007</v>
      </c>
      <c r="L385" s="107">
        <f t="shared" si="693"/>
        <v>0.0000000008</v>
      </c>
      <c r="M385" s="107">
        <f t="shared" si="693"/>
        <v>0.0000000009</v>
      </c>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row>
    <row r="386" ht="15.75" customHeight="1">
      <c r="A386" s="107" t="s">
        <v>866</v>
      </c>
      <c r="B386" s="108" t="s">
        <v>867</v>
      </c>
      <c r="C386" s="107" t="s">
        <v>21</v>
      </c>
      <c r="D386" s="107">
        <f t="shared" si="694"/>
        <v>0.0000000035</v>
      </c>
      <c r="E386" s="107">
        <f t="shared" ref="E386:M386" si="695">E12</f>
        <v>0.0000000001</v>
      </c>
      <c r="F386" s="107">
        <f t="shared" si="695"/>
        <v>0.0000000002</v>
      </c>
      <c r="G386" s="107">
        <f t="shared" si="695"/>
        <v>0.0000000003</v>
      </c>
      <c r="H386" s="107">
        <f t="shared" si="695"/>
        <v>0.0000000004</v>
      </c>
      <c r="I386" s="107">
        <f t="shared" si="695"/>
        <v>0.0000000005</v>
      </c>
      <c r="J386" s="107">
        <f t="shared" si="695"/>
        <v>0.0000000006</v>
      </c>
      <c r="K386" s="107">
        <f t="shared" si="695"/>
        <v>0.0000000007</v>
      </c>
      <c r="L386" s="107">
        <f t="shared" si="695"/>
        <v>0.0000000008</v>
      </c>
      <c r="M386" s="107">
        <f t="shared" si="695"/>
        <v>0.0000000009</v>
      </c>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row>
    <row r="387" ht="15.75" customHeight="1">
      <c r="A387" s="107" t="s">
        <v>868</v>
      </c>
      <c r="B387" s="108" t="s">
        <v>869</v>
      </c>
      <c r="C387" s="107" t="s">
        <v>21</v>
      </c>
      <c r="D387" s="107">
        <f t="array" ref="D387">G387+LARGE({E387:F387,H387:M387},1)+LARGE({E387:F387,H387:M387},2)+LARGE({E387:F387,H387:M387},3)+LARGE({E387:F387,H387:M387},4)</f>
        <v>0.0000000033</v>
      </c>
      <c r="E387" s="107">
        <f t="shared" ref="E387:M387" si="696">E12</f>
        <v>0.0000000001</v>
      </c>
      <c r="F387" s="107">
        <f t="shared" si="696"/>
        <v>0.0000000002</v>
      </c>
      <c r="G387" s="107">
        <f t="shared" si="696"/>
        <v>0.0000000003</v>
      </c>
      <c r="H387" s="107">
        <f t="shared" si="696"/>
        <v>0.0000000004</v>
      </c>
      <c r="I387" s="107">
        <f t="shared" si="696"/>
        <v>0.0000000005</v>
      </c>
      <c r="J387" s="107">
        <f t="shared" si="696"/>
        <v>0.0000000006</v>
      </c>
      <c r="K387" s="107">
        <f t="shared" si="696"/>
        <v>0.0000000007</v>
      </c>
      <c r="L387" s="107">
        <f t="shared" si="696"/>
        <v>0.0000000008</v>
      </c>
      <c r="M387" s="107">
        <f t="shared" si="696"/>
        <v>0.0000000009</v>
      </c>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row>
    <row r="388" ht="15.75" customHeight="1">
      <c r="A388" s="107" t="s">
        <v>870</v>
      </c>
      <c r="B388" s="108" t="s">
        <v>871</v>
      </c>
      <c r="C388" s="107" t="s">
        <v>21</v>
      </c>
      <c r="D388" s="107">
        <f>LARGE(E388:M388,1)+LARGE(E388:M388,2)+LARGE(E388:M388,3)+LARGE(E388:M388,4)+LARGE(E388:M388,5)</f>
        <v>0.0000000035</v>
      </c>
      <c r="E388" s="107">
        <f t="shared" ref="E388:M388" si="697">E12</f>
        <v>0.0000000001</v>
      </c>
      <c r="F388" s="107">
        <f t="shared" si="697"/>
        <v>0.0000000002</v>
      </c>
      <c r="G388" s="107">
        <f t="shared" si="697"/>
        <v>0.0000000003</v>
      </c>
      <c r="H388" s="107">
        <f t="shared" si="697"/>
        <v>0.0000000004</v>
      </c>
      <c r="I388" s="107">
        <f t="shared" si="697"/>
        <v>0.0000000005</v>
      </c>
      <c r="J388" s="107">
        <f t="shared" si="697"/>
        <v>0.0000000006</v>
      </c>
      <c r="K388" s="107">
        <f t="shared" si="697"/>
        <v>0.0000000007</v>
      </c>
      <c r="L388" s="107">
        <f t="shared" si="697"/>
        <v>0.0000000008</v>
      </c>
      <c r="M388" s="107">
        <f t="shared" si="697"/>
        <v>0.0000000009</v>
      </c>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row>
    <row r="389" ht="15.75" customHeight="1">
      <c r="A389" s="107" t="s">
        <v>872</v>
      </c>
      <c r="B389" s="108" t="s">
        <v>873</v>
      </c>
      <c r="C389" s="107" t="s">
        <v>775</v>
      </c>
      <c r="D389" s="107">
        <f>SUM(E389:H389)+LARGE(J389:M389,1)</f>
        <v>0.0000000019</v>
      </c>
      <c r="E389" s="107">
        <f t="shared" ref="E389:H389" si="698">E12</f>
        <v>0.0000000001</v>
      </c>
      <c r="F389" s="107">
        <f t="shared" si="698"/>
        <v>0.0000000002</v>
      </c>
      <c r="G389" s="107">
        <f t="shared" si="698"/>
        <v>0.0000000003</v>
      </c>
      <c r="H389" s="107">
        <f t="shared" si="698"/>
        <v>0.0000000004</v>
      </c>
      <c r="I389" s="107"/>
      <c r="J389" s="107">
        <f t="shared" ref="J389:M389" si="699">J12</f>
        <v>0.0000000006</v>
      </c>
      <c r="K389" s="107">
        <f t="shared" si="699"/>
        <v>0.0000000007</v>
      </c>
      <c r="L389" s="107">
        <f t="shared" si="699"/>
        <v>0.0000000008</v>
      </c>
      <c r="M389" s="107">
        <f t="shared" si="699"/>
        <v>0.0000000009</v>
      </c>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row>
    <row r="390" ht="15.75" customHeight="1">
      <c r="A390" s="107" t="s">
        <v>874</v>
      </c>
      <c r="B390" s="108" t="s">
        <v>875</v>
      </c>
      <c r="C390" s="147" t="s">
        <v>21</v>
      </c>
      <c r="D390" s="107">
        <f t="shared" ref="D390:D394" si="702">LARGE(E390:N390,1)+LARGE(E390:N390,2)+LARGE(E390:N390,3)+LARGE(E390:N390,4)+LARGE(E390:N390,5)</f>
        <v>0.0000000034</v>
      </c>
      <c r="E390" s="107">
        <f t="shared" ref="E390:H390" si="700">E12</f>
        <v>0.0000000001</v>
      </c>
      <c r="F390" s="107">
        <f t="shared" si="700"/>
        <v>0.0000000002</v>
      </c>
      <c r="G390" s="107">
        <f t="shared" si="700"/>
        <v>0.0000000003</v>
      </c>
      <c r="H390" s="107">
        <f t="shared" si="700"/>
        <v>0.0000000004</v>
      </c>
      <c r="I390" s="107"/>
      <c r="J390" s="107">
        <f t="shared" ref="J390:M390" si="701">J12</f>
        <v>0.0000000006</v>
      </c>
      <c r="K390" s="107">
        <f t="shared" si="701"/>
        <v>0.0000000007</v>
      </c>
      <c r="L390" s="107">
        <f t="shared" si="701"/>
        <v>0.0000000008</v>
      </c>
      <c r="M390" s="107">
        <f t="shared" si="701"/>
        <v>0.0000000009</v>
      </c>
      <c r="N390" s="107"/>
      <c r="O390" s="107"/>
      <c r="P390" s="140"/>
      <c r="Q390" s="140"/>
      <c r="R390" s="140"/>
      <c r="S390" s="140"/>
      <c r="T390" s="140"/>
      <c r="U390" s="140"/>
      <c r="V390" s="107"/>
      <c r="W390" s="107"/>
      <c r="X390" s="107"/>
      <c r="Y390" s="107"/>
      <c r="Z390" s="107"/>
      <c r="AA390" s="107"/>
      <c r="AB390" s="107"/>
      <c r="AC390" s="107"/>
      <c r="AD390" s="107"/>
      <c r="AE390" s="107"/>
      <c r="AF390" s="107"/>
      <c r="AG390" s="107"/>
      <c r="AH390" s="107"/>
      <c r="AI390" s="107"/>
      <c r="AJ390" s="107"/>
    </row>
    <row r="391" ht="15.75" customHeight="1">
      <c r="A391" s="107" t="s">
        <v>876</v>
      </c>
      <c r="B391" s="108" t="s">
        <v>877</v>
      </c>
      <c r="C391" s="147" t="s">
        <v>21</v>
      </c>
      <c r="D391" s="107">
        <f t="shared" si="702"/>
        <v>0.0000000034</v>
      </c>
      <c r="E391" s="107">
        <f t="shared" ref="E391:H391" si="703">E12</f>
        <v>0.0000000001</v>
      </c>
      <c r="F391" s="107">
        <f t="shared" si="703"/>
        <v>0.0000000002</v>
      </c>
      <c r="G391" s="107">
        <f t="shared" si="703"/>
        <v>0.0000000003</v>
      </c>
      <c r="H391" s="107">
        <f t="shared" si="703"/>
        <v>0.0000000004</v>
      </c>
      <c r="I391" s="107"/>
      <c r="J391" s="107">
        <f t="shared" ref="J391:M391" si="704">J12</f>
        <v>0.0000000006</v>
      </c>
      <c r="K391" s="107">
        <f t="shared" si="704"/>
        <v>0.0000000007</v>
      </c>
      <c r="L391" s="107">
        <f t="shared" si="704"/>
        <v>0.0000000008</v>
      </c>
      <c r="M391" s="107">
        <f t="shared" si="704"/>
        <v>0.0000000009</v>
      </c>
      <c r="N391" s="107"/>
      <c r="O391" s="107"/>
      <c r="P391" s="140" t="s">
        <v>876</v>
      </c>
      <c r="Q391" s="144" t="s">
        <v>878</v>
      </c>
      <c r="R391" s="144"/>
      <c r="S391" s="144"/>
      <c r="T391" s="107">
        <f>IF(LARGE(Q392:T392,1)&gt;4,1,0)</f>
        <v>0</v>
      </c>
      <c r="U391" s="140"/>
      <c r="V391" s="107"/>
      <c r="W391" s="107"/>
      <c r="X391" s="107"/>
      <c r="Y391" s="107"/>
      <c r="Z391" s="107"/>
      <c r="AA391" s="107"/>
      <c r="AB391" s="107"/>
      <c r="AC391" s="107"/>
      <c r="AD391" s="107"/>
      <c r="AE391" s="107"/>
      <c r="AF391" s="107"/>
      <c r="AG391" s="107"/>
      <c r="AH391" s="107"/>
      <c r="AI391" s="107"/>
      <c r="AJ391" s="107"/>
    </row>
    <row r="392" ht="15.75" customHeight="1">
      <c r="A392" s="107" t="s">
        <v>879</v>
      </c>
      <c r="B392" s="108" t="s">
        <v>880</v>
      </c>
      <c r="C392" s="147" t="s">
        <v>21</v>
      </c>
      <c r="D392" s="107">
        <f t="shared" si="702"/>
        <v>0.0000000034</v>
      </c>
      <c r="E392" s="107">
        <f t="shared" ref="E392:H392" si="705">E12</f>
        <v>0.0000000001</v>
      </c>
      <c r="F392" s="107">
        <f t="shared" si="705"/>
        <v>0.0000000002</v>
      </c>
      <c r="G392" s="107">
        <f t="shared" si="705"/>
        <v>0.0000000003</v>
      </c>
      <c r="H392" s="107">
        <f t="shared" si="705"/>
        <v>0.0000000004</v>
      </c>
      <c r="I392" s="107"/>
      <c r="J392" s="107">
        <f t="shared" ref="J392:M392" si="706">J12</f>
        <v>0.0000000006</v>
      </c>
      <c r="K392" s="107">
        <f t="shared" si="706"/>
        <v>0.0000000007</v>
      </c>
      <c r="L392" s="107">
        <f t="shared" si="706"/>
        <v>0.0000000008</v>
      </c>
      <c r="M392" s="107">
        <f t="shared" si="706"/>
        <v>0.0000000009</v>
      </c>
      <c r="N392" s="107"/>
      <c r="O392" s="107"/>
      <c r="P392" s="140"/>
      <c r="Q392" s="140">
        <f t="shared" ref="Q392:T392" si="707">IF(OR(J1="化學",J1="組合科學(物理、化學)",J1="組合科學(生物、化學)"),J14,0)</f>
        <v>0</v>
      </c>
      <c r="R392" s="140">
        <f t="shared" si="707"/>
        <v>0</v>
      </c>
      <c r="S392" s="140">
        <f t="shared" si="707"/>
        <v>0</v>
      </c>
      <c r="T392" s="140">
        <f t="shared" si="707"/>
        <v>0</v>
      </c>
      <c r="U392" s="140"/>
      <c r="V392" s="107"/>
      <c r="W392" s="107"/>
      <c r="X392" s="107"/>
      <c r="Y392" s="107"/>
      <c r="Z392" s="107"/>
      <c r="AA392" s="107"/>
      <c r="AB392" s="107"/>
      <c r="AC392" s="107"/>
      <c r="AD392" s="107"/>
      <c r="AE392" s="107"/>
      <c r="AF392" s="107"/>
      <c r="AG392" s="107"/>
      <c r="AH392" s="107"/>
      <c r="AI392" s="107"/>
      <c r="AJ392" s="107"/>
    </row>
    <row r="393" ht="15.75" customHeight="1">
      <c r="A393" s="107" t="s">
        <v>881</v>
      </c>
      <c r="B393" s="108" t="s">
        <v>882</v>
      </c>
      <c r="C393" s="147" t="s">
        <v>21</v>
      </c>
      <c r="D393" s="107">
        <f t="shared" si="702"/>
        <v>0.0000000034</v>
      </c>
      <c r="E393" s="107">
        <f t="shared" ref="E393:H393" si="708">E12</f>
        <v>0.0000000001</v>
      </c>
      <c r="F393" s="107">
        <f t="shared" si="708"/>
        <v>0.0000000002</v>
      </c>
      <c r="G393" s="107">
        <f t="shared" si="708"/>
        <v>0.0000000003</v>
      </c>
      <c r="H393" s="107">
        <f t="shared" si="708"/>
        <v>0.0000000004</v>
      </c>
      <c r="I393" s="107"/>
      <c r="J393" s="107">
        <f t="shared" ref="J393:M393" si="709">J12</f>
        <v>0.0000000006</v>
      </c>
      <c r="K393" s="107">
        <f t="shared" si="709"/>
        <v>0.0000000007</v>
      </c>
      <c r="L393" s="107">
        <f t="shared" si="709"/>
        <v>0.0000000008</v>
      </c>
      <c r="M393" s="107">
        <f t="shared" si="709"/>
        <v>0.0000000009</v>
      </c>
      <c r="N393" s="107"/>
      <c r="O393" s="107"/>
      <c r="P393" s="140"/>
      <c r="Q393" s="140"/>
      <c r="R393" s="140"/>
      <c r="S393" s="140"/>
      <c r="T393" s="140"/>
      <c r="U393" s="140"/>
      <c r="V393" s="107"/>
      <c r="W393" s="107"/>
      <c r="X393" s="107"/>
      <c r="Y393" s="107"/>
      <c r="Z393" s="107"/>
      <c r="AA393" s="107"/>
      <c r="AB393" s="107"/>
      <c r="AC393" s="107"/>
      <c r="AD393" s="107"/>
      <c r="AE393" s="107"/>
      <c r="AF393" s="107"/>
      <c r="AG393" s="107"/>
      <c r="AH393" s="107"/>
      <c r="AI393" s="107"/>
      <c r="AJ393" s="107"/>
    </row>
    <row r="394" ht="15.75" customHeight="1">
      <c r="A394" s="107" t="s">
        <v>883</v>
      </c>
      <c r="B394" s="108" t="s">
        <v>884</v>
      </c>
      <c r="C394" s="147" t="s">
        <v>21</v>
      </c>
      <c r="D394" s="107">
        <f t="shared" si="702"/>
        <v>0.0000000034</v>
      </c>
      <c r="E394" s="107">
        <f t="shared" ref="E394:H394" si="710">E12</f>
        <v>0.0000000001</v>
      </c>
      <c r="F394" s="107">
        <f t="shared" si="710"/>
        <v>0.0000000002</v>
      </c>
      <c r="G394" s="107">
        <f t="shared" si="710"/>
        <v>0.0000000003</v>
      </c>
      <c r="H394" s="107">
        <f t="shared" si="710"/>
        <v>0.0000000004</v>
      </c>
      <c r="I394" s="107"/>
      <c r="J394" s="107">
        <f t="shared" ref="J394:M394" si="711">J12</f>
        <v>0.0000000006</v>
      </c>
      <c r="K394" s="107">
        <f t="shared" si="711"/>
        <v>0.0000000007</v>
      </c>
      <c r="L394" s="107">
        <f t="shared" si="711"/>
        <v>0.0000000008</v>
      </c>
      <c r="M394" s="107">
        <f t="shared" si="711"/>
        <v>0.0000000009</v>
      </c>
      <c r="N394" s="107"/>
      <c r="O394" s="107"/>
      <c r="P394" s="140" t="s">
        <v>879</v>
      </c>
      <c r="Q394" s="144" t="s">
        <v>885</v>
      </c>
      <c r="R394" s="144"/>
      <c r="S394" s="144"/>
      <c r="T394" s="107">
        <f>IF(LARGE(R274:U274,1)&gt;3,1,0)</f>
        <v>0</v>
      </c>
      <c r="U394" s="140"/>
      <c r="V394" s="107"/>
      <c r="W394" s="107"/>
      <c r="X394" s="107"/>
      <c r="Y394" s="107"/>
      <c r="Z394" s="107"/>
      <c r="AA394" s="107"/>
      <c r="AB394" s="107"/>
      <c r="AC394" s="107"/>
      <c r="AD394" s="107"/>
      <c r="AE394" s="107"/>
      <c r="AF394" s="107"/>
      <c r="AG394" s="107"/>
      <c r="AH394" s="107"/>
      <c r="AI394" s="107"/>
      <c r="AJ394" s="107"/>
    </row>
    <row r="395" ht="15.75" customHeight="1">
      <c r="A395" s="107" t="s">
        <v>886</v>
      </c>
      <c r="B395" s="108" t="s">
        <v>887</v>
      </c>
      <c r="C395" s="107" t="s">
        <v>775</v>
      </c>
      <c r="D395" s="107">
        <f t="shared" ref="D395:D399" si="715">SUM(E395:H395)+LARGE(I395:N395,1)</f>
        <v>0.0000000021</v>
      </c>
      <c r="E395" s="107">
        <f t="shared" ref="E395:F395" si="712">E12*1.5</f>
        <v>0.00000000015</v>
      </c>
      <c r="F395" s="107">
        <f t="shared" si="712"/>
        <v>0.0000000003</v>
      </c>
      <c r="G395" s="107">
        <f t="shared" ref="G395:H395" si="713">G12</f>
        <v>0.0000000003</v>
      </c>
      <c r="H395" s="107">
        <f t="shared" si="713"/>
        <v>0.0000000004</v>
      </c>
      <c r="I395" s="107">
        <f t="shared" ref="I395:I409" si="717">$I$12</f>
        <v>0.0000000005</v>
      </c>
      <c r="J395" s="107">
        <f t="shared" ref="J395:N395" si="714">J12</f>
        <v>0.0000000006</v>
      </c>
      <c r="K395" s="107">
        <f t="shared" si="714"/>
        <v>0.0000000007</v>
      </c>
      <c r="L395" s="107">
        <f t="shared" si="714"/>
        <v>0.0000000008</v>
      </c>
      <c r="M395" s="107">
        <f t="shared" si="714"/>
        <v>0.0000000009</v>
      </c>
      <c r="N395" s="107">
        <f t="shared" si="714"/>
        <v>0.00000000095</v>
      </c>
      <c r="O395" s="107"/>
      <c r="P395" s="140"/>
      <c r="Q395" s="144" t="s">
        <v>888</v>
      </c>
      <c r="R395" s="144"/>
      <c r="S395" s="144"/>
      <c r="T395" s="107">
        <f>IF(LARGE(Q396:T396,1)&gt;3,1,0)</f>
        <v>0</v>
      </c>
      <c r="U395" s="140"/>
      <c r="V395" s="107"/>
      <c r="W395" s="107"/>
      <c r="X395" s="107"/>
      <c r="Y395" s="107"/>
      <c r="Z395" s="107"/>
      <c r="AA395" s="107"/>
      <c r="AB395" s="107"/>
      <c r="AC395" s="107"/>
      <c r="AD395" s="107"/>
      <c r="AE395" s="107"/>
      <c r="AF395" s="107"/>
      <c r="AG395" s="107"/>
      <c r="AH395" s="107"/>
      <c r="AI395" s="107"/>
      <c r="AJ395" s="107"/>
    </row>
    <row r="396" ht="15.75" customHeight="1">
      <c r="A396" s="107" t="s">
        <v>889</v>
      </c>
      <c r="B396" s="108" t="s">
        <v>890</v>
      </c>
      <c r="C396" s="107" t="s">
        <v>775</v>
      </c>
      <c r="D396" s="107">
        <f t="shared" si="715"/>
        <v>0.00000000195</v>
      </c>
      <c r="E396" s="107">
        <f t="shared" ref="E396:H396" si="716">E12</f>
        <v>0.0000000001</v>
      </c>
      <c r="F396" s="107">
        <f t="shared" si="716"/>
        <v>0.0000000002</v>
      </c>
      <c r="G396" s="107">
        <f t="shared" si="716"/>
        <v>0.0000000003</v>
      </c>
      <c r="H396" s="107">
        <f t="shared" si="716"/>
        <v>0.0000000004</v>
      </c>
      <c r="I396" s="107">
        <f t="shared" si="717"/>
        <v>0.0000000005</v>
      </c>
      <c r="J396" s="107">
        <f t="shared" ref="J396:N396" si="718">J12</f>
        <v>0.0000000006</v>
      </c>
      <c r="K396" s="107">
        <f t="shared" si="718"/>
        <v>0.0000000007</v>
      </c>
      <c r="L396" s="107">
        <f t="shared" si="718"/>
        <v>0.0000000008</v>
      </c>
      <c r="M396" s="107">
        <f t="shared" si="718"/>
        <v>0.0000000009</v>
      </c>
      <c r="N396" s="107">
        <f t="shared" si="718"/>
        <v>0.00000000095</v>
      </c>
      <c r="O396" s="107"/>
      <c r="P396" s="140"/>
      <c r="Q396" s="140">
        <f t="shared" ref="Q396:T396" si="719">IF(OR(J1="物理",J1="綜合科學",J1="組合科學(物理、化學)",J1="組合科學(物理、生物)"),J14,0)</f>
        <v>0</v>
      </c>
      <c r="R396" s="140">
        <f t="shared" si="719"/>
        <v>0</v>
      </c>
      <c r="S396" s="140">
        <f t="shared" si="719"/>
        <v>0</v>
      </c>
      <c r="T396" s="140">
        <f t="shared" si="719"/>
        <v>0</v>
      </c>
      <c r="U396" s="140"/>
      <c r="V396" s="107"/>
      <c r="W396" s="107"/>
      <c r="X396" s="107"/>
      <c r="Y396" s="107"/>
      <c r="Z396" s="107"/>
      <c r="AA396" s="107"/>
      <c r="AB396" s="107"/>
      <c r="AC396" s="107"/>
      <c r="AD396" s="107"/>
      <c r="AE396" s="107"/>
      <c r="AF396" s="107"/>
      <c r="AG396" s="107"/>
      <c r="AH396" s="107"/>
      <c r="AI396" s="107"/>
      <c r="AJ396" s="107"/>
    </row>
    <row r="397" ht="15.75" customHeight="1">
      <c r="A397" s="107" t="s">
        <v>891</v>
      </c>
      <c r="B397" s="108" t="s">
        <v>892</v>
      </c>
      <c r="C397" s="107" t="s">
        <v>775</v>
      </c>
      <c r="D397" s="107">
        <f t="shared" si="715"/>
        <v>0.0000000021</v>
      </c>
      <c r="E397" s="107">
        <f t="shared" ref="E397:F397" si="720">E12*1.5</f>
        <v>0.00000000015</v>
      </c>
      <c r="F397" s="107">
        <f t="shared" si="720"/>
        <v>0.0000000003</v>
      </c>
      <c r="G397" s="107">
        <f t="shared" ref="G397:H397" si="721">G12</f>
        <v>0.0000000003</v>
      </c>
      <c r="H397" s="107">
        <f t="shared" si="721"/>
        <v>0.0000000004</v>
      </c>
      <c r="I397" s="107">
        <f t="shared" si="717"/>
        <v>0.0000000005</v>
      </c>
      <c r="J397" s="107">
        <f t="shared" ref="J397:N397" si="722">J12</f>
        <v>0.0000000006</v>
      </c>
      <c r="K397" s="107">
        <f t="shared" si="722"/>
        <v>0.0000000007</v>
      </c>
      <c r="L397" s="107">
        <f t="shared" si="722"/>
        <v>0.0000000008</v>
      </c>
      <c r="M397" s="107">
        <f t="shared" si="722"/>
        <v>0.0000000009</v>
      </c>
      <c r="N397" s="107">
        <f t="shared" si="722"/>
        <v>0.00000000095</v>
      </c>
      <c r="O397" s="107"/>
      <c r="P397" s="140"/>
      <c r="Q397" s="140"/>
      <c r="R397" s="140"/>
      <c r="S397" s="140"/>
      <c r="T397" s="140"/>
      <c r="U397" s="140"/>
      <c r="V397" s="107"/>
      <c r="W397" s="107"/>
      <c r="X397" s="107"/>
      <c r="Y397" s="107"/>
      <c r="Z397" s="107"/>
      <c r="AA397" s="107"/>
      <c r="AB397" s="107"/>
      <c r="AC397" s="107"/>
      <c r="AD397" s="107"/>
      <c r="AE397" s="107"/>
      <c r="AF397" s="107"/>
      <c r="AG397" s="107"/>
      <c r="AH397" s="107"/>
      <c r="AI397" s="107"/>
      <c r="AJ397" s="107"/>
    </row>
    <row r="398" ht="15.75" customHeight="1">
      <c r="A398" s="107" t="s">
        <v>893</v>
      </c>
      <c r="B398" s="108" t="s">
        <v>894</v>
      </c>
      <c r="C398" s="107" t="s">
        <v>775</v>
      </c>
      <c r="D398" s="107">
        <f t="shared" si="715"/>
        <v>0.00000000195</v>
      </c>
      <c r="E398" s="107">
        <f t="shared" ref="E398:H398" si="723">E12</f>
        <v>0.0000000001</v>
      </c>
      <c r="F398" s="107">
        <f t="shared" si="723"/>
        <v>0.0000000002</v>
      </c>
      <c r="G398" s="107">
        <f t="shared" si="723"/>
        <v>0.0000000003</v>
      </c>
      <c r="H398" s="107">
        <f t="shared" si="723"/>
        <v>0.0000000004</v>
      </c>
      <c r="I398" s="107">
        <f t="shared" si="717"/>
        <v>0.0000000005</v>
      </c>
      <c r="J398" s="107">
        <f t="shared" ref="J398:M398" si="724">IF(OR(J1="物理",J1="化學",J1="生物",J1="組合科學(物理、化學)",J1="組合科學(生物、化學)",J1="組合科學(物理、生物)",J1="綜合科學",J1="健康管理及社會關懷"),J12*1.2,J12)</f>
        <v>0.0000000006</v>
      </c>
      <c r="K398" s="107">
        <f t="shared" si="724"/>
        <v>0.0000000007</v>
      </c>
      <c r="L398" s="107">
        <f t="shared" si="724"/>
        <v>0.0000000008</v>
      </c>
      <c r="M398" s="107">
        <f t="shared" si="724"/>
        <v>0.0000000009</v>
      </c>
      <c r="N398" s="107">
        <f>N12</f>
        <v>0.00000000095</v>
      </c>
      <c r="O398" s="107"/>
      <c r="P398" s="140" t="s">
        <v>881</v>
      </c>
      <c r="Q398" s="144" t="s">
        <v>895</v>
      </c>
      <c r="R398" s="144"/>
      <c r="S398" s="144"/>
      <c r="T398" s="107">
        <f>IF(LARGE(Q399:T399,1)&gt;3,1,0)</f>
        <v>0</v>
      </c>
      <c r="U398" s="140"/>
      <c r="V398" s="107"/>
      <c r="W398" s="107"/>
      <c r="X398" s="107"/>
      <c r="Y398" s="107"/>
      <c r="Z398" s="107"/>
      <c r="AA398" s="107"/>
      <c r="AB398" s="107"/>
      <c r="AC398" s="107"/>
      <c r="AD398" s="107"/>
      <c r="AE398" s="107"/>
      <c r="AF398" s="107"/>
      <c r="AG398" s="107"/>
      <c r="AH398" s="107"/>
      <c r="AI398" s="107"/>
      <c r="AJ398" s="107"/>
    </row>
    <row r="399" ht="15.75" customHeight="1">
      <c r="A399" s="107" t="s">
        <v>896</v>
      </c>
      <c r="B399" s="108" t="s">
        <v>897</v>
      </c>
      <c r="C399" s="107" t="s">
        <v>775</v>
      </c>
      <c r="D399" s="107">
        <f t="shared" si="715"/>
        <v>0.00000000195</v>
      </c>
      <c r="E399" s="107">
        <f t="shared" ref="E399:H399" si="725">E12</f>
        <v>0.0000000001</v>
      </c>
      <c r="F399" s="107">
        <f t="shared" si="725"/>
        <v>0.0000000002</v>
      </c>
      <c r="G399" s="107">
        <f t="shared" si="725"/>
        <v>0.0000000003</v>
      </c>
      <c r="H399" s="107">
        <f t="shared" si="725"/>
        <v>0.0000000004</v>
      </c>
      <c r="I399" s="107">
        <f t="shared" si="717"/>
        <v>0.0000000005</v>
      </c>
      <c r="J399" s="107">
        <f t="shared" ref="J399:M399" si="726">IF(OR(J1="物理",J1="化學",J1="生物",J1="組合科學(物理、化學)",J1="組合科學(生物、化學)",J1="組合科學(物理、生物)",J1="綜合科學",J1="健康管理及社會關懷"),J12*1.2,J12)</f>
        <v>0.0000000006</v>
      </c>
      <c r="K399" s="107">
        <f t="shared" si="726"/>
        <v>0.0000000007</v>
      </c>
      <c r="L399" s="107">
        <f t="shared" si="726"/>
        <v>0.0000000008</v>
      </c>
      <c r="M399" s="107">
        <f t="shared" si="726"/>
        <v>0.0000000009</v>
      </c>
      <c r="N399" s="107">
        <f>N12</f>
        <v>0.00000000095</v>
      </c>
      <c r="O399" s="107"/>
      <c r="P399" s="140"/>
      <c r="Q399" s="140">
        <f t="shared" ref="Q399:T399" si="727">IF(OR(J1="生物",J1="組合科學(物理、生物)",J1="組合科學(生物、化學)"),J14,0)</f>
        <v>0</v>
      </c>
      <c r="R399" s="140">
        <f t="shared" si="727"/>
        <v>0</v>
      </c>
      <c r="S399" s="140">
        <f t="shared" si="727"/>
        <v>0</v>
      </c>
      <c r="T399" s="140">
        <f t="shared" si="727"/>
        <v>0</v>
      </c>
      <c r="U399" s="140"/>
      <c r="V399" s="107"/>
      <c r="W399" s="107"/>
      <c r="X399" s="107"/>
      <c r="Y399" s="107"/>
      <c r="Z399" s="107"/>
      <c r="AA399" s="107"/>
      <c r="AB399" s="107"/>
      <c r="AC399" s="107"/>
      <c r="AD399" s="107"/>
      <c r="AE399" s="107"/>
      <c r="AF399" s="107"/>
      <c r="AG399" s="107"/>
      <c r="AH399" s="107"/>
      <c r="AI399" s="107"/>
      <c r="AJ399" s="107"/>
    </row>
    <row r="400" ht="15.75" customHeight="1">
      <c r="A400" s="107" t="s">
        <v>898</v>
      </c>
      <c r="B400" s="108" t="s">
        <v>899</v>
      </c>
      <c r="C400" s="107" t="s">
        <v>21</v>
      </c>
      <c r="D400" s="107">
        <f>LARGE(E400:N400,1)+LARGE(E400:N400,2)+LARGE(E400:N400,3)+LARGE(E400:N400,4)+LARGE(E400:N400,5)</f>
        <v>0.00000000395</v>
      </c>
      <c r="E400" s="107">
        <f t="shared" ref="E400:F400" si="728">E12*2</f>
        <v>0.0000000002</v>
      </c>
      <c r="F400" s="107">
        <f t="shared" si="728"/>
        <v>0.0000000004</v>
      </c>
      <c r="G400" s="107">
        <f t="shared" ref="G400:H400" si="729">G12</f>
        <v>0.0000000003</v>
      </c>
      <c r="H400" s="107">
        <f t="shared" si="729"/>
        <v>0.0000000004</v>
      </c>
      <c r="I400" s="107">
        <f t="shared" si="717"/>
        <v>0.0000000005</v>
      </c>
      <c r="J400" s="107">
        <f t="shared" ref="J400:M400" si="730">IF(OR(J1="物理",J1="生物",J1="組合科學(物理、生物)"),J12*2,J12)</f>
        <v>0.0000000006</v>
      </c>
      <c r="K400" s="107">
        <f t="shared" si="730"/>
        <v>0.0000000007</v>
      </c>
      <c r="L400" s="107">
        <f t="shared" si="730"/>
        <v>0.0000000008</v>
      </c>
      <c r="M400" s="107">
        <f t="shared" si="730"/>
        <v>0.0000000009</v>
      </c>
      <c r="N400" s="107">
        <f>N12</f>
        <v>0.00000000095</v>
      </c>
      <c r="O400" s="107"/>
      <c r="P400" s="140"/>
      <c r="Q400" s="140"/>
      <c r="R400" s="140"/>
      <c r="S400" s="140"/>
      <c r="T400" s="140"/>
      <c r="U400" s="140"/>
      <c r="V400" s="107"/>
      <c r="W400" s="107"/>
      <c r="X400" s="107"/>
      <c r="Y400" s="107"/>
      <c r="Z400" s="107"/>
      <c r="AA400" s="107"/>
      <c r="AB400" s="107"/>
      <c r="AC400" s="107"/>
      <c r="AD400" s="107"/>
      <c r="AE400" s="107"/>
      <c r="AF400" s="107"/>
      <c r="AG400" s="107"/>
      <c r="AH400" s="107"/>
      <c r="AI400" s="107"/>
      <c r="AJ400" s="107"/>
    </row>
    <row r="401" ht="15.75" customHeight="1">
      <c r="A401" s="107" t="s">
        <v>900</v>
      </c>
      <c r="B401" s="108" t="s">
        <v>901</v>
      </c>
      <c r="C401" s="107" t="s">
        <v>775</v>
      </c>
      <c r="D401" s="107">
        <f t="shared" ref="D401:D404" si="733">SUM(E401:H401)+LARGE(I401:N401,1)</f>
        <v>0.00000000195</v>
      </c>
      <c r="E401" s="107">
        <f t="shared" ref="E401:H401" si="731">E12</f>
        <v>0.0000000001</v>
      </c>
      <c r="F401" s="107">
        <f t="shared" si="731"/>
        <v>0.0000000002</v>
      </c>
      <c r="G401" s="107">
        <f t="shared" si="731"/>
        <v>0.0000000003</v>
      </c>
      <c r="H401" s="107">
        <f t="shared" si="731"/>
        <v>0.0000000004</v>
      </c>
      <c r="I401" s="107">
        <f t="shared" si="717"/>
        <v>0.0000000005</v>
      </c>
      <c r="J401" s="107">
        <f t="shared" ref="J401:N401" si="732">J12</f>
        <v>0.0000000006</v>
      </c>
      <c r="K401" s="107">
        <f t="shared" si="732"/>
        <v>0.0000000007</v>
      </c>
      <c r="L401" s="107">
        <f t="shared" si="732"/>
        <v>0.0000000008</v>
      </c>
      <c r="M401" s="107">
        <f t="shared" si="732"/>
        <v>0.0000000009</v>
      </c>
      <c r="N401" s="107">
        <f t="shared" si="732"/>
        <v>0.00000000095</v>
      </c>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row>
    <row r="402" ht="15.75" customHeight="1">
      <c r="A402" s="107" t="s">
        <v>902</v>
      </c>
      <c r="B402" s="108" t="s">
        <v>903</v>
      </c>
      <c r="C402" s="107" t="s">
        <v>775</v>
      </c>
      <c r="D402" s="107">
        <f t="shared" si="733"/>
        <v>0.00000000195</v>
      </c>
      <c r="E402" s="107">
        <f t="shared" ref="E402:H402" si="734">E12</f>
        <v>0.0000000001</v>
      </c>
      <c r="F402" s="107">
        <f t="shared" si="734"/>
        <v>0.0000000002</v>
      </c>
      <c r="G402" s="107">
        <f t="shared" si="734"/>
        <v>0.0000000003</v>
      </c>
      <c r="H402" s="107">
        <f t="shared" si="734"/>
        <v>0.0000000004</v>
      </c>
      <c r="I402" s="107">
        <f t="shared" si="717"/>
        <v>0.0000000005</v>
      </c>
      <c r="J402" s="107">
        <f t="shared" ref="J402:N402" si="735">J12</f>
        <v>0.0000000006</v>
      </c>
      <c r="K402" s="107">
        <f t="shared" si="735"/>
        <v>0.0000000007</v>
      </c>
      <c r="L402" s="107">
        <f t="shared" si="735"/>
        <v>0.0000000008</v>
      </c>
      <c r="M402" s="107">
        <f t="shared" si="735"/>
        <v>0.0000000009</v>
      </c>
      <c r="N402" s="107">
        <f t="shared" si="735"/>
        <v>0.00000000095</v>
      </c>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row>
    <row r="403" ht="15.75" customHeight="1">
      <c r="A403" s="107" t="s">
        <v>904</v>
      </c>
      <c r="B403" s="108" t="s">
        <v>905</v>
      </c>
      <c r="C403" s="107" t="s">
        <v>775</v>
      </c>
      <c r="D403" s="107">
        <f t="shared" si="733"/>
        <v>0.00000000195</v>
      </c>
      <c r="E403" s="107">
        <f t="shared" ref="E403:H403" si="736">E12</f>
        <v>0.0000000001</v>
      </c>
      <c r="F403" s="107">
        <f t="shared" si="736"/>
        <v>0.0000000002</v>
      </c>
      <c r="G403" s="107">
        <f t="shared" si="736"/>
        <v>0.0000000003</v>
      </c>
      <c r="H403" s="107">
        <f t="shared" si="736"/>
        <v>0.0000000004</v>
      </c>
      <c r="I403" s="107">
        <f t="shared" si="717"/>
        <v>0.0000000005</v>
      </c>
      <c r="J403" s="107">
        <f t="shared" ref="J403:N403" si="737">J12</f>
        <v>0.0000000006</v>
      </c>
      <c r="K403" s="107">
        <f t="shared" si="737"/>
        <v>0.0000000007</v>
      </c>
      <c r="L403" s="107">
        <f t="shared" si="737"/>
        <v>0.0000000008</v>
      </c>
      <c r="M403" s="107">
        <f t="shared" si="737"/>
        <v>0.0000000009</v>
      </c>
      <c r="N403" s="107">
        <f t="shared" si="737"/>
        <v>0.00000000095</v>
      </c>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row>
    <row r="404" ht="15.75" customHeight="1">
      <c r="A404" s="107" t="s">
        <v>906</v>
      </c>
      <c r="B404" s="108" t="s">
        <v>907</v>
      </c>
      <c r="C404" s="107" t="s">
        <v>775</v>
      </c>
      <c r="D404" s="107">
        <f t="shared" si="733"/>
        <v>0.00000000195</v>
      </c>
      <c r="E404" s="107">
        <f t="shared" ref="E404:H404" si="738">E12</f>
        <v>0.0000000001</v>
      </c>
      <c r="F404" s="107">
        <f t="shared" si="738"/>
        <v>0.0000000002</v>
      </c>
      <c r="G404" s="107">
        <f t="shared" si="738"/>
        <v>0.0000000003</v>
      </c>
      <c r="H404" s="107">
        <f t="shared" si="738"/>
        <v>0.0000000004</v>
      </c>
      <c r="I404" s="107">
        <f t="shared" si="717"/>
        <v>0.0000000005</v>
      </c>
      <c r="J404" s="107">
        <f t="shared" ref="J404:N404" si="739">J12</f>
        <v>0.0000000006</v>
      </c>
      <c r="K404" s="107">
        <f t="shared" si="739"/>
        <v>0.0000000007</v>
      </c>
      <c r="L404" s="107">
        <f t="shared" si="739"/>
        <v>0.0000000008</v>
      </c>
      <c r="M404" s="107">
        <f t="shared" si="739"/>
        <v>0.0000000009</v>
      </c>
      <c r="N404" s="107">
        <f t="shared" si="739"/>
        <v>0.00000000095</v>
      </c>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row>
    <row r="405" ht="15.75" customHeight="1">
      <c r="A405" s="107" t="s">
        <v>908</v>
      </c>
      <c r="B405" s="108" t="s">
        <v>909</v>
      </c>
      <c r="C405" s="107" t="s">
        <v>21</v>
      </c>
      <c r="D405" s="107">
        <f t="shared" ref="D405:D410" si="742">LARGE(E405:N405,1)+LARGE(E405:N405,2)+LARGE(E405:N405,3)+LARGE(E405:N405,4)+LARGE(E405:N405,5)</f>
        <v>0.00000000395</v>
      </c>
      <c r="E405" s="107">
        <f t="shared" ref="E405:H405" si="740">E12</f>
        <v>0.0000000001</v>
      </c>
      <c r="F405" s="107">
        <f t="shared" si="740"/>
        <v>0.0000000002</v>
      </c>
      <c r="G405" s="107">
        <f t="shared" si="740"/>
        <v>0.0000000003</v>
      </c>
      <c r="H405" s="107">
        <f t="shared" si="740"/>
        <v>0.0000000004</v>
      </c>
      <c r="I405" s="107">
        <f t="shared" si="717"/>
        <v>0.0000000005</v>
      </c>
      <c r="J405" s="107">
        <f t="shared" ref="J405:N405" si="741">J12</f>
        <v>0.0000000006</v>
      </c>
      <c r="K405" s="107">
        <f t="shared" si="741"/>
        <v>0.0000000007</v>
      </c>
      <c r="L405" s="107">
        <f t="shared" si="741"/>
        <v>0.0000000008</v>
      </c>
      <c r="M405" s="107">
        <f t="shared" si="741"/>
        <v>0.0000000009</v>
      </c>
      <c r="N405" s="107">
        <f t="shared" si="741"/>
        <v>0.00000000095</v>
      </c>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row>
    <row r="406" ht="15.75" customHeight="1">
      <c r="A406" s="107" t="s">
        <v>910</v>
      </c>
      <c r="B406" s="108" t="s">
        <v>911</v>
      </c>
      <c r="C406" s="107" t="s">
        <v>21</v>
      </c>
      <c r="D406" s="107">
        <f t="shared" si="742"/>
        <v>0.00000000395</v>
      </c>
      <c r="E406" s="107">
        <f t="shared" ref="E406:H406" si="743">E12</f>
        <v>0.0000000001</v>
      </c>
      <c r="F406" s="107">
        <f t="shared" si="743"/>
        <v>0.0000000002</v>
      </c>
      <c r="G406" s="107">
        <f t="shared" si="743"/>
        <v>0.0000000003</v>
      </c>
      <c r="H406" s="107">
        <f t="shared" si="743"/>
        <v>0.0000000004</v>
      </c>
      <c r="I406" s="107">
        <f t="shared" si="717"/>
        <v>0.0000000005</v>
      </c>
      <c r="J406" s="107">
        <f t="shared" ref="J406:N406" si="744">J12</f>
        <v>0.0000000006</v>
      </c>
      <c r="K406" s="107">
        <f t="shared" si="744"/>
        <v>0.0000000007</v>
      </c>
      <c r="L406" s="107">
        <f t="shared" si="744"/>
        <v>0.0000000008</v>
      </c>
      <c r="M406" s="107">
        <f t="shared" si="744"/>
        <v>0.0000000009</v>
      </c>
      <c r="N406" s="107">
        <f t="shared" si="744"/>
        <v>0.00000000095</v>
      </c>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row>
    <row r="407" ht="15.75" customHeight="1">
      <c r="A407" s="107" t="s">
        <v>912</v>
      </c>
      <c r="B407" s="108" t="s">
        <v>913</v>
      </c>
      <c r="C407" s="107" t="s">
        <v>21</v>
      </c>
      <c r="D407" s="107">
        <f t="shared" si="742"/>
        <v>0.00000000395</v>
      </c>
      <c r="E407" s="107">
        <f t="shared" ref="E407:H407" si="745">E12</f>
        <v>0.0000000001</v>
      </c>
      <c r="F407" s="107">
        <f t="shared" si="745"/>
        <v>0.0000000002</v>
      </c>
      <c r="G407" s="107">
        <f t="shared" si="745"/>
        <v>0.0000000003</v>
      </c>
      <c r="H407" s="107">
        <f t="shared" si="745"/>
        <v>0.0000000004</v>
      </c>
      <c r="I407" s="107">
        <f t="shared" si="717"/>
        <v>0.0000000005</v>
      </c>
      <c r="J407" s="107">
        <f t="shared" ref="J407:N407" si="746">J12</f>
        <v>0.0000000006</v>
      </c>
      <c r="K407" s="107">
        <f t="shared" si="746"/>
        <v>0.0000000007</v>
      </c>
      <c r="L407" s="107">
        <f t="shared" si="746"/>
        <v>0.0000000008</v>
      </c>
      <c r="M407" s="107">
        <f t="shared" si="746"/>
        <v>0.0000000009</v>
      </c>
      <c r="N407" s="107">
        <f t="shared" si="746"/>
        <v>0.00000000095</v>
      </c>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row>
    <row r="408" ht="15.75" customHeight="1">
      <c r="A408" s="107" t="s">
        <v>914</v>
      </c>
      <c r="B408" s="108" t="s">
        <v>915</v>
      </c>
      <c r="C408" s="107" t="s">
        <v>21</v>
      </c>
      <c r="D408" s="107">
        <f t="shared" si="742"/>
        <v>0.00000000395</v>
      </c>
      <c r="E408" s="107">
        <f t="shared" ref="E408:H408" si="747">E12</f>
        <v>0.0000000001</v>
      </c>
      <c r="F408" s="107">
        <f t="shared" si="747"/>
        <v>0.0000000002</v>
      </c>
      <c r="G408" s="107">
        <f t="shared" si="747"/>
        <v>0.0000000003</v>
      </c>
      <c r="H408" s="107">
        <f t="shared" si="747"/>
        <v>0.0000000004</v>
      </c>
      <c r="I408" s="107">
        <f t="shared" si="717"/>
        <v>0.0000000005</v>
      </c>
      <c r="J408" s="107">
        <f t="shared" ref="J408:N408" si="748">J12</f>
        <v>0.0000000006</v>
      </c>
      <c r="K408" s="107">
        <f t="shared" si="748"/>
        <v>0.0000000007</v>
      </c>
      <c r="L408" s="107">
        <f t="shared" si="748"/>
        <v>0.0000000008</v>
      </c>
      <c r="M408" s="107">
        <f t="shared" si="748"/>
        <v>0.0000000009</v>
      </c>
      <c r="N408" s="107">
        <f t="shared" si="748"/>
        <v>0.00000000095</v>
      </c>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row>
    <row r="409" ht="15.75" customHeight="1">
      <c r="A409" s="107" t="s">
        <v>916</v>
      </c>
      <c r="B409" s="108" t="s">
        <v>917</v>
      </c>
      <c r="C409" s="107" t="s">
        <v>21</v>
      </c>
      <c r="D409" s="107">
        <f t="shared" si="742"/>
        <v>0.00000000395</v>
      </c>
      <c r="E409" s="107">
        <f t="shared" ref="E409:H409" si="749">E12</f>
        <v>0.0000000001</v>
      </c>
      <c r="F409" s="107">
        <f t="shared" si="749"/>
        <v>0.0000000002</v>
      </c>
      <c r="G409" s="107">
        <f t="shared" si="749"/>
        <v>0.0000000003</v>
      </c>
      <c r="H409" s="107">
        <f t="shared" si="749"/>
        <v>0.0000000004</v>
      </c>
      <c r="I409" s="107">
        <f t="shared" si="717"/>
        <v>0.0000000005</v>
      </c>
      <c r="J409" s="107">
        <f t="shared" ref="J409:N409" si="750">J12</f>
        <v>0.0000000006</v>
      </c>
      <c r="K409" s="107">
        <f t="shared" si="750"/>
        <v>0.0000000007</v>
      </c>
      <c r="L409" s="107">
        <f t="shared" si="750"/>
        <v>0.0000000008</v>
      </c>
      <c r="M409" s="107">
        <f t="shared" si="750"/>
        <v>0.0000000009</v>
      </c>
      <c r="N409" s="107">
        <f t="shared" si="750"/>
        <v>0.00000000095</v>
      </c>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row>
    <row r="410" ht="15.75" customHeight="1">
      <c r="A410" s="107" t="s">
        <v>918</v>
      </c>
      <c r="B410" s="108" t="s">
        <v>919</v>
      </c>
      <c r="C410" s="107" t="s">
        <v>21</v>
      </c>
      <c r="D410" s="107">
        <f t="shared" si="742"/>
        <v>0.00000000395</v>
      </c>
      <c r="E410" s="107">
        <f t="shared" ref="E410:M410" si="751">E12</f>
        <v>0.0000000001</v>
      </c>
      <c r="F410" s="107">
        <f t="shared" si="751"/>
        <v>0.0000000002</v>
      </c>
      <c r="G410" s="107">
        <f t="shared" si="751"/>
        <v>0.0000000003</v>
      </c>
      <c r="H410" s="107">
        <f t="shared" si="751"/>
        <v>0.0000000004</v>
      </c>
      <c r="I410" s="107">
        <f t="shared" si="751"/>
        <v>0.0000000005</v>
      </c>
      <c r="J410" s="107">
        <f t="shared" si="751"/>
        <v>0.0000000006</v>
      </c>
      <c r="K410" s="107">
        <f t="shared" si="751"/>
        <v>0.0000000007</v>
      </c>
      <c r="L410" s="107">
        <f t="shared" si="751"/>
        <v>0.0000000008</v>
      </c>
      <c r="M410" s="107">
        <f t="shared" si="751"/>
        <v>0.0000000009</v>
      </c>
      <c r="N410" s="107">
        <f>O12</f>
        <v>0.00000000095</v>
      </c>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row>
    <row r="411" ht="15.75" customHeight="1">
      <c r="A411" s="107" t="s">
        <v>920</v>
      </c>
      <c r="B411" s="108" t="s">
        <v>921</v>
      </c>
      <c r="C411" s="107" t="s">
        <v>775</v>
      </c>
      <c r="D411" s="107">
        <f t="shared" ref="D411:D421" si="753">SUM(E411:H411)+LARGE(I411:N411,1)</f>
        <v>0.00000000195</v>
      </c>
      <c r="E411" s="107">
        <f t="shared" ref="E411:M411" si="752">E12</f>
        <v>0.0000000001</v>
      </c>
      <c r="F411" s="107">
        <f t="shared" si="752"/>
        <v>0.0000000002</v>
      </c>
      <c r="G411" s="107">
        <f t="shared" si="752"/>
        <v>0.0000000003</v>
      </c>
      <c r="H411" s="107">
        <f t="shared" si="752"/>
        <v>0.0000000004</v>
      </c>
      <c r="I411" s="107">
        <f t="shared" si="752"/>
        <v>0.0000000005</v>
      </c>
      <c r="J411" s="107">
        <f t="shared" si="752"/>
        <v>0.0000000006</v>
      </c>
      <c r="K411" s="107">
        <f t="shared" si="752"/>
        <v>0.0000000007</v>
      </c>
      <c r="L411" s="107">
        <f t="shared" si="752"/>
        <v>0.0000000008</v>
      </c>
      <c r="M411" s="107">
        <f t="shared" si="752"/>
        <v>0.0000000009</v>
      </c>
      <c r="N411" s="107">
        <f>O12</f>
        <v>0.00000000095</v>
      </c>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row>
    <row r="412" ht="15.75" customHeight="1">
      <c r="A412" s="107" t="s">
        <v>922</v>
      </c>
      <c r="B412" s="108" t="s">
        <v>923</v>
      </c>
      <c r="C412" s="107" t="s">
        <v>775</v>
      </c>
      <c r="D412" s="107">
        <f t="shared" si="753"/>
        <v>0.00000000195</v>
      </c>
      <c r="E412" s="107">
        <f t="shared" ref="E412:M412" si="754">E12</f>
        <v>0.0000000001</v>
      </c>
      <c r="F412" s="107">
        <f t="shared" si="754"/>
        <v>0.0000000002</v>
      </c>
      <c r="G412" s="107">
        <f t="shared" si="754"/>
        <v>0.0000000003</v>
      </c>
      <c r="H412" s="107">
        <f t="shared" si="754"/>
        <v>0.0000000004</v>
      </c>
      <c r="I412" s="107">
        <f t="shared" si="754"/>
        <v>0.0000000005</v>
      </c>
      <c r="J412" s="107">
        <f t="shared" si="754"/>
        <v>0.0000000006</v>
      </c>
      <c r="K412" s="107">
        <f t="shared" si="754"/>
        <v>0.0000000007</v>
      </c>
      <c r="L412" s="107">
        <f t="shared" si="754"/>
        <v>0.0000000008</v>
      </c>
      <c r="M412" s="107">
        <f t="shared" si="754"/>
        <v>0.0000000009</v>
      </c>
      <c r="N412" s="107">
        <f>O12</f>
        <v>0.00000000095</v>
      </c>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row>
    <row r="413" ht="15.75" customHeight="1">
      <c r="A413" s="107" t="s">
        <v>924</v>
      </c>
      <c r="B413" s="108" t="s">
        <v>925</v>
      </c>
      <c r="C413" s="107" t="s">
        <v>775</v>
      </c>
      <c r="D413" s="107">
        <f t="shared" si="753"/>
        <v>0.00000000195</v>
      </c>
      <c r="E413" s="107">
        <f t="shared" ref="E413:M413" si="755">E12</f>
        <v>0.0000000001</v>
      </c>
      <c r="F413" s="107">
        <f t="shared" si="755"/>
        <v>0.0000000002</v>
      </c>
      <c r="G413" s="107">
        <f t="shared" si="755"/>
        <v>0.0000000003</v>
      </c>
      <c r="H413" s="107">
        <f t="shared" si="755"/>
        <v>0.0000000004</v>
      </c>
      <c r="I413" s="107">
        <f t="shared" si="755"/>
        <v>0.0000000005</v>
      </c>
      <c r="J413" s="107">
        <f t="shared" si="755"/>
        <v>0.0000000006</v>
      </c>
      <c r="K413" s="107">
        <f t="shared" si="755"/>
        <v>0.0000000007</v>
      </c>
      <c r="L413" s="107">
        <f t="shared" si="755"/>
        <v>0.0000000008</v>
      </c>
      <c r="M413" s="107">
        <f t="shared" si="755"/>
        <v>0.0000000009</v>
      </c>
      <c r="N413" s="107">
        <f>O12</f>
        <v>0.00000000095</v>
      </c>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row>
    <row r="414" ht="15.75" customHeight="1">
      <c r="A414" s="107" t="s">
        <v>926</v>
      </c>
      <c r="B414" s="108" t="s">
        <v>927</v>
      </c>
      <c r="C414" s="107" t="s">
        <v>775</v>
      </c>
      <c r="D414" s="107">
        <f t="shared" si="753"/>
        <v>0.00000000195</v>
      </c>
      <c r="E414" s="107">
        <f t="shared" ref="E414:M414" si="756">E12</f>
        <v>0.0000000001</v>
      </c>
      <c r="F414" s="107">
        <f t="shared" si="756"/>
        <v>0.0000000002</v>
      </c>
      <c r="G414" s="107">
        <f t="shared" si="756"/>
        <v>0.0000000003</v>
      </c>
      <c r="H414" s="107">
        <f t="shared" si="756"/>
        <v>0.0000000004</v>
      </c>
      <c r="I414" s="107">
        <f t="shared" si="756"/>
        <v>0.0000000005</v>
      </c>
      <c r="J414" s="107">
        <f t="shared" si="756"/>
        <v>0.0000000006</v>
      </c>
      <c r="K414" s="107">
        <f t="shared" si="756"/>
        <v>0.0000000007</v>
      </c>
      <c r="L414" s="107">
        <f t="shared" si="756"/>
        <v>0.0000000008</v>
      </c>
      <c r="M414" s="107">
        <f t="shared" si="756"/>
        <v>0.0000000009</v>
      </c>
      <c r="N414" s="107">
        <f>O12</f>
        <v>0.00000000095</v>
      </c>
      <c r="O414" s="107"/>
      <c r="P414" s="107" t="s">
        <v>926</v>
      </c>
      <c r="Q414" s="107" t="s">
        <v>928</v>
      </c>
      <c r="R414" s="107"/>
      <c r="S414" s="107"/>
      <c r="T414" s="107">
        <f>IF(LARGE(Q274:U274,1)&gt;2,1,0)</f>
        <v>0</v>
      </c>
      <c r="U414" s="107"/>
      <c r="V414" s="107"/>
      <c r="W414" s="107"/>
      <c r="X414" s="107"/>
      <c r="Y414" s="107"/>
      <c r="Z414" s="107"/>
      <c r="AA414" s="107"/>
      <c r="AB414" s="107"/>
      <c r="AC414" s="107"/>
      <c r="AD414" s="107"/>
      <c r="AE414" s="107"/>
      <c r="AF414" s="107"/>
      <c r="AG414" s="107"/>
      <c r="AH414" s="107"/>
      <c r="AI414" s="107"/>
      <c r="AJ414" s="107"/>
    </row>
    <row r="415" ht="15.75" customHeight="1">
      <c r="A415" s="107" t="s">
        <v>929</v>
      </c>
      <c r="B415" s="108" t="s">
        <v>930</v>
      </c>
      <c r="C415" s="107" t="s">
        <v>775</v>
      </c>
      <c r="D415" s="107">
        <f t="shared" si="753"/>
        <v>0.00000000195</v>
      </c>
      <c r="E415" s="107">
        <f t="shared" ref="E415:M415" si="757">E12</f>
        <v>0.0000000001</v>
      </c>
      <c r="F415" s="107">
        <f t="shared" si="757"/>
        <v>0.0000000002</v>
      </c>
      <c r="G415" s="107">
        <f t="shared" si="757"/>
        <v>0.0000000003</v>
      </c>
      <c r="H415" s="107">
        <f t="shared" si="757"/>
        <v>0.0000000004</v>
      </c>
      <c r="I415" s="107">
        <f t="shared" si="757"/>
        <v>0.0000000005</v>
      </c>
      <c r="J415" s="107">
        <f t="shared" si="757"/>
        <v>0.0000000006</v>
      </c>
      <c r="K415" s="107">
        <f t="shared" si="757"/>
        <v>0.0000000007</v>
      </c>
      <c r="L415" s="107">
        <f t="shared" si="757"/>
        <v>0.0000000008</v>
      </c>
      <c r="M415" s="107">
        <f t="shared" si="757"/>
        <v>0.0000000009</v>
      </c>
      <c r="N415" s="107">
        <f>O12</f>
        <v>0.00000000095</v>
      </c>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row>
    <row r="416" ht="15.75" customHeight="1">
      <c r="A416" s="107" t="s">
        <v>931</v>
      </c>
      <c r="B416" s="108" t="s">
        <v>932</v>
      </c>
      <c r="C416" s="107" t="s">
        <v>775</v>
      </c>
      <c r="D416" s="107">
        <f t="shared" si="753"/>
        <v>0.00000000195</v>
      </c>
      <c r="E416" s="107">
        <f t="shared" ref="E416:M416" si="758">E12</f>
        <v>0.0000000001</v>
      </c>
      <c r="F416" s="107">
        <f t="shared" si="758"/>
        <v>0.0000000002</v>
      </c>
      <c r="G416" s="107">
        <f t="shared" si="758"/>
        <v>0.0000000003</v>
      </c>
      <c r="H416" s="107">
        <f t="shared" si="758"/>
        <v>0.0000000004</v>
      </c>
      <c r="I416" s="107">
        <f t="shared" si="758"/>
        <v>0.0000000005</v>
      </c>
      <c r="J416" s="107">
        <f t="shared" si="758"/>
        <v>0.0000000006</v>
      </c>
      <c r="K416" s="107">
        <f t="shared" si="758"/>
        <v>0.0000000007</v>
      </c>
      <c r="L416" s="107">
        <f t="shared" si="758"/>
        <v>0.0000000008</v>
      </c>
      <c r="M416" s="107">
        <f t="shared" si="758"/>
        <v>0.0000000009</v>
      </c>
      <c r="N416" s="107">
        <f>O12</f>
        <v>0.00000000095</v>
      </c>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row>
    <row r="417" ht="15.75" customHeight="1">
      <c r="A417" s="107" t="s">
        <v>933</v>
      </c>
      <c r="B417" s="108" t="s">
        <v>934</v>
      </c>
      <c r="C417" s="107" t="s">
        <v>775</v>
      </c>
      <c r="D417" s="107">
        <f t="shared" si="753"/>
        <v>0.00000000195</v>
      </c>
      <c r="E417" s="107">
        <f t="shared" ref="E417:I417" si="759">E12</f>
        <v>0.0000000001</v>
      </c>
      <c r="F417" s="107">
        <f t="shared" si="759"/>
        <v>0.0000000002</v>
      </c>
      <c r="G417" s="107">
        <f t="shared" si="759"/>
        <v>0.0000000003</v>
      </c>
      <c r="H417" s="107">
        <f t="shared" si="759"/>
        <v>0.0000000004</v>
      </c>
      <c r="I417" s="107">
        <f t="shared" si="759"/>
        <v>0.0000000005</v>
      </c>
      <c r="J417" s="107">
        <f t="shared" ref="J417:M417" si="760">IF(J1="體育",J12*2,J12)</f>
        <v>0.0000000006</v>
      </c>
      <c r="K417" s="107">
        <f t="shared" si="760"/>
        <v>0.0000000007</v>
      </c>
      <c r="L417" s="107">
        <f t="shared" si="760"/>
        <v>0.0000000008</v>
      </c>
      <c r="M417" s="107">
        <f t="shared" si="760"/>
        <v>0.0000000009</v>
      </c>
      <c r="N417" s="107">
        <f>O12</f>
        <v>0.00000000095</v>
      </c>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row>
    <row r="418" ht="15.75" customHeight="1">
      <c r="A418" s="107" t="s">
        <v>935</v>
      </c>
      <c r="B418" s="108" t="s">
        <v>936</v>
      </c>
      <c r="C418" s="107" t="s">
        <v>775</v>
      </c>
      <c r="D418" s="107">
        <f t="shared" si="753"/>
        <v>0.00000000195</v>
      </c>
      <c r="E418" s="107">
        <f t="shared" ref="E418:M418" si="761">E12</f>
        <v>0.0000000001</v>
      </c>
      <c r="F418" s="107">
        <f t="shared" si="761"/>
        <v>0.0000000002</v>
      </c>
      <c r="G418" s="107">
        <f t="shared" si="761"/>
        <v>0.0000000003</v>
      </c>
      <c r="H418" s="107">
        <f t="shared" si="761"/>
        <v>0.0000000004</v>
      </c>
      <c r="I418" s="107">
        <f t="shared" si="761"/>
        <v>0.0000000005</v>
      </c>
      <c r="J418" s="107">
        <f t="shared" si="761"/>
        <v>0.0000000006</v>
      </c>
      <c r="K418" s="107">
        <f t="shared" si="761"/>
        <v>0.0000000007</v>
      </c>
      <c r="L418" s="107">
        <f t="shared" si="761"/>
        <v>0.0000000008</v>
      </c>
      <c r="M418" s="107">
        <f t="shared" si="761"/>
        <v>0.0000000009</v>
      </c>
      <c r="N418" s="107">
        <f>O12</f>
        <v>0.00000000095</v>
      </c>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row>
    <row r="419" ht="15.75" customHeight="1">
      <c r="A419" s="107" t="s">
        <v>937</v>
      </c>
      <c r="B419" s="108" t="s">
        <v>938</v>
      </c>
      <c r="C419" s="107" t="s">
        <v>775</v>
      </c>
      <c r="D419" s="107">
        <f t="shared" si="753"/>
        <v>0.00000000195</v>
      </c>
      <c r="E419" s="107">
        <f t="shared" ref="E419:M419" si="762">E12</f>
        <v>0.0000000001</v>
      </c>
      <c r="F419" s="107">
        <f t="shared" si="762"/>
        <v>0.0000000002</v>
      </c>
      <c r="G419" s="107">
        <f t="shared" si="762"/>
        <v>0.0000000003</v>
      </c>
      <c r="H419" s="107">
        <f t="shared" si="762"/>
        <v>0.0000000004</v>
      </c>
      <c r="I419" s="107">
        <f t="shared" si="762"/>
        <v>0.0000000005</v>
      </c>
      <c r="J419" s="107">
        <f t="shared" si="762"/>
        <v>0.0000000006</v>
      </c>
      <c r="K419" s="107">
        <f t="shared" si="762"/>
        <v>0.0000000007</v>
      </c>
      <c r="L419" s="107">
        <f t="shared" si="762"/>
        <v>0.0000000008</v>
      </c>
      <c r="M419" s="107">
        <f t="shared" si="762"/>
        <v>0.0000000009</v>
      </c>
      <c r="N419" s="107">
        <f>O12</f>
        <v>0.00000000095</v>
      </c>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row>
    <row r="420" ht="15.75" customHeight="1">
      <c r="A420" s="107" t="s">
        <v>939</v>
      </c>
      <c r="B420" s="108" t="s">
        <v>940</v>
      </c>
      <c r="C420" s="107"/>
      <c r="D420" s="107">
        <f t="shared" si="753"/>
        <v>0.00000000195</v>
      </c>
      <c r="E420" s="107">
        <f t="shared" ref="E420:N420" si="763">E$12</f>
        <v>0.0000000001</v>
      </c>
      <c r="F420" s="107">
        <f t="shared" si="763"/>
        <v>0.0000000002</v>
      </c>
      <c r="G420" s="107">
        <f t="shared" si="763"/>
        <v>0.0000000003</v>
      </c>
      <c r="H420" s="107">
        <f t="shared" si="763"/>
        <v>0.0000000004</v>
      </c>
      <c r="I420" s="107">
        <f t="shared" si="763"/>
        <v>0.0000000005</v>
      </c>
      <c r="J420" s="107">
        <f t="shared" si="763"/>
        <v>0.0000000006</v>
      </c>
      <c r="K420" s="107">
        <f t="shared" si="763"/>
        <v>0.0000000007</v>
      </c>
      <c r="L420" s="107">
        <f t="shared" si="763"/>
        <v>0.0000000008</v>
      </c>
      <c r="M420" s="107">
        <f t="shared" si="763"/>
        <v>0.0000000009</v>
      </c>
      <c r="N420" s="107">
        <f t="shared" si="763"/>
        <v>0.00000000095</v>
      </c>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row>
    <row r="421" ht="15.75" customHeight="1">
      <c r="A421" s="107" t="s">
        <v>941</v>
      </c>
      <c r="B421" s="107" t="s">
        <v>942</v>
      </c>
      <c r="C421" s="107" t="s">
        <v>775</v>
      </c>
      <c r="D421" s="107">
        <f t="shared" si="753"/>
        <v>0.00000000195</v>
      </c>
      <c r="E421" s="107">
        <f t="shared" ref="E421:N421" si="764">E$12</f>
        <v>0.0000000001</v>
      </c>
      <c r="F421" s="107">
        <f t="shared" si="764"/>
        <v>0.0000000002</v>
      </c>
      <c r="G421" s="107">
        <f t="shared" si="764"/>
        <v>0.0000000003</v>
      </c>
      <c r="H421" s="107">
        <f t="shared" si="764"/>
        <v>0.0000000004</v>
      </c>
      <c r="I421" s="107">
        <f t="shared" si="764"/>
        <v>0.0000000005</v>
      </c>
      <c r="J421" s="107">
        <f t="shared" si="764"/>
        <v>0.0000000006</v>
      </c>
      <c r="K421" s="107">
        <f t="shared" si="764"/>
        <v>0.0000000007</v>
      </c>
      <c r="L421" s="107">
        <f t="shared" si="764"/>
        <v>0.0000000008</v>
      </c>
      <c r="M421" s="107">
        <f t="shared" si="764"/>
        <v>0.0000000009</v>
      </c>
      <c r="N421" s="107">
        <f t="shared" si="764"/>
        <v>0.00000000095</v>
      </c>
      <c r="O421" s="107"/>
      <c r="P421" s="107" t="s">
        <v>941</v>
      </c>
      <c r="Q421" s="107" t="s">
        <v>943</v>
      </c>
      <c r="R421" s="107"/>
      <c r="S421" s="107"/>
      <c r="T421" s="107">
        <f>IF(LARGE(Q422:T422,1)&gt;3,1,0)</f>
        <v>0</v>
      </c>
      <c r="U421" s="107"/>
      <c r="V421" s="107"/>
      <c r="W421" s="107"/>
      <c r="X421" s="107"/>
      <c r="Y421" s="107"/>
      <c r="Z421" s="107"/>
      <c r="AA421" s="107"/>
      <c r="AB421" s="107"/>
      <c r="AC421" s="107"/>
      <c r="AD421" s="107"/>
      <c r="AE421" s="107"/>
      <c r="AF421" s="107"/>
      <c r="AG421" s="107"/>
      <c r="AH421" s="107"/>
      <c r="AI421" s="107"/>
      <c r="AJ421" s="107"/>
    </row>
    <row r="422" ht="15.75" customHeight="1">
      <c r="A422" s="107"/>
      <c r="B422" s="107"/>
      <c r="C422" s="108"/>
      <c r="D422" s="107"/>
      <c r="E422" s="107"/>
      <c r="F422" s="107"/>
      <c r="G422" s="107"/>
      <c r="H422" s="107"/>
      <c r="I422" s="107"/>
      <c r="J422" s="107"/>
      <c r="K422" s="107"/>
      <c r="L422" s="107"/>
      <c r="M422" s="107"/>
      <c r="N422" s="107"/>
      <c r="O422" s="107"/>
      <c r="P422" s="107"/>
      <c r="Q422" s="107">
        <f t="shared" ref="Q422:T422" si="765">IF(OR(J1="資訊及通訊科技"),J14,0)</f>
        <v>0</v>
      </c>
      <c r="R422" s="107">
        <f t="shared" si="765"/>
        <v>0</v>
      </c>
      <c r="S422" s="107">
        <f t="shared" si="765"/>
        <v>0</v>
      </c>
      <c r="T422" s="107">
        <f t="shared" si="765"/>
        <v>0</v>
      </c>
      <c r="U422" s="107"/>
      <c r="V422" s="107"/>
      <c r="W422" s="107"/>
      <c r="X422" s="107"/>
      <c r="Y422" s="107"/>
      <c r="Z422" s="107"/>
      <c r="AA422" s="107"/>
      <c r="AB422" s="107"/>
      <c r="AC422" s="107"/>
      <c r="AD422" s="107"/>
      <c r="AE422" s="107"/>
      <c r="AF422" s="107"/>
      <c r="AG422" s="107"/>
      <c r="AH422" s="107"/>
      <c r="AI422" s="107"/>
      <c r="AJ422" s="107"/>
    </row>
    <row r="423" ht="15.75" customHeight="1">
      <c r="A423" s="107"/>
      <c r="B423" s="107"/>
      <c r="C423" s="108"/>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row>
    <row r="424" ht="15.75" customHeight="1">
      <c r="A424" s="107"/>
      <c r="B424" s="107"/>
      <c r="C424" s="108"/>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row>
    <row r="425" ht="15.75" customHeight="1">
      <c r="A425" s="107"/>
      <c r="B425" s="107"/>
      <c r="C425" s="108"/>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row>
    <row r="426" ht="15.75" customHeight="1">
      <c r="A426" s="107"/>
      <c r="B426" s="107"/>
      <c r="C426" s="108"/>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row>
    <row r="427" ht="15.75" customHeight="1">
      <c r="A427" s="107"/>
      <c r="B427" s="107"/>
      <c r="C427" s="108"/>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row>
    <row r="428" ht="15.75" customHeight="1">
      <c r="A428" s="107"/>
      <c r="B428" s="107"/>
      <c r="C428" s="108"/>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row>
    <row r="429" ht="15.75" customHeight="1">
      <c r="A429" s="107"/>
      <c r="B429" s="107"/>
      <c r="C429" s="108"/>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row>
    <row r="430" ht="15.75" customHeight="1">
      <c r="A430" s="107"/>
      <c r="B430" s="107"/>
      <c r="C430" s="108"/>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row>
    <row r="431" ht="15.75" customHeight="1">
      <c r="A431" s="107"/>
      <c r="B431" s="107"/>
      <c r="C431" s="108"/>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row>
    <row r="432" ht="15.75" customHeight="1">
      <c r="A432" s="107"/>
      <c r="B432" s="107"/>
      <c r="C432" s="108"/>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row>
    <row r="433" ht="15.75" customHeight="1">
      <c r="A433" s="107"/>
      <c r="B433" s="107"/>
      <c r="C433" s="108"/>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row>
    <row r="434" ht="15.75" customHeight="1">
      <c r="A434" s="107"/>
      <c r="B434" s="107"/>
      <c r="C434" s="108"/>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row>
    <row r="435" ht="15.75" customHeight="1">
      <c r="A435" s="107"/>
      <c r="B435" s="107"/>
      <c r="C435" s="108"/>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row>
    <row r="436" ht="15.75" customHeight="1">
      <c r="A436" s="107"/>
      <c r="B436" s="107"/>
      <c r="C436" s="108"/>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row>
    <row r="437" ht="15.75" customHeight="1">
      <c r="A437" s="107"/>
      <c r="B437" s="107"/>
      <c r="C437" s="108"/>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row>
    <row r="438" ht="15.75" customHeight="1">
      <c r="A438" s="107"/>
      <c r="B438" s="107"/>
      <c r="C438" s="108"/>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row>
    <row r="439" ht="15.75" customHeight="1">
      <c r="A439" s="107"/>
      <c r="B439" s="107"/>
      <c r="C439" s="108"/>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row>
    <row r="440" ht="15.75" customHeight="1">
      <c r="A440" s="107"/>
      <c r="B440" s="107"/>
      <c r="C440" s="108"/>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row>
    <row r="441" ht="15.75" customHeight="1">
      <c r="A441" s="107"/>
      <c r="B441" s="107"/>
      <c r="C441" s="108"/>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row>
    <row r="442" ht="15.75" customHeight="1">
      <c r="A442" s="107"/>
      <c r="B442" s="107"/>
      <c r="C442" s="108"/>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row>
    <row r="443" ht="15.75" customHeight="1">
      <c r="A443" s="107"/>
      <c r="B443" s="107"/>
      <c r="C443" s="108"/>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row>
    <row r="444" ht="15.75" customHeight="1">
      <c r="A444" s="107"/>
      <c r="B444" s="107"/>
      <c r="C444" s="108"/>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row>
    <row r="445" ht="15.75" customHeight="1">
      <c r="A445" s="107"/>
      <c r="B445" s="107"/>
      <c r="C445" s="108"/>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row>
    <row r="446" ht="15.75" customHeight="1">
      <c r="A446" s="107"/>
      <c r="B446" s="107"/>
      <c r="C446" s="108"/>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row>
    <row r="447" ht="15.75" customHeight="1">
      <c r="A447" s="107"/>
      <c r="B447" s="107"/>
      <c r="C447" s="108"/>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row>
    <row r="448" ht="15.75" customHeight="1">
      <c r="A448" s="107"/>
      <c r="B448" s="107"/>
      <c r="C448" s="108"/>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row>
    <row r="449" ht="15.75" customHeight="1">
      <c r="A449" s="107"/>
      <c r="B449" s="107"/>
      <c r="C449" s="108"/>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row>
    <row r="450" ht="15.75" customHeight="1">
      <c r="A450" s="107"/>
      <c r="B450" s="107"/>
      <c r="C450" s="108"/>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row>
    <row r="451" ht="15.75" customHeight="1">
      <c r="A451" s="107"/>
      <c r="B451" s="107"/>
      <c r="C451" s="108"/>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row>
    <row r="452" ht="15.75" customHeight="1">
      <c r="A452" s="107"/>
      <c r="B452" s="107"/>
      <c r="C452" s="108"/>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row>
    <row r="453" ht="15.75" customHeight="1">
      <c r="A453" s="107"/>
      <c r="B453" s="107"/>
      <c r="C453" s="108"/>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row>
    <row r="454" ht="15.75" customHeight="1">
      <c r="A454" s="107"/>
      <c r="B454" s="107"/>
      <c r="C454" s="108"/>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row>
    <row r="455" ht="15.75" customHeight="1">
      <c r="A455" s="107"/>
      <c r="B455" s="107"/>
      <c r="C455" s="108"/>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row>
    <row r="456" ht="15.75" customHeight="1">
      <c r="A456" s="107"/>
      <c r="B456" s="107"/>
      <c r="C456" s="108"/>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row>
    <row r="457" ht="15.75" customHeight="1">
      <c r="A457" s="107"/>
      <c r="B457" s="107"/>
      <c r="C457" s="108"/>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row>
    <row r="458" ht="15.75" customHeight="1">
      <c r="A458" s="107"/>
      <c r="B458" s="107"/>
      <c r="C458" s="108"/>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row>
    <row r="459" ht="15.75" customHeight="1">
      <c r="A459" s="107"/>
      <c r="B459" s="107"/>
      <c r="C459" s="108"/>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row>
    <row r="460" ht="15.75" customHeight="1">
      <c r="A460" s="107"/>
      <c r="B460" s="107"/>
      <c r="C460" s="108"/>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row>
    <row r="461" ht="15.75" customHeight="1">
      <c r="A461" s="107"/>
      <c r="B461" s="107"/>
      <c r="C461" s="108"/>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row>
    <row r="462" ht="15.75" customHeight="1">
      <c r="A462" s="107"/>
      <c r="B462" s="107"/>
      <c r="C462" s="108"/>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row>
    <row r="463" ht="15.75" customHeight="1">
      <c r="A463" s="107"/>
      <c r="B463" s="107"/>
      <c r="C463" s="108"/>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row>
    <row r="464" ht="15.75" customHeight="1">
      <c r="A464" s="107"/>
      <c r="B464" s="107"/>
      <c r="C464" s="108"/>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row>
    <row r="465" ht="15.75" customHeight="1">
      <c r="A465" s="107"/>
      <c r="B465" s="107"/>
      <c r="C465" s="108"/>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row>
    <row r="466" ht="15.75" customHeight="1">
      <c r="A466" s="107"/>
      <c r="B466" s="107"/>
      <c r="C466" s="108"/>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row>
    <row r="467" ht="15.75" customHeight="1">
      <c r="A467" s="107"/>
      <c r="B467" s="107"/>
      <c r="C467" s="108"/>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row>
    <row r="468" ht="15.75" customHeight="1">
      <c r="A468" s="107"/>
      <c r="B468" s="107"/>
      <c r="C468" s="108"/>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row>
    <row r="469" ht="15.75" customHeight="1">
      <c r="A469" s="107"/>
      <c r="B469" s="107"/>
      <c r="C469" s="108"/>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row>
    <row r="470" ht="15.75" customHeight="1">
      <c r="A470" s="107"/>
      <c r="B470" s="107"/>
      <c r="C470" s="108"/>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row>
    <row r="471" ht="15.75" customHeight="1">
      <c r="A471" s="107"/>
      <c r="B471" s="107"/>
      <c r="C471" s="108"/>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row>
    <row r="472" ht="15.75" customHeight="1">
      <c r="A472" s="107"/>
      <c r="B472" s="107"/>
      <c r="C472" s="108"/>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row>
    <row r="473" ht="15.75" customHeight="1">
      <c r="A473" s="107"/>
      <c r="B473" s="107"/>
      <c r="C473" s="108"/>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row>
    <row r="474" ht="15.75" customHeight="1">
      <c r="A474" s="107"/>
      <c r="B474" s="107"/>
      <c r="C474" s="108"/>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row>
    <row r="475" ht="15.75" customHeight="1">
      <c r="A475" s="107"/>
      <c r="B475" s="107"/>
      <c r="C475" s="108"/>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row>
    <row r="476" ht="15.75" customHeight="1">
      <c r="A476" s="107"/>
      <c r="B476" s="107"/>
      <c r="C476" s="108"/>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row>
    <row r="477" ht="15.75" customHeight="1">
      <c r="A477" s="107"/>
      <c r="B477" s="107"/>
      <c r="C477" s="108"/>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row>
    <row r="478" ht="15.75" customHeight="1">
      <c r="A478" s="107"/>
      <c r="B478" s="107"/>
      <c r="C478" s="108"/>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row>
    <row r="479" ht="15.75" customHeight="1">
      <c r="A479" s="107"/>
      <c r="B479" s="107"/>
      <c r="C479" s="108"/>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row>
    <row r="480" ht="15.75" customHeight="1">
      <c r="A480" s="107"/>
      <c r="B480" s="107"/>
      <c r="C480" s="108"/>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row>
    <row r="481" ht="15.75" customHeight="1">
      <c r="A481" s="107"/>
      <c r="B481" s="107"/>
      <c r="C481" s="108"/>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row>
    <row r="482" ht="15.75" customHeight="1">
      <c r="A482" s="107"/>
      <c r="B482" s="107"/>
      <c r="C482" s="108"/>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row>
    <row r="483" ht="15.75" customHeight="1">
      <c r="A483" s="107"/>
      <c r="B483" s="107"/>
      <c r="C483" s="108"/>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row>
    <row r="484" ht="15.75" customHeight="1">
      <c r="A484" s="107"/>
      <c r="B484" s="107"/>
      <c r="C484" s="108"/>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row>
    <row r="485" ht="15.75" customHeight="1">
      <c r="A485" s="107"/>
      <c r="B485" s="107"/>
      <c r="C485" s="108"/>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row>
    <row r="486" ht="15.75" customHeight="1">
      <c r="A486" s="107"/>
      <c r="B486" s="107"/>
      <c r="C486" s="108"/>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row>
    <row r="487" ht="15.75" customHeight="1">
      <c r="A487" s="107"/>
      <c r="B487" s="107"/>
      <c r="C487" s="108"/>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row>
    <row r="488" ht="15.75" customHeight="1">
      <c r="A488" s="107"/>
      <c r="B488" s="107"/>
      <c r="C488" s="108"/>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row>
    <row r="489" ht="15.75" customHeight="1">
      <c r="A489" s="107"/>
      <c r="B489" s="107"/>
      <c r="C489" s="108"/>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row>
    <row r="490" ht="15.75" customHeight="1">
      <c r="A490" s="107"/>
      <c r="B490" s="107"/>
      <c r="C490" s="108"/>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row>
    <row r="491" ht="15.75" customHeight="1">
      <c r="A491" s="107"/>
      <c r="B491" s="107"/>
      <c r="C491" s="108"/>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row>
    <row r="492" ht="15.75" customHeight="1">
      <c r="A492" s="107"/>
      <c r="B492" s="107"/>
      <c r="C492" s="108"/>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row>
    <row r="493" ht="15.75" customHeight="1">
      <c r="A493" s="107"/>
      <c r="B493" s="107"/>
      <c r="C493" s="108"/>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row>
    <row r="494" ht="15.75" customHeight="1">
      <c r="A494" s="107"/>
      <c r="B494" s="107"/>
      <c r="C494" s="108"/>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row>
    <row r="495" ht="15.75" customHeight="1">
      <c r="A495" s="107"/>
      <c r="B495" s="107"/>
      <c r="C495" s="108"/>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row>
    <row r="496" ht="15.75" customHeight="1">
      <c r="A496" s="107"/>
      <c r="B496" s="107"/>
      <c r="C496" s="108"/>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row>
    <row r="497" ht="15.75" customHeight="1">
      <c r="A497" s="107"/>
      <c r="B497" s="107"/>
      <c r="C497" s="108"/>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row>
    <row r="498" ht="15.75" customHeight="1">
      <c r="A498" s="107"/>
      <c r="B498" s="107"/>
      <c r="C498" s="108"/>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row>
    <row r="499" ht="15.75" customHeight="1">
      <c r="A499" s="107"/>
      <c r="B499" s="107"/>
      <c r="C499" s="108"/>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row>
    <row r="500" ht="15.75" customHeight="1">
      <c r="A500" s="107"/>
      <c r="B500" s="107"/>
      <c r="C500" s="108"/>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row>
    <row r="501" ht="15.75" customHeight="1">
      <c r="A501" s="107"/>
      <c r="B501" s="107"/>
      <c r="C501" s="108"/>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row>
    <row r="502" ht="15.75" customHeight="1">
      <c r="A502" s="107"/>
      <c r="B502" s="107"/>
      <c r="C502" s="108"/>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row>
    <row r="503" ht="15.75" customHeight="1">
      <c r="A503" s="107"/>
      <c r="B503" s="107"/>
      <c r="C503" s="108"/>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row>
    <row r="504" ht="15.75" customHeight="1">
      <c r="A504" s="107"/>
      <c r="B504" s="107"/>
      <c r="C504" s="108"/>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row>
    <row r="505" ht="15.75" customHeight="1">
      <c r="A505" s="107"/>
      <c r="B505" s="107"/>
      <c r="C505" s="108"/>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row>
    <row r="506" ht="15.75" customHeight="1">
      <c r="A506" s="107"/>
      <c r="B506" s="107"/>
      <c r="C506" s="108"/>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row>
    <row r="507" ht="15.75" customHeight="1">
      <c r="A507" s="107"/>
      <c r="B507" s="107"/>
      <c r="C507" s="108"/>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row>
    <row r="508" ht="15.75" customHeight="1">
      <c r="A508" s="107"/>
      <c r="B508" s="107"/>
      <c r="C508" s="108"/>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row>
    <row r="509" ht="15.75" customHeight="1">
      <c r="A509" s="107"/>
      <c r="B509" s="107"/>
      <c r="C509" s="108"/>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row>
    <row r="510" ht="15.75" customHeight="1">
      <c r="A510" s="107"/>
      <c r="B510" s="107"/>
      <c r="C510" s="108"/>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row>
    <row r="511" ht="15.75" customHeight="1">
      <c r="A511" s="107"/>
      <c r="B511" s="107"/>
      <c r="C511" s="108"/>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row>
    <row r="512" ht="15.75" customHeight="1">
      <c r="A512" s="107"/>
      <c r="B512" s="107"/>
      <c r="C512" s="108"/>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row>
    <row r="513" ht="15.75" customHeight="1">
      <c r="A513" s="107"/>
      <c r="B513" s="107"/>
      <c r="C513" s="108"/>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row>
    <row r="514" ht="15.75" customHeight="1">
      <c r="A514" s="107"/>
      <c r="B514" s="107"/>
      <c r="C514" s="108"/>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row>
    <row r="515" ht="15.75" customHeight="1">
      <c r="A515" s="107"/>
      <c r="B515" s="107"/>
      <c r="C515" s="108"/>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row>
    <row r="516" ht="15.75" customHeight="1">
      <c r="A516" s="107"/>
      <c r="B516" s="107"/>
      <c r="C516" s="108"/>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row>
    <row r="517" ht="15.75" customHeight="1">
      <c r="A517" s="107"/>
      <c r="B517" s="107"/>
      <c r="C517" s="108"/>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row>
    <row r="518" ht="15.75" customHeight="1">
      <c r="A518" s="107"/>
      <c r="B518" s="107"/>
      <c r="C518" s="108"/>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row>
    <row r="519" ht="15.75" customHeight="1">
      <c r="A519" s="107"/>
      <c r="B519" s="107"/>
      <c r="C519" s="108"/>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row>
    <row r="520" ht="15.75" customHeight="1">
      <c r="A520" s="107"/>
      <c r="B520" s="107"/>
      <c r="C520" s="108"/>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row>
    <row r="521" ht="15.75" customHeight="1">
      <c r="A521" s="107"/>
      <c r="B521" s="107"/>
      <c r="C521" s="108"/>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row>
    <row r="522" ht="15.75" customHeight="1">
      <c r="A522" s="107"/>
      <c r="B522" s="107"/>
      <c r="C522" s="108"/>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row>
    <row r="523" ht="15.75" customHeight="1">
      <c r="A523" s="107"/>
      <c r="B523" s="107"/>
      <c r="C523" s="108"/>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row>
    <row r="524" ht="15.75" customHeight="1">
      <c r="A524" s="107"/>
      <c r="B524" s="107"/>
      <c r="C524" s="108"/>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row>
    <row r="525" ht="15.75" customHeight="1">
      <c r="A525" s="107"/>
      <c r="B525" s="107"/>
      <c r="C525" s="108"/>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row>
    <row r="526" ht="15.75" customHeight="1">
      <c r="A526" s="107"/>
      <c r="B526" s="107"/>
      <c r="C526" s="108"/>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row>
    <row r="527" ht="15.75" customHeight="1">
      <c r="A527" s="107"/>
      <c r="B527" s="107"/>
      <c r="C527" s="108"/>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row>
    <row r="528" ht="15.75" customHeight="1">
      <c r="A528" s="107"/>
      <c r="B528" s="107"/>
      <c r="C528" s="108"/>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row>
    <row r="529" ht="15.75" customHeight="1">
      <c r="A529" s="107"/>
      <c r="B529" s="107"/>
      <c r="C529" s="108"/>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row>
    <row r="530" ht="15.75" customHeight="1">
      <c r="A530" s="107"/>
      <c r="B530" s="107"/>
      <c r="C530" s="108"/>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row>
    <row r="531" ht="15.75" customHeight="1">
      <c r="A531" s="107"/>
      <c r="B531" s="107"/>
      <c r="C531" s="108"/>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row>
    <row r="532" ht="15.75" customHeight="1">
      <c r="A532" s="107"/>
      <c r="B532" s="107"/>
      <c r="C532" s="108"/>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row>
    <row r="533" ht="15.75" customHeight="1">
      <c r="A533" s="107"/>
      <c r="B533" s="107"/>
      <c r="C533" s="108"/>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row>
    <row r="534" ht="15.75" customHeight="1">
      <c r="A534" s="107"/>
      <c r="B534" s="107"/>
      <c r="C534" s="108"/>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row>
    <row r="535" ht="15.75" customHeight="1">
      <c r="A535" s="107"/>
      <c r="B535" s="107"/>
      <c r="C535" s="108"/>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row>
    <row r="536" ht="15.75" customHeight="1">
      <c r="A536" s="107"/>
      <c r="B536" s="107"/>
      <c r="C536" s="108"/>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row>
    <row r="537" ht="15.75" customHeight="1">
      <c r="A537" s="107"/>
      <c r="B537" s="107"/>
      <c r="C537" s="108"/>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row>
    <row r="538" ht="15.75" customHeight="1">
      <c r="A538" s="107"/>
      <c r="B538" s="107"/>
      <c r="C538" s="108"/>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row>
    <row r="539" ht="15.75" customHeight="1">
      <c r="A539" s="107"/>
      <c r="B539" s="107"/>
      <c r="C539" s="108"/>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row>
    <row r="540" ht="15.75" customHeight="1">
      <c r="A540" s="107"/>
      <c r="B540" s="107"/>
      <c r="C540" s="108"/>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row>
    <row r="541" ht="15.75" customHeight="1">
      <c r="A541" s="107"/>
      <c r="B541" s="107"/>
      <c r="C541" s="108"/>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row>
    <row r="542" ht="15.75" customHeight="1">
      <c r="A542" s="107"/>
      <c r="B542" s="107"/>
      <c r="C542" s="108"/>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row>
    <row r="543" ht="15.75" customHeight="1">
      <c r="A543" s="107"/>
      <c r="B543" s="107"/>
      <c r="C543" s="108"/>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row>
    <row r="544" ht="15.75" customHeight="1">
      <c r="A544" s="107"/>
      <c r="B544" s="107"/>
      <c r="C544" s="108"/>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row>
    <row r="545" ht="15.75" customHeight="1">
      <c r="A545" s="107"/>
      <c r="B545" s="107"/>
      <c r="C545" s="108"/>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row>
    <row r="546" ht="15.75" customHeight="1">
      <c r="A546" s="107"/>
      <c r="B546" s="107"/>
      <c r="C546" s="108"/>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row>
    <row r="547" ht="15.75" customHeight="1">
      <c r="A547" s="107"/>
      <c r="B547" s="107"/>
      <c r="C547" s="108"/>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row>
    <row r="548" ht="15.75" customHeight="1">
      <c r="A548" s="107"/>
      <c r="B548" s="107"/>
      <c r="C548" s="108"/>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row>
    <row r="549" ht="15.75" customHeight="1">
      <c r="A549" s="107"/>
      <c r="B549" s="107"/>
      <c r="C549" s="108"/>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row>
    <row r="550" ht="15.75" customHeight="1">
      <c r="A550" s="107"/>
      <c r="B550" s="107"/>
      <c r="C550" s="108"/>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row>
    <row r="551" ht="15.75" customHeight="1">
      <c r="A551" s="107"/>
      <c r="B551" s="107"/>
      <c r="C551" s="108"/>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row>
    <row r="552" ht="15.75" customHeight="1">
      <c r="A552" s="107"/>
      <c r="B552" s="107"/>
      <c r="C552" s="108"/>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row>
    <row r="553" ht="15.75" customHeight="1">
      <c r="A553" s="107"/>
      <c r="B553" s="107"/>
      <c r="C553" s="108"/>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row>
    <row r="554" ht="15.75" customHeight="1">
      <c r="A554" s="107"/>
      <c r="B554" s="107"/>
      <c r="C554" s="108"/>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row>
    <row r="555" ht="15.75" customHeight="1">
      <c r="A555" s="107"/>
      <c r="B555" s="107"/>
      <c r="C555" s="108"/>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row>
    <row r="556" ht="15.75" customHeight="1">
      <c r="A556" s="107"/>
      <c r="B556" s="107"/>
      <c r="C556" s="108"/>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row>
    <row r="557" ht="15.75" customHeight="1">
      <c r="A557" s="107"/>
      <c r="B557" s="107"/>
      <c r="C557" s="108"/>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row>
    <row r="558" ht="15.75" customHeight="1">
      <c r="A558" s="107"/>
      <c r="B558" s="107"/>
      <c r="C558" s="108"/>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row>
    <row r="559" ht="15.75" customHeight="1">
      <c r="A559" s="107"/>
      <c r="B559" s="107"/>
      <c r="C559" s="108"/>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row>
    <row r="560" ht="15.75" customHeight="1">
      <c r="A560" s="107"/>
      <c r="B560" s="107"/>
      <c r="C560" s="108"/>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row>
    <row r="561" ht="15.75" customHeight="1">
      <c r="A561" s="107"/>
      <c r="B561" s="107"/>
      <c r="C561" s="108"/>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row>
    <row r="562" ht="15.75" customHeight="1">
      <c r="A562" s="107"/>
      <c r="B562" s="107"/>
      <c r="C562" s="108"/>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row>
    <row r="563" ht="15.75" customHeight="1">
      <c r="A563" s="107"/>
      <c r="B563" s="107"/>
      <c r="C563" s="108"/>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row>
    <row r="564" ht="15.75" customHeight="1">
      <c r="A564" s="107"/>
      <c r="B564" s="107"/>
      <c r="C564" s="108"/>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row>
    <row r="565" ht="15.75" customHeight="1">
      <c r="A565" s="107"/>
      <c r="B565" s="107"/>
      <c r="C565" s="108"/>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row>
    <row r="566" ht="15.75" customHeight="1">
      <c r="A566" s="107"/>
      <c r="B566" s="107"/>
      <c r="C566" s="108"/>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row>
    <row r="567" ht="15.75" customHeight="1">
      <c r="A567" s="107"/>
      <c r="B567" s="107"/>
      <c r="C567" s="108"/>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row>
    <row r="568" ht="15.75" customHeight="1">
      <c r="A568" s="107"/>
      <c r="B568" s="107"/>
      <c r="C568" s="108"/>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row>
    <row r="569" ht="15.75" customHeight="1">
      <c r="A569" s="107"/>
      <c r="B569" s="107"/>
      <c r="C569" s="108"/>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row>
    <row r="570" ht="15.75" customHeight="1">
      <c r="A570" s="107"/>
      <c r="B570" s="107"/>
      <c r="C570" s="108"/>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row>
    <row r="571" ht="15.75" customHeight="1">
      <c r="A571" s="107"/>
      <c r="B571" s="107"/>
      <c r="C571" s="108"/>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row>
    <row r="572" ht="15.75" customHeight="1">
      <c r="A572" s="107"/>
      <c r="B572" s="107"/>
      <c r="C572" s="108"/>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row>
    <row r="573" ht="15.75" customHeight="1">
      <c r="A573" s="107"/>
      <c r="B573" s="107"/>
      <c r="C573" s="108"/>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row>
    <row r="574" ht="15.75" customHeight="1">
      <c r="A574" s="107"/>
      <c r="B574" s="107"/>
      <c r="C574" s="108"/>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row>
    <row r="575" ht="15.75" customHeight="1">
      <c r="A575" s="107"/>
      <c r="B575" s="107"/>
      <c r="C575" s="108"/>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row>
    <row r="576" ht="15.75" customHeight="1">
      <c r="A576" s="107"/>
      <c r="B576" s="107"/>
      <c r="C576" s="108"/>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row>
    <row r="577" ht="15.75" customHeight="1">
      <c r="A577" s="107"/>
      <c r="B577" s="107"/>
      <c r="C577" s="108"/>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row>
    <row r="578" ht="15.75" customHeight="1">
      <c r="A578" s="107"/>
      <c r="B578" s="107"/>
      <c r="C578" s="108"/>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row>
    <row r="579" ht="15.75" customHeight="1">
      <c r="A579" s="107"/>
      <c r="B579" s="107"/>
      <c r="C579" s="108"/>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row>
    <row r="580" ht="15.75" customHeight="1">
      <c r="A580" s="107"/>
      <c r="B580" s="107"/>
      <c r="C580" s="108"/>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row>
    <row r="581" ht="15.75" customHeight="1">
      <c r="A581" s="107"/>
      <c r="B581" s="107"/>
      <c r="C581" s="108"/>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row>
    <row r="582" ht="15.75" customHeight="1">
      <c r="A582" s="107"/>
      <c r="B582" s="107"/>
      <c r="C582" s="108"/>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row>
    <row r="583" ht="15.75" customHeight="1">
      <c r="A583" s="107"/>
      <c r="B583" s="107"/>
      <c r="C583" s="108"/>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row>
    <row r="584" ht="15.75" customHeight="1">
      <c r="A584" s="107"/>
      <c r="B584" s="107"/>
      <c r="C584" s="108"/>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row>
    <row r="585" ht="15.75" customHeight="1">
      <c r="A585" s="107"/>
      <c r="B585" s="107"/>
      <c r="C585" s="108"/>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row>
    <row r="586" ht="15.75" customHeight="1">
      <c r="A586" s="107"/>
      <c r="B586" s="107"/>
      <c r="C586" s="108"/>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row>
    <row r="587" ht="15.75" customHeight="1">
      <c r="A587" s="107"/>
      <c r="B587" s="107"/>
      <c r="C587" s="108"/>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row>
    <row r="588" ht="15.75" customHeight="1">
      <c r="A588" s="107"/>
      <c r="B588" s="107"/>
      <c r="C588" s="108"/>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row>
    <row r="589" ht="15.75" customHeight="1">
      <c r="A589" s="107"/>
      <c r="B589" s="107"/>
      <c r="C589" s="108"/>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row>
    <row r="590" ht="15.75" customHeight="1">
      <c r="A590" s="107"/>
      <c r="B590" s="107"/>
      <c r="C590" s="108"/>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row>
    <row r="591" ht="15.75" customHeight="1">
      <c r="A591" s="107"/>
      <c r="B591" s="107"/>
      <c r="C591" s="108"/>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row>
    <row r="592" ht="15.75" customHeight="1">
      <c r="A592" s="107"/>
      <c r="B592" s="107"/>
      <c r="C592" s="108"/>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row>
    <row r="593" ht="15.75" customHeight="1">
      <c r="A593" s="107"/>
      <c r="B593" s="107"/>
      <c r="C593" s="108"/>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row>
    <row r="594" ht="15.75" customHeight="1">
      <c r="A594" s="107"/>
      <c r="B594" s="107"/>
      <c r="C594" s="108"/>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row>
    <row r="595" ht="15.75" customHeight="1">
      <c r="A595" s="107"/>
      <c r="B595" s="107"/>
      <c r="C595" s="108"/>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row>
    <row r="596" ht="15.75" customHeight="1">
      <c r="A596" s="107"/>
      <c r="B596" s="107"/>
      <c r="C596" s="108"/>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row>
    <row r="597" ht="15.75" customHeight="1">
      <c r="A597" s="107"/>
      <c r="B597" s="107"/>
      <c r="C597" s="108"/>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row>
    <row r="598" ht="15.75" customHeight="1">
      <c r="A598" s="107"/>
      <c r="B598" s="107"/>
      <c r="C598" s="108"/>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row>
    <row r="599" ht="15.75" customHeight="1">
      <c r="A599" s="107"/>
      <c r="B599" s="107"/>
      <c r="C599" s="108"/>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row>
    <row r="600" ht="15.75" customHeight="1">
      <c r="A600" s="107"/>
      <c r="B600" s="107"/>
      <c r="C600" s="108"/>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row>
    <row r="601" ht="15.75" customHeight="1">
      <c r="A601" s="107"/>
      <c r="B601" s="107"/>
      <c r="C601" s="108"/>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row>
    <row r="602" ht="15.75" customHeight="1">
      <c r="A602" s="107"/>
      <c r="B602" s="107"/>
      <c r="C602" s="108"/>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row>
    <row r="603" ht="15.75" customHeight="1">
      <c r="A603" s="107"/>
      <c r="B603" s="107"/>
      <c r="C603" s="108"/>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row>
    <row r="604" ht="15.75" customHeight="1">
      <c r="A604" s="107"/>
      <c r="B604" s="107"/>
      <c r="C604" s="108"/>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row>
    <row r="605" ht="15.75" customHeight="1">
      <c r="A605" s="107"/>
      <c r="B605" s="107"/>
      <c r="C605" s="108"/>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row>
    <row r="606" ht="15.75" customHeight="1">
      <c r="A606" s="107"/>
      <c r="B606" s="107"/>
      <c r="C606" s="108"/>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row>
    <row r="607" ht="15.75" customHeight="1">
      <c r="A607" s="107"/>
      <c r="B607" s="107"/>
      <c r="C607" s="108"/>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row>
    <row r="608" ht="15.75" customHeight="1">
      <c r="A608" s="107"/>
      <c r="B608" s="107"/>
      <c r="C608" s="108"/>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row>
    <row r="609" ht="15.75" customHeight="1">
      <c r="A609" s="107"/>
      <c r="B609" s="107"/>
      <c r="C609" s="108"/>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row>
    <row r="610" ht="15.75" customHeight="1">
      <c r="A610" s="107"/>
      <c r="B610" s="107"/>
      <c r="C610" s="108"/>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row>
    <row r="611" ht="15.75" customHeight="1">
      <c r="A611" s="107"/>
      <c r="B611" s="107"/>
      <c r="C611" s="108"/>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row>
    <row r="612" ht="15.75" customHeight="1">
      <c r="A612" s="107"/>
      <c r="B612" s="107"/>
      <c r="C612" s="108"/>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row>
    <row r="613" ht="15.75" customHeight="1">
      <c r="A613" s="107"/>
      <c r="B613" s="107"/>
      <c r="C613" s="108"/>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row>
    <row r="614" ht="15.75" customHeight="1">
      <c r="A614" s="107"/>
      <c r="B614" s="107"/>
      <c r="C614" s="108"/>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row>
    <row r="615" ht="15.75" customHeight="1">
      <c r="A615" s="107"/>
      <c r="B615" s="107"/>
      <c r="C615" s="108"/>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row>
    <row r="616" ht="15.75" customHeight="1">
      <c r="A616" s="107"/>
      <c r="B616" s="107"/>
      <c r="C616" s="108"/>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row>
    <row r="617" ht="15.75" customHeight="1">
      <c r="A617" s="107"/>
      <c r="B617" s="107"/>
      <c r="C617" s="108"/>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row>
    <row r="618" ht="15.75" customHeight="1">
      <c r="A618" s="107"/>
      <c r="B618" s="107"/>
      <c r="C618" s="108"/>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row>
    <row r="619" ht="15.75" customHeight="1">
      <c r="A619" s="107"/>
      <c r="B619" s="107"/>
      <c r="C619" s="108"/>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row>
    <row r="620" ht="15.75" customHeight="1">
      <c r="A620" s="107"/>
      <c r="B620" s="107"/>
      <c r="C620" s="108"/>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row>
    <row r="621" ht="15.75" customHeight="1">
      <c r="A621" s="107"/>
      <c r="B621" s="107"/>
      <c r="C621" s="108"/>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row>
    <row r="622" ht="15.75" customHeight="1">
      <c r="A622" s="107"/>
      <c r="B622" s="107"/>
      <c r="C622" s="108"/>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row>
    <row r="623" ht="15.75" customHeight="1">
      <c r="A623" s="107"/>
      <c r="B623" s="107"/>
      <c r="C623" s="108"/>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row>
    <row r="624" ht="15.75" customHeight="1">
      <c r="A624" s="107"/>
      <c r="B624" s="107"/>
      <c r="C624" s="108"/>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row>
    <row r="625" ht="15.75" customHeight="1">
      <c r="A625" s="107"/>
      <c r="B625" s="107"/>
      <c r="C625" s="108"/>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row>
    <row r="626" ht="15.75" customHeight="1">
      <c r="A626" s="107"/>
      <c r="B626" s="107"/>
      <c r="C626" s="108"/>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row>
    <row r="627" ht="15.75" customHeight="1">
      <c r="A627" s="107"/>
      <c r="B627" s="107"/>
      <c r="C627" s="108"/>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row>
    <row r="628" ht="15.75" customHeight="1">
      <c r="A628" s="107"/>
      <c r="B628" s="107"/>
      <c r="C628" s="108"/>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row>
    <row r="629" ht="15.75" customHeight="1">
      <c r="A629" s="107"/>
      <c r="B629" s="107"/>
      <c r="C629" s="108"/>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row>
    <row r="630" ht="15.75" customHeight="1">
      <c r="A630" s="107"/>
      <c r="B630" s="107"/>
      <c r="C630" s="108"/>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row>
    <row r="631" ht="15.75" customHeight="1">
      <c r="A631" s="107"/>
      <c r="B631" s="107"/>
      <c r="C631" s="108"/>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row>
    <row r="632" ht="15.75" customHeight="1">
      <c r="A632" s="107"/>
      <c r="B632" s="107"/>
      <c r="C632" s="108"/>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row>
    <row r="633" ht="15.75" customHeight="1">
      <c r="A633" s="107"/>
      <c r="B633" s="107"/>
      <c r="C633" s="108"/>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row>
    <row r="634" ht="15.75" customHeight="1">
      <c r="A634" s="107"/>
      <c r="B634" s="107"/>
      <c r="C634" s="108"/>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row>
    <row r="635" ht="15.75" customHeight="1">
      <c r="A635" s="107"/>
      <c r="B635" s="107"/>
      <c r="C635" s="108"/>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row>
    <row r="636" ht="15.75" customHeight="1">
      <c r="A636" s="107"/>
      <c r="B636" s="107"/>
      <c r="C636" s="108"/>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row>
    <row r="637" ht="15.75" customHeight="1">
      <c r="A637" s="107"/>
      <c r="B637" s="107"/>
      <c r="C637" s="108"/>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row>
    <row r="638" ht="15.75" customHeight="1">
      <c r="A638" s="107"/>
      <c r="B638" s="107"/>
      <c r="C638" s="108"/>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row>
    <row r="639" ht="15.75" customHeight="1">
      <c r="A639" s="107"/>
      <c r="B639" s="107"/>
      <c r="C639" s="108"/>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row>
    <row r="640" ht="15.75" customHeight="1">
      <c r="A640" s="107"/>
      <c r="B640" s="107"/>
      <c r="C640" s="108"/>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row>
    <row r="641" ht="15.75" customHeight="1">
      <c r="A641" s="107"/>
      <c r="B641" s="107"/>
      <c r="C641" s="108"/>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row>
    <row r="642" ht="15.75" customHeight="1">
      <c r="A642" s="107"/>
      <c r="B642" s="107"/>
      <c r="C642" s="108"/>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row>
    <row r="643" ht="15.75" customHeight="1">
      <c r="A643" s="107"/>
      <c r="B643" s="107"/>
      <c r="C643" s="108"/>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row>
    <row r="644" ht="15.75" customHeight="1">
      <c r="A644" s="107"/>
      <c r="B644" s="107"/>
      <c r="C644" s="108"/>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row>
    <row r="645" ht="15.75" customHeight="1">
      <c r="A645" s="107"/>
      <c r="B645" s="107"/>
      <c r="C645" s="108"/>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row>
    <row r="646" ht="15.75" customHeight="1">
      <c r="A646" s="107"/>
      <c r="B646" s="107"/>
      <c r="C646" s="108"/>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row>
    <row r="647" ht="15.75" customHeight="1">
      <c r="A647" s="107"/>
      <c r="B647" s="107"/>
      <c r="C647" s="108"/>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row>
    <row r="648" ht="15.75" customHeight="1">
      <c r="A648" s="107"/>
      <c r="B648" s="107"/>
      <c r="C648" s="108"/>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row>
    <row r="649" ht="15.75" customHeight="1">
      <c r="A649" s="107"/>
      <c r="B649" s="107"/>
      <c r="C649" s="108"/>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row>
    <row r="650" ht="15.75" customHeight="1">
      <c r="A650" s="107"/>
      <c r="B650" s="107"/>
      <c r="C650" s="108"/>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row>
    <row r="651" ht="15.75" customHeight="1">
      <c r="A651" s="107"/>
      <c r="B651" s="107"/>
      <c r="C651" s="108"/>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row>
    <row r="652" ht="15.75" customHeight="1">
      <c r="A652" s="107"/>
      <c r="B652" s="107"/>
      <c r="C652" s="108"/>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row>
    <row r="653" ht="15.75" customHeight="1">
      <c r="A653" s="107"/>
      <c r="B653" s="107"/>
      <c r="C653" s="108"/>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row>
    <row r="654" ht="15.75" customHeight="1">
      <c r="A654" s="107"/>
      <c r="B654" s="107"/>
      <c r="C654" s="108"/>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row>
    <row r="655" ht="15.75" customHeight="1">
      <c r="A655" s="107"/>
      <c r="B655" s="107"/>
      <c r="C655" s="108"/>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row>
    <row r="656" ht="15.75" customHeight="1">
      <c r="A656" s="107"/>
      <c r="B656" s="107"/>
      <c r="C656" s="108"/>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row>
    <row r="657" ht="15.75" customHeight="1">
      <c r="A657" s="107"/>
      <c r="B657" s="107"/>
      <c r="C657" s="108"/>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row>
    <row r="658" ht="15.75" customHeight="1">
      <c r="A658" s="107"/>
      <c r="B658" s="107"/>
      <c r="C658" s="108"/>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row>
    <row r="659" ht="15.75" customHeight="1">
      <c r="A659" s="107"/>
      <c r="B659" s="107"/>
      <c r="C659" s="108"/>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row>
    <row r="660" ht="15.75" customHeight="1">
      <c r="A660" s="107"/>
      <c r="B660" s="107"/>
      <c r="C660" s="108"/>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row>
    <row r="661" ht="15.75" customHeight="1">
      <c r="A661" s="107"/>
      <c r="B661" s="107"/>
      <c r="C661" s="108"/>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row>
    <row r="662" ht="15.75" customHeight="1">
      <c r="A662" s="107"/>
      <c r="B662" s="107"/>
      <c r="C662" s="108"/>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row>
    <row r="663" ht="15.75" customHeight="1">
      <c r="A663" s="107"/>
      <c r="B663" s="107"/>
      <c r="C663" s="108"/>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row>
    <row r="664" ht="15.75" customHeight="1">
      <c r="A664" s="107"/>
      <c r="B664" s="107"/>
      <c r="C664" s="108"/>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row>
    <row r="665" ht="15.75" customHeight="1">
      <c r="A665" s="107"/>
      <c r="B665" s="107"/>
      <c r="C665" s="108"/>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row>
    <row r="666" ht="15.75" customHeight="1">
      <c r="A666" s="107"/>
      <c r="B666" s="107"/>
      <c r="C666" s="108"/>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row>
    <row r="667" ht="15.75" customHeight="1">
      <c r="A667" s="107"/>
      <c r="B667" s="107"/>
      <c r="C667" s="108"/>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row>
    <row r="668" ht="15.75" customHeight="1">
      <c r="A668" s="107"/>
      <c r="B668" s="107"/>
      <c r="C668" s="108"/>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row>
    <row r="669" ht="15.75" customHeight="1">
      <c r="A669" s="107"/>
      <c r="B669" s="107"/>
      <c r="C669" s="108"/>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row>
    <row r="670" ht="15.75" customHeight="1">
      <c r="A670" s="107"/>
      <c r="B670" s="107"/>
      <c r="C670" s="108"/>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row>
    <row r="671" ht="15.75" customHeight="1">
      <c r="A671" s="107"/>
      <c r="B671" s="107"/>
      <c r="C671" s="108"/>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row>
    <row r="672" ht="15.75" customHeight="1">
      <c r="A672" s="107"/>
      <c r="B672" s="107"/>
      <c r="C672" s="108"/>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row>
    <row r="673" ht="15.75" customHeight="1">
      <c r="A673" s="107"/>
      <c r="B673" s="107"/>
      <c r="C673" s="108"/>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row>
    <row r="674" ht="15.75" customHeight="1">
      <c r="A674" s="107"/>
      <c r="B674" s="107"/>
      <c r="C674" s="108"/>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row>
    <row r="675" ht="15.75" customHeight="1">
      <c r="A675" s="107"/>
      <c r="B675" s="107"/>
      <c r="C675" s="108"/>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row>
    <row r="676" ht="15.75" customHeight="1">
      <c r="A676" s="107"/>
      <c r="B676" s="107"/>
      <c r="C676" s="108"/>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row>
    <row r="677" ht="15.75" customHeight="1">
      <c r="A677" s="107"/>
      <c r="B677" s="107"/>
      <c r="C677" s="108"/>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row>
    <row r="678" ht="15.75" customHeight="1">
      <c r="A678" s="107"/>
      <c r="B678" s="107"/>
      <c r="C678" s="108"/>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row>
    <row r="679" ht="15.75" customHeight="1">
      <c r="A679" s="107"/>
      <c r="B679" s="107"/>
      <c r="C679" s="108"/>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row>
    <row r="680" ht="15.75" customHeight="1">
      <c r="A680" s="107"/>
      <c r="B680" s="107"/>
      <c r="C680" s="108"/>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row>
    <row r="681" ht="15.75" customHeight="1">
      <c r="A681" s="107"/>
      <c r="B681" s="107"/>
      <c r="C681" s="108"/>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row>
    <row r="682" ht="15.75" customHeight="1">
      <c r="A682" s="107"/>
      <c r="B682" s="107"/>
      <c r="C682" s="108"/>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row>
    <row r="683" ht="15.75" customHeight="1">
      <c r="A683" s="107"/>
      <c r="B683" s="107"/>
      <c r="C683" s="108"/>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row>
    <row r="684" ht="15.75" customHeight="1">
      <c r="A684" s="107"/>
      <c r="B684" s="107"/>
      <c r="C684" s="108"/>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row>
    <row r="685" ht="15.75" customHeight="1">
      <c r="A685" s="107"/>
      <c r="B685" s="107"/>
      <c r="C685" s="108"/>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row>
    <row r="686" ht="15.75" customHeight="1">
      <c r="A686" s="107"/>
      <c r="B686" s="107"/>
      <c r="C686" s="108"/>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row>
    <row r="687" ht="15.75" customHeight="1">
      <c r="A687" s="107"/>
      <c r="B687" s="107"/>
      <c r="C687" s="108"/>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row>
    <row r="688" ht="15.75" customHeight="1">
      <c r="A688" s="107"/>
      <c r="B688" s="107"/>
      <c r="C688" s="108"/>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row>
    <row r="689" ht="15.75" customHeight="1">
      <c r="A689" s="107"/>
      <c r="B689" s="107"/>
      <c r="C689" s="108"/>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row>
    <row r="690" ht="15.75" customHeight="1">
      <c r="A690" s="107"/>
      <c r="B690" s="107"/>
      <c r="C690" s="108"/>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row>
    <row r="691" ht="15.75" customHeight="1">
      <c r="A691" s="107"/>
      <c r="B691" s="107"/>
      <c r="C691" s="108"/>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row>
    <row r="692" ht="15.75" customHeight="1">
      <c r="A692" s="107"/>
      <c r="B692" s="107"/>
      <c r="C692" s="108"/>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row>
    <row r="693" ht="15.75" customHeight="1">
      <c r="A693" s="107"/>
      <c r="B693" s="107"/>
      <c r="C693" s="108"/>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row>
    <row r="694" ht="15.75" customHeight="1">
      <c r="A694" s="107"/>
      <c r="B694" s="107"/>
      <c r="C694" s="108"/>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row>
    <row r="695" ht="15.75" customHeight="1">
      <c r="A695" s="107"/>
      <c r="B695" s="107"/>
      <c r="C695" s="108"/>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row>
    <row r="696" ht="15.75" customHeight="1">
      <c r="A696" s="107"/>
      <c r="B696" s="107"/>
      <c r="C696" s="108"/>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row>
    <row r="697" ht="15.75" customHeight="1">
      <c r="A697" s="107"/>
      <c r="B697" s="107"/>
      <c r="C697" s="108"/>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row>
    <row r="698" ht="15.75" customHeight="1">
      <c r="A698" s="107"/>
      <c r="B698" s="107"/>
      <c r="C698" s="108"/>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row>
    <row r="699" ht="15.75" customHeight="1">
      <c r="A699" s="107"/>
      <c r="B699" s="107"/>
      <c r="C699" s="108"/>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row>
    <row r="700" ht="15.75" customHeight="1">
      <c r="A700" s="107"/>
      <c r="B700" s="107"/>
      <c r="C700" s="108"/>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row>
    <row r="701" ht="15.75" customHeight="1">
      <c r="A701" s="107"/>
      <c r="B701" s="107"/>
      <c r="C701" s="108"/>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row>
    <row r="702" ht="15.75" customHeight="1">
      <c r="A702" s="107"/>
      <c r="B702" s="107"/>
      <c r="C702" s="108"/>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row>
    <row r="703" ht="15.75" customHeight="1">
      <c r="A703" s="107"/>
      <c r="B703" s="107"/>
      <c r="C703" s="108"/>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row>
    <row r="704" ht="15.75" customHeight="1">
      <c r="A704" s="107"/>
      <c r="B704" s="107"/>
      <c r="C704" s="108"/>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row>
    <row r="705" ht="15.75" customHeight="1">
      <c r="A705" s="107"/>
      <c r="B705" s="107"/>
      <c r="C705" s="108"/>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row>
    <row r="706" ht="15.75" customHeight="1">
      <c r="A706" s="107"/>
      <c r="B706" s="107"/>
      <c r="C706" s="108"/>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row>
    <row r="707" ht="15.75" customHeight="1">
      <c r="A707" s="107"/>
      <c r="B707" s="107"/>
      <c r="C707" s="108"/>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row>
    <row r="708" ht="15.75" customHeight="1">
      <c r="A708" s="107"/>
      <c r="B708" s="107"/>
      <c r="C708" s="108"/>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row>
    <row r="709" ht="15.75" customHeight="1">
      <c r="A709" s="107"/>
      <c r="B709" s="107"/>
      <c r="C709" s="108"/>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row>
    <row r="710" ht="15.75" customHeight="1">
      <c r="A710" s="107"/>
      <c r="B710" s="107"/>
      <c r="C710" s="108"/>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row>
    <row r="711" ht="15.75" customHeight="1">
      <c r="A711" s="107"/>
      <c r="B711" s="107"/>
      <c r="C711" s="108"/>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row>
    <row r="712" ht="15.75" customHeight="1">
      <c r="A712" s="107"/>
      <c r="B712" s="107"/>
      <c r="C712" s="108"/>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row>
    <row r="713" ht="15.75" customHeight="1">
      <c r="A713" s="107"/>
      <c r="B713" s="107"/>
      <c r="C713" s="108"/>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row>
    <row r="714" ht="15.75" customHeight="1">
      <c r="A714" s="107"/>
      <c r="B714" s="107"/>
      <c r="C714" s="108"/>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row>
    <row r="715" ht="15.75" customHeight="1">
      <c r="A715" s="107"/>
      <c r="B715" s="107"/>
      <c r="C715" s="108"/>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row>
    <row r="716" ht="15.75" customHeight="1">
      <c r="A716" s="107"/>
      <c r="B716" s="107"/>
      <c r="C716" s="108"/>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row>
    <row r="717" ht="15.75" customHeight="1">
      <c r="A717" s="107"/>
      <c r="B717" s="107"/>
      <c r="C717" s="108"/>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row>
    <row r="718" ht="15.75" customHeight="1">
      <c r="A718" s="107"/>
      <c r="B718" s="107"/>
      <c r="C718" s="108"/>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row>
    <row r="719" ht="15.75" customHeight="1">
      <c r="A719" s="107"/>
      <c r="B719" s="107"/>
      <c r="C719" s="108"/>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row>
    <row r="720" ht="15.75" customHeight="1">
      <c r="A720" s="107"/>
      <c r="B720" s="107"/>
      <c r="C720" s="108"/>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row>
    <row r="721" ht="15.75" customHeight="1">
      <c r="A721" s="107"/>
      <c r="B721" s="107"/>
      <c r="C721" s="108"/>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row>
    <row r="722" ht="15.75" customHeight="1">
      <c r="A722" s="107"/>
      <c r="B722" s="107"/>
      <c r="C722" s="108"/>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row>
    <row r="723" ht="15.75" customHeight="1">
      <c r="A723" s="107"/>
      <c r="B723" s="107"/>
      <c r="C723" s="108"/>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row>
    <row r="724" ht="15.75" customHeight="1">
      <c r="A724" s="107"/>
      <c r="B724" s="107"/>
      <c r="C724" s="108"/>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row>
    <row r="725" ht="15.75" customHeight="1">
      <c r="A725" s="107"/>
      <c r="B725" s="107"/>
      <c r="C725" s="108"/>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row>
    <row r="726" ht="15.75" customHeight="1">
      <c r="A726" s="107"/>
      <c r="B726" s="107"/>
      <c r="C726" s="108"/>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row>
    <row r="727" ht="15.75" customHeight="1">
      <c r="A727" s="107"/>
      <c r="B727" s="107"/>
      <c r="C727" s="108"/>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row>
    <row r="728" ht="15.75" customHeight="1">
      <c r="A728" s="107"/>
      <c r="B728" s="107"/>
      <c r="C728" s="108"/>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row>
    <row r="729" ht="15.75" customHeight="1">
      <c r="A729" s="107"/>
      <c r="B729" s="107"/>
      <c r="C729" s="108"/>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row>
    <row r="730" ht="15.75" customHeight="1">
      <c r="A730" s="107"/>
      <c r="B730" s="107"/>
      <c r="C730" s="108"/>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row>
    <row r="731" ht="15.75" customHeight="1">
      <c r="A731" s="107"/>
      <c r="B731" s="107"/>
      <c r="C731" s="108"/>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row>
    <row r="732" ht="15.75" customHeight="1">
      <c r="A732" s="107"/>
      <c r="B732" s="107"/>
      <c r="C732" s="108"/>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row>
    <row r="733" ht="15.75" customHeight="1">
      <c r="A733" s="107"/>
      <c r="B733" s="107"/>
      <c r="C733" s="108"/>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row>
    <row r="734" ht="15.75" customHeight="1">
      <c r="A734" s="107"/>
      <c r="B734" s="107"/>
      <c r="C734" s="108"/>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row>
    <row r="735" ht="15.75" customHeight="1">
      <c r="A735" s="107"/>
      <c r="B735" s="107"/>
      <c r="C735" s="108"/>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row>
    <row r="736" ht="15.75" customHeight="1">
      <c r="A736" s="107"/>
      <c r="B736" s="107"/>
      <c r="C736" s="108"/>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row>
    <row r="737" ht="15.75" customHeight="1">
      <c r="A737" s="107"/>
      <c r="B737" s="107"/>
      <c r="C737" s="108"/>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row>
    <row r="738" ht="15.75" customHeight="1">
      <c r="A738" s="107"/>
      <c r="B738" s="107"/>
      <c r="C738" s="108"/>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row>
    <row r="739" ht="15.75" customHeight="1">
      <c r="A739" s="107"/>
      <c r="B739" s="107"/>
      <c r="C739" s="108"/>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row>
    <row r="740" ht="15.75" customHeight="1">
      <c r="A740" s="107"/>
      <c r="B740" s="107"/>
      <c r="C740" s="108"/>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row>
    <row r="741" ht="15.75" customHeight="1">
      <c r="A741" s="107"/>
      <c r="B741" s="107"/>
      <c r="C741" s="108"/>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row>
    <row r="742" ht="15.75" customHeight="1">
      <c r="A742" s="107"/>
      <c r="B742" s="107"/>
      <c r="C742" s="108"/>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row>
    <row r="743" ht="15.75" customHeight="1">
      <c r="A743" s="107"/>
      <c r="B743" s="107"/>
      <c r="C743" s="108"/>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row>
    <row r="744" ht="15.75" customHeight="1">
      <c r="A744" s="107"/>
      <c r="B744" s="107"/>
      <c r="C744" s="108"/>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row>
    <row r="745" ht="15.75" customHeight="1">
      <c r="A745" s="107"/>
      <c r="B745" s="107"/>
      <c r="C745" s="108"/>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row>
    <row r="746" ht="15.75" customHeight="1">
      <c r="A746" s="107"/>
      <c r="B746" s="107"/>
      <c r="C746" s="108"/>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row>
    <row r="747" ht="15.75" customHeight="1">
      <c r="A747" s="107"/>
      <c r="B747" s="107"/>
      <c r="C747" s="108"/>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row>
    <row r="748" ht="15.75" customHeight="1">
      <c r="A748" s="107"/>
      <c r="B748" s="107"/>
      <c r="C748" s="108"/>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row>
    <row r="749" ht="15.75" customHeight="1">
      <c r="A749" s="107"/>
      <c r="B749" s="107"/>
      <c r="C749" s="108"/>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row>
    <row r="750" ht="15.75" customHeight="1">
      <c r="A750" s="107"/>
      <c r="B750" s="107"/>
      <c r="C750" s="108"/>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row>
    <row r="751" ht="15.75" customHeight="1">
      <c r="A751" s="107"/>
      <c r="B751" s="107"/>
      <c r="C751" s="108"/>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row>
    <row r="752" ht="15.75" customHeight="1">
      <c r="A752" s="107"/>
      <c r="B752" s="107"/>
      <c r="C752" s="108"/>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row>
    <row r="753" ht="15.75" customHeight="1">
      <c r="A753" s="107"/>
      <c r="B753" s="107"/>
      <c r="C753" s="108"/>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row>
    <row r="754" ht="15.75" customHeight="1">
      <c r="A754" s="107"/>
      <c r="B754" s="107"/>
      <c r="C754" s="108"/>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row>
    <row r="755" ht="15.75" customHeight="1">
      <c r="A755" s="107"/>
      <c r="B755" s="107"/>
      <c r="C755" s="108"/>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row>
    <row r="756" ht="15.75" customHeight="1">
      <c r="A756" s="107"/>
      <c r="B756" s="107"/>
      <c r="C756" s="108"/>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row>
    <row r="757" ht="15.75" customHeight="1">
      <c r="A757" s="107"/>
      <c r="B757" s="107"/>
      <c r="C757" s="108"/>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row>
    <row r="758" ht="15.75" customHeight="1">
      <c r="A758" s="107"/>
      <c r="B758" s="107"/>
      <c r="C758" s="108"/>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row>
    <row r="759" ht="15.75" customHeight="1">
      <c r="A759" s="107"/>
      <c r="B759" s="107"/>
      <c r="C759" s="108"/>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row>
    <row r="760" ht="15.75" customHeight="1">
      <c r="A760" s="107"/>
      <c r="B760" s="107"/>
      <c r="C760" s="108"/>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row>
    <row r="761" ht="15.75" customHeight="1">
      <c r="A761" s="107"/>
      <c r="B761" s="107"/>
      <c r="C761" s="108"/>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row>
    <row r="762" ht="15.75" customHeight="1">
      <c r="A762" s="107"/>
      <c r="B762" s="107"/>
      <c r="C762" s="108"/>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row>
    <row r="763" ht="15.75" customHeight="1">
      <c r="A763" s="107"/>
      <c r="B763" s="107"/>
      <c r="C763" s="108"/>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row>
    <row r="764" ht="15.75" customHeight="1">
      <c r="A764" s="107"/>
      <c r="B764" s="107"/>
      <c r="C764" s="108"/>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row>
    <row r="765" ht="15.75" customHeight="1">
      <c r="A765" s="107"/>
      <c r="B765" s="107"/>
      <c r="C765" s="108"/>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row>
    <row r="766" ht="15.75" customHeight="1">
      <c r="A766" s="107"/>
      <c r="B766" s="107"/>
      <c r="C766" s="108"/>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row>
    <row r="767" ht="15.75" customHeight="1">
      <c r="A767" s="107"/>
      <c r="B767" s="107"/>
      <c r="C767" s="108"/>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row>
    <row r="768" ht="15.75" customHeight="1">
      <c r="A768" s="107"/>
      <c r="B768" s="107"/>
      <c r="C768" s="108"/>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row>
    <row r="769" ht="15.75" customHeight="1">
      <c r="A769" s="107"/>
      <c r="B769" s="107"/>
      <c r="C769" s="108"/>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row>
    <row r="770" ht="15.75" customHeight="1">
      <c r="A770" s="107"/>
      <c r="B770" s="107"/>
      <c r="C770" s="108"/>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row>
    <row r="771" ht="15.75" customHeight="1">
      <c r="A771" s="107"/>
      <c r="B771" s="107"/>
      <c r="C771" s="108"/>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row>
    <row r="772" ht="15.75" customHeight="1">
      <c r="A772" s="107"/>
      <c r="B772" s="107"/>
      <c r="C772" s="108"/>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row>
    <row r="773" ht="15.75" customHeight="1">
      <c r="A773" s="107"/>
      <c r="B773" s="107"/>
      <c r="C773" s="108"/>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row>
    <row r="774" ht="15.75" customHeight="1">
      <c r="A774" s="107"/>
      <c r="B774" s="107"/>
      <c r="C774" s="108"/>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row>
    <row r="775" ht="15.75" customHeight="1">
      <c r="A775" s="107"/>
      <c r="B775" s="107"/>
      <c r="C775" s="108"/>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row>
    <row r="776" ht="15.75" customHeight="1">
      <c r="A776" s="107"/>
      <c r="B776" s="107"/>
      <c r="C776" s="108"/>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row>
    <row r="777" ht="15.75" customHeight="1">
      <c r="A777" s="107"/>
      <c r="B777" s="107"/>
      <c r="C777" s="108"/>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row>
    <row r="778" ht="15.75" customHeight="1">
      <c r="A778" s="107"/>
      <c r="B778" s="107"/>
      <c r="C778" s="108"/>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row>
    <row r="779" ht="15.75" customHeight="1">
      <c r="A779" s="107"/>
      <c r="B779" s="107"/>
      <c r="C779" s="108"/>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row>
    <row r="780" ht="15.75" customHeight="1">
      <c r="A780" s="107"/>
      <c r="B780" s="107"/>
      <c r="C780" s="108"/>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row>
    <row r="781" ht="15.75" customHeight="1">
      <c r="A781" s="107"/>
      <c r="B781" s="107"/>
      <c r="C781" s="108"/>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row>
    <row r="782" ht="15.75" customHeight="1">
      <c r="A782" s="107"/>
      <c r="B782" s="107"/>
      <c r="C782" s="108"/>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row>
    <row r="783" ht="15.75" customHeight="1">
      <c r="A783" s="107"/>
      <c r="B783" s="107"/>
      <c r="C783" s="108"/>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row>
    <row r="784" ht="15.75" customHeight="1">
      <c r="A784" s="107"/>
      <c r="B784" s="107"/>
      <c r="C784" s="108"/>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row>
    <row r="785" ht="15.75" customHeight="1">
      <c r="A785" s="107"/>
      <c r="B785" s="107"/>
      <c r="C785" s="108"/>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row>
    <row r="786" ht="15.75" customHeight="1">
      <c r="A786" s="107"/>
      <c r="B786" s="107"/>
      <c r="C786" s="108"/>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row>
    <row r="787" ht="15.75" customHeight="1">
      <c r="A787" s="107"/>
      <c r="B787" s="107"/>
      <c r="C787" s="108"/>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row>
    <row r="788" ht="15.75" customHeight="1">
      <c r="A788" s="107"/>
      <c r="B788" s="107"/>
      <c r="C788" s="108"/>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row>
    <row r="789" ht="15.75" customHeight="1">
      <c r="A789" s="107"/>
      <c r="B789" s="107"/>
      <c r="C789" s="108"/>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row>
    <row r="790" ht="15.75" customHeight="1">
      <c r="A790" s="107"/>
      <c r="B790" s="107"/>
      <c r="C790" s="108"/>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row>
    <row r="791" ht="15.75" customHeight="1">
      <c r="A791" s="107"/>
      <c r="B791" s="107"/>
      <c r="C791" s="108"/>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row>
    <row r="792" ht="15.75" customHeight="1">
      <c r="A792" s="107"/>
      <c r="B792" s="107"/>
      <c r="C792" s="108"/>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row>
    <row r="793" ht="15.75" customHeight="1">
      <c r="A793" s="107"/>
      <c r="B793" s="107"/>
      <c r="C793" s="108"/>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row>
    <row r="794" ht="15.75" customHeight="1">
      <c r="A794" s="107"/>
      <c r="B794" s="107"/>
      <c r="C794" s="108"/>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row>
    <row r="795" ht="15.75" customHeight="1">
      <c r="A795" s="107"/>
      <c r="B795" s="107"/>
      <c r="C795" s="108"/>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row>
    <row r="796" ht="15.75" customHeight="1">
      <c r="A796" s="107"/>
      <c r="B796" s="107"/>
      <c r="C796" s="108"/>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row>
    <row r="797" ht="15.75" customHeight="1">
      <c r="A797" s="107"/>
      <c r="B797" s="107"/>
      <c r="C797" s="108"/>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row>
    <row r="798" ht="15.75" customHeight="1">
      <c r="A798" s="107"/>
      <c r="B798" s="107"/>
      <c r="C798" s="108"/>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row>
    <row r="799" ht="15.75" customHeight="1">
      <c r="A799" s="107"/>
      <c r="B799" s="107"/>
      <c r="C799" s="108"/>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row>
    <row r="800" ht="15.75" customHeight="1">
      <c r="A800" s="107"/>
      <c r="B800" s="107"/>
      <c r="C800" s="108"/>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row>
    <row r="801" ht="15.75" customHeight="1">
      <c r="A801" s="107"/>
      <c r="B801" s="107"/>
      <c r="C801" s="108"/>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c r="AA801" s="107"/>
      <c r="AB801" s="107"/>
      <c r="AC801" s="107"/>
      <c r="AD801" s="107"/>
      <c r="AE801" s="107"/>
      <c r="AF801" s="107"/>
      <c r="AG801" s="107"/>
      <c r="AH801" s="107"/>
      <c r="AI801" s="107"/>
      <c r="AJ801" s="107"/>
    </row>
    <row r="802" ht="15.75" customHeight="1">
      <c r="A802" s="107"/>
      <c r="B802" s="107"/>
      <c r="C802" s="108"/>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row>
    <row r="803" ht="15.75" customHeight="1">
      <c r="A803" s="107"/>
      <c r="B803" s="107"/>
      <c r="C803" s="108"/>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row>
    <row r="804" ht="15.75" customHeight="1">
      <c r="A804" s="107"/>
      <c r="B804" s="107"/>
      <c r="C804" s="108"/>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row>
    <row r="805" ht="15.75" customHeight="1">
      <c r="A805" s="107"/>
      <c r="B805" s="107"/>
      <c r="C805" s="108"/>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row>
    <row r="806" ht="15.75" customHeight="1">
      <c r="A806" s="107"/>
      <c r="B806" s="107"/>
      <c r="C806" s="108"/>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row>
    <row r="807" ht="15.75" customHeight="1">
      <c r="A807" s="107"/>
      <c r="B807" s="107"/>
      <c r="C807" s="108"/>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row>
    <row r="808" ht="15.75" customHeight="1">
      <c r="A808" s="107"/>
      <c r="B808" s="107"/>
      <c r="C808" s="108"/>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c r="AA808" s="107"/>
      <c r="AB808" s="107"/>
      <c r="AC808" s="107"/>
      <c r="AD808" s="107"/>
      <c r="AE808" s="107"/>
      <c r="AF808" s="107"/>
      <c r="AG808" s="107"/>
      <c r="AH808" s="107"/>
      <c r="AI808" s="107"/>
      <c r="AJ808" s="107"/>
    </row>
    <row r="809" ht="15.75" customHeight="1">
      <c r="A809" s="107"/>
      <c r="B809" s="107"/>
      <c r="C809" s="108"/>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row>
    <row r="810" ht="15.75" customHeight="1">
      <c r="A810" s="107"/>
      <c r="B810" s="107"/>
      <c r="C810" s="108"/>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row>
    <row r="811" ht="15.75" customHeight="1">
      <c r="A811" s="107"/>
      <c r="B811" s="107"/>
      <c r="C811" s="108"/>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row>
    <row r="812" ht="15.75" customHeight="1">
      <c r="A812" s="107"/>
      <c r="B812" s="107"/>
      <c r="C812" s="108"/>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row>
    <row r="813" ht="15.75" customHeight="1">
      <c r="A813" s="107"/>
      <c r="B813" s="107"/>
      <c r="C813" s="108"/>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row>
    <row r="814" ht="15.75" customHeight="1">
      <c r="A814" s="107"/>
      <c r="B814" s="107"/>
      <c r="C814" s="108"/>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row>
    <row r="815" ht="15.75" customHeight="1">
      <c r="A815" s="107"/>
      <c r="B815" s="107"/>
      <c r="C815" s="108"/>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c r="AA815" s="107"/>
      <c r="AB815" s="107"/>
      <c r="AC815" s="107"/>
      <c r="AD815" s="107"/>
      <c r="AE815" s="107"/>
      <c r="AF815" s="107"/>
      <c r="AG815" s="107"/>
      <c r="AH815" s="107"/>
      <c r="AI815" s="107"/>
      <c r="AJ815" s="107"/>
    </row>
    <row r="816" ht="15.75" customHeight="1">
      <c r="A816" s="107"/>
      <c r="B816" s="107"/>
      <c r="C816" s="108"/>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row>
    <row r="817" ht="15.75" customHeight="1">
      <c r="A817" s="107"/>
      <c r="B817" s="107"/>
      <c r="C817" s="108"/>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row>
    <row r="818" ht="15.75" customHeight="1">
      <c r="A818" s="107"/>
      <c r="B818" s="107"/>
      <c r="C818" s="108"/>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row>
    <row r="819" ht="15.75" customHeight="1">
      <c r="A819" s="107"/>
      <c r="B819" s="107"/>
      <c r="C819" s="108"/>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row>
    <row r="820" ht="15.75" customHeight="1">
      <c r="A820" s="107"/>
      <c r="B820" s="107"/>
      <c r="C820" s="108"/>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row>
    <row r="821" ht="15.75" customHeight="1">
      <c r="A821" s="107"/>
      <c r="B821" s="107"/>
      <c r="C821" s="108"/>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row>
    <row r="822" ht="15.75" customHeight="1">
      <c r="A822" s="107"/>
      <c r="B822" s="107"/>
      <c r="C822" s="108"/>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c r="AA822" s="107"/>
      <c r="AB822" s="107"/>
      <c r="AC822" s="107"/>
      <c r="AD822" s="107"/>
      <c r="AE822" s="107"/>
      <c r="AF822" s="107"/>
      <c r="AG822" s="107"/>
      <c r="AH822" s="107"/>
      <c r="AI822" s="107"/>
      <c r="AJ822" s="107"/>
    </row>
    <row r="823" ht="15.75" customHeight="1">
      <c r="A823" s="107"/>
      <c r="B823" s="107"/>
      <c r="C823" s="108"/>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row>
    <row r="824" ht="15.75" customHeight="1">
      <c r="A824" s="107"/>
      <c r="B824" s="107"/>
      <c r="C824" s="108"/>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row>
    <row r="825" ht="15.75" customHeight="1">
      <c r="A825" s="107"/>
      <c r="B825" s="107"/>
      <c r="C825" s="108"/>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row>
    <row r="826" ht="15.75" customHeight="1">
      <c r="A826" s="107"/>
      <c r="B826" s="107"/>
      <c r="C826" s="108"/>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row>
    <row r="827" ht="15.75" customHeight="1">
      <c r="A827" s="107"/>
      <c r="B827" s="107"/>
      <c r="C827" s="108"/>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row>
    <row r="828" ht="15.75" customHeight="1">
      <c r="A828" s="107"/>
      <c r="B828" s="107"/>
      <c r="C828" s="108"/>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row>
    <row r="829" ht="15.75" customHeight="1">
      <c r="A829" s="107"/>
      <c r="B829" s="107"/>
      <c r="C829" s="108"/>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c r="AA829" s="107"/>
      <c r="AB829" s="107"/>
      <c r="AC829" s="107"/>
      <c r="AD829" s="107"/>
      <c r="AE829" s="107"/>
      <c r="AF829" s="107"/>
      <c r="AG829" s="107"/>
      <c r="AH829" s="107"/>
      <c r="AI829" s="107"/>
      <c r="AJ829" s="107"/>
    </row>
    <row r="830" ht="15.75" customHeight="1">
      <c r="A830" s="107"/>
      <c r="B830" s="107"/>
      <c r="C830" s="108"/>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c r="AA830" s="107"/>
      <c r="AB830" s="107"/>
      <c r="AC830" s="107"/>
      <c r="AD830" s="107"/>
      <c r="AE830" s="107"/>
      <c r="AF830" s="107"/>
      <c r="AG830" s="107"/>
      <c r="AH830" s="107"/>
      <c r="AI830" s="107"/>
      <c r="AJ830" s="107"/>
    </row>
    <row r="831" ht="15.75" customHeight="1">
      <c r="A831" s="107"/>
      <c r="B831" s="107"/>
      <c r="C831" s="108"/>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c r="AA831" s="107"/>
      <c r="AB831" s="107"/>
      <c r="AC831" s="107"/>
      <c r="AD831" s="107"/>
      <c r="AE831" s="107"/>
      <c r="AF831" s="107"/>
      <c r="AG831" s="107"/>
      <c r="AH831" s="107"/>
      <c r="AI831" s="107"/>
      <c r="AJ831" s="107"/>
    </row>
    <row r="832" ht="15.75" customHeight="1">
      <c r="A832" s="107"/>
      <c r="B832" s="107"/>
      <c r="C832" s="108"/>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c r="AA832" s="107"/>
      <c r="AB832" s="107"/>
      <c r="AC832" s="107"/>
      <c r="AD832" s="107"/>
      <c r="AE832" s="107"/>
      <c r="AF832" s="107"/>
      <c r="AG832" s="107"/>
      <c r="AH832" s="107"/>
      <c r="AI832" s="107"/>
      <c r="AJ832" s="107"/>
    </row>
    <row r="833" ht="15.75" customHeight="1">
      <c r="A833" s="107"/>
      <c r="B833" s="107"/>
      <c r="C833" s="108"/>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c r="AA833" s="107"/>
      <c r="AB833" s="107"/>
      <c r="AC833" s="107"/>
      <c r="AD833" s="107"/>
      <c r="AE833" s="107"/>
      <c r="AF833" s="107"/>
      <c r="AG833" s="107"/>
      <c r="AH833" s="107"/>
      <c r="AI833" s="107"/>
      <c r="AJ833" s="107"/>
    </row>
    <row r="834" ht="15.75" customHeight="1">
      <c r="A834" s="107"/>
      <c r="B834" s="107"/>
      <c r="C834" s="108"/>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c r="AA834" s="107"/>
      <c r="AB834" s="107"/>
      <c r="AC834" s="107"/>
      <c r="AD834" s="107"/>
      <c r="AE834" s="107"/>
      <c r="AF834" s="107"/>
      <c r="AG834" s="107"/>
      <c r="AH834" s="107"/>
      <c r="AI834" s="107"/>
      <c r="AJ834" s="107"/>
    </row>
    <row r="835" ht="15.75" customHeight="1">
      <c r="A835" s="107"/>
      <c r="B835" s="107"/>
      <c r="C835" s="108"/>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c r="AA835" s="107"/>
      <c r="AB835" s="107"/>
      <c r="AC835" s="107"/>
      <c r="AD835" s="107"/>
      <c r="AE835" s="107"/>
      <c r="AF835" s="107"/>
      <c r="AG835" s="107"/>
      <c r="AH835" s="107"/>
      <c r="AI835" s="107"/>
      <c r="AJ835" s="107"/>
    </row>
    <row r="836" ht="15.75" customHeight="1">
      <c r="A836" s="107"/>
      <c r="B836" s="107"/>
      <c r="C836" s="108"/>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c r="AA836" s="107"/>
      <c r="AB836" s="107"/>
      <c r="AC836" s="107"/>
      <c r="AD836" s="107"/>
      <c r="AE836" s="107"/>
      <c r="AF836" s="107"/>
      <c r="AG836" s="107"/>
      <c r="AH836" s="107"/>
      <c r="AI836" s="107"/>
      <c r="AJ836" s="107"/>
    </row>
    <row r="837" ht="15.75" customHeight="1">
      <c r="A837" s="107"/>
      <c r="B837" s="107"/>
      <c r="C837" s="108"/>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c r="AA837" s="107"/>
      <c r="AB837" s="107"/>
      <c r="AC837" s="107"/>
      <c r="AD837" s="107"/>
      <c r="AE837" s="107"/>
      <c r="AF837" s="107"/>
      <c r="AG837" s="107"/>
      <c r="AH837" s="107"/>
      <c r="AI837" s="107"/>
      <c r="AJ837" s="107"/>
    </row>
    <row r="838" ht="15.75" customHeight="1">
      <c r="A838" s="107"/>
      <c r="B838" s="107"/>
      <c r="C838" s="108"/>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c r="AA838" s="107"/>
      <c r="AB838" s="107"/>
      <c r="AC838" s="107"/>
      <c r="AD838" s="107"/>
      <c r="AE838" s="107"/>
      <c r="AF838" s="107"/>
      <c r="AG838" s="107"/>
      <c r="AH838" s="107"/>
      <c r="AI838" s="107"/>
      <c r="AJ838" s="107"/>
    </row>
    <row r="839" ht="15.75" customHeight="1">
      <c r="A839" s="107"/>
      <c r="B839" s="107"/>
      <c r="C839" s="108"/>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c r="AA839" s="107"/>
      <c r="AB839" s="107"/>
      <c r="AC839" s="107"/>
      <c r="AD839" s="107"/>
      <c r="AE839" s="107"/>
      <c r="AF839" s="107"/>
      <c r="AG839" s="107"/>
      <c r="AH839" s="107"/>
      <c r="AI839" s="107"/>
      <c r="AJ839" s="107"/>
    </row>
    <row r="840" ht="15.75" customHeight="1">
      <c r="A840" s="107"/>
      <c r="B840" s="107"/>
      <c r="C840" s="108"/>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c r="AA840" s="107"/>
      <c r="AB840" s="107"/>
      <c r="AC840" s="107"/>
      <c r="AD840" s="107"/>
      <c r="AE840" s="107"/>
      <c r="AF840" s="107"/>
      <c r="AG840" s="107"/>
      <c r="AH840" s="107"/>
      <c r="AI840" s="107"/>
      <c r="AJ840" s="107"/>
    </row>
    <row r="841" ht="15.75" customHeight="1">
      <c r="A841" s="107"/>
      <c r="B841" s="107"/>
      <c r="C841" s="108"/>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c r="AA841" s="107"/>
      <c r="AB841" s="107"/>
      <c r="AC841" s="107"/>
      <c r="AD841" s="107"/>
      <c r="AE841" s="107"/>
      <c r="AF841" s="107"/>
      <c r="AG841" s="107"/>
      <c r="AH841" s="107"/>
      <c r="AI841" s="107"/>
      <c r="AJ841" s="107"/>
    </row>
    <row r="842" ht="15.75" customHeight="1">
      <c r="A842" s="107"/>
      <c r="B842" s="107"/>
      <c r="C842" s="108"/>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c r="AA842" s="107"/>
      <c r="AB842" s="107"/>
      <c r="AC842" s="107"/>
      <c r="AD842" s="107"/>
      <c r="AE842" s="107"/>
      <c r="AF842" s="107"/>
      <c r="AG842" s="107"/>
      <c r="AH842" s="107"/>
      <c r="AI842" s="107"/>
      <c r="AJ842" s="107"/>
    </row>
    <row r="843" ht="15.75" customHeight="1">
      <c r="A843" s="107"/>
      <c r="B843" s="107"/>
      <c r="C843" s="108"/>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c r="AA843" s="107"/>
      <c r="AB843" s="107"/>
      <c r="AC843" s="107"/>
      <c r="AD843" s="107"/>
      <c r="AE843" s="107"/>
      <c r="AF843" s="107"/>
      <c r="AG843" s="107"/>
      <c r="AH843" s="107"/>
      <c r="AI843" s="107"/>
      <c r="AJ843" s="107"/>
    </row>
    <row r="844" ht="15.75" customHeight="1">
      <c r="A844" s="107"/>
      <c r="B844" s="107"/>
      <c r="C844" s="108"/>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c r="AA844" s="107"/>
      <c r="AB844" s="107"/>
      <c r="AC844" s="107"/>
      <c r="AD844" s="107"/>
      <c r="AE844" s="107"/>
      <c r="AF844" s="107"/>
      <c r="AG844" s="107"/>
      <c r="AH844" s="107"/>
      <c r="AI844" s="107"/>
      <c r="AJ844" s="107"/>
    </row>
    <row r="845" ht="15.75" customHeight="1">
      <c r="A845" s="107"/>
      <c r="B845" s="107"/>
      <c r="C845" s="108"/>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c r="AA845" s="107"/>
      <c r="AB845" s="107"/>
      <c r="AC845" s="107"/>
      <c r="AD845" s="107"/>
      <c r="AE845" s="107"/>
      <c r="AF845" s="107"/>
      <c r="AG845" s="107"/>
      <c r="AH845" s="107"/>
      <c r="AI845" s="107"/>
      <c r="AJ845" s="107"/>
    </row>
    <row r="846" ht="15.75" customHeight="1">
      <c r="A846" s="107"/>
      <c r="B846" s="107"/>
      <c r="C846" s="108"/>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c r="AA846" s="107"/>
      <c r="AB846" s="107"/>
      <c r="AC846" s="107"/>
      <c r="AD846" s="107"/>
      <c r="AE846" s="107"/>
      <c r="AF846" s="107"/>
      <c r="AG846" s="107"/>
      <c r="AH846" s="107"/>
      <c r="AI846" s="107"/>
      <c r="AJ846" s="107"/>
    </row>
    <row r="847" ht="15.75" customHeight="1">
      <c r="A847" s="107"/>
      <c r="B847" s="107"/>
      <c r="C847" s="108"/>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row>
    <row r="848" ht="15.75" customHeight="1">
      <c r="A848" s="107"/>
      <c r="B848" s="107"/>
      <c r="C848" s="108"/>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c r="AA848" s="107"/>
      <c r="AB848" s="107"/>
      <c r="AC848" s="107"/>
      <c r="AD848" s="107"/>
      <c r="AE848" s="107"/>
      <c r="AF848" s="107"/>
      <c r="AG848" s="107"/>
      <c r="AH848" s="107"/>
      <c r="AI848" s="107"/>
      <c r="AJ848" s="107"/>
    </row>
    <row r="849" ht="15.75" customHeight="1">
      <c r="A849" s="107"/>
      <c r="B849" s="107"/>
      <c r="C849" s="108"/>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c r="AA849" s="107"/>
      <c r="AB849" s="107"/>
      <c r="AC849" s="107"/>
      <c r="AD849" s="107"/>
      <c r="AE849" s="107"/>
      <c r="AF849" s="107"/>
      <c r="AG849" s="107"/>
      <c r="AH849" s="107"/>
      <c r="AI849" s="107"/>
      <c r="AJ849" s="107"/>
    </row>
    <row r="850" ht="15.75" customHeight="1">
      <c r="A850" s="107"/>
      <c r="B850" s="107"/>
      <c r="C850" s="108"/>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c r="AA850" s="107"/>
      <c r="AB850" s="107"/>
      <c r="AC850" s="107"/>
      <c r="AD850" s="107"/>
      <c r="AE850" s="107"/>
      <c r="AF850" s="107"/>
      <c r="AG850" s="107"/>
      <c r="AH850" s="107"/>
      <c r="AI850" s="107"/>
      <c r="AJ850" s="107"/>
    </row>
    <row r="851" ht="15.75" customHeight="1">
      <c r="A851" s="107"/>
      <c r="B851" s="107"/>
      <c r="C851" s="108"/>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c r="AA851" s="107"/>
      <c r="AB851" s="107"/>
      <c r="AC851" s="107"/>
      <c r="AD851" s="107"/>
      <c r="AE851" s="107"/>
      <c r="AF851" s="107"/>
      <c r="AG851" s="107"/>
      <c r="AH851" s="107"/>
      <c r="AI851" s="107"/>
      <c r="AJ851" s="107"/>
    </row>
    <row r="852" ht="15.75" customHeight="1">
      <c r="A852" s="107"/>
      <c r="B852" s="107"/>
      <c r="C852" s="108"/>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c r="AA852" s="107"/>
      <c r="AB852" s="107"/>
      <c r="AC852" s="107"/>
      <c r="AD852" s="107"/>
      <c r="AE852" s="107"/>
      <c r="AF852" s="107"/>
      <c r="AG852" s="107"/>
      <c r="AH852" s="107"/>
      <c r="AI852" s="107"/>
      <c r="AJ852" s="107"/>
    </row>
    <row r="853" ht="15.75" customHeight="1">
      <c r="A853" s="107"/>
      <c r="B853" s="107"/>
      <c r="C853" s="108"/>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c r="AA853" s="107"/>
      <c r="AB853" s="107"/>
      <c r="AC853" s="107"/>
      <c r="AD853" s="107"/>
      <c r="AE853" s="107"/>
      <c r="AF853" s="107"/>
      <c r="AG853" s="107"/>
      <c r="AH853" s="107"/>
      <c r="AI853" s="107"/>
      <c r="AJ853" s="107"/>
    </row>
    <row r="854" ht="15.75" customHeight="1">
      <c r="A854" s="107"/>
      <c r="B854" s="107"/>
      <c r="C854" s="108"/>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c r="AA854" s="107"/>
      <c r="AB854" s="107"/>
      <c r="AC854" s="107"/>
      <c r="AD854" s="107"/>
      <c r="AE854" s="107"/>
      <c r="AF854" s="107"/>
      <c r="AG854" s="107"/>
      <c r="AH854" s="107"/>
      <c r="AI854" s="107"/>
      <c r="AJ854" s="107"/>
    </row>
    <row r="855" ht="15.75" customHeight="1">
      <c r="A855" s="107"/>
      <c r="B855" s="107"/>
      <c r="C855" s="108"/>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c r="AA855" s="107"/>
      <c r="AB855" s="107"/>
      <c r="AC855" s="107"/>
      <c r="AD855" s="107"/>
      <c r="AE855" s="107"/>
      <c r="AF855" s="107"/>
      <c r="AG855" s="107"/>
      <c r="AH855" s="107"/>
      <c r="AI855" s="107"/>
      <c r="AJ855" s="107"/>
    </row>
    <row r="856" ht="15.75" customHeight="1">
      <c r="A856" s="107"/>
      <c r="B856" s="107"/>
      <c r="C856" s="108"/>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c r="AA856" s="107"/>
      <c r="AB856" s="107"/>
      <c r="AC856" s="107"/>
      <c r="AD856" s="107"/>
      <c r="AE856" s="107"/>
      <c r="AF856" s="107"/>
      <c r="AG856" s="107"/>
      <c r="AH856" s="107"/>
      <c r="AI856" s="107"/>
      <c r="AJ856" s="107"/>
    </row>
    <row r="857" ht="15.75" customHeight="1">
      <c r="A857" s="107"/>
      <c r="B857" s="107"/>
      <c r="C857" s="108"/>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c r="AA857" s="107"/>
      <c r="AB857" s="107"/>
      <c r="AC857" s="107"/>
      <c r="AD857" s="107"/>
      <c r="AE857" s="107"/>
      <c r="AF857" s="107"/>
      <c r="AG857" s="107"/>
      <c r="AH857" s="107"/>
      <c r="AI857" s="107"/>
      <c r="AJ857" s="107"/>
    </row>
    <row r="858" ht="15.75" customHeight="1">
      <c r="A858" s="107"/>
      <c r="B858" s="107"/>
      <c r="C858" s="108"/>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c r="AA858" s="107"/>
      <c r="AB858" s="107"/>
      <c r="AC858" s="107"/>
      <c r="AD858" s="107"/>
      <c r="AE858" s="107"/>
      <c r="AF858" s="107"/>
      <c r="AG858" s="107"/>
      <c r="AH858" s="107"/>
      <c r="AI858" s="107"/>
      <c r="AJ858" s="107"/>
    </row>
    <row r="859" ht="15.75" customHeight="1">
      <c r="A859" s="107"/>
      <c r="B859" s="107"/>
      <c r="C859" s="108"/>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c r="AA859" s="107"/>
      <c r="AB859" s="107"/>
      <c r="AC859" s="107"/>
      <c r="AD859" s="107"/>
      <c r="AE859" s="107"/>
      <c r="AF859" s="107"/>
      <c r="AG859" s="107"/>
      <c r="AH859" s="107"/>
      <c r="AI859" s="107"/>
      <c r="AJ859" s="107"/>
    </row>
    <row r="860" ht="15.75" customHeight="1">
      <c r="A860" s="107"/>
      <c r="B860" s="107"/>
      <c r="C860" s="108"/>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c r="AA860" s="107"/>
      <c r="AB860" s="107"/>
      <c r="AC860" s="107"/>
      <c r="AD860" s="107"/>
      <c r="AE860" s="107"/>
      <c r="AF860" s="107"/>
      <c r="AG860" s="107"/>
      <c r="AH860" s="107"/>
      <c r="AI860" s="107"/>
      <c r="AJ860" s="107"/>
    </row>
    <row r="861" ht="15.75" customHeight="1">
      <c r="A861" s="107"/>
      <c r="B861" s="107"/>
      <c r="C861" s="108"/>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c r="AA861" s="107"/>
      <c r="AB861" s="107"/>
      <c r="AC861" s="107"/>
      <c r="AD861" s="107"/>
      <c r="AE861" s="107"/>
      <c r="AF861" s="107"/>
      <c r="AG861" s="107"/>
      <c r="AH861" s="107"/>
      <c r="AI861" s="107"/>
      <c r="AJ861" s="107"/>
    </row>
    <row r="862" ht="15.75" customHeight="1">
      <c r="A862" s="107"/>
      <c r="B862" s="107"/>
      <c r="C862" s="108"/>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c r="AA862" s="107"/>
      <c r="AB862" s="107"/>
      <c r="AC862" s="107"/>
      <c r="AD862" s="107"/>
      <c r="AE862" s="107"/>
      <c r="AF862" s="107"/>
      <c r="AG862" s="107"/>
      <c r="AH862" s="107"/>
      <c r="AI862" s="107"/>
      <c r="AJ862" s="107"/>
    </row>
    <row r="863" ht="15.75" customHeight="1">
      <c r="A863" s="107"/>
      <c r="B863" s="107"/>
      <c r="C863" s="108"/>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c r="AA863" s="107"/>
      <c r="AB863" s="107"/>
      <c r="AC863" s="107"/>
      <c r="AD863" s="107"/>
      <c r="AE863" s="107"/>
      <c r="AF863" s="107"/>
      <c r="AG863" s="107"/>
      <c r="AH863" s="107"/>
      <c r="AI863" s="107"/>
      <c r="AJ863" s="107"/>
    </row>
    <row r="864" ht="15.75" customHeight="1">
      <c r="A864" s="107"/>
      <c r="B864" s="107"/>
      <c r="C864" s="108"/>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c r="AA864" s="107"/>
      <c r="AB864" s="107"/>
      <c r="AC864" s="107"/>
      <c r="AD864" s="107"/>
      <c r="AE864" s="107"/>
      <c r="AF864" s="107"/>
      <c r="AG864" s="107"/>
      <c r="AH864" s="107"/>
      <c r="AI864" s="107"/>
      <c r="AJ864" s="107"/>
    </row>
    <row r="865" ht="15.75" customHeight="1">
      <c r="A865" s="107"/>
      <c r="B865" s="107"/>
      <c r="C865" s="108"/>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c r="AA865" s="107"/>
      <c r="AB865" s="107"/>
      <c r="AC865" s="107"/>
      <c r="AD865" s="107"/>
      <c r="AE865" s="107"/>
      <c r="AF865" s="107"/>
      <c r="AG865" s="107"/>
      <c r="AH865" s="107"/>
      <c r="AI865" s="107"/>
      <c r="AJ865" s="107"/>
    </row>
    <row r="866" ht="15.75" customHeight="1">
      <c r="A866" s="107"/>
      <c r="B866" s="107"/>
      <c r="C866" s="108"/>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c r="AA866" s="107"/>
      <c r="AB866" s="107"/>
      <c r="AC866" s="107"/>
      <c r="AD866" s="107"/>
      <c r="AE866" s="107"/>
      <c r="AF866" s="107"/>
      <c r="AG866" s="107"/>
      <c r="AH866" s="107"/>
      <c r="AI866" s="107"/>
      <c r="AJ866" s="107"/>
    </row>
    <row r="867" ht="15.75" customHeight="1">
      <c r="A867" s="107"/>
      <c r="B867" s="107"/>
      <c r="C867" s="108"/>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c r="AA867" s="107"/>
      <c r="AB867" s="107"/>
      <c r="AC867" s="107"/>
      <c r="AD867" s="107"/>
      <c r="AE867" s="107"/>
      <c r="AF867" s="107"/>
      <c r="AG867" s="107"/>
      <c r="AH867" s="107"/>
      <c r="AI867" s="107"/>
      <c r="AJ867" s="107"/>
    </row>
    <row r="868" ht="15.75" customHeight="1">
      <c r="A868" s="107"/>
      <c r="B868" s="107"/>
      <c r="C868" s="108"/>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c r="AA868" s="107"/>
      <c r="AB868" s="107"/>
      <c r="AC868" s="107"/>
      <c r="AD868" s="107"/>
      <c r="AE868" s="107"/>
      <c r="AF868" s="107"/>
      <c r="AG868" s="107"/>
      <c r="AH868" s="107"/>
      <c r="AI868" s="107"/>
      <c r="AJ868" s="107"/>
    </row>
    <row r="869" ht="15.75" customHeight="1">
      <c r="A869" s="107"/>
      <c r="B869" s="107"/>
      <c r="C869" s="108"/>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c r="AA869" s="107"/>
      <c r="AB869" s="107"/>
      <c r="AC869" s="107"/>
      <c r="AD869" s="107"/>
      <c r="AE869" s="107"/>
      <c r="AF869" s="107"/>
      <c r="AG869" s="107"/>
      <c r="AH869" s="107"/>
      <c r="AI869" s="107"/>
      <c r="AJ869" s="107"/>
    </row>
    <row r="870" ht="15.75" customHeight="1">
      <c r="A870" s="107"/>
      <c r="B870" s="107"/>
      <c r="C870" s="108"/>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row>
    <row r="871" ht="15.75" customHeight="1">
      <c r="A871" s="107"/>
      <c r="B871" s="107"/>
      <c r="C871" s="108"/>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c r="AA871" s="107"/>
      <c r="AB871" s="107"/>
      <c r="AC871" s="107"/>
      <c r="AD871" s="107"/>
      <c r="AE871" s="107"/>
      <c r="AF871" s="107"/>
      <c r="AG871" s="107"/>
      <c r="AH871" s="107"/>
      <c r="AI871" s="107"/>
      <c r="AJ871" s="107"/>
    </row>
    <row r="872" ht="15.75" customHeight="1">
      <c r="A872" s="107"/>
      <c r="B872" s="107"/>
      <c r="C872" s="108"/>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row>
    <row r="873" ht="15.75" customHeight="1">
      <c r="A873" s="107"/>
      <c r="B873" s="107"/>
      <c r="C873" s="108"/>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c r="AA873" s="107"/>
      <c r="AB873" s="107"/>
      <c r="AC873" s="107"/>
      <c r="AD873" s="107"/>
      <c r="AE873" s="107"/>
      <c r="AF873" s="107"/>
      <c r="AG873" s="107"/>
      <c r="AH873" s="107"/>
      <c r="AI873" s="107"/>
      <c r="AJ873" s="107"/>
    </row>
    <row r="874" ht="15.75" customHeight="1">
      <c r="A874" s="107"/>
      <c r="B874" s="107"/>
      <c r="C874" s="108"/>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c r="AA874" s="107"/>
      <c r="AB874" s="107"/>
      <c r="AC874" s="107"/>
      <c r="AD874" s="107"/>
      <c r="AE874" s="107"/>
      <c r="AF874" s="107"/>
      <c r="AG874" s="107"/>
      <c r="AH874" s="107"/>
      <c r="AI874" s="107"/>
      <c r="AJ874" s="107"/>
    </row>
    <row r="875" ht="15.75" customHeight="1">
      <c r="A875" s="107"/>
      <c r="B875" s="107"/>
      <c r="C875" s="108"/>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c r="AA875" s="107"/>
      <c r="AB875" s="107"/>
      <c r="AC875" s="107"/>
      <c r="AD875" s="107"/>
      <c r="AE875" s="107"/>
      <c r="AF875" s="107"/>
      <c r="AG875" s="107"/>
      <c r="AH875" s="107"/>
      <c r="AI875" s="107"/>
      <c r="AJ875" s="107"/>
    </row>
    <row r="876" ht="15.75" customHeight="1">
      <c r="A876" s="107"/>
      <c r="B876" s="107"/>
      <c r="C876" s="108"/>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c r="AA876" s="107"/>
      <c r="AB876" s="107"/>
      <c r="AC876" s="107"/>
      <c r="AD876" s="107"/>
      <c r="AE876" s="107"/>
      <c r="AF876" s="107"/>
      <c r="AG876" s="107"/>
      <c r="AH876" s="107"/>
      <c r="AI876" s="107"/>
      <c r="AJ876" s="107"/>
    </row>
    <row r="877" ht="15.75" customHeight="1">
      <c r="A877" s="107"/>
      <c r="B877" s="107"/>
      <c r="C877" s="108"/>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c r="AA877" s="107"/>
      <c r="AB877" s="107"/>
      <c r="AC877" s="107"/>
      <c r="AD877" s="107"/>
      <c r="AE877" s="107"/>
      <c r="AF877" s="107"/>
      <c r="AG877" s="107"/>
      <c r="AH877" s="107"/>
      <c r="AI877" s="107"/>
      <c r="AJ877" s="107"/>
    </row>
    <row r="878" ht="15.75" customHeight="1">
      <c r="A878" s="107"/>
      <c r="B878" s="107"/>
      <c r="C878" s="108"/>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c r="AA878" s="107"/>
      <c r="AB878" s="107"/>
      <c r="AC878" s="107"/>
      <c r="AD878" s="107"/>
      <c r="AE878" s="107"/>
      <c r="AF878" s="107"/>
      <c r="AG878" s="107"/>
      <c r="AH878" s="107"/>
      <c r="AI878" s="107"/>
      <c r="AJ878" s="107"/>
    </row>
    <row r="879" ht="15.75" customHeight="1">
      <c r="A879" s="107"/>
      <c r="B879" s="107"/>
      <c r="C879" s="108"/>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c r="AA879" s="107"/>
      <c r="AB879" s="107"/>
      <c r="AC879" s="107"/>
      <c r="AD879" s="107"/>
      <c r="AE879" s="107"/>
      <c r="AF879" s="107"/>
      <c r="AG879" s="107"/>
      <c r="AH879" s="107"/>
      <c r="AI879" s="107"/>
      <c r="AJ879" s="107"/>
    </row>
    <row r="880" ht="15.75" customHeight="1">
      <c r="A880" s="107"/>
      <c r="B880" s="107"/>
      <c r="C880" s="108"/>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c r="AA880" s="107"/>
      <c r="AB880" s="107"/>
      <c r="AC880" s="107"/>
      <c r="AD880" s="107"/>
      <c r="AE880" s="107"/>
      <c r="AF880" s="107"/>
      <c r="AG880" s="107"/>
      <c r="AH880" s="107"/>
      <c r="AI880" s="107"/>
      <c r="AJ880" s="107"/>
    </row>
    <row r="881" ht="15.75" customHeight="1">
      <c r="A881" s="107"/>
      <c r="B881" s="107"/>
      <c r="C881" s="108"/>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c r="AA881" s="107"/>
      <c r="AB881" s="107"/>
      <c r="AC881" s="107"/>
      <c r="AD881" s="107"/>
      <c r="AE881" s="107"/>
      <c r="AF881" s="107"/>
      <c r="AG881" s="107"/>
      <c r="AH881" s="107"/>
      <c r="AI881" s="107"/>
      <c r="AJ881" s="107"/>
    </row>
    <row r="882" ht="15.75" customHeight="1">
      <c r="A882" s="107"/>
      <c r="B882" s="107"/>
      <c r="C882" s="108"/>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G882" s="107"/>
      <c r="AH882" s="107"/>
      <c r="AI882" s="107"/>
      <c r="AJ882" s="107"/>
    </row>
    <row r="883" ht="15.75" customHeight="1">
      <c r="A883" s="107"/>
      <c r="B883" s="107"/>
      <c r="C883" s="108"/>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c r="AA883" s="107"/>
      <c r="AB883" s="107"/>
      <c r="AC883" s="107"/>
      <c r="AD883" s="107"/>
      <c r="AE883" s="107"/>
      <c r="AF883" s="107"/>
      <c r="AG883" s="107"/>
      <c r="AH883" s="107"/>
      <c r="AI883" s="107"/>
      <c r="AJ883" s="107"/>
    </row>
    <row r="884" ht="15.75" customHeight="1">
      <c r="A884" s="107"/>
      <c r="B884" s="107"/>
      <c r="C884" s="108"/>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c r="AA884" s="107"/>
      <c r="AB884" s="107"/>
      <c r="AC884" s="107"/>
      <c r="AD884" s="107"/>
      <c r="AE884" s="107"/>
      <c r="AF884" s="107"/>
      <c r="AG884" s="107"/>
      <c r="AH884" s="107"/>
      <c r="AI884" s="107"/>
      <c r="AJ884" s="107"/>
    </row>
    <row r="885" ht="15.75" customHeight="1">
      <c r="A885" s="107"/>
      <c r="B885" s="107"/>
      <c r="C885" s="108"/>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c r="AA885" s="107"/>
      <c r="AB885" s="107"/>
      <c r="AC885" s="107"/>
      <c r="AD885" s="107"/>
      <c r="AE885" s="107"/>
      <c r="AF885" s="107"/>
      <c r="AG885" s="107"/>
      <c r="AH885" s="107"/>
      <c r="AI885" s="107"/>
      <c r="AJ885" s="107"/>
    </row>
    <row r="886" ht="15.75" customHeight="1">
      <c r="A886" s="107"/>
      <c r="B886" s="107"/>
      <c r="C886" s="108"/>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c r="AH886" s="107"/>
      <c r="AI886" s="107"/>
      <c r="AJ886" s="107"/>
    </row>
    <row r="887" ht="15.75" customHeight="1">
      <c r="A887" s="107"/>
      <c r="B887" s="107"/>
      <c r="C887" s="108"/>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c r="AI887" s="107"/>
      <c r="AJ887" s="107"/>
    </row>
    <row r="888" ht="15.75" customHeight="1">
      <c r="A888" s="107"/>
      <c r="B888" s="107"/>
      <c r="C888" s="108"/>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c r="AJ888" s="107"/>
    </row>
    <row r="889" ht="15.75" customHeight="1">
      <c r="A889" s="107"/>
      <c r="B889" s="107"/>
      <c r="C889" s="108"/>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c r="AA889" s="107"/>
      <c r="AB889" s="107"/>
      <c r="AC889" s="107"/>
      <c r="AD889" s="107"/>
      <c r="AE889" s="107"/>
      <c r="AF889" s="107"/>
      <c r="AG889" s="107"/>
      <c r="AH889" s="107"/>
      <c r="AI889" s="107"/>
      <c r="AJ889" s="107"/>
    </row>
    <row r="890" ht="15.75" customHeight="1">
      <c r="A890" s="107"/>
      <c r="B890" s="107"/>
      <c r="C890" s="108"/>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c r="AA890" s="107"/>
      <c r="AB890" s="107"/>
      <c r="AC890" s="107"/>
      <c r="AD890" s="107"/>
      <c r="AE890" s="107"/>
      <c r="AF890" s="107"/>
      <c r="AG890" s="107"/>
      <c r="AH890" s="107"/>
      <c r="AI890" s="107"/>
      <c r="AJ890" s="107"/>
    </row>
    <row r="891" ht="15.75" customHeight="1">
      <c r="A891" s="107"/>
      <c r="B891" s="107"/>
      <c r="C891" s="108"/>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c r="AA891" s="107"/>
      <c r="AB891" s="107"/>
      <c r="AC891" s="107"/>
      <c r="AD891" s="107"/>
      <c r="AE891" s="107"/>
      <c r="AF891" s="107"/>
      <c r="AG891" s="107"/>
      <c r="AH891" s="107"/>
      <c r="AI891" s="107"/>
      <c r="AJ891" s="107"/>
    </row>
    <row r="892" ht="15.75" customHeight="1">
      <c r="A892" s="107"/>
      <c r="B892" s="107"/>
      <c r="C892" s="108"/>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c r="AA892" s="107"/>
      <c r="AB892" s="107"/>
      <c r="AC892" s="107"/>
      <c r="AD892" s="107"/>
      <c r="AE892" s="107"/>
      <c r="AF892" s="107"/>
      <c r="AG892" s="107"/>
      <c r="AH892" s="107"/>
      <c r="AI892" s="107"/>
      <c r="AJ892" s="107"/>
    </row>
    <row r="893" ht="15.75" customHeight="1">
      <c r="A893" s="107"/>
      <c r="B893" s="107"/>
      <c r="C893" s="108"/>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c r="AA893" s="107"/>
      <c r="AB893" s="107"/>
      <c r="AC893" s="107"/>
      <c r="AD893" s="107"/>
      <c r="AE893" s="107"/>
      <c r="AF893" s="107"/>
      <c r="AG893" s="107"/>
      <c r="AH893" s="107"/>
      <c r="AI893" s="107"/>
      <c r="AJ893" s="107"/>
    </row>
    <row r="894" ht="15.75" customHeight="1">
      <c r="A894" s="107"/>
      <c r="B894" s="107"/>
      <c r="C894" s="108"/>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c r="AA894" s="107"/>
      <c r="AB894" s="107"/>
      <c r="AC894" s="107"/>
      <c r="AD894" s="107"/>
      <c r="AE894" s="107"/>
      <c r="AF894" s="107"/>
      <c r="AG894" s="107"/>
      <c r="AH894" s="107"/>
      <c r="AI894" s="107"/>
      <c r="AJ894" s="107"/>
    </row>
    <row r="895" ht="15.75" customHeight="1">
      <c r="A895" s="107"/>
      <c r="B895" s="107"/>
      <c r="C895" s="108"/>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c r="AA895" s="107"/>
      <c r="AB895" s="107"/>
      <c r="AC895" s="107"/>
      <c r="AD895" s="107"/>
      <c r="AE895" s="107"/>
      <c r="AF895" s="107"/>
      <c r="AG895" s="107"/>
      <c r="AH895" s="107"/>
      <c r="AI895" s="107"/>
      <c r="AJ895" s="107"/>
    </row>
    <row r="896" ht="15.75" customHeight="1">
      <c r="A896" s="107"/>
      <c r="B896" s="107"/>
      <c r="C896" s="108"/>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c r="AA896" s="107"/>
      <c r="AB896" s="107"/>
      <c r="AC896" s="107"/>
      <c r="AD896" s="107"/>
      <c r="AE896" s="107"/>
      <c r="AF896" s="107"/>
      <c r="AG896" s="107"/>
      <c r="AH896" s="107"/>
      <c r="AI896" s="107"/>
      <c r="AJ896" s="107"/>
    </row>
    <row r="897" ht="15.75" customHeight="1">
      <c r="A897" s="107"/>
      <c r="B897" s="107"/>
      <c r="C897" s="108"/>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c r="AA897" s="107"/>
      <c r="AB897" s="107"/>
      <c r="AC897" s="107"/>
      <c r="AD897" s="107"/>
      <c r="AE897" s="107"/>
      <c r="AF897" s="107"/>
      <c r="AG897" s="107"/>
      <c r="AH897" s="107"/>
      <c r="AI897" s="107"/>
      <c r="AJ897" s="107"/>
    </row>
    <row r="898" ht="15.75" customHeight="1">
      <c r="A898" s="107"/>
      <c r="B898" s="107"/>
      <c r="C898" s="108"/>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G898" s="107"/>
      <c r="AH898" s="107"/>
      <c r="AI898" s="107"/>
      <c r="AJ898" s="107"/>
    </row>
    <row r="899" ht="15.75" customHeight="1">
      <c r="A899" s="107"/>
      <c r="B899" s="107"/>
      <c r="C899" s="108"/>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c r="AA899" s="107"/>
      <c r="AB899" s="107"/>
      <c r="AC899" s="107"/>
      <c r="AD899" s="107"/>
      <c r="AE899" s="107"/>
      <c r="AF899" s="107"/>
      <c r="AG899" s="107"/>
      <c r="AH899" s="107"/>
      <c r="AI899" s="107"/>
      <c r="AJ899" s="107"/>
    </row>
    <row r="900" ht="15.75" customHeight="1">
      <c r="A900" s="107"/>
      <c r="B900" s="107"/>
      <c r="C900" s="108"/>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c r="AA900" s="107"/>
      <c r="AB900" s="107"/>
      <c r="AC900" s="107"/>
      <c r="AD900" s="107"/>
      <c r="AE900" s="107"/>
      <c r="AF900" s="107"/>
      <c r="AG900" s="107"/>
      <c r="AH900" s="107"/>
      <c r="AI900" s="107"/>
      <c r="AJ900" s="107"/>
    </row>
    <row r="901" ht="15.75" customHeight="1">
      <c r="A901" s="107"/>
      <c r="B901" s="107"/>
      <c r="C901" s="108"/>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c r="AA901" s="107"/>
      <c r="AB901" s="107"/>
      <c r="AC901" s="107"/>
      <c r="AD901" s="107"/>
      <c r="AE901" s="107"/>
      <c r="AF901" s="107"/>
      <c r="AG901" s="107"/>
      <c r="AH901" s="107"/>
      <c r="AI901" s="107"/>
      <c r="AJ901" s="107"/>
    </row>
    <row r="902" ht="15.75" customHeight="1">
      <c r="A902" s="107"/>
      <c r="B902" s="107"/>
      <c r="C902" s="108"/>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c r="AA902" s="107"/>
      <c r="AB902" s="107"/>
      <c r="AC902" s="107"/>
      <c r="AD902" s="107"/>
      <c r="AE902" s="107"/>
      <c r="AF902" s="107"/>
      <c r="AG902" s="107"/>
      <c r="AH902" s="107"/>
      <c r="AI902" s="107"/>
      <c r="AJ902" s="107"/>
    </row>
    <row r="903" ht="15.75" customHeight="1">
      <c r="A903" s="107"/>
      <c r="B903" s="107"/>
      <c r="C903" s="108"/>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c r="AA903" s="107"/>
      <c r="AB903" s="107"/>
      <c r="AC903" s="107"/>
      <c r="AD903" s="107"/>
      <c r="AE903" s="107"/>
      <c r="AF903" s="107"/>
      <c r="AG903" s="107"/>
      <c r="AH903" s="107"/>
      <c r="AI903" s="107"/>
      <c r="AJ903" s="107"/>
    </row>
    <row r="904" ht="15.75" customHeight="1">
      <c r="A904" s="107"/>
      <c r="B904" s="107"/>
      <c r="C904" s="108"/>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c r="AA904" s="107"/>
      <c r="AB904" s="107"/>
      <c r="AC904" s="107"/>
      <c r="AD904" s="107"/>
      <c r="AE904" s="107"/>
      <c r="AF904" s="107"/>
      <c r="AG904" s="107"/>
      <c r="AH904" s="107"/>
      <c r="AI904" s="107"/>
      <c r="AJ904" s="107"/>
    </row>
    <row r="905" ht="15.75" customHeight="1">
      <c r="A905" s="107"/>
      <c r="B905" s="107"/>
      <c r="C905" s="108"/>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c r="AA905" s="107"/>
      <c r="AB905" s="107"/>
      <c r="AC905" s="107"/>
      <c r="AD905" s="107"/>
      <c r="AE905" s="107"/>
      <c r="AF905" s="107"/>
      <c r="AG905" s="107"/>
      <c r="AH905" s="107"/>
      <c r="AI905" s="107"/>
      <c r="AJ905" s="107"/>
    </row>
    <row r="906" ht="15.75" customHeight="1">
      <c r="A906" s="107"/>
      <c r="B906" s="107"/>
      <c r="C906" s="108"/>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c r="AA906" s="107"/>
      <c r="AB906" s="107"/>
      <c r="AC906" s="107"/>
      <c r="AD906" s="107"/>
      <c r="AE906" s="107"/>
      <c r="AF906" s="107"/>
      <c r="AG906" s="107"/>
      <c r="AH906" s="107"/>
      <c r="AI906" s="107"/>
      <c r="AJ906" s="107"/>
    </row>
    <row r="907" ht="15.75" customHeight="1">
      <c r="A907" s="107"/>
      <c r="B907" s="107"/>
      <c r="C907" s="108"/>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c r="AA907" s="107"/>
      <c r="AB907" s="107"/>
      <c r="AC907" s="107"/>
      <c r="AD907" s="107"/>
      <c r="AE907" s="107"/>
      <c r="AF907" s="107"/>
      <c r="AG907" s="107"/>
      <c r="AH907" s="107"/>
      <c r="AI907" s="107"/>
      <c r="AJ907" s="107"/>
    </row>
    <row r="908" ht="15.75" customHeight="1">
      <c r="A908" s="107"/>
      <c r="B908" s="107"/>
      <c r="C908" s="108"/>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G908" s="107"/>
      <c r="AH908" s="107"/>
      <c r="AI908" s="107"/>
      <c r="AJ908" s="107"/>
    </row>
    <row r="909" ht="15.75" customHeight="1">
      <c r="A909" s="107"/>
      <c r="B909" s="107"/>
      <c r="C909" s="108"/>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c r="AA909" s="107"/>
      <c r="AB909" s="107"/>
      <c r="AC909" s="107"/>
      <c r="AD909" s="107"/>
      <c r="AE909" s="107"/>
      <c r="AF909" s="107"/>
      <c r="AG909" s="107"/>
      <c r="AH909" s="107"/>
      <c r="AI909" s="107"/>
      <c r="AJ909" s="107"/>
    </row>
    <row r="910" ht="15.75" customHeight="1">
      <c r="A910" s="107"/>
      <c r="B910" s="107"/>
      <c r="C910" s="108"/>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c r="AA910" s="107"/>
      <c r="AB910" s="107"/>
      <c r="AC910" s="107"/>
      <c r="AD910" s="107"/>
      <c r="AE910" s="107"/>
      <c r="AF910" s="107"/>
      <c r="AG910" s="107"/>
      <c r="AH910" s="107"/>
      <c r="AI910" s="107"/>
      <c r="AJ910" s="107"/>
    </row>
    <row r="911" ht="15.75" customHeight="1">
      <c r="A911" s="107"/>
      <c r="B911" s="107"/>
      <c r="C911" s="108"/>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c r="AA911" s="107"/>
      <c r="AB911" s="107"/>
      <c r="AC911" s="107"/>
      <c r="AD911" s="107"/>
      <c r="AE911" s="107"/>
      <c r="AF911" s="107"/>
      <c r="AG911" s="107"/>
      <c r="AH911" s="107"/>
      <c r="AI911" s="107"/>
      <c r="AJ911" s="107"/>
    </row>
    <row r="912" ht="15.75" customHeight="1">
      <c r="A912" s="107"/>
      <c r="B912" s="107"/>
      <c r="C912" s="108"/>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c r="AA912" s="107"/>
      <c r="AB912" s="107"/>
      <c r="AC912" s="107"/>
      <c r="AD912" s="107"/>
      <c r="AE912" s="107"/>
      <c r="AF912" s="107"/>
      <c r="AG912" s="107"/>
      <c r="AH912" s="107"/>
      <c r="AI912" s="107"/>
      <c r="AJ912" s="107"/>
    </row>
    <row r="913" ht="15.75" customHeight="1">
      <c r="A913" s="107"/>
      <c r="B913" s="107"/>
      <c r="C913" s="108"/>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c r="AA913" s="107"/>
      <c r="AB913" s="107"/>
      <c r="AC913" s="107"/>
      <c r="AD913" s="107"/>
      <c r="AE913" s="107"/>
      <c r="AF913" s="107"/>
      <c r="AG913" s="107"/>
      <c r="AH913" s="107"/>
      <c r="AI913" s="107"/>
      <c r="AJ913" s="107"/>
    </row>
    <row r="914" ht="15.75" customHeight="1">
      <c r="A914" s="107"/>
      <c r="B914" s="107"/>
      <c r="C914" s="108"/>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c r="AA914" s="107"/>
      <c r="AB914" s="107"/>
      <c r="AC914" s="107"/>
      <c r="AD914" s="107"/>
      <c r="AE914" s="107"/>
      <c r="AF914" s="107"/>
      <c r="AG914" s="107"/>
      <c r="AH914" s="107"/>
      <c r="AI914" s="107"/>
      <c r="AJ914" s="107"/>
    </row>
    <row r="915" ht="15.75" customHeight="1">
      <c r="A915" s="107"/>
      <c r="B915" s="107"/>
      <c r="C915" s="108"/>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c r="AA915" s="107"/>
      <c r="AB915" s="107"/>
      <c r="AC915" s="107"/>
      <c r="AD915" s="107"/>
      <c r="AE915" s="107"/>
      <c r="AF915" s="107"/>
      <c r="AG915" s="107"/>
      <c r="AH915" s="107"/>
      <c r="AI915" s="107"/>
      <c r="AJ915" s="107"/>
    </row>
    <row r="916" ht="15.75" customHeight="1">
      <c r="A916" s="107"/>
      <c r="B916" s="107"/>
      <c r="C916" s="108"/>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c r="AA916" s="107"/>
      <c r="AB916" s="107"/>
      <c r="AC916" s="107"/>
      <c r="AD916" s="107"/>
      <c r="AE916" s="107"/>
      <c r="AF916" s="107"/>
      <c r="AG916" s="107"/>
      <c r="AH916" s="107"/>
      <c r="AI916" s="107"/>
      <c r="AJ916" s="107"/>
    </row>
    <row r="917" ht="15.75" customHeight="1">
      <c r="A917" s="107"/>
      <c r="B917" s="107"/>
      <c r="C917" s="108"/>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c r="AA917" s="107"/>
      <c r="AB917" s="107"/>
      <c r="AC917" s="107"/>
      <c r="AD917" s="107"/>
      <c r="AE917" s="107"/>
      <c r="AF917" s="107"/>
      <c r="AG917" s="107"/>
      <c r="AH917" s="107"/>
      <c r="AI917" s="107"/>
      <c r="AJ917" s="107"/>
    </row>
    <row r="918" ht="15.75" customHeight="1">
      <c r="A918" s="107"/>
      <c r="B918" s="107"/>
      <c r="C918" s="108"/>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c r="AA918" s="107"/>
      <c r="AB918" s="107"/>
      <c r="AC918" s="107"/>
      <c r="AD918" s="107"/>
      <c r="AE918" s="107"/>
      <c r="AF918" s="107"/>
      <c r="AG918" s="107"/>
      <c r="AH918" s="107"/>
      <c r="AI918" s="107"/>
      <c r="AJ918" s="107"/>
    </row>
    <row r="919" ht="15.75" customHeight="1">
      <c r="A919" s="107"/>
      <c r="B919" s="107"/>
      <c r="C919" s="108"/>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c r="AA919" s="107"/>
      <c r="AB919" s="107"/>
      <c r="AC919" s="107"/>
      <c r="AD919" s="107"/>
      <c r="AE919" s="107"/>
      <c r="AF919" s="107"/>
      <c r="AG919" s="107"/>
      <c r="AH919" s="107"/>
      <c r="AI919" s="107"/>
      <c r="AJ919" s="107"/>
    </row>
    <row r="920" ht="15.75" customHeight="1">
      <c r="A920" s="107"/>
      <c r="B920" s="107"/>
      <c r="C920" s="108"/>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c r="AA920" s="107"/>
      <c r="AB920" s="107"/>
      <c r="AC920" s="107"/>
      <c r="AD920" s="107"/>
      <c r="AE920" s="107"/>
      <c r="AF920" s="107"/>
      <c r="AG920" s="107"/>
      <c r="AH920" s="107"/>
      <c r="AI920" s="107"/>
      <c r="AJ920" s="107"/>
    </row>
    <row r="921" ht="15.75" customHeight="1">
      <c r="A921" s="107"/>
      <c r="B921" s="107"/>
      <c r="C921" s="108"/>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c r="AA921" s="107"/>
      <c r="AB921" s="107"/>
      <c r="AC921" s="107"/>
      <c r="AD921" s="107"/>
      <c r="AE921" s="107"/>
      <c r="AF921" s="107"/>
      <c r="AG921" s="107"/>
      <c r="AH921" s="107"/>
      <c r="AI921" s="107"/>
      <c r="AJ921" s="107"/>
    </row>
    <row r="922" ht="15.75" customHeight="1">
      <c r="A922" s="107"/>
      <c r="B922" s="107"/>
      <c r="C922" s="108"/>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c r="AA922" s="107"/>
      <c r="AB922" s="107"/>
      <c r="AC922" s="107"/>
      <c r="AD922" s="107"/>
      <c r="AE922" s="107"/>
      <c r="AF922" s="107"/>
      <c r="AG922" s="107"/>
      <c r="AH922" s="107"/>
      <c r="AI922" s="107"/>
      <c r="AJ922" s="107"/>
    </row>
    <row r="923" ht="15.75" customHeight="1">
      <c r="A923" s="107"/>
      <c r="B923" s="107"/>
      <c r="C923" s="108"/>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c r="AA923" s="107"/>
      <c r="AB923" s="107"/>
      <c r="AC923" s="107"/>
      <c r="AD923" s="107"/>
      <c r="AE923" s="107"/>
      <c r="AF923" s="107"/>
      <c r="AG923" s="107"/>
      <c r="AH923" s="107"/>
      <c r="AI923" s="107"/>
      <c r="AJ923" s="107"/>
    </row>
    <row r="924" ht="15.75" customHeight="1">
      <c r="A924" s="107"/>
      <c r="B924" s="107"/>
      <c r="C924" s="108"/>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c r="AA924" s="107"/>
      <c r="AB924" s="107"/>
      <c r="AC924" s="107"/>
      <c r="AD924" s="107"/>
      <c r="AE924" s="107"/>
      <c r="AF924" s="107"/>
      <c r="AG924" s="107"/>
      <c r="AH924" s="107"/>
      <c r="AI924" s="107"/>
      <c r="AJ924" s="107"/>
    </row>
    <row r="925" ht="15.75" customHeight="1">
      <c r="A925" s="107"/>
      <c r="B925" s="107"/>
      <c r="C925" s="108"/>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c r="AA925" s="107"/>
      <c r="AB925" s="107"/>
      <c r="AC925" s="107"/>
      <c r="AD925" s="107"/>
      <c r="AE925" s="107"/>
      <c r="AF925" s="107"/>
      <c r="AG925" s="107"/>
      <c r="AH925" s="107"/>
      <c r="AI925" s="107"/>
      <c r="AJ925" s="107"/>
    </row>
    <row r="926" ht="15.75" customHeight="1">
      <c r="A926" s="107"/>
      <c r="B926" s="107"/>
      <c r="C926" s="108"/>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c r="AA926" s="107"/>
      <c r="AB926" s="107"/>
      <c r="AC926" s="107"/>
      <c r="AD926" s="107"/>
      <c r="AE926" s="107"/>
      <c r="AF926" s="107"/>
      <c r="AG926" s="107"/>
      <c r="AH926" s="107"/>
      <c r="AI926" s="107"/>
      <c r="AJ926" s="107"/>
    </row>
    <row r="927" ht="15.75" customHeight="1">
      <c r="A927" s="107"/>
      <c r="B927" s="107"/>
      <c r="C927" s="108"/>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c r="AA927" s="107"/>
      <c r="AB927" s="107"/>
      <c r="AC927" s="107"/>
      <c r="AD927" s="107"/>
      <c r="AE927" s="107"/>
      <c r="AF927" s="107"/>
      <c r="AG927" s="107"/>
      <c r="AH927" s="107"/>
      <c r="AI927" s="107"/>
      <c r="AJ927" s="107"/>
    </row>
    <row r="928" ht="15.75" customHeight="1">
      <c r="A928" s="107"/>
      <c r="B928" s="107"/>
      <c r="C928" s="108"/>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c r="AA928" s="107"/>
      <c r="AB928" s="107"/>
      <c r="AC928" s="107"/>
      <c r="AD928" s="107"/>
      <c r="AE928" s="107"/>
      <c r="AF928" s="107"/>
      <c r="AG928" s="107"/>
      <c r="AH928" s="107"/>
      <c r="AI928" s="107"/>
      <c r="AJ928" s="107"/>
    </row>
    <row r="929" ht="15.75" customHeight="1">
      <c r="A929" s="107"/>
      <c r="B929" s="107"/>
      <c r="C929" s="108"/>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c r="AA929" s="107"/>
      <c r="AB929" s="107"/>
      <c r="AC929" s="107"/>
      <c r="AD929" s="107"/>
      <c r="AE929" s="107"/>
      <c r="AF929" s="107"/>
      <c r="AG929" s="107"/>
      <c r="AH929" s="107"/>
      <c r="AI929" s="107"/>
      <c r="AJ929" s="107"/>
    </row>
    <row r="930" ht="15.75" customHeight="1">
      <c r="A930" s="107"/>
      <c r="B930" s="107"/>
      <c r="C930" s="108"/>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c r="AA930" s="107"/>
      <c r="AB930" s="107"/>
      <c r="AC930" s="107"/>
      <c r="AD930" s="107"/>
      <c r="AE930" s="107"/>
      <c r="AF930" s="107"/>
      <c r="AG930" s="107"/>
      <c r="AH930" s="107"/>
      <c r="AI930" s="107"/>
      <c r="AJ930" s="107"/>
    </row>
    <row r="931" ht="15.75" customHeight="1">
      <c r="A931" s="107"/>
      <c r="B931" s="107"/>
      <c r="C931" s="108"/>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c r="AA931" s="107"/>
      <c r="AB931" s="107"/>
      <c r="AC931" s="107"/>
      <c r="AD931" s="107"/>
      <c r="AE931" s="107"/>
      <c r="AF931" s="107"/>
      <c r="AG931" s="107"/>
      <c r="AH931" s="107"/>
      <c r="AI931" s="107"/>
      <c r="AJ931" s="107"/>
    </row>
    <row r="932" ht="15.75" customHeight="1">
      <c r="A932" s="107"/>
      <c r="B932" s="107"/>
      <c r="C932" s="108"/>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c r="AA932" s="107"/>
      <c r="AB932" s="107"/>
      <c r="AC932" s="107"/>
      <c r="AD932" s="107"/>
      <c r="AE932" s="107"/>
      <c r="AF932" s="107"/>
      <c r="AG932" s="107"/>
      <c r="AH932" s="107"/>
      <c r="AI932" s="107"/>
      <c r="AJ932" s="107"/>
    </row>
    <row r="933" ht="15.75" customHeight="1">
      <c r="A933" s="107"/>
      <c r="B933" s="107"/>
      <c r="C933" s="108"/>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c r="AA933" s="107"/>
      <c r="AB933" s="107"/>
      <c r="AC933" s="107"/>
      <c r="AD933" s="107"/>
      <c r="AE933" s="107"/>
      <c r="AF933" s="107"/>
      <c r="AG933" s="107"/>
      <c r="AH933" s="107"/>
      <c r="AI933" s="107"/>
      <c r="AJ933" s="107"/>
    </row>
    <row r="934" ht="15.75" customHeight="1">
      <c r="A934" s="107"/>
      <c r="B934" s="107"/>
      <c r="C934" s="108"/>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c r="AA934" s="107"/>
      <c r="AB934" s="107"/>
      <c r="AC934" s="107"/>
      <c r="AD934" s="107"/>
      <c r="AE934" s="107"/>
      <c r="AF934" s="107"/>
      <c r="AG934" s="107"/>
      <c r="AH934" s="107"/>
      <c r="AI934" s="107"/>
      <c r="AJ934" s="107"/>
    </row>
    <row r="935" ht="15.75" customHeight="1">
      <c r="A935" s="107"/>
      <c r="B935" s="107"/>
      <c r="C935" s="108"/>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c r="AA935" s="107"/>
      <c r="AB935" s="107"/>
      <c r="AC935" s="107"/>
      <c r="AD935" s="107"/>
      <c r="AE935" s="107"/>
      <c r="AF935" s="107"/>
      <c r="AG935" s="107"/>
      <c r="AH935" s="107"/>
      <c r="AI935" s="107"/>
      <c r="AJ935" s="107"/>
    </row>
    <row r="936" ht="15.75" customHeight="1">
      <c r="A936" s="107"/>
      <c r="B936" s="107"/>
      <c r="C936" s="108"/>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c r="AA936" s="107"/>
      <c r="AB936" s="107"/>
      <c r="AC936" s="107"/>
      <c r="AD936" s="107"/>
      <c r="AE936" s="107"/>
      <c r="AF936" s="107"/>
      <c r="AG936" s="107"/>
      <c r="AH936" s="107"/>
      <c r="AI936" s="107"/>
      <c r="AJ936" s="107"/>
    </row>
    <row r="937" ht="15.75" customHeight="1">
      <c r="A937" s="107"/>
      <c r="B937" s="107"/>
      <c r="C937" s="108"/>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c r="AA937" s="107"/>
      <c r="AB937" s="107"/>
      <c r="AC937" s="107"/>
      <c r="AD937" s="107"/>
      <c r="AE937" s="107"/>
      <c r="AF937" s="107"/>
      <c r="AG937" s="107"/>
      <c r="AH937" s="107"/>
      <c r="AI937" s="107"/>
      <c r="AJ937" s="107"/>
    </row>
    <row r="938" ht="15.75" customHeight="1">
      <c r="A938" s="107"/>
      <c r="B938" s="107"/>
      <c r="C938" s="108"/>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c r="AA938" s="107"/>
      <c r="AB938" s="107"/>
      <c r="AC938" s="107"/>
      <c r="AD938" s="107"/>
      <c r="AE938" s="107"/>
      <c r="AF938" s="107"/>
      <c r="AG938" s="107"/>
      <c r="AH938" s="107"/>
      <c r="AI938" s="107"/>
      <c r="AJ938" s="107"/>
    </row>
    <row r="939" ht="15.75" customHeight="1">
      <c r="A939" s="107"/>
      <c r="B939" s="107"/>
      <c r="C939" s="108"/>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c r="AA939" s="107"/>
      <c r="AB939" s="107"/>
      <c r="AC939" s="107"/>
      <c r="AD939" s="107"/>
      <c r="AE939" s="107"/>
      <c r="AF939" s="107"/>
      <c r="AG939" s="107"/>
      <c r="AH939" s="107"/>
      <c r="AI939" s="107"/>
      <c r="AJ939" s="107"/>
    </row>
    <row r="940" ht="15.75" customHeight="1">
      <c r="A940" s="107"/>
      <c r="B940" s="107"/>
      <c r="C940" s="108"/>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c r="AA940" s="107"/>
      <c r="AB940" s="107"/>
      <c r="AC940" s="107"/>
      <c r="AD940" s="107"/>
      <c r="AE940" s="107"/>
      <c r="AF940" s="107"/>
      <c r="AG940" s="107"/>
      <c r="AH940" s="107"/>
      <c r="AI940" s="107"/>
      <c r="AJ940" s="107"/>
    </row>
    <row r="941" ht="15.75" customHeight="1">
      <c r="A941" s="107"/>
      <c r="B941" s="107"/>
      <c r="C941" s="108"/>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c r="AA941" s="107"/>
      <c r="AB941" s="107"/>
      <c r="AC941" s="107"/>
      <c r="AD941" s="107"/>
      <c r="AE941" s="107"/>
      <c r="AF941" s="107"/>
      <c r="AG941" s="107"/>
      <c r="AH941" s="107"/>
      <c r="AI941" s="107"/>
      <c r="AJ941" s="107"/>
    </row>
    <row r="942" ht="15.75" customHeight="1">
      <c r="A942" s="107"/>
      <c r="B942" s="107"/>
      <c r="C942" s="108"/>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c r="AA942" s="107"/>
      <c r="AB942" s="107"/>
      <c r="AC942" s="107"/>
      <c r="AD942" s="107"/>
      <c r="AE942" s="107"/>
      <c r="AF942" s="107"/>
      <c r="AG942" s="107"/>
      <c r="AH942" s="107"/>
      <c r="AI942" s="107"/>
      <c r="AJ942" s="107"/>
    </row>
    <row r="943" ht="15.75" customHeight="1">
      <c r="A943" s="107"/>
      <c r="B943" s="107"/>
      <c r="C943" s="108"/>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c r="AA943" s="107"/>
      <c r="AB943" s="107"/>
      <c r="AC943" s="107"/>
      <c r="AD943" s="107"/>
      <c r="AE943" s="107"/>
      <c r="AF943" s="107"/>
      <c r="AG943" s="107"/>
      <c r="AH943" s="107"/>
      <c r="AI943" s="107"/>
      <c r="AJ943" s="107"/>
    </row>
    <row r="944" ht="15.75" customHeight="1">
      <c r="A944" s="107"/>
      <c r="B944" s="107"/>
      <c r="C944" s="108"/>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c r="AA944" s="107"/>
      <c r="AB944" s="107"/>
      <c r="AC944" s="107"/>
      <c r="AD944" s="107"/>
      <c r="AE944" s="107"/>
      <c r="AF944" s="107"/>
      <c r="AG944" s="107"/>
      <c r="AH944" s="107"/>
      <c r="AI944" s="107"/>
      <c r="AJ944" s="107"/>
    </row>
    <row r="945" ht="15.75" customHeight="1">
      <c r="A945" s="107"/>
      <c r="B945" s="107"/>
      <c r="C945" s="108"/>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c r="AA945" s="107"/>
      <c r="AB945" s="107"/>
      <c r="AC945" s="107"/>
      <c r="AD945" s="107"/>
      <c r="AE945" s="107"/>
      <c r="AF945" s="107"/>
      <c r="AG945" s="107"/>
      <c r="AH945" s="107"/>
      <c r="AI945" s="107"/>
      <c r="AJ945" s="107"/>
    </row>
    <row r="946" ht="15.75" customHeight="1">
      <c r="A946" s="107"/>
      <c r="B946" s="107"/>
      <c r="C946" s="108"/>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c r="AA946" s="107"/>
      <c r="AB946" s="107"/>
      <c r="AC946" s="107"/>
      <c r="AD946" s="107"/>
      <c r="AE946" s="107"/>
      <c r="AF946" s="107"/>
      <c r="AG946" s="107"/>
      <c r="AH946" s="107"/>
      <c r="AI946" s="107"/>
      <c r="AJ946" s="107"/>
    </row>
    <row r="947" ht="15.75" customHeight="1">
      <c r="A947" s="107"/>
      <c r="B947" s="107"/>
      <c r="C947" s="108"/>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c r="AA947" s="107"/>
      <c r="AB947" s="107"/>
      <c r="AC947" s="107"/>
      <c r="AD947" s="107"/>
      <c r="AE947" s="107"/>
      <c r="AF947" s="107"/>
      <c r="AG947" s="107"/>
      <c r="AH947" s="107"/>
      <c r="AI947" s="107"/>
      <c r="AJ947" s="107"/>
    </row>
    <row r="948" ht="15.75" customHeight="1">
      <c r="A948" s="107"/>
      <c r="B948" s="107"/>
      <c r="C948" s="108"/>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c r="AA948" s="107"/>
      <c r="AB948" s="107"/>
      <c r="AC948" s="107"/>
      <c r="AD948" s="107"/>
      <c r="AE948" s="107"/>
      <c r="AF948" s="107"/>
      <c r="AG948" s="107"/>
      <c r="AH948" s="107"/>
      <c r="AI948" s="107"/>
      <c r="AJ948" s="107"/>
    </row>
    <row r="949" ht="15.75" customHeight="1">
      <c r="A949" s="107"/>
      <c r="B949" s="107"/>
      <c r="C949" s="108"/>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c r="AA949" s="107"/>
      <c r="AB949" s="107"/>
      <c r="AC949" s="107"/>
      <c r="AD949" s="107"/>
      <c r="AE949" s="107"/>
      <c r="AF949" s="107"/>
      <c r="AG949" s="107"/>
      <c r="AH949" s="107"/>
      <c r="AI949" s="107"/>
      <c r="AJ949" s="107"/>
    </row>
    <row r="950" ht="15.75" customHeight="1">
      <c r="A950" s="107"/>
      <c r="B950" s="107"/>
      <c r="C950" s="108"/>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c r="AA950" s="107"/>
      <c r="AB950" s="107"/>
      <c r="AC950" s="107"/>
      <c r="AD950" s="107"/>
      <c r="AE950" s="107"/>
      <c r="AF950" s="107"/>
      <c r="AG950" s="107"/>
      <c r="AH950" s="107"/>
      <c r="AI950" s="107"/>
      <c r="AJ950" s="107"/>
    </row>
    <row r="951" ht="15.75" customHeight="1">
      <c r="A951" s="107"/>
      <c r="B951" s="107"/>
      <c r="C951" s="108"/>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c r="AA951" s="107"/>
      <c r="AB951" s="107"/>
      <c r="AC951" s="107"/>
      <c r="AD951" s="107"/>
      <c r="AE951" s="107"/>
      <c r="AF951" s="107"/>
      <c r="AG951" s="107"/>
      <c r="AH951" s="107"/>
      <c r="AI951" s="107"/>
      <c r="AJ951" s="107"/>
    </row>
    <row r="952" ht="15.75" customHeight="1">
      <c r="A952" s="107"/>
      <c r="B952" s="107"/>
      <c r="C952" s="108"/>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c r="AA952" s="107"/>
      <c r="AB952" s="107"/>
      <c r="AC952" s="107"/>
      <c r="AD952" s="107"/>
      <c r="AE952" s="107"/>
      <c r="AF952" s="107"/>
      <c r="AG952" s="107"/>
      <c r="AH952" s="107"/>
      <c r="AI952" s="107"/>
      <c r="AJ952" s="107"/>
    </row>
    <row r="953" ht="15.75" customHeight="1">
      <c r="A953" s="107"/>
      <c r="B953" s="107"/>
      <c r="C953" s="108"/>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c r="AA953" s="107"/>
      <c r="AB953" s="107"/>
      <c r="AC953" s="107"/>
      <c r="AD953" s="107"/>
      <c r="AE953" s="107"/>
      <c r="AF953" s="107"/>
      <c r="AG953" s="107"/>
      <c r="AH953" s="107"/>
      <c r="AI953" s="107"/>
      <c r="AJ953" s="107"/>
    </row>
    <row r="954" ht="15.75" customHeight="1">
      <c r="A954" s="107"/>
      <c r="B954" s="107"/>
      <c r="C954" s="108"/>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c r="AA954" s="107"/>
      <c r="AB954" s="107"/>
      <c r="AC954" s="107"/>
      <c r="AD954" s="107"/>
      <c r="AE954" s="107"/>
      <c r="AF954" s="107"/>
      <c r="AG954" s="107"/>
      <c r="AH954" s="107"/>
      <c r="AI954" s="107"/>
      <c r="AJ954" s="107"/>
    </row>
    <row r="955" ht="15.75" customHeight="1">
      <c r="A955" s="107"/>
      <c r="B955" s="107"/>
      <c r="C955" s="108"/>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c r="AA955" s="107"/>
      <c r="AB955" s="107"/>
      <c r="AC955" s="107"/>
      <c r="AD955" s="107"/>
      <c r="AE955" s="107"/>
      <c r="AF955" s="107"/>
      <c r="AG955" s="107"/>
      <c r="AH955" s="107"/>
      <c r="AI955" s="107"/>
      <c r="AJ955" s="107"/>
    </row>
    <row r="956" ht="15.75" customHeight="1">
      <c r="A956" s="107"/>
      <c r="B956" s="107"/>
      <c r="C956" s="108"/>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c r="AA956" s="107"/>
      <c r="AB956" s="107"/>
      <c r="AC956" s="107"/>
      <c r="AD956" s="107"/>
      <c r="AE956" s="107"/>
      <c r="AF956" s="107"/>
      <c r="AG956" s="107"/>
      <c r="AH956" s="107"/>
      <c r="AI956" s="107"/>
      <c r="AJ956" s="107"/>
    </row>
    <row r="957" ht="15.75" customHeight="1">
      <c r="A957" s="107"/>
      <c r="B957" s="107"/>
      <c r="C957" s="108"/>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c r="AA957" s="107"/>
      <c r="AB957" s="107"/>
      <c r="AC957" s="107"/>
      <c r="AD957" s="107"/>
      <c r="AE957" s="107"/>
      <c r="AF957" s="107"/>
      <c r="AG957" s="107"/>
      <c r="AH957" s="107"/>
      <c r="AI957" s="107"/>
      <c r="AJ957" s="107"/>
    </row>
    <row r="958" ht="15.75" customHeight="1">
      <c r="A958" s="107"/>
      <c r="B958" s="107"/>
      <c r="C958" s="108"/>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c r="AA958" s="107"/>
      <c r="AB958" s="107"/>
      <c r="AC958" s="107"/>
      <c r="AD958" s="107"/>
      <c r="AE958" s="107"/>
      <c r="AF958" s="107"/>
      <c r="AG958" s="107"/>
      <c r="AH958" s="107"/>
      <c r="AI958" s="107"/>
      <c r="AJ958" s="107"/>
    </row>
    <row r="959" ht="15.75" customHeight="1">
      <c r="A959" s="107"/>
      <c r="B959" s="107"/>
      <c r="C959" s="108"/>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c r="AA959" s="107"/>
      <c r="AB959" s="107"/>
      <c r="AC959" s="107"/>
      <c r="AD959" s="107"/>
      <c r="AE959" s="107"/>
      <c r="AF959" s="107"/>
      <c r="AG959" s="107"/>
      <c r="AH959" s="107"/>
      <c r="AI959" s="107"/>
      <c r="AJ959" s="107"/>
    </row>
    <row r="960" ht="15.75" customHeight="1">
      <c r="A960" s="107"/>
      <c r="B960" s="107"/>
      <c r="C960" s="108"/>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c r="AA960" s="107"/>
      <c r="AB960" s="107"/>
      <c r="AC960" s="107"/>
      <c r="AD960" s="107"/>
      <c r="AE960" s="107"/>
      <c r="AF960" s="107"/>
      <c r="AG960" s="107"/>
      <c r="AH960" s="107"/>
      <c r="AI960" s="107"/>
      <c r="AJ960" s="107"/>
    </row>
    <row r="961" ht="15.75" customHeight="1">
      <c r="A961" s="107"/>
      <c r="B961" s="107"/>
      <c r="C961" s="108"/>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c r="AA961" s="107"/>
      <c r="AB961" s="107"/>
      <c r="AC961" s="107"/>
      <c r="AD961" s="107"/>
      <c r="AE961" s="107"/>
      <c r="AF961" s="107"/>
      <c r="AG961" s="107"/>
      <c r="AH961" s="107"/>
      <c r="AI961" s="107"/>
      <c r="AJ961" s="107"/>
    </row>
    <row r="962" ht="15.75" customHeight="1">
      <c r="A962" s="107"/>
      <c r="B962" s="107"/>
      <c r="C962" s="108"/>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c r="AA962" s="107"/>
      <c r="AB962" s="107"/>
      <c r="AC962" s="107"/>
      <c r="AD962" s="107"/>
      <c r="AE962" s="107"/>
      <c r="AF962" s="107"/>
      <c r="AG962" s="107"/>
      <c r="AH962" s="107"/>
      <c r="AI962" s="107"/>
      <c r="AJ962" s="107"/>
    </row>
    <row r="963" ht="15.75" customHeight="1">
      <c r="A963" s="107"/>
      <c r="B963" s="107"/>
      <c r="C963" s="108"/>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c r="AA963" s="107"/>
      <c r="AB963" s="107"/>
      <c r="AC963" s="107"/>
      <c r="AD963" s="107"/>
      <c r="AE963" s="107"/>
      <c r="AF963" s="107"/>
      <c r="AG963" s="107"/>
      <c r="AH963" s="107"/>
      <c r="AI963" s="107"/>
      <c r="AJ963" s="107"/>
    </row>
    <row r="964" ht="15.75" customHeight="1">
      <c r="A964" s="107"/>
      <c r="B964" s="107"/>
      <c r="C964" s="108"/>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c r="AA964" s="107"/>
      <c r="AB964" s="107"/>
      <c r="AC964" s="107"/>
      <c r="AD964" s="107"/>
      <c r="AE964" s="107"/>
      <c r="AF964" s="107"/>
      <c r="AG964" s="107"/>
      <c r="AH964" s="107"/>
      <c r="AI964" s="107"/>
      <c r="AJ964" s="107"/>
    </row>
    <row r="965" ht="15.75" customHeight="1">
      <c r="A965" s="107"/>
      <c r="B965" s="107"/>
      <c r="C965" s="108"/>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c r="AA965" s="107"/>
      <c r="AB965" s="107"/>
      <c r="AC965" s="107"/>
      <c r="AD965" s="107"/>
      <c r="AE965" s="107"/>
      <c r="AF965" s="107"/>
      <c r="AG965" s="107"/>
      <c r="AH965" s="107"/>
      <c r="AI965" s="107"/>
      <c r="AJ965" s="107"/>
    </row>
    <row r="966" ht="15.75" customHeight="1">
      <c r="A966" s="107"/>
      <c r="B966" s="107"/>
      <c r="C966" s="108"/>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c r="AA966" s="107"/>
      <c r="AB966" s="107"/>
      <c r="AC966" s="107"/>
      <c r="AD966" s="107"/>
      <c r="AE966" s="107"/>
      <c r="AF966" s="107"/>
      <c r="AG966" s="107"/>
      <c r="AH966" s="107"/>
      <c r="AI966" s="107"/>
      <c r="AJ966" s="107"/>
    </row>
    <row r="967" ht="15.75" customHeight="1">
      <c r="A967" s="107"/>
      <c r="B967" s="107"/>
      <c r="C967" s="108"/>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c r="AA967" s="107"/>
      <c r="AB967" s="107"/>
      <c r="AC967" s="107"/>
      <c r="AD967" s="107"/>
      <c r="AE967" s="107"/>
      <c r="AF967" s="107"/>
      <c r="AG967" s="107"/>
      <c r="AH967" s="107"/>
      <c r="AI967" s="107"/>
      <c r="AJ967" s="107"/>
    </row>
    <row r="968" ht="15.75" customHeight="1">
      <c r="A968" s="107"/>
      <c r="B968" s="107"/>
      <c r="C968" s="108"/>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c r="AA968" s="107"/>
      <c r="AB968" s="107"/>
      <c r="AC968" s="107"/>
      <c r="AD968" s="107"/>
      <c r="AE968" s="107"/>
      <c r="AF968" s="107"/>
      <c r="AG968" s="107"/>
      <c r="AH968" s="107"/>
      <c r="AI968" s="107"/>
      <c r="AJ968" s="107"/>
    </row>
    <row r="969" ht="15.75" customHeight="1">
      <c r="A969" s="107"/>
      <c r="B969" s="107"/>
      <c r="C969" s="108"/>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c r="AH969" s="107"/>
      <c r="AI969" s="107"/>
      <c r="AJ969" s="107"/>
    </row>
    <row r="970" ht="15.75" customHeight="1">
      <c r="A970" s="107"/>
      <c r="B970" s="107"/>
      <c r="C970" s="108"/>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c r="AA970" s="107"/>
      <c r="AB970" s="107"/>
      <c r="AC970" s="107"/>
      <c r="AD970" s="107"/>
      <c r="AE970" s="107"/>
      <c r="AF970" s="107"/>
      <c r="AG970" s="107"/>
      <c r="AH970" s="107"/>
      <c r="AI970" s="107"/>
      <c r="AJ970" s="107"/>
    </row>
    <row r="971" ht="15.75" customHeight="1">
      <c r="A971" s="107"/>
      <c r="B971" s="107"/>
      <c r="C971" s="108"/>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c r="AA971" s="107"/>
      <c r="AB971" s="107"/>
      <c r="AC971" s="107"/>
      <c r="AD971" s="107"/>
      <c r="AE971" s="107"/>
      <c r="AF971" s="107"/>
      <c r="AG971" s="107"/>
      <c r="AH971" s="107"/>
      <c r="AI971" s="107"/>
      <c r="AJ971" s="107"/>
    </row>
    <row r="972" ht="15.75" customHeight="1">
      <c r="A972" s="107"/>
      <c r="B972" s="107"/>
      <c r="C972" s="108"/>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c r="AA972" s="107"/>
      <c r="AB972" s="107"/>
      <c r="AC972" s="107"/>
      <c r="AD972" s="107"/>
      <c r="AE972" s="107"/>
      <c r="AF972" s="107"/>
      <c r="AG972" s="107"/>
      <c r="AH972" s="107"/>
      <c r="AI972" s="107"/>
      <c r="AJ972" s="107"/>
    </row>
    <row r="973" ht="15.75" customHeight="1">
      <c r="A973" s="107"/>
      <c r="B973" s="107"/>
      <c r="C973" s="108"/>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c r="AA973" s="107"/>
      <c r="AB973" s="107"/>
      <c r="AC973" s="107"/>
      <c r="AD973" s="107"/>
      <c r="AE973" s="107"/>
      <c r="AF973" s="107"/>
      <c r="AG973" s="107"/>
      <c r="AH973" s="107"/>
      <c r="AI973" s="107"/>
      <c r="AJ973" s="107"/>
    </row>
    <row r="974" ht="15.75" customHeight="1">
      <c r="A974" s="107"/>
      <c r="B974" s="107"/>
      <c r="C974" s="108"/>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c r="AA974" s="107"/>
      <c r="AB974" s="107"/>
      <c r="AC974" s="107"/>
      <c r="AD974" s="107"/>
      <c r="AE974" s="107"/>
      <c r="AF974" s="107"/>
      <c r="AG974" s="107"/>
      <c r="AH974" s="107"/>
      <c r="AI974" s="107"/>
      <c r="AJ974" s="107"/>
    </row>
    <row r="975" ht="15.75" customHeight="1">
      <c r="A975" s="107"/>
      <c r="B975" s="107"/>
      <c r="C975" s="108"/>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c r="AA975" s="107"/>
      <c r="AB975" s="107"/>
      <c r="AC975" s="107"/>
      <c r="AD975" s="107"/>
      <c r="AE975" s="107"/>
      <c r="AF975" s="107"/>
      <c r="AG975" s="107"/>
      <c r="AH975" s="107"/>
      <c r="AI975" s="107"/>
      <c r="AJ975" s="107"/>
    </row>
    <row r="976" ht="15.75" customHeight="1">
      <c r="A976" s="107"/>
      <c r="B976" s="107"/>
      <c r="C976" s="108"/>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c r="AA976" s="107"/>
      <c r="AB976" s="107"/>
      <c r="AC976" s="107"/>
      <c r="AD976" s="107"/>
      <c r="AE976" s="107"/>
      <c r="AF976" s="107"/>
      <c r="AG976" s="107"/>
      <c r="AH976" s="107"/>
      <c r="AI976" s="107"/>
      <c r="AJ976" s="107"/>
    </row>
    <row r="977" ht="15.75" customHeight="1">
      <c r="A977" s="107"/>
      <c r="B977" s="107"/>
      <c r="C977" s="108"/>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c r="AA977" s="107"/>
      <c r="AB977" s="107"/>
      <c r="AC977" s="107"/>
      <c r="AD977" s="107"/>
      <c r="AE977" s="107"/>
      <c r="AF977" s="107"/>
      <c r="AG977" s="107"/>
      <c r="AH977" s="107"/>
      <c r="AI977" s="107"/>
      <c r="AJ977" s="107"/>
    </row>
    <row r="978" ht="15.75" customHeight="1">
      <c r="A978" s="107"/>
      <c r="B978" s="107"/>
      <c r="C978" s="108"/>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c r="AA978" s="107"/>
      <c r="AB978" s="107"/>
      <c r="AC978" s="107"/>
      <c r="AD978" s="107"/>
      <c r="AE978" s="107"/>
      <c r="AF978" s="107"/>
      <c r="AG978" s="107"/>
      <c r="AH978" s="107"/>
      <c r="AI978" s="107"/>
      <c r="AJ978" s="107"/>
    </row>
    <row r="979" ht="15.75" customHeight="1">
      <c r="A979" s="107"/>
      <c r="B979" s="107"/>
      <c r="C979" s="108"/>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c r="AA979" s="107"/>
      <c r="AB979" s="107"/>
      <c r="AC979" s="107"/>
      <c r="AD979" s="107"/>
      <c r="AE979" s="107"/>
      <c r="AF979" s="107"/>
      <c r="AG979" s="107"/>
      <c r="AH979" s="107"/>
      <c r="AI979" s="107"/>
      <c r="AJ979" s="107"/>
    </row>
    <row r="980" ht="15.75" customHeight="1">
      <c r="A980" s="107"/>
      <c r="B980" s="107"/>
      <c r="C980" s="108"/>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c r="AA980" s="107"/>
      <c r="AB980" s="107"/>
      <c r="AC980" s="107"/>
      <c r="AD980" s="107"/>
      <c r="AE980" s="107"/>
      <c r="AF980" s="107"/>
      <c r="AG980" s="107"/>
      <c r="AH980" s="107"/>
      <c r="AI980" s="107"/>
      <c r="AJ980" s="107"/>
    </row>
    <row r="981" ht="15.75" customHeight="1">
      <c r="A981" s="107"/>
      <c r="B981" s="107"/>
      <c r="C981" s="108"/>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c r="AA981" s="107"/>
      <c r="AB981" s="107"/>
      <c r="AC981" s="107"/>
      <c r="AD981" s="107"/>
      <c r="AE981" s="107"/>
      <c r="AF981" s="107"/>
      <c r="AG981" s="107"/>
      <c r="AH981" s="107"/>
      <c r="AI981" s="107"/>
      <c r="AJ981" s="107"/>
    </row>
    <row r="982" ht="15.75" customHeight="1">
      <c r="A982" s="107"/>
      <c r="B982" s="107"/>
      <c r="C982" s="108"/>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c r="AA982" s="107"/>
      <c r="AB982" s="107"/>
      <c r="AC982" s="107"/>
      <c r="AD982" s="107"/>
      <c r="AE982" s="107"/>
      <c r="AF982" s="107"/>
      <c r="AG982" s="107"/>
      <c r="AH982" s="107"/>
      <c r="AI982" s="107"/>
      <c r="AJ982" s="107"/>
    </row>
    <row r="983" ht="15.75" customHeight="1">
      <c r="A983" s="107"/>
      <c r="B983" s="107"/>
      <c r="C983" s="108"/>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c r="AA983" s="107"/>
      <c r="AB983" s="107"/>
      <c r="AC983" s="107"/>
      <c r="AD983" s="107"/>
      <c r="AE983" s="107"/>
      <c r="AF983" s="107"/>
      <c r="AG983" s="107"/>
      <c r="AH983" s="107"/>
      <c r="AI983" s="107"/>
      <c r="AJ983" s="107"/>
    </row>
    <row r="984" ht="15.75" customHeight="1">
      <c r="A984" s="107"/>
      <c r="B984" s="107"/>
      <c r="C984" s="108"/>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c r="AA984" s="107"/>
      <c r="AB984" s="107"/>
      <c r="AC984" s="107"/>
      <c r="AD984" s="107"/>
      <c r="AE984" s="107"/>
      <c r="AF984" s="107"/>
      <c r="AG984" s="107"/>
      <c r="AH984" s="107"/>
      <c r="AI984" s="107"/>
      <c r="AJ984" s="107"/>
    </row>
    <row r="985" ht="15.75" customHeight="1">
      <c r="A985" s="107"/>
      <c r="B985" s="107"/>
      <c r="C985" s="108"/>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c r="AA985" s="107"/>
      <c r="AB985" s="107"/>
      <c r="AC985" s="107"/>
      <c r="AD985" s="107"/>
      <c r="AE985" s="107"/>
      <c r="AF985" s="107"/>
      <c r="AG985" s="107"/>
      <c r="AH985" s="107"/>
      <c r="AI985" s="107"/>
      <c r="AJ985" s="107"/>
    </row>
    <row r="986" ht="15.75" customHeight="1">
      <c r="A986" s="107"/>
      <c r="B986" s="107"/>
      <c r="C986" s="108"/>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c r="AA986" s="107"/>
      <c r="AB986" s="107"/>
      <c r="AC986" s="107"/>
      <c r="AD986" s="107"/>
      <c r="AE986" s="107"/>
      <c r="AF986" s="107"/>
      <c r="AG986" s="107"/>
      <c r="AH986" s="107"/>
      <c r="AI986" s="107"/>
      <c r="AJ986" s="107"/>
    </row>
    <row r="987" ht="15.75" customHeight="1">
      <c r="A987" s="107"/>
      <c r="B987" s="107"/>
      <c r="C987" s="108"/>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c r="AA987" s="107"/>
      <c r="AB987" s="107"/>
      <c r="AC987" s="107"/>
      <c r="AD987" s="107"/>
      <c r="AE987" s="107"/>
      <c r="AF987" s="107"/>
      <c r="AG987" s="107"/>
      <c r="AH987" s="107"/>
      <c r="AI987" s="107"/>
      <c r="AJ987" s="107"/>
    </row>
    <row r="988" ht="15.75" customHeight="1">
      <c r="A988" s="107"/>
      <c r="B988" s="107"/>
      <c r="C988" s="108"/>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c r="AA988" s="107"/>
      <c r="AB988" s="107"/>
      <c r="AC988" s="107"/>
      <c r="AD988" s="107"/>
      <c r="AE988" s="107"/>
      <c r="AF988" s="107"/>
      <c r="AG988" s="107"/>
      <c r="AH988" s="107"/>
      <c r="AI988" s="107"/>
      <c r="AJ988" s="107"/>
    </row>
    <row r="989" ht="15.75" customHeight="1">
      <c r="A989" s="107"/>
      <c r="B989" s="107"/>
      <c r="C989" s="108"/>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c r="AA989" s="107"/>
      <c r="AB989" s="107"/>
      <c r="AC989" s="107"/>
      <c r="AD989" s="107"/>
      <c r="AE989" s="107"/>
      <c r="AF989" s="107"/>
      <c r="AG989" s="107"/>
      <c r="AH989" s="107"/>
      <c r="AI989" s="107"/>
      <c r="AJ989" s="107"/>
    </row>
    <row r="990" ht="15.75" customHeight="1">
      <c r="A990" s="107"/>
      <c r="B990" s="107"/>
      <c r="C990" s="108"/>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c r="AA990" s="107"/>
      <c r="AB990" s="107"/>
      <c r="AC990" s="107"/>
      <c r="AD990" s="107"/>
      <c r="AE990" s="107"/>
      <c r="AF990" s="107"/>
      <c r="AG990" s="107"/>
      <c r="AH990" s="107"/>
      <c r="AI990" s="107"/>
      <c r="AJ990" s="107"/>
    </row>
    <row r="991" ht="15.75" customHeight="1">
      <c r="A991" s="107"/>
      <c r="B991" s="107"/>
      <c r="C991" s="108"/>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c r="AA991" s="107"/>
      <c r="AB991" s="107"/>
      <c r="AC991" s="107"/>
      <c r="AD991" s="107"/>
      <c r="AE991" s="107"/>
      <c r="AF991" s="107"/>
      <c r="AG991" s="107"/>
      <c r="AH991" s="107"/>
      <c r="AI991" s="107"/>
      <c r="AJ991" s="107"/>
    </row>
    <row r="992" ht="15.75" customHeight="1">
      <c r="A992" s="107"/>
      <c r="B992" s="107"/>
      <c r="C992" s="108"/>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c r="AA992" s="107"/>
      <c r="AB992" s="107"/>
      <c r="AC992" s="107"/>
      <c r="AD992" s="107"/>
      <c r="AE992" s="107"/>
      <c r="AF992" s="107"/>
      <c r="AG992" s="107"/>
      <c r="AH992" s="107"/>
      <c r="AI992" s="107"/>
      <c r="AJ992" s="107"/>
    </row>
    <row r="993" ht="15.75" customHeight="1">
      <c r="A993" s="107"/>
      <c r="B993" s="107"/>
      <c r="C993" s="108"/>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c r="AA993" s="107"/>
      <c r="AB993" s="107"/>
      <c r="AC993" s="107"/>
      <c r="AD993" s="107"/>
      <c r="AE993" s="107"/>
      <c r="AF993" s="107"/>
      <c r="AG993" s="107"/>
      <c r="AH993" s="107"/>
      <c r="AI993" s="107"/>
      <c r="AJ993" s="107"/>
    </row>
    <row r="994" ht="15.75" customHeight="1">
      <c r="A994" s="107"/>
      <c r="B994" s="107"/>
      <c r="C994" s="108"/>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c r="AA994" s="107"/>
      <c r="AB994" s="107"/>
      <c r="AC994" s="107"/>
      <c r="AD994" s="107"/>
      <c r="AE994" s="107"/>
      <c r="AF994" s="107"/>
      <c r="AG994" s="107"/>
      <c r="AH994" s="107"/>
      <c r="AI994" s="107"/>
      <c r="AJ994" s="107"/>
    </row>
    <row r="995" ht="15.75" customHeight="1">
      <c r="A995" s="107"/>
      <c r="B995" s="107"/>
      <c r="C995" s="108"/>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c r="AA995" s="107"/>
      <c r="AB995" s="107"/>
      <c r="AC995" s="107"/>
      <c r="AD995" s="107"/>
      <c r="AE995" s="107"/>
      <c r="AF995" s="107"/>
      <c r="AG995" s="107"/>
      <c r="AH995" s="107"/>
      <c r="AI995" s="107"/>
      <c r="AJ995" s="107"/>
    </row>
    <row r="996" ht="15.75" customHeight="1">
      <c r="A996" s="107"/>
      <c r="B996" s="107"/>
      <c r="C996" s="108"/>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c r="AA996" s="107"/>
      <c r="AB996" s="107"/>
      <c r="AC996" s="107"/>
      <c r="AD996" s="107"/>
      <c r="AE996" s="107"/>
      <c r="AF996" s="107"/>
      <c r="AG996" s="107"/>
      <c r="AH996" s="107"/>
      <c r="AI996" s="107"/>
      <c r="AJ996" s="107"/>
    </row>
    <row r="997" ht="15.75" customHeight="1">
      <c r="A997" s="107"/>
      <c r="B997" s="107"/>
      <c r="C997" s="108"/>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c r="AA997" s="107"/>
      <c r="AB997" s="107"/>
      <c r="AC997" s="107"/>
      <c r="AD997" s="107"/>
      <c r="AE997" s="107"/>
      <c r="AF997" s="107"/>
      <c r="AG997" s="107"/>
      <c r="AH997" s="107"/>
      <c r="AI997" s="107"/>
      <c r="AJ997" s="107"/>
    </row>
    <row r="998" ht="15.75" customHeight="1">
      <c r="A998" s="107"/>
      <c r="B998" s="107"/>
      <c r="C998" s="108"/>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c r="AA998" s="107"/>
      <c r="AB998" s="107"/>
      <c r="AC998" s="107"/>
      <c r="AD998" s="107"/>
      <c r="AE998" s="107"/>
      <c r="AF998" s="107"/>
      <c r="AG998" s="107"/>
      <c r="AH998" s="107"/>
      <c r="AI998" s="107"/>
      <c r="AJ998" s="107"/>
    </row>
    <row r="999" ht="15.75" customHeight="1">
      <c r="A999" s="107"/>
      <c r="B999" s="107"/>
      <c r="C999" s="108"/>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c r="AA999" s="107"/>
      <c r="AB999" s="107"/>
      <c r="AC999" s="107"/>
      <c r="AD999" s="107"/>
      <c r="AE999" s="107"/>
      <c r="AF999" s="107"/>
      <c r="AG999" s="107"/>
      <c r="AH999" s="107"/>
      <c r="AI999" s="107"/>
      <c r="AJ999" s="107"/>
    </row>
    <row r="1000" ht="15.75" customHeight="1">
      <c r="A1000" s="107"/>
      <c r="B1000" s="107"/>
      <c r="C1000" s="108"/>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c r="AA1000" s="107"/>
      <c r="AB1000" s="107"/>
      <c r="AC1000" s="107"/>
      <c r="AD1000" s="107"/>
      <c r="AE1000" s="107"/>
      <c r="AF1000" s="107"/>
      <c r="AG1000" s="107"/>
      <c r="AH1000" s="107"/>
      <c r="AI1000" s="107"/>
      <c r="AJ1000" s="107"/>
    </row>
  </sheetData>
  <conditionalFormatting sqref="A77:N105">
    <cfRule type="expression" dxfId="11" priority="1">
      <formula>MOD(ROW(),2)=0</formula>
    </cfRule>
  </conditionalFormatting>
  <conditionalFormatting sqref="A377:N421">
    <cfRule type="expression" dxfId="12" priority="2">
      <formula>MOD(ROW(),2)=0</formula>
    </cfRule>
  </conditionalFormatting>
  <conditionalFormatting sqref="A108:N162">
    <cfRule type="expression" dxfId="13" priority="3">
      <formula>MOD(ROW(),2)=0</formula>
    </cfRule>
  </conditionalFormatting>
  <conditionalFormatting sqref="A228:N252 A254:B298 C254:C255 D254:N298 A300:N312">
    <cfRule type="expression" dxfId="14" priority="4">
      <formula>MOD(ROW(),2)=0</formula>
    </cfRule>
  </conditionalFormatting>
  <conditionalFormatting sqref="A25:B74 D25:N74">
    <cfRule type="expression" dxfId="15" priority="5">
      <formula>MOD(ROW(),2)=0</formula>
    </cfRule>
  </conditionalFormatting>
  <conditionalFormatting sqref="A315:N337 A340:N374">
    <cfRule type="expression" dxfId="16" priority="6">
      <formula>MOD(ROW(),2)=0</formula>
    </cfRule>
  </conditionalFormatting>
  <conditionalFormatting sqref="A301:N312">
    <cfRule type="expression" dxfId="17" priority="7">
      <formula>MOD(ROW(),2)=0</formula>
    </cfRule>
  </conditionalFormatting>
  <conditionalFormatting sqref="A226:C226 AF165:AF182 P165:P225">
    <cfRule type="expression" dxfId="18" priority="8">
      <formula>MOD(ROW(),2)=0</formula>
    </cfRule>
  </conditionalFormatting>
  <conditionalFormatting sqref="A256:O298 A300:N312">
    <cfRule type="expression" dxfId="19" priority="9">
      <formula>MOD(ROW(),2)=0</formula>
    </cfRule>
  </conditionalFormatting>
  <conditionalFormatting sqref="C25:C74">
    <cfRule type="expression" dxfId="20" priority="10">
      <formula>MOD(ROW(),2)=0</formula>
    </cfRule>
  </conditionalFormatting>
  <conditionalFormatting sqref="C261:C267">
    <cfRule type="expression" dxfId="19" priority="11">
      <formula>MOD(ROW(),2)=0</formula>
    </cfRule>
  </conditionalFormatting>
  <conditionalFormatting sqref="C261:C267">
    <cfRule type="expression" dxfId="19" priority="12">
      <formula>MOD(ROW(),2)=0</formula>
    </cfRule>
  </conditionalFormatting>
  <printOptions/>
  <pageMargins bottom="0.75" footer="0.0" header="0.0" left="0.7" right="0.7" top="0.75"/>
  <pageSetup paperSize="9"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9.78"/>
    <col customWidth="1" min="3" max="3" width="10.33"/>
    <col customWidth="1" min="4" max="4" width="11.11"/>
    <col customWidth="1" min="5" max="5" width="9.44"/>
    <col customWidth="1" min="6" max="6" width="10.0"/>
    <col customWidth="1" min="7" max="7" width="10.22"/>
    <col customWidth="1" min="8" max="8" width="10.11"/>
    <col customWidth="1" min="10" max="11" width="8.78"/>
    <col customWidth="1" min="12" max="12" width="12.11"/>
    <col customWidth="1" min="13" max="13" width="8.89"/>
    <col customWidth="1" min="14" max="14" width="7.78"/>
    <col customWidth="1" min="15" max="15" width="7.22"/>
    <col customWidth="1" min="16" max="17" width="8.22"/>
    <col customWidth="1" min="18" max="18" width="10.11"/>
    <col customWidth="1" min="19" max="19" width="10.67"/>
    <col customWidth="1" min="20" max="20" width="7.0"/>
    <col customWidth="1" min="21" max="21" width="8.33"/>
    <col customWidth="1" min="22" max="22" width="7.89"/>
    <col customWidth="1" min="23" max="23" width="6.11"/>
    <col customWidth="1" min="24" max="24" width="9.22"/>
    <col customWidth="1" min="25" max="26" width="8.78"/>
    <col customWidth="1" min="27" max="27" width="9.44"/>
    <col customWidth="1" min="28" max="28" width="16.89"/>
  </cols>
  <sheetData>
    <row r="1" ht="15.75" customHeight="1">
      <c r="A1" s="112" t="b">
        <v>0</v>
      </c>
      <c r="B1" s="112"/>
      <c r="C1" s="112"/>
      <c r="D1" s="125"/>
      <c r="E1" s="112"/>
      <c r="F1" s="128"/>
      <c r="G1" s="128"/>
      <c r="H1" s="128"/>
      <c r="I1" s="128"/>
      <c r="J1" s="112"/>
      <c r="K1" s="112"/>
      <c r="L1" s="153"/>
      <c r="M1" s="112"/>
      <c r="N1" s="112"/>
      <c r="O1" s="112"/>
      <c r="P1" s="112"/>
      <c r="Q1" s="112"/>
      <c r="R1" s="112"/>
      <c r="S1" s="112"/>
      <c r="T1" s="112"/>
      <c r="U1" s="112"/>
      <c r="V1" s="112"/>
      <c r="W1" s="112"/>
      <c r="X1" s="112"/>
      <c r="Y1" s="112"/>
      <c r="Z1" s="112"/>
      <c r="AA1" s="112"/>
      <c r="AB1" s="112"/>
    </row>
    <row r="2" ht="15.75" customHeight="1">
      <c r="A2" s="112"/>
      <c r="B2" s="112"/>
      <c r="C2" s="112"/>
      <c r="D2" s="125"/>
      <c r="E2" s="112"/>
      <c r="F2" s="128"/>
      <c r="G2" s="128"/>
      <c r="H2" s="128"/>
      <c r="I2" s="128"/>
      <c r="J2" s="112"/>
      <c r="K2" s="112"/>
      <c r="L2" s="153"/>
      <c r="M2" s="112"/>
      <c r="N2" s="112"/>
      <c r="O2" s="112"/>
      <c r="P2" s="112"/>
      <c r="Q2" s="112"/>
      <c r="R2" s="112"/>
      <c r="S2" s="112"/>
      <c r="T2" s="112"/>
      <c r="U2" s="112"/>
      <c r="V2" s="112"/>
      <c r="W2" s="112"/>
      <c r="X2" s="112"/>
      <c r="Y2" s="112"/>
      <c r="Z2" s="112"/>
      <c r="AA2" s="112"/>
      <c r="AB2" s="112"/>
    </row>
    <row r="3" ht="15.75" customHeight="1">
      <c r="A3" s="112"/>
      <c r="B3" s="112"/>
      <c r="C3" s="112"/>
      <c r="D3" s="125"/>
      <c r="E3" s="112"/>
      <c r="F3" s="128"/>
      <c r="G3" s="128"/>
      <c r="H3" s="128"/>
      <c r="I3" s="128"/>
      <c r="J3" s="112"/>
      <c r="K3" s="112"/>
      <c r="L3" s="153"/>
      <c r="M3" s="112"/>
      <c r="N3" s="112"/>
      <c r="O3" s="112"/>
      <c r="P3" s="112"/>
      <c r="Q3" s="125" t="s">
        <v>54</v>
      </c>
      <c r="R3" s="112" t="s">
        <v>59</v>
      </c>
      <c r="S3" s="112" t="s">
        <v>64</v>
      </c>
      <c r="T3" s="112"/>
      <c r="U3" s="112"/>
      <c r="V3" s="112"/>
      <c r="W3" s="112"/>
      <c r="X3" s="112"/>
      <c r="Y3" s="112"/>
      <c r="Z3" s="112"/>
      <c r="AA3" s="112"/>
      <c r="AB3" s="112"/>
    </row>
    <row r="4" ht="15.75" customHeight="1">
      <c r="A4" s="112"/>
      <c r="B4" s="112"/>
      <c r="C4" s="125"/>
      <c r="D4" s="112"/>
      <c r="E4" s="112"/>
      <c r="F4" s="128" t="s">
        <v>45</v>
      </c>
      <c r="G4" s="128" t="s">
        <v>46</v>
      </c>
      <c r="H4" s="128" t="s">
        <v>47</v>
      </c>
      <c r="I4" s="128"/>
      <c r="J4" s="112"/>
      <c r="K4" s="112"/>
      <c r="L4" s="153"/>
      <c r="M4" s="112"/>
      <c r="N4" s="112"/>
      <c r="O4" s="112" t="s">
        <v>944</v>
      </c>
      <c r="P4" s="112" t="s">
        <v>174</v>
      </c>
      <c r="Q4" s="112">
        <f t="shared" ref="Q4:Q11" si="1">IF(ISNUMBER(SEARCH(O4,$B$4)), 1, 0)</f>
        <v>0</v>
      </c>
      <c r="R4" s="112">
        <f t="shared" ref="R4:R11" si="2">IF(ISNUMBER(SEARCH(O4,#REF!)), 1, 0)</f>
        <v>0</v>
      </c>
      <c r="S4" s="112">
        <f t="shared" ref="S4:S11" si="3">IF(ISNUMBER(SEARCH(O4,$B$7)), 1, 0)</f>
        <v>0</v>
      </c>
      <c r="T4" s="112"/>
      <c r="U4" s="112"/>
      <c r="V4" s="112"/>
      <c r="W4" s="112"/>
      <c r="X4" s="112"/>
      <c r="Y4" s="112"/>
      <c r="Z4" s="112"/>
      <c r="AA4" s="112"/>
      <c r="AB4" s="112"/>
    </row>
    <row r="5" ht="15.75" customHeight="1">
      <c r="A5" s="112"/>
      <c r="B5" s="112"/>
      <c r="C5" s="125"/>
      <c r="D5" s="112"/>
      <c r="E5" s="112" t="s">
        <v>54</v>
      </c>
      <c r="F5" s="154">
        <f>IFERROR(('主頁'!$N$15-'主頁'!K15)/'主頁'!N15,"")</f>
        <v>-9493670885</v>
      </c>
      <c r="G5" s="154">
        <f>IFERROR(('主頁'!$N$15-'主頁'!L15)/'主頁'!$N$15,"")</f>
        <v>-8924050632</v>
      </c>
      <c r="H5" s="154">
        <f>IFERROR(('主頁'!$N$15-'主頁'!M15)/'主頁'!$N$15,"")</f>
        <v>-8354430379</v>
      </c>
      <c r="I5" s="128"/>
      <c r="J5" s="112"/>
      <c r="K5" s="112"/>
      <c r="L5" s="153"/>
      <c r="M5" s="112"/>
      <c r="N5" s="112"/>
      <c r="O5" s="112" t="s">
        <v>945</v>
      </c>
      <c r="P5" s="112" t="s">
        <v>227</v>
      </c>
      <c r="Q5" s="112">
        <f t="shared" si="1"/>
        <v>0</v>
      </c>
      <c r="R5" s="112">
        <f t="shared" si="2"/>
        <v>0</v>
      </c>
      <c r="S5" s="112">
        <f t="shared" si="3"/>
        <v>0</v>
      </c>
      <c r="T5" s="112"/>
      <c r="U5" s="112"/>
      <c r="V5" s="112"/>
      <c r="W5" s="112"/>
      <c r="X5" s="112"/>
      <c r="Y5" s="112"/>
      <c r="Z5" s="112"/>
      <c r="AA5" s="112"/>
      <c r="AB5" s="112"/>
    </row>
    <row r="6" ht="15.75" customHeight="1">
      <c r="A6" s="112"/>
      <c r="B6" s="112"/>
      <c r="C6" s="125"/>
      <c r="D6" s="112"/>
      <c r="E6" s="112"/>
      <c r="F6" s="154"/>
      <c r="G6" s="154"/>
      <c r="H6" s="154"/>
      <c r="I6" s="128"/>
      <c r="J6" s="112"/>
      <c r="K6" s="112"/>
      <c r="L6" s="153"/>
      <c r="M6" s="112"/>
      <c r="N6" s="112"/>
      <c r="O6" s="112" t="s">
        <v>946</v>
      </c>
      <c r="P6" s="112" t="s">
        <v>176</v>
      </c>
      <c r="Q6" s="112">
        <f t="shared" si="1"/>
        <v>0</v>
      </c>
      <c r="R6" s="112">
        <f t="shared" si="2"/>
        <v>0</v>
      </c>
      <c r="S6" s="112">
        <f t="shared" si="3"/>
        <v>0</v>
      </c>
      <c r="T6" s="112"/>
      <c r="U6" s="112"/>
      <c r="V6" s="112"/>
      <c r="W6" s="112"/>
      <c r="X6" s="112"/>
      <c r="Y6" s="112"/>
      <c r="Z6" s="112"/>
      <c r="AA6" s="112"/>
      <c r="AB6" s="112"/>
    </row>
    <row r="7" ht="15.75" customHeight="1">
      <c r="A7" s="112"/>
      <c r="B7" s="112"/>
      <c r="C7" s="125"/>
      <c r="D7" s="112"/>
      <c r="E7" s="112" t="s">
        <v>59</v>
      </c>
      <c r="F7" s="154" t="str">
        <f>IFERROR(('主頁'!$N$17-'主頁'!K17)/'主頁'!$N$17,"")</f>
        <v/>
      </c>
      <c r="G7" s="154">
        <f>IFERROR(('主頁'!$N$17-'主頁'!L17)/'主頁'!$N$17,"")</f>
        <v>-6582278480</v>
      </c>
      <c r="H7" s="154">
        <f>IFERROR(('主頁'!$N$17-'主頁'!M17)/'主頁'!$N$17,"")</f>
        <v>-6329113923</v>
      </c>
      <c r="I7" s="128"/>
      <c r="J7" s="112"/>
      <c r="K7" s="112"/>
      <c r="L7" s="153"/>
      <c r="M7" s="112"/>
      <c r="N7" s="112"/>
      <c r="O7" s="112" t="s">
        <v>947</v>
      </c>
      <c r="P7" s="112" t="s">
        <v>177</v>
      </c>
      <c r="Q7" s="112">
        <f t="shared" si="1"/>
        <v>0</v>
      </c>
      <c r="R7" s="112">
        <f t="shared" si="2"/>
        <v>0</v>
      </c>
      <c r="S7" s="112">
        <f t="shared" si="3"/>
        <v>0</v>
      </c>
      <c r="T7" s="112"/>
      <c r="U7" s="112"/>
      <c r="V7" s="112"/>
      <c r="W7" s="112"/>
      <c r="X7" s="112"/>
      <c r="Y7" s="112"/>
      <c r="Z7" s="112"/>
      <c r="AA7" s="112"/>
      <c r="AB7" s="112"/>
    </row>
    <row r="8" ht="15.75" customHeight="1">
      <c r="A8" s="112"/>
      <c r="B8" s="112"/>
      <c r="C8" s="125"/>
      <c r="D8" s="112"/>
      <c r="E8" s="112"/>
      <c r="F8" s="154"/>
      <c r="G8" s="154"/>
      <c r="H8" s="154"/>
      <c r="I8" s="128"/>
      <c r="J8" s="112"/>
      <c r="K8" s="112"/>
      <c r="L8" s="153"/>
      <c r="M8" s="112"/>
      <c r="N8" s="112"/>
      <c r="O8" s="112" t="s">
        <v>948</v>
      </c>
      <c r="P8" s="112" t="s">
        <v>178</v>
      </c>
      <c r="Q8" s="112">
        <f t="shared" si="1"/>
        <v>0</v>
      </c>
      <c r="R8" s="112">
        <f t="shared" si="2"/>
        <v>0</v>
      </c>
      <c r="S8" s="112">
        <f t="shared" si="3"/>
        <v>0</v>
      </c>
      <c r="T8" s="112"/>
      <c r="U8" s="112"/>
      <c r="V8" s="112"/>
      <c r="W8" s="112"/>
      <c r="X8" s="112"/>
      <c r="Y8" s="112"/>
      <c r="Z8" s="112"/>
      <c r="AA8" s="112"/>
      <c r="AB8" s="112"/>
    </row>
    <row r="9" ht="15.75" customHeight="1">
      <c r="A9" s="112"/>
      <c r="B9" s="112"/>
      <c r="C9" s="125"/>
      <c r="D9" s="112"/>
      <c r="E9" s="112" t="s">
        <v>64</v>
      </c>
      <c r="F9" s="154" t="str">
        <f>IFERROR(('主頁'!$N$19-'主頁'!K19)/'主頁'!$N$19,"")</f>
        <v/>
      </c>
      <c r="G9" s="154" t="str">
        <f>IFERROR(('主頁'!$N$19-'主頁'!L19)/'主頁'!$N$19,"")</f>
        <v/>
      </c>
      <c r="H9" s="154" t="str">
        <f>IFERROR(('主頁'!$N$19-'主頁'!M19)/'主頁'!$N$19,"")</f>
        <v/>
      </c>
      <c r="I9" s="128"/>
      <c r="J9" s="112"/>
      <c r="K9" s="112"/>
      <c r="L9" s="153"/>
      <c r="M9" s="112"/>
      <c r="N9" s="112"/>
      <c r="O9" s="112" t="s">
        <v>949</v>
      </c>
      <c r="P9" s="112" t="s">
        <v>179</v>
      </c>
      <c r="Q9" s="112">
        <f t="shared" si="1"/>
        <v>0</v>
      </c>
      <c r="R9" s="112">
        <f t="shared" si="2"/>
        <v>0</v>
      </c>
      <c r="S9" s="112">
        <f t="shared" si="3"/>
        <v>0</v>
      </c>
      <c r="T9" s="112"/>
      <c r="U9" s="112"/>
      <c r="V9" s="112"/>
      <c r="W9" s="112"/>
      <c r="X9" s="112"/>
      <c r="Y9" s="112"/>
      <c r="Z9" s="112"/>
      <c r="AA9" s="112"/>
      <c r="AB9" s="112"/>
    </row>
    <row r="10" ht="15.75" customHeight="1">
      <c r="A10" s="112"/>
      <c r="B10" s="112"/>
      <c r="C10" s="112"/>
      <c r="D10" s="125"/>
      <c r="E10" s="112"/>
      <c r="F10" s="128"/>
      <c r="G10" s="128"/>
      <c r="H10" s="128"/>
      <c r="I10" s="128"/>
      <c r="J10" s="112"/>
      <c r="K10" s="112"/>
      <c r="L10" s="153"/>
      <c r="M10" s="112"/>
      <c r="N10" s="112"/>
      <c r="O10" s="112" t="s">
        <v>950</v>
      </c>
      <c r="P10" s="112" t="s">
        <v>180</v>
      </c>
      <c r="Q10" s="112">
        <f t="shared" si="1"/>
        <v>0</v>
      </c>
      <c r="R10" s="112">
        <f t="shared" si="2"/>
        <v>0</v>
      </c>
      <c r="S10" s="112">
        <f t="shared" si="3"/>
        <v>0</v>
      </c>
      <c r="T10" s="112"/>
      <c r="U10" s="112"/>
      <c r="V10" s="112"/>
      <c r="W10" s="112"/>
      <c r="X10" s="112"/>
      <c r="Y10" s="112"/>
      <c r="Z10" s="112"/>
      <c r="AA10" s="112"/>
      <c r="AB10" s="112"/>
    </row>
    <row r="11" ht="15.75" customHeight="1">
      <c r="A11" s="112"/>
      <c r="B11" s="112"/>
      <c r="C11" s="112"/>
      <c r="D11" s="125"/>
      <c r="E11" s="112"/>
      <c r="F11" s="128"/>
      <c r="G11" s="128"/>
      <c r="H11" s="128"/>
      <c r="I11" s="128"/>
      <c r="J11" s="112"/>
      <c r="K11" s="112"/>
      <c r="L11" s="153"/>
      <c r="M11" s="112"/>
      <c r="N11" s="112"/>
      <c r="O11" s="112" t="s">
        <v>951</v>
      </c>
      <c r="P11" s="112" t="s">
        <v>952</v>
      </c>
      <c r="Q11" s="112">
        <f t="shared" si="1"/>
        <v>0</v>
      </c>
      <c r="R11" s="112">
        <f t="shared" si="2"/>
        <v>0</v>
      </c>
      <c r="S11" s="112">
        <f t="shared" si="3"/>
        <v>0</v>
      </c>
      <c r="T11" s="112"/>
      <c r="U11" s="112"/>
      <c r="V11" s="112"/>
      <c r="W11" s="112"/>
      <c r="X11" s="112"/>
      <c r="Y11" s="112"/>
      <c r="Z11" s="112"/>
      <c r="AA11" s="112"/>
      <c r="AB11" s="112"/>
    </row>
    <row r="12" ht="15.75" customHeight="1">
      <c r="A12" s="112"/>
      <c r="B12" s="112"/>
      <c r="C12" s="112"/>
      <c r="D12" s="125"/>
      <c r="E12" s="112"/>
      <c r="F12" s="128"/>
      <c r="G12" s="128"/>
      <c r="H12" s="128"/>
      <c r="I12" s="128"/>
      <c r="J12" s="112"/>
      <c r="K12" s="112"/>
      <c r="L12" s="153"/>
      <c r="M12" s="112"/>
      <c r="N12" s="112"/>
      <c r="O12" s="112"/>
      <c r="P12" s="112"/>
      <c r="Q12" s="112"/>
      <c r="R12" s="112"/>
      <c r="S12" s="112"/>
      <c r="T12" s="112"/>
      <c r="U12" s="112"/>
      <c r="V12" s="112"/>
      <c r="W12" s="112"/>
      <c r="X12" s="112"/>
      <c r="Y12" s="112"/>
      <c r="Z12" s="112"/>
      <c r="AA12" s="112"/>
      <c r="AB12" s="112"/>
    </row>
    <row r="13" ht="15.75" customHeight="1">
      <c r="A13" s="112"/>
      <c r="B13" s="112"/>
      <c r="C13" s="112"/>
      <c r="D13" s="125"/>
      <c r="E13" s="112"/>
      <c r="F13" s="128"/>
      <c r="G13" s="128"/>
      <c r="H13" s="128"/>
      <c r="I13" s="128"/>
      <c r="J13" s="112"/>
      <c r="K13" s="112"/>
      <c r="L13" s="153"/>
      <c r="M13" s="112"/>
      <c r="N13" s="112"/>
      <c r="O13" s="112"/>
      <c r="P13" s="112"/>
      <c r="Q13" s="112"/>
      <c r="R13" s="112"/>
      <c r="S13" s="112"/>
      <c r="T13" s="112"/>
      <c r="U13" s="112"/>
      <c r="V13" s="112"/>
      <c r="W13" s="112"/>
      <c r="X13" s="112"/>
      <c r="Y13" s="112"/>
      <c r="Z13" s="112"/>
      <c r="AA13" s="112"/>
      <c r="AB13" s="112"/>
    </row>
    <row r="14" ht="15.75" customHeight="1">
      <c r="A14" s="112"/>
      <c r="B14" s="112"/>
      <c r="C14" s="112"/>
      <c r="D14" s="125"/>
      <c r="E14" s="112"/>
      <c r="F14" s="128"/>
      <c r="G14" s="128"/>
      <c r="H14" s="128"/>
      <c r="I14" s="128"/>
      <c r="J14" s="112"/>
      <c r="K14" s="112"/>
      <c r="L14" s="153"/>
      <c r="M14" s="112"/>
      <c r="N14" s="112"/>
      <c r="O14" s="112"/>
      <c r="P14" s="112"/>
      <c r="Q14" s="112"/>
      <c r="R14" s="112"/>
      <c r="S14" s="112"/>
      <c r="T14" s="112"/>
      <c r="U14" s="112"/>
      <c r="V14" s="112"/>
      <c r="W14" s="112"/>
      <c r="X14" s="112"/>
      <c r="Y14" s="112"/>
      <c r="Z14" s="112"/>
      <c r="AA14" s="112"/>
      <c r="AB14" s="112"/>
    </row>
    <row r="15" ht="15.75" customHeight="1">
      <c r="A15" s="112" t="s">
        <v>953</v>
      </c>
      <c r="B15" s="112" t="s">
        <v>42</v>
      </c>
      <c r="C15" s="125" t="s">
        <v>43</v>
      </c>
      <c r="D15" s="112" t="s">
        <v>954</v>
      </c>
      <c r="E15" s="112" t="s">
        <v>44</v>
      </c>
      <c r="F15" s="128" t="s">
        <v>45</v>
      </c>
      <c r="G15" s="128" t="s">
        <v>46</v>
      </c>
      <c r="H15" s="128" t="s">
        <v>47</v>
      </c>
      <c r="I15" s="128" t="s">
        <v>48</v>
      </c>
      <c r="J15" s="112" t="s">
        <v>49</v>
      </c>
      <c r="K15" s="112" t="s">
        <v>50</v>
      </c>
      <c r="L15" s="153" t="s">
        <v>51</v>
      </c>
      <c r="M15" s="112" t="s">
        <v>955</v>
      </c>
      <c r="N15" s="112"/>
      <c r="O15" s="112" t="s">
        <v>54</v>
      </c>
      <c r="P15" s="112" t="str">
        <f t="array" ref="P15">IF(Q15=1,INDEX(P$4:P$11,MATCH(LARGE(Q4:Q11,1),Q4:Q11,0)),"")</f>
        <v/>
      </c>
      <c r="Q15" s="112">
        <f>LARGE((Q4:Q11),1)</f>
        <v>0</v>
      </c>
      <c r="R15" s="112">
        <f>IF(COUNTIF(A251:A333,$B$4), 1, 0)</f>
        <v>0</v>
      </c>
      <c r="S15" s="112"/>
      <c r="T15" s="112"/>
      <c r="U15" s="112"/>
      <c r="V15" s="112"/>
      <c r="W15" s="112"/>
      <c r="X15" s="112"/>
      <c r="Y15" s="112"/>
      <c r="Z15" s="112"/>
      <c r="AA15" s="112"/>
      <c r="AB15" s="112"/>
    </row>
    <row r="16" ht="15.75" customHeight="1">
      <c r="A16" s="112" t="str">
        <f>'主頁'!G15</f>
        <v>JS4862</v>
      </c>
      <c r="B16" s="112" t="str">
        <f t="shared" ref="B16:M16" si="4">IFERROR(INDEX(B$21:B$416,MATCH($A16,$A$21:$A$416,0)),"")</f>
        <v>CUHK</v>
      </c>
      <c r="C16" s="112" t="str">
        <f t="shared" si="4"/>
        <v>心理學</v>
      </c>
      <c r="D16" s="112" t="str">
        <f t="shared" si="4"/>
        <v>PSYCHOLOGY</v>
      </c>
      <c r="E16" s="112" t="str">
        <f t="shared" si="4"/>
        <v>Best 5</v>
      </c>
      <c r="F16" s="128">
        <f t="shared" si="4"/>
        <v>37.5</v>
      </c>
      <c r="G16" s="128">
        <f t="shared" si="4"/>
        <v>35.25</v>
      </c>
      <c r="H16" s="128">
        <f t="shared" si="4"/>
        <v>33</v>
      </c>
      <c r="I16" s="128">
        <f t="shared" si="4"/>
        <v>0.00000000395</v>
      </c>
      <c r="J16" s="112">
        <f t="shared" si="4"/>
        <v>54</v>
      </c>
      <c r="K16" s="112">
        <f t="shared" si="4"/>
        <v>57</v>
      </c>
      <c r="L16" s="155">
        <f t="shared" si="4"/>
        <v>6.709090909</v>
      </c>
      <c r="M16" s="112">
        <f t="shared" si="4"/>
        <v>0</v>
      </c>
      <c r="N16" s="156"/>
      <c r="O16" s="112" t="s">
        <v>59</v>
      </c>
      <c r="P16" s="112" t="str">
        <f t="array" ref="P16">IF(Q16=1,INDEX(P$4:P$11,MATCH(LARGE(R4:R11,1),R4:R11,0)),"")</f>
        <v/>
      </c>
      <c r="Q16" s="112">
        <f>LARGE((R4:R11),1)</f>
        <v>0</v>
      </c>
      <c r="R16" s="112"/>
      <c r="S16" s="112"/>
      <c r="T16" s="112"/>
      <c r="U16" s="112"/>
      <c r="V16" s="112"/>
      <c r="W16" s="112"/>
      <c r="X16" s="112"/>
      <c r="Y16" s="112"/>
      <c r="Z16" s="112"/>
      <c r="AA16" s="112"/>
      <c r="AB16" s="112"/>
    </row>
    <row r="17" ht="15.75" customHeight="1">
      <c r="A17" s="112" t="str">
        <f>'主頁'!G17</f>
        <v>JS7606</v>
      </c>
      <c r="B17" s="112" t="str">
        <f t="shared" ref="B17:M17" si="5">IFERROR(INDEX(B$21:B$416,MATCH($A17,$A$21:$A$416,0)),"")</f>
        <v>LingU</v>
      </c>
      <c r="C17" s="112" t="str">
        <f t="shared" si="5"/>
        <v>文化研究(榮譽)文學士</v>
      </c>
      <c r="D17" s="112" t="str">
        <f t="shared" si="5"/>
        <v>BA (Hons) Cultural Stud</v>
      </c>
      <c r="E17" s="112" t="str">
        <f t="shared" si="5"/>
        <v>Best 5</v>
      </c>
      <c r="F17" s="128" t="str">
        <f t="shared" si="5"/>
        <v>/</v>
      </c>
      <c r="G17" s="128">
        <f t="shared" si="5"/>
        <v>26</v>
      </c>
      <c r="H17" s="128">
        <f t="shared" si="5"/>
        <v>25</v>
      </c>
      <c r="I17" s="128">
        <f t="shared" si="5"/>
        <v>0.00000000395</v>
      </c>
      <c r="J17" s="112">
        <f t="shared" si="5"/>
        <v>25</v>
      </c>
      <c r="K17" s="112">
        <f t="shared" si="5"/>
        <v>26</v>
      </c>
      <c r="L17" s="155">
        <f t="shared" si="5"/>
        <v>14.42857143</v>
      </c>
      <c r="M17" s="112">
        <f t="shared" si="5"/>
        <v>0</v>
      </c>
      <c r="N17" s="156"/>
      <c r="O17" s="112" t="s">
        <v>64</v>
      </c>
      <c r="P17" s="112" t="str">
        <f t="array" ref="P17">IF(Q17=1,INDEX(P$4:P$11,MATCH(LARGE(S4:S11,1),S4:S11,0)),"")</f>
        <v/>
      </c>
      <c r="Q17" s="112">
        <f>LARGE((S4:S11),1)</f>
        <v>0</v>
      </c>
      <c r="R17" s="112"/>
      <c r="S17" s="112"/>
      <c r="T17" s="112"/>
      <c r="U17" s="112"/>
      <c r="V17" s="112"/>
      <c r="W17" s="112"/>
      <c r="X17" s="112"/>
      <c r="Y17" s="112"/>
      <c r="Z17" s="112"/>
      <c r="AA17" s="112"/>
      <c r="AB17" s="112"/>
    </row>
    <row r="18" ht="15.75" customHeight="1">
      <c r="A18" s="112" t="str">
        <f>'主頁'!G19</f>
        <v/>
      </c>
      <c r="B18" s="112" t="str">
        <f t="shared" ref="B18:M18" si="6">IFERROR(INDEX(B$21:B$416,MATCH($A18,$A$21:$A$416,0)),"")</f>
        <v/>
      </c>
      <c r="C18" s="112" t="str">
        <f t="shared" si="6"/>
        <v/>
      </c>
      <c r="D18" s="112" t="str">
        <f t="shared" si="6"/>
        <v/>
      </c>
      <c r="E18" s="112" t="str">
        <f t="shared" si="6"/>
        <v/>
      </c>
      <c r="F18" s="128" t="str">
        <f t="shared" si="6"/>
        <v/>
      </c>
      <c r="G18" s="128" t="str">
        <f t="shared" si="6"/>
        <v/>
      </c>
      <c r="H18" s="128" t="str">
        <f t="shared" si="6"/>
        <v/>
      </c>
      <c r="I18" s="128" t="str">
        <f t="shared" si="6"/>
        <v/>
      </c>
      <c r="J18" s="112" t="str">
        <f t="shared" si="6"/>
        <v/>
      </c>
      <c r="K18" s="112" t="str">
        <f t="shared" si="6"/>
        <v/>
      </c>
      <c r="L18" s="112" t="str">
        <f t="shared" si="6"/>
        <v/>
      </c>
      <c r="M18" s="112" t="str">
        <f t="shared" si="6"/>
        <v/>
      </c>
      <c r="N18" s="112"/>
      <c r="O18" s="112"/>
      <c r="P18" s="112"/>
      <c r="Q18" s="112"/>
      <c r="R18" s="112"/>
      <c r="S18" s="112"/>
      <c r="T18" s="112"/>
      <c r="U18" s="112"/>
      <c r="V18" s="112"/>
      <c r="W18" s="112"/>
      <c r="X18" s="112"/>
      <c r="Y18" s="112"/>
      <c r="Z18" s="112"/>
      <c r="AA18" s="112"/>
      <c r="AB18" s="112"/>
    </row>
    <row r="19" ht="15.75" customHeight="1">
      <c r="A19" s="112"/>
      <c r="B19" s="112"/>
      <c r="C19" s="112"/>
      <c r="D19" s="125"/>
      <c r="E19" s="112"/>
      <c r="F19" s="128"/>
      <c r="G19" s="128"/>
      <c r="H19" s="128"/>
      <c r="I19" s="128"/>
      <c r="J19" s="112"/>
      <c r="K19" s="112"/>
      <c r="L19" s="153"/>
      <c r="M19" s="112"/>
      <c r="N19" s="112"/>
      <c r="O19" s="112"/>
      <c r="P19" s="112"/>
      <c r="Q19" s="112"/>
      <c r="R19" s="112"/>
      <c r="S19" s="112"/>
      <c r="T19" s="112"/>
      <c r="U19" s="112"/>
      <c r="V19" s="112"/>
      <c r="W19" s="112"/>
      <c r="X19" s="112"/>
      <c r="Y19" s="112"/>
      <c r="Z19" s="112"/>
      <c r="AA19" s="112"/>
      <c r="AB19" s="112"/>
    </row>
    <row r="20" ht="15.75" customHeight="1">
      <c r="A20" s="112"/>
      <c r="B20" s="157"/>
      <c r="C20" s="157"/>
      <c r="D20" s="112"/>
      <c r="E20" s="158"/>
      <c r="F20" s="159" t="s">
        <v>45</v>
      </c>
      <c r="G20" s="159" t="s">
        <v>46</v>
      </c>
      <c r="H20" s="159" t="s">
        <v>47</v>
      </c>
      <c r="I20" s="128" t="str">
        <f>'計分版'!D24</f>
        <v>總分</v>
      </c>
      <c r="J20" s="112"/>
      <c r="K20" s="112"/>
      <c r="L20" s="153"/>
      <c r="M20" s="112"/>
      <c r="N20" s="112"/>
      <c r="O20" s="112"/>
      <c r="P20" s="112"/>
      <c r="Q20" s="112"/>
      <c r="R20" s="112"/>
      <c r="S20" s="112"/>
      <c r="T20" s="112"/>
      <c r="U20" s="112"/>
      <c r="V20" s="112"/>
      <c r="W20" s="112"/>
      <c r="X20" s="112"/>
      <c r="Y20" s="112"/>
      <c r="Z20" s="112"/>
      <c r="AA20" s="112"/>
      <c r="AB20" s="112" t="s">
        <v>956</v>
      </c>
    </row>
    <row r="21" ht="15.75" customHeight="1">
      <c r="A21" s="112" t="str">
        <f>CityU!A2</f>
        <v>JS1000</v>
      </c>
      <c r="B21" s="112" t="s">
        <v>174</v>
      </c>
      <c r="C21" s="112" t="str">
        <f>CityU!C2</f>
        <v>理學士(計算金融及金融科技)</v>
      </c>
      <c r="D21" s="112" t="str">
        <f>CityU!D2</f>
        <v>BScCFFT</v>
      </c>
      <c r="E21" s="125" t="str">
        <f>CityU!E2</f>
        <v>4C2X</v>
      </c>
      <c r="F21" s="128" t="s">
        <v>541</v>
      </c>
      <c r="G21" s="128">
        <f>CityU!F2</f>
        <v>27</v>
      </c>
      <c r="H21" s="128">
        <f>CityU!G2</f>
        <v>26</v>
      </c>
      <c r="I21" s="128">
        <f>'計分版'!D25</f>
        <v>0.00000000285</v>
      </c>
      <c r="J21" s="112">
        <f>CityU!K2</f>
        <v>10</v>
      </c>
      <c r="K21" s="160">
        <f>CityU!AA2</f>
        <v>9</v>
      </c>
      <c r="L21" s="153">
        <f>IFERROR(CityU!AI2/CityU!AB2,"新科目")</f>
        <v>16.14285714</v>
      </c>
      <c r="M21" s="112">
        <f>'入學要求'!S3</f>
        <v>0</v>
      </c>
      <c r="N21" s="112"/>
      <c r="O21" s="112"/>
      <c r="P21" s="112"/>
      <c r="Q21" s="112"/>
      <c r="R21" s="112"/>
      <c r="S21" s="112"/>
      <c r="T21" s="128"/>
      <c r="U21" s="128"/>
      <c r="V21" s="112"/>
      <c r="W21" s="112"/>
      <c r="X21" s="112"/>
      <c r="Y21" s="112"/>
      <c r="Z21" s="112"/>
      <c r="AA21" s="112"/>
      <c r="AB21" s="112"/>
    </row>
    <row r="22" ht="15.75" customHeight="1">
      <c r="A22" s="112" t="str">
        <f>CityU!A3</f>
        <v>JS1001</v>
      </c>
      <c r="B22" s="112" t="s">
        <v>174</v>
      </c>
      <c r="C22" s="112" t="str">
        <f>CityU!C3</f>
        <v>工商管理學士(環球商業)</v>
      </c>
      <c r="D22" s="112" t="str">
        <f>CityU!D3</f>
        <v>BBAGBU</v>
      </c>
      <c r="E22" s="125" t="str">
        <f>CityU!E3</f>
        <v>4C2X</v>
      </c>
      <c r="F22" s="128" t="s">
        <v>541</v>
      </c>
      <c r="G22" s="128">
        <f>CityU!F3</f>
        <v>28</v>
      </c>
      <c r="H22" s="128">
        <f>CityU!G3</f>
        <v>27</v>
      </c>
      <c r="I22" s="128">
        <f>'計分版'!D26</f>
        <v>0.00000000285</v>
      </c>
      <c r="J22" s="112">
        <f>CityU!K3</f>
        <v>10</v>
      </c>
      <c r="K22" s="160">
        <f>CityU!AA3</f>
        <v>8</v>
      </c>
      <c r="L22" s="153">
        <f>IFERROR(CityU!AI3/CityU!AB3,"新科目")</f>
        <v>19.75</v>
      </c>
      <c r="M22" s="112">
        <f>'入學要求'!S4</f>
        <v>0</v>
      </c>
      <c r="N22" s="112"/>
      <c r="O22" s="112"/>
      <c r="P22" s="112"/>
      <c r="Q22" s="112"/>
      <c r="R22" s="112"/>
      <c r="S22" s="112"/>
      <c r="T22" s="112"/>
      <c r="U22" s="128"/>
      <c r="V22" s="112"/>
      <c r="W22" s="112"/>
      <c r="X22" s="112"/>
      <c r="Y22" s="112"/>
      <c r="Z22" s="112"/>
      <c r="AA22" s="112"/>
      <c r="AB22" s="112"/>
    </row>
    <row r="23" ht="15.75" customHeight="1">
      <c r="A23" s="112" t="str">
        <f>CityU!A4</f>
        <v>JS1002</v>
      </c>
      <c r="B23" s="112" t="s">
        <v>174</v>
      </c>
      <c r="C23" s="112" t="str">
        <f>CityU!C4</f>
        <v>工商管理學士(會計)</v>
      </c>
      <c r="D23" s="112" t="str">
        <f>CityU!D4</f>
        <v>BBAAC</v>
      </c>
      <c r="E23" s="125" t="str">
        <f>CityU!E4</f>
        <v>4C2X</v>
      </c>
      <c r="F23" s="128" t="s">
        <v>541</v>
      </c>
      <c r="G23" s="128">
        <f>CityU!F4</f>
        <v>24</v>
      </c>
      <c r="H23" s="128">
        <f>CityU!G4</f>
        <v>24</v>
      </c>
      <c r="I23" s="128">
        <f>'計分版'!D27</f>
        <v>0.00000000285</v>
      </c>
      <c r="J23" s="112">
        <f>CityU!K4</f>
        <v>141</v>
      </c>
      <c r="K23" s="160">
        <f>CityU!AA4</f>
        <v>129</v>
      </c>
      <c r="L23" s="153">
        <f>IFERROR(CityU!AI4/CityU!AB4,"新科目")</f>
        <v>5.722222222</v>
      </c>
      <c r="M23" s="112">
        <f>'入學要求'!S5</f>
        <v>0</v>
      </c>
      <c r="N23" s="112"/>
      <c r="O23" s="112"/>
      <c r="P23" s="112"/>
      <c r="Q23" s="112"/>
      <c r="R23" s="112"/>
      <c r="S23" s="112"/>
      <c r="T23" s="128"/>
      <c r="U23" s="128"/>
      <c r="V23" s="112"/>
      <c r="W23" s="112"/>
      <c r="X23" s="112"/>
      <c r="Y23" s="112"/>
      <c r="Z23" s="112"/>
      <c r="AA23" s="112"/>
      <c r="AB23" s="112"/>
    </row>
    <row r="24" ht="15.75" customHeight="1">
      <c r="A24" s="112" t="str">
        <f>CityU!A5</f>
        <v>JS1005</v>
      </c>
      <c r="B24" s="112" t="s">
        <v>174</v>
      </c>
      <c r="C24" s="112" t="str">
        <f>CityU!C5</f>
        <v>工商管理學士(管理學)</v>
      </c>
      <c r="D24" s="112" t="str">
        <f>CityU!D5</f>
        <v>BBAMGMT</v>
      </c>
      <c r="E24" s="125" t="str">
        <f>CityU!E5</f>
        <v>4C2X</v>
      </c>
      <c r="F24" s="128" t="s">
        <v>541</v>
      </c>
      <c r="G24" s="128">
        <f>CityU!F5</f>
        <v>24</v>
      </c>
      <c r="H24" s="128">
        <f>CityU!G5</f>
        <v>24</v>
      </c>
      <c r="I24" s="128">
        <f>'計分版'!D28</f>
        <v>0.00000000285</v>
      </c>
      <c r="J24" s="112">
        <f>CityU!K5</f>
        <v>71</v>
      </c>
      <c r="K24" s="160">
        <f>CityU!AA5</f>
        <v>56</v>
      </c>
      <c r="L24" s="153">
        <f>IFERROR(CityU!AI5/CityU!AB5,"新科目")</f>
        <v>11.82692308</v>
      </c>
      <c r="M24" s="112">
        <f>'入學要求'!S6</f>
        <v>0</v>
      </c>
      <c r="N24" s="112"/>
      <c r="O24" s="112"/>
      <c r="P24" s="112"/>
      <c r="Q24" s="112"/>
      <c r="R24" s="112"/>
      <c r="S24" s="112"/>
      <c r="T24" s="112"/>
      <c r="U24" s="128"/>
      <c r="V24" s="112"/>
      <c r="W24" s="112"/>
      <c r="X24" s="112"/>
      <c r="Y24" s="112"/>
      <c r="Z24" s="112"/>
      <c r="AA24" s="112"/>
      <c r="AB24" s="112"/>
    </row>
    <row r="25" ht="15.75" customHeight="1">
      <c r="A25" s="112" t="str">
        <f>CityU!A6</f>
        <v>JS1007</v>
      </c>
      <c r="B25" s="112" t="s">
        <v>174</v>
      </c>
      <c r="C25" s="112" t="str">
        <f>CityU!C6</f>
        <v>工商管理學士(市場營銷)</v>
      </c>
      <c r="D25" s="112" t="str">
        <f>CityU!D6</f>
        <v>BBAMKT</v>
      </c>
      <c r="E25" s="125" t="str">
        <f>CityU!E6</f>
        <v>4C2X</v>
      </c>
      <c r="F25" s="128" t="s">
        <v>541</v>
      </c>
      <c r="G25" s="128">
        <f>CityU!F6</f>
        <v>27</v>
      </c>
      <c r="H25" s="128">
        <f>CityU!G6</f>
        <v>26</v>
      </c>
      <c r="I25" s="128">
        <f>'計分版'!D29</f>
        <v>0.00000000295</v>
      </c>
      <c r="J25" s="112">
        <f>CityU!K6</f>
        <v>83</v>
      </c>
      <c r="K25" s="160">
        <f>CityU!AA6</f>
        <v>55</v>
      </c>
      <c r="L25" s="153">
        <f>IFERROR(CityU!AI6/CityU!AB6,"新科目")</f>
        <v>11.64150943</v>
      </c>
      <c r="M25" s="112">
        <f>'入學要求'!S7</f>
        <v>0</v>
      </c>
      <c r="N25" s="112"/>
      <c r="O25" s="112"/>
      <c r="P25" s="112"/>
      <c r="Q25" s="112"/>
      <c r="R25" s="112"/>
      <c r="S25" s="112"/>
      <c r="T25" s="128"/>
      <c r="U25" s="128"/>
      <c r="V25" s="112"/>
      <c r="W25" s="112"/>
      <c r="X25" s="112"/>
      <c r="Y25" s="112"/>
      <c r="Z25" s="112"/>
      <c r="AA25" s="112"/>
      <c r="AB25" s="112"/>
    </row>
    <row r="26" ht="15.75" customHeight="1">
      <c r="A26" s="112" t="str">
        <f>CityU!A7</f>
        <v>JS1012</v>
      </c>
      <c r="B26" s="112" t="s">
        <v>174</v>
      </c>
      <c r="C26" s="112" t="str">
        <f>CityU!C7</f>
        <v>經濟及金融系 [選項: 工商管理學士(商業經濟)、工商管理學士(金融)]</v>
      </c>
      <c r="D26" s="112" t="str">
        <f>CityU!D7</f>
        <v>EF</v>
      </c>
      <c r="E26" s="125" t="str">
        <f>CityU!E7</f>
        <v>4C2X</v>
      </c>
      <c r="F26" s="128" t="s">
        <v>541</v>
      </c>
      <c r="G26" s="128">
        <f>CityU!F7</f>
        <v>24</v>
      </c>
      <c r="H26" s="128">
        <f>CityU!G7</f>
        <v>24</v>
      </c>
      <c r="I26" s="128">
        <f>'計分版'!D30</f>
        <v>0.00000000285</v>
      </c>
      <c r="J26" s="112">
        <f>CityU!K7</f>
        <v>19</v>
      </c>
      <c r="K26" s="160">
        <f>CityU!AA7</f>
        <v>74</v>
      </c>
      <c r="L26" s="153">
        <f>IFERROR(CityU!AI7/CityU!AB7,"新科目")</f>
        <v>10.68055556</v>
      </c>
      <c r="M26" s="112">
        <f>'入學要求'!S8</f>
        <v>0</v>
      </c>
      <c r="N26" s="112"/>
      <c r="O26" s="112"/>
      <c r="P26" s="112"/>
      <c r="Q26" s="112"/>
      <c r="R26" s="112"/>
      <c r="S26" s="112"/>
      <c r="T26" s="112"/>
      <c r="U26" s="112"/>
      <c r="V26" s="112"/>
      <c r="W26" s="112"/>
      <c r="X26" s="112"/>
      <c r="Y26" s="112"/>
      <c r="Z26" s="112"/>
      <c r="AA26" s="112"/>
      <c r="AB26" s="112"/>
    </row>
    <row r="27" ht="15.75" customHeight="1">
      <c r="A27" s="112" t="str">
        <f>CityU!A8</f>
        <v>JS1013</v>
      </c>
      <c r="B27" s="112" t="s">
        <v>174</v>
      </c>
      <c r="C27" s="112" t="str">
        <f>CityU!C8</f>
        <v>工商管理學士(商業經濟)</v>
      </c>
      <c r="D27" s="112" t="str">
        <f>CityU!D8</f>
        <v>BBABE</v>
      </c>
      <c r="E27" s="125" t="str">
        <f>CityU!E8</f>
        <v>4C2X</v>
      </c>
      <c r="F27" s="128" t="s">
        <v>541</v>
      </c>
      <c r="G27" s="128">
        <f>CityU!F8</f>
        <v>23</v>
      </c>
      <c r="H27" s="128">
        <f>CityU!G8</f>
        <v>23</v>
      </c>
      <c r="I27" s="128">
        <f>'計分版'!D31</f>
        <v>0.00000000285</v>
      </c>
      <c r="J27" s="112">
        <f>CityU!K8</f>
        <v>36</v>
      </c>
      <c r="K27" s="160">
        <f>CityU!AA8</f>
        <v>18</v>
      </c>
      <c r="L27" s="153">
        <f>IFERROR(CityU!AI8/CityU!AB8,"新科目")</f>
        <v>9.733333333</v>
      </c>
      <c r="M27" s="112">
        <f>'入學要求'!S9</f>
        <v>0</v>
      </c>
      <c r="N27" s="112"/>
      <c r="O27" s="112"/>
      <c r="P27" s="112"/>
      <c r="Q27" s="112"/>
      <c r="R27" s="112"/>
      <c r="S27" s="112"/>
      <c r="T27" s="112"/>
      <c r="U27" s="128"/>
      <c r="V27" s="112"/>
      <c r="W27" s="112"/>
      <c r="X27" s="112"/>
      <c r="Y27" s="112"/>
      <c r="Z27" s="112"/>
      <c r="AA27" s="112"/>
      <c r="AB27" s="112"/>
    </row>
    <row r="28" ht="15.75" customHeight="1">
      <c r="A28" s="112" t="str">
        <f>CityU!A9</f>
        <v>JS1014</v>
      </c>
      <c r="B28" s="112" t="s">
        <v>174</v>
      </c>
      <c r="C28" s="112" t="str">
        <f>CityU!C9</f>
        <v>工商管理學士(金融)</v>
      </c>
      <c r="D28" s="112" t="str">
        <f>CityU!D9</f>
        <v>BBAFIN</v>
      </c>
      <c r="E28" s="125" t="str">
        <f>CityU!E9</f>
        <v>4C2X</v>
      </c>
      <c r="F28" s="128" t="s">
        <v>541</v>
      </c>
      <c r="G28" s="128">
        <f>CityU!F9</f>
        <v>23</v>
      </c>
      <c r="H28" s="128">
        <f>CityU!G9</f>
        <v>22</v>
      </c>
      <c r="I28" s="128">
        <f>'計分版'!D32</f>
        <v>0.00000000285</v>
      </c>
      <c r="J28" s="112">
        <f>CityU!K9</f>
        <v>109</v>
      </c>
      <c r="K28" s="160">
        <f>CityU!AA9</f>
        <v>56</v>
      </c>
      <c r="L28" s="153">
        <f>IFERROR(CityU!AI9/CityU!AB9,"新科目")</f>
        <v>4.523809524</v>
      </c>
      <c r="M28" s="112">
        <f>'入學要求'!S10</f>
        <v>0</v>
      </c>
      <c r="N28" s="112"/>
      <c r="O28" s="112"/>
      <c r="P28" s="112"/>
      <c r="Q28" s="112"/>
      <c r="R28" s="112"/>
      <c r="S28" s="112"/>
      <c r="T28" s="112"/>
      <c r="U28" s="128"/>
      <c r="V28" s="112"/>
      <c r="W28" s="112"/>
      <c r="X28" s="112"/>
      <c r="Y28" s="112"/>
      <c r="Z28" s="112"/>
      <c r="AA28" s="112"/>
      <c r="AB28" s="112"/>
    </row>
    <row r="29" ht="15.75" customHeight="1">
      <c r="A29" s="112" t="str">
        <f>CityU!A10</f>
        <v>JS1017</v>
      </c>
      <c r="B29" s="112" t="s">
        <v>174</v>
      </c>
      <c r="C29" s="112" t="str">
        <f>CityU!C10</f>
        <v>資訊系統學系 [選項: 工商管理學士(環球商業系統管理)、工商管理學士(資訊管理)]</v>
      </c>
      <c r="D29" s="112" t="str">
        <f>CityU!D10</f>
        <v>IS</v>
      </c>
      <c r="E29" s="125" t="str">
        <f>CityU!E10</f>
        <v>4C2X</v>
      </c>
      <c r="F29" s="128" t="s">
        <v>541</v>
      </c>
      <c r="G29" s="128">
        <f>CityU!F10</f>
        <v>24</v>
      </c>
      <c r="H29" s="128">
        <f>CityU!G10</f>
        <v>24</v>
      </c>
      <c r="I29" s="128">
        <f>'計分版'!D33</f>
        <v>0.00000000285</v>
      </c>
      <c r="J29" s="112">
        <f>CityU!K10</f>
        <v>69</v>
      </c>
      <c r="K29" s="160">
        <f>CityU!AA10</f>
        <v>41</v>
      </c>
      <c r="L29" s="153">
        <f>IFERROR(CityU!AI10/CityU!AB10,"新科目")</f>
        <v>7.846153846</v>
      </c>
      <c r="M29" s="112">
        <f>'入學要求'!S11</f>
        <v>0</v>
      </c>
      <c r="N29" s="112"/>
      <c r="O29" s="112"/>
      <c r="P29" s="112"/>
      <c r="Q29" s="112"/>
      <c r="R29" s="112"/>
      <c r="S29" s="112"/>
      <c r="T29" s="112"/>
      <c r="U29" s="128"/>
      <c r="V29" s="112"/>
      <c r="W29" s="112"/>
      <c r="X29" s="112"/>
      <c r="Y29" s="112"/>
      <c r="Z29" s="112"/>
      <c r="AA29" s="112"/>
      <c r="AB29" s="112"/>
    </row>
    <row r="30" ht="15.75" customHeight="1">
      <c r="A30" s="112" t="str">
        <f>CityU!A11</f>
        <v>JS1018</v>
      </c>
      <c r="B30" s="112" t="s">
        <v>174</v>
      </c>
      <c r="C30" s="112" t="str">
        <f>CityU!C11</f>
        <v>工商管理學士(環球商業系統管理)</v>
      </c>
      <c r="D30" s="112" t="str">
        <f>CityU!D11</f>
        <v>BBAGBSM</v>
      </c>
      <c r="E30" s="125" t="str">
        <f>CityU!E11</f>
        <v>4C2X</v>
      </c>
      <c r="F30" s="128" t="s">
        <v>541</v>
      </c>
      <c r="G30" s="128">
        <f>CityU!F11</f>
        <v>26</v>
      </c>
      <c r="H30" s="128">
        <f>CityU!G11</f>
        <v>25</v>
      </c>
      <c r="I30" s="128">
        <f>'計分版'!D34</f>
        <v>0.00000000285</v>
      </c>
      <c r="J30" s="112">
        <f>CityU!K11</f>
        <v>10</v>
      </c>
      <c r="K30" s="160">
        <f>CityU!AA11</f>
        <v>11</v>
      </c>
      <c r="L30" s="153">
        <f>IFERROR(CityU!AI11/CityU!AB11,"新科目")</f>
        <v>8.272727273</v>
      </c>
      <c r="M30" s="112">
        <f>'入學要求'!S12</f>
        <v>0</v>
      </c>
      <c r="N30" s="112"/>
      <c r="O30" s="112"/>
      <c r="P30" s="112"/>
      <c r="Q30" s="112"/>
      <c r="R30" s="112"/>
      <c r="S30" s="112"/>
      <c r="T30" s="112"/>
      <c r="U30" s="112"/>
      <c r="V30" s="112"/>
      <c r="W30" s="112"/>
      <c r="X30" s="112"/>
      <c r="Y30" s="112"/>
      <c r="Z30" s="112"/>
      <c r="AA30" s="112"/>
      <c r="AB30" s="112"/>
    </row>
    <row r="31" ht="15.75" customHeight="1">
      <c r="A31" s="112" t="str">
        <f>CityU!A12</f>
        <v>JS1019</v>
      </c>
      <c r="B31" s="112" t="s">
        <v>174</v>
      </c>
      <c r="C31" s="112" t="str">
        <f>CityU!C12</f>
        <v>工商管理學士(資訊管理)</v>
      </c>
      <c r="D31" s="112" t="str">
        <f>CityU!D12</f>
        <v>BBAIFMG</v>
      </c>
      <c r="E31" s="125" t="str">
        <f>CityU!E12</f>
        <v>4C2X</v>
      </c>
      <c r="F31" s="128" t="s">
        <v>541</v>
      </c>
      <c r="G31" s="128">
        <f>CityU!F12</f>
        <v>23</v>
      </c>
      <c r="H31" s="128">
        <f>CityU!G12</f>
        <v>22</v>
      </c>
      <c r="I31" s="128">
        <f>'計分版'!D35</f>
        <v>0.00000000285</v>
      </c>
      <c r="J31" s="112">
        <f>CityU!K12</f>
        <v>10</v>
      </c>
      <c r="K31" s="160">
        <f>CityU!AA12</f>
        <v>20</v>
      </c>
      <c r="L31" s="153">
        <f>IFERROR(CityU!AI12/CityU!AB12,"新科目")</f>
        <v>7.272727273</v>
      </c>
      <c r="M31" s="112">
        <f>'入學要求'!S13</f>
        <v>0</v>
      </c>
      <c r="N31" s="112"/>
      <c r="O31" s="112"/>
      <c r="P31" s="112"/>
      <c r="Q31" s="112"/>
      <c r="R31" s="112"/>
      <c r="S31" s="112"/>
      <c r="T31" s="112"/>
      <c r="U31" s="112"/>
      <c r="V31" s="112"/>
      <c r="W31" s="112"/>
      <c r="X31" s="112"/>
      <c r="Y31" s="112"/>
      <c r="Z31" s="112"/>
      <c r="AA31" s="112"/>
      <c r="AB31" s="112"/>
    </row>
    <row r="32" ht="15.75" customHeight="1">
      <c r="A32" s="112" t="str">
        <f>CityU!A13</f>
        <v>JS1025</v>
      </c>
      <c r="B32" s="112" t="s">
        <v>174</v>
      </c>
      <c r="C32" s="112" t="str">
        <f>CityU!C13</f>
        <v>管理科學系 [選項: 工商管理學士(商業分析)、工商管理學士(商業營運管理)]</v>
      </c>
      <c r="D32" s="112" t="str">
        <f>CityU!D13</f>
        <v>MS</v>
      </c>
      <c r="E32" s="125" t="str">
        <f>CityU!E13</f>
        <v>4C2X</v>
      </c>
      <c r="F32" s="128" t="s">
        <v>541</v>
      </c>
      <c r="G32" s="128">
        <f>CityU!F13</f>
        <v>24</v>
      </c>
      <c r="H32" s="128">
        <f>CityU!G13</f>
        <v>24</v>
      </c>
      <c r="I32" s="128">
        <f>'計分版'!D36</f>
        <v>0.00000000285</v>
      </c>
      <c r="J32" s="112">
        <f>CityU!K13</f>
        <v>46</v>
      </c>
      <c r="K32" s="160">
        <f>CityU!AA13</f>
        <v>35</v>
      </c>
      <c r="L32" s="153">
        <f>IFERROR(CityU!AI13/CityU!AB13,"新科目")</f>
        <v>5.96875</v>
      </c>
      <c r="M32" s="112">
        <f>'入學要求'!S14</f>
        <v>0</v>
      </c>
      <c r="N32" s="112"/>
      <c r="O32" s="112"/>
      <c r="P32" s="112"/>
      <c r="Q32" s="112"/>
      <c r="R32" s="112"/>
      <c r="S32" s="112"/>
      <c r="T32" s="112"/>
      <c r="U32" s="112"/>
      <c r="V32" s="112"/>
      <c r="W32" s="112"/>
      <c r="X32" s="112"/>
      <c r="Y32" s="112"/>
      <c r="Z32" s="112"/>
      <c r="AA32" s="112"/>
      <c r="AB32" s="112"/>
    </row>
    <row r="33" ht="15.75" customHeight="1">
      <c r="A33" s="112" t="str">
        <f>CityU!A14</f>
        <v>JS1026</v>
      </c>
      <c r="B33" s="112" t="s">
        <v>174</v>
      </c>
      <c r="C33" s="112" t="str">
        <f>CityU!C14</f>
        <v>工商管理學士(商業分析)</v>
      </c>
      <c r="D33" s="112" t="str">
        <f>CityU!D14</f>
        <v>BBABANL</v>
      </c>
      <c r="E33" s="125" t="str">
        <f>CityU!E14</f>
        <v>4C2X</v>
      </c>
      <c r="F33" s="128" t="s">
        <v>541</v>
      </c>
      <c r="G33" s="128">
        <f>CityU!F14</f>
        <v>23</v>
      </c>
      <c r="H33" s="128">
        <f>CityU!G14</f>
        <v>23</v>
      </c>
      <c r="I33" s="128">
        <f>'計分版'!D37</f>
        <v>0.00000000285</v>
      </c>
      <c r="J33" s="112">
        <f>CityU!K14</f>
        <v>16</v>
      </c>
      <c r="K33" s="160">
        <f>CityU!AA14</f>
        <v>16</v>
      </c>
      <c r="L33" s="153">
        <f>IFERROR(CityU!AI14/CityU!AB14,"新科目")</f>
        <v>5.533333333</v>
      </c>
      <c r="M33" s="112">
        <f>'入學要求'!S15</f>
        <v>0</v>
      </c>
      <c r="N33" s="112"/>
      <c r="O33" s="112"/>
      <c r="P33" s="112"/>
      <c r="Q33" s="112"/>
      <c r="R33" s="112"/>
      <c r="S33" s="112"/>
      <c r="T33" s="112"/>
      <c r="U33" s="112"/>
      <c r="V33" s="112"/>
      <c r="W33" s="112"/>
      <c r="X33" s="112"/>
      <c r="Y33" s="112"/>
      <c r="Z33" s="112"/>
      <c r="AA33" s="112"/>
      <c r="AB33" s="112"/>
    </row>
    <row r="34" ht="15.75" customHeight="1">
      <c r="A34" s="112" t="str">
        <f>CityU!A15</f>
        <v>JS1027</v>
      </c>
      <c r="B34" s="112" t="s">
        <v>174</v>
      </c>
      <c r="C34" s="112" t="str">
        <f>CityU!C15</f>
        <v>工商管理學士(商業營運管理)</v>
      </c>
      <c r="D34" s="112" t="str">
        <f>CityU!D15</f>
        <v>BBABOM</v>
      </c>
      <c r="E34" s="125" t="str">
        <f>CityU!E15</f>
        <v>4C2X</v>
      </c>
      <c r="F34" s="128" t="s">
        <v>541</v>
      </c>
      <c r="G34" s="128">
        <f>CityU!F15</f>
        <v>23</v>
      </c>
      <c r="H34" s="128">
        <f>CityU!G15</f>
        <v>22</v>
      </c>
      <c r="I34" s="128">
        <f>'計分版'!D38</f>
        <v>0.00000000285</v>
      </c>
      <c r="J34" s="112">
        <f>CityU!K15</f>
        <v>16</v>
      </c>
      <c r="K34" s="160">
        <f>CityU!AA15</f>
        <v>16</v>
      </c>
      <c r="L34" s="153">
        <f>IFERROR(CityU!AI15/CityU!AB15,"新科目")</f>
        <v>9.272727273</v>
      </c>
      <c r="M34" s="112">
        <f>'入學要求'!S16</f>
        <v>0</v>
      </c>
      <c r="N34" s="112"/>
      <c r="O34" s="112"/>
      <c r="P34" s="112"/>
      <c r="Q34" s="112"/>
      <c r="R34" s="112"/>
      <c r="S34" s="112"/>
      <c r="T34" s="112"/>
      <c r="U34" s="112"/>
      <c r="V34" s="112"/>
      <c r="W34" s="112"/>
      <c r="X34" s="112"/>
      <c r="Y34" s="112"/>
      <c r="Z34" s="112"/>
      <c r="AA34" s="112"/>
      <c r="AB34" s="112"/>
    </row>
    <row r="35" ht="15.75" customHeight="1">
      <c r="A35" s="112" t="str">
        <f>CityU!A16</f>
        <v>JS1041</v>
      </c>
      <c r="B35" s="112" t="s">
        <v>174</v>
      </c>
      <c r="C35" s="112" t="str">
        <f>CityU!C16</f>
        <v>創意媒體學院 [選項: 文學士(創意媒體)、理學士(創意媒體)、文理學士(新媒體)]</v>
      </c>
      <c r="D35" s="112" t="str">
        <f>CityU!D16</f>
        <v>SCM</v>
      </c>
      <c r="E35" s="125" t="str">
        <f>CityU!E16</f>
        <v>4C2X</v>
      </c>
      <c r="F35" s="128" t="s">
        <v>541</v>
      </c>
      <c r="G35" s="128">
        <f>CityU!F16</f>
        <v>29</v>
      </c>
      <c r="H35" s="128">
        <f>CityU!G16</f>
        <v>28</v>
      </c>
      <c r="I35" s="128">
        <f>'計分版'!D39</f>
        <v>0.00000000305</v>
      </c>
      <c r="J35" s="112">
        <f>CityU!K16</f>
        <v>29</v>
      </c>
      <c r="K35" s="160">
        <f>CityU!AA16</f>
        <v>27</v>
      </c>
      <c r="L35" s="153">
        <f>IFERROR(CityU!AI16/CityU!AB16,"新科目")</f>
        <v>16.44444444</v>
      </c>
      <c r="M35" s="112">
        <f>'入學要求'!S17</f>
        <v>0</v>
      </c>
      <c r="N35" s="112"/>
      <c r="O35" s="112"/>
      <c r="P35" s="112"/>
      <c r="Q35" s="112"/>
      <c r="R35" s="112"/>
      <c r="S35" s="112"/>
      <c r="T35" s="112"/>
      <c r="U35" s="112"/>
      <c r="V35" s="112"/>
      <c r="W35" s="112"/>
      <c r="X35" s="112"/>
      <c r="Y35" s="112"/>
      <c r="Z35" s="112"/>
      <c r="AA35" s="112"/>
      <c r="AB35" s="112"/>
    </row>
    <row r="36" ht="15.75" customHeight="1">
      <c r="A36" s="112" t="str">
        <f>CityU!A17</f>
        <v>JS1042</v>
      </c>
      <c r="B36" s="112" t="s">
        <v>174</v>
      </c>
      <c r="C36" s="112" t="str">
        <f>CityU!C17</f>
        <v>文學士(創意媒體)</v>
      </c>
      <c r="D36" s="112" t="str">
        <f>CityU!D17</f>
        <v>BACM</v>
      </c>
      <c r="E36" s="125" t="str">
        <f>CityU!E17</f>
        <v>4C2X</v>
      </c>
      <c r="F36" s="128" t="s">
        <v>541</v>
      </c>
      <c r="G36" s="128">
        <f>CityU!F17</f>
        <v>30</v>
      </c>
      <c r="H36" s="128">
        <f>CityU!G17</f>
        <v>29</v>
      </c>
      <c r="I36" s="128">
        <f>'計分版'!D40</f>
        <v>0.00000000305</v>
      </c>
      <c r="J36" s="112">
        <f>CityU!K17</f>
        <v>23</v>
      </c>
      <c r="K36" s="160">
        <f>CityU!AA17</f>
        <v>21</v>
      </c>
      <c r="L36" s="153">
        <f>IFERROR(CityU!AI17/CityU!AB17,"新科目")</f>
        <v>12.52380952</v>
      </c>
      <c r="M36" s="112">
        <f>'入學要求'!S18</f>
        <v>0</v>
      </c>
      <c r="N36" s="112"/>
      <c r="O36" s="112"/>
      <c r="P36" s="112"/>
      <c r="Q36" s="112"/>
      <c r="R36" s="112"/>
      <c r="S36" s="112"/>
      <c r="T36" s="112"/>
      <c r="U36" s="112"/>
      <c r="V36" s="112"/>
      <c r="W36" s="112"/>
      <c r="X36" s="112"/>
      <c r="Y36" s="112"/>
      <c r="Z36" s="112"/>
      <c r="AA36" s="112"/>
      <c r="AB36" s="112"/>
    </row>
    <row r="37" ht="15.75" customHeight="1">
      <c r="A37" s="112" t="str">
        <f>CityU!A18</f>
        <v>JS1043</v>
      </c>
      <c r="B37" s="112" t="s">
        <v>174</v>
      </c>
      <c r="C37" s="112" t="str">
        <f>CityU!C18</f>
        <v>理學士(創意媒體)</v>
      </c>
      <c r="D37" s="112" t="str">
        <f>CityU!D18</f>
        <v>BScCM</v>
      </c>
      <c r="E37" s="125" t="str">
        <f>CityU!E18</f>
        <v>4C2X</v>
      </c>
      <c r="F37" s="128" t="s">
        <v>541</v>
      </c>
      <c r="G37" s="128">
        <f>CityU!F18</f>
        <v>29</v>
      </c>
      <c r="H37" s="128">
        <f>CityU!G18</f>
        <v>28.5</v>
      </c>
      <c r="I37" s="128">
        <f>'計分版'!D41</f>
        <v>0.0000000032</v>
      </c>
      <c r="J37" s="112">
        <f>CityU!K18</f>
        <v>28</v>
      </c>
      <c r="K37" s="160">
        <f>CityU!AA18</f>
        <v>26</v>
      </c>
      <c r="L37" s="153">
        <f>IFERROR(CityU!AI18/CityU!AB18,"新科目")</f>
        <v>9.807692308</v>
      </c>
      <c r="M37" s="112">
        <f>'入學要求'!S19</f>
        <v>0</v>
      </c>
      <c r="N37" s="112"/>
      <c r="O37" s="112"/>
      <c r="P37" s="112"/>
      <c r="Q37" s="112"/>
      <c r="R37" s="112"/>
      <c r="S37" s="112"/>
      <c r="T37" s="112"/>
      <c r="U37" s="112"/>
      <c r="V37" s="112"/>
      <c r="W37" s="112"/>
      <c r="X37" s="112"/>
      <c r="Y37" s="112"/>
      <c r="Z37" s="112"/>
      <c r="AA37" s="112"/>
      <c r="AB37" s="112"/>
    </row>
    <row r="38" ht="15.75" customHeight="1">
      <c r="A38" s="112" t="str">
        <f>CityU!A19</f>
        <v>JS1044</v>
      </c>
      <c r="B38" s="112" t="s">
        <v>174</v>
      </c>
      <c r="C38" s="112" t="str">
        <f>CityU!C19</f>
        <v>文理學士(新媒體)</v>
      </c>
      <c r="D38" s="112" t="str">
        <f>CityU!D19</f>
        <v>BAS</v>
      </c>
      <c r="E38" s="125" t="str">
        <f>CityU!E19</f>
        <v>4C2X</v>
      </c>
      <c r="F38" s="128" t="s">
        <v>541</v>
      </c>
      <c r="G38" s="128">
        <f>CityU!F19</f>
        <v>27</v>
      </c>
      <c r="H38" s="128">
        <f>CityU!G19</f>
        <v>27</v>
      </c>
      <c r="I38" s="128">
        <f>'計分版'!D42</f>
        <v>0.00000000305</v>
      </c>
      <c r="J38" s="112">
        <f>CityU!K19</f>
        <v>21</v>
      </c>
      <c r="K38" s="160">
        <f>CityU!AA19</f>
        <v>18</v>
      </c>
      <c r="L38" s="153">
        <f>IFERROR(CityU!AI19/CityU!AB19,"新科目")</f>
        <v>9.388888889</v>
      </c>
      <c r="M38" s="112">
        <f>'入學要求'!S20</f>
        <v>0</v>
      </c>
      <c r="N38" s="112"/>
      <c r="O38" s="112"/>
      <c r="P38" s="112"/>
      <c r="Q38" s="112"/>
      <c r="R38" s="112"/>
      <c r="S38" s="112"/>
      <c r="T38" s="112"/>
      <c r="U38" s="112"/>
      <c r="V38" s="112"/>
      <c r="W38" s="112"/>
      <c r="X38" s="112"/>
      <c r="Y38" s="112"/>
      <c r="Z38" s="112"/>
      <c r="AA38" s="112"/>
      <c r="AB38" s="112"/>
    </row>
    <row r="39" ht="15.75" customHeight="1">
      <c r="A39" s="112" t="str">
        <f>CityU!A20</f>
        <v>JS1051</v>
      </c>
      <c r="B39" s="112" t="s">
        <v>174</v>
      </c>
      <c r="C39" s="112" t="str">
        <f>CityU!C20</f>
        <v>能源及環境學院 [選項: 工學士(能源科學及工程學)、工學士(環境科學及工程學)]</v>
      </c>
      <c r="D39" s="112" t="str">
        <f>CityU!D20</f>
        <v>SEE</v>
      </c>
      <c r="E39" s="125" t="str">
        <f>CityU!E20</f>
        <v>4C2X</v>
      </c>
      <c r="F39" s="128" t="s">
        <v>541</v>
      </c>
      <c r="G39" s="128">
        <f>CityU!F20</f>
        <v>37</v>
      </c>
      <c r="H39" s="128">
        <f>CityU!G20</f>
        <v>36</v>
      </c>
      <c r="I39" s="128">
        <f>'計分版'!D43</f>
        <v>0.0000000059</v>
      </c>
      <c r="J39" s="112">
        <f>CityU!K20</f>
        <v>72</v>
      </c>
      <c r="K39" s="160">
        <f>CityU!AA20</f>
        <v>39</v>
      </c>
      <c r="L39" s="153">
        <f>IFERROR(CityU!AI20/CityU!AB20,"新科目")</f>
        <v>5.941176471</v>
      </c>
      <c r="M39" s="112">
        <f>'入學要求'!S21</f>
        <v>0</v>
      </c>
      <c r="N39" s="112"/>
      <c r="O39" s="112"/>
      <c r="P39" s="112"/>
      <c r="Q39" s="112"/>
      <c r="R39" s="112"/>
      <c r="S39" s="112"/>
      <c r="T39" s="112"/>
      <c r="U39" s="112"/>
      <c r="V39" s="112"/>
      <c r="W39" s="112"/>
      <c r="X39" s="112"/>
      <c r="Y39" s="112"/>
      <c r="Z39" s="112"/>
      <c r="AA39" s="112"/>
      <c r="AB39" s="112"/>
    </row>
    <row r="40" ht="15.75" customHeight="1">
      <c r="A40" s="112" t="str">
        <f>CityU!A21</f>
        <v>JS1061</v>
      </c>
      <c r="B40" s="112" t="s">
        <v>174</v>
      </c>
      <c r="C40" s="112" t="str">
        <f>CityU!C21</f>
        <v>法律學學士</v>
      </c>
      <c r="D40" s="112" t="str">
        <f>CityU!D21</f>
        <v>LLB</v>
      </c>
      <c r="E40" s="125" t="str">
        <f>CityU!E21</f>
        <v>4C2X</v>
      </c>
      <c r="F40" s="128" t="s">
        <v>541</v>
      </c>
      <c r="G40" s="128">
        <f>CityU!F21</f>
        <v>28</v>
      </c>
      <c r="H40" s="128">
        <f>CityU!G21</f>
        <v>26</v>
      </c>
      <c r="I40" s="128">
        <f>'計分版'!D44</f>
        <v>0.00000000285</v>
      </c>
      <c r="J40" s="112">
        <f>CityU!K21</f>
        <v>60</v>
      </c>
      <c r="K40" s="160">
        <f>CityU!AA21</f>
        <v>25</v>
      </c>
      <c r="L40" s="153">
        <f>IFERROR(CityU!AI21/CityU!AB21,"新科目")</f>
        <v>4.434782609</v>
      </c>
      <c r="M40" s="112">
        <f>'入學要求'!S22</f>
        <v>0</v>
      </c>
      <c r="N40" s="112"/>
      <c r="O40" s="112"/>
      <c r="P40" s="112"/>
      <c r="Q40" s="112"/>
      <c r="R40" s="112"/>
      <c r="S40" s="112"/>
      <c r="T40" s="112"/>
      <c r="U40" s="112"/>
      <c r="V40" s="112"/>
      <c r="W40" s="112"/>
      <c r="X40" s="112"/>
      <c r="Y40" s="112"/>
      <c r="Z40" s="112"/>
      <c r="AA40" s="112"/>
      <c r="AB40" s="112"/>
    </row>
    <row r="41" ht="15.75" customHeight="1">
      <c r="A41" s="112" t="str">
        <f>CityU!A22</f>
        <v>JS1071</v>
      </c>
      <c r="B41" s="112" t="s">
        <v>174</v>
      </c>
      <c r="C41" s="112" t="str">
        <f>CityU!C22</f>
        <v>數據科學學院 [選項：理學士 (數據科學)、工學士 (數據與系統工程)]</v>
      </c>
      <c r="D41" s="112" t="str">
        <f>CityU!D22</f>
        <v>SDSC</v>
      </c>
      <c r="E41" s="125" t="str">
        <f>CityU!E22</f>
        <v>4C2X</v>
      </c>
      <c r="F41" s="128" t="s">
        <v>541</v>
      </c>
      <c r="G41" s="128">
        <f>CityU!F22</f>
        <v>32</v>
      </c>
      <c r="H41" s="128">
        <f>CityU!G22</f>
        <v>32</v>
      </c>
      <c r="I41" s="128">
        <f>'計分版'!D45</f>
        <v>0.00000000335</v>
      </c>
      <c r="J41" s="112">
        <f>CityU!K22</f>
        <v>20</v>
      </c>
      <c r="K41" s="160">
        <f>CityU!AA22</f>
        <v>17</v>
      </c>
      <c r="L41" s="153">
        <f>IFERROR(CityU!AI22/CityU!AB22,"新科目")</f>
        <v>9.4375</v>
      </c>
      <c r="M41" s="112">
        <f>'入學要求'!S23</f>
        <v>0</v>
      </c>
      <c r="N41" s="112"/>
      <c r="O41" s="112"/>
      <c r="P41" s="112"/>
      <c r="Q41" s="112"/>
      <c r="R41" s="112"/>
      <c r="S41" s="112"/>
      <c r="T41" s="112"/>
      <c r="U41" s="112"/>
      <c r="V41" s="112"/>
      <c r="W41" s="112"/>
      <c r="X41" s="112"/>
      <c r="Y41" s="112"/>
      <c r="Z41" s="112"/>
      <c r="AA41" s="112"/>
      <c r="AB41" s="112"/>
    </row>
    <row r="42" ht="15.75" customHeight="1">
      <c r="A42" s="112" t="str">
        <f>CityU!A23</f>
        <v>JS1072</v>
      </c>
      <c r="B42" s="112" t="s">
        <v>174</v>
      </c>
      <c r="C42" s="112" t="str">
        <f>CityU!C23</f>
        <v>理學士(數據科學)</v>
      </c>
      <c r="D42" s="112" t="str">
        <f>CityU!D23</f>
        <v>BScDSC</v>
      </c>
      <c r="E42" s="125" t="str">
        <f>CityU!E23</f>
        <v>4C2X</v>
      </c>
      <c r="F42" s="128" t="s">
        <v>541</v>
      </c>
      <c r="G42" s="128">
        <f>CityU!F23</f>
        <v>32</v>
      </c>
      <c r="H42" s="128">
        <f>CityU!G23</f>
        <v>31</v>
      </c>
      <c r="I42" s="128">
        <f>'計分版'!D46</f>
        <v>0.00000000335</v>
      </c>
      <c r="J42" s="112">
        <f>CityU!K23</f>
        <v>30</v>
      </c>
      <c r="K42" s="160">
        <f>CityU!AA23</f>
        <v>22</v>
      </c>
      <c r="L42" s="153">
        <f>IFERROR(CityU!AI23/CityU!AB23,"新科目")</f>
        <v>10.57142857</v>
      </c>
      <c r="M42" s="112">
        <f>'入學要求'!S24</f>
        <v>0</v>
      </c>
      <c r="N42" s="112"/>
      <c r="O42" s="112"/>
      <c r="P42" s="112"/>
      <c r="Q42" s="112"/>
      <c r="R42" s="112"/>
      <c r="S42" s="112"/>
      <c r="T42" s="112"/>
      <c r="U42" s="112"/>
      <c r="V42" s="112"/>
      <c r="W42" s="112"/>
      <c r="X42" s="112"/>
      <c r="Y42" s="112"/>
      <c r="Z42" s="112"/>
      <c r="AA42" s="112"/>
      <c r="AB42" s="112"/>
    </row>
    <row r="43" ht="15.75" customHeight="1">
      <c r="A43" s="112" t="str">
        <f>CityU!A24</f>
        <v>JS1073</v>
      </c>
      <c r="B43" s="112" t="s">
        <v>174</v>
      </c>
      <c r="C43" s="112" t="str">
        <f>CityU!C24</f>
        <v>工學士(數據與系統工程)</v>
      </c>
      <c r="D43" s="112" t="str">
        <f>CityU!D24</f>
        <v>BEngDSE</v>
      </c>
      <c r="E43" s="125" t="str">
        <f>CityU!E24</f>
        <v>4C2X</v>
      </c>
      <c r="F43" s="128" t="s">
        <v>541</v>
      </c>
      <c r="G43" s="128">
        <f>CityU!F24</f>
        <v>31</v>
      </c>
      <c r="H43" s="128">
        <f>CityU!G24</f>
        <v>31</v>
      </c>
      <c r="I43" s="128">
        <f>'計分版'!D47</f>
        <v>0.00000000335</v>
      </c>
      <c r="J43" s="112">
        <f>CityU!K24</f>
        <v>20</v>
      </c>
      <c r="K43" s="160">
        <f>CityU!AA24</f>
        <v>20</v>
      </c>
      <c r="L43" s="153">
        <f>IFERROR(CityU!AI24/CityU!AB24,"新科目")</f>
        <v>13.4375</v>
      </c>
      <c r="M43" s="112">
        <f>'入學要求'!S25</f>
        <v>0</v>
      </c>
      <c r="N43" s="112"/>
      <c r="O43" s="112"/>
      <c r="P43" s="112"/>
      <c r="Q43" s="112"/>
      <c r="R43" s="112"/>
      <c r="S43" s="112"/>
      <c r="T43" s="112"/>
      <c r="U43" s="112"/>
      <c r="V43" s="112"/>
      <c r="W43" s="112"/>
      <c r="X43" s="112"/>
      <c r="Y43" s="112"/>
      <c r="Z43" s="112"/>
      <c r="AA43" s="112"/>
      <c r="AB43" s="112"/>
    </row>
    <row r="44" ht="15.75" customHeight="1">
      <c r="A44" s="112" t="str">
        <f>CityU!A25</f>
        <v>JS1091</v>
      </c>
      <c r="B44" s="112" t="s">
        <v>174</v>
      </c>
      <c r="C44" s="112" t="str">
        <f>CityU!C25</f>
        <v>建築科技學部 [選項: 理學副學士(屋宇裝備工程學)、理學副學士(建造工程及管理學)、理學副學士(測量學)]</v>
      </c>
      <c r="D44" s="112" t="str">
        <f>CityU!D25</f>
        <v>BST</v>
      </c>
      <c r="E44" s="125" t="str">
        <f>CityU!E25</f>
        <v>中英3X</v>
      </c>
      <c r="F44" s="128" t="s">
        <v>541</v>
      </c>
      <c r="G44" s="128">
        <f>CityU!F25</f>
        <v>17</v>
      </c>
      <c r="H44" s="128">
        <f>CityU!G25</f>
        <v>15</v>
      </c>
      <c r="I44" s="128">
        <f>'計分版'!D48</f>
        <v>0.00000000315</v>
      </c>
      <c r="J44" s="112">
        <f>CityU!K25</f>
        <v>340</v>
      </c>
      <c r="K44" s="160">
        <f>CityU!AA25</f>
        <v>682</v>
      </c>
      <c r="L44" s="153">
        <f>IFERROR(CityU!AI25/CityU!AB25,"新科目")</f>
        <v>2.435435435</v>
      </c>
      <c r="M44" s="112">
        <f>'入學要求'!S26</f>
        <v>0</v>
      </c>
      <c r="N44" s="112"/>
      <c r="O44" s="112"/>
      <c r="P44" s="112"/>
      <c r="Q44" s="112"/>
      <c r="R44" s="112"/>
      <c r="S44" s="112"/>
      <c r="T44" s="112"/>
      <c r="U44" s="112"/>
      <c r="V44" s="112"/>
      <c r="W44" s="112"/>
      <c r="X44" s="112"/>
      <c r="Y44" s="112"/>
      <c r="Z44" s="112"/>
      <c r="AA44" s="112"/>
      <c r="AB44" s="112"/>
    </row>
    <row r="45" ht="15.75" customHeight="1">
      <c r="A45" s="112" t="str">
        <f>CityU!A26</f>
        <v>JS1093</v>
      </c>
      <c r="B45" s="112" t="s">
        <v>174</v>
      </c>
      <c r="C45" s="112" t="str">
        <f>CityU!C26</f>
        <v>理學副學士(建築學)</v>
      </c>
      <c r="D45" s="112" t="str">
        <f>CityU!D26</f>
        <v>AScAS</v>
      </c>
      <c r="E45" s="125" t="str">
        <f>CityU!E26</f>
        <v>中英3X</v>
      </c>
      <c r="F45" s="128" t="s">
        <v>541</v>
      </c>
      <c r="G45" s="128">
        <f>CityU!F26</f>
        <v>19</v>
      </c>
      <c r="H45" s="128">
        <f>CityU!G26</f>
        <v>18</v>
      </c>
      <c r="I45" s="128">
        <f>'計分版'!D49</f>
        <v>0.00000000315</v>
      </c>
      <c r="J45" s="112">
        <f>CityU!K26</f>
        <v>92</v>
      </c>
      <c r="K45" s="160">
        <f>CityU!AA26</f>
        <v>281</v>
      </c>
      <c r="L45" s="153">
        <f>IFERROR(CityU!AI26/CityU!AB26,"新科目")</f>
        <v>4.539473684</v>
      </c>
      <c r="M45" s="112">
        <f>'入學要求'!S27</f>
        <v>0</v>
      </c>
      <c r="N45" s="112"/>
      <c r="O45" s="112"/>
      <c r="P45" s="112"/>
      <c r="Q45" s="112"/>
      <c r="R45" s="112"/>
      <c r="S45" s="112"/>
      <c r="T45" s="112"/>
      <c r="U45" s="112"/>
      <c r="V45" s="112"/>
      <c r="W45" s="112"/>
      <c r="X45" s="112"/>
      <c r="Y45" s="112"/>
      <c r="Z45" s="112"/>
      <c r="AA45" s="112"/>
      <c r="AB45" s="112"/>
    </row>
    <row r="46" ht="15.75" customHeight="1">
      <c r="A46" s="112" t="str">
        <f>CityU!A27</f>
        <v>JS1102</v>
      </c>
      <c r="B46" s="112" t="s">
        <v>174</v>
      </c>
      <c r="C46" s="112" t="str">
        <f>CityU!C27</f>
        <v>社會科學學士(亞洲及國際研究)</v>
      </c>
      <c r="D46" s="112" t="str">
        <f>CityU!D27</f>
        <v>BSocScASIS</v>
      </c>
      <c r="E46" s="125" t="str">
        <f>CityU!E27</f>
        <v>4C2X</v>
      </c>
      <c r="F46" s="128" t="s">
        <v>541</v>
      </c>
      <c r="G46" s="128">
        <f>CityU!F27</f>
        <v>24</v>
      </c>
      <c r="H46" s="128">
        <f>CityU!G27</f>
        <v>24</v>
      </c>
      <c r="I46" s="128">
        <f>'計分版'!D50</f>
        <v>0.00000000285</v>
      </c>
      <c r="J46" s="112">
        <f>CityU!K27</f>
        <v>17</v>
      </c>
      <c r="K46" s="160">
        <f>CityU!AA27</f>
        <v>17</v>
      </c>
      <c r="L46" s="153">
        <f>IFERROR(CityU!AI27/CityU!AB27,"新科目")</f>
        <v>6.4375</v>
      </c>
      <c r="M46" s="112">
        <f>'入學要求'!S28</f>
        <v>0</v>
      </c>
      <c r="N46" s="112"/>
      <c r="O46" s="112"/>
      <c r="P46" s="112"/>
      <c r="Q46" s="112"/>
      <c r="R46" s="112"/>
      <c r="S46" s="112"/>
      <c r="T46" s="112"/>
      <c r="U46" s="112"/>
      <c r="V46" s="112"/>
      <c r="W46" s="112"/>
      <c r="X46" s="112"/>
      <c r="Y46" s="112"/>
      <c r="Z46" s="112"/>
      <c r="AA46" s="112"/>
      <c r="AB46" s="112"/>
    </row>
    <row r="47" ht="15.75" customHeight="1">
      <c r="A47" s="112" t="str">
        <f>CityU!A28</f>
        <v>JS1103</v>
      </c>
      <c r="B47" s="112" t="s">
        <v>174</v>
      </c>
      <c r="C47" s="112" t="str">
        <f>CityU!C28</f>
        <v>文學士(中文及歷史)</v>
      </c>
      <c r="D47" s="112" t="str">
        <f>CityU!D28</f>
        <v>BACHIS</v>
      </c>
      <c r="E47" s="125" t="str">
        <f>CityU!E28</f>
        <v>4C2X</v>
      </c>
      <c r="F47" s="128" t="s">
        <v>541</v>
      </c>
      <c r="G47" s="128">
        <f>CityU!F28</f>
        <v>36.5</v>
      </c>
      <c r="H47" s="128">
        <f>CityU!G28</f>
        <v>35</v>
      </c>
      <c r="I47" s="128">
        <f>'計分版'!D51</f>
        <v>0.00000000335</v>
      </c>
      <c r="J47" s="112">
        <f>CityU!K28</f>
        <v>45</v>
      </c>
      <c r="K47" s="160">
        <f>CityU!AA28</f>
        <v>43</v>
      </c>
      <c r="L47" s="153">
        <f>IFERROR(CityU!AI28/CityU!AB28,"新科目")</f>
        <v>12.40625</v>
      </c>
      <c r="M47" s="112">
        <f>'入學要求'!S29</f>
        <v>0</v>
      </c>
      <c r="N47" s="112"/>
      <c r="O47" s="112"/>
      <c r="P47" s="112"/>
      <c r="Q47" s="112"/>
      <c r="R47" s="112"/>
      <c r="S47" s="112"/>
      <c r="T47" s="112"/>
      <c r="U47" s="112"/>
      <c r="V47" s="112"/>
      <c r="W47" s="112"/>
      <c r="X47" s="112"/>
      <c r="Y47" s="112"/>
      <c r="Z47" s="112"/>
      <c r="AA47" s="112"/>
      <c r="AB47" s="112"/>
    </row>
    <row r="48" ht="15.75" customHeight="1">
      <c r="A48" s="112" t="str">
        <f>CityU!A29</f>
        <v>JS1104</v>
      </c>
      <c r="B48" s="112" t="s">
        <v>174</v>
      </c>
      <c r="C48" s="112" t="str">
        <f>CityU!C29</f>
        <v>文學士(英語語言)</v>
      </c>
      <c r="D48" s="112" t="str">
        <f>CityU!D29</f>
        <v>BAEN</v>
      </c>
      <c r="E48" s="125" t="str">
        <f>CityU!E29</f>
        <v>4C2X</v>
      </c>
      <c r="F48" s="128" t="s">
        <v>541</v>
      </c>
      <c r="G48" s="128">
        <f>CityU!F29</f>
        <v>33.5</v>
      </c>
      <c r="H48" s="128">
        <f>CityU!G29</f>
        <v>33.5</v>
      </c>
      <c r="I48" s="128">
        <f>'計分版'!D52</f>
        <v>0.00000000335</v>
      </c>
      <c r="J48" s="112">
        <f>CityU!K29</f>
        <v>26</v>
      </c>
      <c r="K48" s="160">
        <f>CityU!AA29</f>
        <v>21</v>
      </c>
      <c r="L48" s="153">
        <f>IFERROR(CityU!AI29/CityU!AB29,"新科目")</f>
        <v>8.1</v>
      </c>
      <c r="M48" s="112">
        <f>'入學要求'!S30</f>
        <v>0</v>
      </c>
      <c r="N48" s="112"/>
      <c r="O48" s="112"/>
      <c r="P48" s="112"/>
      <c r="Q48" s="112"/>
      <c r="R48" s="112"/>
      <c r="S48" s="112"/>
      <c r="T48" s="112"/>
      <c r="U48" s="112"/>
      <c r="V48" s="112"/>
      <c r="W48" s="112"/>
      <c r="X48" s="112"/>
      <c r="Y48" s="112"/>
      <c r="Z48" s="112"/>
      <c r="AA48" s="112"/>
      <c r="AB48" s="112"/>
    </row>
    <row r="49" ht="15.75" customHeight="1">
      <c r="A49" s="112" t="str">
        <f>CityU!A30</f>
        <v>JS1105</v>
      </c>
      <c r="B49" s="112" t="s">
        <v>174</v>
      </c>
      <c r="C49" s="112" t="str">
        <f>CityU!C30</f>
        <v>翻譯及語言學系 [選項: 文學士(語言學及語言應用)、文學士(翻譯及傳譯)]</v>
      </c>
      <c r="D49" s="112" t="str">
        <f>CityU!D30</f>
        <v>LT</v>
      </c>
      <c r="E49" s="125" t="str">
        <f>CityU!E30</f>
        <v>4C2X</v>
      </c>
      <c r="F49" s="128" t="s">
        <v>541</v>
      </c>
      <c r="G49" s="128">
        <f>CityU!F30</f>
        <v>30</v>
      </c>
      <c r="H49" s="128">
        <f>CityU!G30</f>
        <v>28.5</v>
      </c>
      <c r="I49" s="128">
        <f>'計分版'!D53</f>
        <v>0.0000000031</v>
      </c>
      <c r="J49" s="112">
        <f>CityU!K30</f>
        <v>39</v>
      </c>
      <c r="K49" s="160">
        <f>CityU!AA30</f>
        <v>37</v>
      </c>
      <c r="L49" s="153">
        <f>IFERROR(CityU!AI30/CityU!AB30,"新科目")</f>
        <v>6.142857143</v>
      </c>
      <c r="M49" s="112">
        <f>'入學要求'!S31</f>
        <v>0</v>
      </c>
      <c r="N49" s="112"/>
      <c r="O49" s="112"/>
      <c r="P49" s="112"/>
      <c r="Q49" s="112"/>
      <c r="R49" s="112"/>
      <c r="S49" s="112"/>
      <c r="T49" s="112"/>
      <c r="U49" s="112"/>
      <c r="V49" s="112"/>
      <c r="W49" s="112"/>
      <c r="X49" s="112"/>
      <c r="Y49" s="112"/>
      <c r="Z49" s="112"/>
      <c r="AA49" s="112"/>
      <c r="AB49" s="112"/>
    </row>
    <row r="50" ht="15.75" customHeight="1">
      <c r="A50" s="112" t="str">
        <f>CityU!A31</f>
        <v>JS1106</v>
      </c>
      <c r="B50" s="112" t="s">
        <v>174</v>
      </c>
      <c r="C50" s="112" t="str">
        <f>CityU!C31</f>
        <v>媒體與傳播系 [選項: 文學士(數碼電視與廣播)、文學士(媒體與傳播)]</v>
      </c>
      <c r="D50" s="112" t="str">
        <f>CityU!D31</f>
        <v>COM</v>
      </c>
      <c r="E50" s="125" t="str">
        <f>CityU!E31</f>
        <v>4C2X</v>
      </c>
      <c r="F50" s="128" t="s">
        <v>541</v>
      </c>
      <c r="G50" s="128">
        <f>CityU!F31</f>
        <v>23</v>
      </c>
      <c r="H50" s="128">
        <f>CityU!G31</f>
        <v>22.25</v>
      </c>
      <c r="I50" s="128">
        <f>'計分版'!D54</f>
        <v>0.00000000395</v>
      </c>
      <c r="J50" s="112">
        <f>CityU!K31</f>
        <v>49</v>
      </c>
      <c r="K50" s="160">
        <f>CityU!AA31</f>
        <v>43</v>
      </c>
      <c r="L50" s="153">
        <f>IFERROR(CityU!AI31/CityU!AB31,"新科目")</f>
        <v>17.5</v>
      </c>
      <c r="M50" s="112">
        <f>'入學要求'!S32</f>
        <v>0</v>
      </c>
      <c r="N50" s="112"/>
      <c r="O50" s="112"/>
      <c r="P50" s="112"/>
      <c r="Q50" s="112"/>
      <c r="R50" s="112"/>
      <c r="S50" s="112"/>
      <c r="T50" s="112"/>
      <c r="U50" s="112"/>
      <c r="V50" s="112"/>
      <c r="W50" s="112"/>
      <c r="X50" s="112"/>
      <c r="Y50" s="112"/>
      <c r="Z50" s="112"/>
      <c r="AA50" s="112"/>
      <c r="AB50" s="112"/>
    </row>
    <row r="51" ht="15.75" customHeight="1">
      <c r="A51" s="112" t="str">
        <f>CityU!A32</f>
        <v>JS1108</v>
      </c>
      <c r="B51" s="112" t="s">
        <v>174</v>
      </c>
      <c r="C51" s="112" t="str">
        <f>CityU!C32</f>
        <v>社會科學學士(公共政策與政治)</v>
      </c>
      <c r="D51" s="112" t="str">
        <f>CityU!D32</f>
        <v>BSocScPPP</v>
      </c>
      <c r="E51" s="125" t="str">
        <f>CityU!E32</f>
        <v>4C2X</v>
      </c>
      <c r="F51" s="128" t="s">
        <v>541</v>
      </c>
      <c r="G51" s="128">
        <f>CityU!F32</f>
        <v>30</v>
      </c>
      <c r="H51" s="128">
        <f>CityU!G32</f>
        <v>29</v>
      </c>
      <c r="I51" s="128">
        <f>'計分版'!D55</f>
        <v>0.00000000325</v>
      </c>
      <c r="J51" s="112">
        <f>CityU!K32</f>
        <v>72</v>
      </c>
      <c r="K51" s="160">
        <f>CityU!AA32</f>
        <v>65</v>
      </c>
      <c r="L51" s="153">
        <f>IFERROR(CityU!AI32/CityU!AB32,"新科目")</f>
        <v>4.448275862</v>
      </c>
      <c r="M51" s="112">
        <f>'入學要求'!S33</f>
        <v>0</v>
      </c>
      <c r="N51" s="112"/>
      <c r="O51" s="112"/>
      <c r="P51" s="112"/>
      <c r="Q51" s="112"/>
      <c r="R51" s="112"/>
      <c r="S51" s="112"/>
      <c r="T51" s="112"/>
      <c r="U51" s="112"/>
      <c r="V51" s="112"/>
      <c r="W51" s="112"/>
      <c r="X51" s="112"/>
      <c r="Y51" s="112"/>
      <c r="Z51" s="112"/>
      <c r="AA51" s="112"/>
      <c r="AB51" s="112"/>
    </row>
    <row r="52" ht="15.75" customHeight="1">
      <c r="A52" s="112" t="str">
        <f>CityU!A33</f>
        <v>JS1110</v>
      </c>
      <c r="B52" s="112" t="s">
        <v>174</v>
      </c>
      <c r="C52" s="112" t="str">
        <f>CityU!C33</f>
        <v>社會及行為科學系 [選項: 社會科學學士(犯罪學及社會學)、社會科學學士(心理學)、社會科學學士(社會工作)]</v>
      </c>
      <c r="D52" s="112" t="str">
        <f>CityU!D33</f>
        <v>SS</v>
      </c>
      <c r="E52" s="125" t="str">
        <f>CityU!E33</f>
        <v>4C2X</v>
      </c>
      <c r="F52" s="128" t="s">
        <v>541</v>
      </c>
      <c r="G52" s="128">
        <f>CityU!F33</f>
        <v>30</v>
      </c>
      <c r="H52" s="128">
        <f>CityU!G33</f>
        <v>30</v>
      </c>
      <c r="I52" s="128">
        <f>'計分版'!D56</f>
        <v>0.00000000305</v>
      </c>
      <c r="J52" s="112">
        <f>CityU!K33</f>
        <v>18</v>
      </c>
      <c r="K52" s="160">
        <f>CityU!AA33</f>
        <v>20</v>
      </c>
      <c r="L52" s="153">
        <f>IFERROR(CityU!AI33/CityU!AB33,"新科目")</f>
        <v>25.66666667</v>
      </c>
      <c r="M52" s="112">
        <f>'入學要求'!S34</f>
        <v>0</v>
      </c>
      <c r="N52" s="112"/>
      <c r="O52" s="112"/>
      <c r="P52" s="112"/>
      <c r="Q52" s="112"/>
      <c r="R52" s="112"/>
      <c r="S52" s="112"/>
      <c r="T52" s="112"/>
      <c r="U52" s="112"/>
      <c r="V52" s="112"/>
      <c r="W52" s="112"/>
      <c r="X52" s="112"/>
      <c r="Y52" s="112"/>
      <c r="Z52" s="112"/>
      <c r="AA52" s="112"/>
      <c r="AB52" s="112"/>
    </row>
    <row r="53" ht="15.75" customHeight="1">
      <c r="A53" s="112" t="str">
        <f>CityU!A34</f>
        <v>JS1111</v>
      </c>
      <c r="B53" s="112" t="s">
        <v>174</v>
      </c>
      <c r="C53" s="112" t="str">
        <f>CityU!C34</f>
        <v>社會科學學士(犯罪學及社會學)</v>
      </c>
      <c r="D53" s="112" t="str">
        <f>CityU!D34</f>
        <v>BSocScCRSO</v>
      </c>
      <c r="E53" s="125" t="str">
        <f>CityU!E34</f>
        <v>4C2X</v>
      </c>
      <c r="F53" s="128" t="s">
        <v>541</v>
      </c>
      <c r="G53" s="128">
        <f>CityU!F34</f>
        <v>28</v>
      </c>
      <c r="H53" s="128">
        <f>CityU!G34</f>
        <v>28</v>
      </c>
      <c r="I53" s="128">
        <f>'計分版'!D57</f>
        <v>0.00000000305</v>
      </c>
      <c r="J53" s="112">
        <f>CityU!K34</f>
        <v>24</v>
      </c>
      <c r="K53" s="160">
        <f>CityU!AA34</f>
        <v>25</v>
      </c>
      <c r="L53" s="153">
        <f>IFERROR(CityU!AI34/CityU!AB34,"新科目")</f>
        <v>15.7</v>
      </c>
      <c r="M53" s="112">
        <f>'入學要求'!S35</f>
        <v>0</v>
      </c>
      <c r="N53" s="112"/>
      <c r="O53" s="112"/>
      <c r="P53" s="112"/>
      <c r="Q53" s="112"/>
      <c r="R53" s="112"/>
      <c r="S53" s="112"/>
      <c r="T53" s="112"/>
      <c r="U53" s="112"/>
      <c r="V53" s="112"/>
      <c r="W53" s="112"/>
      <c r="X53" s="112"/>
      <c r="Y53" s="112"/>
      <c r="Z53" s="112"/>
      <c r="AA53" s="112"/>
      <c r="AB53" s="112"/>
    </row>
    <row r="54" ht="15.75" customHeight="1">
      <c r="A54" s="112" t="str">
        <f>CityU!A35</f>
        <v>JS1112</v>
      </c>
      <c r="B54" s="112" t="s">
        <v>174</v>
      </c>
      <c r="C54" s="112" t="str">
        <f>CityU!C35</f>
        <v>社會科學學士(心理學)</v>
      </c>
      <c r="D54" s="112" t="str">
        <f>CityU!D35</f>
        <v>BSocScPSY</v>
      </c>
      <c r="E54" s="125" t="str">
        <f>CityU!E35</f>
        <v>4C2X</v>
      </c>
      <c r="F54" s="128" t="s">
        <v>541</v>
      </c>
      <c r="G54" s="128">
        <f>CityU!F35</f>
        <v>29</v>
      </c>
      <c r="H54" s="128">
        <f>CityU!G35</f>
        <v>29</v>
      </c>
      <c r="I54" s="128">
        <f>'計分版'!D58</f>
        <v>0.00000000305</v>
      </c>
      <c r="J54" s="112">
        <f>CityU!K35</f>
        <v>17</v>
      </c>
      <c r="K54" s="160">
        <f>CityU!AA35</f>
        <v>18</v>
      </c>
      <c r="L54" s="153">
        <f>IFERROR(CityU!AI35/CityU!AB35,"新科目")</f>
        <v>19.94444444</v>
      </c>
      <c r="M54" s="112">
        <f>'入學要求'!S36</f>
        <v>0</v>
      </c>
      <c r="N54" s="112"/>
      <c r="O54" s="112"/>
      <c r="P54" s="112"/>
      <c r="Q54" s="112"/>
      <c r="R54" s="112"/>
      <c r="S54" s="112"/>
      <c r="T54" s="112"/>
      <c r="U54" s="112"/>
      <c r="V54" s="112"/>
      <c r="W54" s="112"/>
      <c r="X54" s="112"/>
      <c r="Y54" s="112"/>
      <c r="Z54" s="112"/>
      <c r="AA54" s="112"/>
      <c r="AB54" s="112"/>
    </row>
    <row r="55" ht="15.75" customHeight="1">
      <c r="A55" s="112" t="str">
        <f>CityU!A36</f>
        <v>JS1113</v>
      </c>
      <c r="B55" s="112" t="s">
        <v>174</v>
      </c>
      <c r="C55" s="112" t="str">
        <f>CityU!C36</f>
        <v>社會科學學士(社會工作)</v>
      </c>
      <c r="D55" s="112" t="str">
        <f>CityU!D36</f>
        <v>BSocScSW</v>
      </c>
      <c r="E55" s="125" t="str">
        <f>CityU!E36</f>
        <v>4C2X</v>
      </c>
      <c r="F55" s="128" t="s">
        <v>541</v>
      </c>
      <c r="G55" s="128">
        <f>CityU!F36</f>
        <v>28</v>
      </c>
      <c r="H55" s="128">
        <f>CityU!G36</f>
        <v>28</v>
      </c>
      <c r="I55" s="128">
        <f>'計分版'!D59</f>
        <v>0.00000000305</v>
      </c>
      <c r="J55" s="112">
        <f>CityU!K36</f>
        <v>42</v>
      </c>
      <c r="K55" s="160">
        <f>CityU!AA36</f>
        <v>45</v>
      </c>
      <c r="L55" s="153">
        <f>IFERROR(CityU!AI36/CityU!AB36,"新科目")</f>
        <v>13.46666667</v>
      </c>
      <c r="M55" s="112">
        <f>'入學要求'!S37</f>
        <v>0</v>
      </c>
      <c r="N55" s="112"/>
      <c r="O55" s="112"/>
      <c r="P55" s="112"/>
      <c r="Q55" s="112"/>
      <c r="R55" s="112"/>
      <c r="S55" s="112"/>
      <c r="T55" s="112"/>
      <c r="U55" s="112"/>
      <c r="V55" s="112"/>
      <c r="W55" s="112"/>
      <c r="X55" s="112"/>
      <c r="Y55" s="112"/>
      <c r="Z55" s="112"/>
      <c r="AA55" s="112"/>
      <c r="AB55" s="112"/>
    </row>
    <row r="56" ht="15.75" customHeight="1">
      <c r="A56" s="112" t="str">
        <f>CityU!A37</f>
        <v>JS1200</v>
      </c>
      <c r="B56" s="112" t="s">
        <v>174</v>
      </c>
      <c r="C56" s="112" t="str">
        <f>CityU!C37</f>
        <v>環球精研與科創課程</v>
      </c>
      <c r="D56" s="112" t="str">
        <f>CityU!D37</f>
        <v>GREAT</v>
      </c>
      <c r="E56" s="125" t="str">
        <f>CityU!E37</f>
        <v>Best 5</v>
      </c>
      <c r="F56" s="128" t="s">
        <v>541</v>
      </c>
      <c r="G56" s="128" t="str">
        <f>CityU!F37</f>
        <v>/</v>
      </c>
      <c r="H56" s="128" t="str">
        <f>CityU!G37</f>
        <v>/</v>
      </c>
      <c r="I56" s="128">
        <f>'計分版'!D60</f>
        <v>0.0000000044</v>
      </c>
      <c r="J56" s="112">
        <f>CityU!K37</f>
        <v>18</v>
      </c>
      <c r="K56" s="160" t="str">
        <f>CityU!AA37</f>
        <v>/</v>
      </c>
      <c r="L56" s="153" t="str">
        <f>IFERROR(CityU!AI37/CityU!AB37,"新科目")</f>
        <v>新科目</v>
      </c>
      <c r="M56" s="112">
        <f>'入學要求'!S38</f>
        <v>0</v>
      </c>
      <c r="N56" s="112"/>
      <c r="O56" s="112"/>
      <c r="P56" s="112"/>
      <c r="Q56" s="112"/>
      <c r="R56" s="112"/>
      <c r="S56" s="112"/>
      <c r="T56" s="112"/>
      <c r="U56" s="112"/>
      <c r="V56" s="112"/>
      <c r="W56" s="112"/>
      <c r="X56" s="112"/>
      <c r="Y56" s="112"/>
      <c r="Z56" s="112"/>
      <c r="AA56" s="112"/>
      <c r="AB56" s="112"/>
    </row>
    <row r="57" ht="15.75" customHeight="1">
      <c r="A57" s="112" t="str">
        <f>CityU!A38</f>
        <v>JS1201</v>
      </c>
      <c r="B57" s="112" t="s">
        <v>174</v>
      </c>
      <c r="C57" s="112" t="str">
        <f>CityU!C38</f>
        <v>建築學及土木工程學系 [選項: 工學士(建築工程)、工學士(土木工程)、理學士(測量學)]</v>
      </c>
      <c r="D57" s="112" t="str">
        <f>CityU!D38</f>
        <v>ACE</v>
      </c>
      <c r="E57" s="125" t="str">
        <f>CityU!E38</f>
        <v>Best 6</v>
      </c>
      <c r="F57" s="128" t="s">
        <v>541</v>
      </c>
      <c r="G57" s="128" t="str">
        <f>CityU!F38</f>
        <v>/</v>
      </c>
      <c r="H57" s="128" t="str">
        <f>CityU!G38</f>
        <v>/</v>
      </c>
      <c r="I57" s="128">
        <f>'計分版'!D61</f>
        <v>0.000000005</v>
      </c>
      <c r="J57" s="112">
        <f>CityU!K38</f>
        <v>112</v>
      </c>
      <c r="K57" s="160" t="str">
        <f>CityU!AA38</f>
        <v>/</v>
      </c>
      <c r="L57" s="153" t="str">
        <f>IFERROR(CityU!AI38/CityU!AB38,"新科目")</f>
        <v>新科目</v>
      </c>
      <c r="M57" s="112">
        <f>'入學要求'!S39</f>
        <v>0</v>
      </c>
      <c r="N57" s="112"/>
      <c r="O57" s="112"/>
      <c r="P57" s="112"/>
      <c r="Q57" s="112"/>
      <c r="R57" s="112"/>
      <c r="S57" s="112"/>
      <c r="T57" s="112"/>
      <c r="U57" s="112"/>
      <c r="V57" s="112"/>
      <c r="W57" s="112"/>
      <c r="X57" s="112"/>
      <c r="Y57" s="112"/>
      <c r="Z57" s="112"/>
      <c r="AA57" s="112"/>
      <c r="AB57" s="112"/>
    </row>
    <row r="58" ht="15.75" customHeight="1">
      <c r="A58" s="112" t="str">
        <f>CityU!A39</f>
        <v>JS1202</v>
      </c>
      <c r="B58" s="112" t="s">
        <v>174</v>
      </c>
      <c r="C58" s="112" t="str">
        <f>CityU!C39</f>
        <v>理學士(化學)</v>
      </c>
      <c r="D58" s="112" t="str">
        <f>CityU!D39</f>
        <v>BScCHEM</v>
      </c>
      <c r="E58" s="125" t="str">
        <f>CityU!E39</f>
        <v>4C2X</v>
      </c>
      <c r="F58" s="128" t="s">
        <v>541</v>
      </c>
      <c r="G58" s="128">
        <f>CityU!F39</f>
        <v>32</v>
      </c>
      <c r="H58" s="128">
        <f>CityU!G39</f>
        <v>30</v>
      </c>
      <c r="I58" s="128">
        <f>'計分版'!D62</f>
        <v>0.0000000032</v>
      </c>
      <c r="J58" s="112">
        <f>CityU!K39</f>
        <v>42</v>
      </c>
      <c r="K58" s="160">
        <f>CityU!AA39</f>
        <v>47</v>
      </c>
      <c r="L58" s="153">
        <f>IFERROR(CityU!AI39/CityU!AB39,"新科目")</f>
        <v>5.6</v>
      </c>
      <c r="M58" s="112">
        <f>'入學要求'!S40</f>
        <v>0</v>
      </c>
      <c r="N58" s="112"/>
      <c r="O58" s="112"/>
      <c r="P58" s="112"/>
      <c r="Q58" s="112"/>
      <c r="R58" s="112"/>
      <c r="S58" s="112"/>
      <c r="T58" s="112"/>
      <c r="U58" s="112"/>
      <c r="V58" s="112"/>
      <c r="W58" s="112"/>
      <c r="X58" s="112"/>
      <c r="Y58" s="112"/>
      <c r="Z58" s="112"/>
      <c r="AA58" s="112"/>
      <c r="AB58" s="112"/>
    </row>
    <row r="59" ht="15.75" customHeight="1">
      <c r="A59" s="112" t="str">
        <f>CityU!A40</f>
        <v>JS1204</v>
      </c>
      <c r="B59" s="112" t="s">
        <v>174</v>
      </c>
      <c r="C59" s="112" t="str">
        <f>CityU!C40</f>
        <v>理學士(電腦科學)</v>
      </c>
      <c r="D59" s="112" t="str">
        <f>CityU!D40</f>
        <v>BScCSC</v>
      </c>
      <c r="E59" s="125" t="str">
        <f>CityU!E40</f>
        <v>4C2X</v>
      </c>
      <c r="F59" s="128" t="s">
        <v>541</v>
      </c>
      <c r="G59" s="128">
        <f>CityU!F40</f>
        <v>27</v>
      </c>
      <c r="H59" s="128">
        <f>CityU!G40</f>
        <v>26</v>
      </c>
      <c r="I59" s="128">
        <f>'計分版'!D63</f>
        <v>0.00000000305</v>
      </c>
      <c r="J59" s="112">
        <f>CityU!K40</f>
        <v>103</v>
      </c>
      <c r="K59" s="160">
        <f>CityU!AA40</f>
        <v>81</v>
      </c>
      <c r="L59" s="153">
        <f>IFERROR(CityU!AI40/CityU!AB40,"新科目")</f>
        <v>7.740740741</v>
      </c>
      <c r="M59" s="112">
        <f>'入學要求'!S41</f>
        <v>0</v>
      </c>
      <c r="N59" s="112"/>
      <c r="O59" s="112"/>
      <c r="P59" s="112"/>
      <c r="Q59" s="112"/>
      <c r="R59" s="112"/>
      <c r="S59" s="112"/>
      <c r="T59" s="112"/>
      <c r="U59" s="112"/>
      <c r="V59" s="112"/>
      <c r="W59" s="112"/>
      <c r="X59" s="112"/>
      <c r="Y59" s="112"/>
      <c r="Z59" s="112"/>
      <c r="AA59" s="112"/>
      <c r="AB59" s="112"/>
    </row>
    <row r="60" ht="15.75" customHeight="1">
      <c r="A60" s="112" t="str">
        <f>CityU!A41</f>
        <v>JS1205</v>
      </c>
      <c r="B60" s="112" t="s">
        <v>174</v>
      </c>
      <c r="C60" s="112" t="str">
        <f>CityU!C41</f>
        <v>電機工程學系 [選項: 工學士(電子計算機及數據工程學)、工學士(電子及電機工程學)、工學士(資訊工程學)]</v>
      </c>
      <c r="D60" s="112" t="str">
        <f>CityU!D41</f>
        <v>EE</v>
      </c>
      <c r="E60" s="125" t="str">
        <f>CityU!E41</f>
        <v>4C2X</v>
      </c>
      <c r="F60" s="128" t="s">
        <v>541</v>
      </c>
      <c r="G60" s="128">
        <f>CityU!F41</f>
        <v>35</v>
      </c>
      <c r="H60" s="128">
        <f>CityU!G41</f>
        <v>33.5</v>
      </c>
      <c r="I60" s="128">
        <f>'計分版'!D64</f>
        <v>0.00000000345</v>
      </c>
      <c r="J60" s="112">
        <f>CityU!K41</f>
        <v>163</v>
      </c>
      <c r="K60" s="160">
        <f>CityU!AA41</f>
        <v>99</v>
      </c>
      <c r="L60" s="153">
        <f>IFERROR(CityU!AI41/CityU!AB41,"新科目")</f>
        <v>6.433333333</v>
      </c>
      <c r="M60" s="112">
        <f>'入學要求'!S42</f>
        <v>0</v>
      </c>
      <c r="N60" s="112"/>
      <c r="O60" s="112"/>
      <c r="P60" s="112"/>
      <c r="Q60" s="112"/>
      <c r="R60" s="112"/>
      <c r="S60" s="112"/>
      <c r="T60" s="112"/>
      <c r="U60" s="112"/>
      <c r="V60" s="112"/>
      <c r="W60" s="112"/>
      <c r="X60" s="112"/>
      <c r="Y60" s="112"/>
      <c r="Z60" s="112"/>
      <c r="AA60" s="112"/>
      <c r="AB60" s="112"/>
    </row>
    <row r="61" ht="15.75" customHeight="1">
      <c r="A61" s="112" t="str">
        <f>CityU!A42</f>
        <v>JS1206</v>
      </c>
      <c r="B61" s="112" t="s">
        <v>174</v>
      </c>
      <c r="C61" s="112" t="str">
        <f>CityU!C42</f>
        <v>理學士(計算數學)</v>
      </c>
      <c r="D61" s="112" t="str">
        <f>CityU!D42</f>
        <v>BScCM</v>
      </c>
      <c r="E61" s="125" t="str">
        <f>CityU!E42</f>
        <v>4C2X</v>
      </c>
      <c r="F61" s="128" t="s">
        <v>541</v>
      </c>
      <c r="G61" s="128">
        <f>CityU!F42</f>
        <v>36.5</v>
      </c>
      <c r="H61" s="128">
        <f>CityU!G42</f>
        <v>36.5</v>
      </c>
      <c r="I61" s="128">
        <f>'計分版'!D65</f>
        <v>0.0000000036</v>
      </c>
      <c r="J61" s="112">
        <f>CityU!K42</f>
        <v>36</v>
      </c>
      <c r="K61" s="160">
        <f>CityU!AA42</f>
        <v>35</v>
      </c>
      <c r="L61" s="153">
        <f>IFERROR(CityU!AI42/CityU!AB42,"新科目")</f>
        <v>6.484848485</v>
      </c>
      <c r="M61" s="112">
        <f>'入學要求'!S43</f>
        <v>0</v>
      </c>
      <c r="N61" s="112"/>
      <c r="O61" s="112"/>
      <c r="P61" s="112"/>
      <c r="Q61" s="112"/>
      <c r="R61" s="112"/>
      <c r="S61" s="112"/>
      <c r="T61" s="112"/>
      <c r="U61" s="112"/>
      <c r="V61" s="112"/>
      <c r="W61" s="112"/>
      <c r="X61" s="112"/>
      <c r="Y61" s="112"/>
      <c r="Z61" s="112"/>
      <c r="AA61" s="112"/>
      <c r="AB61" s="112"/>
    </row>
    <row r="62" ht="15.75" customHeight="1">
      <c r="A62" s="112" t="str">
        <f>CityU!A43</f>
        <v>JS1207</v>
      </c>
      <c r="B62" s="112" t="s">
        <v>174</v>
      </c>
      <c r="C62" s="112" t="str">
        <f>CityU!C43</f>
        <v>機械工程學系 [選項: 工學士(機械工程)、工學士(核子及風險工程)]</v>
      </c>
      <c r="D62" s="112" t="str">
        <f>CityU!D43</f>
        <v>MNE</v>
      </c>
      <c r="E62" s="125" t="str">
        <f>CityU!E43</f>
        <v>4C2X</v>
      </c>
      <c r="F62" s="128" t="s">
        <v>541</v>
      </c>
      <c r="G62" s="128">
        <f>CityU!F43</f>
        <v>33</v>
      </c>
      <c r="H62" s="128">
        <f>CityU!G43</f>
        <v>32</v>
      </c>
      <c r="I62" s="128">
        <f>'計分版'!D66</f>
        <v>0.00000000335</v>
      </c>
      <c r="J62" s="112">
        <f>CityU!K43</f>
        <v>90</v>
      </c>
      <c r="K62" s="160">
        <f>CityU!AA43</f>
        <v>66</v>
      </c>
      <c r="L62" s="153">
        <f>IFERROR(CityU!AI43/CityU!AB43,"新科目")</f>
        <v>7.396825397</v>
      </c>
      <c r="M62" s="112">
        <f>'入學要求'!S44</f>
        <v>0</v>
      </c>
      <c r="N62" s="112"/>
      <c r="O62" s="112"/>
      <c r="P62" s="112"/>
      <c r="Q62" s="112"/>
      <c r="R62" s="112"/>
      <c r="S62" s="112"/>
      <c r="T62" s="112"/>
      <c r="U62" s="112"/>
      <c r="V62" s="112"/>
      <c r="W62" s="112"/>
      <c r="X62" s="112"/>
      <c r="Y62" s="112"/>
      <c r="Z62" s="112"/>
      <c r="AA62" s="112"/>
      <c r="AB62" s="112"/>
    </row>
    <row r="63" ht="15.75" customHeight="1">
      <c r="A63" s="112" t="str">
        <f>CityU!A44</f>
        <v>JS1208</v>
      </c>
      <c r="B63" s="112" t="s">
        <v>174</v>
      </c>
      <c r="C63" s="112" t="str">
        <f>CityU!C44</f>
        <v>理學士(物理學)</v>
      </c>
      <c r="D63" s="112" t="str">
        <f>CityU!D44</f>
        <v>BScPHY</v>
      </c>
      <c r="E63" s="125" t="str">
        <f>CityU!E44</f>
        <v>4C2X</v>
      </c>
      <c r="F63" s="128" t="s">
        <v>541</v>
      </c>
      <c r="G63" s="128">
        <f>CityU!F44</f>
        <v>31</v>
      </c>
      <c r="H63" s="128">
        <f>CityU!G44</f>
        <v>28.75</v>
      </c>
      <c r="I63" s="128">
        <f>'計分版'!D67</f>
        <v>0.000000003125</v>
      </c>
      <c r="J63" s="112">
        <f>CityU!K44</f>
        <v>30</v>
      </c>
      <c r="K63" s="160">
        <f>CityU!AA44</f>
        <v>13</v>
      </c>
      <c r="L63" s="153">
        <f>IFERROR(CityU!AI44/CityU!AB44,"新科目")</f>
        <v>15.125</v>
      </c>
      <c r="M63" s="112">
        <f>'入學要求'!S45</f>
        <v>0</v>
      </c>
      <c r="N63" s="112"/>
      <c r="O63" s="112"/>
      <c r="P63" s="112"/>
      <c r="Q63" s="112"/>
      <c r="R63" s="112"/>
      <c r="S63" s="112"/>
      <c r="T63" s="112"/>
      <c r="U63" s="112"/>
      <c r="V63" s="112"/>
      <c r="W63" s="112"/>
      <c r="X63" s="112"/>
      <c r="Y63" s="112"/>
      <c r="Z63" s="112"/>
      <c r="AA63" s="112"/>
      <c r="AB63" s="112"/>
    </row>
    <row r="64" ht="15.75" customHeight="1">
      <c r="A64" s="112" t="str">
        <f>CityU!A45</f>
        <v>JS1210</v>
      </c>
      <c r="B64" s="112" t="s">
        <v>174</v>
      </c>
      <c r="C64" s="112" t="str">
        <f>CityU!C45</f>
        <v>工學士(材料科學及工程)</v>
      </c>
      <c r="D64" s="112" t="str">
        <f>CityU!D45</f>
        <v>BEngMASE</v>
      </c>
      <c r="E64" s="125" t="str">
        <f>CityU!E45</f>
        <v>4C2X</v>
      </c>
      <c r="F64" s="128" t="s">
        <v>541</v>
      </c>
      <c r="G64" s="128">
        <f>CityU!F45</f>
        <v>30</v>
      </c>
      <c r="H64" s="128">
        <f>CityU!G45</f>
        <v>29.5</v>
      </c>
      <c r="I64" s="128">
        <f>'計分版'!D68</f>
        <v>0.00000000305</v>
      </c>
      <c r="J64" s="112">
        <f>CityU!K45</f>
        <v>38</v>
      </c>
      <c r="K64" s="160">
        <f>CityU!AA45</f>
        <v>12</v>
      </c>
      <c r="L64" s="153">
        <f>IFERROR(CityU!AI45/CityU!AB45,"新科目")</f>
        <v>8.818181818</v>
      </c>
      <c r="M64" s="112">
        <f>'入學要求'!S46</f>
        <v>0</v>
      </c>
      <c r="N64" s="112"/>
      <c r="O64" s="112"/>
      <c r="P64" s="112"/>
      <c r="Q64" s="112"/>
      <c r="R64" s="112"/>
      <c r="S64" s="112"/>
      <c r="T64" s="112"/>
      <c r="U64" s="112"/>
      <c r="V64" s="112"/>
      <c r="W64" s="112"/>
      <c r="X64" s="112"/>
      <c r="Y64" s="112"/>
      <c r="Z64" s="112"/>
      <c r="AA64" s="112"/>
      <c r="AB64" s="112"/>
    </row>
    <row r="65" ht="15.75" customHeight="1">
      <c r="A65" s="112" t="str">
        <f>CityU!A46</f>
        <v>JS1211</v>
      </c>
      <c r="B65" s="112" t="s">
        <v>174</v>
      </c>
      <c r="C65" s="112" t="str">
        <f>CityU!C46</f>
        <v>工學士(生物醫學工程)</v>
      </c>
      <c r="D65" s="112" t="str">
        <f>CityU!D46</f>
        <v>BEngBME</v>
      </c>
      <c r="E65" s="125" t="str">
        <f>CityU!E46</f>
        <v>4C2X</v>
      </c>
      <c r="F65" s="128" t="s">
        <v>541</v>
      </c>
      <c r="G65" s="128">
        <f>CityU!F46</f>
        <v>38</v>
      </c>
      <c r="H65" s="128">
        <f>CityU!G46</f>
        <v>37</v>
      </c>
      <c r="I65" s="128">
        <f>'計分版'!D69</f>
        <v>0.00000000335</v>
      </c>
      <c r="J65" s="112">
        <f>CityU!K46</f>
        <v>50</v>
      </c>
      <c r="K65" s="160">
        <f>CityU!AA46</f>
        <v>55</v>
      </c>
      <c r="L65" s="153">
        <f>IFERROR(CityU!AI46/CityU!AB46,"新科目")</f>
        <v>8.191489362</v>
      </c>
      <c r="M65" s="112">
        <f>'入學要求'!S47</f>
        <v>0</v>
      </c>
      <c r="N65" s="112"/>
      <c r="O65" s="112"/>
      <c r="P65" s="112"/>
      <c r="Q65" s="112"/>
      <c r="R65" s="112"/>
      <c r="S65" s="112"/>
      <c r="T65" s="112"/>
      <c r="U65" s="112"/>
      <c r="V65" s="112"/>
      <c r="W65" s="112"/>
      <c r="X65" s="112"/>
      <c r="Y65" s="112"/>
      <c r="Z65" s="112"/>
      <c r="AA65" s="112"/>
      <c r="AB65" s="112"/>
    </row>
    <row r="66" ht="15.75" customHeight="1">
      <c r="A66" s="112" t="str">
        <f>CityU!A47</f>
        <v>JS1216</v>
      </c>
      <c r="B66" s="112" t="s">
        <v>174</v>
      </c>
      <c r="C66" s="112" t="str">
        <f>CityU!C47</f>
        <v>工學士(智能製造工程學)</v>
      </c>
      <c r="D66" s="112" t="str">
        <f>CityU!D47</f>
        <v>ITME</v>
      </c>
      <c r="E66" s="125" t="str">
        <f>CityU!E47</f>
        <v>Best 5</v>
      </c>
      <c r="F66" s="128" t="s">
        <v>541</v>
      </c>
      <c r="G66" s="128" t="str">
        <f>CityU!F47</f>
        <v>/</v>
      </c>
      <c r="H66" s="128" t="str">
        <f>CityU!G47</f>
        <v>/</v>
      </c>
      <c r="I66" s="128">
        <f>'計分版'!D70</f>
        <v>0.000000004</v>
      </c>
      <c r="J66" s="112">
        <f>CityU!K47</f>
        <v>20</v>
      </c>
      <c r="K66" s="160" t="str">
        <f>CityU!AA47</f>
        <v>/</v>
      </c>
      <c r="L66" s="153" t="str">
        <f>IFERROR(CityU!AI47/CityU!AB47,"新科目")</f>
        <v>新科目</v>
      </c>
      <c r="M66" s="112">
        <f>'入學要求'!S48</f>
        <v>0</v>
      </c>
      <c r="N66" s="112"/>
      <c r="O66" s="112"/>
      <c r="P66" s="112"/>
      <c r="Q66" s="112"/>
      <c r="R66" s="112"/>
      <c r="S66" s="112"/>
      <c r="T66" s="112"/>
      <c r="U66" s="112"/>
      <c r="V66" s="112"/>
      <c r="W66" s="112"/>
      <c r="X66" s="112"/>
      <c r="Y66" s="112"/>
      <c r="Z66" s="112"/>
      <c r="AA66" s="112"/>
      <c r="AB66" s="112"/>
    </row>
    <row r="67" ht="15.75" customHeight="1">
      <c r="A67" s="112" t="str">
        <f>CityU!A48</f>
        <v>JS1801</v>
      </c>
      <c r="B67" s="112" t="s">
        <v>174</v>
      </c>
      <c r="C67" s="112" t="str">
        <f>CityU!C48</f>
        <v>獸醫學學士</v>
      </c>
      <c r="D67" s="112" t="str">
        <f>CityU!D48</f>
        <v>BVM</v>
      </c>
      <c r="E67" s="125" t="str">
        <f>CityU!E48</f>
        <v>4C2X</v>
      </c>
      <c r="F67" s="128" t="s">
        <v>541</v>
      </c>
      <c r="G67" s="128">
        <f>CityU!F48</f>
        <v>33</v>
      </c>
      <c r="H67" s="128">
        <f>CityU!G48</f>
        <v>33</v>
      </c>
      <c r="I67" s="128">
        <f>'計分版'!D71</f>
        <v>0.0000000027</v>
      </c>
      <c r="J67" s="112">
        <f>CityU!K48</f>
        <v>30</v>
      </c>
      <c r="K67" s="160">
        <f>CityU!AA48</f>
        <v>16</v>
      </c>
      <c r="L67" s="153">
        <f>IFERROR(CityU!AI48/CityU!AB48,"新科目")</f>
        <v>9.4375</v>
      </c>
      <c r="M67" s="112">
        <f>'入學要求'!S49</f>
        <v>0</v>
      </c>
      <c r="N67" s="112"/>
      <c r="O67" s="112"/>
      <c r="P67" s="112"/>
      <c r="Q67" s="112"/>
      <c r="R67" s="112"/>
      <c r="S67" s="112"/>
      <c r="T67" s="112"/>
      <c r="U67" s="112"/>
      <c r="V67" s="112"/>
      <c r="W67" s="112"/>
      <c r="X67" s="112"/>
      <c r="Y67" s="112"/>
      <c r="Z67" s="112"/>
      <c r="AA67" s="112"/>
      <c r="AB67" s="112"/>
    </row>
    <row r="68" ht="15.75" customHeight="1">
      <c r="A68" s="112" t="str">
        <f>CityU!A49</f>
        <v>JS1805</v>
      </c>
      <c r="B68" s="112" t="s">
        <v>174</v>
      </c>
      <c r="C68" s="112" t="str">
        <f>CityU!C49</f>
        <v>生物醫學系 [選項: 理學士(生物科學)、理學士(生物醫學)]</v>
      </c>
      <c r="D68" s="112" t="str">
        <f>CityU!D49</f>
        <v>BMS</v>
      </c>
      <c r="E68" s="125" t="str">
        <f>CityU!E49</f>
        <v>4C2X</v>
      </c>
      <c r="F68" s="128" t="s">
        <v>541</v>
      </c>
      <c r="G68" s="128">
        <f>CityU!F49</f>
        <v>38</v>
      </c>
      <c r="H68" s="128">
        <f>CityU!G49</f>
        <v>37.5</v>
      </c>
      <c r="I68" s="128">
        <f>'計分版'!D72</f>
        <v>0.00000000305</v>
      </c>
      <c r="J68" s="112">
        <f>CityU!K49</f>
        <v>25</v>
      </c>
      <c r="K68" s="160">
        <f>CityU!AA49</f>
        <v>24</v>
      </c>
      <c r="L68" s="153">
        <f>IFERROR(CityU!AI49/CityU!AB49,"新科目")</f>
        <v>8.619047619</v>
      </c>
      <c r="M68" s="112">
        <f>'入學要求'!S50</f>
        <v>0</v>
      </c>
      <c r="N68" s="112"/>
      <c r="O68" s="112"/>
      <c r="P68" s="112"/>
      <c r="Q68" s="112"/>
      <c r="R68" s="112"/>
      <c r="S68" s="112"/>
      <c r="T68" s="112"/>
      <c r="U68" s="112"/>
      <c r="V68" s="112"/>
      <c r="W68" s="112"/>
      <c r="X68" s="112"/>
      <c r="Y68" s="112"/>
      <c r="Z68" s="112"/>
      <c r="AA68" s="112"/>
      <c r="AB68" s="112"/>
    </row>
    <row r="69" ht="15.75" customHeight="1">
      <c r="A69" s="112" t="str">
        <f>CityU!A50</f>
        <v>JS1806</v>
      </c>
      <c r="B69" s="112" t="s">
        <v>174</v>
      </c>
      <c r="C69" s="112" t="str">
        <f>CityU!C50</f>
        <v>理學士(生物科學)</v>
      </c>
      <c r="D69" s="112" t="str">
        <f>CityU!D50</f>
        <v>BScBISI</v>
      </c>
      <c r="E69" s="125" t="str">
        <f>CityU!E50</f>
        <v>4C2X</v>
      </c>
      <c r="F69" s="128" t="s">
        <v>541</v>
      </c>
      <c r="G69" s="128">
        <f>CityU!F50</f>
        <v>33.5</v>
      </c>
      <c r="H69" s="128">
        <f>CityU!G50</f>
        <v>33</v>
      </c>
      <c r="I69" s="128">
        <f>'計分版'!D73</f>
        <v>0.00000000305</v>
      </c>
      <c r="J69" s="112">
        <f>CityU!K50</f>
        <v>30</v>
      </c>
      <c r="K69" s="160">
        <f>CityU!AA50</f>
        <v>22</v>
      </c>
      <c r="L69" s="153">
        <f>IFERROR(CityU!AI50/CityU!AB50,"新科目")</f>
        <v>10.5</v>
      </c>
      <c r="M69" s="112">
        <f>'入學要求'!S51</f>
        <v>0</v>
      </c>
      <c r="N69" s="112"/>
      <c r="O69" s="112"/>
      <c r="P69" s="112"/>
      <c r="Q69" s="112"/>
      <c r="R69" s="112"/>
      <c r="S69" s="112"/>
      <c r="T69" s="112"/>
      <c r="U69" s="112"/>
      <c r="V69" s="112"/>
      <c r="W69" s="112"/>
      <c r="X69" s="112"/>
      <c r="Y69" s="112"/>
      <c r="Z69" s="112"/>
      <c r="AA69" s="112"/>
      <c r="AB69" s="112"/>
    </row>
    <row r="70" ht="15.75" customHeight="1">
      <c r="A70" s="112" t="str">
        <f>CityU!A51</f>
        <v>JS1807</v>
      </c>
      <c r="B70" s="112" t="s">
        <v>174</v>
      </c>
      <c r="C70" s="112" t="str">
        <f>CityU!C51</f>
        <v>理學士(生物醫學)</v>
      </c>
      <c r="D70" s="112" t="str">
        <f>CityU!D51</f>
        <v>BScBMS</v>
      </c>
      <c r="E70" s="125" t="str">
        <f>CityU!E51</f>
        <v>4C2X</v>
      </c>
      <c r="F70" s="128" t="s">
        <v>541</v>
      </c>
      <c r="G70" s="128">
        <f>CityU!F51</f>
        <v>40</v>
      </c>
      <c r="H70" s="128">
        <f>CityU!G51</f>
        <v>39</v>
      </c>
      <c r="I70" s="128">
        <f>'計分版'!D74</f>
        <v>0.00000000305</v>
      </c>
      <c r="J70" s="112">
        <f>CityU!K51</f>
        <v>30</v>
      </c>
      <c r="K70" s="160">
        <f>CityU!AA51</f>
        <v>25</v>
      </c>
      <c r="L70" s="153">
        <f>IFERROR(CityU!AI51/CityU!AB51,"新科目")</f>
        <v>7.708333333</v>
      </c>
      <c r="M70" s="112">
        <f>'入學要求'!S52</f>
        <v>0</v>
      </c>
      <c r="N70" s="112"/>
      <c r="O70" s="112"/>
      <c r="P70" s="112"/>
      <c r="Q70" s="112"/>
      <c r="R70" s="112"/>
      <c r="S70" s="112"/>
      <c r="T70" s="112"/>
      <c r="U70" s="112"/>
      <c r="V70" s="112"/>
      <c r="W70" s="112"/>
      <c r="X70" s="112"/>
      <c r="Y70" s="112"/>
      <c r="Z70" s="112"/>
      <c r="AA70" s="112"/>
      <c r="AB70" s="112"/>
    </row>
    <row r="71" ht="15.75" customHeight="1">
      <c r="A71" s="112"/>
      <c r="B71" s="112"/>
      <c r="C71" s="112"/>
      <c r="D71" s="112"/>
      <c r="E71" s="125"/>
      <c r="F71" s="128"/>
      <c r="G71" s="128"/>
      <c r="H71" s="128"/>
      <c r="I71" s="128"/>
      <c r="J71" s="112"/>
      <c r="K71" s="112"/>
      <c r="L71" s="153"/>
      <c r="M71" s="112"/>
      <c r="N71" s="112"/>
      <c r="O71" s="112"/>
      <c r="P71" s="112"/>
      <c r="Q71" s="112"/>
      <c r="R71" s="112"/>
      <c r="S71" s="112"/>
      <c r="T71" s="112"/>
      <c r="U71" s="112"/>
      <c r="V71" s="112"/>
      <c r="W71" s="112"/>
      <c r="X71" s="112"/>
      <c r="Y71" s="112"/>
      <c r="Z71" s="112"/>
      <c r="AA71" s="112"/>
      <c r="AB71" s="112"/>
    </row>
    <row r="72" ht="15.75" customHeight="1">
      <c r="A72" s="157"/>
      <c r="B72" s="157"/>
      <c r="C72" s="157"/>
      <c r="D72" s="157"/>
      <c r="E72" s="158"/>
      <c r="F72" s="159" t="s">
        <v>45</v>
      </c>
      <c r="G72" s="159" t="s">
        <v>46</v>
      </c>
      <c r="H72" s="159" t="s">
        <v>47</v>
      </c>
      <c r="I72" s="159" t="str">
        <f>'計分版'!D76</f>
        <v>總分</v>
      </c>
      <c r="J72" s="157"/>
      <c r="K72" s="157"/>
      <c r="L72" s="161"/>
      <c r="M72" s="112"/>
      <c r="N72" s="112"/>
      <c r="O72" s="112"/>
      <c r="P72" s="112"/>
      <c r="Q72" s="112"/>
      <c r="R72" s="112"/>
      <c r="S72" s="112"/>
      <c r="T72" s="112"/>
      <c r="U72" s="112"/>
      <c r="V72" s="112"/>
      <c r="W72" s="112"/>
      <c r="X72" s="112"/>
      <c r="Y72" s="112"/>
      <c r="Z72" s="112"/>
      <c r="AA72" s="112"/>
      <c r="AB72" s="112"/>
    </row>
    <row r="73" ht="15.75" customHeight="1">
      <c r="A73" s="112" t="str">
        <f>HKBU!A2</f>
        <v>JS2020</v>
      </c>
      <c r="B73" s="112" t="s">
        <v>227</v>
      </c>
      <c r="C73" s="125" t="str">
        <f>HKBU!C2</f>
        <v>文學士</v>
      </c>
      <c r="D73" s="125" t="str">
        <f>HKBU!D2</f>
        <v>BA</v>
      </c>
      <c r="E73" s="125" t="str">
        <f>HKBU!E2</f>
        <v>4C2X</v>
      </c>
      <c r="F73" s="128" t="s">
        <v>541</v>
      </c>
      <c r="G73" s="128">
        <f>HKBU!F2</f>
        <v>24</v>
      </c>
      <c r="H73" s="128">
        <f>HKBU!G2</f>
        <v>24</v>
      </c>
      <c r="I73" s="128">
        <f>'計分版'!D77</f>
        <v>0.00000000285</v>
      </c>
      <c r="J73" s="112">
        <f>HKBU!K2</f>
        <v>56</v>
      </c>
      <c r="K73" s="112">
        <f>HKBU!AA2</f>
        <v>53</v>
      </c>
      <c r="L73" s="153">
        <f>IFERROR(HKBU!AI2/HKBU!AB2,"新科目")</f>
        <v>16.27659574</v>
      </c>
      <c r="M73" s="112">
        <f>'入學要求'!S56</f>
        <v>0</v>
      </c>
      <c r="N73" s="112"/>
      <c r="O73" s="112"/>
      <c r="P73" s="112"/>
      <c r="Q73" s="112"/>
      <c r="R73" s="112"/>
      <c r="S73" s="112"/>
      <c r="T73" s="112"/>
      <c r="U73" s="112"/>
      <c r="V73" s="112"/>
      <c r="W73" s="112"/>
      <c r="X73" s="112"/>
      <c r="Y73" s="112"/>
      <c r="Z73" s="112"/>
      <c r="AA73" s="112"/>
      <c r="AB73" s="112"/>
    </row>
    <row r="74" ht="15.75" customHeight="1">
      <c r="A74" s="112" t="str">
        <f>HKBU!A3</f>
        <v>JS2021</v>
      </c>
      <c r="B74" s="112" t="s">
        <v>227</v>
      </c>
      <c r="C74" s="125" t="str">
        <f>HKBU!C3</f>
        <v>中國語言文學文學士</v>
      </c>
      <c r="D74" s="125" t="str">
        <f>HKBU!D3</f>
        <v>BA(CHI)</v>
      </c>
      <c r="E74" s="125" t="str">
        <f>HKBU!E3</f>
        <v>4C2X</v>
      </c>
      <c r="F74" s="128" t="s">
        <v>541</v>
      </c>
      <c r="G74" s="128">
        <f>HKBU!F3</f>
        <v>25</v>
      </c>
      <c r="H74" s="128">
        <f>HKBU!G3</f>
        <v>25</v>
      </c>
      <c r="I74" s="128">
        <f>'計分版'!D78</f>
        <v>0.00000000285</v>
      </c>
      <c r="J74" s="112">
        <f>HKBU!K3</f>
        <v>18</v>
      </c>
      <c r="K74" s="112">
        <f>HKBU!AA3</f>
        <v>20</v>
      </c>
      <c r="L74" s="153">
        <f>IFERROR(HKBU!AI3/HKBU!AB3,"新科目")</f>
        <v>14.25</v>
      </c>
      <c r="M74" s="112">
        <f>'入學要求'!S57</f>
        <v>0</v>
      </c>
      <c r="N74" s="112"/>
      <c r="O74" s="112"/>
      <c r="P74" s="112"/>
      <c r="Q74" s="112"/>
      <c r="R74" s="112"/>
      <c r="S74" s="112"/>
      <c r="T74" s="112"/>
      <c r="U74" s="112"/>
      <c r="V74" s="112"/>
      <c r="W74" s="112"/>
      <c r="X74" s="112"/>
      <c r="Y74" s="112"/>
      <c r="Z74" s="112"/>
      <c r="AA74" s="112"/>
      <c r="AB74" s="112"/>
    </row>
    <row r="75" ht="15.75" customHeight="1">
      <c r="A75" s="112" t="str">
        <f>HKBU!A4</f>
        <v>JS2022</v>
      </c>
      <c r="B75" s="112" t="s">
        <v>227</v>
      </c>
      <c r="C75" s="125" t="str">
        <f>HKBU!C4</f>
        <v>創意及專業寫作文學士</v>
      </c>
      <c r="D75" s="125" t="str">
        <f>HKBU!D4</f>
        <v>BA(CPW)</v>
      </c>
      <c r="E75" s="125" t="str">
        <f>HKBU!E4</f>
        <v>4C2X</v>
      </c>
      <c r="F75" s="128" t="s">
        <v>541</v>
      </c>
      <c r="G75" s="128">
        <f>HKBU!F4</f>
        <v>23</v>
      </c>
      <c r="H75" s="128">
        <f>HKBU!G4</f>
        <v>23</v>
      </c>
      <c r="I75" s="128">
        <f>'計分版'!D79</f>
        <v>0.00000000285</v>
      </c>
      <c r="J75" s="112">
        <f>HKBU!K4</f>
        <v>14</v>
      </c>
      <c r="K75" s="112">
        <f>HKBU!AA4</f>
        <v>13</v>
      </c>
      <c r="L75" s="153">
        <f>IFERROR(HKBU!AI4/HKBU!AB4,"新科目")</f>
        <v>19</v>
      </c>
      <c r="M75" s="112">
        <f>'入學要求'!S58</f>
        <v>0</v>
      </c>
      <c r="N75" s="112"/>
      <c r="O75" s="112"/>
      <c r="P75" s="112"/>
      <c r="Q75" s="112"/>
      <c r="R75" s="112"/>
      <c r="S75" s="112"/>
      <c r="T75" s="112"/>
      <c r="U75" s="112"/>
      <c r="V75" s="112"/>
      <c r="W75" s="112"/>
      <c r="X75" s="112"/>
      <c r="Y75" s="112"/>
      <c r="Z75" s="112"/>
      <c r="AA75" s="112"/>
      <c r="AB75" s="112"/>
    </row>
    <row r="76" ht="15.75" customHeight="1">
      <c r="A76" s="112" t="str">
        <f>HKBU!A5</f>
        <v>JS2023</v>
      </c>
      <c r="B76" s="112" t="s">
        <v>227</v>
      </c>
      <c r="C76" s="125" t="str">
        <f>HKBU!C5</f>
        <v>英國語言文學文學士</v>
      </c>
      <c r="D76" s="125" t="str">
        <f>HKBU!D5</f>
        <v>BA(ENG)</v>
      </c>
      <c r="E76" s="125" t="str">
        <f>HKBU!E5</f>
        <v>4C2X</v>
      </c>
      <c r="F76" s="128" t="s">
        <v>541</v>
      </c>
      <c r="G76" s="128">
        <f>HKBU!F5</f>
        <v>22</v>
      </c>
      <c r="H76" s="128">
        <f>HKBU!G5</f>
        <v>21</v>
      </c>
      <c r="I76" s="128">
        <f>'計分版'!D80</f>
        <v>0.00000000285</v>
      </c>
      <c r="J76" s="112">
        <f>HKBU!K5</f>
        <v>14</v>
      </c>
      <c r="K76" s="112">
        <f>HKBU!AA5</f>
        <v>15</v>
      </c>
      <c r="L76" s="153">
        <f>IFERROR(HKBU!AI5/HKBU!AB5,"新科目")</f>
        <v>8</v>
      </c>
      <c r="M76" s="112">
        <f>'入學要求'!S59</f>
        <v>0</v>
      </c>
      <c r="N76" s="112"/>
      <c r="O76" s="112"/>
      <c r="P76" s="112"/>
      <c r="Q76" s="112"/>
      <c r="R76" s="112"/>
      <c r="S76" s="112"/>
      <c r="T76" s="112"/>
      <c r="U76" s="112"/>
      <c r="V76" s="112"/>
      <c r="W76" s="112"/>
      <c r="X76" s="112"/>
      <c r="Y76" s="112"/>
      <c r="Z76" s="112"/>
      <c r="AA76" s="112"/>
      <c r="AB76" s="112"/>
    </row>
    <row r="77" ht="15.75" customHeight="1">
      <c r="A77" s="112" t="str">
        <f>HKBU!A6</f>
        <v>JS2024</v>
      </c>
      <c r="B77" s="112" t="s">
        <v>227</v>
      </c>
      <c r="C77" s="125" t="str">
        <f>HKBU!C6</f>
        <v>人文學文學士</v>
      </c>
      <c r="D77" s="125" t="str">
        <f>HKBU!D6</f>
        <v>BA(HUM)</v>
      </c>
      <c r="E77" s="125" t="str">
        <f>HKBU!E6</f>
        <v>4C2X</v>
      </c>
      <c r="F77" s="128" t="s">
        <v>541</v>
      </c>
      <c r="G77" s="128">
        <f>HKBU!F6</f>
        <v>23</v>
      </c>
      <c r="H77" s="128">
        <f>HKBU!G6</f>
        <v>23</v>
      </c>
      <c r="I77" s="128">
        <f>'計分版'!D81</f>
        <v>0.00000000285</v>
      </c>
      <c r="J77" s="112">
        <f>HKBU!K6</f>
        <v>14</v>
      </c>
      <c r="K77" s="112">
        <f>HKBU!AA6</f>
        <v>16</v>
      </c>
      <c r="L77" s="153">
        <f>IFERROR(HKBU!AI6/HKBU!AB6,"新科目")</f>
        <v>7.6</v>
      </c>
      <c r="M77" s="112">
        <f>'入學要求'!S60</f>
        <v>0</v>
      </c>
      <c r="N77" s="112"/>
      <c r="O77" s="112"/>
      <c r="P77" s="112"/>
      <c r="Q77" s="112"/>
      <c r="R77" s="112"/>
      <c r="S77" s="112"/>
      <c r="T77" s="112"/>
      <c r="U77" s="112"/>
      <c r="V77" s="112"/>
      <c r="W77" s="112"/>
      <c r="X77" s="112"/>
      <c r="Y77" s="112"/>
      <c r="Z77" s="112"/>
      <c r="AA77" s="112"/>
      <c r="AB77" s="112"/>
    </row>
    <row r="78" ht="15.75" customHeight="1">
      <c r="A78" s="112" t="str">
        <f>HKBU!A7</f>
        <v>JS2025</v>
      </c>
      <c r="B78" s="112" t="s">
        <v>227</v>
      </c>
      <c r="C78" s="125" t="str">
        <f>HKBU!C7</f>
        <v>宗教、哲學及倫理文學士</v>
      </c>
      <c r="D78" s="125" t="str">
        <f>HKBU!D7</f>
        <v>BA(RPE)</v>
      </c>
      <c r="E78" s="125" t="str">
        <f>HKBU!E7</f>
        <v>4C2X</v>
      </c>
      <c r="F78" s="128" t="s">
        <v>541</v>
      </c>
      <c r="G78" s="128">
        <f>HKBU!F7</f>
        <v>24</v>
      </c>
      <c r="H78" s="128">
        <f>HKBU!G7</f>
        <v>23</v>
      </c>
      <c r="I78" s="128">
        <f>'計分版'!D82</f>
        <v>0.00000000285</v>
      </c>
      <c r="J78" s="112">
        <f>HKBU!K7</f>
        <v>10</v>
      </c>
      <c r="K78" s="112">
        <f>HKBU!AA7</f>
        <v>8</v>
      </c>
      <c r="L78" s="153">
        <f>IFERROR(HKBU!AI7/HKBU!AB7,"新科目")</f>
        <v>14.57142857</v>
      </c>
      <c r="M78" s="112">
        <f>'入學要求'!S61</f>
        <v>0</v>
      </c>
      <c r="N78" s="112"/>
      <c r="O78" s="112"/>
      <c r="P78" s="112"/>
      <c r="Q78" s="112"/>
      <c r="R78" s="112"/>
      <c r="S78" s="112"/>
      <c r="T78" s="112"/>
      <c r="U78" s="112"/>
      <c r="V78" s="112"/>
      <c r="W78" s="112"/>
      <c r="X78" s="112"/>
      <c r="Y78" s="112"/>
      <c r="Z78" s="112"/>
      <c r="AA78" s="112"/>
      <c r="AB78" s="112"/>
    </row>
    <row r="79" ht="15.75" customHeight="1">
      <c r="A79" s="112" t="str">
        <f>HKBU!A8</f>
        <v>JS2026</v>
      </c>
      <c r="B79" s="112" t="s">
        <v>227</v>
      </c>
      <c r="C79" s="125" t="str">
        <f>HKBU!C8</f>
        <v>翻譯學文學士</v>
      </c>
      <c r="D79" s="125" t="str">
        <f>HKBU!D8</f>
        <v>BA(TRAN)</v>
      </c>
      <c r="E79" s="125" t="str">
        <f>HKBU!E8</f>
        <v>4C2X</v>
      </c>
      <c r="F79" s="128" t="s">
        <v>541</v>
      </c>
      <c r="G79" s="128">
        <f>HKBU!F8</f>
        <v>24</v>
      </c>
      <c r="H79" s="128">
        <f>HKBU!G8</f>
        <v>23</v>
      </c>
      <c r="I79" s="128">
        <f>'計分版'!D83</f>
        <v>0.00000000285</v>
      </c>
      <c r="J79" s="112">
        <f>HKBU!K8</f>
        <v>14</v>
      </c>
      <c r="K79" s="112">
        <f>HKBU!AA8</f>
        <v>14</v>
      </c>
      <c r="L79" s="153">
        <f>IFERROR(HKBU!AI8/HKBU!AB8,"新科目")</f>
        <v>15</v>
      </c>
      <c r="M79" s="112">
        <f>'入學要求'!S62</f>
        <v>0</v>
      </c>
      <c r="N79" s="112"/>
      <c r="O79" s="112"/>
      <c r="P79" s="112"/>
      <c r="Q79" s="112"/>
      <c r="R79" s="112"/>
      <c r="S79" s="112"/>
      <c r="T79" s="112"/>
      <c r="U79" s="112"/>
      <c r="V79" s="112"/>
      <c r="W79" s="112"/>
      <c r="X79" s="112"/>
      <c r="Y79" s="112"/>
      <c r="Z79" s="112"/>
      <c r="AA79" s="112"/>
      <c r="AB79" s="112"/>
    </row>
    <row r="80" ht="15.75" customHeight="1">
      <c r="A80" s="112" t="str">
        <f>HKBU!A9</f>
        <v>JS2030</v>
      </c>
      <c r="B80" s="112" t="s">
        <v>227</v>
      </c>
      <c r="C80" s="125" t="str">
        <f>HKBU!C9</f>
        <v>音樂文學士</v>
      </c>
      <c r="D80" s="125" t="str">
        <f>HKBU!D9</f>
        <v>BA(MUSIC)</v>
      </c>
      <c r="E80" s="125" t="str">
        <f>HKBU!E9</f>
        <v>4C2X</v>
      </c>
      <c r="F80" s="128" t="s">
        <v>541</v>
      </c>
      <c r="G80" s="128">
        <f>HKBU!F9</f>
        <v>26</v>
      </c>
      <c r="H80" s="128">
        <f>HKBU!G9</f>
        <v>27</v>
      </c>
      <c r="I80" s="128">
        <f>'計分版'!D84</f>
        <v>0.00000000285</v>
      </c>
      <c r="J80" s="112">
        <f>HKBU!K9</f>
        <v>28</v>
      </c>
      <c r="K80" s="112">
        <f>HKBU!AA9</f>
        <v>12</v>
      </c>
      <c r="L80" s="153">
        <f>IFERROR(HKBU!AI9/HKBU!AB9,"新科目")</f>
        <v>19.75</v>
      </c>
      <c r="M80" s="112">
        <f>'入學要求'!S63</f>
        <v>0</v>
      </c>
      <c r="N80" s="112"/>
      <c r="O80" s="112"/>
      <c r="P80" s="112"/>
      <c r="Q80" s="112"/>
      <c r="R80" s="112"/>
      <c r="S80" s="112"/>
      <c r="T80" s="112"/>
      <c r="U80" s="112"/>
      <c r="V80" s="112"/>
      <c r="W80" s="112"/>
      <c r="X80" s="112"/>
      <c r="Y80" s="112"/>
      <c r="Z80" s="112"/>
      <c r="AA80" s="112"/>
      <c r="AB80" s="112"/>
    </row>
    <row r="81" ht="15.75" customHeight="1">
      <c r="A81" s="112" t="str">
        <f>HKBU!A10</f>
        <v>JS2040</v>
      </c>
      <c r="B81" s="112" t="s">
        <v>227</v>
      </c>
      <c r="C81" s="125" t="str">
        <f>HKBU!C10</f>
        <v>英國語言文學及英語教學 (雙學位課程)</v>
      </c>
      <c r="D81" s="125" t="str">
        <f>HKBU!D10</f>
        <v>BA(ELL)&amp;BEd(ELT)</v>
      </c>
      <c r="E81" s="125" t="str">
        <f>HKBU!E10</f>
        <v>4C2X</v>
      </c>
      <c r="F81" s="128" t="s">
        <v>541</v>
      </c>
      <c r="G81" s="128">
        <f>HKBU!F10</f>
        <v>40.5</v>
      </c>
      <c r="H81" s="128">
        <f>HKBU!G10</f>
        <v>39</v>
      </c>
      <c r="I81" s="128">
        <f>'計分版'!D85</f>
        <v>0.00000000345</v>
      </c>
      <c r="J81" s="112">
        <f>HKBU!K10</f>
        <v>40</v>
      </c>
      <c r="K81" s="112">
        <f>HKBU!AA10</f>
        <v>38</v>
      </c>
      <c r="L81" s="153">
        <f>IFERROR(HKBU!AI10/HKBU!AB10,"新科目")</f>
        <v>6.882352941</v>
      </c>
      <c r="M81" s="112">
        <f>'入學要求'!S64</f>
        <v>0</v>
      </c>
      <c r="N81" s="112"/>
      <c r="O81" s="112"/>
      <c r="P81" s="112"/>
      <c r="Q81" s="112"/>
      <c r="R81" s="112"/>
      <c r="S81" s="112"/>
      <c r="T81" s="112"/>
      <c r="U81" s="112"/>
      <c r="V81" s="112"/>
      <c r="W81" s="112"/>
      <c r="X81" s="112"/>
      <c r="Y81" s="112"/>
      <c r="Z81" s="112"/>
      <c r="AA81" s="112"/>
      <c r="AB81" s="112"/>
    </row>
    <row r="82" ht="15.75" customHeight="1">
      <c r="A82" s="112" t="str">
        <f>HKBU!A11</f>
        <v>JS2050</v>
      </c>
      <c r="B82" s="112" t="s">
        <v>227</v>
      </c>
      <c r="C82" s="125" t="str">
        <f>HKBU!C11</f>
        <v>創意產業音樂學士</v>
      </c>
      <c r="D82" s="125" t="str">
        <f>HKBU!D11</f>
        <v>BMUSIC(CI)</v>
      </c>
      <c r="E82" s="125" t="str">
        <f>HKBU!E11</f>
        <v>4C2X</v>
      </c>
      <c r="F82" s="128" t="s">
        <v>541</v>
      </c>
      <c r="G82" s="128">
        <f>HKBU!F11</f>
        <v>27</v>
      </c>
      <c r="H82" s="128">
        <f>HKBU!G11</f>
        <v>24</v>
      </c>
      <c r="I82" s="128">
        <f>'計分版'!D86</f>
        <v>0.00000000285</v>
      </c>
      <c r="J82" s="112">
        <f>HKBU!K11</f>
        <v>15</v>
      </c>
      <c r="K82" s="112">
        <f>HKBU!AA11</f>
        <v>7</v>
      </c>
      <c r="L82" s="153">
        <f>IFERROR(HKBU!AI11/HKBU!AB11,"新科目")</f>
        <v>19.28571429</v>
      </c>
      <c r="M82" s="112">
        <f>'入學要求'!S65</f>
        <v>0</v>
      </c>
      <c r="N82" s="112"/>
      <c r="O82" s="112"/>
      <c r="P82" s="112"/>
      <c r="Q82" s="112"/>
      <c r="R82" s="112"/>
      <c r="S82" s="112"/>
      <c r="T82" s="112"/>
      <c r="U82" s="112"/>
      <c r="V82" s="112"/>
      <c r="W82" s="112"/>
      <c r="X82" s="112"/>
      <c r="Y82" s="112"/>
      <c r="Z82" s="112"/>
      <c r="AA82" s="112"/>
      <c r="AB82" s="112"/>
    </row>
    <row r="83" ht="15.75" customHeight="1">
      <c r="A83" s="112" t="str">
        <f>HKBU!A12</f>
        <v>JS2110</v>
      </c>
      <c r="B83" s="112" t="s">
        <v>227</v>
      </c>
      <c r="C83" s="125" t="str">
        <f>HKBU!C12</f>
        <v>工商管理學士 - 會計學專修</v>
      </c>
      <c r="D83" s="125" t="str">
        <f>HKBU!D12</f>
        <v>BBA(ACCT)</v>
      </c>
      <c r="E83" s="125" t="str">
        <f>HKBU!E12</f>
        <v>Best 6</v>
      </c>
      <c r="F83" s="128" t="s">
        <v>541</v>
      </c>
      <c r="G83" s="128">
        <f>HKBU!F12</f>
        <v>25</v>
      </c>
      <c r="H83" s="128">
        <f>HKBU!G12</f>
        <v>25</v>
      </c>
      <c r="I83" s="128">
        <f>'計分版'!D87</f>
        <v>0.00000000445</v>
      </c>
      <c r="J83" s="112">
        <f>HKBU!K12</f>
        <v>50</v>
      </c>
      <c r="K83" s="112">
        <f>HKBU!AA12</f>
        <v>29</v>
      </c>
      <c r="L83" s="153">
        <f>IFERROR(HKBU!AI12/HKBU!AB12,"新科目")</f>
        <v>24.04347826</v>
      </c>
      <c r="M83" s="112">
        <f>'入學要求'!S66</f>
        <v>0</v>
      </c>
      <c r="N83" s="112"/>
      <c r="O83" s="112"/>
      <c r="P83" s="112"/>
      <c r="Q83" s="112"/>
      <c r="R83" s="112"/>
      <c r="S83" s="112"/>
      <c r="T83" s="112"/>
      <c r="U83" s="112"/>
      <c r="V83" s="112"/>
      <c r="W83" s="112"/>
      <c r="X83" s="112"/>
      <c r="Y83" s="112"/>
      <c r="Z83" s="112"/>
      <c r="AA83" s="112"/>
      <c r="AB83" s="112"/>
    </row>
    <row r="84" ht="15.75" customHeight="1">
      <c r="A84" s="112" t="str">
        <f>HKBU!A13</f>
        <v>JS2120</v>
      </c>
      <c r="B84" s="112" t="s">
        <v>227</v>
      </c>
      <c r="C84" s="125" t="str">
        <f>HKBU!C13</f>
        <v>工商管理學士</v>
      </c>
      <c r="D84" s="125" t="str">
        <f>HKBU!D13</f>
        <v>BBA</v>
      </c>
      <c r="E84" s="125" t="str">
        <f>HKBU!E13</f>
        <v>Best 6</v>
      </c>
      <c r="F84" s="128" t="s">
        <v>541</v>
      </c>
      <c r="G84" s="128">
        <f>HKBU!F13</f>
        <v>25</v>
      </c>
      <c r="H84" s="128">
        <f>HKBU!G13</f>
        <v>24.5</v>
      </c>
      <c r="I84" s="128">
        <f>'計分版'!D88</f>
        <v>0.00000000445</v>
      </c>
      <c r="J84" s="112">
        <f>HKBU!K13</f>
        <v>193</v>
      </c>
      <c r="K84" s="112">
        <f>HKBU!AA13</f>
        <v>167</v>
      </c>
      <c r="L84" s="153">
        <f>IFERROR(HKBU!AI13/HKBU!AB13,"新科目")</f>
        <v>11.92993631</v>
      </c>
      <c r="M84" s="112">
        <f>'入學要求'!S67</f>
        <v>0</v>
      </c>
      <c r="N84" s="112"/>
      <c r="O84" s="112"/>
      <c r="P84" s="112"/>
      <c r="Q84" s="112"/>
      <c r="R84" s="112"/>
      <c r="S84" s="112"/>
      <c r="T84" s="112"/>
      <c r="U84" s="112"/>
      <c r="V84" s="112"/>
      <c r="W84" s="112"/>
      <c r="X84" s="112"/>
      <c r="Y84" s="112"/>
      <c r="Z84" s="112"/>
      <c r="AA84" s="112"/>
      <c r="AB84" s="112"/>
    </row>
    <row r="85" ht="15.75" customHeight="1">
      <c r="A85" s="112" t="str">
        <f>HKBU!A14</f>
        <v>JS2320</v>
      </c>
      <c r="B85" s="112" t="s">
        <v>227</v>
      </c>
      <c r="C85" s="125" t="str">
        <f>HKBU!C14</f>
        <v>傳理學學士 - 電影主修 - 動畫及媒體藝術專修</v>
      </c>
      <c r="D85" s="125" t="str">
        <f>HKBU!D14</f>
        <v>BCOMM(AMA)</v>
      </c>
      <c r="E85" s="125" t="str">
        <f>HKBU!E14</f>
        <v>Best 5</v>
      </c>
      <c r="F85" s="128" t="s">
        <v>541</v>
      </c>
      <c r="G85" s="128">
        <f>HKBU!F14</f>
        <v>22</v>
      </c>
      <c r="H85" s="128">
        <f>HKBU!G14</f>
        <v>22</v>
      </c>
      <c r="I85" s="128">
        <f>'計分版'!D89</f>
        <v>0.000000003025</v>
      </c>
      <c r="J85" s="112">
        <f>HKBU!K14</f>
        <v>13</v>
      </c>
      <c r="K85" s="112">
        <f>HKBU!AA14</f>
        <v>14</v>
      </c>
      <c r="L85" s="153">
        <f>IFERROR(HKBU!AI14/HKBU!AB14,"新科目")</f>
        <v>39.28571429</v>
      </c>
      <c r="M85" s="112">
        <f>'入學要求'!S68</f>
        <v>0</v>
      </c>
      <c r="N85" s="112"/>
      <c r="O85" s="112"/>
      <c r="P85" s="112"/>
      <c r="Q85" s="112"/>
      <c r="R85" s="112"/>
      <c r="S85" s="112"/>
      <c r="T85" s="112"/>
      <c r="U85" s="112"/>
      <c r="V85" s="112"/>
      <c r="W85" s="112"/>
      <c r="X85" s="112"/>
      <c r="Y85" s="112"/>
      <c r="Z85" s="112"/>
      <c r="AA85" s="112"/>
      <c r="AB85" s="112"/>
    </row>
    <row r="86" ht="15.75" customHeight="1">
      <c r="A86" s="112" t="str">
        <f>HKBU!A15</f>
        <v>JS2330</v>
      </c>
      <c r="B86" s="112" t="s">
        <v>227</v>
      </c>
      <c r="C86" s="125" t="str">
        <f>HKBU!C15</f>
        <v>傳理學學士 - 電影主修 - 電影電視專修</v>
      </c>
      <c r="D86" s="125" t="str">
        <f>HKBU!D15</f>
        <v>BCOMM(FTV)</v>
      </c>
      <c r="E86" s="125" t="str">
        <f>HKBU!E15</f>
        <v>Best 5</v>
      </c>
      <c r="F86" s="128" t="s">
        <v>541</v>
      </c>
      <c r="G86" s="128">
        <f>HKBU!F15</f>
        <v>24.25</v>
      </c>
      <c r="H86" s="128">
        <f>HKBU!G15</f>
        <v>20.75</v>
      </c>
      <c r="I86" s="128">
        <f>'計分版'!D90</f>
        <v>0.000000003025</v>
      </c>
      <c r="J86" s="112">
        <f>HKBU!K15</f>
        <v>20</v>
      </c>
      <c r="K86" s="112">
        <f>HKBU!AA15</f>
        <v>16</v>
      </c>
      <c r="L86" s="153">
        <f>IFERROR(HKBU!AI15/HKBU!AB15,"新科目")</f>
        <v>36.875</v>
      </c>
      <c r="M86" s="112">
        <f>'入學要求'!S69</f>
        <v>0</v>
      </c>
      <c r="N86" s="112"/>
      <c r="O86" s="112"/>
      <c r="P86" s="112"/>
      <c r="Q86" s="112"/>
      <c r="R86" s="112"/>
      <c r="S86" s="112"/>
      <c r="T86" s="112"/>
      <c r="U86" s="112"/>
      <c r="V86" s="112"/>
      <c r="W86" s="112"/>
      <c r="X86" s="112"/>
      <c r="Y86" s="112"/>
      <c r="Z86" s="112"/>
      <c r="AA86" s="112"/>
      <c r="AB86" s="112"/>
    </row>
    <row r="87" ht="15.75" customHeight="1">
      <c r="A87" s="112" t="str">
        <f>HKBU!A16</f>
        <v>JS2340</v>
      </c>
      <c r="B87" s="112" t="s">
        <v>227</v>
      </c>
      <c r="C87" s="125" t="str">
        <f>HKBU!C16</f>
        <v>環球螢幕演技藝術學士</v>
      </c>
      <c r="D87" s="125" t="str">
        <f>HKBU!D16</f>
        <v>BFA(AGS)</v>
      </c>
      <c r="E87" s="125" t="str">
        <f>HKBU!E16</f>
        <v>Best 5</v>
      </c>
      <c r="F87" s="128" t="s">
        <v>541</v>
      </c>
      <c r="G87" s="128">
        <f>HKBU!F16</f>
        <v>21</v>
      </c>
      <c r="H87" s="128">
        <f>HKBU!G16</f>
        <v>21</v>
      </c>
      <c r="I87" s="128">
        <f>'計分版'!D91</f>
        <v>0.00000000355</v>
      </c>
      <c r="J87" s="112">
        <f>HKBU!K16</f>
        <v>8</v>
      </c>
      <c r="K87" s="112">
        <f>HKBU!AA16</f>
        <v>10</v>
      </c>
      <c r="L87" s="153">
        <f>IFERROR(HKBU!AI16/HKBU!AB16,"新科目")</f>
        <v>12.1</v>
      </c>
      <c r="M87" s="112">
        <f>'入學要求'!S70</f>
        <v>0</v>
      </c>
      <c r="N87" s="112"/>
      <c r="O87" s="112"/>
      <c r="P87" s="112"/>
      <c r="Q87" s="112"/>
      <c r="R87" s="112"/>
      <c r="S87" s="112"/>
      <c r="T87" s="112"/>
      <c r="U87" s="112"/>
      <c r="V87" s="112"/>
      <c r="W87" s="112"/>
      <c r="X87" s="112"/>
      <c r="Y87" s="112"/>
      <c r="Z87" s="112"/>
      <c r="AA87" s="112"/>
      <c r="AB87" s="112"/>
    </row>
    <row r="88" ht="15.75" customHeight="1">
      <c r="A88" s="112" t="str">
        <f>HKBU!A17</f>
        <v>JS2350</v>
      </c>
      <c r="B88" s="112" t="s">
        <v>227</v>
      </c>
      <c r="C88" s="125" t="str">
        <f>HKBU!C17</f>
        <v>傳理學學士 - 新聞與數碼媒體主修</v>
      </c>
      <c r="D88" s="125" t="str">
        <f>HKBU!D17</f>
        <v>BCOMM(JOUR)</v>
      </c>
      <c r="E88" s="125" t="str">
        <f>HKBU!E17</f>
        <v>Best 5</v>
      </c>
      <c r="F88" s="128"/>
      <c r="G88" s="128" t="str">
        <f>HKBU!F17</f>
        <v>/</v>
      </c>
      <c r="H88" s="128" t="str">
        <f>HKBU!G17</f>
        <v>/</v>
      </c>
      <c r="I88" s="128">
        <f>'計分版'!D92</f>
        <v>0.000000003025</v>
      </c>
      <c r="J88" s="112">
        <f>HKBU!K17</f>
        <v>41</v>
      </c>
      <c r="K88" s="112" t="str">
        <f>HKBU!AA17</f>
        <v>/</v>
      </c>
      <c r="L88" s="153" t="str">
        <f>IFERROR(HKBU!AI17/HKBU!AB17,"新科目")</f>
        <v>新科目</v>
      </c>
      <c r="M88" s="112">
        <f>'入學要求'!S71</f>
        <v>0</v>
      </c>
      <c r="N88" s="112"/>
      <c r="O88" s="112"/>
      <c r="P88" s="112"/>
      <c r="Q88" s="112"/>
      <c r="R88" s="112"/>
      <c r="S88" s="112"/>
      <c r="T88" s="112"/>
      <c r="U88" s="112"/>
      <c r="V88" s="112"/>
      <c r="W88" s="112"/>
      <c r="X88" s="112"/>
      <c r="Y88" s="112"/>
      <c r="Z88" s="112"/>
      <c r="AA88" s="112"/>
      <c r="AB88" s="112"/>
    </row>
    <row r="89" ht="15.75" customHeight="1">
      <c r="A89" s="112" t="str">
        <f>HKBU!A18</f>
        <v>JS2360</v>
      </c>
      <c r="B89" s="112" t="s">
        <v>227</v>
      </c>
      <c r="C89" s="125" t="str">
        <f>HKBU!C18</f>
        <v>傳理學學士 - 公關及廣告主修</v>
      </c>
      <c r="D89" s="125" t="str">
        <f>HKBU!D18</f>
        <v>BCOMM(PRA)</v>
      </c>
      <c r="E89" s="125" t="str">
        <f>HKBU!E18</f>
        <v>Best 5</v>
      </c>
      <c r="F89" s="128"/>
      <c r="G89" s="128" t="str">
        <f>HKBU!F18</f>
        <v>/</v>
      </c>
      <c r="H89" s="128" t="str">
        <f>HKBU!G18</f>
        <v>/</v>
      </c>
      <c r="I89" s="128">
        <f>'計分版'!D93</f>
        <v>0.000000003025</v>
      </c>
      <c r="J89" s="112">
        <f>HKBU!K18</f>
        <v>40</v>
      </c>
      <c r="K89" s="112" t="str">
        <f>HKBU!AA18</f>
        <v>/</v>
      </c>
      <c r="L89" s="153" t="str">
        <f>IFERROR(HKBU!AI18/HKBU!AB18,"新科目")</f>
        <v>新科目</v>
      </c>
      <c r="M89" s="112">
        <f>'入學要求'!S72</f>
        <v>0</v>
      </c>
      <c r="N89" s="112"/>
      <c r="O89" s="112"/>
      <c r="P89" s="112"/>
      <c r="Q89" s="112"/>
      <c r="R89" s="112"/>
      <c r="S89" s="112"/>
      <c r="T89" s="112"/>
      <c r="U89" s="112"/>
      <c r="V89" s="112"/>
      <c r="W89" s="112"/>
      <c r="X89" s="112"/>
      <c r="Y89" s="112"/>
      <c r="Z89" s="112"/>
      <c r="AA89" s="112"/>
      <c r="AB89" s="112"/>
    </row>
    <row r="90" ht="15.75" customHeight="1">
      <c r="A90" s="112" t="str">
        <f>HKBU!A19</f>
        <v>JS2410</v>
      </c>
      <c r="B90" s="112" t="s">
        <v>227</v>
      </c>
      <c r="C90" s="125" t="str">
        <f>HKBU!C19</f>
        <v>中醫學學士及生物醫學理學士</v>
      </c>
      <c r="D90" s="125" t="str">
        <f>HKBU!D19</f>
        <v>BCM&amp;BSc(BIOMED)</v>
      </c>
      <c r="E90" s="125" t="str">
        <f>HKBU!E19</f>
        <v>Best 5</v>
      </c>
      <c r="F90" s="128" t="s">
        <v>541</v>
      </c>
      <c r="G90" s="128">
        <f>HKBU!F19</f>
        <v>32.25</v>
      </c>
      <c r="H90" s="128">
        <f>HKBU!G19</f>
        <v>31</v>
      </c>
      <c r="I90" s="128">
        <f>'計分版'!D94</f>
        <v>0.00000000395</v>
      </c>
      <c r="J90" s="112">
        <f>HKBU!K19</f>
        <v>30</v>
      </c>
      <c r="K90" s="112">
        <f>HKBU!AA19</f>
        <v>29</v>
      </c>
      <c r="L90" s="153">
        <f>IFERROR(HKBU!AI19/HKBU!AB19,"新科目")</f>
        <v>6.892857143</v>
      </c>
      <c r="M90" s="112">
        <f>'入學要求'!S73</f>
        <v>0</v>
      </c>
      <c r="N90" s="112"/>
      <c r="O90" s="112"/>
      <c r="P90" s="112"/>
      <c r="Q90" s="112"/>
      <c r="R90" s="112"/>
      <c r="S90" s="112"/>
      <c r="T90" s="112"/>
      <c r="U90" s="112"/>
      <c r="V90" s="112"/>
      <c r="W90" s="112"/>
      <c r="X90" s="112"/>
      <c r="Y90" s="112"/>
      <c r="Z90" s="112"/>
      <c r="AA90" s="112"/>
      <c r="AB90" s="112"/>
    </row>
    <row r="91" ht="15.75" customHeight="1">
      <c r="A91" s="112" t="str">
        <f>HKBU!A20</f>
        <v>JS2420</v>
      </c>
      <c r="B91" s="112" t="s">
        <v>227</v>
      </c>
      <c r="C91" s="125" t="str">
        <f>HKBU!C20</f>
        <v>中藥學學士</v>
      </c>
      <c r="D91" s="125" t="str">
        <f>HKBU!D20</f>
        <v>BPharm</v>
      </c>
      <c r="E91" s="125" t="str">
        <f>HKBU!E20</f>
        <v>Best 5</v>
      </c>
      <c r="F91" s="128" t="s">
        <v>541</v>
      </c>
      <c r="G91" s="128">
        <f>HKBU!F20</f>
        <v>27</v>
      </c>
      <c r="H91" s="128">
        <f>HKBU!G20</f>
        <v>27</v>
      </c>
      <c r="I91" s="128">
        <f>'計分版'!D95</f>
        <v>0.00000000395</v>
      </c>
      <c r="J91" s="112">
        <f>HKBU!K20</f>
        <v>15</v>
      </c>
      <c r="K91" s="112">
        <f>HKBU!AA20</f>
        <v>22</v>
      </c>
      <c r="L91" s="153">
        <f>IFERROR(HKBU!AI20/HKBU!AB20,"新科目")</f>
        <v>9.85</v>
      </c>
      <c r="M91" s="112">
        <f>'入學要求'!S74</f>
        <v>0</v>
      </c>
      <c r="N91" s="112"/>
      <c r="O91" s="112"/>
      <c r="P91" s="112"/>
      <c r="Q91" s="112"/>
      <c r="R91" s="112"/>
      <c r="S91" s="112"/>
      <c r="T91" s="112"/>
      <c r="U91" s="112"/>
      <c r="V91" s="112"/>
      <c r="W91" s="112"/>
      <c r="X91" s="112"/>
      <c r="Y91" s="112"/>
      <c r="Z91" s="112"/>
      <c r="AA91" s="112"/>
      <c r="AB91" s="112"/>
    </row>
    <row r="92" ht="15.75" customHeight="1">
      <c r="A92" s="112" t="str">
        <f>HKBU!A21</f>
        <v>JS2510</v>
      </c>
      <c r="B92" s="112" t="s">
        <v>227</v>
      </c>
      <c r="C92" s="125" t="str">
        <f>HKBU!C21</f>
        <v>理學士</v>
      </c>
      <c r="D92" s="125" t="str">
        <f>HKBU!D21</f>
        <v>BSc</v>
      </c>
      <c r="E92" s="125" t="str">
        <f>HKBU!E21</f>
        <v>Best 6</v>
      </c>
      <c r="F92" s="128" t="s">
        <v>541</v>
      </c>
      <c r="G92" s="128">
        <f>HKBU!F21</f>
        <v>22</v>
      </c>
      <c r="H92" s="128">
        <f>HKBU!G21</f>
        <v>22</v>
      </c>
      <c r="I92" s="128">
        <f>'計分版'!D96</f>
        <v>0.0000000039</v>
      </c>
      <c r="J92" s="112">
        <f>HKBU!K21</f>
        <v>206</v>
      </c>
      <c r="K92" s="112">
        <f>HKBU!AA21</f>
        <v>218</v>
      </c>
      <c r="L92" s="153">
        <f>IFERROR(HKBU!AI21/HKBU!AB21,"新科目")</f>
        <v>5.842391304</v>
      </c>
      <c r="M92" s="112">
        <f>'入學要求'!S75</f>
        <v>0</v>
      </c>
      <c r="N92" s="112"/>
      <c r="O92" s="112"/>
      <c r="P92" s="112"/>
      <c r="Q92" s="112"/>
      <c r="R92" s="112"/>
      <c r="S92" s="112"/>
      <c r="T92" s="112"/>
      <c r="U92" s="112"/>
      <c r="V92" s="112"/>
      <c r="W92" s="112"/>
      <c r="X92" s="112"/>
      <c r="Y92" s="112"/>
      <c r="Z92" s="112"/>
      <c r="AA92" s="112"/>
      <c r="AB92" s="112"/>
    </row>
    <row r="93" ht="15.75" customHeight="1">
      <c r="A93" s="112" t="str">
        <f>HKBU!A22</f>
        <v>JS2610</v>
      </c>
      <c r="B93" s="112" t="s">
        <v>227</v>
      </c>
      <c r="C93" s="125" t="str">
        <f>HKBU!C22</f>
        <v>文學士/ 社會科學學士 (地理/ 政治及國際關係學/ 歷史/ 社會學)</v>
      </c>
      <c r="D93" s="125" t="str">
        <f>HKBU!D22</f>
        <v>BA/ BSocSc</v>
      </c>
      <c r="E93" s="125" t="str">
        <f>HKBU!E22</f>
        <v>4C2X</v>
      </c>
      <c r="F93" s="128" t="s">
        <v>541</v>
      </c>
      <c r="G93" s="128">
        <f>HKBU!F22</f>
        <v>28</v>
      </c>
      <c r="H93" s="128">
        <f>HKBU!G22</f>
        <v>27</v>
      </c>
      <c r="I93" s="128">
        <f>'計分版'!D97</f>
        <v>0.00000000305</v>
      </c>
      <c r="J93" s="112">
        <f>HKBU!K22</f>
        <v>105</v>
      </c>
      <c r="K93" s="112">
        <f>HKBU!AA22</f>
        <v>108</v>
      </c>
      <c r="L93" s="153">
        <f>IFERROR(HKBU!AI22/HKBU!AB22,"新科目")</f>
        <v>12.94230769</v>
      </c>
      <c r="M93" s="112">
        <f>'入學要求'!S76</f>
        <v>0</v>
      </c>
      <c r="N93" s="112"/>
      <c r="O93" s="112"/>
      <c r="P93" s="112"/>
      <c r="Q93" s="112"/>
      <c r="R93" s="112"/>
      <c r="S93" s="112"/>
      <c r="T93" s="112"/>
      <c r="U93" s="112"/>
      <c r="V93" s="112"/>
      <c r="W93" s="112"/>
      <c r="X93" s="112"/>
      <c r="Y93" s="112"/>
      <c r="Z93" s="112"/>
      <c r="AA93" s="112"/>
      <c r="AB93" s="112"/>
    </row>
    <row r="94" ht="15.75" customHeight="1">
      <c r="A94" s="112" t="str">
        <f>HKBU!A23</f>
        <v>JS2620</v>
      </c>
      <c r="B94" s="112" t="s">
        <v>227</v>
      </c>
      <c r="C94" s="125" t="str">
        <f>HKBU!C23</f>
        <v>體育及康樂管理文學士</v>
      </c>
      <c r="D94" s="125" t="str">
        <f>HKBU!D23</f>
        <v>BA(PERM)</v>
      </c>
      <c r="E94" s="125" t="str">
        <f>HKBU!E23</f>
        <v>4C2X</v>
      </c>
      <c r="F94" s="128" t="s">
        <v>541</v>
      </c>
      <c r="G94" s="128">
        <f>HKBU!F23</f>
        <v>27</v>
      </c>
      <c r="H94" s="128">
        <f>HKBU!G23</f>
        <v>26</v>
      </c>
      <c r="I94" s="128">
        <f>'計分版'!D98</f>
        <v>0.00000000285</v>
      </c>
      <c r="J94" s="112">
        <f>HKBU!K23</f>
        <v>26</v>
      </c>
      <c r="K94" s="112">
        <f>HKBU!AA23</f>
        <v>13</v>
      </c>
      <c r="L94" s="153">
        <f>IFERROR(HKBU!AI23/HKBU!AB23,"新科目")</f>
        <v>55.07692308</v>
      </c>
      <c r="M94" s="112">
        <f>'入學要求'!S77</f>
        <v>0</v>
      </c>
      <c r="N94" s="112"/>
      <c r="O94" s="112"/>
      <c r="P94" s="112"/>
      <c r="Q94" s="112"/>
      <c r="R94" s="112"/>
      <c r="S94" s="112"/>
      <c r="T94" s="112"/>
      <c r="U94" s="112"/>
      <c r="V94" s="112"/>
      <c r="W94" s="112"/>
      <c r="X94" s="112"/>
      <c r="Y94" s="112"/>
      <c r="Z94" s="112"/>
      <c r="AA94" s="112"/>
      <c r="AB94" s="112"/>
    </row>
    <row r="95" ht="15.75" customHeight="1">
      <c r="A95" s="112" t="str">
        <f>HKBU!A24</f>
        <v>JS2630</v>
      </c>
      <c r="B95" s="112" t="s">
        <v>227</v>
      </c>
      <c r="C95" s="125" t="str">
        <f>HKBU!C24</f>
        <v>歐洲研究社會科學學士 - 法文</v>
      </c>
      <c r="D95" s="125" t="str">
        <f>HKBU!D24</f>
        <v>BSocSc(EURO-FREN)</v>
      </c>
      <c r="E95" s="125" t="str">
        <f>HKBU!E24</f>
        <v>Best 5</v>
      </c>
      <c r="F95" s="128" t="s">
        <v>541</v>
      </c>
      <c r="G95" s="128">
        <f>HKBU!F24</f>
        <v>21.8</v>
      </c>
      <c r="H95" s="128">
        <f>HKBU!G24</f>
        <v>20.8</v>
      </c>
      <c r="I95" s="128">
        <f>'計分版'!D99</f>
        <v>0.00000000299</v>
      </c>
      <c r="J95" s="112">
        <f>HKBU!K24</f>
        <v>15</v>
      </c>
      <c r="K95" s="112">
        <f>HKBU!AA24</f>
        <v>12</v>
      </c>
      <c r="L95" s="153">
        <f>IFERROR(HKBU!AI24/HKBU!AB24,"新科目")</f>
        <v>12.63636364</v>
      </c>
      <c r="M95" s="112">
        <f>'入學要求'!S78</f>
        <v>0</v>
      </c>
      <c r="N95" s="112"/>
      <c r="O95" s="112"/>
      <c r="P95" s="112"/>
      <c r="Q95" s="112"/>
      <c r="R95" s="112"/>
      <c r="S95" s="112"/>
      <c r="T95" s="112"/>
      <c r="U95" s="112"/>
      <c r="V95" s="112"/>
      <c r="W95" s="112"/>
      <c r="X95" s="112"/>
      <c r="Y95" s="112"/>
      <c r="Z95" s="112"/>
      <c r="AA95" s="112"/>
      <c r="AB95" s="112"/>
    </row>
    <row r="96" ht="15.75" customHeight="1">
      <c r="A96" s="112" t="str">
        <f>HKBU!A25</f>
        <v>JS2640</v>
      </c>
      <c r="B96" s="112" t="s">
        <v>227</v>
      </c>
      <c r="C96" s="125" t="str">
        <f>HKBU!C25</f>
        <v>歐洲研究社會科學學士 - 德文</v>
      </c>
      <c r="D96" s="125" t="str">
        <f>HKBU!D25</f>
        <v>BSocSc(EURO-GERM)</v>
      </c>
      <c r="E96" s="125" t="str">
        <f>HKBU!E25</f>
        <v>Best 5</v>
      </c>
      <c r="F96" s="128" t="s">
        <v>541</v>
      </c>
      <c r="G96" s="128">
        <f>HKBU!F25</f>
        <v>21.6</v>
      </c>
      <c r="H96" s="128">
        <f>HKBU!G25</f>
        <v>20.8</v>
      </c>
      <c r="I96" s="128">
        <f>'計分版'!D100</f>
        <v>0.00000000299</v>
      </c>
      <c r="J96" s="112">
        <f>HKBU!K25</f>
        <v>15</v>
      </c>
      <c r="K96" s="112">
        <f>HKBU!AA25</f>
        <v>16</v>
      </c>
      <c r="L96" s="153">
        <f>IFERROR(HKBU!AI25/HKBU!AB25,"新科目")</f>
        <v>9.384615385</v>
      </c>
      <c r="M96" s="112">
        <f>'入學要求'!S79</f>
        <v>0</v>
      </c>
      <c r="N96" s="112"/>
      <c r="O96" s="112"/>
      <c r="P96" s="112"/>
      <c r="Q96" s="112"/>
      <c r="R96" s="112"/>
      <c r="S96" s="112"/>
      <c r="T96" s="112"/>
      <c r="U96" s="112"/>
      <c r="V96" s="112"/>
      <c r="W96" s="112"/>
      <c r="X96" s="112"/>
      <c r="Y96" s="112"/>
      <c r="Z96" s="112"/>
      <c r="AA96" s="112"/>
      <c r="AB96" s="112"/>
    </row>
    <row r="97" ht="15.75" customHeight="1">
      <c r="A97" s="112" t="str">
        <f>HKBU!A26</f>
        <v>JS2660</v>
      </c>
      <c r="B97" s="112" t="s">
        <v>227</v>
      </c>
      <c r="C97" s="125" t="str">
        <f>HKBU!C26</f>
        <v>社會工作學士</v>
      </c>
      <c r="D97" s="125" t="str">
        <f>HKBU!D26</f>
        <v>BSW</v>
      </c>
      <c r="E97" s="125" t="str">
        <f>HKBU!E26</f>
        <v>4C2X</v>
      </c>
      <c r="F97" s="128" t="s">
        <v>541</v>
      </c>
      <c r="G97" s="128">
        <f>HKBU!F26</f>
        <v>31.5</v>
      </c>
      <c r="H97" s="128">
        <f>HKBU!G26</f>
        <v>32</v>
      </c>
      <c r="I97" s="128">
        <f>'計分版'!D101</f>
        <v>0.00000000325</v>
      </c>
      <c r="J97" s="112">
        <f>HKBU!K26</f>
        <v>43</v>
      </c>
      <c r="K97" s="112">
        <f>HKBU!AA26</f>
        <v>33</v>
      </c>
      <c r="L97" s="153">
        <f>IFERROR(HKBU!AI26/HKBU!AB26,"新科目")</f>
        <v>34.40625</v>
      </c>
      <c r="M97" s="112">
        <f>'入學要求'!S80</f>
        <v>0</v>
      </c>
      <c r="N97" s="112"/>
      <c r="O97" s="112"/>
      <c r="P97" s="112"/>
      <c r="Q97" s="112"/>
      <c r="R97" s="112"/>
      <c r="S97" s="112"/>
      <c r="T97" s="112"/>
      <c r="U97" s="112"/>
      <c r="V97" s="112"/>
      <c r="W97" s="112"/>
      <c r="X97" s="112"/>
      <c r="Y97" s="112"/>
      <c r="Z97" s="112"/>
      <c r="AA97" s="112"/>
      <c r="AB97" s="112"/>
    </row>
    <row r="98" ht="15.75" customHeight="1">
      <c r="A98" s="112" t="str">
        <f>HKBU!A27</f>
        <v>JS2670</v>
      </c>
      <c r="B98" s="112" t="s">
        <v>227</v>
      </c>
      <c r="C98" s="125" t="str">
        <f>HKBU!C27</f>
        <v>全球及中國研究社會科學學士</v>
      </c>
      <c r="D98" s="125" t="str">
        <f>HKBU!D27</f>
        <v>BSocSc(GCS)</v>
      </c>
      <c r="E98" s="125" t="str">
        <f>HKBU!E27</f>
        <v>4C2X</v>
      </c>
      <c r="F98" s="128" t="s">
        <v>541</v>
      </c>
      <c r="G98" s="128">
        <f>HKBU!F27</f>
        <v>27.5</v>
      </c>
      <c r="H98" s="128">
        <f>HKBU!G27</f>
        <v>26.5</v>
      </c>
      <c r="I98" s="128">
        <f>'計分版'!D102</f>
        <v>0.000000003</v>
      </c>
      <c r="J98" s="112">
        <f>HKBU!K27</f>
        <v>20</v>
      </c>
      <c r="K98" s="112">
        <f>HKBU!AA27</f>
        <v>25</v>
      </c>
      <c r="L98" s="153">
        <f>IFERROR(HKBU!AI27/HKBU!AB27,"新科目")</f>
        <v>9.571428571</v>
      </c>
      <c r="M98" s="112">
        <f>'入學要求'!S81</f>
        <v>0</v>
      </c>
      <c r="N98" s="112"/>
      <c r="O98" s="112"/>
      <c r="P98" s="112"/>
      <c r="Q98" s="112"/>
      <c r="R98" s="112"/>
      <c r="S98" s="112"/>
      <c r="T98" s="112"/>
      <c r="U98" s="112"/>
      <c r="V98" s="112"/>
      <c r="W98" s="112"/>
      <c r="X98" s="112"/>
      <c r="Y98" s="112"/>
      <c r="Z98" s="112"/>
      <c r="AA98" s="112"/>
      <c r="AB98" s="112"/>
    </row>
    <row r="99" ht="15.75" customHeight="1">
      <c r="A99" s="112" t="str">
        <f>HKBU!A28</f>
        <v>JS2690</v>
      </c>
      <c r="B99" s="112" t="s">
        <v>227</v>
      </c>
      <c r="C99" s="125" t="str">
        <f>HKBU!C28</f>
        <v>地理/ 歷史/ 社會學及個人、社會及人文教學 (雙學位課程)</v>
      </c>
      <c r="D99" s="125" t="str">
        <f>HKBU!D28</f>
        <v>BA/BSocSc&amp;BEd(PSHE)</v>
      </c>
      <c r="E99" s="125" t="str">
        <f>HKBU!E28</f>
        <v>4C2X</v>
      </c>
      <c r="F99" s="128" t="s">
        <v>541</v>
      </c>
      <c r="G99" s="128">
        <f>HKBU!F28</f>
        <v>31.8</v>
      </c>
      <c r="H99" s="128">
        <f>HKBU!G28</f>
        <v>29.6</v>
      </c>
      <c r="I99" s="128">
        <f>'計分版'!D103</f>
        <v>0.00000000285</v>
      </c>
      <c r="J99" s="112">
        <f>HKBU!K28</f>
        <v>18</v>
      </c>
      <c r="K99" s="112">
        <f>HKBU!AA28</f>
        <v>10</v>
      </c>
      <c r="L99" s="153">
        <f>IFERROR(HKBU!AI28/HKBU!AB28,"新科目")</f>
        <v>22.55555556</v>
      </c>
      <c r="M99" s="112">
        <f>'入學要求'!S82</f>
        <v>0</v>
      </c>
      <c r="N99" s="112"/>
      <c r="O99" s="112"/>
      <c r="P99" s="112"/>
      <c r="Q99" s="112"/>
      <c r="R99" s="112"/>
      <c r="S99" s="112"/>
      <c r="T99" s="112"/>
      <c r="U99" s="112"/>
      <c r="V99" s="112"/>
      <c r="W99" s="112"/>
      <c r="X99" s="112"/>
      <c r="Y99" s="112"/>
      <c r="Z99" s="112"/>
      <c r="AA99" s="112"/>
      <c r="AB99" s="112"/>
    </row>
    <row r="100" ht="15.75" customHeight="1">
      <c r="A100" s="112" t="str">
        <f>HKBU!A29</f>
        <v>JS2810</v>
      </c>
      <c r="B100" s="112" t="s">
        <v>227</v>
      </c>
      <c r="C100" s="125" t="str">
        <f>HKBU!C29</f>
        <v>視覺藝術文學士</v>
      </c>
      <c r="D100" s="125" t="str">
        <f>HKBU!D29</f>
        <v>BA(VA)</v>
      </c>
      <c r="E100" s="125" t="str">
        <f>HKBU!E29</f>
        <v>Best 5</v>
      </c>
      <c r="F100" s="128" t="s">
        <v>541</v>
      </c>
      <c r="G100" s="128">
        <f>HKBU!F29</f>
        <v>19</v>
      </c>
      <c r="H100" s="128">
        <f>HKBU!G29</f>
        <v>20</v>
      </c>
      <c r="I100" s="128">
        <f>'計分版'!D104</f>
        <v>0.00000000355</v>
      </c>
      <c r="J100" s="112">
        <f>HKBU!K29</f>
        <v>52</v>
      </c>
      <c r="K100" s="112">
        <f>HKBU!AA29</f>
        <v>49</v>
      </c>
      <c r="L100" s="153">
        <f>IFERROR(HKBU!AI29/HKBU!AB29,"新科目")</f>
        <v>14.79591837</v>
      </c>
      <c r="M100" s="112">
        <f>'入學要求'!S83</f>
        <v>0</v>
      </c>
      <c r="N100" s="112"/>
      <c r="O100" s="112"/>
      <c r="P100" s="112"/>
      <c r="Q100" s="112"/>
      <c r="R100" s="112"/>
      <c r="S100" s="112"/>
      <c r="T100" s="128"/>
      <c r="U100" s="112"/>
      <c r="V100" s="112"/>
      <c r="W100" s="112"/>
      <c r="X100" s="112"/>
      <c r="Y100" s="112"/>
      <c r="Z100" s="112"/>
      <c r="AA100" s="112"/>
      <c r="AB100" s="112"/>
    </row>
    <row r="101" ht="15.75" customHeight="1">
      <c r="A101" s="112" t="str">
        <f>HKBU!A30</f>
        <v>JS2910</v>
      </c>
      <c r="B101" s="112" t="s">
        <v>227</v>
      </c>
      <c r="C101" s="125" t="str">
        <f>HKBU!C30</f>
        <v>商業計算及數據分析理學士</v>
      </c>
      <c r="D101" s="125" t="str">
        <f>HKBU!D30</f>
        <v>BSc(BCDA)</v>
      </c>
      <c r="E101" s="125" t="str">
        <f>HKBU!E30</f>
        <v>Best 6</v>
      </c>
      <c r="F101" s="128" t="s">
        <v>541</v>
      </c>
      <c r="G101" s="128">
        <f>HKBU!F30</f>
        <v>23</v>
      </c>
      <c r="H101" s="128">
        <f>HKBU!G30</f>
        <v>23</v>
      </c>
      <c r="I101" s="128">
        <f>'計分版'!D105</f>
        <v>0.0000000039</v>
      </c>
      <c r="J101" s="112">
        <f>HKBU!K30</f>
        <v>15</v>
      </c>
      <c r="K101" s="112">
        <f>HKBU!AA30</f>
        <v>16</v>
      </c>
      <c r="L101" s="153">
        <f>IFERROR(HKBU!AI30/HKBU!AB30,"新科目")</f>
        <v>47</v>
      </c>
      <c r="M101" s="112">
        <f>'入學要求'!S84</f>
        <v>0</v>
      </c>
      <c r="N101" s="112"/>
      <c r="O101" s="112"/>
      <c r="P101" s="112"/>
      <c r="Q101" s="112"/>
      <c r="R101" s="112"/>
      <c r="S101" s="112"/>
      <c r="T101" s="128"/>
      <c r="U101" s="112"/>
      <c r="V101" s="112"/>
      <c r="W101" s="112"/>
      <c r="X101" s="112"/>
      <c r="Y101" s="112"/>
      <c r="Z101" s="112"/>
      <c r="AA101" s="112"/>
      <c r="AB101" s="112"/>
    </row>
    <row r="102" ht="15.75" customHeight="1">
      <c r="A102" s="112"/>
      <c r="B102" s="112"/>
      <c r="C102" s="112"/>
      <c r="D102" s="112"/>
      <c r="E102" s="125"/>
      <c r="F102" s="128"/>
      <c r="G102" s="128"/>
      <c r="H102" s="128"/>
      <c r="I102" s="128"/>
      <c r="J102" s="112"/>
      <c r="K102" s="112"/>
      <c r="L102" s="153"/>
      <c r="M102" s="112"/>
      <c r="N102" s="112"/>
      <c r="O102" s="112"/>
      <c r="P102" s="112"/>
      <c r="Q102" s="112"/>
      <c r="R102" s="112"/>
      <c r="S102" s="112"/>
      <c r="T102" s="112"/>
      <c r="U102" s="112"/>
      <c r="V102" s="112"/>
      <c r="W102" s="112"/>
      <c r="X102" s="112"/>
      <c r="Y102" s="112"/>
      <c r="Z102" s="112"/>
      <c r="AA102" s="112"/>
      <c r="AB102" s="112"/>
    </row>
    <row r="103" ht="15.75" customHeight="1">
      <c r="A103" s="112"/>
      <c r="B103" s="112"/>
      <c r="C103" s="112"/>
      <c r="D103" s="112"/>
      <c r="E103" s="125"/>
      <c r="F103" s="128" t="s">
        <v>45</v>
      </c>
      <c r="G103" s="128" t="s">
        <v>46</v>
      </c>
      <c r="H103" s="128" t="s">
        <v>47</v>
      </c>
      <c r="I103" s="128" t="str">
        <f>'計分版'!D107</f>
        <v>總分</v>
      </c>
      <c r="J103" s="112"/>
      <c r="K103" s="112"/>
      <c r="L103" s="153"/>
      <c r="M103" s="112"/>
      <c r="N103" s="112"/>
      <c r="O103" s="112"/>
      <c r="P103" s="112"/>
      <c r="Q103" s="112"/>
      <c r="R103" s="112"/>
      <c r="S103" s="112"/>
      <c r="T103" s="112"/>
      <c r="U103" s="112"/>
      <c r="V103" s="112"/>
      <c r="W103" s="112"/>
      <c r="X103" s="112"/>
      <c r="Y103" s="112"/>
      <c r="Z103" s="112"/>
      <c r="AA103" s="112"/>
      <c r="AB103" s="112"/>
    </row>
    <row r="104" ht="15.75" customHeight="1">
      <c r="A104" s="112" t="str">
        <f>PolyU!A2</f>
        <v>JS3337</v>
      </c>
      <c r="B104" s="112" t="s">
        <v>176</v>
      </c>
      <c r="C104" s="112" t="str">
        <f>PolyU!C2</f>
        <v>精神健康護理學(榮譽)理學士學位</v>
      </c>
      <c r="D104" s="112" t="str">
        <f>PolyU!D2</f>
        <v>MENTAL HEALTH NURSING</v>
      </c>
      <c r="E104" s="125" t="str">
        <f>PolyU!E2</f>
        <v>4C2X</v>
      </c>
      <c r="F104" s="128" t="s">
        <v>541</v>
      </c>
      <c r="G104" s="128">
        <f>PolyU!F2</f>
        <v>250</v>
      </c>
      <c r="H104" s="128">
        <f>PolyU!G2</f>
        <v>242.5</v>
      </c>
      <c r="I104" s="128">
        <f>'計分版'!D108</f>
        <v>0.00000001925</v>
      </c>
      <c r="J104" s="112">
        <f>PolyU!K2</f>
        <v>70</v>
      </c>
      <c r="K104" s="112">
        <f>PolyU!AA2</f>
        <v>66</v>
      </c>
      <c r="L104" s="153">
        <f>IFERROR(PolyU!AI2/PolyU!AB2,"新科目")</f>
        <v>6.838709677</v>
      </c>
      <c r="M104" s="112">
        <f>'入學要求'!S88</f>
        <v>0</v>
      </c>
      <c r="N104" s="112"/>
      <c r="O104" s="112"/>
      <c r="P104" s="112"/>
      <c r="Q104" s="112"/>
      <c r="R104" s="112"/>
      <c r="S104" s="112"/>
      <c r="T104" s="112"/>
      <c r="U104" s="112"/>
      <c r="V104" s="112"/>
      <c r="W104" s="112"/>
      <c r="X104" s="112"/>
      <c r="Y104" s="112"/>
      <c r="Z104" s="112"/>
      <c r="AA104" s="112"/>
      <c r="AB104" s="112"/>
    </row>
    <row r="105" ht="15.75" customHeight="1">
      <c r="A105" s="112" t="str">
        <f>PolyU!A3</f>
        <v>JS3349</v>
      </c>
      <c r="B105" s="112" t="s">
        <v>176</v>
      </c>
      <c r="C105" s="112" t="str">
        <f>PolyU!C3</f>
        <v>食品科技與食物安全(榮譽)理學士學位</v>
      </c>
      <c r="D105" s="112" t="str">
        <f>PolyU!D3</f>
        <v>	FOOD SAFE TECH</v>
      </c>
      <c r="E105" s="125" t="str">
        <f>PolyU!E3</f>
        <v>Best 5</v>
      </c>
      <c r="F105" s="128" t="s">
        <v>541</v>
      </c>
      <c r="G105" s="128">
        <f>PolyU!F3</f>
        <v>203</v>
      </c>
      <c r="H105" s="128">
        <f>PolyU!G3</f>
        <v>188</v>
      </c>
      <c r="I105" s="128">
        <f>'計分版'!D109</f>
        <v>0.00000002175</v>
      </c>
      <c r="J105" s="112">
        <f>PolyU!K3</f>
        <v>26</v>
      </c>
      <c r="K105" s="112">
        <f>PolyU!AA3</f>
        <v>25</v>
      </c>
      <c r="L105" s="153">
        <f>IFERROR(PolyU!AI3/PolyU!AB3,"新科目")</f>
        <v>15.94117647</v>
      </c>
      <c r="M105" s="112">
        <f>'入學要求'!S89</f>
        <v>0</v>
      </c>
      <c r="N105" s="112"/>
      <c r="O105" s="112"/>
      <c r="P105" s="112"/>
      <c r="Q105" s="112"/>
      <c r="R105" s="112"/>
      <c r="S105" s="112"/>
      <c r="T105" s="112"/>
      <c r="U105" s="112"/>
      <c r="V105" s="112"/>
      <c r="W105" s="112"/>
      <c r="X105" s="112"/>
      <c r="Y105" s="112"/>
      <c r="Z105" s="112"/>
      <c r="AA105" s="112"/>
      <c r="AB105" s="112"/>
    </row>
    <row r="106" ht="15.75" customHeight="1">
      <c r="A106" s="112" t="str">
        <f>PolyU!A4</f>
        <v>JS3351</v>
      </c>
      <c r="B106" s="112" t="s">
        <v>176</v>
      </c>
      <c r="C106" s="112" t="str">
        <f>PolyU!C4</f>
        <v>運輸系統工程學(榮譽)工學士學位</v>
      </c>
      <c r="D106" s="112" t="str">
        <f>PolyU!D4</f>
        <v>	TRANS SYS ENGG</v>
      </c>
      <c r="E106" s="125" t="str">
        <f>PolyU!E4</f>
        <v>Best 5</v>
      </c>
      <c r="F106" s="128" t="s">
        <v>541</v>
      </c>
      <c r="G106" s="128">
        <f>PolyU!F4</f>
        <v>186</v>
      </c>
      <c r="H106" s="128">
        <f>PolyU!G4</f>
        <v>170</v>
      </c>
      <c r="I106" s="128">
        <f>'計分版'!D110</f>
        <v>0.00000002175</v>
      </c>
      <c r="J106" s="112">
        <f>PolyU!K4</f>
        <v>23</v>
      </c>
      <c r="K106" s="112">
        <f>PolyU!AA4</f>
        <v>25</v>
      </c>
      <c r="L106" s="153">
        <f>IFERROR(PolyU!AI4/PolyU!AB4,"新科目")</f>
        <v>10.94444444</v>
      </c>
      <c r="M106" s="112">
        <f>'入學要求'!S90</f>
        <v>0</v>
      </c>
      <c r="N106" s="112"/>
      <c r="O106" s="112"/>
      <c r="P106" s="112"/>
      <c r="Q106" s="112"/>
      <c r="R106" s="112"/>
      <c r="S106" s="112"/>
      <c r="T106" s="112"/>
      <c r="U106" s="112"/>
      <c r="V106" s="112"/>
      <c r="W106" s="112"/>
      <c r="X106" s="112"/>
      <c r="Y106" s="112"/>
      <c r="Z106" s="112"/>
      <c r="AA106" s="112"/>
      <c r="AB106" s="112"/>
    </row>
    <row r="107" ht="15.75" customHeight="1">
      <c r="A107" s="112" t="str">
        <f>PolyU!A5</f>
        <v>JS3375</v>
      </c>
      <c r="B107" s="112" t="s">
        <v>176</v>
      </c>
      <c r="C107" s="112" t="str">
        <f>PolyU!C5</f>
        <v>環境工程與可持續發展學(榮譽)工學士學位</v>
      </c>
      <c r="D107" s="112" t="str">
        <f>PolyU!D5</f>
        <v>	ENV &amp; SUSTAIN DEVELOP</v>
      </c>
      <c r="E107" s="125" t="str">
        <f>PolyU!E5</f>
        <v>Best 5</v>
      </c>
      <c r="F107" s="128" t="s">
        <v>541</v>
      </c>
      <c r="G107" s="128">
        <f>PolyU!F5</f>
        <v>178</v>
      </c>
      <c r="H107" s="128">
        <f>PolyU!G5</f>
        <v>171</v>
      </c>
      <c r="I107" s="128">
        <f>'計分版'!D111</f>
        <v>0.00000001975</v>
      </c>
      <c r="J107" s="112">
        <f>PolyU!K5</f>
        <v>27</v>
      </c>
      <c r="K107" s="112">
        <f>PolyU!AA5</f>
        <v>25</v>
      </c>
      <c r="L107" s="153">
        <f>IFERROR(PolyU!AI5/PolyU!AB5,"新科目")</f>
        <v>12.26666667</v>
      </c>
      <c r="M107" s="112">
        <f>'入學要求'!S91</f>
        <v>0</v>
      </c>
      <c r="N107" s="112"/>
      <c r="O107" s="112"/>
      <c r="P107" s="112"/>
      <c r="Q107" s="112"/>
      <c r="R107" s="112"/>
      <c r="S107" s="112"/>
      <c r="T107" s="112"/>
      <c r="U107" s="112"/>
      <c r="V107" s="112"/>
      <c r="W107" s="112"/>
      <c r="X107" s="112"/>
      <c r="Y107" s="112"/>
      <c r="Z107" s="112"/>
      <c r="AA107" s="112"/>
      <c r="AB107" s="112"/>
    </row>
    <row r="108" ht="15.75" customHeight="1">
      <c r="A108" s="112" t="str">
        <f>PolyU!A6</f>
        <v>JS3387</v>
      </c>
      <c r="B108" s="112" t="s">
        <v>176</v>
      </c>
      <c r="C108" s="112" t="str">
        <f>PolyU!C6</f>
        <v>土地測量及地理資訊學(榮譽)理學士學位</v>
      </c>
      <c r="D108" s="112" t="str">
        <f>PolyU!D6</f>
        <v>LAND SUR &amp; GEO-INFO</v>
      </c>
      <c r="E108" s="125" t="str">
        <f>PolyU!E6</f>
        <v>Best 5</v>
      </c>
      <c r="F108" s="128" t="s">
        <v>541</v>
      </c>
      <c r="G108" s="128">
        <f>PolyU!F6</f>
        <v>164.5</v>
      </c>
      <c r="H108" s="128">
        <f>PolyU!G6</f>
        <v>163.5</v>
      </c>
      <c r="I108" s="128">
        <f>'計分版'!D112</f>
        <v>0.00000001975</v>
      </c>
      <c r="J108" s="112">
        <f>PolyU!K6</f>
        <v>37</v>
      </c>
      <c r="K108" s="112">
        <f>PolyU!AA6</f>
        <v>33</v>
      </c>
      <c r="L108" s="153">
        <f>IFERROR(PolyU!AI6/PolyU!AB6,"新科目")</f>
        <v>7.709677419</v>
      </c>
      <c r="M108" s="112">
        <f>'入學要求'!S92</f>
        <v>0</v>
      </c>
      <c r="N108" s="112"/>
      <c r="O108" s="112"/>
      <c r="P108" s="112"/>
      <c r="Q108" s="112"/>
      <c r="R108" s="112"/>
      <c r="S108" s="112"/>
      <c r="T108" s="112"/>
      <c r="U108" s="112"/>
      <c r="V108" s="112"/>
      <c r="W108" s="112"/>
      <c r="X108" s="112"/>
      <c r="Y108" s="112"/>
      <c r="Z108" s="112"/>
      <c r="AA108" s="112"/>
      <c r="AB108" s="112"/>
    </row>
    <row r="109" ht="15.75" customHeight="1">
      <c r="A109" s="112" t="str">
        <f>PolyU!A7</f>
        <v>JS3442</v>
      </c>
      <c r="B109" s="112" t="s">
        <v>176</v>
      </c>
      <c r="C109" s="112" t="str">
        <f>PolyU!C7</f>
        <v>物業管理學(榮譽)理學士學位</v>
      </c>
      <c r="D109" s="112" t="str">
        <f>PolyU!D7</f>
        <v>	PROPERTY MGT</v>
      </c>
      <c r="E109" s="125" t="str">
        <f>PolyU!E7</f>
        <v>Best 5</v>
      </c>
      <c r="F109" s="128" t="s">
        <v>541</v>
      </c>
      <c r="G109" s="128">
        <f>PolyU!F7</f>
        <v>144.5</v>
      </c>
      <c r="H109" s="128">
        <f>PolyU!G7</f>
        <v>137</v>
      </c>
      <c r="I109" s="128">
        <f>'計分版'!D113</f>
        <v>0.00000003875</v>
      </c>
      <c r="J109" s="112">
        <f>PolyU!K7</f>
        <v>22</v>
      </c>
      <c r="K109" s="112">
        <f>PolyU!AA7</f>
        <v>23</v>
      </c>
      <c r="L109" s="153">
        <f>IFERROR(PolyU!AI7/PolyU!AB7,"新科目")</f>
        <v>13.40909091</v>
      </c>
      <c r="M109" s="112">
        <f>'入學要求'!S93</f>
        <v>0</v>
      </c>
      <c r="N109" s="112"/>
      <c r="O109" s="112"/>
      <c r="P109" s="112"/>
      <c r="Q109" s="112"/>
      <c r="R109" s="112"/>
      <c r="S109" s="112"/>
      <c r="T109" s="112"/>
      <c r="U109" s="112"/>
      <c r="V109" s="112"/>
      <c r="W109" s="112"/>
      <c r="X109" s="112"/>
      <c r="Y109" s="112"/>
      <c r="Z109" s="112"/>
      <c r="AA109" s="112"/>
      <c r="AB109" s="112"/>
    </row>
    <row r="110" ht="15.75" customHeight="1">
      <c r="A110" s="112" t="str">
        <f>PolyU!A8</f>
        <v>JS3466</v>
      </c>
      <c r="B110" s="112" t="s">
        <v>176</v>
      </c>
      <c r="C110" s="112" t="str">
        <f>PolyU!C8</f>
        <v>會計及金融(榮譽)工商管理學士學位</v>
      </c>
      <c r="D110" s="112" t="str">
        <f>PolyU!D8</f>
        <v>	ACCT &amp; FINANCE</v>
      </c>
      <c r="E110" s="125" t="str">
        <f>PolyU!E8</f>
        <v>Best 5</v>
      </c>
      <c r="F110" s="128" t="s">
        <v>541</v>
      </c>
      <c r="G110" s="128">
        <f>PolyU!F8</f>
        <v>172.5</v>
      </c>
      <c r="H110" s="128">
        <f>PolyU!G8</f>
        <v>163.5</v>
      </c>
      <c r="I110" s="128">
        <f>'計分版'!D114</f>
        <v>0.00000001825</v>
      </c>
      <c r="J110" s="112">
        <f>PolyU!K8</f>
        <v>38</v>
      </c>
      <c r="K110" s="112">
        <f>PolyU!AA8</f>
        <v>38</v>
      </c>
      <c r="L110" s="153">
        <f>IFERROR(PolyU!AI8/PolyU!AB8,"新科目")</f>
        <v>10.47222222</v>
      </c>
      <c r="M110" s="112">
        <f>'入學要求'!S94</f>
        <v>0</v>
      </c>
      <c r="N110" s="112"/>
      <c r="O110" s="112"/>
      <c r="P110" s="112"/>
      <c r="Q110" s="112"/>
      <c r="R110" s="112"/>
      <c r="S110" s="112"/>
      <c r="T110" s="112"/>
      <c r="U110" s="112"/>
      <c r="V110" s="112"/>
      <c r="W110" s="112"/>
      <c r="X110" s="112"/>
      <c r="Y110" s="112"/>
      <c r="Z110" s="112"/>
      <c r="AA110" s="112"/>
      <c r="AB110" s="112"/>
    </row>
    <row r="111" ht="15.75" customHeight="1">
      <c r="A111" s="112" t="str">
        <f>PolyU!A9</f>
        <v>JS3478</v>
      </c>
      <c r="B111" s="112" t="s">
        <v>176</v>
      </c>
      <c r="C111" s="112" t="str">
        <f>PolyU!C9</f>
        <v>醫療化驗科學(榮譽)理學士學位</v>
      </c>
      <c r="D111" s="112" t="str">
        <f>PolyU!D9</f>
        <v>	MED LAB SCI</v>
      </c>
      <c r="E111" s="125" t="str">
        <f>PolyU!E9</f>
        <v>Best 6</v>
      </c>
      <c r="F111" s="128" t="s">
        <v>541</v>
      </c>
      <c r="G111" s="128">
        <f>PolyU!F9</f>
        <v>323.5</v>
      </c>
      <c r="H111" s="128">
        <f>PolyU!G9</f>
        <v>316.5</v>
      </c>
      <c r="I111" s="128">
        <f>'計分版'!D115</f>
        <v>0.00000002475</v>
      </c>
      <c r="J111" s="112">
        <f>PolyU!K9</f>
        <v>54</v>
      </c>
      <c r="K111" s="112">
        <f>PolyU!AA9</f>
        <v>55</v>
      </c>
      <c r="L111" s="153">
        <f>IFERROR(PolyU!AI9/PolyU!AB9,"新科目")</f>
        <v>5.396226415</v>
      </c>
      <c r="M111" s="112">
        <f>'入學要求'!S95</f>
        <v>0</v>
      </c>
      <c r="N111" s="112"/>
      <c r="O111" s="112"/>
      <c r="P111" s="112"/>
      <c r="Q111" s="112"/>
      <c r="R111" s="112"/>
      <c r="S111" s="112"/>
      <c r="T111" s="112"/>
      <c r="U111" s="112"/>
      <c r="V111" s="112"/>
      <c r="W111" s="112"/>
      <c r="X111" s="112"/>
      <c r="Y111" s="112"/>
      <c r="Z111" s="112"/>
      <c r="AA111" s="112"/>
      <c r="AB111" s="112"/>
    </row>
    <row r="112" ht="15.75" customHeight="1">
      <c r="A112" s="112" t="str">
        <f>PolyU!A10</f>
        <v>JS3492</v>
      </c>
      <c r="B112" s="112" t="s">
        <v>176</v>
      </c>
      <c r="C112" s="112" t="str">
        <f>PolyU!C10</f>
        <v>服裝及紡織(榮譽)文學士學位組合課程</v>
      </c>
      <c r="D112" s="112" t="str">
        <f>PolyU!D10</f>
        <v>	FASHION &amp; TEXTILES</v>
      </c>
      <c r="E112" s="125" t="str">
        <f>PolyU!E10</f>
        <v>Best 5</v>
      </c>
      <c r="F112" s="128" t="s">
        <v>541</v>
      </c>
      <c r="G112" s="128">
        <f>PolyU!F10</f>
        <v>176</v>
      </c>
      <c r="H112" s="128">
        <f>PolyU!G10</f>
        <v>166</v>
      </c>
      <c r="I112" s="128">
        <f>'計分版'!D116</f>
        <v>0.00000001975</v>
      </c>
      <c r="J112" s="112">
        <f>PolyU!K10</f>
        <v>92</v>
      </c>
      <c r="K112" s="112">
        <f>PolyU!AA10</f>
        <v>92</v>
      </c>
      <c r="L112" s="153">
        <f>IFERROR(PolyU!AI10/PolyU!AB10,"新科目")</f>
        <v>7.272727273</v>
      </c>
      <c r="M112" s="112">
        <f>'入學要求'!S96</f>
        <v>0</v>
      </c>
      <c r="N112" s="112"/>
      <c r="O112" s="112"/>
      <c r="P112" s="112"/>
      <c r="Q112" s="112"/>
      <c r="R112" s="112"/>
      <c r="S112" s="112"/>
      <c r="T112" s="112"/>
      <c r="U112" s="112"/>
      <c r="V112" s="112"/>
      <c r="W112" s="112"/>
      <c r="X112" s="112"/>
      <c r="Y112" s="112"/>
      <c r="Z112" s="112"/>
      <c r="AA112" s="112"/>
      <c r="AB112" s="112"/>
    </row>
    <row r="113" ht="15.75" customHeight="1">
      <c r="A113" s="112" t="str">
        <f>PolyU!A11</f>
        <v>JS3507</v>
      </c>
      <c r="B113" s="112" t="s">
        <v>176</v>
      </c>
      <c r="C113" s="112" t="str">
        <f>PolyU!C11</f>
        <v>航空工程學(榮譽)工學士學位</v>
      </c>
      <c r="D113" s="112" t="str">
        <f>PolyU!D11</f>
        <v>	AVIATION ENGG</v>
      </c>
      <c r="E113" s="125" t="str">
        <f>PolyU!E11</f>
        <v>Best 5</v>
      </c>
      <c r="F113" s="128" t="s">
        <v>541</v>
      </c>
      <c r="G113" s="128">
        <f>PolyU!F11</f>
        <v>185</v>
      </c>
      <c r="H113" s="128">
        <f>PolyU!G11</f>
        <v>171</v>
      </c>
      <c r="I113" s="128">
        <f>'計分版'!D117</f>
        <v>0.00000002175</v>
      </c>
      <c r="J113" s="112">
        <f>PolyU!K11</f>
        <v>56</v>
      </c>
      <c r="K113" s="112">
        <f>PolyU!AA11</f>
        <v>49</v>
      </c>
      <c r="L113" s="153">
        <f>IFERROR(PolyU!AI11/PolyU!AB11,"新科目")</f>
        <v>11.68571429</v>
      </c>
      <c r="M113" s="112">
        <f>'入學要求'!S97</f>
        <v>0</v>
      </c>
      <c r="N113" s="112"/>
      <c r="O113" s="112"/>
      <c r="P113" s="112"/>
      <c r="Q113" s="112"/>
      <c r="R113" s="112"/>
      <c r="S113" s="112"/>
      <c r="T113" s="112"/>
      <c r="U113" s="112"/>
      <c r="V113" s="112"/>
      <c r="W113" s="112"/>
      <c r="X113" s="112"/>
      <c r="Y113" s="112"/>
      <c r="Z113" s="112"/>
      <c r="AA113" s="112"/>
      <c r="AB113" s="112"/>
    </row>
    <row r="114" ht="15.75" customHeight="1">
      <c r="A114" s="112" t="str">
        <f>PolyU!A12</f>
        <v>JS3519</v>
      </c>
      <c r="B114" s="112" t="s">
        <v>176</v>
      </c>
      <c r="C114" s="112" t="str">
        <f>PolyU!C12</f>
        <v>互聯網及多媒體科技(榮譽)理學士學位</v>
      </c>
      <c r="D114" s="112" t="str">
        <f>PolyU!D12</f>
        <v>	INT &amp; MULTI MEDIA TECH</v>
      </c>
      <c r="E114" s="125" t="str">
        <f>PolyU!E12</f>
        <v>Best 5</v>
      </c>
      <c r="F114" s="128" t="s">
        <v>541</v>
      </c>
      <c r="G114" s="128">
        <f>PolyU!F12</f>
        <v>190</v>
      </c>
      <c r="H114" s="128">
        <f>PolyU!G12</f>
        <v>175</v>
      </c>
      <c r="I114" s="128">
        <f>'計分版'!D118</f>
        <v>0.00000002175</v>
      </c>
      <c r="J114" s="112">
        <f>PolyU!K12</f>
        <v>27</v>
      </c>
      <c r="K114" s="112">
        <f>PolyU!AA12</f>
        <v>26</v>
      </c>
      <c r="L114" s="153">
        <f>IFERROR(PolyU!AI12/PolyU!AB12,"新科目")</f>
        <v>25.63636364</v>
      </c>
      <c r="M114" s="112">
        <f>'入學要求'!S98</f>
        <v>0</v>
      </c>
      <c r="N114" s="112"/>
      <c r="O114" s="112"/>
      <c r="P114" s="112"/>
      <c r="Q114" s="112"/>
      <c r="R114" s="112"/>
      <c r="S114" s="112"/>
      <c r="T114" s="112"/>
      <c r="U114" s="112"/>
      <c r="V114" s="112"/>
      <c r="W114" s="112"/>
      <c r="X114" s="112"/>
      <c r="Y114" s="112"/>
      <c r="Z114" s="112"/>
      <c r="AA114" s="112"/>
      <c r="AB114" s="112"/>
    </row>
    <row r="115" ht="15.75" customHeight="1">
      <c r="A115" s="112" t="str">
        <f>PolyU!A13</f>
        <v>JS3557</v>
      </c>
      <c r="B115" s="112" t="s">
        <v>176</v>
      </c>
      <c r="C115" s="112" t="str">
        <f>PolyU!C13</f>
        <v>產品及工業工程(榮譽)工學士學位組合課程</v>
      </c>
      <c r="D115" s="112" t="str">
        <f>PolyU!D13</f>
        <v>	PROD &amp; INDUSTRIAL ENGG</v>
      </c>
      <c r="E115" s="125" t="str">
        <f>PolyU!E13</f>
        <v>Best 5</v>
      </c>
      <c r="F115" s="128" t="s">
        <v>541</v>
      </c>
      <c r="G115" s="128">
        <f>PolyU!F13</f>
        <v>149.5</v>
      </c>
      <c r="H115" s="128">
        <f>PolyU!G13</f>
        <v>149</v>
      </c>
      <c r="I115" s="128">
        <f>'計分版'!D119</f>
        <v>0.00000001975</v>
      </c>
      <c r="J115" s="112">
        <f>PolyU!K13</f>
        <v>56</v>
      </c>
      <c r="K115" s="112">
        <f>PolyU!AA13</f>
        <v>46</v>
      </c>
      <c r="L115" s="153">
        <f>IFERROR(PolyU!AI13/PolyU!AB13,"新科目")</f>
        <v>9.763157895</v>
      </c>
      <c r="M115" s="112">
        <f>'入學要求'!S99</f>
        <v>0</v>
      </c>
      <c r="N115" s="112"/>
      <c r="O115" s="112"/>
      <c r="P115" s="112"/>
      <c r="Q115" s="112"/>
      <c r="R115" s="112"/>
      <c r="S115" s="112"/>
      <c r="T115" s="112"/>
      <c r="U115" s="112"/>
      <c r="V115" s="112"/>
      <c r="W115" s="112"/>
      <c r="X115" s="112"/>
      <c r="Y115" s="156"/>
      <c r="Z115" s="112"/>
      <c r="AA115" s="112"/>
      <c r="AB115" s="112"/>
    </row>
    <row r="116" ht="15.75" customHeight="1">
      <c r="A116" s="112" t="str">
        <f>PolyU!A14</f>
        <v>JS3569</v>
      </c>
      <c r="B116" s="112" t="s">
        <v>176</v>
      </c>
      <c r="C116" s="112" t="str">
        <f>PolyU!C14</f>
        <v>設計學(榮譽)文學士學位組合課程</v>
      </c>
      <c r="D116" s="112" t="str">
        <f>PolyU!D14</f>
        <v>	DESIGN</v>
      </c>
      <c r="E116" s="125" t="str">
        <f>PolyU!E14</f>
        <v>Best 5</v>
      </c>
      <c r="F116" s="128" t="s">
        <v>541</v>
      </c>
      <c r="G116" s="128">
        <f>PolyU!F14</f>
        <v>200</v>
      </c>
      <c r="H116" s="128">
        <f>PolyU!G14</f>
        <v>180</v>
      </c>
      <c r="I116" s="128">
        <f>'計分版'!D120</f>
        <v>0.00000002075</v>
      </c>
      <c r="J116" s="112">
        <f>PolyU!K14</f>
        <v>81</v>
      </c>
      <c r="K116" s="112">
        <f>PolyU!AA14</f>
        <v>65</v>
      </c>
      <c r="L116" s="153">
        <f>IFERROR(PolyU!AI14/PolyU!AB14,"新科目")</f>
        <v>16.296875</v>
      </c>
      <c r="M116" s="112">
        <f>'入學要求'!S100</f>
        <v>0</v>
      </c>
      <c r="N116" s="112"/>
      <c r="O116" s="112"/>
      <c r="P116" s="112"/>
      <c r="Q116" s="112"/>
      <c r="R116" s="112"/>
      <c r="S116" s="112"/>
      <c r="T116" s="112"/>
      <c r="U116" s="112"/>
      <c r="V116" s="112"/>
      <c r="W116" s="112"/>
      <c r="X116" s="112"/>
      <c r="Y116" s="156"/>
      <c r="Z116" s="112"/>
      <c r="AA116" s="112"/>
      <c r="AB116" s="112"/>
    </row>
    <row r="117" ht="15.75" customHeight="1">
      <c r="A117" s="112" t="str">
        <f>PolyU!A15</f>
        <v>JS3571</v>
      </c>
      <c r="B117" s="112" t="s">
        <v>176</v>
      </c>
      <c r="C117" s="112" t="str">
        <f>PolyU!C15</f>
        <v>物流及企業工程(榮譽)理學士學位組合課程</v>
      </c>
      <c r="D117" s="112" t="str">
        <f>PolyU!D15</f>
        <v>	LOG &amp; ENTERPRISE ENGG</v>
      </c>
      <c r="E117" s="125" t="str">
        <f>PolyU!E15</f>
        <v>Best 5</v>
      </c>
      <c r="F117" s="128" t="s">
        <v>541</v>
      </c>
      <c r="G117" s="128">
        <f>PolyU!F15</f>
        <v>149.5</v>
      </c>
      <c r="H117" s="128">
        <f>PolyU!G15</f>
        <v>146</v>
      </c>
      <c r="I117" s="128">
        <f>'計分版'!D121</f>
        <v>0.00000001975</v>
      </c>
      <c r="J117" s="112">
        <f>PolyU!K15</f>
        <v>51</v>
      </c>
      <c r="K117" s="112">
        <f>PolyU!AA15</f>
        <v>41</v>
      </c>
      <c r="L117" s="153">
        <f>IFERROR(PolyU!AI15/PolyU!AB15,"新科目")</f>
        <v>6.676470588</v>
      </c>
      <c r="M117" s="112">
        <f>'入學要求'!S101</f>
        <v>0</v>
      </c>
      <c r="N117" s="112"/>
      <c r="O117" s="112"/>
      <c r="P117" s="112"/>
      <c r="Q117" s="112"/>
      <c r="R117" s="112"/>
      <c r="S117" s="112"/>
      <c r="T117" s="112"/>
      <c r="U117" s="112"/>
      <c r="V117" s="112"/>
      <c r="W117" s="112"/>
      <c r="X117" s="112"/>
      <c r="Y117" s="156"/>
      <c r="Z117" s="112"/>
      <c r="AA117" s="112"/>
      <c r="AB117" s="112"/>
    </row>
    <row r="118" ht="15.75" customHeight="1">
      <c r="A118" s="112" t="str">
        <f>PolyU!A16</f>
        <v>JS3583</v>
      </c>
      <c r="B118" s="112" t="s">
        <v>176</v>
      </c>
      <c r="C118" s="112" t="str">
        <f>PolyU!C16</f>
        <v>管理學(榮譽)工商管理學士學位</v>
      </c>
      <c r="D118" s="112" t="str">
        <f>PolyU!D16</f>
        <v>	MGT</v>
      </c>
      <c r="E118" s="125" t="str">
        <f>PolyU!E16</f>
        <v>Best 5</v>
      </c>
      <c r="F118" s="128" t="s">
        <v>541</v>
      </c>
      <c r="G118" s="128">
        <f>PolyU!F16</f>
        <v>161</v>
      </c>
      <c r="H118" s="128">
        <f>PolyU!G16</f>
        <v>156.5</v>
      </c>
      <c r="I118" s="128">
        <f>'計分版'!D122</f>
        <v>0.00000001975</v>
      </c>
      <c r="J118" s="112">
        <f>PolyU!K16</f>
        <v>50</v>
      </c>
      <c r="K118" s="112">
        <f>PolyU!AA16</f>
        <v>49</v>
      </c>
      <c r="L118" s="153">
        <f>IFERROR(PolyU!AI16/PolyU!AB16,"新科目")</f>
        <v>14.73809524</v>
      </c>
      <c r="M118" s="112">
        <f>'入學要求'!S102</f>
        <v>0</v>
      </c>
      <c r="N118" s="112"/>
      <c r="O118" s="112"/>
      <c r="P118" s="112"/>
      <c r="Q118" s="112"/>
      <c r="R118" s="112"/>
      <c r="S118" s="112"/>
      <c r="T118" s="112"/>
      <c r="U118" s="112"/>
      <c r="V118" s="112"/>
      <c r="W118" s="112"/>
      <c r="X118" s="112"/>
      <c r="Y118" s="156"/>
      <c r="Z118" s="112"/>
      <c r="AA118" s="112"/>
      <c r="AB118" s="112"/>
    </row>
    <row r="119" ht="15.75" customHeight="1">
      <c r="A119" s="112" t="str">
        <f>PolyU!A17</f>
        <v>JS3595</v>
      </c>
      <c r="B119" s="112" t="s">
        <v>176</v>
      </c>
      <c r="C119" s="112" t="str">
        <f>PolyU!C17</f>
        <v>金融服務(榮譽)工商管理學士學位</v>
      </c>
      <c r="D119" s="112" t="str">
        <f>PolyU!D17</f>
        <v>FINANCIAL SERV</v>
      </c>
      <c r="E119" s="125" t="str">
        <f>PolyU!E17</f>
        <v>Best 5</v>
      </c>
      <c r="F119" s="128" t="s">
        <v>541</v>
      </c>
      <c r="G119" s="128">
        <f>PolyU!F17</f>
        <v>153.5</v>
      </c>
      <c r="H119" s="128">
        <f>PolyU!G17</f>
        <v>149</v>
      </c>
      <c r="I119" s="128">
        <f>'計分版'!D123</f>
        <v>0.00000001975</v>
      </c>
      <c r="J119" s="112">
        <f>PolyU!K17</f>
        <v>30</v>
      </c>
      <c r="K119" s="112">
        <f>PolyU!AA17</f>
        <v>26</v>
      </c>
      <c r="L119" s="153">
        <f>IFERROR(PolyU!AI17/PolyU!AB17,"新科目")</f>
        <v>12</v>
      </c>
      <c r="M119" s="112">
        <f>'入學要求'!S103</f>
        <v>0</v>
      </c>
      <c r="N119" s="112"/>
      <c r="O119" s="112"/>
      <c r="P119" s="112"/>
      <c r="Q119" s="112"/>
      <c r="R119" s="112"/>
      <c r="S119" s="112"/>
      <c r="T119" s="112"/>
      <c r="U119" s="112"/>
      <c r="V119" s="112"/>
      <c r="W119" s="112"/>
      <c r="X119" s="112"/>
      <c r="Y119" s="156"/>
      <c r="Z119" s="112"/>
      <c r="AA119" s="112"/>
      <c r="AB119" s="112"/>
    </row>
    <row r="120" ht="15.75" customHeight="1">
      <c r="A120" s="112" t="str">
        <f>PolyU!A18</f>
        <v>JS3600</v>
      </c>
      <c r="B120" s="112" t="s">
        <v>176</v>
      </c>
      <c r="C120" s="112" t="str">
        <f>PolyU!C18</f>
        <v>生物醫學工程(榮譽)理學士學位</v>
      </c>
      <c r="D120" s="112" t="str">
        <f>PolyU!D18</f>
        <v>	BIOMEDICAL ENGG</v>
      </c>
      <c r="E120" s="125" t="str">
        <f>PolyU!E18</f>
        <v>Best 5</v>
      </c>
      <c r="F120" s="128" t="s">
        <v>541</v>
      </c>
      <c r="G120" s="128">
        <f>PolyU!F18</f>
        <v>218.5</v>
      </c>
      <c r="H120" s="128">
        <f>PolyU!G18</f>
        <v>206</v>
      </c>
      <c r="I120" s="128">
        <f>'計分版'!D124</f>
        <v>0.00000002175</v>
      </c>
      <c r="J120" s="112">
        <f>PolyU!K18</f>
        <v>19</v>
      </c>
      <c r="K120" s="112">
        <f>PolyU!AA18</f>
        <v>26</v>
      </c>
      <c r="L120" s="153">
        <f>IFERROR(PolyU!AI18/PolyU!AB18,"新科目")</f>
        <v>9.85</v>
      </c>
      <c r="M120" s="112">
        <f>'入學要求'!S104</f>
        <v>0</v>
      </c>
      <c r="N120" s="112"/>
      <c r="O120" s="112"/>
      <c r="P120" s="112"/>
      <c r="Q120" s="112"/>
      <c r="R120" s="112"/>
      <c r="S120" s="112"/>
      <c r="T120" s="112"/>
      <c r="U120" s="112"/>
      <c r="V120" s="112"/>
      <c r="W120" s="112"/>
      <c r="X120" s="112"/>
      <c r="Y120" s="156"/>
      <c r="Z120" s="112"/>
      <c r="AA120" s="112"/>
      <c r="AB120" s="112"/>
    </row>
    <row r="121" ht="15.75" customHeight="1">
      <c r="A121" s="112" t="str">
        <f>PolyU!A19</f>
        <v>JS3612</v>
      </c>
      <c r="B121" s="112" t="s">
        <v>176</v>
      </c>
      <c r="C121" s="112" t="str">
        <f>PolyU!C19</f>
        <v>放射學(榮譽)理學士學位</v>
      </c>
      <c r="D121" s="112" t="str">
        <f>PolyU!D19</f>
        <v>	RADIOGRAPHY</v>
      </c>
      <c r="E121" s="125" t="str">
        <f>PolyU!E19</f>
        <v>Best 6</v>
      </c>
      <c r="F121" s="128" t="s">
        <v>541</v>
      </c>
      <c r="G121" s="128">
        <f>PolyU!F19</f>
        <v>345</v>
      </c>
      <c r="H121" s="128">
        <f>PolyU!G19</f>
        <v>335</v>
      </c>
      <c r="I121" s="128">
        <f>'計分版'!D125</f>
        <v>0.00000002275</v>
      </c>
      <c r="J121" s="112">
        <f>PolyU!K19</f>
        <v>110</v>
      </c>
      <c r="K121" s="112">
        <f>PolyU!AA19</f>
        <v>113</v>
      </c>
      <c r="L121" s="153">
        <f>IFERROR(PolyU!AI19/PolyU!AB19,"新科目")</f>
        <v>5.241071429</v>
      </c>
      <c r="M121" s="112">
        <f>'入學要求'!S105</f>
        <v>0</v>
      </c>
      <c r="N121" s="112"/>
      <c r="O121" s="112"/>
      <c r="P121" s="112"/>
      <c r="Q121" s="112"/>
      <c r="R121" s="112"/>
      <c r="S121" s="112"/>
      <c r="T121" s="112"/>
      <c r="U121" s="112"/>
      <c r="V121" s="112"/>
      <c r="W121" s="112"/>
      <c r="X121" s="112"/>
      <c r="Y121" s="112"/>
      <c r="Z121" s="112"/>
      <c r="AA121" s="112"/>
      <c r="AB121" s="112"/>
    </row>
    <row r="122" ht="15.75" customHeight="1">
      <c r="A122" s="112" t="str">
        <f>PolyU!A20</f>
        <v>JS3624</v>
      </c>
      <c r="B122" s="112" t="s">
        <v>176</v>
      </c>
      <c r="C122" s="112" t="str">
        <f>PolyU!C20</f>
        <v>職業治療學(榮譽)理學士學位</v>
      </c>
      <c r="D122" s="112" t="str">
        <f>PolyU!D20</f>
        <v>	OCCUPATIONAL THERAPY</v>
      </c>
      <c r="E122" s="125" t="str">
        <f>PolyU!E20</f>
        <v>Best 6</v>
      </c>
      <c r="F122" s="128" t="s">
        <v>541</v>
      </c>
      <c r="G122" s="128">
        <f>PolyU!F20</f>
        <v>327</v>
      </c>
      <c r="H122" s="128">
        <f>PolyU!G20</f>
        <v>327</v>
      </c>
      <c r="I122" s="128">
        <f>'計分版'!D126</f>
        <v>0.00000002255</v>
      </c>
      <c r="J122" s="112">
        <f>PolyU!K20</f>
        <v>100</v>
      </c>
      <c r="K122" s="112">
        <f>PolyU!AA20</f>
        <v>101</v>
      </c>
      <c r="L122" s="153">
        <f>IFERROR(PolyU!AI20/PolyU!AB20,"新科目")</f>
        <v>4.83</v>
      </c>
      <c r="M122" s="112">
        <f>'入學要求'!S106</f>
        <v>0</v>
      </c>
      <c r="N122" s="112"/>
      <c r="O122" s="112"/>
      <c r="P122" s="112"/>
      <c r="Q122" s="112"/>
      <c r="R122" s="112"/>
      <c r="S122" s="112"/>
      <c r="T122" s="112"/>
      <c r="U122" s="112"/>
      <c r="V122" s="112"/>
      <c r="W122" s="112"/>
      <c r="X122" s="112"/>
      <c r="Y122" s="112"/>
      <c r="Z122" s="112"/>
      <c r="AA122" s="112"/>
      <c r="AB122" s="112"/>
    </row>
    <row r="123" ht="15.75" customHeight="1">
      <c r="A123" s="112" t="str">
        <f>PolyU!A21</f>
        <v>JS3636</v>
      </c>
      <c r="B123" s="112" t="s">
        <v>176</v>
      </c>
      <c r="C123" s="112" t="str">
        <f>PolyU!C21</f>
        <v>物理治療學(榮譽)理學士學位</v>
      </c>
      <c r="D123" s="112" t="str">
        <f>PolyU!D21</f>
        <v>	PHYSIOTHERAPY</v>
      </c>
      <c r="E123" s="125" t="str">
        <f>PolyU!E21</f>
        <v>Best 6</v>
      </c>
      <c r="F123" s="128" t="s">
        <v>541</v>
      </c>
      <c r="G123" s="128">
        <f>PolyU!F21</f>
        <v>322.5</v>
      </c>
      <c r="H123" s="128">
        <f>PolyU!G21</f>
        <v>306</v>
      </c>
      <c r="I123" s="128">
        <f>'計分版'!D127</f>
        <v>0.00000002255</v>
      </c>
      <c r="J123" s="112">
        <f>PolyU!K21</f>
        <v>150</v>
      </c>
      <c r="K123" s="112">
        <f>PolyU!AA21</f>
        <v>142</v>
      </c>
      <c r="L123" s="153">
        <f>IFERROR(PolyU!AI21/PolyU!AB21,"新科目")</f>
        <v>3.726618705</v>
      </c>
      <c r="M123" s="112">
        <f>'入學要求'!S107</f>
        <v>0</v>
      </c>
      <c r="N123" s="112"/>
      <c r="O123" s="112"/>
      <c r="P123" s="112"/>
      <c r="Q123" s="112"/>
      <c r="R123" s="112"/>
      <c r="S123" s="112"/>
      <c r="T123" s="112"/>
      <c r="U123" s="112"/>
      <c r="V123" s="112"/>
      <c r="W123" s="112"/>
      <c r="X123" s="112"/>
      <c r="Y123" s="112"/>
      <c r="Z123" s="112"/>
      <c r="AA123" s="112"/>
      <c r="AB123" s="112"/>
    </row>
    <row r="124" ht="15.75" customHeight="1">
      <c r="A124" s="112" t="str">
        <f>PolyU!A22</f>
        <v>JS3648</v>
      </c>
      <c r="B124" s="112" t="s">
        <v>176</v>
      </c>
      <c r="C124" s="112" t="str">
        <f>PolyU!C22</f>
        <v>護理學(榮譽)理學士學位</v>
      </c>
      <c r="D124" s="112" t="str">
        <f>PolyU!D22</f>
        <v>	NURSING</v>
      </c>
      <c r="E124" s="125" t="str">
        <f>PolyU!E22</f>
        <v>4C2X</v>
      </c>
      <c r="F124" s="128" t="s">
        <v>541</v>
      </c>
      <c r="G124" s="128">
        <f>PolyU!F22</f>
        <v>265</v>
      </c>
      <c r="H124" s="128">
        <f>PolyU!G22</f>
        <v>257.5</v>
      </c>
      <c r="I124" s="128">
        <f>'計分版'!D128</f>
        <v>0.00000001925</v>
      </c>
      <c r="J124" s="112">
        <f>PolyU!K22</f>
        <v>193</v>
      </c>
      <c r="K124" s="112">
        <f>PolyU!AA22</f>
        <v>165</v>
      </c>
      <c r="L124" s="153">
        <f>IFERROR(PolyU!AI22/PolyU!AB22,"新科目")</f>
        <v>7.079754601</v>
      </c>
      <c r="M124" s="112">
        <f>'入學要求'!S108</f>
        <v>0</v>
      </c>
      <c r="N124" s="112"/>
      <c r="O124" s="112"/>
      <c r="P124" s="112"/>
      <c r="Q124" s="112"/>
      <c r="R124" s="112"/>
      <c r="S124" s="112"/>
      <c r="T124" s="112"/>
      <c r="U124" s="112"/>
      <c r="V124" s="112"/>
      <c r="W124" s="112"/>
      <c r="X124" s="112"/>
      <c r="Y124" s="112"/>
      <c r="Z124" s="112"/>
      <c r="AA124" s="112"/>
      <c r="AB124" s="112"/>
    </row>
    <row r="125" ht="15.75" customHeight="1">
      <c r="A125" s="112" t="str">
        <f>PolyU!A23</f>
        <v>JS3650</v>
      </c>
      <c r="B125" s="112" t="s">
        <v>176</v>
      </c>
      <c r="C125" s="112" t="str">
        <f>PolyU!C23</f>
        <v>眼科視光學(榮譽)理學士學位</v>
      </c>
      <c r="D125" s="112" t="str">
        <f>PolyU!D23</f>
        <v>	OPTOMETRY</v>
      </c>
      <c r="E125" s="125" t="str">
        <f>PolyU!E23</f>
        <v>Best 6</v>
      </c>
      <c r="F125" s="128" t="s">
        <v>541</v>
      </c>
      <c r="G125" s="128">
        <f>PolyU!F23</f>
        <v>360</v>
      </c>
      <c r="H125" s="128">
        <f>PolyU!G23</f>
        <v>318</v>
      </c>
      <c r="I125" s="128">
        <f>'計分版'!D129</f>
        <v>0.00000002475</v>
      </c>
      <c r="J125" s="112">
        <f>PolyU!K23</f>
        <v>45</v>
      </c>
      <c r="K125" s="112">
        <f>PolyU!AA23</f>
        <v>51</v>
      </c>
      <c r="L125" s="153">
        <f>IFERROR(PolyU!AI23/PolyU!AB23,"新科目")</f>
        <v>5.739130435</v>
      </c>
      <c r="M125" s="112">
        <f>'入學要求'!S109</f>
        <v>0</v>
      </c>
      <c r="N125" s="112"/>
      <c r="O125" s="112"/>
      <c r="P125" s="112"/>
      <c r="Q125" s="112"/>
      <c r="R125" s="112"/>
      <c r="S125" s="112"/>
      <c r="T125" s="112"/>
      <c r="U125" s="112"/>
      <c r="V125" s="112"/>
      <c r="W125" s="112"/>
      <c r="X125" s="112"/>
      <c r="Y125" s="112"/>
      <c r="Z125" s="112"/>
      <c r="AA125" s="112"/>
      <c r="AB125" s="112"/>
    </row>
    <row r="126" ht="15.75" customHeight="1">
      <c r="A126" s="112" t="str">
        <f>PolyU!A24</f>
        <v>JS3662</v>
      </c>
      <c r="B126" s="112" t="s">
        <v>176</v>
      </c>
      <c r="C126" s="112" t="str">
        <f>PolyU!C24</f>
        <v>社會工作(榮譽)文學士學位</v>
      </c>
      <c r="D126" s="112" t="str">
        <f>PolyU!D24</f>
        <v>	SOCIAL WORK</v>
      </c>
      <c r="E126" s="125" t="str">
        <f>PolyU!E24</f>
        <v>4C2X</v>
      </c>
      <c r="F126" s="128" t="s">
        <v>541</v>
      </c>
      <c r="G126" s="128">
        <f>PolyU!F24</f>
        <v>184</v>
      </c>
      <c r="H126" s="128">
        <f>PolyU!G24</f>
        <v>183.5</v>
      </c>
      <c r="I126" s="128">
        <f>'計分版'!D130</f>
        <v>0.00000001625</v>
      </c>
      <c r="J126" s="112">
        <f>PolyU!K24</f>
        <v>32</v>
      </c>
      <c r="K126" s="112">
        <f>PolyU!AA24</f>
        <v>35</v>
      </c>
      <c r="L126" s="153">
        <f>IFERROR(PolyU!AI24/PolyU!AB24,"新科目")</f>
        <v>15.6</v>
      </c>
      <c r="M126" s="112">
        <f>'入學要求'!S110</f>
        <v>0</v>
      </c>
      <c r="N126" s="112"/>
      <c r="O126" s="112"/>
      <c r="P126" s="112"/>
      <c r="Q126" s="112"/>
      <c r="R126" s="112"/>
      <c r="S126" s="112"/>
      <c r="T126" s="112"/>
      <c r="U126" s="112"/>
      <c r="V126" s="112"/>
      <c r="W126" s="112"/>
      <c r="X126" s="112"/>
      <c r="Y126" s="112"/>
      <c r="Z126" s="112"/>
      <c r="AA126" s="112"/>
      <c r="AB126" s="112"/>
    </row>
    <row r="127" ht="15.75" customHeight="1">
      <c r="A127" s="112" t="str">
        <f>PolyU!A25</f>
        <v>JS3674</v>
      </c>
      <c r="B127" s="112" t="s">
        <v>176</v>
      </c>
      <c r="C127" s="112" t="str">
        <f>PolyU!C25</f>
        <v>國際航運及物流管理(榮譽)工商管理學士學位</v>
      </c>
      <c r="D127" s="112" t="str">
        <f>PolyU!D25</f>
        <v>	INT'L SHIP &amp; TRANS LGT</v>
      </c>
      <c r="E127" s="125" t="str">
        <f>PolyU!E25</f>
        <v>Best 5</v>
      </c>
      <c r="F127" s="128" t="s">
        <v>541</v>
      </c>
      <c r="G127" s="128">
        <f>PolyU!F25</f>
        <v>151</v>
      </c>
      <c r="H127" s="128">
        <f>PolyU!G25</f>
        <v>146</v>
      </c>
      <c r="I127" s="128">
        <f>'計分版'!D131</f>
        <v>0.00000001975</v>
      </c>
      <c r="J127" s="112">
        <f>PolyU!K25</f>
        <v>31</v>
      </c>
      <c r="K127" s="112">
        <f>PolyU!AA25</f>
        <v>34</v>
      </c>
      <c r="L127" s="153">
        <f>IFERROR(PolyU!AI25/PolyU!AB25,"新科目")</f>
        <v>10.47368421</v>
      </c>
      <c r="M127" s="112">
        <f>'入學要求'!S111</f>
        <v>0</v>
      </c>
      <c r="N127" s="112"/>
      <c r="O127" s="112"/>
      <c r="P127" s="112"/>
      <c r="Q127" s="112"/>
      <c r="R127" s="112"/>
      <c r="S127" s="112"/>
      <c r="T127" s="112"/>
      <c r="U127" s="112"/>
      <c r="V127" s="112"/>
      <c r="W127" s="112"/>
      <c r="X127" s="112"/>
      <c r="Y127" s="112"/>
      <c r="Z127" s="112"/>
      <c r="AA127" s="112"/>
      <c r="AB127" s="112"/>
    </row>
    <row r="128" ht="15.75" customHeight="1">
      <c r="A128" s="112" t="str">
        <f>PolyU!A26</f>
        <v>JS3703</v>
      </c>
      <c r="B128" s="112" t="s">
        <v>176</v>
      </c>
      <c r="C128" s="112" t="str">
        <f>PolyU!C26</f>
        <v>電子及資訊工程學(榮譽)工學士學位</v>
      </c>
      <c r="D128" s="112" t="str">
        <f>PolyU!D26</f>
        <v>	ELECTRONIC &amp; INFO ENGG</v>
      </c>
      <c r="E128" s="125" t="str">
        <f>PolyU!E26</f>
        <v>Best 5</v>
      </c>
      <c r="F128" s="128" t="s">
        <v>541</v>
      </c>
      <c r="G128" s="128">
        <f>PolyU!F26</f>
        <v>180</v>
      </c>
      <c r="H128" s="128">
        <f>PolyU!G26</f>
        <v>170</v>
      </c>
      <c r="I128" s="128">
        <f>'計分版'!D132</f>
        <v>0.00000002175</v>
      </c>
      <c r="J128" s="112">
        <f>PolyU!K26</f>
        <v>37</v>
      </c>
      <c r="K128" s="112">
        <f>PolyU!AA26</f>
        <v>30</v>
      </c>
      <c r="L128" s="153">
        <f>IFERROR(PolyU!AI26/PolyU!AB26,"新科目")</f>
        <v>21.71428571</v>
      </c>
      <c r="M128" s="112">
        <f>'入學要求'!S112</f>
        <v>0</v>
      </c>
      <c r="N128" s="112"/>
      <c r="O128" s="112"/>
      <c r="P128" s="112"/>
      <c r="Q128" s="112"/>
      <c r="R128" s="112"/>
      <c r="S128" s="112"/>
      <c r="T128" s="112"/>
      <c r="U128" s="112"/>
      <c r="V128" s="112"/>
      <c r="W128" s="112"/>
      <c r="X128" s="112"/>
      <c r="Y128" s="112"/>
      <c r="Z128" s="112"/>
      <c r="AA128" s="112"/>
      <c r="AB128" s="112"/>
    </row>
    <row r="129" ht="15.75" customHeight="1">
      <c r="A129" s="112" t="str">
        <f>PolyU!A27</f>
        <v>JS3715</v>
      </c>
      <c r="B129" s="112" t="s">
        <v>176</v>
      </c>
      <c r="C129" s="112" t="str">
        <f>PolyU!C27</f>
        <v>電機工程學(榮譽)工學士學位</v>
      </c>
      <c r="D129" s="112" t="str">
        <f>PolyU!D27</f>
        <v>	ELECTRICAL ENGG</v>
      </c>
      <c r="E129" s="125" t="str">
        <f>PolyU!E27</f>
        <v>Best 5</v>
      </c>
      <c r="F129" s="128" t="s">
        <v>541</v>
      </c>
      <c r="G129" s="128">
        <f>PolyU!F27</f>
        <v>220</v>
      </c>
      <c r="H129" s="128">
        <f>PolyU!G27</f>
        <v>186</v>
      </c>
      <c r="I129" s="128">
        <f>'計分版'!D133</f>
        <v>0.00000002175</v>
      </c>
      <c r="J129" s="112">
        <f>PolyU!K27</f>
        <v>39</v>
      </c>
      <c r="K129" s="112">
        <f>PolyU!AA27</f>
        <v>41</v>
      </c>
      <c r="L129" s="153">
        <f>IFERROR(PolyU!AI27/PolyU!AB27,"新科目")</f>
        <v>7.421052632</v>
      </c>
      <c r="M129" s="112">
        <f>'入學要求'!S113</f>
        <v>0</v>
      </c>
      <c r="N129" s="112"/>
      <c r="O129" s="112"/>
      <c r="P129" s="112"/>
      <c r="Q129" s="112"/>
      <c r="R129" s="112"/>
      <c r="S129" s="112"/>
      <c r="T129" s="112"/>
      <c r="U129" s="112"/>
      <c r="V129" s="112"/>
      <c r="W129" s="112"/>
      <c r="X129" s="112"/>
      <c r="Y129" s="112"/>
      <c r="Z129" s="112"/>
      <c r="AA129" s="112"/>
      <c r="AB129" s="112"/>
    </row>
    <row r="130" ht="15.75" customHeight="1">
      <c r="A130" s="112" t="str">
        <f>PolyU!A28</f>
        <v>JS3739</v>
      </c>
      <c r="B130" s="112" t="s">
        <v>176</v>
      </c>
      <c r="C130" s="112" t="str">
        <f>PolyU!C28</f>
        <v>土木工程學(榮譽)工學士學位</v>
      </c>
      <c r="D130" s="112" t="str">
        <f>PolyU!D28</f>
        <v>	CIVIL ENGG</v>
      </c>
      <c r="E130" s="125" t="str">
        <f>PolyU!E28</f>
        <v>Best 5</v>
      </c>
      <c r="F130" s="128" t="s">
        <v>541</v>
      </c>
      <c r="G130" s="128">
        <f>PolyU!F28</f>
        <v>191</v>
      </c>
      <c r="H130" s="128">
        <f>PolyU!G28</f>
        <v>184</v>
      </c>
      <c r="I130" s="128">
        <f>'計分版'!D134</f>
        <v>0.00000002175</v>
      </c>
      <c r="J130" s="112">
        <f>PolyU!K28</f>
        <v>62</v>
      </c>
      <c r="K130" s="112">
        <f>PolyU!AA28</f>
        <v>58</v>
      </c>
      <c r="L130" s="153">
        <f>IFERROR(PolyU!AI28/PolyU!AB28,"新科目")</f>
        <v>11</v>
      </c>
      <c r="M130" s="112">
        <f>'入學要求'!S114</f>
        <v>0</v>
      </c>
      <c r="N130" s="112"/>
      <c r="O130" s="112"/>
      <c r="P130" s="112"/>
      <c r="Q130" s="112"/>
      <c r="R130" s="112"/>
      <c r="S130" s="112"/>
      <c r="T130" s="112"/>
      <c r="U130" s="112"/>
      <c r="V130" s="112"/>
      <c r="W130" s="112"/>
      <c r="X130" s="112"/>
      <c r="Y130" s="112"/>
      <c r="Z130" s="112"/>
      <c r="AA130" s="112"/>
      <c r="AB130" s="112"/>
    </row>
    <row r="131" ht="15.75" customHeight="1">
      <c r="A131" s="112" t="str">
        <f>PolyU!A29</f>
        <v>JS3741</v>
      </c>
      <c r="B131" s="112" t="s">
        <v>176</v>
      </c>
      <c r="C131" s="112" t="str">
        <f>PolyU!C29</f>
        <v>機械工程(榮譽)工學士學位組合課程</v>
      </c>
      <c r="D131" s="112" t="str">
        <f>PolyU!D29</f>
        <v>	MECHANICAL ENGG</v>
      </c>
      <c r="E131" s="125" t="str">
        <f>PolyU!E29</f>
        <v>Best 5</v>
      </c>
      <c r="F131" s="128" t="s">
        <v>541</v>
      </c>
      <c r="G131" s="128">
        <f>PolyU!F29</f>
        <v>180</v>
      </c>
      <c r="H131" s="128">
        <f>PolyU!G29</f>
        <v>176</v>
      </c>
      <c r="I131" s="128">
        <f>'計分版'!D135</f>
        <v>0.00000002175</v>
      </c>
      <c r="J131" s="112">
        <f>PolyU!K29</f>
        <v>62</v>
      </c>
      <c r="K131" s="112">
        <f>PolyU!AA29</f>
        <v>51</v>
      </c>
      <c r="L131" s="153">
        <f>IFERROR(PolyU!AI29/PolyU!AB29,"新科目")</f>
        <v>9.044444444</v>
      </c>
      <c r="M131" s="112">
        <f>'入學要求'!S115</f>
        <v>0</v>
      </c>
      <c r="N131" s="112"/>
      <c r="O131" s="112"/>
      <c r="P131" s="112"/>
      <c r="Q131" s="112"/>
      <c r="R131" s="112"/>
      <c r="S131" s="112"/>
      <c r="T131" s="112"/>
      <c r="U131" s="112"/>
      <c r="V131" s="112"/>
      <c r="W131" s="112"/>
      <c r="X131" s="112"/>
      <c r="Y131" s="112"/>
      <c r="Z131" s="112"/>
      <c r="AA131" s="112"/>
      <c r="AB131" s="112"/>
    </row>
    <row r="132" ht="15.75" customHeight="1">
      <c r="A132" s="112" t="str">
        <f>PolyU!A30</f>
        <v>JS3753</v>
      </c>
      <c r="B132" s="112" t="s">
        <v>176</v>
      </c>
      <c r="C132" s="112" t="str">
        <f>PolyU!C30</f>
        <v>屋宇設備工程學(榮譽)工學士學位</v>
      </c>
      <c r="D132" s="112" t="str">
        <f>PolyU!D30</f>
        <v>	BLDG SERV ENGG</v>
      </c>
      <c r="E132" s="125" t="str">
        <f>PolyU!E30</f>
        <v>Best 5</v>
      </c>
      <c r="F132" s="128" t="s">
        <v>541</v>
      </c>
      <c r="G132" s="128">
        <f>PolyU!F30</f>
        <v>176</v>
      </c>
      <c r="H132" s="128">
        <f>PolyU!G30</f>
        <v>159</v>
      </c>
      <c r="I132" s="128">
        <f>'計分版'!D136</f>
        <v>0.00000001975</v>
      </c>
      <c r="J132" s="112">
        <f>PolyU!K30</f>
        <v>29</v>
      </c>
      <c r="K132" s="112">
        <f>PolyU!AA30</f>
        <v>24</v>
      </c>
      <c r="L132" s="153">
        <f>IFERROR(PolyU!AI30/PolyU!AB30,"新科目")</f>
        <v>6.136363636</v>
      </c>
      <c r="M132" s="112">
        <f>'入學要求'!S116</f>
        <v>0</v>
      </c>
      <c r="N132" s="112"/>
      <c r="O132" s="112"/>
      <c r="P132" s="112"/>
      <c r="Q132" s="112"/>
      <c r="R132" s="112"/>
      <c r="S132" s="112"/>
      <c r="T132" s="112"/>
      <c r="U132" s="112"/>
      <c r="V132" s="112"/>
      <c r="W132" s="112"/>
      <c r="X132" s="112"/>
      <c r="Y132" s="112"/>
      <c r="Z132" s="112"/>
      <c r="AA132" s="112"/>
      <c r="AB132" s="112"/>
    </row>
    <row r="133" ht="15.75" customHeight="1">
      <c r="A133" s="112" t="str">
        <f>PolyU!A31</f>
        <v>JS3765</v>
      </c>
      <c r="B133" s="112" t="s">
        <v>176</v>
      </c>
      <c r="C133" s="112" t="str">
        <f>PolyU!C31</f>
        <v>社會政策及社會創業(榮譽)文學士學位</v>
      </c>
      <c r="D133" s="112" t="str">
        <f>PolyU!D31</f>
        <v>	SOC POLICY &amp; SOC ENTREPR</v>
      </c>
      <c r="E133" s="125" t="str">
        <f>PolyU!E31</f>
        <v>4C2X</v>
      </c>
      <c r="F133" s="128" t="s">
        <v>541</v>
      </c>
      <c r="G133" s="128">
        <f>PolyU!F31</f>
        <v>153</v>
      </c>
      <c r="H133" s="128">
        <f>PolyU!G31</f>
        <v>154</v>
      </c>
      <c r="I133" s="128">
        <f>'計分版'!D137</f>
        <v>0.00000001625</v>
      </c>
      <c r="J133" s="112">
        <f>PolyU!K31</f>
        <v>18</v>
      </c>
      <c r="K133" s="112">
        <f>PolyU!AA31</f>
        <v>18</v>
      </c>
      <c r="L133" s="153">
        <f>IFERROR(PolyU!AI31/PolyU!AB31,"新科目")</f>
        <v>13.66666667</v>
      </c>
      <c r="M133" s="112">
        <f>'入學要求'!S117</f>
        <v>0</v>
      </c>
      <c r="N133" s="112"/>
      <c r="O133" s="112"/>
      <c r="P133" s="112"/>
      <c r="Q133" s="112"/>
      <c r="R133" s="112"/>
      <c r="S133" s="112"/>
      <c r="T133" s="112"/>
      <c r="U133" s="112"/>
      <c r="V133" s="112"/>
      <c r="W133" s="112"/>
      <c r="X133" s="112"/>
      <c r="Y133" s="112"/>
      <c r="Z133" s="112"/>
      <c r="AA133" s="112"/>
      <c r="AB133" s="112"/>
    </row>
    <row r="134" ht="15.75" customHeight="1">
      <c r="A134" s="112" t="str">
        <f>PolyU!A32</f>
        <v>JS3777</v>
      </c>
      <c r="B134" s="112" t="s">
        <v>176</v>
      </c>
      <c r="C134" s="112" t="str">
        <f>PolyU!C32</f>
        <v>結構及消防安全工程學(榮譽)工學士學位</v>
      </c>
      <c r="D134" s="112" t="str">
        <f>PolyU!D32</f>
        <v>STRUCT &amp; FIRE SAFETY ENG</v>
      </c>
      <c r="E134" s="125" t="str">
        <f>PolyU!E32</f>
        <v>Best 5</v>
      </c>
      <c r="F134" s="128" t="s">
        <v>541</v>
      </c>
      <c r="G134" s="128">
        <f>PolyU!F32</f>
        <v>162</v>
      </c>
      <c r="H134" s="128">
        <f>PolyU!G32</f>
        <v>159</v>
      </c>
      <c r="I134" s="128">
        <f>'計分版'!D138</f>
        <v>0.00000002175</v>
      </c>
      <c r="J134" s="112">
        <f>PolyU!K32</f>
        <v>30</v>
      </c>
      <c r="K134" s="112">
        <f>PolyU!AA32</f>
        <v>28</v>
      </c>
      <c r="L134" s="153">
        <f>IFERROR(PolyU!AI32/PolyU!AB32,"新科目")</f>
        <v>9.814814815</v>
      </c>
      <c r="M134" s="112">
        <f>'入學要求'!S118</f>
        <v>0</v>
      </c>
      <c r="N134" s="112"/>
      <c r="O134" s="112"/>
      <c r="P134" s="112"/>
      <c r="Q134" s="112"/>
      <c r="R134" s="112"/>
      <c r="S134" s="112"/>
      <c r="T134" s="112"/>
      <c r="U134" s="112"/>
      <c r="V134" s="112"/>
      <c r="W134" s="112"/>
      <c r="X134" s="112"/>
      <c r="Y134" s="112"/>
      <c r="Z134" s="112"/>
      <c r="AA134" s="112"/>
      <c r="AB134" s="112"/>
    </row>
    <row r="135" ht="15.75" customHeight="1">
      <c r="A135" s="112" t="str">
        <f>PolyU!A33</f>
        <v>JS3789</v>
      </c>
      <c r="B135" s="112" t="s">
        <v>176</v>
      </c>
      <c r="C135" s="112" t="str">
        <f>PolyU!C33</f>
        <v>地產及建設測量學(榮譽)理學士學位</v>
      </c>
      <c r="D135" s="112" t="str">
        <f>PolyU!D33</f>
        <v>	SURVEYING</v>
      </c>
      <c r="E135" s="125" t="str">
        <f>PolyU!E33</f>
        <v>Best 5</v>
      </c>
      <c r="F135" s="128" t="s">
        <v>541</v>
      </c>
      <c r="G135" s="128">
        <f>PolyU!F33</f>
        <v>173</v>
      </c>
      <c r="H135" s="128">
        <f>PolyU!G33</f>
        <v>172.5</v>
      </c>
      <c r="I135" s="128">
        <f>'計分版'!D139</f>
        <v>0.00000001975</v>
      </c>
      <c r="J135" s="112">
        <f>PolyU!K33</f>
        <v>47</v>
      </c>
      <c r="K135" s="112">
        <f>PolyU!AA33</f>
        <v>53</v>
      </c>
      <c r="L135" s="153">
        <f>IFERROR(PolyU!AI33/PolyU!AB33,"新科目")</f>
        <v>3.211538462</v>
      </c>
      <c r="M135" s="112">
        <f>'入學要求'!S119</f>
        <v>0</v>
      </c>
      <c r="N135" s="112"/>
      <c r="O135" s="112"/>
      <c r="P135" s="112"/>
      <c r="Q135" s="112"/>
      <c r="R135" s="112"/>
      <c r="S135" s="112"/>
      <c r="T135" s="112"/>
      <c r="U135" s="112"/>
      <c r="V135" s="112"/>
      <c r="W135" s="112"/>
      <c r="X135" s="112"/>
      <c r="Y135" s="112"/>
      <c r="Z135" s="112"/>
      <c r="AA135" s="112"/>
      <c r="AB135" s="112"/>
    </row>
    <row r="136" ht="15.75" customHeight="1">
      <c r="A136" s="112" t="str">
        <f>PolyU!A34</f>
        <v>JS3791</v>
      </c>
      <c r="B136" s="112" t="s">
        <v>176</v>
      </c>
      <c r="C136" s="112" t="str">
        <f>PolyU!C34</f>
        <v>建築工程及管理學(榮譽)理學士學位</v>
      </c>
      <c r="D136" s="112" t="str">
        <f>PolyU!D34</f>
        <v>BLDG ENGG &amp; MGT</v>
      </c>
      <c r="E136" s="125" t="str">
        <f>PolyU!E34</f>
        <v>Best 5</v>
      </c>
      <c r="F136" s="128" t="s">
        <v>541</v>
      </c>
      <c r="G136" s="128">
        <f>PolyU!F34</f>
        <v>174</v>
      </c>
      <c r="H136" s="128">
        <f>PolyU!G34</f>
        <v>152</v>
      </c>
      <c r="I136" s="128">
        <f>'計分版'!D140</f>
        <v>0.00000002175</v>
      </c>
      <c r="J136" s="112">
        <f>PolyU!K34</f>
        <v>22</v>
      </c>
      <c r="K136" s="112">
        <f>PolyU!AA34</f>
        <v>20</v>
      </c>
      <c r="L136" s="153">
        <f>IFERROR(PolyU!AI34/PolyU!AB34,"新科目")</f>
        <v>9</v>
      </c>
      <c r="M136" s="112">
        <f>'入學要求'!S120</f>
        <v>0</v>
      </c>
      <c r="N136" s="112"/>
      <c r="O136" s="112"/>
      <c r="P136" s="112"/>
      <c r="Q136" s="112"/>
      <c r="R136" s="112"/>
      <c r="S136" s="112"/>
      <c r="T136" s="112"/>
      <c r="U136" s="112"/>
      <c r="V136" s="112"/>
      <c r="W136" s="112"/>
      <c r="X136" s="112"/>
      <c r="Y136" s="112"/>
      <c r="Z136" s="112"/>
      <c r="AA136" s="112"/>
      <c r="AB136" s="112"/>
    </row>
    <row r="137" ht="15.75" customHeight="1">
      <c r="A137" s="112" t="str">
        <f>PolyU!A35</f>
        <v>JS3806</v>
      </c>
      <c r="B137" s="112" t="s">
        <v>176</v>
      </c>
      <c r="C137" s="112" t="str">
        <f>PolyU!C35</f>
        <v>投資科學及金融分析(榮譽)理學士學位</v>
      </c>
      <c r="D137" s="112" t="str">
        <f>PolyU!D35</f>
        <v>INV SCI &amp; FIN ANALYTICS</v>
      </c>
      <c r="E137" s="125" t="str">
        <f>PolyU!E35</f>
        <v>Best 5</v>
      </c>
      <c r="F137" s="128" t="s">
        <v>541</v>
      </c>
      <c r="G137" s="128">
        <f>PolyU!F35</f>
        <v>166.5</v>
      </c>
      <c r="H137" s="128">
        <f>PolyU!G35</f>
        <v>156.5</v>
      </c>
      <c r="I137" s="128">
        <f>'計分版'!D141</f>
        <v>0.00000001975</v>
      </c>
      <c r="J137" s="112">
        <f>PolyU!K35</f>
        <v>19</v>
      </c>
      <c r="K137" s="112">
        <f>PolyU!AA35</f>
        <v>25</v>
      </c>
      <c r="L137" s="153">
        <f>IFERROR(PolyU!AI35/PolyU!AB35,"新科目")</f>
        <v>5.304347826</v>
      </c>
      <c r="M137" s="112">
        <f>'入學要求'!S121</f>
        <v>0</v>
      </c>
      <c r="N137" s="112"/>
      <c r="O137" s="112"/>
      <c r="P137" s="112"/>
      <c r="Q137" s="112"/>
      <c r="R137" s="112"/>
      <c r="S137" s="112"/>
      <c r="T137" s="112"/>
      <c r="U137" s="112"/>
      <c r="V137" s="112"/>
      <c r="W137" s="112"/>
      <c r="X137" s="112"/>
      <c r="Y137" s="112"/>
      <c r="Z137" s="112"/>
      <c r="AA137" s="112"/>
      <c r="AB137" s="112"/>
    </row>
    <row r="138" ht="15.75" customHeight="1">
      <c r="A138" s="112" t="str">
        <f>PolyU!A36</f>
        <v>JS3818</v>
      </c>
      <c r="B138" s="112" t="s">
        <v>176</v>
      </c>
      <c r="C138" s="112" t="str">
        <f>PolyU!C36</f>
        <v>語言學及翻譯學(榮譽)文學士學位</v>
      </c>
      <c r="D138" s="112" t="str">
        <f>PolyU!D36</f>
        <v>	LINGUISTICS &amp; TRANSLAT</v>
      </c>
      <c r="E138" s="125" t="str">
        <f>PolyU!E36</f>
        <v>中英+3X</v>
      </c>
      <c r="F138" s="128" t="s">
        <v>541</v>
      </c>
      <c r="G138" s="128">
        <f>PolyU!F36</f>
        <v>171</v>
      </c>
      <c r="H138" s="128">
        <f>PolyU!G36</f>
        <v>163.5</v>
      </c>
      <c r="I138" s="128">
        <f>'計分版'!D142</f>
        <v>0.00000001625</v>
      </c>
      <c r="J138" s="112">
        <f>PolyU!K36</f>
        <v>37</v>
      </c>
      <c r="K138" s="112">
        <f>PolyU!AA36</f>
        <v>37</v>
      </c>
      <c r="L138" s="153">
        <f>IFERROR(PolyU!AI36/PolyU!AB36,"新科目")</f>
        <v>9.235294118</v>
      </c>
      <c r="M138" s="112">
        <f>'入學要求'!S122</f>
        <v>0</v>
      </c>
      <c r="N138" s="112"/>
      <c r="O138" s="112"/>
      <c r="P138" s="112"/>
      <c r="Q138" s="112"/>
      <c r="R138" s="112"/>
      <c r="S138" s="112"/>
      <c r="T138" s="112"/>
      <c r="U138" s="112"/>
      <c r="V138" s="112"/>
      <c r="W138" s="112"/>
      <c r="X138" s="112"/>
      <c r="Y138" s="112"/>
      <c r="Z138" s="112"/>
      <c r="AA138" s="112"/>
      <c r="AB138" s="112"/>
    </row>
    <row r="139" ht="15.75" customHeight="1">
      <c r="A139" s="112" t="str">
        <f>PolyU!A37</f>
        <v>JS3820</v>
      </c>
      <c r="B139" s="112" t="s">
        <v>176</v>
      </c>
      <c r="C139" s="112" t="str">
        <f>PolyU!C37</f>
        <v>旅遊業及會展管理(榮譽)理學士學位</v>
      </c>
      <c r="D139" s="112" t="str">
        <f>PolyU!D37</f>
        <v>	TOUR &amp; EVENTS MGT</v>
      </c>
      <c r="E139" s="125" t="str">
        <f>PolyU!E37</f>
        <v>Best 5</v>
      </c>
      <c r="F139" s="128" t="s">
        <v>541</v>
      </c>
      <c r="G139" s="128">
        <f>PolyU!F37</f>
        <v>154.5</v>
      </c>
      <c r="H139" s="128">
        <f>PolyU!G37</f>
        <v>137</v>
      </c>
      <c r="I139" s="128">
        <f>'計分版'!D143</f>
        <v>0.00000001975</v>
      </c>
      <c r="J139" s="112">
        <f>PolyU!K37</f>
        <v>32</v>
      </c>
      <c r="K139" s="112">
        <f>PolyU!AA37</f>
        <v>35</v>
      </c>
      <c r="L139" s="153">
        <f>IFERROR(PolyU!AI37/PolyU!AB37,"新科目")</f>
        <v>19.68571429</v>
      </c>
      <c r="M139" s="112">
        <f>'入學要求'!S123</f>
        <v>0</v>
      </c>
      <c r="N139" s="112"/>
      <c r="O139" s="112"/>
      <c r="P139" s="112"/>
      <c r="Q139" s="112"/>
      <c r="R139" s="112"/>
      <c r="S139" s="112"/>
      <c r="T139" s="112"/>
      <c r="U139" s="112"/>
      <c r="V139" s="112"/>
      <c r="W139" s="112"/>
      <c r="X139" s="112"/>
      <c r="Y139" s="112"/>
      <c r="Z139" s="112"/>
      <c r="AA139" s="112"/>
      <c r="AB139" s="112"/>
    </row>
    <row r="140" ht="15.75" customHeight="1">
      <c r="A140" s="112" t="str">
        <f>PolyU!A38</f>
        <v>JS3832</v>
      </c>
      <c r="B140" s="112" t="s">
        <v>176</v>
      </c>
      <c r="C140" s="112" t="str">
        <f>PolyU!C38</f>
        <v>英文及應用語言學(榮譽)文學士學位</v>
      </c>
      <c r="D140" s="112" t="str">
        <f>PolyU!D38</f>
        <v>	ENGL &amp; APP LINGUISTICS</v>
      </c>
      <c r="E140" s="125" t="str">
        <f>PolyU!E38</f>
        <v>中英+3X</v>
      </c>
      <c r="F140" s="128" t="s">
        <v>541</v>
      </c>
      <c r="G140" s="128">
        <f>PolyU!F38</f>
        <v>164</v>
      </c>
      <c r="H140" s="128">
        <f>PolyU!G38</f>
        <v>159</v>
      </c>
      <c r="I140" s="128">
        <f>'計分版'!D144</f>
        <v>0.00000001625</v>
      </c>
      <c r="J140" s="112">
        <f>PolyU!K38</f>
        <v>41</v>
      </c>
      <c r="K140" s="112">
        <f>PolyU!AA38</f>
        <v>22</v>
      </c>
      <c r="L140" s="153">
        <f>IFERROR(PolyU!AI38/PolyU!AB38,"新科目")</f>
        <v>6.352941176</v>
      </c>
      <c r="M140" s="112">
        <f>'入學要求'!S124</f>
        <v>0</v>
      </c>
      <c r="N140" s="112"/>
      <c r="O140" s="112"/>
      <c r="P140" s="112"/>
      <c r="Q140" s="112"/>
      <c r="R140" s="112"/>
      <c r="S140" s="112"/>
      <c r="T140" s="112"/>
      <c r="U140" s="112"/>
      <c r="V140" s="112"/>
      <c r="W140" s="112"/>
      <c r="X140" s="112"/>
      <c r="Y140" s="112"/>
      <c r="Z140" s="112"/>
      <c r="AA140" s="112"/>
      <c r="AB140" s="112"/>
    </row>
    <row r="141" ht="15.75" customHeight="1">
      <c r="A141" s="112" t="str">
        <f>PolyU!A39</f>
        <v>JS3844</v>
      </c>
      <c r="B141" s="112" t="s">
        <v>176</v>
      </c>
      <c r="C141" s="112" t="str">
        <f>PolyU!C39</f>
        <v>供應鏈管理及分析(榮譽)工商管理學士學位</v>
      </c>
      <c r="D141" s="112" t="str">
        <f>PolyU!D39</f>
        <v>SUP CHAIN MGT &amp; ANALY</v>
      </c>
      <c r="E141" s="125" t="str">
        <f>PolyU!E39</f>
        <v>Best 5</v>
      </c>
      <c r="F141" s="128" t="s">
        <v>541</v>
      </c>
      <c r="G141" s="128">
        <f>PolyU!F39</f>
        <v>156.5</v>
      </c>
      <c r="H141" s="128">
        <f>PolyU!G39</f>
        <v>146.5</v>
      </c>
      <c r="I141" s="128">
        <f>'計分版'!D145</f>
        <v>0.00000001975</v>
      </c>
      <c r="J141" s="112">
        <f>PolyU!K39</f>
        <v>29</v>
      </c>
      <c r="K141" s="112" t="str">
        <f>PolyU!AA39</f>
        <v>/</v>
      </c>
      <c r="L141" s="153" t="str">
        <f>IFERROR(PolyU!AI39/PolyU!AB39,"無資料")</f>
        <v>無資料</v>
      </c>
      <c r="M141" s="112">
        <f>'入學要求'!S125</f>
        <v>0</v>
      </c>
      <c r="N141" s="112"/>
      <c r="O141" s="112"/>
      <c r="P141" s="112"/>
      <c r="Q141" s="112"/>
      <c r="R141" s="112"/>
      <c r="S141" s="112"/>
      <c r="T141" s="112"/>
      <c r="U141" s="112"/>
      <c r="V141" s="112"/>
      <c r="W141" s="112"/>
      <c r="X141" s="112"/>
      <c r="Y141" s="112"/>
      <c r="Z141" s="112"/>
      <c r="AA141" s="112"/>
      <c r="AB141" s="112"/>
    </row>
    <row r="142" ht="15.75" customHeight="1">
      <c r="A142" s="112" t="str">
        <f>PolyU!A40</f>
        <v>JS3868</v>
      </c>
      <c r="B142" s="112" t="s">
        <v>176</v>
      </c>
      <c r="C142" s="112" t="str">
        <f>PolyU!C40</f>
        <v>電子計算(榮譽)理學士學位組合課程</v>
      </c>
      <c r="D142" s="112" t="str">
        <f>PolyU!D40</f>
        <v>	COMPUTING</v>
      </c>
      <c r="E142" s="125" t="str">
        <f>PolyU!E40</f>
        <v>Best 5</v>
      </c>
      <c r="F142" s="128" t="s">
        <v>541</v>
      </c>
      <c r="G142" s="128">
        <f>PolyU!F40</f>
        <v>188</v>
      </c>
      <c r="H142" s="128">
        <f>PolyU!G40</f>
        <v>181</v>
      </c>
      <c r="I142" s="128">
        <f>'計分版'!D146</f>
        <v>0.00000002175</v>
      </c>
      <c r="J142" s="112">
        <f>PolyU!K40</f>
        <v>110</v>
      </c>
      <c r="K142" s="112">
        <f>PolyU!AA40</f>
        <v>95</v>
      </c>
      <c r="L142" s="153">
        <f>IFERROR(PolyU!AI40/PolyU!AB40,"新科目")</f>
        <v>5.977011494</v>
      </c>
      <c r="M142" s="112">
        <f>'入學要求'!S126</f>
        <v>0</v>
      </c>
      <c r="N142" s="112"/>
      <c r="O142" s="112"/>
      <c r="P142" s="112"/>
      <c r="Q142" s="112"/>
      <c r="R142" s="112"/>
      <c r="S142" s="112"/>
      <c r="T142" s="112"/>
      <c r="U142" s="112"/>
      <c r="V142" s="112"/>
      <c r="W142" s="112"/>
      <c r="X142" s="112"/>
      <c r="Y142" s="112"/>
      <c r="Z142" s="112"/>
      <c r="AA142" s="112"/>
      <c r="AB142" s="112"/>
    </row>
    <row r="143" ht="15.75" customHeight="1">
      <c r="A143" s="112" t="str">
        <f>PolyU!A41</f>
        <v>JS3882</v>
      </c>
      <c r="B143" s="112" t="s">
        <v>176</v>
      </c>
      <c r="C143" s="112" t="str">
        <f>PolyU!C41</f>
        <v>酒店業管理(榮譽)理學士學位</v>
      </c>
      <c r="D143" s="112" t="str">
        <f>PolyU!D41</f>
        <v>	HOTEL MGT</v>
      </c>
      <c r="E143" s="125" t="str">
        <f>PolyU!E41</f>
        <v>Best 5</v>
      </c>
      <c r="F143" s="128" t="s">
        <v>541</v>
      </c>
      <c r="G143" s="128">
        <f>PolyU!F41</f>
        <v>154.5</v>
      </c>
      <c r="H143" s="128">
        <f>PolyU!G41</f>
        <v>134.5</v>
      </c>
      <c r="I143" s="128">
        <f>'計分版'!D147</f>
        <v>0.00000001975</v>
      </c>
      <c r="J143" s="112">
        <f>PolyU!K41</f>
        <v>45</v>
      </c>
      <c r="K143" s="112">
        <f>PolyU!AA41</f>
        <v>49</v>
      </c>
      <c r="L143" s="153">
        <f>IFERROR(PolyU!AI41/PolyU!AB41,"新科目")</f>
        <v>18.12244898</v>
      </c>
      <c r="M143" s="112">
        <f>'入學要求'!S127</f>
        <v>0</v>
      </c>
      <c r="N143" s="112"/>
      <c r="O143" s="112"/>
      <c r="P143" s="112"/>
      <c r="Q143" s="112"/>
      <c r="R143" s="112"/>
      <c r="S143" s="112"/>
      <c r="T143" s="112"/>
      <c r="U143" s="112"/>
      <c r="V143" s="112"/>
      <c r="W143" s="112"/>
      <c r="X143" s="112"/>
      <c r="Y143" s="112"/>
      <c r="Z143" s="112"/>
      <c r="AA143" s="112"/>
      <c r="AB143" s="112"/>
    </row>
    <row r="144" ht="15.75" customHeight="1">
      <c r="A144" s="112" t="str">
        <f>PolyU!A42</f>
        <v>JS3894</v>
      </c>
      <c r="B144" s="112" t="s">
        <v>176</v>
      </c>
      <c r="C144" s="112" t="str">
        <f>PolyU!C42</f>
        <v>市場學(榮譽)工商管理學士學位</v>
      </c>
      <c r="D144" s="112" t="str">
        <f>PolyU!D42</f>
        <v>	MARKETING</v>
      </c>
      <c r="E144" s="125" t="str">
        <f>PolyU!E42</f>
        <v>Best 5</v>
      </c>
      <c r="F144" s="128" t="s">
        <v>541</v>
      </c>
      <c r="G144" s="128">
        <f>PolyU!F42</f>
        <v>163.5</v>
      </c>
      <c r="H144" s="128">
        <f>PolyU!G42</f>
        <v>146</v>
      </c>
      <c r="I144" s="128">
        <f>'計分版'!D148</f>
        <v>0.00000001975</v>
      </c>
      <c r="J144" s="112">
        <f>PolyU!K42</f>
        <v>58</v>
      </c>
      <c r="K144" s="112">
        <f>PolyU!AA42</f>
        <v>57</v>
      </c>
      <c r="L144" s="153">
        <f>IFERROR(PolyU!AI42/PolyU!AB42,"新科目")</f>
        <v>15.86538462</v>
      </c>
      <c r="M144" s="112">
        <f>'入學要求'!S128</f>
        <v>0</v>
      </c>
      <c r="N144" s="112"/>
      <c r="O144" s="112"/>
      <c r="P144" s="112"/>
      <c r="Q144" s="112"/>
      <c r="R144" s="112"/>
      <c r="S144" s="112"/>
      <c r="T144" s="112"/>
      <c r="U144" s="112"/>
      <c r="V144" s="112"/>
      <c r="W144" s="112"/>
      <c r="X144" s="112"/>
      <c r="Y144" s="112"/>
      <c r="Z144" s="112"/>
      <c r="AA144" s="112"/>
      <c r="AB144" s="112"/>
    </row>
    <row r="145" ht="15.75" customHeight="1">
      <c r="A145" s="112" t="str">
        <f>PolyU!A43</f>
        <v>JS3911</v>
      </c>
      <c r="B145" s="112" t="s">
        <v>176</v>
      </c>
      <c r="C145" s="112" t="str">
        <f>PolyU!C43</f>
        <v>會計學(榮譽)工商管理學士學位</v>
      </c>
      <c r="D145" s="112" t="str">
        <f>PolyU!D43</f>
        <v>	ACCOUNTANCY</v>
      </c>
      <c r="E145" s="125" t="str">
        <f>PolyU!E43</f>
        <v>Best 5</v>
      </c>
      <c r="F145" s="128" t="s">
        <v>541</v>
      </c>
      <c r="G145" s="128">
        <f>PolyU!F43</f>
        <v>171</v>
      </c>
      <c r="H145" s="128">
        <f>PolyU!G43</f>
        <v>166.5</v>
      </c>
      <c r="I145" s="128">
        <f>'計分版'!D149</f>
        <v>0.00000002025</v>
      </c>
      <c r="J145" s="112">
        <f>PolyU!K43</f>
        <v>108</v>
      </c>
      <c r="K145" s="112">
        <f>PolyU!AA43</f>
        <v>81</v>
      </c>
      <c r="L145" s="153">
        <f>IFERROR(PolyU!AI43/PolyU!AB43,"新科目")</f>
        <v>8.962025316</v>
      </c>
      <c r="M145" s="112">
        <f>'入學要求'!S129</f>
        <v>0</v>
      </c>
      <c r="N145" s="112"/>
      <c r="O145" s="112"/>
      <c r="P145" s="112"/>
      <c r="Q145" s="112"/>
      <c r="R145" s="112"/>
      <c r="S145" s="112"/>
      <c r="T145" s="112"/>
      <c r="U145" s="112"/>
      <c r="V145" s="112"/>
      <c r="W145" s="112"/>
      <c r="X145" s="112"/>
      <c r="Y145" s="112"/>
      <c r="Z145" s="112"/>
      <c r="AA145" s="112"/>
      <c r="AB145" s="112"/>
    </row>
    <row r="146" ht="15.75" customHeight="1">
      <c r="A146" s="112" t="str">
        <f>PolyU!A44</f>
        <v>JS3923</v>
      </c>
      <c r="B146" s="112" t="s">
        <v>176</v>
      </c>
      <c r="C146" s="112" t="str">
        <f>PolyU!C44</f>
        <v>應用生物兼生物科技(榮譽)理學士學位</v>
      </c>
      <c r="D146" s="112" t="str">
        <f>PolyU!D44</f>
        <v>	APP BIO</v>
      </c>
      <c r="E146" s="125" t="str">
        <f>PolyU!E44</f>
        <v>Best 5</v>
      </c>
      <c r="F146" s="128" t="s">
        <v>541</v>
      </c>
      <c r="G146" s="128">
        <f>PolyU!F44</f>
        <v>186.5</v>
      </c>
      <c r="H146" s="128">
        <f>PolyU!G44</f>
        <v>184</v>
      </c>
      <c r="I146" s="128">
        <f>'計分版'!D150</f>
        <v>0.00000001975</v>
      </c>
      <c r="J146" s="112">
        <f>PolyU!K44</f>
        <v>26</v>
      </c>
      <c r="K146" s="112">
        <f>PolyU!AA44</f>
        <v>25</v>
      </c>
      <c r="L146" s="153">
        <f>IFERROR(PolyU!AI44/PolyU!AB44,"新科目")</f>
        <v>16.27272727</v>
      </c>
      <c r="M146" s="112">
        <f>'入學要求'!S130</f>
        <v>0</v>
      </c>
      <c r="N146" s="112"/>
      <c r="O146" s="112"/>
      <c r="P146" s="112"/>
      <c r="Q146" s="112"/>
      <c r="R146" s="112"/>
      <c r="S146" s="112"/>
      <c r="T146" s="112"/>
      <c r="U146" s="112"/>
      <c r="V146" s="112"/>
      <c r="W146" s="112"/>
      <c r="X146" s="112"/>
      <c r="Y146" s="112"/>
      <c r="Z146" s="112"/>
      <c r="AA146" s="112"/>
      <c r="AB146" s="112"/>
    </row>
    <row r="147" ht="15.75" customHeight="1">
      <c r="A147" s="112" t="str">
        <f>PolyU!A45</f>
        <v>JS3985</v>
      </c>
      <c r="B147" s="112" t="s">
        <v>176</v>
      </c>
      <c r="C147" s="112" t="str">
        <f>PolyU!C45</f>
        <v>工程物理學(榮譽)理學士學位</v>
      </c>
      <c r="D147" s="112" t="str">
        <f>PolyU!D45</f>
        <v>	ENGG PHY</v>
      </c>
      <c r="E147" s="125" t="str">
        <f>PolyU!E45</f>
        <v>Best 5</v>
      </c>
      <c r="F147" s="128" t="s">
        <v>541</v>
      </c>
      <c r="G147" s="128">
        <f>PolyU!F45</f>
        <v>159</v>
      </c>
      <c r="H147" s="128">
        <f>PolyU!G45</f>
        <v>158</v>
      </c>
      <c r="I147" s="128">
        <f>'計分版'!D151</f>
        <v>0.00000002075</v>
      </c>
      <c r="J147" s="112">
        <f>PolyU!K45</f>
        <v>25</v>
      </c>
      <c r="K147" s="112">
        <f>PolyU!AA45</f>
        <v>27</v>
      </c>
      <c r="L147" s="153">
        <f>IFERROR(PolyU!AI45/PolyU!AB45,"新科目")</f>
        <v>10.36363636</v>
      </c>
      <c r="M147" s="112">
        <f>'入學要求'!S131</f>
        <v>0</v>
      </c>
      <c r="N147" s="112"/>
      <c r="O147" s="112"/>
      <c r="P147" s="112"/>
      <c r="Q147" s="112"/>
      <c r="R147" s="112"/>
      <c r="S147" s="112"/>
      <c r="T147" s="112"/>
      <c r="U147" s="112"/>
      <c r="V147" s="112"/>
      <c r="W147" s="112"/>
      <c r="X147" s="112"/>
      <c r="Y147" s="112"/>
      <c r="Z147" s="112"/>
      <c r="AA147" s="112"/>
      <c r="AB147" s="112"/>
    </row>
    <row r="148" ht="15.75" customHeight="1">
      <c r="A148" s="112" t="str">
        <f>PolyU!A46</f>
        <v>JS3997</v>
      </c>
      <c r="B148" s="112" t="s">
        <v>176</v>
      </c>
      <c r="C148" s="112" t="str">
        <f>PolyU!C46</f>
        <v>化學科技(榮譽)理學士學位</v>
      </c>
      <c r="D148" s="112" t="str">
        <f>PolyU!D46</f>
        <v>	CHEM TECH</v>
      </c>
      <c r="E148" s="125" t="str">
        <f>PolyU!E46</f>
        <v>Best 5</v>
      </c>
      <c r="F148" s="128" t="s">
        <v>541</v>
      </c>
      <c r="G148" s="128">
        <f>PolyU!F46</f>
        <v>176</v>
      </c>
      <c r="H148" s="128">
        <f>PolyU!G46</f>
        <v>171</v>
      </c>
      <c r="I148" s="128">
        <f>'計分版'!D152</f>
        <v>0.00000001975</v>
      </c>
      <c r="J148" s="112">
        <f>PolyU!K46</f>
        <v>26</v>
      </c>
      <c r="K148" s="112">
        <f>PolyU!AA46</f>
        <v>23</v>
      </c>
      <c r="L148" s="153">
        <f>IFERROR(PolyU!AI46/PolyU!AB46,"新科目")</f>
        <v>14.43478261</v>
      </c>
      <c r="M148" s="112">
        <f>'入學要求'!S132</f>
        <v>0</v>
      </c>
      <c r="N148" s="112"/>
      <c r="O148" s="112"/>
      <c r="P148" s="112"/>
      <c r="Q148" s="112"/>
      <c r="R148" s="112"/>
      <c r="S148" s="112"/>
      <c r="T148" s="112"/>
      <c r="U148" s="112"/>
      <c r="V148" s="112"/>
      <c r="W148" s="112"/>
      <c r="X148" s="112"/>
      <c r="Y148" s="112"/>
      <c r="Z148" s="112"/>
      <c r="AA148" s="112"/>
      <c r="AB148" s="112"/>
    </row>
    <row r="149" ht="15.75" customHeight="1">
      <c r="A149" s="112" t="str">
        <f>PolyU!A48</f>
        <v>JS3014</v>
      </c>
      <c r="B149" s="112" t="s">
        <v>176</v>
      </c>
      <c r="C149" s="112" t="str">
        <f>PolyU!C48</f>
        <v>應用物理學高級文憑</v>
      </c>
      <c r="D149" s="112" t="str">
        <f>PolyU!D48</f>
        <v>	HD BLDG SERV ENGG</v>
      </c>
      <c r="E149" s="125" t="str">
        <f>PolyU!E48</f>
        <v>中英+3X</v>
      </c>
      <c r="F149" s="128" t="s">
        <v>541</v>
      </c>
      <c r="G149" s="128">
        <f>PolyU!F48</f>
        <v>14.1</v>
      </c>
      <c r="H149" s="128" t="s">
        <v>541</v>
      </c>
      <c r="I149" s="128">
        <f>'計分版'!D153</f>
        <v>0.00000000295</v>
      </c>
      <c r="J149" s="112">
        <f>PolyU!K48</f>
        <v>51</v>
      </c>
      <c r="K149" s="112" t="str">
        <f>PolyU!AA47</f>
        <v/>
      </c>
      <c r="L149" s="153">
        <f>IFERROR(PolyU!AI48/PolyU!AB48,"新科目")</f>
        <v>2.762589928</v>
      </c>
      <c r="M149" s="112">
        <f>'入學要求'!S134</f>
        <v>0</v>
      </c>
      <c r="N149" s="112"/>
      <c r="O149" s="112"/>
      <c r="P149" s="112"/>
      <c r="Q149" s="112"/>
      <c r="R149" s="112"/>
      <c r="S149" s="112"/>
      <c r="T149" s="112"/>
      <c r="U149" s="112"/>
      <c r="V149" s="112"/>
      <c r="W149" s="112"/>
      <c r="X149" s="112"/>
      <c r="Y149" s="112"/>
      <c r="Z149" s="112"/>
      <c r="AA149" s="112"/>
      <c r="AB149" s="112"/>
    </row>
    <row r="150" ht="15.75" customHeight="1">
      <c r="A150" s="112" t="str">
        <f>PolyU!A49</f>
        <v>JS3026</v>
      </c>
      <c r="B150" s="112" t="s">
        <v>176</v>
      </c>
      <c r="C150" s="112" t="str">
        <f>PolyU!C49</f>
        <v>屋宇設備工程學高級文憑</v>
      </c>
      <c r="D150" s="112" t="str">
        <f>PolyU!D49</f>
        <v>	HD BLDG TECH &amp; MGT(ENGG)</v>
      </c>
      <c r="E150" s="125" t="str">
        <f>PolyU!E49</f>
        <v>中英+3X</v>
      </c>
      <c r="F150" s="128" t="s">
        <v>541</v>
      </c>
      <c r="G150" s="128">
        <f>PolyU!F49</f>
        <v>14.4</v>
      </c>
      <c r="H150" s="128" t="s">
        <v>541</v>
      </c>
      <c r="I150" s="128">
        <f>'計分版'!D154</f>
        <v>0.00000000295</v>
      </c>
      <c r="J150" s="112">
        <f>PolyU!K49</f>
        <v>75</v>
      </c>
      <c r="K150" s="112">
        <f>PolyU!AA48</f>
        <v>361</v>
      </c>
      <c r="L150" s="153">
        <f>IFERROR(PolyU!AI49/PolyU!AB49,"新科目")</f>
        <v>3.509803922</v>
      </c>
      <c r="M150" s="112">
        <f>'入學要求'!S135</f>
        <v>0</v>
      </c>
      <c r="N150" s="112"/>
      <c r="O150" s="112"/>
      <c r="P150" s="112"/>
      <c r="Q150" s="112"/>
      <c r="R150" s="112"/>
      <c r="S150" s="112"/>
      <c r="T150" s="112"/>
      <c r="U150" s="112"/>
      <c r="V150" s="112"/>
      <c r="W150" s="112"/>
      <c r="X150" s="112"/>
      <c r="Y150" s="112"/>
      <c r="Z150" s="112"/>
      <c r="AA150" s="112"/>
      <c r="AB150" s="112"/>
    </row>
    <row r="151" ht="15.75" customHeight="1">
      <c r="A151" s="112" t="str">
        <f>PolyU!A50</f>
        <v>JS3038</v>
      </c>
      <c r="B151" s="112" t="s">
        <v>176</v>
      </c>
      <c r="C151" s="112" t="str">
        <f>PolyU!C50</f>
        <v>建築科技及管理學高級文憑(工程)</v>
      </c>
      <c r="D151" s="112" t="str">
        <f>PolyU!D50</f>
        <v>	HD CHEM TECH</v>
      </c>
      <c r="E151" s="125" t="str">
        <f>PolyU!E50</f>
        <v>中英+3X</v>
      </c>
      <c r="F151" s="128" t="s">
        <v>541</v>
      </c>
      <c r="G151" s="128">
        <f>PolyU!F50</f>
        <v>14.2</v>
      </c>
      <c r="H151" s="128" t="s">
        <v>541</v>
      </c>
      <c r="I151" s="128">
        <f>'計分版'!D155</f>
        <v>0.00000000295</v>
      </c>
      <c r="J151" s="112">
        <f>PolyU!K50</f>
        <v>40</v>
      </c>
      <c r="K151" s="112">
        <f>PolyU!AA49</f>
        <v>285</v>
      </c>
      <c r="L151" s="153">
        <f>IFERROR(PolyU!AI50/PolyU!AB50,"新科目")</f>
        <v>3.851851852</v>
      </c>
      <c r="M151" s="112">
        <f>'入學要求'!S136</f>
        <v>0</v>
      </c>
      <c r="N151" s="112"/>
      <c r="O151" s="112"/>
      <c r="P151" s="112"/>
      <c r="Q151" s="112"/>
      <c r="R151" s="112"/>
      <c r="S151" s="112"/>
      <c r="T151" s="112"/>
      <c r="U151" s="112"/>
      <c r="V151" s="112"/>
      <c r="W151" s="112"/>
      <c r="X151" s="112"/>
      <c r="Y151" s="112"/>
      <c r="Z151" s="112"/>
      <c r="AA151" s="112"/>
      <c r="AB151" s="112"/>
    </row>
    <row r="152" ht="15.75" customHeight="1">
      <c r="A152" s="112" t="str">
        <f>PolyU!A51</f>
        <v>JS3040</v>
      </c>
      <c r="B152" s="112" t="s">
        <v>176</v>
      </c>
      <c r="C152" s="112" t="str">
        <f>PolyU!C51</f>
        <v>化學科技高級文憑</v>
      </c>
      <c r="D152" s="112" t="str">
        <f>PolyU!D51</f>
        <v>	HD CIVIL ENGG</v>
      </c>
      <c r="E152" s="125" t="str">
        <f>PolyU!E51</f>
        <v>中英+3X</v>
      </c>
      <c r="F152" s="128" t="s">
        <v>541</v>
      </c>
      <c r="G152" s="128">
        <f>PolyU!F57</f>
        <v>15.5</v>
      </c>
      <c r="H152" s="128" t="s">
        <v>541</v>
      </c>
      <c r="I152" s="128">
        <f>'計分版'!D156</f>
        <v>0.00000000295</v>
      </c>
      <c r="J152" s="112">
        <f>PolyU!K51</f>
        <v>48</v>
      </c>
      <c r="K152" s="112">
        <f>PolyU!AA50</f>
        <v>307</v>
      </c>
      <c r="L152" s="153">
        <f>IFERROR(PolyU!AI51/PolyU!AB51,"新科目")</f>
        <v>2.547368421</v>
      </c>
      <c r="M152" s="112">
        <f>'入學要求'!S137</f>
        <v>0</v>
      </c>
      <c r="N152" s="112"/>
      <c r="O152" s="112"/>
      <c r="P152" s="112"/>
      <c r="Q152" s="112"/>
      <c r="R152" s="112"/>
      <c r="S152" s="112"/>
      <c r="T152" s="112"/>
      <c r="U152" s="112"/>
      <c r="V152" s="112"/>
      <c r="W152" s="112"/>
      <c r="X152" s="112"/>
      <c r="Y152" s="112"/>
      <c r="Z152" s="112"/>
      <c r="AA152" s="112"/>
      <c r="AB152" s="112"/>
    </row>
    <row r="153" ht="15.75" customHeight="1">
      <c r="A153" s="112" t="str">
        <f>PolyU!A52</f>
        <v>JS3052</v>
      </c>
      <c r="B153" s="112" t="s">
        <v>176</v>
      </c>
      <c r="C153" s="112" t="str">
        <f>PolyU!C52</f>
        <v>土木工程學高級文憑</v>
      </c>
      <c r="D153" s="112" t="str">
        <f>PolyU!D52</f>
        <v>	HD ELECTRICAL ENGG</v>
      </c>
      <c r="E153" s="125" t="str">
        <f>PolyU!E52</f>
        <v>中英+3X</v>
      </c>
      <c r="F153" s="128" t="s">
        <v>541</v>
      </c>
      <c r="G153" s="128">
        <f>PolyU!F51</f>
        <v>16.5</v>
      </c>
      <c r="H153" s="128" t="s">
        <v>541</v>
      </c>
      <c r="I153" s="128">
        <f>'計分版'!D157</f>
        <v>0.00000000295</v>
      </c>
      <c r="J153" s="112">
        <f>PolyU!K52</f>
        <v>73</v>
      </c>
      <c r="K153" s="112">
        <f>PolyU!AA51</f>
        <v>332</v>
      </c>
      <c r="L153" s="153">
        <f>IFERROR(PolyU!AI52/PolyU!AB52,"新科目")</f>
        <v>5.375</v>
      </c>
      <c r="M153" s="112">
        <f>'入學要求'!S138</f>
        <v>0</v>
      </c>
      <c r="N153" s="112"/>
      <c r="O153" s="112"/>
      <c r="P153" s="112"/>
      <c r="Q153" s="112"/>
      <c r="R153" s="112"/>
      <c r="S153" s="112"/>
      <c r="T153" s="112"/>
      <c r="U153" s="112"/>
      <c r="V153" s="112"/>
      <c r="W153" s="112"/>
      <c r="X153" s="112"/>
      <c r="Y153" s="112"/>
      <c r="Z153" s="112"/>
      <c r="AA153" s="112"/>
      <c r="AB153" s="112"/>
    </row>
    <row r="154" ht="15.75" customHeight="1">
      <c r="A154" s="112" t="str">
        <f>PolyU!A53</f>
        <v>JS3064</v>
      </c>
      <c r="B154" s="112" t="s">
        <v>176</v>
      </c>
      <c r="C154" s="112" t="str">
        <f>PolyU!C53</f>
        <v>電機工程學高級文憑</v>
      </c>
      <c r="D154" s="112" t="str">
        <f>PolyU!D53</f>
        <v>	HD ELECTRONIC INFO ENGG</v>
      </c>
      <c r="E154" s="125" t="str">
        <f>PolyU!E53</f>
        <v>中英+3X</v>
      </c>
      <c r="F154" s="128" t="s">
        <v>541</v>
      </c>
      <c r="G154" s="128">
        <f>PolyU!F52</f>
        <v>18.3</v>
      </c>
      <c r="H154" s="128" t="s">
        <v>541</v>
      </c>
      <c r="I154" s="128">
        <f>'計分版'!D158</f>
        <v>0.00000000295</v>
      </c>
      <c r="J154" s="112">
        <f>PolyU!K53</f>
        <v>53</v>
      </c>
      <c r="K154" s="112">
        <f>PolyU!AA52</f>
        <v>204</v>
      </c>
      <c r="L154" s="153">
        <f>IFERROR(PolyU!AI53/PolyU!AB53,"新科目")</f>
        <v>5.097744361</v>
      </c>
      <c r="M154" s="112">
        <f>'入學要求'!S139</f>
        <v>0</v>
      </c>
      <c r="N154" s="112"/>
      <c r="O154" s="112"/>
      <c r="P154" s="112"/>
      <c r="Q154" s="112"/>
      <c r="R154" s="112"/>
      <c r="S154" s="112"/>
      <c r="T154" s="112"/>
      <c r="U154" s="112"/>
      <c r="V154" s="112"/>
      <c r="W154" s="112"/>
      <c r="X154" s="112"/>
      <c r="Y154" s="112"/>
      <c r="Z154" s="112"/>
      <c r="AA154" s="112"/>
      <c r="AB154" s="112"/>
    </row>
    <row r="155" ht="15.75" customHeight="1">
      <c r="A155" s="112" t="str">
        <f>PolyU!A54</f>
        <v>JS3076</v>
      </c>
      <c r="B155" s="112" t="s">
        <v>176</v>
      </c>
      <c r="C155" s="112" t="str">
        <f>PolyU!C54</f>
        <v>電子及資訊工程學高級文憑</v>
      </c>
      <c r="D155" s="112" t="str">
        <f>PolyU!D54</f>
        <v>	HD LAND SUR &amp; GEO-INFO</v>
      </c>
      <c r="E155" s="125" t="str">
        <f>PolyU!E54</f>
        <v>中英+3X</v>
      </c>
      <c r="F155" s="128" t="s">
        <v>541</v>
      </c>
      <c r="G155" s="128">
        <f>PolyU!F53</f>
        <v>16.9</v>
      </c>
      <c r="H155" s="128" t="s">
        <v>541</v>
      </c>
      <c r="I155" s="128">
        <f>'計分版'!D159</f>
        <v>0.00000000295</v>
      </c>
      <c r="J155" s="112">
        <f>PolyU!K54</f>
        <v>88</v>
      </c>
      <c r="K155" s="112">
        <f>PolyU!AA53</f>
        <v>222</v>
      </c>
      <c r="L155" s="153">
        <f>IFERROR(PolyU!AI54/PolyU!AB54,"新科目")</f>
        <v>3.422907489</v>
      </c>
      <c r="M155" s="112">
        <f>'入學要求'!S140</f>
        <v>0</v>
      </c>
      <c r="N155" s="112"/>
      <c r="O155" s="112"/>
      <c r="P155" s="112"/>
      <c r="Q155" s="112"/>
      <c r="R155" s="112"/>
      <c r="S155" s="112"/>
      <c r="T155" s="112"/>
      <c r="U155" s="112"/>
      <c r="V155" s="112"/>
      <c r="W155" s="112"/>
      <c r="X155" s="112"/>
      <c r="Y155" s="112"/>
      <c r="Z155" s="112"/>
      <c r="AA155" s="112"/>
      <c r="AB155" s="112"/>
    </row>
    <row r="156" ht="15.75" customHeight="1">
      <c r="A156" s="112" t="str">
        <f>PolyU!A55</f>
        <v>JS3105</v>
      </c>
      <c r="B156" s="112" t="s">
        <v>176</v>
      </c>
      <c r="C156" s="112" t="str">
        <f>PolyU!C55</f>
        <v>土地測量及地理資訊學高級文憑</v>
      </c>
      <c r="D156" s="112" t="str">
        <f>PolyU!D55</f>
        <v>	HD INDUSTRIAL &amp; SYS ENGG</v>
      </c>
      <c r="E156" s="125" t="str">
        <f>PolyU!E55</f>
        <v>中英+3X</v>
      </c>
      <c r="F156" s="128" t="s">
        <v>541</v>
      </c>
      <c r="G156" s="128">
        <f>PolyU!F54</f>
        <v>16.4</v>
      </c>
      <c r="H156" s="128" t="s">
        <v>541</v>
      </c>
      <c r="I156" s="128">
        <f>'計分版'!D160</f>
        <v>0.00000000295</v>
      </c>
      <c r="J156" s="112">
        <f>PolyU!K55</f>
        <v>71</v>
      </c>
      <c r="K156" s="112">
        <f>PolyU!AA54</f>
        <v>423</v>
      </c>
      <c r="L156" s="153">
        <f>IFERROR(PolyU!AI55/PolyU!AB55,"新科目")</f>
        <v>2.887804878</v>
      </c>
      <c r="M156" s="112">
        <f>'入學要求'!S141</f>
        <v>0</v>
      </c>
      <c r="N156" s="112"/>
      <c r="O156" s="112"/>
      <c r="P156" s="112"/>
      <c r="Q156" s="112"/>
      <c r="R156" s="112"/>
      <c r="S156" s="112"/>
      <c r="T156" s="112"/>
      <c r="U156" s="112"/>
      <c r="V156" s="112"/>
      <c r="W156" s="112"/>
      <c r="X156" s="112"/>
      <c r="Y156" s="112"/>
      <c r="Z156" s="112"/>
      <c r="AA156" s="112"/>
      <c r="AB156" s="112"/>
    </row>
    <row r="157" ht="15.75" customHeight="1">
      <c r="A157" s="112" t="str">
        <f>PolyU!A56</f>
        <v>JS3117</v>
      </c>
      <c r="B157" s="112" t="s">
        <v>176</v>
      </c>
      <c r="C157" s="112" t="str">
        <f>PolyU!C56</f>
        <v>工業及系統工程學高級文憑</v>
      </c>
      <c r="D157" s="112" t="str">
        <f>PolyU!D56</f>
        <v>HD BLDG TECH &amp; MGT(SURV)</v>
      </c>
      <c r="E157" s="125" t="str">
        <f>PolyU!E56</f>
        <v>中英+3X</v>
      </c>
      <c r="F157" s="128" t="s">
        <v>541</v>
      </c>
      <c r="G157" s="128">
        <f>PolyU!F56</f>
        <v>12.6</v>
      </c>
      <c r="H157" s="128" t="s">
        <v>541</v>
      </c>
      <c r="I157" s="128">
        <f>'計分版'!D161</f>
        <v>0.00000000295</v>
      </c>
      <c r="J157" s="112">
        <f>PolyU!K56</f>
        <v>43</v>
      </c>
      <c r="K157" s="112">
        <f>PolyU!AA55</f>
        <v>354</v>
      </c>
      <c r="L157" s="153">
        <f>IFERROR(PolyU!AI56/PolyU!AB56,"新科目")</f>
        <v>2.927419355</v>
      </c>
      <c r="M157" s="112">
        <f>'入學要求'!S142</f>
        <v>0</v>
      </c>
      <c r="N157" s="112"/>
      <c r="O157" s="112"/>
      <c r="P157" s="112"/>
      <c r="Q157" s="112"/>
      <c r="R157" s="112"/>
      <c r="S157" s="112"/>
      <c r="T157" s="112"/>
      <c r="U157" s="112"/>
      <c r="V157" s="112"/>
      <c r="W157" s="112"/>
      <c r="X157" s="112"/>
      <c r="Y157" s="112"/>
      <c r="Z157" s="112"/>
      <c r="AA157" s="112"/>
      <c r="AB157" s="112"/>
    </row>
    <row r="158" ht="15.75" customHeight="1">
      <c r="A158" s="112" t="str">
        <f>PolyU!A57</f>
        <v>JS3284</v>
      </c>
      <c r="B158" s="112" t="s">
        <v>176</v>
      </c>
      <c r="C158" s="112" t="str">
        <f>PolyU!C57</f>
        <v>建築科技及管理學高級文憑(測量)</v>
      </c>
      <c r="D158" s="112" t="str">
        <f>PolyU!D57</f>
        <v>HD in Building Technology &amp; Management (Surveying)</v>
      </c>
      <c r="E158" s="125" t="str">
        <f>PolyU!E57</f>
        <v>中英+3X</v>
      </c>
      <c r="F158" s="128" t="s">
        <v>541</v>
      </c>
      <c r="G158" s="128">
        <f>PolyU!F55</f>
        <v>16.4</v>
      </c>
      <c r="H158" s="128" t="s">
        <v>541</v>
      </c>
      <c r="I158" s="128">
        <f>'計分版'!D162</f>
        <v>0.00000000295</v>
      </c>
      <c r="J158" s="112">
        <f>PolyU!K57</f>
        <v>55</v>
      </c>
      <c r="K158" s="112">
        <f>PolyU!AA56</f>
        <v>315</v>
      </c>
      <c r="L158" s="153">
        <f>IFERROR(PolyU!AI57/PolyU!AB57,"新科目")</f>
        <v>3.598591549</v>
      </c>
      <c r="M158" s="112">
        <f>'入學要求'!S143</f>
        <v>0</v>
      </c>
      <c r="N158" s="112"/>
      <c r="O158" s="112"/>
      <c r="P158" s="112"/>
      <c r="Q158" s="112"/>
      <c r="R158" s="112"/>
      <c r="S158" s="112"/>
      <c r="T158" s="112"/>
      <c r="U158" s="112"/>
      <c r="V158" s="112"/>
      <c r="W158" s="112"/>
      <c r="X158" s="112"/>
      <c r="Y158" s="112"/>
      <c r="Z158" s="112"/>
      <c r="AA158" s="112"/>
      <c r="AB158" s="112"/>
    </row>
    <row r="159" ht="15.75" customHeight="1">
      <c r="A159" s="112"/>
      <c r="B159" s="112"/>
      <c r="C159" s="112"/>
      <c r="D159" s="112"/>
      <c r="E159" s="125"/>
      <c r="F159" s="128"/>
      <c r="G159" s="128"/>
      <c r="H159" s="128"/>
      <c r="I159" s="128"/>
      <c r="J159" s="112"/>
      <c r="K159" s="112"/>
      <c r="L159" s="153"/>
      <c r="M159" s="112"/>
      <c r="N159" s="112"/>
      <c r="O159" s="112"/>
      <c r="P159" s="112"/>
      <c r="Q159" s="112"/>
      <c r="R159" s="112"/>
      <c r="S159" s="112"/>
      <c r="T159" s="112"/>
      <c r="U159" s="112"/>
      <c r="V159" s="112"/>
      <c r="W159" s="112"/>
      <c r="X159" s="112"/>
      <c r="Y159" s="112"/>
      <c r="Z159" s="112"/>
      <c r="AA159" s="112"/>
      <c r="AB159" s="112"/>
    </row>
    <row r="160" ht="15.75" customHeight="1">
      <c r="A160" s="112"/>
      <c r="B160" s="112"/>
      <c r="C160" s="112"/>
      <c r="D160" s="112"/>
      <c r="E160" s="125"/>
      <c r="F160" s="128" t="s">
        <v>45</v>
      </c>
      <c r="G160" s="128" t="s">
        <v>46</v>
      </c>
      <c r="H160" s="128" t="s">
        <v>47</v>
      </c>
      <c r="I160" s="128" t="str">
        <f>'計分版'!D164</f>
        <v>總分</v>
      </c>
      <c r="J160" s="112"/>
      <c r="K160" s="112"/>
      <c r="L160" s="153"/>
      <c r="M160" s="112"/>
      <c r="N160" s="112"/>
      <c r="O160" s="112"/>
      <c r="P160" s="112"/>
      <c r="Q160" s="112"/>
      <c r="R160" s="112"/>
      <c r="S160" s="112"/>
      <c r="T160" s="112"/>
      <c r="U160" s="112"/>
      <c r="V160" s="112"/>
      <c r="W160" s="112"/>
      <c r="X160" s="112"/>
      <c r="Y160" s="112"/>
      <c r="Z160" s="112"/>
      <c r="AA160" s="112"/>
      <c r="AB160" s="112"/>
    </row>
    <row r="161" ht="15.75" customHeight="1">
      <c r="A161" s="112" t="str">
        <f>CUHK!A2</f>
        <v>JS4006</v>
      </c>
      <c r="B161" s="112" t="s">
        <v>177</v>
      </c>
      <c r="C161" s="112" t="str">
        <f>CUHK!C2</f>
        <v>人類學</v>
      </c>
      <c r="D161" s="112" t="str">
        <f>CUHK!D2</f>
        <v>ANTHROPOLOGY</v>
      </c>
      <c r="E161" s="112" t="str">
        <f>CUHK!E2</f>
        <v>Best 5</v>
      </c>
      <c r="F161" s="128">
        <f>CUHK!F2</f>
        <v>26</v>
      </c>
      <c r="G161" s="128">
        <f>CUHK!G2</f>
        <v>24.5</v>
      </c>
      <c r="H161" s="128">
        <f>CUHK!H2</f>
        <v>23</v>
      </c>
      <c r="I161" s="128">
        <f>'計分版'!D165</f>
        <v>0.00000000395</v>
      </c>
      <c r="J161" s="112">
        <f>CUHK!L2</f>
        <v>20</v>
      </c>
      <c r="K161" s="112">
        <f>CUHK!AB2</f>
        <v>20</v>
      </c>
      <c r="L161" s="153">
        <f>IFERROR(CUHK!AJ2/CUHK!AC2,"新科目")</f>
        <v>8</v>
      </c>
      <c r="M161" s="112">
        <f>'入學要求'!S147</f>
        <v>0</v>
      </c>
      <c r="N161" s="112"/>
      <c r="O161" s="112"/>
      <c r="P161" s="112"/>
      <c r="Q161" s="112"/>
      <c r="R161" s="112"/>
      <c r="S161" s="112"/>
      <c r="T161" s="112"/>
      <c r="U161" s="112"/>
      <c r="V161" s="112"/>
      <c r="W161" s="112"/>
      <c r="X161" s="112"/>
      <c r="Y161" s="112"/>
      <c r="Z161" s="112"/>
      <c r="AA161" s="112"/>
      <c r="AB161" s="112"/>
    </row>
    <row r="162" ht="15.75" customHeight="1">
      <c r="A162" s="112" t="str">
        <f>CUHK!A3</f>
        <v>JS4018</v>
      </c>
      <c r="B162" s="112" t="s">
        <v>177</v>
      </c>
      <c r="C162" s="112" t="str">
        <f>CUHK!C3</f>
        <v>中國語言及文學</v>
      </c>
      <c r="D162" s="112" t="str">
        <f>CUHK!D3</f>
        <v>	CHI LANG &amp; LIT</v>
      </c>
      <c r="E162" s="112" t="str">
        <f>CUHK!E3</f>
        <v>Best 5</v>
      </c>
      <c r="F162" s="128">
        <f>CUHK!F3</f>
        <v>36.25</v>
      </c>
      <c r="G162" s="128">
        <f>CUHK!G3</f>
        <v>32.5</v>
      </c>
      <c r="H162" s="128">
        <f>CUHK!H3</f>
        <v>31</v>
      </c>
      <c r="I162" s="128">
        <f>'計分版'!D166</f>
        <v>0.00000000395</v>
      </c>
      <c r="J162" s="112">
        <f>CUHK!L3</f>
        <v>80</v>
      </c>
      <c r="K162" s="112">
        <f>CUHK!AB3</f>
        <v>84</v>
      </c>
      <c r="L162" s="153">
        <f>IFERROR(CUHK!AJ3/CUHK!AC3,"新科目")</f>
        <v>3.678571429</v>
      </c>
      <c r="M162" s="112">
        <f>'入學要求'!S148</f>
        <v>0</v>
      </c>
      <c r="N162" s="112"/>
      <c r="O162" s="112"/>
      <c r="P162" s="112"/>
      <c r="Q162" s="112"/>
      <c r="R162" s="112"/>
      <c r="S162" s="112"/>
      <c r="T162" s="112"/>
      <c r="U162" s="112"/>
      <c r="V162" s="112"/>
      <c r="W162" s="112"/>
      <c r="X162" s="112"/>
      <c r="Y162" s="112"/>
      <c r="Z162" s="112"/>
      <c r="AA162" s="112"/>
      <c r="AB162" s="112"/>
    </row>
    <row r="163" ht="15.75" customHeight="1">
      <c r="A163" s="112" t="str">
        <f>CUHK!A4</f>
        <v>JS4020</v>
      </c>
      <c r="B163" s="112" t="s">
        <v>177</v>
      </c>
      <c r="C163" s="112" t="str">
        <f>CUHK!C4</f>
        <v>文化研究</v>
      </c>
      <c r="D163" s="112" t="str">
        <f>CUHK!D4</f>
        <v>	CULTURAL STUDIES</v>
      </c>
      <c r="E163" s="112" t="str">
        <f>CUHK!E4</f>
        <v>Best 5</v>
      </c>
      <c r="F163" s="128">
        <f>CUHK!F4</f>
        <v>26</v>
      </c>
      <c r="G163" s="128">
        <f>CUHK!G4</f>
        <v>24.5</v>
      </c>
      <c r="H163" s="128">
        <f>CUHK!H4</f>
        <v>24.5</v>
      </c>
      <c r="I163" s="128">
        <f>'計分版'!D167</f>
        <v>0.00000000395</v>
      </c>
      <c r="J163" s="112">
        <f>CUHK!L4</f>
        <v>17</v>
      </c>
      <c r="K163" s="112">
        <f>CUHK!AB4</f>
        <v>16</v>
      </c>
      <c r="L163" s="153">
        <f>IFERROR(CUHK!AJ4/CUHK!AC4,"新科目")</f>
        <v>15.3125</v>
      </c>
      <c r="M163" s="112">
        <f>'入學要求'!S149</f>
        <v>0</v>
      </c>
      <c r="N163" s="112"/>
      <c r="O163" s="112"/>
      <c r="P163" s="112"/>
      <c r="Q163" s="112"/>
      <c r="R163" s="112"/>
      <c r="S163" s="112"/>
      <c r="T163" s="112"/>
      <c r="U163" s="112"/>
      <c r="V163" s="112"/>
      <c r="W163" s="112"/>
      <c r="X163" s="112"/>
      <c r="Y163" s="112"/>
      <c r="Z163" s="112"/>
      <c r="AA163" s="112"/>
      <c r="AB163" s="112"/>
    </row>
    <row r="164" ht="15.75" customHeight="1">
      <c r="A164" s="112" t="str">
        <f>CUHK!A5</f>
        <v>JS4022</v>
      </c>
      <c r="B164" s="112" t="s">
        <v>177</v>
      </c>
      <c r="C164" s="112" t="str">
        <f>CUHK!C5</f>
        <v>文化管理</v>
      </c>
      <c r="D164" s="112" t="str">
        <f>CUHK!D5</f>
        <v>	CULTURAL MANAGEMENT</v>
      </c>
      <c r="E164" s="112" t="str">
        <f>CUHK!E5</f>
        <v>Best 5</v>
      </c>
      <c r="F164" s="128">
        <f>CUHK!F5</f>
        <v>26.5</v>
      </c>
      <c r="G164" s="128">
        <f>CUHK!G5</f>
        <v>26</v>
      </c>
      <c r="H164" s="128">
        <f>CUHK!H5</f>
        <v>24.5</v>
      </c>
      <c r="I164" s="128">
        <f>'計分版'!D168</f>
        <v>0.00000000395</v>
      </c>
      <c r="J164" s="112">
        <f>CUHK!L5</f>
        <v>21</v>
      </c>
      <c r="K164" s="112">
        <f>CUHK!AB5</f>
        <v>21</v>
      </c>
      <c r="L164" s="153">
        <f>IFERROR(CUHK!AJ5/CUHK!AC5,"新科目")</f>
        <v>5.571428571</v>
      </c>
      <c r="M164" s="112">
        <f>'入學要求'!S150</f>
        <v>0</v>
      </c>
      <c r="N164" s="112"/>
      <c r="O164" s="112"/>
      <c r="P164" s="112"/>
      <c r="Q164" s="112"/>
      <c r="R164" s="112"/>
      <c r="S164" s="112"/>
      <c r="T164" s="112"/>
      <c r="U164" s="112"/>
      <c r="V164" s="112"/>
      <c r="W164" s="112"/>
      <c r="X164" s="112"/>
      <c r="Y164" s="112"/>
      <c r="Z164" s="112"/>
      <c r="AA164" s="112"/>
      <c r="AB164" s="112"/>
    </row>
    <row r="165" ht="15.75" customHeight="1">
      <c r="A165" s="112" t="str">
        <f>CUHK!A6</f>
        <v>JS4032</v>
      </c>
      <c r="B165" s="112" t="s">
        <v>177</v>
      </c>
      <c r="C165" s="112" t="str">
        <f>CUHK!C6</f>
        <v>英文</v>
      </c>
      <c r="D165" s="112" t="str">
        <f>CUHK!D6</f>
        <v>	ENGLISH</v>
      </c>
      <c r="E165" s="112" t="str">
        <f>CUHK!E6</f>
        <v>4C2X</v>
      </c>
      <c r="F165" s="128">
        <f>CUHK!F6</f>
        <v>32</v>
      </c>
      <c r="G165" s="128">
        <f>CUHK!G6</f>
        <v>30.5</v>
      </c>
      <c r="H165" s="128">
        <f>CUHK!H6</f>
        <v>29.5</v>
      </c>
      <c r="I165" s="128">
        <f>'計分版'!D169</f>
        <v>0.00000000295</v>
      </c>
      <c r="J165" s="112">
        <f>CUHK!L6</f>
        <v>55</v>
      </c>
      <c r="K165" s="112">
        <f>CUHK!AB6</f>
        <v>53</v>
      </c>
      <c r="L165" s="153">
        <f>IFERROR(CUHK!AJ6/CUHK!AC6,"新科目")</f>
        <v>5.583333333</v>
      </c>
      <c r="M165" s="112">
        <f>'入學要求'!S151</f>
        <v>0</v>
      </c>
      <c r="N165" s="112"/>
      <c r="O165" s="112"/>
      <c r="P165" s="112"/>
      <c r="Q165" s="112"/>
      <c r="R165" s="112"/>
      <c r="S165" s="112"/>
      <c r="T165" s="112"/>
      <c r="U165" s="112"/>
      <c r="V165" s="112"/>
      <c r="W165" s="112"/>
      <c r="X165" s="112"/>
      <c r="Y165" s="112"/>
      <c r="Z165" s="112"/>
      <c r="AA165" s="112"/>
      <c r="AB165" s="112"/>
    </row>
    <row r="166" ht="15.75" customHeight="1">
      <c r="A166" s="112" t="str">
        <f>CUHK!A7</f>
        <v>JS4044</v>
      </c>
      <c r="B166" s="112" t="s">
        <v>177</v>
      </c>
      <c r="C166" s="112" t="str">
        <f>CUHK!C7</f>
        <v>藝術</v>
      </c>
      <c r="D166" s="112" t="str">
        <f>CUHK!D7</f>
        <v>FINE ARTS</v>
      </c>
      <c r="E166" s="112" t="str">
        <f>CUHK!E7</f>
        <v>Best 5</v>
      </c>
      <c r="F166" s="128">
        <f>CUHK!F7</f>
        <v>27.5</v>
      </c>
      <c r="G166" s="128">
        <f>CUHK!G7</f>
        <v>26</v>
      </c>
      <c r="H166" s="128">
        <f>CUHK!H7</f>
        <v>24.5</v>
      </c>
      <c r="I166" s="128">
        <f>'計分版'!D170</f>
        <v>0.00000000395</v>
      </c>
      <c r="J166" s="112">
        <f>CUHK!L7</f>
        <v>20</v>
      </c>
      <c r="K166" s="112">
        <f>CUHK!AB7</f>
        <v>19</v>
      </c>
      <c r="L166" s="153">
        <f>IFERROR(CUHK!AJ7/CUHK!AC7,"新科目")</f>
        <v>13.73684211</v>
      </c>
      <c r="M166" s="112">
        <f>'入學要求'!S152</f>
        <v>0</v>
      </c>
      <c r="N166" s="112"/>
      <c r="O166" s="112"/>
      <c r="P166" s="112"/>
      <c r="Q166" s="112"/>
      <c r="R166" s="112"/>
      <c r="S166" s="112"/>
      <c r="T166" s="112"/>
      <c r="U166" s="112"/>
      <c r="V166" s="112"/>
      <c r="W166" s="112"/>
      <c r="X166" s="112"/>
      <c r="Y166" s="112"/>
      <c r="Z166" s="112"/>
      <c r="AA166" s="112"/>
      <c r="AB166" s="112"/>
    </row>
    <row r="167" ht="15.75" customHeight="1">
      <c r="A167" s="112" t="str">
        <f>CUHK!A8</f>
        <v>JS4056</v>
      </c>
      <c r="B167" s="112" t="s">
        <v>177</v>
      </c>
      <c r="C167" s="112" t="str">
        <f>CUHK!C8</f>
        <v>歷史</v>
      </c>
      <c r="D167" s="112" t="str">
        <f>CUHK!D8</f>
        <v>HISTORY</v>
      </c>
      <c r="E167" s="112" t="str">
        <f>CUHK!E8</f>
        <v>Best 5</v>
      </c>
      <c r="F167" s="128">
        <f>CUHK!F8</f>
        <v>27.5</v>
      </c>
      <c r="G167" s="128">
        <f>CUHK!G8</f>
        <v>26</v>
      </c>
      <c r="H167" s="128">
        <f>CUHK!H8</f>
        <v>24.5</v>
      </c>
      <c r="I167" s="128">
        <f>'計分版'!D171</f>
        <v>0.00000000395</v>
      </c>
      <c r="J167" s="112">
        <f>CUHK!L8</f>
        <v>47</v>
      </c>
      <c r="K167" s="112">
        <f>CUHK!AB8</f>
        <v>47</v>
      </c>
      <c r="L167" s="153">
        <f>IFERROR(CUHK!AJ8/CUHK!AC8,"新科目")</f>
        <v>7.276595745</v>
      </c>
      <c r="M167" s="112">
        <f>'入學要求'!S153</f>
        <v>0</v>
      </c>
      <c r="N167" s="112"/>
      <c r="O167" s="112"/>
      <c r="P167" s="112"/>
      <c r="Q167" s="112"/>
      <c r="R167" s="112"/>
      <c r="S167" s="112"/>
      <c r="T167" s="112"/>
      <c r="U167" s="112"/>
      <c r="V167" s="112"/>
      <c r="W167" s="112"/>
      <c r="X167" s="112"/>
      <c r="Y167" s="112"/>
      <c r="Z167" s="112"/>
      <c r="AA167" s="112"/>
      <c r="AB167" s="112"/>
    </row>
    <row r="168" ht="15.75" customHeight="1">
      <c r="A168" s="112" t="str">
        <f>CUHK!A9</f>
        <v>JS4068</v>
      </c>
      <c r="B168" s="112" t="s">
        <v>177</v>
      </c>
      <c r="C168" s="112" t="str">
        <f>CUHK!C9</f>
        <v>日本研究</v>
      </c>
      <c r="D168" s="112" t="str">
        <f>CUHK!D9</f>
        <v>JAPANESE STUDIES</v>
      </c>
      <c r="E168" s="112" t="str">
        <f>CUHK!E9</f>
        <v>Best 5</v>
      </c>
      <c r="F168" s="128">
        <f>CUHK!F9</f>
        <v>26</v>
      </c>
      <c r="G168" s="128">
        <f>CUHK!G9</f>
        <v>24.5</v>
      </c>
      <c r="H168" s="128">
        <f>CUHK!H9</f>
        <v>23</v>
      </c>
      <c r="I168" s="128">
        <f>'計分版'!D172</f>
        <v>0.00000000395</v>
      </c>
      <c r="J168" s="112">
        <f>CUHK!L9</f>
        <v>22</v>
      </c>
      <c r="K168" s="112">
        <f>CUHK!AB9</f>
        <v>21</v>
      </c>
      <c r="L168" s="153">
        <f>IFERROR(CUHK!AJ9/CUHK!AC9,"新科目")</f>
        <v>22.33333333</v>
      </c>
      <c r="M168" s="112">
        <f>'入學要求'!S154</f>
        <v>0</v>
      </c>
      <c r="N168" s="112"/>
      <c r="O168" s="112"/>
      <c r="P168" s="112"/>
      <c r="Q168" s="112"/>
      <c r="R168" s="112"/>
      <c r="S168" s="112"/>
      <c r="T168" s="112"/>
      <c r="U168" s="112"/>
      <c r="V168" s="112"/>
      <c r="W168" s="112"/>
      <c r="X168" s="112"/>
      <c r="Y168" s="112"/>
      <c r="Z168" s="112"/>
      <c r="AA168" s="112"/>
      <c r="AB168" s="112"/>
    </row>
    <row r="169" ht="15.75" customHeight="1">
      <c r="A169" s="112" t="str">
        <f>CUHK!A10</f>
        <v>JS4070</v>
      </c>
      <c r="B169" s="112" t="s">
        <v>177</v>
      </c>
      <c r="C169" s="112" t="str">
        <f>CUHK!C10</f>
        <v>語言學</v>
      </c>
      <c r="D169" s="112" t="str">
        <f>CUHK!D10</f>
        <v>	LINGUISTICS</v>
      </c>
      <c r="E169" s="112" t="str">
        <f>CUHK!E10</f>
        <v>Best 5</v>
      </c>
      <c r="F169" s="128">
        <f>CUHK!F10</f>
        <v>26.5</v>
      </c>
      <c r="G169" s="128">
        <f>CUHK!G10</f>
        <v>26</v>
      </c>
      <c r="H169" s="128">
        <f>CUHK!H10</f>
        <v>24.5</v>
      </c>
      <c r="I169" s="128">
        <f>'計分版'!D173</f>
        <v>0.00000000395</v>
      </c>
      <c r="J169" s="112">
        <f>CUHK!L10</f>
        <v>20</v>
      </c>
      <c r="K169" s="112">
        <f>CUHK!AB10</f>
        <v>19</v>
      </c>
      <c r="L169" s="153">
        <f>IFERROR(CUHK!AJ10/CUHK!AC10,"新科目")</f>
        <v>7.421052632</v>
      </c>
      <c r="M169" s="112">
        <f>'入學要求'!S155</f>
        <v>0</v>
      </c>
      <c r="N169" s="112"/>
      <c r="O169" s="112"/>
      <c r="P169" s="112"/>
      <c r="Q169" s="112"/>
      <c r="R169" s="112"/>
      <c r="S169" s="112"/>
      <c r="T169" s="112"/>
      <c r="U169" s="112"/>
      <c r="V169" s="112"/>
      <c r="W169" s="112"/>
      <c r="X169" s="112"/>
      <c r="Y169" s="112"/>
      <c r="Z169" s="112"/>
      <c r="AA169" s="112"/>
      <c r="AB169" s="112"/>
    </row>
    <row r="170" ht="15.75" customHeight="1">
      <c r="A170" s="112" t="str">
        <f>CUHK!A11</f>
        <v>JS4082</v>
      </c>
      <c r="B170" s="112" t="s">
        <v>177</v>
      </c>
      <c r="C170" s="112" t="str">
        <f>CUHK!C11</f>
        <v>音樂</v>
      </c>
      <c r="D170" s="112" t="str">
        <f>CUHK!D11</f>
        <v>	MUSIC</v>
      </c>
      <c r="E170" s="112" t="str">
        <f>CUHK!E11</f>
        <v>Best 5</v>
      </c>
      <c r="F170" s="128">
        <f>CUHK!F11</f>
        <v>29</v>
      </c>
      <c r="G170" s="128">
        <f>CUHK!G11</f>
        <v>24.5</v>
      </c>
      <c r="H170" s="128">
        <f>CUHK!H11</f>
        <v>21.5</v>
      </c>
      <c r="I170" s="128">
        <f>'計分版'!D174</f>
        <v>0.00000000395</v>
      </c>
      <c r="J170" s="112">
        <f>CUHK!L11</f>
        <v>28</v>
      </c>
      <c r="K170" s="112">
        <f>CUHK!AB11</f>
        <v>25</v>
      </c>
      <c r="L170" s="153">
        <f>IFERROR(CUHK!AJ11/CUHK!AC11,"新科目")</f>
        <v>7.48</v>
      </c>
      <c r="M170" s="112">
        <f>'入學要求'!S156</f>
        <v>0</v>
      </c>
      <c r="N170" s="112"/>
      <c r="O170" s="112"/>
      <c r="P170" s="112"/>
      <c r="Q170" s="112"/>
      <c r="R170" s="112"/>
      <c r="S170" s="112"/>
      <c r="T170" s="112"/>
      <c r="U170" s="112"/>
      <c r="V170" s="112"/>
      <c r="W170" s="112"/>
      <c r="X170" s="112"/>
      <c r="Y170" s="112"/>
      <c r="Z170" s="112"/>
      <c r="AA170" s="112"/>
      <c r="AB170" s="112"/>
    </row>
    <row r="171" ht="15.75" customHeight="1">
      <c r="A171" s="112" t="str">
        <f>CUHK!A12</f>
        <v>JS4094</v>
      </c>
      <c r="B171" s="112" t="s">
        <v>177</v>
      </c>
      <c r="C171" s="112" t="str">
        <f>CUHK!C12</f>
        <v>哲學</v>
      </c>
      <c r="D171" s="112" t="str">
        <f>CUHK!D12</f>
        <v>	PHILOSOPHY</v>
      </c>
      <c r="E171" s="112" t="str">
        <f>CUHK!E12</f>
        <v>Best 5</v>
      </c>
      <c r="F171" s="128">
        <f>CUHK!F12</f>
        <v>24.5</v>
      </c>
      <c r="G171" s="128">
        <f>CUHK!G12</f>
        <v>24.5</v>
      </c>
      <c r="H171" s="128">
        <f>CUHK!H12</f>
        <v>23</v>
      </c>
      <c r="I171" s="128">
        <f>'計分版'!D175</f>
        <v>0.00000000295</v>
      </c>
      <c r="J171" s="112">
        <f>CUHK!L12</f>
        <v>21</v>
      </c>
      <c r="K171" s="112">
        <f>CUHK!AB12</f>
        <v>22</v>
      </c>
      <c r="L171" s="153">
        <f>IFERROR(CUHK!AJ12/CUHK!AC12,"新科目")</f>
        <v>12.86363636</v>
      </c>
      <c r="M171" s="112">
        <f>'入學要求'!S157</f>
        <v>0</v>
      </c>
      <c r="N171" s="112"/>
      <c r="O171" s="112"/>
      <c r="P171" s="112"/>
      <c r="Q171" s="112"/>
      <c r="R171" s="112"/>
      <c r="S171" s="112"/>
      <c r="T171" s="112"/>
      <c r="U171" s="112"/>
      <c r="V171" s="112"/>
      <c r="W171" s="112"/>
      <c r="X171" s="112"/>
      <c r="Y171" s="112"/>
      <c r="Z171" s="112"/>
      <c r="AA171" s="112"/>
      <c r="AB171" s="112"/>
    </row>
    <row r="172" ht="15.75" customHeight="1">
      <c r="A172" s="112" t="str">
        <f>CUHK!A13</f>
        <v>JS4109</v>
      </c>
      <c r="B172" s="112" t="s">
        <v>177</v>
      </c>
      <c r="C172" s="112" t="str">
        <f>CUHK!C13</f>
        <v>宗教研究</v>
      </c>
      <c r="D172" s="112" t="str">
        <f>CUHK!D13</f>
        <v>	RELIGION</v>
      </c>
      <c r="E172" s="112" t="str">
        <f>CUHK!E13</f>
        <v>Best 5</v>
      </c>
      <c r="F172" s="128">
        <f>CUHK!F13</f>
        <v>23</v>
      </c>
      <c r="G172" s="128">
        <f>CUHK!G13</f>
        <v>22</v>
      </c>
      <c r="H172" s="128">
        <f>CUHK!H13</f>
        <v>21.5</v>
      </c>
      <c r="I172" s="128">
        <f>'計分版'!D176</f>
        <v>0.00000000395</v>
      </c>
      <c r="J172" s="112" t="str">
        <f>CUHK!L13</f>
        <v>19*</v>
      </c>
      <c r="K172" s="112">
        <f>CUHK!AB13</f>
        <v>19</v>
      </c>
      <c r="L172" s="153">
        <f>IFERROR(CUHK!AJ13/CUHK!AC13,"新科目")</f>
        <v>7.105263158</v>
      </c>
      <c r="M172" s="112">
        <f>'入學要求'!S158</f>
        <v>0</v>
      </c>
      <c r="N172" s="112"/>
      <c r="O172" s="112"/>
      <c r="P172" s="112"/>
      <c r="Q172" s="112"/>
      <c r="R172" s="112"/>
      <c r="S172" s="112"/>
      <c r="T172" s="112"/>
      <c r="U172" s="112"/>
      <c r="V172" s="112"/>
      <c r="W172" s="112"/>
      <c r="X172" s="112"/>
      <c r="Y172" s="112"/>
      <c r="Z172" s="112"/>
      <c r="AA172" s="112"/>
      <c r="AB172" s="112"/>
    </row>
    <row r="173" ht="15.75" customHeight="1">
      <c r="A173" s="112" t="str">
        <f>CUHK!A14</f>
        <v>JS4111</v>
      </c>
      <c r="B173" s="112" t="s">
        <v>177</v>
      </c>
      <c r="C173" s="112" t="str">
        <f>CUHK!C14</f>
        <v>神學</v>
      </c>
      <c r="D173" s="112" t="str">
        <f>CUHK!D14</f>
        <v>THEOLOGY</v>
      </c>
      <c r="E173" s="112" t="str">
        <f>CUHK!E14</f>
        <v>Best 5</v>
      </c>
      <c r="F173" s="128" t="str">
        <f>CUHK!F14</f>
        <v>/</v>
      </c>
      <c r="G173" s="128" t="str">
        <f>CUHK!G14</f>
        <v>/</v>
      </c>
      <c r="H173" s="128" t="str">
        <f>CUHK!H14</f>
        <v>/</v>
      </c>
      <c r="I173" s="128">
        <f>'計分版'!D177</f>
        <v>0.00000000395</v>
      </c>
      <c r="J173" s="112" t="str">
        <f>CUHK!L13</f>
        <v>19*</v>
      </c>
      <c r="K173" s="112">
        <f>CUHK!AB14</f>
        <v>0</v>
      </c>
      <c r="L173" s="153" t="str">
        <f>IFERROR(CUHK!AJ14/CUHK!AC14,"無資料")</f>
        <v>無資料</v>
      </c>
      <c r="M173" s="112">
        <f>'入學要求'!S159</f>
        <v>0</v>
      </c>
      <c r="N173" s="112"/>
      <c r="O173" s="112"/>
      <c r="P173" s="112"/>
      <c r="Q173" s="112"/>
      <c r="R173" s="112"/>
      <c r="S173" s="112"/>
      <c r="T173" s="112"/>
      <c r="U173" s="112"/>
      <c r="V173" s="112"/>
      <c r="W173" s="112"/>
      <c r="X173" s="112"/>
      <c r="Y173" s="112"/>
      <c r="Z173" s="112"/>
      <c r="AA173" s="112"/>
      <c r="AB173" s="112"/>
    </row>
    <row r="174" ht="15.75" customHeight="1">
      <c r="A174" s="112" t="str">
        <f>CUHK!A15</f>
        <v>JS4123</v>
      </c>
      <c r="B174" s="112" t="s">
        <v>177</v>
      </c>
      <c r="C174" s="112" t="str">
        <f>CUHK!C15</f>
        <v>翻譯</v>
      </c>
      <c r="D174" s="112" t="str">
        <f>CUHK!D15</f>
        <v>TRANSLATION</v>
      </c>
      <c r="E174" s="112" t="str">
        <f>CUHK!E15</f>
        <v>Best 5</v>
      </c>
      <c r="F174" s="128">
        <f>CUHK!F15</f>
        <v>33.5</v>
      </c>
      <c r="G174" s="128">
        <f>CUHK!G15</f>
        <v>29</v>
      </c>
      <c r="H174" s="128">
        <f>CUHK!H15</f>
        <v>26</v>
      </c>
      <c r="I174" s="128">
        <f>'計分版'!D178</f>
        <v>0.00000000395</v>
      </c>
      <c r="J174" s="112">
        <f>CUHK!L15</f>
        <v>32</v>
      </c>
      <c r="K174" s="112">
        <f>CUHK!AB15</f>
        <v>21</v>
      </c>
      <c r="L174" s="153">
        <f>IFERROR(CUHK!AJ15/CUHK!AC15,"新科目")</f>
        <v>6.210526316</v>
      </c>
      <c r="M174" s="112">
        <f>'入學要求'!S160</f>
        <v>0</v>
      </c>
      <c r="N174" s="112"/>
      <c r="O174" s="112"/>
      <c r="P174" s="112"/>
      <c r="Q174" s="112"/>
      <c r="R174" s="112"/>
      <c r="S174" s="112"/>
      <c r="T174" s="112"/>
      <c r="U174" s="112"/>
      <c r="V174" s="112"/>
      <c r="W174" s="112"/>
      <c r="X174" s="112"/>
      <c r="Y174" s="112"/>
      <c r="Z174" s="112"/>
      <c r="AA174" s="112"/>
      <c r="AB174" s="112"/>
    </row>
    <row r="175" ht="15.75" customHeight="1">
      <c r="A175" s="112" t="str">
        <f>CUHK!A16</f>
        <v>JS4136</v>
      </c>
      <c r="B175" s="112" t="s">
        <v>177</v>
      </c>
      <c r="C175" s="112" t="str">
        <f>CUHK!C16</f>
        <v>中國研究</v>
      </c>
      <c r="D175" s="112" t="str">
        <f>CUHK!D16</f>
        <v>	CHINESE STUDIES</v>
      </c>
      <c r="E175" s="112" t="str">
        <f>CUHK!E16</f>
        <v>Best 5</v>
      </c>
      <c r="F175" s="128">
        <f>CUHK!F16</f>
        <v>24.5</v>
      </c>
      <c r="G175" s="128">
        <f>CUHK!G16</f>
        <v>23.5</v>
      </c>
      <c r="H175" s="128">
        <f>CUHK!H16</f>
        <v>23</v>
      </c>
      <c r="I175" s="128">
        <f>'計分版'!D179</f>
        <v>0.00000000395</v>
      </c>
      <c r="J175" s="112">
        <f>CUHK!L16</f>
        <v>15</v>
      </c>
      <c r="K175" s="112">
        <f>CUHK!AB16</f>
        <v>14</v>
      </c>
      <c r="L175" s="153">
        <f>IFERROR(CUHK!AJ16/CUHK!AC16,"新科目")</f>
        <v>22.71428571</v>
      </c>
      <c r="M175" s="112">
        <f>'入學要求'!S161</f>
        <v>0</v>
      </c>
      <c r="N175" s="112"/>
      <c r="O175" s="112"/>
      <c r="P175" s="112"/>
      <c r="Q175" s="112"/>
      <c r="R175" s="112"/>
      <c r="S175" s="112"/>
      <c r="T175" s="112"/>
      <c r="U175" s="112"/>
      <c r="V175" s="112"/>
      <c r="W175" s="112"/>
      <c r="X175" s="112"/>
      <c r="Y175" s="112"/>
      <c r="Z175" s="112"/>
      <c r="AA175" s="112"/>
      <c r="AB175" s="112"/>
    </row>
    <row r="176" ht="15.75" customHeight="1">
      <c r="A176" s="112" t="str">
        <f>CUHK!A17</f>
        <v>JS4202</v>
      </c>
      <c r="B176" s="112" t="s">
        <v>177</v>
      </c>
      <c r="C176" s="112" t="str">
        <f>CUHK!C17</f>
        <v>工商管理學士綜合課程</v>
      </c>
      <c r="D176" s="112" t="str">
        <f>CUHK!D17</f>
        <v>	INTEGRATED BBA</v>
      </c>
      <c r="E176" s="112" t="str">
        <f>CUHK!E17</f>
        <v>Best 5</v>
      </c>
      <c r="F176" s="128">
        <f>CUHK!F17</f>
        <v>27.5</v>
      </c>
      <c r="G176" s="128">
        <f>CUHK!G17</f>
        <v>26</v>
      </c>
      <c r="H176" s="128">
        <f>CUHK!H17</f>
        <v>24.5</v>
      </c>
      <c r="I176" s="128">
        <f>'計分版'!D180</f>
        <v>0.00000000395</v>
      </c>
      <c r="J176" s="112">
        <f>CUHK!L17</f>
        <v>253</v>
      </c>
      <c r="K176" s="112">
        <f>CUHK!AB17</f>
        <v>220</v>
      </c>
      <c r="L176" s="153">
        <f>IFERROR(CUHK!AJ17/CUHK!AC17,"新科目")</f>
        <v>4.827272727</v>
      </c>
      <c r="M176" s="112">
        <f>'入學要求'!S162</f>
        <v>0</v>
      </c>
      <c r="N176" s="112"/>
      <c r="O176" s="112"/>
      <c r="P176" s="112"/>
      <c r="Q176" s="112"/>
      <c r="R176" s="112"/>
      <c r="S176" s="112"/>
      <c r="T176" s="112"/>
      <c r="U176" s="112"/>
      <c r="V176" s="112"/>
      <c r="W176" s="112"/>
      <c r="X176" s="112"/>
      <c r="Y176" s="112"/>
      <c r="Z176" s="112"/>
      <c r="AA176" s="112"/>
      <c r="AB176" s="112"/>
    </row>
    <row r="177" ht="15.75" customHeight="1">
      <c r="A177" s="112" t="str">
        <f>CUHK!A18</f>
        <v>JS4214</v>
      </c>
      <c r="B177" s="112" t="s">
        <v>177</v>
      </c>
      <c r="C177" s="112" t="str">
        <f>CUHK!C18</f>
        <v>環球商業學</v>
      </c>
      <c r="D177" s="112" t="str">
        <f>CUHK!D18</f>
        <v>GBS</v>
      </c>
      <c r="E177" s="112" t="str">
        <f>CUHK!E18</f>
        <v>4C2X</v>
      </c>
      <c r="F177" s="128">
        <f>CUHK!F18</f>
        <v>48</v>
      </c>
      <c r="G177" s="128">
        <f>CUHK!G18</f>
        <v>45</v>
      </c>
      <c r="H177" s="128">
        <f>CUHK!H18</f>
        <v>45</v>
      </c>
      <c r="I177" s="128">
        <f>'計分版'!D181</f>
        <v>0.00000000285</v>
      </c>
      <c r="J177" s="112">
        <f>CUHK!L18</f>
        <v>15</v>
      </c>
      <c r="K177" s="112">
        <f>CUHK!AB18</f>
        <v>10</v>
      </c>
      <c r="L177" s="153">
        <f>IFERROR(CUHK!AJ18/CUHK!AC18,"新科目")</f>
        <v>3.9</v>
      </c>
      <c r="M177" s="112">
        <f>'入學要求'!S163</f>
        <v>0</v>
      </c>
      <c r="N177" s="112"/>
      <c r="O177" s="112"/>
      <c r="P177" s="112"/>
      <c r="Q177" s="112"/>
      <c r="R177" s="112"/>
      <c r="S177" s="112"/>
      <c r="T177" s="112"/>
      <c r="U177" s="112"/>
      <c r="V177" s="112"/>
      <c r="W177" s="112"/>
      <c r="X177" s="112"/>
      <c r="Y177" s="112"/>
      <c r="Z177" s="112"/>
      <c r="AA177" s="112"/>
      <c r="AB177" s="112"/>
    </row>
    <row r="178" ht="15.75" customHeight="1">
      <c r="A178" s="112" t="str">
        <f>CUHK!A19</f>
        <v>JS4226</v>
      </c>
      <c r="B178" s="112" t="s">
        <v>177</v>
      </c>
      <c r="C178" s="112" t="str">
        <f>CUHK!C19</f>
        <v>酒店旅遊及房地產</v>
      </c>
      <c r="D178" s="112" t="str">
        <f>CUHK!D19</f>
        <v>HOSP &amp; REAL EST</v>
      </c>
      <c r="E178" s="112" t="str">
        <f>CUHK!E19</f>
        <v>Best 5</v>
      </c>
      <c r="F178" s="128">
        <f>CUHK!F19</f>
        <v>26</v>
      </c>
      <c r="G178" s="128">
        <f>CUHK!G19</f>
        <v>26</v>
      </c>
      <c r="H178" s="128">
        <f>CUHK!H19</f>
        <v>24.5</v>
      </c>
      <c r="I178" s="128">
        <f>'計分版'!D182</f>
        <v>0.00000000395</v>
      </c>
      <c r="J178" s="112">
        <f>CUHK!L19</f>
        <v>66</v>
      </c>
      <c r="K178" s="112">
        <f>CUHK!AB19</f>
        <v>42</v>
      </c>
      <c r="L178" s="153">
        <f>IFERROR(CUHK!AJ19/CUHK!AC19,"新科目")</f>
        <v>15.83333333</v>
      </c>
      <c r="M178" s="112">
        <f>'入學要求'!S164</f>
        <v>0</v>
      </c>
      <c r="N178" s="112"/>
      <c r="O178" s="112"/>
      <c r="P178" s="112"/>
      <c r="Q178" s="112"/>
      <c r="R178" s="112"/>
      <c r="S178" s="112"/>
      <c r="T178" s="112"/>
      <c r="U178" s="112"/>
      <c r="V178" s="112"/>
      <c r="W178" s="112"/>
      <c r="X178" s="112"/>
      <c r="Y178" s="112"/>
      <c r="Z178" s="112"/>
      <c r="AA178" s="112"/>
      <c r="AB178" s="112"/>
    </row>
    <row r="179" ht="15.75" customHeight="1">
      <c r="A179" s="112" t="str">
        <f>CUHK!A20</f>
        <v>JS4238</v>
      </c>
      <c r="B179" s="112" t="s">
        <v>177</v>
      </c>
      <c r="C179" s="112" t="str">
        <f>CUHK!C20</f>
        <v>保險、金融與精算學</v>
      </c>
      <c r="D179" s="112" t="str">
        <f>CUHK!D20</f>
        <v>	IFAA</v>
      </c>
      <c r="E179" s="112" t="str">
        <f>CUHK!E20</f>
        <v>Best 5</v>
      </c>
      <c r="F179" s="128">
        <f>CUHK!F20</f>
        <v>32</v>
      </c>
      <c r="G179" s="128">
        <f>CUHK!G20</f>
        <v>30.5</v>
      </c>
      <c r="H179" s="128">
        <f>CUHK!H20</f>
        <v>29</v>
      </c>
      <c r="I179" s="128">
        <f>'計分版'!D183</f>
        <v>0.00000000335</v>
      </c>
      <c r="J179" s="112">
        <f>CUHK!L20</f>
        <v>36</v>
      </c>
      <c r="K179" s="112">
        <f>CUHK!AB20</f>
        <v>45</v>
      </c>
      <c r="L179" s="153">
        <f>IFERROR(CUHK!AJ20/CUHK!AC20,"新科目")</f>
        <v>2.311111111</v>
      </c>
      <c r="M179" s="112">
        <f>'入學要求'!S165</f>
        <v>0</v>
      </c>
      <c r="N179" s="112"/>
      <c r="O179" s="112"/>
      <c r="P179" s="112"/>
      <c r="Q179" s="112"/>
      <c r="R179" s="112"/>
      <c r="S179" s="112"/>
      <c r="T179" s="112"/>
      <c r="U179" s="112"/>
      <c r="V179" s="112"/>
      <c r="W179" s="112"/>
      <c r="X179" s="112"/>
      <c r="Y179" s="112"/>
      <c r="Z179" s="112"/>
      <c r="AA179" s="112"/>
      <c r="AB179" s="112"/>
    </row>
    <row r="180" ht="15.75" customHeight="1">
      <c r="A180" s="112" t="str">
        <f>CUHK!A21</f>
        <v>JS4240</v>
      </c>
      <c r="B180" s="112" t="s">
        <v>177</v>
      </c>
      <c r="C180" s="112" t="str">
        <f>CUHK!C21</f>
        <v>專業會計學</v>
      </c>
      <c r="D180" s="112" t="str">
        <f>CUHK!D21</f>
        <v>	PROF ACCOUNTANCY</v>
      </c>
      <c r="E180" s="112" t="str">
        <f>CUHK!E21</f>
        <v>Best 5</v>
      </c>
      <c r="F180" s="128">
        <f>CUHK!F21</f>
        <v>30.5</v>
      </c>
      <c r="G180" s="128">
        <f>CUHK!G21</f>
        <v>27.5</v>
      </c>
      <c r="H180" s="128">
        <f>CUHK!H21</f>
        <v>26</v>
      </c>
      <c r="I180" s="128">
        <f>'計分版'!D184</f>
        <v>0.00000000395</v>
      </c>
      <c r="J180" s="112">
        <f>CUHK!L21</f>
        <v>126</v>
      </c>
      <c r="K180" s="112">
        <f>CUHK!AB21</f>
        <v>122</v>
      </c>
      <c r="L180" s="153">
        <f>IFERROR(CUHK!AJ21/CUHK!AC21,"新科目")</f>
        <v>2.778688525</v>
      </c>
      <c r="M180" s="112">
        <f>'入學要求'!S166</f>
        <v>0</v>
      </c>
      <c r="N180" s="112"/>
      <c r="O180" s="112"/>
      <c r="P180" s="112"/>
      <c r="Q180" s="112"/>
      <c r="R180" s="112"/>
      <c r="S180" s="112"/>
      <c r="T180" s="112"/>
      <c r="U180" s="112"/>
      <c r="V180" s="112"/>
      <c r="W180" s="112"/>
      <c r="X180" s="112"/>
      <c r="Y180" s="112"/>
      <c r="Z180" s="112"/>
      <c r="AA180" s="112"/>
      <c r="AB180" s="112"/>
    </row>
    <row r="181" ht="15.75" customHeight="1">
      <c r="A181" s="112" t="str">
        <f>CUHK!A22</f>
        <v>JS4252</v>
      </c>
      <c r="B181" s="112" t="s">
        <v>177</v>
      </c>
      <c r="C181" s="112" t="str">
        <f>CUHK!C22</f>
        <v>計量金融學</v>
      </c>
      <c r="D181" s="112" t="str">
        <f>CUHK!D22</f>
        <v>	QFIN</v>
      </c>
      <c r="E181" s="112" t="str">
        <f>CUHK!E22</f>
        <v>Best 5</v>
      </c>
      <c r="F181" s="128">
        <f>CUHK!F22</f>
        <v>53.25</v>
      </c>
      <c r="G181" s="128">
        <f>CUHK!G22</f>
        <v>50.25</v>
      </c>
      <c r="H181" s="128">
        <f>CUHK!H22</f>
        <v>49</v>
      </c>
      <c r="I181" s="128">
        <f>'計分版'!D185</f>
        <v>0.0000000041</v>
      </c>
      <c r="J181" s="112">
        <f>CUHK!L22</f>
        <v>37</v>
      </c>
      <c r="K181" s="112">
        <f>CUHK!AB22</f>
        <v>33</v>
      </c>
      <c r="L181" s="153">
        <f>IFERROR(CUHK!AJ22/CUHK!AC22,"新科目")</f>
        <v>3.939393939</v>
      </c>
      <c r="M181" s="112">
        <f>'入學要求'!S167</f>
        <v>0</v>
      </c>
      <c r="N181" s="112"/>
      <c r="O181" s="112"/>
      <c r="P181" s="112"/>
      <c r="Q181" s="112"/>
      <c r="R181" s="112"/>
      <c r="S181" s="112"/>
      <c r="T181" s="112"/>
      <c r="U181" s="112"/>
      <c r="V181" s="112"/>
      <c r="W181" s="112"/>
      <c r="X181" s="112"/>
      <c r="Y181" s="112"/>
      <c r="Z181" s="112"/>
      <c r="AA181" s="112"/>
      <c r="AB181" s="112"/>
    </row>
    <row r="182" ht="15.75" customHeight="1">
      <c r="A182" s="112" t="str">
        <f>CUHK!A23</f>
        <v>JS4254</v>
      </c>
      <c r="B182" s="112" t="s">
        <v>177</v>
      </c>
      <c r="C182" s="112" t="str">
        <f>CUHK!C23</f>
        <v>環球經濟與金融跨學科主修課程</v>
      </c>
      <c r="D182" s="112" t="str">
        <f>CUHK!D23</f>
        <v>GLEF</v>
      </c>
      <c r="E182" s="112" t="str">
        <f>CUHK!E23</f>
        <v>4C2X</v>
      </c>
      <c r="F182" s="128">
        <f>CUHK!F23</f>
        <v>39</v>
      </c>
      <c r="G182" s="128">
        <f>CUHK!G23</f>
        <v>36</v>
      </c>
      <c r="H182" s="128">
        <f>CUHK!H23</f>
        <v>34.5</v>
      </c>
      <c r="I182" s="128">
        <f>'計分版'!D186</f>
        <v>0.00000000285</v>
      </c>
      <c r="J182" s="112">
        <f>CUHK!L23</f>
        <v>24</v>
      </c>
      <c r="K182" s="112">
        <f>CUHK!AB23</f>
        <v>21</v>
      </c>
      <c r="L182" s="153">
        <f>IFERROR(CUHK!AJ23/CUHK!AC23,"新科目")</f>
        <v>2.619047619</v>
      </c>
      <c r="M182" s="112">
        <f>'入學要求'!S168</f>
        <v>0</v>
      </c>
      <c r="N182" s="112"/>
      <c r="O182" s="112"/>
      <c r="P182" s="112"/>
      <c r="Q182" s="112"/>
      <c r="R182" s="112"/>
      <c r="S182" s="112"/>
      <c r="T182" s="112"/>
      <c r="U182" s="112"/>
      <c r="V182" s="112"/>
      <c r="W182" s="112"/>
      <c r="X182" s="112"/>
      <c r="Y182" s="112"/>
      <c r="Z182" s="112"/>
      <c r="AA182" s="112"/>
      <c r="AB182" s="112"/>
    </row>
    <row r="183" ht="15.75" customHeight="1">
      <c r="A183" s="112" t="str">
        <f>CUHK!A24</f>
        <v>JS4264</v>
      </c>
      <c r="B183" s="112" t="s">
        <v>177</v>
      </c>
      <c r="C183" s="112" t="str">
        <f>CUHK!C24</f>
        <v>工商管理學士（工商管理學士綜合課程）及法律博士</v>
      </c>
      <c r="D183" s="112" t="str">
        <f>CUHK!D24</f>
        <v>	BBA-JD</v>
      </c>
      <c r="E183" s="112" t="str">
        <f>CUHK!E24</f>
        <v>4C2X</v>
      </c>
      <c r="F183" s="128">
        <f>CUHK!F24</f>
        <v>52</v>
      </c>
      <c r="G183" s="128">
        <f>CUHK!G24</f>
        <v>51.25</v>
      </c>
      <c r="H183" s="128">
        <f>CUHK!H24</f>
        <v>49</v>
      </c>
      <c r="I183" s="128">
        <f>'計分版'!D187</f>
        <v>0.0000000035</v>
      </c>
      <c r="J183" s="112">
        <f>CUHK!L24</f>
        <v>25</v>
      </c>
      <c r="K183" s="112">
        <f>CUHK!AB24</f>
        <v>20</v>
      </c>
      <c r="L183" s="153">
        <f>IFERROR(CUHK!AJ24/CUHK!AC24,"新科目")</f>
        <v>3.65</v>
      </c>
      <c r="M183" s="112">
        <f>'入學要求'!S169</f>
        <v>0</v>
      </c>
      <c r="N183" s="112"/>
      <c r="O183" s="112"/>
      <c r="P183" s="112"/>
      <c r="Q183" s="112"/>
      <c r="R183" s="112"/>
      <c r="S183" s="112"/>
      <c r="T183" s="112"/>
      <c r="U183" s="112"/>
      <c r="V183" s="112"/>
      <c r="W183" s="112"/>
      <c r="X183" s="112"/>
      <c r="Y183" s="112"/>
      <c r="Z183" s="112"/>
      <c r="AA183" s="112"/>
      <c r="AB183" s="112"/>
    </row>
    <row r="184" ht="15.75" customHeight="1">
      <c r="A184" s="112" t="str">
        <f>CUHK!A25</f>
        <v>JS4276</v>
      </c>
      <c r="B184" s="112" t="s">
        <v>177</v>
      </c>
      <c r="C184" s="112" t="str">
        <f>CUHK!C25</f>
        <v>計量金融學及風險管理科學</v>
      </c>
      <c r="D184" s="112" t="str">
        <f>CUHK!D25</f>
        <v>	QFRM</v>
      </c>
      <c r="E184" s="112" t="str">
        <f>CUHK!E25</f>
        <v>Best 5</v>
      </c>
      <c r="F184" s="128">
        <f>CUHK!F25</f>
        <v>60.5</v>
      </c>
      <c r="G184" s="128">
        <f>CUHK!G25</f>
        <v>57.5</v>
      </c>
      <c r="H184" s="128">
        <f>CUHK!H25</f>
        <v>54.5</v>
      </c>
      <c r="I184" s="128">
        <f>'計分版'!D188</f>
        <v>0.00000000435</v>
      </c>
      <c r="J184" s="112">
        <f>CUHK!L25</f>
        <v>20</v>
      </c>
      <c r="K184" s="112">
        <f>CUHK!AB25</f>
        <v>16</v>
      </c>
      <c r="L184" s="153">
        <f>IFERROR(CUHK!AJ25/CUHK!AC25,"新科目")</f>
        <v>2.875</v>
      </c>
      <c r="M184" s="112">
        <f>'入學要求'!S170</f>
        <v>0</v>
      </c>
      <c r="N184" s="112"/>
      <c r="O184" s="112"/>
      <c r="P184" s="112"/>
      <c r="Q184" s="112"/>
      <c r="R184" s="112"/>
      <c r="S184" s="112"/>
      <c r="T184" s="112"/>
      <c r="U184" s="112"/>
      <c r="V184" s="112"/>
      <c r="W184" s="112"/>
      <c r="X184" s="112"/>
      <c r="Y184" s="112"/>
      <c r="Z184" s="112"/>
      <c r="AA184" s="112"/>
      <c r="AB184" s="112"/>
    </row>
    <row r="185" ht="15.75" customHeight="1">
      <c r="A185" s="112" t="str">
        <f>CUHK!A26</f>
        <v>JS4329</v>
      </c>
      <c r="B185" s="112" t="s">
        <v>177</v>
      </c>
      <c r="C185" s="112" t="str">
        <f>CUHK!C26</f>
        <v>健康與體育運動科學</v>
      </c>
      <c r="D185" s="112" t="str">
        <f>CUHK!D26</f>
        <v>	PHY ED, EX SCI &amp; HEALTH</v>
      </c>
      <c r="E185" s="112" t="str">
        <f>CUHK!E26</f>
        <v>Best 5</v>
      </c>
      <c r="F185" s="128">
        <f>CUHK!F26</f>
        <v>29</v>
      </c>
      <c r="G185" s="128">
        <f>CUHK!G26</f>
        <v>29</v>
      </c>
      <c r="H185" s="128">
        <f>CUHK!H26</f>
        <v>26</v>
      </c>
      <c r="I185" s="128">
        <f>'計分版'!D189</f>
        <v>0.00000000395</v>
      </c>
      <c r="J185" s="112">
        <f>CUHK!L26</f>
        <v>24</v>
      </c>
      <c r="K185" s="112">
        <f>CUHK!AB26</f>
        <v>21</v>
      </c>
      <c r="L185" s="153">
        <f>IFERROR(CUHK!AJ26/CUHK!AC26,"新科目")</f>
        <v>25.19047619</v>
      </c>
      <c r="M185" s="112">
        <f>'入學要求'!S171</f>
        <v>0</v>
      </c>
      <c r="N185" s="112"/>
      <c r="O185" s="112"/>
      <c r="P185" s="112"/>
      <c r="Q185" s="112"/>
      <c r="R185" s="112"/>
      <c r="S185" s="112"/>
      <c r="T185" s="112"/>
      <c r="U185" s="112"/>
      <c r="V185" s="112"/>
      <c r="W185" s="112"/>
      <c r="X185" s="112"/>
      <c r="Y185" s="112"/>
      <c r="Z185" s="112"/>
      <c r="AA185" s="112"/>
      <c r="AB185" s="112"/>
    </row>
    <row r="186" ht="15.75" customHeight="1">
      <c r="A186" s="112" t="str">
        <f>CUHK!A27</f>
        <v>JS4331</v>
      </c>
      <c r="B186" s="112" t="s">
        <v>177</v>
      </c>
      <c r="C186" s="112" t="str">
        <f>CUHK!C27</f>
        <v>文學士及教育學士 (中國語文教育) 同期結業雙學位課程</v>
      </c>
      <c r="D186" s="112" t="str">
        <f>CUHK!D27</f>
        <v>	BA (CHI) BEd (CHI EDU)</v>
      </c>
      <c r="E186" s="112" t="str">
        <f>CUHK!E27</f>
        <v>Best 5</v>
      </c>
      <c r="F186" s="128">
        <f>CUHK!F27</f>
        <v>33.25</v>
      </c>
      <c r="G186" s="128">
        <f>CUHK!G27</f>
        <v>33.25</v>
      </c>
      <c r="H186" s="128">
        <f>CUHK!H27</f>
        <v>31.75</v>
      </c>
      <c r="I186" s="128">
        <f>'計分版'!D190</f>
        <v>0.0000000035</v>
      </c>
      <c r="J186" s="112">
        <f>CUHK!L27</f>
        <v>20</v>
      </c>
      <c r="K186" s="112">
        <f>CUHK!AB27</f>
        <v>19</v>
      </c>
      <c r="L186" s="153">
        <f>IFERROR(CUHK!AJ27/CUHK!AC27,"新科目")</f>
        <v>12.10526316</v>
      </c>
      <c r="M186" s="112">
        <f>'入學要求'!S172</f>
        <v>0</v>
      </c>
      <c r="N186" s="112"/>
      <c r="O186" s="112"/>
      <c r="P186" s="112"/>
      <c r="Q186" s="112"/>
      <c r="R186" s="112"/>
      <c r="S186" s="112"/>
      <c r="T186" s="112"/>
      <c r="U186" s="112"/>
      <c r="V186" s="112"/>
      <c r="W186" s="112"/>
      <c r="X186" s="112"/>
      <c r="Y186" s="112"/>
      <c r="Z186" s="112"/>
      <c r="AA186" s="112"/>
      <c r="AB186" s="112"/>
    </row>
    <row r="187" ht="15.75" customHeight="1">
      <c r="A187" s="112" t="str">
        <f>CUHK!A28</f>
        <v>JS4343</v>
      </c>
      <c r="B187" s="112" t="s">
        <v>177</v>
      </c>
      <c r="C187" s="112" t="str">
        <f>CUHK!C28</f>
        <v>文學士(英國語文研究)及教育學士(英國語文教育)</v>
      </c>
      <c r="D187" s="112" t="str">
        <f>CUHK!D28</f>
        <v>	BA (ENG) BEd (ENG EDU)</v>
      </c>
      <c r="E187" s="112" t="str">
        <f>CUHK!E28</f>
        <v>Best 5</v>
      </c>
      <c r="F187" s="128">
        <f>CUHK!F28</f>
        <v>34</v>
      </c>
      <c r="G187" s="128">
        <f>CUHK!G28</f>
        <v>32.5</v>
      </c>
      <c r="H187" s="128">
        <f>CUHK!H28</f>
        <v>30.25</v>
      </c>
      <c r="I187" s="128">
        <f>'計分版'!D191</f>
        <v>0.00000000365</v>
      </c>
      <c r="J187" s="112">
        <f>CUHK!L28</f>
        <v>14</v>
      </c>
      <c r="K187" s="112">
        <f>CUHK!AB28</f>
        <v>12</v>
      </c>
      <c r="L187" s="153">
        <f>IFERROR(CUHK!AJ28/CUHK!AC28,"新科目")</f>
        <v>5.166666667</v>
      </c>
      <c r="M187" s="112">
        <f>'入學要求'!S173</f>
        <v>0</v>
      </c>
      <c r="N187" s="112"/>
      <c r="O187" s="112"/>
      <c r="P187" s="112"/>
      <c r="Q187" s="112"/>
      <c r="R187" s="112"/>
      <c r="S187" s="112"/>
      <c r="T187" s="112"/>
      <c r="U187" s="112"/>
      <c r="V187" s="112"/>
      <c r="W187" s="112"/>
      <c r="X187" s="112"/>
      <c r="Y187" s="112"/>
      <c r="Z187" s="112"/>
      <c r="AA187" s="112"/>
      <c r="AB187" s="112"/>
    </row>
    <row r="188" ht="15.75" customHeight="1">
      <c r="A188" s="112" t="str">
        <f>CUHK!A29</f>
        <v>JS4361</v>
      </c>
      <c r="B188" s="112" t="s">
        <v>177</v>
      </c>
      <c r="C188" s="112" t="str">
        <f>CUHK!C29</f>
        <v>教育學士(數學及數學教育)</v>
      </c>
      <c r="D188" s="112" t="str">
        <f>CUHK!D29</f>
        <v>MATHS EDUCATION</v>
      </c>
      <c r="E188" s="112" t="str">
        <f>CUHK!E29</f>
        <v>Best 5</v>
      </c>
      <c r="F188" s="128">
        <f>CUHK!F29</f>
        <v>45.25</v>
      </c>
      <c r="G188" s="128">
        <f>CUHK!G29</f>
        <v>40</v>
      </c>
      <c r="H188" s="128">
        <f>CUHK!H29</f>
        <v>39.5</v>
      </c>
      <c r="I188" s="128">
        <f>'計分版'!D192</f>
        <v>0.00000000385</v>
      </c>
      <c r="J188" s="112">
        <f>CUHK!L29</f>
        <v>18</v>
      </c>
      <c r="K188" s="112">
        <f>CUHK!AB29</f>
        <v>18</v>
      </c>
      <c r="L188" s="153">
        <f>IFERROR(CUHK!AJ29/CUHK!AC29,"新科目")</f>
        <v>8.611111111</v>
      </c>
      <c r="M188" s="112">
        <f>'入學要求'!S174</f>
        <v>0</v>
      </c>
      <c r="N188" s="112"/>
      <c r="O188" s="112"/>
      <c r="P188" s="112"/>
      <c r="Q188" s="112"/>
      <c r="R188" s="112"/>
      <c r="S188" s="112"/>
      <c r="T188" s="112"/>
      <c r="U188" s="112"/>
      <c r="V188" s="112"/>
      <c r="W188" s="112"/>
      <c r="X188" s="112"/>
      <c r="Y188" s="112"/>
      <c r="Z188" s="112"/>
      <c r="AA188" s="112"/>
      <c r="AB188" s="112"/>
    </row>
    <row r="189" ht="15.75" customHeight="1">
      <c r="A189" s="112" t="str">
        <f>CUHK!A30</f>
        <v>JS4372</v>
      </c>
      <c r="B189" s="112" t="s">
        <v>177</v>
      </c>
      <c r="C189" s="112" t="str">
        <f>CUHK!C30</f>
        <v>教育學士(幼兒教育)</v>
      </c>
      <c r="D189" s="112" t="str">
        <f>CUHK!D30</f>
        <v>	BEd (ECE)</v>
      </c>
      <c r="E189" s="112" t="str">
        <f>CUHK!E30</f>
        <v>Best 5</v>
      </c>
      <c r="F189" s="128">
        <f>CUHK!F30</f>
        <v>26</v>
      </c>
      <c r="G189" s="128">
        <f>CUHK!G30</f>
        <v>26</v>
      </c>
      <c r="H189" s="128">
        <f>CUHK!H30</f>
        <v>24.5</v>
      </c>
      <c r="I189" s="128">
        <f>'計分版'!D193</f>
        <v>0.00000000395</v>
      </c>
      <c r="J189" s="112">
        <f>CUHK!L30</f>
        <v>21</v>
      </c>
      <c r="K189" s="112">
        <f>CUHK!AB30</f>
        <v>20</v>
      </c>
      <c r="L189" s="153">
        <f>IFERROR(CUHK!AJ30/CUHK!AC30,"新科目")</f>
        <v>26.05</v>
      </c>
      <c r="M189" s="112">
        <f>'入學要求'!S175</f>
        <v>0</v>
      </c>
      <c r="N189" s="112"/>
      <c r="O189" s="112"/>
      <c r="P189" s="112"/>
      <c r="Q189" s="112"/>
      <c r="R189" s="112"/>
      <c r="S189" s="112"/>
      <c r="T189" s="112"/>
      <c r="U189" s="112"/>
      <c r="V189" s="112"/>
      <c r="W189" s="112"/>
      <c r="X189" s="112"/>
      <c r="Y189" s="112"/>
      <c r="Z189" s="112"/>
      <c r="AA189" s="112"/>
      <c r="AB189" s="112"/>
    </row>
    <row r="190" ht="15.75" customHeight="1">
      <c r="A190" s="112" t="str">
        <f>CUHK!A31</f>
        <v>JS4401</v>
      </c>
      <c r="B190" s="112" t="s">
        <v>177</v>
      </c>
      <c r="C190" s="112" t="str">
        <f>CUHK!C31</f>
        <v>工程學 (大類收生)</v>
      </c>
      <c r="D190" s="112" t="str">
        <f>CUHK!D31</f>
        <v>	ENGINEERING</v>
      </c>
      <c r="E190" s="112" t="str">
        <f>CUHK!E31</f>
        <v>Best 5</v>
      </c>
      <c r="F190" s="128">
        <f>CUHK!F31</f>
        <v>34.75</v>
      </c>
      <c r="G190" s="128">
        <f>CUHK!G31</f>
        <v>30.25</v>
      </c>
      <c r="H190" s="128">
        <f>CUHK!H31</f>
        <v>28</v>
      </c>
      <c r="I190" s="128">
        <f>'計分版'!D194</f>
        <v>0.000000004225</v>
      </c>
      <c r="J190" s="112">
        <f>CUHK!L31</f>
        <v>304</v>
      </c>
      <c r="K190" s="112">
        <f>CUHK!AB31</f>
        <v>254</v>
      </c>
      <c r="L190" s="153">
        <f>IFERROR(CUHK!AJ31/CUHK!AC31,"新科目")</f>
        <v>6.541832669</v>
      </c>
      <c r="M190" s="112">
        <f>'入學要求'!S176</f>
        <v>0</v>
      </c>
      <c r="N190" s="112"/>
      <c r="O190" s="112"/>
      <c r="P190" s="112"/>
      <c r="Q190" s="112"/>
      <c r="R190" s="160"/>
      <c r="S190" s="112"/>
      <c r="T190" s="112"/>
      <c r="U190" s="112"/>
      <c r="V190" s="112"/>
      <c r="W190" s="112"/>
      <c r="X190" s="112"/>
      <c r="Y190" s="112"/>
      <c r="Z190" s="112"/>
      <c r="AA190" s="112"/>
      <c r="AB190" s="112"/>
    </row>
    <row r="191" ht="15.75" customHeight="1">
      <c r="A191" s="112" t="str">
        <f>CUHK!A32</f>
        <v>JS4428</v>
      </c>
      <c r="B191" s="112" t="s">
        <v>177</v>
      </c>
      <c r="C191" s="112" t="str">
        <f>CUHK!C32</f>
        <v>金融科技學</v>
      </c>
      <c r="D191" s="112" t="str">
        <f>CUHK!D32</f>
        <v>	BENG FINTECH</v>
      </c>
      <c r="E191" s="112" t="str">
        <f>CUHK!E32</f>
        <v>Best 5</v>
      </c>
      <c r="F191" s="128">
        <f>CUHK!F32</f>
        <v>49</v>
      </c>
      <c r="G191" s="128">
        <f>CUHK!G32</f>
        <v>47.875</v>
      </c>
      <c r="H191" s="128">
        <f>CUHK!H32</f>
        <v>41.25</v>
      </c>
      <c r="I191" s="128">
        <f>'計分版'!D195</f>
        <v>0.000000004225</v>
      </c>
      <c r="J191" s="112">
        <f>CUHK!L32</f>
        <v>30</v>
      </c>
      <c r="K191" s="112">
        <f>CUHK!AB32</f>
        <v>27</v>
      </c>
      <c r="L191" s="153">
        <f>IFERROR(CUHK!AJ32/CUHK!AC32,"新科目")</f>
        <v>5.423076923</v>
      </c>
      <c r="M191" s="112">
        <f>'入學要求'!S177</f>
        <v>0</v>
      </c>
      <c r="N191" s="112"/>
      <c r="O191" s="112"/>
      <c r="P191" s="112"/>
      <c r="Q191" s="112"/>
      <c r="R191" s="160"/>
      <c r="S191" s="112"/>
      <c r="T191" s="112"/>
      <c r="U191" s="112"/>
      <c r="V191" s="112"/>
      <c r="W191" s="112"/>
      <c r="X191" s="112"/>
      <c r="Y191" s="112"/>
      <c r="Z191" s="112"/>
      <c r="AA191" s="112"/>
      <c r="AB191" s="112"/>
    </row>
    <row r="192" ht="15.75" customHeight="1">
      <c r="A192" s="112" t="str">
        <f>CUHK!A33</f>
        <v>JS4434</v>
      </c>
      <c r="B192" s="112" t="s">
        <v>177</v>
      </c>
      <c r="C192" s="112" t="str">
        <f>CUHK!C33</f>
        <v>電子工程學</v>
      </c>
      <c r="D192" s="112" t="str">
        <f>CUHK!D33</f>
        <v>ELEG</v>
      </c>
      <c r="E192" s="112" t="str">
        <f>CUHK!E33</f>
        <v>Best 5</v>
      </c>
      <c r="F192" s="128">
        <f>CUHK!F33</f>
        <v>34.25</v>
      </c>
      <c r="G192" s="128">
        <f>CUHK!G33</f>
        <v>29</v>
      </c>
      <c r="H192" s="128">
        <f>CUHK!H33</f>
        <v>27.5</v>
      </c>
      <c r="I192" s="128">
        <f>'計分版'!D196</f>
        <v>0.0000000041</v>
      </c>
      <c r="J192" s="112">
        <f>CUHK!L33</f>
        <v>57</v>
      </c>
      <c r="K192" s="112">
        <f>CUHK!AB33</f>
        <v>33</v>
      </c>
      <c r="L192" s="153">
        <f>IFERROR(CUHK!AJ33/CUHK!AC33,"新科目")</f>
        <v>11.51515152</v>
      </c>
      <c r="M192" s="112">
        <f>'入學要求'!S178</f>
        <v>0</v>
      </c>
      <c r="N192" s="112"/>
      <c r="O192" s="112"/>
      <c r="P192" s="112"/>
      <c r="Q192" s="112"/>
      <c r="R192" s="160"/>
      <c r="S192" s="112"/>
      <c r="T192" s="112"/>
      <c r="U192" s="112"/>
      <c r="V192" s="112"/>
      <c r="W192" s="112"/>
      <c r="X192" s="112"/>
      <c r="Y192" s="112"/>
      <c r="Z192" s="112"/>
      <c r="AA192" s="112"/>
      <c r="AB192" s="112"/>
    </row>
    <row r="193" ht="15.75" customHeight="1">
      <c r="A193" s="112" t="str">
        <f>CUHK!A34</f>
        <v>JS4460</v>
      </c>
      <c r="B193" s="112" t="s">
        <v>177</v>
      </c>
      <c r="C193" s="112" t="str">
        <f>CUHK!C34</f>
        <v>生物醫學工程學</v>
      </c>
      <c r="D193" s="112" t="str">
        <f>CUHK!D34</f>
        <v>	BMEG</v>
      </c>
      <c r="E193" s="112" t="str">
        <f>CUHK!E34</f>
        <v>Best 5</v>
      </c>
      <c r="F193" s="128">
        <f>CUHK!F34</f>
        <v>40.75</v>
      </c>
      <c r="G193" s="128">
        <f>CUHK!G34</f>
        <v>39</v>
      </c>
      <c r="H193" s="128">
        <f>CUHK!H34</f>
        <v>38.5</v>
      </c>
      <c r="I193" s="128">
        <f>'計分版'!D197</f>
        <v>0.0000000041</v>
      </c>
      <c r="J193" s="112">
        <f>CUHK!L34</f>
        <v>49</v>
      </c>
      <c r="K193" s="112">
        <f>CUHK!AB34</f>
        <v>28</v>
      </c>
      <c r="L193" s="153">
        <f>IFERROR(CUHK!AJ34/CUHK!AC34,"新科目")</f>
        <v>5.214285714</v>
      </c>
      <c r="M193" s="112">
        <f>'入學要求'!S179</f>
        <v>0</v>
      </c>
      <c r="N193" s="112"/>
      <c r="O193" s="112"/>
      <c r="P193" s="112"/>
      <c r="Q193" s="112"/>
      <c r="R193" s="112"/>
      <c r="S193" s="112"/>
      <c r="T193" s="112"/>
      <c r="U193" s="112"/>
      <c r="V193" s="112"/>
      <c r="W193" s="112"/>
      <c r="X193" s="112"/>
      <c r="Y193" s="112"/>
      <c r="Z193" s="112"/>
      <c r="AA193" s="112"/>
      <c r="AB193" s="112"/>
    </row>
    <row r="194" ht="15.75" customHeight="1">
      <c r="A194" s="112" t="str">
        <f>CUHK!A35</f>
        <v>JS4462</v>
      </c>
      <c r="B194" s="112" t="s">
        <v>177</v>
      </c>
      <c r="C194" s="112" t="str">
        <f>CUHK!C35</f>
        <v>能源與環境工程學</v>
      </c>
      <c r="D194" s="112" t="str">
        <f>CUHK!D35</f>
        <v>EEEN</v>
      </c>
      <c r="E194" s="112" t="str">
        <f>CUHK!E35</f>
        <v>Best 5</v>
      </c>
      <c r="F194" s="128">
        <f>CUHK!F35</f>
        <v>31.75</v>
      </c>
      <c r="G194" s="128">
        <f>CUHK!G35</f>
        <v>29.5</v>
      </c>
      <c r="H194" s="128">
        <f>CUHK!H35</f>
        <v>28</v>
      </c>
      <c r="I194" s="128">
        <f>'計分版'!D198</f>
        <v>0.0000000041</v>
      </c>
      <c r="J194" s="112">
        <f>CUHK!L35</f>
        <v>35</v>
      </c>
      <c r="K194" s="112">
        <f>CUHK!AB35</f>
        <v>33</v>
      </c>
      <c r="L194" s="153">
        <f>IFERROR(CUHK!AJ35/CUHK!AC35,"新科目")</f>
        <v>5.935483871</v>
      </c>
      <c r="M194" s="112">
        <f>'入學要求'!S180</f>
        <v>0</v>
      </c>
      <c r="N194" s="112"/>
      <c r="O194" s="112"/>
      <c r="P194" s="112"/>
      <c r="Q194" s="112"/>
      <c r="R194" s="112"/>
      <c r="S194" s="112"/>
      <c r="T194" s="112"/>
      <c r="U194" s="112"/>
      <c r="V194" s="112"/>
      <c r="W194" s="112"/>
      <c r="X194" s="112"/>
      <c r="Y194" s="112"/>
      <c r="Z194" s="112"/>
      <c r="AA194" s="112"/>
      <c r="AB194" s="112"/>
    </row>
    <row r="195" ht="15.75" customHeight="1">
      <c r="A195" s="112" t="str">
        <f>CUHK!A36</f>
        <v>JS4468</v>
      </c>
      <c r="B195" s="112" t="s">
        <v>177</v>
      </c>
      <c r="C195" s="112" t="str">
        <f>CUHK!C36</f>
        <v>人工智能：系統與科技 (工程學士)</v>
      </c>
      <c r="D195" s="112" t="str">
        <f>CUHK!D36</f>
        <v>	AIST</v>
      </c>
      <c r="E195" s="112" t="str">
        <f>CUHK!E36</f>
        <v>Best 5</v>
      </c>
      <c r="F195" s="128">
        <f>CUHK!F36</f>
        <v>56.75</v>
      </c>
      <c r="G195" s="128">
        <f>CUHK!G36</f>
        <v>51.75</v>
      </c>
      <c r="H195" s="128">
        <f>CUHK!H36</f>
        <v>48.625</v>
      </c>
      <c r="I195" s="128">
        <f>'計分版'!D199</f>
        <v>0.000000004225</v>
      </c>
      <c r="J195" s="112">
        <f>CUHK!L36</f>
        <v>30</v>
      </c>
      <c r="K195" s="112">
        <f>CUHK!AB36</f>
        <v>35</v>
      </c>
      <c r="L195" s="153">
        <f>IFERROR(CUHK!AJ36/CUHK!AC36,"新科目")</f>
        <v>6.685714286</v>
      </c>
      <c r="M195" s="112">
        <f>'入學要求'!S181</f>
        <v>0</v>
      </c>
      <c r="N195" s="112"/>
      <c r="O195" s="112"/>
      <c r="P195" s="112"/>
      <c r="Q195" s="112"/>
      <c r="R195" s="112"/>
      <c r="S195" s="112"/>
      <c r="T195" s="112"/>
      <c r="U195" s="112"/>
      <c r="V195" s="112"/>
      <c r="W195" s="112"/>
      <c r="X195" s="112"/>
      <c r="Y195" s="112"/>
      <c r="Z195" s="112"/>
      <c r="AA195" s="112"/>
      <c r="AB195" s="112"/>
    </row>
    <row r="196" ht="15.75" customHeight="1">
      <c r="A196" s="112" t="str">
        <f>CUHK!A37</f>
        <v>JS4501</v>
      </c>
      <c r="B196" s="112" t="s">
        <v>177</v>
      </c>
      <c r="C196" s="112" t="str">
        <f>CUHK!C37</f>
        <v>內外全科醫學士課程</v>
      </c>
      <c r="D196" s="112" t="str">
        <f>CUHK!D37</f>
        <v>MBChB</v>
      </c>
      <c r="E196" s="112" t="str">
        <f>CUHK!E37</f>
        <v>4C3X</v>
      </c>
      <c r="F196" s="128">
        <f>CUHK!F37</f>
        <v>43</v>
      </c>
      <c r="G196" s="128">
        <f>CUHK!G37</f>
        <v>42</v>
      </c>
      <c r="H196" s="128">
        <f>CUHK!H37</f>
        <v>41</v>
      </c>
      <c r="I196" s="128">
        <f>'計分版'!D200</f>
        <v>0.00000000175</v>
      </c>
      <c r="J196" s="112" t="str">
        <f>CUHK!L37</f>
        <v>265*</v>
      </c>
      <c r="K196" s="112">
        <f>CUHK!AB37</f>
        <v>150</v>
      </c>
      <c r="L196" s="153">
        <f>IFERROR(CUHK!AJ37/CUHK!AC37,"新科目")</f>
        <v>3.306666667</v>
      </c>
      <c r="M196" s="112">
        <f>'入學要求'!S182</f>
        <v>0</v>
      </c>
      <c r="N196" s="112"/>
      <c r="O196" s="112"/>
      <c r="P196" s="112"/>
      <c r="Q196" s="112"/>
      <c r="R196" s="112"/>
      <c r="S196" s="112"/>
      <c r="T196" s="112"/>
      <c r="U196" s="112"/>
      <c r="V196" s="112"/>
      <c r="W196" s="112"/>
      <c r="X196" s="112"/>
      <c r="Y196" s="112"/>
      <c r="Z196" s="112"/>
      <c r="AA196" s="112"/>
      <c r="AB196" s="112"/>
    </row>
    <row r="197" ht="15.75" customHeight="1">
      <c r="A197" s="112" t="str">
        <f>CUHK!A38</f>
        <v>JS4502</v>
      </c>
      <c r="B197" s="112" t="s">
        <v>177</v>
      </c>
      <c r="C197" s="112" t="str">
        <f>CUHK!C38</f>
        <v>內外全科醫學士課程環球醫學領袖培訓專修組別</v>
      </c>
      <c r="D197" s="112" t="str">
        <f>CUHK!D38</f>
        <v>MBChB-GPS</v>
      </c>
      <c r="E197" s="112" t="str">
        <f>CUHK!E38</f>
        <v>4C3X</v>
      </c>
      <c r="F197" s="128">
        <f>CUHK!F38</f>
        <v>48</v>
      </c>
      <c r="G197" s="128">
        <f>CUHK!G38</f>
        <v>47</v>
      </c>
      <c r="H197" s="128">
        <f>CUHK!H38</f>
        <v>46</v>
      </c>
      <c r="I197" s="128">
        <f>'計分版'!D201</f>
        <v>0.00000000175</v>
      </c>
      <c r="J197" s="112">
        <f>CUHK!L38</f>
        <v>30</v>
      </c>
      <c r="K197" s="112">
        <f>CUHK!AB38</f>
        <v>36</v>
      </c>
      <c r="L197" s="153">
        <f>IFERROR(CUHK!AJ38/CUHK!AC38,"新科目")</f>
        <v>1.944444444</v>
      </c>
      <c r="M197" s="112">
        <f>'入學要求'!S183</f>
        <v>0</v>
      </c>
      <c r="N197" s="112"/>
      <c r="O197" s="112"/>
      <c r="P197" s="112"/>
      <c r="Q197" s="112"/>
      <c r="R197" s="160"/>
      <c r="S197" s="112"/>
      <c r="T197" s="112"/>
      <c r="U197" s="112"/>
      <c r="V197" s="112"/>
      <c r="W197" s="112"/>
      <c r="X197" s="112"/>
      <c r="Y197" s="112"/>
      <c r="Z197" s="112"/>
      <c r="AA197" s="112"/>
      <c r="AB197" s="112"/>
    </row>
    <row r="198" ht="15.75" customHeight="1">
      <c r="A198" s="112" t="str">
        <f>CUHK!A39</f>
        <v>JS4513</v>
      </c>
      <c r="B198" s="112" t="s">
        <v>177</v>
      </c>
      <c r="C198" s="112" t="str">
        <f>CUHK!C39</f>
        <v>護理學</v>
      </c>
      <c r="D198" s="112" t="str">
        <f>CUHK!D39</f>
        <v>	NURSING</v>
      </c>
      <c r="E198" s="112" t="str">
        <f>CUHK!E39</f>
        <v>4C2X</v>
      </c>
      <c r="F198" s="128">
        <f>CUHK!F39</f>
        <v>40</v>
      </c>
      <c r="G198" s="128">
        <f>CUHK!G39</f>
        <v>37.75</v>
      </c>
      <c r="H198" s="128">
        <f>CUHK!H39</f>
        <v>36</v>
      </c>
      <c r="I198" s="128">
        <f>'計分版'!D202</f>
        <v>0.00000000285</v>
      </c>
      <c r="J198" s="112">
        <f>CUHK!L39</f>
        <v>217</v>
      </c>
      <c r="K198" s="112">
        <f>CUHK!AB39</f>
        <v>204</v>
      </c>
      <c r="L198" s="153">
        <f>IFERROR(CUHK!AJ39/CUHK!AC39,"新科目")</f>
        <v>3.946078431</v>
      </c>
      <c r="M198" s="112">
        <f>'入學要求'!S184</f>
        <v>0</v>
      </c>
      <c r="N198" s="112"/>
      <c r="O198" s="112"/>
      <c r="P198" s="112"/>
      <c r="Q198" s="112"/>
      <c r="R198" s="112"/>
      <c r="S198" s="112"/>
      <c r="T198" s="112"/>
      <c r="U198" s="112"/>
      <c r="V198" s="112"/>
      <c r="W198" s="112"/>
      <c r="X198" s="112"/>
      <c r="Y198" s="112"/>
      <c r="Z198" s="112"/>
      <c r="AA198" s="112"/>
      <c r="AB198" s="112"/>
    </row>
    <row r="199" ht="15.75" customHeight="1">
      <c r="A199" s="112" t="str">
        <f>CUHK!A40</f>
        <v>JS4525</v>
      </c>
      <c r="B199" s="112" t="s">
        <v>177</v>
      </c>
      <c r="C199" s="112" t="str">
        <f>CUHK!C40</f>
        <v>藥劑學</v>
      </c>
      <c r="D199" s="112" t="str">
        <f>CUHK!D40</f>
        <v>PHARMACY</v>
      </c>
      <c r="E199" s="112" t="str">
        <f>CUHK!E40</f>
        <v>4C2X</v>
      </c>
      <c r="F199" s="128">
        <f>CUHK!F40</f>
        <v>37.5</v>
      </c>
      <c r="G199" s="128">
        <f>CUHK!G40</f>
        <v>36</v>
      </c>
      <c r="H199" s="128">
        <f>CUHK!H40</f>
        <v>34.5</v>
      </c>
      <c r="I199" s="128">
        <f>'計分版'!D203</f>
        <v>0.00000000285</v>
      </c>
      <c r="J199" s="112">
        <f>CUHK!L40</f>
        <v>61</v>
      </c>
      <c r="K199" s="112">
        <f>CUHK!AB40</f>
        <v>49</v>
      </c>
      <c r="L199" s="153">
        <f>IFERROR(CUHK!AJ40/CUHK!AC40,"新科目")</f>
        <v>2.612244898</v>
      </c>
      <c r="M199" s="112">
        <f>'入學要求'!S185</f>
        <v>0</v>
      </c>
      <c r="N199" s="112"/>
      <c r="O199" s="112"/>
      <c r="P199" s="112"/>
      <c r="Q199" s="112"/>
      <c r="R199" s="112"/>
      <c r="S199" s="112"/>
      <c r="T199" s="112"/>
      <c r="U199" s="112"/>
      <c r="V199" s="112"/>
      <c r="W199" s="112"/>
      <c r="X199" s="112"/>
      <c r="Y199" s="112"/>
      <c r="Z199" s="112"/>
      <c r="AA199" s="112"/>
      <c r="AB199" s="112"/>
    </row>
    <row r="200" ht="15.75" customHeight="1">
      <c r="A200" s="112" t="str">
        <f>CUHK!A41</f>
        <v>JS4537</v>
      </c>
      <c r="B200" s="112" t="s">
        <v>177</v>
      </c>
      <c r="C200" s="112" t="str">
        <f>CUHK!C41</f>
        <v>公共衞生</v>
      </c>
      <c r="D200" s="112" t="str">
        <f>CUHK!D41</f>
        <v>	PUBLIC HEALTH</v>
      </c>
      <c r="E200" s="112" t="str">
        <f>CUHK!E41</f>
        <v>Best 5</v>
      </c>
      <c r="F200" s="128">
        <f>CUHK!F41</f>
        <v>26</v>
      </c>
      <c r="G200" s="128">
        <f>CUHK!G41</f>
        <v>23</v>
      </c>
      <c r="H200" s="128">
        <f>CUHK!H41</f>
        <v>23</v>
      </c>
      <c r="I200" s="128">
        <f>'計分版'!D204</f>
        <v>0.00000000395</v>
      </c>
      <c r="J200" s="112">
        <f>CUHK!L41</f>
        <v>32</v>
      </c>
      <c r="K200" s="112">
        <f>CUHK!AB41</f>
        <v>30</v>
      </c>
      <c r="L200" s="153">
        <f>IFERROR(CUHK!AJ41/CUHK!AC41,"新科目")</f>
        <v>10.9</v>
      </c>
      <c r="M200" s="112">
        <f>'入學要求'!S186</f>
        <v>0</v>
      </c>
      <c r="N200" s="112"/>
      <c r="O200" s="112"/>
      <c r="P200" s="112"/>
      <c r="Q200" s="112"/>
      <c r="R200" s="112"/>
      <c r="S200" s="112"/>
      <c r="T200" s="112"/>
      <c r="U200" s="112"/>
      <c r="V200" s="112"/>
      <c r="W200" s="112"/>
      <c r="X200" s="112"/>
      <c r="Y200" s="112"/>
      <c r="Z200" s="112"/>
      <c r="AA200" s="112"/>
      <c r="AB200" s="112"/>
    </row>
    <row r="201" ht="15.75" customHeight="1">
      <c r="A201" s="112" t="str">
        <f>CUHK!A42</f>
        <v>JS4542</v>
      </c>
      <c r="B201" s="112" t="s">
        <v>177</v>
      </c>
      <c r="C201" s="112" t="str">
        <f>CUHK!C42</f>
        <v>中醫學</v>
      </c>
      <c r="D201" s="112" t="str">
        <f>CUHK!D42</f>
        <v>CHIN MEDICINE</v>
      </c>
      <c r="E201" s="112" t="str">
        <f>CUHK!E42</f>
        <v>4C2X</v>
      </c>
      <c r="F201" s="128">
        <f>CUHK!F42</f>
        <v>36</v>
      </c>
      <c r="G201" s="128">
        <f>CUHK!G42</f>
        <v>33</v>
      </c>
      <c r="H201" s="128">
        <f>CUHK!H42</f>
        <v>32</v>
      </c>
      <c r="I201" s="128">
        <f>'計分版'!D205</f>
        <v>0.00000000285</v>
      </c>
      <c r="J201" s="112">
        <f>CUHK!L42</f>
        <v>25</v>
      </c>
      <c r="K201" s="112">
        <f>CUHK!AB42</f>
        <v>22</v>
      </c>
      <c r="L201" s="153">
        <f>IFERROR(CUHK!AJ42/CUHK!AC42,"新科目")</f>
        <v>5.454545455</v>
      </c>
      <c r="M201" s="112">
        <f>'入學要求'!S187</f>
        <v>0</v>
      </c>
      <c r="N201" s="112"/>
      <c r="O201" s="112"/>
      <c r="P201" s="112"/>
      <c r="Q201" s="112"/>
      <c r="R201" s="112"/>
      <c r="S201" s="112"/>
      <c r="T201" s="112"/>
      <c r="U201" s="112"/>
      <c r="V201" s="112"/>
      <c r="W201" s="112"/>
      <c r="X201" s="112"/>
      <c r="Y201" s="112"/>
      <c r="Z201" s="112"/>
      <c r="AA201" s="112"/>
      <c r="AB201" s="112"/>
    </row>
    <row r="202" ht="15.75" customHeight="1">
      <c r="A202" s="112" t="str">
        <f>CUHK!A43</f>
        <v>JS4550</v>
      </c>
      <c r="B202" s="112" t="s">
        <v>177</v>
      </c>
      <c r="C202" s="112" t="str">
        <f>CUHK!C43</f>
        <v>生物醫學</v>
      </c>
      <c r="D202" s="112" t="str">
        <f>CUHK!D43</f>
        <v>	BIOMEDICAL SCIENCES</v>
      </c>
      <c r="E202" s="112" t="str">
        <f>CUHK!E43</f>
        <v>4C2X</v>
      </c>
      <c r="F202" s="128">
        <f>CUHK!F43</f>
        <v>37.5</v>
      </c>
      <c r="G202" s="128">
        <f>CUHK!G43</f>
        <v>36</v>
      </c>
      <c r="H202" s="128">
        <f>CUHK!H43</f>
        <v>34.5</v>
      </c>
      <c r="I202" s="128">
        <f>'計分版'!D206</f>
        <v>0.00000000285</v>
      </c>
      <c r="J202" s="112">
        <f>CUHK!L43</f>
        <v>20</v>
      </c>
      <c r="K202" s="112">
        <f>CUHK!AB43</f>
        <v>21</v>
      </c>
      <c r="L202" s="153">
        <f>IFERROR(CUHK!AJ43/CUHK!AC43,"新科目")</f>
        <v>5.523809524</v>
      </c>
      <c r="M202" s="112">
        <f>'入學要求'!S188</f>
        <v>0</v>
      </c>
      <c r="N202" s="112"/>
      <c r="O202" s="112"/>
      <c r="P202" s="112"/>
      <c r="Q202" s="112"/>
      <c r="R202" s="112"/>
      <c r="S202" s="112"/>
      <c r="T202" s="112"/>
      <c r="U202" s="112"/>
      <c r="V202" s="112"/>
      <c r="W202" s="112"/>
      <c r="X202" s="112"/>
      <c r="Y202" s="112"/>
      <c r="Z202" s="112"/>
      <c r="AA202" s="112"/>
      <c r="AB202" s="112"/>
    </row>
    <row r="203" ht="15.75" customHeight="1">
      <c r="A203" s="112" t="str">
        <f>CUHK!A44</f>
        <v>JS4601</v>
      </c>
      <c r="B203" s="112" t="s">
        <v>177</v>
      </c>
      <c r="C203" s="112" t="str">
        <f>CUHK!C44</f>
        <v>理學</v>
      </c>
      <c r="D203" s="112" t="str">
        <f>CUHK!D44</f>
        <v>	SCIENCE</v>
      </c>
      <c r="E203" s="112" t="str">
        <f>CUHK!E44</f>
        <v>Best 5</v>
      </c>
      <c r="F203" s="128">
        <f>CUHK!F44</f>
        <v>44</v>
      </c>
      <c r="G203" s="128">
        <f>CUHK!G44</f>
        <v>38</v>
      </c>
      <c r="H203" s="128">
        <f>CUHK!H44</f>
        <v>38</v>
      </c>
      <c r="I203" s="128">
        <f>'計分版'!D207</f>
        <v>0.00000000315</v>
      </c>
      <c r="J203" s="112">
        <f>CUHK!L44</f>
        <v>374</v>
      </c>
      <c r="K203" s="112">
        <f>CUHK!AB44</f>
        <v>390</v>
      </c>
      <c r="L203" s="153">
        <f>IFERROR(CUHK!AJ44/CUHK!AC44,"新科目")</f>
        <v>3.912820513</v>
      </c>
      <c r="M203" s="112">
        <f>'入學要求'!S189</f>
        <v>0</v>
      </c>
      <c r="N203" s="112"/>
      <c r="O203" s="112"/>
      <c r="P203" s="112"/>
      <c r="Q203" s="112"/>
      <c r="R203" s="160"/>
      <c r="S203" s="112"/>
      <c r="T203" s="112"/>
      <c r="U203" s="112"/>
      <c r="V203" s="112"/>
      <c r="W203" s="112"/>
      <c r="X203" s="112"/>
      <c r="Y203" s="112"/>
      <c r="Z203" s="112"/>
      <c r="AA203" s="112"/>
      <c r="AB203" s="112"/>
    </row>
    <row r="204" ht="15.75" customHeight="1">
      <c r="A204" s="112" t="str">
        <f>CUHK!A45</f>
        <v>JS4633</v>
      </c>
      <c r="B204" s="112" t="s">
        <v>177</v>
      </c>
      <c r="C204" s="112" t="str">
        <f>CUHK!C45</f>
        <v>地球系統科學 (大氣科學 / 地球物理)</v>
      </c>
      <c r="D204" s="112" t="str">
        <f>CUHK!D45</f>
        <v>	ESSC (AS / GEO)</v>
      </c>
      <c r="E204" s="112" t="str">
        <f>CUHK!E45</f>
        <v>Best 5</v>
      </c>
      <c r="F204" s="128">
        <f>CUHK!F45</f>
        <v>49.75</v>
      </c>
      <c r="G204" s="128">
        <f>CUHK!G45</f>
        <v>42.25</v>
      </c>
      <c r="H204" s="128">
        <f>CUHK!H45</f>
        <v>40.75</v>
      </c>
      <c r="I204" s="128">
        <f>'計分版'!D208</f>
        <v>0.0000000041</v>
      </c>
      <c r="J204" s="112">
        <f>CUHK!L45</f>
        <v>20</v>
      </c>
      <c r="K204" s="112">
        <f>CUHK!AB45</f>
        <v>22</v>
      </c>
      <c r="L204" s="153">
        <f>IFERROR(CUHK!AJ45/CUHK!AC45,"新科目")</f>
        <v>2.681818182</v>
      </c>
      <c r="M204" s="112">
        <f>'入學要求'!S190</f>
        <v>0</v>
      </c>
      <c r="N204" s="112"/>
      <c r="O204" s="112"/>
      <c r="P204" s="112"/>
      <c r="Q204" s="112"/>
      <c r="R204" s="112"/>
      <c r="S204" s="112"/>
      <c r="T204" s="112"/>
      <c r="U204" s="112"/>
      <c r="V204" s="112"/>
      <c r="W204" s="112"/>
      <c r="X204" s="112"/>
      <c r="Y204" s="112"/>
      <c r="Z204" s="112"/>
      <c r="AA204" s="112"/>
      <c r="AB204" s="112"/>
    </row>
    <row r="205" ht="15.75" customHeight="1">
      <c r="A205" s="112" t="str">
        <f>CUHK!A46</f>
        <v>JS4682</v>
      </c>
      <c r="B205" s="112" t="s">
        <v>177</v>
      </c>
      <c r="C205" s="112" t="str">
        <f>CUHK!C46</f>
        <v>數學精研</v>
      </c>
      <c r="D205" s="112" t="str">
        <f>CUHK!D46</f>
        <v>	ENRICHMENT MATHEMATICS</v>
      </c>
      <c r="E205" s="112" t="str">
        <f>CUHK!E46</f>
        <v>Best 5</v>
      </c>
      <c r="F205" s="128">
        <f>CUHK!F46</f>
        <v>40.75</v>
      </c>
      <c r="G205" s="128">
        <f>CUHK!G46</f>
        <v>38.5</v>
      </c>
      <c r="H205" s="128">
        <f>CUHK!H46</f>
        <v>37</v>
      </c>
      <c r="I205" s="128">
        <f>'計分版'!D209</f>
        <v>0.00000000435</v>
      </c>
      <c r="J205" s="112">
        <f>CUHK!L46</f>
        <v>27</v>
      </c>
      <c r="K205" s="112">
        <f>CUHK!AB46</f>
        <v>30</v>
      </c>
      <c r="L205" s="153">
        <f>IFERROR(CUHK!AJ46/CUHK!AC46,"新科目")</f>
        <v>4.566666667</v>
      </c>
      <c r="M205" s="112">
        <f>'入學要求'!S191</f>
        <v>0</v>
      </c>
      <c r="N205" s="112"/>
      <c r="O205" s="112"/>
      <c r="P205" s="112"/>
      <c r="Q205" s="112"/>
      <c r="R205" s="112"/>
      <c r="S205" s="112"/>
      <c r="T205" s="112"/>
      <c r="U205" s="112"/>
      <c r="V205" s="112"/>
      <c r="W205" s="112"/>
      <c r="X205" s="112"/>
      <c r="Y205" s="112"/>
      <c r="Z205" s="112"/>
      <c r="AA205" s="112"/>
      <c r="AB205" s="112"/>
    </row>
    <row r="206" ht="15.75" customHeight="1">
      <c r="A206" s="112" t="str">
        <f>CUHK!A47</f>
        <v>JS4690</v>
      </c>
      <c r="B206" s="112" t="s">
        <v>177</v>
      </c>
      <c r="C206" s="112" t="str">
        <f>CUHK!C47</f>
        <v>理論物理精研</v>
      </c>
      <c r="D206" s="112" t="str">
        <f>CUHK!D47</f>
        <v>	THEORETICAL PHYSICS</v>
      </c>
      <c r="E206" s="112" t="str">
        <f>CUHK!E47</f>
        <v>Best 5</v>
      </c>
      <c r="F206" s="128">
        <f>CUHK!F47</f>
        <v>45.5</v>
      </c>
      <c r="G206" s="128">
        <f>CUHK!G47</f>
        <v>43.25</v>
      </c>
      <c r="H206" s="128">
        <f>CUHK!H47</f>
        <v>39.5</v>
      </c>
      <c r="I206" s="128">
        <f>'計分版'!D210</f>
        <v>0.0000000041</v>
      </c>
      <c r="J206" s="112">
        <f>CUHK!L47</f>
        <v>20</v>
      </c>
      <c r="K206" s="112">
        <f>CUHK!AB47</f>
        <v>23</v>
      </c>
      <c r="L206" s="153">
        <f>IFERROR(CUHK!AJ47/CUHK!AC47,"新科目")</f>
        <v>3.260869565</v>
      </c>
      <c r="M206" s="112">
        <f>'入學要求'!S192</f>
        <v>0</v>
      </c>
      <c r="N206" s="112"/>
      <c r="O206" s="112"/>
      <c r="P206" s="112"/>
      <c r="Q206" s="112"/>
      <c r="R206" s="112"/>
      <c r="S206" s="112"/>
      <c r="T206" s="112"/>
      <c r="U206" s="112"/>
      <c r="V206" s="112"/>
      <c r="W206" s="112"/>
      <c r="X206" s="112"/>
      <c r="Y206" s="112"/>
      <c r="Z206" s="112"/>
      <c r="AA206" s="112"/>
      <c r="AB206" s="112"/>
    </row>
    <row r="207" ht="15.75" customHeight="1">
      <c r="A207" s="112" t="str">
        <f>CUHK!A48</f>
        <v>JS4719</v>
      </c>
      <c r="B207" s="112" t="s">
        <v>177</v>
      </c>
      <c r="C207" s="112" t="str">
        <f>CUHK!C48</f>
        <v>風險管理科學</v>
      </c>
      <c r="D207" s="112" t="str">
        <f>CUHK!D48</f>
        <v>	RISK MGT SCI</v>
      </c>
      <c r="E207" s="112" t="str">
        <f>CUHK!E48</f>
        <v>Best 5</v>
      </c>
      <c r="F207" s="128">
        <f>CUHK!F48</f>
        <v>44.5</v>
      </c>
      <c r="G207" s="128">
        <f>CUHK!G48</f>
        <v>41.5</v>
      </c>
      <c r="H207" s="128">
        <f>CUHK!H48</f>
        <v>41.5</v>
      </c>
      <c r="I207" s="128">
        <f>'計分版'!D211</f>
        <v>0.00000000435</v>
      </c>
      <c r="J207" s="112">
        <f>CUHK!L48</f>
        <v>26</v>
      </c>
      <c r="K207" s="112">
        <f>CUHK!AB48</f>
        <v>26</v>
      </c>
      <c r="L207" s="153">
        <f>IFERROR(CUHK!AJ48/CUHK!AC48,"新科目")</f>
        <v>3.384615385</v>
      </c>
      <c r="M207" s="112">
        <f>'入學要求'!S193</f>
        <v>0</v>
      </c>
      <c r="N207" s="112"/>
      <c r="O207" s="112"/>
      <c r="P207" s="112"/>
      <c r="Q207" s="112"/>
      <c r="R207" s="112"/>
      <c r="S207" s="112"/>
      <c r="T207" s="112"/>
      <c r="U207" s="112"/>
      <c r="V207" s="112"/>
      <c r="W207" s="112"/>
      <c r="X207" s="112"/>
      <c r="Y207" s="112"/>
      <c r="Z207" s="112"/>
      <c r="AA207" s="112"/>
      <c r="AB207" s="112"/>
    </row>
    <row r="208" ht="15.75" customHeight="1">
      <c r="A208" s="112" t="str">
        <f>CUHK!A49</f>
        <v>JS4801</v>
      </c>
      <c r="B208" s="112" t="s">
        <v>177</v>
      </c>
      <c r="C208" s="112" t="str">
        <f>CUHK!C49</f>
        <v>社會科學</v>
      </c>
      <c r="D208" s="112" t="str">
        <f>CUHK!D49</f>
        <v>SOCIAL SCIENCE</v>
      </c>
      <c r="E208" s="112" t="str">
        <f>CUHK!E49</f>
        <v>Best 5</v>
      </c>
      <c r="F208" s="128">
        <f>CUHK!F49</f>
        <v>31.1</v>
      </c>
      <c r="G208" s="128">
        <f>CUHK!G49</f>
        <v>29.15</v>
      </c>
      <c r="H208" s="128">
        <f>CUHK!H49</f>
        <v>28.7</v>
      </c>
      <c r="I208" s="128">
        <f>'計分版'!D212</f>
        <v>0.00000000395</v>
      </c>
      <c r="J208" s="112">
        <f>CUHK!L49</f>
        <v>65</v>
      </c>
      <c r="K208" s="112">
        <f>CUHK!AB49</f>
        <v>63</v>
      </c>
      <c r="L208" s="153">
        <f>IFERROR(CUHK!AJ49/CUHK!AC49,"新科目")</f>
        <v>6.507936508</v>
      </c>
      <c r="M208" s="112">
        <f>'入學要求'!S194</f>
        <v>0</v>
      </c>
      <c r="N208" s="112"/>
      <c r="O208" s="112"/>
      <c r="P208" s="112"/>
      <c r="Q208" s="112"/>
      <c r="R208" s="112"/>
      <c r="S208" s="112"/>
      <c r="T208" s="112"/>
      <c r="U208" s="112"/>
      <c r="V208" s="112"/>
      <c r="W208" s="112"/>
      <c r="X208" s="112"/>
      <c r="Y208" s="112"/>
      <c r="Z208" s="112"/>
      <c r="AA208" s="112"/>
      <c r="AB208" s="112"/>
    </row>
    <row r="209" ht="15.75" customHeight="1">
      <c r="A209" s="112" t="str">
        <f>CUHK!A50</f>
        <v>JS4812</v>
      </c>
      <c r="B209" s="112" t="s">
        <v>177</v>
      </c>
      <c r="C209" s="112" t="str">
        <f>CUHK!C50</f>
        <v>建築學</v>
      </c>
      <c r="D209" s="112" t="str">
        <f>CUHK!D50</f>
        <v>	ARCHITECTURE</v>
      </c>
      <c r="E209" s="112" t="str">
        <f>CUHK!E50</f>
        <v>Best 5</v>
      </c>
      <c r="F209" s="128">
        <f>CUHK!F50</f>
        <v>38.25</v>
      </c>
      <c r="G209" s="128">
        <f>CUHK!G50</f>
        <v>33</v>
      </c>
      <c r="H209" s="128">
        <f>CUHK!H50</f>
        <v>33.75</v>
      </c>
      <c r="I209" s="128">
        <f>'計分版'!D213</f>
        <v>0.00000000395</v>
      </c>
      <c r="J209" s="112">
        <f>CUHK!L50</f>
        <v>32</v>
      </c>
      <c r="K209" s="112">
        <f>CUHK!AB50</f>
        <v>21</v>
      </c>
      <c r="L209" s="153">
        <f>IFERROR(CUHK!AJ50/CUHK!AC50,"新科目")</f>
        <v>8.523809524</v>
      </c>
      <c r="M209" s="112">
        <f>'入學要求'!S195</f>
        <v>0</v>
      </c>
      <c r="N209" s="112"/>
      <c r="O209" s="112"/>
      <c r="P209" s="112"/>
      <c r="Q209" s="112"/>
      <c r="R209" s="112"/>
      <c r="S209" s="112"/>
      <c r="T209" s="112"/>
      <c r="U209" s="112"/>
      <c r="V209" s="112"/>
      <c r="W209" s="112"/>
      <c r="X209" s="112"/>
      <c r="Y209" s="112"/>
      <c r="Z209" s="112"/>
      <c r="AA209" s="112"/>
      <c r="AB209" s="112"/>
    </row>
    <row r="210" ht="15.75" customHeight="1">
      <c r="A210" s="112" t="str">
        <f>CUHK!A51</f>
        <v>JS4824</v>
      </c>
      <c r="B210" s="112" t="s">
        <v>177</v>
      </c>
      <c r="C210" s="112" t="str">
        <f>CUHK!C51</f>
        <v>經濟學</v>
      </c>
      <c r="D210" s="112" t="str">
        <f>CUHK!D51</f>
        <v>	ECONOMICS</v>
      </c>
      <c r="E210" s="112" t="str">
        <f>CUHK!E51</f>
        <v>Best 5</v>
      </c>
      <c r="F210" s="128">
        <f>CUHK!F51</f>
        <v>32.25</v>
      </c>
      <c r="G210" s="128">
        <f>CUHK!G51</f>
        <v>30.5</v>
      </c>
      <c r="H210" s="128">
        <f>CUHK!H51</f>
        <v>29.25</v>
      </c>
      <c r="I210" s="128">
        <f>'計分版'!D214</f>
        <v>0.0000000041</v>
      </c>
      <c r="J210" s="112">
        <f>CUHK!L51</f>
        <v>67</v>
      </c>
      <c r="K210" s="112">
        <f>CUHK!AB51</f>
        <v>60</v>
      </c>
      <c r="L210" s="153">
        <f>IFERROR(CUHK!AJ51/CUHK!AC51,"新科目")</f>
        <v>8.033333333</v>
      </c>
      <c r="M210" s="112">
        <f>'入學要求'!S196</f>
        <v>0</v>
      </c>
      <c r="N210" s="112"/>
      <c r="O210" s="112"/>
      <c r="P210" s="112"/>
      <c r="Q210" s="112"/>
      <c r="R210" s="112"/>
      <c r="S210" s="112"/>
      <c r="T210" s="112"/>
      <c r="U210" s="112"/>
      <c r="V210" s="112"/>
      <c r="W210" s="112"/>
      <c r="X210" s="112"/>
      <c r="Y210" s="112"/>
      <c r="Z210" s="112"/>
      <c r="AA210" s="112"/>
      <c r="AB210" s="112"/>
    </row>
    <row r="211" ht="15.75" customHeight="1">
      <c r="A211" s="112" t="str">
        <f>CUHK!A52</f>
        <v>JS4836</v>
      </c>
      <c r="B211" s="112" t="s">
        <v>177</v>
      </c>
      <c r="C211" s="112" t="str">
        <f>CUHK!C52</f>
        <v>地理與資源管理學</v>
      </c>
      <c r="D211" s="112" t="str">
        <f>CUHK!D52</f>
        <v>GEO &amp; RES MGT</v>
      </c>
      <c r="E211" s="112" t="str">
        <f>CUHK!E52</f>
        <v>Best 5</v>
      </c>
      <c r="F211" s="128">
        <f>CUHK!F52</f>
        <v>31</v>
      </c>
      <c r="G211" s="128">
        <f>CUHK!G52</f>
        <v>28.75</v>
      </c>
      <c r="H211" s="128">
        <f>CUHK!H52</f>
        <v>26.5</v>
      </c>
      <c r="I211" s="128">
        <f>'計分版'!D215</f>
        <v>0.00000000395</v>
      </c>
      <c r="J211" s="112">
        <f>CUHK!L52</f>
        <v>40</v>
      </c>
      <c r="K211" s="112">
        <f>CUHK!AB52</f>
        <v>40</v>
      </c>
      <c r="L211" s="153">
        <f>IFERROR(CUHK!AJ52/CUHK!AC52,"新科目")</f>
        <v>5.2</v>
      </c>
      <c r="M211" s="112">
        <f>'入學要求'!S197</f>
        <v>0</v>
      </c>
      <c r="N211" s="112"/>
      <c r="O211" s="112"/>
      <c r="P211" s="112"/>
      <c r="Q211" s="112"/>
      <c r="R211" s="112"/>
      <c r="S211" s="112"/>
      <c r="T211" s="112"/>
      <c r="U211" s="112"/>
      <c r="V211" s="112"/>
      <c r="W211" s="112"/>
      <c r="X211" s="112"/>
      <c r="Y211" s="112"/>
      <c r="Z211" s="112"/>
      <c r="AA211" s="112"/>
      <c r="AB211" s="112"/>
    </row>
    <row r="212" ht="15.75" customHeight="1">
      <c r="A212" s="112" t="str">
        <f>CUHK!A53</f>
        <v>JS4838</v>
      </c>
      <c r="B212" s="112" t="s">
        <v>177</v>
      </c>
      <c r="C212" s="112" t="str">
        <f>CUHK!C53</f>
        <v>城市研究</v>
      </c>
      <c r="D212" s="112" t="str">
        <f>CUHK!D53</f>
        <v>	URBAN STUDIES</v>
      </c>
      <c r="E212" s="112" t="str">
        <f>CUHK!E53</f>
        <v>Best 5</v>
      </c>
      <c r="F212" s="128">
        <f>CUHK!F53</f>
        <v>29</v>
      </c>
      <c r="G212" s="128">
        <f>CUHK!G53</f>
        <v>25</v>
      </c>
      <c r="H212" s="128">
        <f>CUHK!H53</f>
        <v>24.5</v>
      </c>
      <c r="I212" s="128">
        <f>'計分版'!D216</f>
        <v>0.00000000395</v>
      </c>
      <c r="J212" s="112">
        <f>CUHK!L53</f>
        <v>20</v>
      </c>
      <c r="K212" s="112">
        <f>CUHK!AB53</f>
        <v>22</v>
      </c>
      <c r="L212" s="153">
        <f>IFERROR(CUHK!AJ53/CUHK!AC53,"新科目")</f>
        <v>7.5</v>
      </c>
      <c r="M212" s="112">
        <f>'入學要求'!S198</f>
        <v>0</v>
      </c>
      <c r="N212" s="112"/>
      <c r="O212" s="112"/>
      <c r="P212" s="112"/>
      <c r="Q212" s="112"/>
      <c r="R212" s="112"/>
      <c r="S212" s="112"/>
      <c r="T212" s="112"/>
      <c r="U212" s="112"/>
      <c r="V212" s="112"/>
      <c r="W212" s="112"/>
      <c r="X212" s="112"/>
      <c r="Y212" s="112"/>
      <c r="Z212" s="112"/>
      <c r="AA212" s="112"/>
      <c r="AB212" s="112"/>
    </row>
    <row r="213" ht="15.75" customHeight="1">
      <c r="A213" s="112" t="str">
        <f>CUHK!A54</f>
        <v>JS4848</v>
      </c>
      <c r="B213" s="112" t="s">
        <v>177</v>
      </c>
      <c r="C213" s="112" t="str">
        <f>CUHK!C54</f>
        <v>政治與行政學</v>
      </c>
      <c r="D213" s="112" t="str">
        <f>CUHK!D54</f>
        <v>	GOV'T &amp; PUBLIC ADMIN</v>
      </c>
      <c r="E213" s="112" t="str">
        <f>CUHK!E54</f>
        <v>4C2X</v>
      </c>
      <c r="F213" s="128">
        <f>CUHK!F54</f>
        <v>37.75</v>
      </c>
      <c r="G213" s="128">
        <f>CUHK!G54</f>
        <v>35.5</v>
      </c>
      <c r="H213" s="128">
        <f>CUHK!H54</f>
        <v>33.625</v>
      </c>
      <c r="I213" s="128">
        <f>'計分版'!D217</f>
        <v>0.000000003075</v>
      </c>
      <c r="J213" s="112">
        <f>CUHK!L54</f>
        <v>38</v>
      </c>
      <c r="K213" s="112">
        <f>CUHK!AB54</f>
        <v>37</v>
      </c>
      <c r="L213" s="153">
        <f>IFERROR(CUHK!AJ54/CUHK!AC54,"新科目")</f>
        <v>3.378378378</v>
      </c>
      <c r="M213" s="112">
        <f>'入學要求'!S199</f>
        <v>0</v>
      </c>
      <c r="N213" s="112"/>
      <c r="O213" s="112"/>
      <c r="P213" s="112"/>
      <c r="Q213" s="112"/>
      <c r="R213" s="112"/>
      <c r="S213" s="112"/>
      <c r="T213" s="112"/>
      <c r="U213" s="112"/>
      <c r="V213" s="112"/>
      <c r="W213" s="112"/>
      <c r="X213" s="112"/>
      <c r="Y213" s="112"/>
      <c r="Z213" s="112"/>
      <c r="AA213" s="112"/>
      <c r="AB213" s="112"/>
    </row>
    <row r="214" ht="15.75" customHeight="1">
      <c r="A214" s="112" t="str">
        <f>CUHK!A55</f>
        <v>JS4850</v>
      </c>
      <c r="B214" s="112" t="s">
        <v>177</v>
      </c>
      <c r="C214" s="112" t="str">
        <f>CUHK!C55</f>
        <v>新聞與傳播學</v>
      </c>
      <c r="D214" s="112" t="str">
        <f>CUHK!D55</f>
        <v>JOURNALISM &amp; COMMUN</v>
      </c>
      <c r="E214" s="112" t="str">
        <f>CUHK!E55</f>
        <v>Best 5</v>
      </c>
      <c r="F214" s="128">
        <f>CUHK!F55</f>
        <v>36.35</v>
      </c>
      <c r="G214" s="128">
        <f>CUHK!G55</f>
        <v>34.7</v>
      </c>
      <c r="H214" s="128">
        <f>CUHK!H55</f>
        <v>33.2</v>
      </c>
      <c r="I214" s="128">
        <f>'計分版'!D218</f>
        <v>0.00000000395</v>
      </c>
      <c r="J214" s="112">
        <f>CUHK!L55</f>
        <v>43</v>
      </c>
      <c r="K214" s="112">
        <f>CUHK!AB55</f>
        <v>41</v>
      </c>
      <c r="L214" s="153">
        <f>IFERROR(CUHK!AJ55/CUHK!AC55,"新科目")</f>
        <v>3.658536585</v>
      </c>
      <c r="M214" s="112">
        <f>'入學要求'!S200</f>
        <v>0</v>
      </c>
      <c r="N214" s="112"/>
      <c r="O214" s="112"/>
      <c r="P214" s="112"/>
      <c r="Q214" s="112"/>
      <c r="R214" s="112"/>
      <c r="S214" s="112"/>
      <c r="T214" s="112"/>
      <c r="U214" s="112"/>
      <c r="V214" s="112"/>
      <c r="W214" s="112"/>
      <c r="X214" s="112"/>
      <c r="Y214" s="112"/>
      <c r="Z214" s="112"/>
      <c r="AA214" s="112"/>
      <c r="AB214" s="112"/>
    </row>
    <row r="215" ht="15.75" customHeight="1">
      <c r="A215" s="112" t="str">
        <f>CUHK!A56</f>
        <v>JS4858</v>
      </c>
      <c r="B215" s="112" t="s">
        <v>177</v>
      </c>
      <c r="C215" s="112" t="str">
        <f>CUHK!C56</f>
        <v>全球傳播</v>
      </c>
      <c r="D215" s="112" t="str">
        <f>CUHK!D56</f>
        <v>	GLOBAL COMM</v>
      </c>
      <c r="E215" s="112" t="str">
        <f>CUHK!E56</f>
        <v>Best 5</v>
      </c>
      <c r="F215" s="128">
        <f>CUHK!F56</f>
        <v>34.55</v>
      </c>
      <c r="G215" s="128">
        <f>CUHK!G56</f>
        <v>32.6</v>
      </c>
      <c r="H215" s="128">
        <f>CUHK!H56</f>
        <v>30.05</v>
      </c>
      <c r="I215" s="128">
        <f>'計分版'!D219</f>
        <v>0.00000000395</v>
      </c>
      <c r="J215" s="112">
        <f>CUHK!L56</f>
        <v>10</v>
      </c>
      <c r="K215" s="112">
        <f>CUHK!AB56</f>
        <v>12</v>
      </c>
      <c r="L215" s="153">
        <f>IFERROR(CUHK!AJ56/CUHK!AC56,"新科目")</f>
        <v>4.25</v>
      </c>
      <c r="M215" s="112">
        <f>'入學要求'!S201</f>
        <v>0</v>
      </c>
      <c r="N215" s="112"/>
      <c r="O215" s="112"/>
      <c r="P215" s="112"/>
      <c r="Q215" s="112"/>
      <c r="R215" s="112"/>
      <c r="S215" s="112"/>
      <c r="T215" s="112"/>
      <c r="U215" s="112"/>
      <c r="V215" s="112"/>
      <c r="W215" s="112"/>
      <c r="X215" s="112"/>
      <c r="Y215" s="112"/>
      <c r="Z215" s="112"/>
      <c r="AA215" s="112"/>
      <c r="AB215" s="112"/>
    </row>
    <row r="216" ht="15.75" customHeight="1">
      <c r="A216" s="112" t="str">
        <f>CUHK!A57</f>
        <v>JS4862</v>
      </c>
      <c r="B216" s="112" t="s">
        <v>177</v>
      </c>
      <c r="C216" s="112" t="str">
        <f>CUHK!C57</f>
        <v>心理學</v>
      </c>
      <c r="D216" s="112" t="str">
        <f>CUHK!D57</f>
        <v>PSYCHOLOGY</v>
      </c>
      <c r="E216" s="112" t="str">
        <f>CUHK!E57</f>
        <v>Best 5</v>
      </c>
      <c r="F216" s="128">
        <f>CUHK!F57</f>
        <v>37.5</v>
      </c>
      <c r="G216" s="128">
        <f>CUHK!G57</f>
        <v>35.25</v>
      </c>
      <c r="H216" s="128">
        <f>CUHK!H57</f>
        <v>33</v>
      </c>
      <c r="I216" s="128">
        <f>'計分版'!D220</f>
        <v>0.00000000395</v>
      </c>
      <c r="J216" s="112">
        <f>CUHK!L57</f>
        <v>54</v>
      </c>
      <c r="K216" s="112">
        <f>CUHK!AB57</f>
        <v>57</v>
      </c>
      <c r="L216" s="153">
        <f>IFERROR(CUHK!AJ57/CUHK!AC57,"新科目")</f>
        <v>6.709090909</v>
      </c>
      <c r="M216" s="112">
        <f>'入學要求'!S202</f>
        <v>0</v>
      </c>
      <c r="N216" s="112"/>
      <c r="O216" s="112"/>
      <c r="P216" s="112"/>
      <c r="Q216" s="112"/>
      <c r="R216" s="112"/>
      <c r="S216" s="112"/>
      <c r="T216" s="112"/>
      <c r="U216" s="112"/>
      <c r="V216" s="112"/>
      <c r="W216" s="112"/>
      <c r="X216" s="112"/>
      <c r="Y216" s="112"/>
      <c r="Z216" s="112"/>
      <c r="AA216" s="112"/>
      <c r="AB216" s="112"/>
    </row>
    <row r="217" ht="15.75" customHeight="1">
      <c r="A217" s="112" t="str">
        <f>CUHK!A58</f>
        <v>JS4874</v>
      </c>
      <c r="B217" s="112" t="s">
        <v>177</v>
      </c>
      <c r="C217" s="112" t="str">
        <f>CUHK!C58</f>
        <v>社會工作學</v>
      </c>
      <c r="D217" s="112" t="str">
        <f>CUHK!D58</f>
        <v>	SOCIAL WORK</v>
      </c>
      <c r="E217" s="112" t="str">
        <f>CUHK!E58</f>
        <v>Best 5</v>
      </c>
      <c r="F217" s="128">
        <f>CUHK!F58</f>
        <v>32</v>
      </c>
      <c r="G217" s="128">
        <f>CUHK!G58</f>
        <v>30.5</v>
      </c>
      <c r="H217" s="128">
        <f>CUHK!H58</f>
        <v>29</v>
      </c>
      <c r="I217" s="128">
        <f>'計分版'!D221</f>
        <v>0.00000000395</v>
      </c>
      <c r="J217" s="112">
        <f>CUHK!L58</f>
        <v>46</v>
      </c>
      <c r="K217" s="112">
        <f>CUHK!AB58</f>
        <v>39</v>
      </c>
      <c r="L217" s="153">
        <f>IFERROR(CUHK!AJ58/CUHK!AC58,"新科目")</f>
        <v>9.487179487</v>
      </c>
      <c r="M217" s="112">
        <f>'入學要求'!S203</f>
        <v>0</v>
      </c>
      <c r="N217" s="112"/>
      <c r="O217" s="112"/>
      <c r="P217" s="112"/>
      <c r="Q217" s="112"/>
      <c r="R217" s="112"/>
      <c r="S217" s="112"/>
      <c r="T217" s="112"/>
      <c r="U217" s="112"/>
      <c r="V217" s="112"/>
      <c r="W217" s="112"/>
      <c r="X217" s="112"/>
      <c r="Y217" s="112"/>
      <c r="Z217" s="112"/>
      <c r="AA217" s="112"/>
      <c r="AB217" s="112"/>
    </row>
    <row r="218" ht="15.75" customHeight="1">
      <c r="A218" s="112" t="str">
        <f>CUHK!A59</f>
        <v>JS4886</v>
      </c>
      <c r="B218" s="112" t="s">
        <v>177</v>
      </c>
      <c r="C218" s="112" t="str">
        <f>CUHK!C59</f>
        <v>社會學</v>
      </c>
      <c r="D218" s="112" t="str">
        <f>CUHK!D59</f>
        <v>	SOCIOLOGY</v>
      </c>
      <c r="E218" s="112" t="str">
        <f>CUHK!E59</f>
        <v>Best 5</v>
      </c>
      <c r="F218" s="128">
        <f>CUHK!F59</f>
        <v>31.5</v>
      </c>
      <c r="G218" s="128">
        <f>CUHK!G59</f>
        <v>30</v>
      </c>
      <c r="H218" s="128">
        <f>CUHK!H59</f>
        <v>30</v>
      </c>
      <c r="I218" s="128">
        <f>'計分版'!D222</f>
        <v>0.00000000395</v>
      </c>
      <c r="J218" s="112">
        <f>CUHK!L59</f>
        <v>39</v>
      </c>
      <c r="K218" s="112">
        <f>CUHK!AB59</f>
        <v>33</v>
      </c>
      <c r="L218" s="153">
        <f>IFERROR(CUHK!AJ59/CUHK!AC59,"新科目")</f>
        <v>8</v>
      </c>
      <c r="M218" s="112">
        <f>'入學要求'!S204</f>
        <v>0</v>
      </c>
      <c r="N218" s="112"/>
      <c r="O218" s="112"/>
      <c r="P218" s="112"/>
      <c r="Q218" s="112"/>
      <c r="R218" s="112"/>
      <c r="S218" s="112"/>
      <c r="T218" s="112"/>
      <c r="U218" s="112"/>
      <c r="V218" s="112"/>
      <c r="W218" s="112"/>
      <c r="X218" s="112"/>
      <c r="Y218" s="112"/>
      <c r="Z218" s="112"/>
      <c r="AA218" s="112"/>
      <c r="AB218" s="112"/>
    </row>
    <row r="219" ht="15.75" customHeight="1">
      <c r="A219" s="112" t="str">
        <f>CUHK!A60</f>
        <v>JS4892</v>
      </c>
      <c r="B219" s="112" t="s">
        <v>177</v>
      </c>
      <c r="C219" s="112" t="str">
        <f>CUHK!C60</f>
        <v>全球研究</v>
      </c>
      <c r="D219" s="112" t="str">
        <f>CUHK!D60</f>
        <v>GLOBAL STUDIES</v>
      </c>
      <c r="E219" s="112" t="str">
        <f>CUHK!E60</f>
        <v>Best 5</v>
      </c>
      <c r="F219" s="128">
        <f>CUHK!F60</f>
        <v>32.5</v>
      </c>
      <c r="G219" s="128">
        <f>CUHK!G60</f>
        <v>31</v>
      </c>
      <c r="H219" s="128">
        <f>CUHK!H60</f>
        <v>28.75</v>
      </c>
      <c r="I219" s="128">
        <f>'計分版'!D223</f>
        <v>0.00000000395</v>
      </c>
      <c r="J219" s="112">
        <f>CUHK!L60</f>
        <v>20</v>
      </c>
      <c r="K219" s="112">
        <f>CUHK!AB60</f>
        <v>18</v>
      </c>
      <c r="L219" s="153">
        <f>IFERROR(CUHK!AJ60/CUHK!AC60,"新科目")</f>
        <v>4.888888889</v>
      </c>
      <c r="M219" s="112">
        <f>'入學要求'!S205</f>
        <v>0</v>
      </c>
      <c r="N219" s="112"/>
      <c r="O219" s="112"/>
      <c r="P219" s="112"/>
      <c r="Q219" s="112"/>
      <c r="R219" s="112"/>
      <c r="S219" s="112"/>
      <c r="T219" s="112"/>
      <c r="U219" s="112"/>
      <c r="V219" s="112"/>
      <c r="W219" s="112"/>
      <c r="X219" s="112"/>
      <c r="Y219" s="112"/>
      <c r="Z219" s="112"/>
      <c r="AA219" s="112"/>
      <c r="AB219" s="112"/>
    </row>
    <row r="220" ht="15.75" customHeight="1">
      <c r="A220" s="112" t="str">
        <f>CUHK!A61</f>
        <v>JS4893</v>
      </c>
      <c r="B220" s="112" t="s">
        <v>177</v>
      </c>
      <c r="C220" s="112" t="str">
        <f>CUHK!C61</f>
        <v>數據科學與政策研究</v>
      </c>
      <c r="D220" s="112" t="str">
        <f>CUHK!D61</f>
        <v>	DSPS</v>
      </c>
      <c r="E220" s="112" t="str">
        <f>CUHK!E61</f>
        <v>Best 5</v>
      </c>
      <c r="F220" s="128">
        <f>CUHK!F61</f>
        <v>27.5</v>
      </c>
      <c r="G220" s="128">
        <f>CUHK!G61</f>
        <v>26.5</v>
      </c>
      <c r="H220" s="128">
        <f>CUHK!H61</f>
        <v>26</v>
      </c>
      <c r="I220" s="128">
        <f>'計分版'!D224</f>
        <v>0.00000000395</v>
      </c>
      <c r="J220" s="112">
        <f>CUHK!L61</f>
        <v>20</v>
      </c>
      <c r="K220" s="112">
        <f>CUHK!AB61</f>
        <v>19</v>
      </c>
      <c r="L220" s="153">
        <f>IFERROR(CUHK!AJ61/CUHK!AC61,"新科目")</f>
        <v>4.210526316</v>
      </c>
      <c r="M220" s="112">
        <f>'入學要求'!S206</f>
        <v>0</v>
      </c>
      <c r="N220" s="112"/>
      <c r="O220" s="112"/>
      <c r="P220" s="112"/>
      <c r="Q220" s="112"/>
      <c r="R220" s="112"/>
      <c r="S220" s="112"/>
      <c r="T220" s="112"/>
      <c r="U220" s="112"/>
      <c r="V220" s="112"/>
      <c r="W220" s="112"/>
      <c r="X220" s="112"/>
      <c r="Y220" s="112"/>
      <c r="Z220" s="112"/>
      <c r="AA220" s="112"/>
      <c r="AB220" s="112"/>
    </row>
    <row r="221" ht="15.75" customHeight="1">
      <c r="A221" s="112" t="str">
        <f>CUHK!A62</f>
        <v>JS4903</v>
      </c>
      <c r="B221" s="112" t="s">
        <v>177</v>
      </c>
      <c r="C221" s="112" t="str">
        <f>CUHK!C62</f>
        <v>法學士</v>
      </c>
      <c r="D221" s="112" t="str">
        <f>CUHK!D62</f>
        <v>	LLB</v>
      </c>
      <c r="E221" s="112" t="str">
        <f>CUHK!E62</f>
        <v>4C2X</v>
      </c>
      <c r="F221" s="128">
        <f>CUHK!F62</f>
        <v>52</v>
      </c>
      <c r="G221" s="128">
        <f>CUHK!G62</f>
        <v>47.5</v>
      </c>
      <c r="H221" s="128">
        <f>CUHK!H62</f>
        <v>46.75</v>
      </c>
      <c r="I221" s="128">
        <f>'計分版'!D225</f>
        <v>0.0000000035</v>
      </c>
      <c r="J221" s="112">
        <f>CUHK!L62</f>
        <v>76</v>
      </c>
      <c r="K221" s="112">
        <f>CUHK!AB62</f>
        <v>60</v>
      </c>
      <c r="L221" s="153">
        <f>IFERROR(CUHK!AJ62/CUHK!AC62,"新科目")</f>
        <v>3.033333333</v>
      </c>
      <c r="M221" s="112">
        <f>'入學要求'!S207</f>
        <v>0</v>
      </c>
      <c r="N221" s="112"/>
      <c r="O221" s="112"/>
      <c r="P221" s="112"/>
      <c r="Q221" s="112"/>
      <c r="R221" s="112"/>
      <c r="S221" s="112"/>
      <c r="T221" s="112"/>
      <c r="U221" s="112"/>
      <c r="V221" s="112"/>
      <c r="W221" s="112"/>
      <c r="X221" s="112"/>
      <c r="Y221" s="112"/>
      <c r="Z221" s="112"/>
      <c r="AA221" s="112"/>
      <c r="AB221" s="112"/>
    </row>
    <row r="222" ht="15.75" customHeight="1">
      <c r="A222" s="112"/>
      <c r="B222" s="112"/>
      <c r="C222" s="112"/>
      <c r="D222" s="112"/>
      <c r="E222" s="125"/>
      <c r="F222" s="128"/>
      <c r="G222" s="128"/>
      <c r="H222" s="128"/>
      <c r="I222" s="128"/>
      <c r="J222" s="112"/>
      <c r="K222" s="112"/>
      <c r="L222" s="153"/>
      <c r="M222" s="112"/>
      <c r="N222" s="112"/>
      <c r="O222" s="112"/>
      <c r="P222" s="112"/>
      <c r="Q222" s="112"/>
      <c r="R222" s="112"/>
      <c r="S222" s="112"/>
      <c r="T222" s="112"/>
      <c r="U222" s="112"/>
      <c r="V222" s="112"/>
      <c r="W222" s="112"/>
      <c r="X222" s="112"/>
      <c r="Y222" s="112"/>
      <c r="Z222" s="112"/>
      <c r="AA222" s="112"/>
      <c r="AB222" s="112"/>
    </row>
    <row r="223" ht="15.75" customHeight="1">
      <c r="A223" s="112"/>
      <c r="B223" s="112"/>
      <c r="C223" s="112"/>
      <c r="D223" s="112"/>
      <c r="E223" s="125"/>
      <c r="F223" s="128" t="s">
        <v>45</v>
      </c>
      <c r="G223" s="128" t="s">
        <v>46</v>
      </c>
      <c r="H223" s="128" t="s">
        <v>47</v>
      </c>
      <c r="I223" s="128" t="str">
        <f>'計分版'!D227</f>
        <v>總分</v>
      </c>
      <c r="J223" s="112"/>
      <c r="K223" s="112"/>
      <c r="L223" s="153"/>
      <c r="M223" s="112"/>
      <c r="N223" s="112"/>
      <c r="O223" s="112"/>
      <c r="P223" s="112"/>
      <c r="Q223" s="112"/>
      <c r="R223" s="112"/>
      <c r="S223" s="112"/>
      <c r="T223" s="112"/>
      <c r="U223" s="112"/>
      <c r="V223" s="112"/>
      <c r="W223" s="112"/>
      <c r="X223" s="112"/>
      <c r="Y223" s="112"/>
      <c r="Z223" s="112"/>
      <c r="AA223" s="112"/>
      <c r="AB223" s="112"/>
    </row>
    <row r="224" ht="15.75" customHeight="1">
      <c r="A224" s="112" t="str">
        <f>UST!A2</f>
        <v>JS5101</v>
      </c>
      <c r="B224" s="112" t="s">
        <v>178</v>
      </c>
      <c r="C224" s="112" t="str">
        <f>UST!C2</f>
        <v>國際科研</v>
      </c>
      <c r="D224" s="112" t="str">
        <f>UST!D2</f>
        <v>IRE</v>
      </c>
      <c r="E224" s="112" t="str">
        <f>UST!E2</f>
        <v>英數Best3</v>
      </c>
      <c r="F224" s="128" t="s">
        <v>541</v>
      </c>
      <c r="G224" s="128">
        <f>UST!F2</f>
        <v>30</v>
      </c>
      <c r="H224" s="128">
        <f>UST!G2</f>
        <v>29</v>
      </c>
      <c r="I224" s="128">
        <f>'計分版'!D228</f>
        <v>0.00000000195</v>
      </c>
      <c r="J224" s="112">
        <f>UST!K2</f>
        <v>21</v>
      </c>
      <c r="K224" s="112">
        <f>UST!AA2</f>
        <v>23</v>
      </c>
      <c r="L224" s="153">
        <f>IFERROR(UST!AI2/UST!AB2,"新科目")</f>
        <v>3.956521739</v>
      </c>
      <c r="M224" s="112">
        <f>'入學要求'!S211</f>
        <v>0</v>
      </c>
      <c r="N224" s="112"/>
      <c r="O224" s="112"/>
      <c r="P224" s="112"/>
      <c r="Q224" s="112"/>
      <c r="R224" s="112"/>
      <c r="S224" s="112"/>
      <c r="T224" s="112"/>
      <c r="U224" s="112"/>
      <c r="V224" s="112"/>
      <c r="W224" s="112"/>
      <c r="X224" s="112"/>
      <c r="Y224" s="112"/>
      <c r="Z224" s="112"/>
      <c r="AA224" s="112"/>
      <c r="AB224" s="112"/>
    </row>
    <row r="225" ht="15.75" customHeight="1">
      <c r="A225" s="112" t="str">
        <f>UST!A3</f>
        <v>JS5102</v>
      </c>
      <c r="B225" s="112" t="s">
        <v>178</v>
      </c>
      <c r="C225" s="112" t="str">
        <f>UST!C3</f>
        <v>理學Ａ組</v>
      </c>
      <c r="D225" s="112" t="str">
        <f>UST!D3</f>
        <v>SSCI-A</v>
      </c>
      <c r="E225" s="112" t="str">
        <f>UST!E3</f>
        <v>英數Best3</v>
      </c>
      <c r="F225" s="128" t="s">
        <v>541</v>
      </c>
      <c r="G225" s="128">
        <f>UST!F3</f>
        <v>27.5</v>
      </c>
      <c r="H225" s="128">
        <f>UST!G3</f>
        <v>26</v>
      </c>
      <c r="I225" s="128">
        <f>'計分版'!D229</f>
        <v>0.0000000033</v>
      </c>
      <c r="J225" s="112" t="str">
        <f>UST!K3</f>
        <v>424*</v>
      </c>
      <c r="K225" s="112">
        <f>UST!AA3</f>
        <v>191</v>
      </c>
      <c r="L225" s="153">
        <f>IFERROR(UST!AI3/UST!AB3,"新科目")</f>
        <v>3.636871508</v>
      </c>
      <c r="M225" s="112">
        <f>'入學要求'!S212</f>
        <v>0</v>
      </c>
      <c r="N225" s="112"/>
      <c r="O225" s="112"/>
      <c r="P225" s="112"/>
      <c r="Q225" s="112"/>
      <c r="R225" s="112"/>
      <c r="S225" s="112"/>
      <c r="T225" s="112"/>
      <c r="U225" s="112"/>
      <c r="V225" s="112"/>
      <c r="W225" s="112"/>
      <c r="X225" s="112"/>
      <c r="Y225" s="112"/>
      <c r="Z225" s="112"/>
      <c r="AA225" s="112"/>
      <c r="AB225" s="112"/>
    </row>
    <row r="226" ht="15.75" customHeight="1">
      <c r="A226" s="112" t="str">
        <f>UST!A4</f>
        <v>JS5103</v>
      </c>
      <c r="B226" s="112" t="s">
        <v>178</v>
      </c>
      <c r="C226" s="112" t="str">
        <f>UST!C4</f>
        <v>理學Ｂ組</v>
      </c>
      <c r="D226" s="112" t="str">
        <f>UST!D4</f>
        <v>SSCI-B</v>
      </c>
      <c r="E226" s="112" t="str">
        <f>UST!E4</f>
        <v>英數Best3</v>
      </c>
      <c r="F226" s="128" t="s">
        <v>541</v>
      </c>
      <c r="G226" s="128">
        <f>UST!F4</f>
        <v>30</v>
      </c>
      <c r="H226" s="128">
        <f>UST!G4</f>
        <v>28.5</v>
      </c>
      <c r="I226" s="128">
        <f>'計分版'!D230</f>
        <v>0.00000000265</v>
      </c>
      <c r="J226" s="112" t="str">
        <f>UST!K3</f>
        <v>424*</v>
      </c>
      <c r="K226" s="112">
        <f>UST!AA4</f>
        <v>273</v>
      </c>
      <c r="L226" s="153">
        <f>IFERROR(UST!AI4/UST!AB4,"新科目")</f>
        <v>4.236641221</v>
      </c>
      <c r="M226" s="112">
        <f>'入學要求'!S213</f>
        <v>0</v>
      </c>
      <c r="N226" s="112"/>
      <c r="O226" s="112"/>
      <c r="P226" s="112"/>
      <c r="Q226" s="112"/>
      <c r="R226" s="112"/>
      <c r="S226" s="112"/>
      <c r="T226" s="112"/>
      <c r="U226" s="112"/>
      <c r="V226" s="112"/>
      <c r="W226" s="112"/>
      <c r="X226" s="112"/>
      <c r="Y226" s="112"/>
      <c r="Z226" s="112"/>
      <c r="AA226" s="112"/>
      <c r="AB226" s="112"/>
    </row>
    <row r="227" ht="15.75" customHeight="1">
      <c r="A227" s="112" t="str">
        <f>UST!A5</f>
        <v>JS5181</v>
      </c>
      <c r="B227" s="112" t="s">
        <v>178</v>
      </c>
      <c r="C227" s="112" t="str">
        <f>UST!C5</f>
        <v>理學Ａ組– 延伸主修人工智能</v>
      </c>
      <c r="D227" s="112" t="str">
        <f>UST!D5</f>
        <v>SSCI-A (AI)</v>
      </c>
      <c r="E227" s="112" t="str">
        <f>UST!E5</f>
        <v>英數Best3</v>
      </c>
      <c r="F227" s="128" t="s">
        <v>541</v>
      </c>
      <c r="G227" s="128" t="str">
        <f>UST!F5</f>
        <v>/</v>
      </c>
      <c r="H227" s="128" t="str">
        <f>UST!G5</f>
        <v>/</v>
      </c>
      <c r="I227" s="128">
        <f>'計分版'!D231</f>
        <v>0.0000000033</v>
      </c>
      <c r="J227" s="112">
        <f>UST!K5</f>
        <v>40</v>
      </c>
      <c r="K227" s="112" t="str">
        <f>UST!AA5</f>
        <v>/</v>
      </c>
      <c r="L227" s="153" t="str">
        <f>IFERROR(UST!AI5/UST!AB5,"新科目")</f>
        <v>新科目</v>
      </c>
      <c r="M227" s="112">
        <f>'入學要求'!S214</f>
        <v>0</v>
      </c>
      <c r="N227" s="112"/>
      <c r="O227" s="112"/>
      <c r="P227" s="112"/>
      <c r="Q227" s="112"/>
      <c r="R227" s="112"/>
      <c r="S227" s="112"/>
      <c r="T227" s="112"/>
      <c r="U227" s="112"/>
      <c r="V227" s="112"/>
      <c r="W227" s="112"/>
      <c r="X227" s="112"/>
      <c r="Y227" s="112"/>
      <c r="Z227" s="112"/>
      <c r="AA227" s="112"/>
      <c r="AB227" s="112"/>
    </row>
    <row r="228" ht="15.75" customHeight="1">
      <c r="A228" s="112" t="str">
        <f>UST!A6</f>
        <v>JS5200</v>
      </c>
      <c r="B228" s="112" t="s">
        <v>178</v>
      </c>
      <c r="C228" s="112" t="str">
        <f>UST!C6</f>
        <v>工程學</v>
      </c>
      <c r="D228" s="112" t="str">
        <f>UST!D6</f>
        <v>ENGG</v>
      </c>
      <c r="E228" s="112" t="str">
        <f>UST!E6</f>
        <v>英數Best3</v>
      </c>
      <c r="F228" s="128" t="s">
        <v>541</v>
      </c>
      <c r="G228" s="128">
        <f>UST!F6</f>
        <v>37</v>
      </c>
      <c r="H228" s="128">
        <f>UST!G6</f>
        <v>34.5</v>
      </c>
      <c r="I228" s="128">
        <f>'計分版'!D232</f>
        <v>0.00000000285</v>
      </c>
      <c r="J228" s="112">
        <f>UST!K6</f>
        <v>524</v>
      </c>
      <c r="K228" s="112">
        <f>UST!AA6</f>
        <v>488</v>
      </c>
      <c r="L228" s="153">
        <f>IFERROR(UST!AI6/UST!AB6,"新科目")</f>
        <v>3.119587629</v>
      </c>
      <c r="M228" s="112">
        <f>'入學要求'!S215</f>
        <v>0</v>
      </c>
      <c r="N228" s="112"/>
      <c r="O228" s="112"/>
      <c r="P228" s="112"/>
      <c r="Q228" s="112"/>
      <c r="R228" s="112"/>
      <c r="S228" s="112"/>
      <c r="T228" s="112"/>
      <c r="U228" s="112"/>
      <c r="V228" s="112"/>
      <c r="W228" s="112"/>
      <c r="X228" s="112"/>
      <c r="Y228" s="112"/>
      <c r="Z228" s="112"/>
      <c r="AA228" s="112"/>
      <c r="AB228" s="112"/>
    </row>
    <row r="229" ht="15.75" customHeight="1">
      <c r="A229" s="112" t="str">
        <f>UST!A7</f>
        <v>JS5211</v>
      </c>
      <c r="B229" s="112" t="s">
        <v>178</v>
      </c>
      <c r="C229" s="112" t="str">
        <f>UST!C7</f>
        <v>理學士（綜合系統與設計）</v>
      </c>
      <c r="D229" s="112" t="str">
        <f>UST!D7</f>
        <v>ISDN</v>
      </c>
      <c r="E229" s="112" t="str">
        <f>UST!E7</f>
        <v>英數Best3</v>
      </c>
      <c r="F229" s="128" t="s">
        <v>541</v>
      </c>
      <c r="G229" s="128">
        <f>UST!F7</f>
        <v>39</v>
      </c>
      <c r="H229" s="128">
        <f>UST!G7</f>
        <v>37</v>
      </c>
      <c r="I229" s="128">
        <f>'計分版'!D233</f>
        <v>0.0000000027</v>
      </c>
      <c r="J229" s="112">
        <f>UST!K7</f>
        <v>25</v>
      </c>
      <c r="K229" s="112">
        <f>UST!AA7</f>
        <v>10</v>
      </c>
      <c r="L229" s="153">
        <f>IFERROR(UST!AI7/UST!AB7,"新科目")</f>
        <v>3.1</v>
      </c>
      <c r="M229" s="112">
        <f>'入學要求'!S216</f>
        <v>0</v>
      </c>
      <c r="N229" s="112"/>
      <c r="O229" s="112"/>
      <c r="P229" s="112"/>
      <c r="Q229" s="112"/>
      <c r="R229" s="112"/>
      <c r="S229" s="112"/>
      <c r="T229" s="112"/>
      <c r="U229" s="112"/>
      <c r="V229" s="112"/>
      <c r="W229" s="112"/>
      <c r="X229" s="112"/>
      <c r="Y229" s="112"/>
      <c r="Z229" s="112"/>
      <c r="AA229" s="112"/>
      <c r="AB229" s="112"/>
    </row>
    <row r="230" ht="15.75" customHeight="1">
      <c r="A230" s="112" t="str">
        <f>UST!A8</f>
        <v>JS5282</v>
      </c>
      <c r="B230" s="112" t="s">
        <v>178</v>
      </c>
      <c r="C230" s="112" t="str">
        <f>UST!C8</f>
        <v>工程學– 延伸主修人工智能</v>
      </c>
      <c r="D230" s="112" t="str">
        <f>UST!D8</f>
        <v>ENGG+AI</v>
      </c>
      <c r="E230" s="112" t="str">
        <f>UST!E8</f>
        <v>英數Best3</v>
      </c>
      <c r="F230" s="128" t="s">
        <v>541</v>
      </c>
      <c r="G230" s="128" t="str">
        <f>UST!F8</f>
        <v>/</v>
      </c>
      <c r="H230" s="128" t="str">
        <f>UST!G8</f>
        <v>/</v>
      </c>
      <c r="I230" s="128">
        <f>'計分版'!D234</f>
        <v>0.00000000285</v>
      </c>
      <c r="J230" s="112">
        <f>UST!K8</f>
        <v>150</v>
      </c>
      <c r="K230" s="112" t="str">
        <f>UST!AA8</f>
        <v>/</v>
      </c>
      <c r="L230" s="153" t="str">
        <f>IFERROR(UST!AI8/UST!AB8,"新科目")</f>
        <v>新科目</v>
      </c>
      <c r="M230" s="112">
        <f>'入學要求'!S217</f>
        <v>0</v>
      </c>
      <c r="N230" s="112"/>
      <c r="O230" s="112"/>
      <c r="P230" s="112"/>
      <c r="Q230" s="112"/>
      <c r="R230" s="112"/>
      <c r="S230" s="112"/>
      <c r="T230" s="112"/>
      <c r="U230" s="112"/>
      <c r="V230" s="112"/>
      <c r="W230" s="112"/>
      <c r="X230" s="112"/>
      <c r="Y230" s="112"/>
      <c r="Z230" s="112"/>
      <c r="AA230" s="112"/>
      <c r="AB230" s="112"/>
    </row>
    <row r="231" ht="15.75" customHeight="1">
      <c r="A231" s="112" t="str">
        <f>UST!A9</f>
        <v>JS5300</v>
      </c>
      <c r="B231" s="112" t="s">
        <v>178</v>
      </c>
      <c r="C231" s="112" t="str">
        <f>UST!C9</f>
        <v>工商管理</v>
      </c>
      <c r="D231" s="112" t="str">
        <f>UST!D9</f>
        <v>B&amp;M</v>
      </c>
      <c r="E231" s="112" t="str">
        <f>UST!E9</f>
        <v>英數Best4</v>
      </c>
      <c r="F231" s="128" t="s">
        <v>541</v>
      </c>
      <c r="G231" s="128">
        <f>UST!F9</f>
        <v>35</v>
      </c>
      <c r="H231" s="128">
        <f>UST!G9</f>
        <v>34</v>
      </c>
      <c r="I231" s="128">
        <f>'計分版'!D235</f>
        <v>0.000000004</v>
      </c>
      <c r="J231" s="112">
        <f>UST!K9</f>
        <v>385</v>
      </c>
      <c r="K231" s="112">
        <f>UST!AA9</f>
        <v>295</v>
      </c>
      <c r="L231" s="153">
        <f>IFERROR(UST!AI9/UST!AB9,"新科目")</f>
        <v>3.518644068</v>
      </c>
      <c r="M231" s="112">
        <f>'入學要求'!S218</f>
        <v>0</v>
      </c>
      <c r="N231" s="112"/>
      <c r="O231" s="112"/>
      <c r="P231" s="112"/>
      <c r="Q231" s="112"/>
      <c r="R231" s="112"/>
      <c r="S231" s="112"/>
      <c r="T231" s="112"/>
      <c r="U231" s="112"/>
      <c r="V231" s="112"/>
      <c r="W231" s="112"/>
      <c r="X231" s="112"/>
      <c r="Y231" s="112"/>
      <c r="Z231" s="112"/>
      <c r="AA231" s="112"/>
      <c r="AB231" s="112"/>
    </row>
    <row r="232" ht="15.75" customHeight="1">
      <c r="A232" s="112" t="str">
        <f>UST!A10</f>
        <v>JS5311</v>
      </c>
      <c r="B232" s="112" t="s">
        <v>178</v>
      </c>
      <c r="C232" s="112" t="str">
        <f>UST!C10</f>
        <v>工商管理學士（經濟學）</v>
      </c>
      <c r="D232" s="112" t="str">
        <f>UST!D10</f>
        <v>ECON</v>
      </c>
      <c r="E232" s="112" t="str">
        <f>UST!E10</f>
        <v>英數Best4</v>
      </c>
      <c r="F232" s="128" t="s">
        <v>541</v>
      </c>
      <c r="G232" s="128">
        <f>UST!F10</f>
        <v>37</v>
      </c>
      <c r="H232" s="128">
        <f>UST!G10</f>
        <v>35</v>
      </c>
      <c r="I232" s="128">
        <f>'計分版'!D236</f>
        <v>0.000000004</v>
      </c>
      <c r="J232" s="112">
        <f>UST!K10</f>
        <v>125</v>
      </c>
      <c r="K232" s="112">
        <f>UST!AA10</f>
        <v>15</v>
      </c>
      <c r="L232" s="153">
        <f>IFERROR(UST!AI10/UST!AB10,"新科目")</f>
        <v>4.333333333</v>
      </c>
      <c r="M232" s="112">
        <f>'入學要求'!S219</f>
        <v>0</v>
      </c>
      <c r="N232" s="112"/>
      <c r="O232" s="112"/>
      <c r="P232" s="112"/>
      <c r="Q232" s="112"/>
      <c r="R232" s="112"/>
      <c r="S232" s="112"/>
      <c r="T232" s="112"/>
      <c r="U232" s="112"/>
      <c r="V232" s="112"/>
      <c r="W232" s="112"/>
      <c r="X232" s="112"/>
      <c r="Y232" s="112"/>
      <c r="Z232" s="112"/>
      <c r="AA232" s="112"/>
      <c r="AB232" s="112"/>
    </row>
    <row r="233" ht="15.75" customHeight="1">
      <c r="A233" s="112" t="str">
        <f>UST!A11</f>
        <v>JS5312</v>
      </c>
      <c r="B233" s="112" t="s">
        <v>178</v>
      </c>
      <c r="C233" s="112" t="str">
        <f>UST!C11</f>
        <v>工商管理學士（金融學）</v>
      </c>
      <c r="D233" s="112" t="str">
        <f>UST!D11</f>
        <v>FINA</v>
      </c>
      <c r="E233" s="112" t="str">
        <f>UST!E11</f>
        <v>英數Best4</v>
      </c>
      <c r="F233" s="128" t="s">
        <v>541</v>
      </c>
      <c r="G233" s="128">
        <f>UST!F11</f>
        <v>44</v>
      </c>
      <c r="H233" s="128">
        <f>UST!G11</f>
        <v>43</v>
      </c>
      <c r="I233" s="128">
        <f>'計分版'!D237</f>
        <v>0.00000000415</v>
      </c>
      <c r="J233" s="112">
        <f>UST!K11</f>
        <v>30</v>
      </c>
      <c r="K233" s="112">
        <f>UST!AA11</f>
        <v>45</v>
      </c>
      <c r="L233" s="153">
        <f>IFERROR(UST!AI11/UST!AB11,"新科目")</f>
        <v>2.555555556</v>
      </c>
      <c r="M233" s="112">
        <f>'入學要求'!S220</f>
        <v>0</v>
      </c>
      <c r="N233" s="112"/>
      <c r="O233" s="112"/>
      <c r="P233" s="112"/>
      <c r="Q233" s="112"/>
      <c r="R233" s="112"/>
      <c r="S233" s="112"/>
      <c r="T233" s="112"/>
      <c r="U233" s="112"/>
      <c r="V233" s="112"/>
      <c r="W233" s="112"/>
      <c r="X233" s="112"/>
      <c r="Y233" s="112"/>
      <c r="Z233" s="112"/>
      <c r="AA233" s="112"/>
      <c r="AB233" s="112"/>
    </row>
    <row r="234" ht="15.75" customHeight="1">
      <c r="A234" s="112" t="str">
        <f>UST!A12</f>
        <v>JS5313</v>
      </c>
      <c r="B234" s="112" t="s">
        <v>178</v>
      </c>
      <c r="C234" s="112" t="str">
        <f>UST!C12</f>
        <v>工商管理學士（環球商業管理）</v>
      </c>
      <c r="D234" s="112" t="str">
        <f>UST!D12</f>
        <v>GBUS</v>
      </c>
      <c r="E234" s="112" t="str">
        <f>UST!E12</f>
        <v>英數Best4</v>
      </c>
      <c r="F234" s="128" t="s">
        <v>541</v>
      </c>
      <c r="G234" s="128">
        <f>UST!F12</f>
        <v>49</v>
      </c>
      <c r="H234" s="128">
        <f>UST!G12</f>
        <v>47</v>
      </c>
      <c r="I234" s="128">
        <f>'計分版'!D238</f>
        <v>0.000000004</v>
      </c>
      <c r="J234" s="112">
        <f>UST!K12</f>
        <v>26</v>
      </c>
      <c r="K234" s="112">
        <f>UST!AA12</f>
        <v>20</v>
      </c>
      <c r="L234" s="153">
        <f>IFERROR(UST!AI12/UST!AB12,"新科目")</f>
        <v>3.65</v>
      </c>
      <c r="M234" s="112">
        <f>'入學要求'!S221</f>
        <v>0</v>
      </c>
      <c r="N234" s="112"/>
      <c r="O234" s="112"/>
      <c r="P234" s="112"/>
      <c r="Q234" s="112"/>
      <c r="R234" s="112"/>
      <c r="S234" s="112"/>
      <c r="T234" s="112"/>
      <c r="U234" s="112"/>
      <c r="V234" s="112"/>
      <c r="W234" s="112"/>
      <c r="X234" s="112"/>
      <c r="Y234" s="112"/>
      <c r="Z234" s="112"/>
      <c r="AA234" s="112"/>
      <c r="AB234" s="112"/>
    </row>
    <row r="235" ht="15.75" customHeight="1">
      <c r="A235" s="112" t="str">
        <f>UST!A13</f>
        <v>JS5314</v>
      </c>
      <c r="B235" s="112" t="s">
        <v>178</v>
      </c>
      <c r="C235" s="112" t="str">
        <f>UST!C13</f>
        <v>工商管理學士（資訊系統學）</v>
      </c>
      <c r="D235" s="112" t="str">
        <f>UST!D13</f>
        <v>IS</v>
      </c>
      <c r="E235" s="112" t="str">
        <f>UST!E13</f>
        <v>英數Best4</v>
      </c>
      <c r="F235" s="128" t="s">
        <v>541</v>
      </c>
      <c r="G235" s="128">
        <f>UST!F13</f>
        <v>39</v>
      </c>
      <c r="H235" s="128">
        <f>UST!G13</f>
        <v>36</v>
      </c>
      <c r="I235" s="128">
        <f>'計分版'!D239</f>
        <v>0.000000004</v>
      </c>
      <c r="J235" s="112" t="str">
        <f>UST!K13</f>
        <v>125*</v>
      </c>
      <c r="K235" s="112">
        <f>UST!AA13</f>
        <v>32</v>
      </c>
      <c r="L235" s="153">
        <f>IFERROR(UST!AI13/UST!AB13,"新科目")</f>
        <v>3.3125</v>
      </c>
      <c r="M235" s="112">
        <f>'入學要求'!S222</f>
        <v>0</v>
      </c>
      <c r="N235" s="112"/>
      <c r="O235" s="112"/>
      <c r="P235" s="112"/>
      <c r="Q235" s="112"/>
      <c r="R235" s="112"/>
      <c r="S235" s="112"/>
      <c r="T235" s="112"/>
      <c r="U235" s="112"/>
      <c r="V235" s="112"/>
      <c r="W235" s="112"/>
      <c r="X235" s="112"/>
      <c r="Y235" s="112"/>
      <c r="Z235" s="112"/>
      <c r="AA235" s="112"/>
      <c r="AB235" s="112"/>
    </row>
    <row r="236" ht="15.75" customHeight="1">
      <c r="A236" s="112" t="str">
        <f>UST!A14</f>
        <v>JS5315</v>
      </c>
      <c r="B236" s="112" t="s">
        <v>178</v>
      </c>
      <c r="C236" s="112" t="str">
        <f>UST!C14</f>
        <v>工商管理學士（管理學）</v>
      </c>
      <c r="D236" s="112" t="str">
        <f>UST!D14</f>
        <v>MGMT</v>
      </c>
      <c r="E236" s="112" t="str">
        <f>UST!E14</f>
        <v>英數Best4</v>
      </c>
      <c r="F236" s="128" t="s">
        <v>541</v>
      </c>
      <c r="G236" s="128">
        <f>UST!F14</f>
        <v>37</v>
      </c>
      <c r="H236" s="128">
        <f>UST!G14</f>
        <v>35</v>
      </c>
      <c r="I236" s="128">
        <f>'計分版'!D240</f>
        <v>0.000000004</v>
      </c>
      <c r="J236" s="112" t="str">
        <f>UST!K13</f>
        <v>125*</v>
      </c>
      <c r="K236" s="112">
        <f>UST!AA14</f>
        <v>10</v>
      </c>
      <c r="L236" s="153">
        <f>IFERROR(UST!AI14/UST!AB14,"新科目")</f>
        <v>8.2</v>
      </c>
      <c r="M236" s="112">
        <f>'入學要求'!S223</f>
        <v>0</v>
      </c>
      <c r="N236" s="112"/>
      <c r="O236" s="112"/>
      <c r="P236" s="112"/>
      <c r="Q236" s="112"/>
      <c r="R236" s="112"/>
      <c r="S236" s="112"/>
      <c r="T236" s="112"/>
      <c r="U236" s="112"/>
      <c r="V236" s="112"/>
      <c r="W236" s="112"/>
      <c r="X236" s="112"/>
      <c r="Y236" s="112"/>
      <c r="Z236" s="112"/>
      <c r="AA236" s="112"/>
      <c r="AB236" s="112"/>
    </row>
    <row r="237" ht="15.75" customHeight="1">
      <c r="A237" s="112" t="str">
        <f>UST!A15</f>
        <v>JS5316</v>
      </c>
      <c r="B237" s="112" t="s">
        <v>178</v>
      </c>
      <c r="C237" s="112" t="str">
        <f>UST!C15</f>
        <v>工商管理學士（市場學）</v>
      </c>
      <c r="D237" s="112" t="str">
        <f>UST!D15</f>
        <v>MARK</v>
      </c>
      <c r="E237" s="112" t="str">
        <f>UST!E15</f>
        <v>英數Best4</v>
      </c>
      <c r="F237" s="128" t="s">
        <v>541</v>
      </c>
      <c r="G237" s="128">
        <f>UST!F15</f>
        <v>36</v>
      </c>
      <c r="H237" s="128">
        <f>UST!G15</f>
        <v>35</v>
      </c>
      <c r="I237" s="128">
        <f>'計分版'!D241</f>
        <v>0.000000004</v>
      </c>
      <c r="J237" s="112" t="str">
        <f>UST!K13</f>
        <v>125*</v>
      </c>
      <c r="K237" s="112">
        <f>UST!AA15</f>
        <v>17</v>
      </c>
      <c r="L237" s="153">
        <f>IFERROR(UST!AI15/UST!AB15,"新科目")</f>
        <v>7.882352941</v>
      </c>
      <c r="M237" s="112">
        <f>'入學要求'!S224</f>
        <v>0</v>
      </c>
      <c r="N237" s="112"/>
      <c r="O237" s="112"/>
      <c r="P237" s="112"/>
      <c r="Q237" s="112"/>
      <c r="R237" s="112"/>
      <c r="S237" s="112"/>
      <c r="T237" s="112"/>
      <c r="U237" s="112"/>
      <c r="V237" s="112"/>
      <c r="W237" s="112"/>
      <c r="X237" s="112"/>
      <c r="Y237" s="112"/>
      <c r="Z237" s="112"/>
      <c r="AA237" s="112"/>
      <c r="AB237" s="112"/>
    </row>
    <row r="238" ht="15.75" customHeight="1">
      <c r="A238" s="112" t="str">
        <f>UST!A16</f>
        <v>JS5317</v>
      </c>
      <c r="B238" s="112" t="s">
        <v>178</v>
      </c>
      <c r="C238" s="112" t="str">
        <f>UST!C16</f>
        <v>工商管理學士（營運管理學）</v>
      </c>
      <c r="D238" s="112" t="str">
        <f>UST!D16</f>
        <v>OM</v>
      </c>
      <c r="E238" s="112" t="str">
        <f>UST!E16</f>
        <v>英數Best4</v>
      </c>
      <c r="F238" s="128" t="s">
        <v>541</v>
      </c>
      <c r="G238" s="128" t="str">
        <f>UST!F16</f>
        <v>/</v>
      </c>
      <c r="H238" s="128" t="str">
        <f>UST!G16</f>
        <v>/</v>
      </c>
      <c r="I238" s="128">
        <f>'計分版'!D242</f>
        <v>0.000000004</v>
      </c>
      <c r="J238" s="112" t="str">
        <f>UST!K13</f>
        <v>125*</v>
      </c>
      <c r="K238" s="112">
        <f>UST!AA16</f>
        <v>3</v>
      </c>
      <c r="L238" s="153">
        <f>IFERROR(UST!AI16/UST!AB16,"新科目")</f>
        <v>15</v>
      </c>
      <c r="M238" s="112">
        <f>'入學要求'!S225</f>
        <v>0</v>
      </c>
      <c r="N238" s="112"/>
      <c r="O238" s="112"/>
      <c r="P238" s="112"/>
      <c r="Q238" s="112"/>
      <c r="R238" s="112"/>
      <c r="S238" s="112"/>
      <c r="T238" s="112"/>
      <c r="U238" s="112"/>
      <c r="V238" s="112"/>
      <c r="W238" s="112"/>
      <c r="X238" s="112"/>
      <c r="Y238" s="112"/>
      <c r="Z238" s="112"/>
      <c r="AA238" s="112"/>
      <c r="AB238" s="112"/>
    </row>
    <row r="239" ht="15.75" customHeight="1">
      <c r="A239" s="112" t="str">
        <f>UST!A17</f>
        <v>JS5318</v>
      </c>
      <c r="B239" s="112" t="s">
        <v>178</v>
      </c>
      <c r="C239" s="112" t="str">
        <f>UST!C17</f>
        <v>工商管理學士（專業會計學）</v>
      </c>
      <c r="D239" s="112" t="str">
        <f>UST!D17</f>
        <v>ACCT</v>
      </c>
      <c r="E239" s="112" t="str">
        <f>UST!E17</f>
        <v>英數Best4</v>
      </c>
      <c r="F239" s="128" t="s">
        <v>541</v>
      </c>
      <c r="G239" s="128">
        <f>UST!F17</f>
        <v>37</v>
      </c>
      <c r="H239" s="128">
        <f>UST!G17</f>
        <v>36</v>
      </c>
      <c r="I239" s="128">
        <f>'計分版'!D243</f>
        <v>0.000000004</v>
      </c>
      <c r="J239" s="112">
        <f>UST!K17</f>
        <v>60</v>
      </c>
      <c r="K239" s="112">
        <f>UST!AA17</f>
        <v>55</v>
      </c>
      <c r="L239" s="153">
        <f>IFERROR(UST!AI17/UST!AB17,"新科目")</f>
        <v>4.163636364</v>
      </c>
      <c r="M239" s="112">
        <f>'入學要求'!S226</f>
        <v>0</v>
      </c>
      <c r="N239" s="112"/>
      <c r="O239" s="112"/>
      <c r="P239" s="112"/>
      <c r="Q239" s="112"/>
      <c r="R239" s="112"/>
      <c r="S239" s="112"/>
      <c r="T239" s="112"/>
      <c r="U239" s="112"/>
      <c r="V239" s="112"/>
      <c r="W239" s="112"/>
      <c r="X239" s="112"/>
      <c r="Y239" s="112"/>
      <c r="Z239" s="112"/>
      <c r="AA239" s="112"/>
      <c r="AB239" s="112"/>
    </row>
    <row r="240" ht="15.75" customHeight="1">
      <c r="A240" s="112" t="str">
        <f>UST!A18</f>
        <v>JS5331</v>
      </c>
      <c r="B240" s="112" t="s">
        <v>178</v>
      </c>
      <c r="C240" s="112" t="str">
        <f>UST!C18</f>
        <v>理學士（經濟及金融學）</v>
      </c>
      <c r="D240" s="112" t="str">
        <f>UST!D18</f>
        <v>ECOF</v>
      </c>
      <c r="E240" s="112" t="str">
        <f>UST!E18</f>
        <v>英數Best4</v>
      </c>
      <c r="F240" s="128" t="s">
        <v>541</v>
      </c>
      <c r="G240" s="128">
        <f>UST!F18</f>
        <v>46</v>
      </c>
      <c r="H240" s="128">
        <f>UST!G18</f>
        <v>45</v>
      </c>
      <c r="I240" s="128">
        <f>'計分版'!D244</f>
        <v>0.00000000415</v>
      </c>
      <c r="J240" s="112">
        <f>UST!K18</f>
        <v>26</v>
      </c>
      <c r="K240" s="112">
        <f>UST!AA18</f>
        <v>27</v>
      </c>
      <c r="L240" s="153">
        <f>IFERROR(UST!AI18/UST!AB18,"新科目")</f>
        <v>2.666666667</v>
      </c>
      <c r="M240" s="112">
        <f>'入學要求'!S227</f>
        <v>0</v>
      </c>
      <c r="N240" s="112"/>
      <c r="O240" s="112"/>
      <c r="P240" s="112"/>
      <c r="Q240" s="112"/>
      <c r="R240" s="112"/>
      <c r="S240" s="112"/>
      <c r="T240" s="112"/>
      <c r="U240" s="112"/>
      <c r="V240" s="112"/>
      <c r="W240" s="112"/>
      <c r="X240" s="112"/>
      <c r="Y240" s="112"/>
      <c r="Z240" s="112"/>
      <c r="AA240" s="112"/>
      <c r="AB240" s="112"/>
    </row>
    <row r="241" ht="15.75" customHeight="1">
      <c r="A241" s="112" t="str">
        <f>UST!A19</f>
        <v>JS5332</v>
      </c>
      <c r="B241" s="112" t="s">
        <v>178</v>
      </c>
      <c r="C241" s="112" t="str">
        <f>UST!C19</f>
        <v>理學士（量化金融學）</v>
      </c>
      <c r="D241" s="112" t="str">
        <f>UST!D19</f>
        <v>QFIN</v>
      </c>
      <c r="E241" s="112" t="str">
        <f>UST!E19</f>
        <v>英數Best4</v>
      </c>
      <c r="F241" s="128" t="s">
        <v>541</v>
      </c>
      <c r="G241" s="128">
        <f>UST!F19</f>
        <v>52</v>
      </c>
      <c r="H241" s="128">
        <f>UST!G19</f>
        <v>51</v>
      </c>
      <c r="I241" s="128">
        <f>'計分版'!D245</f>
        <v>0.00000000415</v>
      </c>
      <c r="J241" s="112">
        <f>UST!K19</f>
        <v>20</v>
      </c>
      <c r="K241" s="112">
        <f>UST!AA19</f>
        <v>20</v>
      </c>
      <c r="L241" s="153">
        <f>IFERROR(UST!AI19/UST!AB19,"新科目")</f>
        <v>3.4</v>
      </c>
      <c r="M241" s="112">
        <f>'入學要求'!S228</f>
        <v>0</v>
      </c>
      <c r="N241" s="112"/>
      <c r="O241" s="112"/>
      <c r="P241" s="112"/>
      <c r="Q241" s="112"/>
      <c r="R241" s="112"/>
      <c r="S241" s="112"/>
      <c r="T241" s="112"/>
      <c r="U241" s="112"/>
      <c r="V241" s="112"/>
      <c r="W241" s="112"/>
      <c r="X241" s="112"/>
      <c r="Y241" s="112"/>
      <c r="Z241" s="112"/>
      <c r="AA241" s="112"/>
      <c r="AB241" s="112"/>
    </row>
    <row r="242" ht="15.75" customHeight="1">
      <c r="A242" s="112" t="str">
        <f>UST!A20</f>
        <v>JS5411</v>
      </c>
      <c r="B242" s="112" t="s">
        <v>178</v>
      </c>
      <c r="C242" s="112" t="str">
        <f>UST!C20</f>
        <v>理學士（環球中國研究）</v>
      </c>
      <c r="D242" s="112" t="str">
        <f>UST!D20</f>
        <v>GCS</v>
      </c>
      <c r="E242" s="112" t="str">
        <f>UST!E20</f>
        <v>中英Best4</v>
      </c>
      <c r="F242" s="128" t="s">
        <v>541</v>
      </c>
      <c r="G242" s="128">
        <f>UST!F20</f>
        <v>31</v>
      </c>
      <c r="H242" s="128">
        <f>UST!G20</f>
        <v>30</v>
      </c>
      <c r="I242" s="128">
        <f>'計分版'!D246</f>
        <v>0.00000000355</v>
      </c>
      <c r="J242" s="112">
        <f>UST!K20</f>
        <v>50</v>
      </c>
      <c r="K242" s="112">
        <f>UST!AA20</f>
        <v>42</v>
      </c>
      <c r="L242" s="153">
        <f>IFERROR(UST!AI20/UST!AB20,"新科目")</f>
        <v>2.609756098</v>
      </c>
      <c r="M242" s="112">
        <f>'入學要求'!S229</f>
        <v>0</v>
      </c>
      <c r="N242" s="112"/>
      <c r="O242" s="112"/>
      <c r="P242" s="112"/>
      <c r="Q242" s="112"/>
      <c r="R242" s="112"/>
      <c r="S242" s="112"/>
      <c r="T242" s="112"/>
      <c r="U242" s="112"/>
      <c r="V242" s="112"/>
      <c r="W242" s="112"/>
      <c r="X242" s="112"/>
      <c r="Y242" s="112"/>
      <c r="Z242" s="112"/>
      <c r="AA242" s="112"/>
      <c r="AB242" s="112"/>
    </row>
    <row r="243" ht="15.75" customHeight="1">
      <c r="A243" s="112" t="str">
        <f>UST!A21</f>
        <v>JS5412</v>
      </c>
      <c r="B243" s="112" t="s">
        <v>178</v>
      </c>
      <c r="C243" s="112" t="str">
        <f>UST!C21</f>
        <v>理學士（定量社會數據分析）</v>
      </c>
      <c r="D243" s="112" t="str">
        <f>UST!D21</f>
        <v>QSA</v>
      </c>
      <c r="E243" s="112" t="str">
        <f>UST!E21</f>
        <v>英數Best4</v>
      </c>
      <c r="F243" s="128" t="s">
        <v>541</v>
      </c>
      <c r="G243" s="128">
        <f>UST!F21</f>
        <v>35</v>
      </c>
      <c r="H243" s="128">
        <f>UST!G21</f>
        <v>34</v>
      </c>
      <c r="I243" s="128">
        <f>'計分版'!D247</f>
        <v>0.00000000415</v>
      </c>
      <c r="J243" s="112">
        <f>UST!K21</f>
        <v>28</v>
      </c>
      <c r="K243" s="112">
        <f>UST!AA21</f>
        <v>18</v>
      </c>
      <c r="L243" s="153">
        <f>IFERROR(UST!AI21/UST!AB21,"新科目")</f>
        <v>3.235294118</v>
      </c>
      <c r="M243" s="112">
        <f>'入學要求'!S230</f>
        <v>0</v>
      </c>
      <c r="N243" s="112"/>
      <c r="O243" s="112"/>
      <c r="P243" s="112"/>
      <c r="Q243" s="112"/>
      <c r="R243" s="112"/>
      <c r="S243" s="112"/>
      <c r="T243" s="112"/>
      <c r="U243" s="112"/>
      <c r="V243" s="112"/>
      <c r="W243" s="112"/>
      <c r="X243" s="112"/>
      <c r="Y243" s="112"/>
      <c r="Z243" s="112"/>
      <c r="AA243" s="112"/>
      <c r="AB243" s="112"/>
    </row>
    <row r="244" ht="15.75" customHeight="1">
      <c r="A244" s="112" t="str">
        <f>UST!A22</f>
        <v>JS5811</v>
      </c>
      <c r="B244" s="112" t="s">
        <v>178</v>
      </c>
      <c r="C244" s="112" t="str">
        <f>UST!C22</f>
        <v>理學士（生物科技及商學）</v>
      </c>
      <c r="D244" s="112" t="str">
        <f>UST!D22</f>
        <v>BIBU</v>
      </c>
      <c r="E244" s="112" t="str">
        <f>UST!E22</f>
        <v>英數Best4</v>
      </c>
      <c r="F244" s="128" t="s">
        <v>541</v>
      </c>
      <c r="G244" s="128">
        <f>UST!F22</f>
        <v>42.5</v>
      </c>
      <c r="H244" s="128">
        <f>UST!G22</f>
        <v>41.5</v>
      </c>
      <c r="I244" s="128">
        <f>'計分版'!D248</f>
        <v>0.000000002</v>
      </c>
      <c r="J244" s="112">
        <f>UST!K22</f>
        <v>26</v>
      </c>
      <c r="K244" s="112">
        <f>UST!AA22</f>
        <v>19</v>
      </c>
      <c r="L244" s="153">
        <f>IFERROR(UST!AI22/UST!AB22,"新科目")</f>
        <v>3.368421053</v>
      </c>
      <c r="M244" s="112">
        <f>'入學要求'!S231</f>
        <v>0</v>
      </c>
      <c r="N244" s="112"/>
      <c r="O244" s="112"/>
      <c r="P244" s="112"/>
      <c r="Q244" s="112"/>
      <c r="R244" s="112"/>
      <c r="S244" s="112"/>
      <c r="T244" s="112"/>
      <c r="U244" s="112"/>
      <c r="V244" s="112"/>
      <c r="W244" s="112"/>
      <c r="X244" s="112"/>
      <c r="Y244" s="112"/>
      <c r="Z244" s="112"/>
      <c r="AA244" s="112"/>
      <c r="AB244" s="112"/>
    </row>
    <row r="245" ht="15.75" customHeight="1">
      <c r="A245" s="112" t="str">
        <f>UST!A23</f>
        <v>JS5812</v>
      </c>
      <c r="B245" s="112" t="s">
        <v>178</v>
      </c>
      <c r="C245" s="112" t="str">
        <f>UST!C23</f>
        <v>理學士（環境管理及科技）</v>
      </c>
      <c r="D245" s="112" t="str">
        <f>UST!D23</f>
        <v>EVMT</v>
      </c>
      <c r="E245" s="112" t="str">
        <f>UST!E23</f>
        <v>英數Best4</v>
      </c>
      <c r="F245" s="128" t="s">
        <v>541</v>
      </c>
      <c r="G245" s="128">
        <f>UST!F23</f>
        <v>36</v>
      </c>
      <c r="H245" s="128">
        <f>UST!G23</f>
        <v>35</v>
      </c>
      <c r="I245" s="128">
        <f>'計分版'!D249</f>
        <v>0.000000004</v>
      </c>
      <c r="J245" s="112">
        <f>UST!K23</f>
        <v>15</v>
      </c>
      <c r="K245" s="112">
        <f>UST!AA23</f>
        <v>13</v>
      </c>
      <c r="L245" s="153">
        <f>IFERROR(UST!AI23/UST!AB23,"新科目")</f>
        <v>3.615384615</v>
      </c>
      <c r="M245" s="112">
        <f>'入學要求'!S232</f>
        <v>0</v>
      </c>
      <c r="N245" s="112"/>
      <c r="O245" s="112"/>
      <c r="P245" s="112"/>
      <c r="Q245" s="112"/>
      <c r="R245" s="112"/>
      <c r="S245" s="112"/>
      <c r="T245" s="112"/>
      <c r="U245" s="112"/>
      <c r="V245" s="112"/>
      <c r="W245" s="112"/>
      <c r="X245" s="112"/>
      <c r="Y245" s="112"/>
      <c r="Z245" s="112"/>
      <c r="AA245" s="112"/>
      <c r="AB245" s="112"/>
    </row>
    <row r="246" ht="15.75" customHeight="1">
      <c r="A246" s="112" t="str">
        <f>UST!A24</f>
        <v>JS5813</v>
      </c>
      <c r="B246" s="112" t="s">
        <v>178</v>
      </c>
      <c r="C246" s="112" t="str">
        <f>UST!C24</f>
        <v>理學士（數學與經濟學）</v>
      </c>
      <c r="D246" s="112" t="str">
        <f>UST!D24</f>
        <v>MAEC</v>
      </c>
      <c r="E246" s="112" t="str">
        <f>UST!E24</f>
        <v>英數Best4</v>
      </c>
      <c r="F246" s="128" t="s">
        <v>541</v>
      </c>
      <c r="G246" s="128">
        <f>UST!F24</f>
        <v>45</v>
      </c>
      <c r="H246" s="128">
        <f>UST!G24</f>
        <v>44</v>
      </c>
      <c r="I246" s="128">
        <f>'計分版'!D250</f>
        <v>0.0000000044</v>
      </c>
      <c r="J246" s="112">
        <f>UST!K24</f>
        <v>15</v>
      </c>
      <c r="K246" s="112">
        <f>UST!AA24</f>
        <v>15</v>
      </c>
      <c r="L246" s="153">
        <f>IFERROR(UST!AI24/UST!AB24,"新科目")</f>
        <v>4.133333333</v>
      </c>
      <c r="M246" s="112">
        <f>'入學要求'!S233</f>
        <v>0</v>
      </c>
      <c r="N246" s="112"/>
      <c r="O246" s="112"/>
      <c r="P246" s="112"/>
      <c r="Q246" s="112"/>
      <c r="R246" s="112"/>
      <c r="S246" s="112"/>
      <c r="T246" s="112"/>
      <c r="U246" s="112"/>
      <c r="V246" s="112"/>
      <c r="W246" s="112"/>
      <c r="X246" s="112"/>
      <c r="Y246" s="112"/>
      <c r="Z246" s="112"/>
      <c r="AA246" s="112"/>
      <c r="AB246" s="112"/>
    </row>
    <row r="247" ht="15.75" customHeight="1">
      <c r="A247" s="112" t="str">
        <f>UST!A25</f>
        <v>JS5814</v>
      </c>
      <c r="B247" s="112" t="s">
        <v>178</v>
      </c>
      <c r="C247" s="112" t="str">
        <f>UST!C25</f>
        <v>理學士（風險管理及商業智能學）</v>
      </c>
      <c r="D247" s="112" t="str">
        <f>UST!D25</f>
        <v>RMBI</v>
      </c>
      <c r="E247" s="112" t="str">
        <f>UST!E25</f>
        <v>英數Best4</v>
      </c>
      <c r="F247" s="128" t="s">
        <v>541</v>
      </c>
      <c r="G247" s="128">
        <f>UST!F25</f>
        <v>45</v>
      </c>
      <c r="H247" s="128">
        <f>UST!G25</f>
        <v>44</v>
      </c>
      <c r="I247" s="128">
        <f>'計分版'!D251</f>
        <v>0.00000000415</v>
      </c>
      <c r="J247" s="112">
        <f>UST!K25</f>
        <v>23</v>
      </c>
      <c r="K247" s="112">
        <f>UST!AA25</f>
        <v>22</v>
      </c>
      <c r="L247" s="153">
        <f>IFERROR(UST!AI25/UST!AB25,"新科目")</f>
        <v>2.863636364</v>
      </c>
      <c r="M247" s="112">
        <f>'入學要求'!S234</f>
        <v>0</v>
      </c>
      <c r="N247" s="112"/>
      <c r="O247" s="112"/>
      <c r="P247" s="112"/>
      <c r="Q247" s="112"/>
      <c r="R247" s="112"/>
      <c r="S247" s="112"/>
      <c r="T247" s="112"/>
      <c r="U247" s="112"/>
      <c r="V247" s="112"/>
      <c r="W247" s="112"/>
      <c r="X247" s="112"/>
      <c r="Y247" s="112"/>
      <c r="Z247" s="112"/>
      <c r="AA247" s="112"/>
      <c r="AB247" s="112"/>
    </row>
    <row r="248" ht="15.75" customHeight="1">
      <c r="A248" s="112" t="str">
        <f>UST!A26</f>
        <v>JS5901</v>
      </c>
      <c r="B248" s="112" t="s">
        <v>178</v>
      </c>
      <c r="C248" s="112" t="str">
        <f>UST!C26</f>
        <v>科技及管理學雙學位課程</v>
      </c>
      <c r="D248" s="112" t="str">
        <f>UST!D26</f>
        <v>T&amp;M-DDP</v>
      </c>
      <c r="E248" s="112" t="str">
        <f>UST!E26</f>
        <v>英數Best4</v>
      </c>
      <c r="F248" s="128" t="s">
        <v>541</v>
      </c>
      <c r="G248" s="128">
        <f>UST!F26</f>
        <v>57</v>
      </c>
      <c r="H248" s="128">
        <f>UST!G26</f>
        <v>54.5</v>
      </c>
      <c r="I248" s="128">
        <f>'計分版'!D252</f>
        <v>0.00000000345</v>
      </c>
      <c r="J248" s="112">
        <f>UST!K26</f>
        <v>21</v>
      </c>
      <c r="K248" s="112">
        <f>UST!AA26</f>
        <v>20</v>
      </c>
      <c r="L248" s="153">
        <f>IFERROR(UST!AI26/UST!AB26,"新科目")</f>
        <v>3.2</v>
      </c>
      <c r="M248" s="112">
        <f>'入學要求'!S235</f>
        <v>0</v>
      </c>
      <c r="N248" s="112"/>
      <c r="O248" s="112"/>
      <c r="P248" s="112"/>
      <c r="Q248" s="112"/>
      <c r="R248" s="112"/>
      <c r="S248" s="112"/>
      <c r="T248" s="112"/>
      <c r="U248" s="112"/>
      <c r="V248" s="112"/>
      <c r="W248" s="112"/>
      <c r="X248" s="112"/>
      <c r="Y248" s="112"/>
      <c r="Z248" s="112"/>
      <c r="AA248" s="112"/>
      <c r="AB248" s="112"/>
    </row>
    <row r="249" ht="15.75" customHeight="1">
      <c r="A249" s="112"/>
      <c r="B249" s="112"/>
      <c r="C249" s="112"/>
      <c r="D249" s="112"/>
      <c r="E249" s="125"/>
      <c r="F249" s="128"/>
      <c r="G249" s="128"/>
      <c r="H249" s="128"/>
      <c r="I249" s="128"/>
      <c r="J249" s="112"/>
      <c r="K249" s="112"/>
      <c r="L249" s="153"/>
      <c r="M249" s="112"/>
      <c r="N249" s="112"/>
      <c r="O249" s="112"/>
      <c r="P249" s="112"/>
      <c r="Q249" s="112"/>
      <c r="R249" s="112"/>
      <c r="S249" s="112"/>
      <c r="T249" s="112"/>
      <c r="U249" s="112"/>
      <c r="V249" s="112"/>
      <c r="W249" s="112"/>
      <c r="X249" s="112"/>
      <c r="Y249" s="112"/>
      <c r="Z249" s="112"/>
      <c r="AA249" s="112"/>
      <c r="AB249" s="112"/>
    </row>
    <row r="250" ht="15.75" customHeight="1">
      <c r="A250" s="112"/>
      <c r="B250" s="112"/>
      <c r="C250" s="112"/>
      <c r="D250" s="112" t="s">
        <v>954</v>
      </c>
      <c r="E250" s="125"/>
      <c r="F250" s="128" t="s">
        <v>45</v>
      </c>
      <c r="G250" s="128" t="s">
        <v>46</v>
      </c>
      <c r="H250" s="128" t="s">
        <v>47</v>
      </c>
      <c r="I250" s="128" t="s">
        <v>172</v>
      </c>
      <c r="J250" s="112"/>
      <c r="K250" s="112"/>
      <c r="L250" s="153"/>
      <c r="M250" s="112"/>
      <c r="N250" s="112"/>
      <c r="O250" s="112"/>
      <c r="P250" s="112"/>
      <c r="Q250" s="112"/>
      <c r="R250" s="112"/>
      <c r="S250" s="112"/>
      <c r="T250" s="112"/>
      <c r="U250" s="112"/>
      <c r="V250" s="112"/>
      <c r="W250" s="112"/>
      <c r="X250" s="112"/>
      <c r="Y250" s="112"/>
      <c r="Z250" s="112"/>
      <c r="AA250" s="112"/>
      <c r="AB250" s="112"/>
    </row>
    <row r="251" ht="15.75" customHeight="1">
      <c r="A251" s="112" t="str">
        <f>HKU!A2</f>
        <v>JS6004</v>
      </c>
      <c r="B251" s="112" t="s">
        <v>179</v>
      </c>
      <c r="C251" s="112" t="str">
        <f>HKU!C2</f>
        <v>建築學文學士</v>
      </c>
      <c r="D251" s="112" t="str">
        <f>HKU!D2</f>
        <v>BA(AS)</v>
      </c>
      <c r="E251" s="112" t="str">
        <f>HKU!E2</f>
        <v>Best 6</v>
      </c>
      <c r="F251" s="128">
        <f>HKU!F2</f>
        <v>36</v>
      </c>
      <c r="G251" s="128">
        <f>HKU!G2</f>
        <v>35</v>
      </c>
      <c r="H251" s="128">
        <f>HKU!H2</f>
        <v>33</v>
      </c>
      <c r="I251" s="128">
        <f>'計分版'!D256</f>
        <v>0.00000000445</v>
      </c>
      <c r="J251" s="112">
        <f>HKU!L2</f>
        <v>53</v>
      </c>
      <c r="K251" s="112">
        <f>HKU!AB2</f>
        <v>41</v>
      </c>
      <c r="L251" s="153">
        <f>IFERROR(HKU!AJ2/HKU!AC2,"新科目")</f>
        <v>2.682926829</v>
      </c>
      <c r="M251" s="112">
        <f>'入學要求'!S239</f>
        <v>0</v>
      </c>
      <c r="N251" s="112"/>
      <c r="O251" s="112"/>
      <c r="P251" s="112"/>
      <c r="Q251" s="112"/>
      <c r="R251" s="112"/>
      <c r="S251" s="112"/>
      <c r="T251" s="112"/>
      <c r="U251" s="112"/>
      <c r="V251" s="112"/>
      <c r="W251" s="112"/>
      <c r="X251" s="112"/>
      <c r="Y251" s="112"/>
      <c r="Z251" s="112"/>
      <c r="AA251" s="112"/>
      <c r="AB251" s="112"/>
    </row>
    <row r="252" ht="15.75" customHeight="1">
      <c r="A252" s="112" t="str">
        <f>HKU!A3</f>
        <v>JS6016</v>
      </c>
      <c r="B252" s="112" t="s">
        <v>179</v>
      </c>
      <c r="C252" s="112" t="str">
        <f>HKU!C3</f>
        <v>理學士(測量學)</v>
      </c>
      <c r="D252" s="112" t="str">
        <f>HKU!D3</f>
        <v>	BSC(SURV)</v>
      </c>
      <c r="E252" s="112" t="str">
        <f>HKU!E3</f>
        <v>Best 5</v>
      </c>
      <c r="F252" s="128">
        <f>HKU!F3</f>
        <v>32</v>
      </c>
      <c r="G252" s="128">
        <f>HKU!G3</f>
        <v>31</v>
      </c>
      <c r="H252" s="128">
        <f>HKU!H3</f>
        <v>29</v>
      </c>
      <c r="I252" s="128">
        <f>'計分版'!D257</f>
        <v>0.00000000395</v>
      </c>
      <c r="J252" s="112">
        <f>HKU!L3</f>
        <v>43</v>
      </c>
      <c r="K252" s="112">
        <f>HKU!AB3</f>
        <v>47</v>
      </c>
      <c r="L252" s="153">
        <f>IFERROR(HKU!AJ3/HKU!AC3,"新科目")</f>
        <v>1.829787234</v>
      </c>
      <c r="M252" s="112">
        <f>'入學要求'!S240</f>
        <v>0</v>
      </c>
      <c r="N252" s="112"/>
      <c r="O252" s="112"/>
      <c r="P252" s="112"/>
      <c r="Q252" s="112"/>
      <c r="R252" s="112"/>
      <c r="S252" s="112"/>
      <c r="T252" s="112"/>
      <c r="U252" s="112"/>
      <c r="V252" s="112"/>
      <c r="W252" s="112"/>
      <c r="X252" s="112"/>
      <c r="Y252" s="112"/>
      <c r="Z252" s="112"/>
      <c r="AA252" s="112"/>
      <c r="AB252" s="112"/>
    </row>
    <row r="253" ht="15.75" customHeight="1">
      <c r="A253" s="112" t="str">
        <f>HKU!A4</f>
        <v>JS6028</v>
      </c>
      <c r="B253" s="112" t="s">
        <v>179</v>
      </c>
      <c r="C253" s="112" t="str">
        <f>HKU!C4</f>
        <v>園境學文學士</v>
      </c>
      <c r="D253" s="112" t="str">
        <f>HKU!D4</f>
        <v>	BA(LS)</v>
      </c>
      <c r="E253" s="112" t="str">
        <f>HKU!E4</f>
        <v>Best 5</v>
      </c>
      <c r="F253" s="128">
        <f>HKU!F4</f>
        <v>28</v>
      </c>
      <c r="G253" s="128">
        <f>HKU!G4</f>
        <v>28</v>
      </c>
      <c r="H253" s="128">
        <f>HKU!H4</f>
        <v>28</v>
      </c>
      <c r="I253" s="128">
        <f>'計分版'!D258</f>
        <v>0.00000000395</v>
      </c>
      <c r="J253" s="112">
        <f>HKU!L4</f>
        <v>12</v>
      </c>
      <c r="K253" s="112">
        <f>HKU!AB4</f>
        <v>7</v>
      </c>
      <c r="L253" s="153">
        <f>IFERROR(HKU!AJ4/HKU!AC4,"新科目")</f>
        <v>6.428571429</v>
      </c>
      <c r="M253" s="112">
        <f>'入學要求'!S241</f>
        <v>0</v>
      </c>
      <c r="N253" s="112"/>
      <c r="O253" s="112"/>
      <c r="P253" s="112"/>
      <c r="Q253" s="112"/>
      <c r="R253" s="112"/>
      <c r="S253" s="112"/>
      <c r="T253" s="112"/>
      <c r="U253" s="112"/>
      <c r="V253" s="112"/>
      <c r="W253" s="112"/>
      <c r="X253" s="112"/>
      <c r="Y253" s="112"/>
      <c r="Z253" s="112"/>
      <c r="AA253" s="112"/>
      <c r="AB253" s="112"/>
    </row>
    <row r="254" ht="15.75" customHeight="1">
      <c r="A254" s="112" t="str">
        <f>HKU!A5</f>
        <v>JS6042</v>
      </c>
      <c r="B254" s="112" t="s">
        <v>179</v>
      </c>
      <c r="C254" s="112" t="str">
        <f>HKU!C5</f>
        <v>文學士(城市研究)</v>
      </c>
      <c r="D254" s="112" t="str">
        <f>HKU!D5</f>
        <v>	BA(US)</v>
      </c>
      <c r="E254" s="112" t="str">
        <f>HKU!E5</f>
        <v>Best 5</v>
      </c>
      <c r="F254" s="128">
        <f>HKU!F5</f>
        <v>31</v>
      </c>
      <c r="G254" s="128">
        <f>HKU!G5</f>
        <v>29</v>
      </c>
      <c r="H254" s="128">
        <f>HKU!H5</f>
        <v>28</v>
      </c>
      <c r="I254" s="128">
        <f>'計分版'!D259</f>
        <v>0.00000000395</v>
      </c>
      <c r="J254" s="112">
        <f>HKU!L5</f>
        <v>17</v>
      </c>
      <c r="K254" s="112">
        <f>HKU!AB5</f>
        <v>22</v>
      </c>
      <c r="L254" s="153">
        <f>IFERROR(HKU!AJ5/HKU!AC5,"新科目")</f>
        <v>3.772727273</v>
      </c>
      <c r="M254" s="112">
        <f>'入學要求'!S242</f>
        <v>0</v>
      </c>
      <c r="N254" s="112"/>
      <c r="O254" s="112"/>
      <c r="P254" s="112"/>
      <c r="Q254" s="112"/>
      <c r="R254" s="112"/>
      <c r="S254" s="112"/>
      <c r="T254" s="112"/>
      <c r="U254" s="112"/>
      <c r="V254" s="112"/>
      <c r="W254" s="112"/>
      <c r="X254" s="112"/>
      <c r="Y254" s="112"/>
      <c r="Z254" s="112"/>
      <c r="AA254" s="112"/>
      <c r="AB254" s="112"/>
    </row>
    <row r="255" ht="15.75" customHeight="1">
      <c r="A255" s="112" t="str">
        <f>HKU!A6</f>
        <v>JS6054</v>
      </c>
      <c r="B255" s="112" t="s">
        <v>179</v>
      </c>
      <c r="C255" s="112" t="str">
        <f>HKU!C6</f>
        <v>文學士</v>
      </c>
      <c r="D255" s="112" t="str">
        <f>HKU!D6</f>
        <v>	BA</v>
      </c>
      <c r="E255" s="112" t="str">
        <f>HKU!E6</f>
        <v>Best 5</v>
      </c>
      <c r="F255" s="128">
        <f>HKU!F6</f>
        <v>26</v>
      </c>
      <c r="G255" s="128">
        <f>HKU!G6</f>
        <v>25</v>
      </c>
      <c r="H255" s="128">
        <f>HKU!H6</f>
        <v>24</v>
      </c>
      <c r="I255" s="128">
        <f>'計分版'!D260</f>
        <v>0.00000000355</v>
      </c>
      <c r="J255" s="112">
        <f>HKU!L6</f>
        <v>347</v>
      </c>
      <c r="K255" s="112">
        <f>HKU!AB6</f>
        <v>311</v>
      </c>
      <c r="L255" s="153">
        <f>IFERROR(HKU!AJ6/HKU!AC6,"新科目")</f>
        <v>3.508038585</v>
      </c>
      <c r="M255" s="112">
        <f>'入學要求'!S243</f>
        <v>0</v>
      </c>
      <c r="N255" s="112"/>
      <c r="O255" s="112"/>
      <c r="P255" s="112"/>
      <c r="Q255" s="112"/>
      <c r="R255" s="112"/>
      <c r="S255" s="112"/>
      <c r="T255" s="112"/>
      <c r="U255" s="112"/>
      <c r="V255" s="112"/>
      <c r="W255" s="112"/>
      <c r="X255" s="112"/>
      <c r="Y255" s="112"/>
      <c r="Z255" s="112"/>
      <c r="AA255" s="112"/>
      <c r="AB255" s="112"/>
    </row>
    <row r="256" ht="15.75" customHeight="1">
      <c r="A256" s="112" t="str">
        <f>HKU!A7</f>
        <v>JS6767</v>
      </c>
      <c r="B256" s="112" t="s">
        <v>179</v>
      </c>
      <c r="C256" s="112" t="str">
        <f>HKU!C7</f>
        <v>經濟學學士 / 經濟金融學學士</v>
      </c>
      <c r="D256" s="112" t="str">
        <f>HKU!D7</f>
        <v>	BEcon/BEcon&amp;Fin</v>
      </c>
      <c r="E256" s="112" t="str">
        <f>HKU!E7</f>
        <v>Best 6</v>
      </c>
      <c r="F256" s="128">
        <f>HKU!F7</f>
        <v>37</v>
      </c>
      <c r="G256" s="128">
        <f>HKU!G7</f>
        <v>36</v>
      </c>
      <c r="H256" s="128">
        <f>HKU!H7</f>
        <v>34</v>
      </c>
      <c r="I256" s="128">
        <f>'計分版'!D261</f>
        <v>0.00000000375</v>
      </c>
      <c r="J256" s="112" t="str">
        <f>HKU!L7</f>
        <v>282*</v>
      </c>
      <c r="K256" s="112">
        <f>HKU!AB7</f>
        <v>121</v>
      </c>
      <c r="L256" s="153">
        <f>IFERROR(HKU!AJ7/HKU!AC7,"新科目")</f>
        <v>2.983471074</v>
      </c>
      <c r="M256" s="112">
        <f>'入學要求'!S244</f>
        <v>0</v>
      </c>
      <c r="N256" s="112"/>
      <c r="O256" s="112"/>
      <c r="P256" s="112"/>
      <c r="Q256" s="112"/>
      <c r="R256" s="112"/>
      <c r="S256" s="112"/>
      <c r="T256" s="112"/>
      <c r="U256" s="112"/>
      <c r="V256" s="112"/>
      <c r="W256" s="112"/>
      <c r="X256" s="112"/>
      <c r="Y256" s="112"/>
      <c r="Z256" s="112"/>
      <c r="AA256" s="112"/>
      <c r="AB256" s="112"/>
    </row>
    <row r="257" ht="15.75" customHeight="1">
      <c r="A257" s="112" t="str">
        <f>HKU!A8</f>
        <v>JS6781</v>
      </c>
      <c r="B257" s="112" t="s">
        <v>179</v>
      </c>
      <c r="C257" s="112" t="str">
        <f>HKU!C8</f>
        <v>工商管理學學士 / 工商管理學學士(會計及財務)</v>
      </c>
      <c r="D257" s="112" t="str">
        <f>HKU!D8</f>
        <v>	BBA/BBA(Acc&amp;Fin)</v>
      </c>
      <c r="E257" s="112" t="str">
        <f>HKU!E8</f>
        <v>Best 6</v>
      </c>
      <c r="F257" s="128">
        <f>HKU!F8</f>
        <v>39</v>
      </c>
      <c r="G257" s="128">
        <f>HKU!G8</f>
        <v>36</v>
      </c>
      <c r="H257" s="128">
        <f>HKU!H8</f>
        <v>35</v>
      </c>
      <c r="I257" s="128">
        <f>'計分版'!D262</f>
        <v>0.00000000405</v>
      </c>
      <c r="J257" s="112" t="str">
        <f>HKU!L7</f>
        <v>282*</v>
      </c>
      <c r="K257" s="112">
        <f>HKU!AB8</f>
        <v>157</v>
      </c>
      <c r="L257" s="153">
        <f>IFERROR(HKU!AJ8/HKU!AC8,"新科目")</f>
        <v>2.770700637</v>
      </c>
      <c r="M257" s="112">
        <f>'入學要求'!S245</f>
        <v>0</v>
      </c>
      <c r="N257" s="112"/>
      <c r="O257" s="112"/>
      <c r="P257" s="112"/>
      <c r="Q257" s="112"/>
      <c r="R257" s="112"/>
      <c r="S257" s="112"/>
      <c r="T257" s="112"/>
      <c r="U257" s="112"/>
      <c r="V257" s="112"/>
      <c r="W257" s="112"/>
      <c r="X257" s="112"/>
      <c r="Y257" s="112"/>
      <c r="Z257" s="112"/>
      <c r="AA257" s="112"/>
      <c r="AB257" s="112"/>
    </row>
    <row r="258" ht="15.75" customHeight="1">
      <c r="A258" s="112" t="str">
        <f>HKU!A9</f>
        <v>JS6860</v>
      </c>
      <c r="B258" s="112" t="s">
        <v>179</v>
      </c>
      <c r="C258" s="112" t="str">
        <f>HKU!C9</f>
        <v>金融學學士(資產管理及私人銀行)</v>
      </c>
      <c r="D258" s="112" t="str">
        <f>HKU!D9</f>
        <v>	BFin(AMPB)</v>
      </c>
      <c r="E258" s="112" t="str">
        <f>HKU!E9</f>
        <v>Best 6</v>
      </c>
      <c r="F258" s="128">
        <f>HKU!F9</f>
        <v>45</v>
      </c>
      <c r="G258" s="128">
        <f>HKU!G9</f>
        <v>44</v>
      </c>
      <c r="H258" s="128">
        <f>HKU!H9</f>
        <v>43</v>
      </c>
      <c r="I258" s="128">
        <f>'計分版'!D263</f>
        <v>0.00000000405</v>
      </c>
      <c r="J258" s="112" t="str">
        <f>HKU!L7</f>
        <v>282*</v>
      </c>
      <c r="K258" s="112">
        <f>HKU!AB9</f>
        <v>24</v>
      </c>
      <c r="L258" s="153">
        <f>IFERROR(HKU!AJ9/HKU!AC9,"新科目")</f>
        <v>4.041666667</v>
      </c>
      <c r="M258" s="112">
        <f>'入學要求'!S246</f>
        <v>0</v>
      </c>
      <c r="N258" s="112"/>
      <c r="O258" s="112"/>
      <c r="P258" s="112"/>
      <c r="Q258" s="112"/>
      <c r="R258" s="112"/>
      <c r="S258" s="112"/>
      <c r="T258" s="112"/>
      <c r="U258" s="112"/>
      <c r="V258" s="112"/>
      <c r="W258" s="112"/>
      <c r="X258" s="112"/>
      <c r="Y258" s="112"/>
      <c r="Z258" s="112"/>
      <c r="AA258" s="112"/>
      <c r="AB258" s="112"/>
    </row>
    <row r="259" ht="15.75" customHeight="1">
      <c r="A259" s="112" t="str">
        <f>HKU!A10</f>
        <v>JS6793</v>
      </c>
      <c r="B259" s="112" t="s">
        <v>179</v>
      </c>
      <c r="C259" s="112" t="str">
        <f>HKU!C10</f>
        <v>工商管理學學士(資訊系統)</v>
      </c>
      <c r="D259" s="112" t="str">
        <f>HKU!D10</f>
        <v>	BBA(IS)</v>
      </c>
      <c r="E259" s="112" t="str">
        <f>HKU!E10</f>
        <v>Best 6</v>
      </c>
      <c r="F259" s="128">
        <f>HKU!F10</f>
        <v>39</v>
      </c>
      <c r="G259" s="128">
        <f>HKU!G10</f>
        <v>36</v>
      </c>
      <c r="H259" s="128">
        <f>HKU!H10</f>
        <v>34</v>
      </c>
      <c r="I259" s="128">
        <f>'計分版'!D264</f>
        <v>0.00000000375</v>
      </c>
      <c r="J259" s="112">
        <f>HKU!L10</f>
        <v>15</v>
      </c>
      <c r="K259" s="112">
        <f>HKU!AB10</f>
        <v>22</v>
      </c>
      <c r="L259" s="153">
        <f>IFERROR(HKU!AJ10/HKU!AC10,"新科目")</f>
        <v>2.909090909</v>
      </c>
      <c r="M259" s="112">
        <f>'入學要求'!S247</f>
        <v>0</v>
      </c>
      <c r="N259" s="112"/>
      <c r="O259" s="112"/>
      <c r="P259" s="112"/>
      <c r="Q259" s="112"/>
      <c r="R259" s="112"/>
      <c r="S259" s="112"/>
      <c r="T259" s="112"/>
      <c r="U259" s="112"/>
      <c r="V259" s="112"/>
      <c r="W259" s="112"/>
      <c r="X259" s="112"/>
      <c r="Y259" s="112"/>
      <c r="Z259" s="112"/>
      <c r="AA259" s="112"/>
      <c r="AB259" s="112"/>
    </row>
    <row r="260" ht="15.75" customHeight="1">
      <c r="A260" s="112" t="str">
        <f>HKU!A11</f>
        <v>JS6808</v>
      </c>
      <c r="B260" s="112" t="s">
        <v>179</v>
      </c>
      <c r="C260" s="112" t="str">
        <f>HKU!C11</f>
        <v>工商管理學學士(法學)及法學士 (雙學位課程)</v>
      </c>
      <c r="D260" s="112" t="str">
        <f>HKU!D11</f>
        <v>	BBA(Law)&amp;LLB</v>
      </c>
      <c r="E260" s="112" t="str">
        <f>HKU!E11</f>
        <v>Best 6</v>
      </c>
      <c r="F260" s="128">
        <f>HKU!F11</f>
        <v>51</v>
      </c>
      <c r="G260" s="128">
        <f>HKU!G11</f>
        <v>47</v>
      </c>
      <c r="H260" s="128">
        <f>HKU!H11</f>
        <v>45</v>
      </c>
      <c r="I260" s="128">
        <f>'計分版'!D265</f>
        <v>0.00000000405</v>
      </c>
      <c r="J260" s="112">
        <f>HKU!L11</f>
        <v>70</v>
      </c>
      <c r="K260" s="112">
        <f>HKU!AB11</f>
        <v>67</v>
      </c>
      <c r="L260" s="153">
        <f>IFERROR(HKU!AJ11/HKU!AC11,"新科目")</f>
        <v>1.880597015</v>
      </c>
      <c r="M260" s="112">
        <f>'入學要求'!S248</f>
        <v>0</v>
      </c>
      <c r="N260" s="112"/>
      <c r="O260" s="112"/>
      <c r="P260" s="112"/>
      <c r="Q260" s="112"/>
      <c r="R260" s="112"/>
      <c r="S260" s="156"/>
      <c r="T260" s="112"/>
      <c r="U260" s="112"/>
      <c r="V260" s="112"/>
      <c r="W260" s="112"/>
      <c r="X260" s="112"/>
      <c r="Y260" s="112"/>
      <c r="Z260" s="112"/>
      <c r="AA260" s="112"/>
      <c r="AB260" s="112"/>
    </row>
    <row r="261" ht="15.75" customHeight="1">
      <c r="A261" s="112" t="str">
        <f>HKU!A12</f>
        <v>JS6884</v>
      </c>
      <c r="B261" s="112" t="s">
        <v>179</v>
      </c>
      <c r="C261" s="112" t="str">
        <f>HKU!C12</f>
        <v>理學士(計量金融)</v>
      </c>
      <c r="D261" s="112" t="str">
        <f>HKU!D12</f>
        <v>	BSc(QFin)</v>
      </c>
      <c r="E261" s="112" t="str">
        <f>HKU!E12</f>
        <v>Best 6</v>
      </c>
      <c r="F261" s="128">
        <f>HKU!F12</f>
        <v>48</v>
      </c>
      <c r="G261" s="128">
        <f>HKU!G12</f>
        <v>46</v>
      </c>
      <c r="H261" s="128">
        <f>HKU!H12</f>
        <v>44</v>
      </c>
      <c r="I261" s="128">
        <f>'計分版'!D266</f>
        <v>0.0000000037</v>
      </c>
      <c r="J261" s="112">
        <f>HKU!L12</f>
        <v>25</v>
      </c>
      <c r="K261" s="112">
        <f>HKU!AB12</f>
        <v>20</v>
      </c>
      <c r="L261" s="153">
        <f>IFERROR(HKU!AJ12/HKU!AC12,"新科目")</f>
        <v>3.25</v>
      </c>
      <c r="M261" s="112">
        <f>'入學要求'!S249</f>
        <v>0</v>
      </c>
      <c r="N261" s="112"/>
      <c r="O261" s="112"/>
      <c r="P261" s="112"/>
      <c r="Q261" s="112"/>
      <c r="R261" s="112"/>
      <c r="S261" s="156"/>
      <c r="T261" s="112"/>
      <c r="U261" s="112"/>
      <c r="V261" s="112"/>
      <c r="W261" s="112"/>
      <c r="X261" s="112"/>
      <c r="Y261" s="112"/>
      <c r="Z261" s="112"/>
      <c r="AA261" s="112"/>
      <c r="AB261" s="112"/>
    </row>
    <row r="262" ht="15.75" customHeight="1">
      <c r="A262" s="112" t="str">
        <f>HKU!A13</f>
        <v>JS6896</v>
      </c>
      <c r="B262" s="112" t="s">
        <v>179</v>
      </c>
      <c r="C262" s="112" t="str">
        <f>HKU!C13</f>
        <v>工商管理學學士(國際商業及環球管理)</v>
      </c>
      <c r="D262" s="112" t="str">
        <f>HKU!D13</f>
        <v>BBA(IBGM)</v>
      </c>
      <c r="E262" s="112" t="str">
        <f>HKU!E13</f>
        <v>Best 6</v>
      </c>
      <c r="F262" s="128">
        <f>HKU!F13</f>
        <v>54</v>
      </c>
      <c r="G262" s="128">
        <f>HKU!G13</f>
        <v>52</v>
      </c>
      <c r="H262" s="128">
        <f>HKU!H13</f>
        <v>51</v>
      </c>
      <c r="I262" s="128">
        <f>'計分版'!D267</f>
        <v>0.00000000405</v>
      </c>
      <c r="J262" s="112">
        <f>HKU!L13</f>
        <v>31</v>
      </c>
      <c r="K262" s="112">
        <f>HKU!AB13</f>
        <v>6</v>
      </c>
      <c r="L262" s="153">
        <f>IFERROR(HKU!AJ13/HKU!AC13,"新科目")</f>
        <v>7.833333333</v>
      </c>
      <c r="M262" s="112">
        <f>'入學要求'!S250</f>
        <v>0</v>
      </c>
      <c r="N262" s="112"/>
      <c r="O262" s="112"/>
      <c r="P262" s="112"/>
      <c r="Q262" s="112"/>
      <c r="R262" s="112"/>
      <c r="S262" s="156"/>
      <c r="T262" s="112"/>
      <c r="U262" s="112"/>
      <c r="V262" s="112"/>
      <c r="W262" s="112"/>
      <c r="X262" s="112"/>
      <c r="Y262" s="112"/>
      <c r="Z262" s="112"/>
      <c r="AA262" s="112"/>
      <c r="AB262" s="112"/>
    </row>
    <row r="263" ht="15.75" customHeight="1">
      <c r="A263" s="112" t="str">
        <f>HKU!A14</f>
        <v>JS6107</v>
      </c>
      <c r="B263" s="112" t="s">
        <v>179</v>
      </c>
      <c r="C263" s="112" t="str">
        <f>HKU!C14</f>
        <v>牙醫學士</v>
      </c>
      <c r="D263" s="112" t="str">
        <f>HKU!D14</f>
        <v>BDS</v>
      </c>
      <c r="E263" s="112" t="str">
        <f>HKU!E14</f>
        <v>Best 6</v>
      </c>
      <c r="F263" s="128">
        <f>HKU!F14</f>
        <v>49</v>
      </c>
      <c r="G263" s="128">
        <f>HKU!G14</f>
        <v>46</v>
      </c>
      <c r="H263" s="128">
        <f>HKU!H14</f>
        <v>45</v>
      </c>
      <c r="I263" s="128">
        <f>'計分版'!D268</f>
        <v>0.000000001</v>
      </c>
      <c r="J263" s="112">
        <f>HKU!L14</f>
        <v>80</v>
      </c>
      <c r="K263" s="112">
        <f>HKU!AB14</f>
        <v>56</v>
      </c>
      <c r="L263" s="153">
        <f>IFERROR(HKU!AJ14/HKU!AC14,"新科目")</f>
        <v>3.714285714</v>
      </c>
      <c r="M263" s="112">
        <f>'入學要求'!S251</f>
        <v>0</v>
      </c>
      <c r="N263" s="112"/>
      <c r="O263" s="112"/>
      <c r="P263" s="112"/>
      <c r="Q263" s="112"/>
      <c r="R263" s="112"/>
      <c r="S263" s="112"/>
      <c r="T263" s="112"/>
      <c r="U263" s="112"/>
      <c r="V263" s="112"/>
      <c r="W263" s="112"/>
      <c r="X263" s="112"/>
      <c r="Y263" s="112"/>
      <c r="Z263" s="112"/>
      <c r="AA263" s="112"/>
      <c r="AB263" s="112"/>
    </row>
    <row r="264" ht="15.75" customHeight="1">
      <c r="A264" s="112" t="str">
        <f>HKU!A15</f>
        <v>JS6066</v>
      </c>
      <c r="B264" s="112" t="s">
        <v>179</v>
      </c>
      <c r="C264" s="112" t="str">
        <f>HKU!C15</f>
        <v>文學士及教育學士(語文教育) - 英文教育 (雙學位課程)</v>
      </c>
      <c r="D264" s="112" t="str">
        <f>HKU!D15</f>
        <v>BA&amp;BED(LangEd)-Eng</v>
      </c>
      <c r="E264" s="112" t="str">
        <f>HKU!E15</f>
        <v>Best 5</v>
      </c>
      <c r="F264" s="128">
        <f>HKU!F15</f>
        <v>33</v>
      </c>
      <c r="G264" s="128">
        <f>HKU!G15</f>
        <v>30</v>
      </c>
      <c r="H264" s="128">
        <f>HKU!H15</f>
        <v>28</v>
      </c>
      <c r="I264" s="128">
        <f>'計分版'!D269</f>
        <v>0.00000000318</v>
      </c>
      <c r="J264" s="112">
        <f>HKU!L15</f>
        <v>26</v>
      </c>
      <c r="K264" s="112">
        <f>HKU!AB15</f>
        <v>26</v>
      </c>
      <c r="L264" s="153">
        <f>IFERROR(HKU!AJ15/HKU!AC15,"新科目")</f>
        <v>9.384615385</v>
      </c>
      <c r="M264" s="112">
        <f>'入學要求'!S252</f>
        <v>0</v>
      </c>
      <c r="N264" s="112"/>
      <c r="O264" s="112"/>
      <c r="P264" s="112"/>
      <c r="Q264" s="112"/>
      <c r="R264" s="112"/>
      <c r="S264" s="112"/>
      <c r="T264" s="112"/>
      <c r="U264" s="112"/>
      <c r="V264" s="112"/>
      <c r="W264" s="112"/>
      <c r="X264" s="112"/>
      <c r="Y264" s="112"/>
      <c r="Z264" s="112"/>
      <c r="AA264" s="112"/>
      <c r="AB264" s="112"/>
    </row>
    <row r="265" ht="15.75" customHeight="1">
      <c r="A265" s="112" t="str">
        <f>HKU!A16</f>
        <v>JS6080</v>
      </c>
      <c r="B265" s="112" t="s">
        <v>179</v>
      </c>
      <c r="C265" s="112" t="str">
        <f>HKU!C16</f>
        <v>文學士及教育學士(語文教育) - 中文教育 (雙學位課程)</v>
      </c>
      <c r="D265" s="112" t="str">
        <f>HKU!D16</f>
        <v>	BA&amp;BED(LangEd)-Chin</v>
      </c>
      <c r="E265" s="112" t="str">
        <f>HKU!E16</f>
        <v>Best 5</v>
      </c>
      <c r="F265" s="128">
        <f>HKU!F16</f>
        <v>33</v>
      </c>
      <c r="G265" s="128">
        <f>HKU!G16</f>
        <v>31</v>
      </c>
      <c r="H265" s="128">
        <f>HKU!H16</f>
        <v>31</v>
      </c>
      <c r="I265" s="128">
        <f>'計分版'!D270</f>
        <v>0.00000000303</v>
      </c>
      <c r="J265" s="112">
        <f>HKU!L16</f>
        <v>23</v>
      </c>
      <c r="K265" s="112">
        <f>HKU!AB16</f>
        <v>21</v>
      </c>
      <c r="L265" s="153">
        <f>IFERROR(HKU!AJ16/HKU!AC16,"新科目")</f>
        <v>5.619047619</v>
      </c>
      <c r="M265" s="112">
        <f>'入學要求'!S253</f>
        <v>0</v>
      </c>
      <c r="N265" s="112"/>
      <c r="O265" s="112"/>
      <c r="P265" s="112"/>
      <c r="Q265" s="112"/>
      <c r="R265" s="112"/>
      <c r="S265" s="112"/>
      <c r="T265" s="112"/>
      <c r="U265" s="112"/>
      <c r="V265" s="112"/>
      <c r="W265" s="112"/>
      <c r="X265" s="112"/>
      <c r="Y265" s="112"/>
      <c r="Z265" s="112"/>
      <c r="AA265" s="112"/>
      <c r="AB265" s="112"/>
    </row>
    <row r="266" ht="15.75" customHeight="1">
      <c r="A266" s="112" t="str">
        <f>HKU!A17</f>
        <v>JS6092</v>
      </c>
      <c r="B266" s="112" t="s">
        <v>179</v>
      </c>
      <c r="C266" s="112" t="str">
        <f>HKU!C17</f>
        <v>教育學士(幼兒教育及特殊教育)</v>
      </c>
      <c r="D266" s="112" t="str">
        <f>HKU!D17</f>
        <v>	BED(ECE&amp;SE)</v>
      </c>
      <c r="E266" s="112" t="str">
        <f>HKU!E17</f>
        <v>Best 5</v>
      </c>
      <c r="F266" s="128">
        <f>HKU!F17</f>
        <v>28</v>
      </c>
      <c r="G266" s="128">
        <f>HKU!G17</f>
        <v>27</v>
      </c>
      <c r="H266" s="128">
        <f>HKU!H17</f>
        <v>26</v>
      </c>
      <c r="I266" s="128">
        <f>'計分版'!D271</f>
        <v>0.00000000282</v>
      </c>
      <c r="J266" s="112">
        <f>HKU!L17</f>
        <v>18</v>
      </c>
      <c r="K266" s="112">
        <f>HKU!AB17</f>
        <v>19</v>
      </c>
      <c r="L266" s="153">
        <f>IFERROR(HKU!AJ17/HKU!AC17,"新科目")</f>
        <v>15.15789474</v>
      </c>
      <c r="M266" s="112">
        <f>'入學要求'!S254</f>
        <v>0</v>
      </c>
      <c r="N266" s="112"/>
      <c r="O266" s="112"/>
      <c r="P266" s="112"/>
      <c r="Q266" s="112"/>
      <c r="R266" s="112"/>
      <c r="S266" s="112"/>
      <c r="T266" s="112"/>
      <c r="U266" s="112"/>
      <c r="V266" s="112"/>
      <c r="W266" s="112"/>
      <c r="X266" s="112"/>
      <c r="Y266" s="112"/>
      <c r="Z266" s="112"/>
      <c r="AA266" s="112"/>
      <c r="AB266" s="112"/>
    </row>
    <row r="267" ht="15.75" customHeight="1">
      <c r="A267" s="112" t="str">
        <f>HKU!A18</f>
        <v>JS6119</v>
      </c>
      <c r="B267" s="112" t="s">
        <v>179</v>
      </c>
      <c r="C267" s="112" t="str">
        <f>HKU!C18</f>
        <v>教育學士及理學士 (雙學位課程)</v>
      </c>
      <c r="D267" s="112" t="str">
        <f>HKU!D18</f>
        <v>	BED&amp;BSC</v>
      </c>
      <c r="E267" s="112" t="str">
        <f>HKU!E18</f>
        <v>Best 5</v>
      </c>
      <c r="F267" s="128">
        <f>HKU!F18</f>
        <v>56</v>
      </c>
      <c r="G267" s="128">
        <f>HKU!G18</f>
        <v>53</v>
      </c>
      <c r="H267" s="128">
        <f>HKU!H18</f>
        <v>52</v>
      </c>
      <c r="I267" s="128">
        <f>'計分版'!D272</f>
        <v>0.000000003025</v>
      </c>
      <c r="J267" s="112">
        <f>HKU!L18</f>
        <v>16</v>
      </c>
      <c r="K267" s="112">
        <f>HKU!AB18</f>
        <v>18</v>
      </c>
      <c r="L267" s="153">
        <f>IFERROR(HKU!AJ18/HKU!AC18,"新科目")</f>
        <v>5.611111111</v>
      </c>
      <c r="M267" s="112">
        <f>'入學要求'!S255</f>
        <v>0</v>
      </c>
      <c r="N267" s="112"/>
      <c r="O267" s="112"/>
      <c r="P267" s="112"/>
      <c r="Q267" s="112"/>
      <c r="R267" s="112"/>
      <c r="S267" s="112"/>
      <c r="T267" s="112"/>
      <c r="U267" s="112"/>
      <c r="V267" s="112"/>
      <c r="W267" s="112"/>
      <c r="X267" s="112"/>
      <c r="Y267" s="112"/>
      <c r="Z267" s="112"/>
      <c r="AA267" s="112"/>
      <c r="AB267" s="112"/>
    </row>
    <row r="268" ht="15.75" customHeight="1">
      <c r="A268" s="112" t="str">
        <f>HKU!A19</f>
        <v>JS6157</v>
      </c>
      <c r="B268" s="112" t="s">
        <v>179</v>
      </c>
      <c r="C268" s="112" t="str">
        <f>HKU!C19</f>
        <v>理學士(言語及聽覺科學)</v>
      </c>
      <c r="D268" s="112" t="str">
        <f>HKU!D19</f>
        <v>	BSC(SPEECH)</v>
      </c>
      <c r="E268" s="112" t="str">
        <f>HKU!E19</f>
        <v>Best 6</v>
      </c>
      <c r="F268" s="128">
        <f>HKU!F19</f>
        <v>39</v>
      </c>
      <c r="G268" s="128">
        <f>HKU!G19</f>
        <v>38</v>
      </c>
      <c r="H268" s="128">
        <f>HKU!H19</f>
        <v>36</v>
      </c>
      <c r="I268" s="128">
        <f>'計分版'!D273</f>
        <v>0.0000000037</v>
      </c>
      <c r="J268" s="112">
        <f>HKU!L19</f>
        <v>48</v>
      </c>
      <c r="K268" s="112">
        <f>HKU!AB19</f>
        <v>50</v>
      </c>
      <c r="L268" s="153">
        <f>IFERROR(HKU!AJ19/HKU!AC19,"新科目")</f>
        <v>4.36</v>
      </c>
      <c r="M268" s="112">
        <f>'入學要求'!S256</f>
        <v>0</v>
      </c>
      <c r="N268" s="112"/>
      <c r="O268" s="112"/>
      <c r="P268" s="112"/>
      <c r="Q268" s="112"/>
      <c r="R268" s="112"/>
      <c r="S268" s="112"/>
      <c r="T268" s="112"/>
      <c r="U268" s="112"/>
      <c r="V268" s="112"/>
      <c r="W268" s="112"/>
      <c r="X268" s="112"/>
      <c r="Y268" s="112"/>
      <c r="Z268" s="112"/>
      <c r="AA268" s="112"/>
      <c r="AB268" s="112"/>
    </row>
    <row r="269" ht="15.75" customHeight="1">
      <c r="A269" s="112" t="str">
        <f>HKU!A20</f>
        <v>JS6195</v>
      </c>
      <c r="B269" s="112" t="s">
        <v>179</v>
      </c>
      <c r="C269" s="112" t="str">
        <f>HKU!C20</f>
        <v>教育學士及社會科學學士 (雙學位課程)</v>
      </c>
      <c r="D269" s="112" t="str">
        <f>HKU!D20</f>
        <v>BED&amp;BSS</v>
      </c>
      <c r="E269" s="112" t="str">
        <f>HKU!E20</f>
        <v>Best 5</v>
      </c>
      <c r="F269" s="128">
        <f>HKU!F20</f>
        <v>32</v>
      </c>
      <c r="G269" s="128">
        <f>HKU!G20</f>
        <v>31</v>
      </c>
      <c r="H269" s="128">
        <f>HKU!H20</f>
        <v>31</v>
      </c>
      <c r="I269" s="128">
        <f>'計分版'!D274</f>
        <v>0.00000000395</v>
      </c>
      <c r="J269" s="112">
        <f>HKU!L20</f>
        <v>6</v>
      </c>
      <c r="K269" s="112">
        <f>HKU!AB20</f>
        <v>8</v>
      </c>
      <c r="L269" s="153">
        <f>IFERROR(HKU!AJ20/HKU!AC20,"新科目")</f>
        <v>4.5</v>
      </c>
      <c r="M269" s="112">
        <f>'入學要求'!S257</f>
        <v>0</v>
      </c>
      <c r="N269" s="112"/>
      <c r="O269" s="112"/>
      <c r="P269" s="112"/>
      <c r="Q269" s="112"/>
      <c r="R269" s="112"/>
      <c r="S269" s="112"/>
      <c r="T269" s="112"/>
      <c r="U269" s="112"/>
      <c r="V269" s="112"/>
      <c r="W269" s="112"/>
      <c r="X269" s="112"/>
      <c r="Y269" s="112"/>
      <c r="Z269" s="112"/>
      <c r="AA269" s="112"/>
      <c r="AB269" s="112"/>
    </row>
    <row r="270" ht="15.75" customHeight="1">
      <c r="A270" s="112" t="str">
        <f>HKU!A21</f>
        <v>JS6925</v>
      </c>
      <c r="B270" s="112" t="s">
        <v>179</v>
      </c>
      <c r="C270" s="112" t="str">
        <f>HKU!C21</f>
        <v>工學學士(生物醫學工程)</v>
      </c>
      <c r="D270" s="112" t="str">
        <f>HKU!D21</f>
        <v>	BENG(BME)</v>
      </c>
      <c r="E270" s="112" t="str">
        <f>HKU!E21</f>
        <v>Best 5</v>
      </c>
      <c r="F270" s="128">
        <f>HKU!F21</f>
        <v>31</v>
      </c>
      <c r="G270" s="128">
        <f>HKU!G21</f>
        <v>29</v>
      </c>
      <c r="H270" s="128">
        <f>HKU!H21</f>
        <v>28</v>
      </c>
      <c r="I270" s="128">
        <f>'計分版'!D275</f>
        <v>0.00000000315</v>
      </c>
      <c r="J270" s="112">
        <f>HKU!L21</f>
        <v>23</v>
      </c>
      <c r="K270" s="112">
        <f>HKU!AB21</f>
        <v>21</v>
      </c>
      <c r="L270" s="153">
        <f>IFERROR(HKU!AJ21/HKU!AC21,"新科目")</f>
        <v>3.666666667</v>
      </c>
      <c r="M270" s="112">
        <f>'入學要求'!S258</f>
        <v>0</v>
      </c>
      <c r="N270" s="112"/>
      <c r="O270" s="112"/>
      <c r="P270" s="112"/>
      <c r="Q270" s="112"/>
      <c r="R270" s="112"/>
      <c r="S270" s="112"/>
      <c r="T270" s="112"/>
      <c r="U270" s="112"/>
      <c r="V270" s="112"/>
      <c r="W270" s="112"/>
      <c r="X270" s="112"/>
      <c r="Y270" s="112"/>
      <c r="Z270" s="112"/>
      <c r="AA270" s="112"/>
      <c r="AB270" s="112"/>
    </row>
    <row r="271" ht="15.75" customHeight="1">
      <c r="A271" s="112" t="str">
        <f>HKU!A22</f>
        <v>JS6937</v>
      </c>
      <c r="B271" s="112" t="s">
        <v>179</v>
      </c>
      <c r="C271" s="112" t="str">
        <f>HKU!C22</f>
        <v>環球工程與商業課程</v>
      </c>
      <c r="D271" s="112" t="str">
        <f>HKU!D22</f>
        <v>GEBP</v>
      </c>
      <c r="E271" s="112" t="str">
        <f>HKU!E22</f>
        <v>Best 5</v>
      </c>
      <c r="F271" s="128">
        <f>HKU!F22</f>
        <v>34</v>
      </c>
      <c r="G271" s="128">
        <f>HKU!G22</f>
        <v>32</v>
      </c>
      <c r="H271" s="128">
        <f>HKU!H22</f>
        <v>31</v>
      </c>
      <c r="I271" s="128">
        <f>'計分版'!D276</f>
        <v>0.00000000315</v>
      </c>
      <c r="J271" s="112">
        <f>HKU!L22</f>
        <v>14</v>
      </c>
      <c r="K271" s="112">
        <f>HKU!AB22</f>
        <v>16</v>
      </c>
      <c r="L271" s="153">
        <f>IFERROR(HKU!AJ22/HKU!AC22,"新科目")</f>
        <v>3</v>
      </c>
      <c r="M271" s="112">
        <f>'入學要求'!S259</f>
        <v>0</v>
      </c>
      <c r="N271" s="112"/>
      <c r="O271" s="112"/>
      <c r="P271" s="112"/>
      <c r="Q271" s="112"/>
      <c r="R271" s="112"/>
      <c r="S271" s="112"/>
      <c r="T271" s="112"/>
      <c r="U271" s="112"/>
      <c r="V271" s="112"/>
      <c r="W271" s="112"/>
      <c r="X271" s="112"/>
      <c r="Y271" s="112"/>
      <c r="Z271" s="112"/>
      <c r="AA271" s="112"/>
      <c r="AB271" s="112"/>
    </row>
    <row r="272" ht="15.75" customHeight="1">
      <c r="A272" s="112" t="str">
        <f>HKU!A23</f>
        <v>JS6951</v>
      </c>
      <c r="B272" s="112" t="s">
        <v>179</v>
      </c>
      <c r="C272" s="112" t="str">
        <f>HKU!C23</f>
        <v>工學學士(工程科學)</v>
      </c>
      <c r="D272" s="112" t="str">
        <f>HKU!D23</f>
        <v>	BENG(EngSc)</v>
      </c>
      <c r="E272" s="112" t="str">
        <f>HKU!E23</f>
        <v>Best 5</v>
      </c>
      <c r="F272" s="128">
        <f>HKU!F23</f>
        <v>28</v>
      </c>
      <c r="G272" s="128">
        <f>HKU!G23</f>
        <v>26</v>
      </c>
      <c r="H272" s="128">
        <f>HKU!H23</f>
        <v>25</v>
      </c>
      <c r="I272" s="128">
        <f>'計分版'!D277</f>
        <v>0.00000000315</v>
      </c>
      <c r="J272" s="112">
        <f>HKU!L23</f>
        <v>20</v>
      </c>
      <c r="K272" s="112">
        <f>HKU!AB23</f>
        <v>14</v>
      </c>
      <c r="L272" s="153">
        <f>IFERROR(HKU!AJ23/HKU!AC23,"新科目")</f>
        <v>6.428571429</v>
      </c>
      <c r="M272" s="112">
        <f>'入學要求'!S260</f>
        <v>0</v>
      </c>
      <c r="N272" s="112"/>
      <c r="O272" s="112"/>
      <c r="P272" s="112"/>
      <c r="Q272" s="112"/>
      <c r="R272" s="112"/>
      <c r="S272" s="112"/>
      <c r="T272" s="112"/>
      <c r="U272" s="112"/>
      <c r="V272" s="112"/>
      <c r="W272" s="112"/>
      <c r="X272" s="112"/>
      <c r="Y272" s="112"/>
      <c r="Z272" s="112"/>
      <c r="AA272" s="112"/>
      <c r="AB272" s="112"/>
    </row>
    <row r="273" ht="15.75" customHeight="1">
      <c r="A273" s="112" t="str">
        <f>HKU!A24</f>
        <v>JS6963</v>
      </c>
      <c r="B273" s="112" t="s">
        <v>179</v>
      </c>
      <c r="C273" s="112" t="str">
        <f>HKU!C24</f>
        <v>工學學士</v>
      </c>
      <c r="D273" s="112" t="str">
        <f>HKU!D24</f>
        <v>	BENG</v>
      </c>
      <c r="E273" s="112" t="str">
        <f>HKU!E24</f>
        <v>Best 5</v>
      </c>
      <c r="F273" s="128">
        <f>HKU!F24</f>
        <v>26</v>
      </c>
      <c r="G273" s="128">
        <f>HKU!G24</f>
        <v>25</v>
      </c>
      <c r="H273" s="128">
        <f>HKU!H24</f>
        <v>23</v>
      </c>
      <c r="I273" s="128">
        <f>'計分版'!D278</f>
        <v>0.00000000315</v>
      </c>
      <c r="J273" s="112">
        <f>HKU!L24</f>
        <v>383</v>
      </c>
      <c r="K273" s="112">
        <f>HKU!AB24</f>
        <v>325</v>
      </c>
      <c r="L273" s="153">
        <f>IFERROR(HKU!AJ24/HKU!AC24,"新科目")</f>
        <v>2.839009288</v>
      </c>
      <c r="M273" s="112">
        <f>'入學要求'!S261</f>
        <v>0</v>
      </c>
      <c r="N273" s="112"/>
      <c r="O273" s="112"/>
      <c r="P273" s="112"/>
      <c r="Q273" s="112"/>
      <c r="R273" s="112"/>
      <c r="S273" s="112"/>
      <c r="T273" s="112"/>
      <c r="U273" s="112"/>
      <c r="V273" s="112"/>
      <c r="W273" s="112"/>
      <c r="X273" s="112"/>
      <c r="Y273" s="112"/>
      <c r="Z273" s="112"/>
      <c r="AA273" s="112"/>
      <c r="AB273" s="112"/>
    </row>
    <row r="274" ht="15.75" customHeight="1">
      <c r="A274" s="112" t="str">
        <f>HKU!A25</f>
        <v>JS6078</v>
      </c>
      <c r="B274" s="112" t="s">
        <v>179</v>
      </c>
      <c r="C274" s="112" t="str">
        <f>HKU!C25</f>
        <v>文學士及法學士 (雙學位課程)</v>
      </c>
      <c r="D274" s="112" t="str">
        <f>HKU!D25</f>
        <v>	BA&amp;LLB</v>
      </c>
      <c r="E274" s="112" t="str">
        <f>HKU!E25</f>
        <v>Best 6</v>
      </c>
      <c r="F274" s="128">
        <f>HKU!F25</f>
        <v>44</v>
      </c>
      <c r="G274" s="128">
        <f>HKU!G25</f>
        <v>41</v>
      </c>
      <c r="H274" s="128">
        <f>HKU!H25</f>
        <v>39</v>
      </c>
      <c r="I274" s="128">
        <f>'計分版'!D279</f>
        <v>0.0000000036</v>
      </c>
      <c r="J274" s="112">
        <f>HKU!L25</f>
        <v>20</v>
      </c>
      <c r="K274" s="112">
        <f>HKU!AB25</f>
        <v>18</v>
      </c>
      <c r="L274" s="153">
        <f>IFERROR(HKU!AJ25/HKU!AC25,"新科目")</f>
        <v>2.055555556</v>
      </c>
      <c r="M274" s="112">
        <f>'入學要求'!S262</f>
        <v>0</v>
      </c>
      <c r="N274" s="112"/>
      <c r="O274" s="112"/>
      <c r="P274" s="112"/>
      <c r="Q274" s="112"/>
      <c r="R274" s="112"/>
      <c r="S274" s="112"/>
      <c r="T274" s="112"/>
      <c r="U274" s="112"/>
      <c r="V274" s="112"/>
      <c r="W274" s="112"/>
      <c r="X274" s="112"/>
      <c r="Y274" s="112"/>
      <c r="Z274" s="112"/>
      <c r="AA274" s="112"/>
      <c r="AB274" s="112"/>
    </row>
    <row r="275" ht="15.75" customHeight="1">
      <c r="A275" s="112" t="str">
        <f>HKU!A26</f>
        <v>JS6406</v>
      </c>
      <c r="B275" s="112" t="s">
        <v>179</v>
      </c>
      <c r="C275" s="112" t="str">
        <f>HKU!C26</f>
        <v>法學士</v>
      </c>
      <c r="D275" s="112" t="str">
        <f>HKU!D26</f>
        <v>	LLB</v>
      </c>
      <c r="E275" s="112" t="str">
        <f>HKU!E26</f>
        <v>Best 6</v>
      </c>
      <c r="F275" s="128">
        <f>HKU!F26</f>
        <v>39</v>
      </c>
      <c r="G275" s="128">
        <f>HKU!G26</f>
        <v>38</v>
      </c>
      <c r="H275" s="128">
        <f>HKU!H26</f>
        <v>36</v>
      </c>
      <c r="I275" s="128">
        <f>'計分版'!D280</f>
        <v>0.0000000036</v>
      </c>
      <c r="J275" s="112">
        <f>HKU!L26</f>
        <v>98</v>
      </c>
      <c r="K275" s="112">
        <f>HKU!AB26</f>
        <v>72</v>
      </c>
      <c r="L275" s="153">
        <f>IFERROR(HKU!AJ26/HKU!AC26,"新科目")</f>
        <v>3.267605634</v>
      </c>
      <c r="M275" s="112">
        <f>'入學要求'!S263</f>
        <v>0</v>
      </c>
      <c r="N275" s="112"/>
      <c r="O275" s="112"/>
      <c r="P275" s="112"/>
      <c r="Q275" s="112"/>
      <c r="R275" s="112"/>
      <c r="S275" s="112"/>
      <c r="T275" s="112"/>
      <c r="U275" s="112"/>
      <c r="V275" s="112"/>
      <c r="W275" s="112"/>
      <c r="X275" s="112"/>
      <c r="Y275" s="112"/>
      <c r="Z275" s="112"/>
      <c r="AA275" s="112"/>
      <c r="AB275" s="112"/>
    </row>
    <row r="276" ht="15.75" customHeight="1">
      <c r="A276" s="112" t="str">
        <f>HKU!A27</f>
        <v>JS6418</v>
      </c>
      <c r="B276" s="112" t="s">
        <v>179</v>
      </c>
      <c r="C276" s="112" t="str">
        <f>HKU!C27</f>
        <v>護理學學士菁英領袖培育專修組別</v>
      </c>
      <c r="D276" s="112" t="str">
        <f>HKU!D27</f>
        <v>BNURS-ALT</v>
      </c>
      <c r="E276" s="112" t="str">
        <f>HKU!E27</f>
        <v>Best 5</v>
      </c>
      <c r="F276" s="128" t="str">
        <f>HKU!F27</f>
        <v>/</v>
      </c>
      <c r="G276" s="128" t="str">
        <f>HKU!G27</f>
        <v>/</v>
      </c>
      <c r="H276" s="128" t="str">
        <f>HKU!H27</f>
        <v>/</v>
      </c>
      <c r="I276" s="128">
        <f>'計分版'!D281</f>
        <v>0.0000000034</v>
      </c>
      <c r="J276" s="112">
        <f>HKU!L27</f>
        <v>15</v>
      </c>
      <c r="K276" s="112" t="str">
        <f>HKU!AB27</f>
        <v>/</v>
      </c>
      <c r="L276" s="153" t="str">
        <f>IFERROR(HKU!AJ27/HKU!AC27,"新科目")</f>
        <v>新科目</v>
      </c>
      <c r="M276" s="112">
        <f>'入學要求'!S264</f>
        <v>0</v>
      </c>
      <c r="N276" s="112"/>
      <c r="O276" s="112"/>
      <c r="P276" s="112"/>
      <c r="Q276" s="112"/>
      <c r="R276" s="112"/>
      <c r="S276" s="112"/>
      <c r="T276" s="112"/>
      <c r="U276" s="112"/>
      <c r="V276" s="112"/>
      <c r="W276" s="112"/>
      <c r="X276" s="112"/>
      <c r="Y276" s="112"/>
      <c r="Z276" s="112"/>
      <c r="AA276" s="112"/>
      <c r="AB276" s="112"/>
    </row>
    <row r="277" ht="15.75" customHeight="1">
      <c r="A277" s="112" t="str">
        <f>HKU!A28</f>
        <v>JS6456</v>
      </c>
      <c r="B277" s="112" t="s">
        <v>179</v>
      </c>
      <c r="C277" s="112" t="str">
        <f>HKU!C28</f>
        <v>內外全科醫學士</v>
      </c>
      <c r="D277" s="112" t="str">
        <f>HKU!D28</f>
        <v>	MBBS</v>
      </c>
      <c r="E277" s="112" t="str">
        <f>HKU!E28</f>
        <v>Best 6</v>
      </c>
      <c r="F277" s="128">
        <f>HKU!F28</f>
        <v>48</v>
      </c>
      <c r="G277" s="128">
        <f>HKU!G28</f>
        <v>45</v>
      </c>
      <c r="H277" s="128">
        <f>HKU!H28</f>
        <v>44</v>
      </c>
      <c r="I277" s="128">
        <f>'計分版'!D282</f>
        <v>0.000000003766666667</v>
      </c>
      <c r="J277" s="112">
        <f>HKU!L28</f>
        <v>265</v>
      </c>
      <c r="K277" s="112">
        <f>HKU!AB28</f>
        <v>150</v>
      </c>
      <c r="L277" s="153">
        <f>IFERROR(HKU!AJ28/HKU!AC28,"新科目")</f>
        <v>3.173333333</v>
      </c>
      <c r="M277" s="112">
        <f>'入學要求'!S265</f>
        <v>0</v>
      </c>
      <c r="N277" s="112"/>
      <c r="O277" s="112"/>
      <c r="P277" s="112"/>
      <c r="Q277" s="112"/>
      <c r="R277" s="112"/>
      <c r="S277" s="112"/>
      <c r="T277" s="112"/>
      <c r="U277" s="112"/>
      <c r="V277" s="112"/>
      <c r="W277" s="112"/>
      <c r="X277" s="112"/>
      <c r="Y277" s="112"/>
      <c r="Z277" s="112"/>
      <c r="AA277" s="112"/>
      <c r="AB277" s="112"/>
    </row>
    <row r="278" ht="15.75" customHeight="1">
      <c r="A278" s="112" t="str">
        <f>HKU!A29</f>
        <v>JS6468</v>
      </c>
      <c r="B278" s="112" t="s">
        <v>179</v>
      </c>
      <c r="C278" s="112" t="str">
        <f>HKU!C29</f>
        <v>護理學學士</v>
      </c>
      <c r="D278" s="112" t="str">
        <f>HKU!D29</f>
        <v>	BNURS</v>
      </c>
      <c r="E278" s="112" t="str">
        <f>HKU!E29</f>
        <v>Best 5</v>
      </c>
      <c r="F278" s="128">
        <f>HKU!F29</f>
        <v>26</v>
      </c>
      <c r="G278" s="128">
        <f>HKU!G29</f>
        <v>25</v>
      </c>
      <c r="H278" s="128">
        <f>HKU!H29</f>
        <v>25</v>
      </c>
      <c r="I278" s="128">
        <f>'計分版'!D283</f>
        <v>0.0000000034</v>
      </c>
      <c r="J278" s="112">
        <f>HKU!L29</f>
        <v>195</v>
      </c>
      <c r="K278" s="112">
        <f>HKU!AB29</f>
        <v>190</v>
      </c>
      <c r="L278" s="153">
        <f>IFERROR(HKU!AJ29/HKU!AC29,"新科目")</f>
        <v>5.994736842</v>
      </c>
      <c r="M278" s="112">
        <f>'入學要求'!S266</f>
        <v>0</v>
      </c>
      <c r="N278" s="112"/>
      <c r="O278" s="112"/>
      <c r="P278" s="112"/>
      <c r="Q278" s="112"/>
      <c r="R278" s="112"/>
      <c r="S278" s="112"/>
      <c r="T278" s="112"/>
      <c r="U278" s="112"/>
      <c r="V278" s="112"/>
      <c r="W278" s="112"/>
      <c r="X278" s="112"/>
      <c r="Y278" s="112"/>
      <c r="Z278" s="112"/>
      <c r="AA278" s="112"/>
      <c r="AB278" s="112"/>
    </row>
    <row r="279" ht="15.75" customHeight="1">
      <c r="A279" s="112" t="str">
        <f>HKU!A30</f>
        <v>JS6482</v>
      </c>
      <c r="B279" s="112" t="s">
        <v>179</v>
      </c>
      <c r="C279" s="112" t="str">
        <f>HKU!C30</f>
        <v>中醫全科學士</v>
      </c>
      <c r="D279" s="112" t="str">
        <f>HKU!D30</f>
        <v>BChinMed</v>
      </c>
      <c r="E279" s="112" t="str">
        <f>HKU!E30</f>
        <v>Best 5</v>
      </c>
      <c r="F279" s="128">
        <f>HKU!F30</f>
        <v>29</v>
      </c>
      <c r="G279" s="128">
        <f>HKU!G30</f>
        <v>28</v>
      </c>
      <c r="H279" s="128">
        <f>HKU!H30</f>
        <v>28</v>
      </c>
      <c r="I279" s="128">
        <f>'計分版'!D284</f>
        <v>0.0000000034</v>
      </c>
      <c r="J279" s="112">
        <f>HKU!L30</f>
        <v>24</v>
      </c>
      <c r="K279" s="112">
        <f>HKU!AB30</f>
        <v>19</v>
      </c>
      <c r="L279" s="153">
        <f>IFERROR(HKU!AJ30/HKU!AC30,"新科目")</f>
        <v>5.235294118</v>
      </c>
      <c r="M279" s="112">
        <f>'入學要求'!S267</f>
        <v>0</v>
      </c>
      <c r="N279" s="112"/>
      <c r="O279" s="112"/>
      <c r="P279" s="112"/>
      <c r="Q279" s="112"/>
      <c r="R279" s="112"/>
      <c r="S279" s="112"/>
      <c r="T279" s="112"/>
      <c r="U279" s="112"/>
      <c r="V279" s="112"/>
      <c r="W279" s="112"/>
      <c r="X279" s="112"/>
      <c r="Y279" s="112"/>
      <c r="Z279" s="112"/>
      <c r="AA279" s="112"/>
      <c r="AB279" s="112"/>
    </row>
    <row r="280" ht="15.75" customHeight="1">
      <c r="A280" s="112" t="str">
        <f>HKU!A31</f>
        <v>JS6494</v>
      </c>
      <c r="B280" s="112" t="s">
        <v>179</v>
      </c>
      <c r="C280" s="112" t="str">
        <f>HKU!C31</f>
        <v>藥劑學學士</v>
      </c>
      <c r="D280" s="112" t="str">
        <f>HKU!D31</f>
        <v>Bpharm</v>
      </c>
      <c r="E280" s="112" t="str">
        <f>HKU!E31</f>
        <v>Best 6</v>
      </c>
      <c r="F280" s="128">
        <f>HKU!F31</f>
        <v>39</v>
      </c>
      <c r="G280" s="128">
        <f>HKU!G31</f>
        <v>38</v>
      </c>
      <c r="H280" s="128">
        <f>HKU!H31</f>
        <v>36</v>
      </c>
      <c r="I280" s="128">
        <f>'計分版'!D285</f>
        <v>0.000000003766666667</v>
      </c>
      <c r="J280" s="112">
        <f>HKU!L31</f>
        <v>30</v>
      </c>
      <c r="K280" s="112">
        <f>HKU!AB31</f>
        <v>32</v>
      </c>
      <c r="L280" s="153">
        <f>IFERROR(HKU!AJ31/HKU!AC31,"新科目")</f>
        <v>4.59375</v>
      </c>
      <c r="M280" s="112">
        <f>'入學要求'!S268</f>
        <v>0</v>
      </c>
      <c r="N280" s="112"/>
      <c r="O280" s="112"/>
      <c r="P280" s="112"/>
      <c r="Q280" s="112"/>
      <c r="R280" s="112"/>
      <c r="S280" s="112"/>
      <c r="T280" s="112"/>
      <c r="U280" s="112"/>
      <c r="V280" s="112"/>
      <c r="W280" s="112"/>
      <c r="X280" s="112"/>
      <c r="Y280" s="112"/>
      <c r="Z280" s="112"/>
      <c r="AA280" s="112"/>
      <c r="AB280" s="112"/>
    </row>
    <row r="281" ht="15.75" customHeight="1">
      <c r="A281" s="112" t="str">
        <f>HKU!A32</f>
        <v>JS6949</v>
      </c>
      <c r="B281" s="112" t="s">
        <v>179</v>
      </c>
      <c r="C281" s="112" t="str">
        <f>HKU!C32</f>
        <v>生物醫學學士</v>
      </c>
      <c r="D281" s="112" t="str">
        <f>HKU!D32</f>
        <v>	BBiomedSc</v>
      </c>
      <c r="E281" s="112" t="str">
        <f>HKU!E32</f>
        <v>Best 6</v>
      </c>
      <c r="F281" s="128">
        <f>HKU!F32</f>
        <v>41</v>
      </c>
      <c r="G281" s="128">
        <f>HKU!G32</f>
        <v>39</v>
      </c>
      <c r="H281" s="128">
        <f>HKU!H32</f>
        <v>39</v>
      </c>
      <c r="I281" s="128">
        <f>'計分版'!D286</f>
        <v>0.000000003766666667</v>
      </c>
      <c r="J281" s="112">
        <f>HKU!L32</f>
        <v>35</v>
      </c>
      <c r="K281" s="112">
        <f>HKU!AB32</f>
        <v>28</v>
      </c>
      <c r="L281" s="153">
        <f>IFERROR(HKU!AJ32/HKU!AC32,"新科目")</f>
        <v>5.714285714</v>
      </c>
      <c r="M281" s="112">
        <f>'入學要求'!S269</f>
        <v>0</v>
      </c>
      <c r="N281" s="112"/>
      <c r="O281" s="112"/>
      <c r="P281" s="112"/>
      <c r="Q281" s="112"/>
      <c r="R281" s="112"/>
      <c r="S281" s="112"/>
      <c r="T281" s="112"/>
      <c r="U281" s="112"/>
      <c r="V281" s="112"/>
      <c r="W281" s="112"/>
      <c r="X281" s="112"/>
      <c r="Y281" s="112"/>
      <c r="Z281" s="112"/>
      <c r="AA281" s="112"/>
      <c r="AB281" s="112"/>
    </row>
    <row r="282" ht="15.75" customHeight="1">
      <c r="A282" s="112" t="str">
        <f>HKU!A33</f>
        <v>JS6688</v>
      </c>
      <c r="B282" s="112" t="s">
        <v>179</v>
      </c>
      <c r="C282" s="112" t="str">
        <f>HKU!C33</f>
        <v>科研專才啟導課程</v>
      </c>
      <c r="D282" s="112" t="str">
        <f>HKU!D33</f>
        <v>SMC</v>
      </c>
      <c r="E282" s="112" t="str">
        <f>HKU!E33</f>
        <v>Best 6</v>
      </c>
      <c r="F282" s="128" t="s">
        <v>541</v>
      </c>
      <c r="G282" s="128" t="s">
        <v>541</v>
      </c>
      <c r="H282" s="128" t="s">
        <v>541</v>
      </c>
      <c r="I282" s="128">
        <f>'計分版'!D287</f>
        <v>0.000000003125</v>
      </c>
      <c r="J282" s="112">
        <f>HKU!L33</f>
        <v>20</v>
      </c>
      <c r="K282" s="112" t="str">
        <f>HKU!AB33</f>
        <v>/</v>
      </c>
      <c r="L282" s="153" t="str">
        <f>IFERROR(HKU!AJ33/HKU!AC33,"新科目")</f>
        <v>新科目</v>
      </c>
      <c r="M282" s="112">
        <f>'入學要求'!S270</f>
        <v>0</v>
      </c>
      <c r="N282" s="112"/>
      <c r="O282" s="112"/>
      <c r="P282" s="112"/>
      <c r="Q282" s="112"/>
      <c r="R282" s="112"/>
      <c r="S282" s="112"/>
      <c r="T282" s="112"/>
      <c r="U282" s="112"/>
      <c r="V282" s="112"/>
      <c r="W282" s="112"/>
      <c r="X282" s="112"/>
      <c r="Y282" s="112"/>
      <c r="Z282" s="112"/>
      <c r="AA282" s="112"/>
      <c r="AB282" s="112"/>
    </row>
    <row r="283" ht="15.75" customHeight="1">
      <c r="A283" s="112" t="str">
        <f>HKU!A34</f>
        <v>JS6729</v>
      </c>
      <c r="B283" s="112" t="s">
        <v>179</v>
      </c>
      <c r="C283" s="112" t="str">
        <f>HKU!C34</f>
        <v>理學士(精算學)</v>
      </c>
      <c r="D283" s="112" t="str">
        <f>HKU!D34</f>
        <v>	BSC(AC)</v>
      </c>
      <c r="E283" s="112" t="str">
        <f>HKU!E34</f>
        <v>Best 6</v>
      </c>
      <c r="F283" s="128">
        <f>HKU!F34</f>
        <v>55</v>
      </c>
      <c r="G283" s="128">
        <f>HKU!G34</f>
        <v>51</v>
      </c>
      <c r="H283" s="128">
        <f>HKU!H34</f>
        <v>48</v>
      </c>
      <c r="I283" s="128">
        <f>'計分版'!D288</f>
        <v>0.0000000044</v>
      </c>
      <c r="J283" s="112">
        <f>HKU!L34</f>
        <v>61</v>
      </c>
      <c r="K283" s="112">
        <f>HKU!AB34</f>
        <v>62</v>
      </c>
      <c r="L283" s="153">
        <f>IFERROR(HKU!AJ34/HKU!AC34,"新科目")</f>
        <v>2.564516129</v>
      </c>
      <c r="M283" s="112">
        <f>'入學要求'!S271</f>
        <v>0</v>
      </c>
      <c r="N283" s="112"/>
      <c r="O283" s="112"/>
      <c r="P283" s="112"/>
      <c r="Q283" s="112"/>
      <c r="R283" s="112"/>
      <c r="S283" s="112"/>
      <c r="T283" s="112"/>
      <c r="U283" s="112"/>
      <c r="V283" s="112"/>
      <c r="W283" s="112"/>
      <c r="X283" s="112"/>
      <c r="Y283" s="112"/>
      <c r="Z283" s="112"/>
      <c r="AA283" s="112"/>
      <c r="AB283" s="112"/>
    </row>
    <row r="284" ht="15.75" customHeight="1">
      <c r="A284" s="112" t="str">
        <f>HKU!A35</f>
        <v>JS6901</v>
      </c>
      <c r="B284" s="112" t="s">
        <v>179</v>
      </c>
      <c r="C284" s="112" t="str">
        <f>HKU!C35</f>
        <v>理學士</v>
      </c>
      <c r="D284" s="112" t="str">
        <f>HKU!D35</f>
        <v>	BSC</v>
      </c>
      <c r="E284" s="112" t="str">
        <f>HKU!E35</f>
        <v>Best 5</v>
      </c>
      <c r="F284" s="128">
        <f>HKU!F35</f>
        <v>46</v>
      </c>
      <c r="G284" s="128">
        <f>HKU!G35</f>
        <v>41</v>
      </c>
      <c r="H284" s="128">
        <f>HKU!H35</f>
        <v>37</v>
      </c>
      <c r="I284" s="128">
        <f>'計分版'!D289</f>
        <v>0.000000003025</v>
      </c>
      <c r="J284" s="112">
        <f>HKU!L35</f>
        <v>316</v>
      </c>
      <c r="K284" s="112">
        <f>HKU!AB35</f>
        <v>381</v>
      </c>
      <c r="L284" s="153">
        <f>IFERROR(HKU!AJ35/HKU!AC35,"新科目")</f>
        <v>3.194666667</v>
      </c>
      <c r="M284" s="112">
        <f>'入學要求'!S272</f>
        <v>0</v>
      </c>
      <c r="N284" s="112"/>
      <c r="O284" s="112"/>
      <c r="P284" s="112"/>
      <c r="Q284" s="112"/>
      <c r="R284" s="112"/>
      <c r="S284" s="112"/>
      <c r="T284" s="112"/>
      <c r="U284" s="112"/>
      <c r="V284" s="112"/>
      <c r="W284" s="112"/>
      <c r="X284" s="112"/>
      <c r="Y284" s="112"/>
      <c r="Z284" s="112"/>
      <c r="AA284" s="112"/>
      <c r="AB284" s="112"/>
    </row>
    <row r="285" ht="15.75" customHeight="1">
      <c r="A285" s="112" t="str">
        <f>HKU!A36</f>
        <v>JS6717</v>
      </c>
      <c r="B285" s="112" t="s">
        <v>179</v>
      </c>
      <c r="C285" s="112" t="str">
        <f>HKU!C36</f>
        <v>社會科學學士</v>
      </c>
      <c r="D285" s="112" t="str">
        <f>HKU!D36</f>
        <v>	BSS</v>
      </c>
      <c r="E285" s="112" t="str">
        <f>HKU!E36</f>
        <v>Best 5</v>
      </c>
      <c r="F285" s="128">
        <f>HKU!F36</f>
        <v>29</v>
      </c>
      <c r="G285" s="128">
        <f>HKU!G36</f>
        <v>28</v>
      </c>
      <c r="H285" s="128">
        <f>HKU!H36</f>
        <v>26</v>
      </c>
      <c r="I285" s="128">
        <f>'計分版'!D290</f>
        <v>0.00000000395</v>
      </c>
      <c r="J285" s="112">
        <f>HKU!L36</f>
        <v>179</v>
      </c>
      <c r="K285" s="112">
        <f>HKU!AB36</f>
        <v>160</v>
      </c>
      <c r="L285" s="153">
        <f>IFERROR(HKU!AJ36/HKU!AC36,"新科目")</f>
        <v>3.3375</v>
      </c>
      <c r="M285" s="112">
        <f>'入學要求'!S273</f>
        <v>0</v>
      </c>
      <c r="N285" s="112"/>
      <c r="O285" s="112"/>
      <c r="P285" s="112"/>
      <c r="Q285" s="112"/>
      <c r="R285" s="112"/>
      <c r="S285" s="112"/>
      <c r="T285" s="112"/>
      <c r="U285" s="112"/>
      <c r="V285" s="112"/>
      <c r="W285" s="112"/>
      <c r="X285" s="112"/>
      <c r="Y285" s="112"/>
      <c r="Z285" s="112"/>
      <c r="AA285" s="112"/>
      <c r="AB285" s="112"/>
    </row>
    <row r="286" ht="15.75" customHeight="1">
      <c r="A286" s="112" t="str">
        <f>HKU!A37</f>
        <v>JS6731</v>
      </c>
      <c r="B286" s="112" t="s">
        <v>179</v>
      </c>
      <c r="C286" s="112" t="str">
        <f>HKU!C37</f>
        <v>社會工作學學士</v>
      </c>
      <c r="D286" s="112" t="str">
        <f>HKU!D37</f>
        <v>BSW</v>
      </c>
      <c r="E286" s="112" t="str">
        <f>HKU!E37</f>
        <v>Best 5</v>
      </c>
      <c r="F286" s="128">
        <f>HKU!F37</f>
        <v>28</v>
      </c>
      <c r="G286" s="128">
        <f>HKU!G37</f>
        <v>28</v>
      </c>
      <c r="H286" s="128">
        <f>HKU!H37</f>
        <v>26</v>
      </c>
      <c r="I286" s="128">
        <f>'計分版'!D291</f>
        <v>0.00000000395</v>
      </c>
      <c r="J286" s="112">
        <f>HKU!L37</f>
        <v>35</v>
      </c>
      <c r="K286" s="112">
        <f>HKU!AB37</f>
        <v>36</v>
      </c>
      <c r="L286" s="153">
        <f>IFERROR(HKU!AJ37/HKU!AC37,"新科目")</f>
        <v>6.611111111</v>
      </c>
      <c r="M286" s="112">
        <f>'入學要求'!S274</f>
        <v>0</v>
      </c>
      <c r="N286" s="112"/>
      <c r="O286" s="112"/>
      <c r="P286" s="112"/>
      <c r="Q286" s="112"/>
      <c r="R286" s="112"/>
      <c r="S286" s="112"/>
      <c r="T286" s="112"/>
      <c r="U286" s="112"/>
      <c r="V286" s="112"/>
      <c r="W286" s="112"/>
      <c r="X286" s="112"/>
      <c r="Y286" s="112"/>
      <c r="Z286" s="112"/>
      <c r="AA286" s="112"/>
      <c r="AB286" s="112"/>
    </row>
    <row r="287" ht="15.75" customHeight="1">
      <c r="A287" s="112" t="str">
        <f>HKU!A38</f>
        <v>JS6810</v>
      </c>
      <c r="B287" s="112" t="s">
        <v>179</v>
      </c>
      <c r="C287" s="112" t="str">
        <f>HKU!C38</f>
        <v>社會科學學士(政治學與法學)及法學士 (雙學位課程)</v>
      </c>
      <c r="D287" s="112" t="str">
        <f>HKU!D38</f>
        <v>	BSS(GL)&amp;LLB</v>
      </c>
      <c r="E287" s="112" t="str">
        <f>HKU!E38</f>
        <v>Best 6</v>
      </c>
      <c r="F287" s="128">
        <f>HKU!F38</f>
        <v>41</v>
      </c>
      <c r="G287" s="128">
        <f>HKU!G38</f>
        <v>39</v>
      </c>
      <c r="H287" s="128">
        <f>HKU!H38</f>
        <v>38</v>
      </c>
      <c r="I287" s="128">
        <f>'計分版'!D292</f>
        <v>0.0000000037</v>
      </c>
      <c r="J287" s="112">
        <f>HKU!L38</f>
        <v>50</v>
      </c>
      <c r="K287" s="112">
        <f>HKU!AB38</f>
        <v>41</v>
      </c>
      <c r="L287" s="153">
        <f>IFERROR(HKU!AJ38/HKU!AC38,"新科目")</f>
        <v>2.097560976</v>
      </c>
      <c r="M287" s="112">
        <f>'入學要求'!S275</f>
        <v>0</v>
      </c>
      <c r="N287" s="112"/>
      <c r="O287" s="112"/>
      <c r="P287" s="112"/>
      <c r="Q287" s="112"/>
      <c r="R287" s="112"/>
      <c r="S287" s="112"/>
      <c r="T287" s="112"/>
      <c r="U287" s="112"/>
      <c r="V287" s="112"/>
      <c r="W287" s="112"/>
      <c r="X287" s="112"/>
      <c r="Y287" s="112"/>
      <c r="Z287" s="112"/>
      <c r="AA287" s="112"/>
      <c r="AB287" s="112"/>
    </row>
    <row r="288" ht="15.75" customHeight="1">
      <c r="A288" s="112" t="str">
        <f>HKU!A39</f>
        <v>JS6822</v>
      </c>
      <c r="B288" s="112" t="s">
        <v>179</v>
      </c>
      <c r="C288" s="112" t="str">
        <f>HKU!C39</f>
        <v>新聞學學士</v>
      </c>
      <c r="D288" s="112" t="str">
        <f>HKU!D39</f>
        <v>	BJ</v>
      </c>
      <c r="E288" s="112" t="str">
        <f>HKU!E39</f>
        <v>Best 5</v>
      </c>
      <c r="F288" s="128">
        <f>HKU!F39</f>
        <v>29</v>
      </c>
      <c r="G288" s="128">
        <f>HKU!G39</f>
        <v>28</v>
      </c>
      <c r="H288" s="128">
        <f>HKU!H39</f>
        <v>26</v>
      </c>
      <c r="I288" s="128">
        <f>'計分版'!D293</f>
        <v>0.00000000395</v>
      </c>
      <c r="J288" s="112">
        <f>HKU!L39</f>
        <v>21</v>
      </c>
      <c r="K288" s="112">
        <f>HKU!AB39</f>
        <v>20</v>
      </c>
      <c r="L288" s="153">
        <f>IFERROR(HKU!AJ39/HKU!AC39,"新科目")</f>
        <v>4.05</v>
      </c>
      <c r="M288" s="112">
        <f>'入學要求'!S276</f>
        <v>0</v>
      </c>
      <c r="N288" s="112"/>
      <c r="O288" s="112"/>
      <c r="P288" s="112"/>
      <c r="Q288" s="112"/>
      <c r="R288" s="112"/>
      <c r="S288" s="112"/>
      <c r="T288" s="112"/>
      <c r="U288" s="112"/>
      <c r="V288" s="112"/>
      <c r="W288" s="112"/>
      <c r="X288" s="112"/>
      <c r="Y288" s="112"/>
      <c r="Z288" s="112"/>
      <c r="AA288" s="112"/>
      <c r="AB288" s="112"/>
    </row>
    <row r="289" ht="15.75" customHeight="1">
      <c r="A289" s="112" t="str">
        <f>HKU!A40</f>
        <v>JS6212</v>
      </c>
      <c r="B289" s="112" t="s">
        <v>179</v>
      </c>
      <c r="C289" s="112" t="str">
        <f>HKU!C40</f>
        <v>文理學士</v>
      </c>
      <c r="D289" s="112" t="str">
        <f>HKU!D40</f>
        <v>	BASc</v>
      </c>
      <c r="E289" s="112" t="str">
        <f>HKU!E40</f>
        <v>Best 5</v>
      </c>
      <c r="F289" s="128">
        <f>HKU!F40</f>
        <v>31</v>
      </c>
      <c r="G289" s="128">
        <f>HKU!G40</f>
        <v>31</v>
      </c>
      <c r="H289" s="128">
        <f>HKU!H40</f>
        <v>29</v>
      </c>
      <c r="I289" s="128">
        <f>'計分版'!D294</f>
        <v>0.00000000395</v>
      </c>
      <c r="J289" s="112">
        <f>HKU!L40</f>
        <v>24</v>
      </c>
      <c r="K289" s="112">
        <f>HKU!AB40</f>
        <v>12</v>
      </c>
      <c r="L289" s="153">
        <f>IFERROR(HKU!AJ40/HKU!AC40,"新科目")</f>
        <v>2.75</v>
      </c>
      <c r="M289" s="112">
        <f>'入學要求'!S277</f>
        <v>0</v>
      </c>
      <c r="N289" s="112"/>
      <c r="O289" s="112"/>
      <c r="P289" s="112"/>
      <c r="Q289" s="112"/>
      <c r="R289" s="112"/>
      <c r="S289" s="112"/>
      <c r="T289" s="112"/>
      <c r="U289" s="112"/>
      <c r="V289" s="112"/>
      <c r="W289" s="112"/>
      <c r="X289" s="112"/>
      <c r="Y289" s="112"/>
      <c r="Z289" s="112"/>
      <c r="AA289" s="112"/>
      <c r="AB289" s="112"/>
    </row>
    <row r="290" ht="15.75" customHeight="1">
      <c r="A290" s="112" t="str">
        <f>HKU!A41</f>
        <v>JS6224</v>
      </c>
      <c r="B290" s="112" t="s">
        <v>179</v>
      </c>
      <c r="C290" s="112" t="str">
        <f>HKU!C41</f>
        <v>文理學士(應用人工智能)</v>
      </c>
      <c r="D290" s="112" t="str">
        <f>HKU!D41</f>
        <v>BASc(AppliedAI)</v>
      </c>
      <c r="E290" s="112" t="str">
        <f>HKU!E41</f>
        <v>Best 6</v>
      </c>
      <c r="F290" s="128">
        <f>HKU!F41</f>
        <v>74</v>
      </c>
      <c r="G290" s="128">
        <f>HKU!G41</f>
        <v>67</v>
      </c>
      <c r="H290" s="128">
        <f>HKU!H41</f>
        <v>64</v>
      </c>
      <c r="I290" s="128">
        <f>'計分版'!D295</f>
        <v>0.0000000044</v>
      </c>
      <c r="J290" s="112">
        <f>HKU!L41</f>
        <v>15</v>
      </c>
      <c r="K290" s="112">
        <f>HKU!AB41</f>
        <v>16</v>
      </c>
      <c r="L290" s="153">
        <f>IFERROR(HKU!AJ41/HKU!AC41,"新科目")</f>
        <v>4.25</v>
      </c>
      <c r="M290" s="112">
        <f>'入學要求'!S278</f>
        <v>0</v>
      </c>
      <c r="N290" s="112"/>
      <c r="O290" s="112"/>
      <c r="P290" s="112"/>
      <c r="Q290" s="112"/>
      <c r="R290" s="112"/>
      <c r="S290" s="112"/>
      <c r="T290" s="112"/>
      <c r="U290" s="112"/>
      <c r="V290" s="112"/>
      <c r="W290" s="112"/>
      <c r="X290" s="112"/>
      <c r="Y290" s="112"/>
      <c r="Z290" s="112"/>
      <c r="AA290" s="112"/>
      <c r="AB290" s="112"/>
    </row>
    <row r="291" ht="15.75" customHeight="1">
      <c r="A291" s="112" t="str">
        <f>HKU!A42</f>
        <v>JS6236</v>
      </c>
      <c r="B291" s="112" t="s">
        <v>179</v>
      </c>
      <c r="C291" s="112" t="str">
        <f>HKU!C42</f>
        <v>文理學士(設計＋)</v>
      </c>
      <c r="D291" s="112" t="str">
        <f>HKU!D42</f>
        <v>	BASc(Design+)</v>
      </c>
      <c r="E291" s="112" t="str">
        <f>HKU!E42</f>
        <v>Best 6</v>
      </c>
      <c r="F291" s="128" t="str">
        <f>HKU!F42</f>
        <v>/</v>
      </c>
      <c r="G291" s="128">
        <f>HKU!G42</f>
        <v>41</v>
      </c>
      <c r="H291" s="128" t="str">
        <f>HKU!H42</f>
        <v>/</v>
      </c>
      <c r="I291" s="128">
        <f>'計分版'!D296</f>
        <v>0.00000000445</v>
      </c>
      <c r="J291" s="112">
        <f>HKU!L42</f>
        <v>15</v>
      </c>
      <c r="K291" s="112">
        <f>HKU!AB42</f>
        <v>2</v>
      </c>
      <c r="L291" s="153">
        <f>IFERROR(HKU!AJ42/HKU!AC42,"新科目")</f>
        <v>24</v>
      </c>
      <c r="M291" s="112">
        <f>'入學要求'!S279</f>
        <v>0</v>
      </c>
      <c r="N291" s="112"/>
      <c r="O291" s="112"/>
      <c r="P291" s="112"/>
      <c r="Q291" s="112"/>
      <c r="R291" s="112"/>
      <c r="S291" s="112"/>
      <c r="T291" s="112"/>
      <c r="U291" s="112"/>
      <c r="V291" s="112"/>
      <c r="W291" s="112"/>
      <c r="X291" s="112"/>
      <c r="Y291" s="112"/>
      <c r="Z291" s="112"/>
      <c r="AA291" s="112"/>
      <c r="AB291" s="112"/>
    </row>
    <row r="292" ht="15.75" customHeight="1">
      <c r="A292" s="112" t="str">
        <f>HKU!A43</f>
        <v>JS6248</v>
      </c>
      <c r="B292" s="112" t="s">
        <v>179</v>
      </c>
      <c r="C292" s="112" t="str">
        <f>HKU!C43</f>
        <v>文理學士(金融科技)</v>
      </c>
      <c r="D292" s="112" t="str">
        <f>HKU!D43</f>
        <v>	BASc(FinTech)</v>
      </c>
      <c r="E292" s="112" t="str">
        <f>HKU!E43</f>
        <v>Best 6</v>
      </c>
      <c r="F292" s="128">
        <f>HKU!F43</f>
        <v>39</v>
      </c>
      <c r="G292" s="128">
        <f>HKU!G43</f>
        <v>36</v>
      </c>
      <c r="H292" s="128">
        <f>HKU!H43</f>
        <v>35</v>
      </c>
      <c r="I292" s="128">
        <f>'計分版'!D297</f>
        <v>0.00000000385</v>
      </c>
      <c r="J292" s="112">
        <f>HKU!L43</f>
        <v>24</v>
      </c>
      <c r="K292" s="112">
        <f>HKU!AB43</f>
        <v>27</v>
      </c>
      <c r="L292" s="153">
        <f>IFERROR(HKU!AJ43/HKU!AC43,"新科目")</f>
        <v>2.37037037</v>
      </c>
      <c r="M292" s="112">
        <f>'入學要求'!S280</f>
        <v>0</v>
      </c>
      <c r="N292" s="112"/>
      <c r="O292" s="112"/>
      <c r="P292" s="112"/>
      <c r="Q292" s="112"/>
      <c r="R292" s="112"/>
      <c r="S292" s="112"/>
      <c r="T292" s="112"/>
      <c r="U292" s="112"/>
      <c r="V292" s="112"/>
      <c r="W292" s="112"/>
      <c r="X292" s="112"/>
      <c r="Y292" s="112"/>
      <c r="Z292" s="112"/>
      <c r="AA292" s="112"/>
      <c r="AB292" s="112"/>
    </row>
    <row r="293" ht="15.75" customHeight="1">
      <c r="A293" s="112" t="str">
        <f>HKU!A44</f>
        <v>JS6250</v>
      </c>
      <c r="B293" s="112" t="s">
        <v>179</v>
      </c>
      <c r="C293" s="112" t="str">
        <f>HKU!C44</f>
        <v>文理學士(環球衞生及發展)</v>
      </c>
      <c r="D293" s="112" t="str">
        <f>HKU!D44</f>
        <v>	BASc(GHD)</v>
      </c>
      <c r="E293" s="112" t="str">
        <f>HKU!E44</f>
        <v>Best 5</v>
      </c>
      <c r="F293" s="128">
        <f>HKU!F44</f>
        <v>31</v>
      </c>
      <c r="G293" s="128">
        <f>HKU!G44</f>
        <v>31</v>
      </c>
      <c r="H293" s="128">
        <f>HKU!H44</f>
        <v>29</v>
      </c>
      <c r="I293" s="128">
        <f>'計分版'!D298</f>
        <v>0.00000000395</v>
      </c>
      <c r="J293" s="112">
        <f>HKU!L44</f>
        <v>20</v>
      </c>
      <c r="K293" s="112">
        <f>HKU!AB44</f>
        <v>15</v>
      </c>
      <c r="L293" s="153">
        <f>IFERROR(HKU!AJ44/HKU!AC44,"新科目")</f>
        <v>2.6</v>
      </c>
      <c r="M293" s="112">
        <f>'入學要求'!S281</f>
        <v>0</v>
      </c>
      <c r="N293" s="112"/>
      <c r="O293" s="112"/>
      <c r="P293" s="112"/>
      <c r="Q293" s="112"/>
      <c r="R293" s="112"/>
      <c r="S293" s="112"/>
      <c r="T293" s="112"/>
      <c r="U293" s="112"/>
      <c r="V293" s="112"/>
      <c r="W293" s="112"/>
      <c r="X293" s="112"/>
      <c r="Y293" s="112"/>
      <c r="Z293" s="112"/>
      <c r="AA293" s="112"/>
      <c r="AB293" s="112"/>
    </row>
    <row r="294" ht="15.75" customHeight="1">
      <c r="A294" s="112"/>
      <c r="B294" s="112"/>
      <c r="C294" s="112"/>
      <c r="D294" s="112"/>
      <c r="E294" s="125"/>
      <c r="F294" s="128"/>
      <c r="G294" s="128"/>
      <c r="H294" s="128"/>
      <c r="I294" s="128"/>
      <c r="J294" s="112"/>
      <c r="K294" s="112"/>
      <c r="L294" s="153"/>
      <c r="M294" s="112"/>
      <c r="N294" s="112"/>
      <c r="O294" s="112"/>
      <c r="P294" s="112"/>
      <c r="Q294" s="112"/>
      <c r="R294" s="112"/>
      <c r="S294" s="112"/>
      <c r="T294" s="112"/>
      <c r="U294" s="112"/>
      <c r="V294" s="112"/>
      <c r="W294" s="112"/>
      <c r="X294" s="112"/>
      <c r="Y294" s="112"/>
      <c r="Z294" s="112"/>
      <c r="AA294" s="112"/>
      <c r="AB294" s="112"/>
    </row>
    <row r="295" ht="15.75" customHeight="1">
      <c r="A295" s="112"/>
      <c r="B295" s="112"/>
      <c r="C295" s="112"/>
      <c r="D295" s="112"/>
      <c r="E295" s="125"/>
      <c r="F295" s="159" t="s">
        <v>45</v>
      </c>
      <c r="G295" s="159" t="s">
        <v>46</v>
      </c>
      <c r="H295" s="159" t="s">
        <v>47</v>
      </c>
      <c r="I295" s="128" t="str">
        <f>'計分版'!D300</f>
        <v>總分</v>
      </c>
      <c r="J295" s="112"/>
      <c r="K295" s="112"/>
      <c r="L295" s="153"/>
      <c r="M295" s="112"/>
      <c r="N295" s="112"/>
      <c r="O295" s="112"/>
      <c r="P295" s="112"/>
      <c r="Q295" s="112"/>
      <c r="R295" s="112"/>
      <c r="S295" s="112"/>
      <c r="T295" s="112"/>
      <c r="U295" s="112"/>
      <c r="V295" s="112"/>
      <c r="W295" s="112"/>
      <c r="X295" s="112"/>
      <c r="Y295" s="112"/>
      <c r="Z295" s="112"/>
      <c r="AA295" s="112"/>
      <c r="AB295" s="112"/>
    </row>
    <row r="296" ht="15.75" customHeight="1">
      <c r="A296" s="112" t="str">
        <f>LingU!A2</f>
        <v>JS7101</v>
      </c>
      <c r="B296" s="112" t="s">
        <v>180</v>
      </c>
      <c r="C296" s="112" t="str">
        <f>LingU!C2</f>
        <v>中文(榮譽)文學士</v>
      </c>
      <c r="D296" s="112" t="str">
        <f>LingU!D2</f>
        <v>BA (Hons) Chinese</v>
      </c>
      <c r="E296" s="112" t="str">
        <f>LingU!E2</f>
        <v>Best 5</v>
      </c>
      <c r="F296" s="128" t="s">
        <v>541</v>
      </c>
      <c r="G296" s="128">
        <f>LingU!F2</f>
        <v>26.5</v>
      </c>
      <c r="H296" s="128">
        <f>LingU!G2</f>
        <v>26</v>
      </c>
      <c r="I296" s="128">
        <f>'計分版'!D301</f>
        <v>0.00000000395</v>
      </c>
      <c r="J296" s="112">
        <f>LingU!K2</f>
        <v>45</v>
      </c>
      <c r="K296" s="112">
        <f>LingU!Y2</f>
        <v>50</v>
      </c>
      <c r="L296" s="153">
        <f>IFERROR(LingU!AG2/LingU!Z2,"新科目")</f>
        <v>8.666666667</v>
      </c>
      <c r="M296" s="112">
        <f>'入學要求'!S285</f>
        <v>0</v>
      </c>
      <c r="N296" s="112"/>
      <c r="O296" s="112"/>
      <c r="P296" s="112"/>
      <c r="Q296" s="112"/>
      <c r="R296" s="112"/>
      <c r="S296" s="112"/>
      <c r="T296" s="112"/>
      <c r="U296" s="112"/>
      <c r="V296" s="112"/>
      <c r="W296" s="112"/>
      <c r="X296" s="112"/>
      <c r="Y296" s="112"/>
      <c r="Z296" s="112"/>
      <c r="AA296" s="112"/>
      <c r="AB296" s="112"/>
    </row>
    <row r="297" ht="15.75" customHeight="1">
      <c r="A297" s="112" t="str">
        <f>LingU!A3</f>
        <v>JS7123</v>
      </c>
      <c r="B297" s="112" t="s">
        <v>180</v>
      </c>
      <c r="C297" s="112" t="str">
        <f>LingU!C3</f>
        <v>環球博雅教育(榮譽)文學士</v>
      </c>
      <c r="D297" s="112" t="str">
        <f>LingU!D3</f>
        <v>BA (Hons) GLA</v>
      </c>
      <c r="E297" s="112" t="str">
        <f>LingU!E3</f>
        <v>Best 5</v>
      </c>
      <c r="F297" s="128" t="s">
        <v>541</v>
      </c>
      <c r="G297" s="128">
        <f>LingU!F3</f>
        <v>25</v>
      </c>
      <c r="H297" s="128">
        <f>LingU!G3</f>
        <v>24</v>
      </c>
      <c r="I297" s="128">
        <f>'計分版'!D302</f>
        <v>0.00000000395</v>
      </c>
      <c r="J297" s="112">
        <f>LingU!K3</f>
        <v>15</v>
      </c>
      <c r="K297" s="112">
        <f>LingU!Y3</f>
        <v>18</v>
      </c>
      <c r="L297" s="153">
        <f>IFERROR(LingU!AG3/LingU!Z3,"新科目")</f>
        <v>24.16666667</v>
      </c>
      <c r="M297" s="112">
        <f>'入學要求'!S286</f>
        <v>0</v>
      </c>
      <c r="N297" s="112"/>
      <c r="O297" s="112"/>
      <c r="P297" s="112"/>
      <c r="Q297" s="112"/>
      <c r="R297" s="112"/>
      <c r="S297" s="112"/>
      <c r="T297" s="112"/>
      <c r="U297" s="112"/>
      <c r="V297" s="112"/>
      <c r="W297" s="112"/>
      <c r="X297" s="112"/>
      <c r="Y297" s="112"/>
      <c r="Z297" s="112"/>
      <c r="AA297" s="112"/>
      <c r="AB297" s="112"/>
    </row>
    <row r="298" ht="15.75" customHeight="1">
      <c r="A298" s="112" t="str">
        <f>LingU!A4</f>
        <v>JS7200</v>
      </c>
      <c r="B298" s="112" t="s">
        <v>180</v>
      </c>
      <c r="C298" s="112" t="str">
        <f>LingU!C4</f>
        <v>工商管理(榮譽)學士</v>
      </c>
      <c r="D298" s="112" t="str">
        <f>LingU!D4</f>
        <v>BBA (Hons)</v>
      </c>
      <c r="E298" s="112" t="str">
        <f>LingU!E4</f>
        <v>Best 5</v>
      </c>
      <c r="F298" s="128" t="s">
        <v>541</v>
      </c>
      <c r="G298" s="128">
        <f>LingU!F4</f>
        <v>24.5</v>
      </c>
      <c r="H298" s="128">
        <f>LingU!G4</f>
        <v>24</v>
      </c>
      <c r="I298" s="128">
        <f>'計分版'!D303</f>
        <v>0.00000000395</v>
      </c>
      <c r="J298" s="112">
        <f>LingU!K4</f>
        <v>144</v>
      </c>
      <c r="K298" s="112">
        <f>LingU!Y4</f>
        <v>189</v>
      </c>
      <c r="L298" s="153">
        <f>IFERROR(LingU!AG4/LingU!Z4,"新科目")</f>
        <v>7.052173913</v>
      </c>
      <c r="M298" s="112">
        <f>'入學要求'!S287</f>
        <v>0</v>
      </c>
      <c r="N298" s="112"/>
      <c r="O298" s="112"/>
      <c r="P298" s="112"/>
      <c r="Q298" s="112"/>
      <c r="R298" s="112"/>
      <c r="S298" s="112"/>
      <c r="T298" s="112"/>
      <c r="U298" s="112"/>
      <c r="V298" s="112"/>
      <c r="W298" s="112"/>
      <c r="X298" s="112"/>
      <c r="Y298" s="112"/>
      <c r="Z298" s="112"/>
      <c r="AA298" s="112"/>
      <c r="AB298" s="112"/>
    </row>
    <row r="299" ht="15.75" customHeight="1">
      <c r="A299" s="112" t="str">
        <f>LingU!A5</f>
        <v>JS7204</v>
      </c>
      <c r="B299" s="112" t="s">
        <v>180</v>
      </c>
      <c r="C299" s="112" t="str">
        <f>LingU!C5</f>
        <v>翻譯(榮譽)文學士</v>
      </c>
      <c r="D299" s="112" t="str">
        <f>LingU!D5</f>
        <v>BA (Hons) Translation</v>
      </c>
      <c r="E299" s="112" t="str">
        <f>LingU!E5</f>
        <v>Best 5</v>
      </c>
      <c r="F299" s="128" t="s">
        <v>541</v>
      </c>
      <c r="G299" s="128">
        <f>LingU!F5</f>
        <v>26.5</v>
      </c>
      <c r="H299" s="128">
        <f>LingU!G5</f>
        <v>26</v>
      </c>
      <c r="I299" s="128">
        <f>'計分版'!D304</f>
        <v>0.00000000395</v>
      </c>
      <c r="J299" s="112">
        <f>LingU!K5</f>
        <v>43</v>
      </c>
      <c r="K299" s="112">
        <f>LingU!Y5</f>
        <v>37</v>
      </c>
      <c r="L299" s="153">
        <f>IFERROR(LingU!AG5/LingU!Z5,"新科目")</f>
        <v>7.703703704</v>
      </c>
      <c r="M299" s="112">
        <f>'入學要求'!S288</f>
        <v>0</v>
      </c>
      <c r="N299" s="112"/>
      <c r="O299" s="112"/>
      <c r="P299" s="112"/>
      <c r="Q299" s="112"/>
      <c r="R299" s="112"/>
      <c r="S299" s="112"/>
      <c r="T299" s="112"/>
      <c r="U299" s="112"/>
      <c r="V299" s="112"/>
      <c r="W299" s="112"/>
      <c r="X299" s="112"/>
      <c r="Y299" s="112"/>
      <c r="Z299" s="112"/>
      <c r="AA299" s="112"/>
      <c r="AB299" s="112"/>
    </row>
    <row r="300" ht="15.75" customHeight="1">
      <c r="A300" s="112" t="str">
        <f>LingU!A6</f>
        <v>JS7216</v>
      </c>
      <c r="B300" s="112" t="s">
        <v>180</v>
      </c>
      <c r="C300" s="112" t="str">
        <f>LingU!C6</f>
        <v>工商管理(榮譽)學士 - 風險及 保險管理</v>
      </c>
      <c r="D300" s="112" t="str">
        <f>LingU!D6</f>
        <v>BBA (Hons) - RIM</v>
      </c>
      <c r="E300" s="112" t="str">
        <f>LingU!E6</f>
        <v>Best 5</v>
      </c>
      <c r="F300" s="128" t="s">
        <v>541</v>
      </c>
      <c r="G300" s="128">
        <f>LingU!F6</f>
        <v>24</v>
      </c>
      <c r="H300" s="128">
        <f>LingU!G6</f>
        <v>23.5</v>
      </c>
      <c r="I300" s="128">
        <f>'計分版'!D305</f>
        <v>0.00000000395</v>
      </c>
      <c r="J300" s="112">
        <f>LingU!K6</f>
        <v>25</v>
      </c>
      <c r="K300" s="112">
        <f>LingU!Y6</f>
        <v>36</v>
      </c>
      <c r="L300" s="153">
        <f>IFERROR(LingU!AG6/LingU!Z6,"新科目")</f>
        <v>11.27777778</v>
      </c>
      <c r="M300" s="112">
        <f>'入學要求'!S289</f>
        <v>0</v>
      </c>
      <c r="N300" s="112"/>
      <c r="O300" s="112"/>
      <c r="P300" s="112"/>
      <c r="Q300" s="112"/>
      <c r="R300" s="112"/>
      <c r="S300" s="112"/>
      <c r="T300" s="112"/>
      <c r="U300" s="112"/>
      <c r="V300" s="112"/>
      <c r="W300" s="112"/>
      <c r="X300" s="112"/>
      <c r="Y300" s="112"/>
      <c r="Z300" s="112"/>
      <c r="AA300" s="112"/>
      <c r="AB300" s="112"/>
    </row>
    <row r="301" ht="15.75" customHeight="1">
      <c r="A301" s="112" t="str">
        <f>LingU!A7</f>
        <v>JS7225</v>
      </c>
      <c r="B301" s="112" t="s">
        <v>180</v>
      </c>
      <c r="C301" s="112" t="str">
        <f>LingU!C7</f>
        <v>數據科學(榮譽)理學士</v>
      </c>
      <c r="D301" s="112" t="str">
        <f>LingU!D7</f>
        <v>BSc (Hons) Data Science</v>
      </c>
      <c r="E301" s="112" t="str">
        <f>LingU!E7</f>
        <v>Best 5</v>
      </c>
      <c r="F301" s="128" t="s">
        <v>541</v>
      </c>
      <c r="G301" s="128">
        <f>LingU!F7</f>
        <v>29</v>
      </c>
      <c r="H301" s="128">
        <f>LingU!G7</f>
        <v>28</v>
      </c>
      <c r="I301" s="128">
        <f>'計分版'!D306</f>
        <v>0.00000000395</v>
      </c>
      <c r="J301" s="112">
        <f>LingU!K7</f>
        <v>25</v>
      </c>
      <c r="K301" s="112">
        <f>LingU!Y7</f>
        <v>26</v>
      </c>
      <c r="L301" s="153">
        <f>IFERROR(LingU!AG7/LingU!Z7,"新科目")</f>
        <v>8.45</v>
      </c>
      <c r="M301" s="112">
        <f>'入學要求'!S290</f>
        <v>0</v>
      </c>
      <c r="N301" s="112"/>
      <c r="O301" s="112"/>
      <c r="P301" s="112"/>
      <c r="Q301" s="112"/>
      <c r="R301" s="112"/>
      <c r="S301" s="112"/>
      <c r="T301" s="112"/>
      <c r="U301" s="112"/>
      <c r="V301" s="112"/>
      <c r="W301" s="112"/>
      <c r="X301" s="112"/>
      <c r="Y301" s="112"/>
      <c r="Z301" s="112"/>
      <c r="AA301" s="112"/>
      <c r="AB301" s="112"/>
    </row>
    <row r="302" ht="15.75" customHeight="1">
      <c r="A302" s="112" t="str">
        <f>LingU!A8</f>
        <v>JS7300</v>
      </c>
      <c r="B302" s="112" t="s">
        <v>180</v>
      </c>
      <c r="C302" s="112" t="str">
        <f>LingU!C8</f>
        <v>社會科學(榮譽)學士</v>
      </c>
      <c r="D302" s="112" t="str">
        <f>LingU!D8</f>
        <v>BSocSc (Hons)</v>
      </c>
      <c r="E302" s="112" t="str">
        <f>LingU!E8</f>
        <v>Best 5</v>
      </c>
      <c r="F302" s="128" t="s">
        <v>541</v>
      </c>
      <c r="G302" s="128">
        <f>LingU!F8</f>
        <v>26.5</v>
      </c>
      <c r="H302" s="128">
        <f>LingU!G8</f>
        <v>25.5</v>
      </c>
      <c r="I302" s="128">
        <f>'計分版'!D307</f>
        <v>0.00000000395</v>
      </c>
      <c r="J302" s="112">
        <f>LingU!K8</f>
        <v>98</v>
      </c>
      <c r="K302" s="112">
        <f>LingU!Y8</f>
        <v>132</v>
      </c>
      <c r="L302" s="153">
        <f>IFERROR(LingU!AG8/LingU!Z8,"新科目")</f>
        <v>7.64</v>
      </c>
      <c r="M302" s="112">
        <f>'入學要求'!S291</f>
        <v>0</v>
      </c>
      <c r="N302" s="112"/>
      <c r="O302" s="112"/>
      <c r="P302" s="112"/>
      <c r="Q302" s="112"/>
      <c r="R302" s="112"/>
      <c r="S302" s="112"/>
      <c r="T302" s="112"/>
      <c r="U302" s="112"/>
      <c r="V302" s="112"/>
      <c r="W302" s="112"/>
      <c r="X302" s="112"/>
      <c r="Y302" s="112"/>
      <c r="Z302" s="112"/>
      <c r="AA302" s="112"/>
      <c r="AB302" s="112"/>
    </row>
    <row r="303" ht="15.75" customHeight="1">
      <c r="A303" s="112" t="str">
        <f>LingU!A9</f>
        <v>JS7503</v>
      </c>
      <c r="B303" s="112" t="s">
        <v>180</v>
      </c>
      <c r="C303" s="112" t="str">
        <f>LingU!C9</f>
        <v>當代英語語言文學課程(榮譽) 文學士</v>
      </c>
      <c r="D303" s="112" t="str">
        <f>LingU!D9</f>
        <v>BA (Hons) Contem English</v>
      </c>
      <c r="E303" s="112" t="str">
        <f>LingU!E9</f>
        <v>Best 5</v>
      </c>
      <c r="F303" s="128" t="s">
        <v>541</v>
      </c>
      <c r="G303" s="128">
        <f>LingU!F9</f>
        <v>25.5</v>
      </c>
      <c r="H303" s="128">
        <f>LingU!G9</f>
        <v>25</v>
      </c>
      <c r="I303" s="128">
        <f>'計分版'!D308</f>
        <v>0.00000000395</v>
      </c>
      <c r="J303" s="112">
        <f>LingU!K9</f>
        <v>29</v>
      </c>
      <c r="K303" s="112">
        <f>LingU!Y9</f>
        <v>22</v>
      </c>
      <c r="L303" s="153">
        <f>IFERROR(LingU!AG9/LingU!Z9,"新科目")</f>
        <v>6.785714286</v>
      </c>
      <c r="M303" s="112">
        <f>'入學要求'!S292</f>
        <v>0</v>
      </c>
      <c r="N303" s="112"/>
      <c r="O303" s="112"/>
      <c r="P303" s="112"/>
      <c r="Q303" s="112"/>
      <c r="R303" s="112"/>
      <c r="S303" s="112"/>
      <c r="T303" s="112"/>
      <c r="U303" s="112"/>
      <c r="V303" s="112"/>
      <c r="W303" s="112"/>
      <c r="X303" s="112"/>
      <c r="Y303" s="112"/>
      <c r="Z303" s="112"/>
      <c r="AA303" s="112"/>
      <c r="AB303" s="112"/>
    </row>
    <row r="304" ht="15.75" customHeight="1">
      <c r="A304" s="112" t="str">
        <f>LingU!A10</f>
        <v>JS7606</v>
      </c>
      <c r="B304" s="112" t="s">
        <v>180</v>
      </c>
      <c r="C304" s="112" t="str">
        <f>LingU!C10</f>
        <v>文化研究(榮譽)文學士</v>
      </c>
      <c r="D304" s="112" t="str">
        <f>LingU!D10</f>
        <v>BA (Hons) Cultural Stud</v>
      </c>
      <c r="E304" s="112" t="str">
        <f>LingU!E10</f>
        <v>Best 5</v>
      </c>
      <c r="F304" s="128" t="s">
        <v>541</v>
      </c>
      <c r="G304" s="128">
        <f>LingU!F10</f>
        <v>26</v>
      </c>
      <c r="H304" s="128">
        <f>LingU!G10</f>
        <v>25</v>
      </c>
      <c r="I304" s="128">
        <f>'計分版'!D309</f>
        <v>0.00000000395</v>
      </c>
      <c r="J304" s="112">
        <f>LingU!K10</f>
        <v>25</v>
      </c>
      <c r="K304" s="112">
        <f>LingU!Y10</f>
        <v>26</v>
      </c>
      <c r="L304" s="153">
        <f>IFERROR(LingU!AG10/LingU!Z10,"新科目")</f>
        <v>14.42857143</v>
      </c>
      <c r="M304" s="112">
        <f>'入學要求'!S293</f>
        <v>0</v>
      </c>
      <c r="N304" s="112"/>
      <c r="O304" s="112"/>
      <c r="P304" s="112"/>
      <c r="Q304" s="112"/>
      <c r="R304" s="112"/>
      <c r="S304" s="112"/>
      <c r="T304" s="112"/>
      <c r="U304" s="112"/>
      <c r="V304" s="112"/>
      <c r="W304" s="112"/>
      <c r="X304" s="112"/>
      <c r="Y304" s="112"/>
      <c r="Z304" s="112"/>
      <c r="AA304" s="112"/>
      <c r="AB304" s="112"/>
    </row>
    <row r="305" ht="15.75" customHeight="1">
      <c r="A305" s="112" t="str">
        <f>LingU!A11</f>
        <v>JS7709</v>
      </c>
      <c r="B305" s="112" t="s">
        <v>180</v>
      </c>
      <c r="C305" s="112" t="str">
        <f>LingU!C11</f>
        <v>歷史(榮譽)文學士</v>
      </c>
      <c r="D305" s="112" t="str">
        <f>LingU!D11</f>
        <v>BA (Hons) History</v>
      </c>
      <c r="E305" s="112" t="str">
        <f>LingU!E11</f>
        <v>Best 5</v>
      </c>
      <c r="F305" s="128" t="s">
        <v>541</v>
      </c>
      <c r="G305" s="128">
        <f>LingU!F11</f>
        <v>26</v>
      </c>
      <c r="H305" s="128">
        <f>LingU!G11</f>
        <v>25.6</v>
      </c>
      <c r="I305" s="128">
        <f>'計分版'!D310</f>
        <v>0.00000000395</v>
      </c>
      <c r="J305" s="112">
        <f>LingU!K11</f>
        <v>30</v>
      </c>
      <c r="K305" s="112">
        <f>LingU!Y11</f>
        <v>35</v>
      </c>
      <c r="L305" s="153">
        <f>IFERROR(LingU!AG11/LingU!Z11,"新科目")</f>
        <v>11.82142857</v>
      </c>
      <c r="M305" s="112">
        <f>'入學要求'!S294</f>
        <v>0</v>
      </c>
      <c r="N305" s="112"/>
      <c r="O305" s="112"/>
      <c r="P305" s="112"/>
      <c r="Q305" s="112"/>
      <c r="R305" s="112"/>
      <c r="S305" s="112"/>
      <c r="T305" s="112"/>
      <c r="U305" s="112"/>
      <c r="V305" s="112"/>
      <c r="W305" s="112"/>
      <c r="X305" s="112"/>
      <c r="Y305" s="112"/>
      <c r="Z305" s="112"/>
      <c r="AA305" s="112"/>
      <c r="AB305" s="112"/>
    </row>
    <row r="306" ht="15.75" customHeight="1">
      <c r="A306" s="112" t="str">
        <f>LingU!A12</f>
        <v>JS7802</v>
      </c>
      <c r="B306" s="112" t="s">
        <v>180</v>
      </c>
      <c r="C306" s="112" t="str">
        <f>LingU!C12</f>
        <v>哲學(榮譽)文學士</v>
      </c>
      <c r="D306" s="112" t="str">
        <f>LingU!D12</f>
        <v>BA (Hons) Philosophy</v>
      </c>
      <c r="E306" s="112" t="str">
        <f>LingU!E12</f>
        <v>Best 5</v>
      </c>
      <c r="F306" s="128" t="s">
        <v>541</v>
      </c>
      <c r="G306" s="128">
        <f>LingU!F12</f>
        <v>26</v>
      </c>
      <c r="H306" s="128">
        <f>LingU!G12</f>
        <v>26</v>
      </c>
      <c r="I306" s="128">
        <f>'計分版'!D311</f>
        <v>0.00000000395</v>
      </c>
      <c r="J306" s="112">
        <f>LingU!K12</f>
        <v>29</v>
      </c>
      <c r="K306" s="112">
        <f>LingU!Y12</f>
        <v>33</v>
      </c>
      <c r="L306" s="153">
        <f>IFERROR(LingU!AG12/LingU!Z12,"新科目")</f>
        <v>19.46153846</v>
      </c>
      <c r="M306" s="112">
        <f>'入學要求'!S295</f>
        <v>0</v>
      </c>
      <c r="N306" s="112"/>
      <c r="O306" s="112"/>
      <c r="P306" s="112"/>
      <c r="Q306" s="112"/>
      <c r="R306" s="112"/>
      <c r="S306" s="112"/>
      <c r="T306" s="112"/>
      <c r="U306" s="112"/>
      <c r="V306" s="112"/>
      <c r="W306" s="112"/>
      <c r="X306" s="112"/>
      <c r="Y306" s="112"/>
      <c r="Z306" s="112"/>
      <c r="AA306" s="112"/>
      <c r="AB306" s="112"/>
    </row>
    <row r="307" ht="15.75" customHeight="1">
      <c r="A307" s="112" t="str">
        <f>LingU!A13</f>
        <v>JS7905</v>
      </c>
      <c r="B307" s="112" t="s">
        <v>180</v>
      </c>
      <c r="C307" s="112" t="str">
        <f>LingU!C13</f>
        <v>視覺研究(榮譽)文學士</v>
      </c>
      <c r="D307" s="112" t="str">
        <f>LingU!D13</f>
        <v>BA (Hons) Visual Studies</v>
      </c>
      <c r="E307" s="112" t="str">
        <f>LingU!E13</f>
        <v>Best 5</v>
      </c>
      <c r="F307" s="128" t="s">
        <v>541</v>
      </c>
      <c r="G307" s="128">
        <f>LingU!F13</f>
        <v>24</v>
      </c>
      <c r="H307" s="128">
        <f>LingU!G13</f>
        <v>24</v>
      </c>
      <c r="I307" s="128">
        <f>'計分版'!D312</f>
        <v>0.00000000395</v>
      </c>
      <c r="J307" s="112">
        <f>LingU!K13</f>
        <v>29</v>
      </c>
      <c r="K307" s="112">
        <f>LingU!Y13</f>
        <v>28</v>
      </c>
      <c r="L307" s="153">
        <f>IFERROR(LingU!AG13/LingU!Z13,"新科目")</f>
        <v>10.38461538</v>
      </c>
      <c r="M307" s="112">
        <f>'入學要求'!S296</f>
        <v>0</v>
      </c>
      <c r="N307" s="112"/>
      <c r="O307" s="112"/>
      <c r="P307" s="112"/>
      <c r="Q307" s="112"/>
      <c r="R307" s="112"/>
      <c r="S307" s="112"/>
      <c r="T307" s="112"/>
      <c r="U307" s="112"/>
      <c r="V307" s="112"/>
      <c r="W307" s="112"/>
      <c r="X307" s="112"/>
      <c r="Y307" s="112"/>
      <c r="Z307" s="112"/>
      <c r="AA307" s="112"/>
      <c r="AB307" s="112"/>
    </row>
    <row r="308" ht="15.75" customHeight="1">
      <c r="A308" s="112"/>
      <c r="B308" s="112"/>
      <c r="C308" s="112"/>
      <c r="D308" s="112"/>
      <c r="E308" s="125"/>
      <c r="F308" s="128"/>
      <c r="G308" s="128"/>
      <c r="H308" s="128"/>
      <c r="I308" s="128"/>
      <c r="J308" s="112"/>
      <c r="K308" s="112"/>
      <c r="L308" s="153"/>
      <c r="M308" s="112"/>
      <c r="N308" s="112"/>
      <c r="O308" s="112"/>
      <c r="P308" s="112"/>
      <c r="Q308" s="112"/>
      <c r="R308" s="112"/>
      <c r="S308" s="112"/>
      <c r="T308" s="112"/>
      <c r="U308" s="112"/>
      <c r="V308" s="112"/>
      <c r="W308" s="112"/>
      <c r="X308" s="112"/>
      <c r="Y308" s="112"/>
      <c r="Z308" s="112"/>
      <c r="AA308" s="112"/>
      <c r="AB308" s="112"/>
    </row>
    <row r="309" ht="15.75" customHeight="1">
      <c r="A309" s="112"/>
      <c r="B309" s="112"/>
      <c r="C309" s="112"/>
      <c r="D309" s="112"/>
      <c r="E309" s="125"/>
      <c r="F309" s="159" t="s">
        <v>45</v>
      </c>
      <c r="G309" s="159" t="s">
        <v>957</v>
      </c>
      <c r="H309" s="159" t="s">
        <v>47</v>
      </c>
      <c r="I309" s="128" t="str">
        <f>'計分版'!D314</f>
        <v>總分</v>
      </c>
      <c r="J309" s="112"/>
      <c r="K309" s="112"/>
      <c r="L309" s="153"/>
      <c r="M309" s="112"/>
      <c r="N309" s="112"/>
      <c r="O309" s="112"/>
      <c r="P309" s="112"/>
      <c r="Q309" s="112"/>
      <c r="R309" s="112"/>
      <c r="S309" s="112"/>
      <c r="T309" s="112"/>
      <c r="U309" s="112"/>
      <c r="V309" s="112"/>
      <c r="W309" s="112"/>
      <c r="X309" s="112"/>
      <c r="Y309" s="112"/>
      <c r="Z309" s="112"/>
      <c r="AA309" s="112"/>
      <c r="AB309" s="112"/>
    </row>
    <row r="310" ht="15.75" customHeight="1">
      <c r="A310" s="112" t="str">
        <f>EdUHK!A2</f>
        <v>JS8105</v>
      </c>
      <c r="B310" s="112" t="s">
        <v>952</v>
      </c>
      <c r="C310" s="112" t="str">
        <f>EdUHK!C2</f>
        <v>中國語文教育榮譽學士</v>
      </c>
      <c r="D310" s="112" t="str">
        <f>EdUHK!D2</f>
        <v>BEd(CHI)</v>
      </c>
      <c r="E310" s="112" t="str">
        <f>EdUHK!E2</f>
        <v>Best 5</v>
      </c>
      <c r="F310" s="128" t="s">
        <v>541</v>
      </c>
      <c r="G310" s="128">
        <f>EdUHK!F2</f>
        <v>22</v>
      </c>
      <c r="H310" s="128" t="s">
        <v>541</v>
      </c>
      <c r="I310" s="128">
        <f>'計分版'!D315</f>
        <v>0.00000000395</v>
      </c>
      <c r="J310" s="112">
        <f>EdUHK!J2</f>
        <v>82</v>
      </c>
      <c r="K310" s="112">
        <f>EdUHK!X2</f>
        <v>61</v>
      </c>
      <c r="L310" s="153">
        <f>IFERROR(EdUHK!AF2/EdUHK!Y2,"新科目")</f>
        <v>10.67241379</v>
      </c>
      <c r="M310" s="112">
        <f>'入學要求'!S300</f>
        <v>0</v>
      </c>
      <c r="N310" s="112"/>
      <c r="O310" s="112"/>
      <c r="P310" s="112"/>
      <c r="Q310" s="112"/>
      <c r="R310" s="112"/>
      <c r="S310" s="112"/>
      <c r="T310" s="112"/>
      <c r="U310" s="112"/>
      <c r="V310" s="112"/>
      <c r="W310" s="112"/>
      <c r="X310" s="112"/>
      <c r="Y310" s="112"/>
      <c r="Z310" s="112"/>
      <c r="AA310" s="112"/>
      <c r="AB310" s="112"/>
    </row>
    <row r="311" ht="15.75" customHeight="1">
      <c r="A311" s="112" t="str">
        <f>EdUHK!A3</f>
        <v>JS8222</v>
      </c>
      <c r="B311" s="112" t="s">
        <v>952</v>
      </c>
      <c r="C311" s="112" t="str">
        <f>EdUHK!C3</f>
        <v>英國語文教育榮譽學士 — 小學</v>
      </c>
      <c r="D311" s="112" t="str">
        <f>EdUHK!D3</f>
        <v>BEd(ENG)-Pri</v>
      </c>
      <c r="E311" s="112" t="str">
        <f>EdUHK!E3</f>
        <v>Best 5</v>
      </c>
      <c r="F311" s="128" t="s">
        <v>541</v>
      </c>
      <c r="G311" s="128">
        <f>EdUHK!F3</f>
        <v>20</v>
      </c>
      <c r="H311" s="128" t="s">
        <v>541</v>
      </c>
      <c r="I311" s="128">
        <f>'計分版'!D316</f>
        <v>0.00000000395</v>
      </c>
      <c r="J311" s="112">
        <f>EdUHK!J3</f>
        <v>20</v>
      </c>
      <c r="K311" s="112">
        <f>EdUHK!X3</f>
        <v>20</v>
      </c>
      <c r="L311" s="153">
        <f>IFERROR(EdUHK!AF3/EdUHK!Y3,"新科目")</f>
        <v>13</v>
      </c>
      <c r="M311" s="112">
        <f>'入學要求'!S301</f>
        <v>0</v>
      </c>
      <c r="N311" s="112"/>
      <c r="O311" s="112"/>
      <c r="P311" s="112"/>
      <c r="Q311" s="112"/>
      <c r="R311" s="112"/>
      <c r="S311" s="112"/>
      <c r="T311" s="112"/>
      <c r="U311" s="112"/>
      <c r="V311" s="112"/>
      <c r="W311" s="112"/>
      <c r="X311" s="112"/>
      <c r="Y311" s="112"/>
      <c r="Z311" s="112"/>
      <c r="AA311" s="112"/>
      <c r="AB311" s="112"/>
    </row>
    <row r="312" ht="15.75" customHeight="1">
      <c r="A312" s="112" t="str">
        <f>EdUHK!A4</f>
        <v>JS8234</v>
      </c>
      <c r="B312" s="112" t="s">
        <v>952</v>
      </c>
      <c r="C312" s="112" t="str">
        <f>EdUHK!C4</f>
        <v>小學教育榮譽學士 - 常識</v>
      </c>
      <c r="D312" s="112" t="str">
        <f>EdUHK!D4</f>
        <v>BEd(P)-GS</v>
      </c>
      <c r="E312" s="112" t="str">
        <f>EdUHK!E4</f>
        <v>Best 5</v>
      </c>
      <c r="F312" s="128" t="s">
        <v>541</v>
      </c>
      <c r="G312" s="128">
        <f>EdUHK!F4</f>
        <v>20</v>
      </c>
      <c r="H312" s="128" t="s">
        <v>541</v>
      </c>
      <c r="I312" s="128">
        <f>'計分版'!D317</f>
        <v>0.00000000395</v>
      </c>
      <c r="J312" s="112">
        <f>EdUHK!J4</f>
        <v>45</v>
      </c>
      <c r="K312" s="112">
        <f>EdUHK!X4</f>
        <v>40</v>
      </c>
      <c r="L312" s="153">
        <f>IFERROR(EdUHK!AF4/EdUHK!Y4,"新科目")</f>
        <v>20.33333333</v>
      </c>
      <c r="M312" s="112">
        <f>'入學要求'!S302</f>
        <v>0</v>
      </c>
      <c r="N312" s="112"/>
      <c r="O312" s="112"/>
      <c r="P312" s="112"/>
      <c r="Q312" s="112"/>
      <c r="R312" s="112"/>
      <c r="S312" s="112"/>
      <c r="T312" s="112"/>
      <c r="U312" s="112"/>
      <c r="V312" s="112"/>
      <c r="W312" s="112"/>
      <c r="X312" s="112"/>
      <c r="Y312" s="112"/>
      <c r="Z312" s="112"/>
      <c r="AA312" s="112"/>
      <c r="AB312" s="112"/>
    </row>
    <row r="313" ht="15.75" customHeight="1">
      <c r="A313" s="112" t="str">
        <f>EdUHK!A5</f>
        <v>JS8246</v>
      </c>
      <c r="B313" s="112" t="s">
        <v>952</v>
      </c>
      <c r="C313" s="112" t="str">
        <f>EdUHK!C5</f>
        <v>小學教育榮譽學士 - 數學</v>
      </c>
      <c r="D313" s="112" t="str">
        <f>EdUHK!D5</f>
        <v>BEd(P)-MA</v>
      </c>
      <c r="E313" s="112" t="str">
        <f>EdUHK!E5</f>
        <v>Best 5</v>
      </c>
      <c r="F313" s="128" t="s">
        <v>541</v>
      </c>
      <c r="G313" s="128">
        <f>EdUHK!F5</f>
        <v>21</v>
      </c>
      <c r="H313" s="128" t="s">
        <v>541</v>
      </c>
      <c r="I313" s="128">
        <f>'計分版'!D318</f>
        <v>0.00000000395</v>
      </c>
      <c r="J313" s="112">
        <f>EdUHK!J5</f>
        <v>70</v>
      </c>
      <c r="K313" s="112">
        <f>EdUHK!X5</f>
        <v>41</v>
      </c>
      <c r="L313" s="153">
        <f>IFERROR(EdUHK!AF5/EdUHK!Y5,"新科目")</f>
        <v>10.33333333</v>
      </c>
      <c r="M313" s="112">
        <f>'入學要求'!S303</f>
        <v>0</v>
      </c>
      <c r="N313" s="112"/>
      <c r="O313" s="112"/>
      <c r="P313" s="112"/>
      <c r="Q313" s="112"/>
      <c r="R313" s="112"/>
      <c r="S313" s="112"/>
      <c r="T313" s="112"/>
      <c r="U313" s="112"/>
      <c r="V313" s="112"/>
      <c r="W313" s="112"/>
      <c r="X313" s="112"/>
      <c r="Y313" s="112"/>
      <c r="Z313" s="112"/>
      <c r="AA313" s="112"/>
      <c r="AB313" s="112"/>
    </row>
    <row r="314" ht="15.75" customHeight="1">
      <c r="A314" s="112" t="str">
        <f>EdUHK!A6</f>
        <v>JS8325</v>
      </c>
      <c r="B314" s="112" t="s">
        <v>952</v>
      </c>
      <c r="C314" s="112" t="str">
        <f>EdUHK!C6</f>
        <v>體育教育榮譽學士</v>
      </c>
      <c r="D314" s="112" t="str">
        <f>EdUHK!D6</f>
        <v>BEd(PE)</v>
      </c>
      <c r="E314" s="112" t="str">
        <f>EdUHK!E6</f>
        <v>Best 5</v>
      </c>
      <c r="F314" s="128" t="s">
        <v>541</v>
      </c>
      <c r="G314" s="128">
        <f>EdUHK!F6</f>
        <v>21</v>
      </c>
      <c r="H314" s="128" t="s">
        <v>541</v>
      </c>
      <c r="I314" s="128">
        <f>'計分版'!D319</f>
        <v>0.00000000395</v>
      </c>
      <c r="J314" s="112">
        <f>EdUHK!J6</f>
        <v>31</v>
      </c>
      <c r="K314" s="112">
        <f>EdUHK!X6</f>
        <v>19</v>
      </c>
      <c r="L314" s="153">
        <f>IFERROR(EdUHK!AF6/EdUHK!Y6,"新科目")</f>
        <v>46.84210526</v>
      </c>
      <c r="M314" s="112">
        <f>'入學要求'!S304</f>
        <v>0</v>
      </c>
      <c r="N314" s="112"/>
      <c r="O314" s="112"/>
      <c r="P314" s="112"/>
      <c r="Q314" s="112"/>
      <c r="R314" s="112"/>
      <c r="S314" s="112"/>
      <c r="T314" s="112"/>
      <c r="U314" s="112"/>
      <c r="V314" s="112"/>
      <c r="W314" s="112"/>
      <c r="X314" s="112"/>
      <c r="Y314" s="112"/>
      <c r="Z314" s="112"/>
      <c r="AA314" s="112"/>
      <c r="AB314" s="112"/>
    </row>
    <row r="315" ht="15.75" customHeight="1">
      <c r="A315" s="112" t="str">
        <f>EdUHK!A7</f>
        <v>JS8361</v>
      </c>
      <c r="B315" s="112" t="s">
        <v>952</v>
      </c>
      <c r="C315" s="112" t="str">
        <f>EdUHK!C7</f>
        <v>中學教育榮譽學士 - 資訊及通訊科技</v>
      </c>
      <c r="D315" s="112" t="str">
        <f>EdUHK!D7</f>
        <v>BEd(S)-ICT</v>
      </c>
      <c r="E315" s="112" t="str">
        <f>EdUHK!E7</f>
        <v>Best 5</v>
      </c>
      <c r="F315" s="128" t="s">
        <v>541</v>
      </c>
      <c r="G315" s="128">
        <f>EdUHK!F7</f>
        <v>19</v>
      </c>
      <c r="H315" s="128" t="s">
        <v>541</v>
      </c>
      <c r="I315" s="128">
        <f>'計分版'!D320</f>
        <v>0.00000000395</v>
      </c>
      <c r="J315" s="112">
        <f>EdUHK!J7</f>
        <v>20</v>
      </c>
      <c r="K315" s="112">
        <f>EdUHK!X7</f>
        <v>14</v>
      </c>
      <c r="L315" s="153">
        <f>IFERROR(EdUHK!AF7/EdUHK!Y7,"新科目")</f>
        <v>14.14285714</v>
      </c>
      <c r="M315" s="112">
        <f>'入學要求'!S305</f>
        <v>0</v>
      </c>
      <c r="N315" s="112"/>
      <c r="O315" s="112"/>
      <c r="P315" s="112"/>
      <c r="Q315" s="112"/>
      <c r="R315" s="112"/>
      <c r="S315" s="112"/>
      <c r="T315" s="112"/>
      <c r="U315" s="112"/>
      <c r="V315" s="112"/>
      <c r="W315" s="112"/>
      <c r="X315" s="112"/>
      <c r="Y315" s="112"/>
      <c r="Z315" s="112"/>
      <c r="AA315" s="112"/>
      <c r="AB315" s="112"/>
    </row>
    <row r="316" ht="15.75" customHeight="1">
      <c r="A316" s="112" t="str">
        <f>EdUHK!A8</f>
        <v>JS8371</v>
      </c>
      <c r="B316" s="112" t="s">
        <v>952</v>
      </c>
      <c r="C316" s="112" t="str">
        <f>EdUHK!C8</f>
        <v>企業、會計與財務概論教育榮譽學士</v>
      </c>
      <c r="D316" s="112" t="str">
        <f>EdUHK!D8</f>
        <v>BEd(BAFS)</v>
      </c>
      <c r="E316" s="112" t="str">
        <f>EdUHK!E8</f>
        <v>Best 5</v>
      </c>
      <c r="F316" s="128" t="s">
        <v>541</v>
      </c>
      <c r="G316" s="128">
        <f>EdUHK!F8</f>
        <v>19</v>
      </c>
      <c r="H316" s="128" t="s">
        <v>541</v>
      </c>
      <c r="I316" s="128">
        <f>'計分版'!D321</f>
        <v>0.00000000395</v>
      </c>
      <c r="J316" s="112">
        <f>EdUHK!J8</f>
        <v>20</v>
      </c>
      <c r="K316" s="112">
        <f>EdUHK!X8</f>
        <v>20</v>
      </c>
      <c r="L316" s="153">
        <f>IFERROR(EdUHK!AF8/EdUHK!Y8,"新科目")</f>
        <v>11.05</v>
      </c>
      <c r="M316" s="112">
        <f>'入學要求'!S306</f>
        <v>0</v>
      </c>
      <c r="N316" s="112"/>
      <c r="O316" s="112"/>
      <c r="P316" s="112"/>
      <c r="Q316" s="112"/>
      <c r="R316" s="112"/>
      <c r="S316" s="112"/>
      <c r="T316" s="112"/>
      <c r="U316" s="112"/>
      <c r="V316" s="112"/>
      <c r="W316" s="112"/>
      <c r="X316" s="112"/>
      <c r="Y316" s="112"/>
      <c r="Z316" s="112"/>
      <c r="AA316" s="112"/>
      <c r="AB316" s="112"/>
    </row>
    <row r="317" ht="15.75" customHeight="1">
      <c r="A317" s="112" t="str">
        <f>EdUHK!A9</f>
        <v>JS8391</v>
      </c>
      <c r="B317" s="112" t="s">
        <v>952</v>
      </c>
      <c r="C317" s="112" t="str">
        <f>EdUHK!C9</f>
        <v>中學數學教育榮譽學士</v>
      </c>
      <c r="D317" s="112" t="str">
        <f>EdUHK!D9</f>
        <v>BEd(S)-MA</v>
      </c>
      <c r="E317" s="112" t="str">
        <f>EdUHK!E9</f>
        <v>Best 5</v>
      </c>
      <c r="F317" s="128" t="s">
        <v>541</v>
      </c>
      <c r="G317" s="128">
        <f>EdUHK!F9</f>
        <v>21</v>
      </c>
      <c r="H317" s="128" t="s">
        <v>541</v>
      </c>
      <c r="I317" s="128">
        <f>'計分版'!D322</f>
        <v>0.00000000395</v>
      </c>
      <c r="J317" s="112">
        <f>EdUHK!J9</f>
        <v>18</v>
      </c>
      <c r="K317" s="112">
        <f>EdUHK!X9</f>
        <v>16</v>
      </c>
      <c r="L317" s="153">
        <f>IFERROR(EdUHK!AF9/EdUHK!Y9,"新科目")</f>
        <v>13</v>
      </c>
      <c r="M317" s="112">
        <f>'入學要求'!S307</f>
        <v>0</v>
      </c>
      <c r="N317" s="112"/>
      <c r="O317" s="112"/>
      <c r="P317" s="112"/>
      <c r="Q317" s="112"/>
      <c r="R317" s="112"/>
      <c r="S317" s="112"/>
      <c r="T317" s="112"/>
      <c r="U317" s="112"/>
      <c r="V317" s="112"/>
      <c r="W317" s="112"/>
      <c r="X317" s="112"/>
      <c r="Y317" s="112"/>
      <c r="Z317" s="112"/>
      <c r="AA317" s="112"/>
      <c r="AB317" s="112"/>
    </row>
    <row r="318" ht="15.75" customHeight="1">
      <c r="A318" s="112" t="str">
        <f>EdUHK!A10</f>
        <v>JS8404</v>
      </c>
      <c r="B318" s="112" t="s">
        <v>952</v>
      </c>
      <c r="C318" s="112" t="str">
        <f>EdUHK!C10</f>
        <v>幼兒教育榮譽學士</v>
      </c>
      <c r="D318" s="112" t="str">
        <f>EdUHK!D10</f>
        <v>BEd(ECE)</v>
      </c>
      <c r="E318" s="112" t="str">
        <f>EdUHK!E10</f>
        <v>Best 5</v>
      </c>
      <c r="F318" s="128" t="s">
        <v>541</v>
      </c>
      <c r="G318" s="128">
        <f>EdUHK!F10</f>
        <v>21</v>
      </c>
      <c r="H318" s="128" t="s">
        <v>541</v>
      </c>
      <c r="I318" s="128">
        <f>'計分版'!D323</f>
        <v>0.00000000395</v>
      </c>
      <c r="J318" s="112">
        <f>EdUHK!J10</f>
        <v>49</v>
      </c>
      <c r="K318" s="112">
        <f>EdUHK!X10</f>
        <v>46</v>
      </c>
      <c r="L318" s="153">
        <f>IFERROR(EdUHK!AF10/EdUHK!Y10,"新科目")</f>
        <v>32.41304348</v>
      </c>
      <c r="M318" s="112">
        <f>'入學要求'!S308</f>
        <v>0</v>
      </c>
      <c r="N318" s="112"/>
      <c r="O318" s="112"/>
      <c r="P318" s="112"/>
      <c r="Q318" s="112"/>
      <c r="R318" s="112"/>
      <c r="S318" s="112"/>
      <c r="T318" s="112"/>
      <c r="U318" s="112"/>
      <c r="V318" s="112"/>
      <c r="W318" s="112"/>
      <c r="X318" s="112"/>
      <c r="Y318" s="112"/>
      <c r="Z318" s="112"/>
      <c r="AA318" s="112"/>
      <c r="AB318" s="112"/>
    </row>
    <row r="319" ht="15.75" customHeight="1">
      <c r="A319" s="112" t="str">
        <f>EdUHK!A11</f>
        <v>JS8416</v>
      </c>
      <c r="B319" s="112" t="s">
        <v>952</v>
      </c>
      <c r="C319" s="112" t="str">
        <f>EdUHK!C11</f>
        <v>中國歷史教育榮譽學士</v>
      </c>
      <c r="D319" s="112" t="str">
        <f>EdUHK!D11</f>
        <v>BEd(CHI HIST)</v>
      </c>
      <c r="E319" s="112" t="str">
        <f>EdUHK!E11</f>
        <v>Best 5</v>
      </c>
      <c r="F319" s="128" t="s">
        <v>541</v>
      </c>
      <c r="G319" s="128">
        <f>EdUHK!F11</f>
        <v>22</v>
      </c>
      <c r="H319" s="128" t="s">
        <v>541</v>
      </c>
      <c r="I319" s="128">
        <f>'計分版'!D324</f>
        <v>0.00000000395</v>
      </c>
      <c r="J319" s="112">
        <f>EdUHK!J11</f>
        <v>10</v>
      </c>
      <c r="K319" s="112" t="str">
        <f>EdUHK!X11</f>
        <v>/</v>
      </c>
      <c r="L319" s="153" t="str">
        <f>IFERROR(EdUHK!AF11/EdUHK!Y11,"無資料")</f>
        <v>無資料</v>
      </c>
      <c r="M319" s="112">
        <f>'入學要求'!S309</f>
        <v>0</v>
      </c>
      <c r="N319" s="112"/>
      <c r="O319" s="112"/>
      <c r="P319" s="112"/>
      <c r="Q319" s="112"/>
      <c r="R319" s="112"/>
      <c r="S319" s="112"/>
      <c r="T319" s="112"/>
      <c r="U319" s="112"/>
      <c r="V319" s="112"/>
      <c r="W319" s="112"/>
      <c r="X319" s="112"/>
      <c r="Y319" s="112"/>
      <c r="Z319" s="112"/>
      <c r="AA319" s="112"/>
      <c r="AB319" s="112"/>
    </row>
    <row r="320" ht="15.75" customHeight="1">
      <c r="A320" s="112" t="str">
        <f>EdUHK!A12</f>
        <v>JS8428</v>
      </c>
      <c r="B320" s="112" t="s">
        <v>952</v>
      </c>
      <c r="C320" s="112" t="str">
        <f>EdUHK!C12</f>
        <v>地理教育榮譽學士</v>
      </c>
      <c r="D320" s="112" t="str">
        <f>EdUHK!D12</f>
        <v>BEd(GEOG)</v>
      </c>
      <c r="E320" s="112" t="str">
        <f>EdUHK!E12</f>
        <v>Best 5</v>
      </c>
      <c r="F320" s="128" t="s">
        <v>541</v>
      </c>
      <c r="G320" s="128">
        <f>EdUHK!F12</f>
        <v>21</v>
      </c>
      <c r="H320" s="128" t="s">
        <v>541</v>
      </c>
      <c r="I320" s="128">
        <f>'計分版'!D325</f>
        <v>0.00000000395</v>
      </c>
      <c r="J320" s="112">
        <f>EdUHK!J12</f>
        <v>10</v>
      </c>
      <c r="K320" s="112">
        <f>EdUHK!X12</f>
        <v>11</v>
      </c>
      <c r="L320" s="153">
        <f>IFERROR(EdUHK!AF12/EdUHK!Y12,"新科目")</f>
        <v>17.09090909</v>
      </c>
      <c r="M320" s="112">
        <f>'入學要求'!S310</f>
        <v>0</v>
      </c>
      <c r="N320" s="112"/>
      <c r="O320" s="112"/>
      <c r="P320" s="112"/>
      <c r="Q320" s="112"/>
      <c r="R320" s="112"/>
      <c r="S320" s="112"/>
      <c r="T320" s="112"/>
      <c r="U320" s="112"/>
      <c r="V320" s="112"/>
      <c r="W320" s="112"/>
      <c r="X320" s="112"/>
      <c r="Y320" s="112"/>
      <c r="Z320" s="112"/>
      <c r="AA320" s="112"/>
      <c r="AB320" s="112"/>
    </row>
    <row r="321" ht="15.75" customHeight="1">
      <c r="A321" s="112" t="str">
        <f>EdUHK!A13</f>
        <v>JS8430</v>
      </c>
      <c r="B321" s="112" t="s">
        <v>952</v>
      </c>
      <c r="C321" s="112" t="str">
        <f>EdUHK!C13</f>
        <v>科學教育榮譽學士</v>
      </c>
      <c r="D321" s="112" t="str">
        <f>EdUHK!D13</f>
        <v>BEd(Science)</v>
      </c>
      <c r="E321" s="112" t="str">
        <f>EdUHK!E13</f>
        <v>Best 5</v>
      </c>
      <c r="F321" s="128" t="s">
        <v>541</v>
      </c>
      <c r="G321" s="128">
        <f>EdUHK!F13</f>
        <v>19</v>
      </c>
      <c r="H321" s="128" t="s">
        <v>541</v>
      </c>
      <c r="I321" s="128">
        <f>'計分版'!D326</f>
        <v>0.00000000395</v>
      </c>
      <c r="J321" s="112">
        <f>EdUHK!J13</f>
        <v>14</v>
      </c>
      <c r="K321" s="112">
        <f>EdUHK!X13</f>
        <v>16</v>
      </c>
      <c r="L321" s="153">
        <f>IFERROR(EdUHK!AF13/EdUHK!Y13,"新科目")</f>
        <v>8.733333333</v>
      </c>
      <c r="M321" s="112">
        <f>'入學要求'!S311</f>
        <v>0</v>
      </c>
      <c r="N321" s="112"/>
      <c r="O321" s="112"/>
      <c r="P321" s="112"/>
      <c r="Q321" s="112"/>
      <c r="R321" s="112"/>
      <c r="S321" s="112"/>
      <c r="T321" s="112"/>
      <c r="U321" s="112"/>
      <c r="V321" s="112"/>
      <c r="W321" s="112"/>
      <c r="X321" s="112"/>
      <c r="Y321" s="112"/>
      <c r="Z321" s="112"/>
      <c r="AA321" s="112"/>
      <c r="AB321" s="112"/>
    </row>
    <row r="322" ht="15.75" customHeight="1">
      <c r="A322" s="112" t="str">
        <f>EdUHK!A14</f>
        <v>JS8600</v>
      </c>
      <c r="B322" s="112" t="s">
        <v>952</v>
      </c>
      <c r="C322" s="112" t="str">
        <f>EdUHK!C14</f>
        <v>語文研究榮譽文學士 (中文主修)</v>
      </c>
      <c r="D322" s="112" t="str">
        <f>EdUHK!D14</f>
        <v>HD(ECE)</v>
      </c>
      <c r="E322" s="112" t="str">
        <f>EdUHK!E14</f>
        <v>Best 5</v>
      </c>
      <c r="F322" s="128" t="s">
        <v>541</v>
      </c>
      <c r="G322" s="128">
        <f>EdUHK!F14</f>
        <v>20</v>
      </c>
      <c r="H322" s="128" t="s">
        <v>541</v>
      </c>
      <c r="I322" s="128">
        <f>'計分版'!D327</f>
        <v>0.00000000395</v>
      </c>
      <c r="J322" s="112">
        <f>EdUHK!J14</f>
        <v>16</v>
      </c>
      <c r="K322" s="112">
        <f>EdUHK!X14</f>
        <v>21</v>
      </c>
      <c r="L322" s="153">
        <f>IFERROR(EdUHK!AF14/EdUHK!Y14,"新科目")</f>
        <v>10.68421053</v>
      </c>
      <c r="M322" s="112">
        <f>'入學要求'!S312</f>
        <v>0</v>
      </c>
      <c r="N322" s="112"/>
      <c r="O322" s="112"/>
      <c r="P322" s="112"/>
      <c r="Q322" s="112"/>
      <c r="R322" s="112"/>
      <c r="S322" s="112"/>
      <c r="T322" s="112"/>
      <c r="U322" s="112"/>
      <c r="V322" s="112"/>
      <c r="W322" s="112"/>
      <c r="X322" s="112"/>
      <c r="Y322" s="112"/>
      <c r="Z322" s="112"/>
      <c r="AA322" s="112"/>
      <c r="AB322" s="112"/>
    </row>
    <row r="323" ht="15.75" customHeight="1">
      <c r="A323" s="112" t="str">
        <f>EdUHK!A15</f>
        <v>JS8612</v>
      </c>
      <c r="B323" s="112" t="s">
        <v>952</v>
      </c>
      <c r="C323" s="112" t="str">
        <f>EdUHK!C15</f>
        <v>語文研究榮譽文學士 (英文主修)</v>
      </c>
      <c r="D323" s="112" t="str">
        <f>EdUHK!D15</f>
        <v>BA(Lang Studies)-CN</v>
      </c>
      <c r="E323" s="112" t="str">
        <f>EdUHK!E15</f>
        <v>Best 5</v>
      </c>
      <c r="F323" s="128" t="s">
        <v>541</v>
      </c>
      <c r="G323" s="128">
        <f>EdUHK!F15</f>
        <v>20</v>
      </c>
      <c r="H323" s="128" t="s">
        <v>541</v>
      </c>
      <c r="I323" s="128">
        <f>'計分版'!D328</f>
        <v>0.00000000395</v>
      </c>
      <c r="J323" s="112">
        <f>EdUHK!J15</f>
        <v>16</v>
      </c>
      <c r="K323" s="112">
        <f>EdUHK!X15</f>
        <v>12</v>
      </c>
      <c r="L323" s="153">
        <f>IFERROR(EdUHK!AF15/EdUHK!Y15,"新科目")</f>
        <v>11.18181818</v>
      </c>
      <c r="M323" s="112">
        <f>'入學要求'!S313</f>
        <v>0</v>
      </c>
      <c r="N323" s="112"/>
      <c r="O323" s="112"/>
      <c r="P323" s="112"/>
      <c r="Q323" s="112"/>
      <c r="R323" s="112"/>
      <c r="S323" s="112"/>
      <c r="T323" s="112"/>
      <c r="U323" s="112"/>
      <c r="V323" s="112"/>
      <c r="W323" s="112"/>
      <c r="X323" s="112"/>
      <c r="Y323" s="112"/>
      <c r="Z323" s="112"/>
      <c r="AA323" s="112"/>
      <c r="AB323" s="112"/>
    </row>
    <row r="324" ht="15.75" customHeight="1">
      <c r="A324" s="112" t="str">
        <f>EdUHK!A16</f>
        <v>JS8624</v>
      </c>
      <c r="B324" s="112" t="s">
        <v>952</v>
      </c>
      <c r="C324" s="112" t="str">
        <f>EdUHK!C16</f>
        <v>全球及環境研究榮譽社會科學學士</v>
      </c>
      <c r="D324" s="112" t="str">
        <f>EdUHK!D16</f>
        <v>BA(Lang Studies)-EG</v>
      </c>
      <c r="E324" s="112" t="str">
        <f>EdUHK!E16</f>
        <v>Best 5</v>
      </c>
      <c r="F324" s="128" t="s">
        <v>541</v>
      </c>
      <c r="G324" s="128">
        <f>EdUHK!F16</f>
        <v>20</v>
      </c>
      <c r="H324" s="128" t="s">
        <v>541</v>
      </c>
      <c r="I324" s="128">
        <f>'計分版'!D329</f>
        <v>0.00000000395</v>
      </c>
      <c r="J324" s="112">
        <f>EdUHK!J16</f>
        <v>24</v>
      </c>
      <c r="K324" s="112">
        <f>EdUHK!X16</f>
        <v>21</v>
      </c>
      <c r="L324" s="153">
        <f>IFERROR(EdUHK!AF16/EdUHK!Y16,"新科目")</f>
        <v>10.71428571</v>
      </c>
      <c r="M324" s="112">
        <f>'入學要求'!S314</f>
        <v>0</v>
      </c>
      <c r="N324" s="112"/>
      <c r="O324" s="112"/>
      <c r="P324" s="112"/>
      <c r="Q324" s="112"/>
      <c r="R324" s="112"/>
      <c r="S324" s="112"/>
      <c r="T324" s="112"/>
      <c r="U324" s="112"/>
      <c r="V324" s="112"/>
      <c r="W324" s="112"/>
      <c r="X324" s="112"/>
      <c r="Y324" s="112"/>
      <c r="Z324" s="112"/>
      <c r="AA324" s="112"/>
      <c r="AB324" s="112"/>
    </row>
    <row r="325" ht="15.75" customHeight="1">
      <c r="A325" s="112" t="str">
        <f>EdUHK!A17</f>
        <v>JS8636</v>
      </c>
      <c r="B325" s="112" t="s">
        <v>952</v>
      </c>
      <c r="C325" s="112" t="str">
        <f>EdUHK!C17</f>
        <v>創意藝術與文化榮譽文學士 (音樂)</v>
      </c>
      <c r="D325" s="112" t="str">
        <f>EdUHK!D17</f>
        <v>BSocSc(GES)</v>
      </c>
      <c r="E325" s="112" t="str">
        <f>EdUHK!E17</f>
        <v>Best 5</v>
      </c>
      <c r="F325" s="128" t="s">
        <v>541</v>
      </c>
      <c r="G325" s="128">
        <f>EdUHK!F17</f>
        <v>18</v>
      </c>
      <c r="H325" s="128" t="s">
        <v>541</v>
      </c>
      <c r="I325" s="128">
        <f>'計分版'!D330</f>
        <v>0.00000000395</v>
      </c>
      <c r="J325" s="112">
        <f>EdUHK!J17</f>
        <v>12</v>
      </c>
      <c r="K325" s="112">
        <f>EdUHK!X17</f>
        <v>14</v>
      </c>
      <c r="L325" s="153">
        <f>IFERROR(EdUHK!AF17/EdUHK!Y17,"新科目")</f>
        <v>12.71428571</v>
      </c>
      <c r="M325" s="112">
        <f>'入學要求'!S315</f>
        <v>0</v>
      </c>
      <c r="N325" s="112"/>
      <c r="O325" s="112"/>
      <c r="P325" s="112"/>
      <c r="Q325" s="112"/>
      <c r="R325" s="112"/>
      <c r="S325" s="112"/>
      <c r="T325" s="112"/>
      <c r="U325" s="112"/>
      <c r="V325" s="112"/>
      <c r="W325" s="112"/>
      <c r="X325" s="112"/>
      <c r="Y325" s="112"/>
      <c r="Z325" s="112"/>
      <c r="AA325" s="112"/>
      <c r="AB325" s="112"/>
    </row>
    <row r="326" ht="15.75" customHeight="1">
      <c r="A326" s="112" t="str">
        <f>EdUHK!A18</f>
        <v>JS8648</v>
      </c>
      <c r="B326" s="112" t="s">
        <v>952</v>
      </c>
      <c r="C326" s="112" t="str">
        <f>EdUHK!C18</f>
        <v>創意藝術與文化榮譽文學士 (視覺藝術)</v>
      </c>
      <c r="D326" s="112" t="str">
        <f>EdUHK!D18</f>
        <v>BA(CAC)-MU</v>
      </c>
      <c r="E326" s="112" t="str">
        <f>EdUHK!E18</f>
        <v>Best 5</v>
      </c>
      <c r="F326" s="128" t="s">
        <v>541</v>
      </c>
      <c r="G326" s="128">
        <f>EdUHK!F18</f>
        <v>20</v>
      </c>
      <c r="H326" s="128" t="s">
        <v>541</v>
      </c>
      <c r="I326" s="128">
        <f>'計分版'!D331</f>
        <v>0.00000000395</v>
      </c>
      <c r="J326" s="112">
        <f>EdUHK!J18</f>
        <v>12</v>
      </c>
      <c r="K326" s="112">
        <f>EdUHK!X18</f>
        <v>13</v>
      </c>
      <c r="L326" s="153">
        <f>IFERROR(EdUHK!AF18/EdUHK!Y18,"新科目")</f>
        <v>44.25</v>
      </c>
      <c r="M326" s="112">
        <f>'入學要求'!S316</f>
        <v>0</v>
      </c>
      <c r="N326" s="112"/>
      <c r="O326" s="112"/>
      <c r="P326" s="112"/>
      <c r="Q326" s="112"/>
      <c r="R326" s="112"/>
      <c r="S326" s="112"/>
      <c r="T326" s="112"/>
      <c r="U326" s="112"/>
      <c r="V326" s="112"/>
      <c r="W326" s="112"/>
      <c r="X326" s="112"/>
      <c r="Y326" s="112"/>
      <c r="Z326" s="112"/>
      <c r="AA326" s="112"/>
      <c r="AB326" s="112"/>
    </row>
    <row r="327" ht="15.75" customHeight="1">
      <c r="A327" s="112" t="str">
        <f>EdUHK!A19</f>
        <v>JS8651</v>
      </c>
      <c r="B327" s="112" t="s">
        <v>952</v>
      </c>
      <c r="C327" s="112" t="str">
        <f>EdUHK!C19</f>
        <v>心理學榮譽社會科學學士</v>
      </c>
      <c r="D327" s="112" t="str">
        <f>EdUHK!D19</f>
        <v>BA(CAC)-VA</v>
      </c>
      <c r="E327" s="112" t="str">
        <f>EdUHK!E19</f>
        <v>Best 5</v>
      </c>
      <c r="F327" s="128" t="s">
        <v>541</v>
      </c>
      <c r="G327" s="128">
        <f>EdUHK!F19</f>
        <v>21</v>
      </c>
      <c r="H327" s="128" t="s">
        <v>541</v>
      </c>
      <c r="I327" s="128">
        <f>'計分版'!D332</f>
        <v>0.00000000395</v>
      </c>
      <c r="J327" s="112">
        <f>EdUHK!J19</f>
        <v>20</v>
      </c>
      <c r="K327" s="112">
        <f>EdUHK!X19</f>
        <v>26</v>
      </c>
      <c r="L327" s="153">
        <f>IFERROR(EdUHK!AF19/EdUHK!Y19,"新科目")</f>
        <v>22.9047619</v>
      </c>
      <c r="M327" s="112">
        <f>'入學要求'!S317</f>
        <v>0</v>
      </c>
      <c r="N327" s="112"/>
      <c r="O327" s="112"/>
      <c r="P327" s="112"/>
      <c r="Q327" s="112"/>
      <c r="R327" s="112"/>
      <c r="S327" s="112"/>
      <c r="T327" s="112"/>
      <c r="U327" s="112"/>
      <c r="V327" s="112"/>
      <c r="W327" s="112"/>
      <c r="X327" s="112"/>
      <c r="Y327" s="112"/>
      <c r="Z327" s="112"/>
      <c r="AA327" s="112"/>
      <c r="AB327" s="112"/>
    </row>
    <row r="328" ht="15.75" customHeight="1">
      <c r="A328" s="112" t="str">
        <f>EdUHK!A20</f>
        <v>JS8663</v>
      </c>
      <c r="B328" s="112" t="s">
        <v>952</v>
      </c>
      <c r="C328" s="112" t="str">
        <f>EdUHK!C20</f>
        <v>特殊教育榮譽文學士</v>
      </c>
      <c r="D328" s="112" t="str">
        <f>EdUHK!D20</f>
        <v>BSocSc(Psy)</v>
      </c>
      <c r="E328" s="112" t="str">
        <f>EdUHK!E20</f>
        <v>Best 5</v>
      </c>
      <c r="F328" s="128" t="s">
        <v>541</v>
      </c>
      <c r="G328" s="128">
        <f>EdUHK!F20</f>
        <v>20</v>
      </c>
      <c r="H328" s="128" t="s">
        <v>541</v>
      </c>
      <c r="I328" s="128">
        <f>'計分版'!D333</f>
        <v>0.00000000395</v>
      </c>
      <c r="J328" s="112">
        <f>EdUHK!J20</f>
        <v>20</v>
      </c>
      <c r="K328" s="112">
        <f>EdUHK!X20</f>
        <v>21</v>
      </c>
      <c r="L328" s="153">
        <f>IFERROR(EdUHK!AF20/EdUHK!Y20,"新科目")</f>
        <v>14.42857143</v>
      </c>
      <c r="M328" s="112">
        <f>'入學要求'!S318</f>
        <v>0</v>
      </c>
      <c r="N328" s="112"/>
      <c r="O328" s="112"/>
      <c r="P328" s="112"/>
      <c r="Q328" s="112"/>
      <c r="R328" s="112"/>
      <c r="S328" s="112"/>
      <c r="T328" s="112"/>
      <c r="U328" s="112"/>
      <c r="V328" s="112"/>
      <c r="W328" s="112"/>
      <c r="X328" s="112"/>
      <c r="Y328" s="112"/>
      <c r="Z328" s="112"/>
      <c r="AA328" s="112"/>
      <c r="AB328" s="112"/>
    </row>
    <row r="329" ht="15.75" customHeight="1">
      <c r="A329" s="112" t="str">
        <f>EdUHK!A21</f>
        <v>JS8801</v>
      </c>
      <c r="B329" s="112" t="s">
        <v>952</v>
      </c>
      <c r="C329" s="112" t="str">
        <f>EdUHK!C21</f>
        <v>創意藝術與文化榮譽文學士及音樂教育榮譽學士 (同期 結業雙學位課程)</v>
      </c>
      <c r="D329" s="112" t="str">
        <f>EdUHK!D21</f>
        <v>BA(SE)</v>
      </c>
      <c r="E329" s="112" t="str">
        <f>EdUHK!E21</f>
        <v>Best 5</v>
      </c>
      <c r="F329" s="128" t="s">
        <v>541</v>
      </c>
      <c r="G329" s="128">
        <f>EdUHK!F21</f>
        <v>19</v>
      </c>
      <c r="H329" s="128" t="s">
        <v>541</v>
      </c>
      <c r="I329" s="128">
        <f>'計分版'!D334</f>
        <v>0.00000000395</v>
      </c>
      <c r="J329" s="112">
        <f>EdUHK!J21</f>
        <v>40</v>
      </c>
      <c r="K329" s="112">
        <f>EdUHK!X21</f>
        <v>32</v>
      </c>
      <c r="L329" s="153">
        <f>IFERROR(EdUHK!AF21/EdUHK!Y21,"新科目")</f>
        <v>5.290322581</v>
      </c>
      <c r="M329" s="112">
        <f>'入學要求'!S319</f>
        <v>0</v>
      </c>
      <c r="N329" s="112"/>
      <c r="O329" s="112"/>
      <c r="P329" s="112"/>
      <c r="Q329" s="112"/>
      <c r="R329" s="112"/>
      <c r="S329" s="112"/>
      <c r="T329" s="112"/>
      <c r="U329" s="112"/>
      <c r="V329" s="112"/>
      <c r="W329" s="112"/>
      <c r="X329" s="112"/>
      <c r="Y329" s="112"/>
      <c r="Z329" s="112"/>
      <c r="AA329" s="112"/>
      <c r="AB329" s="112"/>
    </row>
    <row r="330" ht="15.75" customHeight="1">
      <c r="A330" s="112" t="str">
        <f>EdUHK!A22</f>
        <v>JS8813</v>
      </c>
      <c r="B330" s="112" t="s">
        <v>952</v>
      </c>
      <c r="C330" s="112" t="str">
        <f>EdUHK!C22</f>
        <v>創意藝術與文化榮譽文學士及視覺藝術教育榮譽學士 (同期結業雙學位課程)</v>
      </c>
      <c r="D330" s="112" t="str">
        <f>EdUHK!D22</f>
        <v>BA(CAC) &amp; BEd(MU)</v>
      </c>
      <c r="E330" s="112" t="str">
        <f>EdUHK!E22</f>
        <v>Best 5</v>
      </c>
      <c r="F330" s="128" t="s">
        <v>541</v>
      </c>
      <c r="G330" s="128">
        <f>EdUHK!F22</f>
        <v>20</v>
      </c>
      <c r="H330" s="128" t="s">
        <v>541</v>
      </c>
      <c r="I330" s="128">
        <f>'計分版'!D335</f>
        <v>0.00000000395</v>
      </c>
      <c r="J330" s="112">
        <f>EdUHK!J22</f>
        <v>40</v>
      </c>
      <c r="K330" s="112">
        <f>EdUHK!X22</f>
        <v>27</v>
      </c>
      <c r="L330" s="153">
        <f>IFERROR(EdUHK!AF22/EdUHK!Y22,"新科目")</f>
        <v>11.03703704</v>
      </c>
      <c r="M330" s="112">
        <f>'入學要求'!S320</f>
        <v>0</v>
      </c>
      <c r="N330" s="112"/>
      <c r="O330" s="112"/>
      <c r="P330" s="112"/>
      <c r="Q330" s="112"/>
      <c r="R330" s="112"/>
      <c r="S330" s="112"/>
      <c r="T330" s="112"/>
      <c r="U330" s="112"/>
      <c r="V330" s="112"/>
      <c r="W330" s="112"/>
      <c r="X330" s="112"/>
      <c r="Y330" s="112"/>
      <c r="Z330" s="112"/>
      <c r="AA330" s="112"/>
      <c r="AB330" s="112"/>
    </row>
    <row r="331" ht="15.75" customHeight="1">
      <c r="A331" s="112" t="str">
        <f>EdUHK!A23</f>
        <v>JS8825</v>
      </c>
      <c r="B331" s="112" t="s">
        <v>952</v>
      </c>
      <c r="C331" s="112" t="str">
        <f>EdUHK!C23</f>
        <v>語文研究榮譽文學士及英文教育榮譽學士 (同期結業雙 學位課程)</v>
      </c>
      <c r="D331" s="112" t="str">
        <f>EdUHK!D23</f>
        <v>BA(CAC) &amp; BEd(VA)</v>
      </c>
      <c r="E331" s="112" t="str">
        <f>EdUHK!E23</f>
        <v>Best 5</v>
      </c>
      <c r="F331" s="128" t="s">
        <v>541</v>
      </c>
      <c r="G331" s="128">
        <f>EdUHK!F23</f>
        <v>21</v>
      </c>
      <c r="H331" s="128" t="s">
        <v>541</v>
      </c>
      <c r="I331" s="128">
        <f>'計分版'!D336</f>
        <v>0.00000000395</v>
      </c>
      <c r="J331" s="112">
        <f>EdUHK!J23</f>
        <v>20</v>
      </c>
      <c r="K331" s="112">
        <f>EdUHK!X23</f>
        <v>15</v>
      </c>
      <c r="L331" s="153">
        <f>IFERROR(EdUHK!AF23/EdUHK!Y23,"新科目")</f>
        <v>9.8</v>
      </c>
      <c r="M331" s="112">
        <f>'入學要求'!S321</f>
        <v>0</v>
      </c>
      <c r="N331" s="112"/>
      <c r="O331" s="112"/>
      <c r="P331" s="112"/>
      <c r="Q331" s="112"/>
      <c r="R331" s="112"/>
      <c r="S331" s="112"/>
      <c r="T331" s="112"/>
      <c r="U331" s="112"/>
      <c r="V331" s="112"/>
      <c r="W331" s="112"/>
      <c r="X331" s="112"/>
      <c r="Y331" s="112"/>
      <c r="Z331" s="112"/>
      <c r="AA331" s="112"/>
      <c r="AB331" s="112"/>
    </row>
    <row r="332" ht="15.75" customHeight="1">
      <c r="A332" s="112" t="str">
        <f>EdUHK!A24</f>
        <v>JS8507</v>
      </c>
      <c r="B332" s="112" t="s">
        <v>952</v>
      </c>
      <c r="C332" s="112" t="str">
        <f>EdUHK!C24</f>
        <v>幼兒教育高級文憑</v>
      </c>
      <c r="D332" s="112" t="str">
        <f>EdUHK!D24</f>
        <v>BA(Lang Studies)&amp;BEd(EL)</v>
      </c>
      <c r="E332" s="112" t="str">
        <f>EdUHK!E24</f>
        <v>Best 5</v>
      </c>
      <c r="F332" s="128" t="s">
        <v>541</v>
      </c>
      <c r="G332" s="128">
        <f>EdUHK!F24</f>
        <v>17</v>
      </c>
      <c r="H332" s="128" t="s">
        <v>541</v>
      </c>
      <c r="I332" s="128">
        <f>'計分版'!D337</f>
        <v>0.00000000395</v>
      </c>
      <c r="J332" s="112">
        <f>EdUHK!J24</f>
        <v>330</v>
      </c>
      <c r="K332" s="112">
        <f>EdUHK!X24</f>
        <v>339</v>
      </c>
      <c r="L332" s="153">
        <f>IFERROR(EdUHK!AF24/EdUHK!Y24,"新科目")</f>
        <v>8.432692308</v>
      </c>
      <c r="M332" s="112">
        <f>'入學要求'!S322</f>
        <v>0</v>
      </c>
      <c r="N332" s="112"/>
      <c r="O332" s="112"/>
      <c r="P332" s="112"/>
      <c r="Q332" s="112"/>
      <c r="R332" s="112"/>
      <c r="S332" s="112"/>
      <c r="T332" s="112"/>
      <c r="U332" s="112"/>
      <c r="V332" s="112"/>
      <c r="W332" s="112"/>
      <c r="X332" s="112"/>
      <c r="Y332" s="112"/>
      <c r="Z332" s="112"/>
      <c r="AA332" s="112"/>
      <c r="AB332" s="112"/>
    </row>
    <row r="333" ht="15.75" customHeight="1">
      <c r="A333" s="112"/>
      <c r="B333" s="112"/>
      <c r="C333" s="112"/>
      <c r="D333" s="112"/>
      <c r="E333" s="125"/>
      <c r="F333" s="128"/>
      <c r="G333" s="128"/>
      <c r="H333" s="128"/>
      <c r="I333" s="128"/>
      <c r="J333" s="112"/>
      <c r="K333" s="112"/>
      <c r="L333" s="153"/>
      <c r="M333" s="112"/>
      <c r="N333" s="112"/>
      <c r="O333" s="112"/>
      <c r="P333" s="112"/>
      <c r="Q333" s="112"/>
      <c r="R333" s="112"/>
      <c r="S333" s="112"/>
      <c r="T333" s="112"/>
      <c r="U333" s="112"/>
      <c r="V333" s="112"/>
      <c r="W333" s="112"/>
      <c r="X333" s="112"/>
      <c r="Y333" s="112"/>
      <c r="Z333" s="112"/>
      <c r="AA333" s="112"/>
      <c r="AB333" s="112"/>
    </row>
    <row r="334" ht="15.75" customHeight="1">
      <c r="A334" s="157"/>
      <c r="B334" s="157"/>
      <c r="C334" s="162"/>
      <c r="D334" s="157"/>
      <c r="E334" s="158"/>
      <c r="F334" s="159" t="s">
        <v>45</v>
      </c>
      <c r="G334" s="159" t="s">
        <v>46</v>
      </c>
      <c r="H334" s="159" t="s">
        <v>47</v>
      </c>
      <c r="I334" s="159" t="str">
        <f>'計分版'!D339</f>
        <v>總分</v>
      </c>
      <c r="J334" s="157"/>
      <c r="K334" s="157"/>
      <c r="L334" s="161"/>
      <c r="M334" s="157"/>
      <c r="N334" s="112"/>
      <c r="O334" s="112"/>
      <c r="P334" s="112"/>
      <c r="Q334" s="112"/>
      <c r="R334" s="112"/>
      <c r="S334" s="112"/>
      <c r="T334" s="112"/>
      <c r="U334" s="112"/>
      <c r="V334" s="112"/>
      <c r="W334" s="112"/>
      <c r="X334" s="112"/>
      <c r="Y334" s="112"/>
      <c r="Z334" s="112"/>
      <c r="AA334" s="112"/>
      <c r="AB334" s="112"/>
    </row>
    <row r="335" ht="15.75" customHeight="1">
      <c r="A335" s="112" t="str">
        <f>OUHK!A2</f>
        <v>JS9001</v>
      </c>
      <c r="B335" s="112" t="s">
        <v>184</v>
      </c>
      <c r="C335" s="112" t="str">
        <f>OUHK!C2</f>
        <v>心理學榮譽社會科學學士</v>
      </c>
      <c r="D335" s="112" t="str">
        <f>OUHK!D2</f>
        <v>BSSc(Hons)Psychology</v>
      </c>
      <c r="E335" s="112" t="str">
        <f>OUHK!E2</f>
        <v>4C1X</v>
      </c>
      <c r="F335" s="128" t="s">
        <v>541</v>
      </c>
      <c r="G335" s="128">
        <f>OUHK!F2</f>
        <v>16</v>
      </c>
      <c r="H335" s="128">
        <f>OUHK!G2</f>
        <v>14</v>
      </c>
      <c r="I335" s="128">
        <f>'計分版'!D340</f>
        <v>0.00000000195</v>
      </c>
      <c r="J335" s="112">
        <f>OUHK!K2</f>
        <v>90</v>
      </c>
      <c r="K335" s="112">
        <f>OUHK!Y2</f>
        <v>312</v>
      </c>
      <c r="L335" s="153">
        <f>IFERROR(OUHK!AG2/OUHK!Z2,"新科目")</f>
        <v>4.706766917</v>
      </c>
      <c r="M335" s="112">
        <f>'入學要求'!S326</f>
        <v>0</v>
      </c>
      <c r="N335" s="112"/>
      <c r="O335" s="112"/>
      <c r="P335" s="112"/>
      <c r="Q335" s="112"/>
      <c r="R335" s="112"/>
      <c r="S335" s="112"/>
      <c r="T335" s="112"/>
      <c r="U335" s="112"/>
      <c r="V335" s="112"/>
      <c r="W335" s="112"/>
      <c r="X335" s="112"/>
      <c r="Y335" s="112"/>
      <c r="Z335" s="112"/>
      <c r="AA335" s="112"/>
      <c r="AB335" s="112"/>
    </row>
    <row r="336" ht="15.75" customHeight="1">
      <c r="A336" s="112" t="str">
        <f>OUHK!A3</f>
        <v>JS9003</v>
      </c>
      <c r="B336" s="112" t="s">
        <v>184</v>
      </c>
      <c r="C336" s="112" t="str">
        <f>OUHK!C3</f>
        <v>政治及公共行政榮譽社會科學學士</v>
      </c>
      <c r="D336" s="112" t="str">
        <f>OUHK!D3</f>
        <v>BSSc(Hons)Poltics&amp;PubAdm</v>
      </c>
      <c r="E336" s="112" t="str">
        <f>OUHK!E3</f>
        <v>4C1X</v>
      </c>
      <c r="F336" s="128" t="s">
        <v>541</v>
      </c>
      <c r="G336" s="128">
        <f>OUHK!F3</f>
        <v>17</v>
      </c>
      <c r="H336" s="128">
        <f>OUHK!G3</f>
        <v>16</v>
      </c>
      <c r="I336" s="128">
        <f>'計分版'!D341</f>
        <v>0.00000000195</v>
      </c>
      <c r="J336" s="112">
        <f>OUHK!K3</f>
        <v>27</v>
      </c>
      <c r="K336" s="112">
        <f>OUHK!Y3</f>
        <v>82</v>
      </c>
      <c r="L336" s="153">
        <f>IFERROR(OUHK!AG3/OUHK!Z3,"新科目")</f>
        <v>4.65625</v>
      </c>
      <c r="M336" s="112">
        <f>'入學要求'!S327</f>
        <v>0</v>
      </c>
      <c r="N336" s="112"/>
      <c r="O336" s="112"/>
      <c r="P336" s="112"/>
      <c r="Q336" s="112"/>
      <c r="R336" s="112"/>
      <c r="S336" s="112"/>
      <c r="T336" s="112"/>
      <c r="U336" s="112"/>
      <c r="V336" s="112"/>
      <c r="W336" s="112"/>
      <c r="X336" s="112"/>
      <c r="Y336" s="112"/>
      <c r="Z336" s="112"/>
      <c r="AA336" s="112"/>
      <c r="AB336" s="112"/>
    </row>
    <row r="337" ht="15.75" customHeight="1">
      <c r="A337" s="112" t="str">
        <f>OUHK!A4</f>
        <v>JS9004</v>
      </c>
      <c r="B337" s="112" t="s">
        <v>184</v>
      </c>
      <c r="C337" s="112" t="str">
        <f>OUHK!C4</f>
        <v>應用社會研究榮譽社會科學學士</v>
      </c>
      <c r="D337" s="112" t="str">
        <f>OUHK!D4</f>
        <v>BSSc(Hons) App Soc Stud</v>
      </c>
      <c r="E337" s="112" t="str">
        <f>OUHK!E4</f>
        <v>4C1X</v>
      </c>
      <c r="F337" s="128" t="s">
        <v>541</v>
      </c>
      <c r="G337" s="128">
        <f>OUHK!F4</f>
        <v>18</v>
      </c>
      <c r="H337" s="128">
        <f>OUHK!G4</f>
        <v>17</v>
      </c>
      <c r="I337" s="128">
        <f>'計分版'!D342</f>
        <v>0.00000000195</v>
      </c>
      <c r="J337" s="112">
        <f>OUHK!K4</f>
        <v>36</v>
      </c>
      <c r="K337" s="112">
        <f>OUHK!Y4</f>
        <v>88</v>
      </c>
      <c r="L337" s="153">
        <f>IFERROR(OUHK!AG4/OUHK!Z4,"新科目")</f>
        <v>5.363636364</v>
      </c>
      <c r="M337" s="112">
        <f>'入學要求'!S328</f>
        <v>0</v>
      </c>
      <c r="N337" s="112"/>
      <c r="O337" s="112"/>
      <c r="P337" s="112"/>
      <c r="Q337" s="112"/>
      <c r="R337" s="112"/>
      <c r="S337" s="112"/>
      <c r="T337" s="112"/>
      <c r="U337" s="112"/>
      <c r="V337" s="112"/>
      <c r="W337" s="112"/>
      <c r="X337" s="112"/>
      <c r="Y337" s="112"/>
      <c r="Z337" s="112"/>
      <c r="AA337" s="112"/>
      <c r="AB337" s="112"/>
    </row>
    <row r="338" ht="15.75" customHeight="1">
      <c r="A338" s="112" t="str">
        <f>OUHK!A5</f>
        <v>JS9005</v>
      </c>
      <c r="B338" s="112" t="s">
        <v>184</v>
      </c>
      <c r="C338" s="112" t="str">
        <f>OUHK!C5</f>
        <v>全球與中國研究榮譽社會科學學士</v>
      </c>
      <c r="D338" s="112" t="str">
        <f>OUHK!D5</f>
        <v>BSSc(Hons) Glob &amp; China</v>
      </c>
      <c r="E338" s="112" t="str">
        <f>OUHK!E5</f>
        <v>4C1X</v>
      </c>
      <c r="F338" s="128" t="s">
        <v>541</v>
      </c>
      <c r="G338" s="128">
        <f>OUHK!F5</f>
        <v>16</v>
      </c>
      <c r="H338" s="128">
        <f>OUHK!G5</f>
        <v>15</v>
      </c>
      <c r="I338" s="128">
        <f>'計分版'!D343</f>
        <v>0.00000000195</v>
      </c>
      <c r="J338" s="112">
        <f>OUHK!K5</f>
        <v>20</v>
      </c>
      <c r="K338" s="112">
        <f>OUHK!Y5</f>
        <v>39</v>
      </c>
      <c r="L338" s="153">
        <f>IFERROR(OUHK!AG5/OUHK!Z5,"新科目")</f>
        <v>4</v>
      </c>
      <c r="M338" s="112">
        <f>'入學要求'!S329</f>
        <v>0</v>
      </c>
      <c r="N338" s="112"/>
      <c r="O338" s="112"/>
      <c r="P338" s="112"/>
      <c r="Q338" s="112"/>
      <c r="R338" s="112"/>
      <c r="S338" s="112"/>
      <c r="T338" s="112"/>
      <c r="U338" s="112"/>
      <c r="V338" s="112"/>
      <c r="W338" s="112"/>
      <c r="X338" s="112"/>
      <c r="Y338" s="112"/>
      <c r="Z338" s="112"/>
      <c r="AA338" s="112"/>
      <c r="AB338" s="112"/>
    </row>
    <row r="339" ht="15.75" customHeight="1">
      <c r="A339" s="112" t="str">
        <f>OUHK!A6</f>
        <v>JS9006</v>
      </c>
      <c r="B339" s="112" t="s">
        <v>184</v>
      </c>
      <c r="C339" s="112" t="str">
        <f>OUHK!C6</f>
        <v>高齡社會與服務研究榮譽社會科學學士</v>
      </c>
      <c r="D339" s="112" t="str">
        <f>OUHK!D6</f>
        <v>BSSc(Hons)Ageing&amp;Serv</v>
      </c>
      <c r="E339" s="112" t="str">
        <f>OUHK!E6</f>
        <v>4C1X</v>
      </c>
      <c r="F339" s="128" t="s">
        <v>541</v>
      </c>
      <c r="G339" s="128">
        <f>OUHK!F6</f>
        <v>15</v>
      </c>
      <c r="H339" s="128">
        <f>OUHK!G6</f>
        <v>15</v>
      </c>
      <c r="I339" s="128">
        <f>'計分版'!D344</f>
        <v>0.00000000195</v>
      </c>
      <c r="J339" s="112">
        <f>OUHK!K6</f>
        <v>18</v>
      </c>
      <c r="K339" s="112">
        <f>OUHK!Y6</f>
        <v>34</v>
      </c>
      <c r="L339" s="153">
        <f>IFERROR(OUHK!AG6/OUHK!Z6,"新科目")</f>
        <v>6.333333333</v>
      </c>
      <c r="M339" s="112">
        <f>'入學要求'!S330</f>
        <v>0</v>
      </c>
      <c r="N339" s="112"/>
      <c r="O339" s="112"/>
      <c r="P339" s="112"/>
      <c r="Q339" s="112"/>
      <c r="R339" s="112"/>
      <c r="S339" s="112"/>
      <c r="T339" s="112"/>
      <c r="U339" s="112"/>
      <c r="V339" s="112"/>
      <c r="W339" s="112"/>
      <c r="X339" s="112"/>
      <c r="Y339" s="112"/>
      <c r="Z339" s="112"/>
      <c r="AA339" s="112"/>
      <c r="AB339" s="112"/>
    </row>
    <row r="340" ht="15.75" customHeight="1">
      <c r="A340" s="112" t="str">
        <f>OUHK!A7</f>
        <v>JS9007</v>
      </c>
      <c r="B340" s="112" t="s">
        <v>184</v>
      </c>
      <c r="C340" s="112" t="str">
        <f>OUHK!C7</f>
        <v>經濟及公共政策分析榮譽社會科學學士</v>
      </c>
      <c r="D340" s="112" t="str">
        <f>OUHK!D7</f>
        <v>BSSc(Hons)Econ&amp;PubPolAna</v>
      </c>
      <c r="E340" s="112" t="str">
        <f>OUHK!E7</f>
        <v>4C1X</v>
      </c>
      <c r="F340" s="128" t="s">
        <v>541</v>
      </c>
      <c r="G340" s="128">
        <f>OUHK!F7</f>
        <v>18</v>
      </c>
      <c r="H340" s="128">
        <f>OUHK!G7</f>
        <v>17</v>
      </c>
      <c r="I340" s="128">
        <f>'計分版'!D345</f>
        <v>0.00000000195</v>
      </c>
      <c r="J340" s="112">
        <f>OUHK!K7</f>
        <v>20</v>
      </c>
      <c r="K340" s="112">
        <f>OUHK!Y7</f>
        <v>12</v>
      </c>
      <c r="L340" s="153">
        <f>IFERROR(OUHK!AG7/OUHK!Z7,"新科目")</f>
        <v>6.285714286</v>
      </c>
      <c r="M340" s="112">
        <f>'入學要求'!S331</f>
        <v>0</v>
      </c>
      <c r="N340" s="112"/>
      <c r="O340" s="112"/>
      <c r="P340" s="112"/>
      <c r="Q340" s="112"/>
      <c r="R340" s="112"/>
      <c r="S340" s="112"/>
      <c r="T340" s="112"/>
      <c r="U340" s="112"/>
      <c r="V340" s="112"/>
      <c r="W340" s="112"/>
      <c r="X340" s="112"/>
      <c r="Y340" s="112"/>
      <c r="Z340" s="112"/>
      <c r="AA340" s="112"/>
      <c r="AB340" s="112"/>
    </row>
    <row r="341" ht="15.75" customHeight="1">
      <c r="A341" s="112" t="str">
        <f>OUHK!A8</f>
        <v>JS9008</v>
      </c>
      <c r="B341" s="112" t="s">
        <v>184</v>
      </c>
      <c r="C341" s="112" t="str">
        <f>OUHK!C8</f>
        <v>心理學與精神健康榮譽社會科學學士</v>
      </c>
      <c r="D341" s="112" t="str">
        <f>OUHK!D8</f>
        <v>BSSc(Hons) Psy&amp;Mental H</v>
      </c>
      <c r="E341" s="112" t="str">
        <f>OUHK!E8</f>
        <v>4C1X</v>
      </c>
      <c r="F341" s="128" t="s">
        <v>541</v>
      </c>
      <c r="G341" s="128">
        <f>OUHK!F8</f>
        <v>17</v>
      </c>
      <c r="H341" s="128">
        <f>OUHK!G8</f>
        <v>15</v>
      </c>
      <c r="I341" s="128">
        <f>'計分版'!D346</f>
        <v>0.00000000195</v>
      </c>
      <c r="J341" s="112">
        <f>OUHK!K8</f>
        <v>63</v>
      </c>
      <c r="K341" s="112">
        <f>OUHK!Y8</f>
        <v>83</v>
      </c>
      <c r="L341" s="153">
        <f>IFERROR(OUHK!AG8/OUHK!Z8,"新科目")</f>
        <v>7.657142857</v>
      </c>
      <c r="M341" s="112">
        <f>'入學要求'!S332</f>
        <v>0</v>
      </c>
      <c r="N341" s="112"/>
      <c r="O341" s="112"/>
      <c r="P341" s="112"/>
      <c r="Q341" s="112"/>
      <c r="R341" s="112"/>
      <c r="S341" s="112"/>
      <c r="T341" s="112"/>
      <c r="U341" s="112"/>
      <c r="V341" s="112"/>
      <c r="W341" s="112"/>
      <c r="X341" s="112"/>
      <c r="Y341" s="112"/>
      <c r="Z341" s="112"/>
      <c r="AA341" s="112"/>
      <c r="AB341" s="112"/>
    </row>
    <row r="342" ht="15.75" customHeight="1">
      <c r="A342" s="112" t="str">
        <f>OUHK!A9</f>
        <v>JS9011</v>
      </c>
      <c r="B342" s="112" t="s">
        <v>184</v>
      </c>
      <c r="C342" s="112" t="str">
        <f>OUHK!C9</f>
        <v>中文榮譽文學士</v>
      </c>
      <c r="D342" s="112" t="str">
        <f>OUHK!D9</f>
        <v>BA(Hons) Chinese</v>
      </c>
      <c r="E342" s="112" t="str">
        <f>OUHK!E9</f>
        <v>4C1X</v>
      </c>
      <c r="F342" s="128" t="s">
        <v>541</v>
      </c>
      <c r="G342" s="128">
        <f>OUHK!F9</f>
        <v>21</v>
      </c>
      <c r="H342" s="128">
        <f>OUHK!G9</f>
        <v>19</v>
      </c>
      <c r="I342" s="128">
        <f>'計分版'!D347</f>
        <v>0.00000000205</v>
      </c>
      <c r="J342" s="112">
        <f>OUHK!K9</f>
        <v>40</v>
      </c>
      <c r="K342" s="112">
        <f>OUHK!Y9</f>
        <v>89</v>
      </c>
      <c r="L342" s="153">
        <f>IFERROR(OUHK!AG9/OUHK!Z9,"新科目")</f>
        <v>3.75</v>
      </c>
      <c r="M342" s="112">
        <f>'入學要求'!S333</f>
        <v>0</v>
      </c>
      <c r="N342" s="112"/>
      <c r="O342" s="112"/>
      <c r="P342" s="112"/>
      <c r="Q342" s="112"/>
      <c r="R342" s="112"/>
      <c r="S342" s="112"/>
      <c r="T342" s="112"/>
      <c r="U342" s="112"/>
      <c r="V342" s="112"/>
      <c r="W342" s="112"/>
      <c r="X342" s="112"/>
      <c r="Y342" s="112"/>
      <c r="Z342" s="112"/>
      <c r="AA342" s="112"/>
      <c r="AB342" s="112"/>
    </row>
    <row r="343" ht="15.75" customHeight="1">
      <c r="A343" s="112" t="str">
        <f>OUHK!A10</f>
        <v>JS9013</v>
      </c>
      <c r="B343" s="112" t="s">
        <v>184</v>
      </c>
      <c r="C343" s="112" t="str">
        <f>OUHK!C10</f>
        <v>語言研究與翻譯榮譽文學士</v>
      </c>
      <c r="D343" s="112" t="str">
        <f>OUHK!D10</f>
        <v>BA(Hons) LangStud &amp; Tran</v>
      </c>
      <c r="E343" s="112" t="str">
        <f>OUHK!E10</f>
        <v>4C1X</v>
      </c>
      <c r="F343" s="128" t="s">
        <v>541</v>
      </c>
      <c r="G343" s="128">
        <f>OUHK!F10</f>
        <v>21</v>
      </c>
      <c r="H343" s="128">
        <f>OUHK!G10</f>
        <v>19</v>
      </c>
      <c r="I343" s="128">
        <f>'計分版'!D348</f>
        <v>0.0000000021</v>
      </c>
      <c r="J343" s="112">
        <f>OUHK!K10</f>
        <v>55</v>
      </c>
      <c r="K343" s="112">
        <f>OUHK!Y10</f>
        <v>140</v>
      </c>
      <c r="L343" s="153">
        <f>IFERROR(OUHK!AG10/OUHK!Z10,"新科目")</f>
        <v>3.177419355</v>
      </c>
      <c r="M343" s="112">
        <f>'入學要求'!S334</f>
        <v>0</v>
      </c>
      <c r="N343" s="112"/>
      <c r="O343" s="112"/>
      <c r="P343" s="112"/>
      <c r="Q343" s="112"/>
      <c r="R343" s="112"/>
      <c r="S343" s="112"/>
      <c r="T343" s="112"/>
      <c r="U343" s="112"/>
      <c r="V343" s="112"/>
      <c r="W343" s="112"/>
      <c r="X343" s="112"/>
      <c r="Y343" s="112"/>
      <c r="Z343" s="112"/>
      <c r="AA343" s="112"/>
      <c r="AB343" s="112"/>
    </row>
    <row r="344" ht="15.75" customHeight="1">
      <c r="A344" s="112" t="str">
        <f>OUHK!A11</f>
        <v>JS9016</v>
      </c>
      <c r="B344" s="112" t="s">
        <v>184</v>
      </c>
      <c r="C344" s="112" t="str">
        <f>OUHK!C11</f>
        <v>創意廣告及媒體設計榮譽文學士</v>
      </c>
      <c r="D344" s="112" t="str">
        <f>OUHK!D11</f>
        <v>BA(Hons)CreAd&amp;MediaDesig</v>
      </c>
      <c r="E344" s="112" t="str">
        <f>OUHK!E11</f>
        <v>4C1X</v>
      </c>
      <c r="F344" s="128" t="s">
        <v>541</v>
      </c>
      <c r="G344" s="128">
        <f>OUHK!F11</f>
        <v>19</v>
      </c>
      <c r="H344" s="128">
        <f>OUHK!G11</f>
        <v>18</v>
      </c>
      <c r="I344" s="128">
        <f>'計分版'!D349</f>
        <v>0.0000000021</v>
      </c>
      <c r="J344" s="112">
        <f>OUHK!K11</f>
        <v>70</v>
      </c>
      <c r="K344" s="112">
        <f>OUHK!Y11</f>
        <v>199</v>
      </c>
      <c r="L344" s="153">
        <f>IFERROR(OUHK!AG11/OUHK!Z11,"新科目")</f>
        <v>5.925925926</v>
      </c>
      <c r="M344" s="112">
        <f>'入學要求'!S335</f>
        <v>0</v>
      </c>
      <c r="N344" s="112"/>
      <c r="O344" s="112"/>
      <c r="P344" s="112"/>
      <c r="Q344" s="112"/>
      <c r="R344" s="112"/>
      <c r="S344" s="112"/>
      <c r="T344" s="112"/>
      <c r="U344" s="112"/>
      <c r="V344" s="112"/>
      <c r="W344" s="112"/>
      <c r="X344" s="112"/>
      <c r="Y344" s="112"/>
      <c r="Z344" s="112"/>
      <c r="AA344" s="112"/>
      <c r="AB344" s="112"/>
    </row>
    <row r="345" ht="15.75" customHeight="1">
      <c r="A345" s="112" t="str">
        <f>OUHK!A12</f>
        <v>JS9019</v>
      </c>
      <c r="B345" s="112" t="s">
        <v>184</v>
      </c>
      <c r="C345" s="112" t="str">
        <f>OUHK!C12</f>
        <v>英語及文化榮譽文學士</v>
      </c>
      <c r="D345" s="112" t="str">
        <f>OUHK!D12</f>
        <v>BA(Hons) EngLang&amp;Cult</v>
      </c>
      <c r="E345" s="112" t="str">
        <f>OUHK!E12</f>
        <v>4C1X</v>
      </c>
      <c r="F345" s="128" t="s">
        <v>541</v>
      </c>
      <c r="G345" s="128">
        <f>OUHK!F12</f>
        <v>16</v>
      </c>
      <c r="H345" s="128">
        <f>OUHK!G12</f>
        <v>16</v>
      </c>
      <c r="I345" s="128">
        <f>'計分版'!D350</f>
        <v>0.00000000195</v>
      </c>
      <c r="J345" s="112">
        <f>OUHK!K12</f>
        <v>25</v>
      </c>
      <c r="K345" s="112">
        <f>OUHK!Y12</f>
        <v>23</v>
      </c>
      <c r="L345" s="153">
        <f>IFERROR(OUHK!AG12/OUHK!Z12,"新科目")</f>
        <v>4.142857143</v>
      </c>
      <c r="M345" s="112">
        <f>'入學要求'!S336</f>
        <v>0</v>
      </c>
      <c r="N345" s="112"/>
      <c r="O345" s="112"/>
      <c r="P345" s="112"/>
      <c r="Q345" s="112"/>
      <c r="R345" s="112"/>
      <c r="S345" s="112"/>
      <c r="T345" s="112"/>
      <c r="U345" s="112"/>
      <c r="V345" s="112"/>
      <c r="W345" s="112"/>
      <c r="X345" s="112"/>
      <c r="Y345" s="112"/>
      <c r="Z345" s="112"/>
      <c r="AA345" s="112"/>
      <c r="AB345" s="112"/>
    </row>
    <row r="346" ht="15.75" customHeight="1">
      <c r="A346" s="112" t="str">
        <f>OUHK!A13</f>
        <v>JS9220</v>
      </c>
      <c r="B346" s="112" t="s">
        <v>184</v>
      </c>
      <c r="C346" s="112" t="str">
        <f>OUHK!C13</f>
        <v>專業會計榮譽工商管理學士</v>
      </c>
      <c r="D346" s="112" t="str">
        <f>OUHK!D13</f>
        <v>BBA(Hons) Pro Acct</v>
      </c>
      <c r="E346" s="112" t="str">
        <f>OUHK!E13</f>
        <v>4C1X</v>
      </c>
      <c r="F346" s="128" t="s">
        <v>541</v>
      </c>
      <c r="G346" s="128">
        <f>OUHK!F13</f>
        <v>18</v>
      </c>
      <c r="H346" s="128">
        <f>OUHK!G13</f>
        <v>16</v>
      </c>
      <c r="I346" s="128">
        <f>'計分版'!D351</f>
        <v>0.00000000195</v>
      </c>
      <c r="J346" s="112">
        <f>OUHK!K13</f>
        <v>40</v>
      </c>
      <c r="K346" s="112">
        <f>OUHK!Y13</f>
        <v>88</v>
      </c>
      <c r="L346" s="153">
        <f>IFERROR(OUHK!AG13/OUHK!Z13,"新科目")</f>
        <v>4.2</v>
      </c>
      <c r="M346" s="112">
        <f>'入學要求'!S337</f>
        <v>0</v>
      </c>
      <c r="N346" s="112"/>
      <c r="O346" s="112"/>
      <c r="P346" s="112"/>
      <c r="Q346" s="112"/>
      <c r="R346" s="112"/>
      <c r="S346" s="112"/>
      <c r="T346" s="112"/>
      <c r="U346" s="112"/>
      <c r="V346" s="112"/>
      <c r="W346" s="112"/>
      <c r="X346" s="112"/>
      <c r="Y346" s="112"/>
      <c r="Z346" s="112"/>
      <c r="AA346" s="112"/>
      <c r="AB346" s="112"/>
    </row>
    <row r="347" ht="15.75" customHeight="1">
      <c r="A347" s="112" t="str">
        <f>OUHK!A14</f>
        <v>JS9222</v>
      </c>
      <c r="B347" s="112" t="s">
        <v>184</v>
      </c>
      <c r="C347" s="112" t="str">
        <f>OUHK!C14</f>
        <v>會計及稅務學榮譽工商管理學士</v>
      </c>
      <c r="D347" s="112" t="str">
        <f>OUHK!D14</f>
        <v>BBA(Hons) Acct &amp; Tax</v>
      </c>
      <c r="E347" s="112" t="str">
        <f>OUHK!E14</f>
        <v>4C1X</v>
      </c>
      <c r="F347" s="128" t="s">
        <v>541</v>
      </c>
      <c r="G347" s="128">
        <f>OUHK!F14</f>
        <v>18</v>
      </c>
      <c r="H347" s="128">
        <f>OUHK!G14</f>
        <v>17</v>
      </c>
      <c r="I347" s="128">
        <f>'計分版'!D352</f>
        <v>0.00000000195</v>
      </c>
      <c r="J347" s="112">
        <f>OUHK!K14</f>
        <v>20</v>
      </c>
      <c r="K347" s="112">
        <f>OUHK!Y14</f>
        <v>26</v>
      </c>
      <c r="L347" s="153">
        <f>IFERROR(OUHK!AG14/OUHK!Z14,"新科目")</f>
        <v>9.75</v>
      </c>
      <c r="M347" s="112">
        <f>'入學要求'!S338</f>
        <v>0</v>
      </c>
      <c r="N347" s="112"/>
      <c r="O347" s="112"/>
      <c r="P347" s="112"/>
      <c r="Q347" s="112"/>
      <c r="R347" s="112"/>
      <c r="S347" s="112"/>
      <c r="T347" s="112"/>
      <c r="U347" s="112"/>
      <c r="V347" s="112"/>
      <c r="W347" s="112"/>
      <c r="X347" s="112"/>
      <c r="Y347" s="112"/>
      <c r="Z347" s="112"/>
      <c r="AA347" s="112"/>
      <c r="AB347" s="112"/>
    </row>
    <row r="348" ht="15.75" customHeight="1">
      <c r="A348" s="112" t="str">
        <f>OUHK!A15</f>
        <v>JS9230</v>
      </c>
      <c r="B348" s="112" t="s">
        <v>184</v>
      </c>
      <c r="C348" s="112" t="str">
        <f>OUHK!C15</f>
        <v>商業管理學榮譽工商管理學士</v>
      </c>
      <c r="D348" s="112" t="str">
        <f>OUHK!D15</f>
        <v>BBA(Hons) Business Mgt</v>
      </c>
      <c r="E348" s="112" t="str">
        <f>OUHK!E15</f>
        <v>4C1X</v>
      </c>
      <c r="F348" s="128" t="s">
        <v>541</v>
      </c>
      <c r="G348" s="128">
        <f>OUHK!F15</f>
        <v>16</v>
      </c>
      <c r="H348" s="128">
        <f>OUHK!G15</f>
        <v>15</v>
      </c>
      <c r="I348" s="128">
        <f>'計分版'!D353</f>
        <v>0.00000000195</v>
      </c>
      <c r="J348" s="112">
        <f>OUHK!K15</f>
        <v>40</v>
      </c>
      <c r="K348" s="112">
        <f>OUHK!Y15</f>
        <v>126</v>
      </c>
      <c r="L348" s="153">
        <f>IFERROR(OUHK!AG15/OUHK!Z15,"新科目")</f>
        <v>8.338709677</v>
      </c>
      <c r="M348" s="112">
        <f>'入學要求'!S339</f>
        <v>0</v>
      </c>
      <c r="N348" s="112"/>
      <c r="O348" s="112"/>
      <c r="P348" s="112"/>
      <c r="Q348" s="112"/>
      <c r="R348" s="112"/>
      <c r="S348" s="112"/>
      <c r="T348" s="112"/>
      <c r="U348" s="112"/>
      <c r="V348" s="112"/>
      <c r="W348" s="112"/>
      <c r="X348" s="112"/>
      <c r="Y348" s="112"/>
      <c r="Z348" s="112"/>
      <c r="AA348" s="112"/>
      <c r="AB348" s="112"/>
    </row>
    <row r="349" ht="15.75" customHeight="1">
      <c r="A349" s="112" t="str">
        <f>OUHK!A16</f>
        <v>JS9240</v>
      </c>
      <c r="B349" s="112" t="s">
        <v>184</v>
      </c>
      <c r="C349" s="112" t="str">
        <f>OUHK!C16</f>
        <v>環球商業及市場學榮譽工商管理學士</v>
      </c>
      <c r="D349" s="112" t="str">
        <f>OUHK!D16</f>
        <v>BBA(Hons)GB &amp; Mktg</v>
      </c>
      <c r="E349" s="112" t="str">
        <f>OUHK!E16</f>
        <v>4C1X</v>
      </c>
      <c r="F349" s="128" t="s">
        <v>541</v>
      </c>
      <c r="G349" s="128">
        <f>OUHK!F16</f>
        <v>17</v>
      </c>
      <c r="H349" s="128">
        <f>OUHK!G16</f>
        <v>16</v>
      </c>
      <c r="I349" s="128">
        <f>'計分版'!D354</f>
        <v>0.00000000195</v>
      </c>
      <c r="J349" s="112">
        <f>OUHK!K16</f>
        <v>40</v>
      </c>
      <c r="K349" s="112">
        <f>OUHK!Y16</f>
        <v>122</v>
      </c>
      <c r="L349" s="153">
        <f>IFERROR(OUHK!AG16/OUHK!Z16,"新科目")</f>
        <v>4.137931034</v>
      </c>
      <c r="M349" s="112">
        <f>'入學要求'!S340</f>
        <v>0</v>
      </c>
      <c r="N349" s="112"/>
      <c r="O349" s="112"/>
      <c r="P349" s="112"/>
      <c r="Q349" s="112"/>
      <c r="R349" s="112"/>
      <c r="S349" s="112"/>
      <c r="T349" s="112"/>
      <c r="U349" s="112"/>
      <c r="V349" s="112"/>
      <c r="W349" s="112"/>
      <c r="X349" s="112"/>
      <c r="Y349" s="112"/>
      <c r="Z349" s="112"/>
      <c r="AA349" s="112"/>
      <c r="AB349" s="112"/>
    </row>
    <row r="350" ht="15.75" customHeight="1">
      <c r="A350" s="112" t="str">
        <f>OUHK!A17</f>
        <v>JS9250</v>
      </c>
      <c r="B350" s="112" t="s">
        <v>184</v>
      </c>
      <c r="C350" s="112" t="str">
        <f>OUHK!C17</f>
        <v>企業管治榮譽工商管理學士</v>
      </c>
      <c r="D350" s="112" t="str">
        <f>OUHK!D17</f>
        <v>BBA(Hons)Corp Governance</v>
      </c>
      <c r="E350" s="112" t="str">
        <f>OUHK!E17</f>
        <v>4C1X</v>
      </c>
      <c r="F350" s="128" t="s">
        <v>541</v>
      </c>
      <c r="G350" s="128">
        <f>OUHK!F17</f>
        <v>18</v>
      </c>
      <c r="H350" s="128">
        <f>OUHK!G17</f>
        <v>18</v>
      </c>
      <c r="I350" s="128">
        <f>'計分版'!D355</f>
        <v>0.00000000195</v>
      </c>
      <c r="J350" s="112">
        <f>OUHK!K17</f>
        <v>10</v>
      </c>
      <c r="K350" s="112">
        <f>OUHK!Y17</f>
        <v>13</v>
      </c>
      <c r="L350" s="153">
        <f>IFERROR(OUHK!AG17/OUHK!Z17,"新科目")</f>
        <v>16.375</v>
      </c>
      <c r="M350" s="112">
        <f>'入學要求'!S341</f>
        <v>0</v>
      </c>
      <c r="N350" s="112"/>
      <c r="O350" s="112"/>
      <c r="P350" s="112"/>
      <c r="Q350" s="112"/>
      <c r="R350" s="112"/>
      <c r="S350" s="112"/>
      <c r="T350" s="112"/>
      <c r="U350" s="112"/>
      <c r="V350" s="112"/>
      <c r="W350" s="112"/>
      <c r="X350" s="112"/>
      <c r="Y350" s="112"/>
      <c r="Z350" s="112"/>
      <c r="AA350" s="112"/>
      <c r="AB350" s="112"/>
    </row>
    <row r="351" ht="15.75" customHeight="1">
      <c r="A351" s="112" t="str">
        <f>OUHK!A18</f>
        <v>JS9261</v>
      </c>
      <c r="B351" s="112" t="s">
        <v>184</v>
      </c>
      <c r="C351" s="112" t="str">
        <f>OUHK!C18</f>
        <v>數碼商業榮譽工商管理學士</v>
      </c>
      <c r="D351" s="112" t="str">
        <f>OUHK!D18</f>
        <v>BBA(Hons) DigBus</v>
      </c>
      <c r="E351" s="112" t="str">
        <f>OUHK!E18</f>
        <v>4C1X</v>
      </c>
      <c r="F351" s="128" t="s">
        <v>541</v>
      </c>
      <c r="G351" s="128">
        <f>OUHK!F18</f>
        <v>12</v>
      </c>
      <c r="H351" s="128">
        <f>OUHK!G18</f>
        <v>12</v>
      </c>
      <c r="I351" s="128">
        <f>'計分版'!D356</f>
        <v>0.00000000195</v>
      </c>
      <c r="J351" s="112">
        <f>OUHK!K18</f>
        <v>10</v>
      </c>
      <c r="K351" s="112">
        <f>OUHK!Y18</f>
        <v>7</v>
      </c>
      <c r="L351" s="153">
        <f>IFERROR(OUHK!AG18/OUHK!Z18,"新科目")</f>
        <v>20</v>
      </c>
      <c r="M351" s="112">
        <f>'入學要求'!S342</f>
        <v>0</v>
      </c>
      <c r="N351" s="112"/>
      <c r="O351" s="112"/>
      <c r="P351" s="112"/>
      <c r="Q351" s="112"/>
      <c r="R351" s="112"/>
      <c r="S351" s="112"/>
      <c r="T351" s="112"/>
      <c r="U351" s="112"/>
      <c r="V351" s="112"/>
      <c r="W351" s="112"/>
      <c r="X351" s="112"/>
      <c r="Y351" s="112"/>
      <c r="Z351" s="112"/>
      <c r="AA351" s="112"/>
      <c r="AB351" s="112"/>
    </row>
    <row r="352" ht="15.75" customHeight="1">
      <c r="A352" s="112" t="str">
        <f>OUHK!A19</f>
        <v>JS9272</v>
      </c>
      <c r="B352" s="112" t="s">
        <v>184</v>
      </c>
      <c r="C352" s="112" t="str">
        <f>OUHK!C19</f>
        <v>財務及風險管理榮譽工商管理學士</v>
      </c>
      <c r="D352" s="112" t="str">
        <f>OUHK!D19</f>
        <v>BBA(Hons) Fin &amp; Risk Mgt</v>
      </c>
      <c r="E352" s="112" t="str">
        <f>OUHK!E19</f>
        <v>4C1X</v>
      </c>
      <c r="F352" s="128" t="s">
        <v>541</v>
      </c>
      <c r="G352" s="128" t="str">
        <f>OUHK!F19</f>
        <v>/</v>
      </c>
      <c r="H352" s="128" t="str">
        <f>OUHK!G19</f>
        <v>/</v>
      </c>
      <c r="I352" s="128">
        <f>'計分版'!D357</f>
        <v>0.00000000195</v>
      </c>
      <c r="J352" s="112">
        <f>OUHK!K19</f>
        <v>10</v>
      </c>
      <c r="K352" s="112">
        <f>OUHK!Y19</f>
        <v>14</v>
      </c>
      <c r="L352" s="153">
        <f>IFERROR(OUHK!AG19/OUHK!Z19,"新科目")</f>
        <v>13.5</v>
      </c>
      <c r="M352" s="112">
        <f>'入學要求'!S343</f>
        <v>0</v>
      </c>
      <c r="N352" s="112"/>
      <c r="O352" s="112"/>
      <c r="P352" s="112"/>
      <c r="Q352" s="112"/>
      <c r="R352" s="112"/>
      <c r="S352" s="112"/>
      <c r="T352" s="112"/>
      <c r="U352" s="112"/>
      <c r="V352" s="112"/>
      <c r="W352" s="112"/>
      <c r="X352" s="112"/>
      <c r="Y352" s="112"/>
      <c r="Z352" s="112"/>
      <c r="AA352" s="112"/>
      <c r="AB352" s="112"/>
    </row>
    <row r="353" ht="15.75" customHeight="1">
      <c r="A353" s="112" t="str">
        <f>OUHK!A20</f>
        <v>JS9276</v>
      </c>
      <c r="B353" s="112" t="s">
        <v>184</v>
      </c>
      <c r="C353" s="112" t="str">
        <f>OUHK!C20</f>
        <v>房地產及設施管理榮譽工商管理學士</v>
      </c>
      <c r="D353" s="112" t="str">
        <f>OUHK!D20</f>
        <v>BBA(Hons) RealEst&amp;FacMgt</v>
      </c>
      <c r="E353" s="112" t="str">
        <f>OUHK!E20</f>
        <v>4C1X</v>
      </c>
      <c r="F353" s="128" t="s">
        <v>541</v>
      </c>
      <c r="G353" s="128">
        <f>OUHK!F20</f>
        <v>16</v>
      </c>
      <c r="H353" s="128">
        <f>OUHK!G20</f>
        <v>16</v>
      </c>
      <c r="I353" s="128">
        <f>'計分版'!D358</f>
        <v>0.00000000195</v>
      </c>
      <c r="J353" s="112">
        <f>OUHK!K20</f>
        <v>10</v>
      </c>
      <c r="K353" s="112">
        <f>OUHK!Y20</f>
        <v>9</v>
      </c>
      <c r="L353" s="153">
        <f>IFERROR(OUHK!AG20/OUHK!Z20,"新科目")</f>
        <v>14</v>
      </c>
      <c r="M353" s="112">
        <f>'入學要求'!S344</f>
        <v>0</v>
      </c>
      <c r="N353" s="112"/>
      <c r="O353" s="112"/>
      <c r="P353" s="112"/>
      <c r="Q353" s="112"/>
      <c r="R353" s="112"/>
      <c r="S353" s="112"/>
      <c r="T353" s="112"/>
      <c r="U353" s="112"/>
      <c r="V353" s="112"/>
      <c r="W353" s="112"/>
      <c r="X353" s="112"/>
      <c r="Y353" s="112"/>
      <c r="Z353" s="112"/>
      <c r="AA353" s="112"/>
      <c r="AB353" s="112"/>
    </row>
    <row r="354" ht="15.75" customHeight="1">
      <c r="A354" s="112" t="str">
        <f>OUHK!A21</f>
        <v>JS9280</v>
      </c>
      <c r="B354" s="112" t="s">
        <v>184</v>
      </c>
      <c r="C354" s="112" t="str">
        <f>OUHK!C21</f>
        <v>應用心理學榮譽學士，商業管理榮譽學士</v>
      </c>
      <c r="D354" s="112" t="str">
        <f>OUHK!D21</f>
        <v>BAPH &amp; BBMH</v>
      </c>
      <c r="E354" s="112" t="str">
        <f>OUHK!E21</f>
        <v>4C1X</v>
      </c>
      <c r="F354" s="128" t="s">
        <v>541</v>
      </c>
      <c r="G354" s="128">
        <f>OUHK!F21</f>
        <v>17</v>
      </c>
      <c r="H354" s="128">
        <f>OUHK!G21</f>
        <v>16</v>
      </c>
      <c r="I354" s="128">
        <f>'計分版'!D359</f>
        <v>0.00000000195</v>
      </c>
      <c r="J354" s="112">
        <f>OUHK!K21</f>
        <v>30</v>
      </c>
      <c r="K354" s="112">
        <f>OUHK!Y21</f>
        <v>63</v>
      </c>
      <c r="L354" s="153">
        <f>IFERROR(OUHK!AG21/OUHK!Z21,"新科目")</f>
        <v>5.457142857</v>
      </c>
      <c r="M354" s="112">
        <f>'入學要求'!S345</f>
        <v>0</v>
      </c>
      <c r="N354" s="112"/>
      <c r="O354" s="112"/>
      <c r="P354" s="112"/>
      <c r="Q354" s="112"/>
      <c r="R354" s="112"/>
      <c r="S354" s="112"/>
      <c r="T354" s="112"/>
      <c r="U354" s="112"/>
      <c r="V354" s="112"/>
      <c r="W354" s="112"/>
      <c r="X354" s="112"/>
      <c r="Y354" s="112"/>
      <c r="Z354" s="112"/>
      <c r="AA354" s="112"/>
      <c r="AB354" s="112"/>
    </row>
    <row r="355" ht="15.75" customHeight="1">
      <c r="A355" s="112" t="str">
        <f>OUHK!A22</f>
        <v>JS9291</v>
      </c>
      <c r="B355" s="112" t="s">
        <v>184</v>
      </c>
      <c r="C355" s="112" t="str">
        <f>OUHK!C22</f>
        <v>酒店及可持續旅遊管理榮譽工商管理學士</v>
      </c>
      <c r="D355" s="112" t="str">
        <f>OUHK!D22</f>
        <v>BBA(Hons)Hotel &amp;SustTour</v>
      </c>
      <c r="E355" s="112" t="str">
        <f>OUHK!E22</f>
        <v>4C1X</v>
      </c>
      <c r="F355" s="128" t="s">
        <v>541</v>
      </c>
      <c r="G355" s="128">
        <f>OUHK!F22</f>
        <v>16</v>
      </c>
      <c r="H355" s="128">
        <f>OUHK!G22</f>
        <v>15</v>
      </c>
      <c r="I355" s="128">
        <f>'計分版'!D360</f>
        <v>0.00000000195</v>
      </c>
      <c r="J355" s="112">
        <f>OUHK!K22</f>
        <v>30</v>
      </c>
      <c r="K355" s="112">
        <f>OUHK!Y22</f>
        <v>138</v>
      </c>
      <c r="L355" s="153">
        <f>IFERROR(OUHK!AG22/OUHK!Z22,"新科目")</f>
        <v>8.414634146</v>
      </c>
      <c r="M355" s="112">
        <f>'入學要求'!S346</f>
        <v>0</v>
      </c>
      <c r="N355" s="112"/>
      <c r="O355" s="112"/>
      <c r="P355" s="112"/>
      <c r="Q355" s="112"/>
      <c r="R355" s="112"/>
      <c r="S355" s="112"/>
      <c r="T355" s="112"/>
      <c r="U355" s="112"/>
      <c r="V355" s="112"/>
      <c r="W355" s="112"/>
      <c r="X355" s="112"/>
      <c r="Y355" s="112"/>
      <c r="Z355" s="112"/>
      <c r="AA355" s="112"/>
      <c r="AB355" s="112"/>
    </row>
    <row r="356" ht="15.75" customHeight="1">
      <c r="A356" s="112" t="str">
        <f>OUHK!A23</f>
        <v>JS9294</v>
      </c>
      <c r="B356" s="112" t="s">
        <v>184</v>
      </c>
      <c r="C356" s="112" t="str">
        <f>OUHK!C23</f>
        <v>運動及電競運動管理榮譽工商管理學士</v>
      </c>
      <c r="D356" s="112" t="str">
        <f>OUHK!D23</f>
        <v>BBA(Hons) eSports Mgt</v>
      </c>
      <c r="E356" s="112" t="str">
        <f>OUHK!E23</f>
        <v>4C1X</v>
      </c>
      <c r="F356" s="128" t="s">
        <v>541</v>
      </c>
      <c r="G356" s="128">
        <f>OUHK!F23</f>
        <v>15</v>
      </c>
      <c r="H356" s="128">
        <f>OUHK!G23</f>
        <v>15</v>
      </c>
      <c r="I356" s="128">
        <f>'計分版'!D361</f>
        <v>0.00000000195</v>
      </c>
      <c r="J356" s="112">
        <f>OUHK!K23</f>
        <v>30</v>
      </c>
      <c r="K356" s="112">
        <f>OUHK!Y23</f>
        <v>36</v>
      </c>
      <c r="L356" s="153">
        <f>IFERROR(OUHK!AG23/OUHK!Z23,"新科目")</f>
        <v>28.88888889</v>
      </c>
      <c r="M356" s="112">
        <f>'入學要求'!S347</f>
        <v>0</v>
      </c>
      <c r="N356" s="112"/>
      <c r="O356" s="112"/>
      <c r="P356" s="112"/>
      <c r="Q356" s="112"/>
      <c r="R356" s="112"/>
      <c r="S356" s="112"/>
      <c r="T356" s="112"/>
      <c r="U356" s="112"/>
      <c r="V356" s="112"/>
      <c r="W356" s="112"/>
      <c r="X356" s="112"/>
      <c r="Y356" s="112"/>
      <c r="Z356" s="112"/>
      <c r="AA356" s="112"/>
      <c r="AB356" s="112"/>
    </row>
    <row r="357" ht="15.75" customHeight="1">
      <c r="A357" s="112" t="str">
        <f>OUHK!A24</f>
        <v>JS9530</v>
      </c>
      <c r="B357" s="112" t="s">
        <v>184</v>
      </c>
      <c r="C357" s="112" t="str">
        <f>OUHK!C24</f>
        <v>英語教學榮譽教育學士及英語研究榮譽學士</v>
      </c>
      <c r="D357" s="112" t="str">
        <f>OUHK!D24</f>
        <v>BEd(Hons)&amp;BEngLang(Hons)</v>
      </c>
      <c r="E357" s="112" t="str">
        <f>OUHK!E24</f>
        <v>Best 5</v>
      </c>
      <c r="F357" s="128" t="s">
        <v>541</v>
      </c>
      <c r="G357" s="128">
        <f>OUHK!F24</f>
        <v>22</v>
      </c>
      <c r="H357" s="128">
        <f>OUHK!G24</f>
        <v>21</v>
      </c>
      <c r="I357" s="128">
        <f>'計分版'!D362</f>
        <v>0.00000000395</v>
      </c>
      <c r="J357" s="112">
        <f>OUHK!K24</f>
        <v>30</v>
      </c>
      <c r="K357" s="112">
        <f>OUHK!Y24</f>
        <v>32</v>
      </c>
      <c r="L357" s="153">
        <f>IFERROR(OUHK!AG24/OUHK!Z24,"新科目")</f>
        <v>4.296296296</v>
      </c>
      <c r="M357" s="112">
        <f>'入學要求'!S348</f>
        <v>0</v>
      </c>
      <c r="N357" s="112"/>
      <c r="O357" s="112"/>
      <c r="P357" s="112"/>
      <c r="Q357" s="112"/>
      <c r="R357" s="112"/>
      <c r="S357" s="112"/>
      <c r="T357" s="112"/>
      <c r="U357" s="112"/>
      <c r="V357" s="112"/>
      <c r="W357" s="112"/>
      <c r="X357" s="112"/>
      <c r="Y357" s="112"/>
      <c r="Z357" s="112"/>
      <c r="AA357" s="112"/>
      <c r="AB357" s="112"/>
    </row>
    <row r="358" ht="15.75" customHeight="1">
      <c r="A358" s="112" t="str">
        <f>OUHK!A25</f>
        <v>JS9540</v>
      </c>
      <c r="B358" s="112" t="s">
        <v>184</v>
      </c>
      <c r="C358" s="112" t="str">
        <f>OUHK!C25</f>
        <v>英語研究榮譽學士</v>
      </c>
      <c r="D358" s="112" t="str">
        <f>OUHK!D25</f>
        <v>BEng Lang (Hons)</v>
      </c>
      <c r="E358" s="112" t="str">
        <f>OUHK!E25</f>
        <v>Best 5</v>
      </c>
      <c r="F358" s="128" t="s">
        <v>541</v>
      </c>
      <c r="G358" s="128">
        <f>OUHK!F25</f>
        <v>20</v>
      </c>
      <c r="H358" s="128">
        <f>OUHK!G25</f>
        <v>19</v>
      </c>
      <c r="I358" s="128">
        <f>'計分版'!D363</f>
        <v>0.00000000395</v>
      </c>
      <c r="J358" s="112">
        <f>OUHK!K25</f>
        <v>25</v>
      </c>
      <c r="K358" s="112">
        <f>OUHK!Y25</f>
        <v>56</v>
      </c>
      <c r="L358" s="153">
        <f>IFERROR(OUHK!AG25/OUHK!Z25,"新科目")</f>
        <v>2.71875</v>
      </c>
      <c r="M358" s="112">
        <f>'入學要求'!S349</f>
        <v>0</v>
      </c>
      <c r="N358" s="112"/>
      <c r="O358" s="112"/>
      <c r="P358" s="112"/>
      <c r="Q358" s="112"/>
      <c r="R358" s="112"/>
      <c r="S358" s="112"/>
      <c r="T358" s="112"/>
      <c r="U358" s="112"/>
      <c r="V358" s="112"/>
      <c r="W358" s="112"/>
      <c r="X358" s="112"/>
      <c r="Y358" s="112"/>
      <c r="Z358" s="112"/>
      <c r="AA358" s="112"/>
      <c r="AB358" s="112"/>
    </row>
    <row r="359" ht="15.75" customHeight="1">
      <c r="A359" s="112" t="str">
        <f>OUHK!A26</f>
        <v>JS9550</v>
      </c>
      <c r="B359" s="112" t="s">
        <v>184</v>
      </c>
      <c r="C359" s="112" t="str">
        <f>OUHK!C26</f>
        <v>語言研究榮譽學士(應用中國語言)</v>
      </c>
      <c r="D359" s="112" t="str">
        <f>OUHK!D26</f>
        <v>BLang(Hons) Applied Chin</v>
      </c>
      <c r="E359" s="112" t="str">
        <f>OUHK!E26</f>
        <v>Best 5</v>
      </c>
      <c r="F359" s="128" t="s">
        <v>541</v>
      </c>
      <c r="G359" s="128">
        <f>OUHK!F26</f>
        <v>20</v>
      </c>
      <c r="H359" s="128">
        <f>OUHK!G26</f>
        <v>20</v>
      </c>
      <c r="I359" s="128">
        <f>'計分版'!D364</f>
        <v>0.00000000395</v>
      </c>
      <c r="J359" s="112">
        <f>OUHK!K26</f>
        <v>20</v>
      </c>
      <c r="K359" s="112">
        <f>OUHK!Y26</f>
        <v>28</v>
      </c>
      <c r="L359" s="153">
        <f>IFERROR(OUHK!AG26/OUHK!Z26,"新科目")</f>
        <v>4.909090909</v>
      </c>
      <c r="M359" s="112">
        <f>'入學要求'!S350</f>
        <v>0</v>
      </c>
      <c r="N359" s="112"/>
      <c r="O359" s="112"/>
      <c r="P359" s="112"/>
      <c r="Q359" s="112"/>
      <c r="R359" s="112"/>
      <c r="S359" s="112"/>
      <c r="T359" s="112"/>
      <c r="U359" s="112"/>
      <c r="V359" s="112"/>
      <c r="W359" s="112"/>
      <c r="X359" s="112"/>
      <c r="Y359" s="112"/>
      <c r="Z359" s="112"/>
      <c r="AA359" s="112"/>
      <c r="AB359" s="112"/>
    </row>
    <row r="360" ht="15.75" customHeight="1">
      <c r="A360" s="112" t="str">
        <f>OUHK!A27</f>
        <v>JS9560</v>
      </c>
      <c r="B360" s="112" t="s">
        <v>184</v>
      </c>
      <c r="C360" s="112" t="str">
        <f>OUHK!C27</f>
        <v>教育榮譽學士（中國語文教學）及語言研究榮譽學士（應用中國語言）</v>
      </c>
      <c r="D360" s="112" t="str">
        <f>OUHK!D27</f>
        <v>BEd(Hons)&amp;BLang(Hons)Chi</v>
      </c>
      <c r="E360" s="112" t="str">
        <f>OUHK!E27</f>
        <v>Best 5</v>
      </c>
      <c r="F360" s="128" t="s">
        <v>541</v>
      </c>
      <c r="G360" s="128">
        <f>OUHK!F27</f>
        <v>23</v>
      </c>
      <c r="H360" s="128">
        <f>OUHK!G27</f>
        <v>22</v>
      </c>
      <c r="I360" s="128">
        <f>'計分版'!D365</f>
        <v>0.00000000395</v>
      </c>
      <c r="J360" s="112">
        <f>OUHK!K27</f>
        <v>35</v>
      </c>
      <c r="K360" s="112">
        <f>OUHK!Y27</f>
        <v>35</v>
      </c>
      <c r="L360" s="153">
        <f>IFERROR(OUHK!AG27/OUHK!Z27,"新科目")</f>
        <v>5.407407407</v>
      </c>
      <c r="M360" s="112">
        <f>'入學要求'!S351</f>
        <v>0</v>
      </c>
      <c r="N360" s="112"/>
      <c r="O360" s="112"/>
      <c r="P360" s="112"/>
      <c r="Q360" s="112"/>
      <c r="R360" s="112"/>
      <c r="S360" s="112"/>
      <c r="T360" s="112"/>
      <c r="U360" s="112"/>
      <c r="V360" s="112"/>
      <c r="W360" s="112"/>
      <c r="X360" s="112"/>
      <c r="Y360" s="112"/>
      <c r="Z360" s="112"/>
      <c r="AA360" s="112"/>
      <c r="AB360" s="112"/>
    </row>
    <row r="361" ht="15.75" customHeight="1">
      <c r="A361" s="112" t="str">
        <f>OUHK!A28</f>
        <v>JS9570</v>
      </c>
      <c r="B361" s="112" t="s">
        <v>184</v>
      </c>
      <c r="C361" s="112" t="str">
        <f>OUHK!C28</f>
        <v>語言研究(雙語傳意)榮譽學士， 國際商業榮譽學士</v>
      </c>
      <c r="D361" s="112" t="str">
        <f>OUHK!D28</f>
        <v>BLang(Hons)BGBus(Hons)</v>
      </c>
      <c r="E361" s="112" t="str">
        <f>OUHK!E28</f>
        <v>Best 5</v>
      </c>
      <c r="F361" s="128" t="s">
        <v>541</v>
      </c>
      <c r="G361" s="128">
        <f>OUHK!F28</f>
        <v>16</v>
      </c>
      <c r="H361" s="128">
        <f>OUHK!G28</f>
        <v>16</v>
      </c>
      <c r="I361" s="128">
        <f>'計分版'!D366</f>
        <v>0.00000000395</v>
      </c>
      <c r="J361" s="112">
        <f>OUHK!K28</f>
        <v>20</v>
      </c>
      <c r="K361" s="112">
        <f>OUHK!Y28</f>
        <v>46</v>
      </c>
      <c r="L361" s="153">
        <f>IFERROR(OUHK!AG28/OUHK!Z28,"新科目")</f>
        <v>3.466666667</v>
      </c>
      <c r="M361" s="112">
        <f>'入學要求'!S352</f>
        <v>0</v>
      </c>
      <c r="N361" s="112"/>
      <c r="O361" s="112"/>
      <c r="P361" s="112"/>
      <c r="Q361" s="112"/>
      <c r="R361" s="112"/>
      <c r="S361" s="112"/>
      <c r="T361" s="112"/>
      <c r="U361" s="112"/>
      <c r="V361" s="112"/>
      <c r="W361" s="112"/>
      <c r="X361" s="112"/>
      <c r="Y361" s="112"/>
      <c r="Z361" s="112"/>
      <c r="AA361" s="112"/>
      <c r="AB361" s="112"/>
    </row>
    <row r="362" ht="15.75" customHeight="1">
      <c r="A362" s="112" t="str">
        <f>OUHK!A29</f>
        <v>JS9580</v>
      </c>
      <c r="B362" s="112" t="s">
        <v>184</v>
      </c>
      <c r="C362" s="112" t="str">
        <f>OUHK!C29</f>
        <v>教育榮譽學士(幼兒教育: 領導及特殊教育需要)</v>
      </c>
      <c r="D362" s="112" t="str">
        <f>OUHK!D29</f>
        <v>BEd(Hons)ECE-Leader&amp;SEN</v>
      </c>
      <c r="E362" s="112" t="str">
        <f>OUHK!E29</f>
        <v>Best 5</v>
      </c>
      <c r="F362" s="128" t="s">
        <v>541</v>
      </c>
      <c r="G362" s="128">
        <f>OUHK!F29</f>
        <v>16</v>
      </c>
      <c r="H362" s="128">
        <f>OUHK!G29</f>
        <v>15</v>
      </c>
      <c r="I362" s="128">
        <f>'計分版'!D367</f>
        <v>0.00000000395</v>
      </c>
      <c r="J362" s="112">
        <f>OUHK!K29</f>
        <v>40</v>
      </c>
      <c r="K362" s="112">
        <f>OUHK!Y29</f>
        <v>98</v>
      </c>
      <c r="L362" s="153">
        <f>IFERROR(OUHK!AG29/OUHK!Z29,"新科目")</f>
        <v>8.466666667</v>
      </c>
      <c r="M362" s="112">
        <f>'入學要求'!S353</f>
        <v>0</v>
      </c>
      <c r="N362" s="112"/>
      <c r="O362" s="112"/>
      <c r="P362" s="112"/>
      <c r="Q362" s="112"/>
      <c r="R362" s="112"/>
      <c r="S362" s="112"/>
      <c r="T362" s="112"/>
      <c r="U362" s="112"/>
      <c r="V362" s="112"/>
      <c r="W362" s="112"/>
      <c r="X362" s="112"/>
      <c r="Y362" s="112"/>
      <c r="Z362" s="112"/>
      <c r="AA362" s="112"/>
      <c r="AB362" s="112"/>
    </row>
    <row r="363" ht="15.75" customHeight="1">
      <c r="A363" s="112" t="str">
        <f>OUHK!A30</f>
        <v>JS9718</v>
      </c>
      <c r="B363" s="112" t="s">
        <v>184</v>
      </c>
      <c r="C363" s="112" t="str">
        <f>OUHK!C30</f>
        <v>電腦科學榮譽理學士</v>
      </c>
      <c r="D363" s="112" t="str">
        <f>OUHK!D30</f>
        <v>BSc(Hons) Comp Sci</v>
      </c>
      <c r="E363" s="112" t="str">
        <f>OUHK!E30</f>
        <v>4C1X</v>
      </c>
      <c r="F363" s="128" t="s">
        <v>541</v>
      </c>
      <c r="G363" s="128" t="str">
        <f>OUHK!F30</f>
        <v>/</v>
      </c>
      <c r="H363" s="128" t="str">
        <f>OUHK!G30</f>
        <v>/</v>
      </c>
      <c r="I363" s="128">
        <f>'計分版'!D368</f>
        <v>0.00000000195</v>
      </c>
      <c r="J363" s="112">
        <f>OUHK!K30</f>
        <v>35</v>
      </c>
      <c r="K363" s="112" t="str">
        <f>OUHK!Y30</f>
        <v>/</v>
      </c>
      <c r="L363" s="153" t="str">
        <f>IFERROR(OUHK!AG30/OUHK!Z30,"新科目")</f>
        <v>新科目</v>
      </c>
      <c r="M363" s="112">
        <f>'入學要求'!S354</f>
        <v>0</v>
      </c>
      <c r="N363" s="112"/>
      <c r="O363" s="112"/>
      <c r="P363" s="112"/>
      <c r="Q363" s="112"/>
      <c r="R363" s="112"/>
      <c r="S363" s="112"/>
      <c r="T363" s="112"/>
      <c r="U363" s="112"/>
      <c r="V363" s="112"/>
      <c r="W363" s="112"/>
      <c r="X363" s="112"/>
      <c r="Y363" s="112"/>
      <c r="Z363" s="112"/>
      <c r="AA363" s="112"/>
      <c r="AB363" s="112"/>
    </row>
    <row r="364" ht="15.75" customHeight="1">
      <c r="A364" s="112" t="str">
        <f>OUHK!A31</f>
        <v>JS9719</v>
      </c>
      <c r="B364" s="112" t="s">
        <v>184</v>
      </c>
      <c r="C364" s="112" t="str">
        <f>OUHK!C31</f>
        <v>網路及電腦安全榮譽理學士</v>
      </c>
      <c r="D364" s="112" t="str">
        <f>OUHK!D31</f>
        <v>BSc(Hons) Cyber&amp;ComSecy</v>
      </c>
      <c r="E364" s="112" t="str">
        <f>OUHK!E31</f>
        <v>4C1X</v>
      </c>
      <c r="F364" s="128" t="s">
        <v>541</v>
      </c>
      <c r="G364" s="128" t="str">
        <f>OUHK!F31</f>
        <v>/</v>
      </c>
      <c r="H364" s="128" t="str">
        <f>OUHK!G31</f>
        <v>/</v>
      </c>
      <c r="I364" s="128">
        <f>'計分版'!D369</f>
        <v>0.00000000195</v>
      </c>
      <c r="J364" s="112">
        <f>OUHK!K31</f>
        <v>30</v>
      </c>
      <c r="K364" s="112" t="str">
        <f>OUHK!Y31</f>
        <v>/</v>
      </c>
      <c r="L364" s="153" t="str">
        <f>IFERROR(OUHK!AG31/OUHK!Z31,"新科目")</f>
        <v>新科目</v>
      </c>
      <c r="M364" s="112">
        <f>'入學要求'!S355</f>
        <v>0</v>
      </c>
      <c r="N364" s="112"/>
      <c r="O364" s="112"/>
      <c r="P364" s="112"/>
      <c r="Q364" s="112"/>
      <c r="R364" s="112"/>
      <c r="S364" s="112"/>
      <c r="T364" s="112"/>
      <c r="U364" s="112"/>
      <c r="V364" s="112"/>
      <c r="W364" s="112"/>
      <c r="X364" s="112"/>
      <c r="Y364" s="112"/>
      <c r="Z364" s="112"/>
      <c r="AA364" s="112"/>
      <c r="AB364" s="112"/>
    </row>
    <row r="365" ht="15.75" customHeight="1">
      <c r="A365" s="112" t="str">
        <f>OUHK!A32</f>
        <v>JS9720</v>
      </c>
      <c r="B365" s="112" t="s">
        <v>184</v>
      </c>
      <c r="C365" s="112" t="str">
        <f>OUHK!C32</f>
        <v>電子及電腦工程學榮譽工學士</v>
      </c>
      <c r="D365" s="112" t="str">
        <f>OUHK!D32</f>
        <v>BEng(Hons)Elec &amp; CompEng</v>
      </c>
      <c r="E365" s="112" t="str">
        <f>OUHK!E32</f>
        <v>4C1X</v>
      </c>
      <c r="F365" s="128" t="s">
        <v>541</v>
      </c>
      <c r="G365" s="128">
        <f>OUHK!F32</f>
        <v>16</v>
      </c>
      <c r="H365" s="128">
        <f>OUHK!G32</f>
        <v>15</v>
      </c>
      <c r="I365" s="128">
        <f>'計分版'!D370</f>
        <v>0.00000000195</v>
      </c>
      <c r="J365" s="112">
        <f>OUHK!K32</f>
        <v>35</v>
      </c>
      <c r="K365" s="112">
        <f>OUHK!Y32</f>
        <v>53</v>
      </c>
      <c r="L365" s="153">
        <f>IFERROR(OUHK!AG32/OUHK!Z32,"新科目")</f>
        <v>5.25</v>
      </c>
      <c r="M365" s="112">
        <f>'入學要求'!S356</f>
        <v>0</v>
      </c>
      <c r="N365" s="112"/>
      <c r="O365" s="112"/>
      <c r="P365" s="112"/>
      <c r="Q365" s="112"/>
      <c r="R365" s="112"/>
      <c r="S365" s="112"/>
      <c r="T365" s="112"/>
      <c r="U365" s="112"/>
      <c r="V365" s="112"/>
      <c r="W365" s="112"/>
      <c r="X365" s="112"/>
      <c r="Y365" s="112"/>
      <c r="Z365" s="112"/>
      <c r="AA365" s="112"/>
      <c r="AB365" s="112"/>
    </row>
    <row r="366" ht="15.75" customHeight="1">
      <c r="A366" s="112" t="str">
        <f>OUHK!A33</f>
        <v>JS9721</v>
      </c>
      <c r="B366" s="112" t="s">
        <v>184</v>
      </c>
      <c r="C366" s="112" t="str">
        <f>OUHK!C33</f>
        <v>屋宇設備工程及可持續發展榮譽工學士</v>
      </c>
      <c r="D366" s="112" t="str">
        <f>OUHK!D33</f>
        <v>BENG(Hons)BSE&amp;SustainDev</v>
      </c>
      <c r="E366" s="112" t="str">
        <f>OUHK!E33</f>
        <v>4C1X</v>
      </c>
      <c r="F366" s="128" t="s">
        <v>541</v>
      </c>
      <c r="G366" s="128" t="str">
        <f>OUHK!F33</f>
        <v>/</v>
      </c>
      <c r="H366" s="128" t="str">
        <f>OUHK!G33</f>
        <v>/</v>
      </c>
      <c r="I366" s="128">
        <f>'計分版'!D371</f>
        <v>0.00000000195</v>
      </c>
      <c r="J366" s="112">
        <f>OUHK!K33</f>
        <v>30</v>
      </c>
      <c r="K366" s="112" t="str">
        <f>OUHK!Y33</f>
        <v>/</v>
      </c>
      <c r="L366" s="153" t="str">
        <f>IFERROR(OUHK!AG33/OUHK!Z33,"新科目")</f>
        <v>新科目</v>
      </c>
      <c r="M366" s="112">
        <f>'入學要求'!S357</f>
        <v>0</v>
      </c>
      <c r="N366" s="112"/>
      <c r="O366" s="112"/>
      <c r="P366" s="112"/>
      <c r="Q366" s="112"/>
      <c r="R366" s="112"/>
      <c r="S366" s="112"/>
      <c r="T366" s="112"/>
      <c r="U366" s="112"/>
      <c r="V366" s="112"/>
      <c r="W366" s="112"/>
      <c r="X366" s="112"/>
      <c r="Y366" s="112"/>
      <c r="Z366" s="112"/>
      <c r="AA366" s="112"/>
      <c r="AB366" s="112"/>
    </row>
    <row r="367" ht="15.75" customHeight="1">
      <c r="A367" s="112" t="str">
        <f>OUHK!A34</f>
        <v>JS9722</v>
      </c>
      <c r="B367" s="112" t="s">
        <v>184</v>
      </c>
      <c r="C367" s="112" t="str">
        <f>OUHK!C34</f>
        <v>土木及環境工程榮譽工學士</v>
      </c>
      <c r="D367" s="112" t="str">
        <f>OUHK!D34</f>
        <v>BENG(Hons) Civil&amp;EnvrEng</v>
      </c>
      <c r="E367" s="112" t="str">
        <f>OUHK!E34</f>
        <v>4C1X</v>
      </c>
      <c r="F367" s="128" t="s">
        <v>541</v>
      </c>
      <c r="G367" s="128" t="str">
        <f>OUHK!F34</f>
        <v>/</v>
      </c>
      <c r="H367" s="128" t="str">
        <f>OUHK!G34</f>
        <v>/</v>
      </c>
      <c r="I367" s="128">
        <f>'計分版'!D372</f>
        <v>0.00000000195</v>
      </c>
      <c r="J367" s="112">
        <f>OUHK!K34</f>
        <v>30</v>
      </c>
      <c r="K367" s="112" t="str">
        <f>OUHK!Y34</f>
        <v>/</v>
      </c>
      <c r="L367" s="153" t="str">
        <f>IFERROR(OUHK!AG34/OUHK!Z34,"新科目")</f>
        <v>新科目</v>
      </c>
      <c r="M367" s="112">
        <f>'入學要求'!S358</f>
        <v>0</v>
      </c>
      <c r="N367" s="112"/>
      <c r="O367" s="112"/>
      <c r="P367" s="112"/>
      <c r="Q367" s="112"/>
      <c r="R367" s="112"/>
      <c r="S367" s="112"/>
      <c r="T367" s="112"/>
      <c r="U367" s="112"/>
      <c r="V367" s="112"/>
      <c r="W367" s="112"/>
      <c r="X367" s="112"/>
      <c r="Y367" s="112"/>
      <c r="Z367" s="112"/>
      <c r="AA367" s="112"/>
      <c r="AB367" s="112"/>
    </row>
    <row r="368" ht="15.75" customHeight="1">
      <c r="A368" s="112" t="str">
        <f>OUHK!A35</f>
        <v>JS9731</v>
      </c>
      <c r="B368" s="112" t="s">
        <v>184</v>
      </c>
      <c r="C368" s="112" t="str">
        <f>OUHK!C35</f>
        <v>環境科學與綠色管理榮譽理學士</v>
      </c>
      <c r="D368" s="112" t="str">
        <f>OUHK!D35</f>
        <v>BSc(Hons)EnvSci&amp;GreenMgt</v>
      </c>
      <c r="E368" s="112" t="str">
        <f>OUHK!E35</f>
        <v>4C1X</v>
      </c>
      <c r="F368" s="128" t="s">
        <v>541</v>
      </c>
      <c r="G368" s="128">
        <f>OUHK!F35</f>
        <v>16</v>
      </c>
      <c r="H368" s="128">
        <f>OUHK!G35</f>
        <v>14</v>
      </c>
      <c r="I368" s="128">
        <f>'計分版'!D373</f>
        <v>0.00000000195</v>
      </c>
      <c r="J368" s="112">
        <f>OUHK!K35</f>
        <v>35</v>
      </c>
      <c r="K368" s="112">
        <f>OUHK!Y35</f>
        <v>21</v>
      </c>
      <c r="L368" s="153">
        <f>IFERROR(OUHK!AG35/OUHK!Z35,"新科目")</f>
        <v>12.57142857</v>
      </c>
      <c r="M368" s="112">
        <f>'入學要求'!S359</f>
        <v>0</v>
      </c>
      <c r="N368" s="112"/>
      <c r="O368" s="112"/>
      <c r="P368" s="112"/>
      <c r="Q368" s="112"/>
      <c r="R368" s="112"/>
      <c r="S368" s="112"/>
      <c r="T368" s="112"/>
      <c r="U368" s="112"/>
      <c r="V368" s="112"/>
      <c r="W368" s="112"/>
      <c r="X368" s="112"/>
      <c r="Y368" s="112"/>
      <c r="Z368" s="112"/>
      <c r="AA368" s="112"/>
      <c r="AB368" s="112"/>
    </row>
    <row r="369" ht="15.75" customHeight="1">
      <c r="A369" s="112" t="str">
        <f>OUHK!A36</f>
        <v>JS9732</v>
      </c>
      <c r="B369" s="112" t="s">
        <v>184</v>
      </c>
      <c r="C369" s="112" t="str">
        <f>OUHK!C36</f>
        <v>生命科學榮譽理學士</v>
      </c>
      <c r="D369" s="112" t="str">
        <f>OUHK!D36</f>
        <v>BSc(Hons) LifeSci</v>
      </c>
      <c r="E369" s="112" t="str">
        <f>OUHK!E36</f>
        <v>4C1X</v>
      </c>
      <c r="F369" s="128" t="s">
        <v>541</v>
      </c>
      <c r="G369" s="128">
        <f>OUHK!F36</f>
        <v>17</v>
      </c>
      <c r="H369" s="128">
        <f>OUHK!G36</f>
        <v>16</v>
      </c>
      <c r="I369" s="128">
        <f>'計分版'!D374</f>
        <v>0.00000000195</v>
      </c>
      <c r="J369" s="112">
        <f>OUHK!K36</f>
        <v>30</v>
      </c>
      <c r="K369" s="112">
        <f>OUHK!Y36</f>
        <v>25</v>
      </c>
      <c r="L369" s="153">
        <f>IFERROR(OUHK!AG36/OUHK!Z36,"新科目")</f>
        <v>5.153846154</v>
      </c>
      <c r="M369" s="112">
        <f>'入學要求'!S360</f>
        <v>0</v>
      </c>
      <c r="N369" s="112"/>
      <c r="O369" s="112"/>
      <c r="P369" s="112"/>
      <c r="Q369" s="112"/>
      <c r="R369" s="112"/>
      <c r="S369" s="112"/>
      <c r="T369" s="112"/>
      <c r="U369" s="112"/>
      <c r="V369" s="112"/>
      <c r="W369" s="112"/>
      <c r="X369" s="112"/>
      <c r="Y369" s="112"/>
      <c r="Z369" s="112"/>
      <c r="AA369" s="112"/>
      <c r="AB369" s="112"/>
    </row>
    <row r="370" ht="15.75" customHeight="1">
      <c r="A370" s="112"/>
      <c r="B370" s="112"/>
      <c r="C370" s="112"/>
      <c r="D370" s="112"/>
      <c r="E370" s="112"/>
      <c r="F370" s="128"/>
      <c r="G370" s="128"/>
      <c r="H370" s="128"/>
      <c r="I370" s="128"/>
      <c r="J370" s="112"/>
      <c r="K370" s="112"/>
      <c r="L370" s="153"/>
      <c r="M370" s="112"/>
      <c r="N370" s="112"/>
      <c r="O370" s="112"/>
      <c r="P370" s="112"/>
      <c r="Q370" s="112"/>
      <c r="R370" s="112"/>
      <c r="S370" s="112"/>
      <c r="T370" s="112"/>
      <c r="U370" s="112"/>
      <c r="V370" s="112"/>
      <c r="W370" s="112"/>
      <c r="X370" s="112"/>
      <c r="Y370" s="112"/>
      <c r="Z370" s="112"/>
      <c r="AA370" s="112"/>
      <c r="AB370" s="112"/>
    </row>
    <row r="371" ht="15.75" customHeight="1">
      <c r="A371" s="112"/>
      <c r="B371" s="112"/>
      <c r="C371" s="112"/>
      <c r="D371" s="157"/>
      <c r="E371" s="125"/>
      <c r="F371" s="159" t="s">
        <v>45</v>
      </c>
      <c r="G371" s="159" t="s">
        <v>46</v>
      </c>
      <c r="H371" s="159" t="s">
        <v>47</v>
      </c>
      <c r="I371" s="159" t="str">
        <f>'計分版'!D376</f>
        <v>總分</v>
      </c>
      <c r="J371" s="157"/>
      <c r="K371" s="157"/>
      <c r="L371" s="161"/>
      <c r="M371" s="112"/>
      <c r="N371" s="112"/>
      <c r="O371" s="112"/>
      <c r="P371" s="112"/>
      <c r="Q371" s="112"/>
      <c r="R371" s="112"/>
      <c r="S371" s="112"/>
      <c r="T371" s="112"/>
      <c r="U371" s="112"/>
      <c r="V371" s="112"/>
      <c r="W371" s="112"/>
      <c r="X371" s="112"/>
      <c r="Y371" s="112"/>
      <c r="Z371" s="112"/>
      <c r="AA371" s="112"/>
      <c r="AB371" s="112"/>
    </row>
    <row r="372" ht="15.75" customHeight="1">
      <c r="A372" s="112" t="str">
        <f>SSSDP!A2</f>
        <v>JSSA01</v>
      </c>
      <c r="B372" s="112" t="str">
        <f>SSSDP!B2</f>
        <v>明愛專上學院</v>
      </c>
      <c r="C372" s="112" t="str">
        <f>SSSDP!C2</f>
        <v>護理學榮譽學士</v>
      </c>
      <c r="D372" s="112" t="str">
        <f>SSSDP!D2</f>
        <v>BN (Hons)</v>
      </c>
      <c r="E372" s="112" t="str">
        <f>SSSDP!E2</f>
        <v>4C1X</v>
      </c>
      <c r="F372" s="128" t="str">
        <f>SSSDP!F2</f>
        <v>/</v>
      </c>
      <c r="G372" s="128">
        <f>SSSDP!G2</f>
        <v>16.2</v>
      </c>
      <c r="H372" s="128" t="str">
        <f>SSSDP!H2</f>
        <v>/</v>
      </c>
      <c r="I372" s="128">
        <f>'計分版'!D377</f>
        <v>0.0000000019</v>
      </c>
      <c r="J372" s="112">
        <f>SSSDP!L2</f>
        <v>400</v>
      </c>
      <c r="K372" s="112">
        <f>SSSDP!Z2</f>
        <v>490</v>
      </c>
      <c r="L372" s="153">
        <f>IFERROR(SSSDP!AH2/SSSDP!AA2,"新科目")</f>
        <v>4.763265306</v>
      </c>
      <c r="M372" s="112">
        <f>'入學要求'!S364</f>
        <v>0</v>
      </c>
      <c r="N372" s="112"/>
      <c r="O372" s="112"/>
      <c r="P372" s="112"/>
      <c r="Q372" s="112"/>
      <c r="R372" s="112"/>
      <c r="S372" s="112"/>
      <c r="T372" s="112"/>
      <c r="U372" s="112"/>
      <c r="V372" s="112"/>
      <c r="W372" s="112"/>
      <c r="X372" s="112"/>
      <c r="Y372" s="112"/>
      <c r="Z372" s="112"/>
      <c r="AA372" s="112"/>
      <c r="AB372" s="112"/>
    </row>
    <row r="373" ht="15.75" customHeight="1">
      <c r="A373" s="112" t="str">
        <f>SSSDP!A3</f>
        <v>JSSA02</v>
      </c>
      <c r="B373" s="112" t="str">
        <f>SSSDP!B3</f>
        <v>明愛專上學院</v>
      </c>
      <c r="C373" s="112" t="str">
        <f>SSSDP!C3</f>
        <v>數碼娛樂科技榮譽理學士</v>
      </c>
      <c r="D373" s="112" t="str">
        <f>SSSDP!D3</f>
        <v>BSDET (Hons)</v>
      </c>
      <c r="E373" s="112" t="str">
        <f>SSSDP!E3</f>
        <v>4C1X</v>
      </c>
      <c r="F373" s="128" t="str">
        <f>SSSDP!F3</f>
        <v>/</v>
      </c>
      <c r="G373" s="128">
        <f>SSSDP!G3</f>
        <v>13.8</v>
      </c>
      <c r="H373" s="128" t="str">
        <f>SSSDP!H3</f>
        <v>/</v>
      </c>
      <c r="I373" s="128">
        <f>'計分版'!D378</f>
        <v>0.0000000019</v>
      </c>
      <c r="J373" s="112">
        <f>SSSDP!L3</f>
        <v>30</v>
      </c>
      <c r="K373" s="112">
        <f>SSSDP!Z3</f>
        <v>39</v>
      </c>
      <c r="L373" s="153">
        <f>IFERROR(SSSDP!AH3/SSSDP!AA3,"新科目")</f>
        <v>10.61111111</v>
      </c>
      <c r="M373" s="112">
        <f>'入學要求'!S365</f>
        <v>0</v>
      </c>
      <c r="N373" s="112"/>
      <c r="O373" s="112"/>
      <c r="P373" s="112"/>
      <c r="Q373" s="112"/>
      <c r="R373" s="112"/>
      <c r="S373" s="112"/>
      <c r="T373" s="112"/>
      <c r="U373" s="112"/>
      <c r="V373" s="112"/>
      <c r="W373" s="112"/>
      <c r="X373" s="112"/>
      <c r="Y373" s="112"/>
      <c r="Z373" s="112"/>
      <c r="AA373" s="112"/>
      <c r="AB373" s="112"/>
    </row>
    <row r="374" ht="15.75" customHeight="1">
      <c r="A374" s="112" t="str">
        <f>SSSDP!A4</f>
        <v>JSSA03</v>
      </c>
      <c r="B374" s="112" t="str">
        <f>SSSDP!B4</f>
        <v>明愛專上學院</v>
      </c>
      <c r="C374" s="112" t="str">
        <f>SSSDP!C4</f>
        <v>物理治療學（榮譽）理學士</v>
      </c>
      <c r="D374" s="112" t="str">
        <f>SSSDP!D4</f>
        <v>BSPT (Hons)</v>
      </c>
      <c r="E374" s="112" t="str">
        <f>SSSDP!E4</f>
        <v>4C1X</v>
      </c>
      <c r="F374" s="128" t="str">
        <f>SSSDP!F4</f>
        <v>/</v>
      </c>
      <c r="G374" s="128" t="str">
        <f>SSSDP!G4</f>
        <v>/</v>
      </c>
      <c r="H374" s="128" t="str">
        <f>SSSDP!H4</f>
        <v>/</v>
      </c>
      <c r="I374" s="128">
        <f>'計分版'!D379</f>
        <v>0.0000000019</v>
      </c>
      <c r="J374" s="112">
        <f>SSSDP!L4</f>
        <v>50</v>
      </c>
      <c r="K374" s="112" t="str">
        <f>SSSDP!Z4</f>
        <v>/</v>
      </c>
      <c r="L374" s="153" t="str">
        <f>IFERROR(SSSDP!AH4/SSSDP!AA4,"新科目")</f>
        <v>新科目</v>
      </c>
      <c r="M374" s="112">
        <f>'入學要求'!S366</f>
        <v>0</v>
      </c>
      <c r="N374" s="112"/>
      <c r="O374" s="112"/>
      <c r="P374" s="112"/>
      <c r="Q374" s="112"/>
      <c r="R374" s="112"/>
      <c r="S374" s="112"/>
      <c r="T374" s="112"/>
      <c r="U374" s="112"/>
      <c r="V374" s="112"/>
      <c r="W374" s="112"/>
      <c r="X374" s="112"/>
      <c r="Y374" s="112"/>
      <c r="Z374" s="112"/>
      <c r="AA374" s="112"/>
      <c r="AB374" s="112"/>
    </row>
    <row r="375" ht="15.75" customHeight="1">
      <c r="A375" s="112" t="str">
        <f>SSSDP!A5</f>
        <v>JSSA04</v>
      </c>
      <c r="B375" s="112" t="str">
        <f>SSSDP!B5</f>
        <v>明愛專上學院</v>
      </c>
      <c r="C375" s="112" t="str">
        <f>SSSDP!C5</f>
        <v>人工智能（榮譽）理學士</v>
      </c>
      <c r="D375" s="112" t="str">
        <f>SSSDP!D5</f>
        <v>BSAI (Hons)</v>
      </c>
      <c r="E375" s="112" t="str">
        <f>SSSDP!E5</f>
        <v>4C1X</v>
      </c>
      <c r="F375" s="128" t="str">
        <f>SSSDP!F5</f>
        <v>/</v>
      </c>
      <c r="G375" s="128" t="str">
        <f>SSSDP!G5</f>
        <v>/</v>
      </c>
      <c r="H375" s="128" t="str">
        <f>SSSDP!H5</f>
        <v>/</v>
      </c>
      <c r="I375" s="128">
        <f>'計分版'!D380</f>
        <v>0.0000000019</v>
      </c>
      <c r="J375" s="112">
        <f>SSSDP!L5</f>
        <v>30</v>
      </c>
      <c r="K375" s="112" t="str">
        <f>SSSDP!Z5</f>
        <v>/</v>
      </c>
      <c r="L375" s="153" t="str">
        <f>IFERROR(SSSDP!AH5/SSSDP!AA5,"新科目")</f>
        <v>新科目</v>
      </c>
      <c r="M375" s="112">
        <f>'入學要求'!S367</f>
        <v>0</v>
      </c>
      <c r="N375" s="112"/>
      <c r="O375" s="112"/>
      <c r="P375" s="112"/>
      <c r="Q375" s="112"/>
      <c r="R375" s="112"/>
      <c r="S375" s="112"/>
      <c r="T375" s="112"/>
      <c r="U375" s="112"/>
      <c r="V375" s="112"/>
      <c r="W375" s="112"/>
      <c r="X375" s="112"/>
      <c r="Y375" s="112"/>
      <c r="Z375" s="112"/>
      <c r="AA375" s="112"/>
      <c r="AB375" s="112"/>
    </row>
    <row r="376" ht="15.75" customHeight="1">
      <c r="A376" s="112" t="str">
        <f>SSSDP!A6</f>
        <v>JSSC02</v>
      </c>
      <c r="B376" s="112" t="str">
        <f>SSSDP!B6</f>
        <v>珠海學院</v>
      </c>
      <c r="C376" s="112" t="str">
        <f>SSSDP!C6</f>
        <v>建築學（榮譽）理學士</v>
      </c>
      <c r="D376" s="112" t="str">
        <f>SSSDP!D6</f>
        <v>B.Sc (Hons) in Arch</v>
      </c>
      <c r="E376" s="112" t="str">
        <f>SSSDP!E6</f>
        <v>4C1X</v>
      </c>
      <c r="F376" s="128">
        <f>SSSDP!F6</f>
        <v>18</v>
      </c>
      <c r="G376" s="128" t="str">
        <f>SSSDP!G6</f>
        <v>/</v>
      </c>
      <c r="H376" s="128">
        <f>SSSDP!H6</f>
        <v>14</v>
      </c>
      <c r="I376" s="128">
        <f>'計分版'!D381</f>
        <v>0.00000000195</v>
      </c>
      <c r="J376" s="112">
        <f>SSSDP!L6</f>
        <v>60</v>
      </c>
      <c r="K376" s="112">
        <f>SSSDP!Z6</f>
        <v>34</v>
      </c>
      <c r="L376" s="153">
        <f>IFERROR(SSSDP!AH6/SSSDP!AA6,"新科目")</f>
        <v>5.619047619</v>
      </c>
      <c r="M376" s="112">
        <f>'入學要求'!S368</f>
        <v>0</v>
      </c>
      <c r="N376" s="112"/>
      <c r="O376" s="112"/>
      <c r="P376" s="112"/>
      <c r="Q376" s="112"/>
      <c r="R376" s="112"/>
      <c r="S376" s="112"/>
      <c r="T376" s="112"/>
      <c r="U376" s="112"/>
      <c r="V376" s="112"/>
      <c r="W376" s="112"/>
      <c r="X376" s="112"/>
      <c r="Y376" s="112"/>
      <c r="Z376" s="112"/>
      <c r="AA376" s="112"/>
      <c r="AB376" s="112"/>
    </row>
    <row r="377" ht="15.75" customHeight="1">
      <c r="A377" s="112" t="str">
        <f>SSSDP!A7</f>
        <v>JSSC03</v>
      </c>
      <c r="B377" s="112" t="str">
        <f>SSSDP!B7</f>
        <v>珠海學院</v>
      </c>
      <c r="C377" s="112" t="str">
        <f>SSSDP!C7</f>
        <v>資訊科學（榮譽）理學士</v>
      </c>
      <c r="D377" s="112" t="str">
        <f>SSSDP!D7</f>
        <v>B.Sc (Hons) in CS</v>
      </c>
      <c r="E377" s="112" t="str">
        <f>SSSDP!E7</f>
        <v>4C1X</v>
      </c>
      <c r="F377" s="128">
        <f>SSSDP!F7</f>
        <v>14</v>
      </c>
      <c r="G377" s="128" t="str">
        <f>SSSDP!G7</f>
        <v>/</v>
      </c>
      <c r="H377" s="128">
        <f>SSSDP!H7</f>
        <v>14</v>
      </c>
      <c r="I377" s="128">
        <f>'計分版'!D382</f>
        <v>0.00000000195</v>
      </c>
      <c r="J377" s="112">
        <f>SSSDP!L7</f>
        <v>30</v>
      </c>
      <c r="K377" s="112">
        <f>SSSDP!Z7</f>
        <v>17</v>
      </c>
      <c r="L377" s="153">
        <f>IFERROR(SSSDP!AH7/SSSDP!AA7,"新科目")</f>
        <v>22.2</v>
      </c>
      <c r="M377" s="112">
        <f>'入學要求'!S369</f>
        <v>0</v>
      </c>
      <c r="N377" s="112"/>
      <c r="O377" s="112"/>
      <c r="P377" s="112"/>
      <c r="Q377" s="112"/>
      <c r="R377" s="112"/>
      <c r="S377" s="112"/>
      <c r="T377" s="112"/>
      <c r="U377" s="112"/>
      <c r="V377" s="112"/>
      <c r="W377" s="112"/>
      <c r="X377" s="112"/>
      <c r="Y377" s="112"/>
      <c r="Z377" s="112"/>
      <c r="AA377" s="112"/>
      <c r="AB377" s="112"/>
    </row>
    <row r="378" ht="15.75" customHeight="1">
      <c r="A378" s="112" t="str">
        <f>SSSDP!A8</f>
        <v>JSSC04</v>
      </c>
      <c r="B378" s="112" t="str">
        <f>SSSDP!B8</f>
        <v>珠海學院</v>
      </c>
      <c r="C378" s="112" t="str">
        <f>SSSDP!C8</f>
        <v>傳播及跨媒體（榮譽）文學士</v>
      </c>
      <c r="D378" s="112" t="str">
        <f>SSSDP!D8</f>
        <v>BA (Hons) in JCC</v>
      </c>
      <c r="E378" s="112" t="str">
        <f>SSSDP!E8</f>
        <v>4C1X</v>
      </c>
      <c r="F378" s="128">
        <f>SSSDP!F8</f>
        <v>18</v>
      </c>
      <c r="G378" s="128" t="str">
        <f>SSSDP!G8</f>
        <v>/</v>
      </c>
      <c r="H378" s="128">
        <f>SSSDP!H8</f>
        <v>13</v>
      </c>
      <c r="I378" s="128">
        <f>'計分版'!D383</f>
        <v>0.00000000195</v>
      </c>
      <c r="J378" s="112">
        <f>SSSDP!L8</f>
        <v>30</v>
      </c>
      <c r="K378" s="112">
        <f>SSSDP!Z8</f>
        <v>50</v>
      </c>
      <c r="L378" s="153">
        <f>IFERROR(SSSDP!AH8/SSSDP!AA8,"新科目")</f>
        <v>7.5</v>
      </c>
      <c r="M378" s="112">
        <f>'入學要求'!S370</f>
        <v>0</v>
      </c>
      <c r="N378" s="112"/>
      <c r="O378" s="112"/>
      <c r="P378" s="112"/>
      <c r="Q378" s="112"/>
      <c r="R378" s="112"/>
      <c r="S378" s="112"/>
      <c r="T378" s="112"/>
      <c r="U378" s="112"/>
      <c r="V378" s="112"/>
      <c r="W378" s="112"/>
      <c r="X378" s="112"/>
      <c r="Y378" s="112"/>
      <c r="Z378" s="112"/>
      <c r="AA378" s="112"/>
      <c r="AB378" s="112"/>
    </row>
    <row r="379" ht="15.75" customHeight="1">
      <c r="A379" s="112" t="str">
        <f>SSSDP!A9</f>
        <v>JSSH01</v>
      </c>
      <c r="B379" s="112" t="str">
        <f>SSSDP!B9</f>
        <v>恒生大學</v>
      </c>
      <c r="C379" s="112" t="str">
        <f>SSSDP!C9</f>
        <v>供應鏈管理工商管理（榮譽）學士</v>
      </c>
      <c r="D379" s="112" t="str">
        <f>SSSDP!D9</f>
        <v>BBA-SCM</v>
      </c>
      <c r="E379" s="112" t="str">
        <f>SSSDP!E9</f>
        <v>Best 5</v>
      </c>
      <c r="F379" s="128" t="str">
        <f>SSSDP!F9</f>
        <v>/</v>
      </c>
      <c r="G379" s="128">
        <f>SSSDP!G9</f>
        <v>17.02</v>
      </c>
      <c r="H379" s="128" t="str">
        <f>SSSDP!H9</f>
        <v>/</v>
      </c>
      <c r="I379" s="128">
        <f>'計分版'!D384</f>
        <v>0.0000000029</v>
      </c>
      <c r="J379" s="112">
        <f>SSSDP!L9</f>
        <v>105</v>
      </c>
      <c r="K379" s="112">
        <f>SSSDP!Z9</f>
        <v>189</v>
      </c>
      <c r="L379" s="153">
        <f>IFERROR(SSSDP!AH9/SSSDP!AA9,"新科目")</f>
        <v>4.465608466</v>
      </c>
      <c r="M379" s="112">
        <f>'入學要求'!S371</f>
        <v>0</v>
      </c>
      <c r="N379" s="112"/>
      <c r="O379" s="112"/>
      <c r="P379" s="112"/>
      <c r="Q379" s="112"/>
      <c r="R379" s="112"/>
      <c r="S379" s="112"/>
      <c r="T379" s="112"/>
      <c r="U379" s="112"/>
      <c r="V379" s="112"/>
      <c r="W379" s="112"/>
      <c r="X379" s="112"/>
      <c r="Y379" s="112"/>
      <c r="Z379" s="112"/>
      <c r="AA379" s="112"/>
      <c r="AB379" s="112"/>
    </row>
    <row r="380" ht="15.75" customHeight="1">
      <c r="A380" s="112" t="str">
        <f>SSSDP!A10</f>
        <v>JSSH02</v>
      </c>
      <c r="B380" s="112" t="str">
        <f>SSSDP!B10</f>
        <v>恒生大學</v>
      </c>
      <c r="C380" s="112" t="str">
        <f>SSSDP!C10</f>
        <v>精算及保險 （榮譽）理學士</v>
      </c>
      <c r="D380" s="112" t="str">
        <f>SSSDP!D10</f>
        <v>BSC-AIN</v>
      </c>
      <c r="E380" s="112" t="str">
        <f>SSSDP!E10</f>
        <v>Best 5</v>
      </c>
      <c r="F380" s="128" t="str">
        <f>SSSDP!F10</f>
        <v>/</v>
      </c>
      <c r="G380" s="128">
        <f>SSSDP!G10</f>
        <v>16.77</v>
      </c>
      <c r="H380" s="128" t="str">
        <f>SSSDP!H10</f>
        <v>/</v>
      </c>
      <c r="I380" s="128">
        <f>'計分版'!D385</f>
        <v>0.0000000035</v>
      </c>
      <c r="J380" s="112">
        <f>SSSDP!L10</f>
        <v>35</v>
      </c>
      <c r="K380" s="112">
        <f>SSSDP!Z10</f>
        <v>63</v>
      </c>
      <c r="L380" s="153">
        <f>IFERROR(SSSDP!AH10/SSSDP!AA10,"新科目")</f>
        <v>4.974358974</v>
      </c>
      <c r="M380" s="112">
        <f>'入學要求'!S372</f>
        <v>0</v>
      </c>
      <c r="N380" s="112"/>
      <c r="O380" s="112"/>
      <c r="P380" s="112"/>
      <c r="Q380" s="112"/>
      <c r="R380" s="112"/>
      <c r="S380" s="112"/>
      <c r="T380" s="112"/>
      <c r="U380" s="112"/>
      <c r="V380" s="112"/>
      <c r="W380" s="112"/>
      <c r="X380" s="112"/>
      <c r="Y380" s="112"/>
      <c r="Z380" s="112"/>
      <c r="AA380" s="112"/>
      <c r="AB380" s="112"/>
    </row>
    <row r="381" ht="15.75" customHeight="1">
      <c r="A381" s="112" t="str">
        <f>SSSDP!A11</f>
        <v>JSSH03</v>
      </c>
      <c r="B381" s="112" t="str">
        <f>SSSDP!B11</f>
        <v>恒生大學</v>
      </c>
      <c r="C381" s="112" t="str">
        <f>SSSDP!C11</f>
        <v>應用及人本計算學（榮譽）文學士</v>
      </c>
      <c r="D381" s="112" t="str">
        <f>SSSDP!D11</f>
        <v>BA-AHCC</v>
      </c>
      <c r="E381" s="112" t="str">
        <f>SSSDP!E11</f>
        <v>Best 5</v>
      </c>
      <c r="F381" s="128" t="str">
        <f>SSSDP!F11</f>
        <v>/</v>
      </c>
      <c r="G381" s="128">
        <f>SSSDP!G11</f>
        <v>15.97</v>
      </c>
      <c r="H381" s="128" t="str">
        <f>SSSDP!H11</f>
        <v>/</v>
      </c>
      <c r="I381" s="128">
        <f>'計分版'!D386</f>
        <v>0.0000000035</v>
      </c>
      <c r="J381" s="112">
        <f>SSSDP!L11</f>
        <v>60</v>
      </c>
      <c r="K381" s="112">
        <f>SSSDP!Z11</f>
        <v>69</v>
      </c>
      <c r="L381" s="153">
        <f>IFERROR(SSSDP!AH11/SSSDP!AA11,"新科目")</f>
        <v>3.693877551</v>
      </c>
      <c r="M381" s="112">
        <f>'入學要求'!S373</f>
        <v>0</v>
      </c>
      <c r="N381" s="112"/>
      <c r="O381" s="112"/>
      <c r="P381" s="112"/>
      <c r="Q381" s="112"/>
      <c r="R381" s="112"/>
      <c r="S381" s="112"/>
      <c r="T381" s="112"/>
      <c r="U381" s="112"/>
      <c r="V381" s="112"/>
      <c r="W381" s="112"/>
      <c r="X381" s="112"/>
      <c r="Y381" s="112"/>
      <c r="Z381" s="112"/>
      <c r="AA381" s="112"/>
      <c r="AB381" s="112"/>
    </row>
    <row r="382" ht="15.75" customHeight="1">
      <c r="A382" s="112" t="str">
        <f>SSSDP!A12</f>
        <v>JSSH04</v>
      </c>
      <c r="B382" s="112" t="str">
        <f>SSSDP!B12</f>
        <v>恒生大學</v>
      </c>
      <c r="C382" s="112" t="str">
        <f>SSSDP!C12</f>
        <v>數據科學及商業智能學（榮譽）理學士</v>
      </c>
      <c r="D382" s="112" t="str">
        <f>SSSDP!D12</f>
        <v>BSC-DSBI</v>
      </c>
      <c r="E382" s="112" t="str">
        <f>SSSDP!E12</f>
        <v>Best 5</v>
      </c>
      <c r="F382" s="128" t="str">
        <f>SSSDP!F12</f>
        <v>/</v>
      </c>
      <c r="G382" s="128">
        <f>SSSDP!G12</f>
        <v>16.34</v>
      </c>
      <c r="H382" s="128" t="str">
        <f>SSSDP!H12</f>
        <v>/</v>
      </c>
      <c r="I382" s="128">
        <f>'計分版'!D387</f>
        <v>0.0000000033</v>
      </c>
      <c r="J382" s="112">
        <f>SSSDP!L12</f>
        <v>70</v>
      </c>
      <c r="K382" s="112">
        <f>SSSDP!Z12</f>
        <v>126</v>
      </c>
      <c r="L382" s="153">
        <f>IFERROR(SSSDP!AH12/SSSDP!AA12,"新科目")</f>
        <v>3.884615385</v>
      </c>
      <c r="M382" s="112">
        <f>'入學要求'!S374</f>
        <v>0</v>
      </c>
      <c r="N382" s="112"/>
      <c r="O382" s="112"/>
      <c r="P382" s="112"/>
      <c r="Q382" s="112"/>
      <c r="R382" s="112"/>
      <c r="S382" s="112"/>
      <c r="T382" s="112"/>
      <c r="U382" s="112"/>
      <c r="V382" s="112"/>
      <c r="W382" s="112"/>
      <c r="X382" s="112"/>
      <c r="Y382" s="112"/>
      <c r="Z382" s="112"/>
      <c r="AA382" s="112"/>
      <c r="AB382" s="112"/>
    </row>
    <row r="383" ht="15.75" customHeight="1">
      <c r="A383" s="112" t="str">
        <f>SSSDP!A13</f>
        <v>JSSH05</v>
      </c>
      <c r="B383" s="112" t="str">
        <f>SSSDP!B13</f>
        <v>恒生大學</v>
      </c>
      <c r="C383" s="112" t="str">
        <f>SSSDP!C13</f>
        <v>管理科學與資訊管理（榮譽）學士</v>
      </c>
      <c r="D383" s="112" t="str">
        <f>SSSDP!D13</f>
        <v>BMSIM</v>
      </c>
      <c r="E383" s="112" t="str">
        <f>SSSDP!E13</f>
        <v>Best 5</v>
      </c>
      <c r="F383" s="128" t="str">
        <f>SSSDP!F13</f>
        <v>/</v>
      </c>
      <c r="G383" s="128">
        <f>SSSDP!G13</f>
        <v>16.13</v>
      </c>
      <c r="H383" s="128" t="str">
        <f>SSSDP!H13</f>
        <v>/</v>
      </c>
      <c r="I383" s="128">
        <f>'計分版'!D388</f>
        <v>0.0000000035</v>
      </c>
      <c r="J383" s="112">
        <f>SSSDP!L13</f>
        <v>65</v>
      </c>
      <c r="K383" s="112">
        <f>SSSDP!Z13</f>
        <v>117</v>
      </c>
      <c r="L383" s="153">
        <f>IFERROR(SSSDP!AH13/SSSDP!AA13,"新科目")</f>
        <v>4.237623762</v>
      </c>
      <c r="M383" s="112">
        <f>'入學要求'!S375</f>
        <v>0</v>
      </c>
      <c r="N383" s="112"/>
      <c r="O383" s="112"/>
      <c r="P383" s="112"/>
      <c r="Q383" s="112"/>
      <c r="R383" s="112"/>
      <c r="S383" s="112"/>
      <c r="T383" s="112"/>
      <c r="U383" s="112"/>
      <c r="V383" s="112"/>
      <c r="W383" s="112"/>
      <c r="X383" s="112"/>
      <c r="Y383" s="112"/>
      <c r="Z383" s="112"/>
      <c r="AA383" s="112"/>
      <c r="AB383" s="112"/>
    </row>
    <row r="384" ht="15.75" customHeight="1">
      <c r="A384" s="112" t="str">
        <f>SSSDP!A14</f>
        <v>JSSH06</v>
      </c>
      <c r="B384" s="112" t="str">
        <f>SSSDP!B14</f>
        <v>恒生大學</v>
      </c>
      <c r="C384" s="112" t="str">
        <f>SSSDP!C14</f>
        <v>藝術設計（榮譽）文學士</v>
      </c>
      <c r="D384" s="112" t="str">
        <f>SSSDP!D14</f>
        <v>BA-AD</v>
      </c>
      <c r="E384" s="112" t="str">
        <f>SSSDP!E14</f>
        <v>4C1X</v>
      </c>
      <c r="F384" s="128" t="str">
        <f>SSSDP!F14</f>
        <v>/</v>
      </c>
      <c r="G384" s="128" t="str">
        <f>SSSDP!G14</f>
        <v>/</v>
      </c>
      <c r="H384" s="128" t="str">
        <f>SSSDP!H14</f>
        <v>/</v>
      </c>
      <c r="I384" s="128">
        <f>'計分版'!D389</f>
        <v>0.0000000019</v>
      </c>
      <c r="J384" s="112">
        <f>SSSDP!L14</f>
        <v>40</v>
      </c>
      <c r="K384" s="112" t="str">
        <f>SSSDP!Z14</f>
        <v>/</v>
      </c>
      <c r="L384" s="153" t="str">
        <f>IFERROR(SSSDP!AH14/SSSDP!AA14,"新科目")</f>
        <v>新科目</v>
      </c>
      <c r="M384" s="112">
        <f>'入學要求'!S376</f>
        <v>0</v>
      </c>
      <c r="N384" s="112"/>
      <c r="O384" s="112"/>
      <c r="P384" s="112"/>
      <c r="Q384" s="112"/>
      <c r="R384" s="112"/>
      <c r="S384" s="112"/>
      <c r="T384" s="112"/>
      <c r="U384" s="112"/>
      <c r="V384" s="112"/>
      <c r="W384" s="112"/>
      <c r="X384" s="112"/>
      <c r="Y384" s="112"/>
      <c r="Z384" s="112"/>
      <c r="AA384" s="112"/>
      <c r="AB384" s="112"/>
    </row>
    <row r="385" ht="15.75" customHeight="1">
      <c r="A385" s="112" t="str">
        <f>SSSDP!A15</f>
        <v>JSST01</v>
      </c>
      <c r="B385" s="112" t="str">
        <f>SSSDP!B15</f>
        <v>東華學院</v>
      </c>
      <c r="C385" s="112" t="str">
        <f>SSSDP!C15</f>
        <v>護理學（榮譽）健康科學學士</v>
      </c>
      <c r="D385" s="112" t="str">
        <f>SSSDP!D15</f>
        <v>BHSc(N)</v>
      </c>
      <c r="E385" s="112" t="str">
        <f>SSSDP!E15</f>
        <v>Best 5</v>
      </c>
      <c r="F385" s="128" t="str">
        <f>SSSDP!F15</f>
        <v>/</v>
      </c>
      <c r="G385" s="128">
        <f>SSSDP!G15</f>
        <v>17.8</v>
      </c>
      <c r="H385" s="128" t="str">
        <f>SSSDP!H15</f>
        <v>/</v>
      </c>
      <c r="I385" s="128">
        <f>'計分版'!D390</f>
        <v>0.0000000034</v>
      </c>
      <c r="J385" s="112">
        <f>SSSDP!L15</f>
        <v>350</v>
      </c>
      <c r="K385" s="112">
        <f>SSSDP!Z15</f>
        <v>550</v>
      </c>
      <c r="L385" s="153">
        <f>IFERROR(SSSDP!AH15/SSSDP!AA15,"新科目")</f>
        <v>4.396355353</v>
      </c>
      <c r="M385" s="112">
        <f>'入學要求'!S377</f>
        <v>0</v>
      </c>
      <c r="N385" s="112"/>
      <c r="O385" s="112"/>
      <c r="P385" s="112"/>
      <c r="Q385" s="112"/>
      <c r="R385" s="112"/>
      <c r="S385" s="112"/>
      <c r="T385" s="112"/>
      <c r="U385" s="112"/>
      <c r="V385" s="112"/>
      <c r="W385" s="112"/>
      <c r="X385" s="112"/>
      <c r="Y385" s="112"/>
      <c r="Z385" s="112"/>
      <c r="AA385" s="112"/>
      <c r="AB385" s="112"/>
    </row>
    <row r="386" ht="15.75" customHeight="1">
      <c r="A386" s="112" t="str">
        <f>SSSDP!A16</f>
        <v>JSST02</v>
      </c>
      <c r="B386" s="112" t="str">
        <f>SSSDP!B16</f>
        <v>東華學院</v>
      </c>
      <c r="C386" s="112" t="str">
        <f>SSSDP!C16</f>
        <v>醫療化驗科學（榮譽）理學士</v>
      </c>
      <c r="D386" s="112" t="str">
        <f>SSSDP!D16</f>
        <v>BSc(MLSc)</v>
      </c>
      <c r="E386" s="112" t="str">
        <f>SSSDP!E16</f>
        <v>Best 5</v>
      </c>
      <c r="F386" s="128" t="str">
        <f>SSSDP!F16</f>
        <v>/</v>
      </c>
      <c r="G386" s="128">
        <f>SSSDP!G16</f>
        <v>21.5</v>
      </c>
      <c r="H386" s="128" t="str">
        <f>SSSDP!H16</f>
        <v>/</v>
      </c>
      <c r="I386" s="128">
        <f>'計分版'!D391</f>
        <v>0.0000000034</v>
      </c>
      <c r="J386" s="112">
        <f>SSSDP!L16</f>
        <v>45</v>
      </c>
      <c r="K386" s="112">
        <f>SSSDP!Z16</f>
        <v>50</v>
      </c>
      <c r="L386" s="153">
        <f>IFERROR(SSSDP!AH16/SSSDP!AA16,"新科目")</f>
        <v>6.255319149</v>
      </c>
      <c r="M386" s="112">
        <f>'入學要求'!S378</f>
        <v>0</v>
      </c>
      <c r="N386" s="112"/>
      <c r="O386" s="112"/>
      <c r="P386" s="112"/>
      <c r="Q386" s="112"/>
      <c r="R386" s="112"/>
      <c r="S386" s="112"/>
      <c r="T386" s="112"/>
      <c r="U386" s="112"/>
      <c r="V386" s="112"/>
      <c r="W386" s="112"/>
      <c r="X386" s="112"/>
      <c r="Y386" s="112"/>
      <c r="Z386" s="112"/>
      <c r="AA386" s="112"/>
      <c r="AB386" s="112"/>
    </row>
    <row r="387" ht="15.75" customHeight="1">
      <c r="A387" s="112" t="str">
        <f>SSSDP!A17</f>
        <v>JSST03</v>
      </c>
      <c r="B387" s="112" t="str">
        <f>SSSDP!B17</f>
        <v>東華學院</v>
      </c>
      <c r="C387" s="112" t="str">
        <f>SSSDP!C17</f>
        <v>放射治療學（榮譽）理學士</v>
      </c>
      <c r="D387" s="112" t="str">
        <f>SSSDP!D17</f>
        <v>BSc(RT)</v>
      </c>
      <c r="E387" s="112" t="str">
        <f>SSSDP!E17</f>
        <v>Best 5</v>
      </c>
      <c r="F387" s="128" t="str">
        <f>SSSDP!F17</f>
        <v>/</v>
      </c>
      <c r="G387" s="128">
        <f>SSSDP!G17</f>
        <v>22.8</v>
      </c>
      <c r="H387" s="128" t="str">
        <f>SSSDP!H17</f>
        <v>/</v>
      </c>
      <c r="I387" s="128">
        <f>'計分版'!D392</f>
        <v>0.0000000034</v>
      </c>
      <c r="J387" s="112">
        <f>SSSDP!L17</f>
        <v>15</v>
      </c>
      <c r="K387" s="112">
        <f>SSSDP!Z17</f>
        <v>15</v>
      </c>
      <c r="L387" s="153">
        <f>IFERROR(SSSDP!AH17/SSSDP!AA17,"新科目")</f>
        <v>11.46666667</v>
      </c>
      <c r="M387" s="112">
        <f>'入學要求'!S379</f>
        <v>0</v>
      </c>
      <c r="N387" s="112"/>
      <c r="O387" s="112"/>
      <c r="P387" s="112"/>
      <c r="Q387" s="112"/>
      <c r="R387" s="112"/>
      <c r="S387" s="112"/>
      <c r="T387" s="112"/>
      <c r="U387" s="112"/>
      <c r="V387" s="112"/>
      <c r="W387" s="112"/>
      <c r="X387" s="112"/>
      <c r="Y387" s="112"/>
      <c r="Z387" s="112"/>
      <c r="AA387" s="112"/>
      <c r="AB387" s="112"/>
    </row>
    <row r="388" ht="15.75" customHeight="1">
      <c r="A388" s="112" t="str">
        <f>SSSDP!A18</f>
        <v>JSST04</v>
      </c>
      <c r="B388" s="112" t="str">
        <f>SSSDP!B18</f>
        <v>東華學院</v>
      </c>
      <c r="C388" s="112" t="str">
        <f>SSSDP!C18</f>
        <v>職業治療學（榮譽）理學士</v>
      </c>
      <c r="D388" s="112" t="str">
        <f>SSSDP!D18</f>
        <v>BSc(OT)</v>
      </c>
      <c r="E388" s="112" t="str">
        <f>SSSDP!E18</f>
        <v>Best 5</v>
      </c>
      <c r="F388" s="128" t="str">
        <f>SSSDP!F18</f>
        <v>/</v>
      </c>
      <c r="G388" s="128">
        <f>SSSDP!G18</f>
        <v>21.9</v>
      </c>
      <c r="H388" s="128" t="str">
        <f>SSSDP!H18</f>
        <v>/</v>
      </c>
      <c r="I388" s="128">
        <f>'計分版'!D393</f>
        <v>0.0000000034</v>
      </c>
      <c r="J388" s="112">
        <f>SSSDP!L18</f>
        <v>60</v>
      </c>
      <c r="K388" s="112">
        <f>SSSDP!Z18</f>
        <v>55</v>
      </c>
      <c r="L388" s="153">
        <f>IFERROR(SSSDP!AH18/SSSDP!AA18,"新科目")</f>
        <v>10.16363636</v>
      </c>
      <c r="M388" s="112">
        <f>'入學要求'!S380</f>
        <v>0</v>
      </c>
      <c r="N388" s="112"/>
      <c r="O388" s="112"/>
      <c r="P388" s="112"/>
      <c r="Q388" s="112"/>
      <c r="R388" s="112"/>
      <c r="S388" s="112"/>
      <c r="T388" s="112"/>
      <c r="U388" s="112"/>
      <c r="V388" s="112"/>
      <c r="W388" s="112"/>
      <c r="X388" s="112"/>
      <c r="Y388" s="112"/>
      <c r="Z388" s="112"/>
      <c r="AA388" s="112"/>
      <c r="AB388" s="112"/>
    </row>
    <row r="389" ht="15.75" customHeight="1">
      <c r="A389" s="112" t="str">
        <f>SSSDP!A19</f>
        <v>JSST05</v>
      </c>
      <c r="B389" s="112" t="str">
        <f>SSSDP!B19</f>
        <v>東華學院</v>
      </c>
      <c r="C389" s="112" t="str">
        <f>SSSDP!C19</f>
        <v>物理治療學(榮譽)理學士</v>
      </c>
      <c r="D389" s="112" t="str">
        <f>SSSDP!D19</f>
        <v>BSc(PT)</v>
      </c>
      <c r="E389" s="112" t="str">
        <f>SSSDP!E19</f>
        <v>Best 5</v>
      </c>
      <c r="F389" s="128" t="str">
        <f>SSSDP!F19</f>
        <v>/</v>
      </c>
      <c r="G389" s="128">
        <f>SSSDP!G19</f>
        <v>23.7</v>
      </c>
      <c r="H389" s="128" t="str">
        <f>SSSDP!H19</f>
        <v>/</v>
      </c>
      <c r="I389" s="128">
        <f>'計分版'!D394</f>
        <v>0.0000000034</v>
      </c>
      <c r="J389" s="112">
        <f>SSSDP!L19</f>
        <v>50</v>
      </c>
      <c r="K389" s="112">
        <f>SSSDP!Z19</f>
        <v>58</v>
      </c>
      <c r="L389" s="153">
        <f>IFERROR(SSSDP!AH19/SSSDP!AA19,"新科目")</f>
        <v>9.423076923</v>
      </c>
      <c r="M389" s="112">
        <f>'入學要求'!S381</f>
        <v>0</v>
      </c>
      <c r="N389" s="112"/>
      <c r="O389" s="112"/>
      <c r="P389" s="112"/>
      <c r="Q389" s="112"/>
      <c r="R389" s="112"/>
      <c r="S389" s="112"/>
      <c r="T389" s="112"/>
      <c r="U389" s="112"/>
      <c r="V389" s="112"/>
      <c r="W389" s="112"/>
      <c r="X389" s="112"/>
      <c r="Y389" s="112"/>
      <c r="Z389" s="112"/>
      <c r="AA389" s="112"/>
      <c r="AB389" s="112"/>
    </row>
    <row r="390" ht="15.75" customHeight="1">
      <c r="A390" s="112" t="str">
        <f>SSSDP!A20</f>
        <v>JSSU12</v>
      </c>
      <c r="B390" s="112" t="str">
        <f>SSSDP!B20</f>
        <v>公開大學</v>
      </c>
      <c r="C390" s="112" t="str">
        <f>SSSDP!C20</f>
        <v>創意寫作與電影藝術榮譽文學士</v>
      </c>
      <c r="D390" s="112" t="str">
        <f>SSSDP!D20</f>
        <v>BA(Hons) CreWri&amp;FilmArts</v>
      </c>
      <c r="E390" s="112" t="str">
        <f>SSSDP!E20</f>
        <v>4C1X</v>
      </c>
      <c r="F390" s="128" t="str">
        <f>SSSDP!F20</f>
        <v>/</v>
      </c>
      <c r="G390" s="128">
        <f>SSSDP!G20</f>
        <v>20</v>
      </c>
      <c r="H390" s="128">
        <f>SSSDP!H20</f>
        <v>17</v>
      </c>
      <c r="I390" s="128">
        <f>'計分版'!D395</f>
        <v>0.0000000021</v>
      </c>
      <c r="J390" s="112">
        <f>SSSDP!L20</f>
        <v>80</v>
      </c>
      <c r="K390" s="112">
        <f>SSSDP!Z20</f>
        <v>138</v>
      </c>
      <c r="L390" s="153">
        <f>IFERROR(SSSDP!AH20/SSSDP!AA20,"新科目")</f>
        <v>4.726027397</v>
      </c>
      <c r="M390" s="112">
        <f>'入學要求'!S382</f>
        <v>0</v>
      </c>
      <c r="N390" s="112"/>
      <c r="O390" s="112"/>
      <c r="P390" s="112"/>
      <c r="Q390" s="112"/>
      <c r="R390" s="112"/>
      <c r="S390" s="112"/>
      <c r="T390" s="112"/>
      <c r="U390" s="112"/>
      <c r="V390" s="112"/>
      <c r="W390" s="112"/>
      <c r="X390" s="112"/>
      <c r="Y390" s="112"/>
      <c r="Z390" s="112"/>
      <c r="AA390" s="112"/>
      <c r="AB390" s="112"/>
    </row>
    <row r="391" ht="15.75" customHeight="1">
      <c r="A391" s="112" t="str">
        <f>SSSDP!A21</f>
        <v>JSSU14</v>
      </c>
      <c r="B391" s="112" t="str">
        <f>SSSDP!B21</f>
        <v>公開大學</v>
      </c>
      <c r="C391" s="112" t="str">
        <f>SSSDP!C21</f>
        <v>動畫及視覺特效榮譽藝術學士</v>
      </c>
      <c r="D391" s="112" t="str">
        <f>SSSDP!D21</f>
        <v>BFA (Hons) Animation VE</v>
      </c>
      <c r="E391" s="112" t="str">
        <f>SSSDP!E21</f>
        <v>4C1X</v>
      </c>
      <c r="F391" s="128" t="str">
        <f>SSSDP!F21</f>
        <v>/</v>
      </c>
      <c r="G391" s="128">
        <f>SSSDP!G21</f>
        <v>16</v>
      </c>
      <c r="H391" s="128">
        <f>SSSDP!H21</f>
        <v>15</v>
      </c>
      <c r="I391" s="128">
        <f>'計分版'!D396</f>
        <v>0.00000000195</v>
      </c>
      <c r="J391" s="112">
        <f>SSSDP!L21</f>
        <v>80</v>
      </c>
      <c r="K391" s="112">
        <f>SSSDP!Z21</f>
        <v>108</v>
      </c>
      <c r="L391" s="153">
        <f>IFERROR(SSSDP!AH21/SSSDP!AA21,"新科目")</f>
        <v>6.48</v>
      </c>
      <c r="M391" s="112">
        <f>'入學要求'!S383</f>
        <v>0</v>
      </c>
      <c r="N391" s="112"/>
      <c r="O391" s="112"/>
      <c r="P391" s="112"/>
      <c r="Q391" s="112"/>
      <c r="R391" s="112"/>
      <c r="S391" s="112"/>
      <c r="T391" s="112"/>
      <c r="U391" s="112"/>
      <c r="V391" s="112"/>
      <c r="W391" s="112"/>
      <c r="X391" s="112"/>
      <c r="Y391" s="112"/>
      <c r="Z391" s="112"/>
      <c r="AA391" s="112"/>
      <c r="AB391" s="112"/>
    </row>
    <row r="392" ht="15.75" customHeight="1">
      <c r="A392" s="112" t="str">
        <f>SSSDP!A22</f>
        <v>JSSU15</v>
      </c>
      <c r="B392" s="112" t="str">
        <f>SSSDP!B22</f>
        <v>公開大學</v>
      </c>
      <c r="C392" s="112" t="str">
        <f>SSSDP!C22</f>
        <v>影像設計及數碼藝術榮譽藝術學士</v>
      </c>
      <c r="D392" s="112" t="str">
        <f>SSSDP!D22</f>
        <v>BFA (Hons) IDDA</v>
      </c>
      <c r="E392" s="112" t="str">
        <f>SSSDP!E22</f>
        <v>4C1X</v>
      </c>
      <c r="F392" s="128" t="str">
        <f>SSSDP!F22</f>
        <v>/</v>
      </c>
      <c r="G392" s="128">
        <f>SSSDP!G22</f>
        <v>20</v>
      </c>
      <c r="H392" s="128">
        <f>SSSDP!H22</f>
        <v>18</v>
      </c>
      <c r="I392" s="128">
        <f>'計分版'!D397</f>
        <v>0.0000000021</v>
      </c>
      <c r="J392" s="112">
        <f>SSSDP!L22</f>
        <v>80</v>
      </c>
      <c r="K392" s="112">
        <f>SSSDP!Z22</f>
        <v>91</v>
      </c>
      <c r="L392" s="153">
        <f>IFERROR(SSSDP!AH22/SSSDP!AA22,"新科目")</f>
        <v>6.086206897</v>
      </c>
      <c r="M392" s="112">
        <f>'入學要求'!S384</f>
        <v>0</v>
      </c>
      <c r="N392" s="112"/>
      <c r="O392" s="112"/>
      <c r="P392" s="112"/>
      <c r="Q392" s="112"/>
      <c r="R392" s="112"/>
      <c r="S392" s="112"/>
      <c r="T392" s="112"/>
      <c r="U392" s="112"/>
      <c r="V392" s="112"/>
      <c r="W392" s="112"/>
      <c r="X392" s="112"/>
      <c r="Y392" s="112"/>
      <c r="Z392" s="112"/>
      <c r="AA392" s="112"/>
      <c r="AB392" s="112"/>
    </row>
    <row r="393" ht="15.75" customHeight="1">
      <c r="A393" s="112" t="str">
        <f>SSSDP!A23</f>
        <v>JSSU40</v>
      </c>
      <c r="B393" s="112" t="str">
        <f>SSSDP!B23</f>
        <v>公開大學</v>
      </c>
      <c r="C393" s="112" t="str">
        <f>SSSDP!C23</f>
        <v>護理學榮譽學士（普通科）</v>
      </c>
      <c r="D393" s="112" t="str">
        <f>SSSDP!D23</f>
        <v>BNursing (Hons) General</v>
      </c>
      <c r="E393" s="112" t="str">
        <f>SSSDP!E23</f>
        <v>4C1X</v>
      </c>
      <c r="F393" s="128" t="str">
        <f>SSSDP!F23</f>
        <v>/</v>
      </c>
      <c r="G393" s="128">
        <f>SSSDP!G23</f>
        <v>20</v>
      </c>
      <c r="H393" s="128">
        <f>SSSDP!H23</f>
        <v>19</v>
      </c>
      <c r="I393" s="128">
        <f>'計分版'!D398</f>
        <v>0.00000000195</v>
      </c>
      <c r="J393" s="112">
        <f>SSSDP!L23</f>
        <v>325</v>
      </c>
      <c r="K393" s="112">
        <f>SSSDP!Z23</f>
        <v>340</v>
      </c>
      <c r="L393" s="153">
        <f>IFERROR(SSSDP!AH23/SSSDP!AA23,"新科目")</f>
        <v>6.497058824</v>
      </c>
      <c r="M393" s="112">
        <f>'入學要求'!S385</f>
        <v>0</v>
      </c>
      <c r="N393" s="112"/>
      <c r="O393" s="112"/>
      <c r="P393" s="112"/>
      <c r="Q393" s="112"/>
      <c r="R393" s="112"/>
      <c r="S393" s="112"/>
      <c r="T393" s="112"/>
      <c r="U393" s="112"/>
      <c r="V393" s="112"/>
      <c r="W393" s="112"/>
      <c r="X393" s="112"/>
      <c r="Y393" s="112"/>
      <c r="Z393" s="112"/>
      <c r="AA393" s="112"/>
      <c r="AB393" s="112"/>
    </row>
    <row r="394" ht="15.75" customHeight="1">
      <c r="A394" s="112" t="str">
        <f>SSSDP!A24</f>
        <v>JSSU50</v>
      </c>
      <c r="B394" s="112" t="str">
        <f>SSSDP!B24</f>
        <v>公開大學</v>
      </c>
      <c r="C394" s="112" t="str">
        <f>SSSDP!C24</f>
        <v>護理學榮譽學士（精神科）</v>
      </c>
      <c r="D394" s="112" t="str">
        <f>SSSDP!D24</f>
        <v>BNursing (Hons) Mental</v>
      </c>
      <c r="E394" s="112" t="str">
        <f>SSSDP!E24</f>
        <v>4C1X</v>
      </c>
      <c r="F394" s="128" t="str">
        <f>SSSDP!F24</f>
        <v>/</v>
      </c>
      <c r="G394" s="128">
        <f>SSSDP!G24</f>
        <v>18</v>
      </c>
      <c r="H394" s="128">
        <f>SSSDP!H24</f>
        <v>16</v>
      </c>
      <c r="I394" s="128">
        <f>'計分版'!D399</f>
        <v>0.00000000195</v>
      </c>
      <c r="J394" s="112">
        <f>SSSDP!L24</f>
        <v>125</v>
      </c>
      <c r="K394" s="112">
        <f>SSSDP!Z24</f>
        <v>145</v>
      </c>
      <c r="L394" s="153">
        <f>IFERROR(SSSDP!AH24/SSSDP!AA24,"新科目")</f>
        <v>5.24137931</v>
      </c>
      <c r="M394" s="112">
        <f>'入學要求'!S386</f>
        <v>0</v>
      </c>
      <c r="N394" s="112"/>
      <c r="O394" s="112"/>
      <c r="P394" s="112"/>
      <c r="Q394" s="112"/>
      <c r="R394" s="112"/>
      <c r="S394" s="112"/>
      <c r="T394" s="112"/>
      <c r="U394" s="112"/>
      <c r="V394" s="112"/>
      <c r="W394" s="112"/>
      <c r="X394" s="112"/>
      <c r="Y394" s="112"/>
      <c r="Z394" s="112"/>
      <c r="AA394" s="112"/>
      <c r="AB394" s="112"/>
    </row>
    <row r="395" ht="15.75" customHeight="1">
      <c r="A395" s="112" t="str">
        <f>SSSDP!A25</f>
        <v>JSSU55</v>
      </c>
      <c r="B395" s="112" t="str">
        <f>SSSDP!B25</f>
        <v>公開大學</v>
      </c>
      <c r="C395" s="112" t="str">
        <f>SSSDP!C25</f>
        <v>物理治療學榮譽理學士</v>
      </c>
      <c r="D395" s="112" t="str">
        <f>SSSDP!D25</f>
        <v>BSc(Hons) Physiotherapy</v>
      </c>
      <c r="E395" s="112" t="str">
        <f>SSSDP!E25</f>
        <v>Best 5</v>
      </c>
      <c r="F395" s="128" t="str">
        <f>SSSDP!F25</f>
        <v>/</v>
      </c>
      <c r="G395" s="128">
        <f>SSSDP!G25</f>
        <v>36</v>
      </c>
      <c r="H395" s="128">
        <f>SSSDP!H25</f>
        <v>34</v>
      </c>
      <c r="I395" s="128">
        <f>'計分版'!D400</f>
        <v>0.00000000395</v>
      </c>
      <c r="J395" s="112">
        <f>SSSDP!L25</f>
        <v>40</v>
      </c>
      <c r="K395" s="112" t="str">
        <f>SSSDP!Z25</f>
        <v>/</v>
      </c>
      <c r="L395" s="153" t="str">
        <f>IFERROR(SSSDP!AH25/SSSDP!AA25,"無資料")</f>
        <v>無資料</v>
      </c>
      <c r="M395" s="112">
        <f>'入學要求'!S387</f>
        <v>0</v>
      </c>
      <c r="N395" s="112"/>
      <c r="O395" s="112"/>
      <c r="P395" s="112"/>
      <c r="Q395" s="112"/>
      <c r="R395" s="112"/>
      <c r="S395" s="112"/>
      <c r="T395" s="112"/>
      <c r="U395" s="112"/>
      <c r="V395" s="112"/>
      <c r="W395" s="112"/>
      <c r="X395" s="112"/>
      <c r="Y395" s="112"/>
      <c r="Z395" s="112"/>
      <c r="AA395" s="112"/>
      <c r="AB395" s="112"/>
    </row>
    <row r="396" ht="15.75" customHeight="1">
      <c r="A396" s="112" t="str">
        <f>SSSDP!A26</f>
        <v>JSSU65</v>
      </c>
      <c r="B396" s="112" t="str">
        <f>SSSDP!B26</f>
        <v>公開大學</v>
      </c>
      <c r="C396" s="112" t="str">
        <f>SSSDP!C26</f>
        <v>檢測和認證榮譽工學士</v>
      </c>
      <c r="D396" s="112" t="str">
        <f>SSSDP!D26</f>
        <v>BEng (Hons) Test &amp; Cert</v>
      </c>
      <c r="E396" s="112" t="str">
        <f>SSSDP!E26</f>
        <v>4C1X</v>
      </c>
      <c r="F396" s="128" t="str">
        <f>SSSDP!F26</f>
        <v>/</v>
      </c>
      <c r="G396" s="128">
        <f>SSSDP!G26</f>
        <v>16</v>
      </c>
      <c r="H396" s="128">
        <f>SSSDP!H26</f>
        <v>15</v>
      </c>
      <c r="I396" s="128">
        <f>'計分版'!D401</f>
        <v>0.00000000195</v>
      </c>
      <c r="J396" s="112">
        <f>SSSDP!L26</f>
        <v>100</v>
      </c>
      <c r="K396" s="112">
        <f>SSSDP!Z26</f>
        <v>29</v>
      </c>
      <c r="L396" s="153">
        <f>IFERROR(SSSDP!AH26/SSSDP!AA26,"新科目")</f>
        <v>5.666666667</v>
      </c>
      <c r="M396" s="112">
        <f>'入學要求'!S388</f>
        <v>0</v>
      </c>
      <c r="N396" s="112"/>
      <c r="O396" s="112"/>
      <c r="P396" s="112"/>
      <c r="Q396" s="112"/>
      <c r="R396" s="112"/>
      <c r="S396" s="112"/>
      <c r="T396" s="112"/>
      <c r="U396" s="112"/>
      <c r="V396" s="112"/>
      <c r="W396" s="112"/>
      <c r="X396" s="112"/>
      <c r="Y396" s="112"/>
      <c r="Z396" s="112"/>
      <c r="AA396" s="112"/>
      <c r="AB396" s="112"/>
    </row>
    <row r="397" ht="15.75" customHeight="1">
      <c r="A397" s="112" t="str">
        <f>SSSDP!A27</f>
        <v>JSSU68</v>
      </c>
      <c r="B397" s="112" t="str">
        <f>SSSDP!B27</f>
        <v>公開大學</v>
      </c>
      <c r="C397" s="112" t="str">
        <f>SSSDP!C27</f>
        <v>檢測科學和認證榮譽理學士</v>
      </c>
      <c r="D397" s="112" t="str">
        <f>SSSDP!D27</f>
        <v>BSc(Hons)Test Sci &amp; Cert</v>
      </c>
      <c r="E397" s="112" t="str">
        <f>SSSDP!E27</f>
        <v>4C1X</v>
      </c>
      <c r="F397" s="128" t="str">
        <f>SSSDP!F27</f>
        <v>/</v>
      </c>
      <c r="G397" s="128">
        <f>SSSDP!G27</f>
        <v>16</v>
      </c>
      <c r="H397" s="128">
        <f>SSSDP!H27</f>
        <v>16</v>
      </c>
      <c r="I397" s="128">
        <f>'計分版'!D402</f>
        <v>0.00000000195</v>
      </c>
      <c r="J397" s="112">
        <f>SSSDP!L27</f>
        <v>30</v>
      </c>
      <c r="K397" s="112">
        <f>SSSDP!Z27</f>
        <v>68</v>
      </c>
      <c r="L397" s="153">
        <f>IFERROR(SSSDP!AH27/SSSDP!AA27,"新科目")</f>
        <v>3.071428571</v>
      </c>
      <c r="M397" s="112">
        <f>'入學要求'!S389</f>
        <v>0</v>
      </c>
      <c r="N397" s="112"/>
      <c r="O397" s="112"/>
      <c r="P397" s="112"/>
      <c r="Q397" s="112"/>
      <c r="R397" s="112"/>
      <c r="S397" s="112"/>
      <c r="T397" s="112"/>
      <c r="U397" s="112"/>
      <c r="V397" s="112"/>
      <c r="W397" s="112"/>
      <c r="X397" s="112"/>
      <c r="Y397" s="112"/>
      <c r="Z397" s="112"/>
      <c r="AA397" s="112"/>
      <c r="AB397" s="112"/>
    </row>
    <row r="398" ht="15.75" customHeight="1">
      <c r="A398" s="112" t="str">
        <f>SSSDP!A28</f>
        <v>JSSU69</v>
      </c>
      <c r="B398" s="112" t="str">
        <f>SSSDP!B28</f>
        <v>公開大學</v>
      </c>
      <c r="C398" s="112" t="str">
        <f>SSSDP!C28</f>
        <v>食品測試科學榮譽理學士</v>
      </c>
      <c r="D398" s="112" t="str">
        <f>SSSDP!D28</f>
        <v>BSc(Hons)FoodTestSci</v>
      </c>
      <c r="E398" s="112" t="str">
        <f>SSSDP!E28</f>
        <v>4C1X</v>
      </c>
      <c r="F398" s="128" t="str">
        <f>SSSDP!F28</f>
        <v>/</v>
      </c>
      <c r="G398" s="128">
        <f>SSSDP!G28</f>
        <v>16</v>
      </c>
      <c r="H398" s="128">
        <f>SSSDP!H28</f>
        <v>16</v>
      </c>
      <c r="I398" s="128">
        <f>'計分版'!D403</f>
        <v>0.00000000195</v>
      </c>
      <c r="J398" s="112">
        <f>SSSDP!L28</f>
        <v>30</v>
      </c>
      <c r="K398" s="112" t="str">
        <f>SSSDP!Z28</f>
        <v>/</v>
      </c>
      <c r="L398" s="153" t="str">
        <f>IFERROR(SSSDP!AH28/SSSDP!AA28,"無資料")</f>
        <v>無資料</v>
      </c>
      <c r="M398" s="112">
        <f>'入學要求'!S390</f>
        <v>0</v>
      </c>
      <c r="N398" s="112"/>
      <c r="O398" s="112"/>
      <c r="P398" s="112"/>
      <c r="Q398" s="112"/>
      <c r="R398" s="112"/>
      <c r="S398" s="112"/>
      <c r="T398" s="112"/>
      <c r="U398" s="112"/>
      <c r="V398" s="112"/>
      <c r="W398" s="112"/>
      <c r="X398" s="112"/>
      <c r="Y398" s="112"/>
      <c r="Z398" s="112"/>
      <c r="AA398" s="112"/>
      <c r="AB398" s="112"/>
    </row>
    <row r="399" ht="15.75" customHeight="1">
      <c r="A399" s="112" t="str">
        <f>SSSDP!A29</f>
        <v>JSSU70</v>
      </c>
      <c r="B399" s="112" t="str">
        <f>SSSDP!B29</f>
        <v>公開大學</v>
      </c>
      <c r="C399" s="112" t="str">
        <f>SSSDP!C29</f>
        <v>數據科學及人工智能榮譽理學士</v>
      </c>
      <c r="D399" s="112" t="str">
        <f>SSSDP!D29</f>
        <v>BSc(Hons) Data Sci &amp; AI</v>
      </c>
      <c r="E399" s="112" t="str">
        <f>SSSDP!E29</f>
        <v>4C1X</v>
      </c>
      <c r="F399" s="128" t="str">
        <f>SSSDP!F29</f>
        <v>/</v>
      </c>
      <c r="G399" s="128">
        <f>SSSDP!G29</f>
        <v>15</v>
      </c>
      <c r="H399" s="128">
        <f>SSSDP!H29</f>
        <v>14</v>
      </c>
      <c r="I399" s="128">
        <f>'計分版'!D404</f>
        <v>0.00000000195</v>
      </c>
      <c r="J399" s="112">
        <f>SSSDP!L29</f>
        <v>25</v>
      </c>
      <c r="K399" s="112" t="str">
        <f>SSSDP!Z29</f>
        <v>/</v>
      </c>
      <c r="L399" s="153" t="str">
        <f>IFERROR(SSSDP!AH29/SSSDP!AA29,"無資料")</f>
        <v>無資料</v>
      </c>
      <c r="M399" s="112">
        <f>'入學要求'!S391</f>
        <v>0</v>
      </c>
      <c r="N399" s="112"/>
      <c r="O399" s="112"/>
      <c r="P399" s="112"/>
      <c r="Q399" s="112"/>
      <c r="R399" s="112"/>
      <c r="S399" s="112"/>
      <c r="T399" s="112"/>
      <c r="U399" s="112"/>
      <c r="V399" s="112"/>
      <c r="W399" s="112"/>
      <c r="X399" s="112"/>
      <c r="Y399" s="112"/>
      <c r="Z399" s="112"/>
      <c r="AA399" s="112"/>
      <c r="AB399" s="112"/>
    </row>
    <row r="400" ht="15.75" customHeight="1">
      <c r="A400" s="112" t="str">
        <f>SSSDP!A30</f>
        <v>JSSU71</v>
      </c>
      <c r="B400" s="112" t="str">
        <f>SSSDP!B30</f>
        <v>公開大學</v>
      </c>
      <c r="C400" s="112" t="str">
        <f>SSSDP!C30</f>
        <v>互聯網科技榮譽電腦學學士</v>
      </c>
      <c r="D400" s="112" t="str">
        <f>SSSDP!D30</f>
        <v>BComp(Hons)Internet Tech</v>
      </c>
      <c r="E400" s="112" t="str">
        <f>SSSDP!E30</f>
        <v>Best 5</v>
      </c>
      <c r="F400" s="128" t="str">
        <f>SSSDP!F30</f>
        <v>/</v>
      </c>
      <c r="G400" s="128">
        <f>SSSDP!G30</f>
        <v>17</v>
      </c>
      <c r="H400" s="128">
        <f>SSSDP!H30</f>
        <v>16</v>
      </c>
      <c r="I400" s="128">
        <f>'計分版'!D405</f>
        <v>0.00000000395</v>
      </c>
      <c r="J400" s="112">
        <f>SSSDP!L30</f>
        <v>60</v>
      </c>
      <c r="K400" s="112">
        <f>SSSDP!Z30</f>
        <v>41</v>
      </c>
      <c r="L400" s="153">
        <f>IFERROR(SSSDP!AH30/SSSDP!AA30,"新科目")</f>
        <v>6.071428571</v>
      </c>
      <c r="M400" s="112">
        <f>'入學要求'!S392</f>
        <v>0</v>
      </c>
      <c r="N400" s="112"/>
      <c r="O400" s="112"/>
      <c r="P400" s="112"/>
      <c r="Q400" s="112"/>
      <c r="R400" s="112"/>
      <c r="S400" s="112"/>
      <c r="T400" s="112"/>
      <c r="U400" s="112"/>
      <c r="V400" s="112"/>
      <c r="W400" s="112"/>
      <c r="X400" s="112"/>
      <c r="Y400" s="112"/>
      <c r="Z400" s="112"/>
      <c r="AA400" s="112"/>
      <c r="AB400" s="112"/>
    </row>
    <row r="401" ht="15.75" customHeight="1">
      <c r="A401" s="112" t="str">
        <f>SSSDP!A31</f>
        <v>JSSU90</v>
      </c>
      <c r="B401" s="112" t="str">
        <f>SSSDP!B31</f>
        <v>公開大學</v>
      </c>
      <c r="C401" s="112" t="str">
        <f>SSSDP!C31</f>
        <v>國際款待及景區管理榮譽學士</v>
      </c>
      <c r="D401" s="112" t="str">
        <f>SSSDP!D31</f>
        <v>B Intl Hospitality(Hons)</v>
      </c>
      <c r="E401" s="112" t="str">
        <f>SSSDP!E31</f>
        <v>Best 5</v>
      </c>
      <c r="F401" s="128" t="str">
        <f>SSSDP!F31</f>
        <v>/</v>
      </c>
      <c r="G401" s="128">
        <f>SSSDP!G31</f>
        <v>16</v>
      </c>
      <c r="H401" s="128">
        <f>SSSDP!H31</f>
        <v>15</v>
      </c>
      <c r="I401" s="128">
        <f>'計分版'!D406</f>
        <v>0.00000000395</v>
      </c>
      <c r="J401" s="112">
        <f>SSSDP!L31</f>
        <v>80</v>
      </c>
      <c r="K401" s="112">
        <f>SSSDP!Z31</f>
        <v>121</v>
      </c>
      <c r="L401" s="153">
        <f>IFERROR(SSSDP!AH31/SSSDP!AA31,"新科目")</f>
        <v>7.109375</v>
      </c>
      <c r="M401" s="112">
        <f>'入學要求'!S393</f>
        <v>0</v>
      </c>
      <c r="N401" s="112"/>
      <c r="O401" s="112"/>
      <c r="P401" s="112"/>
      <c r="Q401" s="112"/>
      <c r="R401" s="112"/>
      <c r="S401" s="112"/>
      <c r="T401" s="112"/>
      <c r="U401" s="112"/>
      <c r="V401" s="112"/>
      <c r="W401" s="112"/>
      <c r="X401" s="112"/>
      <c r="Y401" s="112"/>
      <c r="Z401" s="112"/>
      <c r="AA401" s="112"/>
      <c r="AB401" s="112"/>
    </row>
    <row r="402" ht="15.75" customHeight="1">
      <c r="A402" s="112" t="str">
        <f>SSSDP!A32</f>
        <v>JSSU95</v>
      </c>
      <c r="B402" s="112" t="str">
        <f>SSSDP!B32</f>
        <v>公開大學</v>
      </c>
      <c r="C402" s="112" t="str">
        <f>SSSDP!C32</f>
        <v>運動及康樂管理榮譽學士</v>
      </c>
      <c r="D402" s="112" t="str">
        <f>SSSDP!D32</f>
        <v>B(Hons)Sports &amp; R Mgnt</v>
      </c>
      <c r="E402" s="112" t="str">
        <f>SSSDP!E32</f>
        <v>Best 5</v>
      </c>
      <c r="F402" s="128" t="str">
        <f>SSSDP!F32</f>
        <v>/</v>
      </c>
      <c r="G402" s="128">
        <f>SSSDP!G32</f>
        <v>16</v>
      </c>
      <c r="H402" s="128">
        <f>SSSDP!H32</f>
        <v>15</v>
      </c>
      <c r="I402" s="128">
        <f>'計分版'!D407</f>
        <v>0.00000000395</v>
      </c>
      <c r="J402" s="112">
        <f>SSSDP!L32</f>
        <v>40</v>
      </c>
      <c r="K402" s="112">
        <f>SSSDP!Z32</f>
        <v>112</v>
      </c>
      <c r="L402" s="153">
        <f>IFERROR(SSSDP!AH32/SSSDP!AA32,"新科目")</f>
        <v>5.734939759</v>
      </c>
      <c r="M402" s="112">
        <f>'入學要求'!S394</f>
        <v>0</v>
      </c>
      <c r="N402" s="112"/>
      <c r="O402" s="112"/>
      <c r="P402" s="112"/>
      <c r="Q402" s="112"/>
      <c r="R402" s="112"/>
      <c r="S402" s="112"/>
      <c r="T402" s="112"/>
      <c r="U402" s="112"/>
      <c r="V402" s="112"/>
      <c r="W402" s="112"/>
      <c r="X402" s="112"/>
      <c r="Y402" s="112"/>
      <c r="Z402" s="112"/>
      <c r="AA402" s="112"/>
      <c r="AB402" s="112"/>
    </row>
    <row r="403" ht="15.75" customHeight="1">
      <c r="A403" s="112" t="str">
        <f>SSSDP!A33</f>
        <v>JSSU96</v>
      </c>
      <c r="B403" s="112" t="str">
        <f>SSSDP!B33</f>
        <v>公開大學</v>
      </c>
      <c r="C403" s="112" t="str">
        <f>SSSDP!C33</f>
        <v>金融科技及創新榮譽工商管理學士</v>
      </c>
      <c r="D403" s="112" t="str">
        <f>SSSDP!D33</f>
        <v>BBA (Hons) Fintech</v>
      </c>
      <c r="E403" s="112" t="str">
        <f>SSSDP!E33</f>
        <v>Best 5</v>
      </c>
      <c r="F403" s="128" t="str">
        <f>SSSDP!F33</f>
        <v>/</v>
      </c>
      <c r="G403" s="128">
        <f>SSSDP!G33</f>
        <v>18</v>
      </c>
      <c r="H403" s="128">
        <f>SSSDP!H33</f>
        <v>16</v>
      </c>
      <c r="I403" s="128">
        <f>'計分版'!D408</f>
        <v>0.00000000395</v>
      </c>
      <c r="J403" s="112">
        <f>SSSDP!L33</f>
        <v>40</v>
      </c>
      <c r="K403" s="112">
        <f>SSSDP!Z33</f>
        <v>54</v>
      </c>
      <c r="L403" s="153">
        <f>IFERROR(SSSDP!AH33/SSSDP!AA33,"新科目")</f>
        <v>7.782608696</v>
      </c>
      <c r="M403" s="112">
        <f>'入學要求'!S395</f>
        <v>0</v>
      </c>
      <c r="N403" s="112"/>
      <c r="O403" s="112"/>
      <c r="P403" s="112"/>
      <c r="Q403" s="112"/>
      <c r="R403" s="112"/>
      <c r="S403" s="112"/>
      <c r="T403" s="112"/>
      <c r="U403" s="112"/>
      <c r="V403" s="112"/>
      <c r="W403" s="112"/>
      <c r="X403" s="112"/>
      <c r="Y403" s="112"/>
      <c r="Z403" s="112"/>
      <c r="AA403" s="112"/>
      <c r="AB403" s="112"/>
    </row>
    <row r="404" ht="15.75" customHeight="1">
      <c r="A404" s="112" t="str">
        <f>SSSDP!A34</f>
        <v>JSSU97</v>
      </c>
      <c r="B404" s="112" t="str">
        <f>SSSDP!B34</f>
        <v>公開大學</v>
      </c>
      <c r="C404" s="112" t="str">
        <f>SSSDP!C34</f>
        <v>環球市場及供應鏈榮譽工商管理學士</v>
      </c>
      <c r="D404" s="112" t="str">
        <f>SSSDP!D34</f>
        <v>BBA (Hons) GM &amp; SC Mgt</v>
      </c>
      <c r="E404" s="112" t="str">
        <f>SSSDP!E34</f>
        <v>Best 5</v>
      </c>
      <c r="F404" s="128" t="str">
        <f>SSSDP!F34</f>
        <v>/</v>
      </c>
      <c r="G404" s="128">
        <f>SSSDP!G34</f>
        <v>16</v>
      </c>
      <c r="H404" s="128">
        <f>SSSDP!H34</f>
        <v>15</v>
      </c>
      <c r="I404" s="128">
        <f>'計分版'!D409</f>
        <v>0.00000000395</v>
      </c>
      <c r="J404" s="112">
        <f>SSSDP!L34</f>
        <v>50</v>
      </c>
      <c r="K404" s="112">
        <f>SSSDP!Z34</f>
        <v>84</v>
      </c>
      <c r="L404" s="153">
        <f>IFERROR(SSSDP!AH34/SSSDP!AA34,"新科目")</f>
        <v>6.647058824</v>
      </c>
      <c r="M404" s="112">
        <f>'入學要求'!S396</f>
        <v>0</v>
      </c>
      <c r="N404" s="112"/>
      <c r="O404" s="112"/>
      <c r="P404" s="112"/>
      <c r="Q404" s="112"/>
      <c r="R404" s="112"/>
      <c r="S404" s="112"/>
      <c r="T404" s="112"/>
      <c r="U404" s="112"/>
      <c r="V404" s="112"/>
      <c r="W404" s="112"/>
      <c r="X404" s="112"/>
      <c r="Y404" s="112"/>
      <c r="Z404" s="112"/>
      <c r="AA404" s="112"/>
      <c r="AB404" s="112"/>
    </row>
    <row r="405" ht="15.75" customHeight="1">
      <c r="A405" s="112" t="str">
        <f>SSSDP!A35</f>
        <v>JSSV01</v>
      </c>
      <c r="B405" s="112" t="str">
        <f>SSSDP!B35</f>
        <v>THEi</v>
      </c>
      <c r="C405" s="112" t="str">
        <f>SSSDP!C35</f>
        <v>時裝設計（榮譽）文學士</v>
      </c>
      <c r="D405" s="112" t="str">
        <f>SSSDP!D35</f>
        <v>BA(FD)</v>
      </c>
      <c r="E405" s="112" t="str">
        <f>SSSDP!E35</f>
        <v>Best 5</v>
      </c>
      <c r="F405" s="128" t="str">
        <f>SSSDP!F35</f>
        <v>/</v>
      </c>
      <c r="G405" s="128">
        <f>SSSDP!G35</f>
        <v>16</v>
      </c>
      <c r="H405" s="128" t="str">
        <f>SSSDP!H35</f>
        <v>/</v>
      </c>
      <c r="I405" s="128">
        <f>'計分版'!D410</f>
        <v>0.00000000395</v>
      </c>
      <c r="J405" s="112">
        <f>SSSDP!L35</f>
        <v>50</v>
      </c>
      <c r="K405" s="112">
        <f>SSSDP!Z35</f>
        <v>56</v>
      </c>
      <c r="L405" s="153">
        <f>IFERROR(SSSDP!AH35/SSSDP!AA35,"新科目")</f>
        <v>8.861111111</v>
      </c>
      <c r="M405" s="112">
        <f>'入學要求'!S397</f>
        <v>0</v>
      </c>
      <c r="N405" s="112"/>
      <c r="O405" s="112"/>
      <c r="P405" s="112"/>
      <c r="Q405" s="112"/>
      <c r="R405" s="112"/>
      <c r="S405" s="112"/>
      <c r="T405" s="112"/>
      <c r="U405" s="112"/>
      <c r="V405" s="112"/>
      <c r="W405" s="112"/>
      <c r="X405" s="112"/>
      <c r="Y405" s="112"/>
      <c r="Z405" s="112"/>
      <c r="AA405" s="112"/>
      <c r="AB405" s="112"/>
    </row>
    <row r="406" ht="15.75" customHeight="1">
      <c r="A406" s="112" t="str">
        <f>SSSDP!A36</f>
        <v>JSSV02</v>
      </c>
      <c r="B406" s="112" t="str">
        <f>SSSDP!B36</f>
        <v>THEi</v>
      </c>
      <c r="C406" s="112" t="str">
        <f>SSSDP!C36</f>
        <v>產品設計（榮譽）文學士</v>
      </c>
      <c r="D406" s="112" t="str">
        <f>SSSDP!D36</f>
        <v>BA(PD)</v>
      </c>
      <c r="E406" s="112" t="str">
        <f>SSSDP!E36</f>
        <v>4C1X</v>
      </c>
      <c r="F406" s="128" t="str">
        <f>SSSDP!F36</f>
        <v>/</v>
      </c>
      <c r="G406" s="128">
        <f>SSSDP!G36</f>
        <v>17</v>
      </c>
      <c r="H406" s="128" t="str">
        <f>SSSDP!H36</f>
        <v>/</v>
      </c>
      <c r="I406" s="128">
        <f>'計分版'!D411</f>
        <v>0.00000000195</v>
      </c>
      <c r="J406" s="112">
        <f>SSSDP!L36</f>
        <v>45</v>
      </c>
      <c r="K406" s="112">
        <f>SSSDP!Z36</f>
        <v>45</v>
      </c>
      <c r="L406" s="153">
        <f>IFERROR(SSSDP!AH36/SSSDP!AA36,"新科目")</f>
        <v>13.57142857</v>
      </c>
      <c r="M406" s="112">
        <f>'入學要求'!S398</f>
        <v>0</v>
      </c>
      <c r="N406" s="112"/>
      <c r="O406" s="112"/>
      <c r="P406" s="112"/>
      <c r="Q406" s="112"/>
      <c r="R406" s="112"/>
      <c r="S406" s="112"/>
      <c r="T406" s="112"/>
      <c r="U406" s="112"/>
      <c r="V406" s="112"/>
      <c r="W406" s="112"/>
      <c r="X406" s="112"/>
      <c r="Y406" s="112"/>
      <c r="Z406" s="112"/>
      <c r="AA406" s="112"/>
      <c r="AB406" s="112"/>
    </row>
    <row r="407" ht="15.75" customHeight="1">
      <c r="A407" s="112" t="str">
        <f>SSSDP!A37</f>
        <v>JSSV03</v>
      </c>
      <c r="B407" s="112" t="str">
        <f>SSSDP!B37</f>
        <v>THEi</v>
      </c>
      <c r="C407" s="112" t="str">
        <f>SSSDP!C37</f>
        <v>園境建築（榮譽）文學士</v>
      </c>
      <c r="D407" s="112" t="str">
        <f>SSSDP!D37</f>
        <v>BA(LA)</v>
      </c>
      <c r="E407" s="112" t="str">
        <f>SSSDP!E37</f>
        <v>4C1X</v>
      </c>
      <c r="F407" s="128" t="str">
        <f>SSSDP!F37</f>
        <v>/</v>
      </c>
      <c r="G407" s="128">
        <f>SSSDP!G37</f>
        <v>17</v>
      </c>
      <c r="H407" s="128" t="str">
        <f>SSSDP!H37</f>
        <v>/</v>
      </c>
      <c r="I407" s="128">
        <f>'計分版'!D412</f>
        <v>0.00000000195</v>
      </c>
      <c r="J407" s="112">
        <f>SSSDP!L37</f>
        <v>40</v>
      </c>
      <c r="K407" s="112">
        <f>SSSDP!Z37</f>
        <v>25</v>
      </c>
      <c r="L407" s="153">
        <f>IFERROR(SSSDP!AH37/SSSDP!AA37,"新科目")</f>
        <v>5.941176471</v>
      </c>
      <c r="M407" s="112">
        <f>'入學要求'!S399</f>
        <v>0</v>
      </c>
      <c r="N407" s="112"/>
      <c r="O407" s="112"/>
      <c r="P407" s="112"/>
      <c r="Q407" s="112"/>
      <c r="R407" s="112"/>
      <c r="S407" s="112"/>
      <c r="T407" s="112"/>
      <c r="U407" s="112"/>
      <c r="V407" s="112"/>
      <c r="W407" s="112"/>
      <c r="X407" s="112"/>
      <c r="Y407" s="112"/>
      <c r="Z407" s="112"/>
      <c r="AA407" s="112"/>
      <c r="AB407" s="112"/>
    </row>
    <row r="408" ht="15.75" customHeight="1">
      <c r="A408" s="112" t="str">
        <f>SSSDP!A38</f>
        <v>JSSV04</v>
      </c>
      <c r="B408" s="112" t="str">
        <f>SSSDP!B38</f>
        <v>THEi</v>
      </c>
      <c r="C408" s="112" t="str">
        <f>SSSDP!C38</f>
        <v>廚藝及管理（榮譽）文學士</v>
      </c>
      <c r="D408" s="112" t="str">
        <f>SSSDP!D38</f>
        <v>BA(CAM)</v>
      </c>
      <c r="E408" s="112" t="str">
        <f>SSSDP!E38</f>
        <v>4C1X</v>
      </c>
      <c r="F408" s="128" t="str">
        <f>SSSDP!F38</f>
        <v>/</v>
      </c>
      <c r="G408" s="128">
        <f>SSSDP!G38</f>
        <v>15</v>
      </c>
      <c r="H408" s="128" t="str">
        <f>SSSDP!H38</f>
        <v>/</v>
      </c>
      <c r="I408" s="128">
        <f>'計分版'!D413</f>
        <v>0.00000000195</v>
      </c>
      <c r="J408" s="112">
        <f>SSSDP!L38</f>
        <v>30</v>
      </c>
      <c r="K408" s="112">
        <f>SSSDP!Z38</f>
        <v>37</v>
      </c>
      <c r="L408" s="153">
        <f>IFERROR(SSSDP!AH38/SSSDP!AA38,"新科目")</f>
        <v>18.36842105</v>
      </c>
      <c r="M408" s="112">
        <f>'入學要求'!S400</f>
        <v>0</v>
      </c>
      <c r="N408" s="112"/>
      <c r="O408" s="112"/>
      <c r="P408" s="112"/>
      <c r="Q408" s="112"/>
      <c r="R408" s="112"/>
      <c r="S408" s="112"/>
      <c r="T408" s="112"/>
      <c r="U408" s="112"/>
      <c r="V408" s="112"/>
      <c r="W408" s="112"/>
      <c r="X408" s="112"/>
      <c r="Y408" s="112"/>
      <c r="Z408" s="112"/>
      <c r="AA408" s="112"/>
      <c r="AB408" s="112"/>
    </row>
    <row r="409" ht="15.75" customHeight="1">
      <c r="A409" s="112" t="str">
        <f>SSSDP!A39</f>
        <v>JSSV05</v>
      </c>
      <c r="B409" s="112" t="str">
        <f>SSSDP!B39</f>
        <v>THEi</v>
      </c>
      <c r="C409" s="112" t="str">
        <f>SSSDP!C39</f>
        <v>土木工程（榮譽）工學士</v>
      </c>
      <c r="D409" s="112" t="str">
        <f>SSSDP!D39</f>
        <v>BEng(CE)</v>
      </c>
      <c r="E409" s="112" t="str">
        <f>SSSDP!E39</f>
        <v>4C1X</v>
      </c>
      <c r="F409" s="128" t="str">
        <f>SSSDP!F39</f>
        <v>/</v>
      </c>
      <c r="G409" s="128">
        <f>SSSDP!G39</f>
        <v>17</v>
      </c>
      <c r="H409" s="128" t="str">
        <f>SSSDP!H39</f>
        <v>/</v>
      </c>
      <c r="I409" s="128">
        <f>'計分版'!D414</f>
        <v>0.00000000195</v>
      </c>
      <c r="J409" s="112">
        <f>SSSDP!L39</f>
        <v>50</v>
      </c>
      <c r="K409" s="112">
        <f>SSSDP!Z39</f>
        <v>29</v>
      </c>
      <c r="L409" s="153">
        <f>IFERROR(SSSDP!AH39/SSSDP!AA39,"新科目")</f>
        <v>8.055555556</v>
      </c>
      <c r="M409" s="112">
        <f>'入學要求'!S401</f>
        <v>0</v>
      </c>
      <c r="N409" s="112"/>
      <c r="O409" s="112"/>
      <c r="P409" s="112"/>
      <c r="Q409" s="112"/>
      <c r="R409" s="112"/>
      <c r="S409" s="112"/>
      <c r="T409" s="112"/>
      <c r="U409" s="112"/>
      <c r="V409" s="112"/>
      <c r="W409" s="112"/>
      <c r="X409" s="112"/>
      <c r="Y409" s="112"/>
      <c r="Z409" s="112"/>
      <c r="AA409" s="112"/>
      <c r="AB409" s="112"/>
    </row>
    <row r="410" ht="15.75" customHeight="1">
      <c r="A410" s="112" t="str">
        <f>SSSDP!A40</f>
        <v>JSSV07</v>
      </c>
      <c r="B410" s="112" t="str">
        <f>SSSDP!B40</f>
        <v>THEi</v>
      </c>
      <c r="C410" s="112" t="str">
        <f>SSSDP!C40</f>
        <v>園藝樹藝及園境管理（榮譽）理學士</v>
      </c>
      <c r="D410" s="112" t="str">
        <f>SSSDP!D40</f>
        <v>BSc(HALM)</v>
      </c>
      <c r="E410" s="112" t="str">
        <f>SSSDP!E40</f>
        <v>4C1X</v>
      </c>
      <c r="F410" s="128" t="str">
        <f>SSSDP!F40</f>
        <v>/</v>
      </c>
      <c r="G410" s="128">
        <f>SSSDP!G40</f>
        <v>19</v>
      </c>
      <c r="H410" s="128" t="str">
        <f>SSSDP!H40</f>
        <v>/</v>
      </c>
      <c r="I410" s="128">
        <f>'計分版'!D415</f>
        <v>0.00000000195</v>
      </c>
      <c r="J410" s="112">
        <f>SSSDP!L40</f>
        <v>50</v>
      </c>
      <c r="K410" s="112">
        <f>SSSDP!Z40</f>
        <v>19</v>
      </c>
      <c r="L410" s="153">
        <f>IFERROR(SSSDP!AH40/SSSDP!AA40,"新科目")</f>
        <v>11.25</v>
      </c>
      <c r="M410" s="112">
        <f>'入學要求'!S402</f>
        <v>0</v>
      </c>
      <c r="N410" s="112"/>
      <c r="O410" s="112"/>
      <c r="P410" s="112"/>
      <c r="Q410" s="112"/>
      <c r="R410" s="112"/>
      <c r="S410" s="112"/>
      <c r="T410" s="112"/>
      <c r="U410" s="112"/>
      <c r="V410" s="112"/>
      <c r="W410" s="112"/>
      <c r="X410" s="112"/>
      <c r="Y410" s="112"/>
      <c r="Z410" s="112"/>
      <c r="AA410" s="112"/>
      <c r="AB410" s="112"/>
    </row>
    <row r="411" ht="15.75" customHeight="1">
      <c r="A411" s="112" t="str">
        <f>SSSDP!A41</f>
        <v>JSSV08</v>
      </c>
      <c r="B411" s="112" t="str">
        <f>SSSDP!B41</f>
        <v>THEi</v>
      </c>
      <c r="C411" s="112" t="str">
        <f>SSSDP!C41</f>
        <v>測量學（榮譽）理學士</v>
      </c>
      <c r="D411" s="112" t="str">
        <f>SSSDP!D41</f>
        <v>BSc(SUR)</v>
      </c>
      <c r="E411" s="112" t="str">
        <f>SSSDP!E41</f>
        <v>4C1X</v>
      </c>
      <c r="F411" s="128" t="str">
        <f>SSSDP!F41</f>
        <v>/</v>
      </c>
      <c r="G411" s="128">
        <f>SSSDP!G41</f>
        <v>18</v>
      </c>
      <c r="H411" s="128" t="str">
        <f>SSSDP!H41</f>
        <v>/</v>
      </c>
      <c r="I411" s="128">
        <f>'計分版'!D416</f>
        <v>0.00000000195</v>
      </c>
      <c r="J411" s="112">
        <f>SSSDP!L41</f>
        <v>50</v>
      </c>
      <c r="K411" s="112">
        <f>SSSDP!Z41</f>
        <v>21</v>
      </c>
      <c r="L411" s="153">
        <f>IFERROR(SSSDP!AH41/SSSDP!AA41,"新科目")</f>
        <v>8</v>
      </c>
      <c r="M411" s="112">
        <f>'入學要求'!S403</f>
        <v>0</v>
      </c>
      <c r="N411" s="112"/>
      <c r="O411" s="112"/>
      <c r="P411" s="112"/>
      <c r="Q411" s="112"/>
      <c r="R411" s="112"/>
      <c r="S411" s="112"/>
      <c r="T411" s="112"/>
      <c r="U411" s="112"/>
      <c r="V411" s="112"/>
      <c r="W411" s="112"/>
      <c r="X411" s="112"/>
      <c r="Y411" s="112"/>
      <c r="Z411" s="112"/>
      <c r="AA411" s="112"/>
      <c r="AB411" s="112"/>
    </row>
    <row r="412" ht="15.75" customHeight="1">
      <c r="A412" s="112" t="str">
        <f>SSSDP!A42</f>
        <v>JSSV09</v>
      </c>
      <c r="B412" s="112" t="str">
        <f>SSSDP!B42</f>
        <v>THEi</v>
      </c>
      <c r="C412" s="112" t="str">
        <f>SSSDP!C42</f>
        <v>運動及康樂管理（榮譽）社會科學學士</v>
      </c>
      <c r="D412" s="112" t="str">
        <f>SSSDP!D42</f>
        <v>BSocSc(SRM)</v>
      </c>
      <c r="E412" s="112" t="str">
        <f>SSSDP!E42</f>
        <v>4C1X</v>
      </c>
      <c r="F412" s="128" t="str">
        <f>SSSDP!F42</f>
        <v>/</v>
      </c>
      <c r="G412" s="128">
        <f>SSSDP!G42</f>
        <v>16</v>
      </c>
      <c r="H412" s="128" t="str">
        <f>SSSDP!H42</f>
        <v>/</v>
      </c>
      <c r="I412" s="128">
        <f>'計分版'!D417</f>
        <v>0.00000000195</v>
      </c>
      <c r="J412" s="112">
        <f>SSSDP!L42</f>
        <v>50</v>
      </c>
      <c r="K412" s="112">
        <f>SSSDP!Z42</f>
        <v>57</v>
      </c>
      <c r="L412" s="153">
        <f>IFERROR(SSSDP!AH42/SSSDP!AA42,"新科目")</f>
        <v>11.625</v>
      </c>
      <c r="M412" s="112">
        <f>'入學要求'!S404</f>
        <v>0</v>
      </c>
      <c r="N412" s="112"/>
      <c r="O412" s="112"/>
      <c r="P412" s="112"/>
      <c r="Q412" s="112"/>
      <c r="R412" s="112"/>
      <c r="S412" s="112"/>
      <c r="T412" s="112"/>
      <c r="U412" s="112"/>
      <c r="V412" s="112"/>
      <c r="W412" s="112"/>
      <c r="X412" s="112"/>
      <c r="Y412" s="112"/>
      <c r="Z412" s="112"/>
      <c r="AA412" s="112"/>
      <c r="AB412" s="112"/>
    </row>
    <row r="413" ht="15.75" customHeight="1">
      <c r="A413" s="112" t="str">
        <f>SSSDP!A43</f>
        <v>JSSV11</v>
      </c>
      <c r="B413" s="112" t="str">
        <f>SSSDP!B43</f>
        <v>THEi</v>
      </c>
      <c r="C413" s="112" t="str">
        <f>SSSDP!C43</f>
        <v>創新及多媒體科技（榮譽）理學士</v>
      </c>
      <c r="D413" s="112" t="str">
        <f>SSSDP!D43</f>
        <v>BSc(MTI)</v>
      </c>
      <c r="E413" s="112" t="str">
        <f>SSSDP!E43</f>
        <v>4C1X</v>
      </c>
      <c r="F413" s="128" t="str">
        <f>SSSDP!F43</f>
        <v>/</v>
      </c>
      <c r="G413" s="128">
        <f>SSSDP!G43</f>
        <v>16</v>
      </c>
      <c r="H413" s="128" t="str">
        <f>SSSDP!H43</f>
        <v>/</v>
      </c>
      <c r="I413" s="128">
        <f>'計分版'!D418</f>
        <v>0.00000000195</v>
      </c>
      <c r="J413" s="112">
        <f>SSSDP!L43</f>
        <v>30</v>
      </c>
      <c r="K413" s="112">
        <f>SSSDP!Z43</f>
        <v>17</v>
      </c>
      <c r="L413" s="153">
        <f>IFERROR(SSSDP!AH43/SSSDP!AA43,"新科目")</f>
        <v>19.11111111</v>
      </c>
      <c r="M413" s="112">
        <f>'入學要求'!S405</f>
        <v>0</v>
      </c>
      <c r="N413" s="112"/>
      <c r="O413" s="112"/>
      <c r="P413" s="112"/>
      <c r="Q413" s="112"/>
      <c r="R413" s="112"/>
      <c r="S413" s="112"/>
      <c r="T413" s="112"/>
      <c r="U413" s="112"/>
      <c r="V413" s="112"/>
      <c r="W413" s="112"/>
      <c r="X413" s="112"/>
      <c r="Y413" s="112"/>
      <c r="Z413" s="112"/>
      <c r="AA413" s="112"/>
      <c r="AB413" s="112"/>
    </row>
    <row r="414" ht="15.75" customHeight="1">
      <c r="A414" s="112" t="str">
        <f>SSSDP!A44</f>
        <v>JSSV12</v>
      </c>
      <c r="B414" s="112" t="str">
        <f>SSSDP!B44</f>
        <v>THEi</v>
      </c>
      <c r="C414" s="112" t="str">
        <f>SSSDP!C44</f>
        <v>資訊及通訊科技（榮譽）理學士</v>
      </c>
      <c r="D414" s="112" t="str">
        <f>SSSDP!D44</f>
        <v>BSc(ICT)</v>
      </c>
      <c r="E414" s="112" t="str">
        <f>SSSDP!E44</f>
        <v>4C1X</v>
      </c>
      <c r="F414" s="128" t="str">
        <f>SSSDP!F44</f>
        <v>/</v>
      </c>
      <c r="G414" s="128">
        <f>SSSDP!G44</f>
        <v>17</v>
      </c>
      <c r="H414" s="128" t="str">
        <f>SSSDP!H44</f>
        <v>/</v>
      </c>
      <c r="I414" s="128">
        <f>'計分版'!D419</f>
        <v>0.00000000195</v>
      </c>
      <c r="J414" s="112">
        <f>SSSDP!L44</f>
        <v>40</v>
      </c>
      <c r="K414" s="112">
        <f>SSSDP!Z44</f>
        <v>9</v>
      </c>
      <c r="L414" s="153">
        <f>IFERROR(SSSDP!AH44/SSSDP!AA44,"新科目")</f>
        <v>25</v>
      </c>
      <c r="M414" s="112">
        <f>'入學要求'!S406</f>
        <v>0</v>
      </c>
      <c r="N414" s="112"/>
      <c r="O414" s="112"/>
      <c r="P414" s="112"/>
      <c r="Q414" s="112"/>
      <c r="R414" s="112"/>
      <c r="S414" s="112"/>
      <c r="T414" s="112"/>
      <c r="U414" s="112"/>
      <c r="V414" s="112"/>
      <c r="W414" s="112"/>
      <c r="X414" s="112"/>
      <c r="Y414" s="112"/>
      <c r="Z414" s="112"/>
      <c r="AA414" s="112"/>
      <c r="AB414" s="112"/>
    </row>
    <row r="415" ht="15.75" customHeight="1">
      <c r="A415" s="112" t="str">
        <f>SSSDP!A45</f>
        <v>JSSW01</v>
      </c>
      <c r="B415" s="112" t="str">
        <f>SSSDP!B45</f>
        <v>伍倫貢學院</v>
      </c>
      <c r="C415" s="112" t="str">
        <f>SSSDP!C45</f>
        <v>營運及管理（榮譽）航空學士</v>
      </c>
      <c r="D415" s="112" t="str">
        <f>SSSDP!D45</f>
        <v>BAvOM</v>
      </c>
      <c r="E415" s="112" t="str">
        <f>SSSDP!E45</f>
        <v>無資料</v>
      </c>
      <c r="F415" s="128" t="str">
        <f>SSSDP!F45</f>
        <v>/</v>
      </c>
      <c r="G415" s="128" t="str">
        <f>SSSDP!G45</f>
        <v>/</v>
      </c>
      <c r="H415" s="128" t="str">
        <f>SSSDP!H45</f>
        <v>/</v>
      </c>
      <c r="I415" s="128">
        <f>'計分版'!D420</f>
        <v>0.00000000195</v>
      </c>
      <c r="J415" s="112">
        <f>SSSDP!L45</f>
        <v>25</v>
      </c>
      <c r="K415" s="112" t="str">
        <f>SSSDP!Z45</f>
        <v>/</v>
      </c>
      <c r="L415" s="153" t="str">
        <f>IFERROR(SSSDP!AH45/SSSDP!AA45,"新科目")</f>
        <v>新科目</v>
      </c>
      <c r="M415" s="112">
        <f>'入學要求'!S407</f>
        <v>0</v>
      </c>
      <c r="N415" s="112"/>
      <c r="O415" s="112"/>
      <c r="P415" s="112"/>
      <c r="Q415" s="112"/>
      <c r="R415" s="112"/>
      <c r="S415" s="112"/>
      <c r="T415" s="112"/>
      <c r="U415" s="112"/>
      <c r="V415" s="112"/>
      <c r="W415" s="112"/>
      <c r="X415" s="112"/>
      <c r="Y415" s="112"/>
      <c r="Z415" s="112"/>
      <c r="AA415" s="112"/>
      <c r="AB415" s="112"/>
    </row>
    <row r="416" ht="15.75" customHeight="1">
      <c r="A416" s="112" t="str">
        <f>SSSDP!A46</f>
        <v>JSSY01</v>
      </c>
      <c r="B416" s="112" t="str">
        <f>SSSDP!B46</f>
        <v>樹仁大學</v>
      </c>
      <c r="C416" s="112" t="str">
        <f>SSSDP!C46</f>
        <v>金融科技（榮譽）商學士</v>
      </c>
      <c r="D416" s="112" t="str">
        <f>SSSDP!D46</f>
        <v>BCom (Hons) FinTech</v>
      </c>
      <c r="E416" s="112" t="str">
        <f>SSSDP!E46</f>
        <v>4C1X</v>
      </c>
      <c r="F416" s="128" t="str">
        <f>SSSDP!F46</f>
        <v>/</v>
      </c>
      <c r="G416" s="128">
        <f>SSSDP!G46</f>
        <v>17.4</v>
      </c>
      <c r="H416" s="128" t="str">
        <f>SSSDP!H46</f>
        <v>/</v>
      </c>
      <c r="I416" s="128">
        <f>'計分版'!D421</f>
        <v>0.00000000195</v>
      </c>
      <c r="J416" s="112">
        <f>SSSDP!L46</f>
        <v>30</v>
      </c>
      <c r="K416" s="112" t="str">
        <f>SSSDP!Z46</f>
        <v>/</v>
      </c>
      <c r="L416" s="153" t="str">
        <f>IFERROR(SSSDP!AH46/SSSDP!AA46,"新科目")</f>
        <v>新科目</v>
      </c>
      <c r="M416" s="112">
        <f>'入學要求'!S408</f>
        <v>0</v>
      </c>
      <c r="N416" s="112"/>
      <c r="O416" s="112"/>
      <c r="P416" s="112"/>
      <c r="Q416" s="112"/>
      <c r="R416" s="112"/>
      <c r="S416" s="112"/>
      <c r="T416" s="112"/>
      <c r="U416" s="112"/>
      <c r="V416" s="112"/>
      <c r="W416" s="112"/>
      <c r="X416" s="112"/>
      <c r="Y416" s="112"/>
      <c r="Z416" s="112"/>
      <c r="AA416" s="112"/>
      <c r="AB416" s="112"/>
    </row>
    <row r="417" ht="15.75" customHeight="1">
      <c r="A417" s="112"/>
      <c r="B417" s="112"/>
      <c r="C417" s="112"/>
      <c r="D417" s="112"/>
      <c r="E417" s="112"/>
      <c r="F417" s="128"/>
      <c r="G417" s="128"/>
      <c r="H417" s="128"/>
      <c r="I417" s="128"/>
      <c r="J417" s="112"/>
      <c r="K417" s="112"/>
      <c r="L417" s="153"/>
      <c r="M417" s="112"/>
      <c r="N417" s="112"/>
      <c r="O417" s="112"/>
      <c r="P417" s="112"/>
      <c r="Q417" s="112"/>
      <c r="R417" s="112"/>
      <c r="S417" s="112"/>
      <c r="T417" s="112"/>
      <c r="U417" s="112"/>
      <c r="V417" s="112"/>
      <c r="W417" s="112"/>
      <c r="X417" s="112"/>
      <c r="Y417" s="112"/>
      <c r="Z417" s="112"/>
      <c r="AA417" s="112"/>
      <c r="AB417" s="112"/>
    </row>
    <row r="418" ht="15.75" customHeight="1">
      <c r="A418" s="112"/>
      <c r="B418" s="112"/>
      <c r="C418" s="112"/>
      <c r="D418" s="112"/>
      <c r="E418" s="112"/>
      <c r="F418" s="128"/>
      <c r="G418" s="128"/>
      <c r="H418" s="128"/>
      <c r="I418" s="128"/>
      <c r="J418" s="112"/>
      <c r="K418" s="112"/>
      <c r="L418" s="153"/>
      <c r="M418" s="112"/>
      <c r="N418" s="112"/>
      <c r="O418" s="112"/>
      <c r="P418" s="112"/>
      <c r="Q418" s="112"/>
      <c r="R418" s="112"/>
      <c r="S418" s="112"/>
      <c r="T418" s="112"/>
      <c r="U418" s="112"/>
      <c r="V418" s="112"/>
      <c r="W418" s="112"/>
      <c r="X418" s="112"/>
      <c r="Y418" s="112"/>
      <c r="Z418" s="112"/>
      <c r="AA418" s="112"/>
      <c r="AB418" s="112"/>
    </row>
    <row r="419" ht="15.75" customHeight="1">
      <c r="A419" s="112"/>
      <c r="B419" s="112"/>
      <c r="C419" s="112"/>
      <c r="D419" s="125"/>
      <c r="E419" s="112"/>
      <c r="F419" s="128"/>
      <c r="G419" s="128"/>
      <c r="H419" s="128"/>
      <c r="I419" s="128"/>
      <c r="J419" s="112"/>
      <c r="K419" s="112"/>
      <c r="L419" s="153"/>
      <c r="M419" s="112"/>
      <c r="N419" s="112"/>
      <c r="O419" s="112"/>
      <c r="P419" s="112"/>
      <c r="Q419" s="112"/>
      <c r="R419" s="112"/>
      <c r="S419" s="112"/>
      <c r="T419" s="112"/>
      <c r="U419" s="112"/>
      <c r="V419" s="112"/>
      <c r="W419" s="112"/>
      <c r="X419" s="112"/>
      <c r="Y419" s="112"/>
      <c r="Z419" s="112"/>
      <c r="AA419" s="112"/>
      <c r="AB419" s="112"/>
    </row>
    <row r="420" ht="15.75" customHeight="1">
      <c r="A420" s="112"/>
      <c r="B420" s="112"/>
      <c r="C420" s="112"/>
      <c r="D420" s="125"/>
      <c r="E420" s="112"/>
      <c r="F420" s="128"/>
      <c r="G420" s="128"/>
      <c r="H420" s="128"/>
      <c r="I420" s="128"/>
      <c r="J420" s="112"/>
      <c r="K420" s="112"/>
      <c r="L420" s="153"/>
      <c r="M420" s="112"/>
      <c r="N420" s="112"/>
      <c r="O420" s="112"/>
      <c r="P420" s="112"/>
      <c r="Q420" s="112"/>
      <c r="R420" s="112"/>
      <c r="S420" s="112"/>
      <c r="T420" s="112"/>
      <c r="U420" s="112"/>
      <c r="V420" s="112"/>
      <c r="W420" s="112"/>
      <c r="X420" s="112"/>
      <c r="Y420" s="112"/>
      <c r="Z420" s="112"/>
      <c r="AA420" s="112"/>
      <c r="AB420" s="112"/>
    </row>
    <row r="421" ht="15.75" customHeight="1">
      <c r="A421" s="112"/>
      <c r="B421" s="112"/>
      <c r="C421" s="112"/>
      <c r="D421" s="125"/>
      <c r="E421" s="112"/>
      <c r="F421" s="128"/>
      <c r="G421" s="128"/>
      <c r="H421" s="128"/>
      <c r="I421" s="128"/>
      <c r="J421" s="112"/>
      <c r="K421" s="112"/>
      <c r="L421" s="153"/>
      <c r="M421" s="112"/>
      <c r="N421" s="112"/>
      <c r="O421" s="112"/>
      <c r="P421" s="112"/>
      <c r="Q421" s="112"/>
      <c r="R421" s="112"/>
      <c r="S421" s="112"/>
      <c r="T421" s="112"/>
      <c r="U421" s="112"/>
      <c r="V421" s="112"/>
      <c r="W421" s="112"/>
      <c r="X421" s="112"/>
      <c r="Y421" s="112"/>
      <c r="Z421" s="112"/>
      <c r="AA421" s="112"/>
      <c r="AB421" s="112"/>
    </row>
    <row r="422" ht="15.75" customHeight="1">
      <c r="A422" s="112"/>
      <c r="B422" s="112"/>
      <c r="C422" s="112"/>
      <c r="D422" s="125"/>
      <c r="E422" s="112"/>
      <c r="F422" s="128"/>
      <c r="G422" s="128"/>
      <c r="H422" s="128"/>
      <c r="I422" s="128"/>
      <c r="J422" s="112"/>
      <c r="K422" s="112"/>
      <c r="L422" s="153"/>
      <c r="M422" s="112"/>
      <c r="N422" s="112"/>
      <c r="O422" s="112"/>
      <c r="P422" s="112"/>
      <c r="Q422" s="112"/>
      <c r="R422" s="112"/>
      <c r="S422" s="112"/>
      <c r="T422" s="112"/>
      <c r="U422" s="112"/>
      <c r="V422" s="112"/>
      <c r="W422" s="112"/>
      <c r="X422" s="112"/>
      <c r="Y422" s="112"/>
      <c r="Z422" s="112"/>
      <c r="AA422" s="112"/>
      <c r="AB422" s="112"/>
    </row>
    <row r="423" ht="15.75" customHeight="1">
      <c r="A423" s="112"/>
      <c r="B423" s="112"/>
      <c r="C423" s="112"/>
      <c r="D423" s="125"/>
      <c r="E423" s="112"/>
      <c r="F423" s="128"/>
      <c r="G423" s="128"/>
      <c r="H423" s="128"/>
      <c r="I423" s="128"/>
      <c r="J423" s="112"/>
      <c r="K423" s="112"/>
      <c r="L423" s="153"/>
      <c r="M423" s="112"/>
      <c r="N423" s="112"/>
      <c r="O423" s="112"/>
      <c r="P423" s="112"/>
      <c r="Q423" s="112"/>
      <c r="R423" s="112"/>
      <c r="S423" s="112"/>
      <c r="T423" s="112"/>
      <c r="U423" s="112"/>
      <c r="V423" s="112"/>
      <c r="W423" s="112"/>
      <c r="X423" s="112"/>
      <c r="Y423" s="112"/>
      <c r="Z423" s="112"/>
      <c r="AA423" s="112"/>
      <c r="AB423" s="112"/>
    </row>
    <row r="424" ht="15.75" customHeight="1">
      <c r="A424" s="112"/>
      <c r="B424" s="112"/>
      <c r="C424" s="112"/>
      <c r="D424" s="125"/>
      <c r="E424" s="112"/>
      <c r="F424" s="128"/>
      <c r="G424" s="128"/>
      <c r="H424" s="128"/>
      <c r="I424" s="128"/>
      <c r="J424" s="112"/>
      <c r="K424" s="112"/>
      <c r="L424" s="153"/>
      <c r="M424" s="112"/>
      <c r="N424" s="112"/>
      <c r="O424" s="112"/>
      <c r="P424" s="112"/>
      <c r="Q424" s="112"/>
      <c r="R424" s="112"/>
      <c r="S424" s="112"/>
      <c r="T424" s="112"/>
      <c r="U424" s="112"/>
      <c r="V424" s="112"/>
      <c r="W424" s="112"/>
      <c r="X424" s="112"/>
      <c r="Y424" s="112"/>
      <c r="Z424" s="112"/>
      <c r="AA424" s="112"/>
      <c r="AB424" s="112"/>
    </row>
    <row r="425" ht="15.75" customHeight="1">
      <c r="A425" s="112"/>
      <c r="B425" s="112"/>
      <c r="C425" s="112"/>
      <c r="D425" s="125"/>
      <c r="E425" s="112"/>
      <c r="F425" s="128"/>
      <c r="G425" s="128"/>
      <c r="H425" s="128"/>
      <c r="I425" s="128"/>
      <c r="J425" s="112"/>
      <c r="K425" s="112"/>
      <c r="L425" s="153"/>
      <c r="M425" s="112"/>
      <c r="N425" s="112"/>
      <c r="O425" s="112"/>
      <c r="P425" s="112"/>
      <c r="Q425" s="112"/>
      <c r="R425" s="112"/>
      <c r="S425" s="112"/>
      <c r="T425" s="112"/>
      <c r="U425" s="112"/>
      <c r="V425" s="112"/>
      <c r="W425" s="112"/>
      <c r="X425" s="112"/>
      <c r="Y425" s="112"/>
      <c r="Z425" s="112"/>
      <c r="AA425" s="112"/>
      <c r="AB425" s="112"/>
    </row>
    <row r="426" ht="15.75" customHeight="1">
      <c r="A426" s="112"/>
      <c r="B426" s="112"/>
      <c r="C426" s="112"/>
      <c r="D426" s="125"/>
      <c r="E426" s="112"/>
      <c r="F426" s="128"/>
      <c r="G426" s="128"/>
      <c r="H426" s="128"/>
      <c r="I426" s="128"/>
      <c r="J426" s="112"/>
      <c r="K426" s="112"/>
      <c r="L426" s="153"/>
      <c r="M426" s="112"/>
      <c r="N426" s="112"/>
      <c r="O426" s="112"/>
      <c r="P426" s="112"/>
      <c r="Q426" s="112"/>
      <c r="R426" s="112"/>
      <c r="S426" s="112"/>
      <c r="T426" s="112"/>
      <c r="U426" s="112"/>
      <c r="V426" s="112"/>
      <c r="W426" s="112"/>
      <c r="X426" s="112"/>
      <c r="Y426" s="112"/>
      <c r="Z426" s="112"/>
      <c r="AA426" s="112"/>
      <c r="AB426" s="112"/>
    </row>
    <row r="427" ht="15.75" customHeight="1">
      <c r="A427" s="112"/>
      <c r="B427" s="112"/>
      <c r="C427" s="112"/>
      <c r="D427" s="125"/>
      <c r="E427" s="112"/>
      <c r="F427" s="128"/>
      <c r="G427" s="128"/>
      <c r="H427" s="128"/>
      <c r="I427" s="128"/>
      <c r="J427" s="112"/>
      <c r="K427" s="112"/>
      <c r="L427" s="153"/>
      <c r="M427" s="112"/>
      <c r="N427" s="112"/>
      <c r="O427" s="112"/>
      <c r="P427" s="112"/>
      <c r="Q427" s="112"/>
      <c r="R427" s="112"/>
      <c r="S427" s="112"/>
      <c r="T427" s="112"/>
      <c r="U427" s="112"/>
      <c r="V427" s="112"/>
      <c r="W427" s="112"/>
      <c r="X427" s="112"/>
      <c r="Y427" s="112"/>
      <c r="Z427" s="112"/>
      <c r="AA427" s="112"/>
      <c r="AB427" s="112"/>
    </row>
    <row r="428" ht="15.75" customHeight="1">
      <c r="A428" s="112"/>
      <c r="B428" s="112"/>
      <c r="C428" s="112"/>
      <c r="D428" s="125"/>
      <c r="E428" s="112"/>
      <c r="F428" s="128"/>
      <c r="G428" s="128"/>
      <c r="H428" s="128"/>
      <c r="I428" s="128"/>
      <c r="J428" s="112"/>
      <c r="K428" s="112"/>
      <c r="L428" s="153"/>
      <c r="M428" s="112"/>
      <c r="N428" s="112"/>
      <c r="O428" s="112"/>
      <c r="P428" s="112"/>
      <c r="Q428" s="112"/>
      <c r="R428" s="112"/>
      <c r="S428" s="112"/>
      <c r="T428" s="112"/>
      <c r="U428" s="112"/>
      <c r="V428" s="112"/>
      <c r="W428" s="112"/>
      <c r="X428" s="112"/>
      <c r="Y428" s="112"/>
      <c r="Z428" s="112"/>
      <c r="AA428" s="112"/>
      <c r="AB428" s="112"/>
    </row>
    <row r="429" ht="15.75" customHeight="1">
      <c r="A429" s="112"/>
      <c r="B429" s="112"/>
      <c r="C429" s="112"/>
      <c r="D429" s="125"/>
      <c r="E429" s="112"/>
      <c r="F429" s="128"/>
      <c r="G429" s="128"/>
      <c r="H429" s="128"/>
      <c r="I429" s="128"/>
      <c r="J429" s="112"/>
      <c r="K429" s="112"/>
      <c r="L429" s="153"/>
      <c r="M429" s="112"/>
      <c r="N429" s="112"/>
      <c r="O429" s="112"/>
      <c r="P429" s="112"/>
      <c r="Q429" s="112"/>
      <c r="R429" s="112"/>
      <c r="S429" s="112"/>
      <c r="T429" s="112"/>
      <c r="U429" s="112"/>
      <c r="V429" s="112"/>
      <c r="W429" s="112"/>
      <c r="X429" s="112"/>
      <c r="Y429" s="112"/>
      <c r="Z429" s="112"/>
      <c r="AA429" s="112"/>
      <c r="AB429" s="112"/>
    </row>
    <row r="430" ht="15.75" customHeight="1">
      <c r="A430" s="112"/>
      <c r="B430" s="112"/>
      <c r="C430" s="112"/>
      <c r="D430" s="125"/>
      <c r="E430" s="112"/>
      <c r="F430" s="128"/>
      <c r="G430" s="128"/>
      <c r="H430" s="128"/>
      <c r="I430" s="128"/>
      <c r="J430" s="112"/>
      <c r="K430" s="112"/>
      <c r="L430" s="153"/>
      <c r="M430" s="112"/>
      <c r="N430" s="112"/>
      <c r="O430" s="112"/>
      <c r="P430" s="112"/>
      <c r="Q430" s="112"/>
      <c r="R430" s="112"/>
      <c r="S430" s="112"/>
      <c r="T430" s="112"/>
      <c r="U430" s="112"/>
      <c r="V430" s="112"/>
      <c r="W430" s="112"/>
      <c r="X430" s="112"/>
      <c r="Y430" s="112"/>
      <c r="Z430" s="112"/>
      <c r="AA430" s="112"/>
      <c r="AB430" s="112"/>
    </row>
    <row r="431" ht="15.75" customHeight="1">
      <c r="A431" s="112"/>
      <c r="B431" s="112"/>
      <c r="C431" s="112"/>
      <c r="D431" s="125"/>
      <c r="E431" s="112"/>
      <c r="F431" s="128"/>
      <c r="G431" s="128"/>
      <c r="H431" s="128"/>
      <c r="I431" s="128"/>
      <c r="J431" s="112"/>
      <c r="K431" s="112"/>
      <c r="L431" s="153"/>
      <c r="M431" s="112"/>
      <c r="N431" s="112"/>
      <c r="O431" s="112"/>
      <c r="P431" s="112"/>
      <c r="Q431" s="112"/>
      <c r="R431" s="112"/>
      <c r="S431" s="112"/>
      <c r="T431" s="112"/>
      <c r="U431" s="112"/>
      <c r="V431" s="112"/>
      <c r="W431" s="112"/>
      <c r="X431" s="112"/>
      <c r="Y431" s="112"/>
      <c r="Z431" s="112"/>
      <c r="AA431" s="112"/>
      <c r="AB431" s="112"/>
    </row>
    <row r="432" ht="15.75" customHeight="1">
      <c r="A432" s="112"/>
      <c r="B432" s="112"/>
      <c r="C432" s="112"/>
      <c r="D432" s="125"/>
      <c r="E432" s="112"/>
      <c r="F432" s="128"/>
      <c r="G432" s="128"/>
      <c r="H432" s="128"/>
      <c r="I432" s="128"/>
      <c r="J432" s="112"/>
      <c r="K432" s="112"/>
      <c r="L432" s="153"/>
      <c r="M432" s="112"/>
      <c r="N432" s="112"/>
      <c r="O432" s="112"/>
      <c r="P432" s="112"/>
      <c r="Q432" s="112"/>
      <c r="R432" s="112"/>
      <c r="S432" s="112"/>
      <c r="T432" s="112"/>
      <c r="U432" s="112"/>
      <c r="V432" s="112"/>
      <c r="W432" s="112"/>
      <c r="X432" s="112"/>
      <c r="Y432" s="112"/>
      <c r="Z432" s="112"/>
      <c r="AA432" s="112"/>
      <c r="AB432" s="112"/>
    </row>
    <row r="433" ht="15.75" customHeight="1">
      <c r="A433" s="112"/>
      <c r="B433" s="112"/>
      <c r="C433" s="112"/>
      <c r="D433" s="125"/>
      <c r="E433" s="112"/>
      <c r="F433" s="128"/>
      <c r="G433" s="128"/>
      <c r="H433" s="128"/>
      <c r="I433" s="128"/>
      <c r="J433" s="112"/>
      <c r="K433" s="112"/>
      <c r="L433" s="153"/>
      <c r="M433" s="112"/>
      <c r="N433" s="112"/>
      <c r="O433" s="112"/>
      <c r="P433" s="112"/>
      <c r="Q433" s="112"/>
      <c r="R433" s="112"/>
      <c r="S433" s="112"/>
      <c r="T433" s="112"/>
      <c r="U433" s="112"/>
      <c r="V433" s="112"/>
      <c r="W433" s="112"/>
      <c r="X433" s="112"/>
      <c r="Y433" s="112"/>
      <c r="Z433" s="112"/>
      <c r="AA433" s="112"/>
      <c r="AB433" s="112"/>
    </row>
    <row r="434" ht="15.75" customHeight="1">
      <c r="A434" s="112"/>
      <c r="B434" s="112"/>
      <c r="C434" s="112"/>
      <c r="D434" s="125"/>
      <c r="E434" s="112"/>
      <c r="F434" s="128"/>
      <c r="G434" s="128"/>
      <c r="H434" s="128"/>
      <c r="I434" s="128"/>
      <c r="J434" s="112"/>
      <c r="K434" s="112"/>
      <c r="L434" s="153"/>
      <c r="M434" s="112"/>
      <c r="N434" s="112"/>
      <c r="O434" s="112"/>
      <c r="P434" s="112"/>
      <c r="Q434" s="112"/>
      <c r="R434" s="112"/>
      <c r="S434" s="112"/>
      <c r="T434" s="112"/>
      <c r="U434" s="112"/>
      <c r="V434" s="112"/>
      <c r="W434" s="112"/>
      <c r="X434" s="112"/>
      <c r="Y434" s="112"/>
      <c r="Z434" s="112"/>
      <c r="AA434" s="112"/>
      <c r="AB434" s="112"/>
    </row>
    <row r="435" ht="15.75" customHeight="1">
      <c r="A435" s="112"/>
      <c r="B435" s="112"/>
      <c r="C435" s="112"/>
      <c r="D435" s="125"/>
      <c r="E435" s="112"/>
      <c r="F435" s="128"/>
      <c r="G435" s="128"/>
      <c r="H435" s="128"/>
      <c r="I435" s="128"/>
      <c r="J435" s="112"/>
      <c r="K435" s="112"/>
      <c r="L435" s="153"/>
      <c r="M435" s="112"/>
      <c r="N435" s="112"/>
      <c r="O435" s="112"/>
      <c r="P435" s="112"/>
      <c r="Q435" s="112"/>
      <c r="R435" s="112"/>
      <c r="S435" s="112"/>
      <c r="T435" s="112"/>
      <c r="U435" s="112"/>
      <c r="V435" s="112"/>
      <c r="W435" s="112"/>
      <c r="X435" s="112"/>
      <c r="Y435" s="112"/>
      <c r="Z435" s="112"/>
      <c r="AA435" s="112"/>
      <c r="AB435" s="112"/>
    </row>
    <row r="436" ht="15.75" customHeight="1">
      <c r="A436" s="112"/>
      <c r="B436" s="112"/>
      <c r="C436" s="112"/>
      <c r="D436" s="125"/>
      <c r="E436" s="112"/>
      <c r="F436" s="128"/>
      <c r="G436" s="128"/>
      <c r="H436" s="128"/>
      <c r="I436" s="128"/>
      <c r="J436" s="112"/>
      <c r="K436" s="112"/>
      <c r="L436" s="153"/>
      <c r="M436" s="112"/>
      <c r="N436" s="112"/>
      <c r="O436" s="112"/>
      <c r="P436" s="112"/>
      <c r="Q436" s="112"/>
      <c r="R436" s="112"/>
      <c r="S436" s="112"/>
      <c r="T436" s="112"/>
      <c r="U436" s="112"/>
      <c r="V436" s="112"/>
      <c r="W436" s="112"/>
      <c r="X436" s="112"/>
      <c r="Y436" s="112"/>
      <c r="Z436" s="112"/>
      <c r="AA436" s="112"/>
      <c r="AB436" s="112"/>
    </row>
    <row r="437" ht="15.75" customHeight="1">
      <c r="A437" s="112"/>
      <c r="B437" s="112"/>
      <c r="C437" s="112"/>
      <c r="D437" s="125"/>
      <c r="E437" s="112"/>
      <c r="F437" s="128"/>
      <c r="G437" s="128"/>
      <c r="H437" s="128"/>
      <c r="I437" s="128"/>
      <c r="J437" s="112"/>
      <c r="K437" s="112"/>
      <c r="L437" s="153"/>
      <c r="M437" s="112"/>
      <c r="N437" s="112"/>
      <c r="O437" s="112"/>
      <c r="P437" s="112"/>
      <c r="Q437" s="112"/>
      <c r="R437" s="112"/>
      <c r="S437" s="112"/>
      <c r="T437" s="112"/>
      <c r="U437" s="112"/>
      <c r="V437" s="112"/>
      <c r="W437" s="112"/>
      <c r="X437" s="112"/>
      <c r="Y437" s="112"/>
      <c r="Z437" s="112"/>
      <c r="AA437" s="112"/>
      <c r="AB437" s="112"/>
    </row>
    <row r="438" ht="15.75" customHeight="1">
      <c r="A438" s="112"/>
      <c r="B438" s="112"/>
      <c r="C438" s="112"/>
      <c r="D438" s="125"/>
      <c r="E438" s="112"/>
      <c r="F438" s="128"/>
      <c r="G438" s="128"/>
      <c r="H438" s="128"/>
      <c r="I438" s="128"/>
      <c r="J438" s="112"/>
      <c r="K438" s="112"/>
      <c r="L438" s="153"/>
      <c r="M438" s="112"/>
      <c r="N438" s="112"/>
      <c r="O438" s="112"/>
      <c r="P438" s="112"/>
      <c r="Q438" s="112"/>
      <c r="R438" s="112"/>
      <c r="S438" s="112"/>
      <c r="T438" s="112"/>
      <c r="U438" s="112"/>
      <c r="V438" s="112"/>
      <c r="W438" s="112"/>
      <c r="X438" s="112"/>
      <c r="Y438" s="112"/>
      <c r="Z438" s="112"/>
      <c r="AA438" s="112"/>
      <c r="AB438" s="112"/>
    </row>
    <row r="439" ht="15.75" customHeight="1">
      <c r="A439" s="112"/>
      <c r="B439" s="112"/>
      <c r="C439" s="112"/>
      <c r="D439" s="125"/>
      <c r="E439" s="112"/>
      <c r="F439" s="128"/>
      <c r="G439" s="128"/>
      <c r="H439" s="128"/>
      <c r="I439" s="128"/>
      <c r="J439" s="112"/>
      <c r="K439" s="112"/>
      <c r="L439" s="153"/>
      <c r="M439" s="112"/>
      <c r="N439" s="112"/>
      <c r="O439" s="112"/>
      <c r="P439" s="112"/>
      <c r="Q439" s="112"/>
      <c r="R439" s="112"/>
      <c r="S439" s="112"/>
      <c r="T439" s="112"/>
      <c r="U439" s="112"/>
      <c r="V439" s="112"/>
      <c r="W439" s="112"/>
      <c r="X439" s="112"/>
      <c r="Y439" s="112"/>
      <c r="Z439" s="112"/>
      <c r="AA439" s="112"/>
      <c r="AB439" s="112"/>
    </row>
    <row r="440" ht="15.75" customHeight="1">
      <c r="A440" s="112"/>
      <c r="B440" s="112"/>
      <c r="C440" s="112"/>
      <c r="D440" s="125"/>
      <c r="E440" s="112"/>
      <c r="F440" s="128"/>
      <c r="G440" s="128"/>
      <c r="H440" s="128"/>
      <c r="I440" s="128"/>
      <c r="J440" s="112"/>
      <c r="K440" s="112"/>
      <c r="L440" s="153"/>
      <c r="M440" s="112"/>
      <c r="N440" s="112"/>
      <c r="O440" s="112"/>
      <c r="P440" s="112"/>
      <c r="Q440" s="112"/>
      <c r="R440" s="112"/>
      <c r="S440" s="112"/>
      <c r="T440" s="112"/>
      <c r="U440" s="112"/>
      <c r="V440" s="112"/>
      <c r="W440" s="112"/>
      <c r="X440" s="112"/>
      <c r="Y440" s="112"/>
      <c r="Z440" s="112"/>
      <c r="AA440" s="112"/>
      <c r="AB440" s="112"/>
    </row>
    <row r="441" ht="15.75" customHeight="1">
      <c r="A441" s="112"/>
      <c r="B441" s="112"/>
      <c r="C441" s="112"/>
      <c r="D441" s="125"/>
      <c r="E441" s="112"/>
      <c r="F441" s="128"/>
      <c r="G441" s="128"/>
      <c r="H441" s="128"/>
      <c r="I441" s="128"/>
      <c r="J441" s="112"/>
      <c r="K441" s="112"/>
      <c r="L441" s="153"/>
      <c r="M441" s="112"/>
      <c r="N441" s="112"/>
      <c r="O441" s="112"/>
      <c r="P441" s="112"/>
      <c r="Q441" s="112"/>
      <c r="R441" s="112"/>
      <c r="S441" s="112"/>
      <c r="T441" s="112"/>
      <c r="U441" s="112"/>
      <c r="V441" s="112"/>
      <c r="W441" s="112"/>
      <c r="X441" s="112"/>
      <c r="Y441" s="112"/>
      <c r="Z441" s="112"/>
      <c r="AA441" s="112"/>
      <c r="AB441" s="112"/>
    </row>
    <row r="442" ht="15.75" customHeight="1">
      <c r="A442" s="112"/>
      <c r="B442" s="112"/>
      <c r="C442" s="112"/>
      <c r="D442" s="125"/>
      <c r="E442" s="112"/>
      <c r="F442" s="128"/>
      <c r="G442" s="128"/>
      <c r="H442" s="128"/>
      <c r="I442" s="128"/>
      <c r="J442" s="112"/>
      <c r="K442" s="112"/>
      <c r="L442" s="153"/>
      <c r="M442" s="112"/>
      <c r="N442" s="112"/>
      <c r="O442" s="112"/>
      <c r="P442" s="112"/>
      <c r="Q442" s="112"/>
      <c r="R442" s="112"/>
      <c r="S442" s="112"/>
      <c r="T442" s="112"/>
      <c r="U442" s="112"/>
      <c r="V442" s="112"/>
      <c r="W442" s="112"/>
      <c r="X442" s="112"/>
      <c r="Y442" s="112"/>
      <c r="Z442" s="112"/>
      <c r="AA442" s="112"/>
      <c r="AB442" s="112"/>
    </row>
    <row r="443" ht="15.75" customHeight="1">
      <c r="A443" s="112"/>
      <c r="B443" s="112"/>
      <c r="C443" s="112"/>
      <c r="D443" s="125"/>
      <c r="E443" s="112"/>
      <c r="F443" s="128"/>
      <c r="G443" s="128"/>
      <c r="H443" s="128"/>
      <c r="I443" s="128"/>
      <c r="J443" s="112"/>
      <c r="K443" s="112"/>
      <c r="L443" s="153"/>
      <c r="M443" s="112"/>
      <c r="N443" s="112"/>
      <c r="O443" s="112"/>
      <c r="P443" s="112"/>
      <c r="Q443" s="112"/>
      <c r="R443" s="112"/>
      <c r="S443" s="112"/>
      <c r="T443" s="112"/>
      <c r="U443" s="112"/>
      <c r="V443" s="112"/>
      <c r="W443" s="112"/>
      <c r="X443" s="112"/>
      <c r="Y443" s="112"/>
      <c r="Z443" s="112"/>
      <c r="AA443" s="112"/>
      <c r="AB443" s="112"/>
    </row>
    <row r="444" ht="15.75" customHeight="1">
      <c r="A444" s="112"/>
      <c r="B444" s="112"/>
      <c r="C444" s="112"/>
      <c r="D444" s="125"/>
      <c r="E444" s="112"/>
      <c r="F444" s="128"/>
      <c r="G444" s="128"/>
      <c r="H444" s="128"/>
      <c r="I444" s="128"/>
      <c r="J444" s="112"/>
      <c r="K444" s="112"/>
      <c r="L444" s="153"/>
      <c r="M444" s="112"/>
      <c r="N444" s="112"/>
      <c r="O444" s="112"/>
      <c r="P444" s="112"/>
      <c r="Q444" s="112"/>
      <c r="R444" s="112"/>
      <c r="S444" s="112"/>
      <c r="T444" s="112"/>
      <c r="U444" s="112"/>
      <c r="V444" s="112"/>
      <c r="W444" s="112"/>
      <c r="X444" s="112"/>
      <c r="Y444" s="112"/>
      <c r="Z444" s="112"/>
      <c r="AA444" s="112"/>
      <c r="AB444" s="112"/>
    </row>
    <row r="445" ht="15.75" customHeight="1">
      <c r="A445" s="112"/>
      <c r="B445" s="112"/>
      <c r="C445" s="112"/>
      <c r="D445" s="125"/>
      <c r="E445" s="112"/>
      <c r="F445" s="128"/>
      <c r="G445" s="128"/>
      <c r="H445" s="128"/>
      <c r="I445" s="128"/>
      <c r="J445" s="112"/>
      <c r="K445" s="112"/>
      <c r="L445" s="153"/>
      <c r="M445" s="112"/>
      <c r="N445" s="112"/>
      <c r="O445" s="112"/>
      <c r="P445" s="112"/>
      <c r="Q445" s="112"/>
      <c r="R445" s="112"/>
      <c r="S445" s="112"/>
      <c r="T445" s="112"/>
      <c r="U445" s="112"/>
      <c r="V445" s="112"/>
      <c r="W445" s="112"/>
      <c r="X445" s="112"/>
      <c r="Y445" s="112"/>
      <c r="Z445" s="112"/>
      <c r="AA445" s="112"/>
      <c r="AB445" s="112"/>
    </row>
    <row r="446" ht="15.75" customHeight="1">
      <c r="A446" s="112"/>
      <c r="B446" s="112"/>
      <c r="C446" s="112"/>
      <c r="D446" s="125"/>
      <c r="E446" s="112"/>
      <c r="F446" s="128"/>
      <c r="G446" s="128"/>
      <c r="H446" s="128"/>
      <c r="I446" s="128"/>
      <c r="J446" s="112"/>
      <c r="K446" s="112"/>
      <c r="L446" s="153"/>
      <c r="M446" s="112"/>
      <c r="N446" s="112"/>
      <c r="O446" s="112"/>
      <c r="P446" s="112"/>
      <c r="Q446" s="112"/>
      <c r="R446" s="112"/>
      <c r="S446" s="112"/>
      <c r="T446" s="112"/>
      <c r="U446" s="112"/>
      <c r="V446" s="112"/>
      <c r="W446" s="112"/>
      <c r="X446" s="112"/>
      <c r="Y446" s="112"/>
      <c r="Z446" s="112"/>
      <c r="AA446" s="112"/>
      <c r="AB446" s="112"/>
    </row>
    <row r="447" ht="15.75" customHeight="1">
      <c r="A447" s="112"/>
      <c r="B447" s="112"/>
      <c r="C447" s="112"/>
      <c r="D447" s="125"/>
      <c r="E447" s="112"/>
      <c r="F447" s="128"/>
      <c r="G447" s="128"/>
      <c r="H447" s="128"/>
      <c r="I447" s="128"/>
      <c r="J447" s="112"/>
      <c r="K447" s="112"/>
      <c r="L447" s="153"/>
      <c r="M447" s="112"/>
      <c r="N447" s="112"/>
      <c r="O447" s="112"/>
      <c r="P447" s="112"/>
      <c r="Q447" s="112"/>
      <c r="R447" s="112"/>
      <c r="S447" s="112"/>
      <c r="T447" s="112"/>
      <c r="U447" s="112"/>
      <c r="V447" s="112"/>
      <c r="W447" s="112"/>
      <c r="X447" s="112"/>
      <c r="Y447" s="112"/>
      <c r="Z447" s="112"/>
      <c r="AA447" s="112"/>
      <c r="AB447" s="112"/>
    </row>
    <row r="448" ht="15.75" customHeight="1">
      <c r="A448" s="112"/>
      <c r="B448" s="112"/>
      <c r="C448" s="112"/>
      <c r="D448" s="125"/>
      <c r="E448" s="112"/>
      <c r="F448" s="128"/>
      <c r="G448" s="128"/>
      <c r="H448" s="128"/>
      <c r="I448" s="128"/>
      <c r="J448" s="112"/>
      <c r="K448" s="112"/>
      <c r="L448" s="153"/>
      <c r="M448" s="112"/>
      <c r="N448" s="112"/>
      <c r="O448" s="112"/>
      <c r="P448" s="112"/>
      <c r="Q448" s="112"/>
      <c r="R448" s="112"/>
      <c r="S448" s="112"/>
      <c r="T448" s="112"/>
      <c r="U448" s="112"/>
      <c r="V448" s="112"/>
      <c r="W448" s="112"/>
      <c r="X448" s="112"/>
      <c r="Y448" s="112"/>
      <c r="Z448" s="112"/>
      <c r="AA448" s="112"/>
      <c r="AB448" s="112"/>
    </row>
    <row r="449" ht="15.75" customHeight="1">
      <c r="A449" s="112"/>
      <c r="B449" s="112"/>
      <c r="C449" s="112"/>
      <c r="D449" s="125"/>
      <c r="E449" s="112"/>
      <c r="F449" s="128"/>
      <c r="G449" s="128"/>
      <c r="H449" s="128"/>
      <c r="I449" s="128"/>
      <c r="J449" s="112"/>
      <c r="K449" s="112"/>
      <c r="L449" s="153"/>
      <c r="M449" s="112"/>
      <c r="N449" s="112"/>
      <c r="O449" s="112"/>
      <c r="P449" s="112"/>
      <c r="Q449" s="112"/>
      <c r="R449" s="112"/>
      <c r="S449" s="112"/>
      <c r="T449" s="112"/>
      <c r="U449" s="112"/>
      <c r="V449" s="112"/>
      <c r="W449" s="112"/>
      <c r="X449" s="112"/>
      <c r="Y449" s="112"/>
      <c r="Z449" s="112"/>
      <c r="AA449" s="112"/>
      <c r="AB449" s="112"/>
    </row>
    <row r="450" ht="15.75" customHeight="1">
      <c r="A450" s="112"/>
      <c r="B450" s="112"/>
      <c r="C450" s="112"/>
      <c r="D450" s="125"/>
      <c r="E450" s="112"/>
      <c r="F450" s="128"/>
      <c r="G450" s="128"/>
      <c r="H450" s="128"/>
      <c r="I450" s="128"/>
      <c r="J450" s="112"/>
      <c r="K450" s="112"/>
      <c r="L450" s="153"/>
      <c r="M450" s="112"/>
      <c r="N450" s="112"/>
      <c r="O450" s="112"/>
      <c r="P450" s="112"/>
      <c r="Q450" s="112"/>
      <c r="R450" s="112"/>
      <c r="S450" s="112"/>
      <c r="T450" s="112"/>
      <c r="U450" s="112"/>
      <c r="V450" s="112"/>
      <c r="W450" s="112"/>
      <c r="X450" s="112"/>
      <c r="Y450" s="112"/>
      <c r="Z450" s="112"/>
      <c r="AA450" s="112"/>
      <c r="AB450" s="112"/>
    </row>
    <row r="451" ht="15.75" customHeight="1">
      <c r="A451" s="112"/>
      <c r="B451" s="112"/>
      <c r="C451" s="112"/>
      <c r="D451" s="125"/>
      <c r="E451" s="112"/>
      <c r="F451" s="128"/>
      <c r="G451" s="128"/>
      <c r="H451" s="128"/>
      <c r="I451" s="128"/>
      <c r="J451" s="112"/>
      <c r="K451" s="112"/>
      <c r="L451" s="153"/>
      <c r="M451" s="112"/>
      <c r="N451" s="112"/>
      <c r="O451" s="112"/>
      <c r="P451" s="112"/>
      <c r="Q451" s="112"/>
      <c r="R451" s="112"/>
      <c r="S451" s="112"/>
      <c r="T451" s="112"/>
      <c r="U451" s="112"/>
      <c r="V451" s="112"/>
      <c r="W451" s="112"/>
      <c r="X451" s="112"/>
      <c r="Y451" s="112"/>
      <c r="Z451" s="112"/>
      <c r="AA451" s="112"/>
      <c r="AB451" s="112"/>
    </row>
    <row r="452" ht="15.75" customHeight="1">
      <c r="A452" s="112"/>
      <c r="B452" s="112"/>
      <c r="C452" s="112"/>
      <c r="D452" s="125"/>
      <c r="E452" s="112"/>
      <c r="F452" s="128"/>
      <c r="G452" s="128"/>
      <c r="H452" s="128"/>
      <c r="I452" s="128"/>
      <c r="J452" s="112"/>
      <c r="K452" s="112"/>
      <c r="L452" s="153"/>
      <c r="M452" s="112"/>
      <c r="N452" s="112"/>
      <c r="O452" s="112"/>
      <c r="P452" s="112"/>
      <c r="Q452" s="112"/>
      <c r="R452" s="112"/>
      <c r="S452" s="112"/>
      <c r="T452" s="112"/>
      <c r="U452" s="112"/>
      <c r="V452" s="112"/>
      <c r="W452" s="112"/>
      <c r="X452" s="112"/>
      <c r="Y452" s="112"/>
      <c r="Z452" s="112"/>
      <c r="AA452" s="112"/>
      <c r="AB452" s="112"/>
    </row>
    <row r="453" ht="15.75" customHeight="1">
      <c r="A453" s="112"/>
      <c r="B453" s="112"/>
      <c r="C453" s="112"/>
      <c r="D453" s="125"/>
      <c r="E453" s="112"/>
      <c r="F453" s="128"/>
      <c r="G453" s="128"/>
      <c r="H453" s="128"/>
      <c r="I453" s="128"/>
      <c r="J453" s="112"/>
      <c r="K453" s="112"/>
      <c r="L453" s="153"/>
      <c r="M453" s="112"/>
      <c r="N453" s="112"/>
      <c r="O453" s="112"/>
      <c r="P453" s="112"/>
      <c r="Q453" s="112"/>
      <c r="R453" s="112"/>
      <c r="S453" s="112"/>
      <c r="T453" s="112"/>
      <c r="U453" s="112"/>
      <c r="V453" s="112"/>
      <c r="W453" s="112"/>
      <c r="X453" s="112"/>
      <c r="Y453" s="112"/>
      <c r="Z453" s="112"/>
      <c r="AA453" s="112"/>
      <c r="AB453" s="112"/>
    </row>
    <row r="454" ht="15.75" customHeight="1">
      <c r="A454" s="112"/>
      <c r="B454" s="112"/>
      <c r="C454" s="112"/>
      <c r="D454" s="125"/>
      <c r="E454" s="112"/>
      <c r="F454" s="128"/>
      <c r="G454" s="128"/>
      <c r="H454" s="128"/>
      <c r="I454" s="128"/>
      <c r="J454" s="112"/>
      <c r="K454" s="112"/>
      <c r="L454" s="153"/>
      <c r="M454" s="112"/>
      <c r="N454" s="112"/>
      <c r="O454" s="112"/>
      <c r="P454" s="112"/>
      <c r="Q454" s="112"/>
      <c r="R454" s="112"/>
      <c r="S454" s="112"/>
      <c r="T454" s="112"/>
      <c r="U454" s="112"/>
      <c r="V454" s="112"/>
      <c r="W454" s="112"/>
      <c r="X454" s="112"/>
      <c r="Y454" s="112"/>
      <c r="Z454" s="112"/>
      <c r="AA454" s="112"/>
      <c r="AB454" s="112"/>
    </row>
    <row r="455" ht="15.75" customHeight="1">
      <c r="A455" s="112"/>
      <c r="B455" s="112"/>
      <c r="C455" s="112"/>
      <c r="D455" s="125"/>
      <c r="E455" s="112"/>
      <c r="F455" s="128"/>
      <c r="G455" s="128"/>
      <c r="H455" s="128"/>
      <c r="I455" s="128"/>
      <c r="J455" s="112"/>
      <c r="K455" s="112"/>
      <c r="L455" s="153"/>
      <c r="M455" s="112"/>
      <c r="N455" s="112"/>
      <c r="O455" s="112"/>
      <c r="P455" s="112"/>
      <c r="Q455" s="112"/>
      <c r="R455" s="112"/>
      <c r="S455" s="112"/>
      <c r="T455" s="112"/>
      <c r="U455" s="112"/>
      <c r="V455" s="112"/>
      <c r="W455" s="112"/>
      <c r="X455" s="112"/>
      <c r="Y455" s="112"/>
      <c r="Z455" s="112"/>
      <c r="AA455" s="112"/>
      <c r="AB455" s="112"/>
    </row>
    <row r="456" ht="15.75" customHeight="1">
      <c r="A456" s="112"/>
      <c r="B456" s="112"/>
      <c r="C456" s="112"/>
      <c r="D456" s="125"/>
      <c r="E456" s="112"/>
      <c r="F456" s="128"/>
      <c r="G456" s="128"/>
      <c r="H456" s="128"/>
      <c r="I456" s="128"/>
      <c r="J456" s="112"/>
      <c r="K456" s="112"/>
      <c r="L456" s="153"/>
      <c r="M456" s="112"/>
      <c r="N456" s="112"/>
      <c r="O456" s="112"/>
      <c r="P456" s="112"/>
      <c r="Q456" s="112"/>
      <c r="R456" s="112"/>
      <c r="S456" s="112"/>
      <c r="T456" s="112"/>
      <c r="U456" s="112"/>
      <c r="V456" s="112"/>
      <c r="W456" s="112"/>
      <c r="X456" s="112"/>
      <c r="Y456" s="112"/>
      <c r="Z456" s="112"/>
      <c r="AA456" s="112"/>
      <c r="AB456" s="112"/>
    </row>
    <row r="457" ht="15.75" customHeight="1">
      <c r="A457" s="112"/>
      <c r="B457" s="112"/>
      <c r="C457" s="112"/>
      <c r="D457" s="125"/>
      <c r="E457" s="112"/>
      <c r="F457" s="128"/>
      <c r="G457" s="128"/>
      <c r="H457" s="128"/>
      <c r="I457" s="128"/>
      <c r="J457" s="112"/>
      <c r="K457" s="112"/>
      <c r="L457" s="153"/>
      <c r="M457" s="112"/>
      <c r="N457" s="112"/>
      <c r="O457" s="112"/>
      <c r="P457" s="112"/>
      <c r="Q457" s="112"/>
      <c r="R457" s="112"/>
      <c r="S457" s="112"/>
      <c r="T457" s="112"/>
      <c r="U457" s="112"/>
      <c r="V457" s="112"/>
      <c r="W457" s="112"/>
      <c r="X457" s="112"/>
      <c r="Y457" s="112"/>
      <c r="Z457" s="112"/>
      <c r="AA457" s="112"/>
      <c r="AB457" s="112"/>
    </row>
    <row r="458" ht="15.75" customHeight="1">
      <c r="A458" s="112"/>
      <c r="B458" s="112"/>
      <c r="C458" s="112"/>
      <c r="D458" s="125"/>
      <c r="E458" s="112"/>
      <c r="F458" s="128"/>
      <c r="G458" s="128"/>
      <c r="H458" s="128"/>
      <c r="I458" s="128"/>
      <c r="J458" s="112"/>
      <c r="K458" s="112"/>
      <c r="L458" s="153"/>
      <c r="M458" s="112"/>
      <c r="N458" s="112"/>
      <c r="O458" s="112"/>
      <c r="P458" s="112"/>
      <c r="Q458" s="112"/>
      <c r="R458" s="112"/>
      <c r="S458" s="112"/>
      <c r="T458" s="112"/>
      <c r="U458" s="112"/>
      <c r="V458" s="112"/>
      <c r="W458" s="112"/>
      <c r="X458" s="112"/>
      <c r="Y458" s="112"/>
      <c r="Z458" s="112"/>
      <c r="AA458" s="112"/>
      <c r="AB458" s="112"/>
    </row>
    <row r="459" ht="15.75" customHeight="1">
      <c r="A459" s="112"/>
      <c r="B459" s="112"/>
      <c r="C459" s="112"/>
      <c r="D459" s="125"/>
      <c r="E459" s="112"/>
      <c r="F459" s="128"/>
      <c r="G459" s="128"/>
      <c r="H459" s="128"/>
      <c r="I459" s="128"/>
      <c r="J459" s="112"/>
      <c r="K459" s="112"/>
      <c r="L459" s="153"/>
      <c r="M459" s="112"/>
      <c r="N459" s="112"/>
      <c r="O459" s="112"/>
      <c r="P459" s="112"/>
      <c r="Q459" s="112"/>
      <c r="R459" s="112"/>
      <c r="S459" s="112"/>
      <c r="T459" s="112"/>
      <c r="U459" s="112"/>
      <c r="V459" s="112"/>
      <c r="W459" s="112"/>
      <c r="X459" s="112"/>
      <c r="Y459" s="112"/>
      <c r="Z459" s="112"/>
      <c r="AA459" s="112"/>
      <c r="AB459" s="112"/>
    </row>
    <row r="460" ht="15.75" customHeight="1">
      <c r="A460" s="112"/>
      <c r="B460" s="112"/>
      <c r="C460" s="112"/>
      <c r="D460" s="125"/>
      <c r="E460" s="112"/>
      <c r="F460" s="128"/>
      <c r="G460" s="128"/>
      <c r="H460" s="128"/>
      <c r="I460" s="128"/>
      <c r="J460" s="112"/>
      <c r="K460" s="112"/>
      <c r="L460" s="153"/>
      <c r="M460" s="112"/>
      <c r="N460" s="112"/>
      <c r="O460" s="112"/>
      <c r="P460" s="112"/>
      <c r="Q460" s="112"/>
      <c r="R460" s="112"/>
      <c r="S460" s="112"/>
      <c r="T460" s="112"/>
      <c r="U460" s="112"/>
      <c r="V460" s="112"/>
      <c r="W460" s="112"/>
      <c r="X460" s="112"/>
      <c r="Y460" s="112"/>
      <c r="Z460" s="112"/>
      <c r="AA460" s="112"/>
      <c r="AB460" s="112"/>
    </row>
    <row r="461" ht="15.75" customHeight="1">
      <c r="A461" s="112"/>
      <c r="B461" s="112"/>
      <c r="C461" s="112"/>
      <c r="D461" s="125"/>
      <c r="E461" s="112"/>
      <c r="F461" s="128"/>
      <c r="G461" s="128"/>
      <c r="H461" s="128"/>
      <c r="I461" s="128"/>
      <c r="J461" s="112"/>
      <c r="K461" s="112"/>
      <c r="L461" s="153"/>
      <c r="M461" s="112"/>
      <c r="N461" s="112"/>
      <c r="O461" s="112"/>
      <c r="P461" s="112"/>
      <c r="Q461" s="112"/>
      <c r="R461" s="112"/>
      <c r="S461" s="112"/>
      <c r="T461" s="112"/>
      <c r="U461" s="112"/>
      <c r="V461" s="112"/>
      <c r="W461" s="112"/>
      <c r="X461" s="112"/>
      <c r="Y461" s="112"/>
      <c r="Z461" s="112"/>
      <c r="AA461" s="112"/>
      <c r="AB461" s="112"/>
    </row>
    <row r="462" ht="15.75" customHeight="1">
      <c r="A462" s="112"/>
      <c r="B462" s="112"/>
      <c r="C462" s="112"/>
      <c r="D462" s="125"/>
      <c r="E462" s="112"/>
      <c r="F462" s="128"/>
      <c r="G462" s="128"/>
      <c r="H462" s="128"/>
      <c r="I462" s="128"/>
      <c r="J462" s="112"/>
      <c r="K462" s="112"/>
      <c r="L462" s="153"/>
      <c r="M462" s="112"/>
      <c r="N462" s="112"/>
      <c r="O462" s="112"/>
      <c r="P462" s="112"/>
      <c r="Q462" s="112"/>
      <c r="R462" s="112"/>
      <c r="S462" s="112"/>
      <c r="T462" s="112"/>
      <c r="U462" s="112"/>
      <c r="V462" s="112"/>
      <c r="W462" s="112"/>
      <c r="X462" s="112"/>
      <c r="Y462" s="112"/>
      <c r="Z462" s="112"/>
      <c r="AA462" s="112"/>
      <c r="AB462" s="112"/>
    </row>
    <row r="463" ht="15.75" customHeight="1">
      <c r="A463" s="112"/>
      <c r="B463" s="112"/>
      <c r="C463" s="112"/>
      <c r="D463" s="125"/>
      <c r="E463" s="112"/>
      <c r="F463" s="128"/>
      <c r="G463" s="128"/>
      <c r="H463" s="128"/>
      <c r="I463" s="128"/>
      <c r="J463" s="112"/>
      <c r="K463" s="112"/>
      <c r="L463" s="153"/>
      <c r="M463" s="112"/>
      <c r="N463" s="112"/>
      <c r="O463" s="112"/>
      <c r="P463" s="112"/>
      <c r="Q463" s="112"/>
      <c r="R463" s="112"/>
      <c r="S463" s="112"/>
      <c r="T463" s="112"/>
      <c r="U463" s="112"/>
      <c r="V463" s="112"/>
      <c r="W463" s="112"/>
      <c r="X463" s="112"/>
      <c r="Y463" s="112"/>
      <c r="Z463" s="112"/>
      <c r="AA463" s="112"/>
      <c r="AB463" s="112"/>
    </row>
    <row r="464" ht="15.75" customHeight="1">
      <c r="A464" s="112"/>
      <c r="B464" s="112"/>
      <c r="C464" s="112"/>
      <c r="D464" s="125"/>
      <c r="E464" s="112"/>
      <c r="F464" s="128"/>
      <c r="G464" s="128"/>
      <c r="H464" s="128"/>
      <c r="I464" s="128"/>
      <c r="J464" s="112"/>
      <c r="K464" s="112"/>
      <c r="L464" s="153"/>
      <c r="M464" s="112"/>
      <c r="N464" s="112"/>
      <c r="O464" s="112"/>
      <c r="P464" s="112"/>
      <c r="Q464" s="112"/>
      <c r="R464" s="112"/>
      <c r="S464" s="112"/>
      <c r="T464" s="112"/>
      <c r="U464" s="112"/>
      <c r="V464" s="112"/>
      <c r="W464" s="112"/>
      <c r="X464" s="112"/>
      <c r="Y464" s="112"/>
      <c r="Z464" s="112"/>
      <c r="AA464" s="112"/>
      <c r="AB464" s="112"/>
    </row>
    <row r="465" ht="15.75" customHeight="1">
      <c r="A465" s="112"/>
      <c r="B465" s="112"/>
      <c r="C465" s="112"/>
      <c r="D465" s="125"/>
      <c r="E465" s="112"/>
      <c r="F465" s="128"/>
      <c r="G465" s="128"/>
      <c r="H465" s="128"/>
      <c r="I465" s="128"/>
      <c r="J465" s="112"/>
      <c r="K465" s="112"/>
      <c r="L465" s="153"/>
      <c r="M465" s="112"/>
      <c r="N465" s="112"/>
      <c r="O465" s="112"/>
      <c r="P465" s="112"/>
      <c r="Q465" s="112"/>
      <c r="R465" s="112"/>
      <c r="S465" s="112"/>
      <c r="T465" s="112"/>
      <c r="U465" s="112"/>
      <c r="V465" s="112"/>
      <c r="W465" s="112"/>
      <c r="X465" s="112"/>
      <c r="Y465" s="112"/>
      <c r="Z465" s="112"/>
      <c r="AA465" s="112"/>
      <c r="AB465" s="112"/>
    </row>
    <row r="466" ht="15.75" customHeight="1">
      <c r="A466" s="112"/>
      <c r="B466" s="112"/>
      <c r="C466" s="112"/>
      <c r="D466" s="125"/>
      <c r="E466" s="112"/>
      <c r="F466" s="128"/>
      <c r="G466" s="128"/>
      <c r="H466" s="128"/>
      <c r="I466" s="128"/>
      <c r="J466" s="112"/>
      <c r="K466" s="112"/>
      <c r="L466" s="153"/>
      <c r="M466" s="112"/>
      <c r="N466" s="112"/>
      <c r="O466" s="112"/>
      <c r="P466" s="112"/>
      <c r="Q466" s="112"/>
      <c r="R466" s="112"/>
      <c r="S466" s="112"/>
      <c r="T466" s="112"/>
      <c r="U466" s="112"/>
      <c r="V466" s="112"/>
      <c r="W466" s="112"/>
      <c r="X466" s="112"/>
      <c r="Y466" s="112"/>
      <c r="Z466" s="112"/>
      <c r="AA466" s="112"/>
      <c r="AB466" s="112"/>
    </row>
    <row r="467" ht="15.75" customHeight="1">
      <c r="A467" s="112"/>
      <c r="B467" s="112"/>
      <c r="C467" s="112"/>
      <c r="D467" s="125"/>
      <c r="E467" s="112"/>
      <c r="F467" s="128"/>
      <c r="G467" s="128"/>
      <c r="H467" s="128"/>
      <c r="I467" s="128"/>
      <c r="J467" s="112"/>
      <c r="K467" s="112"/>
      <c r="L467" s="153"/>
      <c r="M467" s="112"/>
      <c r="N467" s="112"/>
      <c r="O467" s="112"/>
      <c r="P467" s="112"/>
      <c r="Q467" s="112"/>
      <c r="R467" s="112"/>
      <c r="S467" s="112"/>
      <c r="T467" s="112"/>
      <c r="U467" s="112"/>
      <c r="V467" s="112"/>
      <c r="W467" s="112"/>
      <c r="X467" s="112"/>
      <c r="Y467" s="112"/>
      <c r="Z467" s="112"/>
      <c r="AA467" s="112"/>
      <c r="AB467" s="112"/>
    </row>
    <row r="468" ht="15.75" customHeight="1">
      <c r="A468" s="112"/>
      <c r="B468" s="112"/>
      <c r="C468" s="112"/>
      <c r="D468" s="125"/>
      <c r="E468" s="112"/>
      <c r="F468" s="128"/>
      <c r="G468" s="128"/>
      <c r="H468" s="128"/>
      <c r="I468" s="159"/>
      <c r="J468" s="112"/>
      <c r="K468" s="112"/>
      <c r="L468" s="153"/>
      <c r="M468" s="112"/>
      <c r="N468" s="112"/>
      <c r="O468" s="112"/>
      <c r="P468" s="112"/>
      <c r="Q468" s="112"/>
      <c r="R468" s="112"/>
      <c r="S468" s="112"/>
      <c r="T468" s="112"/>
      <c r="U468" s="112"/>
      <c r="V468" s="112"/>
      <c r="W468" s="112"/>
      <c r="X468" s="112"/>
      <c r="Y468" s="112"/>
      <c r="Z468" s="112"/>
      <c r="AA468" s="112"/>
      <c r="AB468" s="112"/>
    </row>
    <row r="469" ht="15.75" customHeight="1">
      <c r="A469" s="112"/>
      <c r="B469" s="112"/>
      <c r="C469" s="112"/>
      <c r="D469" s="125"/>
      <c r="E469" s="112"/>
      <c r="F469" s="128"/>
      <c r="G469" s="128"/>
      <c r="H469" s="128"/>
      <c r="I469" s="128"/>
      <c r="J469" s="112"/>
      <c r="K469" s="112"/>
      <c r="L469" s="153"/>
      <c r="M469" s="112"/>
      <c r="N469" s="112"/>
      <c r="O469" s="112"/>
      <c r="P469" s="112"/>
      <c r="Q469" s="112"/>
      <c r="R469" s="112"/>
      <c r="S469" s="112"/>
      <c r="T469" s="112"/>
      <c r="U469" s="112"/>
      <c r="V469" s="112"/>
      <c r="W469" s="112"/>
      <c r="X469" s="112"/>
      <c r="Y469" s="112"/>
      <c r="Z469" s="112"/>
      <c r="AA469" s="112"/>
      <c r="AB469" s="112"/>
    </row>
    <row r="470" ht="15.75" customHeight="1">
      <c r="A470" s="112"/>
      <c r="B470" s="112"/>
      <c r="C470" s="112"/>
      <c r="D470" s="125"/>
      <c r="E470" s="112"/>
      <c r="F470" s="128"/>
      <c r="G470" s="128"/>
      <c r="H470" s="128"/>
      <c r="I470" s="128"/>
      <c r="J470" s="112"/>
      <c r="K470" s="112"/>
      <c r="L470" s="153"/>
      <c r="M470" s="112"/>
      <c r="N470" s="112"/>
      <c r="O470" s="112"/>
      <c r="P470" s="112"/>
      <c r="Q470" s="112"/>
      <c r="R470" s="112"/>
      <c r="S470" s="112"/>
      <c r="T470" s="112"/>
      <c r="U470" s="112"/>
      <c r="V470" s="112"/>
      <c r="W470" s="112"/>
      <c r="X470" s="112"/>
      <c r="Y470" s="112"/>
      <c r="Z470" s="112"/>
      <c r="AA470" s="112"/>
      <c r="AB470" s="112"/>
    </row>
    <row r="471" ht="15.75" customHeight="1">
      <c r="A471" s="112"/>
      <c r="B471" s="112"/>
      <c r="C471" s="112"/>
      <c r="D471" s="125"/>
      <c r="E471" s="112"/>
      <c r="F471" s="128"/>
      <c r="G471" s="128"/>
      <c r="H471" s="128"/>
      <c r="I471" s="128"/>
      <c r="J471" s="112"/>
      <c r="K471" s="112"/>
      <c r="L471" s="153"/>
      <c r="M471" s="112"/>
      <c r="N471" s="112"/>
      <c r="O471" s="112"/>
      <c r="P471" s="112"/>
      <c r="Q471" s="112"/>
      <c r="R471" s="112"/>
      <c r="S471" s="112"/>
      <c r="T471" s="112"/>
      <c r="U471" s="112"/>
      <c r="V471" s="112"/>
      <c r="W471" s="112"/>
      <c r="X471" s="112"/>
      <c r="Y471" s="112"/>
      <c r="Z471" s="112"/>
      <c r="AA471" s="112"/>
      <c r="AB471" s="112"/>
    </row>
    <row r="472" ht="15.75" customHeight="1">
      <c r="A472" s="112"/>
      <c r="B472" s="112"/>
      <c r="C472" s="112"/>
      <c r="D472" s="125"/>
      <c r="E472" s="112"/>
      <c r="F472" s="128"/>
      <c r="G472" s="128"/>
      <c r="H472" s="128"/>
      <c r="I472" s="128"/>
      <c r="J472" s="112"/>
      <c r="K472" s="112"/>
      <c r="L472" s="153"/>
      <c r="M472" s="112"/>
      <c r="N472" s="112"/>
      <c r="O472" s="112"/>
      <c r="P472" s="112"/>
      <c r="Q472" s="112"/>
      <c r="R472" s="112"/>
      <c r="S472" s="112"/>
      <c r="T472" s="112"/>
      <c r="U472" s="112"/>
      <c r="V472" s="112"/>
      <c r="W472" s="112"/>
      <c r="X472" s="112"/>
      <c r="Y472" s="112"/>
      <c r="Z472" s="112"/>
      <c r="AA472" s="112"/>
      <c r="AB472" s="112"/>
    </row>
    <row r="473" ht="15.75" customHeight="1">
      <c r="A473" s="112"/>
      <c r="B473" s="112"/>
      <c r="C473" s="112"/>
      <c r="D473" s="125"/>
      <c r="E473" s="112"/>
      <c r="F473" s="128"/>
      <c r="G473" s="128"/>
      <c r="H473" s="128"/>
      <c r="I473" s="128"/>
      <c r="J473" s="112"/>
      <c r="K473" s="112"/>
      <c r="L473" s="153"/>
      <c r="M473" s="112"/>
      <c r="N473" s="112"/>
      <c r="O473" s="112"/>
      <c r="P473" s="112"/>
      <c r="Q473" s="112"/>
      <c r="R473" s="112"/>
      <c r="S473" s="112"/>
      <c r="T473" s="112"/>
      <c r="U473" s="112"/>
      <c r="V473" s="112"/>
      <c r="W473" s="112"/>
      <c r="X473" s="112"/>
      <c r="Y473" s="112"/>
      <c r="Z473" s="112"/>
      <c r="AA473" s="112"/>
      <c r="AB473" s="112"/>
    </row>
    <row r="474" ht="15.75" customHeight="1">
      <c r="A474" s="112"/>
      <c r="B474" s="112"/>
      <c r="C474" s="112"/>
      <c r="D474" s="125"/>
      <c r="E474" s="112"/>
      <c r="F474" s="128"/>
      <c r="G474" s="128"/>
      <c r="H474" s="128"/>
      <c r="I474" s="128"/>
      <c r="J474" s="112"/>
      <c r="K474" s="112"/>
      <c r="L474" s="153"/>
      <c r="M474" s="112"/>
      <c r="N474" s="112"/>
      <c r="O474" s="112"/>
      <c r="P474" s="112"/>
      <c r="Q474" s="112"/>
      <c r="R474" s="112"/>
      <c r="S474" s="112"/>
      <c r="T474" s="112"/>
      <c r="U474" s="112"/>
      <c r="V474" s="112"/>
      <c r="W474" s="112"/>
      <c r="X474" s="112"/>
      <c r="Y474" s="112"/>
      <c r="Z474" s="112"/>
      <c r="AA474" s="112"/>
      <c r="AB474" s="112"/>
    </row>
    <row r="475" ht="15.75" customHeight="1">
      <c r="A475" s="112"/>
      <c r="B475" s="112"/>
      <c r="C475" s="112"/>
      <c r="D475" s="125"/>
      <c r="E475" s="112"/>
      <c r="F475" s="128"/>
      <c r="G475" s="128"/>
      <c r="H475" s="128"/>
      <c r="I475" s="128"/>
      <c r="J475" s="112"/>
      <c r="K475" s="112"/>
      <c r="L475" s="153"/>
      <c r="M475" s="112"/>
      <c r="N475" s="112"/>
      <c r="O475" s="112"/>
      <c r="P475" s="112"/>
      <c r="Q475" s="112"/>
      <c r="R475" s="112"/>
      <c r="S475" s="112"/>
      <c r="T475" s="112"/>
      <c r="U475" s="112"/>
      <c r="V475" s="112"/>
      <c r="W475" s="112"/>
      <c r="X475" s="112"/>
      <c r="Y475" s="112"/>
      <c r="Z475" s="112"/>
      <c r="AA475" s="112"/>
      <c r="AB475" s="112"/>
    </row>
    <row r="476" ht="15.75" customHeight="1">
      <c r="A476" s="112"/>
      <c r="B476" s="112"/>
      <c r="C476" s="112"/>
      <c r="D476" s="125"/>
      <c r="E476" s="112"/>
      <c r="F476" s="128"/>
      <c r="G476" s="128"/>
      <c r="H476" s="128"/>
      <c r="I476" s="128"/>
      <c r="J476" s="112"/>
      <c r="K476" s="112"/>
      <c r="L476" s="153"/>
      <c r="M476" s="112"/>
      <c r="N476" s="112"/>
      <c r="O476" s="112"/>
      <c r="P476" s="112"/>
      <c r="Q476" s="112"/>
      <c r="R476" s="112"/>
      <c r="S476" s="112"/>
      <c r="T476" s="112"/>
      <c r="U476" s="112"/>
      <c r="V476" s="112"/>
      <c r="W476" s="112"/>
      <c r="X476" s="112"/>
      <c r="Y476" s="112"/>
      <c r="Z476" s="112"/>
      <c r="AA476" s="112"/>
      <c r="AB476" s="112"/>
    </row>
    <row r="477" ht="15.75" customHeight="1">
      <c r="A477" s="112"/>
      <c r="B477" s="112"/>
      <c r="C477" s="112"/>
      <c r="D477" s="125"/>
      <c r="E477" s="112"/>
      <c r="F477" s="128"/>
      <c r="G477" s="128"/>
      <c r="H477" s="128"/>
      <c r="I477" s="128"/>
      <c r="J477" s="112"/>
      <c r="K477" s="112"/>
      <c r="L477" s="153"/>
      <c r="M477" s="112"/>
      <c r="N477" s="112"/>
      <c r="O477" s="112"/>
      <c r="P477" s="112"/>
      <c r="Q477" s="112"/>
      <c r="R477" s="112"/>
      <c r="S477" s="112"/>
      <c r="T477" s="112"/>
      <c r="U477" s="112"/>
      <c r="V477" s="112"/>
      <c r="W477" s="112"/>
      <c r="X477" s="112"/>
      <c r="Y477" s="112"/>
      <c r="Z477" s="112"/>
      <c r="AA477" s="112"/>
      <c r="AB477" s="112"/>
    </row>
    <row r="478" ht="15.75" customHeight="1">
      <c r="A478" s="112"/>
      <c r="B478" s="112"/>
      <c r="C478" s="112"/>
      <c r="D478" s="125"/>
      <c r="E478" s="112"/>
      <c r="F478" s="128"/>
      <c r="G478" s="128"/>
      <c r="H478" s="128"/>
      <c r="I478" s="128"/>
      <c r="J478" s="112"/>
      <c r="K478" s="112"/>
      <c r="L478" s="153"/>
      <c r="M478" s="112"/>
      <c r="N478" s="112"/>
      <c r="O478" s="112"/>
      <c r="P478" s="112"/>
      <c r="Q478" s="112"/>
      <c r="R478" s="112"/>
      <c r="S478" s="112"/>
      <c r="T478" s="112"/>
      <c r="U478" s="112"/>
      <c r="V478" s="112"/>
      <c r="W478" s="112"/>
      <c r="X478" s="112"/>
      <c r="Y478" s="112"/>
      <c r="Z478" s="112"/>
      <c r="AA478" s="112"/>
      <c r="AB478" s="112"/>
    </row>
    <row r="479" ht="15.75" customHeight="1">
      <c r="A479" s="112"/>
      <c r="B479" s="112"/>
      <c r="C479" s="112"/>
      <c r="D479" s="125"/>
      <c r="E479" s="112"/>
      <c r="F479" s="128"/>
      <c r="G479" s="128"/>
      <c r="H479" s="128"/>
      <c r="I479" s="128"/>
      <c r="J479" s="112"/>
      <c r="K479" s="112"/>
      <c r="L479" s="153"/>
      <c r="M479" s="112"/>
      <c r="N479" s="112"/>
      <c r="O479" s="112"/>
      <c r="P479" s="112"/>
      <c r="Q479" s="112"/>
      <c r="R479" s="112"/>
      <c r="S479" s="112"/>
      <c r="T479" s="112"/>
      <c r="U479" s="112"/>
      <c r="V479" s="112"/>
      <c r="W479" s="112"/>
      <c r="X479" s="112"/>
      <c r="Y479" s="112"/>
      <c r="Z479" s="112"/>
      <c r="AA479" s="112"/>
      <c r="AB479" s="112"/>
    </row>
    <row r="480" ht="15.75" customHeight="1">
      <c r="A480" s="112"/>
      <c r="B480" s="112"/>
      <c r="C480" s="112"/>
      <c r="D480" s="125"/>
      <c r="E480" s="112"/>
      <c r="F480" s="128"/>
      <c r="G480" s="128"/>
      <c r="H480" s="128"/>
      <c r="I480" s="128"/>
      <c r="J480" s="112"/>
      <c r="K480" s="112"/>
      <c r="L480" s="153"/>
      <c r="M480" s="112"/>
      <c r="N480" s="112"/>
      <c r="O480" s="112"/>
      <c r="P480" s="112"/>
      <c r="Q480" s="112"/>
      <c r="R480" s="112"/>
      <c r="S480" s="112"/>
      <c r="T480" s="112"/>
      <c r="U480" s="112"/>
      <c r="V480" s="112"/>
      <c r="W480" s="112"/>
      <c r="X480" s="112"/>
      <c r="Y480" s="112"/>
      <c r="Z480" s="112"/>
      <c r="AA480" s="112"/>
      <c r="AB480" s="112"/>
    </row>
    <row r="481" ht="15.75" customHeight="1">
      <c r="A481" s="112"/>
      <c r="B481" s="112"/>
      <c r="C481" s="112"/>
      <c r="D481" s="125"/>
      <c r="E481" s="112"/>
      <c r="F481" s="128"/>
      <c r="G481" s="128"/>
      <c r="H481" s="128"/>
      <c r="I481" s="128"/>
      <c r="J481" s="112"/>
      <c r="K481" s="112"/>
      <c r="L481" s="153"/>
      <c r="M481" s="112"/>
      <c r="N481" s="112"/>
      <c r="O481" s="112"/>
      <c r="P481" s="112"/>
      <c r="Q481" s="112"/>
      <c r="R481" s="112"/>
      <c r="S481" s="112"/>
      <c r="T481" s="112"/>
      <c r="U481" s="112"/>
      <c r="V481" s="112"/>
      <c r="W481" s="112"/>
      <c r="X481" s="112"/>
      <c r="Y481" s="112"/>
      <c r="Z481" s="112"/>
      <c r="AA481" s="112"/>
      <c r="AB481" s="112"/>
    </row>
    <row r="482" ht="15.75" customHeight="1">
      <c r="A482" s="112"/>
      <c r="B482" s="112"/>
      <c r="C482" s="112"/>
      <c r="D482" s="125"/>
      <c r="E482" s="112"/>
      <c r="F482" s="128"/>
      <c r="G482" s="128"/>
      <c r="H482" s="128"/>
      <c r="I482" s="128"/>
      <c r="J482" s="112"/>
      <c r="K482" s="112"/>
      <c r="L482" s="153"/>
      <c r="M482" s="112"/>
      <c r="N482" s="112"/>
      <c r="O482" s="112"/>
      <c r="P482" s="112"/>
      <c r="Q482" s="112"/>
      <c r="R482" s="112"/>
      <c r="S482" s="112"/>
      <c r="T482" s="112"/>
      <c r="U482" s="112"/>
      <c r="V482" s="112"/>
      <c r="W482" s="112"/>
      <c r="X482" s="112"/>
      <c r="Y482" s="112"/>
      <c r="Z482" s="112"/>
      <c r="AA482" s="112"/>
      <c r="AB482" s="112"/>
    </row>
    <row r="483" ht="15.75" customHeight="1">
      <c r="A483" s="112"/>
      <c r="B483" s="112"/>
      <c r="C483" s="112"/>
      <c r="D483" s="125"/>
      <c r="E483" s="112"/>
      <c r="F483" s="128"/>
      <c r="G483" s="128"/>
      <c r="H483" s="128"/>
      <c r="I483" s="128"/>
      <c r="J483" s="112"/>
      <c r="K483" s="112"/>
      <c r="L483" s="153"/>
      <c r="M483" s="112"/>
      <c r="N483" s="112"/>
      <c r="O483" s="112"/>
      <c r="P483" s="112"/>
      <c r="Q483" s="112"/>
      <c r="R483" s="112"/>
      <c r="S483" s="112"/>
      <c r="T483" s="112"/>
      <c r="U483" s="112"/>
      <c r="V483" s="112"/>
      <c r="W483" s="112"/>
      <c r="X483" s="112"/>
      <c r="Y483" s="112"/>
      <c r="Z483" s="112"/>
      <c r="AA483" s="112"/>
      <c r="AB483" s="112"/>
    </row>
    <row r="484" ht="15.75" customHeight="1">
      <c r="A484" s="112"/>
      <c r="B484" s="112"/>
      <c r="C484" s="112"/>
      <c r="D484" s="125"/>
      <c r="E484" s="112"/>
      <c r="F484" s="128"/>
      <c r="G484" s="128"/>
      <c r="H484" s="128"/>
      <c r="I484" s="128"/>
      <c r="J484" s="112"/>
      <c r="K484" s="112"/>
      <c r="L484" s="153"/>
      <c r="M484" s="112"/>
      <c r="N484" s="112"/>
      <c r="O484" s="112"/>
      <c r="P484" s="112"/>
      <c r="Q484" s="112"/>
      <c r="R484" s="112"/>
      <c r="S484" s="112"/>
      <c r="T484" s="112"/>
      <c r="U484" s="112"/>
      <c r="V484" s="112"/>
      <c r="W484" s="112"/>
      <c r="X484" s="112"/>
      <c r="Y484" s="112"/>
      <c r="Z484" s="112"/>
      <c r="AA484" s="112"/>
      <c r="AB484" s="112"/>
    </row>
    <row r="485" ht="15.75" customHeight="1">
      <c r="A485" s="112"/>
      <c r="B485" s="112"/>
      <c r="C485" s="112"/>
      <c r="D485" s="125"/>
      <c r="E485" s="112"/>
      <c r="F485" s="128"/>
      <c r="G485" s="128"/>
      <c r="H485" s="128"/>
      <c r="I485" s="128"/>
      <c r="J485" s="112"/>
      <c r="K485" s="112"/>
      <c r="L485" s="153"/>
      <c r="M485" s="112"/>
      <c r="N485" s="112"/>
      <c r="O485" s="112"/>
      <c r="P485" s="112"/>
      <c r="Q485" s="112"/>
      <c r="R485" s="112"/>
      <c r="S485" s="112"/>
      <c r="T485" s="112"/>
      <c r="U485" s="112"/>
      <c r="V485" s="112"/>
      <c r="W485" s="112"/>
      <c r="X485" s="112"/>
      <c r="Y485" s="112"/>
      <c r="Z485" s="112"/>
      <c r="AA485" s="112"/>
      <c r="AB485" s="112"/>
    </row>
    <row r="486" ht="15.75" customHeight="1">
      <c r="A486" s="112"/>
      <c r="B486" s="112"/>
      <c r="C486" s="112"/>
      <c r="D486" s="125"/>
      <c r="E486" s="112"/>
      <c r="F486" s="128"/>
      <c r="G486" s="128"/>
      <c r="H486" s="128"/>
      <c r="I486" s="128"/>
      <c r="J486" s="112"/>
      <c r="K486" s="112"/>
      <c r="L486" s="153"/>
      <c r="M486" s="112"/>
      <c r="N486" s="112"/>
      <c r="O486" s="112"/>
      <c r="P486" s="112"/>
      <c r="Q486" s="112"/>
      <c r="R486" s="112"/>
      <c r="S486" s="112"/>
      <c r="T486" s="112"/>
      <c r="U486" s="112"/>
      <c r="V486" s="112"/>
      <c r="W486" s="112"/>
      <c r="X486" s="112"/>
      <c r="Y486" s="112"/>
      <c r="Z486" s="112"/>
      <c r="AA486" s="112"/>
      <c r="AB486" s="112"/>
    </row>
    <row r="487" ht="15.75" customHeight="1">
      <c r="A487" s="112"/>
      <c r="B487" s="112"/>
      <c r="C487" s="112"/>
      <c r="D487" s="125"/>
      <c r="E487" s="112"/>
      <c r="F487" s="128"/>
      <c r="G487" s="128"/>
      <c r="H487" s="128"/>
      <c r="I487" s="128"/>
      <c r="J487" s="112"/>
      <c r="K487" s="112"/>
      <c r="L487" s="153"/>
      <c r="M487" s="112"/>
      <c r="N487" s="112"/>
      <c r="O487" s="112"/>
      <c r="P487" s="112"/>
      <c r="Q487" s="112"/>
      <c r="R487" s="112"/>
      <c r="S487" s="112"/>
      <c r="T487" s="112"/>
      <c r="U487" s="112"/>
      <c r="V487" s="112"/>
      <c r="W487" s="112"/>
      <c r="X487" s="112"/>
      <c r="Y487" s="112"/>
      <c r="Z487" s="112"/>
      <c r="AA487" s="112"/>
      <c r="AB487" s="112"/>
    </row>
    <row r="488" ht="15.75" customHeight="1">
      <c r="A488" s="112"/>
      <c r="B488" s="112"/>
      <c r="C488" s="112"/>
      <c r="D488" s="125"/>
      <c r="E488" s="112"/>
      <c r="F488" s="128"/>
      <c r="G488" s="128"/>
      <c r="H488" s="128"/>
      <c r="I488" s="128"/>
      <c r="J488" s="112"/>
      <c r="K488" s="112"/>
      <c r="L488" s="153"/>
      <c r="M488" s="112"/>
      <c r="N488" s="112"/>
      <c r="O488" s="112"/>
      <c r="P488" s="112"/>
      <c r="Q488" s="112"/>
      <c r="R488" s="112"/>
      <c r="S488" s="112"/>
      <c r="T488" s="112"/>
      <c r="U488" s="112"/>
      <c r="V488" s="112"/>
      <c r="W488" s="112"/>
      <c r="X488" s="112"/>
      <c r="Y488" s="112"/>
      <c r="Z488" s="112"/>
      <c r="AA488" s="112"/>
      <c r="AB488" s="112"/>
    </row>
    <row r="489" ht="15.75" customHeight="1">
      <c r="A489" s="112"/>
      <c r="B489" s="112"/>
      <c r="C489" s="112"/>
      <c r="D489" s="125"/>
      <c r="E489" s="112"/>
      <c r="F489" s="128"/>
      <c r="G489" s="128"/>
      <c r="H489" s="128"/>
      <c r="I489" s="128"/>
      <c r="J489" s="112"/>
      <c r="K489" s="112"/>
      <c r="L489" s="153"/>
      <c r="M489" s="112"/>
      <c r="N489" s="112"/>
      <c r="O489" s="112"/>
      <c r="P489" s="112"/>
      <c r="Q489" s="112"/>
      <c r="R489" s="112"/>
      <c r="S489" s="112"/>
      <c r="T489" s="112"/>
      <c r="U489" s="112"/>
      <c r="V489" s="112"/>
      <c r="W489" s="112"/>
      <c r="X489" s="112"/>
      <c r="Y489" s="112"/>
      <c r="Z489" s="112"/>
      <c r="AA489" s="112"/>
      <c r="AB489" s="112"/>
    </row>
    <row r="490" ht="15.75" customHeight="1">
      <c r="A490" s="112"/>
      <c r="B490" s="112"/>
      <c r="C490" s="112"/>
      <c r="D490" s="125"/>
      <c r="E490" s="112"/>
      <c r="F490" s="128"/>
      <c r="G490" s="128"/>
      <c r="H490" s="128"/>
      <c r="I490" s="128"/>
      <c r="J490" s="112"/>
      <c r="K490" s="112"/>
      <c r="L490" s="153"/>
      <c r="M490" s="112"/>
      <c r="N490" s="112"/>
      <c r="O490" s="112"/>
      <c r="P490" s="112"/>
      <c r="Q490" s="112"/>
      <c r="R490" s="112"/>
      <c r="S490" s="112"/>
      <c r="T490" s="112"/>
      <c r="U490" s="112"/>
      <c r="V490" s="112"/>
      <c r="W490" s="112"/>
      <c r="X490" s="112"/>
      <c r="Y490" s="112"/>
      <c r="Z490" s="112"/>
      <c r="AA490" s="112"/>
      <c r="AB490" s="112"/>
    </row>
    <row r="491" ht="15.75" customHeight="1">
      <c r="A491" s="112"/>
      <c r="B491" s="112"/>
      <c r="C491" s="112"/>
      <c r="D491" s="125"/>
      <c r="E491" s="112"/>
      <c r="F491" s="128"/>
      <c r="G491" s="128"/>
      <c r="H491" s="128"/>
      <c r="I491" s="128"/>
      <c r="J491" s="112"/>
      <c r="K491" s="112"/>
      <c r="L491" s="153"/>
      <c r="M491" s="112"/>
      <c r="N491" s="112"/>
      <c r="O491" s="112"/>
      <c r="P491" s="112"/>
      <c r="Q491" s="112"/>
      <c r="R491" s="112"/>
      <c r="S491" s="112"/>
      <c r="T491" s="112"/>
      <c r="U491" s="112"/>
      <c r="V491" s="112"/>
      <c r="W491" s="112"/>
      <c r="X491" s="112"/>
      <c r="Y491" s="112"/>
      <c r="Z491" s="112"/>
      <c r="AA491" s="112"/>
      <c r="AB491" s="112"/>
    </row>
    <row r="492" ht="15.75" customHeight="1">
      <c r="A492" s="112"/>
      <c r="B492" s="112"/>
      <c r="C492" s="112"/>
      <c r="D492" s="125"/>
      <c r="E492" s="112"/>
      <c r="F492" s="128"/>
      <c r="G492" s="128"/>
      <c r="H492" s="128"/>
      <c r="I492" s="128"/>
      <c r="J492" s="112"/>
      <c r="K492" s="112"/>
      <c r="L492" s="153"/>
      <c r="M492" s="112"/>
      <c r="N492" s="112"/>
      <c r="O492" s="112"/>
      <c r="P492" s="112"/>
      <c r="Q492" s="112"/>
      <c r="R492" s="112"/>
      <c r="S492" s="112"/>
      <c r="T492" s="112"/>
      <c r="U492" s="112"/>
      <c r="V492" s="112"/>
      <c r="W492" s="112"/>
      <c r="X492" s="112"/>
      <c r="Y492" s="112"/>
      <c r="Z492" s="112"/>
      <c r="AA492" s="112"/>
      <c r="AB492" s="112"/>
    </row>
    <row r="493" ht="15.75" customHeight="1">
      <c r="A493" s="112"/>
      <c r="B493" s="112"/>
      <c r="C493" s="112"/>
      <c r="D493" s="125"/>
      <c r="E493" s="112"/>
      <c r="F493" s="128"/>
      <c r="G493" s="128"/>
      <c r="H493" s="128"/>
      <c r="I493" s="128"/>
      <c r="J493" s="112"/>
      <c r="K493" s="112"/>
      <c r="L493" s="153"/>
      <c r="M493" s="112"/>
      <c r="N493" s="112"/>
      <c r="O493" s="112"/>
      <c r="P493" s="112"/>
      <c r="Q493" s="112"/>
      <c r="R493" s="112"/>
      <c r="S493" s="112"/>
      <c r="T493" s="112"/>
      <c r="U493" s="112"/>
      <c r="V493" s="112"/>
      <c r="W493" s="112"/>
      <c r="X493" s="112"/>
      <c r="Y493" s="112"/>
      <c r="Z493" s="112"/>
      <c r="AA493" s="112"/>
      <c r="AB493" s="112"/>
    </row>
    <row r="494" ht="15.75" customHeight="1">
      <c r="A494" s="112"/>
      <c r="B494" s="112"/>
      <c r="C494" s="112"/>
      <c r="D494" s="125"/>
      <c r="E494" s="112"/>
      <c r="F494" s="128"/>
      <c r="G494" s="128"/>
      <c r="H494" s="128"/>
      <c r="I494" s="128"/>
      <c r="J494" s="112"/>
      <c r="K494" s="112"/>
      <c r="L494" s="153"/>
      <c r="M494" s="112"/>
      <c r="N494" s="112"/>
      <c r="O494" s="112"/>
      <c r="P494" s="112"/>
      <c r="Q494" s="112"/>
      <c r="R494" s="112"/>
      <c r="S494" s="112"/>
      <c r="T494" s="112"/>
      <c r="U494" s="112"/>
      <c r="V494" s="112"/>
      <c r="W494" s="112"/>
      <c r="X494" s="112"/>
      <c r="Y494" s="112"/>
      <c r="Z494" s="112"/>
      <c r="AA494" s="112"/>
      <c r="AB494" s="112"/>
    </row>
    <row r="495" ht="15.75" customHeight="1">
      <c r="A495" s="112"/>
      <c r="B495" s="112"/>
      <c r="C495" s="112"/>
      <c r="D495" s="125"/>
      <c r="E495" s="112"/>
      <c r="F495" s="128"/>
      <c r="G495" s="128"/>
      <c r="H495" s="128"/>
      <c r="I495" s="128"/>
      <c r="J495" s="112"/>
      <c r="K495" s="112"/>
      <c r="L495" s="153"/>
      <c r="M495" s="112"/>
      <c r="N495" s="112"/>
      <c r="O495" s="112"/>
      <c r="P495" s="112"/>
      <c r="Q495" s="112"/>
      <c r="R495" s="112"/>
      <c r="S495" s="112"/>
      <c r="T495" s="112"/>
      <c r="U495" s="112"/>
      <c r="V495" s="112"/>
      <c r="W495" s="112"/>
      <c r="X495" s="112"/>
      <c r="Y495" s="112"/>
      <c r="Z495" s="112"/>
      <c r="AA495" s="112"/>
      <c r="AB495" s="112"/>
    </row>
    <row r="496" ht="15.75" customHeight="1">
      <c r="A496" s="112"/>
      <c r="B496" s="112"/>
      <c r="C496" s="112"/>
      <c r="D496" s="125"/>
      <c r="E496" s="112"/>
      <c r="F496" s="128"/>
      <c r="G496" s="128"/>
      <c r="H496" s="128"/>
      <c r="I496" s="128"/>
      <c r="J496" s="112"/>
      <c r="K496" s="112"/>
      <c r="L496" s="153"/>
      <c r="M496" s="112"/>
      <c r="N496" s="112"/>
      <c r="O496" s="112"/>
      <c r="P496" s="112"/>
      <c r="Q496" s="112"/>
      <c r="R496" s="112"/>
      <c r="S496" s="112"/>
      <c r="T496" s="112"/>
      <c r="U496" s="112"/>
      <c r="V496" s="112"/>
      <c r="W496" s="112"/>
      <c r="X496" s="112"/>
      <c r="Y496" s="112"/>
      <c r="Z496" s="112"/>
      <c r="AA496" s="112"/>
      <c r="AB496" s="112"/>
    </row>
    <row r="497" ht="15.75" customHeight="1">
      <c r="A497" s="112"/>
      <c r="B497" s="112"/>
      <c r="C497" s="112"/>
      <c r="D497" s="125"/>
      <c r="E497" s="112"/>
      <c r="F497" s="128"/>
      <c r="G497" s="128"/>
      <c r="H497" s="128"/>
      <c r="I497" s="128"/>
      <c r="J497" s="112"/>
      <c r="K497" s="112"/>
      <c r="L497" s="153"/>
      <c r="M497" s="112"/>
      <c r="N497" s="112"/>
      <c r="O497" s="112"/>
      <c r="P497" s="112"/>
      <c r="Q497" s="112"/>
      <c r="R497" s="112"/>
      <c r="S497" s="112"/>
      <c r="T497" s="112"/>
      <c r="U497" s="112"/>
      <c r="V497" s="112"/>
      <c r="W497" s="112"/>
      <c r="X497" s="112"/>
      <c r="Y497" s="112"/>
      <c r="Z497" s="112"/>
      <c r="AA497" s="112"/>
      <c r="AB497" s="112"/>
    </row>
    <row r="498" ht="15.75" customHeight="1">
      <c r="A498" s="112"/>
      <c r="B498" s="112"/>
      <c r="C498" s="112"/>
      <c r="D498" s="125"/>
      <c r="E498" s="112"/>
      <c r="F498" s="128"/>
      <c r="G498" s="128"/>
      <c r="H498" s="128"/>
      <c r="I498" s="128"/>
      <c r="J498" s="112"/>
      <c r="K498" s="112"/>
      <c r="L498" s="153"/>
      <c r="M498" s="112"/>
      <c r="N498" s="112"/>
      <c r="O498" s="112"/>
      <c r="P498" s="112"/>
      <c r="Q498" s="112"/>
      <c r="R498" s="112"/>
      <c r="S498" s="112"/>
      <c r="T498" s="112"/>
      <c r="U498" s="112"/>
      <c r="V498" s="112"/>
      <c r="W498" s="112"/>
      <c r="X498" s="112"/>
      <c r="Y498" s="112"/>
      <c r="Z498" s="112"/>
      <c r="AA498" s="112"/>
      <c r="AB498" s="112"/>
    </row>
    <row r="499" ht="15.75" customHeight="1">
      <c r="A499" s="112"/>
      <c r="B499" s="112"/>
      <c r="C499" s="112"/>
      <c r="D499" s="125"/>
      <c r="E499" s="112"/>
      <c r="F499" s="128"/>
      <c r="G499" s="128"/>
      <c r="H499" s="128"/>
      <c r="I499" s="128"/>
      <c r="J499" s="112"/>
      <c r="K499" s="112"/>
      <c r="L499" s="153"/>
      <c r="M499" s="112"/>
      <c r="N499" s="112"/>
      <c r="O499" s="112"/>
      <c r="P499" s="112"/>
      <c r="Q499" s="112"/>
      <c r="R499" s="112"/>
      <c r="S499" s="112"/>
      <c r="T499" s="112"/>
      <c r="U499" s="112"/>
      <c r="V499" s="112"/>
      <c r="W499" s="112"/>
      <c r="X499" s="112"/>
      <c r="Y499" s="112"/>
      <c r="Z499" s="112"/>
      <c r="AA499" s="112"/>
      <c r="AB499" s="112"/>
    </row>
    <row r="500" ht="15.75" customHeight="1">
      <c r="A500" s="112"/>
      <c r="B500" s="112"/>
      <c r="C500" s="112"/>
      <c r="D500" s="125"/>
      <c r="E500" s="112"/>
      <c r="F500" s="128"/>
      <c r="G500" s="128"/>
      <c r="H500" s="128"/>
      <c r="I500" s="128"/>
      <c r="J500" s="112"/>
      <c r="K500" s="112"/>
      <c r="L500" s="153"/>
      <c r="M500" s="112"/>
      <c r="N500" s="112"/>
      <c r="O500" s="112"/>
      <c r="P500" s="112"/>
      <c r="Q500" s="112"/>
      <c r="R500" s="112"/>
      <c r="S500" s="112"/>
      <c r="T500" s="112"/>
      <c r="U500" s="112"/>
      <c r="V500" s="112"/>
      <c r="W500" s="112"/>
      <c r="X500" s="112"/>
      <c r="Y500" s="112"/>
      <c r="Z500" s="112"/>
      <c r="AA500" s="112"/>
      <c r="AB500" s="112"/>
    </row>
    <row r="501" ht="15.75" customHeight="1">
      <c r="A501" s="112"/>
      <c r="B501" s="112"/>
      <c r="C501" s="112"/>
      <c r="D501" s="125"/>
      <c r="E501" s="112"/>
      <c r="F501" s="128"/>
      <c r="G501" s="128"/>
      <c r="H501" s="128"/>
      <c r="I501" s="128"/>
      <c r="J501" s="112"/>
      <c r="K501" s="112"/>
      <c r="L501" s="153"/>
      <c r="M501" s="112"/>
      <c r="N501" s="112"/>
      <c r="O501" s="112"/>
      <c r="P501" s="112"/>
      <c r="Q501" s="112"/>
      <c r="R501" s="112"/>
      <c r="S501" s="112"/>
      <c r="T501" s="112"/>
      <c r="U501" s="112"/>
      <c r="V501" s="112"/>
      <c r="W501" s="112"/>
      <c r="X501" s="112"/>
      <c r="Y501" s="112"/>
      <c r="Z501" s="112"/>
      <c r="AA501" s="112"/>
      <c r="AB501" s="112"/>
    </row>
    <row r="502" ht="15.75" customHeight="1">
      <c r="A502" s="112"/>
      <c r="B502" s="112"/>
      <c r="C502" s="112"/>
      <c r="D502" s="125"/>
      <c r="E502" s="112"/>
      <c r="F502" s="128"/>
      <c r="G502" s="128"/>
      <c r="H502" s="128"/>
      <c r="I502" s="128"/>
      <c r="J502" s="112"/>
      <c r="K502" s="112"/>
      <c r="L502" s="153"/>
      <c r="M502" s="112"/>
      <c r="N502" s="112"/>
      <c r="O502" s="112"/>
      <c r="P502" s="112"/>
      <c r="Q502" s="112"/>
      <c r="R502" s="112"/>
      <c r="S502" s="112"/>
      <c r="T502" s="112"/>
      <c r="U502" s="112"/>
      <c r="V502" s="112"/>
      <c r="W502" s="112"/>
      <c r="X502" s="112"/>
      <c r="Y502" s="112"/>
      <c r="Z502" s="112"/>
      <c r="AA502" s="112"/>
      <c r="AB502" s="112"/>
    </row>
    <row r="503" ht="15.75" customHeight="1">
      <c r="A503" s="112"/>
      <c r="B503" s="112"/>
      <c r="C503" s="112"/>
      <c r="D503" s="125"/>
      <c r="E503" s="112"/>
      <c r="F503" s="128"/>
      <c r="G503" s="128"/>
      <c r="H503" s="128"/>
      <c r="I503" s="128"/>
      <c r="J503" s="112"/>
      <c r="K503" s="112"/>
      <c r="L503" s="153"/>
      <c r="M503" s="112"/>
      <c r="N503" s="112"/>
      <c r="O503" s="112"/>
      <c r="P503" s="112"/>
      <c r="Q503" s="112"/>
      <c r="R503" s="112"/>
      <c r="S503" s="112"/>
      <c r="T503" s="112"/>
      <c r="U503" s="112"/>
      <c r="V503" s="112"/>
      <c r="W503" s="112"/>
      <c r="X503" s="112"/>
      <c r="Y503" s="112"/>
      <c r="Z503" s="112"/>
      <c r="AA503" s="112"/>
      <c r="AB503" s="112"/>
    </row>
    <row r="504" ht="15.75" customHeight="1">
      <c r="A504" s="112"/>
      <c r="B504" s="112"/>
      <c r="C504" s="112"/>
      <c r="D504" s="125"/>
      <c r="E504" s="112"/>
      <c r="F504" s="128"/>
      <c r="G504" s="128"/>
      <c r="H504" s="128"/>
      <c r="I504" s="128"/>
      <c r="J504" s="112"/>
      <c r="K504" s="112"/>
      <c r="L504" s="153"/>
      <c r="M504" s="112"/>
      <c r="N504" s="112"/>
      <c r="O504" s="112"/>
      <c r="P504" s="112"/>
      <c r="Q504" s="112"/>
      <c r="R504" s="112"/>
      <c r="S504" s="112"/>
      <c r="T504" s="112"/>
      <c r="U504" s="112"/>
      <c r="V504" s="112"/>
      <c r="W504" s="112"/>
      <c r="X504" s="112"/>
      <c r="Y504" s="112"/>
      <c r="Z504" s="112"/>
      <c r="AA504" s="112"/>
      <c r="AB504" s="112"/>
    </row>
    <row r="505" ht="15.75" customHeight="1">
      <c r="A505" s="112"/>
      <c r="B505" s="112"/>
      <c r="C505" s="112"/>
      <c r="D505" s="125"/>
      <c r="E505" s="112"/>
      <c r="F505" s="128"/>
      <c r="G505" s="128"/>
      <c r="H505" s="128"/>
      <c r="I505" s="128"/>
      <c r="J505" s="112"/>
      <c r="K505" s="112"/>
      <c r="L505" s="153"/>
      <c r="M505" s="112"/>
      <c r="N505" s="112"/>
      <c r="O505" s="112"/>
      <c r="P505" s="112"/>
      <c r="Q505" s="112"/>
      <c r="R505" s="112"/>
      <c r="S505" s="112"/>
      <c r="T505" s="112"/>
      <c r="U505" s="112"/>
      <c r="V505" s="112"/>
      <c r="W505" s="112"/>
      <c r="X505" s="112"/>
      <c r="Y505" s="112"/>
      <c r="Z505" s="112"/>
      <c r="AA505" s="112"/>
      <c r="AB505" s="112"/>
    </row>
    <row r="506" ht="15.75" customHeight="1">
      <c r="A506" s="112"/>
      <c r="B506" s="112"/>
      <c r="C506" s="112"/>
      <c r="D506" s="125"/>
      <c r="E506" s="112"/>
      <c r="F506" s="128"/>
      <c r="G506" s="128"/>
      <c r="H506" s="128"/>
      <c r="I506" s="128"/>
      <c r="J506" s="112"/>
      <c r="K506" s="112"/>
      <c r="L506" s="153"/>
      <c r="M506" s="112"/>
      <c r="N506" s="112"/>
      <c r="O506" s="112"/>
      <c r="P506" s="112"/>
      <c r="Q506" s="112"/>
      <c r="R506" s="112"/>
      <c r="S506" s="112"/>
      <c r="T506" s="112"/>
      <c r="U506" s="112"/>
      <c r="V506" s="112"/>
      <c r="W506" s="112"/>
      <c r="X506" s="112"/>
      <c r="Y506" s="112"/>
      <c r="Z506" s="112"/>
      <c r="AA506" s="112"/>
      <c r="AB506" s="112"/>
    </row>
    <row r="507" ht="15.75" customHeight="1">
      <c r="A507" s="112"/>
      <c r="B507" s="112"/>
      <c r="C507" s="112"/>
      <c r="D507" s="125"/>
      <c r="E507" s="112"/>
      <c r="F507" s="128"/>
      <c r="G507" s="128"/>
      <c r="H507" s="128"/>
      <c r="I507" s="128"/>
      <c r="J507" s="112"/>
      <c r="K507" s="112"/>
      <c r="L507" s="153"/>
      <c r="M507" s="112"/>
      <c r="N507" s="112"/>
      <c r="O507" s="112"/>
      <c r="P507" s="112"/>
      <c r="Q507" s="112"/>
      <c r="R507" s="112"/>
      <c r="S507" s="112"/>
      <c r="T507" s="112"/>
      <c r="U507" s="112"/>
      <c r="V507" s="112"/>
      <c r="W507" s="112"/>
      <c r="X507" s="112"/>
      <c r="Y507" s="112"/>
      <c r="Z507" s="112"/>
      <c r="AA507" s="112"/>
      <c r="AB507" s="112"/>
    </row>
    <row r="508" ht="15.75" customHeight="1">
      <c r="A508" s="112"/>
      <c r="B508" s="112"/>
      <c r="C508" s="112"/>
      <c r="D508" s="125"/>
      <c r="E508" s="112"/>
      <c r="F508" s="128"/>
      <c r="G508" s="128"/>
      <c r="H508" s="128"/>
      <c r="I508" s="128"/>
      <c r="J508" s="112"/>
      <c r="K508" s="112"/>
      <c r="L508" s="153"/>
      <c r="M508" s="112"/>
      <c r="N508" s="112"/>
      <c r="O508" s="112"/>
      <c r="P508" s="112"/>
      <c r="Q508" s="112"/>
      <c r="R508" s="112"/>
      <c r="S508" s="112"/>
      <c r="T508" s="112"/>
      <c r="U508" s="112"/>
      <c r="V508" s="112"/>
      <c r="W508" s="112"/>
      <c r="X508" s="112"/>
      <c r="Y508" s="112"/>
      <c r="Z508" s="112"/>
      <c r="AA508" s="112"/>
      <c r="AB508" s="112"/>
    </row>
    <row r="509" ht="15.75" customHeight="1">
      <c r="A509" s="112"/>
      <c r="B509" s="112"/>
      <c r="C509" s="112"/>
      <c r="D509" s="125"/>
      <c r="E509" s="112"/>
      <c r="F509" s="128"/>
      <c r="G509" s="128"/>
      <c r="H509" s="128"/>
      <c r="I509" s="128"/>
      <c r="J509" s="112"/>
      <c r="K509" s="112"/>
      <c r="L509" s="153"/>
      <c r="M509" s="112"/>
      <c r="N509" s="112"/>
      <c r="O509" s="112"/>
      <c r="P509" s="112"/>
      <c r="Q509" s="112"/>
      <c r="R509" s="112"/>
      <c r="S509" s="112"/>
      <c r="T509" s="112"/>
      <c r="U509" s="112"/>
      <c r="V509" s="112"/>
      <c r="W509" s="112"/>
      <c r="X509" s="112"/>
      <c r="Y509" s="112"/>
      <c r="Z509" s="112"/>
      <c r="AA509" s="112"/>
      <c r="AB509" s="112"/>
    </row>
    <row r="510" ht="15.75" customHeight="1">
      <c r="A510" s="112"/>
      <c r="B510" s="112"/>
      <c r="C510" s="112"/>
      <c r="D510" s="125"/>
      <c r="E510" s="112"/>
      <c r="F510" s="128"/>
      <c r="G510" s="128"/>
      <c r="H510" s="128"/>
      <c r="I510" s="128"/>
      <c r="J510" s="112"/>
      <c r="K510" s="112"/>
      <c r="L510" s="153"/>
      <c r="M510" s="112"/>
      <c r="N510" s="112"/>
      <c r="O510" s="112"/>
      <c r="P510" s="112"/>
      <c r="Q510" s="112"/>
      <c r="R510" s="112"/>
      <c r="S510" s="112"/>
      <c r="T510" s="112"/>
      <c r="U510" s="112"/>
      <c r="V510" s="112"/>
      <c r="W510" s="112"/>
      <c r="X510" s="112"/>
      <c r="Y510" s="112"/>
      <c r="Z510" s="112"/>
      <c r="AA510" s="112"/>
      <c r="AB510" s="112"/>
    </row>
    <row r="511" ht="15.75" customHeight="1">
      <c r="A511" s="112"/>
      <c r="B511" s="112"/>
      <c r="C511" s="112"/>
      <c r="D511" s="125"/>
      <c r="E511" s="112"/>
      <c r="F511" s="128"/>
      <c r="G511" s="128"/>
      <c r="H511" s="128"/>
      <c r="I511" s="128"/>
      <c r="J511" s="112"/>
      <c r="K511" s="112"/>
      <c r="L511" s="153"/>
      <c r="M511" s="112"/>
      <c r="N511" s="112"/>
      <c r="O511" s="112"/>
      <c r="P511" s="112"/>
      <c r="Q511" s="112"/>
      <c r="R511" s="112"/>
      <c r="S511" s="112"/>
      <c r="T511" s="112"/>
      <c r="U511" s="112"/>
      <c r="V511" s="112"/>
      <c r="W511" s="112"/>
      <c r="X511" s="112"/>
      <c r="Y511" s="112"/>
      <c r="Z511" s="112"/>
      <c r="AA511" s="112"/>
      <c r="AB511" s="112"/>
    </row>
    <row r="512" ht="15.75" customHeight="1">
      <c r="A512" s="112"/>
      <c r="B512" s="112"/>
      <c r="C512" s="112"/>
      <c r="D512" s="125"/>
      <c r="E512" s="112"/>
      <c r="F512" s="128"/>
      <c r="G512" s="128"/>
      <c r="H512" s="128"/>
      <c r="I512" s="128"/>
      <c r="J512" s="112"/>
      <c r="K512" s="112"/>
      <c r="L512" s="153"/>
      <c r="M512" s="112"/>
      <c r="N512" s="112"/>
      <c r="O512" s="112"/>
      <c r="P512" s="112"/>
      <c r="Q512" s="112"/>
      <c r="R512" s="112"/>
      <c r="S512" s="112"/>
      <c r="T512" s="112"/>
      <c r="U512" s="112"/>
      <c r="V512" s="112"/>
      <c r="W512" s="112"/>
      <c r="X512" s="112"/>
      <c r="Y512" s="112"/>
      <c r="Z512" s="112"/>
      <c r="AA512" s="112"/>
      <c r="AB512" s="112"/>
    </row>
    <row r="513" ht="15.75" customHeight="1">
      <c r="A513" s="112"/>
      <c r="B513" s="112"/>
      <c r="C513" s="112"/>
      <c r="D513" s="125"/>
      <c r="E513" s="112"/>
      <c r="F513" s="128"/>
      <c r="G513" s="128"/>
      <c r="H513" s="128"/>
      <c r="I513" s="128"/>
      <c r="J513" s="112"/>
      <c r="K513" s="112"/>
      <c r="L513" s="153"/>
      <c r="M513" s="112"/>
      <c r="N513" s="112"/>
      <c r="O513" s="112"/>
      <c r="P513" s="112"/>
      <c r="Q513" s="112"/>
      <c r="R513" s="112"/>
      <c r="S513" s="112"/>
      <c r="T513" s="112"/>
      <c r="U513" s="112"/>
      <c r="V513" s="112"/>
      <c r="W513" s="112"/>
      <c r="X513" s="112"/>
      <c r="Y513" s="112"/>
      <c r="Z513" s="112"/>
      <c r="AA513" s="112"/>
      <c r="AB513" s="112"/>
    </row>
    <row r="514" ht="15.75" customHeight="1">
      <c r="A514" s="112"/>
      <c r="B514" s="112"/>
      <c r="C514" s="112"/>
      <c r="D514" s="125"/>
      <c r="E514" s="112"/>
      <c r="F514" s="128"/>
      <c r="G514" s="128"/>
      <c r="H514" s="128"/>
      <c r="I514" s="128"/>
      <c r="J514" s="112"/>
      <c r="K514" s="112"/>
      <c r="L514" s="153"/>
      <c r="M514" s="112"/>
      <c r="N514" s="112"/>
      <c r="O514" s="112"/>
      <c r="P514" s="112"/>
      <c r="Q514" s="112"/>
      <c r="R514" s="112"/>
      <c r="S514" s="112"/>
      <c r="T514" s="112"/>
      <c r="U514" s="112"/>
      <c r="V514" s="112"/>
      <c r="W514" s="112"/>
      <c r="X514" s="112"/>
      <c r="Y514" s="112"/>
      <c r="Z514" s="112"/>
      <c r="AA514" s="112"/>
      <c r="AB514" s="112"/>
    </row>
    <row r="515" ht="15.75" customHeight="1">
      <c r="A515" s="112"/>
      <c r="B515" s="112"/>
      <c r="C515" s="112"/>
      <c r="D515" s="125"/>
      <c r="E515" s="112"/>
      <c r="F515" s="128"/>
      <c r="G515" s="128"/>
      <c r="H515" s="128"/>
      <c r="I515" s="128"/>
      <c r="J515" s="112"/>
      <c r="K515" s="112"/>
      <c r="L515" s="153"/>
      <c r="M515" s="112"/>
      <c r="N515" s="112"/>
      <c r="O515" s="112"/>
      <c r="P515" s="112"/>
      <c r="Q515" s="112"/>
      <c r="R515" s="112"/>
      <c r="S515" s="112"/>
      <c r="T515" s="112"/>
      <c r="U515" s="112"/>
      <c r="V515" s="112"/>
      <c r="W515" s="112"/>
      <c r="X515" s="112"/>
      <c r="Y515" s="112"/>
      <c r="Z515" s="112"/>
      <c r="AA515" s="112"/>
      <c r="AB515" s="112"/>
    </row>
    <row r="516" ht="15.75" customHeight="1">
      <c r="A516" s="112"/>
      <c r="B516" s="112"/>
      <c r="C516" s="112"/>
      <c r="D516" s="125"/>
      <c r="E516" s="112"/>
      <c r="F516" s="128"/>
      <c r="G516" s="128"/>
      <c r="H516" s="128"/>
      <c r="I516" s="128"/>
      <c r="J516" s="112"/>
      <c r="K516" s="112"/>
      <c r="L516" s="153"/>
      <c r="M516" s="112"/>
      <c r="N516" s="112"/>
      <c r="O516" s="112"/>
      <c r="P516" s="112"/>
      <c r="Q516" s="112"/>
      <c r="R516" s="112"/>
      <c r="S516" s="112"/>
      <c r="T516" s="112"/>
      <c r="U516" s="112"/>
      <c r="V516" s="112"/>
      <c r="W516" s="112"/>
      <c r="X516" s="112"/>
      <c r="Y516" s="112"/>
      <c r="Z516" s="112"/>
      <c r="AA516" s="112"/>
      <c r="AB516" s="112"/>
    </row>
    <row r="517" ht="15.75" customHeight="1">
      <c r="A517" s="112"/>
      <c r="B517" s="112"/>
      <c r="C517" s="112"/>
      <c r="D517" s="125"/>
      <c r="E517" s="112"/>
      <c r="F517" s="128"/>
      <c r="G517" s="128"/>
      <c r="H517" s="128"/>
      <c r="I517" s="128"/>
      <c r="J517" s="112"/>
      <c r="K517" s="112"/>
      <c r="L517" s="153"/>
      <c r="M517" s="112"/>
      <c r="N517" s="112"/>
      <c r="O517" s="112"/>
      <c r="P517" s="112"/>
      <c r="Q517" s="112"/>
      <c r="R517" s="112"/>
      <c r="S517" s="112"/>
      <c r="T517" s="112"/>
      <c r="U517" s="112"/>
      <c r="V517" s="112"/>
      <c r="W517" s="112"/>
      <c r="X517" s="112"/>
      <c r="Y517" s="112"/>
      <c r="Z517" s="112"/>
      <c r="AA517" s="112"/>
      <c r="AB517" s="112"/>
    </row>
    <row r="518" ht="15.75" customHeight="1">
      <c r="A518" s="112"/>
      <c r="B518" s="112"/>
      <c r="C518" s="112"/>
      <c r="D518" s="125"/>
      <c r="E518" s="112"/>
      <c r="F518" s="128"/>
      <c r="G518" s="128"/>
      <c r="H518" s="128"/>
      <c r="I518" s="128"/>
      <c r="J518" s="112"/>
      <c r="K518" s="112"/>
      <c r="L518" s="153"/>
      <c r="M518" s="112"/>
      <c r="N518" s="112"/>
      <c r="O518" s="112"/>
      <c r="P518" s="112"/>
      <c r="Q518" s="112"/>
      <c r="R518" s="112"/>
      <c r="S518" s="112"/>
      <c r="T518" s="112"/>
      <c r="U518" s="112"/>
      <c r="V518" s="112"/>
      <c r="W518" s="112"/>
      <c r="X518" s="112"/>
      <c r="Y518" s="112"/>
      <c r="Z518" s="112"/>
      <c r="AA518" s="112"/>
      <c r="AB518" s="112"/>
    </row>
    <row r="519" ht="15.75" customHeight="1">
      <c r="A519" s="112"/>
      <c r="B519" s="112"/>
      <c r="C519" s="112"/>
      <c r="D519" s="125"/>
      <c r="E519" s="112"/>
      <c r="F519" s="128"/>
      <c r="G519" s="128"/>
      <c r="H519" s="128"/>
      <c r="I519" s="128"/>
      <c r="J519" s="112"/>
      <c r="K519" s="112"/>
      <c r="L519" s="153"/>
      <c r="M519" s="112"/>
      <c r="N519" s="112"/>
      <c r="O519" s="112"/>
      <c r="P519" s="112"/>
      <c r="Q519" s="112"/>
      <c r="R519" s="112"/>
      <c r="S519" s="112"/>
      <c r="T519" s="112"/>
      <c r="U519" s="112"/>
      <c r="V519" s="112"/>
      <c r="W519" s="112"/>
      <c r="X519" s="112"/>
      <c r="Y519" s="112"/>
      <c r="Z519" s="112"/>
      <c r="AA519" s="112"/>
      <c r="AB519" s="112"/>
    </row>
    <row r="520" ht="15.75" customHeight="1">
      <c r="A520" s="112"/>
      <c r="B520" s="112"/>
      <c r="C520" s="112"/>
      <c r="D520" s="125"/>
      <c r="E520" s="112"/>
      <c r="F520" s="128"/>
      <c r="G520" s="128"/>
      <c r="H520" s="128"/>
      <c r="I520" s="128"/>
      <c r="J520" s="112"/>
      <c r="K520" s="112"/>
      <c r="L520" s="153"/>
      <c r="M520" s="112"/>
      <c r="N520" s="112"/>
      <c r="O520" s="112"/>
      <c r="P520" s="112"/>
      <c r="Q520" s="112"/>
      <c r="R520" s="112"/>
      <c r="S520" s="112"/>
      <c r="T520" s="112"/>
      <c r="U520" s="112"/>
      <c r="V520" s="112"/>
      <c r="W520" s="112"/>
      <c r="X520" s="112"/>
      <c r="Y520" s="112"/>
      <c r="Z520" s="112"/>
      <c r="AA520" s="112"/>
      <c r="AB520" s="112"/>
    </row>
    <row r="521" ht="15.75" customHeight="1">
      <c r="A521" s="112"/>
      <c r="B521" s="112"/>
      <c r="C521" s="112"/>
      <c r="D521" s="125"/>
      <c r="E521" s="112"/>
      <c r="F521" s="128"/>
      <c r="G521" s="128"/>
      <c r="H521" s="128"/>
      <c r="I521" s="128"/>
      <c r="J521" s="112"/>
      <c r="K521" s="112"/>
      <c r="L521" s="153"/>
      <c r="M521" s="112"/>
      <c r="N521" s="112"/>
      <c r="O521" s="112"/>
      <c r="P521" s="112"/>
      <c r="Q521" s="112"/>
      <c r="R521" s="112"/>
      <c r="S521" s="112"/>
      <c r="T521" s="112"/>
      <c r="U521" s="112"/>
      <c r="V521" s="112"/>
      <c r="W521" s="112"/>
      <c r="X521" s="112"/>
      <c r="Y521" s="112"/>
      <c r="Z521" s="112"/>
      <c r="AA521" s="112"/>
      <c r="AB521" s="112"/>
    </row>
    <row r="522" ht="15.75" customHeight="1">
      <c r="A522" s="112"/>
      <c r="B522" s="112"/>
      <c r="C522" s="112"/>
      <c r="D522" s="125"/>
      <c r="E522" s="112"/>
      <c r="F522" s="128"/>
      <c r="G522" s="128"/>
      <c r="H522" s="128"/>
      <c r="I522" s="128"/>
      <c r="J522" s="112"/>
      <c r="K522" s="112"/>
      <c r="L522" s="153"/>
      <c r="M522" s="112"/>
      <c r="N522" s="112"/>
      <c r="O522" s="112"/>
      <c r="P522" s="112"/>
      <c r="Q522" s="112"/>
      <c r="R522" s="112"/>
      <c r="S522" s="112"/>
      <c r="T522" s="112"/>
      <c r="U522" s="112"/>
      <c r="V522" s="112"/>
      <c r="W522" s="112"/>
      <c r="X522" s="112"/>
      <c r="Y522" s="112"/>
      <c r="Z522" s="112"/>
      <c r="AA522" s="112"/>
      <c r="AB522" s="112"/>
    </row>
    <row r="523" ht="15.75" customHeight="1">
      <c r="A523" s="112"/>
      <c r="B523" s="112"/>
      <c r="C523" s="112"/>
      <c r="D523" s="125"/>
      <c r="E523" s="112"/>
      <c r="F523" s="128"/>
      <c r="G523" s="128"/>
      <c r="H523" s="128"/>
      <c r="I523" s="128"/>
      <c r="J523" s="112"/>
      <c r="K523" s="112"/>
      <c r="L523" s="153"/>
      <c r="M523" s="112"/>
      <c r="N523" s="112"/>
      <c r="O523" s="112"/>
      <c r="P523" s="112"/>
      <c r="Q523" s="112"/>
      <c r="R523" s="112"/>
      <c r="S523" s="112"/>
      <c r="T523" s="112"/>
      <c r="U523" s="112"/>
      <c r="V523" s="112"/>
      <c r="W523" s="112"/>
      <c r="X523" s="112"/>
      <c r="Y523" s="112"/>
      <c r="Z523" s="112"/>
      <c r="AA523" s="112"/>
      <c r="AB523" s="112"/>
    </row>
    <row r="524" ht="15.75" customHeight="1">
      <c r="A524" s="112"/>
      <c r="B524" s="112"/>
      <c r="C524" s="112"/>
      <c r="D524" s="125"/>
      <c r="E524" s="112"/>
      <c r="F524" s="128"/>
      <c r="G524" s="128"/>
      <c r="H524" s="128"/>
      <c r="I524" s="128"/>
      <c r="J524" s="112"/>
      <c r="K524" s="112"/>
      <c r="L524" s="153"/>
      <c r="M524" s="112"/>
      <c r="N524" s="112"/>
      <c r="O524" s="112"/>
      <c r="P524" s="112"/>
      <c r="Q524" s="112"/>
      <c r="R524" s="112"/>
      <c r="S524" s="112"/>
      <c r="T524" s="112"/>
      <c r="U524" s="112"/>
      <c r="V524" s="112"/>
      <c r="W524" s="112"/>
      <c r="X524" s="112"/>
      <c r="Y524" s="112"/>
      <c r="Z524" s="112"/>
      <c r="AA524" s="112"/>
      <c r="AB524" s="112"/>
    </row>
    <row r="525" ht="15.75" customHeight="1">
      <c r="A525" s="112"/>
      <c r="B525" s="112"/>
      <c r="C525" s="112"/>
      <c r="D525" s="125"/>
      <c r="E525" s="112"/>
      <c r="F525" s="128"/>
      <c r="G525" s="128"/>
      <c r="H525" s="128"/>
      <c r="I525" s="128"/>
      <c r="J525" s="112"/>
      <c r="K525" s="112"/>
      <c r="L525" s="153"/>
      <c r="M525" s="112"/>
      <c r="N525" s="112"/>
      <c r="O525" s="112"/>
      <c r="P525" s="112"/>
      <c r="Q525" s="112"/>
      <c r="R525" s="112"/>
      <c r="S525" s="112"/>
      <c r="T525" s="112"/>
      <c r="U525" s="112"/>
      <c r="V525" s="112"/>
      <c r="W525" s="112"/>
      <c r="X525" s="112"/>
      <c r="Y525" s="112"/>
      <c r="Z525" s="112"/>
      <c r="AA525" s="112"/>
      <c r="AB525" s="112"/>
    </row>
    <row r="526" ht="15.75" customHeight="1">
      <c r="A526" s="112"/>
      <c r="B526" s="112"/>
      <c r="C526" s="112"/>
      <c r="D526" s="125"/>
      <c r="E526" s="112"/>
      <c r="F526" s="128"/>
      <c r="G526" s="128"/>
      <c r="H526" s="128"/>
      <c r="I526" s="128"/>
      <c r="J526" s="112"/>
      <c r="K526" s="112"/>
      <c r="L526" s="153"/>
      <c r="M526" s="112"/>
      <c r="N526" s="112"/>
      <c r="O526" s="112"/>
      <c r="P526" s="112"/>
      <c r="Q526" s="112"/>
      <c r="R526" s="112"/>
      <c r="S526" s="112"/>
      <c r="T526" s="112"/>
      <c r="U526" s="112"/>
      <c r="V526" s="112"/>
      <c r="W526" s="112"/>
      <c r="X526" s="112"/>
      <c r="Y526" s="112"/>
      <c r="Z526" s="112"/>
      <c r="AA526" s="112"/>
      <c r="AB526" s="112"/>
    </row>
    <row r="527" ht="15.75" customHeight="1">
      <c r="A527" s="112"/>
      <c r="B527" s="112"/>
      <c r="C527" s="112"/>
      <c r="D527" s="125"/>
      <c r="E527" s="112"/>
      <c r="F527" s="128"/>
      <c r="G527" s="128"/>
      <c r="H527" s="128"/>
      <c r="I527" s="128"/>
      <c r="J527" s="112"/>
      <c r="K527" s="112"/>
      <c r="L527" s="153"/>
      <c r="M527" s="112"/>
      <c r="N527" s="112"/>
      <c r="O527" s="112"/>
      <c r="P527" s="112"/>
      <c r="Q527" s="112"/>
      <c r="R527" s="112"/>
      <c r="S527" s="112"/>
      <c r="T527" s="112"/>
      <c r="U527" s="112"/>
      <c r="V527" s="112"/>
      <c r="W527" s="112"/>
      <c r="X527" s="112"/>
      <c r="Y527" s="112"/>
      <c r="Z527" s="112"/>
      <c r="AA527" s="112"/>
      <c r="AB527" s="112"/>
    </row>
    <row r="528" ht="15.75" customHeight="1">
      <c r="A528" s="112"/>
      <c r="B528" s="112"/>
      <c r="C528" s="112"/>
      <c r="D528" s="125"/>
      <c r="E528" s="112"/>
      <c r="F528" s="128"/>
      <c r="G528" s="128"/>
      <c r="H528" s="128"/>
      <c r="I528" s="128"/>
      <c r="J528" s="112"/>
      <c r="K528" s="112"/>
      <c r="L528" s="153"/>
      <c r="M528" s="112"/>
      <c r="N528" s="112"/>
      <c r="O528" s="112"/>
      <c r="P528" s="112"/>
      <c r="Q528" s="112"/>
      <c r="R528" s="112"/>
      <c r="S528" s="112"/>
      <c r="T528" s="112"/>
      <c r="U528" s="112"/>
      <c r="V528" s="112"/>
      <c r="W528" s="112"/>
      <c r="X528" s="112"/>
      <c r="Y528" s="112"/>
      <c r="Z528" s="112"/>
      <c r="AA528" s="112"/>
      <c r="AB528" s="112"/>
    </row>
    <row r="529" ht="15.75" customHeight="1">
      <c r="A529" s="112"/>
      <c r="B529" s="112"/>
      <c r="C529" s="112"/>
      <c r="D529" s="125"/>
      <c r="E529" s="112"/>
      <c r="F529" s="128"/>
      <c r="G529" s="128"/>
      <c r="H529" s="128"/>
      <c r="I529" s="128"/>
      <c r="J529" s="112"/>
      <c r="K529" s="112"/>
      <c r="L529" s="153"/>
      <c r="M529" s="112"/>
      <c r="N529" s="112"/>
      <c r="O529" s="112"/>
      <c r="P529" s="112"/>
      <c r="Q529" s="112"/>
      <c r="R529" s="112"/>
      <c r="S529" s="112"/>
      <c r="T529" s="112"/>
      <c r="U529" s="112"/>
      <c r="V529" s="112"/>
      <c r="W529" s="112"/>
      <c r="X529" s="112"/>
      <c r="Y529" s="112"/>
      <c r="Z529" s="112"/>
      <c r="AA529" s="112"/>
      <c r="AB529" s="112"/>
    </row>
    <row r="530" ht="15.75" customHeight="1">
      <c r="A530" s="112"/>
      <c r="B530" s="112"/>
      <c r="C530" s="112"/>
      <c r="D530" s="125"/>
      <c r="E530" s="112"/>
      <c r="F530" s="128"/>
      <c r="G530" s="128"/>
      <c r="H530" s="128"/>
      <c r="I530" s="128"/>
      <c r="J530" s="112"/>
      <c r="K530" s="112"/>
      <c r="L530" s="153"/>
      <c r="M530" s="112"/>
      <c r="N530" s="112"/>
      <c r="O530" s="112"/>
      <c r="P530" s="112"/>
      <c r="Q530" s="112"/>
      <c r="R530" s="112"/>
      <c r="S530" s="112"/>
      <c r="T530" s="112"/>
      <c r="U530" s="112"/>
      <c r="V530" s="112"/>
      <c r="W530" s="112"/>
      <c r="X530" s="112"/>
      <c r="Y530" s="112"/>
      <c r="Z530" s="112"/>
      <c r="AA530" s="112"/>
      <c r="AB530" s="112"/>
    </row>
    <row r="531" ht="15.75" customHeight="1">
      <c r="A531" s="112"/>
      <c r="B531" s="112"/>
      <c r="C531" s="112"/>
      <c r="D531" s="125"/>
      <c r="E531" s="112"/>
      <c r="F531" s="128"/>
      <c r="G531" s="128"/>
      <c r="H531" s="128"/>
      <c r="I531" s="128"/>
      <c r="J531" s="112"/>
      <c r="K531" s="112"/>
      <c r="L531" s="153"/>
      <c r="M531" s="112"/>
      <c r="N531" s="112"/>
      <c r="O531" s="112"/>
      <c r="P531" s="112"/>
      <c r="Q531" s="112"/>
      <c r="R531" s="112"/>
      <c r="S531" s="112"/>
      <c r="T531" s="112"/>
      <c r="U531" s="112"/>
      <c r="V531" s="112"/>
      <c r="W531" s="112"/>
      <c r="X531" s="112"/>
      <c r="Y531" s="112"/>
      <c r="Z531" s="112"/>
      <c r="AA531" s="112"/>
      <c r="AB531" s="112"/>
    </row>
    <row r="532" ht="15.75" customHeight="1">
      <c r="A532" s="112"/>
      <c r="B532" s="112"/>
      <c r="C532" s="112"/>
      <c r="D532" s="125"/>
      <c r="E532" s="112"/>
      <c r="F532" s="128"/>
      <c r="G532" s="128"/>
      <c r="H532" s="128"/>
      <c r="I532" s="128"/>
      <c r="J532" s="112"/>
      <c r="K532" s="112"/>
      <c r="L532" s="153"/>
      <c r="M532" s="112"/>
      <c r="N532" s="112"/>
      <c r="O532" s="112"/>
      <c r="P532" s="112"/>
      <c r="Q532" s="112"/>
      <c r="R532" s="112"/>
      <c r="S532" s="112"/>
      <c r="T532" s="112"/>
      <c r="U532" s="112"/>
      <c r="V532" s="112"/>
      <c r="W532" s="112"/>
      <c r="X532" s="112"/>
      <c r="Y532" s="112"/>
      <c r="Z532" s="112"/>
      <c r="AA532" s="112"/>
      <c r="AB532" s="112"/>
    </row>
    <row r="533" ht="15.75" customHeight="1">
      <c r="A533" s="112"/>
      <c r="B533" s="112"/>
      <c r="C533" s="112"/>
      <c r="D533" s="125"/>
      <c r="E533" s="112"/>
      <c r="F533" s="128"/>
      <c r="G533" s="128"/>
      <c r="H533" s="128"/>
      <c r="I533" s="128"/>
      <c r="J533" s="112"/>
      <c r="K533" s="112"/>
      <c r="L533" s="153"/>
      <c r="M533" s="112"/>
      <c r="N533" s="112"/>
      <c r="O533" s="112"/>
      <c r="P533" s="112"/>
      <c r="Q533" s="112"/>
      <c r="R533" s="112"/>
      <c r="S533" s="112"/>
      <c r="T533" s="112"/>
      <c r="U533" s="112"/>
      <c r="V533" s="112"/>
      <c r="W533" s="112"/>
      <c r="X533" s="112"/>
      <c r="Y533" s="112"/>
      <c r="Z533" s="112"/>
      <c r="AA533" s="112"/>
      <c r="AB533" s="112"/>
    </row>
    <row r="534" ht="15.75" customHeight="1">
      <c r="A534" s="112"/>
      <c r="B534" s="112"/>
      <c r="C534" s="112"/>
      <c r="D534" s="125"/>
      <c r="E534" s="112"/>
      <c r="F534" s="128"/>
      <c r="G534" s="128"/>
      <c r="H534" s="128"/>
      <c r="I534" s="128"/>
      <c r="J534" s="112"/>
      <c r="K534" s="112"/>
      <c r="L534" s="153"/>
      <c r="M534" s="112"/>
      <c r="N534" s="112"/>
      <c r="O534" s="112"/>
      <c r="P534" s="112"/>
      <c r="Q534" s="112"/>
      <c r="R534" s="112"/>
      <c r="S534" s="112"/>
      <c r="T534" s="112"/>
      <c r="U534" s="112"/>
      <c r="V534" s="112"/>
      <c r="W534" s="112"/>
      <c r="X534" s="112"/>
      <c r="Y534" s="112"/>
      <c r="Z534" s="112"/>
      <c r="AA534" s="112"/>
      <c r="AB534" s="112"/>
    </row>
    <row r="535" ht="15.75" customHeight="1">
      <c r="A535" s="112"/>
      <c r="B535" s="112"/>
      <c r="C535" s="112"/>
      <c r="D535" s="125"/>
      <c r="E535" s="112"/>
      <c r="F535" s="128"/>
      <c r="G535" s="128"/>
      <c r="H535" s="128"/>
      <c r="I535" s="128"/>
      <c r="J535" s="112"/>
      <c r="K535" s="112"/>
      <c r="L535" s="153"/>
      <c r="M535" s="112"/>
      <c r="N535" s="112"/>
      <c r="O535" s="112"/>
      <c r="P535" s="112"/>
      <c r="Q535" s="112"/>
      <c r="R535" s="112"/>
      <c r="S535" s="112"/>
      <c r="T535" s="112"/>
      <c r="U535" s="112"/>
      <c r="V535" s="112"/>
      <c r="W535" s="112"/>
      <c r="X535" s="112"/>
      <c r="Y535" s="112"/>
      <c r="Z535" s="112"/>
      <c r="AA535" s="112"/>
      <c r="AB535" s="112"/>
    </row>
    <row r="536" ht="15.75" customHeight="1">
      <c r="A536" s="112"/>
      <c r="B536" s="112"/>
      <c r="C536" s="112"/>
      <c r="D536" s="125"/>
      <c r="E536" s="112"/>
      <c r="F536" s="128"/>
      <c r="G536" s="128"/>
      <c r="H536" s="128"/>
      <c r="I536" s="128"/>
      <c r="J536" s="112"/>
      <c r="K536" s="112"/>
      <c r="L536" s="153"/>
      <c r="M536" s="112"/>
      <c r="N536" s="112"/>
      <c r="O536" s="112"/>
      <c r="P536" s="112"/>
      <c r="Q536" s="112"/>
      <c r="R536" s="112"/>
      <c r="S536" s="112"/>
      <c r="T536" s="112"/>
      <c r="U536" s="112"/>
      <c r="V536" s="112"/>
      <c r="W536" s="112"/>
      <c r="X536" s="112"/>
      <c r="Y536" s="112"/>
      <c r="Z536" s="112"/>
      <c r="AA536" s="112"/>
      <c r="AB536" s="112"/>
    </row>
    <row r="537" ht="15.75" customHeight="1">
      <c r="A537" s="112"/>
      <c r="B537" s="112"/>
      <c r="C537" s="112"/>
      <c r="D537" s="125"/>
      <c r="E537" s="112"/>
      <c r="F537" s="128"/>
      <c r="G537" s="128"/>
      <c r="H537" s="128"/>
      <c r="I537" s="128"/>
      <c r="J537" s="112"/>
      <c r="K537" s="112"/>
      <c r="L537" s="153"/>
      <c r="M537" s="112"/>
      <c r="N537" s="112"/>
      <c r="O537" s="112"/>
      <c r="P537" s="112"/>
      <c r="Q537" s="112"/>
      <c r="R537" s="112"/>
      <c r="S537" s="112"/>
      <c r="T537" s="112"/>
      <c r="U537" s="112"/>
      <c r="V537" s="112"/>
      <c r="W537" s="112"/>
      <c r="X537" s="112"/>
      <c r="Y537" s="112"/>
      <c r="Z537" s="112"/>
      <c r="AA537" s="112"/>
      <c r="AB537" s="112"/>
    </row>
    <row r="538" ht="15.75" customHeight="1">
      <c r="A538" s="112"/>
      <c r="B538" s="112"/>
      <c r="C538" s="112"/>
      <c r="D538" s="125"/>
      <c r="E538" s="112"/>
      <c r="F538" s="128"/>
      <c r="G538" s="128"/>
      <c r="H538" s="128"/>
      <c r="I538" s="128"/>
      <c r="J538" s="112"/>
      <c r="K538" s="112"/>
      <c r="L538" s="153"/>
      <c r="M538" s="112"/>
      <c r="N538" s="112"/>
      <c r="O538" s="112"/>
      <c r="P538" s="112"/>
      <c r="Q538" s="112"/>
      <c r="R538" s="112"/>
      <c r="S538" s="112"/>
      <c r="T538" s="112"/>
      <c r="U538" s="112"/>
      <c r="V538" s="112"/>
      <c r="W538" s="112"/>
      <c r="X538" s="112"/>
      <c r="Y538" s="112"/>
      <c r="Z538" s="112"/>
      <c r="AA538" s="112"/>
      <c r="AB538" s="112"/>
    </row>
    <row r="539" ht="15.75" customHeight="1">
      <c r="A539" s="112"/>
      <c r="B539" s="112"/>
      <c r="C539" s="112"/>
      <c r="D539" s="125"/>
      <c r="E539" s="112"/>
      <c r="F539" s="128"/>
      <c r="G539" s="128"/>
      <c r="H539" s="128"/>
      <c r="I539" s="128"/>
      <c r="J539" s="112"/>
      <c r="K539" s="112"/>
      <c r="L539" s="153"/>
      <c r="M539" s="112"/>
      <c r="N539" s="112"/>
      <c r="O539" s="112"/>
      <c r="P539" s="112"/>
      <c r="Q539" s="112"/>
      <c r="R539" s="112"/>
      <c r="S539" s="112"/>
      <c r="T539" s="112"/>
      <c r="U539" s="112"/>
      <c r="V539" s="112"/>
      <c r="W539" s="112"/>
      <c r="X539" s="112"/>
      <c r="Y539" s="112"/>
      <c r="Z539" s="112"/>
      <c r="AA539" s="112"/>
      <c r="AB539" s="112"/>
    </row>
    <row r="540" ht="15.75" customHeight="1">
      <c r="A540" s="112"/>
      <c r="B540" s="112"/>
      <c r="C540" s="112"/>
      <c r="D540" s="125"/>
      <c r="E540" s="112"/>
      <c r="F540" s="128"/>
      <c r="G540" s="128"/>
      <c r="H540" s="128"/>
      <c r="I540" s="128"/>
      <c r="J540" s="112"/>
      <c r="K540" s="112"/>
      <c r="L540" s="153"/>
      <c r="M540" s="112"/>
      <c r="N540" s="112"/>
      <c r="O540" s="112"/>
      <c r="P540" s="112"/>
      <c r="Q540" s="112"/>
      <c r="R540" s="112"/>
      <c r="S540" s="112"/>
      <c r="T540" s="112"/>
      <c r="U540" s="112"/>
      <c r="V540" s="112"/>
      <c r="W540" s="112"/>
      <c r="X540" s="112"/>
      <c r="Y540" s="112"/>
      <c r="Z540" s="112"/>
      <c r="AA540" s="112"/>
      <c r="AB540" s="112"/>
    </row>
    <row r="541" ht="15.75" customHeight="1">
      <c r="A541" s="112"/>
      <c r="B541" s="112"/>
      <c r="C541" s="112"/>
      <c r="D541" s="125"/>
      <c r="E541" s="112"/>
      <c r="F541" s="128"/>
      <c r="G541" s="128"/>
      <c r="H541" s="128"/>
      <c r="I541" s="128"/>
      <c r="J541" s="112"/>
      <c r="K541" s="112"/>
      <c r="L541" s="153"/>
      <c r="M541" s="112"/>
      <c r="N541" s="112"/>
      <c r="O541" s="112"/>
      <c r="P541" s="112"/>
      <c r="Q541" s="112"/>
      <c r="R541" s="112"/>
      <c r="S541" s="112"/>
      <c r="T541" s="112"/>
      <c r="U541" s="112"/>
      <c r="V541" s="112"/>
      <c r="W541" s="112"/>
      <c r="X541" s="112"/>
      <c r="Y541" s="112"/>
      <c r="Z541" s="112"/>
      <c r="AA541" s="112"/>
      <c r="AB541" s="112"/>
    </row>
    <row r="542" ht="15.75" customHeight="1">
      <c r="A542" s="112"/>
      <c r="B542" s="112"/>
      <c r="C542" s="112"/>
      <c r="D542" s="125"/>
      <c r="E542" s="112"/>
      <c r="F542" s="128"/>
      <c r="G542" s="128"/>
      <c r="H542" s="128"/>
      <c r="I542" s="128"/>
      <c r="J542" s="112"/>
      <c r="K542" s="112"/>
      <c r="L542" s="153"/>
      <c r="M542" s="112"/>
      <c r="N542" s="112"/>
      <c r="O542" s="112"/>
      <c r="P542" s="112"/>
      <c r="Q542" s="112"/>
      <c r="R542" s="112"/>
      <c r="S542" s="112"/>
      <c r="T542" s="112"/>
      <c r="U542" s="112"/>
      <c r="V542" s="112"/>
      <c r="W542" s="112"/>
      <c r="X542" s="112"/>
      <c r="Y542" s="112"/>
      <c r="Z542" s="112"/>
      <c r="AA542" s="112"/>
      <c r="AB542" s="112"/>
    </row>
    <row r="543" ht="15.75" customHeight="1">
      <c r="A543" s="112"/>
      <c r="B543" s="112"/>
      <c r="C543" s="112"/>
      <c r="D543" s="125"/>
      <c r="E543" s="112"/>
      <c r="F543" s="128"/>
      <c r="G543" s="128"/>
      <c r="H543" s="128"/>
      <c r="I543" s="128"/>
      <c r="J543" s="112"/>
      <c r="K543" s="112"/>
      <c r="L543" s="153"/>
      <c r="M543" s="112"/>
      <c r="N543" s="112"/>
      <c r="O543" s="112"/>
      <c r="P543" s="112"/>
      <c r="Q543" s="112"/>
      <c r="R543" s="112"/>
      <c r="S543" s="112"/>
      <c r="T543" s="112"/>
      <c r="U543" s="112"/>
      <c r="V543" s="112"/>
      <c r="W543" s="112"/>
      <c r="X543" s="112"/>
      <c r="Y543" s="112"/>
      <c r="Z543" s="112"/>
      <c r="AA543" s="112"/>
      <c r="AB543" s="112"/>
    </row>
    <row r="544" ht="15.75" customHeight="1">
      <c r="A544" s="112"/>
      <c r="B544" s="112"/>
      <c r="C544" s="112"/>
      <c r="D544" s="125"/>
      <c r="E544" s="112"/>
      <c r="F544" s="128"/>
      <c r="G544" s="128"/>
      <c r="H544" s="128"/>
      <c r="I544" s="128"/>
      <c r="J544" s="112"/>
      <c r="K544" s="112"/>
      <c r="L544" s="153"/>
      <c r="M544" s="112"/>
      <c r="N544" s="112"/>
      <c r="O544" s="112"/>
      <c r="P544" s="112"/>
      <c r="Q544" s="112"/>
      <c r="R544" s="112"/>
      <c r="S544" s="112"/>
      <c r="T544" s="112"/>
      <c r="U544" s="112"/>
      <c r="V544" s="112"/>
      <c r="W544" s="112"/>
      <c r="X544" s="112"/>
      <c r="Y544" s="112"/>
      <c r="Z544" s="112"/>
      <c r="AA544" s="112"/>
      <c r="AB544" s="112"/>
    </row>
    <row r="545" ht="15.75" customHeight="1">
      <c r="A545" s="112"/>
      <c r="B545" s="112"/>
      <c r="C545" s="112"/>
      <c r="D545" s="125"/>
      <c r="E545" s="112"/>
      <c r="F545" s="128"/>
      <c r="G545" s="128"/>
      <c r="H545" s="128"/>
      <c r="I545" s="128"/>
      <c r="J545" s="112"/>
      <c r="K545" s="112"/>
      <c r="L545" s="153"/>
      <c r="M545" s="112"/>
      <c r="N545" s="112"/>
      <c r="O545" s="112"/>
      <c r="P545" s="112"/>
      <c r="Q545" s="112"/>
      <c r="R545" s="112"/>
      <c r="S545" s="112"/>
      <c r="T545" s="112"/>
      <c r="U545" s="112"/>
      <c r="V545" s="112"/>
      <c r="W545" s="112"/>
      <c r="X545" s="112"/>
      <c r="Y545" s="112"/>
      <c r="Z545" s="112"/>
      <c r="AA545" s="112"/>
      <c r="AB545" s="112"/>
    </row>
    <row r="546" ht="15.75" customHeight="1">
      <c r="A546" s="112"/>
      <c r="B546" s="112"/>
      <c r="C546" s="112"/>
      <c r="D546" s="125"/>
      <c r="E546" s="112"/>
      <c r="F546" s="128"/>
      <c r="G546" s="128"/>
      <c r="H546" s="128"/>
      <c r="I546" s="128"/>
      <c r="J546" s="112"/>
      <c r="K546" s="112"/>
      <c r="L546" s="153"/>
      <c r="M546" s="112"/>
      <c r="N546" s="112"/>
      <c r="O546" s="112"/>
      <c r="P546" s="112"/>
      <c r="Q546" s="112"/>
      <c r="R546" s="112"/>
      <c r="S546" s="112"/>
      <c r="T546" s="112"/>
      <c r="U546" s="112"/>
      <c r="V546" s="112"/>
      <c r="W546" s="112"/>
      <c r="X546" s="112"/>
      <c r="Y546" s="112"/>
      <c r="Z546" s="112"/>
      <c r="AA546" s="112"/>
      <c r="AB546" s="112"/>
    </row>
    <row r="547" ht="15.75" customHeight="1">
      <c r="A547" s="112"/>
      <c r="B547" s="112"/>
      <c r="C547" s="112"/>
      <c r="D547" s="125"/>
      <c r="E547" s="112"/>
      <c r="F547" s="128"/>
      <c r="G547" s="128"/>
      <c r="H547" s="128"/>
      <c r="I547" s="128"/>
      <c r="J547" s="112"/>
      <c r="K547" s="112"/>
      <c r="L547" s="153"/>
      <c r="M547" s="112"/>
      <c r="N547" s="112"/>
      <c r="O547" s="112"/>
      <c r="P547" s="112"/>
      <c r="Q547" s="112"/>
      <c r="R547" s="112"/>
      <c r="S547" s="112"/>
      <c r="T547" s="112"/>
      <c r="U547" s="112"/>
      <c r="V547" s="112"/>
      <c r="W547" s="112"/>
      <c r="X547" s="112"/>
      <c r="Y547" s="112"/>
      <c r="Z547" s="112"/>
      <c r="AA547" s="112"/>
      <c r="AB547" s="112"/>
    </row>
    <row r="548" ht="15.75" customHeight="1">
      <c r="A548" s="112"/>
      <c r="B548" s="112"/>
      <c r="C548" s="112"/>
      <c r="D548" s="125"/>
      <c r="E548" s="112"/>
      <c r="F548" s="128"/>
      <c r="G548" s="128"/>
      <c r="H548" s="128"/>
      <c r="I548" s="128"/>
      <c r="J548" s="112"/>
      <c r="K548" s="112"/>
      <c r="L548" s="153"/>
      <c r="M548" s="112"/>
      <c r="N548" s="112"/>
      <c r="O548" s="112"/>
      <c r="P548" s="112"/>
      <c r="Q548" s="112"/>
      <c r="R548" s="112"/>
      <c r="S548" s="112"/>
      <c r="T548" s="112"/>
      <c r="U548" s="112"/>
      <c r="V548" s="112"/>
      <c r="W548" s="112"/>
      <c r="X548" s="112"/>
      <c r="Y548" s="112"/>
      <c r="Z548" s="112"/>
      <c r="AA548" s="112"/>
      <c r="AB548" s="112"/>
    </row>
    <row r="549" ht="15.75" customHeight="1">
      <c r="A549" s="112"/>
      <c r="B549" s="112"/>
      <c r="C549" s="112"/>
      <c r="D549" s="125"/>
      <c r="E549" s="112"/>
      <c r="F549" s="128"/>
      <c r="G549" s="128"/>
      <c r="H549" s="128"/>
      <c r="I549" s="128"/>
      <c r="J549" s="112"/>
      <c r="K549" s="112"/>
      <c r="L549" s="153"/>
      <c r="M549" s="112"/>
      <c r="N549" s="112"/>
      <c r="O549" s="112"/>
      <c r="P549" s="112"/>
      <c r="Q549" s="112"/>
      <c r="R549" s="112"/>
      <c r="S549" s="112"/>
      <c r="T549" s="112"/>
      <c r="U549" s="112"/>
      <c r="V549" s="112"/>
      <c r="W549" s="112"/>
      <c r="X549" s="112"/>
      <c r="Y549" s="112"/>
      <c r="Z549" s="112"/>
      <c r="AA549" s="112"/>
      <c r="AB549" s="112"/>
    </row>
    <row r="550" ht="15.75" customHeight="1">
      <c r="A550" s="112"/>
      <c r="B550" s="112"/>
      <c r="C550" s="112"/>
      <c r="D550" s="125"/>
      <c r="E550" s="112"/>
      <c r="F550" s="128"/>
      <c r="G550" s="128"/>
      <c r="H550" s="128"/>
      <c r="I550" s="128"/>
      <c r="J550" s="112"/>
      <c r="K550" s="112"/>
      <c r="L550" s="153"/>
      <c r="M550" s="112"/>
      <c r="N550" s="112"/>
      <c r="O550" s="112"/>
      <c r="P550" s="112"/>
      <c r="Q550" s="112"/>
      <c r="R550" s="112"/>
      <c r="S550" s="112"/>
      <c r="T550" s="112"/>
      <c r="U550" s="112"/>
      <c r="V550" s="112"/>
      <c r="W550" s="112"/>
      <c r="X550" s="112"/>
      <c r="Y550" s="112"/>
      <c r="Z550" s="112"/>
      <c r="AA550" s="112"/>
      <c r="AB550" s="112"/>
    </row>
    <row r="551" ht="15.75" customHeight="1">
      <c r="A551" s="112"/>
      <c r="B551" s="112"/>
      <c r="C551" s="112"/>
      <c r="D551" s="125"/>
      <c r="E551" s="112"/>
      <c r="F551" s="128"/>
      <c r="G551" s="128"/>
      <c r="H551" s="128"/>
      <c r="I551" s="128"/>
      <c r="J551" s="112"/>
      <c r="K551" s="112"/>
      <c r="L551" s="153"/>
      <c r="M551" s="112"/>
      <c r="N551" s="112"/>
      <c r="O551" s="112"/>
      <c r="P551" s="112"/>
      <c r="Q551" s="112"/>
      <c r="R551" s="112"/>
      <c r="S551" s="112"/>
      <c r="T551" s="112"/>
      <c r="U551" s="112"/>
      <c r="V551" s="112"/>
      <c r="W551" s="112"/>
      <c r="X551" s="112"/>
      <c r="Y551" s="112"/>
      <c r="Z551" s="112"/>
      <c r="AA551" s="112"/>
      <c r="AB551" s="112"/>
    </row>
    <row r="552" ht="15.75" customHeight="1">
      <c r="A552" s="112"/>
      <c r="B552" s="112"/>
      <c r="C552" s="112"/>
      <c r="D552" s="125"/>
      <c r="E552" s="112"/>
      <c r="F552" s="128"/>
      <c r="G552" s="128"/>
      <c r="H552" s="128"/>
      <c r="I552" s="128"/>
      <c r="J552" s="112"/>
      <c r="K552" s="112"/>
      <c r="L552" s="153"/>
      <c r="M552" s="112"/>
      <c r="N552" s="112"/>
      <c r="O552" s="112"/>
      <c r="P552" s="112"/>
      <c r="Q552" s="112"/>
      <c r="R552" s="112"/>
      <c r="S552" s="112"/>
      <c r="T552" s="112"/>
      <c r="U552" s="112"/>
      <c r="V552" s="112"/>
      <c r="W552" s="112"/>
      <c r="X552" s="112"/>
      <c r="Y552" s="112"/>
      <c r="Z552" s="112"/>
      <c r="AA552" s="112"/>
      <c r="AB552" s="112"/>
    </row>
    <row r="553" ht="15.75" customHeight="1">
      <c r="A553" s="112"/>
      <c r="B553" s="112"/>
      <c r="C553" s="112"/>
      <c r="D553" s="125"/>
      <c r="E553" s="112"/>
      <c r="F553" s="128"/>
      <c r="G553" s="128"/>
      <c r="H553" s="128"/>
      <c r="I553" s="128"/>
      <c r="J553" s="112"/>
      <c r="K553" s="112"/>
      <c r="L553" s="153"/>
      <c r="M553" s="112"/>
      <c r="N553" s="112"/>
      <c r="O553" s="112"/>
      <c r="P553" s="112"/>
      <c r="Q553" s="112"/>
      <c r="R553" s="112"/>
      <c r="S553" s="112"/>
      <c r="T553" s="112"/>
      <c r="U553" s="112"/>
      <c r="V553" s="112"/>
      <c r="W553" s="112"/>
      <c r="X553" s="112"/>
      <c r="Y553" s="112"/>
      <c r="Z553" s="112"/>
      <c r="AA553" s="112"/>
      <c r="AB553" s="112"/>
    </row>
    <row r="554" ht="15.75" customHeight="1">
      <c r="A554" s="112"/>
      <c r="B554" s="112"/>
      <c r="C554" s="112"/>
      <c r="D554" s="125"/>
      <c r="E554" s="112"/>
      <c r="F554" s="128"/>
      <c r="G554" s="128"/>
      <c r="H554" s="128"/>
      <c r="I554" s="128"/>
      <c r="J554" s="112"/>
      <c r="K554" s="112"/>
      <c r="L554" s="153"/>
      <c r="M554" s="112"/>
      <c r="N554" s="112"/>
      <c r="O554" s="112"/>
      <c r="P554" s="112"/>
      <c r="Q554" s="112"/>
      <c r="R554" s="112"/>
      <c r="S554" s="112"/>
      <c r="T554" s="112"/>
      <c r="U554" s="112"/>
      <c r="V554" s="112"/>
      <c r="W554" s="112"/>
      <c r="X554" s="112"/>
      <c r="Y554" s="112"/>
      <c r="Z554" s="112"/>
      <c r="AA554" s="112"/>
      <c r="AB554" s="112"/>
    </row>
    <row r="555" ht="15.75" customHeight="1">
      <c r="A555" s="112"/>
      <c r="B555" s="112"/>
      <c r="C555" s="112"/>
      <c r="D555" s="125"/>
      <c r="E555" s="112"/>
      <c r="F555" s="128"/>
      <c r="G555" s="128"/>
      <c r="H555" s="128"/>
      <c r="I555" s="128"/>
      <c r="J555" s="112"/>
      <c r="K555" s="112"/>
      <c r="L555" s="153"/>
      <c r="M555" s="112"/>
      <c r="N555" s="112"/>
      <c r="O555" s="112"/>
      <c r="P555" s="112"/>
      <c r="Q555" s="112"/>
      <c r="R555" s="112"/>
      <c r="S555" s="112"/>
      <c r="T555" s="112"/>
      <c r="U555" s="112"/>
      <c r="V555" s="112"/>
      <c r="W555" s="112"/>
      <c r="X555" s="112"/>
      <c r="Y555" s="112"/>
      <c r="Z555" s="112"/>
      <c r="AA555" s="112"/>
      <c r="AB555" s="112"/>
    </row>
    <row r="556" ht="15.75" customHeight="1">
      <c r="A556" s="112"/>
      <c r="B556" s="112"/>
      <c r="C556" s="112"/>
      <c r="D556" s="125"/>
      <c r="E556" s="112"/>
      <c r="F556" s="128"/>
      <c r="G556" s="128"/>
      <c r="H556" s="128"/>
      <c r="I556" s="128"/>
      <c r="J556" s="112"/>
      <c r="K556" s="112"/>
      <c r="L556" s="153"/>
      <c r="M556" s="112"/>
      <c r="N556" s="112"/>
      <c r="O556" s="112"/>
      <c r="P556" s="112"/>
      <c r="Q556" s="112"/>
      <c r="R556" s="112"/>
      <c r="S556" s="112"/>
      <c r="T556" s="112"/>
      <c r="U556" s="112"/>
      <c r="V556" s="112"/>
      <c r="W556" s="112"/>
      <c r="X556" s="112"/>
      <c r="Y556" s="112"/>
      <c r="Z556" s="112"/>
      <c r="AA556" s="112"/>
      <c r="AB556" s="112"/>
    </row>
    <row r="557" ht="15.75" customHeight="1">
      <c r="A557" s="112"/>
      <c r="B557" s="112"/>
      <c r="C557" s="112"/>
      <c r="D557" s="125"/>
      <c r="E557" s="112"/>
      <c r="F557" s="128"/>
      <c r="G557" s="128"/>
      <c r="H557" s="128"/>
      <c r="I557" s="128"/>
      <c r="J557" s="112"/>
      <c r="K557" s="112"/>
      <c r="L557" s="153"/>
      <c r="M557" s="112"/>
      <c r="N557" s="112"/>
      <c r="O557" s="112"/>
      <c r="P557" s="112"/>
      <c r="Q557" s="112"/>
      <c r="R557" s="112"/>
      <c r="S557" s="112"/>
      <c r="T557" s="112"/>
      <c r="U557" s="112"/>
      <c r="V557" s="112"/>
      <c r="W557" s="112"/>
      <c r="X557" s="112"/>
      <c r="Y557" s="112"/>
      <c r="Z557" s="112"/>
      <c r="AA557" s="112"/>
      <c r="AB557" s="112"/>
    </row>
    <row r="558" ht="15.75" customHeight="1">
      <c r="A558" s="112"/>
      <c r="B558" s="112"/>
      <c r="C558" s="112"/>
      <c r="D558" s="125"/>
      <c r="E558" s="112"/>
      <c r="F558" s="128"/>
      <c r="G558" s="128"/>
      <c r="H558" s="128"/>
      <c r="I558" s="128"/>
      <c r="J558" s="112"/>
      <c r="K558" s="112"/>
      <c r="L558" s="153"/>
      <c r="M558" s="112"/>
      <c r="N558" s="112"/>
      <c r="O558" s="112"/>
      <c r="P558" s="112"/>
      <c r="Q558" s="112"/>
      <c r="R558" s="112"/>
      <c r="S558" s="112"/>
      <c r="T558" s="112"/>
      <c r="U558" s="112"/>
      <c r="V558" s="112"/>
      <c r="W558" s="112"/>
      <c r="X558" s="112"/>
      <c r="Y558" s="112"/>
      <c r="Z558" s="112"/>
      <c r="AA558" s="112"/>
      <c r="AB558" s="112"/>
    </row>
    <row r="559" ht="15.75" customHeight="1">
      <c r="A559" s="112"/>
      <c r="B559" s="112"/>
      <c r="C559" s="112"/>
      <c r="D559" s="125"/>
      <c r="E559" s="112"/>
      <c r="F559" s="128"/>
      <c r="G559" s="128"/>
      <c r="H559" s="128"/>
      <c r="I559" s="128"/>
      <c r="J559" s="112"/>
      <c r="K559" s="112"/>
      <c r="L559" s="153"/>
      <c r="M559" s="112"/>
      <c r="N559" s="112"/>
      <c r="O559" s="112"/>
      <c r="P559" s="112"/>
      <c r="Q559" s="112"/>
      <c r="R559" s="112"/>
      <c r="S559" s="112"/>
      <c r="T559" s="112"/>
      <c r="U559" s="112"/>
      <c r="V559" s="112"/>
      <c r="W559" s="112"/>
      <c r="X559" s="112"/>
      <c r="Y559" s="112"/>
      <c r="Z559" s="112"/>
      <c r="AA559" s="112"/>
      <c r="AB559" s="112"/>
    </row>
    <row r="560" ht="15.75" customHeight="1">
      <c r="A560" s="112"/>
      <c r="B560" s="112"/>
      <c r="C560" s="112"/>
      <c r="D560" s="125"/>
      <c r="E560" s="112"/>
      <c r="F560" s="128"/>
      <c r="G560" s="128"/>
      <c r="H560" s="128"/>
      <c r="I560" s="128"/>
      <c r="J560" s="112"/>
      <c r="K560" s="112"/>
      <c r="L560" s="153"/>
      <c r="M560" s="112"/>
      <c r="N560" s="112"/>
      <c r="O560" s="112"/>
      <c r="P560" s="112"/>
      <c r="Q560" s="112"/>
      <c r="R560" s="112"/>
      <c r="S560" s="112"/>
      <c r="T560" s="112"/>
      <c r="U560" s="112"/>
      <c r="V560" s="112"/>
      <c r="W560" s="112"/>
      <c r="X560" s="112"/>
      <c r="Y560" s="112"/>
      <c r="Z560" s="112"/>
      <c r="AA560" s="112"/>
      <c r="AB560" s="112"/>
    </row>
    <row r="561" ht="15.75" customHeight="1">
      <c r="A561" s="112"/>
      <c r="B561" s="112"/>
      <c r="C561" s="112"/>
      <c r="D561" s="125"/>
      <c r="E561" s="112"/>
      <c r="F561" s="128"/>
      <c r="G561" s="128"/>
      <c r="H561" s="128"/>
      <c r="I561" s="128"/>
      <c r="J561" s="112"/>
      <c r="K561" s="112"/>
      <c r="L561" s="153"/>
      <c r="M561" s="112"/>
      <c r="N561" s="112"/>
      <c r="O561" s="112"/>
      <c r="P561" s="112"/>
      <c r="Q561" s="112"/>
      <c r="R561" s="112"/>
      <c r="S561" s="112"/>
      <c r="T561" s="112"/>
      <c r="U561" s="112"/>
      <c r="V561" s="112"/>
      <c r="W561" s="112"/>
      <c r="X561" s="112"/>
      <c r="Y561" s="112"/>
      <c r="Z561" s="112"/>
      <c r="AA561" s="112"/>
      <c r="AB561" s="112"/>
    </row>
    <row r="562" ht="15.75" customHeight="1">
      <c r="A562" s="112"/>
      <c r="B562" s="112"/>
      <c r="C562" s="112"/>
      <c r="D562" s="125"/>
      <c r="E562" s="112"/>
      <c r="F562" s="128"/>
      <c r="G562" s="128"/>
      <c r="H562" s="128"/>
      <c r="I562" s="128"/>
      <c r="J562" s="112"/>
      <c r="K562" s="112"/>
      <c r="L562" s="153"/>
      <c r="M562" s="112"/>
      <c r="N562" s="112"/>
      <c r="O562" s="112"/>
      <c r="P562" s="112"/>
      <c r="Q562" s="112"/>
      <c r="R562" s="112"/>
      <c r="S562" s="112"/>
      <c r="T562" s="112"/>
      <c r="U562" s="112"/>
      <c r="V562" s="112"/>
      <c r="W562" s="112"/>
      <c r="X562" s="112"/>
      <c r="Y562" s="112"/>
      <c r="Z562" s="112"/>
      <c r="AA562" s="112"/>
      <c r="AB562" s="112"/>
    </row>
    <row r="563" ht="15.75" customHeight="1">
      <c r="A563" s="112"/>
      <c r="B563" s="112"/>
      <c r="C563" s="112"/>
      <c r="D563" s="125"/>
      <c r="E563" s="112"/>
      <c r="F563" s="128"/>
      <c r="G563" s="128"/>
      <c r="H563" s="128"/>
      <c r="I563" s="128"/>
      <c r="J563" s="112"/>
      <c r="K563" s="112"/>
      <c r="L563" s="153"/>
      <c r="M563" s="112"/>
      <c r="N563" s="112"/>
      <c r="O563" s="112"/>
      <c r="P563" s="112"/>
      <c r="Q563" s="112"/>
      <c r="R563" s="112"/>
      <c r="S563" s="112"/>
      <c r="T563" s="112"/>
      <c r="U563" s="112"/>
      <c r="V563" s="112"/>
      <c r="W563" s="112"/>
      <c r="X563" s="112"/>
      <c r="Y563" s="112"/>
      <c r="Z563" s="112"/>
      <c r="AA563" s="112"/>
      <c r="AB563" s="112"/>
    </row>
    <row r="564" ht="15.75" customHeight="1">
      <c r="A564" s="112"/>
      <c r="B564" s="112"/>
      <c r="C564" s="112"/>
      <c r="D564" s="125"/>
      <c r="E564" s="112"/>
      <c r="F564" s="128"/>
      <c r="G564" s="128"/>
      <c r="H564" s="128"/>
      <c r="I564" s="128"/>
      <c r="J564" s="112"/>
      <c r="K564" s="112"/>
      <c r="L564" s="153"/>
      <c r="M564" s="112"/>
      <c r="N564" s="112"/>
      <c r="O564" s="112"/>
      <c r="P564" s="112"/>
      <c r="Q564" s="112"/>
      <c r="R564" s="112"/>
      <c r="S564" s="112"/>
      <c r="T564" s="112"/>
      <c r="U564" s="112"/>
      <c r="V564" s="112"/>
      <c r="W564" s="112"/>
      <c r="X564" s="112"/>
      <c r="Y564" s="112"/>
      <c r="Z564" s="112"/>
      <c r="AA564" s="112"/>
      <c r="AB564" s="112"/>
    </row>
    <row r="565" ht="15.75" customHeight="1">
      <c r="A565" s="112"/>
      <c r="B565" s="112"/>
      <c r="C565" s="112"/>
      <c r="D565" s="125"/>
      <c r="E565" s="112"/>
      <c r="F565" s="128"/>
      <c r="G565" s="128"/>
      <c r="H565" s="128"/>
      <c r="I565" s="128"/>
      <c r="J565" s="112"/>
      <c r="K565" s="112"/>
      <c r="L565" s="153"/>
      <c r="M565" s="112"/>
      <c r="N565" s="112"/>
      <c r="O565" s="112"/>
      <c r="P565" s="112"/>
      <c r="Q565" s="112"/>
      <c r="R565" s="112"/>
      <c r="S565" s="112"/>
      <c r="T565" s="112"/>
      <c r="U565" s="112"/>
      <c r="V565" s="112"/>
      <c r="W565" s="112"/>
      <c r="X565" s="112"/>
      <c r="Y565" s="112"/>
      <c r="Z565" s="112"/>
      <c r="AA565" s="112"/>
      <c r="AB565" s="112"/>
    </row>
    <row r="566" ht="15.75" customHeight="1">
      <c r="A566" s="112"/>
      <c r="B566" s="112"/>
      <c r="C566" s="112"/>
      <c r="D566" s="125"/>
      <c r="E566" s="112"/>
      <c r="F566" s="128"/>
      <c r="G566" s="128"/>
      <c r="H566" s="128"/>
      <c r="I566" s="128"/>
      <c r="J566" s="112"/>
      <c r="K566" s="112"/>
      <c r="L566" s="153"/>
      <c r="M566" s="112"/>
      <c r="N566" s="112"/>
      <c r="O566" s="112"/>
      <c r="P566" s="112"/>
      <c r="Q566" s="112"/>
      <c r="R566" s="112"/>
      <c r="S566" s="112"/>
      <c r="T566" s="112"/>
      <c r="U566" s="112"/>
      <c r="V566" s="112"/>
      <c r="W566" s="112"/>
      <c r="X566" s="112"/>
      <c r="Y566" s="112"/>
      <c r="Z566" s="112"/>
      <c r="AA566" s="112"/>
      <c r="AB566" s="112"/>
    </row>
    <row r="567" ht="15.75" customHeight="1">
      <c r="A567" s="112"/>
      <c r="B567" s="112"/>
      <c r="C567" s="112"/>
      <c r="D567" s="125"/>
      <c r="E567" s="112"/>
      <c r="F567" s="128"/>
      <c r="G567" s="128"/>
      <c r="H567" s="128"/>
      <c r="I567" s="128"/>
      <c r="J567" s="112"/>
      <c r="K567" s="112"/>
      <c r="L567" s="153"/>
      <c r="M567" s="112"/>
      <c r="N567" s="112"/>
      <c r="O567" s="112"/>
      <c r="P567" s="112"/>
      <c r="Q567" s="112"/>
      <c r="R567" s="112"/>
      <c r="S567" s="112"/>
      <c r="T567" s="112"/>
      <c r="U567" s="112"/>
      <c r="V567" s="112"/>
      <c r="W567" s="112"/>
      <c r="X567" s="112"/>
      <c r="Y567" s="112"/>
      <c r="Z567" s="112"/>
      <c r="AA567" s="112"/>
      <c r="AB567" s="112"/>
    </row>
    <row r="568" ht="15.75" customHeight="1">
      <c r="A568" s="112"/>
      <c r="B568" s="112"/>
      <c r="C568" s="112"/>
      <c r="D568" s="125"/>
      <c r="E568" s="112"/>
      <c r="F568" s="128"/>
      <c r="G568" s="128"/>
      <c r="H568" s="128"/>
      <c r="I568" s="128"/>
      <c r="J568" s="112"/>
      <c r="K568" s="112"/>
      <c r="L568" s="153"/>
      <c r="M568" s="112"/>
      <c r="N568" s="112"/>
      <c r="O568" s="112"/>
      <c r="P568" s="112"/>
      <c r="Q568" s="112"/>
      <c r="R568" s="112"/>
      <c r="S568" s="112"/>
      <c r="T568" s="112"/>
      <c r="U568" s="112"/>
      <c r="V568" s="112"/>
      <c r="W568" s="112"/>
      <c r="X568" s="112"/>
      <c r="Y568" s="112"/>
      <c r="Z568" s="112"/>
      <c r="AA568" s="112"/>
      <c r="AB568" s="112"/>
    </row>
    <row r="569" ht="15.75" customHeight="1">
      <c r="A569" s="112"/>
      <c r="B569" s="112"/>
      <c r="C569" s="112"/>
      <c r="D569" s="125"/>
      <c r="E569" s="112"/>
      <c r="F569" s="128"/>
      <c r="G569" s="128"/>
      <c r="H569" s="128"/>
      <c r="I569" s="128"/>
      <c r="J569" s="112"/>
      <c r="K569" s="112"/>
      <c r="L569" s="153"/>
      <c r="M569" s="112"/>
      <c r="N569" s="112"/>
      <c r="O569" s="112"/>
      <c r="P569" s="112"/>
      <c r="Q569" s="112"/>
      <c r="R569" s="112"/>
      <c r="S569" s="112"/>
      <c r="T569" s="112"/>
      <c r="U569" s="112"/>
      <c r="V569" s="112"/>
      <c r="W569" s="112"/>
      <c r="X569" s="112"/>
      <c r="Y569" s="112"/>
      <c r="Z569" s="112"/>
      <c r="AA569" s="112"/>
      <c r="AB569" s="112"/>
    </row>
    <row r="570" ht="15.75" customHeight="1">
      <c r="A570" s="112"/>
      <c r="B570" s="112"/>
      <c r="C570" s="112"/>
      <c r="D570" s="125"/>
      <c r="E570" s="112"/>
      <c r="F570" s="128"/>
      <c r="G570" s="128"/>
      <c r="H570" s="128"/>
      <c r="I570" s="128"/>
      <c r="J570" s="112"/>
      <c r="K570" s="112"/>
      <c r="L570" s="153"/>
      <c r="M570" s="112"/>
      <c r="N570" s="112"/>
      <c r="O570" s="112"/>
      <c r="P570" s="112"/>
      <c r="Q570" s="112"/>
      <c r="R570" s="112"/>
      <c r="S570" s="112"/>
      <c r="T570" s="112"/>
      <c r="U570" s="112"/>
      <c r="V570" s="112"/>
      <c r="W570" s="112"/>
      <c r="X570" s="112"/>
      <c r="Y570" s="112"/>
      <c r="Z570" s="112"/>
      <c r="AA570" s="112"/>
      <c r="AB570" s="112"/>
    </row>
    <row r="571" ht="15.75" customHeight="1">
      <c r="A571" s="112"/>
      <c r="B571" s="112"/>
      <c r="C571" s="112"/>
      <c r="D571" s="125"/>
      <c r="E571" s="112"/>
      <c r="F571" s="128"/>
      <c r="G571" s="128"/>
      <c r="H571" s="128"/>
      <c r="I571" s="128"/>
      <c r="J571" s="112"/>
      <c r="K571" s="112"/>
      <c r="L571" s="153"/>
      <c r="M571" s="112"/>
      <c r="N571" s="112"/>
      <c r="O571" s="112"/>
      <c r="P571" s="112"/>
      <c r="Q571" s="112"/>
      <c r="R571" s="112"/>
      <c r="S571" s="112"/>
      <c r="T571" s="112"/>
      <c r="U571" s="112"/>
      <c r="V571" s="112"/>
      <c r="W571" s="112"/>
      <c r="X571" s="112"/>
      <c r="Y571" s="112"/>
      <c r="Z571" s="112"/>
      <c r="AA571" s="112"/>
      <c r="AB571" s="112"/>
    </row>
    <row r="572" ht="15.75" customHeight="1">
      <c r="A572" s="112"/>
      <c r="B572" s="112"/>
      <c r="C572" s="112"/>
      <c r="D572" s="125"/>
      <c r="E572" s="112"/>
      <c r="F572" s="128"/>
      <c r="G572" s="128"/>
      <c r="H572" s="128"/>
      <c r="I572" s="128"/>
      <c r="J572" s="112"/>
      <c r="K572" s="112"/>
      <c r="L572" s="153"/>
      <c r="M572" s="112"/>
      <c r="N572" s="112"/>
      <c r="O572" s="112"/>
      <c r="P572" s="112"/>
      <c r="Q572" s="112"/>
      <c r="R572" s="112"/>
      <c r="S572" s="112"/>
      <c r="T572" s="112"/>
      <c r="U572" s="112"/>
      <c r="V572" s="112"/>
      <c r="W572" s="112"/>
      <c r="X572" s="112"/>
      <c r="Y572" s="112"/>
      <c r="Z572" s="112"/>
      <c r="AA572" s="112"/>
      <c r="AB572" s="112"/>
    </row>
    <row r="573" ht="15.75" customHeight="1">
      <c r="A573" s="112"/>
      <c r="B573" s="112"/>
      <c r="C573" s="112"/>
      <c r="D573" s="125"/>
      <c r="E573" s="112"/>
      <c r="F573" s="128"/>
      <c r="G573" s="128"/>
      <c r="H573" s="128"/>
      <c r="I573" s="128"/>
      <c r="J573" s="112"/>
      <c r="K573" s="112"/>
      <c r="L573" s="153"/>
      <c r="M573" s="112"/>
      <c r="N573" s="112"/>
      <c r="O573" s="112"/>
      <c r="P573" s="112"/>
      <c r="Q573" s="112"/>
      <c r="R573" s="112"/>
      <c r="S573" s="112"/>
      <c r="T573" s="112"/>
      <c r="U573" s="112"/>
      <c r="V573" s="112"/>
      <c r="W573" s="112"/>
      <c r="X573" s="112"/>
      <c r="Y573" s="112"/>
      <c r="Z573" s="112"/>
      <c r="AA573" s="112"/>
      <c r="AB573" s="112"/>
    </row>
    <row r="574" ht="15.75" customHeight="1">
      <c r="A574" s="112"/>
      <c r="B574" s="112"/>
      <c r="C574" s="112"/>
      <c r="D574" s="125"/>
      <c r="E574" s="112"/>
      <c r="F574" s="128"/>
      <c r="G574" s="128"/>
      <c r="H574" s="128"/>
      <c r="I574" s="128"/>
      <c r="J574" s="112"/>
      <c r="K574" s="112"/>
      <c r="L574" s="153"/>
      <c r="M574" s="112"/>
      <c r="N574" s="112"/>
      <c r="O574" s="112"/>
      <c r="P574" s="112"/>
      <c r="Q574" s="112"/>
      <c r="R574" s="112"/>
      <c r="S574" s="112"/>
      <c r="T574" s="112"/>
      <c r="U574" s="112"/>
      <c r="V574" s="112"/>
      <c r="W574" s="112"/>
      <c r="X574" s="112"/>
      <c r="Y574" s="112"/>
      <c r="Z574" s="112"/>
      <c r="AA574" s="112"/>
      <c r="AB574" s="112"/>
    </row>
    <row r="575" ht="15.75" customHeight="1">
      <c r="A575" s="112"/>
      <c r="B575" s="112"/>
      <c r="C575" s="112"/>
      <c r="D575" s="125"/>
      <c r="E575" s="112"/>
      <c r="F575" s="128"/>
      <c r="G575" s="128"/>
      <c r="H575" s="128"/>
      <c r="I575" s="128"/>
      <c r="J575" s="112"/>
      <c r="K575" s="112"/>
      <c r="L575" s="153"/>
      <c r="M575" s="112"/>
      <c r="N575" s="112"/>
      <c r="O575" s="112"/>
      <c r="P575" s="112"/>
      <c r="Q575" s="112"/>
      <c r="R575" s="112"/>
      <c r="S575" s="112"/>
      <c r="T575" s="112"/>
      <c r="U575" s="112"/>
      <c r="V575" s="112"/>
      <c r="W575" s="112"/>
      <c r="X575" s="112"/>
      <c r="Y575" s="112"/>
      <c r="Z575" s="112"/>
      <c r="AA575" s="112"/>
      <c r="AB575" s="112"/>
    </row>
    <row r="576" ht="15.75" customHeight="1">
      <c r="A576" s="112"/>
      <c r="B576" s="112"/>
      <c r="C576" s="112"/>
      <c r="D576" s="125"/>
      <c r="E576" s="112"/>
      <c r="F576" s="128"/>
      <c r="G576" s="128"/>
      <c r="H576" s="128"/>
      <c r="I576" s="128"/>
      <c r="J576" s="112"/>
      <c r="K576" s="112"/>
      <c r="L576" s="153"/>
      <c r="M576" s="112"/>
      <c r="N576" s="112"/>
      <c r="O576" s="112"/>
      <c r="P576" s="112"/>
      <c r="Q576" s="112"/>
      <c r="R576" s="112"/>
      <c r="S576" s="112"/>
      <c r="T576" s="112"/>
      <c r="U576" s="112"/>
      <c r="V576" s="112"/>
      <c r="W576" s="112"/>
      <c r="X576" s="112"/>
      <c r="Y576" s="112"/>
      <c r="Z576" s="112"/>
      <c r="AA576" s="112"/>
      <c r="AB576" s="112"/>
    </row>
    <row r="577" ht="15.75" customHeight="1">
      <c r="A577" s="112"/>
      <c r="B577" s="112"/>
      <c r="C577" s="112"/>
      <c r="D577" s="125"/>
      <c r="E577" s="112"/>
      <c r="F577" s="128"/>
      <c r="G577" s="128"/>
      <c r="H577" s="128"/>
      <c r="I577" s="128"/>
      <c r="J577" s="112"/>
      <c r="K577" s="112"/>
      <c r="L577" s="153"/>
      <c r="M577" s="112"/>
      <c r="N577" s="112"/>
      <c r="O577" s="112"/>
      <c r="P577" s="112"/>
      <c r="Q577" s="112"/>
      <c r="R577" s="112"/>
      <c r="S577" s="112"/>
      <c r="T577" s="112"/>
      <c r="U577" s="112"/>
      <c r="V577" s="112"/>
      <c r="W577" s="112"/>
      <c r="X577" s="112"/>
      <c r="Y577" s="112"/>
      <c r="Z577" s="112"/>
      <c r="AA577" s="112"/>
      <c r="AB577" s="112"/>
    </row>
    <row r="578" ht="15.75" customHeight="1">
      <c r="A578" s="112"/>
      <c r="B578" s="112"/>
      <c r="C578" s="112"/>
      <c r="D578" s="125"/>
      <c r="E578" s="112"/>
      <c r="F578" s="128"/>
      <c r="G578" s="128"/>
      <c r="H578" s="128"/>
      <c r="I578" s="128"/>
      <c r="J578" s="112"/>
      <c r="K578" s="112"/>
      <c r="L578" s="153"/>
      <c r="M578" s="112"/>
      <c r="N578" s="112"/>
      <c r="O578" s="112"/>
      <c r="P578" s="112"/>
      <c r="Q578" s="112"/>
      <c r="R578" s="112"/>
      <c r="S578" s="112"/>
      <c r="T578" s="112"/>
      <c r="U578" s="112"/>
      <c r="V578" s="112"/>
      <c r="W578" s="112"/>
      <c r="X578" s="112"/>
      <c r="Y578" s="112"/>
      <c r="Z578" s="112"/>
      <c r="AA578" s="112"/>
      <c r="AB578" s="112"/>
    </row>
    <row r="579" ht="15.75" customHeight="1">
      <c r="A579" s="112"/>
      <c r="B579" s="112"/>
      <c r="C579" s="112"/>
      <c r="D579" s="125"/>
      <c r="E579" s="112"/>
      <c r="F579" s="128"/>
      <c r="G579" s="128"/>
      <c r="H579" s="128"/>
      <c r="I579" s="128"/>
      <c r="J579" s="112"/>
      <c r="K579" s="112"/>
      <c r="L579" s="153"/>
      <c r="M579" s="112"/>
      <c r="N579" s="112"/>
      <c r="O579" s="112"/>
      <c r="P579" s="112"/>
      <c r="Q579" s="112"/>
      <c r="R579" s="112"/>
      <c r="S579" s="112"/>
      <c r="T579" s="112"/>
      <c r="U579" s="112"/>
      <c r="V579" s="112"/>
      <c r="W579" s="112"/>
      <c r="X579" s="112"/>
      <c r="Y579" s="112"/>
      <c r="Z579" s="112"/>
      <c r="AA579" s="112"/>
      <c r="AB579" s="112"/>
    </row>
    <row r="580" ht="15.75" customHeight="1">
      <c r="A580" s="112"/>
      <c r="B580" s="112"/>
      <c r="C580" s="112"/>
      <c r="D580" s="125"/>
      <c r="E580" s="112"/>
      <c r="F580" s="128"/>
      <c r="G580" s="128"/>
      <c r="H580" s="128"/>
      <c r="I580" s="128"/>
      <c r="J580" s="112"/>
      <c r="K580" s="112"/>
      <c r="L580" s="153"/>
      <c r="M580" s="112"/>
      <c r="N580" s="112"/>
      <c r="O580" s="112"/>
      <c r="P580" s="112"/>
      <c r="Q580" s="112"/>
      <c r="R580" s="112"/>
      <c r="S580" s="112"/>
      <c r="T580" s="112"/>
      <c r="U580" s="112"/>
      <c r="V580" s="112"/>
      <c r="W580" s="112"/>
      <c r="X580" s="112"/>
      <c r="Y580" s="112"/>
      <c r="Z580" s="112"/>
      <c r="AA580" s="112"/>
      <c r="AB580" s="112"/>
    </row>
    <row r="581" ht="15.75" customHeight="1">
      <c r="A581" s="112"/>
      <c r="B581" s="112"/>
      <c r="C581" s="112"/>
      <c r="D581" s="125"/>
      <c r="E581" s="112"/>
      <c r="F581" s="128"/>
      <c r="G581" s="128"/>
      <c r="H581" s="128"/>
      <c r="I581" s="128"/>
      <c r="J581" s="112"/>
      <c r="K581" s="112"/>
      <c r="L581" s="153"/>
      <c r="M581" s="112"/>
      <c r="N581" s="112"/>
      <c r="O581" s="112"/>
      <c r="P581" s="112"/>
      <c r="Q581" s="112"/>
      <c r="R581" s="112"/>
      <c r="S581" s="112"/>
      <c r="T581" s="112"/>
      <c r="U581" s="112"/>
      <c r="V581" s="112"/>
      <c r="W581" s="112"/>
      <c r="X581" s="112"/>
      <c r="Y581" s="112"/>
      <c r="Z581" s="112"/>
      <c r="AA581" s="112"/>
      <c r="AB581" s="112"/>
    </row>
    <row r="582" ht="15.75" customHeight="1">
      <c r="A582" s="112"/>
      <c r="B582" s="112"/>
      <c r="C582" s="112"/>
      <c r="D582" s="125"/>
      <c r="E582" s="112"/>
      <c r="F582" s="128"/>
      <c r="G582" s="128"/>
      <c r="H582" s="128"/>
      <c r="I582" s="128"/>
      <c r="J582" s="112"/>
      <c r="K582" s="112"/>
      <c r="L582" s="153"/>
      <c r="M582" s="112"/>
      <c r="N582" s="112"/>
      <c r="O582" s="112"/>
      <c r="P582" s="112"/>
      <c r="Q582" s="112"/>
      <c r="R582" s="112"/>
      <c r="S582" s="112"/>
      <c r="T582" s="112"/>
      <c r="U582" s="112"/>
      <c r="V582" s="112"/>
      <c r="W582" s="112"/>
      <c r="X582" s="112"/>
      <c r="Y582" s="112"/>
      <c r="Z582" s="112"/>
      <c r="AA582" s="112"/>
      <c r="AB582" s="112"/>
    </row>
    <row r="583" ht="15.75" customHeight="1">
      <c r="A583" s="112"/>
      <c r="B583" s="112"/>
      <c r="C583" s="112"/>
      <c r="D583" s="125"/>
      <c r="E583" s="112"/>
      <c r="F583" s="128"/>
      <c r="G583" s="128"/>
      <c r="H583" s="128"/>
      <c r="I583" s="128"/>
      <c r="J583" s="112"/>
      <c r="K583" s="112"/>
      <c r="L583" s="153"/>
      <c r="M583" s="112"/>
      <c r="N583" s="112"/>
      <c r="O583" s="112"/>
      <c r="P583" s="112"/>
      <c r="Q583" s="112"/>
      <c r="R583" s="112"/>
      <c r="S583" s="112"/>
      <c r="T583" s="112"/>
      <c r="U583" s="112"/>
      <c r="V583" s="112"/>
      <c r="W583" s="112"/>
      <c r="X583" s="112"/>
      <c r="Y583" s="112"/>
      <c r="Z583" s="112"/>
      <c r="AA583" s="112"/>
      <c r="AB583" s="112"/>
    </row>
    <row r="584" ht="15.75" customHeight="1">
      <c r="A584" s="112"/>
      <c r="B584" s="112"/>
      <c r="C584" s="112"/>
      <c r="D584" s="125"/>
      <c r="E584" s="112"/>
      <c r="F584" s="128"/>
      <c r="G584" s="128"/>
      <c r="H584" s="128"/>
      <c r="I584" s="128"/>
      <c r="J584" s="112"/>
      <c r="K584" s="112"/>
      <c r="L584" s="153"/>
      <c r="M584" s="112"/>
      <c r="N584" s="112"/>
      <c r="O584" s="112"/>
      <c r="P584" s="112"/>
      <c r="Q584" s="112"/>
      <c r="R584" s="112"/>
      <c r="S584" s="112"/>
      <c r="T584" s="112"/>
      <c r="U584" s="112"/>
      <c r="V584" s="112"/>
      <c r="W584" s="112"/>
      <c r="X584" s="112"/>
      <c r="Y584" s="112"/>
      <c r="Z584" s="112"/>
      <c r="AA584" s="112"/>
      <c r="AB584" s="112"/>
    </row>
    <row r="585" ht="15.75" customHeight="1">
      <c r="A585" s="112"/>
      <c r="B585" s="112"/>
      <c r="C585" s="112"/>
      <c r="D585" s="125"/>
      <c r="E585" s="112"/>
      <c r="F585" s="128"/>
      <c r="G585" s="128"/>
      <c r="H585" s="128"/>
      <c r="I585" s="128"/>
      <c r="J585" s="112"/>
      <c r="K585" s="112"/>
      <c r="L585" s="153"/>
      <c r="M585" s="112"/>
      <c r="N585" s="112"/>
      <c r="O585" s="112"/>
      <c r="P585" s="112"/>
      <c r="Q585" s="112"/>
      <c r="R585" s="112"/>
      <c r="S585" s="112"/>
      <c r="T585" s="112"/>
      <c r="U585" s="112"/>
      <c r="V585" s="112"/>
      <c r="W585" s="112"/>
      <c r="X585" s="112"/>
      <c r="Y585" s="112"/>
      <c r="Z585" s="112"/>
      <c r="AA585" s="112"/>
      <c r="AB585" s="112"/>
    </row>
    <row r="586" ht="15.75" customHeight="1">
      <c r="A586" s="112"/>
      <c r="B586" s="112"/>
      <c r="C586" s="112"/>
      <c r="D586" s="125"/>
      <c r="E586" s="112"/>
      <c r="F586" s="128"/>
      <c r="G586" s="128"/>
      <c r="H586" s="128"/>
      <c r="I586" s="128"/>
      <c r="J586" s="112"/>
      <c r="K586" s="112"/>
      <c r="L586" s="153"/>
      <c r="M586" s="112"/>
      <c r="N586" s="112"/>
      <c r="O586" s="112"/>
      <c r="P586" s="112"/>
      <c r="Q586" s="112"/>
      <c r="R586" s="112"/>
      <c r="S586" s="112"/>
      <c r="T586" s="112"/>
      <c r="U586" s="112"/>
      <c r="V586" s="112"/>
      <c r="W586" s="112"/>
      <c r="X586" s="112"/>
      <c r="Y586" s="112"/>
      <c r="Z586" s="112"/>
      <c r="AA586" s="112"/>
      <c r="AB586" s="112"/>
    </row>
    <row r="587" ht="15.75" customHeight="1">
      <c r="A587" s="112"/>
      <c r="B587" s="112"/>
      <c r="C587" s="112"/>
      <c r="D587" s="125"/>
      <c r="E587" s="112"/>
      <c r="F587" s="128"/>
      <c r="G587" s="128"/>
      <c r="H587" s="128"/>
      <c r="I587" s="128"/>
      <c r="J587" s="112"/>
      <c r="K587" s="112"/>
      <c r="L587" s="153"/>
      <c r="M587" s="112"/>
      <c r="N587" s="112"/>
      <c r="O587" s="112"/>
      <c r="P587" s="112"/>
      <c r="Q587" s="112"/>
      <c r="R587" s="112"/>
      <c r="S587" s="112"/>
      <c r="T587" s="112"/>
      <c r="U587" s="112"/>
      <c r="V587" s="112"/>
      <c r="W587" s="112"/>
      <c r="X587" s="112"/>
      <c r="Y587" s="112"/>
      <c r="Z587" s="112"/>
      <c r="AA587" s="112"/>
      <c r="AB587" s="112"/>
    </row>
    <row r="588" ht="15.75" customHeight="1">
      <c r="A588" s="112"/>
      <c r="B588" s="112"/>
      <c r="C588" s="112"/>
      <c r="D588" s="125"/>
      <c r="E588" s="112"/>
      <c r="F588" s="128"/>
      <c r="G588" s="128"/>
      <c r="H588" s="128"/>
      <c r="I588" s="128"/>
      <c r="J588" s="112"/>
      <c r="K588" s="112"/>
      <c r="L588" s="153"/>
      <c r="M588" s="112"/>
      <c r="N588" s="112"/>
      <c r="O588" s="112"/>
      <c r="P588" s="112"/>
      <c r="Q588" s="112"/>
      <c r="R588" s="112"/>
      <c r="S588" s="112"/>
      <c r="T588" s="112"/>
      <c r="U588" s="112"/>
      <c r="V588" s="112"/>
      <c r="W588" s="112"/>
      <c r="X588" s="112"/>
      <c r="Y588" s="112"/>
      <c r="Z588" s="112"/>
      <c r="AA588" s="112"/>
      <c r="AB588" s="112"/>
    </row>
    <row r="589" ht="15.75" customHeight="1">
      <c r="A589" s="112"/>
      <c r="B589" s="112"/>
      <c r="C589" s="112"/>
      <c r="D589" s="125"/>
      <c r="E589" s="112"/>
      <c r="F589" s="128"/>
      <c r="G589" s="128"/>
      <c r="H589" s="128"/>
      <c r="I589" s="128"/>
      <c r="J589" s="112"/>
      <c r="K589" s="112"/>
      <c r="L589" s="153"/>
      <c r="M589" s="112"/>
      <c r="N589" s="112"/>
      <c r="O589" s="112"/>
      <c r="P589" s="112"/>
      <c r="Q589" s="112"/>
      <c r="R589" s="112"/>
      <c r="S589" s="112"/>
      <c r="T589" s="112"/>
      <c r="U589" s="112"/>
      <c r="V589" s="112"/>
      <c r="W589" s="112"/>
      <c r="X589" s="112"/>
      <c r="Y589" s="112"/>
      <c r="Z589" s="112"/>
      <c r="AA589" s="112"/>
      <c r="AB589" s="112"/>
    </row>
    <row r="590" ht="15.75" customHeight="1">
      <c r="A590" s="112"/>
      <c r="B590" s="112"/>
      <c r="C590" s="112"/>
      <c r="D590" s="125"/>
      <c r="E590" s="112"/>
      <c r="F590" s="128"/>
      <c r="G590" s="128"/>
      <c r="H590" s="128"/>
      <c r="I590" s="128"/>
      <c r="J590" s="112"/>
      <c r="K590" s="112"/>
      <c r="L590" s="153"/>
      <c r="M590" s="112"/>
      <c r="N590" s="112"/>
      <c r="O590" s="112"/>
      <c r="P590" s="112"/>
      <c r="Q590" s="112"/>
      <c r="R590" s="112"/>
      <c r="S590" s="112"/>
      <c r="T590" s="112"/>
      <c r="U590" s="112"/>
      <c r="V590" s="112"/>
      <c r="W590" s="112"/>
      <c r="X590" s="112"/>
      <c r="Y590" s="112"/>
      <c r="Z590" s="112"/>
      <c r="AA590" s="112"/>
      <c r="AB590" s="112"/>
    </row>
    <row r="591" ht="15.75" customHeight="1">
      <c r="A591" s="112"/>
      <c r="B591" s="112"/>
      <c r="C591" s="112"/>
      <c r="D591" s="125"/>
      <c r="E591" s="112"/>
      <c r="F591" s="128"/>
      <c r="G591" s="128"/>
      <c r="H591" s="128"/>
      <c r="I591" s="128"/>
      <c r="J591" s="112"/>
      <c r="K591" s="112"/>
      <c r="L591" s="153"/>
      <c r="M591" s="112"/>
      <c r="N591" s="112"/>
      <c r="O591" s="112"/>
      <c r="P591" s="112"/>
      <c r="Q591" s="112"/>
      <c r="R591" s="112"/>
      <c r="S591" s="112"/>
      <c r="T591" s="112"/>
      <c r="U591" s="112"/>
      <c r="V591" s="112"/>
      <c r="W591" s="112"/>
      <c r="X591" s="112"/>
      <c r="Y591" s="112"/>
      <c r="Z591" s="112"/>
      <c r="AA591" s="112"/>
      <c r="AB591" s="112"/>
    </row>
    <row r="592" ht="15.75" customHeight="1">
      <c r="A592" s="112"/>
      <c r="B592" s="112"/>
      <c r="C592" s="112"/>
      <c r="D592" s="125"/>
      <c r="E592" s="112"/>
      <c r="F592" s="128"/>
      <c r="G592" s="128"/>
      <c r="H592" s="128"/>
      <c r="I592" s="128"/>
      <c r="J592" s="112"/>
      <c r="K592" s="112"/>
      <c r="L592" s="153"/>
      <c r="M592" s="112"/>
      <c r="N592" s="112"/>
      <c r="O592" s="112"/>
      <c r="P592" s="112"/>
      <c r="Q592" s="112"/>
      <c r="R592" s="112"/>
      <c r="S592" s="112"/>
      <c r="T592" s="112"/>
      <c r="U592" s="112"/>
      <c r="V592" s="112"/>
      <c r="W592" s="112"/>
      <c r="X592" s="112"/>
      <c r="Y592" s="112"/>
      <c r="Z592" s="112"/>
      <c r="AA592" s="112"/>
      <c r="AB592" s="112"/>
    </row>
    <row r="593" ht="15.75" customHeight="1">
      <c r="A593" s="112"/>
      <c r="B593" s="112"/>
      <c r="C593" s="112"/>
      <c r="D593" s="125"/>
      <c r="E593" s="112"/>
      <c r="F593" s="128"/>
      <c r="G593" s="128"/>
      <c r="H593" s="128"/>
      <c r="I593" s="128"/>
      <c r="J593" s="112"/>
      <c r="K593" s="112"/>
      <c r="L593" s="153"/>
      <c r="M593" s="112"/>
      <c r="N593" s="112"/>
      <c r="O593" s="112"/>
      <c r="P593" s="112"/>
      <c r="Q593" s="112"/>
      <c r="R593" s="112"/>
      <c r="S593" s="112"/>
      <c r="T593" s="112"/>
      <c r="U593" s="112"/>
      <c r="V593" s="112"/>
      <c r="W593" s="112"/>
      <c r="X593" s="112"/>
      <c r="Y593" s="112"/>
      <c r="Z593" s="112"/>
      <c r="AA593" s="112"/>
      <c r="AB593" s="112"/>
    </row>
    <row r="594" ht="15.75" customHeight="1">
      <c r="A594" s="112"/>
      <c r="B594" s="112"/>
      <c r="C594" s="112"/>
      <c r="D594" s="125"/>
      <c r="E594" s="112"/>
      <c r="F594" s="128"/>
      <c r="G594" s="128"/>
      <c r="H594" s="128"/>
      <c r="I594" s="128"/>
      <c r="J594" s="112"/>
      <c r="K594" s="112"/>
      <c r="L594" s="153"/>
      <c r="M594" s="112"/>
      <c r="N594" s="112"/>
      <c r="O594" s="112"/>
      <c r="P594" s="112"/>
      <c r="Q594" s="112"/>
      <c r="R594" s="112"/>
      <c r="S594" s="112"/>
      <c r="T594" s="112"/>
      <c r="U594" s="112"/>
      <c r="V594" s="112"/>
      <c r="W594" s="112"/>
      <c r="X594" s="112"/>
      <c r="Y594" s="112"/>
      <c r="Z594" s="112"/>
      <c r="AA594" s="112"/>
      <c r="AB594" s="112"/>
    </row>
    <row r="595" ht="15.75" customHeight="1">
      <c r="A595" s="112"/>
      <c r="B595" s="112"/>
      <c r="C595" s="112"/>
      <c r="D595" s="125"/>
      <c r="E595" s="112"/>
      <c r="F595" s="128"/>
      <c r="G595" s="128"/>
      <c r="H595" s="128"/>
      <c r="I595" s="128"/>
      <c r="J595" s="112"/>
      <c r="K595" s="112"/>
      <c r="L595" s="153"/>
      <c r="M595" s="112"/>
      <c r="N595" s="112"/>
      <c r="O595" s="112"/>
      <c r="P595" s="112"/>
      <c r="Q595" s="112"/>
      <c r="R595" s="112"/>
      <c r="S595" s="112"/>
      <c r="T595" s="112"/>
      <c r="U595" s="112"/>
      <c r="V595" s="112"/>
      <c r="W595" s="112"/>
      <c r="X595" s="112"/>
      <c r="Y595" s="112"/>
      <c r="Z595" s="112"/>
      <c r="AA595" s="112"/>
      <c r="AB595" s="112"/>
    </row>
    <row r="596" ht="15.75" customHeight="1">
      <c r="A596" s="112"/>
      <c r="B596" s="112"/>
      <c r="C596" s="112"/>
      <c r="D596" s="125"/>
      <c r="E596" s="112"/>
      <c r="F596" s="128"/>
      <c r="G596" s="128"/>
      <c r="H596" s="128"/>
      <c r="I596" s="128"/>
      <c r="J596" s="112"/>
      <c r="K596" s="112"/>
      <c r="L596" s="153"/>
      <c r="M596" s="112"/>
      <c r="N596" s="112"/>
      <c r="O596" s="112"/>
      <c r="P596" s="112"/>
      <c r="Q596" s="112"/>
      <c r="R596" s="112"/>
      <c r="S596" s="112"/>
      <c r="T596" s="112"/>
      <c r="U596" s="112"/>
      <c r="V596" s="112"/>
      <c r="W596" s="112"/>
      <c r="X596" s="112"/>
      <c r="Y596" s="112"/>
      <c r="Z596" s="112"/>
      <c r="AA596" s="112"/>
      <c r="AB596" s="112"/>
    </row>
    <row r="597" ht="15.75" customHeight="1">
      <c r="A597" s="112"/>
      <c r="B597" s="112"/>
      <c r="C597" s="112"/>
      <c r="D597" s="125"/>
      <c r="E597" s="112"/>
      <c r="F597" s="128"/>
      <c r="G597" s="128"/>
      <c r="H597" s="128"/>
      <c r="I597" s="128"/>
      <c r="J597" s="112"/>
      <c r="K597" s="112"/>
      <c r="L597" s="153"/>
      <c r="M597" s="112"/>
      <c r="N597" s="112"/>
      <c r="O597" s="112"/>
      <c r="P597" s="112"/>
      <c r="Q597" s="112"/>
      <c r="R597" s="112"/>
      <c r="S597" s="112"/>
      <c r="T597" s="112"/>
      <c r="U597" s="112"/>
      <c r="V597" s="112"/>
      <c r="W597" s="112"/>
      <c r="X597" s="112"/>
      <c r="Y597" s="112"/>
      <c r="Z597" s="112"/>
      <c r="AA597" s="112"/>
      <c r="AB597" s="112"/>
    </row>
    <row r="598" ht="15.75" customHeight="1">
      <c r="A598" s="112"/>
      <c r="B598" s="112"/>
      <c r="C598" s="112"/>
      <c r="D598" s="125"/>
      <c r="E598" s="112"/>
      <c r="F598" s="128"/>
      <c r="G598" s="128"/>
      <c r="H598" s="128"/>
      <c r="I598" s="128"/>
      <c r="J598" s="112"/>
      <c r="K598" s="112"/>
      <c r="L598" s="153"/>
      <c r="M598" s="112"/>
      <c r="N598" s="112"/>
      <c r="O598" s="112"/>
      <c r="P598" s="112"/>
      <c r="Q598" s="112"/>
      <c r="R598" s="112"/>
      <c r="S598" s="112"/>
      <c r="T598" s="112"/>
      <c r="U598" s="112"/>
      <c r="V598" s="112"/>
      <c r="W598" s="112"/>
      <c r="X598" s="112"/>
      <c r="Y598" s="112"/>
      <c r="Z598" s="112"/>
      <c r="AA598" s="112"/>
      <c r="AB598" s="112"/>
    </row>
    <row r="599" ht="15.75" customHeight="1">
      <c r="A599" s="112"/>
      <c r="B599" s="112"/>
      <c r="C599" s="112"/>
      <c r="D599" s="125"/>
      <c r="E599" s="112"/>
      <c r="F599" s="128"/>
      <c r="G599" s="128"/>
      <c r="H599" s="128"/>
      <c r="I599" s="128"/>
      <c r="J599" s="112"/>
      <c r="K599" s="112"/>
      <c r="L599" s="153"/>
      <c r="M599" s="112"/>
      <c r="N599" s="112"/>
      <c r="O599" s="112"/>
      <c r="P599" s="112"/>
      <c r="Q599" s="112"/>
      <c r="R599" s="112"/>
      <c r="S599" s="112"/>
      <c r="T599" s="112"/>
      <c r="U599" s="112"/>
      <c r="V599" s="112"/>
      <c r="W599" s="112"/>
      <c r="X599" s="112"/>
      <c r="Y599" s="112"/>
      <c r="Z599" s="112"/>
      <c r="AA599" s="112"/>
      <c r="AB599" s="112"/>
    </row>
    <row r="600" ht="15.75" customHeight="1">
      <c r="A600" s="112"/>
      <c r="B600" s="112"/>
      <c r="C600" s="112"/>
      <c r="D600" s="125"/>
      <c r="E600" s="112"/>
      <c r="F600" s="128"/>
      <c r="G600" s="128"/>
      <c r="H600" s="128"/>
      <c r="I600" s="128"/>
      <c r="J600" s="112"/>
      <c r="K600" s="112"/>
      <c r="L600" s="153"/>
      <c r="M600" s="112"/>
      <c r="N600" s="112"/>
      <c r="O600" s="112"/>
      <c r="P600" s="112"/>
      <c r="Q600" s="112"/>
      <c r="R600" s="112"/>
      <c r="S600" s="112"/>
      <c r="T600" s="112"/>
      <c r="U600" s="112"/>
      <c r="V600" s="112"/>
      <c r="W600" s="112"/>
      <c r="X600" s="112"/>
      <c r="Y600" s="112"/>
      <c r="Z600" s="112"/>
      <c r="AA600" s="112"/>
      <c r="AB600" s="112"/>
    </row>
    <row r="601" ht="15.75" customHeight="1">
      <c r="A601" s="112"/>
      <c r="B601" s="112"/>
      <c r="C601" s="112"/>
      <c r="D601" s="125"/>
      <c r="E601" s="112"/>
      <c r="F601" s="128"/>
      <c r="G601" s="128"/>
      <c r="H601" s="128"/>
      <c r="I601" s="128"/>
      <c r="J601" s="112"/>
      <c r="K601" s="112"/>
      <c r="L601" s="153"/>
      <c r="M601" s="112"/>
      <c r="N601" s="112"/>
      <c r="O601" s="112"/>
      <c r="P601" s="112"/>
      <c r="Q601" s="112"/>
      <c r="R601" s="112"/>
      <c r="S601" s="112"/>
      <c r="T601" s="112"/>
      <c r="U601" s="112"/>
      <c r="V601" s="112"/>
      <c r="W601" s="112"/>
      <c r="X601" s="112"/>
      <c r="Y601" s="112"/>
      <c r="Z601" s="112"/>
      <c r="AA601" s="112"/>
      <c r="AB601" s="112"/>
    </row>
    <row r="602" ht="15.75" customHeight="1">
      <c r="A602" s="112"/>
      <c r="B602" s="112"/>
      <c r="C602" s="112"/>
      <c r="D602" s="125"/>
      <c r="E602" s="112"/>
      <c r="F602" s="128"/>
      <c r="G602" s="128"/>
      <c r="H602" s="128"/>
      <c r="I602" s="128"/>
      <c r="J602" s="112"/>
      <c r="K602" s="112"/>
      <c r="L602" s="153"/>
      <c r="M602" s="112"/>
      <c r="N602" s="112"/>
      <c r="O602" s="112"/>
      <c r="P602" s="112"/>
      <c r="Q602" s="112"/>
      <c r="R602" s="112"/>
      <c r="S602" s="112"/>
      <c r="T602" s="112"/>
      <c r="U602" s="112"/>
      <c r="V602" s="112"/>
      <c r="W602" s="112"/>
      <c r="X602" s="112"/>
      <c r="Y602" s="112"/>
      <c r="Z602" s="112"/>
      <c r="AA602" s="112"/>
      <c r="AB602" s="112"/>
    </row>
    <row r="603" ht="15.75" customHeight="1">
      <c r="A603" s="112"/>
      <c r="B603" s="112"/>
      <c r="C603" s="112"/>
      <c r="D603" s="125"/>
      <c r="E603" s="112"/>
      <c r="F603" s="128"/>
      <c r="G603" s="128"/>
      <c r="H603" s="128"/>
      <c r="I603" s="128"/>
      <c r="J603" s="112"/>
      <c r="K603" s="112"/>
      <c r="L603" s="153"/>
      <c r="M603" s="112"/>
      <c r="N603" s="112"/>
      <c r="O603" s="112"/>
      <c r="P603" s="112"/>
      <c r="Q603" s="112"/>
      <c r="R603" s="112"/>
      <c r="S603" s="112"/>
      <c r="T603" s="112"/>
      <c r="U603" s="112"/>
      <c r="V603" s="112"/>
      <c r="W603" s="112"/>
      <c r="X603" s="112"/>
      <c r="Y603" s="112"/>
      <c r="Z603" s="112"/>
      <c r="AA603" s="112"/>
      <c r="AB603" s="112"/>
    </row>
    <row r="604" ht="15.75" customHeight="1">
      <c r="A604" s="112"/>
      <c r="B604" s="112"/>
      <c r="C604" s="112"/>
      <c r="D604" s="125"/>
      <c r="E604" s="112"/>
      <c r="F604" s="128"/>
      <c r="G604" s="128"/>
      <c r="H604" s="128"/>
      <c r="I604" s="128"/>
      <c r="J604" s="112"/>
      <c r="K604" s="112"/>
      <c r="L604" s="153"/>
      <c r="M604" s="112"/>
      <c r="N604" s="112"/>
      <c r="O604" s="112"/>
      <c r="P604" s="112"/>
      <c r="Q604" s="112"/>
      <c r="R604" s="112"/>
      <c r="S604" s="112"/>
      <c r="T604" s="112"/>
      <c r="U604" s="112"/>
      <c r="V604" s="112"/>
      <c r="W604" s="112"/>
      <c r="X604" s="112"/>
      <c r="Y604" s="112"/>
      <c r="Z604" s="112"/>
      <c r="AA604" s="112"/>
      <c r="AB604" s="112"/>
    </row>
    <row r="605" ht="15.75" customHeight="1">
      <c r="A605" s="112"/>
      <c r="B605" s="112"/>
      <c r="C605" s="112"/>
      <c r="D605" s="125"/>
      <c r="E605" s="112"/>
      <c r="F605" s="128"/>
      <c r="G605" s="128"/>
      <c r="H605" s="128"/>
      <c r="I605" s="128"/>
      <c r="J605" s="112"/>
      <c r="K605" s="112"/>
      <c r="L605" s="153"/>
      <c r="M605" s="112"/>
      <c r="N605" s="112"/>
      <c r="O605" s="112"/>
      <c r="P605" s="112"/>
      <c r="Q605" s="112"/>
      <c r="R605" s="112"/>
      <c r="S605" s="112"/>
      <c r="T605" s="112"/>
      <c r="U605" s="112"/>
      <c r="V605" s="112"/>
      <c r="W605" s="112"/>
      <c r="X605" s="112"/>
      <c r="Y605" s="112"/>
      <c r="Z605" s="112"/>
      <c r="AA605" s="112"/>
      <c r="AB605" s="112"/>
    </row>
    <row r="606" ht="15.75" customHeight="1">
      <c r="A606" s="112"/>
      <c r="B606" s="112"/>
      <c r="C606" s="112"/>
      <c r="D606" s="125"/>
      <c r="E606" s="112"/>
      <c r="F606" s="128"/>
      <c r="G606" s="128"/>
      <c r="H606" s="128"/>
      <c r="I606" s="128"/>
      <c r="J606" s="112"/>
      <c r="K606" s="112"/>
      <c r="L606" s="153"/>
      <c r="M606" s="112"/>
      <c r="N606" s="112"/>
      <c r="O606" s="112"/>
      <c r="P606" s="112"/>
      <c r="Q606" s="112"/>
      <c r="R606" s="112"/>
      <c r="S606" s="112"/>
      <c r="T606" s="112"/>
      <c r="U606" s="112"/>
      <c r="V606" s="112"/>
      <c r="W606" s="112"/>
      <c r="X606" s="112"/>
      <c r="Y606" s="112"/>
      <c r="Z606" s="112"/>
      <c r="AA606" s="112"/>
      <c r="AB606" s="112"/>
    </row>
    <row r="607" ht="15.75" customHeight="1">
      <c r="A607" s="112"/>
      <c r="B607" s="112"/>
      <c r="C607" s="112"/>
      <c r="D607" s="125"/>
      <c r="E607" s="112"/>
      <c r="F607" s="128"/>
      <c r="G607" s="128"/>
      <c r="H607" s="128"/>
      <c r="I607" s="128"/>
      <c r="J607" s="112"/>
      <c r="K607" s="112"/>
      <c r="L607" s="153"/>
      <c r="M607" s="112"/>
      <c r="N607" s="112"/>
      <c r="O607" s="112"/>
      <c r="P607" s="112"/>
      <c r="Q607" s="112"/>
      <c r="R607" s="112"/>
      <c r="S607" s="112"/>
      <c r="T607" s="112"/>
      <c r="U607" s="112"/>
      <c r="V607" s="112"/>
      <c r="W607" s="112"/>
      <c r="X607" s="112"/>
      <c r="Y607" s="112"/>
      <c r="Z607" s="112"/>
      <c r="AA607" s="112"/>
      <c r="AB607" s="112"/>
    </row>
    <row r="608" ht="15.75" customHeight="1">
      <c r="A608" s="112"/>
      <c r="B608" s="112"/>
      <c r="C608" s="112"/>
      <c r="D608" s="125"/>
      <c r="E608" s="112"/>
      <c r="F608" s="128"/>
      <c r="G608" s="128"/>
      <c r="H608" s="128"/>
      <c r="I608" s="128"/>
      <c r="J608" s="112"/>
      <c r="K608" s="112"/>
      <c r="L608" s="153"/>
      <c r="M608" s="112"/>
      <c r="N608" s="112"/>
      <c r="O608" s="112"/>
      <c r="P608" s="112"/>
      <c r="Q608" s="112"/>
      <c r="R608" s="112"/>
      <c r="S608" s="112"/>
      <c r="T608" s="112"/>
      <c r="U608" s="112"/>
      <c r="V608" s="112"/>
      <c r="W608" s="112"/>
      <c r="X608" s="112"/>
      <c r="Y608" s="112"/>
      <c r="Z608" s="112"/>
      <c r="AA608" s="112"/>
      <c r="AB608" s="112"/>
    </row>
    <row r="609" ht="15.75" customHeight="1">
      <c r="A609" s="112"/>
      <c r="B609" s="112"/>
      <c r="C609" s="112"/>
      <c r="D609" s="125"/>
      <c r="E609" s="112"/>
      <c r="F609" s="128"/>
      <c r="G609" s="128"/>
      <c r="H609" s="128"/>
      <c r="I609" s="128"/>
      <c r="J609" s="112"/>
      <c r="K609" s="112"/>
      <c r="L609" s="153"/>
      <c r="M609" s="112"/>
      <c r="N609" s="112"/>
      <c r="O609" s="112"/>
      <c r="P609" s="112"/>
      <c r="Q609" s="112"/>
      <c r="R609" s="112"/>
      <c r="S609" s="112"/>
      <c r="T609" s="112"/>
      <c r="U609" s="112"/>
      <c r="V609" s="112"/>
      <c r="W609" s="112"/>
      <c r="X609" s="112"/>
      <c r="Y609" s="112"/>
      <c r="Z609" s="112"/>
      <c r="AA609" s="112"/>
      <c r="AB609" s="112"/>
    </row>
    <row r="610" ht="15.75" customHeight="1">
      <c r="A610" s="112"/>
      <c r="B610" s="112"/>
      <c r="C610" s="112"/>
      <c r="D610" s="125"/>
      <c r="E610" s="112"/>
      <c r="F610" s="128"/>
      <c r="G610" s="128"/>
      <c r="H610" s="128"/>
      <c r="I610" s="128"/>
      <c r="J610" s="112"/>
      <c r="K610" s="112"/>
      <c r="L610" s="153"/>
      <c r="M610" s="112"/>
      <c r="N610" s="112"/>
      <c r="O610" s="112"/>
      <c r="P610" s="112"/>
      <c r="Q610" s="112"/>
      <c r="R610" s="112"/>
      <c r="S610" s="112"/>
      <c r="T610" s="112"/>
      <c r="U610" s="112"/>
      <c r="V610" s="112"/>
      <c r="W610" s="112"/>
      <c r="X610" s="112"/>
      <c r="Y610" s="112"/>
      <c r="Z610" s="112"/>
      <c r="AA610" s="112"/>
      <c r="AB610" s="112"/>
    </row>
    <row r="611" ht="15.75" customHeight="1">
      <c r="A611" s="112"/>
      <c r="B611" s="112"/>
      <c r="C611" s="112"/>
      <c r="D611" s="125"/>
      <c r="E611" s="112"/>
      <c r="F611" s="128"/>
      <c r="G611" s="128"/>
      <c r="H611" s="128"/>
      <c r="I611" s="128"/>
      <c r="J611" s="112"/>
      <c r="K611" s="112"/>
      <c r="L611" s="153"/>
      <c r="M611" s="112"/>
      <c r="N611" s="112"/>
      <c r="O611" s="112"/>
      <c r="P611" s="112"/>
      <c r="Q611" s="112"/>
      <c r="R611" s="112"/>
      <c r="S611" s="112"/>
      <c r="T611" s="112"/>
      <c r="U611" s="112"/>
      <c r="V611" s="112"/>
      <c r="W611" s="112"/>
      <c r="X611" s="112"/>
      <c r="Y611" s="112"/>
      <c r="Z611" s="112"/>
      <c r="AA611" s="112"/>
      <c r="AB611" s="112"/>
    </row>
    <row r="612" ht="15.75" customHeight="1">
      <c r="A612" s="112"/>
      <c r="B612" s="112"/>
      <c r="C612" s="112"/>
      <c r="D612" s="125"/>
      <c r="E612" s="112"/>
      <c r="F612" s="128"/>
      <c r="G612" s="128"/>
      <c r="H612" s="128"/>
      <c r="I612" s="128"/>
      <c r="J612" s="112"/>
      <c r="K612" s="112"/>
      <c r="L612" s="153"/>
      <c r="M612" s="112"/>
      <c r="N612" s="112"/>
      <c r="O612" s="112"/>
      <c r="P612" s="112"/>
      <c r="Q612" s="112"/>
      <c r="R612" s="112"/>
      <c r="S612" s="112"/>
      <c r="T612" s="112"/>
      <c r="U612" s="112"/>
      <c r="V612" s="112"/>
      <c r="W612" s="112"/>
      <c r="X612" s="112"/>
      <c r="Y612" s="112"/>
      <c r="Z612" s="112"/>
      <c r="AA612" s="112"/>
      <c r="AB612" s="112"/>
    </row>
    <row r="613" ht="15.75" customHeight="1">
      <c r="A613" s="112"/>
      <c r="B613" s="112"/>
      <c r="C613" s="112"/>
      <c r="D613" s="125"/>
      <c r="E613" s="112"/>
      <c r="F613" s="128"/>
      <c r="G613" s="128"/>
      <c r="H613" s="128"/>
      <c r="I613" s="128"/>
      <c r="J613" s="112"/>
      <c r="K613" s="112"/>
      <c r="L613" s="153"/>
      <c r="M613" s="112"/>
      <c r="N613" s="112"/>
      <c r="O613" s="112"/>
      <c r="P613" s="112"/>
      <c r="Q613" s="112"/>
      <c r="R613" s="112"/>
      <c r="S613" s="112"/>
      <c r="T613" s="112"/>
      <c r="U613" s="112"/>
      <c r="V613" s="112"/>
      <c r="W613" s="112"/>
      <c r="X613" s="112"/>
      <c r="Y613" s="112"/>
      <c r="Z613" s="112"/>
      <c r="AA613" s="112"/>
      <c r="AB613" s="112"/>
    </row>
    <row r="614" ht="15.75" customHeight="1">
      <c r="A614" s="112"/>
      <c r="B614" s="112"/>
      <c r="C614" s="112"/>
      <c r="D614" s="125"/>
      <c r="E614" s="112"/>
      <c r="F614" s="128"/>
      <c r="G614" s="128"/>
      <c r="H614" s="128"/>
      <c r="I614" s="128"/>
      <c r="J614" s="112"/>
      <c r="K614" s="112"/>
      <c r="L614" s="153"/>
      <c r="M614" s="112"/>
      <c r="N614" s="112"/>
      <c r="O614" s="112"/>
      <c r="P614" s="112"/>
      <c r="Q614" s="112"/>
      <c r="R614" s="112"/>
      <c r="S614" s="112"/>
      <c r="T614" s="112"/>
      <c r="U614" s="112"/>
      <c r="V614" s="112"/>
      <c r="W614" s="112"/>
      <c r="X614" s="112"/>
      <c r="Y614" s="112"/>
      <c r="Z614" s="112"/>
      <c r="AA614" s="112"/>
      <c r="AB614" s="112"/>
    </row>
    <row r="615" ht="15.75" customHeight="1">
      <c r="A615" s="112"/>
      <c r="B615" s="112"/>
      <c r="C615" s="112"/>
      <c r="D615" s="125"/>
      <c r="E615" s="112"/>
      <c r="F615" s="128"/>
      <c r="G615" s="128"/>
      <c r="H615" s="128"/>
      <c r="I615" s="128"/>
      <c r="J615" s="112"/>
      <c r="K615" s="112"/>
      <c r="L615" s="153"/>
      <c r="M615" s="112"/>
      <c r="N615" s="112"/>
      <c r="O615" s="112"/>
      <c r="P615" s="112"/>
      <c r="Q615" s="112"/>
      <c r="R615" s="112"/>
      <c r="S615" s="112"/>
      <c r="T615" s="112"/>
      <c r="U615" s="112"/>
      <c r="V615" s="112"/>
      <c r="W615" s="112"/>
      <c r="X615" s="112"/>
      <c r="Y615" s="112"/>
      <c r="Z615" s="112"/>
      <c r="AA615" s="112"/>
      <c r="AB615" s="112"/>
    </row>
    <row r="616" ht="15.75" customHeight="1">
      <c r="A616" s="112"/>
      <c r="B616" s="112"/>
      <c r="C616" s="112"/>
      <c r="D616" s="125"/>
      <c r="E616" s="112"/>
      <c r="F616" s="128"/>
      <c r="G616" s="128"/>
      <c r="H616" s="128"/>
      <c r="I616" s="128"/>
      <c r="J616" s="112"/>
      <c r="K616" s="112"/>
      <c r="L616" s="153"/>
      <c r="M616" s="112"/>
      <c r="N616" s="112"/>
      <c r="O616" s="112"/>
      <c r="P616" s="112"/>
      <c r="Q616" s="112"/>
      <c r="R616" s="112"/>
      <c r="S616" s="112"/>
      <c r="T616" s="112"/>
      <c r="U616" s="112"/>
      <c r="V616" s="112"/>
      <c r="W616" s="112"/>
      <c r="X616" s="112"/>
      <c r="Y616" s="112"/>
      <c r="Z616" s="112"/>
      <c r="AA616" s="112"/>
      <c r="AB616" s="112"/>
    </row>
    <row r="617" ht="15.75" customHeight="1">
      <c r="A617" s="112"/>
      <c r="B617" s="112"/>
      <c r="C617" s="112"/>
      <c r="D617" s="125"/>
      <c r="E617" s="112"/>
      <c r="F617" s="128"/>
      <c r="G617" s="128"/>
      <c r="H617" s="128"/>
      <c r="I617" s="128"/>
      <c r="J617" s="112"/>
      <c r="K617" s="112"/>
      <c r="L617" s="153"/>
      <c r="M617" s="112"/>
      <c r="N617" s="112"/>
      <c r="O617" s="112"/>
      <c r="P617" s="112"/>
      <c r="Q617" s="112"/>
      <c r="R617" s="112"/>
      <c r="S617" s="112"/>
      <c r="T617" s="112"/>
      <c r="U617" s="112"/>
      <c r="V617" s="112"/>
      <c r="W617" s="112"/>
      <c r="X617" s="112"/>
      <c r="Y617" s="112"/>
      <c r="Z617" s="112"/>
      <c r="AA617" s="112"/>
      <c r="AB617" s="112"/>
    </row>
    <row r="618" ht="15.75" customHeight="1">
      <c r="A618" s="112"/>
      <c r="B618" s="112"/>
      <c r="C618" s="112"/>
      <c r="D618" s="125"/>
      <c r="E618" s="112"/>
      <c r="F618" s="128"/>
      <c r="G618" s="128"/>
      <c r="H618" s="128"/>
      <c r="I618" s="128"/>
      <c r="J618" s="112"/>
      <c r="K618" s="112"/>
      <c r="L618" s="153"/>
      <c r="M618" s="112"/>
      <c r="N618" s="112"/>
      <c r="O618" s="112"/>
      <c r="P618" s="112"/>
      <c r="Q618" s="112"/>
      <c r="R618" s="112"/>
      <c r="S618" s="112"/>
      <c r="T618" s="112"/>
      <c r="U618" s="112"/>
      <c r="V618" s="112"/>
      <c r="W618" s="112"/>
      <c r="X618" s="112"/>
      <c r="Y618" s="112"/>
      <c r="Z618" s="112"/>
      <c r="AA618" s="112"/>
      <c r="AB618" s="112"/>
    </row>
    <row r="619" ht="15.75" customHeight="1">
      <c r="A619" s="112"/>
      <c r="B619" s="112"/>
      <c r="C619" s="112"/>
      <c r="D619" s="125"/>
      <c r="E619" s="112"/>
      <c r="F619" s="128"/>
      <c r="G619" s="128"/>
      <c r="H619" s="128"/>
      <c r="I619" s="128"/>
      <c r="J619" s="112"/>
      <c r="K619" s="112"/>
      <c r="L619" s="153"/>
      <c r="M619" s="112"/>
      <c r="N619" s="112"/>
      <c r="O619" s="112"/>
      <c r="P619" s="112"/>
      <c r="Q619" s="112"/>
      <c r="R619" s="112"/>
      <c r="S619" s="112"/>
      <c r="T619" s="112"/>
      <c r="U619" s="112"/>
      <c r="V619" s="112"/>
      <c r="W619" s="112"/>
      <c r="X619" s="112"/>
      <c r="Y619" s="112"/>
      <c r="Z619" s="112"/>
      <c r="AA619" s="112"/>
      <c r="AB619" s="112"/>
    </row>
    <row r="620" ht="15.75" customHeight="1">
      <c r="A620" s="112"/>
      <c r="B620" s="112"/>
      <c r="C620" s="112"/>
      <c r="D620" s="125"/>
      <c r="E620" s="112"/>
      <c r="F620" s="128"/>
      <c r="G620" s="128"/>
      <c r="H620" s="128"/>
      <c r="I620" s="128"/>
      <c r="J620" s="112"/>
      <c r="K620" s="112"/>
      <c r="L620" s="153"/>
      <c r="M620" s="112"/>
      <c r="N620" s="112"/>
      <c r="O620" s="112"/>
      <c r="P620" s="112"/>
      <c r="Q620" s="112"/>
      <c r="R620" s="112"/>
      <c r="S620" s="112"/>
      <c r="T620" s="112"/>
      <c r="U620" s="112"/>
      <c r="V620" s="112"/>
      <c r="W620" s="112"/>
      <c r="X620" s="112"/>
      <c r="Y620" s="112"/>
      <c r="Z620" s="112"/>
      <c r="AA620" s="112"/>
      <c r="AB620" s="112"/>
    </row>
    <row r="621" ht="15.75" customHeight="1">
      <c r="A621" s="112"/>
      <c r="B621" s="112"/>
      <c r="C621" s="112"/>
      <c r="D621" s="125"/>
      <c r="E621" s="112"/>
      <c r="F621" s="128"/>
      <c r="G621" s="128"/>
      <c r="H621" s="128"/>
      <c r="I621" s="128"/>
      <c r="J621" s="112"/>
      <c r="K621" s="112"/>
      <c r="L621" s="153"/>
      <c r="M621" s="112"/>
      <c r="N621" s="112"/>
      <c r="O621" s="112"/>
      <c r="P621" s="112"/>
      <c r="Q621" s="112"/>
      <c r="R621" s="112"/>
      <c r="S621" s="112"/>
      <c r="T621" s="112"/>
      <c r="U621" s="112"/>
      <c r="V621" s="112"/>
      <c r="W621" s="112"/>
      <c r="X621" s="112"/>
      <c r="Y621" s="112"/>
      <c r="Z621" s="112"/>
      <c r="AA621" s="112"/>
      <c r="AB621" s="112"/>
    </row>
    <row r="622" ht="15.75" customHeight="1">
      <c r="A622" s="112"/>
      <c r="B622" s="112"/>
      <c r="C622" s="112"/>
      <c r="D622" s="125"/>
      <c r="E622" s="112"/>
      <c r="F622" s="128"/>
      <c r="G622" s="128"/>
      <c r="H622" s="128"/>
      <c r="I622" s="128"/>
      <c r="J622" s="112"/>
      <c r="K622" s="112"/>
      <c r="L622" s="153"/>
      <c r="M622" s="112"/>
      <c r="N622" s="112"/>
      <c r="O622" s="112"/>
      <c r="P622" s="112"/>
      <c r="Q622" s="112"/>
      <c r="R622" s="112"/>
      <c r="S622" s="112"/>
      <c r="T622" s="112"/>
      <c r="U622" s="112"/>
      <c r="V622" s="112"/>
      <c r="W622" s="112"/>
      <c r="X622" s="112"/>
      <c r="Y622" s="112"/>
      <c r="Z622" s="112"/>
      <c r="AA622" s="112"/>
      <c r="AB622" s="112"/>
    </row>
    <row r="623" ht="15.75" customHeight="1">
      <c r="A623" s="112"/>
      <c r="B623" s="112"/>
      <c r="C623" s="112"/>
      <c r="D623" s="125"/>
      <c r="E623" s="112"/>
      <c r="F623" s="128"/>
      <c r="G623" s="128"/>
      <c r="H623" s="128"/>
      <c r="I623" s="128"/>
      <c r="J623" s="112"/>
      <c r="K623" s="112"/>
      <c r="L623" s="153"/>
      <c r="M623" s="112"/>
      <c r="N623" s="112"/>
      <c r="O623" s="112"/>
      <c r="P623" s="112"/>
      <c r="Q623" s="112"/>
      <c r="R623" s="112"/>
      <c r="S623" s="112"/>
      <c r="T623" s="112"/>
      <c r="U623" s="112"/>
      <c r="V623" s="112"/>
      <c r="W623" s="112"/>
      <c r="X623" s="112"/>
      <c r="Y623" s="112"/>
      <c r="Z623" s="112"/>
      <c r="AA623" s="112"/>
      <c r="AB623" s="112"/>
    </row>
    <row r="624" ht="15.75" customHeight="1">
      <c r="A624" s="112"/>
      <c r="B624" s="112"/>
      <c r="C624" s="112"/>
      <c r="D624" s="125"/>
      <c r="E624" s="112"/>
      <c r="F624" s="128"/>
      <c r="G624" s="128"/>
      <c r="H624" s="128"/>
      <c r="I624" s="128"/>
      <c r="J624" s="112"/>
      <c r="K624" s="112"/>
      <c r="L624" s="153"/>
      <c r="M624" s="112"/>
      <c r="N624" s="112"/>
      <c r="O624" s="112"/>
      <c r="P624" s="112"/>
      <c r="Q624" s="112"/>
      <c r="R624" s="112"/>
      <c r="S624" s="112"/>
      <c r="T624" s="112"/>
      <c r="U624" s="112"/>
      <c r="V624" s="112"/>
      <c r="W624" s="112"/>
      <c r="X624" s="112"/>
      <c r="Y624" s="112"/>
      <c r="Z624" s="112"/>
      <c r="AA624" s="112"/>
      <c r="AB624" s="112"/>
    </row>
    <row r="625" ht="15.75" customHeight="1">
      <c r="A625" s="112"/>
      <c r="B625" s="112"/>
      <c r="C625" s="112"/>
      <c r="D625" s="125"/>
      <c r="E625" s="112"/>
      <c r="F625" s="128"/>
      <c r="G625" s="128"/>
      <c r="H625" s="128"/>
      <c r="I625" s="128"/>
      <c r="J625" s="112"/>
      <c r="K625" s="112"/>
      <c r="L625" s="153"/>
      <c r="M625" s="112"/>
      <c r="N625" s="112"/>
      <c r="O625" s="112"/>
      <c r="P625" s="112"/>
      <c r="Q625" s="112"/>
      <c r="R625" s="112"/>
      <c r="S625" s="112"/>
      <c r="T625" s="112"/>
      <c r="U625" s="112"/>
      <c r="V625" s="112"/>
      <c r="W625" s="112"/>
      <c r="X625" s="112"/>
      <c r="Y625" s="112"/>
      <c r="Z625" s="112"/>
      <c r="AA625" s="112"/>
      <c r="AB625" s="112"/>
    </row>
    <row r="626" ht="15.75" customHeight="1">
      <c r="A626" s="112"/>
      <c r="B626" s="112"/>
      <c r="C626" s="112"/>
      <c r="D626" s="125"/>
      <c r="E626" s="112"/>
      <c r="F626" s="128"/>
      <c r="G626" s="128"/>
      <c r="H626" s="128"/>
      <c r="I626" s="128"/>
      <c r="J626" s="112"/>
      <c r="K626" s="112"/>
      <c r="L626" s="153"/>
      <c r="M626" s="112"/>
      <c r="N626" s="112"/>
      <c r="O626" s="112"/>
      <c r="P626" s="112"/>
      <c r="Q626" s="112"/>
      <c r="R626" s="112"/>
      <c r="S626" s="112"/>
      <c r="T626" s="112"/>
      <c r="U626" s="112"/>
      <c r="V626" s="112"/>
      <c r="W626" s="112"/>
      <c r="X626" s="112"/>
      <c r="Y626" s="112"/>
      <c r="Z626" s="112"/>
      <c r="AA626" s="112"/>
      <c r="AB626" s="112"/>
    </row>
    <row r="627" ht="15.75" customHeight="1">
      <c r="A627" s="112"/>
      <c r="B627" s="112"/>
      <c r="C627" s="112"/>
      <c r="D627" s="125"/>
      <c r="E627" s="112"/>
      <c r="F627" s="128"/>
      <c r="G627" s="128"/>
      <c r="H627" s="128"/>
      <c r="I627" s="128"/>
      <c r="J627" s="112"/>
      <c r="K627" s="112"/>
      <c r="L627" s="153"/>
      <c r="M627" s="112"/>
      <c r="N627" s="112"/>
      <c r="O627" s="112"/>
      <c r="P627" s="112"/>
      <c r="Q627" s="112"/>
      <c r="R627" s="112"/>
      <c r="S627" s="112"/>
      <c r="T627" s="112"/>
      <c r="U627" s="112"/>
      <c r="V627" s="112"/>
      <c r="W627" s="112"/>
      <c r="X627" s="112"/>
      <c r="Y627" s="112"/>
      <c r="Z627" s="112"/>
      <c r="AA627" s="112"/>
      <c r="AB627" s="112"/>
    </row>
    <row r="628" ht="15.75" customHeight="1">
      <c r="A628" s="112"/>
      <c r="B628" s="112"/>
      <c r="C628" s="112"/>
      <c r="D628" s="125"/>
      <c r="E628" s="112"/>
      <c r="F628" s="128"/>
      <c r="G628" s="128"/>
      <c r="H628" s="128"/>
      <c r="I628" s="128"/>
      <c r="J628" s="112"/>
      <c r="K628" s="112"/>
      <c r="L628" s="153"/>
      <c r="M628" s="112"/>
      <c r="N628" s="112"/>
      <c r="O628" s="112"/>
      <c r="P628" s="112"/>
      <c r="Q628" s="112"/>
      <c r="R628" s="112"/>
      <c r="S628" s="112"/>
      <c r="T628" s="112"/>
      <c r="U628" s="112"/>
      <c r="V628" s="112"/>
      <c r="W628" s="112"/>
      <c r="X628" s="112"/>
      <c r="Y628" s="112"/>
      <c r="Z628" s="112"/>
      <c r="AA628" s="112"/>
      <c r="AB628" s="112"/>
    </row>
    <row r="629" ht="15.75" customHeight="1">
      <c r="A629" s="112"/>
      <c r="B629" s="112"/>
      <c r="C629" s="112"/>
      <c r="D629" s="125"/>
      <c r="E629" s="112"/>
      <c r="F629" s="128"/>
      <c r="G629" s="128"/>
      <c r="H629" s="128"/>
      <c r="I629" s="128"/>
      <c r="J629" s="112"/>
      <c r="K629" s="112"/>
      <c r="L629" s="153"/>
      <c r="M629" s="112"/>
      <c r="N629" s="112"/>
      <c r="O629" s="112"/>
      <c r="P629" s="112"/>
      <c r="Q629" s="112"/>
      <c r="R629" s="112"/>
      <c r="S629" s="112"/>
      <c r="T629" s="112"/>
      <c r="U629" s="112"/>
      <c r="V629" s="112"/>
      <c r="W629" s="112"/>
      <c r="X629" s="112"/>
      <c r="Y629" s="112"/>
      <c r="Z629" s="112"/>
      <c r="AA629" s="112"/>
      <c r="AB629" s="112"/>
    </row>
    <row r="630" ht="15.75" customHeight="1">
      <c r="A630" s="112"/>
      <c r="B630" s="112"/>
      <c r="C630" s="112"/>
      <c r="D630" s="125"/>
      <c r="E630" s="112"/>
      <c r="F630" s="128"/>
      <c r="G630" s="128"/>
      <c r="H630" s="128"/>
      <c r="I630" s="128"/>
      <c r="J630" s="112"/>
      <c r="K630" s="112"/>
      <c r="L630" s="153"/>
      <c r="M630" s="112"/>
      <c r="N630" s="112"/>
      <c r="O630" s="112"/>
      <c r="P630" s="112"/>
      <c r="Q630" s="112"/>
      <c r="R630" s="112"/>
      <c r="S630" s="112"/>
      <c r="T630" s="112"/>
      <c r="U630" s="112"/>
      <c r="V630" s="112"/>
      <c r="W630" s="112"/>
      <c r="X630" s="112"/>
      <c r="Y630" s="112"/>
      <c r="Z630" s="112"/>
      <c r="AA630" s="112"/>
      <c r="AB630" s="112"/>
    </row>
    <row r="631" ht="15.75" customHeight="1">
      <c r="A631" s="112"/>
      <c r="B631" s="112"/>
      <c r="C631" s="112"/>
      <c r="D631" s="125"/>
      <c r="E631" s="112"/>
      <c r="F631" s="128"/>
      <c r="G631" s="128"/>
      <c r="H631" s="128"/>
      <c r="I631" s="128"/>
      <c r="J631" s="112"/>
      <c r="K631" s="112"/>
      <c r="L631" s="153"/>
      <c r="M631" s="112"/>
      <c r="N631" s="112"/>
      <c r="O631" s="112"/>
      <c r="P631" s="112"/>
      <c r="Q631" s="112"/>
      <c r="R631" s="112"/>
      <c r="S631" s="112"/>
      <c r="T631" s="112"/>
      <c r="U631" s="112"/>
      <c r="V631" s="112"/>
      <c r="W631" s="112"/>
      <c r="X631" s="112"/>
      <c r="Y631" s="112"/>
      <c r="Z631" s="112"/>
      <c r="AA631" s="112"/>
      <c r="AB631" s="112"/>
    </row>
    <row r="632" ht="15.75" customHeight="1">
      <c r="A632" s="112"/>
      <c r="B632" s="112"/>
      <c r="C632" s="112"/>
      <c r="D632" s="125"/>
      <c r="E632" s="112"/>
      <c r="F632" s="128"/>
      <c r="G632" s="128"/>
      <c r="H632" s="128"/>
      <c r="I632" s="128"/>
      <c r="J632" s="112"/>
      <c r="K632" s="112"/>
      <c r="L632" s="153"/>
      <c r="M632" s="112"/>
      <c r="N632" s="112"/>
      <c r="O632" s="112"/>
      <c r="P632" s="112"/>
      <c r="Q632" s="112"/>
      <c r="R632" s="112"/>
      <c r="S632" s="112"/>
      <c r="T632" s="112"/>
      <c r="U632" s="112"/>
      <c r="V632" s="112"/>
      <c r="W632" s="112"/>
      <c r="X632" s="112"/>
      <c r="Y632" s="112"/>
      <c r="Z632" s="112"/>
      <c r="AA632" s="112"/>
      <c r="AB632" s="112"/>
    </row>
    <row r="633" ht="15.75" customHeight="1">
      <c r="A633" s="112"/>
      <c r="B633" s="112"/>
      <c r="C633" s="112"/>
      <c r="D633" s="125"/>
      <c r="E633" s="112"/>
      <c r="F633" s="128"/>
      <c r="G633" s="128"/>
      <c r="H633" s="128"/>
      <c r="I633" s="128"/>
      <c r="J633" s="112"/>
      <c r="K633" s="112"/>
      <c r="L633" s="153"/>
      <c r="M633" s="112"/>
      <c r="N633" s="112"/>
      <c r="O633" s="112"/>
      <c r="P633" s="112"/>
      <c r="Q633" s="112"/>
      <c r="R633" s="112"/>
      <c r="S633" s="112"/>
      <c r="T633" s="112"/>
      <c r="U633" s="112"/>
      <c r="V633" s="112"/>
      <c r="W633" s="112"/>
      <c r="X633" s="112"/>
      <c r="Y633" s="112"/>
      <c r="Z633" s="112"/>
      <c r="AA633" s="112"/>
      <c r="AB633" s="112"/>
    </row>
    <row r="634" ht="15.75" customHeight="1">
      <c r="A634" s="112"/>
      <c r="B634" s="112"/>
      <c r="C634" s="112"/>
      <c r="D634" s="125"/>
      <c r="E634" s="112"/>
      <c r="F634" s="128"/>
      <c r="G634" s="128"/>
      <c r="H634" s="128"/>
      <c r="I634" s="128"/>
      <c r="J634" s="112"/>
      <c r="K634" s="112"/>
      <c r="L634" s="153"/>
      <c r="M634" s="112"/>
      <c r="N634" s="112"/>
      <c r="O634" s="112"/>
      <c r="P634" s="112"/>
      <c r="Q634" s="112"/>
      <c r="R634" s="112"/>
      <c r="S634" s="112"/>
      <c r="T634" s="112"/>
      <c r="U634" s="112"/>
      <c r="V634" s="112"/>
      <c r="W634" s="112"/>
      <c r="X634" s="112"/>
      <c r="Y634" s="112"/>
      <c r="Z634" s="112"/>
      <c r="AA634" s="112"/>
      <c r="AB634" s="112"/>
    </row>
    <row r="635" ht="15.75" customHeight="1">
      <c r="A635" s="112"/>
      <c r="B635" s="112"/>
      <c r="C635" s="112"/>
      <c r="D635" s="125"/>
      <c r="E635" s="112"/>
      <c r="F635" s="128"/>
      <c r="G635" s="128"/>
      <c r="H635" s="128"/>
      <c r="I635" s="128"/>
      <c r="J635" s="112"/>
      <c r="K635" s="112"/>
      <c r="L635" s="153"/>
      <c r="M635" s="112"/>
      <c r="N635" s="112"/>
      <c r="O635" s="112"/>
      <c r="P635" s="112"/>
      <c r="Q635" s="112"/>
      <c r="R635" s="112"/>
      <c r="S635" s="112"/>
      <c r="T635" s="112"/>
      <c r="U635" s="112"/>
      <c r="V635" s="112"/>
      <c r="W635" s="112"/>
      <c r="X635" s="112"/>
      <c r="Y635" s="112"/>
      <c r="Z635" s="112"/>
      <c r="AA635" s="112"/>
      <c r="AB635" s="112"/>
    </row>
    <row r="636" ht="15.75" customHeight="1">
      <c r="A636" s="112"/>
      <c r="B636" s="112"/>
      <c r="C636" s="112"/>
      <c r="D636" s="125"/>
      <c r="E636" s="112"/>
      <c r="F636" s="128"/>
      <c r="G636" s="128"/>
      <c r="H636" s="128"/>
      <c r="I636" s="128"/>
      <c r="J636" s="112"/>
      <c r="K636" s="112"/>
      <c r="L636" s="153"/>
      <c r="M636" s="112"/>
      <c r="N636" s="112"/>
      <c r="O636" s="112"/>
      <c r="P636" s="112"/>
      <c r="Q636" s="112"/>
      <c r="R636" s="112"/>
      <c r="S636" s="112"/>
      <c r="T636" s="112"/>
      <c r="U636" s="112"/>
      <c r="V636" s="112"/>
      <c r="W636" s="112"/>
      <c r="X636" s="112"/>
      <c r="Y636" s="112"/>
      <c r="Z636" s="112"/>
      <c r="AA636" s="112"/>
      <c r="AB636" s="112"/>
    </row>
    <row r="637" ht="15.75" customHeight="1">
      <c r="A637" s="112"/>
      <c r="B637" s="112"/>
      <c r="C637" s="112"/>
      <c r="D637" s="125"/>
      <c r="E637" s="112"/>
      <c r="F637" s="128"/>
      <c r="G637" s="128"/>
      <c r="H637" s="128"/>
      <c r="I637" s="128"/>
      <c r="J637" s="112"/>
      <c r="K637" s="112"/>
      <c r="L637" s="153"/>
      <c r="M637" s="112"/>
      <c r="N637" s="112"/>
      <c r="O637" s="112"/>
      <c r="P637" s="112"/>
      <c r="Q637" s="112"/>
      <c r="R637" s="112"/>
      <c r="S637" s="112"/>
      <c r="T637" s="112"/>
      <c r="U637" s="112"/>
      <c r="V637" s="112"/>
      <c r="W637" s="112"/>
      <c r="X637" s="112"/>
      <c r="Y637" s="112"/>
      <c r="Z637" s="112"/>
      <c r="AA637" s="112"/>
      <c r="AB637" s="112"/>
    </row>
    <row r="638" ht="15.75" customHeight="1">
      <c r="A638" s="112"/>
      <c r="B638" s="112"/>
      <c r="C638" s="112"/>
      <c r="D638" s="125"/>
      <c r="E638" s="112"/>
      <c r="F638" s="128"/>
      <c r="G638" s="128"/>
      <c r="H638" s="128"/>
      <c r="I638" s="128"/>
      <c r="J638" s="112"/>
      <c r="K638" s="112"/>
      <c r="L638" s="153"/>
      <c r="M638" s="112"/>
      <c r="N638" s="112"/>
      <c r="O638" s="112"/>
      <c r="P638" s="112"/>
      <c r="Q638" s="112"/>
      <c r="R638" s="112"/>
      <c r="S638" s="112"/>
      <c r="T638" s="112"/>
      <c r="U638" s="112"/>
      <c r="V638" s="112"/>
      <c r="W638" s="112"/>
      <c r="X638" s="112"/>
      <c r="Y638" s="112"/>
      <c r="Z638" s="112"/>
      <c r="AA638" s="112"/>
      <c r="AB638" s="112"/>
    </row>
    <row r="639" ht="15.75" customHeight="1">
      <c r="A639" s="112"/>
      <c r="B639" s="112"/>
      <c r="C639" s="112"/>
      <c r="D639" s="125"/>
      <c r="E639" s="112"/>
      <c r="F639" s="128"/>
      <c r="G639" s="128"/>
      <c r="H639" s="128"/>
      <c r="I639" s="128"/>
      <c r="J639" s="112"/>
      <c r="K639" s="112"/>
      <c r="L639" s="153"/>
      <c r="M639" s="112"/>
      <c r="N639" s="112"/>
      <c r="O639" s="112"/>
      <c r="P639" s="112"/>
      <c r="Q639" s="112"/>
      <c r="R639" s="112"/>
      <c r="S639" s="112"/>
      <c r="T639" s="112"/>
      <c r="U639" s="112"/>
      <c r="V639" s="112"/>
      <c r="W639" s="112"/>
      <c r="X639" s="112"/>
      <c r="Y639" s="112"/>
      <c r="Z639" s="112"/>
      <c r="AA639" s="112"/>
      <c r="AB639" s="112"/>
    </row>
    <row r="640" ht="15.75" customHeight="1">
      <c r="A640" s="112"/>
      <c r="B640" s="112"/>
      <c r="C640" s="112"/>
      <c r="D640" s="125"/>
      <c r="E640" s="112"/>
      <c r="F640" s="128"/>
      <c r="G640" s="128"/>
      <c r="H640" s="128"/>
      <c r="I640" s="128"/>
      <c r="J640" s="112"/>
      <c r="K640" s="112"/>
      <c r="L640" s="153"/>
      <c r="M640" s="112"/>
      <c r="N640" s="112"/>
      <c r="O640" s="112"/>
      <c r="P640" s="112"/>
      <c r="Q640" s="112"/>
      <c r="R640" s="112"/>
      <c r="S640" s="112"/>
      <c r="T640" s="112"/>
      <c r="U640" s="112"/>
      <c r="V640" s="112"/>
      <c r="W640" s="112"/>
      <c r="X640" s="112"/>
      <c r="Y640" s="112"/>
      <c r="Z640" s="112"/>
      <c r="AA640" s="112"/>
      <c r="AB640" s="112"/>
    </row>
    <row r="641" ht="15.75" customHeight="1">
      <c r="A641" s="112"/>
      <c r="B641" s="112"/>
      <c r="C641" s="112"/>
      <c r="D641" s="125"/>
      <c r="E641" s="112"/>
      <c r="F641" s="128"/>
      <c r="G641" s="128"/>
      <c r="H641" s="128"/>
      <c r="I641" s="128"/>
      <c r="J641" s="112"/>
      <c r="K641" s="112"/>
      <c r="L641" s="153"/>
      <c r="M641" s="112"/>
      <c r="N641" s="112"/>
      <c r="O641" s="112"/>
      <c r="P641" s="112"/>
      <c r="Q641" s="112"/>
      <c r="R641" s="112"/>
      <c r="S641" s="112"/>
      <c r="T641" s="112"/>
      <c r="U641" s="112"/>
      <c r="V641" s="112"/>
      <c r="W641" s="112"/>
      <c r="X641" s="112"/>
      <c r="Y641" s="112"/>
      <c r="Z641" s="112"/>
      <c r="AA641" s="112"/>
      <c r="AB641" s="112"/>
    </row>
    <row r="642" ht="15.75" customHeight="1">
      <c r="A642" s="112"/>
      <c r="B642" s="112"/>
      <c r="C642" s="112"/>
      <c r="D642" s="125"/>
      <c r="E642" s="112"/>
      <c r="F642" s="128"/>
      <c r="G642" s="128"/>
      <c r="H642" s="128"/>
      <c r="I642" s="128"/>
      <c r="J642" s="112"/>
      <c r="K642" s="112"/>
      <c r="L642" s="153"/>
      <c r="M642" s="112"/>
      <c r="N642" s="112"/>
      <c r="O642" s="112"/>
      <c r="P642" s="112"/>
      <c r="Q642" s="112"/>
      <c r="R642" s="112"/>
      <c r="S642" s="112"/>
      <c r="T642" s="112"/>
      <c r="U642" s="112"/>
      <c r="V642" s="112"/>
      <c r="W642" s="112"/>
      <c r="X642" s="112"/>
      <c r="Y642" s="112"/>
      <c r="Z642" s="112"/>
      <c r="AA642" s="112"/>
      <c r="AB642" s="112"/>
    </row>
    <row r="643" ht="15.75" customHeight="1">
      <c r="A643" s="112"/>
      <c r="B643" s="112"/>
      <c r="C643" s="112"/>
      <c r="D643" s="125"/>
      <c r="E643" s="112"/>
      <c r="F643" s="128"/>
      <c r="G643" s="128"/>
      <c r="H643" s="128"/>
      <c r="I643" s="128"/>
      <c r="J643" s="112"/>
      <c r="K643" s="112"/>
      <c r="L643" s="153"/>
      <c r="M643" s="112"/>
      <c r="N643" s="112"/>
      <c r="O643" s="112"/>
      <c r="P643" s="112"/>
      <c r="Q643" s="112"/>
      <c r="R643" s="112"/>
      <c r="S643" s="112"/>
      <c r="T643" s="112"/>
      <c r="U643" s="112"/>
      <c r="V643" s="112"/>
      <c r="W643" s="112"/>
      <c r="X643" s="112"/>
      <c r="Y643" s="112"/>
      <c r="Z643" s="112"/>
      <c r="AA643" s="112"/>
      <c r="AB643" s="112"/>
    </row>
    <row r="644" ht="15.75" customHeight="1">
      <c r="A644" s="112"/>
      <c r="B644" s="112"/>
      <c r="C644" s="112"/>
      <c r="D644" s="125"/>
      <c r="E644" s="112"/>
      <c r="F644" s="128"/>
      <c r="G644" s="128"/>
      <c r="H644" s="128"/>
      <c r="I644" s="128"/>
      <c r="J644" s="112"/>
      <c r="K644" s="112"/>
      <c r="L644" s="153"/>
      <c r="M644" s="112"/>
      <c r="N644" s="112"/>
      <c r="O644" s="112"/>
      <c r="P644" s="112"/>
      <c r="Q644" s="112"/>
      <c r="R644" s="112"/>
      <c r="S644" s="112"/>
      <c r="T644" s="112"/>
      <c r="U644" s="112"/>
      <c r="V644" s="112"/>
      <c r="W644" s="112"/>
      <c r="X644" s="112"/>
      <c r="Y644" s="112"/>
      <c r="Z644" s="112"/>
      <c r="AA644" s="112"/>
      <c r="AB644" s="112"/>
    </row>
    <row r="645" ht="15.75" customHeight="1">
      <c r="A645" s="112"/>
      <c r="B645" s="112"/>
      <c r="C645" s="112"/>
      <c r="D645" s="125"/>
      <c r="E645" s="112"/>
      <c r="F645" s="128"/>
      <c r="G645" s="128"/>
      <c r="H645" s="128"/>
      <c r="I645" s="128"/>
      <c r="J645" s="112"/>
      <c r="K645" s="112"/>
      <c r="L645" s="153"/>
      <c r="M645" s="112"/>
      <c r="N645" s="112"/>
      <c r="O645" s="112"/>
      <c r="P645" s="112"/>
      <c r="Q645" s="112"/>
      <c r="R645" s="112"/>
      <c r="S645" s="112"/>
      <c r="T645" s="112"/>
      <c r="U645" s="112"/>
      <c r="V645" s="112"/>
      <c r="W645" s="112"/>
      <c r="X645" s="112"/>
      <c r="Y645" s="112"/>
      <c r="Z645" s="112"/>
      <c r="AA645" s="112"/>
      <c r="AB645" s="112"/>
    </row>
    <row r="646" ht="15.75" customHeight="1">
      <c r="A646" s="112"/>
      <c r="B646" s="112"/>
      <c r="C646" s="112"/>
      <c r="D646" s="125"/>
      <c r="E646" s="112"/>
      <c r="F646" s="128"/>
      <c r="G646" s="128"/>
      <c r="H646" s="128"/>
      <c r="I646" s="128"/>
      <c r="J646" s="112"/>
      <c r="K646" s="112"/>
      <c r="L646" s="153"/>
      <c r="M646" s="112"/>
      <c r="N646" s="112"/>
      <c r="O646" s="112"/>
      <c r="P646" s="112"/>
      <c r="Q646" s="112"/>
      <c r="R646" s="112"/>
      <c r="S646" s="112"/>
      <c r="T646" s="112"/>
      <c r="U646" s="112"/>
      <c r="V646" s="112"/>
      <c r="W646" s="112"/>
      <c r="X646" s="112"/>
      <c r="Y646" s="112"/>
      <c r="Z646" s="112"/>
      <c r="AA646" s="112"/>
      <c r="AB646" s="112"/>
    </row>
    <row r="647" ht="15.75" customHeight="1">
      <c r="A647" s="112"/>
      <c r="B647" s="112"/>
      <c r="C647" s="112"/>
      <c r="D647" s="125"/>
      <c r="E647" s="112"/>
      <c r="F647" s="128"/>
      <c r="G647" s="128"/>
      <c r="H647" s="128"/>
      <c r="I647" s="128" t="s">
        <v>49</v>
      </c>
      <c r="J647" s="112"/>
      <c r="K647" s="112"/>
      <c r="L647" s="153"/>
      <c r="M647" s="112"/>
      <c r="N647" s="112"/>
      <c r="O647" s="112"/>
      <c r="P647" s="112"/>
      <c r="Q647" s="112"/>
      <c r="R647" s="112"/>
      <c r="S647" s="112"/>
      <c r="T647" s="112"/>
      <c r="U647" s="112"/>
      <c r="V647" s="112"/>
      <c r="W647" s="112"/>
      <c r="X647" s="112"/>
      <c r="Y647" s="112"/>
      <c r="Z647" s="112"/>
      <c r="AA647" s="112"/>
      <c r="AB647" s="112"/>
    </row>
    <row r="648" ht="15.75" customHeight="1">
      <c r="A648" s="112"/>
      <c r="B648" s="112"/>
      <c r="C648" s="112"/>
      <c r="D648" s="125"/>
      <c r="E648" s="112"/>
      <c r="F648" s="128"/>
      <c r="G648" s="128"/>
      <c r="H648" s="128"/>
      <c r="I648" s="128"/>
      <c r="J648" s="112"/>
      <c r="K648" s="112"/>
      <c r="L648" s="153"/>
      <c r="M648" s="112"/>
      <c r="N648" s="112"/>
      <c r="O648" s="112"/>
      <c r="P648" s="112"/>
      <c r="Q648" s="112"/>
      <c r="R648" s="112"/>
      <c r="S648" s="112"/>
      <c r="T648" s="112"/>
      <c r="U648" s="112"/>
      <c r="V648" s="112"/>
      <c r="W648" s="112"/>
      <c r="X648" s="112"/>
      <c r="Y648" s="112"/>
      <c r="Z648" s="112"/>
      <c r="AA648" s="112"/>
      <c r="AB648" s="112"/>
    </row>
    <row r="649" ht="15.75" customHeight="1">
      <c r="A649" s="112"/>
      <c r="B649" s="112"/>
      <c r="C649" s="112"/>
      <c r="D649" s="125"/>
      <c r="E649" s="112"/>
      <c r="F649" s="128"/>
      <c r="G649" s="128"/>
      <c r="H649" s="128"/>
      <c r="I649" s="128"/>
      <c r="J649" s="112"/>
      <c r="K649" s="112"/>
      <c r="L649" s="153"/>
      <c r="M649" s="112"/>
      <c r="N649" s="112"/>
      <c r="O649" s="112"/>
      <c r="P649" s="112"/>
      <c r="Q649" s="112"/>
      <c r="R649" s="112"/>
      <c r="S649" s="112"/>
      <c r="T649" s="112"/>
      <c r="U649" s="112"/>
      <c r="V649" s="112"/>
      <c r="W649" s="112"/>
      <c r="X649" s="112"/>
      <c r="Y649" s="112"/>
      <c r="Z649" s="112"/>
      <c r="AA649" s="112"/>
      <c r="AB649" s="112"/>
    </row>
    <row r="650" ht="15.75" customHeight="1">
      <c r="A650" s="112"/>
      <c r="B650" s="112"/>
      <c r="C650" s="112"/>
      <c r="D650" s="125"/>
      <c r="E650" s="112"/>
      <c r="F650" s="128"/>
      <c r="G650" s="128"/>
      <c r="H650" s="128"/>
      <c r="I650" s="128"/>
      <c r="J650" s="112"/>
      <c r="K650" s="112"/>
      <c r="L650" s="153"/>
      <c r="M650" s="112"/>
      <c r="N650" s="112"/>
      <c r="O650" s="112"/>
      <c r="P650" s="112"/>
      <c r="Q650" s="112"/>
      <c r="R650" s="112"/>
      <c r="S650" s="112"/>
      <c r="T650" s="112"/>
      <c r="U650" s="112"/>
      <c r="V650" s="112"/>
      <c r="W650" s="112"/>
      <c r="X650" s="112"/>
      <c r="Y650" s="112"/>
      <c r="Z650" s="112"/>
      <c r="AA650" s="112"/>
      <c r="AB650" s="112"/>
    </row>
    <row r="651" ht="15.75" customHeight="1">
      <c r="A651" s="112"/>
      <c r="B651" s="112"/>
      <c r="C651" s="112"/>
      <c r="D651" s="125"/>
      <c r="E651" s="112"/>
      <c r="F651" s="128"/>
      <c r="G651" s="128"/>
      <c r="H651" s="128"/>
      <c r="I651" s="128"/>
      <c r="J651" s="112"/>
      <c r="K651" s="112"/>
      <c r="L651" s="153"/>
      <c r="M651" s="112"/>
      <c r="N651" s="112"/>
      <c r="O651" s="112"/>
      <c r="P651" s="112"/>
      <c r="Q651" s="112"/>
      <c r="R651" s="112"/>
      <c r="S651" s="112"/>
      <c r="T651" s="112"/>
      <c r="U651" s="112"/>
      <c r="V651" s="112"/>
      <c r="W651" s="112"/>
      <c r="X651" s="112"/>
      <c r="Y651" s="112"/>
      <c r="Z651" s="112"/>
      <c r="AA651" s="112"/>
      <c r="AB651" s="112"/>
    </row>
    <row r="652" ht="15.75" customHeight="1">
      <c r="A652" s="112"/>
      <c r="B652" s="112"/>
      <c r="C652" s="112"/>
      <c r="D652" s="125"/>
      <c r="E652" s="112"/>
      <c r="F652" s="128"/>
      <c r="G652" s="128"/>
      <c r="H652" s="128"/>
      <c r="I652" s="128"/>
      <c r="J652" s="112"/>
      <c r="K652" s="112"/>
      <c r="L652" s="153"/>
      <c r="M652" s="112"/>
      <c r="N652" s="112"/>
      <c r="O652" s="112"/>
      <c r="P652" s="112"/>
      <c r="Q652" s="112"/>
      <c r="R652" s="112"/>
      <c r="S652" s="112"/>
      <c r="T652" s="112"/>
      <c r="U652" s="112"/>
      <c r="V652" s="112"/>
      <c r="W652" s="112"/>
      <c r="X652" s="112"/>
      <c r="Y652" s="112"/>
      <c r="Z652" s="112"/>
      <c r="AA652" s="112"/>
      <c r="AB652" s="112"/>
    </row>
    <row r="653" ht="15.75" customHeight="1">
      <c r="A653" s="112"/>
      <c r="B653" s="112"/>
      <c r="C653" s="112"/>
      <c r="D653" s="125"/>
      <c r="E653" s="112"/>
      <c r="F653" s="128"/>
      <c r="G653" s="128"/>
      <c r="H653" s="128"/>
      <c r="I653" s="128"/>
      <c r="J653" s="112"/>
      <c r="K653" s="112"/>
      <c r="L653" s="153"/>
      <c r="M653" s="112"/>
      <c r="N653" s="112"/>
      <c r="O653" s="112"/>
      <c r="P653" s="112"/>
      <c r="Q653" s="112"/>
      <c r="R653" s="112"/>
      <c r="S653" s="112"/>
      <c r="T653" s="112"/>
      <c r="U653" s="112"/>
      <c r="V653" s="112"/>
      <c r="W653" s="112"/>
      <c r="X653" s="112"/>
      <c r="Y653" s="112"/>
      <c r="Z653" s="112"/>
      <c r="AA653" s="112"/>
      <c r="AB653" s="112"/>
    </row>
    <row r="654" ht="15.75" customHeight="1">
      <c r="A654" s="112"/>
      <c r="B654" s="112"/>
      <c r="C654" s="112"/>
      <c r="D654" s="125"/>
      <c r="E654" s="112"/>
      <c r="F654" s="128"/>
      <c r="G654" s="128"/>
      <c r="H654" s="128"/>
      <c r="I654" s="128"/>
      <c r="J654" s="112"/>
      <c r="K654" s="112"/>
      <c r="L654" s="153"/>
      <c r="M654" s="112"/>
      <c r="N654" s="112"/>
      <c r="O654" s="112"/>
      <c r="P654" s="112"/>
      <c r="Q654" s="112"/>
      <c r="R654" s="112"/>
      <c r="S654" s="112"/>
      <c r="T654" s="112"/>
      <c r="U654" s="112"/>
      <c r="V654" s="112"/>
      <c r="W654" s="112"/>
      <c r="X654" s="112"/>
      <c r="Y654" s="112"/>
      <c r="Z654" s="112"/>
      <c r="AA654" s="112"/>
      <c r="AB654" s="112"/>
    </row>
    <row r="655" ht="15.75" customHeight="1">
      <c r="A655" s="112"/>
      <c r="B655" s="112"/>
      <c r="C655" s="112"/>
      <c r="D655" s="125"/>
      <c r="E655" s="112"/>
      <c r="F655" s="128"/>
      <c r="G655" s="128"/>
      <c r="H655" s="128"/>
      <c r="I655" s="128"/>
      <c r="J655" s="112"/>
      <c r="K655" s="112"/>
      <c r="L655" s="153"/>
      <c r="M655" s="112"/>
      <c r="N655" s="112"/>
      <c r="O655" s="112"/>
      <c r="P655" s="112"/>
      <c r="Q655" s="112"/>
      <c r="R655" s="112"/>
      <c r="S655" s="112"/>
      <c r="T655" s="112"/>
      <c r="U655" s="112"/>
      <c r="V655" s="112"/>
      <c r="W655" s="112"/>
      <c r="X655" s="112"/>
      <c r="Y655" s="112"/>
      <c r="Z655" s="112"/>
      <c r="AA655" s="112"/>
      <c r="AB655" s="112"/>
    </row>
    <row r="656" ht="15.75" customHeight="1">
      <c r="A656" s="112"/>
      <c r="B656" s="112"/>
      <c r="C656" s="112"/>
      <c r="D656" s="125"/>
      <c r="E656" s="112"/>
      <c r="F656" s="128"/>
      <c r="G656" s="128"/>
      <c r="H656" s="128"/>
      <c r="I656" s="128"/>
      <c r="J656" s="112"/>
      <c r="K656" s="112"/>
      <c r="L656" s="153"/>
      <c r="M656" s="112"/>
      <c r="N656" s="112"/>
      <c r="O656" s="112"/>
      <c r="P656" s="112"/>
      <c r="Q656" s="112"/>
      <c r="R656" s="112"/>
      <c r="S656" s="112"/>
      <c r="T656" s="112"/>
      <c r="U656" s="112"/>
      <c r="V656" s="112"/>
      <c r="W656" s="112"/>
      <c r="X656" s="112"/>
      <c r="Y656" s="112"/>
      <c r="Z656" s="112"/>
      <c r="AA656" s="112"/>
      <c r="AB656" s="112"/>
    </row>
    <row r="657" ht="15.75" customHeight="1">
      <c r="A657" s="112"/>
      <c r="B657" s="112"/>
      <c r="C657" s="112"/>
      <c r="D657" s="125"/>
      <c r="E657" s="112"/>
      <c r="F657" s="128"/>
      <c r="G657" s="128"/>
      <c r="H657" s="128"/>
      <c r="I657" s="128"/>
      <c r="J657" s="112"/>
      <c r="K657" s="112"/>
      <c r="L657" s="153"/>
      <c r="M657" s="112"/>
      <c r="N657" s="112"/>
      <c r="O657" s="112"/>
      <c r="P657" s="112"/>
      <c r="Q657" s="112"/>
      <c r="R657" s="112"/>
      <c r="S657" s="112"/>
      <c r="T657" s="112"/>
      <c r="U657" s="112"/>
      <c r="V657" s="112"/>
      <c r="W657" s="112"/>
      <c r="X657" s="112"/>
      <c r="Y657" s="112"/>
      <c r="Z657" s="112"/>
      <c r="AA657" s="112"/>
      <c r="AB657" s="112"/>
    </row>
    <row r="658" ht="15.75" customHeight="1">
      <c r="A658" s="112"/>
      <c r="B658" s="112"/>
      <c r="C658" s="112"/>
      <c r="D658" s="125"/>
      <c r="E658" s="112"/>
      <c r="F658" s="128"/>
      <c r="G658" s="128"/>
      <c r="H658" s="128"/>
      <c r="I658" s="128"/>
      <c r="J658" s="112"/>
      <c r="K658" s="112"/>
      <c r="L658" s="153"/>
      <c r="M658" s="112"/>
      <c r="N658" s="112"/>
      <c r="O658" s="112"/>
      <c r="P658" s="112"/>
      <c r="Q658" s="112"/>
      <c r="R658" s="112"/>
      <c r="S658" s="112"/>
      <c r="T658" s="112"/>
      <c r="U658" s="112"/>
      <c r="V658" s="112"/>
      <c r="W658" s="112"/>
      <c r="X658" s="112"/>
      <c r="Y658" s="112"/>
      <c r="Z658" s="112"/>
      <c r="AA658" s="112"/>
      <c r="AB658" s="112"/>
    </row>
    <row r="659" ht="15.75" customHeight="1">
      <c r="A659" s="112"/>
      <c r="B659" s="112"/>
      <c r="C659" s="112"/>
      <c r="D659" s="125"/>
      <c r="E659" s="112"/>
      <c r="F659" s="128"/>
      <c r="G659" s="128"/>
      <c r="H659" s="128"/>
      <c r="I659" s="128"/>
      <c r="J659" s="112"/>
      <c r="K659" s="112"/>
      <c r="L659" s="153"/>
      <c r="M659" s="112"/>
      <c r="N659" s="112"/>
      <c r="O659" s="112"/>
      <c r="P659" s="112"/>
      <c r="Q659" s="112"/>
      <c r="R659" s="112"/>
      <c r="S659" s="112"/>
      <c r="T659" s="112"/>
      <c r="U659" s="112"/>
      <c r="V659" s="112"/>
      <c r="W659" s="112"/>
      <c r="X659" s="112"/>
      <c r="Y659" s="112"/>
      <c r="Z659" s="112"/>
      <c r="AA659" s="112"/>
      <c r="AB659" s="112"/>
    </row>
    <row r="660" ht="15.75" customHeight="1">
      <c r="A660" s="112"/>
      <c r="B660" s="112"/>
      <c r="C660" s="112"/>
      <c r="D660" s="125"/>
      <c r="E660" s="112"/>
      <c r="F660" s="128"/>
      <c r="G660" s="128"/>
      <c r="H660" s="128"/>
      <c r="I660" s="128"/>
      <c r="J660" s="112"/>
      <c r="K660" s="112"/>
      <c r="L660" s="153"/>
      <c r="M660" s="112"/>
      <c r="N660" s="112"/>
      <c r="O660" s="112"/>
      <c r="P660" s="112"/>
      <c r="Q660" s="112"/>
      <c r="R660" s="112"/>
      <c r="S660" s="112"/>
      <c r="T660" s="112"/>
      <c r="U660" s="112"/>
      <c r="V660" s="112"/>
      <c r="W660" s="112"/>
      <c r="X660" s="112"/>
      <c r="Y660" s="112"/>
      <c r="Z660" s="112"/>
      <c r="AA660" s="112"/>
      <c r="AB660" s="112"/>
    </row>
    <row r="661" ht="15.75" customHeight="1">
      <c r="A661" s="112"/>
      <c r="B661" s="112"/>
      <c r="C661" s="112"/>
      <c r="D661" s="125"/>
      <c r="E661" s="112"/>
      <c r="F661" s="128"/>
      <c r="G661" s="128"/>
      <c r="H661" s="128"/>
      <c r="I661" s="128"/>
      <c r="J661" s="112"/>
      <c r="K661" s="112"/>
      <c r="L661" s="153"/>
      <c r="M661" s="112"/>
      <c r="N661" s="112"/>
      <c r="O661" s="112"/>
      <c r="P661" s="112"/>
      <c r="Q661" s="112"/>
      <c r="R661" s="112"/>
      <c r="S661" s="112"/>
      <c r="T661" s="112"/>
      <c r="U661" s="112"/>
      <c r="V661" s="112"/>
      <c r="W661" s="112"/>
      <c r="X661" s="112"/>
      <c r="Y661" s="112"/>
      <c r="Z661" s="112"/>
      <c r="AA661" s="112"/>
      <c r="AB661" s="112"/>
    </row>
    <row r="662" ht="15.75" customHeight="1">
      <c r="A662" s="112"/>
      <c r="B662" s="112"/>
      <c r="C662" s="112"/>
      <c r="D662" s="125"/>
      <c r="E662" s="112"/>
      <c r="F662" s="128"/>
      <c r="G662" s="128"/>
      <c r="H662" s="128"/>
      <c r="I662" s="128"/>
      <c r="J662" s="112"/>
      <c r="K662" s="112"/>
      <c r="L662" s="153"/>
      <c r="M662" s="112"/>
      <c r="N662" s="112"/>
      <c r="O662" s="112"/>
      <c r="P662" s="112"/>
      <c r="Q662" s="112"/>
      <c r="R662" s="112"/>
      <c r="S662" s="112"/>
      <c r="T662" s="112"/>
      <c r="U662" s="112"/>
      <c r="V662" s="112"/>
      <c r="W662" s="112"/>
      <c r="X662" s="112"/>
      <c r="Y662" s="112"/>
      <c r="Z662" s="112"/>
      <c r="AA662" s="112"/>
      <c r="AB662" s="112"/>
    </row>
    <row r="663" ht="15.75" customHeight="1">
      <c r="A663" s="112"/>
      <c r="B663" s="112"/>
      <c r="C663" s="112"/>
      <c r="D663" s="125"/>
      <c r="E663" s="112"/>
      <c r="F663" s="128"/>
      <c r="G663" s="128"/>
      <c r="H663" s="128"/>
      <c r="I663" s="128"/>
      <c r="J663" s="112"/>
      <c r="K663" s="112"/>
      <c r="L663" s="153"/>
      <c r="M663" s="112"/>
      <c r="N663" s="112"/>
      <c r="O663" s="112"/>
      <c r="P663" s="112"/>
      <c r="Q663" s="112"/>
      <c r="R663" s="112"/>
      <c r="S663" s="112"/>
      <c r="T663" s="112"/>
      <c r="U663" s="112"/>
      <c r="V663" s="112"/>
      <c r="W663" s="112"/>
      <c r="X663" s="112"/>
      <c r="Y663" s="112"/>
      <c r="Z663" s="112"/>
      <c r="AA663" s="112"/>
      <c r="AB663" s="112"/>
    </row>
    <row r="664" ht="15.75" customHeight="1">
      <c r="A664" s="112"/>
      <c r="B664" s="112"/>
      <c r="C664" s="112"/>
      <c r="D664" s="125"/>
      <c r="E664" s="112"/>
      <c r="F664" s="128"/>
      <c r="G664" s="128"/>
      <c r="H664" s="128"/>
      <c r="I664" s="128"/>
      <c r="J664" s="112"/>
      <c r="K664" s="112"/>
      <c r="L664" s="153"/>
      <c r="M664" s="112"/>
      <c r="N664" s="112"/>
      <c r="O664" s="112"/>
      <c r="P664" s="112"/>
      <c r="Q664" s="112"/>
      <c r="R664" s="112"/>
      <c r="S664" s="112"/>
      <c r="T664" s="112"/>
      <c r="U664" s="112"/>
      <c r="V664" s="112"/>
      <c r="W664" s="112"/>
      <c r="X664" s="112"/>
      <c r="Y664" s="112"/>
      <c r="Z664" s="112"/>
      <c r="AA664" s="112"/>
      <c r="AB664" s="112"/>
    </row>
    <row r="665" ht="15.75" customHeight="1">
      <c r="A665" s="112"/>
      <c r="B665" s="112"/>
      <c r="C665" s="112"/>
      <c r="D665" s="125"/>
      <c r="E665" s="112"/>
      <c r="F665" s="128"/>
      <c r="G665" s="128"/>
      <c r="H665" s="128"/>
      <c r="I665" s="128"/>
      <c r="J665" s="112"/>
      <c r="K665" s="112"/>
      <c r="L665" s="153"/>
      <c r="M665" s="112"/>
      <c r="N665" s="112"/>
      <c r="O665" s="112"/>
      <c r="P665" s="112"/>
      <c r="Q665" s="112"/>
      <c r="R665" s="112"/>
      <c r="S665" s="112"/>
      <c r="T665" s="112"/>
      <c r="U665" s="112"/>
      <c r="V665" s="112"/>
      <c r="W665" s="112"/>
      <c r="X665" s="112"/>
      <c r="Y665" s="112"/>
      <c r="Z665" s="112"/>
      <c r="AA665" s="112"/>
      <c r="AB665" s="112"/>
    </row>
    <row r="666" ht="15.75" customHeight="1">
      <c r="A666" s="112"/>
      <c r="B666" s="112"/>
      <c r="C666" s="112"/>
      <c r="D666" s="125"/>
      <c r="E666" s="112"/>
      <c r="F666" s="128"/>
      <c r="G666" s="128"/>
      <c r="H666" s="128"/>
      <c r="I666" s="128"/>
      <c r="J666" s="112"/>
      <c r="K666" s="112"/>
      <c r="L666" s="153"/>
      <c r="M666" s="112"/>
      <c r="N666" s="112"/>
      <c r="O666" s="112"/>
      <c r="P666" s="112"/>
      <c r="Q666" s="112"/>
      <c r="R666" s="112"/>
      <c r="S666" s="112"/>
      <c r="T666" s="112"/>
      <c r="U666" s="112"/>
      <c r="V666" s="112"/>
      <c r="W666" s="112"/>
      <c r="X666" s="112"/>
      <c r="Y666" s="112"/>
      <c r="Z666" s="112"/>
      <c r="AA666" s="112"/>
      <c r="AB666" s="112"/>
    </row>
    <row r="667" ht="15.75" customHeight="1">
      <c r="A667" s="112"/>
      <c r="B667" s="112"/>
      <c r="C667" s="112"/>
      <c r="D667" s="125"/>
      <c r="E667" s="112"/>
      <c r="F667" s="128"/>
      <c r="G667" s="128"/>
      <c r="H667" s="128"/>
      <c r="I667" s="128"/>
      <c r="J667" s="112"/>
      <c r="K667" s="112"/>
      <c r="L667" s="153"/>
      <c r="M667" s="112"/>
      <c r="N667" s="112"/>
      <c r="O667" s="112"/>
      <c r="P667" s="112"/>
      <c r="Q667" s="112"/>
      <c r="R667" s="112"/>
      <c r="S667" s="112"/>
      <c r="T667" s="112"/>
      <c r="U667" s="112"/>
      <c r="V667" s="112"/>
      <c r="W667" s="112"/>
      <c r="X667" s="112"/>
      <c r="Y667" s="112"/>
      <c r="Z667" s="112"/>
      <c r="AA667" s="112"/>
      <c r="AB667" s="112"/>
    </row>
    <row r="668" ht="15.75" customHeight="1">
      <c r="A668" s="112"/>
      <c r="B668" s="112"/>
      <c r="C668" s="112"/>
      <c r="D668" s="125"/>
      <c r="E668" s="112"/>
      <c r="F668" s="128"/>
      <c r="G668" s="128"/>
      <c r="H668" s="128"/>
      <c r="I668" s="128"/>
      <c r="J668" s="112"/>
      <c r="K668" s="112"/>
      <c r="L668" s="153"/>
      <c r="M668" s="112"/>
      <c r="N668" s="112"/>
      <c r="O668" s="112"/>
      <c r="P668" s="112"/>
      <c r="Q668" s="112"/>
      <c r="R668" s="112"/>
      <c r="S668" s="112"/>
      <c r="T668" s="112"/>
      <c r="U668" s="112"/>
      <c r="V668" s="112"/>
      <c r="W668" s="112"/>
      <c r="X668" s="112"/>
      <c r="Y668" s="112"/>
      <c r="Z668" s="112"/>
      <c r="AA668" s="112"/>
      <c r="AB668" s="112"/>
    </row>
    <row r="669" ht="15.75" customHeight="1">
      <c r="A669" s="112"/>
      <c r="B669" s="112"/>
      <c r="C669" s="112"/>
      <c r="D669" s="125"/>
      <c r="E669" s="112"/>
      <c r="F669" s="128"/>
      <c r="G669" s="128"/>
      <c r="H669" s="128"/>
      <c r="I669" s="128"/>
      <c r="J669" s="112"/>
      <c r="K669" s="112"/>
      <c r="L669" s="153"/>
      <c r="M669" s="112"/>
      <c r="N669" s="112"/>
      <c r="O669" s="112"/>
      <c r="P669" s="112"/>
      <c r="Q669" s="112"/>
      <c r="R669" s="112"/>
      <c r="S669" s="112"/>
      <c r="T669" s="112"/>
      <c r="U669" s="112"/>
      <c r="V669" s="112"/>
      <c r="W669" s="112"/>
      <c r="X669" s="112"/>
      <c r="Y669" s="112"/>
      <c r="Z669" s="112"/>
      <c r="AA669" s="112"/>
      <c r="AB669" s="112"/>
    </row>
    <row r="670" ht="15.75" customHeight="1">
      <c r="A670" s="112"/>
      <c r="B670" s="112"/>
      <c r="C670" s="112"/>
      <c r="D670" s="125"/>
      <c r="E670" s="112"/>
      <c r="F670" s="128"/>
      <c r="G670" s="128"/>
      <c r="H670" s="128"/>
      <c r="I670" s="128"/>
      <c r="J670" s="112"/>
      <c r="K670" s="112"/>
      <c r="L670" s="153"/>
      <c r="M670" s="112"/>
      <c r="N670" s="112"/>
      <c r="O670" s="112"/>
      <c r="P670" s="112"/>
      <c r="Q670" s="112"/>
      <c r="R670" s="112"/>
      <c r="S670" s="112"/>
      <c r="T670" s="112"/>
      <c r="U670" s="112"/>
      <c r="V670" s="112"/>
      <c r="W670" s="112"/>
      <c r="X670" s="112"/>
      <c r="Y670" s="112"/>
      <c r="Z670" s="112"/>
      <c r="AA670" s="112"/>
      <c r="AB670" s="112"/>
    </row>
    <row r="671" ht="15.75" customHeight="1">
      <c r="A671" s="112"/>
      <c r="B671" s="112"/>
      <c r="C671" s="112"/>
      <c r="D671" s="125"/>
      <c r="E671" s="112"/>
      <c r="F671" s="128"/>
      <c r="G671" s="128"/>
      <c r="H671" s="128"/>
      <c r="I671" s="128"/>
      <c r="J671" s="112"/>
      <c r="K671" s="112"/>
      <c r="L671" s="153"/>
      <c r="M671" s="112"/>
      <c r="N671" s="112"/>
      <c r="O671" s="112"/>
      <c r="P671" s="112"/>
      <c r="Q671" s="112"/>
      <c r="R671" s="112"/>
      <c r="S671" s="112"/>
      <c r="T671" s="112"/>
      <c r="U671" s="112"/>
      <c r="V671" s="112"/>
      <c r="W671" s="112"/>
      <c r="X671" s="112"/>
      <c r="Y671" s="112"/>
      <c r="Z671" s="112"/>
      <c r="AA671" s="112"/>
      <c r="AB671" s="112"/>
    </row>
    <row r="672" ht="15.75" customHeight="1">
      <c r="A672" s="112"/>
      <c r="B672" s="112"/>
      <c r="C672" s="112"/>
      <c r="D672" s="125"/>
      <c r="E672" s="112"/>
      <c r="F672" s="128"/>
      <c r="G672" s="128"/>
      <c r="H672" s="128"/>
      <c r="I672" s="128"/>
      <c r="J672" s="112"/>
      <c r="K672" s="112"/>
      <c r="L672" s="153"/>
      <c r="M672" s="112"/>
      <c r="N672" s="112"/>
      <c r="O672" s="112"/>
      <c r="P672" s="112"/>
      <c r="Q672" s="112"/>
      <c r="R672" s="112"/>
      <c r="S672" s="112"/>
      <c r="T672" s="112"/>
      <c r="U672" s="112"/>
      <c r="V672" s="112"/>
      <c r="W672" s="112"/>
      <c r="X672" s="112"/>
      <c r="Y672" s="112"/>
      <c r="Z672" s="112"/>
      <c r="AA672" s="112"/>
      <c r="AB672" s="112"/>
    </row>
    <row r="673" ht="15.75" customHeight="1">
      <c r="A673" s="112"/>
      <c r="B673" s="112"/>
      <c r="C673" s="112"/>
      <c r="D673" s="125"/>
      <c r="E673" s="112"/>
      <c r="F673" s="128"/>
      <c r="G673" s="128"/>
      <c r="H673" s="128"/>
      <c r="I673" s="128"/>
      <c r="J673" s="112"/>
      <c r="K673" s="112"/>
      <c r="L673" s="153"/>
      <c r="M673" s="112"/>
      <c r="N673" s="112"/>
      <c r="O673" s="112"/>
      <c r="P673" s="112"/>
      <c r="Q673" s="112"/>
      <c r="R673" s="112"/>
      <c r="S673" s="112"/>
      <c r="T673" s="112"/>
      <c r="U673" s="112"/>
      <c r="V673" s="112"/>
      <c r="W673" s="112"/>
      <c r="X673" s="112"/>
      <c r="Y673" s="112"/>
      <c r="Z673" s="112"/>
      <c r="AA673" s="112"/>
      <c r="AB673" s="112"/>
    </row>
    <row r="674" ht="15.75" customHeight="1">
      <c r="A674" s="112"/>
      <c r="B674" s="112"/>
      <c r="C674" s="112"/>
      <c r="D674" s="125"/>
      <c r="E674" s="112"/>
      <c r="F674" s="128"/>
      <c r="G674" s="128"/>
      <c r="H674" s="128"/>
      <c r="I674" s="128"/>
      <c r="J674" s="112"/>
      <c r="K674" s="112"/>
      <c r="L674" s="153"/>
      <c r="M674" s="112"/>
      <c r="N674" s="112"/>
      <c r="O674" s="112"/>
      <c r="P674" s="112"/>
      <c r="Q674" s="112"/>
      <c r="R674" s="112"/>
      <c r="S674" s="112"/>
      <c r="T674" s="112"/>
      <c r="U674" s="112"/>
      <c r="V674" s="112"/>
      <c r="W674" s="112"/>
      <c r="X674" s="112"/>
      <c r="Y674" s="112"/>
      <c r="Z674" s="112"/>
      <c r="AA674" s="112"/>
      <c r="AB674" s="112"/>
    </row>
    <row r="675" ht="15.75" customHeight="1">
      <c r="A675" s="112"/>
      <c r="B675" s="112"/>
      <c r="C675" s="112"/>
      <c r="D675" s="125"/>
      <c r="E675" s="112"/>
      <c r="F675" s="128"/>
      <c r="G675" s="128"/>
      <c r="H675" s="128"/>
      <c r="I675" s="128"/>
      <c r="J675" s="112"/>
      <c r="K675" s="112"/>
      <c r="L675" s="153"/>
      <c r="M675" s="112"/>
      <c r="N675" s="112"/>
      <c r="O675" s="112"/>
      <c r="P675" s="112"/>
      <c r="Q675" s="112"/>
      <c r="R675" s="112"/>
      <c r="S675" s="112"/>
      <c r="T675" s="112"/>
      <c r="U675" s="112"/>
      <c r="V675" s="112"/>
      <c r="W675" s="112"/>
      <c r="X675" s="112"/>
      <c r="Y675" s="112"/>
      <c r="Z675" s="112"/>
      <c r="AA675" s="112"/>
      <c r="AB675" s="112"/>
    </row>
    <row r="676" ht="15.75" customHeight="1">
      <c r="A676" s="112"/>
      <c r="B676" s="112"/>
      <c r="C676" s="112"/>
      <c r="D676" s="125"/>
      <c r="E676" s="112"/>
      <c r="F676" s="128"/>
      <c r="G676" s="128"/>
      <c r="H676" s="128"/>
      <c r="I676" s="128"/>
      <c r="J676" s="112"/>
      <c r="K676" s="112"/>
      <c r="L676" s="153"/>
      <c r="M676" s="112"/>
      <c r="N676" s="112"/>
      <c r="O676" s="112"/>
      <c r="P676" s="112"/>
      <c r="Q676" s="112"/>
      <c r="R676" s="112"/>
      <c r="S676" s="112"/>
      <c r="T676" s="112"/>
      <c r="U676" s="112"/>
      <c r="V676" s="112"/>
      <c r="W676" s="112"/>
      <c r="X676" s="112"/>
      <c r="Y676" s="112"/>
      <c r="Z676" s="112"/>
      <c r="AA676" s="112"/>
      <c r="AB676" s="112"/>
    </row>
    <row r="677" ht="15.75" customHeight="1">
      <c r="A677" s="112"/>
      <c r="B677" s="112"/>
      <c r="C677" s="112"/>
      <c r="D677" s="125"/>
      <c r="E677" s="112"/>
      <c r="F677" s="128"/>
      <c r="G677" s="128"/>
      <c r="H677" s="128"/>
      <c r="I677" s="128"/>
      <c r="J677" s="112"/>
      <c r="K677" s="112"/>
      <c r="L677" s="153"/>
      <c r="M677" s="112"/>
      <c r="N677" s="112"/>
      <c r="O677" s="112"/>
      <c r="P677" s="112"/>
      <c r="Q677" s="112"/>
      <c r="R677" s="112"/>
      <c r="S677" s="112"/>
      <c r="T677" s="112"/>
      <c r="U677" s="112"/>
      <c r="V677" s="112"/>
      <c r="W677" s="112"/>
      <c r="X677" s="112"/>
      <c r="Y677" s="112"/>
      <c r="Z677" s="112"/>
      <c r="AA677" s="112"/>
      <c r="AB677" s="112"/>
    </row>
    <row r="678" ht="15.75" customHeight="1">
      <c r="A678" s="112"/>
      <c r="B678" s="112"/>
      <c r="C678" s="112"/>
      <c r="D678" s="125"/>
      <c r="E678" s="112"/>
      <c r="F678" s="128"/>
      <c r="G678" s="128"/>
      <c r="H678" s="128"/>
      <c r="I678" s="128"/>
      <c r="J678" s="112"/>
      <c r="K678" s="112"/>
      <c r="L678" s="153"/>
      <c r="M678" s="112"/>
      <c r="N678" s="112"/>
      <c r="O678" s="112"/>
      <c r="P678" s="112"/>
      <c r="Q678" s="112"/>
      <c r="R678" s="112"/>
      <c r="S678" s="112"/>
      <c r="T678" s="112"/>
      <c r="U678" s="112"/>
      <c r="V678" s="112"/>
      <c r="W678" s="112"/>
      <c r="X678" s="112"/>
      <c r="Y678" s="112"/>
      <c r="Z678" s="112"/>
      <c r="AA678" s="112"/>
      <c r="AB678" s="112"/>
    </row>
    <row r="679" ht="15.75" customHeight="1">
      <c r="A679" s="112"/>
      <c r="B679" s="112"/>
      <c r="C679" s="112"/>
      <c r="D679" s="125"/>
      <c r="E679" s="112"/>
      <c r="F679" s="128"/>
      <c r="G679" s="128"/>
      <c r="H679" s="128"/>
      <c r="I679" s="128"/>
      <c r="J679" s="112"/>
      <c r="K679" s="112"/>
      <c r="L679" s="153"/>
      <c r="M679" s="112"/>
      <c r="N679" s="112"/>
      <c r="O679" s="112"/>
      <c r="P679" s="112"/>
      <c r="Q679" s="112"/>
      <c r="R679" s="112"/>
      <c r="S679" s="112"/>
      <c r="T679" s="112"/>
      <c r="U679" s="112"/>
      <c r="V679" s="112"/>
      <c r="W679" s="112"/>
      <c r="X679" s="112"/>
      <c r="Y679" s="112"/>
      <c r="Z679" s="112"/>
      <c r="AA679" s="112"/>
      <c r="AB679" s="112"/>
    </row>
    <row r="680" ht="15.75" customHeight="1">
      <c r="A680" s="112"/>
      <c r="B680" s="112"/>
      <c r="C680" s="112"/>
      <c r="D680" s="125"/>
      <c r="E680" s="112"/>
      <c r="F680" s="128"/>
      <c r="G680" s="128"/>
      <c r="H680" s="128"/>
      <c r="I680" s="128"/>
      <c r="J680" s="112"/>
      <c r="K680" s="112"/>
      <c r="L680" s="153"/>
      <c r="M680" s="112"/>
      <c r="N680" s="112"/>
      <c r="O680" s="112"/>
      <c r="P680" s="112"/>
      <c r="Q680" s="112"/>
      <c r="R680" s="112"/>
      <c r="S680" s="112"/>
      <c r="T680" s="112"/>
      <c r="U680" s="112"/>
      <c r="V680" s="112"/>
      <c r="W680" s="112"/>
      <c r="X680" s="112"/>
      <c r="Y680" s="112"/>
      <c r="Z680" s="112"/>
      <c r="AA680" s="112"/>
      <c r="AB680" s="112"/>
    </row>
    <row r="681" ht="15.75" customHeight="1">
      <c r="A681" s="112"/>
      <c r="B681" s="112"/>
      <c r="C681" s="112"/>
      <c r="D681" s="125"/>
      <c r="E681" s="112"/>
      <c r="F681" s="128"/>
      <c r="G681" s="128"/>
      <c r="H681" s="128"/>
      <c r="I681" s="128"/>
      <c r="J681" s="112"/>
      <c r="K681" s="112"/>
      <c r="L681" s="153"/>
      <c r="M681" s="112"/>
      <c r="N681" s="112"/>
      <c r="O681" s="112"/>
      <c r="P681" s="112"/>
      <c r="Q681" s="112"/>
      <c r="R681" s="112"/>
      <c r="S681" s="112"/>
      <c r="T681" s="112"/>
      <c r="U681" s="112"/>
      <c r="V681" s="112"/>
      <c r="W681" s="112"/>
      <c r="X681" s="112"/>
      <c r="Y681" s="112"/>
      <c r="Z681" s="112"/>
      <c r="AA681" s="112"/>
      <c r="AB681" s="112"/>
    </row>
    <row r="682" ht="15.75" customHeight="1">
      <c r="A682" s="112"/>
      <c r="B682" s="112"/>
      <c r="C682" s="112"/>
      <c r="D682" s="125"/>
      <c r="E682" s="112"/>
      <c r="F682" s="128"/>
      <c r="G682" s="128"/>
      <c r="H682" s="128"/>
      <c r="I682" s="128"/>
      <c r="J682" s="112"/>
      <c r="K682" s="112"/>
      <c r="L682" s="153"/>
      <c r="M682" s="112"/>
      <c r="N682" s="112"/>
      <c r="O682" s="112"/>
      <c r="P682" s="112"/>
      <c r="Q682" s="112"/>
      <c r="R682" s="112"/>
      <c r="S682" s="112"/>
      <c r="T682" s="112"/>
      <c r="U682" s="112"/>
      <c r="V682" s="112"/>
      <c r="W682" s="112"/>
      <c r="X682" s="112"/>
      <c r="Y682" s="112"/>
      <c r="Z682" s="112"/>
      <c r="AA682" s="112"/>
      <c r="AB682" s="112"/>
    </row>
    <row r="683" ht="15.75" customHeight="1">
      <c r="A683" s="112"/>
      <c r="B683" s="112"/>
      <c r="C683" s="112"/>
      <c r="D683" s="125"/>
      <c r="E683" s="112"/>
      <c r="F683" s="128"/>
      <c r="G683" s="128"/>
      <c r="H683" s="128"/>
      <c r="I683" s="128"/>
      <c r="J683" s="112"/>
      <c r="K683" s="112"/>
      <c r="L683" s="153"/>
      <c r="M683" s="112"/>
      <c r="N683" s="112"/>
      <c r="O683" s="112"/>
      <c r="P683" s="112"/>
      <c r="Q683" s="112"/>
      <c r="R683" s="112"/>
      <c r="S683" s="112"/>
      <c r="T683" s="112"/>
      <c r="U683" s="112"/>
      <c r="V683" s="112"/>
      <c r="W683" s="112"/>
      <c r="X683" s="112"/>
      <c r="Y683" s="112"/>
      <c r="Z683" s="112"/>
      <c r="AA683" s="112"/>
      <c r="AB683" s="112"/>
    </row>
    <row r="684" ht="15.75" customHeight="1">
      <c r="A684" s="112"/>
      <c r="B684" s="112"/>
      <c r="C684" s="112"/>
      <c r="D684" s="125"/>
      <c r="E684" s="112"/>
      <c r="F684" s="128"/>
      <c r="G684" s="128"/>
      <c r="H684" s="128"/>
      <c r="I684" s="128"/>
      <c r="J684" s="112"/>
      <c r="K684" s="112"/>
      <c r="L684" s="153"/>
      <c r="M684" s="112"/>
      <c r="N684" s="112"/>
      <c r="O684" s="112"/>
      <c r="P684" s="112"/>
      <c r="Q684" s="112"/>
      <c r="R684" s="112"/>
      <c r="S684" s="112"/>
      <c r="T684" s="112"/>
      <c r="U684" s="112"/>
      <c r="V684" s="112"/>
      <c r="W684" s="112"/>
      <c r="X684" s="112"/>
      <c r="Y684" s="112"/>
      <c r="Z684" s="112"/>
      <c r="AA684" s="112"/>
      <c r="AB684" s="112"/>
    </row>
    <row r="685" ht="15.75" customHeight="1">
      <c r="A685" s="112"/>
      <c r="B685" s="112"/>
      <c r="C685" s="112"/>
      <c r="D685" s="125"/>
      <c r="E685" s="112"/>
      <c r="F685" s="128"/>
      <c r="G685" s="128"/>
      <c r="H685" s="128"/>
      <c r="I685" s="128"/>
      <c r="J685" s="112"/>
      <c r="K685" s="112"/>
      <c r="L685" s="153"/>
      <c r="M685" s="112"/>
      <c r="N685" s="112"/>
      <c r="O685" s="112"/>
      <c r="P685" s="112"/>
      <c r="Q685" s="112"/>
      <c r="R685" s="112"/>
      <c r="S685" s="112"/>
      <c r="T685" s="112"/>
      <c r="U685" s="112"/>
      <c r="V685" s="112"/>
      <c r="W685" s="112"/>
      <c r="X685" s="112"/>
      <c r="Y685" s="112"/>
      <c r="Z685" s="112"/>
      <c r="AA685" s="112"/>
      <c r="AB685" s="112"/>
    </row>
    <row r="686" ht="15.75" customHeight="1">
      <c r="A686" s="112"/>
      <c r="B686" s="112"/>
      <c r="C686" s="112"/>
      <c r="D686" s="125"/>
      <c r="E686" s="112"/>
      <c r="F686" s="128"/>
      <c r="G686" s="128"/>
      <c r="H686" s="128"/>
      <c r="I686" s="128"/>
      <c r="J686" s="112"/>
      <c r="K686" s="112"/>
      <c r="L686" s="153"/>
      <c r="M686" s="112"/>
      <c r="N686" s="112"/>
      <c r="O686" s="112"/>
      <c r="P686" s="112"/>
      <c r="Q686" s="112"/>
      <c r="R686" s="112"/>
      <c r="S686" s="112"/>
      <c r="T686" s="112"/>
      <c r="U686" s="112"/>
      <c r="V686" s="112"/>
      <c r="W686" s="112"/>
      <c r="X686" s="112"/>
      <c r="Y686" s="112"/>
      <c r="Z686" s="112"/>
      <c r="AA686" s="112"/>
      <c r="AB686" s="112"/>
    </row>
    <row r="687" ht="15.75" customHeight="1">
      <c r="A687" s="112"/>
      <c r="B687" s="112"/>
      <c r="C687" s="112"/>
      <c r="D687" s="125"/>
      <c r="E687" s="112"/>
      <c r="F687" s="128"/>
      <c r="G687" s="128"/>
      <c r="H687" s="128"/>
      <c r="I687" s="128"/>
      <c r="J687" s="112"/>
      <c r="K687" s="112"/>
      <c r="L687" s="153"/>
      <c r="M687" s="112"/>
      <c r="N687" s="112"/>
      <c r="O687" s="112"/>
      <c r="P687" s="112"/>
      <c r="Q687" s="112"/>
      <c r="R687" s="112"/>
      <c r="S687" s="112"/>
      <c r="T687" s="112"/>
      <c r="U687" s="112"/>
      <c r="V687" s="112"/>
      <c r="W687" s="112"/>
      <c r="X687" s="112"/>
      <c r="Y687" s="112"/>
      <c r="Z687" s="112"/>
      <c r="AA687" s="112"/>
      <c r="AB687" s="112"/>
    </row>
    <row r="688" ht="15.75" customHeight="1">
      <c r="A688" s="112"/>
      <c r="B688" s="112"/>
      <c r="C688" s="112"/>
      <c r="D688" s="125"/>
      <c r="E688" s="112"/>
      <c r="F688" s="128"/>
      <c r="G688" s="128"/>
      <c r="H688" s="128"/>
      <c r="I688" s="128"/>
      <c r="J688" s="112"/>
      <c r="K688" s="112"/>
      <c r="L688" s="153"/>
      <c r="M688" s="112"/>
      <c r="N688" s="112"/>
      <c r="O688" s="112"/>
      <c r="P688" s="112"/>
      <c r="Q688" s="112"/>
      <c r="R688" s="112"/>
      <c r="S688" s="112"/>
      <c r="T688" s="112"/>
      <c r="U688" s="112"/>
      <c r="V688" s="112"/>
      <c r="W688" s="112"/>
      <c r="X688" s="112"/>
      <c r="Y688" s="112"/>
      <c r="Z688" s="112"/>
      <c r="AA688" s="112"/>
      <c r="AB688" s="112"/>
    </row>
    <row r="689" ht="15.75" customHeight="1">
      <c r="A689" s="112"/>
      <c r="B689" s="112"/>
      <c r="C689" s="112"/>
      <c r="D689" s="125"/>
      <c r="E689" s="112"/>
      <c r="F689" s="128"/>
      <c r="G689" s="128"/>
      <c r="H689" s="128"/>
      <c r="I689" s="128"/>
      <c r="J689" s="112"/>
      <c r="K689" s="112"/>
      <c r="L689" s="153"/>
      <c r="M689" s="112"/>
      <c r="N689" s="112"/>
      <c r="O689" s="112"/>
      <c r="P689" s="112"/>
      <c r="Q689" s="112"/>
      <c r="R689" s="112"/>
      <c r="S689" s="112"/>
      <c r="T689" s="112"/>
      <c r="U689" s="112"/>
      <c r="V689" s="112"/>
      <c r="W689" s="112"/>
      <c r="X689" s="112"/>
      <c r="Y689" s="112"/>
      <c r="Z689" s="112"/>
      <c r="AA689" s="112"/>
      <c r="AB689" s="112"/>
    </row>
    <row r="690" ht="15.75" customHeight="1">
      <c r="A690" s="112"/>
      <c r="B690" s="112"/>
      <c r="C690" s="112"/>
      <c r="D690" s="125"/>
      <c r="E690" s="112"/>
      <c r="F690" s="128"/>
      <c r="G690" s="128"/>
      <c r="H690" s="128"/>
      <c r="I690" s="128"/>
      <c r="J690" s="112"/>
      <c r="K690" s="112"/>
      <c r="L690" s="153"/>
      <c r="M690" s="112"/>
      <c r="N690" s="112"/>
      <c r="O690" s="112"/>
      <c r="P690" s="112"/>
      <c r="Q690" s="112"/>
      <c r="R690" s="112"/>
      <c r="S690" s="112"/>
      <c r="T690" s="112"/>
      <c r="U690" s="112"/>
      <c r="V690" s="112"/>
      <c r="W690" s="112"/>
      <c r="X690" s="112"/>
      <c r="Y690" s="112"/>
      <c r="Z690" s="112"/>
      <c r="AA690" s="112"/>
      <c r="AB690" s="112"/>
    </row>
    <row r="691" ht="15.75" customHeight="1">
      <c r="A691" s="112"/>
      <c r="B691" s="112"/>
      <c r="C691" s="112"/>
      <c r="D691" s="125"/>
      <c r="E691" s="112"/>
      <c r="F691" s="128"/>
      <c r="G691" s="128"/>
      <c r="H691" s="128"/>
      <c r="I691" s="128"/>
      <c r="J691" s="112"/>
      <c r="K691" s="112"/>
      <c r="L691" s="153"/>
      <c r="M691" s="112"/>
      <c r="N691" s="112"/>
      <c r="O691" s="112"/>
      <c r="P691" s="112"/>
      <c r="Q691" s="112"/>
      <c r="R691" s="112"/>
      <c r="S691" s="112"/>
      <c r="T691" s="112"/>
      <c r="U691" s="112"/>
      <c r="V691" s="112"/>
      <c r="W691" s="112"/>
      <c r="X691" s="112"/>
      <c r="Y691" s="112"/>
      <c r="Z691" s="112"/>
      <c r="AA691" s="112"/>
      <c r="AB691" s="112"/>
    </row>
    <row r="692" ht="15.75" customHeight="1">
      <c r="A692" s="112"/>
      <c r="B692" s="112"/>
      <c r="C692" s="112"/>
      <c r="D692" s="125"/>
      <c r="E692" s="112"/>
      <c r="F692" s="128"/>
      <c r="G692" s="128"/>
      <c r="H692" s="128"/>
      <c r="I692" s="128"/>
      <c r="J692" s="112"/>
      <c r="K692" s="112"/>
      <c r="L692" s="153"/>
      <c r="M692" s="112"/>
      <c r="N692" s="112"/>
      <c r="O692" s="112"/>
      <c r="P692" s="112"/>
      <c r="Q692" s="112"/>
      <c r="R692" s="112"/>
      <c r="S692" s="112"/>
      <c r="T692" s="112"/>
      <c r="U692" s="112"/>
      <c r="V692" s="112"/>
      <c r="W692" s="112"/>
      <c r="X692" s="112"/>
      <c r="Y692" s="112"/>
      <c r="Z692" s="112"/>
      <c r="AA692" s="112"/>
      <c r="AB692" s="112"/>
    </row>
    <row r="693" ht="15.75" customHeight="1">
      <c r="A693" s="112"/>
      <c r="B693" s="112"/>
      <c r="C693" s="112"/>
      <c r="D693" s="125"/>
      <c r="E693" s="112"/>
      <c r="F693" s="128"/>
      <c r="G693" s="128"/>
      <c r="H693" s="128"/>
      <c r="I693" s="128"/>
      <c r="J693" s="112"/>
      <c r="K693" s="112"/>
      <c r="L693" s="153"/>
      <c r="M693" s="112"/>
      <c r="N693" s="112"/>
      <c r="O693" s="112"/>
      <c r="P693" s="112"/>
      <c r="Q693" s="112"/>
      <c r="R693" s="112"/>
      <c r="S693" s="112"/>
      <c r="T693" s="112"/>
      <c r="U693" s="112"/>
      <c r="V693" s="112"/>
      <c r="W693" s="112"/>
      <c r="X693" s="112"/>
      <c r="Y693" s="112"/>
      <c r="Z693" s="112"/>
      <c r="AA693" s="112"/>
      <c r="AB693" s="112"/>
    </row>
    <row r="694" ht="15.75" customHeight="1">
      <c r="A694" s="112"/>
      <c r="B694" s="112"/>
      <c r="C694" s="112"/>
      <c r="D694" s="125"/>
      <c r="E694" s="112"/>
      <c r="F694" s="128"/>
      <c r="G694" s="128"/>
      <c r="H694" s="128"/>
      <c r="I694" s="128"/>
      <c r="J694" s="112"/>
      <c r="K694" s="112"/>
      <c r="L694" s="153"/>
      <c r="M694" s="112"/>
      <c r="N694" s="112"/>
      <c r="O694" s="112"/>
      <c r="P694" s="112"/>
      <c r="Q694" s="112"/>
      <c r="R694" s="112"/>
      <c r="S694" s="112"/>
      <c r="T694" s="112"/>
      <c r="U694" s="112"/>
      <c r="V694" s="112"/>
      <c r="W694" s="112"/>
      <c r="X694" s="112"/>
      <c r="Y694" s="112"/>
      <c r="Z694" s="112"/>
      <c r="AA694" s="112"/>
      <c r="AB694" s="112"/>
    </row>
    <row r="695" ht="15.75" customHeight="1">
      <c r="A695" s="112"/>
      <c r="B695" s="112"/>
      <c r="C695" s="112"/>
      <c r="D695" s="125"/>
      <c r="E695" s="112"/>
      <c r="F695" s="128"/>
      <c r="G695" s="128"/>
      <c r="H695" s="128"/>
      <c r="I695" s="128"/>
      <c r="J695" s="112"/>
      <c r="K695" s="112"/>
      <c r="L695" s="153"/>
      <c r="M695" s="112"/>
      <c r="N695" s="112"/>
      <c r="O695" s="112"/>
      <c r="P695" s="112"/>
      <c r="Q695" s="112"/>
      <c r="R695" s="112"/>
      <c r="S695" s="112"/>
      <c r="T695" s="112"/>
      <c r="U695" s="112"/>
      <c r="V695" s="112"/>
      <c r="W695" s="112"/>
      <c r="X695" s="112"/>
      <c r="Y695" s="112"/>
      <c r="Z695" s="112"/>
      <c r="AA695" s="112"/>
      <c r="AB695" s="112"/>
    </row>
    <row r="696" ht="15.75" customHeight="1">
      <c r="A696" s="112"/>
      <c r="B696" s="112"/>
      <c r="C696" s="112"/>
      <c r="D696" s="125"/>
      <c r="E696" s="112"/>
      <c r="F696" s="128"/>
      <c r="G696" s="128"/>
      <c r="H696" s="128"/>
      <c r="I696" s="128"/>
      <c r="J696" s="112"/>
      <c r="K696" s="112"/>
      <c r="L696" s="153"/>
      <c r="M696" s="112"/>
      <c r="N696" s="112"/>
      <c r="O696" s="112"/>
      <c r="P696" s="112"/>
      <c r="Q696" s="112"/>
      <c r="R696" s="112"/>
      <c r="S696" s="112"/>
      <c r="T696" s="112"/>
      <c r="U696" s="112"/>
      <c r="V696" s="112"/>
      <c r="W696" s="112"/>
      <c r="X696" s="112"/>
      <c r="Y696" s="112"/>
      <c r="Z696" s="112"/>
      <c r="AA696" s="112"/>
      <c r="AB696" s="112"/>
    </row>
    <row r="697" ht="15.75" customHeight="1">
      <c r="A697" s="112"/>
      <c r="B697" s="112"/>
      <c r="C697" s="112"/>
      <c r="D697" s="125"/>
      <c r="E697" s="112"/>
      <c r="F697" s="128"/>
      <c r="G697" s="128"/>
      <c r="H697" s="128"/>
      <c r="I697" s="128"/>
      <c r="J697" s="112"/>
      <c r="K697" s="112"/>
      <c r="L697" s="153"/>
      <c r="M697" s="112"/>
      <c r="N697" s="112"/>
      <c r="O697" s="112"/>
      <c r="P697" s="112"/>
      <c r="Q697" s="112"/>
      <c r="R697" s="112"/>
      <c r="S697" s="112"/>
      <c r="T697" s="112"/>
      <c r="U697" s="112"/>
      <c r="V697" s="112"/>
      <c r="W697" s="112"/>
      <c r="X697" s="112"/>
      <c r="Y697" s="112"/>
      <c r="Z697" s="112"/>
      <c r="AA697" s="112"/>
      <c r="AB697" s="112"/>
    </row>
    <row r="698" ht="15.75" customHeight="1">
      <c r="A698" s="112"/>
      <c r="B698" s="112"/>
      <c r="C698" s="112"/>
      <c r="D698" s="125"/>
      <c r="E698" s="112"/>
      <c r="F698" s="128"/>
      <c r="G698" s="128"/>
      <c r="H698" s="128"/>
      <c r="I698" s="128"/>
      <c r="J698" s="112"/>
      <c r="K698" s="112"/>
      <c r="L698" s="153"/>
      <c r="M698" s="112"/>
      <c r="N698" s="112"/>
      <c r="O698" s="112"/>
      <c r="P698" s="112"/>
      <c r="Q698" s="112"/>
      <c r="R698" s="112"/>
      <c r="S698" s="112"/>
      <c r="T698" s="112"/>
      <c r="U698" s="112"/>
      <c r="V698" s="112"/>
      <c r="W698" s="112"/>
      <c r="X698" s="112"/>
      <c r="Y698" s="112"/>
      <c r="Z698" s="112"/>
      <c r="AA698" s="112"/>
      <c r="AB698" s="112"/>
    </row>
    <row r="699" ht="15.75" customHeight="1">
      <c r="A699" s="112"/>
      <c r="B699" s="112"/>
      <c r="C699" s="112"/>
      <c r="D699" s="125"/>
      <c r="E699" s="112"/>
      <c r="F699" s="128"/>
      <c r="G699" s="128"/>
      <c r="H699" s="128"/>
      <c r="I699" s="128"/>
      <c r="J699" s="112"/>
      <c r="K699" s="112"/>
      <c r="L699" s="153"/>
      <c r="M699" s="112"/>
      <c r="N699" s="112"/>
      <c r="O699" s="112"/>
      <c r="P699" s="112"/>
      <c r="Q699" s="112"/>
      <c r="R699" s="112"/>
      <c r="S699" s="112"/>
      <c r="T699" s="112"/>
      <c r="U699" s="112"/>
      <c r="V699" s="112"/>
      <c r="W699" s="112"/>
      <c r="X699" s="112"/>
      <c r="Y699" s="112"/>
      <c r="Z699" s="112"/>
      <c r="AA699" s="112"/>
      <c r="AB699" s="112"/>
    </row>
    <row r="700" ht="15.75" customHeight="1">
      <c r="A700" s="112"/>
      <c r="B700" s="112"/>
      <c r="C700" s="112"/>
      <c r="D700" s="125"/>
      <c r="E700" s="112"/>
      <c r="F700" s="128"/>
      <c r="G700" s="128"/>
      <c r="H700" s="128"/>
      <c r="I700" s="128"/>
      <c r="J700" s="112"/>
      <c r="K700" s="112"/>
      <c r="L700" s="153"/>
      <c r="M700" s="112"/>
      <c r="N700" s="112"/>
      <c r="O700" s="112"/>
      <c r="P700" s="112"/>
      <c r="Q700" s="112"/>
      <c r="R700" s="112"/>
      <c r="S700" s="112"/>
      <c r="T700" s="112"/>
      <c r="U700" s="112"/>
      <c r="V700" s="112"/>
      <c r="W700" s="112"/>
      <c r="X700" s="112"/>
      <c r="Y700" s="112"/>
      <c r="Z700" s="112"/>
      <c r="AA700" s="112"/>
      <c r="AB700" s="112"/>
    </row>
    <row r="701" ht="15.75" customHeight="1">
      <c r="A701" s="112"/>
      <c r="B701" s="112"/>
      <c r="C701" s="112"/>
      <c r="D701" s="125"/>
      <c r="E701" s="112"/>
      <c r="F701" s="128"/>
      <c r="G701" s="128"/>
      <c r="H701" s="128"/>
      <c r="I701" s="128"/>
      <c r="J701" s="112"/>
      <c r="K701" s="112"/>
      <c r="L701" s="153"/>
      <c r="M701" s="112"/>
      <c r="N701" s="112"/>
      <c r="O701" s="112"/>
      <c r="P701" s="112"/>
      <c r="Q701" s="112"/>
      <c r="R701" s="112"/>
      <c r="S701" s="112"/>
      <c r="T701" s="112"/>
      <c r="U701" s="112"/>
      <c r="V701" s="112"/>
      <c r="W701" s="112"/>
      <c r="X701" s="112"/>
      <c r="Y701" s="112"/>
      <c r="Z701" s="112"/>
      <c r="AA701" s="112"/>
      <c r="AB701" s="112"/>
    </row>
    <row r="702" ht="15.75" customHeight="1">
      <c r="A702" s="112"/>
      <c r="B702" s="112"/>
      <c r="C702" s="112"/>
      <c r="D702" s="125"/>
      <c r="E702" s="112"/>
      <c r="F702" s="128"/>
      <c r="G702" s="128"/>
      <c r="H702" s="128"/>
      <c r="I702" s="128"/>
      <c r="J702" s="112"/>
      <c r="K702" s="112"/>
      <c r="L702" s="153"/>
      <c r="M702" s="112"/>
      <c r="N702" s="112"/>
      <c r="O702" s="112"/>
      <c r="P702" s="112"/>
      <c r="Q702" s="112"/>
      <c r="R702" s="112"/>
      <c r="S702" s="112"/>
      <c r="T702" s="112"/>
      <c r="U702" s="112"/>
      <c r="V702" s="112"/>
      <c r="W702" s="112"/>
      <c r="X702" s="112"/>
      <c r="Y702" s="112"/>
      <c r="Z702" s="112"/>
      <c r="AA702" s="112"/>
      <c r="AB702" s="112"/>
    </row>
    <row r="703" ht="15.75" customHeight="1">
      <c r="A703" s="112"/>
      <c r="B703" s="112"/>
      <c r="C703" s="112"/>
      <c r="D703" s="125"/>
      <c r="E703" s="112"/>
      <c r="F703" s="128"/>
      <c r="G703" s="128"/>
      <c r="H703" s="128"/>
      <c r="I703" s="128"/>
      <c r="J703" s="112"/>
      <c r="K703" s="112"/>
      <c r="L703" s="153"/>
      <c r="M703" s="112"/>
      <c r="N703" s="112"/>
      <c r="O703" s="112"/>
      <c r="P703" s="112"/>
      <c r="Q703" s="112"/>
      <c r="R703" s="112"/>
      <c r="S703" s="112"/>
      <c r="T703" s="112"/>
      <c r="U703" s="112"/>
      <c r="V703" s="112"/>
      <c r="W703" s="112"/>
      <c r="X703" s="112"/>
      <c r="Y703" s="112"/>
      <c r="Z703" s="112"/>
      <c r="AA703" s="112"/>
      <c r="AB703" s="112"/>
    </row>
    <row r="704" ht="15.75" customHeight="1">
      <c r="A704" s="112"/>
      <c r="B704" s="112"/>
      <c r="C704" s="112"/>
      <c r="D704" s="125"/>
      <c r="E704" s="112"/>
      <c r="F704" s="128"/>
      <c r="G704" s="128"/>
      <c r="H704" s="128"/>
      <c r="I704" s="128"/>
      <c r="J704" s="112"/>
      <c r="K704" s="112"/>
      <c r="L704" s="153"/>
      <c r="M704" s="112"/>
      <c r="N704" s="112"/>
      <c r="O704" s="112"/>
      <c r="P704" s="112"/>
      <c r="Q704" s="112"/>
      <c r="R704" s="112"/>
      <c r="S704" s="112"/>
      <c r="T704" s="112"/>
      <c r="U704" s="112"/>
      <c r="V704" s="112"/>
      <c r="W704" s="112"/>
      <c r="X704" s="112"/>
      <c r="Y704" s="112"/>
      <c r="Z704" s="112"/>
      <c r="AA704" s="112"/>
      <c r="AB704" s="112"/>
    </row>
    <row r="705" ht="15.75" customHeight="1">
      <c r="A705" s="112"/>
      <c r="B705" s="112"/>
      <c r="C705" s="112"/>
      <c r="D705" s="125"/>
      <c r="E705" s="112"/>
      <c r="F705" s="128"/>
      <c r="G705" s="128"/>
      <c r="H705" s="128"/>
      <c r="I705" s="128"/>
      <c r="J705" s="112"/>
      <c r="K705" s="112"/>
      <c r="L705" s="153"/>
      <c r="M705" s="112"/>
      <c r="N705" s="112"/>
      <c r="O705" s="112"/>
      <c r="P705" s="112"/>
      <c r="Q705" s="112"/>
      <c r="R705" s="112"/>
      <c r="S705" s="112"/>
      <c r="T705" s="112"/>
      <c r="U705" s="112"/>
      <c r="V705" s="112"/>
      <c r="W705" s="112"/>
      <c r="X705" s="112"/>
      <c r="Y705" s="112"/>
      <c r="Z705" s="112"/>
      <c r="AA705" s="112"/>
      <c r="AB705" s="112"/>
    </row>
    <row r="706" ht="15.75" customHeight="1">
      <c r="A706" s="112"/>
      <c r="B706" s="112"/>
      <c r="C706" s="112"/>
      <c r="D706" s="125"/>
      <c r="E706" s="112"/>
      <c r="F706" s="128"/>
      <c r="G706" s="128"/>
      <c r="H706" s="128"/>
      <c r="I706" s="128"/>
      <c r="J706" s="112"/>
      <c r="K706" s="112"/>
      <c r="L706" s="153"/>
      <c r="M706" s="112"/>
      <c r="N706" s="112"/>
      <c r="O706" s="112"/>
      <c r="P706" s="112"/>
      <c r="Q706" s="112"/>
      <c r="R706" s="112"/>
      <c r="S706" s="112"/>
      <c r="T706" s="112"/>
      <c r="U706" s="112"/>
      <c r="V706" s="112"/>
      <c r="W706" s="112"/>
      <c r="X706" s="112"/>
      <c r="Y706" s="112"/>
      <c r="Z706" s="112"/>
      <c r="AA706" s="112"/>
      <c r="AB706" s="112"/>
    </row>
    <row r="707" ht="15.75" customHeight="1">
      <c r="A707" s="112"/>
      <c r="B707" s="112"/>
      <c r="C707" s="112"/>
      <c r="D707" s="125"/>
      <c r="E707" s="112"/>
      <c r="F707" s="128"/>
      <c r="G707" s="128"/>
      <c r="H707" s="128"/>
      <c r="I707" s="128"/>
      <c r="J707" s="112"/>
      <c r="K707" s="112"/>
      <c r="L707" s="153"/>
      <c r="M707" s="112"/>
      <c r="N707" s="112"/>
      <c r="O707" s="112"/>
      <c r="P707" s="112"/>
      <c r="Q707" s="112"/>
      <c r="R707" s="112"/>
      <c r="S707" s="112"/>
      <c r="T707" s="112"/>
      <c r="U707" s="112"/>
      <c r="V707" s="112"/>
      <c r="W707" s="112"/>
      <c r="X707" s="112"/>
      <c r="Y707" s="112"/>
      <c r="Z707" s="112"/>
      <c r="AA707" s="112"/>
      <c r="AB707" s="112"/>
    </row>
    <row r="708" ht="15.75" customHeight="1">
      <c r="A708" s="112"/>
      <c r="B708" s="112"/>
      <c r="C708" s="112"/>
      <c r="D708" s="125"/>
      <c r="E708" s="112"/>
      <c r="F708" s="128"/>
      <c r="G708" s="128"/>
      <c r="H708" s="128"/>
      <c r="I708" s="128"/>
      <c r="J708" s="112"/>
      <c r="K708" s="112"/>
      <c r="L708" s="153"/>
      <c r="M708" s="112"/>
      <c r="N708" s="112"/>
      <c r="O708" s="112"/>
      <c r="P708" s="112"/>
      <c r="Q708" s="112"/>
      <c r="R708" s="112"/>
      <c r="S708" s="112"/>
      <c r="T708" s="112"/>
      <c r="U708" s="112"/>
      <c r="V708" s="112"/>
      <c r="W708" s="112"/>
      <c r="X708" s="112"/>
      <c r="Y708" s="112"/>
      <c r="Z708" s="112"/>
      <c r="AA708" s="112"/>
      <c r="AB708" s="112"/>
    </row>
    <row r="709" ht="15.75" customHeight="1">
      <c r="A709" s="112"/>
      <c r="B709" s="112"/>
      <c r="C709" s="112"/>
      <c r="D709" s="125"/>
      <c r="E709" s="112"/>
      <c r="F709" s="128"/>
      <c r="G709" s="128"/>
      <c r="H709" s="128"/>
      <c r="I709" s="128"/>
      <c r="J709" s="112"/>
      <c r="K709" s="112"/>
      <c r="L709" s="153"/>
      <c r="M709" s="112"/>
      <c r="N709" s="112"/>
      <c r="O709" s="112"/>
      <c r="P709" s="112"/>
      <c r="Q709" s="112"/>
      <c r="R709" s="112"/>
      <c r="S709" s="112"/>
      <c r="T709" s="112"/>
      <c r="U709" s="112"/>
      <c r="V709" s="112"/>
      <c r="W709" s="112"/>
      <c r="X709" s="112"/>
      <c r="Y709" s="112"/>
      <c r="Z709" s="112"/>
      <c r="AA709" s="112"/>
      <c r="AB709" s="112"/>
    </row>
    <row r="710" ht="15.75" customHeight="1">
      <c r="A710" s="112"/>
      <c r="B710" s="112"/>
      <c r="C710" s="112"/>
      <c r="D710" s="125"/>
      <c r="E710" s="112"/>
      <c r="F710" s="128"/>
      <c r="G710" s="128"/>
      <c r="H710" s="128"/>
      <c r="I710" s="128"/>
      <c r="J710" s="112"/>
      <c r="K710" s="112"/>
      <c r="L710" s="153"/>
      <c r="M710" s="112"/>
      <c r="N710" s="112"/>
      <c r="O710" s="112"/>
      <c r="P710" s="112"/>
      <c r="Q710" s="112"/>
      <c r="R710" s="112"/>
      <c r="S710" s="112"/>
      <c r="T710" s="112"/>
      <c r="U710" s="112"/>
      <c r="V710" s="112"/>
      <c r="W710" s="112"/>
      <c r="X710" s="112"/>
      <c r="Y710" s="112"/>
      <c r="Z710" s="112"/>
      <c r="AA710" s="112"/>
      <c r="AB710" s="112"/>
    </row>
    <row r="711" ht="15.75" customHeight="1">
      <c r="A711" s="112"/>
      <c r="B711" s="112"/>
      <c r="C711" s="112"/>
      <c r="D711" s="125"/>
      <c r="E711" s="112"/>
      <c r="F711" s="128"/>
      <c r="G711" s="128"/>
      <c r="H711" s="128"/>
      <c r="I711" s="128"/>
      <c r="J711" s="112"/>
      <c r="K711" s="112"/>
      <c r="L711" s="153"/>
      <c r="M711" s="112"/>
      <c r="N711" s="112"/>
      <c r="O711" s="112"/>
      <c r="P711" s="112"/>
      <c r="Q711" s="112"/>
      <c r="R711" s="112"/>
      <c r="S711" s="112"/>
      <c r="T711" s="112"/>
      <c r="U711" s="112"/>
      <c r="V711" s="112"/>
      <c r="W711" s="112"/>
      <c r="X711" s="112"/>
      <c r="Y711" s="112"/>
      <c r="Z711" s="112"/>
      <c r="AA711" s="112"/>
      <c r="AB711" s="112"/>
    </row>
    <row r="712" ht="15.75" customHeight="1">
      <c r="A712" s="112"/>
      <c r="B712" s="112"/>
      <c r="C712" s="112"/>
      <c r="D712" s="125"/>
      <c r="E712" s="112"/>
      <c r="F712" s="128"/>
      <c r="G712" s="128"/>
      <c r="H712" s="128"/>
      <c r="I712" s="128"/>
      <c r="J712" s="112"/>
      <c r="K712" s="112"/>
      <c r="L712" s="153"/>
      <c r="M712" s="112"/>
      <c r="N712" s="112"/>
      <c r="O712" s="112"/>
      <c r="P712" s="112"/>
      <c r="Q712" s="112"/>
      <c r="R712" s="112"/>
      <c r="S712" s="112"/>
      <c r="T712" s="112"/>
      <c r="U712" s="112"/>
      <c r="V712" s="112"/>
      <c r="W712" s="112"/>
      <c r="X712" s="112"/>
      <c r="Y712" s="112"/>
      <c r="Z712" s="112"/>
      <c r="AA712" s="112"/>
      <c r="AB712" s="112"/>
    </row>
    <row r="713" ht="15.75" customHeight="1">
      <c r="A713" s="112"/>
      <c r="B713" s="112"/>
      <c r="C713" s="112"/>
      <c r="D713" s="125"/>
      <c r="E713" s="112"/>
      <c r="F713" s="128"/>
      <c r="G713" s="128"/>
      <c r="H713" s="128"/>
      <c r="I713" s="128"/>
      <c r="J713" s="112"/>
      <c r="K713" s="112"/>
      <c r="L713" s="153"/>
      <c r="M713" s="112"/>
      <c r="N713" s="112"/>
      <c r="O713" s="112"/>
      <c r="P713" s="112"/>
      <c r="Q713" s="112"/>
      <c r="R713" s="112"/>
      <c r="S713" s="112"/>
      <c r="T713" s="112"/>
      <c r="U713" s="112"/>
      <c r="V713" s="112"/>
      <c r="W713" s="112"/>
      <c r="X713" s="112"/>
      <c r="Y713" s="112"/>
      <c r="Z713" s="112"/>
      <c r="AA713" s="112"/>
      <c r="AB713" s="112"/>
    </row>
    <row r="714" ht="15.75" customHeight="1">
      <c r="A714" s="112"/>
      <c r="B714" s="112"/>
      <c r="C714" s="112"/>
      <c r="D714" s="125"/>
      <c r="E714" s="112"/>
      <c r="F714" s="128"/>
      <c r="G714" s="128"/>
      <c r="H714" s="128"/>
      <c r="I714" s="128"/>
      <c r="J714" s="112"/>
      <c r="K714" s="112"/>
      <c r="L714" s="153"/>
      <c r="M714" s="112"/>
      <c r="N714" s="112"/>
      <c r="O714" s="112"/>
      <c r="P714" s="112"/>
      <c r="Q714" s="112"/>
      <c r="R714" s="112"/>
      <c r="S714" s="112"/>
      <c r="T714" s="112"/>
      <c r="U714" s="112"/>
      <c r="V714" s="112"/>
      <c r="W714" s="112"/>
      <c r="X714" s="112"/>
      <c r="Y714" s="112"/>
      <c r="Z714" s="112"/>
      <c r="AA714" s="112"/>
      <c r="AB714" s="112"/>
    </row>
    <row r="715" ht="15.75" customHeight="1">
      <c r="A715" s="112"/>
      <c r="B715" s="112"/>
      <c r="C715" s="112"/>
      <c r="D715" s="125"/>
      <c r="E715" s="112"/>
      <c r="F715" s="128"/>
      <c r="G715" s="128"/>
      <c r="H715" s="128"/>
      <c r="I715" s="128"/>
      <c r="J715" s="112"/>
      <c r="K715" s="112"/>
      <c r="L715" s="153"/>
      <c r="M715" s="112"/>
      <c r="N715" s="112"/>
      <c r="O715" s="112"/>
      <c r="P715" s="112"/>
      <c r="Q715" s="112"/>
      <c r="R715" s="112"/>
      <c r="S715" s="112"/>
      <c r="T715" s="112"/>
      <c r="U715" s="112"/>
      <c r="V715" s="112"/>
      <c r="W715" s="112"/>
      <c r="X715" s="112"/>
      <c r="Y715" s="112"/>
      <c r="Z715" s="112"/>
      <c r="AA715" s="112"/>
      <c r="AB715" s="112"/>
    </row>
    <row r="716" ht="15.75" customHeight="1">
      <c r="A716" s="112"/>
      <c r="B716" s="112"/>
      <c r="C716" s="112"/>
      <c r="D716" s="125"/>
      <c r="E716" s="112"/>
      <c r="F716" s="128"/>
      <c r="G716" s="128"/>
      <c r="H716" s="128"/>
      <c r="I716" s="128"/>
      <c r="J716" s="112"/>
      <c r="K716" s="112"/>
      <c r="L716" s="153"/>
      <c r="M716" s="112"/>
      <c r="N716" s="112"/>
      <c r="O716" s="112"/>
      <c r="P716" s="112"/>
      <c r="Q716" s="112"/>
      <c r="R716" s="112"/>
      <c r="S716" s="112"/>
      <c r="T716" s="112"/>
      <c r="U716" s="112"/>
      <c r="V716" s="112"/>
      <c r="W716" s="112"/>
      <c r="X716" s="112"/>
      <c r="Y716" s="112"/>
      <c r="Z716" s="112"/>
      <c r="AA716" s="112"/>
      <c r="AB716" s="112"/>
    </row>
    <row r="717" ht="15.75" customHeight="1">
      <c r="A717" s="112"/>
      <c r="B717" s="112"/>
      <c r="C717" s="112"/>
      <c r="D717" s="125"/>
      <c r="E717" s="112"/>
      <c r="F717" s="128"/>
      <c r="G717" s="128"/>
      <c r="H717" s="128"/>
      <c r="I717" s="128"/>
      <c r="J717" s="112"/>
      <c r="K717" s="112"/>
      <c r="L717" s="153"/>
      <c r="M717" s="112"/>
      <c r="N717" s="112"/>
      <c r="O717" s="112"/>
      <c r="P717" s="112"/>
      <c r="Q717" s="112"/>
      <c r="R717" s="112"/>
      <c r="S717" s="112"/>
      <c r="T717" s="112"/>
      <c r="U717" s="112"/>
      <c r="V717" s="112"/>
      <c r="W717" s="112"/>
      <c r="X717" s="112"/>
      <c r="Y717" s="112"/>
      <c r="Z717" s="112"/>
      <c r="AA717" s="112"/>
      <c r="AB717" s="112"/>
    </row>
    <row r="718" ht="15.75" customHeight="1">
      <c r="A718" s="112"/>
      <c r="B718" s="112"/>
      <c r="C718" s="112"/>
      <c r="D718" s="125"/>
      <c r="E718" s="112"/>
      <c r="F718" s="128"/>
      <c r="G718" s="128"/>
      <c r="H718" s="128"/>
      <c r="I718" s="128"/>
      <c r="J718" s="112"/>
      <c r="K718" s="112"/>
      <c r="L718" s="153"/>
      <c r="M718" s="112"/>
      <c r="N718" s="112"/>
      <c r="O718" s="112"/>
      <c r="P718" s="112"/>
      <c r="Q718" s="112"/>
      <c r="R718" s="112"/>
      <c r="S718" s="112"/>
      <c r="T718" s="112"/>
      <c r="U718" s="112"/>
      <c r="V718" s="112"/>
      <c r="W718" s="112"/>
      <c r="X718" s="112"/>
      <c r="Y718" s="112"/>
      <c r="Z718" s="112"/>
      <c r="AA718" s="112"/>
      <c r="AB718" s="112"/>
    </row>
    <row r="719" ht="15.75" customHeight="1">
      <c r="A719" s="112"/>
      <c r="B719" s="112"/>
      <c r="C719" s="112"/>
      <c r="D719" s="125"/>
      <c r="E719" s="112"/>
      <c r="F719" s="128"/>
      <c r="G719" s="128"/>
      <c r="H719" s="128"/>
      <c r="I719" s="128"/>
      <c r="J719" s="112"/>
      <c r="K719" s="112"/>
      <c r="L719" s="153"/>
      <c r="M719" s="112"/>
      <c r="N719" s="112"/>
      <c r="O719" s="112"/>
      <c r="P719" s="112"/>
      <c r="Q719" s="112"/>
      <c r="R719" s="112"/>
      <c r="S719" s="112"/>
      <c r="T719" s="112"/>
      <c r="U719" s="112"/>
      <c r="V719" s="112"/>
      <c r="W719" s="112"/>
      <c r="X719" s="112"/>
      <c r="Y719" s="112"/>
      <c r="Z719" s="112"/>
      <c r="AA719" s="112"/>
      <c r="AB719" s="112"/>
    </row>
    <row r="720" ht="15.75" customHeight="1">
      <c r="A720" s="112"/>
      <c r="B720" s="112"/>
      <c r="C720" s="112"/>
      <c r="D720" s="125"/>
      <c r="E720" s="112"/>
      <c r="F720" s="128"/>
      <c r="G720" s="128"/>
      <c r="H720" s="128"/>
      <c r="I720" s="128"/>
      <c r="J720" s="112"/>
      <c r="K720" s="112"/>
      <c r="L720" s="153"/>
      <c r="M720" s="112"/>
      <c r="N720" s="112"/>
      <c r="O720" s="112"/>
      <c r="P720" s="112"/>
      <c r="Q720" s="112"/>
      <c r="R720" s="112"/>
      <c r="S720" s="112"/>
      <c r="T720" s="112"/>
      <c r="U720" s="112"/>
      <c r="V720" s="112"/>
      <c r="W720" s="112"/>
      <c r="X720" s="112"/>
      <c r="Y720" s="112"/>
      <c r="Z720" s="112"/>
      <c r="AA720" s="112"/>
      <c r="AB720" s="112"/>
    </row>
    <row r="721" ht="15.75" customHeight="1">
      <c r="A721" s="112"/>
      <c r="B721" s="112"/>
      <c r="C721" s="112"/>
      <c r="D721" s="125"/>
      <c r="E721" s="112"/>
      <c r="F721" s="128"/>
      <c r="G721" s="128"/>
      <c r="H721" s="128"/>
      <c r="I721" s="128"/>
      <c r="J721" s="112"/>
      <c r="K721" s="112"/>
      <c r="L721" s="153"/>
      <c r="M721" s="112"/>
      <c r="N721" s="112"/>
      <c r="O721" s="112"/>
      <c r="P721" s="112"/>
      <c r="Q721" s="112"/>
      <c r="R721" s="112"/>
      <c r="S721" s="112"/>
      <c r="T721" s="112"/>
      <c r="U721" s="112"/>
      <c r="V721" s="112"/>
      <c r="W721" s="112"/>
      <c r="X721" s="112"/>
      <c r="Y721" s="112"/>
      <c r="Z721" s="112"/>
      <c r="AA721" s="112"/>
      <c r="AB721" s="112"/>
    </row>
    <row r="722" ht="15.75" customHeight="1">
      <c r="A722" s="112"/>
      <c r="B722" s="112"/>
      <c r="C722" s="112"/>
      <c r="D722" s="125"/>
      <c r="E722" s="112"/>
      <c r="F722" s="128"/>
      <c r="G722" s="128"/>
      <c r="H722" s="128"/>
      <c r="I722" s="128"/>
      <c r="J722" s="112"/>
      <c r="K722" s="112"/>
      <c r="L722" s="153"/>
      <c r="M722" s="112"/>
      <c r="N722" s="112"/>
      <c r="O722" s="112"/>
      <c r="P722" s="112"/>
      <c r="Q722" s="112"/>
      <c r="R722" s="112"/>
      <c r="S722" s="112"/>
      <c r="T722" s="112"/>
      <c r="U722" s="112"/>
      <c r="V722" s="112"/>
      <c r="W722" s="112"/>
      <c r="X722" s="112"/>
      <c r="Y722" s="112"/>
      <c r="Z722" s="112"/>
      <c r="AA722" s="112"/>
      <c r="AB722" s="112"/>
    </row>
    <row r="723" ht="15.75" customHeight="1">
      <c r="A723" s="112"/>
      <c r="B723" s="112"/>
      <c r="C723" s="112"/>
      <c r="D723" s="125"/>
      <c r="E723" s="112"/>
      <c r="F723" s="128"/>
      <c r="G723" s="128"/>
      <c r="H723" s="128"/>
      <c r="I723" s="128"/>
      <c r="J723" s="112"/>
      <c r="K723" s="112"/>
      <c r="L723" s="153"/>
      <c r="M723" s="112"/>
      <c r="N723" s="112"/>
      <c r="O723" s="112"/>
      <c r="P723" s="112"/>
      <c r="Q723" s="112"/>
      <c r="R723" s="112"/>
      <c r="S723" s="112"/>
      <c r="T723" s="112"/>
      <c r="U723" s="112"/>
      <c r="V723" s="112"/>
      <c r="W723" s="112"/>
      <c r="X723" s="112"/>
      <c r="Y723" s="112"/>
      <c r="Z723" s="112"/>
      <c r="AA723" s="112"/>
      <c r="AB723" s="112"/>
    </row>
    <row r="724" ht="15.75" customHeight="1">
      <c r="A724" s="112"/>
      <c r="B724" s="112"/>
      <c r="C724" s="112"/>
      <c r="D724" s="125"/>
      <c r="E724" s="112"/>
      <c r="F724" s="128"/>
      <c r="G724" s="128"/>
      <c r="H724" s="128"/>
      <c r="I724" s="128"/>
      <c r="J724" s="112"/>
      <c r="K724" s="112"/>
      <c r="L724" s="153"/>
      <c r="M724" s="112"/>
      <c r="N724" s="112"/>
      <c r="O724" s="112"/>
      <c r="P724" s="112"/>
      <c r="Q724" s="112"/>
      <c r="R724" s="112"/>
      <c r="S724" s="112"/>
      <c r="T724" s="112"/>
      <c r="U724" s="112"/>
      <c r="V724" s="112"/>
      <c r="W724" s="112"/>
      <c r="X724" s="112"/>
      <c r="Y724" s="112"/>
      <c r="Z724" s="112"/>
      <c r="AA724" s="112"/>
      <c r="AB724" s="112"/>
    </row>
    <row r="725" ht="15.75" customHeight="1">
      <c r="A725" s="112"/>
      <c r="B725" s="112"/>
      <c r="C725" s="112"/>
      <c r="D725" s="125"/>
      <c r="E725" s="112"/>
      <c r="F725" s="128"/>
      <c r="G725" s="128"/>
      <c r="H725" s="128"/>
      <c r="I725" s="128"/>
      <c r="J725" s="112"/>
      <c r="K725" s="112"/>
      <c r="L725" s="153"/>
      <c r="M725" s="112"/>
      <c r="N725" s="112"/>
      <c r="O725" s="112"/>
      <c r="P725" s="112"/>
      <c r="Q725" s="112"/>
      <c r="R725" s="112"/>
      <c r="S725" s="112"/>
      <c r="T725" s="112"/>
      <c r="U725" s="112"/>
      <c r="V725" s="112"/>
      <c r="W725" s="112"/>
      <c r="X725" s="112"/>
      <c r="Y725" s="112"/>
      <c r="Z725" s="112"/>
      <c r="AA725" s="112"/>
      <c r="AB725" s="112"/>
    </row>
    <row r="726" ht="15.75" customHeight="1">
      <c r="A726" s="112"/>
      <c r="B726" s="112"/>
      <c r="C726" s="112"/>
      <c r="D726" s="125"/>
      <c r="E726" s="112"/>
      <c r="F726" s="128"/>
      <c r="G726" s="128"/>
      <c r="H726" s="128"/>
      <c r="I726" s="128"/>
      <c r="J726" s="112"/>
      <c r="K726" s="112"/>
      <c r="L726" s="153"/>
      <c r="M726" s="112"/>
      <c r="N726" s="112"/>
      <c r="O726" s="112"/>
      <c r="P726" s="112"/>
      <c r="Q726" s="112"/>
      <c r="R726" s="112"/>
      <c r="S726" s="112"/>
      <c r="T726" s="112"/>
      <c r="U726" s="112"/>
      <c r="V726" s="112"/>
      <c r="W726" s="112"/>
      <c r="X726" s="112"/>
      <c r="Y726" s="112"/>
      <c r="Z726" s="112"/>
      <c r="AA726" s="112"/>
      <c r="AB726" s="112"/>
    </row>
    <row r="727" ht="15.75" customHeight="1">
      <c r="A727" s="112"/>
      <c r="B727" s="112"/>
      <c r="C727" s="112"/>
      <c r="D727" s="125"/>
      <c r="E727" s="112"/>
      <c r="F727" s="128"/>
      <c r="G727" s="128"/>
      <c r="H727" s="128"/>
      <c r="I727" s="128"/>
      <c r="J727" s="112"/>
      <c r="K727" s="112"/>
      <c r="L727" s="153"/>
      <c r="M727" s="112"/>
      <c r="N727" s="112"/>
      <c r="O727" s="112"/>
      <c r="P727" s="112"/>
      <c r="Q727" s="112"/>
      <c r="R727" s="112"/>
      <c r="S727" s="112"/>
      <c r="T727" s="112"/>
      <c r="U727" s="112"/>
      <c r="V727" s="112"/>
      <c r="W727" s="112"/>
      <c r="X727" s="112"/>
      <c r="Y727" s="112"/>
      <c r="Z727" s="112"/>
      <c r="AA727" s="112"/>
      <c r="AB727" s="112"/>
    </row>
    <row r="728" ht="15.75" customHeight="1">
      <c r="A728" s="112"/>
      <c r="B728" s="112"/>
      <c r="C728" s="112"/>
      <c r="D728" s="125"/>
      <c r="E728" s="112"/>
      <c r="F728" s="128"/>
      <c r="G728" s="128"/>
      <c r="H728" s="128"/>
      <c r="I728" s="128"/>
      <c r="J728" s="112"/>
      <c r="K728" s="112"/>
      <c r="L728" s="153"/>
      <c r="M728" s="112"/>
      <c r="N728" s="112"/>
      <c r="O728" s="112"/>
      <c r="P728" s="112"/>
      <c r="Q728" s="112"/>
      <c r="R728" s="112"/>
      <c r="S728" s="112"/>
      <c r="T728" s="112"/>
      <c r="U728" s="112"/>
      <c r="V728" s="112"/>
      <c r="W728" s="112"/>
      <c r="X728" s="112"/>
      <c r="Y728" s="112"/>
      <c r="Z728" s="112"/>
      <c r="AA728" s="112"/>
      <c r="AB728" s="112"/>
    </row>
    <row r="729" ht="15.75" customHeight="1">
      <c r="A729" s="112"/>
      <c r="B729" s="112"/>
      <c r="C729" s="112"/>
      <c r="D729" s="125"/>
      <c r="E729" s="112"/>
      <c r="F729" s="128"/>
      <c r="G729" s="128"/>
      <c r="H729" s="128"/>
      <c r="I729" s="128"/>
      <c r="J729" s="112"/>
      <c r="K729" s="112"/>
      <c r="L729" s="153"/>
      <c r="M729" s="112"/>
      <c r="N729" s="112"/>
      <c r="O729" s="112"/>
      <c r="P729" s="112"/>
      <c r="Q729" s="112"/>
      <c r="R729" s="112"/>
      <c r="S729" s="112"/>
      <c r="T729" s="112"/>
      <c r="U729" s="112"/>
      <c r="V729" s="112"/>
      <c r="W729" s="112"/>
      <c r="X729" s="112"/>
      <c r="Y729" s="112"/>
      <c r="Z729" s="112"/>
      <c r="AA729" s="112"/>
      <c r="AB729" s="112"/>
    </row>
    <row r="730" ht="15.75" customHeight="1">
      <c r="A730" s="112"/>
      <c r="B730" s="112"/>
      <c r="C730" s="112"/>
      <c r="D730" s="125"/>
      <c r="E730" s="112"/>
      <c r="F730" s="128"/>
      <c r="G730" s="128"/>
      <c r="H730" s="128"/>
      <c r="I730" s="159"/>
      <c r="J730" s="112"/>
      <c r="K730" s="112"/>
      <c r="L730" s="153"/>
      <c r="M730" s="112"/>
      <c r="N730" s="112"/>
      <c r="O730" s="112"/>
      <c r="P730" s="112"/>
      <c r="Q730" s="112"/>
      <c r="R730" s="112"/>
      <c r="S730" s="112"/>
      <c r="T730" s="112"/>
      <c r="U730" s="112"/>
      <c r="V730" s="112"/>
      <c r="W730" s="112"/>
      <c r="X730" s="112"/>
      <c r="Y730" s="112"/>
      <c r="Z730" s="112"/>
      <c r="AA730" s="112"/>
      <c r="AB730" s="112"/>
    </row>
    <row r="731" ht="15.75" customHeight="1">
      <c r="A731" s="112"/>
      <c r="B731" s="112"/>
      <c r="C731" s="112"/>
      <c r="D731" s="125"/>
      <c r="E731" s="112"/>
      <c r="F731" s="128"/>
      <c r="G731" s="128"/>
      <c r="H731" s="128"/>
      <c r="I731" s="128"/>
      <c r="J731" s="112"/>
      <c r="K731" s="112"/>
      <c r="L731" s="153"/>
      <c r="M731" s="112"/>
      <c r="N731" s="112"/>
      <c r="O731" s="112"/>
      <c r="P731" s="112"/>
      <c r="Q731" s="112"/>
      <c r="R731" s="112"/>
      <c r="S731" s="112"/>
      <c r="T731" s="112"/>
      <c r="U731" s="112"/>
      <c r="V731" s="112"/>
      <c r="W731" s="112"/>
      <c r="X731" s="112"/>
      <c r="Y731" s="112"/>
      <c r="Z731" s="112"/>
      <c r="AA731" s="112"/>
      <c r="AB731" s="112"/>
    </row>
    <row r="732" ht="15.75" customHeight="1">
      <c r="A732" s="112"/>
      <c r="B732" s="112"/>
      <c r="C732" s="112"/>
      <c r="D732" s="125"/>
      <c r="E732" s="112"/>
      <c r="F732" s="128"/>
      <c r="G732" s="128"/>
      <c r="H732" s="128"/>
      <c r="I732" s="128"/>
      <c r="J732" s="112"/>
      <c r="K732" s="112"/>
      <c r="L732" s="153"/>
      <c r="M732" s="112"/>
      <c r="N732" s="112"/>
      <c r="O732" s="112"/>
      <c r="P732" s="112"/>
      <c r="Q732" s="112"/>
      <c r="R732" s="112"/>
      <c r="S732" s="112"/>
      <c r="T732" s="112"/>
      <c r="U732" s="112"/>
      <c r="V732" s="112"/>
      <c r="W732" s="112"/>
      <c r="X732" s="112"/>
      <c r="Y732" s="112"/>
      <c r="Z732" s="112"/>
      <c r="AA732" s="112"/>
      <c r="AB732" s="112"/>
    </row>
    <row r="733" ht="15.75" customHeight="1">
      <c r="A733" s="112"/>
      <c r="B733" s="112"/>
      <c r="C733" s="112"/>
      <c r="D733" s="125"/>
      <c r="E733" s="112"/>
      <c r="F733" s="128"/>
      <c r="G733" s="128"/>
      <c r="H733" s="128"/>
      <c r="I733" s="128"/>
      <c r="J733" s="112"/>
      <c r="K733" s="112"/>
      <c r="L733" s="153"/>
      <c r="M733" s="112"/>
      <c r="N733" s="112"/>
      <c r="O733" s="112"/>
      <c r="P733" s="112"/>
      <c r="Q733" s="112"/>
      <c r="R733" s="112"/>
      <c r="S733" s="112"/>
      <c r="T733" s="112"/>
      <c r="U733" s="112"/>
      <c r="V733" s="112"/>
      <c r="W733" s="112"/>
      <c r="X733" s="112"/>
      <c r="Y733" s="112"/>
      <c r="Z733" s="112"/>
      <c r="AA733" s="112"/>
      <c r="AB733" s="112"/>
    </row>
    <row r="734" ht="15.75" customHeight="1">
      <c r="A734" s="112"/>
      <c r="B734" s="112"/>
      <c r="C734" s="112"/>
      <c r="D734" s="125"/>
      <c r="E734" s="112"/>
      <c r="F734" s="128"/>
      <c r="G734" s="128"/>
      <c r="H734" s="128"/>
      <c r="I734" s="128"/>
      <c r="J734" s="112"/>
      <c r="K734" s="112"/>
      <c r="L734" s="153"/>
      <c r="M734" s="112"/>
      <c r="N734" s="112"/>
      <c r="O734" s="112"/>
      <c r="P734" s="112"/>
      <c r="Q734" s="112"/>
      <c r="R734" s="112"/>
      <c r="S734" s="112"/>
      <c r="T734" s="112"/>
      <c r="U734" s="112"/>
      <c r="V734" s="112"/>
      <c r="W734" s="112"/>
      <c r="X734" s="112"/>
      <c r="Y734" s="112"/>
      <c r="Z734" s="112"/>
      <c r="AA734" s="112"/>
      <c r="AB734" s="112"/>
    </row>
    <row r="735" ht="15.75" customHeight="1">
      <c r="A735" s="112"/>
      <c r="B735" s="112"/>
      <c r="C735" s="112"/>
      <c r="D735" s="125"/>
      <c r="E735" s="112"/>
      <c r="F735" s="128"/>
      <c r="G735" s="128"/>
      <c r="H735" s="128"/>
      <c r="I735" s="128"/>
      <c r="J735" s="112"/>
      <c r="K735" s="112"/>
      <c r="L735" s="153"/>
      <c r="M735" s="112"/>
      <c r="N735" s="112"/>
      <c r="O735" s="112"/>
      <c r="P735" s="112"/>
      <c r="Q735" s="112"/>
      <c r="R735" s="112"/>
      <c r="S735" s="112"/>
      <c r="T735" s="112"/>
      <c r="U735" s="112"/>
      <c r="V735" s="112"/>
      <c r="W735" s="112"/>
      <c r="X735" s="112"/>
      <c r="Y735" s="112"/>
      <c r="Z735" s="112"/>
      <c r="AA735" s="112"/>
      <c r="AB735" s="112"/>
    </row>
    <row r="736" ht="15.75" customHeight="1">
      <c r="A736" s="112"/>
      <c r="B736" s="112"/>
      <c r="C736" s="112"/>
      <c r="D736" s="125"/>
      <c r="E736" s="112"/>
      <c r="F736" s="128"/>
      <c r="G736" s="128"/>
      <c r="H736" s="128"/>
      <c r="I736" s="128"/>
      <c r="J736" s="112"/>
      <c r="K736" s="112"/>
      <c r="L736" s="153"/>
      <c r="M736" s="112"/>
      <c r="N736" s="112"/>
      <c r="O736" s="112"/>
      <c r="P736" s="112"/>
      <c r="Q736" s="112"/>
      <c r="R736" s="112"/>
      <c r="S736" s="112"/>
      <c r="T736" s="112"/>
      <c r="U736" s="112"/>
      <c r="V736" s="112"/>
      <c r="W736" s="112"/>
      <c r="X736" s="112"/>
      <c r="Y736" s="112"/>
      <c r="Z736" s="112"/>
      <c r="AA736" s="112"/>
      <c r="AB736" s="112"/>
    </row>
    <row r="737" ht="15.75" customHeight="1">
      <c r="A737" s="112"/>
      <c r="B737" s="112"/>
      <c r="C737" s="112"/>
      <c r="D737" s="125"/>
      <c r="E737" s="112"/>
      <c r="F737" s="128"/>
      <c r="G737" s="128"/>
      <c r="H737" s="128"/>
      <c r="I737" s="128"/>
      <c r="J737" s="112"/>
      <c r="K737" s="112"/>
      <c r="L737" s="153"/>
      <c r="M737" s="112"/>
      <c r="N737" s="112"/>
      <c r="O737" s="112"/>
      <c r="P737" s="112"/>
      <c r="Q737" s="112"/>
      <c r="R737" s="112"/>
      <c r="S737" s="112"/>
      <c r="T737" s="112"/>
      <c r="U737" s="112"/>
      <c r="V737" s="112"/>
      <c r="W737" s="112"/>
      <c r="X737" s="112"/>
      <c r="Y737" s="112"/>
      <c r="Z737" s="112"/>
      <c r="AA737" s="112"/>
      <c r="AB737" s="112"/>
    </row>
    <row r="738" ht="15.75" customHeight="1">
      <c r="A738" s="112"/>
      <c r="B738" s="112"/>
      <c r="C738" s="112"/>
      <c r="D738" s="125"/>
      <c r="E738" s="112"/>
      <c r="F738" s="128"/>
      <c r="G738" s="128"/>
      <c r="H738" s="128"/>
      <c r="I738" s="128"/>
      <c r="J738" s="112"/>
      <c r="K738" s="112"/>
      <c r="L738" s="153"/>
      <c r="M738" s="112"/>
      <c r="N738" s="112"/>
      <c r="O738" s="112"/>
      <c r="P738" s="112"/>
      <c r="Q738" s="112"/>
      <c r="R738" s="112"/>
      <c r="S738" s="112"/>
      <c r="T738" s="112"/>
      <c r="U738" s="112"/>
      <c r="V738" s="112"/>
      <c r="W738" s="112"/>
      <c r="X738" s="112"/>
      <c r="Y738" s="112"/>
      <c r="Z738" s="112"/>
      <c r="AA738" s="112"/>
      <c r="AB738" s="112"/>
    </row>
    <row r="739" ht="15.75" customHeight="1">
      <c r="A739" s="112"/>
      <c r="B739" s="112"/>
      <c r="C739" s="112"/>
      <c r="D739" s="125"/>
      <c r="E739" s="112"/>
      <c r="F739" s="128"/>
      <c r="G739" s="128"/>
      <c r="H739" s="128"/>
      <c r="I739" s="128"/>
      <c r="J739" s="112"/>
      <c r="K739" s="112"/>
      <c r="L739" s="153"/>
      <c r="M739" s="112"/>
      <c r="N739" s="112"/>
      <c r="O739" s="112"/>
      <c r="P739" s="112"/>
      <c r="Q739" s="112"/>
      <c r="R739" s="112"/>
      <c r="S739" s="112"/>
      <c r="T739" s="112"/>
      <c r="U739" s="112"/>
      <c r="V739" s="112"/>
      <c r="W739" s="112"/>
      <c r="X739" s="112"/>
      <c r="Y739" s="112"/>
      <c r="Z739" s="112"/>
      <c r="AA739" s="112"/>
      <c r="AB739" s="112"/>
    </row>
    <row r="740" ht="15.75" customHeight="1">
      <c r="A740" s="112"/>
      <c r="B740" s="112"/>
      <c r="C740" s="112"/>
      <c r="D740" s="125"/>
      <c r="E740" s="112"/>
      <c r="F740" s="128"/>
      <c r="G740" s="128"/>
      <c r="H740" s="128"/>
      <c r="I740" s="128"/>
      <c r="J740" s="112"/>
      <c r="K740" s="112"/>
      <c r="L740" s="153"/>
      <c r="M740" s="112"/>
      <c r="N740" s="112"/>
      <c r="O740" s="112"/>
      <c r="P740" s="112"/>
      <c r="Q740" s="112"/>
      <c r="R740" s="112"/>
      <c r="S740" s="112"/>
      <c r="T740" s="112"/>
      <c r="U740" s="112"/>
      <c r="V740" s="112"/>
      <c r="W740" s="112"/>
      <c r="X740" s="112"/>
      <c r="Y740" s="112"/>
      <c r="Z740" s="112"/>
      <c r="AA740" s="112"/>
      <c r="AB740" s="112"/>
    </row>
    <row r="741" ht="15.75" customHeight="1">
      <c r="A741" s="112"/>
      <c r="B741" s="112"/>
      <c r="C741" s="112"/>
      <c r="D741" s="125"/>
      <c r="E741" s="112"/>
      <c r="F741" s="128"/>
      <c r="G741" s="128"/>
      <c r="H741" s="128"/>
      <c r="I741" s="128"/>
      <c r="J741" s="112"/>
      <c r="K741" s="112"/>
      <c r="L741" s="153"/>
      <c r="M741" s="112"/>
      <c r="N741" s="112"/>
      <c r="O741" s="112"/>
      <c r="P741" s="112"/>
      <c r="Q741" s="112"/>
      <c r="R741" s="112"/>
      <c r="S741" s="112"/>
      <c r="T741" s="112"/>
      <c r="U741" s="112"/>
      <c r="V741" s="112"/>
      <c r="W741" s="112"/>
      <c r="X741" s="112"/>
      <c r="Y741" s="112"/>
      <c r="Z741" s="112"/>
      <c r="AA741" s="112"/>
      <c r="AB741" s="112"/>
    </row>
    <row r="742" ht="15.75" customHeight="1">
      <c r="A742" s="112"/>
      <c r="B742" s="112"/>
      <c r="C742" s="112"/>
      <c r="D742" s="125"/>
      <c r="E742" s="112"/>
      <c r="F742" s="128"/>
      <c r="G742" s="128"/>
      <c r="H742" s="128"/>
      <c r="I742" s="128"/>
      <c r="J742" s="112"/>
      <c r="K742" s="112"/>
      <c r="L742" s="153"/>
      <c r="M742" s="112"/>
      <c r="N742" s="112"/>
      <c r="O742" s="112"/>
      <c r="P742" s="112"/>
      <c r="Q742" s="112"/>
      <c r="R742" s="112"/>
      <c r="S742" s="112"/>
      <c r="T742" s="112"/>
      <c r="U742" s="112"/>
      <c r="V742" s="112"/>
      <c r="W742" s="112"/>
      <c r="X742" s="112"/>
      <c r="Y742" s="112"/>
      <c r="Z742" s="112"/>
      <c r="AA742" s="112"/>
      <c r="AB742" s="112"/>
    </row>
    <row r="743" ht="15.75" customHeight="1">
      <c r="A743" s="112"/>
      <c r="B743" s="112"/>
      <c r="C743" s="112"/>
      <c r="D743" s="125"/>
      <c r="E743" s="112"/>
      <c r="F743" s="128"/>
      <c r="G743" s="128"/>
      <c r="H743" s="128"/>
      <c r="I743" s="128"/>
      <c r="J743" s="112"/>
      <c r="K743" s="112"/>
      <c r="L743" s="153"/>
      <c r="M743" s="112"/>
      <c r="N743" s="112"/>
      <c r="O743" s="112"/>
      <c r="P743" s="112"/>
      <c r="Q743" s="112"/>
      <c r="R743" s="112"/>
      <c r="S743" s="112"/>
      <c r="T743" s="112"/>
      <c r="U743" s="112"/>
      <c r="V743" s="112"/>
      <c r="W743" s="112"/>
      <c r="X743" s="112"/>
      <c r="Y743" s="112"/>
      <c r="Z743" s="112"/>
      <c r="AA743" s="112"/>
      <c r="AB743" s="112"/>
    </row>
    <row r="744" ht="15.75" customHeight="1">
      <c r="A744" s="112"/>
      <c r="B744" s="112"/>
      <c r="C744" s="112"/>
      <c r="D744" s="125"/>
      <c r="E744" s="112"/>
      <c r="F744" s="128"/>
      <c r="G744" s="128"/>
      <c r="H744" s="128"/>
      <c r="I744" s="128"/>
      <c r="J744" s="112"/>
      <c r="K744" s="112"/>
      <c r="L744" s="153"/>
      <c r="M744" s="112"/>
      <c r="N744" s="112"/>
      <c r="O744" s="112"/>
      <c r="P744" s="112"/>
      <c r="Q744" s="112"/>
      <c r="R744" s="112"/>
      <c r="S744" s="112"/>
      <c r="T744" s="112"/>
      <c r="U744" s="112"/>
      <c r="V744" s="112"/>
      <c r="W744" s="112"/>
      <c r="X744" s="112"/>
      <c r="Y744" s="112"/>
      <c r="Z744" s="112"/>
      <c r="AA744" s="112"/>
      <c r="AB744" s="112"/>
    </row>
    <row r="745" ht="15.75" customHeight="1">
      <c r="A745" s="112"/>
      <c r="B745" s="112"/>
      <c r="C745" s="112"/>
      <c r="D745" s="125"/>
      <c r="E745" s="112"/>
      <c r="F745" s="128"/>
      <c r="G745" s="128"/>
      <c r="H745" s="128"/>
      <c r="I745" s="128"/>
      <c r="J745" s="112"/>
      <c r="K745" s="112"/>
      <c r="L745" s="153"/>
      <c r="M745" s="112"/>
      <c r="N745" s="112"/>
      <c r="O745" s="112"/>
      <c r="P745" s="112"/>
      <c r="Q745" s="112"/>
      <c r="R745" s="112"/>
      <c r="S745" s="112"/>
      <c r="T745" s="112"/>
      <c r="U745" s="112"/>
      <c r="V745" s="112"/>
      <c r="W745" s="112"/>
      <c r="X745" s="112"/>
      <c r="Y745" s="112"/>
      <c r="Z745" s="112"/>
      <c r="AA745" s="112"/>
      <c r="AB745" s="112"/>
    </row>
    <row r="746" ht="15.75" customHeight="1">
      <c r="A746" s="112"/>
      <c r="B746" s="112"/>
      <c r="C746" s="112"/>
      <c r="D746" s="125"/>
      <c r="E746" s="112"/>
      <c r="F746" s="128"/>
      <c r="G746" s="128"/>
      <c r="H746" s="128"/>
      <c r="I746" s="128"/>
      <c r="J746" s="112"/>
      <c r="K746" s="112"/>
      <c r="L746" s="153"/>
      <c r="M746" s="112"/>
      <c r="N746" s="112"/>
      <c r="O746" s="112"/>
      <c r="P746" s="112"/>
      <c r="Q746" s="112"/>
      <c r="R746" s="112"/>
      <c r="S746" s="112"/>
      <c r="T746" s="112"/>
      <c r="U746" s="112"/>
      <c r="V746" s="112"/>
      <c r="W746" s="112"/>
      <c r="X746" s="112"/>
      <c r="Y746" s="112"/>
      <c r="Z746" s="112"/>
      <c r="AA746" s="112"/>
      <c r="AB746" s="112"/>
    </row>
    <row r="747" ht="15.75" customHeight="1">
      <c r="A747" s="112"/>
      <c r="B747" s="112"/>
      <c r="C747" s="112"/>
      <c r="D747" s="125"/>
      <c r="E747" s="112"/>
      <c r="F747" s="128"/>
      <c r="G747" s="128"/>
      <c r="H747" s="128"/>
      <c r="I747" s="128"/>
      <c r="J747" s="112"/>
      <c r="K747" s="112"/>
      <c r="L747" s="153"/>
      <c r="M747" s="112"/>
      <c r="N747" s="112"/>
      <c r="O747" s="112"/>
      <c r="P747" s="112"/>
      <c r="Q747" s="112"/>
      <c r="R747" s="112"/>
      <c r="S747" s="112"/>
      <c r="T747" s="112"/>
      <c r="U747" s="112"/>
      <c r="V747" s="112"/>
      <c r="W747" s="112"/>
      <c r="X747" s="112"/>
      <c r="Y747" s="112"/>
      <c r="Z747" s="112"/>
      <c r="AA747" s="112"/>
      <c r="AB747" s="112"/>
    </row>
    <row r="748" ht="15.75" customHeight="1">
      <c r="A748" s="112"/>
      <c r="B748" s="112"/>
      <c r="C748" s="112"/>
      <c r="D748" s="125"/>
      <c r="E748" s="112"/>
      <c r="F748" s="128"/>
      <c r="G748" s="128"/>
      <c r="H748" s="128"/>
      <c r="I748" s="128"/>
      <c r="J748" s="112"/>
      <c r="K748" s="112"/>
      <c r="L748" s="153"/>
      <c r="M748" s="112"/>
      <c r="N748" s="112"/>
      <c r="O748" s="112"/>
      <c r="P748" s="112"/>
      <c r="Q748" s="112"/>
      <c r="R748" s="112"/>
      <c r="S748" s="112"/>
      <c r="T748" s="112"/>
      <c r="U748" s="112"/>
      <c r="V748" s="112"/>
      <c r="W748" s="112"/>
      <c r="X748" s="112"/>
      <c r="Y748" s="112"/>
      <c r="Z748" s="112"/>
      <c r="AA748" s="112"/>
      <c r="AB748" s="112"/>
    </row>
    <row r="749" ht="15.75" customHeight="1">
      <c r="A749" s="112"/>
      <c r="B749" s="112"/>
      <c r="C749" s="112"/>
      <c r="D749" s="125"/>
      <c r="E749" s="112"/>
      <c r="F749" s="128"/>
      <c r="G749" s="128"/>
      <c r="H749" s="128"/>
      <c r="I749" s="128"/>
      <c r="J749" s="112"/>
      <c r="K749" s="112"/>
      <c r="L749" s="153"/>
      <c r="M749" s="112"/>
      <c r="N749" s="112"/>
      <c r="O749" s="112"/>
      <c r="P749" s="112"/>
      <c r="Q749" s="112"/>
      <c r="R749" s="112"/>
      <c r="S749" s="112"/>
      <c r="T749" s="112"/>
      <c r="U749" s="112"/>
      <c r="V749" s="112"/>
      <c r="W749" s="112"/>
      <c r="X749" s="112"/>
      <c r="Y749" s="112"/>
      <c r="Z749" s="112"/>
      <c r="AA749" s="112"/>
      <c r="AB749" s="112"/>
    </row>
    <row r="750" ht="15.75" customHeight="1">
      <c r="A750" s="112"/>
      <c r="B750" s="112"/>
      <c r="C750" s="112"/>
      <c r="D750" s="125"/>
      <c r="E750" s="112"/>
      <c r="F750" s="128"/>
      <c r="G750" s="128"/>
      <c r="H750" s="128"/>
      <c r="I750" s="128"/>
      <c r="J750" s="112"/>
      <c r="K750" s="112"/>
      <c r="L750" s="153"/>
      <c r="M750" s="112"/>
      <c r="N750" s="112"/>
      <c r="O750" s="112"/>
      <c r="P750" s="112"/>
      <c r="Q750" s="112"/>
      <c r="R750" s="112"/>
      <c r="S750" s="112"/>
      <c r="T750" s="112"/>
      <c r="U750" s="112"/>
      <c r="V750" s="112"/>
      <c r="W750" s="112"/>
      <c r="X750" s="112"/>
      <c r="Y750" s="112"/>
      <c r="Z750" s="112"/>
      <c r="AA750" s="112"/>
      <c r="AB750" s="112"/>
    </row>
    <row r="751" ht="15.75" customHeight="1">
      <c r="A751" s="112"/>
      <c r="B751" s="112"/>
      <c r="C751" s="112"/>
      <c r="D751" s="125"/>
      <c r="E751" s="112"/>
      <c r="F751" s="128"/>
      <c r="G751" s="128"/>
      <c r="H751" s="128"/>
      <c r="I751" s="128"/>
      <c r="J751" s="112"/>
      <c r="K751" s="112"/>
      <c r="L751" s="153"/>
      <c r="M751" s="112"/>
      <c r="N751" s="112"/>
      <c r="O751" s="112"/>
      <c r="P751" s="112"/>
      <c r="Q751" s="112"/>
      <c r="R751" s="112"/>
      <c r="S751" s="112"/>
      <c r="T751" s="112"/>
      <c r="U751" s="112"/>
      <c r="V751" s="112"/>
      <c r="W751" s="112"/>
      <c r="X751" s="112"/>
      <c r="Y751" s="112"/>
      <c r="Z751" s="112"/>
      <c r="AA751" s="112"/>
      <c r="AB751" s="112"/>
    </row>
    <row r="752" ht="15.75" customHeight="1">
      <c r="A752" s="112"/>
      <c r="B752" s="112"/>
      <c r="C752" s="112"/>
      <c r="D752" s="125"/>
      <c r="E752" s="112"/>
      <c r="F752" s="128"/>
      <c r="G752" s="128"/>
      <c r="H752" s="128"/>
      <c r="I752" s="128"/>
      <c r="J752" s="112"/>
      <c r="K752" s="112"/>
      <c r="L752" s="153"/>
      <c r="M752" s="112"/>
      <c r="N752" s="112"/>
      <c r="O752" s="112"/>
      <c r="P752" s="112"/>
      <c r="Q752" s="112"/>
      <c r="R752" s="112"/>
      <c r="S752" s="112"/>
      <c r="T752" s="112"/>
      <c r="U752" s="112"/>
      <c r="V752" s="112"/>
      <c r="W752" s="112"/>
      <c r="X752" s="112"/>
      <c r="Y752" s="112"/>
      <c r="Z752" s="112"/>
      <c r="AA752" s="112"/>
      <c r="AB752" s="112"/>
    </row>
    <row r="753" ht="15.75" customHeight="1">
      <c r="A753" s="112"/>
      <c r="B753" s="112"/>
      <c r="C753" s="112"/>
      <c r="D753" s="125"/>
      <c r="E753" s="112"/>
      <c r="F753" s="128"/>
      <c r="G753" s="128"/>
      <c r="H753" s="128"/>
      <c r="I753" s="128"/>
      <c r="J753" s="112"/>
      <c r="K753" s="112"/>
      <c r="L753" s="153"/>
      <c r="M753" s="112"/>
      <c r="N753" s="112"/>
      <c r="O753" s="112"/>
      <c r="P753" s="112"/>
      <c r="Q753" s="112"/>
      <c r="R753" s="112"/>
      <c r="S753" s="112"/>
      <c r="T753" s="112"/>
      <c r="U753" s="112"/>
      <c r="V753" s="112"/>
      <c r="W753" s="112"/>
      <c r="X753" s="112"/>
      <c r="Y753" s="112"/>
      <c r="Z753" s="112"/>
      <c r="AA753" s="112"/>
      <c r="AB753" s="112"/>
    </row>
    <row r="754" ht="15.75" customHeight="1">
      <c r="A754" s="112"/>
      <c r="B754" s="112"/>
      <c r="C754" s="112"/>
      <c r="D754" s="125"/>
      <c r="E754" s="112"/>
      <c r="F754" s="128"/>
      <c r="G754" s="128"/>
      <c r="H754" s="128"/>
      <c r="I754" s="128"/>
      <c r="J754" s="112"/>
      <c r="K754" s="112"/>
      <c r="L754" s="153"/>
      <c r="M754" s="112"/>
      <c r="N754" s="112"/>
      <c r="O754" s="112"/>
      <c r="P754" s="112"/>
      <c r="Q754" s="112"/>
      <c r="R754" s="112"/>
      <c r="S754" s="112"/>
      <c r="T754" s="112"/>
      <c r="U754" s="112"/>
      <c r="V754" s="112"/>
      <c r="W754" s="112"/>
      <c r="X754" s="112"/>
      <c r="Y754" s="112"/>
      <c r="Z754" s="112"/>
      <c r="AA754" s="112"/>
      <c r="AB754" s="112"/>
    </row>
    <row r="755" ht="15.75" customHeight="1">
      <c r="A755" s="112"/>
      <c r="B755" s="112"/>
      <c r="C755" s="112"/>
      <c r="D755" s="125"/>
      <c r="E755" s="112"/>
      <c r="F755" s="128"/>
      <c r="G755" s="128"/>
      <c r="H755" s="128"/>
      <c r="I755" s="128"/>
      <c r="J755" s="112"/>
      <c r="K755" s="112"/>
      <c r="L755" s="153"/>
      <c r="M755" s="112"/>
      <c r="N755" s="112"/>
      <c r="O755" s="112"/>
      <c r="P755" s="112"/>
      <c r="Q755" s="112"/>
      <c r="R755" s="112"/>
      <c r="S755" s="112"/>
      <c r="T755" s="112"/>
      <c r="U755" s="112"/>
      <c r="V755" s="112"/>
      <c r="W755" s="112"/>
      <c r="X755" s="112"/>
      <c r="Y755" s="112"/>
      <c r="Z755" s="112"/>
      <c r="AA755" s="112"/>
      <c r="AB755" s="112"/>
    </row>
    <row r="756" ht="15.75" customHeight="1">
      <c r="A756" s="112"/>
      <c r="B756" s="112"/>
      <c r="C756" s="112"/>
      <c r="D756" s="125"/>
      <c r="E756" s="112"/>
      <c r="F756" s="128"/>
      <c r="G756" s="128"/>
      <c r="H756" s="128"/>
      <c r="I756" s="128"/>
      <c r="J756" s="112"/>
      <c r="K756" s="112"/>
      <c r="L756" s="153"/>
      <c r="M756" s="112"/>
      <c r="N756" s="112"/>
      <c r="O756" s="112"/>
      <c r="P756" s="112"/>
      <c r="Q756" s="112"/>
      <c r="R756" s="112"/>
      <c r="S756" s="112"/>
      <c r="T756" s="112"/>
      <c r="U756" s="112"/>
      <c r="V756" s="112"/>
      <c r="W756" s="112"/>
      <c r="X756" s="112"/>
      <c r="Y756" s="112"/>
      <c r="Z756" s="112"/>
      <c r="AA756" s="112"/>
      <c r="AB756" s="112"/>
    </row>
    <row r="757" ht="15.75" customHeight="1">
      <c r="A757" s="112"/>
      <c r="B757" s="112"/>
      <c r="C757" s="112"/>
      <c r="D757" s="125"/>
      <c r="E757" s="112"/>
      <c r="F757" s="128"/>
      <c r="G757" s="128"/>
      <c r="H757" s="128"/>
      <c r="I757" s="128"/>
      <c r="J757" s="112"/>
      <c r="K757" s="112"/>
      <c r="L757" s="153"/>
      <c r="M757" s="112"/>
      <c r="N757" s="112"/>
      <c r="O757" s="112"/>
      <c r="P757" s="112"/>
      <c r="Q757" s="112"/>
      <c r="R757" s="112"/>
      <c r="S757" s="112"/>
      <c r="T757" s="112"/>
      <c r="U757" s="112"/>
      <c r="V757" s="112"/>
      <c r="W757" s="112"/>
      <c r="X757" s="112"/>
      <c r="Y757" s="112"/>
      <c r="Z757" s="112"/>
      <c r="AA757" s="112"/>
      <c r="AB757" s="112"/>
    </row>
    <row r="758" ht="15.75" customHeight="1">
      <c r="A758" s="112"/>
      <c r="B758" s="112"/>
      <c r="C758" s="112"/>
      <c r="D758" s="125"/>
      <c r="E758" s="112"/>
      <c r="F758" s="128"/>
      <c r="G758" s="128"/>
      <c r="H758" s="128"/>
      <c r="I758" s="128"/>
      <c r="J758" s="112"/>
      <c r="K758" s="112"/>
      <c r="L758" s="153"/>
      <c r="M758" s="112"/>
      <c r="N758" s="112"/>
      <c r="O758" s="112"/>
      <c r="P758" s="112"/>
      <c r="Q758" s="112"/>
      <c r="R758" s="112"/>
      <c r="S758" s="112"/>
      <c r="T758" s="112"/>
      <c r="U758" s="112"/>
      <c r="V758" s="112"/>
      <c r="W758" s="112"/>
      <c r="X758" s="112"/>
      <c r="Y758" s="112"/>
      <c r="Z758" s="112"/>
      <c r="AA758" s="112"/>
      <c r="AB758" s="112"/>
    </row>
    <row r="759" ht="15.75" customHeight="1">
      <c r="A759" s="112"/>
      <c r="B759" s="112"/>
      <c r="C759" s="112"/>
      <c r="D759" s="125"/>
      <c r="E759" s="112"/>
      <c r="F759" s="128"/>
      <c r="G759" s="128"/>
      <c r="H759" s="128"/>
      <c r="I759" s="128"/>
      <c r="J759" s="112"/>
      <c r="K759" s="112"/>
      <c r="L759" s="153"/>
      <c r="M759" s="112"/>
      <c r="N759" s="112"/>
      <c r="O759" s="112"/>
      <c r="P759" s="112"/>
      <c r="Q759" s="112"/>
      <c r="R759" s="112"/>
      <c r="S759" s="112"/>
      <c r="T759" s="112"/>
      <c r="U759" s="112"/>
      <c r="V759" s="112"/>
      <c r="W759" s="112"/>
      <c r="X759" s="112"/>
      <c r="Y759" s="112"/>
      <c r="Z759" s="112"/>
      <c r="AA759" s="112"/>
      <c r="AB759" s="112"/>
    </row>
    <row r="760" ht="15.75" customHeight="1">
      <c r="A760" s="112"/>
      <c r="B760" s="112"/>
      <c r="C760" s="112"/>
      <c r="D760" s="125"/>
      <c r="E760" s="112"/>
      <c r="F760" s="128"/>
      <c r="G760" s="128"/>
      <c r="H760" s="128"/>
      <c r="I760" s="128"/>
      <c r="J760" s="112"/>
      <c r="K760" s="112"/>
      <c r="L760" s="153"/>
      <c r="M760" s="112"/>
      <c r="N760" s="112"/>
      <c r="O760" s="112"/>
      <c r="P760" s="112"/>
      <c r="Q760" s="112"/>
      <c r="R760" s="112"/>
      <c r="S760" s="112"/>
      <c r="T760" s="112"/>
      <c r="U760" s="112"/>
      <c r="V760" s="112"/>
      <c r="W760" s="112"/>
      <c r="X760" s="112"/>
      <c r="Y760" s="112"/>
      <c r="Z760" s="112"/>
      <c r="AA760" s="112"/>
      <c r="AB760" s="112"/>
    </row>
    <row r="761" ht="15.75" customHeight="1">
      <c r="A761" s="112"/>
      <c r="B761" s="112"/>
      <c r="C761" s="112"/>
      <c r="D761" s="125"/>
      <c r="E761" s="112"/>
      <c r="F761" s="128"/>
      <c r="G761" s="128"/>
      <c r="H761" s="128"/>
      <c r="I761" s="128"/>
      <c r="J761" s="112"/>
      <c r="K761" s="112"/>
      <c r="L761" s="153"/>
      <c r="M761" s="112"/>
      <c r="N761" s="112"/>
      <c r="O761" s="112"/>
      <c r="P761" s="112"/>
      <c r="Q761" s="112"/>
      <c r="R761" s="112"/>
      <c r="S761" s="112"/>
      <c r="T761" s="112"/>
      <c r="U761" s="112"/>
      <c r="V761" s="112"/>
      <c r="W761" s="112"/>
      <c r="X761" s="112"/>
      <c r="Y761" s="112"/>
      <c r="Z761" s="112"/>
      <c r="AA761" s="112"/>
      <c r="AB761" s="112"/>
    </row>
    <row r="762" ht="15.75" customHeight="1">
      <c r="A762" s="112"/>
      <c r="B762" s="112"/>
      <c r="C762" s="112"/>
      <c r="D762" s="125"/>
      <c r="E762" s="112"/>
      <c r="F762" s="128"/>
      <c r="G762" s="128"/>
      <c r="H762" s="128"/>
      <c r="I762" s="128"/>
      <c r="J762" s="112"/>
      <c r="K762" s="112"/>
      <c r="L762" s="153"/>
      <c r="M762" s="112"/>
      <c r="N762" s="112"/>
      <c r="O762" s="112"/>
      <c r="P762" s="112"/>
      <c r="Q762" s="112"/>
      <c r="R762" s="112"/>
      <c r="S762" s="112"/>
      <c r="T762" s="112"/>
      <c r="U762" s="112"/>
      <c r="V762" s="112"/>
      <c r="W762" s="112"/>
      <c r="X762" s="112"/>
      <c r="Y762" s="112"/>
      <c r="Z762" s="112"/>
      <c r="AA762" s="112"/>
      <c r="AB762" s="112"/>
    </row>
    <row r="763" ht="15.75" customHeight="1">
      <c r="A763" s="112"/>
      <c r="B763" s="112"/>
      <c r="C763" s="112"/>
      <c r="D763" s="125"/>
      <c r="E763" s="112"/>
      <c r="F763" s="128"/>
      <c r="G763" s="128"/>
      <c r="H763" s="128"/>
      <c r="I763" s="128"/>
      <c r="J763" s="112"/>
      <c r="K763" s="112"/>
      <c r="L763" s="153"/>
      <c r="M763" s="112"/>
      <c r="N763" s="112"/>
      <c r="O763" s="112"/>
      <c r="P763" s="112"/>
      <c r="Q763" s="112"/>
      <c r="R763" s="112"/>
      <c r="S763" s="112"/>
      <c r="T763" s="112"/>
      <c r="U763" s="112"/>
      <c r="V763" s="112"/>
      <c r="W763" s="112"/>
      <c r="X763" s="112"/>
      <c r="Y763" s="112"/>
      <c r="Z763" s="112"/>
      <c r="AA763" s="112"/>
      <c r="AB763" s="112"/>
    </row>
    <row r="764" ht="15.75" customHeight="1">
      <c r="A764" s="112"/>
      <c r="B764" s="112"/>
      <c r="C764" s="112"/>
      <c r="D764" s="125"/>
      <c r="E764" s="112"/>
      <c r="F764" s="128"/>
      <c r="G764" s="128"/>
      <c r="H764" s="128"/>
      <c r="I764" s="128"/>
      <c r="J764" s="112"/>
      <c r="K764" s="112"/>
      <c r="L764" s="153"/>
      <c r="M764" s="112"/>
      <c r="N764" s="112"/>
      <c r="O764" s="112"/>
      <c r="P764" s="112"/>
      <c r="Q764" s="112"/>
      <c r="R764" s="112"/>
      <c r="S764" s="112"/>
      <c r="T764" s="112"/>
      <c r="U764" s="112"/>
      <c r="V764" s="112"/>
      <c r="W764" s="112"/>
      <c r="X764" s="112"/>
      <c r="Y764" s="112"/>
      <c r="Z764" s="112"/>
      <c r="AA764" s="112"/>
      <c r="AB764" s="112"/>
    </row>
    <row r="765" ht="15.75" customHeight="1">
      <c r="A765" s="112"/>
      <c r="B765" s="112"/>
      <c r="C765" s="112"/>
      <c r="D765" s="125"/>
      <c r="E765" s="112"/>
      <c r="F765" s="128"/>
      <c r="G765" s="128"/>
      <c r="H765" s="128"/>
      <c r="I765" s="128"/>
      <c r="J765" s="112"/>
      <c r="K765" s="112"/>
      <c r="L765" s="153"/>
      <c r="M765" s="112"/>
      <c r="N765" s="112"/>
      <c r="O765" s="112"/>
      <c r="P765" s="112"/>
      <c r="Q765" s="112"/>
      <c r="R765" s="112"/>
      <c r="S765" s="112"/>
      <c r="T765" s="112"/>
      <c r="U765" s="112"/>
      <c r="V765" s="112"/>
      <c r="W765" s="112"/>
      <c r="X765" s="112"/>
      <c r="Y765" s="112"/>
      <c r="Z765" s="112"/>
      <c r="AA765" s="112"/>
      <c r="AB765" s="112"/>
    </row>
    <row r="766" ht="15.75" customHeight="1">
      <c r="A766" s="112"/>
      <c r="B766" s="112"/>
      <c r="C766" s="112"/>
      <c r="D766" s="125"/>
      <c r="E766" s="112"/>
      <c r="F766" s="128"/>
      <c r="G766" s="128"/>
      <c r="H766" s="128"/>
      <c r="I766" s="128"/>
      <c r="J766" s="112"/>
      <c r="K766" s="112"/>
      <c r="L766" s="153"/>
      <c r="M766" s="112"/>
      <c r="N766" s="112"/>
      <c r="O766" s="112"/>
      <c r="P766" s="112"/>
      <c r="Q766" s="112"/>
      <c r="R766" s="112"/>
      <c r="S766" s="112"/>
      <c r="T766" s="112"/>
      <c r="U766" s="112"/>
      <c r="V766" s="112"/>
      <c r="W766" s="112"/>
      <c r="X766" s="112"/>
      <c r="Y766" s="112"/>
      <c r="Z766" s="112"/>
      <c r="AA766" s="112"/>
      <c r="AB766" s="112"/>
    </row>
    <row r="767" ht="15.75" customHeight="1">
      <c r="A767" s="112"/>
      <c r="B767" s="112"/>
      <c r="C767" s="112"/>
      <c r="D767" s="125"/>
      <c r="E767" s="112"/>
      <c r="F767" s="128"/>
      <c r="G767" s="128"/>
      <c r="H767" s="128"/>
      <c r="I767" s="159"/>
      <c r="J767" s="112"/>
      <c r="K767" s="112"/>
      <c r="L767" s="153"/>
      <c r="M767" s="112"/>
      <c r="N767" s="112"/>
      <c r="O767" s="112"/>
      <c r="P767" s="112"/>
      <c r="Q767" s="112"/>
      <c r="R767" s="112"/>
      <c r="S767" s="112"/>
      <c r="T767" s="112"/>
      <c r="U767" s="112"/>
      <c r="V767" s="112"/>
      <c r="W767" s="112"/>
      <c r="X767" s="112"/>
      <c r="Y767" s="112"/>
      <c r="Z767" s="112"/>
      <c r="AA767" s="112"/>
      <c r="AB767" s="112"/>
    </row>
    <row r="768" ht="15.75" customHeight="1">
      <c r="A768" s="112"/>
      <c r="B768" s="112"/>
      <c r="C768" s="112"/>
      <c r="D768" s="125"/>
      <c r="E768" s="112"/>
      <c r="F768" s="128"/>
      <c r="G768" s="128"/>
      <c r="H768" s="128"/>
      <c r="I768" s="128"/>
      <c r="J768" s="112"/>
      <c r="K768" s="112"/>
      <c r="L768" s="153"/>
      <c r="M768" s="112"/>
      <c r="N768" s="112"/>
      <c r="O768" s="112"/>
      <c r="P768" s="112"/>
      <c r="Q768" s="112"/>
      <c r="R768" s="112"/>
      <c r="S768" s="112"/>
      <c r="T768" s="112"/>
      <c r="U768" s="112"/>
      <c r="V768" s="112"/>
      <c r="W768" s="112"/>
      <c r="X768" s="112"/>
      <c r="Y768" s="112"/>
      <c r="Z768" s="112"/>
      <c r="AA768" s="112"/>
      <c r="AB768" s="112"/>
    </row>
    <row r="769" ht="15.75" customHeight="1">
      <c r="A769" s="112"/>
      <c r="B769" s="112"/>
      <c r="C769" s="112"/>
      <c r="D769" s="125"/>
      <c r="E769" s="112"/>
      <c r="F769" s="128"/>
      <c r="G769" s="128"/>
      <c r="H769" s="128"/>
      <c r="I769" s="128"/>
      <c r="J769" s="112"/>
      <c r="K769" s="112"/>
      <c r="L769" s="153"/>
      <c r="M769" s="112"/>
      <c r="N769" s="112"/>
      <c r="O769" s="112"/>
      <c r="P769" s="112"/>
      <c r="Q769" s="112"/>
      <c r="R769" s="112"/>
      <c r="S769" s="112"/>
      <c r="T769" s="112"/>
      <c r="U769" s="112"/>
      <c r="V769" s="112"/>
      <c r="W769" s="112"/>
      <c r="X769" s="112"/>
      <c r="Y769" s="112"/>
      <c r="Z769" s="112"/>
      <c r="AA769" s="112"/>
      <c r="AB769" s="112"/>
    </row>
    <row r="770" ht="15.75" customHeight="1">
      <c r="A770" s="112"/>
      <c r="B770" s="112"/>
      <c r="C770" s="112"/>
      <c r="D770" s="125"/>
      <c r="E770" s="112"/>
      <c r="F770" s="128"/>
      <c r="G770" s="128"/>
      <c r="H770" s="128"/>
      <c r="I770" s="128"/>
      <c r="J770" s="112"/>
      <c r="K770" s="112"/>
      <c r="L770" s="153"/>
      <c r="M770" s="112"/>
      <c r="N770" s="112"/>
      <c r="O770" s="112"/>
      <c r="P770" s="112"/>
      <c r="Q770" s="112"/>
      <c r="R770" s="112"/>
      <c r="S770" s="112"/>
      <c r="T770" s="112"/>
      <c r="U770" s="112"/>
      <c r="V770" s="112"/>
      <c r="W770" s="112"/>
      <c r="X770" s="112"/>
      <c r="Y770" s="112"/>
      <c r="Z770" s="112"/>
      <c r="AA770" s="112"/>
      <c r="AB770" s="112"/>
    </row>
    <row r="771" ht="15.75" customHeight="1">
      <c r="A771" s="112"/>
      <c r="B771" s="112"/>
      <c r="C771" s="112"/>
      <c r="D771" s="125"/>
      <c r="E771" s="112"/>
      <c r="F771" s="128"/>
      <c r="G771" s="128"/>
      <c r="H771" s="128"/>
      <c r="I771" s="128"/>
      <c r="J771" s="112"/>
      <c r="K771" s="112"/>
      <c r="L771" s="153"/>
      <c r="M771" s="112"/>
      <c r="N771" s="112"/>
      <c r="O771" s="112"/>
      <c r="P771" s="112"/>
      <c r="Q771" s="112"/>
      <c r="R771" s="112"/>
      <c r="S771" s="112"/>
      <c r="T771" s="112"/>
      <c r="U771" s="112"/>
      <c r="V771" s="112"/>
      <c r="W771" s="112"/>
      <c r="X771" s="112"/>
      <c r="Y771" s="112"/>
      <c r="Z771" s="112"/>
      <c r="AA771" s="112"/>
      <c r="AB771" s="112"/>
    </row>
    <row r="772" ht="15.75" customHeight="1">
      <c r="A772" s="112"/>
      <c r="B772" s="112"/>
      <c r="C772" s="112"/>
      <c r="D772" s="125"/>
      <c r="E772" s="112"/>
      <c r="F772" s="128"/>
      <c r="G772" s="128"/>
      <c r="H772" s="128"/>
      <c r="I772" s="128"/>
      <c r="J772" s="112"/>
      <c r="K772" s="112"/>
      <c r="L772" s="153"/>
      <c r="M772" s="112"/>
      <c r="N772" s="112"/>
      <c r="O772" s="112"/>
      <c r="P772" s="112"/>
      <c r="Q772" s="112"/>
      <c r="R772" s="112"/>
      <c r="S772" s="112"/>
      <c r="T772" s="112"/>
      <c r="U772" s="112"/>
      <c r="V772" s="112"/>
      <c r="W772" s="112"/>
      <c r="X772" s="112"/>
      <c r="Y772" s="112"/>
      <c r="Z772" s="112"/>
      <c r="AA772" s="112"/>
      <c r="AB772" s="112"/>
    </row>
    <row r="773" ht="15.75" customHeight="1">
      <c r="A773" s="112"/>
      <c r="B773" s="112"/>
      <c r="C773" s="112"/>
      <c r="D773" s="125"/>
      <c r="E773" s="112"/>
      <c r="F773" s="128"/>
      <c r="G773" s="128"/>
      <c r="H773" s="128"/>
      <c r="I773" s="163"/>
      <c r="J773" s="112"/>
      <c r="K773" s="112"/>
      <c r="L773" s="153"/>
      <c r="M773" s="112"/>
      <c r="N773" s="112"/>
      <c r="O773" s="112"/>
      <c r="P773" s="112"/>
      <c r="Q773" s="112"/>
      <c r="R773" s="112"/>
      <c r="S773" s="112"/>
      <c r="T773" s="112"/>
      <c r="U773" s="112"/>
      <c r="V773" s="112"/>
      <c r="W773" s="112"/>
      <c r="X773" s="112"/>
      <c r="Y773" s="112"/>
      <c r="Z773" s="112"/>
      <c r="AA773" s="112"/>
      <c r="AB773" s="112"/>
    </row>
    <row r="774" ht="15.75" customHeight="1">
      <c r="A774" s="112"/>
      <c r="B774" s="112"/>
      <c r="C774" s="112"/>
      <c r="D774" s="125"/>
      <c r="E774" s="112"/>
      <c r="F774" s="128"/>
      <c r="G774" s="128"/>
      <c r="H774" s="128"/>
      <c r="I774" s="128"/>
      <c r="J774" s="112"/>
      <c r="K774" s="112"/>
      <c r="L774" s="153"/>
      <c r="M774" s="112"/>
      <c r="N774" s="112"/>
      <c r="O774" s="112"/>
      <c r="P774" s="112"/>
      <c r="Q774" s="112"/>
      <c r="R774" s="112"/>
      <c r="S774" s="112"/>
      <c r="T774" s="112"/>
      <c r="U774" s="112"/>
      <c r="V774" s="112"/>
      <c r="W774" s="112"/>
      <c r="X774" s="112"/>
      <c r="Y774" s="112"/>
      <c r="Z774" s="112"/>
      <c r="AA774" s="112"/>
      <c r="AB774" s="112"/>
    </row>
    <row r="775" ht="15.75" customHeight="1">
      <c r="A775" s="112"/>
      <c r="B775" s="112"/>
      <c r="C775" s="112"/>
      <c r="D775" s="125"/>
      <c r="E775" s="112"/>
      <c r="F775" s="128"/>
      <c r="G775" s="128"/>
      <c r="H775" s="128"/>
      <c r="I775" s="128"/>
      <c r="J775" s="112"/>
      <c r="K775" s="112"/>
      <c r="L775" s="153"/>
      <c r="M775" s="112"/>
      <c r="N775" s="112"/>
      <c r="O775" s="112"/>
      <c r="P775" s="112"/>
      <c r="Q775" s="112"/>
      <c r="R775" s="112"/>
      <c r="S775" s="112"/>
      <c r="T775" s="112"/>
      <c r="U775" s="112"/>
      <c r="V775" s="112"/>
      <c r="W775" s="112"/>
      <c r="X775" s="112"/>
      <c r="Y775" s="112"/>
      <c r="Z775" s="112"/>
      <c r="AA775" s="112"/>
      <c r="AB775" s="112"/>
    </row>
    <row r="776" ht="15.75" customHeight="1">
      <c r="A776" s="112"/>
      <c r="B776" s="112"/>
      <c r="C776" s="112"/>
      <c r="D776" s="125"/>
      <c r="E776" s="112"/>
      <c r="F776" s="128"/>
      <c r="G776" s="128"/>
      <c r="H776" s="128"/>
      <c r="I776" s="128"/>
      <c r="J776" s="112"/>
      <c r="K776" s="112"/>
      <c r="L776" s="153"/>
      <c r="M776" s="112"/>
      <c r="N776" s="112"/>
      <c r="O776" s="112"/>
      <c r="P776" s="112"/>
      <c r="Q776" s="112"/>
      <c r="R776" s="112"/>
      <c r="S776" s="112"/>
      <c r="T776" s="112"/>
      <c r="U776" s="112"/>
      <c r="V776" s="112"/>
      <c r="W776" s="112"/>
      <c r="X776" s="112"/>
      <c r="Y776" s="112"/>
      <c r="Z776" s="112"/>
      <c r="AA776" s="112"/>
      <c r="AB776" s="112"/>
    </row>
    <row r="777" ht="15.75" customHeight="1">
      <c r="A777" s="112"/>
      <c r="B777" s="112"/>
      <c r="C777" s="112"/>
      <c r="D777" s="125"/>
      <c r="E777" s="112"/>
      <c r="F777" s="128"/>
      <c r="G777" s="128"/>
      <c r="H777" s="128"/>
      <c r="I777" s="128"/>
      <c r="J777" s="112"/>
      <c r="K777" s="112"/>
      <c r="L777" s="153"/>
      <c r="M777" s="112"/>
      <c r="N777" s="112"/>
      <c r="O777" s="112"/>
      <c r="P777" s="112"/>
      <c r="Q777" s="112"/>
      <c r="R777" s="112"/>
      <c r="S777" s="112"/>
      <c r="T777" s="112"/>
      <c r="U777" s="112"/>
      <c r="V777" s="112"/>
      <c r="W777" s="112"/>
      <c r="X777" s="112"/>
      <c r="Y777" s="112"/>
      <c r="Z777" s="112"/>
      <c r="AA777" s="112"/>
      <c r="AB777" s="112"/>
    </row>
    <row r="778" ht="15.75" customHeight="1">
      <c r="A778" s="112"/>
      <c r="B778" s="112"/>
      <c r="C778" s="112"/>
      <c r="D778" s="125"/>
      <c r="E778" s="112"/>
      <c r="F778" s="128"/>
      <c r="G778" s="128"/>
      <c r="H778" s="128"/>
      <c r="I778" s="128"/>
      <c r="J778" s="112"/>
      <c r="K778" s="112"/>
      <c r="L778" s="153"/>
      <c r="M778" s="112"/>
      <c r="N778" s="112"/>
      <c r="O778" s="112"/>
      <c r="P778" s="112"/>
      <c r="Q778" s="112"/>
      <c r="R778" s="112"/>
      <c r="S778" s="112"/>
      <c r="T778" s="112"/>
      <c r="U778" s="112"/>
      <c r="V778" s="112"/>
      <c r="W778" s="112"/>
      <c r="X778" s="112"/>
      <c r="Y778" s="112"/>
      <c r="Z778" s="112"/>
      <c r="AA778" s="112"/>
      <c r="AB778" s="112"/>
    </row>
    <row r="779" ht="15.75" customHeight="1">
      <c r="A779" s="112"/>
      <c r="B779" s="112"/>
      <c r="C779" s="112"/>
      <c r="D779" s="125"/>
      <c r="E779" s="112"/>
      <c r="F779" s="128"/>
      <c r="G779" s="128"/>
      <c r="H779" s="128"/>
      <c r="I779" s="128"/>
      <c r="J779" s="112"/>
      <c r="K779" s="112"/>
      <c r="L779" s="153"/>
      <c r="M779" s="112"/>
      <c r="N779" s="112"/>
      <c r="O779" s="112"/>
      <c r="P779" s="112"/>
      <c r="Q779" s="112"/>
      <c r="R779" s="112"/>
      <c r="S779" s="112"/>
      <c r="T779" s="112"/>
      <c r="U779" s="112"/>
      <c r="V779" s="112"/>
      <c r="W779" s="112"/>
      <c r="X779" s="112"/>
      <c r="Y779" s="112"/>
      <c r="Z779" s="112"/>
      <c r="AA779" s="112"/>
      <c r="AB779" s="112"/>
    </row>
    <row r="780" ht="15.75" customHeight="1">
      <c r="A780" s="112"/>
      <c r="B780" s="112"/>
      <c r="C780" s="112"/>
      <c r="D780" s="125"/>
      <c r="E780" s="112"/>
      <c r="F780" s="128"/>
      <c r="G780" s="128"/>
      <c r="H780" s="128"/>
      <c r="I780" s="128"/>
      <c r="J780" s="112"/>
      <c r="K780" s="112"/>
      <c r="L780" s="153"/>
      <c r="M780" s="112"/>
      <c r="N780" s="112"/>
      <c r="O780" s="112"/>
      <c r="P780" s="112"/>
      <c r="Q780" s="112"/>
      <c r="R780" s="112"/>
      <c r="S780" s="112"/>
      <c r="T780" s="112"/>
      <c r="U780" s="112"/>
      <c r="V780" s="112"/>
      <c r="W780" s="112"/>
      <c r="X780" s="112"/>
      <c r="Y780" s="112"/>
      <c r="Z780" s="112"/>
      <c r="AA780" s="112"/>
      <c r="AB780" s="112"/>
    </row>
    <row r="781" ht="15.75" customHeight="1">
      <c r="A781" s="112"/>
      <c r="B781" s="112"/>
      <c r="C781" s="112"/>
      <c r="D781" s="125"/>
      <c r="E781" s="112"/>
      <c r="F781" s="128"/>
      <c r="G781" s="128"/>
      <c r="H781" s="128"/>
      <c r="I781" s="128"/>
      <c r="J781" s="112"/>
      <c r="K781" s="112"/>
      <c r="L781" s="153"/>
      <c r="M781" s="112"/>
      <c r="N781" s="112"/>
      <c r="O781" s="112"/>
      <c r="P781" s="112"/>
      <c r="Q781" s="112"/>
      <c r="R781" s="112"/>
      <c r="S781" s="112"/>
      <c r="T781" s="112"/>
      <c r="U781" s="112"/>
      <c r="V781" s="112"/>
      <c r="W781" s="112"/>
      <c r="X781" s="112"/>
      <c r="Y781" s="112"/>
      <c r="Z781" s="112"/>
      <c r="AA781" s="112"/>
      <c r="AB781" s="112"/>
    </row>
    <row r="782" ht="15.75" customHeight="1">
      <c r="A782" s="112"/>
      <c r="B782" s="112"/>
      <c r="C782" s="112"/>
      <c r="D782" s="125"/>
      <c r="E782" s="112"/>
      <c r="F782" s="128"/>
      <c r="G782" s="128"/>
      <c r="H782" s="128"/>
      <c r="I782" s="128"/>
      <c r="J782" s="112"/>
      <c r="K782" s="112"/>
      <c r="L782" s="153"/>
      <c r="M782" s="112"/>
      <c r="N782" s="112"/>
      <c r="O782" s="112"/>
      <c r="P782" s="112"/>
      <c r="Q782" s="112"/>
      <c r="R782" s="112"/>
      <c r="S782" s="112"/>
      <c r="T782" s="112"/>
      <c r="U782" s="112"/>
      <c r="V782" s="112"/>
      <c r="W782" s="112"/>
      <c r="X782" s="112"/>
      <c r="Y782" s="112"/>
      <c r="Z782" s="112"/>
      <c r="AA782" s="112"/>
      <c r="AB782" s="112"/>
    </row>
    <row r="783" ht="15.75" customHeight="1">
      <c r="A783" s="112"/>
      <c r="B783" s="112"/>
      <c r="C783" s="112"/>
      <c r="D783" s="125"/>
      <c r="E783" s="112"/>
      <c r="F783" s="128"/>
      <c r="G783" s="128"/>
      <c r="H783" s="128"/>
      <c r="I783" s="128"/>
      <c r="J783" s="112"/>
      <c r="K783" s="112"/>
      <c r="L783" s="153"/>
      <c r="M783" s="112"/>
      <c r="N783" s="112"/>
      <c r="O783" s="112"/>
      <c r="P783" s="112"/>
      <c r="Q783" s="112"/>
      <c r="R783" s="112"/>
      <c r="S783" s="112"/>
      <c r="T783" s="112"/>
      <c r="U783" s="112"/>
      <c r="V783" s="112"/>
      <c r="W783" s="112"/>
      <c r="X783" s="112"/>
      <c r="Y783" s="112"/>
      <c r="Z783" s="112"/>
      <c r="AA783" s="112"/>
      <c r="AB783" s="112"/>
    </row>
    <row r="784" ht="15.75" customHeight="1">
      <c r="A784" s="112"/>
      <c r="B784" s="112"/>
      <c r="C784" s="112"/>
      <c r="D784" s="125"/>
      <c r="E784" s="112"/>
      <c r="F784" s="128"/>
      <c r="G784" s="128"/>
      <c r="H784" s="128"/>
      <c r="I784" s="128"/>
      <c r="J784" s="112"/>
      <c r="K784" s="112"/>
      <c r="L784" s="153"/>
      <c r="M784" s="112"/>
      <c r="N784" s="112"/>
      <c r="O784" s="112"/>
      <c r="P784" s="112"/>
      <c r="Q784" s="112"/>
      <c r="R784" s="112"/>
      <c r="S784" s="112"/>
      <c r="T784" s="112"/>
      <c r="U784" s="112"/>
      <c r="V784" s="112"/>
      <c r="W784" s="112"/>
      <c r="X784" s="112"/>
      <c r="Y784" s="112"/>
      <c r="Z784" s="112"/>
      <c r="AA784" s="112"/>
      <c r="AB784" s="112"/>
    </row>
    <row r="785" ht="15.75" customHeight="1">
      <c r="A785" s="112"/>
      <c r="B785" s="112"/>
      <c r="C785" s="112"/>
      <c r="D785" s="125"/>
      <c r="E785" s="112"/>
      <c r="F785" s="128"/>
      <c r="G785" s="128"/>
      <c r="H785" s="128"/>
      <c r="I785" s="128"/>
      <c r="J785" s="112"/>
      <c r="K785" s="112"/>
      <c r="L785" s="153"/>
      <c r="M785" s="112"/>
      <c r="N785" s="112"/>
      <c r="O785" s="112"/>
      <c r="P785" s="112"/>
      <c r="Q785" s="112"/>
      <c r="R785" s="112"/>
      <c r="S785" s="112"/>
      <c r="T785" s="112"/>
      <c r="U785" s="112"/>
      <c r="V785" s="112"/>
      <c r="W785" s="112"/>
      <c r="X785" s="112"/>
      <c r="Y785" s="112"/>
      <c r="Z785" s="112"/>
      <c r="AA785" s="112"/>
      <c r="AB785" s="112"/>
    </row>
    <row r="786" ht="15.75" customHeight="1">
      <c r="A786" s="112"/>
      <c r="B786" s="112"/>
      <c r="C786" s="112"/>
      <c r="D786" s="125"/>
      <c r="E786" s="112"/>
      <c r="F786" s="128"/>
      <c r="G786" s="128"/>
      <c r="H786" s="128"/>
      <c r="I786" s="128"/>
      <c r="J786" s="112"/>
      <c r="K786" s="112"/>
      <c r="L786" s="153"/>
      <c r="M786" s="112"/>
      <c r="N786" s="112"/>
      <c r="O786" s="112"/>
      <c r="P786" s="112"/>
      <c r="Q786" s="112"/>
      <c r="R786" s="112"/>
      <c r="S786" s="112"/>
      <c r="T786" s="112"/>
      <c r="U786" s="112"/>
      <c r="V786" s="112"/>
      <c r="W786" s="112"/>
      <c r="X786" s="112"/>
      <c r="Y786" s="112"/>
      <c r="Z786" s="112"/>
      <c r="AA786" s="112"/>
      <c r="AB786" s="112"/>
    </row>
    <row r="787" ht="15.75" customHeight="1">
      <c r="A787" s="112"/>
      <c r="B787" s="112"/>
      <c r="C787" s="112"/>
      <c r="D787" s="125"/>
      <c r="E787" s="112"/>
      <c r="F787" s="128"/>
      <c r="G787" s="128"/>
      <c r="H787" s="128"/>
      <c r="I787" s="128"/>
      <c r="J787" s="112"/>
      <c r="K787" s="112"/>
      <c r="L787" s="153"/>
      <c r="M787" s="112"/>
      <c r="N787" s="112"/>
      <c r="O787" s="112"/>
      <c r="P787" s="112"/>
      <c r="Q787" s="112"/>
      <c r="R787" s="112"/>
      <c r="S787" s="112"/>
      <c r="T787" s="112"/>
      <c r="U787" s="112"/>
      <c r="V787" s="112"/>
      <c r="W787" s="112"/>
      <c r="X787" s="112"/>
      <c r="Y787" s="112"/>
      <c r="Z787" s="112"/>
      <c r="AA787" s="112"/>
      <c r="AB787" s="112"/>
    </row>
    <row r="788" ht="15.75" customHeight="1">
      <c r="A788" s="112"/>
      <c r="B788" s="112"/>
      <c r="C788" s="112"/>
      <c r="D788" s="125"/>
      <c r="E788" s="112"/>
      <c r="F788" s="128"/>
      <c r="G788" s="128"/>
      <c r="H788" s="128"/>
      <c r="I788" s="128"/>
      <c r="J788" s="112"/>
      <c r="K788" s="112"/>
      <c r="L788" s="153"/>
      <c r="M788" s="112"/>
      <c r="N788" s="112"/>
      <c r="O788" s="112"/>
      <c r="P788" s="112"/>
      <c r="Q788" s="112"/>
      <c r="R788" s="112"/>
      <c r="S788" s="112"/>
      <c r="T788" s="112"/>
      <c r="U788" s="112"/>
      <c r="V788" s="112"/>
      <c r="W788" s="112"/>
      <c r="X788" s="112"/>
      <c r="Y788" s="112"/>
      <c r="Z788" s="112"/>
      <c r="AA788" s="112"/>
      <c r="AB788" s="112"/>
    </row>
    <row r="789" ht="15.75" customHeight="1">
      <c r="A789" s="112"/>
      <c r="B789" s="112"/>
      <c r="C789" s="112"/>
      <c r="D789" s="125"/>
      <c r="E789" s="112"/>
      <c r="F789" s="128"/>
      <c r="G789" s="128"/>
      <c r="H789" s="128"/>
      <c r="I789" s="128"/>
      <c r="J789" s="112"/>
      <c r="K789" s="112"/>
      <c r="L789" s="153"/>
      <c r="M789" s="112"/>
      <c r="N789" s="112"/>
      <c r="O789" s="112"/>
      <c r="P789" s="112"/>
      <c r="Q789" s="112"/>
      <c r="R789" s="112"/>
      <c r="S789" s="112"/>
      <c r="T789" s="112"/>
      <c r="U789" s="112"/>
      <c r="V789" s="112"/>
      <c r="W789" s="112"/>
      <c r="X789" s="112"/>
      <c r="Y789" s="112"/>
      <c r="Z789" s="112"/>
      <c r="AA789" s="112"/>
      <c r="AB789" s="112"/>
    </row>
    <row r="790" ht="15.75" customHeight="1">
      <c r="A790" s="112"/>
      <c r="B790" s="112"/>
      <c r="C790" s="112"/>
      <c r="D790" s="125"/>
      <c r="E790" s="112"/>
      <c r="F790" s="128"/>
      <c r="G790" s="128"/>
      <c r="H790" s="128"/>
      <c r="I790" s="128"/>
      <c r="J790" s="112"/>
      <c r="K790" s="112"/>
      <c r="L790" s="153"/>
      <c r="M790" s="112"/>
      <c r="N790" s="112"/>
      <c r="O790" s="112"/>
      <c r="P790" s="112"/>
      <c r="Q790" s="112"/>
      <c r="R790" s="112"/>
      <c r="S790" s="112"/>
      <c r="T790" s="112"/>
      <c r="U790" s="112"/>
      <c r="V790" s="112"/>
      <c r="W790" s="112"/>
      <c r="X790" s="112"/>
      <c r="Y790" s="112"/>
      <c r="Z790" s="112"/>
      <c r="AA790" s="112"/>
      <c r="AB790" s="112"/>
    </row>
    <row r="791" ht="15.75" customHeight="1">
      <c r="A791" s="112"/>
      <c r="B791" s="112"/>
      <c r="C791" s="112"/>
      <c r="D791" s="125"/>
      <c r="E791" s="112"/>
      <c r="F791" s="128"/>
      <c r="G791" s="128"/>
      <c r="H791" s="128"/>
      <c r="I791" s="128"/>
      <c r="J791" s="112"/>
      <c r="K791" s="112"/>
      <c r="L791" s="153"/>
      <c r="M791" s="112"/>
      <c r="N791" s="112"/>
      <c r="O791" s="112"/>
      <c r="P791" s="112"/>
      <c r="Q791" s="112"/>
      <c r="R791" s="112"/>
      <c r="S791" s="112"/>
      <c r="T791" s="112"/>
      <c r="U791" s="112"/>
      <c r="V791" s="112"/>
      <c r="W791" s="112"/>
      <c r="X791" s="112"/>
      <c r="Y791" s="112"/>
      <c r="Z791" s="112"/>
      <c r="AA791" s="112"/>
      <c r="AB791" s="112"/>
    </row>
    <row r="792" ht="15.75" customHeight="1">
      <c r="A792" s="112"/>
      <c r="B792" s="112"/>
      <c r="C792" s="112"/>
      <c r="D792" s="125"/>
      <c r="E792" s="112"/>
      <c r="F792" s="128"/>
      <c r="G792" s="128"/>
      <c r="H792" s="128"/>
      <c r="I792" s="128"/>
      <c r="J792" s="112"/>
      <c r="K792" s="112"/>
      <c r="L792" s="153"/>
      <c r="M792" s="112"/>
      <c r="N792" s="112"/>
      <c r="O792" s="112"/>
      <c r="P792" s="112"/>
      <c r="Q792" s="112"/>
      <c r="R792" s="112"/>
      <c r="S792" s="112"/>
      <c r="T792" s="112"/>
      <c r="U792" s="112"/>
      <c r="V792" s="112"/>
      <c r="W792" s="112"/>
      <c r="X792" s="112"/>
      <c r="Y792" s="112"/>
      <c r="Z792" s="112"/>
      <c r="AA792" s="112"/>
      <c r="AB792" s="112"/>
    </row>
    <row r="793" ht="15.75" customHeight="1">
      <c r="A793" s="112"/>
      <c r="B793" s="112"/>
      <c r="C793" s="112"/>
      <c r="D793" s="125"/>
      <c r="E793" s="112"/>
      <c r="F793" s="128"/>
      <c r="G793" s="128"/>
      <c r="H793" s="128"/>
      <c r="I793" s="128"/>
      <c r="J793" s="112"/>
      <c r="K793" s="112"/>
      <c r="L793" s="153"/>
      <c r="M793" s="112"/>
      <c r="N793" s="112"/>
      <c r="O793" s="112"/>
      <c r="P793" s="112"/>
      <c r="Q793" s="112"/>
      <c r="R793" s="112"/>
      <c r="S793" s="112"/>
      <c r="T793" s="112"/>
      <c r="U793" s="112"/>
      <c r="V793" s="112"/>
      <c r="W793" s="112"/>
      <c r="X793" s="112"/>
      <c r="Y793" s="112"/>
      <c r="Z793" s="112"/>
      <c r="AA793" s="112"/>
      <c r="AB793" s="112"/>
    </row>
    <row r="794" ht="15.75" customHeight="1">
      <c r="A794" s="112"/>
      <c r="B794" s="112"/>
      <c r="C794" s="112"/>
      <c r="D794" s="125"/>
      <c r="E794" s="112"/>
      <c r="F794" s="128"/>
      <c r="G794" s="128"/>
      <c r="H794" s="128"/>
      <c r="I794" s="128"/>
      <c r="J794" s="112"/>
      <c r="K794" s="112"/>
      <c r="L794" s="153"/>
      <c r="M794" s="112"/>
      <c r="N794" s="112"/>
      <c r="O794" s="112"/>
      <c r="P794" s="112"/>
      <c r="Q794" s="112"/>
      <c r="R794" s="112"/>
      <c r="S794" s="112"/>
      <c r="T794" s="112"/>
      <c r="U794" s="112"/>
      <c r="V794" s="112"/>
      <c r="W794" s="112"/>
      <c r="X794" s="112"/>
      <c r="Y794" s="112"/>
      <c r="Z794" s="112"/>
      <c r="AA794" s="112"/>
      <c r="AB794" s="112"/>
    </row>
    <row r="795" ht="15.75" customHeight="1">
      <c r="A795" s="112"/>
      <c r="B795" s="112"/>
      <c r="C795" s="112"/>
      <c r="D795" s="125"/>
      <c r="E795" s="112"/>
      <c r="F795" s="128"/>
      <c r="G795" s="128"/>
      <c r="H795" s="128"/>
      <c r="I795" s="128"/>
      <c r="J795" s="112"/>
      <c r="K795" s="112"/>
      <c r="L795" s="153"/>
      <c r="M795" s="112"/>
      <c r="N795" s="112"/>
      <c r="O795" s="112"/>
      <c r="P795" s="112"/>
      <c r="Q795" s="112"/>
      <c r="R795" s="112"/>
      <c r="S795" s="112"/>
      <c r="T795" s="112"/>
      <c r="U795" s="112"/>
      <c r="V795" s="112"/>
      <c r="W795" s="112"/>
      <c r="X795" s="112"/>
      <c r="Y795" s="112"/>
      <c r="Z795" s="112"/>
      <c r="AA795" s="112"/>
      <c r="AB795" s="112"/>
    </row>
    <row r="796" ht="15.75" customHeight="1">
      <c r="A796" s="112"/>
      <c r="B796" s="112"/>
      <c r="C796" s="112"/>
      <c r="D796" s="125"/>
      <c r="E796" s="112"/>
      <c r="F796" s="128"/>
      <c r="G796" s="128"/>
      <c r="H796" s="128"/>
      <c r="I796" s="128"/>
      <c r="J796" s="112"/>
      <c r="K796" s="112"/>
      <c r="L796" s="153"/>
      <c r="M796" s="112"/>
      <c r="N796" s="112"/>
      <c r="O796" s="112"/>
      <c r="P796" s="112"/>
      <c r="Q796" s="112"/>
      <c r="R796" s="112"/>
      <c r="S796" s="112"/>
      <c r="T796" s="112"/>
      <c r="U796" s="112"/>
      <c r="V796" s="112"/>
      <c r="W796" s="112"/>
      <c r="X796" s="112"/>
      <c r="Y796" s="112"/>
      <c r="Z796" s="112"/>
      <c r="AA796" s="112"/>
      <c r="AB796" s="112"/>
    </row>
    <row r="797" ht="15.75" customHeight="1">
      <c r="A797" s="112"/>
      <c r="B797" s="112"/>
      <c r="C797" s="112"/>
      <c r="D797" s="125"/>
      <c r="E797" s="112"/>
      <c r="F797" s="128"/>
      <c r="G797" s="128"/>
      <c r="H797" s="128"/>
      <c r="I797" s="128"/>
      <c r="J797" s="112"/>
      <c r="K797" s="112"/>
      <c r="L797" s="153"/>
      <c r="M797" s="112"/>
      <c r="N797" s="112"/>
      <c r="O797" s="112"/>
      <c r="P797" s="112"/>
      <c r="Q797" s="112"/>
      <c r="R797" s="112"/>
      <c r="S797" s="112"/>
      <c r="T797" s="112"/>
      <c r="U797" s="112"/>
      <c r="V797" s="112"/>
      <c r="W797" s="112"/>
      <c r="X797" s="112"/>
      <c r="Y797" s="112"/>
      <c r="Z797" s="112"/>
      <c r="AA797" s="112"/>
      <c r="AB797" s="112"/>
    </row>
    <row r="798" ht="15.75" customHeight="1">
      <c r="A798" s="112"/>
      <c r="B798" s="112"/>
      <c r="C798" s="112"/>
      <c r="D798" s="125"/>
      <c r="E798" s="112"/>
      <c r="F798" s="128"/>
      <c r="G798" s="128"/>
      <c r="H798" s="128"/>
      <c r="I798" s="128"/>
      <c r="J798" s="112"/>
      <c r="K798" s="112"/>
      <c r="L798" s="153"/>
      <c r="M798" s="112"/>
      <c r="N798" s="112"/>
      <c r="O798" s="112"/>
      <c r="P798" s="112"/>
      <c r="Q798" s="112"/>
      <c r="R798" s="112"/>
      <c r="S798" s="112"/>
      <c r="T798" s="112"/>
      <c r="U798" s="112"/>
      <c r="V798" s="112"/>
      <c r="W798" s="112"/>
      <c r="X798" s="112"/>
      <c r="Y798" s="112"/>
      <c r="Z798" s="112"/>
      <c r="AA798" s="112"/>
      <c r="AB798" s="112"/>
    </row>
    <row r="799" ht="15.75" customHeight="1">
      <c r="A799" s="112"/>
      <c r="B799" s="112"/>
      <c r="C799" s="112"/>
      <c r="D799" s="125"/>
      <c r="E799" s="112"/>
      <c r="F799" s="128"/>
      <c r="G799" s="128"/>
      <c r="H799" s="128"/>
      <c r="I799" s="128"/>
      <c r="J799" s="112"/>
      <c r="K799" s="112"/>
      <c r="L799" s="153"/>
      <c r="M799" s="112"/>
      <c r="N799" s="112"/>
      <c r="O799" s="112"/>
      <c r="P799" s="112"/>
      <c r="Q799" s="112"/>
      <c r="R799" s="112"/>
      <c r="S799" s="112"/>
      <c r="T799" s="112"/>
      <c r="U799" s="112"/>
      <c r="V799" s="112"/>
      <c r="W799" s="112"/>
      <c r="X799" s="112"/>
      <c r="Y799" s="112"/>
      <c r="Z799" s="112"/>
      <c r="AA799" s="112"/>
      <c r="AB799" s="112"/>
    </row>
    <row r="800" ht="15.75" customHeight="1">
      <c r="A800" s="112"/>
      <c r="B800" s="112"/>
      <c r="C800" s="112"/>
      <c r="D800" s="125"/>
      <c r="E800" s="112"/>
      <c r="F800" s="128"/>
      <c r="G800" s="128"/>
      <c r="H800" s="128"/>
      <c r="I800" s="128"/>
      <c r="J800" s="112"/>
      <c r="K800" s="112"/>
      <c r="L800" s="153"/>
      <c r="M800" s="112"/>
      <c r="N800" s="112"/>
      <c r="O800" s="112"/>
      <c r="P800" s="112"/>
      <c r="Q800" s="112"/>
      <c r="R800" s="112"/>
      <c r="S800" s="112"/>
      <c r="T800" s="112"/>
      <c r="U800" s="112"/>
      <c r="V800" s="112"/>
      <c r="W800" s="112"/>
      <c r="X800" s="112"/>
      <c r="Y800" s="112"/>
      <c r="Z800" s="112"/>
      <c r="AA800" s="112"/>
      <c r="AB800" s="112"/>
    </row>
    <row r="801" ht="15.75" customHeight="1">
      <c r="A801" s="112"/>
      <c r="B801" s="112"/>
      <c r="C801" s="112"/>
      <c r="D801" s="125"/>
      <c r="E801" s="112"/>
      <c r="F801" s="128"/>
      <c r="G801" s="128"/>
      <c r="H801" s="128"/>
      <c r="I801" s="128"/>
      <c r="J801" s="112"/>
      <c r="K801" s="112"/>
      <c r="L801" s="153"/>
      <c r="M801" s="112"/>
      <c r="N801" s="112"/>
      <c r="O801" s="112"/>
      <c r="P801" s="112"/>
      <c r="Q801" s="112"/>
      <c r="R801" s="112"/>
      <c r="S801" s="112"/>
      <c r="T801" s="112"/>
      <c r="U801" s="112"/>
      <c r="V801" s="112"/>
      <c r="W801" s="112"/>
      <c r="X801" s="112"/>
      <c r="Y801" s="112"/>
      <c r="Z801" s="112"/>
      <c r="AA801" s="112"/>
      <c r="AB801" s="112"/>
    </row>
    <row r="802" ht="15.75" customHeight="1">
      <c r="A802" s="112"/>
      <c r="B802" s="112"/>
      <c r="C802" s="112"/>
      <c r="D802" s="125"/>
      <c r="E802" s="112"/>
      <c r="F802" s="128"/>
      <c r="G802" s="128"/>
      <c r="H802" s="128"/>
      <c r="I802" s="128"/>
      <c r="J802" s="112"/>
      <c r="K802" s="112"/>
      <c r="L802" s="153"/>
      <c r="M802" s="112"/>
      <c r="N802" s="112"/>
      <c r="O802" s="112"/>
      <c r="P802" s="112"/>
      <c r="Q802" s="112"/>
      <c r="R802" s="112"/>
      <c r="S802" s="112"/>
      <c r="T802" s="112"/>
      <c r="U802" s="112"/>
      <c r="V802" s="112"/>
      <c r="W802" s="112"/>
      <c r="X802" s="112"/>
      <c r="Y802" s="112"/>
      <c r="Z802" s="112"/>
      <c r="AA802" s="112"/>
      <c r="AB802" s="112"/>
    </row>
    <row r="803" ht="15.75" customHeight="1">
      <c r="A803" s="112"/>
      <c r="B803" s="112"/>
      <c r="C803" s="112"/>
      <c r="D803" s="125"/>
      <c r="E803" s="112"/>
      <c r="F803" s="128"/>
      <c r="G803" s="128"/>
      <c r="H803" s="128"/>
      <c r="I803" s="128"/>
      <c r="J803" s="112"/>
      <c r="K803" s="112"/>
      <c r="L803" s="153"/>
      <c r="M803" s="112"/>
      <c r="N803" s="112"/>
      <c r="O803" s="112"/>
      <c r="P803" s="112"/>
      <c r="Q803" s="112"/>
      <c r="R803" s="112"/>
      <c r="S803" s="112"/>
      <c r="T803" s="112"/>
      <c r="U803" s="112"/>
      <c r="V803" s="112"/>
      <c r="W803" s="112"/>
      <c r="X803" s="112"/>
      <c r="Y803" s="112"/>
      <c r="Z803" s="112"/>
      <c r="AA803" s="112"/>
      <c r="AB803" s="112"/>
    </row>
    <row r="804" ht="15.75" customHeight="1">
      <c r="A804" s="112"/>
      <c r="B804" s="112"/>
      <c r="C804" s="112"/>
      <c r="D804" s="125"/>
      <c r="E804" s="112"/>
      <c r="F804" s="128"/>
      <c r="G804" s="128"/>
      <c r="H804" s="128"/>
      <c r="I804" s="128"/>
      <c r="J804" s="112"/>
      <c r="K804" s="112"/>
      <c r="L804" s="153"/>
      <c r="M804" s="112"/>
      <c r="N804" s="112"/>
      <c r="O804" s="112"/>
      <c r="P804" s="112"/>
      <c r="Q804" s="112"/>
      <c r="R804" s="112"/>
      <c r="S804" s="112"/>
      <c r="T804" s="112"/>
      <c r="U804" s="112"/>
      <c r="V804" s="112"/>
      <c r="W804" s="112"/>
      <c r="X804" s="112"/>
      <c r="Y804" s="112"/>
      <c r="Z804" s="112"/>
      <c r="AA804" s="112"/>
      <c r="AB804" s="112"/>
    </row>
    <row r="805" ht="15.75" customHeight="1">
      <c r="A805" s="112"/>
      <c r="B805" s="112"/>
      <c r="C805" s="112"/>
      <c r="D805" s="125"/>
      <c r="E805" s="112"/>
      <c r="F805" s="128"/>
      <c r="G805" s="128"/>
      <c r="H805" s="128"/>
      <c r="I805" s="128"/>
      <c r="J805" s="112"/>
      <c r="K805" s="112"/>
      <c r="L805" s="153"/>
      <c r="M805" s="112"/>
      <c r="N805" s="112"/>
      <c r="O805" s="112"/>
      <c r="P805" s="112"/>
      <c r="Q805" s="112"/>
      <c r="R805" s="112"/>
      <c r="S805" s="112"/>
      <c r="T805" s="112"/>
      <c r="U805" s="112"/>
      <c r="V805" s="112"/>
      <c r="W805" s="112"/>
      <c r="X805" s="112"/>
      <c r="Y805" s="112"/>
      <c r="Z805" s="112"/>
      <c r="AA805" s="112"/>
      <c r="AB805" s="112"/>
    </row>
    <row r="806" ht="15.75" customHeight="1">
      <c r="A806" s="112"/>
      <c r="B806" s="112"/>
      <c r="C806" s="112"/>
      <c r="D806" s="125"/>
      <c r="E806" s="112"/>
      <c r="F806" s="128"/>
      <c r="G806" s="128"/>
      <c r="H806" s="128"/>
      <c r="I806" s="128"/>
      <c r="J806" s="112"/>
      <c r="K806" s="112"/>
      <c r="L806" s="153"/>
      <c r="M806" s="112"/>
      <c r="N806" s="112"/>
      <c r="O806" s="112"/>
      <c r="P806" s="112"/>
      <c r="Q806" s="112"/>
      <c r="R806" s="112"/>
      <c r="S806" s="112"/>
      <c r="T806" s="112"/>
      <c r="U806" s="112"/>
      <c r="V806" s="112"/>
      <c r="W806" s="112"/>
      <c r="X806" s="112"/>
      <c r="Y806" s="112"/>
      <c r="Z806" s="112"/>
      <c r="AA806" s="112"/>
      <c r="AB806" s="112"/>
    </row>
    <row r="807" ht="15.75" customHeight="1">
      <c r="A807" s="112"/>
      <c r="B807" s="112"/>
      <c r="C807" s="112"/>
      <c r="D807" s="125"/>
      <c r="E807" s="112"/>
      <c r="F807" s="128"/>
      <c r="G807" s="128"/>
      <c r="H807" s="128"/>
      <c r="I807" s="128"/>
      <c r="J807" s="112"/>
      <c r="K807" s="112"/>
      <c r="L807" s="153"/>
      <c r="M807" s="112"/>
      <c r="N807" s="112"/>
      <c r="O807" s="112"/>
      <c r="P807" s="112"/>
      <c r="Q807" s="112"/>
      <c r="R807" s="112"/>
      <c r="S807" s="112"/>
      <c r="T807" s="112"/>
      <c r="U807" s="112"/>
      <c r="V807" s="112"/>
      <c r="W807" s="112"/>
      <c r="X807" s="112"/>
      <c r="Y807" s="112"/>
      <c r="Z807" s="112"/>
      <c r="AA807" s="112"/>
      <c r="AB807" s="112"/>
    </row>
    <row r="808" ht="15.75" customHeight="1">
      <c r="A808" s="112"/>
      <c r="B808" s="112"/>
      <c r="C808" s="112"/>
      <c r="D808" s="125"/>
      <c r="E808" s="112"/>
      <c r="F808" s="128"/>
      <c r="G808" s="128"/>
      <c r="H808" s="128"/>
      <c r="I808" s="128"/>
      <c r="J808" s="112"/>
      <c r="K808" s="112"/>
      <c r="L808" s="153"/>
      <c r="M808" s="112"/>
      <c r="N808" s="112"/>
      <c r="O808" s="112"/>
      <c r="P808" s="112"/>
      <c r="Q808" s="112"/>
      <c r="R808" s="112"/>
      <c r="S808" s="112"/>
      <c r="T808" s="112"/>
      <c r="U808" s="112"/>
      <c r="V808" s="112"/>
      <c r="W808" s="112"/>
      <c r="X808" s="112"/>
      <c r="Y808" s="112"/>
      <c r="Z808" s="112"/>
      <c r="AA808" s="112"/>
      <c r="AB808" s="112"/>
    </row>
    <row r="809" ht="15.75" customHeight="1">
      <c r="A809" s="112"/>
      <c r="B809" s="112"/>
      <c r="C809" s="112"/>
      <c r="D809" s="125"/>
      <c r="E809" s="112"/>
      <c r="F809" s="128"/>
      <c r="G809" s="128"/>
      <c r="H809" s="128"/>
      <c r="I809" s="128"/>
      <c r="J809" s="112"/>
      <c r="K809" s="112"/>
      <c r="L809" s="153"/>
      <c r="M809" s="112"/>
      <c r="N809" s="112"/>
      <c r="O809" s="112"/>
      <c r="P809" s="112"/>
      <c r="Q809" s="112"/>
      <c r="R809" s="112"/>
      <c r="S809" s="112"/>
      <c r="T809" s="112"/>
      <c r="U809" s="112"/>
      <c r="V809" s="112"/>
      <c r="W809" s="112"/>
      <c r="X809" s="112"/>
      <c r="Y809" s="112"/>
      <c r="Z809" s="112"/>
      <c r="AA809" s="112"/>
      <c r="AB809" s="112"/>
    </row>
    <row r="810" ht="15.75" customHeight="1">
      <c r="A810" s="112"/>
      <c r="B810" s="112"/>
      <c r="C810" s="112"/>
      <c r="D810" s="125"/>
      <c r="E810" s="112"/>
      <c r="F810" s="128"/>
      <c r="G810" s="128"/>
      <c r="H810" s="128"/>
      <c r="I810" s="128"/>
      <c r="J810" s="112"/>
      <c r="K810" s="112"/>
      <c r="L810" s="153"/>
      <c r="M810" s="112"/>
      <c r="N810" s="112"/>
      <c r="O810" s="112"/>
      <c r="P810" s="112"/>
      <c r="Q810" s="112"/>
      <c r="R810" s="112"/>
      <c r="S810" s="112"/>
      <c r="T810" s="112"/>
      <c r="U810" s="112"/>
      <c r="V810" s="112"/>
      <c r="W810" s="112"/>
      <c r="X810" s="112"/>
      <c r="Y810" s="112"/>
      <c r="Z810" s="112"/>
      <c r="AA810" s="112"/>
      <c r="AB810" s="112"/>
    </row>
    <row r="811" ht="15.75" customHeight="1">
      <c r="A811" s="112"/>
      <c r="B811" s="112"/>
      <c r="C811" s="112"/>
      <c r="D811" s="125"/>
      <c r="E811" s="112"/>
      <c r="F811" s="128"/>
      <c r="G811" s="128"/>
      <c r="H811" s="128"/>
      <c r="I811" s="128"/>
      <c r="J811" s="112"/>
      <c r="K811" s="112"/>
      <c r="L811" s="153"/>
      <c r="M811" s="112"/>
      <c r="N811" s="112"/>
      <c r="O811" s="112"/>
      <c r="P811" s="112"/>
      <c r="Q811" s="112"/>
      <c r="R811" s="112"/>
      <c r="S811" s="112"/>
      <c r="T811" s="112"/>
      <c r="U811" s="112"/>
      <c r="V811" s="112"/>
      <c r="W811" s="112"/>
      <c r="X811" s="112"/>
      <c r="Y811" s="112"/>
      <c r="Z811" s="112"/>
      <c r="AA811" s="112"/>
      <c r="AB811" s="112"/>
    </row>
    <row r="812" ht="15.75" customHeight="1">
      <c r="A812" s="112"/>
      <c r="B812" s="112"/>
      <c r="C812" s="112"/>
      <c r="D812" s="125"/>
      <c r="E812" s="112"/>
      <c r="F812" s="128"/>
      <c r="G812" s="128"/>
      <c r="H812" s="128"/>
      <c r="I812" s="128"/>
      <c r="J812" s="112"/>
      <c r="K812" s="112"/>
      <c r="L812" s="153"/>
      <c r="M812" s="112"/>
      <c r="N812" s="112"/>
      <c r="O812" s="112"/>
      <c r="P812" s="112"/>
      <c r="Q812" s="112"/>
      <c r="R812" s="112"/>
      <c r="S812" s="112"/>
      <c r="T812" s="112"/>
      <c r="U812" s="112"/>
      <c r="V812" s="112"/>
      <c r="W812" s="112"/>
      <c r="X812" s="112"/>
      <c r="Y812" s="112"/>
      <c r="Z812" s="112"/>
      <c r="AA812" s="112"/>
      <c r="AB812" s="112"/>
    </row>
    <row r="813" ht="15.75" customHeight="1">
      <c r="A813" s="112"/>
      <c r="B813" s="112"/>
      <c r="C813" s="112"/>
      <c r="D813" s="125"/>
      <c r="E813" s="112"/>
      <c r="F813" s="128"/>
      <c r="G813" s="128"/>
      <c r="H813" s="128"/>
      <c r="I813" s="128"/>
      <c r="J813" s="112"/>
      <c r="K813" s="112"/>
      <c r="L813" s="153"/>
      <c r="M813" s="112"/>
      <c r="N813" s="112"/>
      <c r="O813" s="112"/>
      <c r="P813" s="112"/>
      <c r="Q813" s="112"/>
      <c r="R813" s="112"/>
      <c r="S813" s="112"/>
      <c r="T813" s="112"/>
      <c r="U813" s="112"/>
      <c r="V813" s="112"/>
      <c r="W813" s="112"/>
      <c r="X813" s="112"/>
      <c r="Y813" s="112"/>
      <c r="Z813" s="112"/>
      <c r="AA813" s="112"/>
      <c r="AB813" s="112"/>
    </row>
    <row r="814" ht="15.75" customHeight="1">
      <c r="A814" s="112"/>
      <c r="B814" s="112"/>
      <c r="C814" s="112"/>
      <c r="D814" s="125"/>
      <c r="E814" s="112"/>
      <c r="F814" s="128"/>
      <c r="G814" s="128"/>
      <c r="H814" s="128"/>
      <c r="I814" s="128"/>
      <c r="J814" s="112"/>
      <c r="K814" s="112"/>
      <c r="L814" s="153"/>
      <c r="M814" s="112"/>
      <c r="N814" s="112"/>
      <c r="O814" s="112"/>
      <c r="P814" s="112"/>
      <c r="Q814" s="112"/>
      <c r="R814" s="112"/>
      <c r="S814" s="112"/>
      <c r="T814" s="112"/>
      <c r="U814" s="112"/>
      <c r="V814" s="112"/>
      <c r="W814" s="112"/>
      <c r="X814" s="112"/>
      <c r="Y814" s="112"/>
      <c r="Z814" s="112"/>
      <c r="AA814" s="112"/>
      <c r="AB814" s="112"/>
    </row>
    <row r="815" ht="15.75" customHeight="1">
      <c r="A815" s="112"/>
      <c r="B815" s="112"/>
      <c r="C815" s="112"/>
      <c r="D815" s="125"/>
      <c r="E815" s="112"/>
      <c r="F815" s="128"/>
      <c r="G815" s="128"/>
      <c r="H815" s="128"/>
      <c r="I815" s="128"/>
      <c r="J815" s="112"/>
      <c r="K815" s="112"/>
      <c r="L815" s="153"/>
      <c r="M815" s="112"/>
      <c r="N815" s="112"/>
      <c r="O815" s="112"/>
      <c r="P815" s="112"/>
      <c r="Q815" s="112"/>
      <c r="R815" s="112"/>
      <c r="S815" s="112"/>
      <c r="T815" s="112"/>
      <c r="U815" s="112"/>
      <c r="V815" s="112"/>
      <c r="W815" s="112"/>
      <c r="X815" s="112"/>
      <c r="Y815" s="112"/>
      <c r="Z815" s="112"/>
      <c r="AA815" s="112"/>
      <c r="AB815" s="112"/>
    </row>
    <row r="816" ht="15.75" customHeight="1">
      <c r="A816" s="112"/>
      <c r="B816" s="112"/>
      <c r="C816" s="112"/>
      <c r="D816" s="125"/>
      <c r="E816" s="112"/>
      <c r="F816" s="128"/>
      <c r="G816" s="128"/>
      <c r="H816" s="128"/>
      <c r="I816" s="128"/>
      <c r="J816" s="112"/>
      <c r="K816" s="112"/>
      <c r="L816" s="153"/>
      <c r="M816" s="112"/>
      <c r="N816" s="112"/>
      <c r="O816" s="112"/>
      <c r="P816" s="112"/>
      <c r="Q816" s="112"/>
      <c r="R816" s="112"/>
      <c r="S816" s="112"/>
      <c r="T816" s="112"/>
      <c r="U816" s="112"/>
      <c r="V816" s="112"/>
      <c r="W816" s="112"/>
      <c r="X816" s="112"/>
      <c r="Y816" s="112"/>
      <c r="Z816" s="112"/>
      <c r="AA816" s="112"/>
      <c r="AB816" s="112"/>
    </row>
    <row r="817" ht="15.75" customHeight="1">
      <c r="A817" s="112"/>
      <c r="B817" s="112"/>
      <c r="C817" s="112"/>
      <c r="D817" s="125"/>
      <c r="E817" s="112"/>
      <c r="F817" s="128"/>
      <c r="G817" s="128"/>
      <c r="H817" s="128"/>
      <c r="I817" s="128"/>
      <c r="J817" s="112"/>
      <c r="K817" s="112"/>
      <c r="L817" s="153"/>
      <c r="M817" s="112"/>
      <c r="N817" s="112"/>
      <c r="O817" s="112"/>
      <c r="P817" s="112"/>
      <c r="Q817" s="112"/>
      <c r="R817" s="112"/>
      <c r="S817" s="112"/>
      <c r="T817" s="112"/>
      <c r="U817" s="112"/>
      <c r="V817" s="112"/>
      <c r="W817" s="112"/>
      <c r="X817" s="112"/>
      <c r="Y817" s="112"/>
      <c r="Z817" s="112"/>
      <c r="AA817" s="112"/>
      <c r="AB817" s="112"/>
    </row>
    <row r="818" ht="15.75" customHeight="1">
      <c r="A818" s="112"/>
      <c r="B818" s="112"/>
      <c r="C818" s="112"/>
      <c r="D818" s="125"/>
      <c r="E818" s="112"/>
      <c r="F818" s="128"/>
      <c r="G818" s="128"/>
      <c r="H818" s="128"/>
      <c r="I818" s="128"/>
      <c r="J818" s="112"/>
      <c r="K818" s="112"/>
      <c r="L818" s="153"/>
      <c r="M818" s="112"/>
      <c r="N818" s="112"/>
      <c r="O818" s="112"/>
      <c r="P818" s="112"/>
      <c r="Q818" s="112"/>
      <c r="R818" s="112"/>
      <c r="S818" s="112"/>
      <c r="T818" s="112"/>
      <c r="U818" s="112"/>
      <c r="V818" s="112"/>
      <c r="W818" s="112"/>
      <c r="X818" s="112"/>
      <c r="Y818" s="112"/>
      <c r="Z818" s="112"/>
      <c r="AA818" s="112"/>
      <c r="AB818" s="112"/>
    </row>
    <row r="819" ht="15.75" customHeight="1">
      <c r="A819" s="112"/>
      <c r="B819" s="112"/>
      <c r="C819" s="112"/>
      <c r="D819" s="125"/>
      <c r="E819" s="112"/>
      <c r="F819" s="128"/>
      <c r="G819" s="128"/>
      <c r="H819" s="128"/>
      <c r="I819" s="128"/>
      <c r="J819" s="112"/>
      <c r="K819" s="112"/>
      <c r="L819" s="153"/>
      <c r="M819" s="112"/>
      <c r="N819" s="112"/>
      <c r="O819" s="112"/>
      <c r="P819" s="112"/>
      <c r="Q819" s="112"/>
      <c r="R819" s="112"/>
      <c r="S819" s="112"/>
      <c r="T819" s="112"/>
      <c r="U819" s="112"/>
      <c r="V819" s="112"/>
      <c r="W819" s="112"/>
      <c r="X819" s="112"/>
      <c r="Y819" s="112"/>
      <c r="Z819" s="112"/>
      <c r="AA819" s="112"/>
      <c r="AB819" s="112"/>
    </row>
    <row r="820" ht="15.75" customHeight="1">
      <c r="A820" s="112"/>
      <c r="B820" s="112"/>
      <c r="C820" s="112"/>
      <c r="D820" s="125"/>
      <c r="E820" s="112"/>
      <c r="F820" s="128"/>
      <c r="G820" s="128"/>
      <c r="H820" s="128"/>
      <c r="I820" s="128"/>
      <c r="J820" s="112"/>
      <c r="K820" s="112"/>
      <c r="L820" s="153"/>
      <c r="M820" s="112"/>
      <c r="N820" s="112"/>
      <c r="O820" s="112"/>
      <c r="P820" s="112"/>
      <c r="Q820" s="112"/>
      <c r="R820" s="112"/>
      <c r="S820" s="112"/>
      <c r="T820" s="112"/>
      <c r="U820" s="112"/>
      <c r="V820" s="112"/>
      <c r="W820" s="112"/>
      <c r="X820" s="112"/>
      <c r="Y820" s="112"/>
      <c r="Z820" s="112"/>
      <c r="AA820" s="112"/>
      <c r="AB820" s="112"/>
    </row>
    <row r="821" ht="15.75" customHeight="1">
      <c r="A821" s="112"/>
      <c r="B821" s="112"/>
      <c r="C821" s="112"/>
      <c r="D821" s="125"/>
      <c r="E821" s="112"/>
      <c r="F821" s="128"/>
      <c r="G821" s="128"/>
      <c r="H821" s="128"/>
      <c r="I821" s="128"/>
      <c r="J821" s="112"/>
      <c r="K821" s="112"/>
      <c r="L821" s="153"/>
      <c r="M821" s="112"/>
      <c r="N821" s="112"/>
      <c r="O821" s="112"/>
      <c r="P821" s="112"/>
      <c r="Q821" s="112"/>
      <c r="R821" s="112"/>
      <c r="S821" s="112"/>
      <c r="T821" s="112"/>
      <c r="U821" s="112"/>
      <c r="V821" s="112"/>
      <c r="W821" s="112"/>
      <c r="X821" s="112"/>
      <c r="Y821" s="112"/>
      <c r="Z821" s="112"/>
      <c r="AA821" s="112"/>
      <c r="AB821" s="112"/>
    </row>
    <row r="822" ht="15.75" customHeight="1">
      <c r="A822" s="112"/>
      <c r="B822" s="112"/>
      <c r="C822" s="112"/>
      <c r="D822" s="125"/>
      <c r="E822" s="112"/>
      <c r="F822" s="128"/>
      <c r="G822" s="128"/>
      <c r="H822" s="128"/>
      <c r="I822" s="128"/>
      <c r="J822" s="112"/>
      <c r="K822" s="112"/>
      <c r="L822" s="153"/>
      <c r="M822" s="112"/>
      <c r="N822" s="112"/>
      <c r="O822" s="112"/>
      <c r="P822" s="112"/>
      <c r="Q822" s="112"/>
      <c r="R822" s="112"/>
      <c r="S822" s="112"/>
      <c r="T822" s="112"/>
      <c r="U822" s="112"/>
      <c r="V822" s="112"/>
      <c r="W822" s="112"/>
      <c r="X822" s="112"/>
      <c r="Y822" s="112"/>
      <c r="Z822" s="112"/>
      <c r="AA822" s="112"/>
      <c r="AB822" s="112"/>
    </row>
    <row r="823" ht="15.75" customHeight="1">
      <c r="A823" s="112"/>
      <c r="B823" s="112"/>
      <c r="C823" s="112"/>
      <c r="D823" s="125"/>
      <c r="E823" s="112"/>
      <c r="F823" s="128"/>
      <c r="G823" s="128"/>
      <c r="H823" s="128"/>
      <c r="I823" s="128"/>
      <c r="J823" s="112"/>
      <c r="K823" s="112"/>
      <c r="L823" s="153"/>
      <c r="M823" s="112"/>
      <c r="N823" s="112"/>
      <c r="O823" s="112"/>
      <c r="P823" s="112"/>
      <c r="Q823" s="112"/>
      <c r="R823" s="112"/>
      <c r="S823" s="112"/>
      <c r="T823" s="112"/>
      <c r="U823" s="112"/>
      <c r="V823" s="112"/>
      <c r="W823" s="112"/>
      <c r="X823" s="112"/>
      <c r="Y823" s="112"/>
      <c r="Z823" s="112"/>
      <c r="AA823" s="112"/>
      <c r="AB823" s="112"/>
    </row>
    <row r="824" ht="15.75" customHeight="1">
      <c r="A824" s="112"/>
      <c r="B824" s="112"/>
      <c r="C824" s="112"/>
      <c r="D824" s="125"/>
      <c r="E824" s="112"/>
      <c r="F824" s="128"/>
      <c r="G824" s="128"/>
      <c r="H824" s="128"/>
      <c r="I824" s="128"/>
      <c r="J824" s="112"/>
      <c r="K824" s="112"/>
      <c r="L824" s="153"/>
      <c r="M824" s="112"/>
      <c r="N824" s="112"/>
      <c r="O824" s="112"/>
      <c r="P824" s="112"/>
      <c r="Q824" s="112"/>
      <c r="R824" s="112"/>
      <c r="S824" s="112"/>
      <c r="T824" s="112"/>
      <c r="U824" s="112"/>
      <c r="V824" s="112"/>
      <c r="W824" s="112"/>
      <c r="X824" s="112"/>
      <c r="Y824" s="112"/>
      <c r="Z824" s="112"/>
      <c r="AA824" s="112"/>
      <c r="AB824" s="112"/>
    </row>
    <row r="825" ht="15.75" customHeight="1">
      <c r="A825" s="112"/>
      <c r="B825" s="112"/>
      <c r="C825" s="112"/>
      <c r="D825" s="125"/>
      <c r="E825" s="112"/>
      <c r="F825" s="128"/>
      <c r="G825" s="128"/>
      <c r="H825" s="128"/>
      <c r="I825" s="128"/>
      <c r="J825" s="112"/>
      <c r="K825" s="112"/>
      <c r="L825" s="153"/>
      <c r="M825" s="112"/>
      <c r="N825" s="112"/>
      <c r="O825" s="112"/>
      <c r="P825" s="112"/>
      <c r="Q825" s="112"/>
      <c r="R825" s="112"/>
      <c r="S825" s="112"/>
      <c r="T825" s="112"/>
      <c r="U825" s="112"/>
      <c r="V825" s="112"/>
      <c r="W825" s="112"/>
      <c r="X825" s="112"/>
      <c r="Y825" s="112"/>
      <c r="Z825" s="112"/>
      <c r="AA825" s="112"/>
      <c r="AB825" s="112"/>
    </row>
    <row r="826" ht="15.75" customHeight="1">
      <c r="A826" s="112"/>
      <c r="B826" s="112"/>
      <c r="C826" s="112"/>
      <c r="D826" s="125"/>
      <c r="E826" s="112"/>
      <c r="F826" s="128"/>
      <c r="G826" s="128"/>
      <c r="H826" s="128"/>
      <c r="I826" s="128"/>
      <c r="J826" s="112"/>
      <c r="K826" s="112"/>
      <c r="L826" s="153"/>
      <c r="M826" s="112"/>
      <c r="N826" s="112"/>
      <c r="O826" s="112"/>
      <c r="P826" s="112"/>
      <c r="Q826" s="112"/>
      <c r="R826" s="112"/>
      <c r="S826" s="112"/>
      <c r="T826" s="112"/>
      <c r="U826" s="112"/>
      <c r="V826" s="112"/>
      <c r="W826" s="112"/>
      <c r="X826" s="112"/>
      <c r="Y826" s="112"/>
      <c r="Z826" s="112"/>
      <c r="AA826" s="112"/>
      <c r="AB826" s="112"/>
    </row>
    <row r="827" ht="15.75" customHeight="1">
      <c r="A827" s="112"/>
      <c r="B827" s="112"/>
      <c r="C827" s="112"/>
      <c r="D827" s="125"/>
      <c r="E827" s="112"/>
      <c r="F827" s="128"/>
      <c r="G827" s="128"/>
      <c r="H827" s="128"/>
      <c r="I827" s="128"/>
      <c r="J827" s="112"/>
      <c r="K827" s="112"/>
      <c r="L827" s="153"/>
      <c r="M827" s="112"/>
      <c r="N827" s="112"/>
      <c r="O827" s="112"/>
      <c r="P827" s="112"/>
      <c r="Q827" s="112"/>
      <c r="R827" s="112"/>
      <c r="S827" s="112"/>
      <c r="T827" s="112"/>
      <c r="U827" s="112"/>
      <c r="V827" s="112"/>
      <c r="W827" s="112"/>
      <c r="X827" s="112"/>
      <c r="Y827" s="112"/>
      <c r="Z827" s="112"/>
      <c r="AA827" s="112"/>
      <c r="AB827" s="112"/>
    </row>
    <row r="828" ht="15.75" customHeight="1">
      <c r="A828" s="112"/>
      <c r="B828" s="112"/>
      <c r="C828" s="112"/>
      <c r="D828" s="125"/>
      <c r="E828" s="112"/>
      <c r="F828" s="128"/>
      <c r="G828" s="128"/>
      <c r="H828" s="128"/>
      <c r="I828" s="128"/>
      <c r="J828" s="112"/>
      <c r="K828" s="112"/>
      <c r="L828" s="153"/>
      <c r="M828" s="112"/>
      <c r="N828" s="112"/>
      <c r="O828" s="112"/>
      <c r="P828" s="112"/>
      <c r="Q828" s="112"/>
      <c r="R828" s="112"/>
      <c r="S828" s="112"/>
      <c r="T828" s="112"/>
      <c r="U828" s="112"/>
      <c r="V828" s="112"/>
      <c r="W828" s="112"/>
      <c r="X828" s="112"/>
      <c r="Y828" s="112"/>
      <c r="Z828" s="112"/>
      <c r="AA828" s="112"/>
      <c r="AB828" s="112"/>
    </row>
    <row r="829" ht="15.75" customHeight="1">
      <c r="A829" s="112"/>
      <c r="B829" s="112"/>
      <c r="C829" s="112"/>
      <c r="D829" s="125"/>
      <c r="E829" s="112"/>
      <c r="F829" s="128"/>
      <c r="G829" s="128"/>
      <c r="H829" s="128"/>
      <c r="I829" s="128"/>
      <c r="J829" s="112"/>
      <c r="K829" s="112"/>
      <c r="L829" s="153"/>
      <c r="M829" s="112"/>
      <c r="N829" s="112"/>
      <c r="O829" s="112"/>
      <c r="P829" s="112"/>
      <c r="Q829" s="112"/>
      <c r="R829" s="112"/>
      <c r="S829" s="112"/>
      <c r="T829" s="112"/>
      <c r="U829" s="112"/>
      <c r="V829" s="112"/>
      <c r="W829" s="112"/>
      <c r="X829" s="112"/>
      <c r="Y829" s="112"/>
      <c r="Z829" s="112"/>
      <c r="AA829" s="112"/>
      <c r="AB829" s="112"/>
    </row>
    <row r="830" ht="15.75" customHeight="1">
      <c r="A830" s="112"/>
      <c r="B830" s="112"/>
      <c r="C830" s="112"/>
      <c r="D830" s="125"/>
      <c r="E830" s="112"/>
      <c r="F830" s="128"/>
      <c r="G830" s="128"/>
      <c r="H830" s="128"/>
      <c r="I830" s="128"/>
      <c r="J830" s="112"/>
      <c r="K830" s="112"/>
      <c r="L830" s="153"/>
      <c r="M830" s="112"/>
      <c r="N830" s="112"/>
      <c r="O830" s="112"/>
      <c r="P830" s="112"/>
      <c r="Q830" s="112"/>
      <c r="R830" s="112"/>
      <c r="S830" s="112"/>
      <c r="T830" s="112"/>
      <c r="U830" s="112"/>
      <c r="V830" s="112"/>
      <c r="W830" s="112"/>
      <c r="X830" s="112"/>
      <c r="Y830" s="112"/>
      <c r="Z830" s="112"/>
      <c r="AA830" s="112"/>
      <c r="AB830" s="112"/>
    </row>
    <row r="831" ht="15.75" customHeight="1">
      <c r="A831" s="112"/>
      <c r="B831" s="112"/>
      <c r="C831" s="112"/>
      <c r="D831" s="125"/>
      <c r="E831" s="112"/>
      <c r="F831" s="128"/>
      <c r="G831" s="128"/>
      <c r="H831" s="128"/>
      <c r="I831" s="128"/>
      <c r="J831" s="112"/>
      <c r="K831" s="112"/>
      <c r="L831" s="153"/>
      <c r="M831" s="112"/>
      <c r="N831" s="112"/>
      <c r="O831" s="112"/>
      <c r="P831" s="112"/>
      <c r="Q831" s="112"/>
      <c r="R831" s="112"/>
      <c r="S831" s="112"/>
      <c r="T831" s="112"/>
      <c r="U831" s="112"/>
      <c r="V831" s="112"/>
      <c r="W831" s="112"/>
      <c r="X831" s="112"/>
      <c r="Y831" s="112"/>
      <c r="Z831" s="112"/>
      <c r="AA831" s="112"/>
      <c r="AB831" s="112"/>
    </row>
    <row r="832" ht="15.75" customHeight="1">
      <c r="A832" s="112"/>
      <c r="B832" s="112"/>
      <c r="C832" s="112"/>
      <c r="D832" s="125"/>
      <c r="E832" s="112"/>
      <c r="F832" s="128"/>
      <c r="G832" s="128"/>
      <c r="H832" s="128"/>
      <c r="I832" s="128"/>
      <c r="J832" s="112"/>
      <c r="K832" s="112"/>
      <c r="L832" s="153"/>
      <c r="M832" s="112"/>
      <c r="N832" s="112"/>
      <c r="O832" s="112"/>
      <c r="P832" s="112"/>
      <c r="Q832" s="112"/>
      <c r="R832" s="112"/>
      <c r="S832" s="112"/>
      <c r="T832" s="112"/>
      <c r="U832" s="112"/>
      <c r="V832" s="112"/>
      <c r="W832" s="112"/>
      <c r="X832" s="112"/>
      <c r="Y832" s="112"/>
      <c r="Z832" s="112"/>
      <c r="AA832" s="112"/>
      <c r="AB832" s="112"/>
    </row>
    <row r="833" ht="15.75" customHeight="1">
      <c r="A833" s="112"/>
      <c r="B833" s="112"/>
      <c r="C833" s="112"/>
      <c r="D833" s="125"/>
      <c r="E833" s="112"/>
      <c r="F833" s="128"/>
      <c r="G833" s="128"/>
      <c r="H833" s="128"/>
      <c r="I833" s="128"/>
      <c r="J833" s="112"/>
      <c r="K833" s="112"/>
      <c r="L833" s="153"/>
      <c r="M833" s="112"/>
      <c r="N833" s="112"/>
      <c r="O833" s="112"/>
      <c r="P833" s="112"/>
      <c r="Q833" s="112"/>
      <c r="R833" s="112"/>
      <c r="S833" s="112"/>
      <c r="T833" s="112"/>
      <c r="U833" s="112"/>
      <c r="V833" s="112"/>
      <c r="W833" s="112"/>
      <c r="X833" s="112"/>
      <c r="Y833" s="112"/>
      <c r="Z833" s="112"/>
      <c r="AA833" s="112"/>
      <c r="AB833" s="112"/>
    </row>
    <row r="834" ht="15.75" customHeight="1">
      <c r="A834" s="112"/>
      <c r="B834" s="112"/>
      <c r="C834" s="112"/>
      <c r="D834" s="125"/>
      <c r="E834" s="112"/>
      <c r="F834" s="128"/>
      <c r="G834" s="128"/>
      <c r="H834" s="128"/>
      <c r="I834" s="128"/>
      <c r="J834" s="112"/>
      <c r="K834" s="112"/>
      <c r="L834" s="153"/>
      <c r="M834" s="112"/>
      <c r="N834" s="112"/>
      <c r="O834" s="112"/>
      <c r="P834" s="112"/>
      <c r="Q834" s="112"/>
      <c r="R834" s="112"/>
      <c r="S834" s="112"/>
      <c r="T834" s="112"/>
      <c r="U834" s="112"/>
      <c r="V834" s="112"/>
      <c r="W834" s="112"/>
      <c r="X834" s="112"/>
      <c r="Y834" s="112"/>
      <c r="Z834" s="112"/>
      <c r="AA834" s="112"/>
      <c r="AB834" s="112"/>
    </row>
    <row r="835" ht="15.75" customHeight="1">
      <c r="A835" s="112"/>
      <c r="B835" s="112"/>
      <c r="C835" s="112"/>
      <c r="D835" s="125"/>
      <c r="E835" s="112"/>
      <c r="F835" s="128"/>
      <c r="G835" s="128"/>
      <c r="H835" s="128"/>
      <c r="I835" s="128"/>
      <c r="J835" s="112"/>
      <c r="K835" s="112"/>
      <c r="L835" s="153"/>
      <c r="M835" s="112"/>
      <c r="N835" s="112"/>
      <c r="O835" s="112"/>
      <c r="P835" s="112"/>
      <c r="Q835" s="112"/>
      <c r="R835" s="112"/>
      <c r="S835" s="112"/>
      <c r="T835" s="112"/>
      <c r="U835" s="112"/>
      <c r="V835" s="112"/>
      <c r="W835" s="112"/>
      <c r="X835" s="112"/>
      <c r="Y835" s="112"/>
      <c r="Z835" s="112"/>
      <c r="AA835" s="112"/>
      <c r="AB835" s="112"/>
    </row>
    <row r="836" ht="15.75" customHeight="1">
      <c r="A836" s="112"/>
      <c r="B836" s="112"/>
      <c r="C836" s="112"/>
      <c r="D836" s="125"/>
      <c r="E836" s="112"/>
      <c r="F836" s="128"/>
      <c r="G836" s="128"/>
      <c r="H836" s="128"/>
      <c r="I836" s="128"/>
      <c r="J836" s="112"/>
      <c r="K836" s="112"/>
      <c r="L836" s="153"/>
      <c r="M836" s="112"/>
      <c r="N836" s="112"/>
      <c r="O836" s="112"/>
      <c r="P836" s="112"/>
      <c r="Q836" s="112"/>
      <c r="R836" s="112"/>
      <c r="S836" s="112"/>
      <c r="T836" s="112"/>
      <c r="U836" s="112"/>
      <c r="V836" s="112"/>
      <c r="W836" s="112"/>
      <c r="X836" s="112"/>
      <c r="Y836" s="112"/>
      <c r="Z836" s="112"/>
      <c r="AA836" s="112"/>
      <c r="AB836" s="112"/>
    </row>
    <row r="837" ht="15.75" customHeight="1">
      <c r="A837" s="112"/>
      <c r="B837" s="112"/>
      <c r="C837" s="112"/>
      <c r="D837" s="125"/>
      <c r="E837" s="112"/>
      <c r="F837" s="128"/>
      <c r="G837" s="128"/>
      <c r="H837" s="128"/>
      <c r="I837" s="128"/>
      <c r="J837" s="112"/>
      <c r="K837" s="112"/>
      <c r="L837" s="153"/>
      <c r="M837" s="112"/>
      <c r="N837" s="112"/>
      <c r="O837" s="112"/>
      <c r="P837" s="112"/>
      <c r="Q837" s="112"/>
      <c r="R837" s="112"/>
      <c r="S837" s="112"/>
      <c r="T837" s="112"/>
      <c r="U837" s="112"/>
      <c r="V837" s="112"/>
      <c r="W837" s="112"/>
      <c r="X837" s="112"/>
      <c r="Y837" s="112"/>
      <c r="Z837" s="112"/>
      <c r="AA837" s="112"/>
      <c r="AB837" s="112"/>
    </row>
    <row r="838" ht="15.75" customHeight="1">
      <c r="A838" s="112"/>
      <c r="B838" s="112"/>
      <c r="C838" s="112"/>
      <c r="D838" s="125"/>
      <c r="E838" s="112"/>
      <c r="F838" s="128"/>
      <c r="G838" s="128"/>
      <c r="H838" s="128"/>
      <c r="I838" s="128"/>
      <c r="J838" s="112"/>
      <c r="K838" s="112"/>
      <c r="L838" s="153"/>
      <c r="M838" s="112"/>
      <c r="N838" s="112"/>
      <c r="O838" s="112"/>
      <c r="P838" s="112"/>
      <c r="Q838" s="112"/>
      <c r="R838" s="112"/>
      <c r="S838" s="112"/>
      <c r="T838" s="112"/>
      <c r="U838" s="112"/>
      <c r="V838" s="112"/>
      <c r="W838" s="112"/>
      <c r="X838" s="112"/>
      <c r="Y838" s="112"/>
      <c r="Z838" s="112"/>
      <c r="AA838" s="112"/>
      <c r="AB838" s="112"/>
    </row>
    <row r="839" ht="15.75" customHeight="1">
      <c r="A839" s="112"/>
      <c r="B839" s="112"/>
      <c r="C839" s="112"/>
      <c r="D839" s="125"/>
      <c r="E839" s="112"/>
      <c r="F839" s="128"/>
      <c r="G839" s="128"/>
      <c r="H839" s="128"/>
      <c r="I839" s="128"/>
      <c r="J839" s="112"/>
      <c r="K839" s="112"/>
      <c r="L839" s="153"/>
      <c r="M839" s="112"/>
      <c r="N839" s="112"/>
      <c r="O839" s="112"/>
      <c r="P839" s="112"/>
      <c r="Q839" s="112"/>
      <c r="R839" s="112"/>
      <c r="S839" s="112"/>
      <c r="T839" s="112"/>
      <c r="U839" s="112"/>
      <c r="V839" s="112"/>
      <c r="W839" s="112"/>
      <c r="X839" s="112"/>
      <c r="Y839" s="112"/>
      <c r="Z839" s="112"/>
      <c r="AA839" s="112"/>
      <c r="AB839" s="112"/>
    </row>
    <row r="840" ht="15.75" customHeight="1">
      <c r="A840" s="112"/>
      <c r="B840" s="112"/>
      <c r="C840" s="112"/>
      <c r="D840" s="125"/>
      <c r="E840" s="112"/>
      <c r="F840" s="128"/>
      <c r="G840" s="128"/>
      <c r="H840" s="128"/>
      <c r="I840" s="128"/>
      <c r="J840" s="112"/>
      <c r="K840" s="112"/>
      <c r="L840" s="153"/>
      <c r="M840" s="112"/>
      <c r="N840" s="112"/>
      <c r="O840" s="112"/>
      <c r="P840" s="112"/>
      <c r="Q840" s="112"/>
      <c r="R840" s="112"/>
      <c r="S840" s="112"/>
      <c r="T840" s="112"/>
      <c r="U840" s="112"/>
      <c r="V840" s="112"/>
      <c r="W840" s="112"/>
      <c r="X840" s="112"/>
      <c r="Y840" s="112"/>
      <c r="Z840" s="112"/>
      <c r="AA840" s="112"/>
      <c r="AB840" s="112"/>
    </row>
    <row r="841" ht="15.75" customHeight="1">
      <c r="A841" s="112"/>
      <c r="B841" s="112"/>
      <c r="C841" s="112"/>
      <c r="D841" s="125"/>
      <c r="E841" s="112"/>
      <c r="F841" s="128"/>
      <c r="G841" s="128"/>
      <c r="H841" s="128"/>
      <c r="I841" s="128"/>
      <c r="J841" s="112"/>
      <c r="K841" s="112"/>
      <c r="L841" s="153"/>
      <c r="M841" s="112"/>
      <c r="N841" s="112"/>
      <c r="O841" s="112"/>
      <c r="P841" s="112"/>
      <c r="Q841" s="112"/>
      <c r="R841" s="112"/>
      <c r="S841" s="112"/>
      <c r="T841" s="112"/>
      <c r="U841" s="112"/>
      <c r="V841" s="112"/>
      <c r="W841" s="112"/>
      <c r="X841" s="112"/>
      <c r="Y841" s="112"/>
      <c r="Z841" s="112"/>
      <c r="AA841" s="112"/>
      <c r="AB841" s="112"/>
    </row>
    <row r="842" ht="15.75" customHeight="1">
      <c r="A842" s="112"/>
      <c r="B842" s="112"/>
      <c r="C842" s="112"/>
      <c r="D842" s="125"/>
      <c r="E842" s="112"/>
      <c r="F842" s="128"/>
      <c r="G842" s="128"/>
      <c r="H842" s="128"/>
      <c r="I842" s="128"/>
      <c r="J842" s="112"/>
      <c r="K842" s="112"/>
      <c r="L842" s="153"/>
      <c r="M842" s="112"/>
      <c r="N842" s="112"/>
      <c r="O842" s="112"/>
      <c r="P842" s="112"/>
      <c r="Q842" s="112"/>
      <c r="R842" s="112"/>
      <c r="S842" s="112"/>
      <c r="T842" s="112"/>
      <c r="U842" s="112"/>
      <c r="V842" s="112"/>
      <c r="W842" s="112"/>
      <c r="X842" s="112"/>
      <c r="Y842" s="112"/>
      <c r="Z842" s="112"/>
      <c r="AA842" s="112"/>
      <c r="AB842" s="112"/>
    </row>
    <row r="843" ht="15.75" customHeight="1">
      <c r="A843" s="112"/>
      <c r="B843" s="112"/>
      <c r="C843" s="112"/>
      <c r="D843" s="125"/>
      <c r="E843" s="112"/>
      <c r="F843" s="128"/>
      <c r="G843" s="128"/>
      <c r="H843" s="128"/>
      <c r="I843" s="128"/>
      <c r="J843" s="112"/>
      <c r="K843" s="112"/>
      <c r="L843" s="153"/>
      <c r="M843" s="112"/>
      <c r="N843" s="112"/>
      <c r="O843" s="112"/>
      <c r="P843" s="112"/>
      <c r="Q843" s="112"/>
      <c r="R843" s="112"/>
      <c r="S843" s="112"/>
      <c r="T843" s="112"/>
      <c r="U843" s="112"/>
      <c r="V843" s="112"/>
      <c r="W843" s="112"/>
      <c r="X843" s="112"/>
      <c r="Y843" s="112"/>
      <c r="Z843" s="112"/>
      <c r="AA843" s="112"/>
      <c r="AB843" s="112"/>
    </row>
    <row r="844" ht="15.75" customHeight="1">
      <c r="A844" s="112"/>
      <c r="B844" s="112"/>
      <c r="C844" s="112"/>
      <c r="D844" s="125"/>
      <c r="E844" s="112"/>
      <c r="F844" s="128"/>
      <c r="G844" s="128"/>
      <c r="H844" s="128"/>
      <c r="I844" s="128"/>
      <c r="J844" s="112"/>
      <c r="K844" s="112"/>
      <c r="L844" s="153"/>
      <c r="M844" s="112"/>
      <c r="N844" s="112"/>
      <c r="O844" s="112"/>
      <c r="P844" s="112"/>
      <c r="Q844" s="112"/>
      <c r="R844" s="112"/>
      <c r="S844" s="112"/>
      <c r="T844" s="112"/>
      <c r="U844" s="112"/>
      <c r="V844" s="112"/>
      <c r="W844" s="112"/>
      <c r="X844" s="112"/>
      <c r="Y844" s="112"/>
      <c r="Z844" s="112"/>
      <c r="AA844" s="112"/>
      <c r="AB844" s="112"/>
    </row>
    <row r="845" ht="15.75" customHeight="1">
      <c r="A845" s="112"/>
      <c r="B845" s="112"/>
      <c r="C845" s="112"/>
      <c r="D845" s="125"/>
      <c r="E845" s="112"/>
      <c r="F845" s="128"/>
      <c r="G845" s="128"/>
      <c r="H845" s="128"/>
      <c r="I845" s="128"/>
      <c r="J845" s="112"/>
      <c r="K845" s="112"/>
      <c r="L845" s="153"/>
      <c r="M845" s="112"/>
      <c r="N845" s="112"/>
      <c r="O845" s="112"/>
      <c r="P845" s="112"/>
      <c r="Q845" s="112"/>
      <c r="R845" s="112"/>
      <c r="S845" s="112"/>
      <c r="T845" s="112"/>
      <c r="U845" s="112"/>
      <c r="V845" s="112"/>
      <c r="W845" s="112"/>
      <c r="X845" s="112"/>
      <c r="Y845" s="112"/>
      <c r="Z845" s="112"/>
      <c r="AA845" s="112"/>
      <c r="AB845" s="112"/>
    </row>
    <row r="846" ht="15.75" customHeight="1">
      <c r="A846" s="112"/>
      <c r="B846" s="112"/>
      <c r="C846" s="112"/>
      <c r="D846" s="125"/>
      <c r="E846" s="112"/>
      <c r="F846" s="128"/>
      <c r="G846" s="128"/>
      <c r="H846" s="128"/>
      <c r="I846" s="128"/>
      <c r="J846" s="112"/>
      <c r="K846" s="112"/>
      <c r="L846" s="153"/>
      <c r="M846" s="112"/>
      <c r="N846" s="112"/>
      <c r="O846" s="112"/>
      <c r="P846" s="112"/>
      <c r="Q846" s="112"/>
      <c r="R846" s="112"/>
      <c r="S846" s="112"/>
      <c r="T846" s="112"/>
      <c r="U846" s="112"/>
      <c r="V846" s="112"/>
      <c r="W846" s="112"/>
      <c r="X846" s="112"/>
      <c r="Y846" s="112"/>
      <c r="Z846" s="112"/>
      <c r="AA846" s="112"/>
      <c r="AB846" s="112"/>
    </row>
    <row r="847" ht="15.75" customHeight="1">
      <c r="A847" s="112"/>
      <c r="B847" s="112"/>
      <c r="C847" s="112"/>
      <c r="D847" s="125"/>
      <c r="E847" s="112"/>
      <c r="F847" s="128"/>
      <c r="G847" s="128"/>
      <c r="H847" s="128"/>
      <c r="I847" s="128"/>
      <c r="J847" s="112"/>
      <c r="K847" s="112"/>
      <c r="L847" s="153"/>
      <c r="M847" s="112"/>
      <c r="N847" s="112"/>
      <c r="O847" s="112"/>
      <c r="P847" s="112"/>
      <c r="Q847" s="112"/>
      <c r="R847" s="112"/>
      <c r="S847" s="112"/>
      <c r="T847" s="112"/>
      <c r="U847" s="112"/>
      <c r="V847" s="112"/>
      <c r="W847" s="112"/>
      <c r="X847" s="112"/>
      <c r="Y847" s="112"/>
      <c r="Z847" s="112"/>
      <c r="AA847" s="112"/>
      <c r="AB847" s="112"/>
    </row>
    <row r="848" ht="15.75" customHeight="1">
      <c r="A848" s="112"/>
      <c r="B848" s="112"/>
      <c r="C848" s="112"/>
      <c r="D848" s="125"/>
      <c r="E848" s="112"/>
      <c r="F848" s="128"/>
      <c r="G848" s="128"/>
      <c r="H848" s="128"/>
      <c r="I848" s="128"/>
      <c r="J848" s="112"/>
      <c r="K848" s="112"/>
      <c r="L848" s="153"/>
      <c r="M848" s="112"/>
      <c r="N848" s="112"/>
      <c r="O848" s="112"/>
      <c r="P848" s="112"/>
      <c r="Q848" s="112"/>
      <c r="R848" s="112"/>
      <c r="S848" s="112"/>
      <c r="T848" s="112"/>
      <c r="U848" s="112"/>
      <c r="V848" s="112"/>
      <c r="W848" s="112"/>
      <c r="X848" s="112"/>
      <c r="Y848" s="112"/>
      <c r="Z848" s="112"/>
      <c r="AA848" s="112"/>
      <c r="AB848" s="112"/>
    </row>
    <row r="849" ht="15.75" customHeight="1">
      <c r="A849" s="112"/>
      <c r="B849" s="112"/>
      <c r="C849" s="112"/>
      <c r="D849" s="125"/>
      <c r="E849" s="112"/>
      <c r="F849" s="128"/>
      <c r="G849" s="128"/>
      <c r="H849" s="128"/>
      <c r="I849" s="128"/>
      <c r="J849" s="112"/>
      <c r="K849" s="112"/>
      <c r="L849" s="153"/>
      <c r="M849" s="112"/>
      <c r="N849" s="112"/>
      <c r="O849" s="112"/>
      <c r="P849" s="112"/>
      <c r="Q849" s="112"/>
      <c r="R849" s="112"/>
      <c r="S849" s="112"/>
      <c r="T849" s="112"/>
      <c r="U849" s="112"/>
      <c r="V849" s="112"/>
      <c r="W849" s="112"/>
      <c r="X849" s="112"/>
      <c r="Y849" s="112"/>
      <c r="Z849" s="112"/>
      <c r="AA849" s="112"/>
      <c r="AB849" s="112"/>
    </row>
    <row r="850" ht="15.75" customHeight="1">
      <c r="A850" s="112"/>
      <c r="B850" s="112"/>
      <c r="C850" s="112"/>
      <c r="D850" s="125"/>
      <c r="E850" s="112"/>
      <c r="F850" s="128"/>
      <c r="G850" s="128"/>
      <c r="H850" s="128"/>
      <c r="I850" s="128"/>
      <c r="J850" s="112"/>
      <c r="K850" s="112"/>
      <c r="L850" s="153"/>
      <c r="M850" s="112"/>
      <c r="N850" s="112"/>
      <c r="O850" s="112"/>
      <c r="P850" s="112"/>
      <c r="Q850" s="112"/>
      <c r="R850" s="112"/>
      <c r="S850" s="112"/>
      <c r="T850" s="112"/>
      <c r="U850" s="112"/>
      <c r="V850" s="112"/>
      <c r="W850" s="112"/>
      <c r="X850" s="112"/>
      <c r="Y850" s="112"/>
      <c r="Z850" s="112"/>
      <c r="AA850" s="112"/>
      <c r="AB850" s="112"/>
    </row>
    <row r="851" ht="15.75" customHeight="1">
      <c r="A851" s="112"/>
      <c r="B851" s="112"/>
      <c r="C851" s="112"/>
      <c r="D851" s="125"/>
      <c r="E851" s="112"/>
      <c r="F851" s="128"/>
      <c r="G851" s="128"/>
      <c r="H851" s="128"/>
      <c r="I851" s="128"/>
      <c r="J851" s="112"/>
      <c r="K851" s="112"/>
      <c r="L851" s="153"/>
      <c r="M851" s="112"/>
      <c r="N851" s="112"/>
      <c r="O851" s="112"/>
      <c r="P851" s="112"/>
      <c r="Q851" s="112"/>
      <c r="R851" s="112"/>
      <c r="S851" s="112"/>
      <c r="T851" s="112"/>
      <c r="U851" s="112"/>
      <c r="V851" s="112"/>
      <c r="W851" s="112"/>
      <c r="X851" s="112"/>
      <c r="Y851" s="112"/>
      <c r="Z851" s="112"/>
      <c r="AA851" s="112"/>
      <c r="AB851" s="112"/>
    </row>
    <row r="852" ht="15.75" customHeight="1">
      <c r="A852" s="112"/>
      <c r="B852" s="112"/>
      <c r="C852" s="112"/>
      <c r="D852" s="125"/>
      <c r="E852" s="112"/>
      <c r="F852" s="128"/>
      <c r="G852" s="128"/>
      <c r="H852" s="128"/>
      <c r="I852" s="128"/>
      <c r="J852" s="112"/>
      <c r="K852" s="112"/>
      <c r="L852" s="153"/>
      <c r="M852" s="112"/>
      <c r="N852" s="112"/>
      <c r="O852" s="112"/>
      <c r="P852" s="112"/>
      <c r="Q852" s="112"/>
      <c r="R852" s="112"/>
      <c r="S852" s="112"/>
      <c r="T852" s="112"/>
      <c r="U852" s="112"/>
      <c r="V852" s="112"/>
      <c r="W852" s="112"/>
      <c r="X852" s="112"/>
      <c r="Y852" s="112"/>
      <c r="Z852" s="112"/>
      <c r="AA852" s="112"/>
      <c r="AB852" s="112"/>
    </row>
    <row r="853" ht="15.75" customHeight="1">
      <c r="A853" s="112"/>
      <c r="B853" s="112"/>
      <c r="C853" s="112"/>
      <c r="D853" s="125"/>
      <c r="E853" s="112"/>
      <c r="F853" s="128"/>
      <c r="G853" s="128"/>
      <c r="H853" s="128"/>
      <c r="I853" s="128"/>
      <c r="J853" s="112"/>
      <c r="K853" s="112"/>
      <c r="L853" s="153"/>
      <c r="M853" s="112"/>
      <c r="N853" s="112"/>
      <c r="O853" s="112"/>
      <c r="P853" s="112"/>
      <c r="Q853" s="112"/>
      <c r="R853" s="112"/>
      <c r="S853" s="112"/>
      <c r="T853" s="112"/>
      <c r="U853" s="112"/>
      <c r="V853" s="112"/>
      <c r="W853" s="112"/>
      <c r="X853" s="112"/>
      <c r="Y853" s="112"/>
      <c r="Z853" s="112"/>
      <c r="AA853" s="112"/>
      <c r="AB853" s="112"/>
    </row>
    <row r="854" ht="15.75" customHeight="1">
      <c r="A854" s="112"/>
      <c r="B854" s="112"/>
      <c r="C854" s="112"/>
      <c r="D854" s="125"/>
      <c r="E854" s="112"/>
      <c r="F854" s="128"/>
      <c r="G854" s="128"/>
      <c r="H854" s="128"/>
      <c r="I854" s="128"/>
      <c r="J854" s="112"/>
      <c r="K854" s="112"/>
      <c r="L854" s="153"/>
      <c r="M854" s="112"/>
      <c r="N854" s="112"/>
      <c r="O854" s="112"/>
      <c r="P854" s="112"/>
      <c r="Q854" s="112"/>
      <c r="R854" s="112"/>
      <c r="S854" s="112"/>
      <c r="T854" s="112"/>
      <c r="U854" s="112"/>
      <c r="V854" s="112"/>
      <c r="W854" s="112"/>
      <c r="X854" s="112"/>
      <c r="Y854" s="112"/>
      <c r="Z854" s="112"/>
      <c r="AA854" s="112"/>
      <c r="AB854" s="112"/>
    </row>
    <row r="855" ht="15.75" customHeight="1">
      <c r="A855" s="112"/>
      <c r="B855" s="112"/>
      <c r="C855" s="112"/>
      <c r="D855" s="125"/>
      <c r="E855" s="112"/>
      <c r="F855" s="128"/>
      <c r="G855" s="128"/>
      <c r="H855" s="128"/>
      <c r="I855" s="128"/>
      <c r="J855" s="112"/>
      <c r="K855" s="112"/>
      <c r="L855" s="153"/>
      <c r="M855" s="112"/>
      <c r="N855" s="112"/>
      <c r="O855" s="112"/>
      <c r="P855" s="112"/>
      <c r="Q855" s="112"/>
      <c r="R855" s="112"/>
      <c r="S855" s="112"/>
      <c r="T855" s="112"/>
      <c r="U855" s="112"/>
      <c r="V855" s="112"/>
      <c r="W855" s="112"/>
      <c r="X855" s="112"/>
      <c r="Y855" s="112"/>
      <c r="Z855" s="112"/>
      <c r="AA855" s="112"/>
      <c r="AB855" s="112"/>
    </row>
    <row r="856" ht="15.75" customHeight="1">
      <c r="A856" s="112"/>
      <c r="B856" s="112"/>
      <c r="C856" s="112"/>
      <c r="D856" s="125"/>
      <c r="E856" s="112"/>
      <c r="F856" s="128"/>
      <c r="G856" s="128"/>
      <c r="H856" s="128"/>
      <c r="I856" s="128"/>
      <c r="J856" s="112"/>
      <c r="K856" s="112"/>
      <c r="L856" s="153"/>
      <c r="M856" s="112"/>
      <c r="N856" s="112"/>
      <c r="O856" s="112"/>
      <c r="P856" s="112"/>
      <c r="Q856" s="112"/>
      <c r="R856" s="112"/>
      <c r="S856" s="112"/>
      <c r="T856" s="112"/>
      <c r="U856" s="112"/>
      <c r="V856" s="112"/>
      <c r="W856" s="112"/>
      <c r="X856" s="112"/>
      <c r="Y856" s="112"/>
      <c r="Z856" s="112"/>
      <c r="AA856" s="112"/>
      <c r="AB856" s="112"/>
    </row>
    <row r="857" ht="15.75" customHeight="1">
      <c r="A857" s="112"/>
      <c r="B857" s="112"/>
      <c r="C857" s="112"/>
      <c r="D857" s="125"/>
      <c r="E857" s="112"/>
      <c r="F857" s="128"/>
      <c r="G857" s="128"/>
      <c r="H857" s="128"/>
      <c r="I857" s="128"/>
      <c r="J857" s="112"/>
      <c r="K857" s="112"/>
      <c r="L857" s="153"/>
      <c r="M857" s="112"/>
      <c r="N857" s="112"/>
      <c r="O857" s="112"/>
      <c r="P857" s="112"/>
      <c r="Q857" s="112"/>
      <c r="R857" s="112"/>
      <c r="S857" s="112"/>
      <c r="T857" s="112"/>
      <c r="U857" s="112"/>
      <c r="V857" s="112"/>
      <c r="W857" s="112"/>
      <c r="X857" s="112"/>
      <c r="Y857" s="112"/>
      <c r="Z857" s="112"/>
      <c r="AA857" s="112"/>
      <c r="AB857" s="112"/>
    </row>
    <row r="858" ht="15.75" customHeight="1">
      <c r="A858" s="112"/>
      <c r="B858" s="112"/>
      <c r="C858" s="112"/>
      <c r="D858" s="125"/>
      <c r="E858" s="112"/>
      <c r="F858" s="128"/>
      <c r="G858" s="128"/>
      <c r="H858" s="128"/>
      <c r="I858" s="128"/>
      <c r="J858" s="112"/>
      <c r="K858" s="112"/>
      <c r="L858" s="153"/>
      <c r="M858" s="112"/>
      <c r="N858" s="112"/>
      <c r="O858" s="112"/>
      <c r="P858" s="112"/>
      <c r="Q858" s="112"/>
      <c r="R858" s="112"/>
      <c r="S858" s="112"/>
      <c r="T858" s="112"/>
      <c r="U858" s="112"/>
      <c r="V858" s="112"/>
      <c r="W858" s="112"/>
      <c r="X858" s="112"/>
      <c r="Y858" s="112"/>
      <c r="Z858" s="112"/>
      <c r="AA858" s="112"/>
      <c r="AB858" s="112"/>
    </row>
    <row r="859" ht="15.75" customHeight="1">
      <c r="A859" s="112"/>
      <c r="B859" s="112"/>
      <c r="C859" s="112"/>
      <c r="D859" s="125"/>
      <c r="E859" s="112"/>
      <c r="F859" s="128"/>
      <c r="G859" s="128"/>
      <c r="H859" s="128"/>
      <c r="I859" s="128"/>
      <c r="J859" s="112"/>
      <c r="K859" s="112"/>
      <c r="L859" s="153"/>
      <c r="M859" s="112"/>
      <c r="N859" s="112"/>
      <c r="O859" s="112"/>
      <c r="P859" s="112"/>
      <c r="Q859" s="112"/>
      <c r="R859" s="112"/>
      <c r="S859" s="112"/>
      <c r="T859" s="112"/>
      <c r="U859" s="112"/>
      <c r="V859" s="112"/>
      <c r="W859" s="112"/>
      <c r="X859" s="112"/>
      <c r="Y859" s="112"/>
      <c r="Z859" s="112"/>
      <c r="AA859" s="112"/>
      <c r="AB859" s="112"/>
    </row>
    <row r="860" ht="15.75" customHeight="1">
      <c r="A860" s="112"/>
      <c r="B860" s="112"/>
      <c r="C860" s="112"/>
      <c r="D860" s="125"/>
      <c r="E860" s="112"/>
      <c r="F860" s="128"/>
      <c r="G860" s="128"/>
      <c r="H860" s="128"/>
      <c r="I860" s="128"/>
      <c r="J860" s="112"/>
      <c r="K860" s="112"/>
      <c r="L860" s="153"/>
      <c r="M860" s="112"/>
      <c r="N860" s="112"/>
      <c r="O860" s="112"/>
      <c r="P860" s="112"/>
      <c r="Q860" s="112"/>
      <c r="R860" s="112"/>
      <c r="S860" s="112"/>
      <c r="T860" s="112"/>
      <c r="U860" s="112"/>
      <c r="V860" s="112"/>
      <c r="W860" s="112"/>
      <c r="X860" s="112"/>
      <c r="Y860" s="112"/>
      <c r="Z860" s="112"/>
      <c r="AA860" s="112"/>
      <c r="AB860" s="112"/>
    </row>
    <row r="861" ht="15.75" customHeight="1">
      <c r="A861" s="112"/>
      <c r="B861" s="112"/>
      <c r="C861" s="112"/>
      <c r="D861" s="125"/>
      <c r="E861" s="112"/>
      <c r="F861" s="128"/>
      <c r="G861" s="128"/>
      <c r="H861" s="128"/>
      <c r="I861" s="128"/>
      <c r="J861" s="112"/>
      <c r="K861" s="112"/>
      <c r="L861" s="153"/>
      <c r="M861" s="112"/>
      <c r="N861" s="112"/>
      <c r="O861" s="112"/>
      <c r="P861" s="112"/>
      <c r="Q861" s="112"/>
      <c r="R861" s="112"/>
      <c r="S861" s="112"/>
      <c r="T861" s="112"/>
      <c r="U861" s="112"/>
      <c r="V861" s="112"/>
      <c r="W861" s="112"/>
      <c r="X861" s="112"/>
      <c r="Y861" s="112"/>
      <c r="Z861" s="112"/>
      <c r="AA861" s="112"/>
      <c r="AB861" s="112"/>
    </row>
    <row r="862" ht="15.75" customHeight="1">
      <c r="A862" s="112"/>
      <c r="B862" s="112"/>
      <c r="C862" s="112"/>
      <c r="D862" s="125"/>
      <c r="E862" s="112"/>
      <c r="F862" s="128"/>
      <c r="G862" s="128"/>
      <c r="H862" s="128"/>
      <c r="I862" s="128"/>
      <c r="J862" s="112"/>
      <c r="K862" s="112"/>
      <c r="L862" s="153"/>
      <c r="M862" s="112"/>
      <c r="N862" s="112"/>
      <c r="O862" s="112"/>
      <c r="P862" s="112"/>
      <c r="Q862" s="112"/>
      <c r="R862" s="112"/>
      <c r="S862" s="112"/>
      <c r="T862" s="112"/>
      <c r="U862" s="112"/>
      <c r="V862" s="112"/>
      <c r="W862" s="112"/>
      <c r="X862" s="112"/>
      <c r="Y862" s="112"/>
      <c r="Z862" s="112"/>
      <c r="AA862" s="112"/>
      <c r="AB862" s="112"/>
    </row>
    <row r="863" ht="15.75" customHeight="1">
      <c r="A863" s="112"/>
      <c r="B863" s="112"/>
      <c r="C863" s="112"/>
      <c r="D863" s="125"/>
      <c r="E863" s="112"/>
      <c r="F863" s="128"/>
      <c r="G863" s="128"/>
      <c r="H863" s="128"/>
      <c r="I863" s="128"/>
      <c r="J863" s="112"/>
      <c r="K863" s="112"/>
      <c r="L863" s="153"/>
      <c r="M863" s="112"/>
      <c r="N863" s="112"/>
      <c r="O863" s="112"/>
      <c r="P863" s="112"/>
      <c r="Q863" s="112"/>
      <c r="R863" s="112"/>
      <c r="S863" s="112"/>
      <c r="T863" s="112"/>
      <c r="U863" s="112"/>
      <c r="V863" s="112"/>
      <c r="W863" s="112"/>
      <c r="X863" s="112"/>
      <c r="Y863" s="112"/>
      <c r="Z863" s="112"/>
      <c r="AA863" s="112"/>
      <c r="AB863" s="112"/>
    </row>
    <row r="864" ht="15.75" customHeight="1">
      <c r="A864" s="112"/>
      <c r="B864" s="112"/>
      <c r="C864" s="112"/>
      <c r="D864" s="125"/>
      <c r="E864" s="112"/>
      <c r="F864" s="128"/>
      <c r="G864" s="128"/>
      <c r="H864" s="128"/>
      <c r="I864" s="128"/>
      <c r="J864" s="112"/>
      <c r="K864" s="112"/>
      <c r="L864" s="153"/>
      <c r="M864" s="112"/>
      <c r="N864" s="112"/>
      <c r="O864" s="112"/>
      <c r="P864" s="112"/>
      <c r="Q864" s="112"/>
      <c r="R864" s="112"/>
      <c r="S864" s="112"/>
      <c r="T864" s="112"/>
      <c r="U864" s="112"/>
      <c r="V864" s="112"/>
      <c r="W864" s="112"/>
      <c r="X864" s="112"/>
      <c r="Y864" s="112"/>
      <c r="Z864" s="112"/>
      <c r="AA864" s="112"/>
      <c r="AB864" s="112"/>
    </row>
    <row r="865" ht="15.75" customHeight="1">
      <c r="A865" s="112"/>
      <c r="B865" s="112"/>
      <c r="C865" s="112"/>
      <c r="D865" s="125"/>
      <c r="E865" s="112"/>
      <c r="F865" s="128"/>
      <c r="G865" s="128"/>
      <c r="H865" s="128"/>
      <c r="I865" s="128"/>
      <c r="J865" s="112"/>
      <c r="K865" s="112"/>
      <c r="L865" s="153"/>
      <c r="M865" s="112"/>
      <c r="N865" s="112"/>
      <c r="O865" s="112"/>
      <c r="P865" s="112"/>
      <c r="Q865" s="112"/>
      <c r="R865" s="112"/>
      <c r="S865" s="112"/>
      <c r="T865" s="112"/>
      <c r="U865" s="112"/>
      <c r="V865" s="112"/>
      <c r="W865" s="112"/>
      <c r="X865" s="112"/>
      <c r="Y865" s="112"/>
      <c r="Z865" s="112"/>
      <c r="AA865" s="112"/>
      <c r="AB865" s="112"/>
    </row>
    <row r="866" ht="15.75" customHeight="1">
      <c r="A866" s="112"/>
      <c r="B866" s="112"/>
      <c r="C866" s="112"/>
      <c r="D866" s="125"/>
      <c r="E866" s="112"/>
      <c r="F866" s="128"/>
      <c r="G866" s="128"/>
      <c r="H866" s="128"/>
      <c r="I866" s="128"/>
      <c r="J866" s="112"/>
      <c r="K866" s="112"/>
      <c r="L866" s="153"/>
      <c r="M866" s="112"/>
      <c r="N866" s="112"/>
      <c r="O866" s="112"/>
      <c r="P866" s="112"/>
      <c r="Q866" s="112"/>
      <c r="R866" s="112"/>
      <c r="S866" s="112"/>
      <c r="T866" s="112"/>
      <c r="U866" s="112"/>
      <c r="V866" s="112"/>
      <c r="W866" s="112"/>
      <c r="X866" s="112"/>
      <c r="Y866" s="112"/>
      <c r="Z866" s="112"/>
      <c r="AA866" s="112"/>
      <c r="AB866" s="112"/>
    </row>
    <row r="867" ht="15.75" customHeight="1">
      <c r="A867" s="112"/>
      <c r="B867" s="112"/>
      <c r="C867" s="112"/>
      <c r="D867" s="125"/>
      <c r="E867" s="112"/>
      <c r="F867" s="128"/>
      <c r="G867" s="128"/>
      <c r="H867" s="128"/>
      <c r="I867" s="128"/>
      <c r="J867" s="112"/>
      <c r="K867" s="112"/>
      <c r="L867" s="153"/>
      <c r="M867" s="112"/>
      <c r="N867" s="112"/>
      <c r="O867" s="112"/>
      <c r="P867" s="112"/>
      <c r="Q867" s="112"/>
      <c r="R867" s="112"/>
      <c r="S867" s="112"/>
      <c r="T867" s="112"/>
      <c r="U867" s="112"/>
      <c r="V867" s="112"/>
      <c r="W867" s="112"/>
      <c r="X867" s="112"/>
      <c r="Y867" s="112"/>
      <c r="Z867" s="112"/>
      <c r="AA867" s="112"/>
      <c r="AB867" s="112"/>
    </row>
    <row r="868" ht="15.75" customHeight="1">
      <c r="A868" s="112"/>
      <c r="B868" s="112"/>
      <c r="C868" s="112"/>
      <c r="D868" s="125"/>
      <c r="E868" s="112"/>
      <c r="F868" s="128"/>
      <c r="G868" s="128"/>
      <c r="H868" s="128"/>
      <c r="I868" s="128"/>
      <c r="J868" s="112"/>
      <c r="K868" s="112"/>
      <c r="L868" s="153"/>
      <c r="M868" s="112"/>
      <c r="N868" s="112"/>
      <c r="O868" s="112"/>
      <c r="P868" s="112"/>
      <c r="Q868" s="112"/>
      <c r="R868" s="112"/>
      <c r="S868" s="112"/>
      <c r="T868" s="112"/>
      <c r="U868" s="112"/>
      <c r="V868" s="112"/>
      <c r="W868" s="112"/>
      <c r="X868" s="112"/>
      <c r="Y868" s="112"/>
      <c r="Z868" s="112"/>
      <c r="AA868" s="112"/>
      <c r="AB868" s="112"/>
    </row>
    <row r="869" ht="15.75" customHeight="1">
      <c r="A869" s="112"/>
      <c r="B869" s="112"/>
      <c r="C869" s="112"/>
      <c r="D869" s="125"/>
      <c r="E869" s="112"/>
      <c r="F869" s="128"/>
      <c r="G869" s="128"/>
      <c r="H869" s="128"/>
      <c r="I869" s="128"/>
      <c r="J869" s="112"/>
      <c r="K869" s="112"/>
      <c r="L869" s="153"/>
      <c r="M869" s="112"/>
      <c r="N869" s="112"/>
      <c r="O869" s="112"/>
      <c r="P869" s="112"/>
      <c r="Q869" s="112"/>
      <c r="R869" s="112"/>
      <c r="S869" s="112"/>
      <c r="T869" s="112"/>
      <c r="U869" s="112"/>
      <c r="V869" s="112"/>
      <c r="W869" s="112"/>
      <c r="X869" s="112"/>
      <c r="Y869" s="112"/>
      <c r="Z869" s="112"/>
      <c r="AA869" s="112"/>
      <c r="AB869" s="112"/>
    </row>
    <row r="870" ht="15.75" customHeight="1">
      <c r="A870" s="112"/>
      <c r="B870" s="112"/>
      <c r="C870" s="112"/>
      <c r="D870" s="125"/>
      <c r="E870" s="112"/>
      <c r="F870" s="128"/>
      <c r="G870" s="128"/>
      <c r="H870" s="128"/>
      <c r="I870" s="128"/>
      <c r="J870" s="112"/>
      <c r="K870" s="112"/>
      <c r="L870" s="153"/>
      <c r="M870" s="112"/>
      <c r="N870" s="112"/>
      <c r="O870" s="112"/>
      <c r="P870" s="112"/>
      <c r="Q870" s="112"/>
      <c r="R870" s="112"/>
      <c r="S870" s="112"/>
      <c r="T870" s="112"/>
      <c r="U870" s="112"/>
      <c r="V870" s="112"/>
      <c r="W870" s="112"/>
      <c r="X870" s="112"/>
      <c r="Y870" s="112"/>
      <c r="Z870" s="112"/>
      <c r="AA870" s="112"/>
      <c r="AB870" s="112"/>
    </row>
    <row r="871" ht="15.75" customHeight="1">
      <c r="A871" s="112"/>
      <c r="B871" s="112"/>
      <c r="C871" s="112"/>
      <c r="D871" s="125"/>
      <c r="E871" s="112"/>
      <c r="F871" s="128"/>
      <c r="G871" s="128"/>
      <c r="H871" s="128"/>
      <c r="I871" s="128"/>
      <c r="J871" s="112"/>
      <c r="K871" s="112"/>
      <c r="L871" s="153"/>
      <c r="M871" s="112"/>
      <c r="N871" s="112"/>
      <c r="O871" s="112"/>
      <c r="P871" s="112"/>
      <c r="Q871" s="112"/>
      <c r="R871" s="112"/>
      <c r="S871" s="112"/>
      <c r="T871" s="112"/>
      <c r="U871" s="112"/>
      <c r="V871" s="112"/>
      <c r="W871" s="112"/>
      <c r="X871" s="112"/>
      <c r="Y871" s="112"/>
      <c r="Z871" s="112"/>
      <c r="AA871" s="112"/>
      <c r="AB871" s="112"/>
    </row>
    <row r="872" ht="15.75" customHeight="1">
      <c r="A872" s="112"/>
      <c r="B872" s="112"/>
      <c r="C872" s="112"/>
      <c r="D872" s="125"/>
      <c r="E872" s="112"/>
      <c r="F872" s="128"/>
      <c r="G872" s="128"/>
      <c r="H872" s="128"/>
      <c r="I872" s="128"/>
      <c r="J872" s="112"/>
      <c r="K872" s="112"/>
      <c r="L872" s="153"/>
      <c r="M872" s="112"/>
      <c r="N872" s="112"/>
      <c r="O872" s="112"/>
      <c r="P872" s="112"/>
      <c r="Q872" s="112"/>
      <c r="R872" s="112"/>
      <c r="S872" s="112"/>
      <c r="T872" s="112"/>
      <c r="U872" s="112"/>
      <c r="V872" s="112"/>
      <c r="W872" s="112"/>
      <c r="X872" s="112"/>
      <c r="Y872" s="112"/>
      <c r="Z872" s="112"/>
      <c r="AA872" s="112"/>
      <c r="AB872" s="112"/>
    </row>
    <row r="873" ht="15.75" customHeight="1">
      <c r="A873" s="112"/>
      <c r="B873" s="112"/>
      <c r="C873" s="112"/>
      <c r="D873" s="125"/>
      <c r="E873" s="112"/>
      <c r="F873" s="128"/>
      <c r="G873" s="128"/>
      <c r="H873" s="128"/>
      <c r="I873" s="128"/>
      <c r="J873" s="112"/>
      <c r="K873" s="112"/>
      <c r="L873" s="153"/>
      <c r="M873" s="112"/>
      <c r="N873" s="112"/>
      <c r="O873" s="112"/>
      <c r="P873" s="112"/>
      <c r="Q873" s="112"/>
      <c r="R873" s="112"/>
      <c r="S873" s="112"/>
      <c r="T873" s="112"/>
      <c r="U873" s="112"/>
      <c r="V873" s="112"/>
      <c r="W873" s="112"/>
      <c r="X873" s="112"/>
      <c r="Y873" s="112"/>
      <c r="Z873" s="112"/>
      <c r="AA873" s="112"/>
      <c r="AB873" s="112"/>
    </row>
    <row r="874" ht="15.75" customHeight="1">
      <c r="A874" s="112"/>
      <c r="B874" s="112"/>
      <c r="C874" s="112"/>
      <c r="D874" s="125"/>
      <c r="E874" s="112"/>
      <c r="F874" s="128"/>
      <c r="G874" s="128"/>
      <c r="H874" s="128"/>
      <c r="I874" s="128"/>
      <c r="J874" s="112"/>
      <c r="K874" s="112"/>
      <c r="L874" s="153"/>
      <c r="M874" s="112"/>
      <c r="N874" s="112"/>
      <c r="O874" s="112"/>
      <c r="P874" s="112"/>
      <c r="Q874" s="112"/>
      <c r="R874" s="112"/>
      <c r="S874" s="112"/>
      <c r="T874" s="112"/>
      <c r="U874" s="112"/>
      <c r="V874" s="112"/>
      <c r="W874" s="112"/>
      <c r="X874" s="112"/>
      <c r="Y874" s="112"/>
      <c r="Z874" s="112"/>
      <c r="AA874" s="112"/>
      <c r="AB874" s="112"/>
    </row>
    <row r="875" ht="15.75" customHeight="1">
      <c r="A875" s="112"/>
      <c r="B875" s="112"/>
      <c r="C875" s="112"/>
      <c r="D875" s="125"/>
      <c r="E875" s="112"/>
      <c r="F875" s="128"/>
      <c r="G875" s="128"/>
      <c r="H875" s="128"/>
      <c r="I875" s="128"/>
      <c r="J875" s="112"/>
      <c r="K875" s="112"/>
      <c r="L875" s="153"/>
      <c r="M875" s="112"/>
      <c r="N875" s="112"/>
      <c r="O875" s="112"/>
      <c r="P875" s="112"/>
      <c r="Q875" s="112"/>
      <c r="R875" s="112"/>
      <c r="S875" s="112"/>
      <c r="T875" s="112"/>
      <c r="U875" s="112"/>
      <c r="V875" s="112"/>
      <c r="W875" s="112"/>
      <c r="X875" s="112"/>
      <c r="Y875" s="112"/>
      <c r="Z875" s="112"/>
      <c r="AA875" s="112"/>
      <c r="AB875" s="112"/>
    </row>
    <row r="876" ht="15.75" customHeight="1">
      <c r="A876" s="112"/>
      <c r="B876" s="112"/>
      <c r="C876" s="112"/>
      <c r="D876" s="125"/>
      <c r="E876" s="112"/>
      <c r="F876" s="128"/>
      <c r="G876" s="128"/>
      <c r="H876" s="128"/>
      <c r="I876" s="128"/>
      <c r="J876" s="112"/>
      <c r="K876" s="112"/>
      <c r="L876" s="153"/>
      <c r="M876" s="112"/>
      <c r="N876" s="112"/>
      <c r="O876" s="112"/>
      <c r="P876" s="112"/>
      <c r="Q876" s="112"/>
      <c r="R876" s="112"/>
      <c r="S876" s="112"/>
      <c r="T876" s="112"/>
      <c r="U876" s="112"/>
      <c r="V876" s="112"/>
      <c r="W876" s="112"/>
      <c r="X876" s="112"/>
      <c r="Y876" s="112"/>
      <c r="Z876" s="112"/>
      <c r="AA876" s="112"/>
      <c r="AB876" s="112"/>
    </row>
    <row r="877" ht="15.75" customHeight="1">
      <c r="A877" s="112"/>
      <c r="B877" s="112"/>
      <c r="C877" s="112"/>
      <c r="D877" s="125"/>
      <c r="E877" s="112"/>
      <c r="F877" s="128"/>
      <c r="G877" s="128"/>
      <c r="H877" s="128"/>
      <c r="I877" s="128"/>
      <c r="J877" s="112"/>
      <c r="K877" s="112"/>
      <c r="L877" s="153"/>
      <c r="M877" s="112"/>
      <c r="N877" s="112"/>
      <c r="O877" s="112"/>
      <c r="P877" s="112"/>
      <c r="Q877" s="112"/>
      <c r="R877" s="112"/>
      <c r="S877" s="112"/>
      <c r="T877" s="112"/>
      <c r="U877" s="112"/>
      <c r="V877" s="112"/>
      <c r="W877" s="112"/>
      <c r="X877" s="112"/>
      <c r="Y877" s="112"/>
      <c r="Z877" s="112"/>
      <c r="AA877" s="112"/>
      <c r="AB877" s="112"/>
    </row>
    <row r="878" ht="15.75" customHeight="1">
      <c r="A878" s="112"/>
      <c r="B878" s="112"/>
      <c r="C878" s="112"/>
      <c r="D878" s="125"/>
      <c r="E878" s="112"/>
      <c r="F878" s="128"/>
      <c r="G878" s="128"/>
      <c r="H878" s="128"/>
      <c r="I878" s="128"/>
      <c r="J878" s="112"/>
      <c r="K878" s="112"/>
      <c r="L878" s="153"/>
      <c r="M878" s="112"/>
      <c r="N878" s="112"/>
      <c r="O878" s="112"/>
      <c r="P878" s="112"/>
      <c r="Q878" s="112"/>
      <c r="R878" s="112"/>
      <c r="S878" s="112"/>
      <c r="T878" s="112"/>
      <c r="U878" s="112"/>
      <c r="V878" s="112"/>
      <c r="W878" s="112"/>
      <c r="X878" s="112"/>
      <c r="Y878" s="112"/>
      <c r="Z878" s="112"/>
      <c r="AA878" s="112"/>
      <c r="AB878" s="112"/>
    </row>
    <row r="879" ht="15.75" customHeight="1">
      <c r="A879" s="112"/>
      <c r="B879" s="112"/>
      <c r="C879" s="112"/>
      <c r="D879" s="125"/>
      <c r="E879" s="112"/>
      <c r="F879" s="128"/>
      <c r="G879" s="128"/>
      <c r="H879" s="128"/>
      <c r="I879" s="128"/>
      <c r="J879" s="112"/>
      <c r="K879" s="112"/>
      <c r="L879" s="153"/>
      <c r="M879" s="112"/>
      <c r="N879" s="112"/>
      <c r="O879" s="112"/>
      <c r="P879" s="112"/>
      <c r="Q879" s="112"/>
      <c r="R879" s="112"/>
      <c r="S879" s="112"/>
      <c r="T879" s="112"/>
      <c r="U879" s="112"/>
      <c r="V879" s="112"/>
      <c r="W879" s="112"/>
      <c r="X879" s="112"/>
      <c r="Y879" s="112"/>
      <c r="Z879" s="112"/>
      <c r="AA879" s="112"/>
      <c r="AB879" s="112"/>
    </row>
    <row r="880" ht="15.75" customHeight="1">
      <c r="A880" s="112"/>
      <c r="B880" s="112"/>
      <c r="C880" s="112"/>
      <c r="D880" s="125"/>
      <c r="E880" s="112"/>
      <c r="F880" s="128"/>
      <c r="G880" s="128"/>
      <c r="H880" s="128"/>
      <c r="I880" s="128"/>
      <c r="J880" s="112"/>
      <c r="K880" s="112"/>
      <c r="L880" s="153"/>
      <c r="M880" s="112"/>
      <c r="N880" s="112"/>
      <c r="O880" s="112"/>
      <c r="P880" s="112"/>
      <c r="Q880" s="112"/>
      <c r="R880" s="112"/>
      <c r="S880" s="112"/>
      <c r="T880" s="112"/>
      <c r="U880" s="112"/>
      <c r="V880" s="112"/>
      <c r="W880" s="112"/>
      <c r="X880" s="112"/>
      <c r="Y880" s="112"/>
      <c r="Z880" s="112"/>
      <c r="AA880" s="112"/>
      <c r="AB880" s="112"/>
    </row>
    <row r="881" ht="15.75" customHeight="1">
      <c r="A881" s="112"/>
      <c r="B881" s="112"/>
      <c r="C881" s="112"/>
      <c r="D881" s="125"/>
      <c r="E881" s="112"/>
      <c r="F881" s="128"/>
      <c r="G881" s="128"/>
      <c r="H881" s="128"/>
      <c r="I881" s="128"/>
      <c r="J881" s="112"/>
      <c r="K881" s="112"/>
      <c r="L881" s="153"/>
      <c r="M881" s="112"/>
      <c r="N881" s="112"/>
      <c r="O881" s="112"/>
      <c r="P881" s="112"/>
      <c r="Q881" s="112"/>
      <c r="R881" s="112"/>
      <c r="S881" s="112"/>
      <c r="T881" s="112"/>
      <c r="U881" s="112"/>
      <c r="V881" s="112"/>
      <c r="W881" s="112"/>
      <c r="X881" s="112"/>
      <c r="Y881" s="112"/>
      <c r="Z881" s="112"/>
      <c r="AA881" s="112"/>
      <c r="AB881" s="112"/>
    </row>
    <row r="882" ht="15.75" customHeight="1">
      <c r="A882" s="112"/>
      <c r="B882" s="112"/>
      <c r="C882" s="112"/>
      <c r="D882" s="125"/>
      <c r="E882" s="112"/>
      <c r="F882" s="128"/>
      <c r="G882" s="128"/>
      <c r="H882" s="128"/>
      <c r="I882" s="128"/>
      <c r="J882" s="112"/>
      <c r="K882" s="112"/>
      <c r="L882" s="153"/>
      <c r="M882" s="112"/>
      <c r="N882" s="112"/>
      <c r="O882" s="112"/>
      <c r="P882" s="112"/>
      <c r="Q882" s="112"/>
      <c r="R882" s="112"/>
      <c r="S882" s="112"/>
      <c r="T882" s="112"/>
      <c r="U882" s="112"/>
      <c r="V882" s="112"/>
      <c r="W882" s="112"/>
      <c r="X882" s="112"/>
      <c r="Y882" s="112"/>
      <c r="Z882" s="112"/>
      <c r="AA882" s="112"/>
      <c r="AB882" s="112"/>
    </row>
    <row r="883" ht="15.75" customHeight="1">
      <c r="A883" s="112"/>
      <c r="B883" s="112"/>
      <c r="C883" s="112"/>
      <c r="D883" s="125"/>
      <c r="E883" s="112"/>
      <c r="F883" s="128"/>
      <c r="G883" s="128"/>
      <c r="H883" s="128"/>
      <c r="I883" s="128"/>
      <c r="J883" s="112"/>
      <c r="K883" s="112"/>
      <c r="L883" s="153"/>
      <c r="M883" s="112"/>
      <c r="N883" s="112"/>
      <c r="O883" s="112"/>
      <c r="P883" s="112"/>
      <c r="Q883" s="112"/>
      <c r="R883" s="112"/>
      <c r="S883" s="112"/>
      <c r="T883" s="112"/>
      <c r="U883" s="112"/>
      <c r="V883" s="112"/>
      <c r="W883" s="112"/>
      <c r="X883" s="112"/>
      <c r="Y883" s="112"/>
      <c r="Z883" s="112"/>
      <c r="AA883" s="112"/>
      <c r="AB883" s="112"/>
    </row>
    <row r="884" ht="15.75" customHeight="1">
      <c r="A884" s="112"/>
      <c r="B884" s="112"/>
      <c r="C884" s="112"/>
      <c r="D884" s="125"/>
      <c r="E884" s="112"/>
      <c r="F884" s="128"/>
      <c r="G884" s="128"/>
      <c r="H884" s="128"/>
      <c r="I884" s="128"/>
      <c r="J884" s="112"/>
      <c r="K884" s="112"/>
      <c r="L884" s="153"/>
      <c r="M884" s="112"/>
      <c r="N884" s="112"/>
      <c r="O884" s="112"/>
      <c r="P884" s="112"/>
      <c r="Q884" s="112"/>
      <c r="R884" s="112"/>
      <c r="S884" s="112"/>
      <c r="T884" s="112"/>
      <c r="U884" s="112"/>
      <c r="V884" s="112"/>
      <c r="W884" s="112"/>
      <c r="X884" s="112"/>
      <c r="Y884" s="112"/>
      <c r="Z884" s="112"/>
      <c r="AA884" s="112"/>
      <c r="AB884" s="112"/>
    </row>
    <row r="885" ht="15.75" customHeight="1">
      <c r="A885" s="112"/>
      <c r="B885" s="112"/>
      <c r="C885" s="112"/>
      <c r="D885" s="125"/>
      <c r="E885" s="112"/>
      <c r="F885" s="128"/>
      <c r="G885" s="128"/>
      <c r="H885" s="128"/>
      <c r="I885" s="128"/>
      <c r="J885" s="112"/>
      <c r="K885" s="112"/>
      <c r="L885" s="153"/>
      <c r="M885" s="112"/>
      <c r="N885" s="112"/>
      <c r="O885" s="112"/>
      <c r="P885" s="112"/>
      <c r="Q885" s="112"/>
      <c r="R885" s="112"/>
      <c r="S885" s="112"/>
      <c r="T885" s="112"/>
      <c r="U885" s="112"/>
      <c r="V885" s="112"/>
      <c r="W885" s="112"/>
      <c r="X885" s="112"/>
      <c r="Y885" s="112"/>
      <c r="Z885" s="112"/>
      <c r="AA885" s="112"/>
      <c r="AB885" s="112"/>
    </row>
    <row r="886" ht="15.75" customHeight="1">
      <c r="A886" s="112"/>
      <c r="B886" s="112"/>
      <c r="C886" s="112"/>
      <c r="D886" s="125"/>
      <c r="E886" s="112"/>
      <c r="F886" s="128"/>
      <c r="G886" s="128"/>
      <c r="H886" s="128"/>
      <c r="I886" s="128"/>
      <c r="J886" s="112"/>
      <c r="K886" s="112"/>
      <c r="L886" s="153"/>
      <c r="M886" s="112"/>
      <c r="N886" s="112"/>
      <c r="O886" s="112"/>
      <c r="P886" s="112"/>
      <c r="Q886" s="112"/>
      <c r="R886" s="112"/>
      <c r="S886" s="112"/>
      <c r="T886" s="112"/>
      <c r="U886" s="112"/>
      <c r="V886" s="112"/>
      <c r="W886" s="112"/>
      <c r="X886" s="112"/>
      <c r="Y886" s="112"/>
      <c r="Z886" s="112"/>
      <c r="AA886" s="112"/>
      <c r="AB886" s="112"/>
    </row>
    <row r="887" ht="15.75" customHeight="1">
      <c r="A887" s="112"/>
      <c r="B887" s="112"/>
      <c r="C887" s="112"/>
      <c r="D887" s="125"/>
      <c r="E887" s="112"/>
      <c r="F887" s="128"/>
      <c r="G887" s="128"/>
      <c r="H887" s="128"/>
      <c r="I887" s="128"/>
      <c r="J887" s="112"/>
      <c r="K887" s="112"/>
      <c r="L887" s="153"/>
      <c r="M887" s="112"/>
      <c r="N887" s="112"/>
      <c r="O887" s="112"/>
      <c r="P887" s="112"/>
      <c r="Q887" s="112"/>
      <c r="R887" s="112"/>
      <c r="S887" s="112"/>
      <c r="T887" s="112"/>
      <c r="U887" s="112"/>
      <c r="V887" s="112"/>
      <c r="W887" s="112"/>
      <c r="X887" s="112"/>
      <c r="Y887" s="112"/>
      <c r="Z887" s="112"/>
      <c r="AA887" s="112"/>
      <c r="AB887" s="112"/>
    </row>
    <row r="888" ht="15.75" customHeight="1">
      <c r="A888" s="112"/>
      <c r="B888" s="112"/>
      <c r="C888" s="112"/>
      <c r="D888" s="125"/>
      <c r="E888" s="112"/>
      <c r="F888" s="128"/>
      <c r="G888" s="128"/>
      <c r="H888" s="128"/>
      <c r="I888" s="128"/>
      <c r="J888" s="112"/>
      <c r="K888" s="112"/>
      <c r="L888" s="153"/>
      <c r="M888" s="112"/>
      <c r="N888" s="112"/>
      <c r="O888" s="112"/>
      <c r="P888" s="112"/>
      <c r="Q888" s="112"/>
      <c r="R888" s="112"/>
      <c r="S888" s="112"/>
      <c r="T888" s="112"/>
      <c r="U888" s="112"/>
      <c r="V888" s="112"/>
      <c r="W888" s="112"/>
      <c r="X888" s="112"/>
      <c r="Y888" s="112"/>
      <c r="Z888" s="112"/>
      <c r="AA888" s="112"/>
      <c r="AB888" s="112"/>
    </row>
    <row r="889" ht="15.75" customHeight="1">
      <c r="A889" s="112"/>
      <c r="B889" s="112"/>
      <c r="C889" s="112"/>
      <c r="D889" s="125"/>
      <c r="E889" s="112"/>
      <c r="F889" s="128"/>
      <c r="G889" s="128"/>
      <c r="H889" s="128"/>
      <c r="I889" s="128"/>
      <c r="J889" s="112"/>
      <c r="K889" s="112"/>
      <c r="L889" s="153"/>
      <c r="M889" s="112"/>
      <c r="N889" s="112"/>
      <c r="O889" s="112"/>
      <c r="P889" s="112"/>
      <c r="Q889" s="112"/>
      <c r="R889" s="112"/>
      <c r="S889" s="112"/>
      <c r="T889" s="112"/>
      <c r="U889" s="112"/>
      <c r="V889" s="112"/>
      <c r="W889" s="112"/>
      <c r="X889" s="112"/>
      <c r="Y889" s="112"/>
      <c r="Z889" s="112"/>
      <c r="AA889" s="112"/>
      <c r="AB889" s="112"/>
    </row>
    <row r="890" ht="15.75" customHeight="1">
      <c r="A890" s="112"/>
      <c r="B890" s="112"/>
      <c r="C890" s="112"/>
      <c r="D890" s="125"/>
      <c r="E890" s="112"/>
      <c r="F890" s="128"/>
      <c r="G890" s="128"/>
      <c r="H890" s="128"/>
      <c r="I890" s="128"/>
      <c r="J890" s="112"/>
      <c r="K890" s="112"/>
      <c r="L890" s="153"/>
      <c r="M890" s="112"/>
      <c r="N890" s="112"/>
      <c r="O890" s="112"/>
      <c r="P890" s="112"/>
      <c r="Q890" s="112"/>
      <c r="R890" s="112"/>
      <c r="S890" s="112"/>
      <c r="T890" s="112"/>
      <c r="U890" s="112"/>
      <c r="V890" s="112"/>
      <c r="W890" s="112"/>
      <c r="X890" s="112"/>
      <c r="Y890" s="112"/>
      <c r="Z890" s="112"/>
      <c r="AA890" s="112"/>
      <c r="AB890" s="112"/>
    </row>
    <row r="891" ht="15.75" customHeight="1">
      <c r="A891" s="112"/>
      <c r="B891" s="112"/>
      <c r="C891" s="112"/>
      <c r="D891" s="125"/>
      <c r="E891" s="112"/>
      <c r="F891" s="128"/>
      <c r="G891" s="128"/>
      <c r="H891" s="128"/>
      <c r="I891" s="128"/>
      <c r="J891" s="112"/>
      <c r="K891" s="112"/>
      <c r="L891" s="153"/>
      <c r="M891" s="112"/>
      <c r="N891" s="112"/>
      <c r="O891" s="112"/>
      <c r="P891" s="112"/>
      <c r="Q891" s="112"/>
      <c r="R891" s="112"/>
      <c r="S891" s="112"/>
      <c r="T891" s="112"/>
      <c r="U891" s="112"/>
      <c r="V891" s="112"/>
      <c r="W891" s="112"/>
      <c r="X891" s="112"/>
      <c r="Y891" s="112"/>
      <c r="Z891" s="112"/>
      <c r="AA891" s="112"/>
      <c r="AB891" s="112"/>
    </row>
    <row r="892" ht="15.75" customHeight="1">
      <c r="A892" s="112"/>
      <c r="B892" s="112"/>
      <c r="C892" s="112"/>
      <c r="D892" s="125"/>
      <c r="E892" s="112"/>
      <c r="F892" s="128"/>
      <c r="G892" s="128"/>
      <c r="H892" s="128"/>
      <c r="I892" s="128"/>
      <c r="J892" s="112"/>
      <c r="K892" s="112"/>
      <c r="L892" s="153"/>
      <c r="M892" s="112"/>
      <c r="N892" s="112"/>
      <c r="O892" s="112"/>
      <c r="P892" s="112"/>
      <c r="Q892" s="112"/>
      <c r="R892" s="112"/>
      <c r="S892" s="112"/>
      <c r="T892" s="112"/>
      <c r="U892" s="112"/>
      <c r="V892" s="112"/>
      <c r="W892" s="112"/>
      <c r="X892" s="112"/>
      <c r="Y892" s="112"/>
      <c r="Z892" s="112"/>
      <c r="AA892" s="112"/>
      <c r="AB892" s="112"/>
    </row>
    <row r="893" ht="15.75" customHeight="1">
      <c r="A893" s="112"/>
      <c r="B893" s="112"/>
      <c r="C893" s="112"/>
      <c r="D893" s="125"/>
      <c r="E893" s="112"/>
      <c r="F893" s="128"/>
      <c r="G893" s="128"/>
      <c r="H893" s="128"/>
      <c r="I893" s="128"/>
      <c r="J893" s="112"/>
      <c r="K893" s="112"/>
      <c r="L893" s="153"/>
      <c r="M893" s="112"/>
      <c r="N893" s="112"/>
      <c r="O893" s="112"/>
      <c r="P893" s="112"/>
      <c r="Q893" s="112"/>
      <c r="R893" s="112"/>
      <c r="S893" s="112"/>
      <c r="T893" s="112"/>
      <c r="U893" s="112"/>
      <c r="V893" s="112"/>
      <c r="W893" s="112"/>
      <c r="X893" s="112"/>
      <c r="Y893" s="112"/>
      <c r="Z893" s="112"/>
      <c r="AA893" s="112"/>
      <c r="AB893" s="112"/>
    </row>
    <row r="894" ht="15.75" customHeight="1">
      <c r="A894" s="112"/>
      <c r="B894" s="112"/>
      <c r="C894" s="112"/>
      <c r="D894" s="125"/>
      <c r="E894" s="112"/>
      <c r="F894" s="128"/>
      <c r="G894" s="128"/>
      <c r="H894" s="128"/>
      <c r="I894" s="128"/>
      <c r="J894" s="112"/>
      <c r="K894" s="112"/>
      <c r="L894" s="153"/>
      <c r="M894" s="112"/>
      <c r="N894" s="112"/>
      <c r="O894" s="112"/>
      <c r="P894" s="112"/>
      <c r="Q894" s="112"/>
      <c r="R894" s="112"/>
      <c r="S894" s="112"/>
      <c r="T894" s="112"/>
      <c r="U894" s="112"/>
      <c r="V894" s="112"/>
      <c r="W894" s="112"/>
      <c r="X894" s="112"/>
      <c r="Y894" s="112"/>
      <c r="Z894" s="112"/>
      <c r="AA894" s="112"/>
      <c r="AB894" s="112"/>
    </row>
    <row r="895" ht="15.75" customHeight="1">
      <c r="A895" s="112"/>
      <c r="B895" s="112"/>
      <c r="C895" s="112"/>
      <c r="D895" s="125"/>
      <c r="E895" s="112"/>
      <c r="F895" s="128"/>
      <c r="G895" s="128"/>
      <c r="H895" s="128"/>
      <c r="I895" s="128"/>
      <c r="J895" s="112"/>
      <c r="K895" s="112"/>
      <c r="L895" s="153"/>
      <c r="M895" s="112"/>
      <c r="N895" s="112"/>
      <c r="O895" s="112"/>
      <c r="P895" s="112"/>
      <c r="Q895" s="112"/>
      <c r="R895" s="112"/>
      <c r="S895" s="112"/>
      <c r="T895" s="112"/>
      <c r="U895" s="112"/>
      <c r="V895" s="112"/>
      <c r="W895" s="112"/>
      <c r="X895" s="112"/>
      <c r="Y895" s="112"/>
      <c r="Z895" s="112"/>
      <c r="AA895" s="112"/>
      <c r="AB895" s="112"/>
    </row>
    <row r="896" ht="15.75" customHeight="1">
      <c r="A896" s="112"/>
      <c r="B896" s="112"/>
      <c r="C896" s="112"/>
      <c r="D896" s="125"/>
      <c r="E896" s="112"/>
      <c r="F896" s="128"/>
      <c r="G896" s="128"/>
      <c r="H896" s="128"/>
      <c r="I896" s="128"/>
      <c r="J896" s="112"/>
      <c r="K896" s="112"/>
      <c r="L896" s="153"/>
      <c r="M896" s="112"/>
      <c r="N896" s="112"/>
      <c r="O896" s="112"/>
      <c r="P896" s="112"/>
      <c r="Q896" s="112"/>
      <c r="R896" s="112"/>
      <c r="S896" s="112"/>
      <c r="T896" s="112"/>
      <c r="U896" s="112"/>
      <c r="V896" s="112"/>
      <c r="W896" s="112"/>
      <c r="X896" s="112"/>
      <c r="Y896" s="112"/>
      <c r="Z896" s="112"/>
      <c r="AA896" s="112"/>
      <c r="AB896" s="112"/>
    </row>
    <row r="897" ht="15.75" customHeight="1">
      <c r="A897" s="112"/>
      <c r="B897" s="112"/>
      <c r="C897" s="112"/>
      <c r="D897" s="125"/>
      <c r="E897" s="112"/>
      <c r="F897" s="128"/>
      <c r="G897" s="128"/>
      <c r="H897" s="128"/>
      <c r="I897" s="128"/>
      <c r="J897" s="112"/>
      <c r="K897" s="112"/>
      <c r="L897" s="153"/>
      <c r="M897" s="112"/>
      <c r="N897" s="112"/>
      <c r="O897" s="112"/>
      <c r="P897" s="112"/>
      <c r="Q897" s="112"/>
      <c r="R897" s="112"/>
      <c r="S897" s="112"/>
      <c r="T897" s="112"/>
      <c r="U897" s="112"/>
      <c r="V897" s="112"/>
      <c r="W897" s="112"/>
      <c r="X897" s="112"/>
      <c r="Y897" s="112"/>
      <c r="Z897" s="112"/>
      <c r="AA897" s="112"/>
      <c r="AB897" s="112"/>
    </row>
    <row r="898" ht="15.75" customHeight="1">
      <c r="A898" s="112"/>
      <c r="B898" s="112"/>
      <c r="C898" s="112"/>
      <c r="D898" s="125"/>
      <c r="E898" s="112"/>
      <c r="F898" s="128"/>
      <c r="G898" s="128"/>
      <c r="H898" s="128"/>
      <c r="I898" s="128"/>
      <c r="J898" s="112"/>
      <c r="K898" s="112"/>
      <c r="L898" s="153"/>
      <c r="M898" s="112"/>
      <c r="N898" s="112"/>
      <c r="O898" s="112"/>
      <c r="P898" s="112"/>
      <c r="Q898" s="112"/>
      <c r="R898" s="112"/>
      <c r="S898" s="112"/>
      <c r="T898" s="112"/>
      <c r="U898" s="112"/>
      <c r="V898" s="112"/>
      <c r="W898" s="112"/>
      <c r="X898" s="112"/>
      <c r="Y898" s="112"/>
      <c r="Z898" s="112"/>
      <c r="AA898" s="112"/>
      <c r="AB898" s="112"/>
    </row>
    <row r="899" ht="15.75" customHeight="1">
      <c r="A899" s="112"/>
      <c r="B899" s="112"/>
      <c r="C899" s="112"/>
      <c r="D899" s="125"/>
      <c r="E899" s="112"/>
      <c r="F899" s="128"/>
      <c r="G899" s="128"/>
      <c r="H899" s="128"/>
      <c r="I899" s="128"/>
      <c r="J899" s="112"/>
      <c r="K899" s="112"/>
      <c r="L899" s="153"/>
      <c r="M899" s="112"/>
      <c r="N899" s="112"/>
      <c r="O899" s="112"/>
      <c r="P899" s="112"/>
      <c r="Q899" s="112"/>
      <c r="R899" s="112"/>
      <c r="S899" s="112"/>
      <c r="T899" s="112"/>
      <c r="U899" s="112"/>
      <c r="V899" s="112"/>
      <c r="W899" s="112"/>
      <c r="X899" s="112"/>
      <c r="Y899" s="112"/>
      <c r="Z899" s="112"/>
      <c r="AA899" s="112"/>
      <c r="AB899" s="112"/>
    </row>
    <row r="900" ht="15.75" customHeight="1">
      <c r="A900" s="112"/>
      <c r="B900" s="112"/>
      <c r="C900" s="112"/>
      <c r="D900" s="125"/>
      <c r="E900" s="112"/>
      <c r="F900" s="128"/>
      <c r="G900" s="128"/>
      <c r="H900" s="128"/>
      <c r="I900" s="128"/>
      <c r="J900" s="112"/>
      <c r="K900" s="112"/>
      <c r="L900" s="153"/>
      <c r="M900" s="112"/>
      <c r="N900" s="112"/>
      <c r="O900" s="112"/>
      <c r="P900" s="112"/>
      <c r="Q900" s="112"/>
      <c r="R900" s="112"/>
      <c r="S900" s="112"/>
      <c r="T900" s="112"/>
      <c r="U900" s="112"/>
      <c r="V900" s="112"/>
      <c r="W900" s="112"/>
      <c r="X900" s="112"/>
      <c r="Y900" s="112"/>
      <c r="Z900" s="112"/>
      <c r="AA900" s="112"/>
      <c r="AB900" s="112"/>
    </row>
    <row r="901" ht="15.75" customHeight="1">
      <c r="A901" s="112"/>
      <c r="B901" s="112"/>
      <c r="C901" s="112"/>
      <c r="D901" s="125"/>
      <c r="E901" s="112"/>
      <c r="F901" s="128"/>
      <c r="G901" s="128"/>
      <c r="H901" s="128"/>
      <c r="I901" s="128"/>
      <c r="J901" s="112"/>
      <c r="K901" s="112"/>
      <c r="L901" s="153"/>
      <c r="M901" s="112"/>
      <c r="N901" s="112"/>
      <c r="O901" s="112"/>
      <c r="P901" s="112"/>
      <c r="Q901" s="112"/>
      <c r="R901" s="112"/>
      <c r="S901" s="112"/>
      <c r="T901" s="112"/>
      <c r="U901" s="112"/>
      <c r="V901" s="112"/>
      <c r="W901" s="112"/>
      <c r="X901" s="112"/>
      <c r="Y901" s="112"/>
      <c r="Z901" s="112"/>
      <c r="AA901" s="112"/>
      <c r="AB901" s="112"/>
    </row>
    <row r="902" ht="15.75" customHeight="1">
      <c r="A902" s="112"/>
      <c r="B902" s="112"/>
      <c r="C902" s="112"/>
      <c r="D902" s="125"/>
      <c r="E902" s="112"/>
      <c r="F902" s="128"/>
      <c r="G902" s="128"/>
      <c r="H902" s="128"/>
      <c r="I902" s="128"/>
      <c r="J902" s="112"/>
      <c r="K902" s="112"/>
      <c r="L902" s="153"/>
      <c r="M902" s="112"/>
      <c r="N902" s="112"/>
      <c r="O902" s="112"/>
      <c r="P902" s="112"/>
      <c r="Q902" s="112"/>
      <c r="R902" s="112"/>
      <c r="S902" s="112"/>
      <c r="T902" s="112"/>
      <c r="U902" s="112"/>
      <c r="V902" s="112"/>
      <c r="W902" s="112"/>
      <c r="X902" s="112"/>
      <c r="Y902" s="112"/>
      <c r="Z902" s="112"/>
      <c r="AA902" s="112"/>
      <c r="AB902" s="112"/>
    </row>
    <row r="903" ht="15.75" customHeight="1">
      <c r="A903" s="112"/>
      <c r="B903" s="112"/>
      <c r="C903" s="112"/>
      <c r="D903" s="125"/>
      <c r="E903" s="112"/>
      <c r="F903" s="128"/>
      <c r="G903" s="128"/>
      <c r="H903" s="128"/>
      <c r="I903" s="128"/>
      <c r="J903" s="112"/>
      <c r="K903" s="112"/>
      <c r="L903" s="153"/>
      <c r="M903" s="112"/>
      <c r="N903" s="112"/>
      <c r="O903" s="112"/>
      <c r="P903" s="112"/>
      <c r="Q903" s="112"/>
      <c r="R903" s="112"/>
      <c r="S903" s="112"/>
      <c r="T903" s="112"/>
      <c r="U903" s="112"/>
      <c r="V903" s="112"/>
      <c r="W903" s="112"/>
      <c r="X903" s="112"/>
      <c r="Y903" s="112"/>
      <c r="Z903" s="112"/>
      <c r="AA903" s="112"/>
      <c r="AB903" s="112"/>
    </row>
    <row r="904" ht="15.75" customHeight="1">
      <c r="A904" s="112"/>
      <c r="B904" s="112"/>
      <c r="C904" s="112"/>
      <c r="D904" s="125"/>
      <c r="E904" s="112"/>
      <c r="F904" s="128"/>
      <c r="G904" s="128"/>
      <c r="H904" s="128"/>
      <c r="I904" s="128"/>
      <c r="J904" s="112"/>
      <c r="K904" s="112"/>
      <c r="L904" s="153"/>
      <c r="M904" s="112"/>
      <c r="N904" s="112"/>
      <c r="O904" s="112"/>
      <c r="P904" s="112"/>
      <c r="Q904" s="112"/>
      <c r="R904" s="112"/>
      <c r="S904" s="112"/>
      <c r="T904" s="112"/>
      <c r="U904" s="112"/>
      <c r="V904" s="112"/>
      <c r="W904" s="112"/>
      <c r="X904" s="112"/>
      <c r="Y904" s="112"/>
      <c r="Z904" s="112"/>
      <c r="AA904" s="112"/>
      <c r="AB904" s="112"/>
    </row>
    <row r="905" ht="15.75" customHeight="1">
      <c r="A905" s="112"/>
      <c r="B905" s="112"/>
      <c r="C905" s="112"/>
      <c r="D905" s="125"/>
      <c r="E905" s="112"/>
      <c r="F905" s="128"/>
      <c r="G905" s="128"/>
      <c r="H905" s="128"/>
      <c r="I905" s="128"/>
      <c r="J905" s="112"/>
      <c r="K905" s="112"/>
      <c r="L905" s="153"/>
      <c r="M905" s="112"/>
      <c r="N905" s="112"/>
      <c r="O905" s="112"/>
      <c r="P905" s="112"/>
      <c r="Q905" s="112"/>
      <c r="R905" s="112"/>
      <c r="S905" s="112"/>
      <c r="T905" s="112"/>
      <c r="U905" s="112"/>
      <c r="V905" s="112"/>
      <c r="W905" s="112"/>
      <c r="X905" s="112"/>
      <c r="Y905" s="112"/>
      <c r="Z905" s="112"/>
      <c r="AA905" s="112"/>
      <c r="AB905" s="112"/>
    </row>
    <row r="906" ht="15.75" customHeight="1">
      <c r="A906" s="112"/>
      <c r="B906" s="112"/>
      <c r="C906" s="112"/>
      <c r="D906" s="125"/>
      <c r="E906" s="112"/>
      <c r="F906" s="128"/>
      <c r="G906" s="128"/>
      <c r="H906" s="128"/>
      <c r="I906" s="128"/>
      <c r="J906" s="112"/>
      <c r="K906" s="112"/>
      <c r="L906" s="153"/>
      <c r="M906" s="112"/>
      <c r="N906" s="112"/>
      <c r="O906" s="112"/>
      <c r="P906" s="112"/>
      <c r="Q906" s="112"/>
      <c r="R906" s="112"/>
      <c r="S906" s="112"/>
      <c r="T906" s="112"/>
      <c r="U906" s="112"/>
      <c r="V906" s="112"/>
      <c r="W906" s="112"/>
      <c r="X906" s="112"/>
      <c r="Y906" s="112"/>
      <c r="Z906" s="112"/>
      <c r="AA906" s="112"/>
      <c r="AB906" s="112"/>
    </row>
    <row r="907" ht="15.75" customHeight="1">
      <c r="A907" s="112"/>
      <c r="B907" s="112"/>
      <c r="C907" s="112"/>
      <c r="D907" s="125"/>
      <c r="E907" s="112"/>
      <c r="F907" s="128"/>
      <c r="G907" s="128"/>
      <c r="H907" s="128"/>
      <c r="I907" s="128"/>
      <c r="J907" s="112"/>
      <c r="K907" s="112"/>
      <c r="L907" s="153"/>
      <c r="M907" s="112"/>
      <c r="N907" s="112"/>
      <c r="O907" s="112"/>
      <c r="P907" s="112"/>
      <c r="Q907" s="112"/>
      <c r="R907" s="112"/>
      <c r="S907" s="112"/>
      <c r="T907" s="112"/>
      <c r="U907" s="112"/>
      <c r="V907" s="112"/>
      <c r="W907" s="112"/>
      <c r="X907" s="112"/>
      <c r="Y907" s="112"/>
      <c r="Z907" s="112"/>
      <c r="AA907" s="112"/>
      <c r="AB907" s="112"/>
    </row>
    <row r="908" ht="15.75" customHeight="1">
      <c r="A908" s="112"/>
      <c r="B908" s="112"/>
      <c r="C908" s="112"/>
      <c r="D908" s="125"/>
      <c r="E908" s="112"/>
      <c r="F908" s="128"/>
      <c r="G908" s="128"/>
      <c r="H908" s="128"/>
      <c r="I908" s="128"/>
      <c r="J908" s="112"/>
      <c r="K908" s="112"/>
      <c r="L908" s="153"/>
      <c r="M908" s="112"/>
      <c r="N908" s="112"/>
      <c r="O908" s="112"/>
      <c r="P908" s="112"/>
      <c r="Q908" s="112"/>
      <c r="R908" s="112"/>
      <c r="S908" s="112"/>
      <c r="T908" s="112"/>
      <c r="U908" s="112"/>
      <c r="V908" s="112"/>
      <c r="W908" s="112"/>
      <c r="X908" s="112"/>
      <c r="Y908" s="112"/>
      <c r="Z908" s="112"/>
      <c r="AA908" s="112"/>
      <c r="AB908" s="112"/>
    </row>
    <row r="909" ht="15.75" customHeight="1">
      <c r="A909" s="112"/>
      <c r="B909" s="112"/>
      <c r="C909" s="112"/>
      <c r="D909" s="125"/>
      <c r="E909" s="112"/>
      <c r="F909" s="128"/>
      <c r="G909" s="128"/>
      <c r="H909" s="128"/>
      <c r="I909" s="128"/>
      <c r="J909" s="112"/>
      <c r="K909" s="112"/>
      <c r="L909" s="153"/>
      <c r="M909" s="112"/>
      <c r="N909" s="112"/>
      <c r="O909" s="112"/>
      <c r="P909" s="112"/>
      <c r="Q909" s="112"/>
      <c r="R909" s="112"/>
      <c r="S909" s="112"/>
      <c r="T909" s="112"/>
      <c r="U909" s="112"/>
      <c r="V909" s="112"/>
      <c r="W909" s="112"/>
      <c r="X909" s="112"/>
      <c r="Y909" s="112"/>
      <c r="Z909" s="112"/>
      <c r="AA909" s="112"/>
      <c r="AB909" s="112"/>
    </row>
    <row r="910" ht="15.75" customHeight="1">
      <c r="A910" s="112"/>
      <c r="B910" s="112"/>
      <c r="C910" s="112"/>
      <c r="D910" s="125"/>
      <c r="E910" s="112"/>
      <c r="F910" s="128"/>
      <c r="G910" s="128"/>
      <c r="H910" s="128"/>
      <c r="I910" s="128"/>
      <c r="J910" s="112"/>
      <c r="K910" s="112"/>
      <c r="L910" s="153"/>
      <c r="M910" s="112"/>
      <c r="N910" s="112"/>
      <c r="O910" s="112"/>
      <c r="P910" s="112"/>
      <c r="Q910" s="112"/>
      <c r="R910" s="112"/>
      <c r="S910" s="112"/>
      <c r="T910" s="112"/>
      <c r="U910" s="112"/>
      <c r="V910" s="112"/>
      <c r="W910" s="112"/>
      <c r="X910" s="112"/>
      <c r="Y910" s="112"/>
      <c r="Z910" s="112"/>
      <c r="AA910" s="112"/>
      <c r="AB910" s="112"/>
    </row>
    <row r="911" ht="15.75" customHeight="1">
      <c r="A911" s="112"/>
      <c r="B911" s="112"/>
      <c r="C911" s="112"/>
      <c r="D911" s="125"/>
      <c r="E911" s="112"/>
      <c r="F911" s="128"/>
      <c r="G911" s="128"/>
      <c r="H911" s="128"/>
      <c r="I911" s="128"/>
      <c r="J911" s="112"/>
      <c r="K911" s="112"/>
      <c r="L911" s="153"/>
      <c r="M911" s="112"/>
      <c r="N911" s="112"/>
      <c r="O911" s="112"/>
      <c r="P911" s="112"/>
      <c r="Q911" s="112"/>
      <c r="R911" s="112"/>
      <c r="S911" s="112"/>
      <c r="T911" s="112"/>
      <c r="U911" s="112"/>
      <c r="V911" s="112"/>
      <c r="W911" s="112"/>
      <c r="X911" s="112"/>
      <c r="Y911" s="112"/>
      <c r="Z911" s="112"/>
      <c r="AA911" s="112"/>
      <c r="AB911" s="112"/>
    </row>
    <row r="912" ht="15.75" customHeight="1">
      <c r="A912" s="112"/>
      <c r="B912" s="112"/>
      <c r="C912" s="112"/>
      <c r="D912" s="125"/>
      <c r="E912" s="112"/>
      <c r="F912" s="128"/>
      <c r="G912" s="128"/>
      <c r="H912" s="128"/>
      <c r="I912" s="128"/>
      <c r="J912" s="112"/>
      <c r="K912" s="112"/>
      <c r="L912" s="153"/>
      <c r="M912" s="112"/>
      <c r="N912" s="112"/>
      <c r="O912" s="112"/>
      <c r="P912" s="112"/>
      <c r="Q912" s="112"/>
      <c r="R912" s="112"/>
      <c r="S912" s="112"/>
      <c r="T912" s="112"/>
      <c r="U912" s="112"/>
      <c r="V912" s="112"/>
      <c r="W912" s="112"/>
      <c r="X912" s="112"/>
      <c r="Y912" s="112"/>
      <c r="Z912" s="112"/>
      <c r="AA912" s="112"/>
      <c r="AB912" s="112"/>
    </row>
    <row r="913" ht="15.75" customHeight="1">
      <c r="A913" s="112"/>
      <c r="B913" s="112"/>
      <c r="C913" s="112"/>
      <c r="D913" s="125"/>
      <c r="E913" s="112"/>
      <c r="F913" s="128"/>
      <c r="G913" s="128"/>
      <c r="H913" s="128"/>
      <c r="I913" s="128"/>
      <c r="J913" s="112"/>
      <c r="K913" s="112"/>
      <c r="L913" s="153"/>
      <c r="M913" s="112"/>
      <c r="N913" s="112"/>
      <c r="O913" s="112"/>
      <c r="P913" s="112"/>
      <c r="Q913" s="112"/>
      <c r="R913" s="112"/>
      <c r="S913" s="112"/>
      <c r="T913" s="112"/>
      <c r="U913" s="112"/>
      <c r="V913" s="112"/>
      <c r="W913" s="112"/>
      <c r="X913" s="112"/>
      <c r="Y913" s="112"/>
      <c r="Z913" s="112"/>
      <c r="AA913" s="112"/>
      <c r="AB913" s="112"/>
    </row>
    <row r="914" ht="15.75" customHeight="1">
      <c r="A914" s="112"/>
      <c r="B914" s="112"/>
      <c r="C914" s="112"/>
      <c r="D914" s="125"/>
      <c r="E914" s="112"/>
      <c r="F914" s="128"/>
      <c r="G914" s="128"/>
      <c r="H914" s="128"/>
      <c r="I914" s="128"/>
      <c r="J914" s="112"/>
      <c r="K914" s="112"/>
      <c r="L914" s="153"/>
      <c r="M914" s="112"/>
      <c r="N914" s="112"/>
      <c r="O914" s="112"/>
      <c r="P914" s="112"/>
      <c r="Q914" s="112"/>
      <c r="R914" s="112"/>
      <c r="S914" s="112"/>
      <c r="T914" s="112"/>
      <c r="U914" s="112"/>
      <c r="V914" s="112"/>
      <c r="W914" s="112"/>
      <c r="X914" s="112"/>
      <c r="Y914" s="112"/>
      <c r="Z914" s="112"/>
      <c r="AA914" s="112"/>
      <c r="AB914" s="112"/>
    </row>
    <row r="915" ht="15.75" customHeight="1">
      <c r="A915" s="112"/>
      <c r="B915" s="112"/>
      <c r="C915" s="112"/>
      <c r="D915" s="125"/>
      <c r="E915" s="112"/>
      <c r="F915" s="128"/>
      <c r="G915" s="128"/>
      <c r="H915" s="128"/>
      <c r="I915" s="128"/>
      <c r="J915" s="112"/>
      <c r="K915" s="112"/>
      <c r="L915" s="153"/>
      <c r="M915" s="112"/>
      <c r="N915" s="112"/>
      <c r="O915" s="112"/>
      <c r="P915" s="112"/>
      <c r="Q915" s="112"/>
      <c r="R915" s="112"/>
      <c r="S915" s="112"/>
      <c r="T915" s="112"/>
      <c r="U915" s="112"/>
      <c r="V915" s="112"/>
      <c r="W915" s="112"/>
      <c r="X915" s="112"/>
      <c r="Y915" s="112"/>
      <c r="Z915" s="112"/>
      <c r="AA915" s="112"/>
      <c r="AB915" s="112"/>
    </row>
    <row r="916" ht="15.75" customHeight="1">
      <c r="A916" s="112"/>
      <c r="B916" s="112"/>
      <c r="C916" s="112"/>
      <c r="D916" s="125"/>
      <c r="E916" s="112"/>
      <c r="F916" s="128"/>
      <c r="G916" s="128"/>
      <c r="H916" s="128"/>
      <c r="I916" s="128"/>
      <c r="J916" s="112"/>
      <c r="K916" s="112"/>
      <c r="L916" s="153"/>
      <c r="M916" s="112"/>
      <c r="N916" s="112"/>
      <c r="O916" s="112"/>
      <c r="P916" s="112"/>
      <c r="Q916" s="112"/>
      <c r="R916" s="112"/>
      <c r="S916" s="112"/>
      <c r="T916" s="112"/>
      <c r="U916" s="112"/>
      <c r="V916" s="112"/>
      <c r="W916" s="112"/>
      <c r="X916" s="112"/>
      <c r="Y916" s="112"/>
      <c r="Z916" s="112"/>
      <c r="AA916" s="112"/>
      <c r="AB916" s="112"/>
    </row>
    <row r="917" ht="15.75" customHeight="1">
      <c r="A917" s="112"/>
      <c r="B917" s="112"/>
      <c r="C917" s="112"/>
      <c r="D917" s="125"/>
      <c r="E917" s="112"/>
      <c r="F917" s="128"/>
      <c r="G917" s="128"/>
      <c r="H917" s="128"/>
      <c r="I917" s="128"/>
      <c r="J917" s="112"/>
      <c r="K917" s="112"/>
      <c r="L917" s="153"/>
      <c r="M917" s="112"/>
      <c r="N917" s="112"/>
      <c r="O917" s="112"/>
      <c r="P917" s="112"/>
      <c r="Q917" s="112"/>
      <c r="R917" s="112"/>
      <c r="S917" s="112"/>
      <c r="T917" s="112"/>
      <c r="U917" s="112"/>
      <c r="V917" s="112"/>
      <c r="W917" s="112"/>
      <c r="X917" s="112"/>
      <c r="Y917" s="112"/>
      <c r="Z917" s="112"/>
      <c r="AA917" s="112"/>
      <c r="AB917" s="112"/>
    </row>
    <row r="918" ht="15.75" customHeight="1">
      <c r="A918" s="112"/>
      <c r="B918" s="112"/>
      <c r="C918" s="112"/>
      <c r="D918" s="125"/>
      <c r="E918" s="112"/>
      <c r="F918" s="128"/>
      <c r="G918" s="128"/>
      <c r="H918" s="128"/>
      <c r="I918" s="128"/>
      <c r="J918" s="112"/>
      <c r="K918" s="112"/>
      <c r="L918" s="153"/>
      <c r="M918" s="112"/>
      <c r="N918" s="112"/>
      <c r="O918" s="112"/>
      <c r="P918" s="112"/>
      <c r="Q918" s="112"/>
      <c r="R918" s="112"/>
      <c r="S918" s="112"/>
      <c r="T918" s="112"/>
      <c r="U918" s="112"/>
      <c r="V918" s="112"/>
      <c r="W918" s="112"/>
      <c r="X918" s="112"/>
      <c r="Y918" s="112"/>
      <c r="Z918" s="112"/>
      <c r="AA918" s="112"/>
      <c r="AB918" s="112"/>
    </row>
    <row r="919" ht="15.75" customHeight="1">
      <c r="A919" s="112"/>
      <c r="B919" s="112"/>
      <c r="C919" s="112"/>
      <c r="D919" s="125"/>
      <c r="E919" s="112"/>
      <c r="F919" s="128"/>
      <c r="G919" s="128"/>
      <c r="H919" s="128"/>
      <c r="I919" s="128"/>
      <c r="J919" s="112"/>
      <c r="K919" s="112"/>
      <c r="L919" s="153"/>
      <c r="M919" s="112"/>
      <c r="N919" s="112"/>
      <c r="O919" s="112"/>
      <c r="P919" s="112"/>
      <c r="Q919" s="112"/>
      <c r="R919" s="112"/>
      <c r="S919" s="112"/>
      <c r="T919" s="112"/>
      <c r="U919" s="112"/>
      <c r="V919" s="112"/>
      <c r="W919" s="112"/>
      <c r="X919" s="112"/>
      <c r="Y919" s="112"/>
      <c r="Z919" s="112"/>
      <c r="AA919" s="112"/>
      <c r="AB919" s="112"/>
    </row>
    <row r="920" ht="15.75" customHeight="1">
      <c r="A920" s="112"/>
      <c r="B920" s="112"/>
      <c r="C920" s="112"/>
      <c r="D920" s="125"/>
      <c r="E920" s="112"/>
      <c r="F920" s="128"/>
      <c r="G920" s="128"/>
      <c r="H920" s="128"/>
      <c r="I920" s="128"/>
      <c r="J920" s="112"/>
      <c r="K920" s="112"/>
      <c r="L920" s="153"/>
      <c r="M920" s="112"/>
      <c r="N920" s="112"/>
      <c r="O920" s="112"/>
      <c r="P920" s="112"/>
      <c r="Q920" s="112"/>
      <c r="R920" s="112"/>
      <c r="S920" s="112"/>
      <c r="T920" s="112"/>
      <c r="U920" s="112"/>
      <c r="V920" s="112"/>
      <c r="W920" s="112"/>
      <c r="X920" s="112"/>
      <c r="Y920" s="112"/>
      <c r="Z920" s="112"/>
      <c r="AA920" s="112"/>
      <c r="AB920" s="112"/>
    </row>
    <row r="921" ht="15.75" customHeight="1">
      <c r="A921" s="112"/>
      <c r="B921" s="112"/>
      <c r="C921" s="112"/>
      <c r="D921" s="125"/>
      <c r="E921" s="112"/>
      <c r="F921" s="128"/>
      <c r="G921" s="128"/>
      <c r="H921" s="128"/>
      <c r="I921" s="128"/>
      <c r="J921" s="112"/>
      <c r="K921" s="112"/>
      <c r="L921" s="153"/>
      <c r="M921" s="112"/>
      <c r="N921" s="112"/>
      <c r="O921" s="112"/>
      <c r="P921" s="112"/>
      <c r="Q921" s="112"/>
      <c r="R921" s="112"/>
      <c r="S921" s="112"/>
      <c r="T921" s="112"/>
      <c r="U921" s="112"/>
      <c r="V921" s="112"/>
      <c r="W921" s="112"/>
      <c r="X921" s="112"/>
      <c r="Y921" s="112"/>
      <c r="Z921" s="112"/>
      <c r="AA921" s="112"/>
      <c r="AB921" s="112"/>
    </row>
    <row r="922" ht="15.75" customHeight="1">
      <c r="A922" s="112"/>
      <c r="B922" s="112"/>
      <c r="C922" s="112"/>
      <c r="D922" s="125"/>
      <c r="E922" s="112"/>
      <c r="F922" s="128"/>
      <c r="G922" s="128"/>
      <c r="H922" s="128"/>
      <c r="I922" s="128"/>
      <c r="J922" s="112"/>
      <c r="K922" s="112"/>
      <c r="L922" s="153"/>
      <c r="M922" s="112"/>
      <c r="N922" s="112"/>
      <c r="O922" s="112"/>
      <c r="P922" s="112"/>
      <c r="Q922" s="112"/>
      <c r="R922" s="112"/>
      <c r="S922" s="112"/>
      <c r="T922" s="112"/>
      <c r="U922" s="112"/>
      <c r="V922" s="112"/>
      <c r="W922" s="112"/>
      <c r="X922" s="112"/>
      <c r="Y922" s="112"/>
      <c r="Z922" s="112"/>
      <c r="AA922" s="112"/>
      <c r="AB922" s="112"/>
    </row>
    <row r="923" ht="15.75" customHeight="1">
      <c r="A923" s="112"/>
      <c r="B923" s="112"/>
      <c r="C923" s="112"/>
      <c r="D923" s="125"/>
      <c r="E923" s="112"/>
      <c r="F923" s="128"/>
      <c r="G923" s="128"/>
      <c r="H923" s="128"/>
      <c r="I923" s="128"/>
      <c r="J923" s="112"/>
      <c r="K923" s="112"/>
      <c r="L923" s="153"/>
      <c r="M923" s="112"/>
      <c r="N923" s="112"/>
      <c r="O923" s="112"/>
      <c r="P923" s="112"/>
      <c r="Q923" s="112"/>
      <c r="R923" s="112"/>
      <c r="S923" s="112"/>
      <c r="T923" s="112"/>
      <c r="U923" s="112"/>
      <c r="V923" s="112"/>
      <c r="W923" s="112"/>
      <c r="X923" s="112"/>
      <c r="Y923" s="112"/>
      <c r="Z923" s="112"/>
      <c r="AA923" s="112"/>
      <c r="AB923" s="112"/>
    </row>
    <row r="924" ht="15.75" customHeight="1">
      <c r="A924" s="112"/>
      <c r="B924" s="112"/>
      <c r="C924" s="112"/>
      <c r="D924" s="125"/>
      <c r="E924" s="112"/>
      <c r="F924" s="128"/>
      <c r="G924" s="128"/>
      <c r="H924" s="128"/>
      <c r="I924" s="128"/>
      <c r="J924" s="112"/>
      <c r="K924" s="112"/>
      <c r="L924" s="153"/>
      <c r="M924" s="112"/>
      <c r="N924" s="112"/>
      <c r="O924" s="112"/>
      <c r="P924" s="112"/>
      <c r="Q924" s="112"/>
      <c r="R924" s="112"/>
      <c r="S924" s="112"/>
      <c r="T924" s="112"/>
      <c r="U924" s="112"/>
      <c r="V924" s="112"/>
      <c r="W924" s="112"/>
      <c r="X924" s="112"/>
      <c r="Y924" s="112"/>
      <c r="Z924" s="112"/>
      <c r="AA924" s="112"/>
      <c r="AB924" s="112"/>
    </row>
    <row r="925" ht="15.75" customHeight="1">
      <c r="A925" s="112"/>
      <c r="B925" s="112"/>
      <c r="C925" s="112"/>
      <c r="D925" s="125"/>
      <c r="E925" s="112"/>
      <c r="F925" s="128"/>
      <c r="G925" s="128"/>
      <c r="H925" s="128"/>
      <c r="I925" s="128"/>
      <c r="J925" s="112"/>
      <c r="K925" s="112"/>
      <c r="L925" s="153"/>
      <c r="M925" s="112"/>
      <c r="N925" s="112"/>
      <c r="O925" s="112"/>
      <c r="P925" s="112"/>
      <c r="Q925" s="112"/>
      <c r="R925" s="112"/>
      <c r="S925" s="112"/>
      <c r="T925" s="112"/>
      <c r="U925" s="112"/>
      <c r="V925" s="112"/>
      <c r="W925" s="112"/>
      <c r="X925" s="112"/>
      <c r="Y925" s="112"/>
      <c r="Z925" s="112"/>
      <c r="AA925" s="112"/>
      <c r="AB925" s="112"/>
    </row>
    <row r="926" ht="15.75" customHeight="1">
      <c r="A926" s="112"/>
      <c r="B926" s="112"/>
      <c r="C926" s="112"/>
      <c r="D926" s="125"/>
      <c r="E926" s="112"/>
      <c r="F926" s="128"/>
      <c r="G926" s="128"/>
      <c r="H926" s="128"/>
      <c r="I926" s="128"/>
      <c r="J926" s="112"/>
      <c r="K926" s="112"/>
      <c r="L926" s="153"/>
      <c r="M926" s="112"/>
      <c r="N926" s="112"/>
      <c r="O926" s="112"/>
      <c r="P926" s="112"/>
      <c r="Q926" s="112"/>
      <c r="R926" s="112"/>
      <c r="S926" s="112"/>
      <c r="T926" s="112"/>
      <c r="U926" s="112"/>
      <c r="V926" s="112"/>
      <c r="W926" s="112"/>
      <c r="X926" s="112"/>
      <c r="Y926" s="112"/>
      <c r="Z926" s="112"/>
      <c r="AA926" s="112"/>
      <c r="AB926" s="112"/>
    </row>
    <row r="927" ht="15.75" customHeight="1">
      <c r="A927" s="112"/>
      <c r="B927" s="112"/>
      <c r="C927" s="112"/>
      <c r="D927" s="125"/>
      <c r="E927" s="112"/>
      <c r="F927" s="128"/>
      <c r="G927" s="128"/>
      <c r="H927" s="128"/>
      <c r="I927" s="128"/>
      <c r="J927" s="112"/>
      <c r="K927" s="112"/>
      <c r="L927" s="153"/>
      <c r="M927" s="112"/>
      <c r="N927" s="112"/>
      <c r="O927" s="112"/>
      <c r="P927" s="112"/>
      <c r="Q927" s="112"/>
      <c r="R927" s="112"/>
      <c r="S927" s="112"/>
      <c r="T927" s="112"/>
      <c r="U927" s="112"/>
      <c r="V927" s="112"/>
      <c r="W927" s="112"/>
      <c r="X927" s="112"/>
      <c r="Y927" s="112"/>
      <c r="Z927" s="112"/>
      <c r="AA927" s="112"/>
      <c r="AB927" s="112"/>
    </row>
    <row r="928" ht="15.75" customHeight="1">
      <c r="A928" s="112"/>
      <c r="B928" s="112"/>
      <c r="C928" s="112"/>
      <c r="D928" s="125"/>
      <c r="E928" s="112"/>
      <c r="F928" s="128"/>
      <c r="G928" s="128"/>
      <c r="H928" s="128"/>
      <c r="I928" s="128"/>
      <c r="J928" s="112"/>
      <c r="K928" s="112"/>
      <c r="L928" s="153"/>
      <c r="M928" s="112"/>
      <c r="N928" s="112"/>
      <c r="O928" s="112"/>
      <c r="P928" s="112"/>
      <c r="Q928" s="112"/>
      <c r="R928" s="112"/>
      <c r="S928" s="112"/>
      <c r="T928" s="112"/>
      <c r="U928" s="112"/>
      <c r="V928" s="112"/>
      <c r="W928" s="112"/>
      <c r="X928" s="112"/>
      <c r="Y928" s="112"/>
      <c r="Z928" s="112"/>
      <c r="AA928" s="112"/>
      <c r="AB928" s="112"/>
    </row>
    <row r="929" ht="15.75" customHeight="1">
      <c r="A929" s="112"/>
      <c r="B929" s="112"/>
      <c r="C929" s="112"/>
      <c r="D929" s="125"/>
      <c r="E929" s="112"/>
      <c r="F929" s="128"/>
      <c r="G929" s="128"/>
      <c r="H929" s="128"/>
      <c r="I929" s="128"/>
      <c r="J929" s="112"/>
      <c r="K929" s="112"/>
      <c r="L929" s="153"/>
      <c r="M929" s="112"/>
      <c r="N929" s="112"/>
      <c r="O929" s="112"/>
      <c r="P929" s="112"/>
      <c r="Q929" s="112"/>
      <c r="R929" s="112"/>
      <c r="S929" s="112"/>
      <c r="T929" s="112"/>
      <c r="U929" s="112"/>
      <c r="V929" s="112"/>
      <c r="W929" s="112"/>
      <c r="X929" s="112"/>
      <c r="Y929" s="112"/>
      <c r="Z929" s="112"/>
      <c r="AA929" s="112"/>
      <c r="AB929" s="112"/>
    </row>
    <row r="930" ht="15.75" customHeight="1">
      <c r="A930" s="112"/>
      <c r="B930" s="112"/>
      <c r="C930" s="112"/>
      <c r="D930" s="125"/>
      <c r="E930" s="112"/>
      <c r="F930" s="128"/>
      <c r="G930" s="128"/>
      <c r="H930" s="128"/>
      <c r="I930" s="128"/>
      <c r="J930" s="112"/>
      <c r="K930" s="112"/>
      <c r="L930" s="153"/>
      <c r="M930" s="112"/>
      <c r="N930" s="112"/>
      <c r="O930" s="112"/>
      <c r="P930" s="112"/>
      <c r="Q930" s="112"/>
      <c r="R930" s="112"/>
      <c r="S930" s="112"/>
      <c r="T930" s="112"/>
      <c r="U930" s="112"/>
      <c r="V930" s="112"/>
      <c r="W930" s="112"/>
      <c r="X930" s="112"/>
      <c r="Y930" s="112"/>
      <c r="Z930" s="112"/>
      <c r="AA930" s="112"/>
      <c r="AB930" s="112"/>
    </row>
    <row r="931" ht="15.75" customHeight="1">
      <c r="A931" s="112"/>
      <c r="B931" s="112"/>
      <c r="C931" s="112"/>
      <c r="D931" s="125"/>
      <c r="E931" s="112"/>
      <c r="F931" s="128"/>
      <c r="G931" s="128"/>
      <c r="H931" s="128"/>
      <c r="I931" s="128"/>
      <c r="J931" s="112"/>
      <c r="K931" s="112"/>
      <c r="L931" s="153"/>
      <c r="M931" s="112"/>
      <c r="N931" s="112"/>
      <c r="O931" s="112"/>
      <c r="P931" s="112"/>
      <c r="Q931" s="112"/>
      <c r="R931" s="112"/>
      <c r="S931" s="112"/>
      <c r="T931" s="112"/>
      <c r="U931" s="112"/>
      <c r="V931" s="112"/>
      <c r="W931" s="112"/>
      <c r="X931" s="112"/>
      <c r="Y931" s="112"/>
      <c r="Z931" s="112"/>
      <c r="AA931" s="112"/>
      <c r="AB931" s="112"/>
    </row>
    <row r="932" ht="15.75" customHeight="1">
      <c r="A932" s="112"/>
      <c r="B932" s="112"/>
      <c r="C932" s="112"/>
      <c r="D932" s="125"/>
      <c r="E932" s="112"/>
      <c r="F932" s="128"/>
      <c r="G932" s="128"/>
      <c r="H932" s="128"/>
      <c r="I932" s="128"/>
      <c r="J932" s="112"/>
      <c r="K932" s="112"/>
      <c r="L932" s="153"/>
      <c r="M932" s="112"/>
      <c r="N932" s="112"/>
      <c r="O932" s="112"/>
      <c r="P932" s="112"/>
      <c r="Q932" s="112"/>
      <c r="R932" s="112"/>
      <c r="S932" s="112"/>
      <c r="T932" s="112"/>
      <c r="U932" s="112"/>
      <c r="V932" s="112"/>
      <c r="W932" s="112"/>
      <c r="X932" s="112"/>
      <c r="Y932" s="112"/>
      <c r="Z932" s="112"/>
      <c r="AA932" s="112"/>
      <c r="AB932" s="112"/>
    </row>
    <row r="933" ht="15.75" customHeight="1">
      <c r="A933" s="112"/>
      <c r="B933" s="112"/>
      <c r="C933" s="112"/>
      <c r="D933" s="125"/>
      <c r="E933" s="112"/>
      <c r="F933" s="128"/>
      <c r="G933" s="128"/>
      <c r="H933" s="128"/>
      <c r="I933" s="128"/>
      <c r="J933" s="112"/>
      <c r="K933" s="112"/>
      <c r="L933" s="153"/>
      <c r="M933" s="112"/>
      <c r="N933" s="112"/>
      <c r="O933" s="112"/>
      <c r="P933" s="112"/>
      <c r="Q933" s="112"/>
      <c r="R933" s="112"/>
      <c r="S933" s="112"/>
      <c r="T933" s="112"/>
      <c r="U933" s="112"/>
      <c r="V933" s="112"/>
      <c r="W933" s="112"/>
      <c r="X933" s="112"/>
      <c r="Y933" s="112"/>
      <c r="Z933" s="112"/>
      <c r="AA933" s="112"/>
      <c r="AB933" s="112"/>
    </row>
    <row r="934" ht="15.75" customHeight="1">
      <c r="A934" s="112"/>
      <c r="B934" s="112"/>
      <c r="C934" s="112"/>
      <c r="D934" s="125"/>
      <c r="E934" s="112"/>
      <c r="F934" s="128"/>
      <c r="G934" s="128"/>
      <c r="H934" s="128"/>
      <c r="I934" s="128"/>
      <c r="J934" s="112"/>
      <c r="K934" s="112"/>
      <c r="L934" s="153"/>
      <c r="M934" s="112"/>
      <c r="N934" s="112"/>
      <c r="O934" s="112"/>
      <c r="P934" s="112"/>
      <c r="Q934" s="112"/>
      <c r="R934" s="112"/>
      <c r="S934" s="112"/>
      <c r="T934" s="112"/>
      <c r="U934" s="112"/>
      <c r="V934" s="112"/>
      <c r="W934" s="112"/>
      <c r="X934" s="112"/>
      <c r="Y934" s="112"/>
      <c r="Z934" s="112"/>
      <c r="AA934" s="112"/>
      <c r="AB934" s="112"/>
    </row>
    <row r="935" ht="15.75" customHeight="1">
      <c r="A935" s="112"/>
      <c r="B935" s="112"/>
      <c r="C935" s="112"/>
      <c r="D935" s="125"/>
      <c r="E935" s="112"/>
      <c r="F935" s="128"/>
      <c r="G935" s="128"/>
      <c r="H935" s="128"/>
      <c r="I935" s="128"/>
      <c r="J935" s="112"/>
      <c r="K935" s="112"/>
      <c r="L935" s="153"/>
      <c r="M935" s="112"/>
      <c r="N935" s="112"/>
      <c r="O935" s="112"/>
      <c r="P935" s="112"/>
      <c r="Q935" s="112"/>
      <c r="R935" s="112"/>
      <c r="S935" s="112"/>
      <c r="T935" s="112"/>
      <c r="U935" s="112"/>
      <c r="V935" s="112"/>
      <c r="W935" s="112"/>
      <c r="X935" s="112"/>
      <c r="Y935" s="112"/>
      <c r="Z935" s="112"/>
      <c r="AA935" s="112"/>
      <c r="AB935" s="112"/>
    </row>
    <row r="936" ht="15.75" customHeight="1">
      <c r="A936" s="112"/>
      <c r="B936" s="112"/>
      <c r="C936" s="112"/>
      <c r="D936" s="125"/>
      <c r="E936" s="112"/>
      <c r="F936" s="128"/>
      <c r="G936" s="128"/>
      <c r="H936" s="128"/>
      <c r="I936" s="128"/>
      <c r="J936" s="112"/>
      <c r="K936" s="112"/>
      <c r="L936" s="153"/>
      <c r="M936" s="112"/>
      <c r="N936" s="112"/>
      <c r="O936" s="112"/>
      <c r="P936" s="112"/>
      <c r="Q936" s="112"/>
      <c r="R936" s="112"/>
      <c r="S936" s="112"/>
      <c r="T936" s="112"/>
      <c r="U936" s="112"/>
      <c r="V936" s="112"/>
      <c r="W936" s="112"/>
      <c r="X936" s="112"/>
      <c r="Y936" s="112"/>
      <c r="Z936" s="112"/>
      <c r="AA936" s="112"/>
      <c r="AB936" s="112"/>
    </row>
    <row r="937" ht="15.75" customHeight="1">
      <c r="A937" s="112"/>
      <c r="B937" s="112"/>
      <c r="C937" s="112"/>
      <c r="D937" s="125"/>
      <c r="E937" s="112"/>
      <c r="F937" s="128"/>
      <c r="G937" s="128"/>
      <c r="H937" s="128"/>
      <c r="I937" s="128"/>
      <c r="J937" s="112"/>
      <c r="K937" s="112"/>
      <c r="L937" s="153"/>
      <c r="M937" s="112"/>
      <c r="N937" s="112"/>
      <c r="O937" s="112"/>
      <c r="P937" s="112"/>
      <c r="Q937" s="112"/>
      <c r="R937" s="112"/>
      <c r="S937" s="112"/>
      <c r="T937" s="112"/>
      <c r="U937" s="112"/>
      <c r="V937" s="112"/>
      <c r="W937" s="112"/>
      <c r="X937" s="112"/>
      <c r="Y937" s="112"/>
      <c r="Z937" s="112"/>
      <c r="AA937" s="112"/>
      <c r="AB937" s="112"/>
    </row>
    <row r="938" ht="15.75" customHeight="1">
      <c r="A938" s="112"/>
      <c r="B938" s="112"/>
      <c r="C938" s="112"/>
      <c r="D938" s="125"/>
      <c r="E938" s="112"/>
      <c r="F938" s="128"/>
      <c r="G938" s="128"/>
      <c r="H938" s="128"/>
      <c r="I938" s="128"/>
      <c r="J938" s="112"/>
      <c r="K938" s="112"/>
      <c r="L938" s="153"/>
      <c r="M938" s="112"/>
      <c r="N938" s="112"/>
      <c r="O938" s="112"/>
      <c r="P938" s="112"/>
      <c r="Q938" s="112"/>
      <c r="R938" s="112"/>
      <c r="S938" s="112"/>
      <c r="T938" s="112"/>
      <c r="U938" s="112"/>
      <c r="V938" s="112"/>
      <c r="W938" s="112"/>
      <c r="X938" s="112"/>
      <c r="Y938" s="112"/>
      <c r="Z938" s="112"/>
      <c r="AA938" s="112"/>
      <c r="AB938" s="112"/>
    </row>
    <row r="939" ht="15.75" customHeight="1">
      <c r="A939" s="112"/>
      <c r="B939" s="112"/>
      <c r="C939" s="112"/>
      <c r="D939" s="125"/>
      <c r="E939" s="112"/>
      <c r="F939" s="128"/>
      <c r="G939" s="128"/>
      <c r="H939" s="128"/>
      <c r="I939" s="128"/>
      <c r="J939" s="112"/>
      <c r="K939" s="112"/>
      <c r="L939" s="153"/>
      <c r="M939" s="112"/>
      <c r="N939" s="112"/>
      <c r="O939" s="112"/>
      <c r="P939" s="112"/>
      <c r="Q939" s="112"/>
      <c r="R939" s="112"/>
      <c r="S939" s="112"/>
      <c r="T939" s="112"/>
      <c r="U939" s="112"/>
      <c r="V939" s="112"/>
      <c r="W939" s="112"/>
      <c r="X939" s="112"/>
      <c r="Y939" s="112"/>
      <c r="Z939" s="112"/>
      <c r="AA939" s="112"/>
      <c r="AB939" s="112"/>
    </row>
    <row r="940" ht="15.75" customHeight="1">
      <c r="A940" s="112"/>
      <c r="B940" s="112"/>
      <c r="C940" s="112"/>
      <c r="D940" s="125"/>
      <c r="E940" s="112"/>
      <c r="F940" s="128"/>
      <c r="G940" s="128"/>
      <c r="H940" s="128"/>
      <c r="I940" s="128"/>
      <c r="J940" s="112"/>
      <c r="K940" s="112"/>
      <c r="L940" s="153"/>
      <c r="M940" s="112"/>
      <c r="N940" s="112"/>
      <c r="O940" s="112"/>
      <c r="P940" s="112"/>
      <c r="Q940" s="112"/>
      <c r="R940" s="112"/>
      <c r="S940" s="112"/>
      <c r="T940" s="112"/>
      <c r="U940" s="112"/>
      <c r="V940" s="112"/>
      <c r="W940" s="112"/>
      <c r="X940" s="112"/>
      <c r="Y940" s="112"/>
      <c r="Z940" s="112"/>
      <c r="AA940" s="112"/>
      <c r="AB940" s="112"/>
    </row>
    <row r="941" ht="15.75" customHeight="1">
      <c r="A941" s="112"/>
      <c r="B941" s="112"/>
      <c r="C941" s="112"/>
      <c r="D941" s="125"/>
      <c r="E941" s="112"/>
      <c r="F941" s="128"/>
      <c r="G941" s="128"/>
      <c r="H941" s="128"/>
      <c r="I941" s="128"/>
      <c r="J941" s="112"/>
      <c r="K941" s="112"/>
      <c r="L941" s="153"/>
      <c r="M941" s="112"/>
      <c r="N941" s="112"/>
      <c r="O941" s="112"/>
      <c r="P941" s="112"/>
      <c r="Q941" s="112"/>
      <c r="R941" s="112"/>
      <c r="S941" s="112"/>
      <c r="T941" s="112"/>
      <c r="U941" s="112"/>
      <c r="V941" s="112"/>
      <c r="W941" s="112"/>
      <c r="X941" s="112"/>
      <c r="Y941" s="112"/>
      <c r="Z941" s="112"/>
      <c r="AA941" s="112"/>
      <c r="AB941" s="112"/>
    </row>
    <row r="942" ht="15.75" customHeight="1">
      <c r="A942" s="112"/>
      <c r="B942" s="112"/>
      <c r="C942" s="112"/>
      <c r="D942" s="125"/>
      <c r="E942" s="112"/>
      <c r="F942" s="128"/>
      <c r="G942" s="128"/>
      <c r="H942" s="128"/>
      <c r="I942" s="128"/>
      <c r="J942" s="112"/>
      <c r="K942" s="112"/>
      <c r="L942" s="153"/>
      <c r="M942" s="112"/>
      <c r="N942" s="112"/>
      <c r="O942" s="112"/>
      <c r="P942" s="112"/>
      <c r="Q942" s="112"/>
      <c r="R942" s="112"/>
      <c r="S942" s="112"/>
      <c r="T942" s="112"/>
      <c r="U942" s="112"/>
      <c r="V942" s="112"/>
      <c r="W942" s="112"/>
      <c r="X942" s="112"/>
      <c r="Y942" s="112"/>
      <c r="Z942" s="112"/>
      <c r="AA942" s="112"/>
      <c r="AB942" s="112"/>
    </row>
    <row r="943" ht="15.75" customHeight="1">
      <c r="A943" s="112"/>
      <c r="B943" s="112"/>
      <c r="C943" s="112"/>
      <c r="D943" s="125"/>
      <c r="E943" s="112"/>
      <c r="F943" s="128"/>
      <c r="G943" s="128"/>
      <c r="H943" s="128"/>
      <c r="I943" s="128"/>
      <c r="J943" s="112"/>
      <c r="K943" s="112"/>
      <c r="L943" s="153"/>
      <c r="M943" s="112"/>
      <c r="N943" s="112"/>
      <c r="O943" s="112"/>
      <c r="P943" s="112"/>
      <c r="Q943" s="112"/>
      <c r="R943" s="112"/>
      <c r="S943" s="112"/>
      <c r="T943" s="112"/>
      <c r="U943" s="112"/>
      <c r="V943" s="112"/>
      <c r="W943" s="112"/>
      <c r="X943" s="112"/>
      <c r="Y943" s="112"/>
      <c r="Z943" s="112"/>
      <c r="AA943" s="112"/>
      <c r="AB943" s="112"/>
    </row>
    <row r="944" ht="15.75" customHeight="1">
      <c r="A944" s="112"/>
      <c r="B944" s="112"/>
      <c r="C944" s="112"/>
      <c r="D944" s="125"/>
      <c r="E944" s="112"/>
      <c r="F944" s="128"/>
      <c r="G944" s="128"/>
      <c r="H944" s="128"/>
      <c r="I944" s="128"/>
      <c r="J944" s="112"/>
      <c r="K944" s="112"/>
      <c r="L944" s="153"/>
      <c r="M944" s="112"/>
      <c r="N944" s="112"/>
      <c r="O944" s="112"/>
      <c r="P944" s="112"/>
      <c r="Q944" s="112"/>
      <c r="R944" s="112"/>
      <c r="S944" s="112"/>
      <c r="T944" s="112"/>
      <c r="U944" s="112"/>
      <c r="V944" s="112"/>
      <c r="W944" s="112"/>
      <c r="X944" s="112"/>
      <c r="Y944" s="112"/>
      <c r="Z944" s="112"/>
      <c r="AA944" s="112"/>
      <c r="AB944" s="112"/>
    </row>
    <row r="945" ht="15.75" customHeight="1">
      <c r="A945" s="112"/>
      <c r="B945" s="112"/>
      <c r="C945" s="112"/>
      <c r="D945" s="125"/>
      <c r="E945" s="112"/>
      <c r="F945" s="128"/>
      <c r="G945" s="128"/>
      <c r="H945" s="128"/>
      <c r="I945" s="128"/>
      <c r="J945" s="112"/>
      <c r="K945" s="112"/>
      <c r="L945" s="153"/>
      <c r="M945" s="112"/>
      <c r="N945" s="112"/>
      <c r="O945" s="112"/>
      <c r="P945" s="112"/>
      <c r="Q945" s="112"/>
      <c r="R945" s="112"/>
      <c r="S945" s="112"/>
      <c r="T945" s="112"/>
      <c r="U945" s="112"/>
      <c r="V945" s="112"/>
      <c r="W945" s="112"/>
      <c r="X945" s="112"/>
      <c r="Y945" s="112"/>
      <c r="Z945" s="112"/>
      <c r="AA945" s="112"/>
      <c r="AB945" s="112"/>
    </row>
    <row r="946" ht="15.75" customHeight="1">
      <c r="A946" s="112"/>
      <c r="B946" s="112"/>
      <c r="C946" s="112"/>
      <c r="D946" s="125"/>
      <c r="E946" s="112"/>
      <c r="F946" s="128"/>
      <c r="G946" s="128"/>
      <c r="H946" s="128"/>
      <c r="I946" s="128"/>
      <c r="J946" s="112"/>
      <c r="K946" s="112"/>
      <c r="L946" s="153"/>
      <c r="M946" s="112"/>
      <c r="N946" s="112"/>
      <c r="O946" s="112"/>
      <c r="P946" s="112"/>
      <c r="Q946" s="112"/>
      <c r="R946" s="112"/>
      <c r="S946" s="112"/>
      <c r="T946" s="112"/>
      <c r="U946" s="112"/>
      <c r="V946" s="112"/>
      <c r="W946" s="112"/>
      <c r="X946" s="112"/>
      <c r="Y946" s="112"/>
      <c r="Z946" s="112"/>
      <c r="AA946" s="112"/>
      <c r="AB946" s="112"/>
    </row>
    <row r="947" ht="15.75" customHeight="1">
      <c r="A947" s="112"/>
      <c r="B947" s="112"/>
      <c r="C947" s="112"/>
      <c r="D947" s="125"/>
      <c r="E947" s="112"/>
      <c r="F947" s="128"/>
      <c r="G947" s="128"/>
      <c r="H947" s="128"/>
      <c r="I947" s="128"/>
      <c r="J947" s="112"/>
      <c r="K947" s="112"/>
      <c r="L947" s="153"/>
      <c r="M947" s="112"/>
      <c r="N947" s="112"/>
      <c r="O947" s="112"/>
      <c r="P947" s="112"/>
      <c r="Q947" s="112"/>
      <c r="R947" s="112"/>
      <c r="S947" s="112"/>
      <c r="T947" s="112"/>
      <c r="U947" s="112"/>
      <c r="V947" s="112"/>
      <c r="W947" s="112"/>
      <c r="X947" s="112"/>
      <c r="Y947" s="112"/>
      <c r="Z947" s="112"/>
      <c r="AA947" s="112"/>
      <c r="AB947" s="112"/>
    </row>
    <row r="948" ht="15.75" customHeight="1">
      <c r="A948" s="112"/>
      <c r="B948" s="112"/>
      <c r="C948" s="112"/>
      <c r="D948" s="125"/>
      <c r="E948" s="112"/>
      <c r="F948" s="128"/>
      <c r="G948" s="128"/>
      <c r="H948" s="128"/>
      <c r="I948" s="128"/>
      <c r="J948" s="112"/>
      <c r="K948" s="112"/>
      <c r="L948" s="153"/>
      <c r="M948" s="112"/>
      <c r="N948" s="112"/>
      <c r="O948" s="112"/>
      <c r="P948" s="112"/>
      <c r="Q948" s="112"/>
      <c r="R948" s="112"/>
      <c r="S948" s="112"/>
      <c r="T948" s="112"/>
      <c r="U948" s="112"/>
      <c r="V948" s="112"/>
      <c r="W948" s="112"/>
      <c r="X948" s="112"/>
      <c r="Y948" s="112"/>
      <c r="Z948" s="112"/>
      <c r="AA948" s="112"/>
      <c r="AB948" s="112"/>
    </row>
    <row r="949" ht="15.75" customHeight="1">
      <c r="A949" s="112"/>
      <c r="B949" s="112"/>
      <c r="C949" s="112"/>
      <c r="D949" s="125"/>
      <c r="E949" s="112"/>
      <c r="F949" s="128"/>
      <c r="G949" s="128"/>
      <c r="H949" s="128"/>
      <c r="I949" s="128"/>
      <c r="J949" s="112"/>
      <c r="K949" s="112"/>
      <c r="L949" s="153"/>
      <c r="M949" s="112"/>
      <c r="N949" s="112"/>
      <c r="O949" s="112"/>
      <c r="P949" s="112"/>
      <c r="Q949" s="112"/>
      <c r="R949" s="112"/>
      <c r="S949" s="112"/>
      <c r="T949" s="112"/>
      <c r="U949" s="112"/>
      <c r="V949" s="112"/>
      <c r="W949" s="112"/>
      <c r="X949" s="112"/>
      <c r="Y949" s="112"/>
      <c r="Z949" s="112"/>
      <c r="AA949" s="112"/>
      <c r="AB949" s="112"/>
    </row>
    <row r="950" ht="15.75" customHeight="1">
      <c r="A950" s="112"/>
      <c r="B950" s="112"/>
      <c r="C950" s="112"/>
      <c r="D950" s="125"/>
      <c r="E950" s="112"/>
      <c r="F950" s="128"/>
      <c r="G950" s="128"/>
      <c r="H950" s="128"/>
      <c r="I950" s="128"/>
      <c r="J950" s="112"/>
      <c r="K950" s="112"/>
      <c r="L950" s="153"/>
      <c r="M950" s="112"/>
      <c r="N950" s="112"/>
      <c r="O950" s="112"/>
      <c r="P950" s="112"/>
      <c r="Q950" s="112"/>
      <c r="R950" s="112"/>
      <c r="S950" s="112"/>
      <c r="T950" s="112"/>
      <c r="U950" s="112"/>
      <c r="V950" s="112"/>
      <c r="W950" s="112"/>
      <c r="X950" s="112"/>
      <c r="Y950" s="112"/>
      <c r="Z950" s="112"/>
      <c r="AA950" s="112"/>
      <c r="AB950" s="112"/>
    </row>
    <row r="951" ht="15.75" customHeight="1">
      <c r="A951" s="112"/>
      <c r="B951" s="112"/>
      <c r="C951" s="112"/>
      <c r="D951" s="125"/>
      <c r="E951" s="112"/>
      <c r="F951" s="128"/>
      <c r="G951" s="128"/>
      <c r="H951" s="128"/>
      <c r="I951" s="128"/>
      <c r="J951" s="112"/>
      <c r="K951" s="112"/>
      <c r="L951" s="153"/>
      <c r="M951" s="112"/>
      <c r="N951" s="112"/>
      <c r="O951" s="112"/>
      <c r="P951" s="112"/>
      <c r="Q951" s="112"/>
      <c r="R951" s="112"/>
      <c r="S951" s="112"/>
      <c r="T951" s="112"/>
      <c r="U951" s="112"/>
      <c r="V951" s="112"/>
      <c r="W951" s="112"/>
      <c r="X951" s="112"/>
      <c r="Y951" s="112"/>
      <c r="Z951" s="112"/>
      <c r="AA951" s="112"/>
      <c r="AB951" s="112"/>
    </row>
    <row r="952" ht="15.75" customHeight="1">
      <c r="A952" s="112"/>
      <c r="B952" s="112"/>
      <c r="C952" s="112"/>
      <c r="D952" s="125"/>
      <c r="E952" s="112"/>
      <c r="F952" s="128"/>
      <c r="G952" s="128"/>
      <c r="H952" s="128"/>
      <c r="I952" s="128"/>
      <c r="J952" s="112"/>
      <c r="K952" s="112"/>
      <c r="L952" s="153"/>
      <c r="M952" s="112"/>
      <c r="N952" s="112"/>
      <c r="O952" s="112"/>
      <c r="P952" s="112"/>
      <c r="Q952" s="112"/>
      <c r="R952" s="112"/>
      <c r="S952" s="112"/>
      <c r="T952" s="112"/>
      <c r="U952" s="112"/>
      <c r="V952" s="112"/>
      <c r="W952" s="112"/>
      <c r="X952" s="112"/>
      <c r="Y952" s="112"/>
      <c r="Z952" s="112"/>
      <c r="AA952" s="112"/>
      <c r="AB952" s="112"/>
    </row>
    <row r="953" ht="15.75" customHeight="1">
      <c r="A953" s="112"/>
      <c r="B953" s="112"/>
      <c r="C953" s="112"/>
      <c r="D953" s="125"/>
      <c r="E953" s="112"/>
      <c r="F953" s="128"/>
      <c r="G953" s="128"/>
      <c r="H953" s="128"/>
      <c r="I953" s="128"/>
      <c r="J953" s="112"/>
      <c r="K953" s="112"/>
      <c r="L953" s="153"/>
      <c r="M953" s="112"/>
      <c r="N953" s="112"/>
      <c r="O953" s="112"/>
      <c r="P953" s="112"/>
      <c r="Q953" s="112"/>
      <c r="R953" s="112"/>
      <c r="S953" s="112"/>
      <c r="T953" s="112"/>
      <c r="U953" s="112"/>
      <c r="V953" s="112"/>
      <c r="W953" s="112"/>
      <c r="X953" s="112"/>
      <c r="Y953" s="112"/>
      <c r="Z953" s="112"/>
      <c r="AA953" s="112"/>
      <c r="AB953" s="112"/>
    </row>
    <row r="954" ht="15.75" customHeight="1">
      <c r="A954" s="112"/>
      <c r="B954" s="112"/>
      <c r="C954" s="112"/>
      <c r="D954" s="125"/>
      <c r="E954" s="112"/>
      <c r="F954" s="128"/>
      <c r="G954" s="128"/>
      <c r="H954" s="128"/>
      <c r="I954" s="128"/>
      <c r="J954" s="112"/>
      <c r="K954" s="112"/>
      <c r="L954" s="153"/>
      <c r="M954" s="112"/>
      <c r="N954" s="112"/>
      <c r="O954" s="112"/>
      <c r="P954" s="112"/>
      <c r="Q954" s="112"/>
      <c r="R954" s="112"/>
      <c r="S954" s="112"/>
      <c r="T954" s="112"/>
      <c r="U954" s="112"/>
      <c r="V954" s="112"/>
      <c r="W954" s="112"/>
      <c r="X954" s="112"/>
      <c r="Y954" s="112"/>
      <c r="Z954" s="112"/>
      <c r="AA954" s="112"/>
      <c r="AB954" s="112"/>
    </row>
    <row r="955" ht="15.75" customHeight="1">
      <c r="A955" s="112"/>
      <c r="B955" s="112"/>
      <c r="C955" s="112"/>
      <c r="D955" s="125"/>
      <c r="E955" s="112"/>
      <c r="F955" s="128"/>
      <c r="G955" s="128"/>
      <c r="H955" s="128"/>
      <c r="I955" s="128"/>
      <c r="J955" s="112"/>
      <c r="K955" s="112"/>
      <c r="L955" s="153"/>
      <c r="M955" s="112"/>
      <c r="N955" s="112"/>
      <c r="O955" s="112"/>
      <c r="P955" s="112"/>
      <c r="Q955" s="112"/>
      <c r="R955" s="112"/>
      <c r="S955" s="112"/>
      <c r="T955" s="112"/>
      <c r="U955" s="112"/>
      <c r="V955" s="112"/>
      <c r="W955" s="112"/>
      <c r="X955" s="112"/>
      <c r="Y955" s="112"/>
      <c r="Z955" s="112"/>
      <c r="AA955" s="112"/>
      <c r="AB955" s="112"/>
    </row>
    <row r="956" ht="15.75" customHeight="1">
      <c r="A956" s="112"/>
      <c r="B956" s="112"/>
      <c r="C956" s="112"/>
      <c r="D956" s="125"/>
      <c r="E956" s="112"/>
      <c r="F956" s="128"/>
      <c r="G956" s="128"/>
      <c r="H956" s="128"/>
      <c r="I956" s="128"/>
      <c r="J956" s="112"/>
      <c r="K956" s="112"/>
      <c r="L956" s="153"/>
      <c r="M956" s="112"/>
      <c r="N956" s="112"/>
      <c r="O956" s="112"/>
      <c r="P956" s="112"/>
      <c r="Q956" s="112"/>
      <c r="R956" s="112"/>
      <c r="S956" s="112"/>
      <c r="T956" s="112"/>
      <c r="U956" s="112"/>
      <c r="V956" s="112"/>
      <c r="W956" s="112"/>
      <c r="X956" s="112"/>
      <c r="Y956" s="112"/>
      <c r="Z956" s="112"/>
      <c r="AA956" s="112"/>
      <c r="AB956" s="112"/>
    </row>
    <row r="957" ht="15.75" customHeight="1">
      <c r="A957" s="112"/>
      <c r="B957" s="112"/>
      <c r="C957" s="112"/>
      <c r="D957" s="125"/>
      <c r="E957" s="112"/>
      <c r="F957" s="128"/>
      <c r="G957" s="128"/>
      <c r="H957" s="128"/>
      <c r="I957" s="128"/>
      <c r="J957" s="112"/>
      <c r="K957" s="112"/>
      <c r="L957" s="153"/>
      <c r="M957" s="112"/>
      <c r="N957" s="112"/>
      <c r="O957" s="112"/>
      <c r="P957" s="112"/>
      <c r="Q957" s="112"/>
      <c r="R957" s="112"/>
      <c r="S957" s="112"/>
      <c r="T957" s="112"/>
      <c r="U957" s="112"/>
      <c r="V957" s="112"/>
      <c r="W957" s="112"/>
      <c r="X957" s="112"/>
      <c r="Y957" s="112"/>
      <c r="Z957" s="112"/>
      <c r="AA957" s="112"/>
      <c r="AB957" s="112"/>
    </row>
    <row r="958" ht="15.75" customHeight="1">
      <c r="A958" s="112"/>
      <c r="B958" s="112"/>
      <c r="C958" s="112"/>
      <c r="D958" s="125"/>
      <c r="E958" s="112"/>
      <c r="F958" s="128"/>
      <c r="G958" s="128"/>
      <c r="H958" s="128"/>
      <c r="I958" s="128"/>
      <c r="J958" s="112"/>
      <c r="K958" s="112"/>
      <c r="L958" s="153"/>
      <c r="M958" s="112"/>
      <c r="N958" s="112"/>
      <c r="O958" s="112"/>
      <c r="P958" s="112"/>
      <c r="Q958" s="112"/>
      <c r="R958" s="112"/>
      <c r="S958" s="112"/>
      <c r="T958" s="112"/>
      <c r="U958" s="112"/>
      <c r="V958" s="112"/>
      <c r="W958" s="112"/>
      <c r="X958" s="112"/>
      <c r="Y958" s="112"/>
      <c r="Z958" s="112"/>
      <c r="AA958" s="112"/>
      <c r="AB958" s="112"/>
    </row>
    <row r="959" ht="15.75" customHeight="1">
      <c r="A959" s="112"/>
      <c r="B959" s="112"/>
      <c r="C959" s="112"/>
      <c r="D959" s="125"/>
      <c r="E959" s="112"/>
      <c r="F959" s="128"/>
      <c r="G959" s="128"/>
      <c r="H959" s="128"/>
      <c r="I959" s="128"/>
      <c r="J959" s="112"/>
      <c r="K959" s="112"/>
      <c r="L959" s="153"/>
      <c r="M959" s="112"/>
      <c r="N959" s="112"/>
      <c r="O959" s="112"/>
      <c r="P959" s="112"/>
      <c r="Q959" s="112"/>
      <c r="R959" s="112"/>
      <c r="S959" s="112"/>
      <c r="T959" s="112"/>
      <c r="U959" s="112"/>
      <c r="V959" s="112"/>
      <c r="W959" s="112"/>
      <c r="X959" s="112"/>
      <c r="Y959" s="112"/>
      <c r="Z959" s="112"/>
      <c r="AA959" s="112"/>
      <c r="AB959" s="112"/>
    </row>
    <row r="960" ht="15.75" customHeight="1">
      <c r="A960" s="112"/>
      <c r="B960" s="112"/>
      <c r="C960" s="112"/>
      <c r="D960" s="125"/>
      <c r="E960" s="112"/>
      <c r="F960" s="128"/>
      <c r="G960" s="128"/>
      <c r="H960" s="128"/>
      <c r="I960" s="128"/>
      <c r="J960" s="112"/>
      <c r="K960" s="112"/>
      <c r="L960" s="153"/>
      <c r="M960" s="112"/>
      <c r="N960" s="112"/>
      <c r="O960" s="112"/>
      <c r="P960" s="112"/>
      <c r="Q960" s="112"/>
      <c r="R960" s="112"/>
      <c r="S960" s="112"/>
      <c r="T960" s="112"/>
      <c r="U960" s="112"/>
      <c r="V960" s="112"/>
      <c r="W960" s="112"/>
      <c r="X960" s="112"/>
      <c r="Y960" s="112"/>
      <c r="Z960" s="112"/>
      <c r="AA960" s="112"/>
      <c r="AB960" s="112"/>
    </row>
    <row r="961" ht="15.75" customHeight="1">
      <c r="A961" s="112"/>
      <c r="B961" s="112"/>
      <c r="C961" s="112"/>
      <c r="D961" s="125"/>
      <c r="E961" s="112"/>
      <c r="F961" s="128"/>
      <c r="G961" s="128"/>
      <c r="H961" s="128"/>
      <c r="I961" s="128"/>
      <c r="J961" s="112"/>
      <c r="K961" s="112"/>
      <c r="L961" s="153"/>
      <c r="M961" s="112"/>
      <c r="N961" s="112"/>
      <c r="O961" s="112"/>
      <c r="P961" s="112"/>
      <c r="Q961" s="112"/>
      <c r="R961" s="112"/>
      <c r="S961" s="112"/>
      <c r="T961" s="112"/>
      <c r="U961" s="112"/>
      <c r="V961" s="112"/>
      <c r="W961" s="112"/>
      <c r="X961" s="112"/>
      <c r="Y961" s="112"/>
      <c r="Z961" s="112"/>
      <c r="AA961" s="112"/>
      <c r="AB961" s="112"/>
    </row>
    <row r="962" ht="15.75" customHeight="1">
      <c r="A962" s="112"/>
      <c r="B962" s="112"/>
      <c r="C962" s="112"/>
      <c r="D962" s="125"/>
      <c r="E962" s="112"/>
      <c r="F962" s="128"/>
      <c r="G962" s="128"/>
      <c r="H962" s="128"/>
      <c r="I962" s="128"/>
      <c r="J962" s="112"/>
      <c r="K962" s="112"/>
      <c r="L962" s="153"/>
      <c r="M962" s="112"/>
      <c r="N962" s="112"/>
      <c r="O962" s="112"/>
      <c r="P962" s="112"/>
      <c r="Q962" s="112"/>
      <c r="R962" s="112"/>
      <c r="S962" s="112"/>
      <c r="T962" s="112"/>
      <c r="U962" s="112"/>
      <c r="V962" s="112"/>
      <c r="W962" s="112"/>
      <c r="X962" s="112"/>
      <c r="Y962" s="112"/>
      <c r="Z962" s="112"/>
      <c r="AA962" s="112"/>
      <c r="AB962" s="112"/>
    </row>
    <row r="963" ht="15.75" customHeight="1">
      <c r="A963" s="112"/>
      <c r="B963" s="112"/>
      <c r="C963" s="112"/>
      <c r="D963" s="125"/>
      <c r="E963" s="112"/>
      <c r="F963" s="128"/>
      <c r="G963" s="128"/>
      <c r="H963" s="128"/>
      <c r="I963" s="128"/>
      <c r="J963" s="112"/>
      <c r="K963" s="112"/>
      <c r="L963" s="153"/>
      <c r="M963" s="112"/>
      <c r="N963" s="112"/>
      <c r="O963" s="112"/>
      <c r="P963" s="112"/>
      <c r="Q963" s="112"/>
      <c r="R963" s="112"/>
      <c r="S963" s="112"/>
      <c r="T963" s="112"/>
      <c r="U963" s="112"/>
      <c r="V963" s="112"/>
      <c r="W963" s="112"/>
      <c r="X963" s="112"/>
      <c r="Y963" s="112"/>
      <c r="Z963" s="112"/>
      <c r="AA963" s="112"/>
      <c r="AB963" s="112"/>
    </row>
    <row r="964" ht="15.75" customHeight="1">
      <c r="A964" s="112"/>
      <c r="B964" s="112"/>
      <c r="C964" s="112"/>
      <c r="D964" s="125"/>
      <c r="E964" s="112"/>
      <c r="F964" s="128"/>
      <c r="G964" s="128"/>
      <c r="H964" s="128"/>
      <c r="I964" s="128"/>
      <c r="J964" s="112"/>
      <c r="K964" s="112"/>
      <c r="L964" s="153"/>
      <c r="M964" s="112"/>
      <c r="N964" s="112"/>
      <c r="O964" s="112"/>
      <c r="P964" s="112"/>
      <c r="Q964" s="112"/>
      <c r="R964" s="112"/>
      <c r="S964" s="112"/>
      <c r="T964" s="112"/>
      <c r="U964" s="112"/>
      <c r="V964" s="112"/>
      <c r="W964" s="112"/>
      <c r="X964" s="112"/>
      <c r="Y964" s="112"/>
      <c r="Z964" s="112"/>
      <c r="AA964" s="112"/>
      <c r="AB964" s="112"/>
    </row>
    <row r="965" ht="15.75" customHeight="1">
      <c r="A965" s="112"/>
      <c r="B965" s="112"/>
      <c r="C965" s="112"/>
      <c r="D965" s="125"/>
      <c r="E965" s="112"/>
      <c r="F965" s="128"/>
      <c r="G965" s="128"/>
      <c r="H965" s="128"/>
      <c r="I965" s="128"/>
      <c r="J965" s="112"/>
      <c r="K965" s="112"/>
      <c r="L965" s="153"/>
      <c r="M965" s="112"/>
      <c r="N965" s="112"/>
      <c r="O965" s="112"/>
      <c r="P965" s="112"/>
      <c r="Q965" s="112"/>
      <c r="R965" s="112"/>
      <c r="S965" s="112"/>
      <c r="T965" s="112"/>
      <c r="U965" s="112"/>
      <c r="V965" s="112"/>
      <c r="W965" s="112"/>
      <c r="X965" s="112"/>
      <c r="Y965" s="112"/>
      <c r="Z965" s="112"/>
      <c r="AA965" s="112"/>
      <c r="AB965" s="112"/>
    </row>
    <row r="966" ht="15.75" customHeight="1">
      <c r="A966" s="112"/>
      <c r="B966" s="112"/>
      <c r="C966" s="112"/>
      <c r="D966" s="125"/>
      <c r="E966" s="112"/>
      <c r="F966" s="128"/>
      <c r="G966" s="128"/>
      <c r="H966" s="128"/>
      <c r="I966" s="128"/>
      <c r="J966" s="112"/>
      <c r="K966" s="112"/>
      <c r="L966" s="153"/>
      <c r="M966" s="112"/>
      <c r="N966" s="112"/>
      <c r="O966" s="112"/>
      <c r="P966" s="112"/>
      <c r="Q966" s="112"/>
      <c r="R966" s="112"/>
      <c r="S966" s="112"/>
      <c r="T966" s="112"/>
      <c r="U966" s="112"/>
      <c r="V966" s="112"/>
      <c r="W966" s="112"/>
      <c r="X966" s="112"/>
      <c r="Y966" s="112"/>
      <c r="Z966" s="112"/>
      <c r="AA966" s="112"/>
      <c r="AB966" s="112"/>
    </row>
    <row r="967" ht="15.75" customHeight="1">
      <c r="A967" s="112"/>
      <c r="B967" s="112"/>
      <c r="C967" s="112"/>
      <c r="D967" s="125"/>
      <c r="E967" s="112"/>
      <c r="F967" s="128"/>
      <c r="G967" s="128"/>
      <c r="H967" s="128"/>
      <c r="I967" s="128"/>
      <c r="J967" s="112"/>
      <c r="K967" s="112"/>
      <c r="L967" s="153"/>
      <c r="M967" s="112"/>
      <c r="N967" s="112"/>
      <c r="O967" s="112"/>
      <c r="P967" s="112"/>
      <c r="Q967" s="112"/>
      <c r="R967" s="112"/>
      <c r="S967" s="112"/>
      <c r="T967" s="112"/>
      <c r="U967" s="112"/>
      <c r="V967" s="112"/>
      <c r="W967" s="112"/>
      <c r="X967" s="112"/>
      <c r="Y967" s="112"/>
      <c r="Z967" s="112"/>
      <c r="AA967" s="112"/>
      <c r="AB967" s="112"/>
    </row>
    <row r="968" ht="15.75" customHeight="1">
      <c r="A968" s="112"/>
      <c r="B968" s="112"/>
      <c r="C968" s="112"/>
      <c r="D968" s="125"/>
      <c r="E968" s="112"/>
      <c r="F968" s="128"/>
      <c r="G968" s="128"/>
      <c r="H968" s="128"/>
      <c r="I968" s="128"/>
      <c r="J968" s="112"/>
      <c r="K968" s="112"/>
      <c r="L968" s="153"/>
      <c r="M968" s="112"/>
      <c r="N968" s="112"/>
      <c r="O968" s="112"/>
      <c r="P968" s="112"/>
      <c r="Q968" s="112"/>
      <c r="R968" s="112"/>
      <c r="S968" s="112"/>
      <c r="T968" s="112"/>
      <c r="U968" s="112"/>
      <c r="V968" s="112"/>
      <c r="W968" s="112"/>
      <c r="X968" s="112"/>
      <c r="Y968" s="112"/>
      <c r="Z968" s="112"/>
      <c r="AA968" s="112"/>
      <c r="AB968" s="112"/>
    </row>
    <row r="969" ht="15.75" customHeight="1">
      <c r="A969" s="112"/>
      <c r="B969" s="112"/>
      <c r="C969" s="112"/>
      <c r="D969" s="125"/>
      <c r="E969" s="112"/>
      <c r="F969" s="128"/>
      <c r="G969" s="128"/>
      <c r="H969" s="128"/>
      <c r="I969" s="128"/>
      <c r="J969" s="112"/>
      <c r="K969" s="112"/>
      <c r="L969" s="153"/>
      <c r="M969" s="112"/>
      <c r="N969" s="112"/>
      <c r="O969" s="112"/>
      <c r="P969" s="112"/>
      <c r="Q969" s="112"/>
      <c r="R969" s="112"/>
      <c r="S969" s="112"/>
      <c r="T969" s="112"/>
      <c r="U969" s="112"/>
      <c r="V969" s="112"/>
      <c r="W969" s="112"/>
      <c r="X969" s="112"/>
      <c r="Y969" s="112"/>
      <c r="Z969" s="112"/>
      <c r="AA969" s="112"/>
      <c r="AB969" s="112"/>
    </row>
    <row r="970" ht="15.75" customHeight="1">
      <c r="A970" s="112"/>
      <c r="B970" s="112"/>
      <c r="C970" s="112"/>
      <c r="D970" s="125"/>
      <c r="E970" s="112"/>
      <c r="F970" s="128"/>
      <c r="G970" s="128"/>
      <c r="H970" s="128"/>
      <c r="I970" s="128"/>
      <c r="J970" s="112"/>
      <c r="K970" s="112"/>
      <c r="L970" s="153"/>
      <c r="M970" s="112"/>
      <c r="N970" s="112"/>
      <c r="O970" s="112"/>
      <c r="P970" s="112"/>
      <c r="Q970" s="112"/>
      <c r="R970" s="112"/>
      <c r="S970" s="112"/>
      <c r="T970" s="112"/>
      <c r="U970" s="112"/>
      <c r="V970" s="112"/>
      <c r="W970" s="112"/>
      <c r="X970" s="112"/>
      <c r="Y970" s="112"/>
      <c r="Z970" s="112"/>
      <c r="AA970" s="112"/>
      <c r="AB970" s="112"/>
    </row>
    <row r="971" ht="15.75" customHeight="1">
      <c r="A971" s="112"/>
      <c r="B971" s="112"/>
      <c r="C971" s="112"/>
      <c r="D971" s="125"/>
      <c r="E971" s="112"/>
      <c r="F971" s="128"/>
      <c r="G971" s="128"/>
      <c r="H971" s="128"/>
      <c r="I971" s="128"/>
      <c r="J971" s="112"/>
      <c r="K971" s="112"/>
      <c r="L971" s="153"/>
      <c r="M971" s="112"/>
      <c r="N971" s="112"/>
      <c r="O971" s="112"/>
      <c r="P971" s="112"/>
      <c r="Q971" s="112"/>
      <c r="R971" s="112"/>
      <c r="S971" s="112"/>
      <c r="T971" s="112"/>
      <c r="U971" s="112"/>
      <c r="V971" s="112"/>
      <c r="W971" s="112"/>
      <c r="X971" s="112"/>
      <c r="Y971" s="112"/>
      <c r="Z971" s="112"/>
      <c r="AA971" s="112"/>
      <c r="AB971" s="112"/>
    </row>
    <row r="972" ht="15.75" customHeight="1">
      <c r="A972" s="112"/>
      <c r="B972" s="112"/>
      <c r="C972" s="112"/>
      <c r="D972" s="125"/>
      <c r="E972" s="112"/>
      <c r="F972" s="128"/>
      <c r="G972" s="128"/>
      <c r="H972" s="128"/>
      <c r="I972" s="128"/>
      <c r="J972" s="112"/>
      <c r="K972" s="112"/>
      <c r="L972" s="153"/>
      <c r="M972" s="112"/>
      <c r="N972" s="112"/>
      <c r="O972" s="112"/>
      <c r="P972" s="112"/>
      <c r="Q972" s="112"/>
      <c r="R972" s="112"/>
      <c r="S972" s="112"/>
      <c r="T972" s="112"/>
      <c r="U972" s="112"/>
      <c r="V972" s="112"/>
      <c r="W972" s="112"/>
      <c r="X972" s="112"/>
      <c r="Y972" s="112"/>
      <c r="Z972" s="112"/>
      <c r="AA972" s="112"/>
      <c r="AB972" s="112"/>
    </row>
    <row r="973" ht="15.75" customHeight="1">
      <c r="A973" s="112"/>
      <c r="B973" s="112"/>
      <c r="C973" s="112"/>
      <c r="D973" s="125"/>
      <c r="E973" s="112"/>
      <c r="F973" s="128"/>
      <c r="G973" s="128"/>
      <c r="H973" s="128"/>
      <c r="I973" s="128"/>
      <c r="J973" s="112"/>
      <c r="K973" s="112"/>
      <c r="L973" s="153"/>
      <c r="M973" s="112"/>
      <c r="N973" s="112"/>
      <c r="O973" s="112"/>
      <c r="P973" s="112"/>
      <c r="Q973" s="112"/>
      <c r="R973" s="112"/>
      <c r="S973" s="112"/>
      <c r="T973" s="112"/>
      <c r="U973" s="112"/>
      <c r="V973" s="112"/>
      <c r="W973" s="112"/>
      <c r="X973" s="112"/>
      <c r="Y973" s="112"/>
      <c r="Z973" s="112"/>
      <c r="AA973" s="112"/>
      <c r="AB973" s="112"/>
    </row>
    <row r="974" ht="15.75" customHeight="1">
      <c r="A974" s="112"/>
      <c r="B974" s="112"/>
      <c r="C974" s="112"/>
      <c r="D974" s="125"/>
      <c r="E974" s="112"/>
      <c r="F974" s="128"/>
      <c r="G974" s="128"/>
      <c r="H974" s="128"/>
      <c r="I974" s="128"/>
      <c r="J974" s="112"/>
      <c r="K974" s="112"/>
      <c r="L974" s="153"/>
      <c r="M974" s="112"/>
      <c r="N974" s="112"/>
      <c r="O974" s="112"/>
      <c r="P974" s="112"/>
      <c r="Q974" s="112"/>
      <c r="R974" s="112"/>
      <c r="S974" s="112"/>
      <c r="T974" s="112"/>
      <c r="U974" s="112"/>
      <c r="V974" s="112"/>
      <c r="W974" s="112"/>
      <c r="X974" s="112"/>
      <c r="Y974" s="112"/>
      <c r="Z974" s="112"/>
      <c r="AA974" s="112"/>
      <c r="AB974" s="112"/>
    </row>
    <row r="975" ht="15.75" customHeight="1">
      <c r="A975" s="112"/>
      <c r="B975" s="112"/>
      <c r="C975" s="112"/>
      <c r="D975" s="125"/>
      <c r="E975" s="112"/>
      <c r="F975" s="128"/>
      <c r="G975" s="128"/>
      <c r="H975" s="128"/>
      <c r="I975" s="128"/>
      <c r="J975" s="112"/>
      <c r="K975" s="112"/>
      <c r="L975" s="153"/>
      <c r="M975" s="112"/>
      <c r="N975" s="112"/>
      <c r="O975" s="112"/>
      <c r="P975" s="112"/>
      <c r="Q975" s="112"/>
      <c r="R975" s="112"/>
      <c r="S975" s="112"/>
      <c r="T975" s="112"/>
      <c r="U975" s="112"/>
      <c r="V975" s="112"/>
      <c r="W975" s="112"/>
      <c r="X975" s="112"/>
      <c r="Y975" s="112"/>
      <c r="Z975" s="112"/>
      <c r="AA975" s="112"/>
      <c r="AB975" s="112"/>
    </row>
    <row r="976" ht="15.75" customHeight="1">
      <c r="A976" s="112"/>
      <c r="B976" s="112"/>
      <c r="C976" s="112"/>
      <c r="D976" s="125"/>
      <c r="E976" s="112"/>
      <c r="F976" s="128"/>
      <c r="G976" s="128"/>
      <c r="H976" s="128"/>
      <c r="I976" s="128"/>
      <c r="J976" s="112"/>
      <c r="K976" s="112"/>
      <c r="L976" s="153"/>
      <c r="M976" s="112"/>
      <c r="N976" s="112"/>
      <c r="O976" s="112"/>
      <c r="P976" s="112"/>
      <c r="Q976" s="112"/>
      <c r="R976" s="112"/>
      <c r="S976" s="112"/>
      <c r="T976" s="112"/>
      <c r="U976" s="112"/>
      <c r="V976" s="112"/>
      <c r="W976" s="112"/>
      <c r="X976" s="112"/>
      <c r="Y976" s="112"/>
      <c r="Z976" s="112"/>
      <c r="AA976" s="112"/>
      <c r="AB976" s="112"/>
    </row>
    <row r="977" ht="15.75" customHeight="1">
      <c r="A977" s="112"/>
      <c r="B977" s="112"/>
      <c r="C977" s="112"/>
      <c r="D977" s="125"/>
      <c r="E977" s="112"/>
      <c r="F977" s="128"/>
      <c r="G977" s="128"/>
      <c r="H977" s="128"/>
      <c r="I977" s="128"/>
      <c r="J977" s="112"/>
      <c r="K977" s="112"/>
      <c r="L977" s="153"/>
      <c r="M977" s="112"/>
      <c r="N977" s="112"/>
      <c r="O977" s="112"/>
      <c r="P977" s="112"/>
      <c r="Q977" s="112"/>
      <c r="R977" s="112"/>
      <c r="S977" s="112"/>
      <c r="T977" s="112"/>
      <c r="U977" s="112"/>
      <c r="V977" s="112"/>
      <c r="W977" s="112"/>
      <c r="X977" s="112"/>
      <c r="Y977" s="112"/>
      <c r="Z977" s="112"/>
      <c r="AA977" s="112"/>
      <c r="AB977" s="112"/>
    </row>
    <row r="978" ht="15.75" customHeight="1">
      <c r="A978" s="112"/>
      <c r="B978" s="112"/>
      <c r="C978" s="112"/>
      <c r="D978" s="125"/>
      <c r="E978" s="112"/>
      <c r="F978" s="128"/>
      <c r="G978" s="128"/>
      <c r="H978" s="128"/>
      <c r="I978" s="128"/>
      <c r="J978" s="112"/>
      <c r="K978" s="112"/>
      <c r="L978" s="153"/>
      <c r="M978" s="112"/>
      <c r="N978" s="112"/>
      <c r="O978" s="112"/>
      <c r="P978" s="112"/>
      <c r="Q978" s="112"/>
      <c r="R978" s="112"/>
      <c r="S978" s="112"/>
      <c r="T978" s="112"/>
      <c r="U978" s="112"/>
      <c r="V978" s="112"/>
      <c r="W978" s="112"/>
      <c r="X978" s="112"/>
      <c r="Y978" s="112"/>
      <c r="Z978" s="112"/>
      <c r="AA978" s="112"/>
      <c r="AB978" s="112"/>
    </row>
    <row r="979" ht="15.75" customHeight="1">
      <c r="A979" s="112"/>
      <c r="B979" s="112"/>
      <c r="C979" s="112"/>
      <c r="D979" s="125"/>
      <c r="E979" s="112"/>
      <c r="F979" s="128"/>
      <c r="G979" s="128"/>
      <c r="H979" s="128"/>
      <c r="I979" s="128"/>
      <c r="J979" s="112"/>
      <c r="K979" s="112"/>
      <c r="L979" s="153"/>
      <c r="M979" s="112"/>
      <c r="N979" s="112"/>
      <c r="O979" s="112"/>
      <c r="P979" s="112"/>
      <c r="Q979" s="112"/>
      <c r="R979" s="112"/>
      <c r="S979" s="112"/>
      <c r="T979" s="112"/>
      <c r="U979" s="112"/>
      <c r="V979" s="112"/>
      <c r="W979" s="112"/>
      <c r="X979" s="112"/>
      <c r="Y979" s="112"/>
      <c r="Z979" s="112"/>
      <c r="AA979" s="112"/>
      <c r="AB979" s="112"/>
    </row>
    <row r="980" ht="15.75" customHeight="1">
      <c r="A980" s="112"/>
      <c r="B980" s="112"/>
      <c r="C980" s="112"/>
      <c r="D980" s="125"/>
      <c r="E980" s="112"/>
      <c r="F980" s="128"/>
      <c r="G980" s="128"/>
      <c r="H980" s="128"/>
      <c r="I980" s="128"/>
      <c r="J980" s="112"/>
      <c r="K980" s="112"/>
      <c r="L980" s="153"/>
      <c r="M980" s="112"/>
      <c r="N980" s="112"/>
      <c r="O980" s="112"/>
      <c r="P980" s="112"/>
      <c r="Q980" s="112"/>
      <c r="R980" s="112"/>
      <c r="S980" s="112"/>
      <c r="T980" s="112"/>
      <c r="U980" s="112"/>
      <c r="V980" s="112"/>
      <c r="W980" s="112"/>
      <c r="X980" s="112"/>
      <c r="Y980" s="112"/>
      <c r="Z980" s="112"/>
      <c r="AA980" s="112"/>
      <c r="AB980" s="112"/>
    </row>
    <row r="981" ht="15.75" customHeight="1">
      <c r="A981" s="112"/>
      <c r="B981" s="112"/>
      <c r="C981" s="112"/>
      <c r="D981" s="125"/>
      <c r="E981" s="112"/>
      <c r="F981" s="128"/>
      <c r="G981" s="128"/>
      <c r="H981" s="128"/>
      <c r="I981" s="128"/>
      <c r="J981" s="112"/>
      <c r="K981" s="112"/>
      <c r="L981" s="153"/>
      <c r="M981" s="112"/>
      <c r="N981" s="112"/>
      <c r="O981" s="112"/>
      <c r="P981" s="112"/>
      <c r="Q981" s="112"/>
      <c r="R981" s="112"/>
      <c r="S981" s="112"/>
      <c r="T981" s="112"/>
      <c r="U981" s="112"/>
      <c r="V981" s="112"/>
      <c r="W981" s="112"/>
      <c r="X981" s="112"/>
      <c r="Y981" s="112"/>
      <c r="Z981" s="112"/>
      <c r="AA981" s="112"/>
      <c r="AB981" s="112"/>
    </row>
    <row r="982" ht="15.75" customHeight="1">
      <c r="A982" s="112"/>
      <c r="B982" s="112"/>
      <c r="C982" s="112"/>
      <c r="D982" s="125"/>
      <c r="E982" s="112"/>
      <c r="F982" s="128"/>
      <c r="G982" s="128"/>
      <c r="H982" s="128"/>
      <c r="I982" s="128"/>
      <c r="J982" s="112"/>
      <c r="K982" s="112"/>
      <c r="L982" s="153"/>
      <c r="M982" s="112"/>
      <c r="N982" s="112"/>
      <c r="O982" s="112"/>
      <c r="P982" s="112"/>
      <c r="Q982" s="112"/>
      <c r="R982" s="112"/>
      <c r="S982" s="112"/>
      <c r="T982" s="112"/>
      <c r="U982" s="112"/>
      <c r="V982" s="112"/>
      <c r="W982" s="112"/>
      <c r="X982" s="112"/>
      <c r="Y982" s="112"/>
      <c r="Z982" s="112"/>
      <c r="AA982" s="112"/>
      <c r="AB982" s="112"/>
    </row>
    <row r="983" ht="15.75" customHeight="1">
      <c r="A983" s="112"/>
      <c r="B983" s="112"/>
      <c r="C983" s="112"/>
      <c r="D983" s="125"/>
      <c r="E983" s="112"/>
      <c r="F983" s="128"/>
      <c r="G983" s="128"/>
      <c r="H983" s="128"/>
      <c r="I983" s="128"/>
      <c r="J983" s="112"/>
      <c r="K983" s="112"/>
      <c r="L983" s="153"/>
      <c r="M983" s="112"/>
      <c r="N983" s="112"/>
      <c r="O983" s="112"/>
      <c r="P983" s="112"/>
      <c r="Q983" s="112"/>
      <c r="R983" s="112"/>
      <c r="S983" s="112"/>
      <c r="T983" s="112"/>
      <c r="U983" s="112"/>
      <c r="V983" s="112"/>
      <c r="W983" s="112"/>
      <c r="X983" s="112"/>
      <c r="Y983" s="112"/>
      <c r="Z983" s="112"/>
      <c r="AA983" s="112"/>
      <c r="AB983" s="112"/>
    </row>
    <row r="984" ht="15.75" customHeight="1">
      <c r="A984" s="112"/>
      <c r="B984" s="112"/>
      <c r="C984" s="112"/>
      <c r="D984" s="125"/>
      <c r="E984" s="112"/>
      <c r="F984" s="128"/>
      <c r="G984" s="128"/>
      <c r="H984" s="128"/>
      <c r="I984" s="128"/>
      <c r="J984" s="112"/>
      <c r="K984" s="112"/>
      <c r="L984" s="153"/>
      <c r="M984" s="112"/>
      <c r="N984" s="112"/>
      <c r="O984" s="112"/>
      <c r="P984" s="112"/>
      <c r="Q984" s="112"/>
      <c r="R984" s="112"/>
      <c r="S984" s="112"/>
      <c r="T984" s="112"/>
      <c r="U984" s="112"/>
      <c r="V984" s="112"/>
      <c r="W984" s="112"/>
      <c r="X984" s="112"/>
      <c r="Y984" s="112"/>
      <c r="Z984" s="112"/>
      <c r="AA984" s="112"/>
      <c r="AB984" s="112"/>
    </row>
    <row r="985" ht="15.75" customHeight="1">
      <c r="A985" s="112"/>
      <c r="B985" s="112"/>
      <c r="C985" s="112"/>
      <c r="D985" s="125"/>
      <c r="E985" s="112"/>
      <c r="F985" s="128"/>
      <c r="G985" s="128"/>
      <c r="H985" s="128"/>
      <c r="I985" s="128"/>
      <c r="J985" s="112"/>
      <c r="K985" s="112"/>
      <c r="L985" s="153"/>
      <c r="M985" s="112"/>
      <c r="N985" s="112"/>
      <c r="O985" s="112"/>
      <c r="P985" s="112"/>
      <c r="Q985" s="112"/>
      <c r="R985" s="112"/>
      <c r="S985" s="112"/>
      <c r="T985" s="112"/>
      <c r="U985" s="112"/>
      <c r="V985" s="112"/>
      <c r="W985" s="112"/>
      <c r="X985" s="112"/>
      <c r="Y985" s="112"/>
      <c r="Z985" s="112"/>
      <c r="AA985" s="112"/>
      <c r="AB985" s="112"/>
    </row>
    <row r="986" ht="15.75" customHeight="1">
      <c r="A986" s="112"/>
      <c r="B986" s="112"/>
      <c r="C986" s="112"/>
      <c r="D986" s="125"/>
      <c r="E986" s="112"/>
      <c r="F986" s="128"/>
      <c r="G986" s="128"/>
      <c r="H986" s="128"/>
      <c r="I986" s="128"/>
      <c r="J986" s="112"/>
      <c r="K986" s="112"/>
      <c r="L986" s="153"/>
      <c r="M986" s="112"/>
      <c r="N986" s="112"/>
      <c r="O986" s="112"/>
      <c r="P986" s="112"/>
      <c r="Q986" s="112"/>
      <c r="R986" s="112"/>
      <c r="S986" s="112"/>
      <c r="T986" s="112"/>
      <c r="U986" s="112"/>
      <c r="V986" s="112"/>
      <c r="W986" s="112"/>
      <c r="X986" s="112"/>
      <c r="Y986" s="112"/>
      <c r="Z986" s="112"/>
      <c r="AA986" s="112"/>
      <c r="AB986" s="112"/>
    </row>
    <row r="987" ht="15.75" customHeight="1">
      <c r="A987" s="112"/>
      <c r="B987" s="112"/>
      <c r="C987" s="112"/>
      <c r="D987" s="125"/>
      <c r="E987" s="112"/>
      <c r="F987" s="128"/>
      <c r="G987" s="128"/>
      <c r="H987" s="128"/>
      <c r="I987" s="128"/>
      <c r="J987" s="112"/>
      <c r="K987" s="112"/>
      <c r="L987" s="153"/>
      <c r="M987" s="112"/>
      <c r="N987" s="112"/>
      <c r="O987" s="112"/>
      <c r="P987" s="112"/>
      <c r="Q987" s="112"/>
      <c r="R987" s="112"/>
      <c r="S987" s="112"/>
      <c r="T987" s="112"/>
      <c r="U987" s="112"/>
      <c r="V987" s="112"/>
      <c r="W987" s="112"/>
      <c r="X987" s="112"/>
      <c r="Y987" s="112"/>
      <c r="Z987" s="112"/>
      <c r="AA987" s="112"/>
      <c r="AB987" s="112"/>
    </row>
    <row r="988" ht="15.75" customHeight="1">
      <c r="A988" s="112"/>
      <c r="B988" s="112"/>
      <c r="C988" s="112"/>
      <c r="D988" s="125"/>
      <c r="E988" s="112"/>
      <c r="F988" s="128"/>
      <c r="G988" s="128"/>
      <c r="H988" s="128"/>
      <c r="I988" s="128"/>
      <c r="J988" s="112"/>
      <c r="K988" s="112"/>
      <c r="L988" s="153"/>
      <c r="M988" s="112"/>
      <c r="N988" s="112"/>
      <c r="O988" s="112"/>
      <c r="P988" s="112"/>
      <c r="Q988" s="112"/>
      <c r="R988" s="112"/>
      <c r="S988" s="112"/>
      <c r="T988" s="112"/>
      <c r="U988" s="112"/>
      <c r="V988" s="112"/>
      <c r="W988" s="112"/>
      <c r="X988" s="112"/>
      <c r="Y988" s="112"/>
      <c r="Z988" s="112"/>
      <c r="AA988" s="112"/>
      <c r="AB988" s="112"/>
    </row>
    <row r="989" ht="15.75" customHeight="1">
      <c r="A989" s="112"/>
      <c r="B989" s="112"/>
      <c r="C989" s="112"/>
      <c r="D989" s="125"/>
      <c r="E989" s="112"/>
      <c r="F989" s="128"/>
      <c r="G989" s="128"/>
      <c r="H989" s="128"/>
      <c r="I989" s="128"/>
      <c r="J989" s="112"/>
      <c r="K989" s="112"/>
      <c r="L989" s="153"/>
      <c r="M989" s="112"/>
      <c r="N989" s="112"/>
      <c r="O989" s="112"/>
      <c r="P989" s="112"/>
      <c r="Q989" s="112"/>
      <c r="R989" s="112"/>
      <c r="S989" s="112"/>
      <c r="T989" s="112"/>
      <c r="U989" s="112"/>
      <c r="V989" s="112"/>
      <c r="W989" s="112"/>
      <c r="X989" s="112"/>
      <c r="Y989" s="112"/>
      <c r="Z989" s="112"/>
      <c r="AA989" s="112"/>
      <c r="AB989" s="112"/>
    </row>
    <row r="990" ht="15.75" customHeight="1">
      <c r="A990" s="112"/>
      <c r="B990" s="112"/>
      <c r="C990" s="112"/>
      <c r="D990" s="125"/>
      <c r="E990" s="112"/>
      <c r="F990" s="128"/>
      <c r="G990" s="128"/>
      <c r="H990" s="128"/>
      <c r="I990" s="128"/>
      <c r="J990" s="112"/>
      <c r="K990" s="112"/>
      <c r="L990" s="153"/>
      <c r="M990" s="112"/>
      <c r="N990" s="112"/>
      <c r="O990" s="112"/>
      <c r="P990" s="112"/>
      <c r="Q990" s="112"/>
      <c r="R990" s="112"/>
      <c r="S990" s="112"/>
      <c r="T990" s="112"/>
      <c r="U990" s="112"/>
      <c r="V990" s="112"/>
      <c r="W990" s="112"/>
      <c r="X990" s="112"/>
      <c r="Y990" s="112"/>
      <c r="Z990" s="112"/>
      <c r="AA990" s="112"/>
      <c r="AB990" s="112"/>
    </row>
    <row r="991" ht="15.75" customHeight="1">
      <c r="A991" s="112"/>
      <c r="B991" s="112"/>
      <c r="C991" s="112"/>
      <c r="D991" s="125"/>
      <c r="E991" s="112"/>
      <c r="F991" s="128"/>
      <c r="G991" s="128"/>
      <c r="H991" s="128"/>
      <c r="I991" s="128"/>
      <c r="J991" s="112"/>
      <c r="K991" s="112"/>
      <c r="L991" s="153"/>
      <c r="M991" s="112"/>
      <c r="N991" s="112"/>
      <c r="O991" s="112"/>
      <c r="P991" s="112"/>
      <c r="Q991" s="112"/>
      <c r="R991" s="112"/>
      <c r="S991" s="112"/>
      <c r="T991" s="112"/>
      <c r="U991" s="112"/>
      <c r="V991" s="112"/>
      <c r="W991" s="112"/>
      <c r="X991" s="112"/>
      <c r="Y991" s="112"/>
      <c r="Z991" s="112"/>
      <c r="AA991" s="112"/>
      <c r="AB991" s="112"/>
    </row>
    <row r="992" ht="15.75" customHeight="1">
      <c r="A992" s="112"/>
      <c r="B992" s="112"/>
      <c r="C992" s="112"/>
      <c r="D992" s="125"/>
      <c r="E992" s="112"/>
      <c r="F992" s="128"/>
      <c r="G992" s="128"/>
      <c r="H992" s="128"/>
      <c r="I992" s="128"/>
      <c r="J992" s="112"/>
      <c r="K992" s="112"/>
      <c r="L992" s="153"/>
      <c r="M992" s="112"/>
      <c r="N992" s="112"/>
      <c r="O992" s="112"/>
      <c r="P992" s="112"/>
      <c r="Q992" s="112"/>
      <c r="R992" s="112"/>
      <c r="S992" s="112"/>
      <c r="T992" s="112"/>
      <c r="U992" s="112"/>
      <c r="V992" s="112"/>
      <c r="W992" s="112"/>
      <c r="X992" s="112"/>
      <c r="Y992" s="112"/>
      <c r="Z992" s="112"/>
      <c r="AA992" s="112"/>
      <c r="AB992" s="112"/>
    </row>
    <row r="993" ht="15.75" customHeight="1">
      <c r="A993" s="112"/>
      <c r="B993" s="112"/>
      <c r="C993" s="112"/>
      <c r="D993" s="125"/>
      <c r="E993" s="112"/>
      <c r="F993" s="128"/>
      <c r="G993" s="128"/>
      <c r="H993" s="128"/>
      <c r="I993" s="128"/>
      <c r="J993" s="112"/>
      <c r="K993" s="112"/>
      <c r="L993" s="153"/>
      <c r="M993" s="112"/>
      <c r="N993" s="112"/>
      <c r="O993" s="112"/>
      <c r="P993" s="112"/>
      <c r="Q993" s="112"/>
      <c r="R993" s="112"/>
      <c r="S993" s="112"/>
      <c r="T993" s="112"/>
      <c r="U993" s="112"/>
      <c r="V993" s="112"/>
      <c r="W993" s="112"/>
      <c r="X993" s="112"/>
      <c r="Y993" s="112"/>
      <c r="Z993" s="112"/>
      <c r="AA993" s="112"/>
      <c r="AB993" s="112"/>
    </row>
    <row r="994" ht="15.75" customHeight="1">
      <c r="A994" s="112"/>
      <c r="B994" s="112"/>
      <c r="C994" s="112"/>
      <c r="D994" s="125"/>
      <c r="E994" s="112"/>
      <c r="F994" s="128"/>
      <c r="G994" s="128"/>
      <c r="H994" s="128"/>
      <c r="I994" s="128"/>
      <c r="J994" s="112"/>
      <c r="K994" s="112"/>
      <c r="L994" s="153"/>
      <c r="M994" s="112"/>
      <c r="N994" s="112"/>
      <c r="O994" s="112"/>
      <c r="P994" s="112"/>
      <c r="Q994" s="112"/>
      <c r="R994" s="112"/>
      <c r="S994" s="112"/>
      <c r="T994" s="112"/>
      <c r="U994" s="112"/>
      <c r="V994" s="112"/>
      <c r="W994" s="112"/>
      <c r="X994" s="112"/>
      <c r="Y994" s="112"/>
      <c r="Z994" s="112"/>
      <c r="AA994" s="112"/>
      <c r="AB994" s="112"/>
    </row>
    <row r="995" ht="15.75" customHeight="1">
      <c r="A995" s="112"/>
      <c r="B995" s="112"/>
      <c r="C995" s="112"/>
      <c r="D995" s="125"/>
      <c r="E995" s="112"/>
      <c r="F995" s="128"/>
      <c r="G995" s="128"/>
      <c r="H995" s="128"/>
      <c r="I995" s="128"/>
      <c r="J995" s="112"/>
      <c r="K995" s="112"/>
      <c r="L995" s="153"/>
      <c r="M995" s="112"/>
      <c r="N995" s="112"/>
      <c r="O995" s="112"/>
      <c r="P995" s="112"/>
      <c r="Q995" s="112"/>
      <c r="R995" s="112"/>
      <c r="S995" s="112"/>
      <c r="T995" s="112"/>
      <c r="U995" s="112"/>
      <c r="V995" s="112"/>
      <c r="W995" s="112"/>
      <c r="X995" s="112"/>
      <c r="Y995" s="112"/>
      <c r="Z995" s="112"/>
      <c r="AA995" s="112"/>
      <c r="AB995" s="112"/>
    </row>
    <row r="996" ht="15.75" customHeight="1">
      <c r="A996" s="112"/>
      <c r="B996" s="112"/>
      <c r="C996" s="112"/>
      <c r="D996" s="125"/>
      <c r="E996" s="112"/>
      <c r="F996" s="128"/>
      <c r="G996" s="128"/>
      <c r="H996" s="128"/>
      <c r="I996" s="128"/>
      <c r="J996" s="112"/>
      <c r="K996" s="112"/>
      <c r="L996" s="153"/>
      <c r="M996" s="112"/>
      <c r="N996" s="112"/>
      <c r="O996" s="112"/>
      <c r="P996" s="112"/>
      <c r="Q996" s="112"/>
      <c r="R996" s="112"/>
      <c r="S996" s="112"/>
      <c r="T996" s="112"/>
      <c r="U996" s="112"/>
      <c r="V996" s="112"/>
      <c r="W996" s="112"/>
      <c r="X996" s="112"/>
      <c r="Y996" s="112"/>
      <c r="Z996" s="112"/>
      <c r="AA996" s="112"/>
      <c r="AB996" s="112"/>
    </row>
    <row r="997" ht="15.75" customHeight="1">
      <c r="A997" s="112"/>
      <c r="B997" s="112"/>
      <c r="C997" s="112"/>
      <c r="D997" s="125"/>
      <c r="E997" s="112"/>
      <c r="F997" s="128"/>
      <c r="G997" s="128"/>
      <c r="H997" s="128"/>
      <c r="I997" s="128"/>
      <c r="J997" s="112"/>
      <c r="K997" s="112"/>
      <c r="L997" s="153"/>
      <c r="M997" s="112"/>
      <c r="N997" s="112"/>
      <c r="O997" s="112"/>
      <c r="P997" s="112"/>
      <c r="Q997" s="112"/>
      <c r="R997" s="112"/>
      <c r="S997" s="112"/>
      <c r="T997" s="112"/>
      <c r="U997" s="112"/>
      <c r="V997" s="112"/>
      <c r="W997" s="112"/>
      <c r="X997" s="112"/>
      <c r="Y997" s="112"/>
      <c r="Z997" s="112"/>
      <c r="AA997" s="112"/>
      <c r="AB997" s="112"/>
    </row>
    <row r="998" ht="15.75" customHeight="1">
      <c r="A998" s="112"/>
      <c r="B998" s="112"/>
      <c r="C998" s="112"/>
      <c r="D998" s="125"/>
      <c r="E998" s="112"/>
      <c r="F998" s="128"/>
      <c r="G998" s="128"/>
      <c r="H998" s="128"/>
      <c r="I998" s="128"/>
      <c r="J998" s="112"/>
      <c r="K998" s="112"/>
      <c r="L998" s="153"/>
      <c r="M998" s="112"/>
      <c r="N998" s="112"/>
      <c r="O998" s="112"/>
      <c r="P998" s="112"/>
      <c r="Q998" s="112"/>
      <c r="R998" s="112"/>
      <c r="S998" s="112"/>
      <c r="T998" s="112"/>
      <c r="U998" s="112"/>
      <c r="V998" s="112"/>
      <c r="W998" s="112"/>
      <c r="X998" s="112"/>
      <c r="Y998" s="112"/>
      <c r="Z998" s="112"/>
      <c r="AA998" s="112"/>
      <c r="AB998" s="112"/>
    </row>
    <row r="999" ht="15.75" customHeight="1">
      <c r="A999" s="112"/>
      <c r="B999" s="112"/>
      <c r="C999" s="112"/>
      <c r="D999" s="125"/>
      <c r="E999" s="112"/>
      <c r="F999" s="128"/>
      <c r="G999" s="128"/>
      <c r="H999" s="128"/>
      <c r="I999" s="128"/>
      <c r="J999" s="112"/>
      <c r="K999" s="112"/>
      <c r="L999" s="153"/>
      <c r="M999" s="112"/>
      <c r="N999" s="112"/>
      <c r="O999" s="112"/>
      <c r="P999" s="112"/>
      <c r="Q999" s="112"/>
      <c r="R999" s="112"/>
      <c r="S999" s="112"/>
      <c r="T999" s="112"/>
      <c r="U999" s="112"/>
      <c r="V999" s="112"/>
      <c r="W999" s="112"/>
      <c r="X999" s="112"/>
      <c r="Y999" s="112"/>
      <c r="Z999" s="112"/>
      <c r="AA999" s="112"/>
      <c r="AB999" s="112"/>
    </row>
    <row r="1000" ht="15.75" customHeight="1">
      <c r="A1000" s="112"/>
      <c r="B1000" s="112"/>
      <c r="C1000" s="112"/>
      <c r="D1000" s="125"/>
      <c r="E1000" s="112"/>
      <c r="F1000" s="128"/>
      <c r="G1000" s="128"/>
      <c r="H1000" s="128"/>
      <c r="I1000" s="128"/>
      <c r="J1000" s="112"/>
      <c r="K1000" s="112"/>
      <c r="L1000" s="153"/>
      <c r="M1000" s="112"/>
      <c r="N1000" s="112"/>
      <c r="O1000" s="112"/>
      <c r="P1000" s="112"/>
      <c r="Q1000" s="112"/>
      <c r="R1000" s="112"/>
      <c r="S1000" s="112"/>
      <c r="T1000" s="112"/>
      <c r="U1000" s="112"/>
      <c r="V1000" s="112"/>
      <c r="W1000" s="112"/>
      <c r="X1000" s="112"/>
      <c r="Y1000" s="112"/>
      <c r="Z1000" s="112"/>
      <c r="AA1000" s="112"/>
      <c r="AB1000" s="112"/>
    </row>
  </sheetData>
  <conditionalFormatting sqref="M309:M369 N419:N1000 M371:M416 N1:N20 M72:M307 M21:M70">
    <cfRule type="cellIs" dxfId="21" priority="1" operator="equal">
      <formula>2</formula>
    </cfRule>
  </conditionalFormatting>
  <conditionalFormatting sqref="M309:M369 N419:N1000 M371:M416 N1:N20 M72:M307 M21:M70">
    <cfRule type="cellIs" dxfId="22" priority="2" operator="equal">
      <formula>1</formula>
    </cfRule>
  </conditionalFormatting>
  <conditionalFormatting sqref="M309:M369 N419:N1000 M371:M416 N1:N20 M72:M307 M21:M70">
    <cfRule type="cellIs" dxfId="4" priority="3" operator="equal">
      <formula>0</formula>
    </cfRule>
  </conditionalFormatting>
  <printOptions/>
  <pageMargins bottom="0.75" footer="0.0" header="0.0" left="0.7" right="0.7" top="0.75"/>
  <pageSetup paperSize="9"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9.0"/>
    <col customWidth="1" min="4" max="4" width="8.11"/>
    <col customWidth="1" min="5" max="26" width="9.0"/>
  </cols>
  <sheetData>
    <row r="1" ht="13.5" customHeight="1">
      <c r="A1" s="130" t="s">
        <v>179</v>
      </c>
      <c r="B1" s="130"/>
      <c r="C1" s="130"/>
      <c r="D1" s="130"/>
      <c r="E1" s="130"/>
      <c r="F1" s="130"/>
      <c r="G1" s="130"/>
      <c r="H1" s="130"/>
      <c r="I1" s="130"/>
      <c r="J1" s="130"/>
      <c r="K1" s="130"/>
      <c r="L1" s="130"/>
      <c r="M1" s="130"/>
      <c r="N1" s="130"/>
      <c r="O1" s="130"/>
      <c r="P1" s="130"/>
      <c r="Q1" s="130"/>
      <c r="R1" s="130"/>
      <c r="S1" s="130"/>
      <c r="T1" s="130"/>
      <c r="U1" s="130"/>
      <c r="V1" s="130"/>
      <c r="W1" s="130"/>
      <c r="X1" s="130"/>
      <c r="Y1" s="130"/>
      <c r="Z1" s="130"/>
    </row>
    <row r="2" ht="13.5" customHeight="1">
      <c r="A2" s="130" t="s">
        <v>958</v>
      </c>
      <c r="B2" s="130" t="s">
        <v>959</v>
      </c>
      <c r="C2" s="130" t="s">
        <v>960</v>
      </c>
      <c r="D2" s="130"/>
      <c r="E2" s="130"/>
      <c r="F2" s="130"/>
      <c r="G2" s="163"/>
      <c r="H2" s="130" t="s">
        <v>961</v>
      </c>
      <c r="I2" s="130"/>
      <c r="J2" s="130"/>
      <c r="K2" s="130"/>
      <c r="L2" s="130"/>
      <c r="M2" s="130"/>
      <c r="N2" s="130"/>
      <c r="O2" s="130"/>
      <c r="P2" s="130"/>
      <c r="Q2" s="130"/>
      <c r="R2" s="130"/>
      <c r="S2" s="130"/>
      <c r="T2" s="130"/>
      <c r="U2" s="130"/>
      <c r="V2" s="130"/>
      <c r="W2" s="130"/>
      <c r="X2" s="130"/>
      <c r="Y2" s="130"/>
      <c r="Z2" s="130"/>
    </row>
    <row r="3" ht="13.5" customHeight="1">
      <c r="A3" s="130" t="s">
        <v>962</v>
      </c>
      <c r="B3" s="130" t="s">
        <v>959</v>
      </c>
      <c r="C3" s="130" t="s">
        <v>963</v>
      </c>
      <c r="D3" s="130"/>
      <c r="E3" s="130"/>
      <c r="F3" s="130"/>
      <c r="G3" s="163"/>
      <c r="H3" s="130" t="s">
        <v>964</v>
      </c>
      <c r="I3" s="130"/>
      <c r="J3" s="130"/>
      <c r="K3" s="130"/>
      <c r="L3" s="130"/>
      <c r="M3" s="130"/>
      <c r="N3" s="130"/>
      <c r="O3" s="130"/>
      <c r="P3" s="130"/>
      <c r="Q3" s="130"/>
      <c r="R3" s="130"/>
      <c r="S3" s="130"/>
      <c r="T3" s="130"/>
      <c r="U3" s="130"/>
      <c r="V3" s="130"/>
      <c r="W3" s="130"/>
      <c r="X3" s="130"/>
      <c r="Y3" s="130"/>
      <c r="Z3" s="130"/>
    </row>
    <row r="4" ht="13.5" customHeight="1">
      <c r="A4" s="130" t="s">
        <v>965</v>
      </c>
      <c r="B4" s="130" t="s">
        <v>959</v>
      </c>
      <c r="C4" s="130" t="s">
        <v>966</v>
      </c>
      <c r="D4" s="130"/>
      <c r="E4" s="130"/>
      <c r="F4" s="130"/>
      <c r="G4" s="163"/>
      <c r="H4" s="130" t="s">
        <v>961</v>
      </c>
      <c r="I4" s="130"/>
      <c r="J4" s="130"/>
      <c r="K4" s="130"/>
      <c r="L4" s="130"/>
      <c r="M4" s="130"/>
      <c r="N4" s="130"/>
      <c r="O4" s="130"/>
      <c r="P4" s="130"/>
      <c r="Q4" s="130"/>
      <c r="R4" s="130"/>
      <c r="S4" s="130"/>
      <c r="T4" s="130"/>
      <c r="U4" s="130"/>
      <c r="V4" s="130"/>
      <c r="W4" s="130"/>
      <c r="X4" s="130"/>
      <c r="Y4" s="130"/>
      <c r="Z4" s="130"/>
    </row>
    <row r="5" ht="13.5" customHeight="1">
      <c r="A5" s="130" t="s">
        <v>967</v>
      </c>
      <c r="B5" s="130" t="s">
        <v>959</v>
      </c>
      <c r="C5" s="130" t="s">
        <v>968</v>
      </c>
      <c r="D5" s="130"/>
      <c r="E5" s="130"/>
      <c r="F5" s="130"/>
      <c r="G5" s="163"/>
      <c r="H5" s="130" t="s">
        <v>969</v>
      </c>
      <c r="I5" s="130"/>
      <c r="J5" s="130"/>
      <c r="K5" s="130"/>
      <c r="L5" s="130"/>
      <c r="M5" s="130"/>
      <c r="N5" s="130"/>
      <c r="O5" s="130"/>
      <c r="P5" s="130"/>
      <c r="Q5" s="130"/>
      <c r="R5" s="130"/>
      <c r="S5" s="130"/>
      <c r="T5" s="130"/>
      <c r="U5" s="130"/>
      <c r="V5" s="130"/>
      <c r="W5" s="130"/>
      <c r="X5" s="130"/>
      <c r="Y5" s="130"/>
      <c r="Z5" s="130"/>
    </row>
    <row r="6" ht="13.5" customHeight="1">
      <c r="A6" s="130" t="s">
        <v>970</v>
      </c>
      <c r="B6" s="130" t="s">
        <v>971</v>
      </c>
      <c r="C6" s="130" t="s">
        <v>229</v>
      </c>
      <c r="D6" s="130"/>
      <c r="E6" s="130"/>
      <c r="F6" s="130"/>
      <c r="G6" s="163"/>
      <c r="H6" s="130" t="s">
        <v>961</v>
      </c>
      <c r="I6" s="130"/>
      <c r="J6" s="130"/>
      <c r="K6" s="130"/>
      <c r="L6" s="130"/>
      <c r="M6" s="130"/>
      <c r="N6" s="130"/>
      <c r="O6" s="130"/>
      <c r="P6" s="130"/>
      <c r="Q6" s="130"/>
      <c r="R6" s="130"/>
      <c r="S6" s="130"/>
      <c r="T6" s="130"/>
      <c r="U6" s="130"/>
      <c r="V6" s="130"/>
      <c r="W6" s="130"/>
      <c r="X6" s="130"/>
      <c r="Y6" s="130"/>
      <c r="Z6" s="130"/>
    </row>
    <row r="7" ht="13.5" customHeight="1">
      <c r="A7" s="130" t="s">
        <v>972</v>
      </c>
      <c r="B7" s="130" t="s">
        <v>973</v>
      </c>
      <c r="C7" s="130" t="s">
        <v>974</v>
      </c>
      <c r="D7" s="130"/>
      <c r="E7" s="130"/>
      <c r="F7" s="130"/>
      <c r="G7" s="163"/>
      <c r="H7" s="130" t="s">
        <v>975</v>
      </c>
      <c r="I7" s="130"/>
      <c r="J7" s="130"/>
      <c r="K7" s="130"/>
      <c r="L7" s="130"/>
      <c r="M7" s="130"/>
      <c r="N7" s="130"/>
      <c r="O7" s="130"/>
      <c r="P7" s="130"/>
      <c r="Q7" s="130"/>
      <c r="R7" s="130"/>
      <c r="S7" s="130"/>
      <c r="T7" s="130"/>
      <c r="U7" s="130"/>
      <c r="V7" s="130"/>
      <c r="W7" s="130"/>
      <c r="X7" s="130"/>
      <c r="Y7" s="130"/>
      <c r="Z7" s="130"/>
    </row>
    <row r="8" ht="13.5" customHeight="1">
      <c r="A8" s="130" t="s">
        <v>976</v>
      </c>
      <c r="B8" s="130" t="s">
        <v>973</v>
      </c>
      <c r="C8" s="130" t="s">
        <v>977</v>
      </c>
      <c r="D8" s="130"/>
      <c r="E8" s="130"/>
      <c r="F8" s="130"/>
      <c r="G8" s="163"/>
      <c r="H8" s="130" t="s">
        <v>975</v>
      </c>
      <c r="I8" s="130"/>
      <c r="J8" s="130"/>
      <c r="K8" s="130"/>
      <c r="L8" s="130"/>
      <c r="M8" s="130"/>
      <c r="N8" s="130"/>
      <c r="O8" s="130"/>
      <c r="P8" s="130"/>
      <c r="Q8" s="130"/>
      <c r="R8" s="130"/>
      <c r="S8" s="130"/>
      <c r="T8" s="130"/>
      <c r="U8" s="130"/>
      <c r="V8" s="130"/>
      <c r="W8" s="130"/>
      <c r="X8" s="130"/>
      <c r="Y8" s="130"/>
      <c r="Z8" s="130"/>
    </row>
    <row r="9" ht="13.5" customHeight="1">
      <c r="A9" s="130" t="s">
        <v>978</v>
      </c>
      <c r="B9" s="130" t="s">
        <v>973</v>
      </c>
      <c r="C9" s="130" t="s">
        <v>979</v>
      </c>
      <c r="D9" s="130"/>
      <c r="E9" s="130"/>
      <c r="F9" s="130"/>
      <c r="G9" s="163"/>
      <c r="H9" s="130" t="s">
        <v>975</v>
      </c>
      <c r="I9" s="130"/>
      <c r="J9" s="130"/>
      <c r="K9" s="130"/>
      <c r="L9" s="130"/>
      <c r="M9" s="130"/>
      <c r="N9" s="130"/>
      <c r="O9" s="130"/>
      <c r="P9" s="130"/>
      <c r="Q9" s="130"/>
      <c r="R9" s="130"/>
      <c r="S9" s="130"/>
      <c r="T9" s="130"/>
      <c r="U9" s="130"/>
      <c r="V9" s="130"/>
      <c r="W9" s="130"/>
      <c r="X9" s="130"/>
      <c r="Y9" s="130"/>
      <c r="Z9" s="130"/>
    </row>
    <row r="10" ht="13.5" customHeight="1">
      <c r="A10" s="130" t="s">
        <v>683</v>
      </c>
      <c r="B10" s="130" t="s">
        <v>973</v>
      </c>
      <c r="C10" s="130" t="s">
        <v>980</v>
      </c>
      <c r="D10" s="130"/>
      <c r="E10" s="130"/>
      <c r="F10" s="130"/>
      <c r="G10" s="163"/>
      <c r="H10" s="130" t="s">
        <v>975</v>
      </c>
      <c r="I10" s="130"/>
      <c r="J10" s="130"/>
      <c r="K10" s="130"/>
      <c r="L10" s="130"/>
      <c r="M10" s="130"/>
      <c r="N10" s="130"/>
      <c r="O10" s="130"/>
      <c r="P10" s="130"/>
      <c r="Q10" s="130"/>
      <c r="R10" s="130"/>
      <c r="S10" s="130"/>
      <c r="T10" s="130"/>
      <c r="U10" s="130"/>
      <c r="V10" s="130"/>
      <c r="W10" s="130"/>
      <c r="X10" s="130"/>
      <c r="Y10" s="130"/>
      <c r="Z10" s="130"/>
    </row>
    <row r="11" ht="13.5" customHeight="1">
      <c r="A11" s="130" t="s">
        <v>981</v>
      </c>
      <c r="B11" s="130" t="s">
        <v>973</v>
      </c>
      <c r="C11" s="130" t="s">
        <v>982</v>
      </c>
      <c r="D11" s="130"/>
      <c r="E11" s="130"/>
      <c r="F11" s="130"/>
      <c r="G11" s="163"/>
      <c r="H11" s="130" t="s">
        <v>975</v>
      </c>
      <c r="I11" s="130"/>
      <c r="J11" s="130"/>
      <c r="K11" s="130"/>
      <c r="L11" s="130"/>
      <c r="M11" s="130"/>
      <c r="N11" s="130"/>
      <c r="O11" s="130"/>
      <c r="P11" s="130"/>
      <c r="Q11" s="130"/>
      <c r="R11" s="130"/>
      <c r="S11" s="130"/>
      <c r="T11" s="130"/>
      <c r="U11" s="130"/>
      <c r="V11" s="130"/>
      <c r="W11" s="130"/>
      <c r="X11" s="130"/>
      <c r="Y11" s="130"/>
      <c r="Z11" s="130"/>
    </row>
    <row r="12" ht="13.5" customHeight="1">
      <c r="A12" s="130" t="s">
        <v>983</v>
      </c>
      <c r="B12" s="130" t="s">
        <v>973</v>
      </c>
      <c r="C12" s="130" t="s">
        <v>984</v>
      </c>
      <c r="D12" s="130"/>
      <c r="E12" s="130"/>
      <c r="F12" s="130"/>
      <c r="G12" s="163"/>
      <c r="H12" s="130" t="s">
        <v>975</v>
      </c>
      <c r="I12" s="130"/>
      <c r="J12" s="130"/>
      <c r="K12" s="130"/>
      <c r="L12" s="130"/>
      <c r="M12" s="130"/>
      <c r="N12" s="130"/>
      <c r="O12" s="130"/>
      <c r="P12" s="130"/>
      <c r="Q12" s="130"/>
      <c r="R12" s="130"/>
      <c r="S12" s="130"/>
      <c r="T12" s="130"/>
      <c r="U12" s="130"/>
      <c r="V12" s="130"/>
      <c r="W12" s="130"/>
      <c r="X12" s="130"/>
      <c r="Y12" s="130"/>
      <c r="Z12" s="130"/>
    </row>
    <row r="13" ht="13.5" customHeight="1">
      <c r="A13" s="130" t="s">
        <v>985</v>
      </c>
      <c r="B13" s="130" t="s">
        <v>973</v>
      </c>
      <c r="C13" s="130" t="s">
        <v>986</v>
      </c>
      <c r="D13" s="130"/>
      <c r="E13" s="130"/>
      <c r="F13" s="130"/>
      <c r="G13" s="163"/>
      <c r="H13" s="130" t="s">
        <v>975</v>
      </c>
      <c r="I13" s="130"/>
      <c r="J13" s="130"/>
      <c r="K13" s="130"/>
      <c r="L13" s="130"/>
      <c r="M13" s="130"/>
      <c r="N13" s="130"/>
      <c r="O13" s="130"/>
      <c r="P13" s="130"/>
      <c r="Q13" s="130"/>
      <c r="R13" s="130"/>
      <c r="S13" s="130"/>
      <c r="T13" s="130"/>
      <c r="U13" s="130"/>
      <c r="V13" s="130"/>
      <c r="W13" s="130"/>
      <c r="X13" s="130"/>
      <c r="Y13" s="130"/>
      <c r="Z13" s="130"/>
    </row>
    <row r="14" ht="13.5" customHeight="1">
      <c r="A14" s="130" t="s">
        <v>698</v>
      </c>
      <c r="B14" s="130" t="s">
        <v>987</v>
      </c>
      <c r="C14" s="130" t="s">
        <v>988</v>
      </c>
      <c r="D14" s="130"/>
      <c r="E14" s="130"/>
      <c r="F14" s="130"/>
      <c r="G14" s="164">
        <v>0.1</v>
      </c>
      <c r="H14" s="130" t="s">
        <v>964</v>
      </c>
      <c r="I14" s="130"/>
      <c r="J14" s="130"/>
      <c r="K14" s="130"/>
      <c r="L14" s="130"/>
      <c r="M14" s="130"/>
      <c r="N14" s="130"/>
      <c r="O14" s="130"/>
      <c r="P14" s="130"/>
      <c r="Q14" s="130"/>
      <c r="R14" s="130"/>
      <c r="S14" s="130"/>
      <c r="T14" s="130"/>
      <c r="U14" s="130"/>
      <c r="V14" s="130"/>
      <c r="W14" s="130"/>
      <c r="X14" s="130"/>
      <c r="Y14" s="130"/>
      <c r="Z14" s="130"/>
    </row>
    <row r="15" ht="13.5" customHeight="1">
      <c r="A15" s="130" t="s">
        <v>989</v>
      </c>
      <c r="B15" s="130" t="s">
        <v>990</v>
      </c>
      <c r="C15" s="130" t="s">
        <v>991</v>
      </c>
      <c r="D15" s="130"/>
      <c r="E15" s="130"/>
      <c r="F15" s="130"/>
      <c r="G15" s="163"/>
      <c r="H15" s="130" t="s">
        <v>961</v>
      </c>
      <c r="I15" s="130"/>
      <c r="J15" s="130"/>
      <c r="K15" s="130"/>
      <c r="L15" s="130"/>
      <c r="M15" s="130"/>
      <c r="N15" s="130"/>
      <c r="O15" s="130"/>
      <c r="P15" s="130"/>
      <c r="Q15" s="130"/>
      <c r="R15" s="130"/>
      <c r="S15" s="130"/>
      <c r="T15" s="130"/>
      <c r="U15" s="130"/>
      <c r="V15" s="130"/>
      <c r="W15" s="130"/>
      <c r="X15" s="130"/>
      <c r="Y15" s="130"/>
      <c r="Z15" s="130"/>
    </row>
    <row r="16" ht="13.5" customHeight="1">
      <c r="A16" s="130" t="s">
        <v>992</v>
      </c>
      <c r="B16" s="130" t="s">
        <v>990</v>
      </c>
      <c r="C16" s="130" t="s">
        <v>993</v>
      </c>
      <c r="D16" s="130"/>
      <c r="E16" s="130"/>
      <c r="F16" s="130"/>
      <c r="G16" s="163"/>
      <c r="H16" s="130" t="s">
        <v>961</v>
      </c>
      <c r="I16" s="130"/>
      <c r="J16" s="130"/>
      <c r="K16" s="130"/>
      <c r="L16" s="130"/>
      <c r="M16" s="130"/>
      <c r="N16" s="130"/>
      <c r="O16" s="130"/>
      <c r="P16" s="130"/>
      <c r="Q16" s="130"/>
      <c r="R16" s="130"/>
      <c r="S16" s="130"/>
      <c r="T16" s="130"/>
      <c r="U16" s="130"/>
      <c r="V16" s="130"/>
      <c r="W16" s="130"/>
      <c r="X16" s="130"/>
      <c r="Y16" s="130"/>
      <c r="Z16" s="130"/>
    </row>
    <row r="17" ht="13.5" customHeight="1">
      <c r="A17" s="130" t="s">
        <v>994</v>
      </c>
      <c r="B17" s="130" t="s">
        <v>990</v>
      </c>
      <c r="C17" s="130" t="s">
        <v>995</v>
      </c>
      <c r="D17" s="130"/>
      <c r="E17" s="130"/>
      <c r="F17" s="130"/>
      <c r="G17" s="163"/>
      <c r="H17" s="130" t="s">
        <v>961</v>
      </c>
      <c r="I17" s="130"/>
      <c r="J17" s="130"/>
      <c r="K17" s="130"/>
      <c r="L17" s="130"/>
      <c r="M17" s="130"/>
      <c r="N17" s="130"/>
      <c r="O17" s="130"/>
      <c r="P17" s="130"/>
      <c r="Q17" s="130"/>
      <c r="R17" s="130"/>
      <c r="S17" s="130"/>
      <c r="T17" s="130"/>
      <c r="U17" s="130"/>
      <c r="V17" s="130"/>
      <c r="W17" s="130"/>
      <c r="X17" s="130"/>
      <c r="Y17" s="130"/>
      <c r="Z17" s="130"/>
    </row>
    <row r="18" ht="13.5" customHeight="1">
      <c r="A18" s="130" t="s">
        <v>996</v>
      </c>
      <c r="B18" s="130" t="s">
        <v>990</v>
      </c>
      <c r="C18" s="130" t="s">
        <v>997</v>
      </c>
      <c r="D18" s="130"/>
      <c r="E18" s="130"/>
      <c r="F18" s="130"/>
      <c r="G18" s="163"/>
      <c r="H18" s="130" t="s">
        <v>964</v>
      </c>
      <c r="I18" s="130"/>
      <c r="J18" s="130"/>
      <c r="K18" s="130"/>
      <c r="L18" s="130"/>
      <c r="M18" s="130"/>
      <c r="N18" s="130"/>
      <c r="O18" s="130"/>
      <c r="P18" s="130"/>
      <c r="Q18" s="130"/>
      <c r="R18" s="130"/>
      <c r="S18" s="130"/>
      <c r="T18" s="130"/>
      <c r="U18" s="130"/>
      <c r="V18" s="130"/>
      <c r="W18" s="130"/>
      <c r="X18" s="130"/>
      <c r="Y18" s="130"/>
      <c r="Z18" s="130"/>
    </row>
    <row r="19" ht="13.5" customHeight="1">
      <c r="A19" s="130" t="s">
        <v>689</v>
      </c>
      <c r="B19" s="130" t="s">
        <v>990</v>
      </c>
      <c r="C19" s="130" t="s">
        <v>998</v>
      </c>
      <c r="D19" s="130"/>
      <c r="E19" s="130"/>
      <c r="F19" s="130"/>
      <c r="G19" s="163"/>
      <c r="H19" s="130" t="s">
        <v>961</v>
      </c>
      <c r="I19" s="130"/>
      <c r="J19" s="130"/>
      <c r="K19" s="130"/>
      <c r="L19" s="130"/>
      <c r="M19" s="130"/>
      <c r="N19" s="130"/>
      <c r="O19" s="130"/>
      <c r="P19" s="130"/>
      <c r="Q19" s="130"/>
      <c r="R19" s="130"/>
      <c r="S19" s="130"/>
      <c r="T19" s="130"/>
      <c r="U19" s="130"/>
      <c r="V19" s="130"/>
      <c r="W19" s="130"/>
      <c r="X19" s="130"/>
      <c r="Y19" s="130"/>
      <c r="Z19" s="130"/>
    </row>
    <row r="20" ht="13.5" customHeight="1">
      <c r="A20" s="130" t="s">
        <v>999</v>
      </c>
      <c r="B20" s="130" t="s">
        <v>990</v>
      </c>
      <c r="C20" s="130" t="s">
        <v>1000</v>
      </c>
      <c r="D20" s="130"/>
      <c r="E20" s="130"/>
      <c r="F20" s="130"/>
      <c r="G20" s="163"/>
      <c r="H20" s="130" t="s">
        <v>964</v>
      </c>
      <c r="I20" s="130"/>
      <c r="J20" s="130"/>
      <c r="K20" s="130"/>
      <c r="L20" s="130"/>
      <c r="M20" s="130"/>
      <c r="N20" s="130"/>
      <c r="O20" s="130"/>
      <c r="P20" s="130"/>
      <c r="Q20" s="130"/>
      <c r="R20" s="130"/>
      <c r="S20" s="130"/>
      <c r="T20" s="130"/>
      <c r="U20" s="130"/>
      <c r="V20" s="130"/>
      <c r="W20" s="130"/>
      <c r="X20" s="130"/>
      <c r="Y20" s="130"/>
      <c r="Z20" s="130"/>
    </row>
    <row r="21" ht="13.5" customHeight="1">
      <c r="A21" s="130" t="s">
        <v>1001</v>
      </c>
      <c r="B21" s="130" t="s">
        <v>1002</v>
      </c>
      <c r="C21" s="130" t="s">
        <v>1003</v>
      </c>
      <c r="D21" s="130"/>
      <c r="E21" s="130"/>
      <c r="F21" s="130"/>
      <c r="G21" s="163"/>
      <c r="H21" s="130" t="s">
        <v>1004</v>
      </c>
      <c r="I21" s="130"/>
      <c r="J21" s="130"/>
      <c r="K21" s="130"/>
      <c r="L21" s="130"/>
      <c r="M21" s="130"/>
      <c r="N21" s="130"/>
      <c r="O21" s="130"/>
      <c r="P21" s="130"/>
      <c r="Q21" s="130"/>
      <c r="R21" s="130"/>
      <c r="S21" s="130"/>
      <c r="T21" s="130"/>
      <c r="U21" s="130"/>
      <c r="V21" s="130"/>
      <c r="W21" s="130"/>
      <c r="X21" s="130"/>
      <c r="Y21" s="130"/>
      <c r="Z21" s="130"/>
    </row>
    <row r="22" ht="13.5" customHeight="1">
      <c r="A22" s="130" t="s">
        <v>1005</v>
      </c>
      <c r="B22" s="130" t="s">
        <v>1002</v>
      </c>
      <c r="C22" s="130" t="s">
        <v>1006</v>
      </c>
      <c r="D22" s="130"/>
      <c r="E22" s="130"/>
      <c r="F22" s="130"/>
      <c r="G22" s="163"/>
      <c r="H22" s="130" t="s">
        <v>964</v>
      </c>
      <c r="I22" s="130"/>
      <c r="J22" s="130"/>
      <c r="K22" s="130"/>
      <c r="L22" s="130"/>
      <c r="M22" s="130"/>
      <c r="N22" s="130"/>
      <c r="O22" s="130"/>
      <c r="P22" s="130"/>
      <c r="Q22" s="130"/>
      <c r="R22" s="130"/>
      <c r="S22" s="130"/>
      <c r="T22" s="130"/>
      <c r="U22" s="130"/>
      <c r="V22" s="130"/>
      <c r="W22" s="130"/>
      <c r="X22" s="130"/>
      <c r="Y22" s="130"/>
      <c r="Z22" s="130"/>
    </row>
    <row r="23" ht="13.5" customHeight="1">
      <c r="A23" s="130" t="s">
        <v>1007</v>
      </c>
      <c r="B23" s="130" t="s">
        <v>1002</v>
      </c>
      <c r="C23" s="130" t="s">
        <v>1008</v>
      </c>
      <c r="D23" s="130"/>
      <c r="E23" s="130"/>
      <c r="F23" s="130"/>
      <c r="G23" s="163"/>
      <c r="H23" s="130" t="s">
        <v>1004</v>
      </c>
      <c r="I23" s="130"/>
      <c r="J23" s="130"/>
      <c r="K23" s="130"/>
      <c r="L23" s="130"/>
      <c r="M23" s="130"/>
      <c r="N23" s="130"/>
      <c r="O23" s="130"/>
      <c r="P23" s="130"/>
      <c r="Q23" s="130"/>
      <c r="R23" s="130"/>
      <c r="S23" s="130"/>
      <c r="T23" s="130"/>
      <c r="U23" s="130"/>
      <c r="V23" s="130"/>
      <c r="W23" s="130"/>
      <c r="X23" s="130"/>
      <c r="Y23" s="130"/>
      <c r="Z23" s="130"/>
    </row>
    <row r="24" ht="13.5" customHeight="1">
      <c r="A24" s="130" t="s">
        <v>1009</v>
      </c>
      <c r="B24" s="130" t="s">
        <v>1002</v>
      </c>
      <c r="C24" s="130" t="s">
        <v>1010</v>
      </c>
      <c r="D24" s="130"/>
      <c r="E24" s="130"/>
      <c r="F24" s="130"/>
      <c r="G24" s="163"/>
      <c r="H24" s="130" t="s">
        <v>1004</v>
      </c>
      <c r="I24" s="130"/>
      <c r="J24" s="130"/>
      <c r="K24" s="130"/>
      <c r="L24" s="130"/>
      <c r="M24" s="130"/>
      <c r="N24" s="130"/>
      <c r="O24" s="130"/>
      <c r="P24" s="130"/>
      <c r="Q24" s="130"/>
      <c r="R24" s="130"/>
      <c r="S24" s="130"/>
      <c r="T24" s="130"/>
      <c r="U24" s="130"/>
      <c r="V24" s="130"/>
      <c r="W24" s="130"/>
      <c r="X24" s="130"/>
      <c r="Y24" s="130"/>
      <c r="Z24" s="130"/>
    </row>
    <row r="25" ht="13.5" customHeight="1">
      <c r="A25" s="130" t="s">
        <v>1011</v>
      </c>
      <c r="B25" s="130" t="s">
        <v>1012</v>
      </c>
      <c r="C25" s="130" t="s">
        <v>1013</v>
      </c>
      <c r="D25" s="130"/>
      <c r="E25" s="130"/>
      <c r="F25" s="130"/>
      <c r="G25" s="163"/>
      <c r="H25" s="130" t="s">
        <v>964</v>
      </c>
      <c r="I25" s="130"/>
      <c r="J25" s="130"/>
      <c r="K25" s="130"/>
      <c r="L25" s="130"/>
      <c r="M25" s="130"/>
      <c r="N25" s="130"/>
      <c r="O25" s="130"/>
      <c r="P25" s="130"/>
      <c r="Q25" s="130"/>
      <c r="R25" s="130"/>
      <c r="S25" s="130"/>
      <c r="T25" s="130"/>
      <c r="U25" s="130"/>
      <c r="V25" s="130"/>
      <c r="W25" s="130"/>
      <c r="X25" s="130"/>
      <c r="Y25" s="130"/>
      <c r="Z25" s="130"/>
    </row>
    <row r="26" ht="13.5" customHeight="1">
      <c r="A26" s="130" t="s">
        <v>1014</v>
      </c>
      <c r="B26" s="130" t="s">
        <v>1012</v>
      </c>
      <c r="C26" s="130" t="s">
        <v>593</v>
      </c>
      <c r="D26" s="130"/>
      <c r="E26" s="130"/>
      <c r="F26" s="130"/>
      <c r="G26" s="163"/>
      <c r="H26" s="130" t="s">
        <v>964</v>
      </c>
      <c r="I26" s="130"/>
      <c r="J26" s="130"/>
      <c r="K26" s="130"/>
      <c r="L26" s="130"/>
      <c r="M26" s="130"/>
      <c r="N26" s="130"/>
      <c r="O26" s="130"/>
      <c r="P26" s="130"/>
      <c r="Q26" s="130"/>
      <c r="R26" s="130"/>
      <c r="S26" s="130"/>
      <c r="T26" s="130"/>
      <c r="U26" s="130"/>
      <c r="V26" s="130"/>
      <c r="W26" s="130"/>
      <c r="X26" s="130"/>
      <c r="Y26" s="130"/>
      <c r="Z26" s="130"/>
    </row>
    <row r="27" ht="13.5" customHeight="1">
      <c r="A27" s="130" t="s">
        <v>1015</v>
      </c>
      <c r="B27" s="130" t="s">
        <v>1016</v>
      </c>
      <c r="C27" s="130" t="s">
        <v>1017</v>
      </c>
      <c r="D27" s="130"/>
      <c r="E27" s="130"/>
      <c r="F27" s="130"/>
      <c r="G27" s="164">
        <v>0.1</v>
      </c>
      <c r="H27" s="130" t="s">
        <v>1018</v>
      </c>
      <c r="I27" s="130"/>
      <c r="J27" s="130"/>
      <c r="K27" s="130"/>
      <c r="L27" s="130"/>
      <c r="M27" s="130"/>
      <c r="N27" s="130"/>
      <c r="O27" s="130"/>
      <c r="P27" s="130"/>
      <c r="Q27" s="130"/>
      <c r="R27" s="130"/>
      <c r="S27" s="130"/>
      <c r="T27" s="130"/>
      <c r="U27" s="130"/>
      <c r="V27" s="130"/>
      <c r="W27" s="130"/>
      <c r="X27" s="130"/>
      <c r="Y27" s="130"/>
      <c r="Z27" s="130"/>
    </row>
    <row r="28" ht="13.5" customHeight="1">
      <c r="A28" s="130" t="s">
        <v>1019</v>
      </c>
      <c r="B28" s="130" t="s">
        <v>1016</v>
      </c>
      <c r="C28" s="130" t="s">
        <v>1020</v>
      </c>
      <c r="D28" s="130"/>
      <c r="E28" s="130"/>
      <c r="F28" s="130"/>
      <c r="G28" s="163"/>
      <c r="H28" s="130" t="s">
        <v>961</v>
      </c>
      <c r="I28" s="130"/>
      <c r="J28" s="130"/>
      <c r="K28" s="130"/>
      <c r="L28" s="130"/>
      <c r="M28" s="130"/>
      <c r="N28" s="130"/>
      <c r="O28" s="130"/>
      <c r="P28" s="130"/>
      <c r="Q28" s="130"/>
      <c r="R28" s="130"/>
      <c r="S28" s="130"/>
      <c r="T28" s="130"/>
      <c r="U28" s="130"/>
      <c r="V28" s="130"/>
      <c r="W28" s="130"/>
      <c r="X28" s="130"/>
      <c r="Y28" s="130"/>
      <c r="Z28" s="130"/>
    </row>
    <row r="29" ht="13.5" customHeight="1">
      <c r="A29" s="130" t="s">
        <v>1021</v>
      </c>
      <c r="B29" s="130" t="s">
        <v>1016</v>
      </c>
      <c r="C29" s="130" t="s">
        <v>1022</v>
      </c>
      <c r="D29" s="130"/>
      <c r="E29" s="130"/>
      <c r="F29" s="130"/>
      <c r="G29" s="163"/>
      <c r="H29" s="130" t="s">
        <v>961</v>
      </c>
      <c r="I29" s="130"/>
      <c r="J29" s="130"/>
      <c r="K29" s="130"/>
      <c r="L29" s="130"/>
      <c r="M29" s="130"/>
      <c r="N29" s="130"/>
      <c r="O29" s="130"/>
      <c r="P29" s="130"/>
      <c r="Q29" s="130"/>
      <c r="R29" s="130"/>
      <c r="S29" s="130"/>
      <c r="T29" s="130"/>
      <c r="U29" s="130"/>
      <c r="V29" s="130"/>
      <c r="W29" s="130"/>
      <c r="X29" s="130"/>
      <c r="Y29" s="130"/>
      <c r="Z29" s="130"/>
    </row>
    <row r="30" ht="13.5" customHeight="1">
      <c r="A30" s="130" t="s">
        <v>1023</v>
      </c>
      <c r="B30" s="130" t="s">
        <v>1016</v>
      </c>
      <c r="C30" s="130" t="s">
        <v>1024</v>
      </c>
      <c r="D30" s="130"/>
      <c r="E30" s="130"/>
      <c r="F30" s="130"/>
      <c r="G30" s="164">
        <v>0.1</v>
      </c>
      <c r="H30" s="130" t="s">
        <v>1018</v>
      </c>
      <c r="I30" s="130"/>
      <c r="J30" s="130"/>
      <c r="K30" s="130"/>
      <c r="L30" s="130"/>
      <c r="M30" s="130"/>
      <c r="N30" s="130"/>
      <c r="O30" s="130"/>
      <c r="P30" s="130"/>
      <c r="Q30" s="130"/>
      <c r="R30" s="130"/>
      <c r="S30" s="130"/>
      <c r="T30" s="130"/>
      <c r="U30" s="130"/>
      <c r="V30" s="130"/>
      <c r="W30" s="130"/>
      <c r="X30" s="130"/>
      <c r="Y30" s="130"/>
      <c r="Z30" s="130"/>
    </row>
    <row r="31" ht="13.5" customHeight="1">
      <c r="A31" s="130" t="s">
        <v>691</v>
      </c>
      <c r="B31" s="130" t="s">
        <v>1016</v>
      </c>
      <c r="C31" s="130" t="s">
        <v>1025</v>
      </c>
      <c r="D31" s="130"/>
      <c r="E31" s="130"/>
      <c r="F31" s="130"/>
      <c r="G31" s="164">
        <v>0.1</v>
      </c>
      <c r="H31" s="130" t="s">
        <v>1018</v>
      </c>
      <c r="I31" s="130"/>
      <c r="J31" s="130"/>
      <c r="K31" s="130"/>
      <c r="L31" s="130"/>
      <c r="M31" s="130"/>
      <c r="N31" s="130"/>
      <c r="O31" s="130"/>
      <c r="P31" s="130"/>
      <c r="Q31" s="130"/>
      <c r="R31" s="130"/>
      <c r="S31" s="130"/>
      <c r="T31" s="130"/>
      <c r="U31" s="130"/>
      <c r="V31" s="130"/>
      <c r="W31" s="130"/>
      <c r="X31" s="130"/>
      <c r="Y31" s="130"/>
      <c r="Z31" s="130"/>
    </row>
    <row r="32" ht="13.5" customHeight="1">
      <c r="A32" s="130" t="s">
        <v>680</v>
      </c>
      <c r="B32" s="130" t="s">
        <v>1026</v>
      </c>
      <c r="C32" s="130" t="s">
        <v>1027</v>
      </c>
      <c r="D32" s="130"/>
      <c r="E32" s="130"/>
      <c r="F32" s="130"/>
      <c r="G32" s="164"/>
      <c r="H32" s="130"/>
      <c r="I32" s="130"/>
      <c r="J32" s="130"/>
      <c r="K32" s="130"/>
      <c r="L32" s="130"/>
      <c r="M32" s="130"/>
      <c r="N32" s="130"/>
      <c r="O32" s="130"/>
      <c r="P32" s="130"/>
      <c r="Q32" s="130"/>
      <c r="R32" s="130"/>
      <c r="S32" s="130"/>
      <c r="T32" s="130"/>
      <c r="U32" s="130"/>
      <c r="V32" s="130"/>
      <c r="W32" s="130"/>
      <c r="X32" s="130"/>
      <c r="Y32" s="130"/>
      <c r="Z32" s="130"/>
    </row>
    <row r="33" ht="13.5" customHeight="1">
      <c r="A33" s="130" t="s">
        <v>1028</v>
      </c>
      <c r="B33" s="130" t="s">
        <v>1026</v>
      </c>
      <c r="C33" s="130" t="s">
        <v>1029</v>
      </c>
      <c r="D33" s="130"/>
      <c r="E33" s="130"/>
      <c r="F33" s="130"/>
      <c r="G33" s="164">
        <v>0.1</v>
      </c>
      <c r="H33" s="130" t="s">
        <v>1030</v>
      </c>
      <c r="I33" s="130"/>
      <c r="J33" s="130"/>
      <c r="K33" s="130"/>
      <c r="L33" s="130"/>
      <c r="M33" s="130"/>
      <c r="N33" s="130"/>
      <c r="O33" s="130"/>
      <c r="P33" s="130"/>
      <c r="Q33" s="130"/>
      <c r="R33" s="130"/>
      <c r="S33" s="130"/>
      <c r="T33" s="130"/>
      <c r="U33" s="130"/>
      <c r="V33" s="130"/>
      <c r="W33" s="130"/>
      <c r="X33" s="130"/>
      <c r="Y33" s="130"/>
      <c r="Z33" s="130"/>
    </row>
    <row r="34" ht="13.5" customHeight="1">
      <c r="A34" s="130" t="s">
        <v>1031</v>
      </c>
      <c r="B34" s="130" t="s">
        <v>1026</v>
      </c>
      <c r="C34" s="130" t="s">
        <v>267</v>
      </c>
      <c r="D34" s="130"/>
      <c r="E34" s="130"/>
      <c r="F34" s="130"/>
      <c r="G34" s="163"/>
      <c r="H34" s="130" t="s">
        <v>1030</v>
      </c>
      <c r="I34" s="130"/>
      <c r="J34" s="130"/>
      <c r="K34" s="130"/>
      <c r="L34" s="130"/>
      <c r="M34" s="130"/>
      <c r="N34" s="130"/>
      <c r="O34" s="130"/>
      <c r="P34" s="130"/>
      <c r="Q34" s="130"/>
      <c r="R34" s="130"/>
      <c r="S34" s="130"/>
      <c r="T34" s="130"/>
      <c r="U34" s="130"/>
      <c r="V34" s="130"/>
      <c r="W34" s="130"/>
      <c r="X34" s="130"/>
      <c r="Y34" s="130"/>
      <c r="Z34" s="130"/>
    </row>
    <row r="35" ht="13.5" customHeight="1">
      <c r="A35" s="130" t="s">
        <v>1032</v>
      </c>
      <c r="B35" s="130" t="s">
        <v>1033</v>
      </c>
      <c r="C35" s="130" t="s">
        <v>1034</v>
      </c>
      <c r="D35" s="130"/>
      <c r="E35" s="130"/>
      <c r="F35" s="130"/>
      <c r="G35" s="163"/>
      <c r="H35" s="130" t="s">
        <v>964</v>
      </c>
      <c r="I35" s="130"/>
      <c r="J35" s="130"/>
      <c r="K35" s="130"/>
      <c r="L35" s="130"/>
      <c r="M35" s="130"/>
      <c r="N35" s="130"/>
      <c r="O35" s="130"/>
      <c r="P35" s="130"/>
      <c r="Q35" s="130"/>
      <c r="R35" s="130"/>
      <c r="S35" s="130"/>
      <c r="T35" s="130"/>
      <c r="U35" s="130"/>
      <c r="V35" s="130"/>
      <c r="W35" s="130"/>
      <c r="X35" s="130"/>
      <c r="Y35" s="130"/>
      <c r="Z35" s="130"/>
    </row>
    <row r="36" ht="13.5" customHeight="1">
      <c r="A36" s="130" t="s">
        <v>1035</v>
      </c>
      <c r="B36" s="130" t="s">
        <v>1033</v>
      </c>
      <c r="C36" s="130" t="s">
        <v>1036</v>
      </c>
      <c r="D36" s="130"/>
      <c r="E36" s="130"/>
      <c r="F36" s="130"/>
      <c r="G36" s="163"/>
      <c r="H36" s="130" t="s">
        <v>964</v>
      </c>
      <c r="I36" s="130"/>
      <c r="J36" s="130"/>
      <c r="K36" s="130"/>
      <c r="L36" s="130"/>
      <c r="M36" s="130"/>
      <c r="N36" s="130"/>
      <c r="O36" s="130"/>
      <c r="P36" s="130"/>
      <c r="Q36" s="130"/>
      <c r="R36" s="130"/>
      <c r="S36" s="130"/>
      <c r="T36" s="130"/>
      <c r="U36" s="130"/>
      <c r="V36" s="130"/>
      <c r="W36" s="130"/>
      <c r="X36" s="130"/>
      <c r="Y36" s="130"/>
      <c r="Z36" s="130"/>
    </row>
    <row r="37" ht="13.5" customHeight="1">
      <c r="A37" s="130" t="s">
        <v>1037</v>
      </c>
      <c r="B37" s="130" t="s">
        <v>1033</v>
      </c>
      <c r="C37" s="130" t="s">
        <v>1038</v>
      </c>
      <c r="D37" s="130"/>
      <c r="E37" s="130"/>
      <c r="F37" s="130"/>
      <c r="G37" s="163"/>
      <c r="H37" s="130" t="s">
        <v>964</v>
      </c>
      <c r="I37" s="130"/>
      <c r="J37" s="130"/>
      <c r="K37" s="130"/>
      <c r="L37" s="130"/>
      <c r="M37" s="130"/>
      <c r="N37" s="130"/>
      <c r="O37" s="130"/>
      <c r="P37" s="130"/>
      <c r="Q37" s="130"/>
      <c r="R37" s="130"/>
      <c r="S37" s="130"/>
      <c r="T37" s="130"/>
      <c r="U37" s="130"/>
      <c r="V37" s="130"/>
      <c r="W37" s="130"/>
      <c r="X37" s="130"/>
      <c r="Y37" s="130"/>
      <c r="Z37" s="130"/>
    </row>
    <row r="38" ht="13.5" customHeight="1">
      <c r="A38" s="130" t="s">
        <v>1039</v>
      </c>
      <c r="B38" s="130" t="s">
        <v>1033</v>
      </c>
      <c r="C38" s="130" t="s">
        <v>1040</v>
      </c>
      <c r="D38" s="130"/>
      <c r="E38" s="130"/>
      <c r="F38" s="130"/>
      <c r="G38" s="163"/>
      <c r="H38" s="130" t="s">
        <v>964</v>
      </c>
      <c r="I38" s="130"/>
      <c r="J38" s="130"/>
      <c r="K38" s="130"/>
      <c r="L38" s="130"/>
      <c r="M38" s="130"/>
      <c r="N38" s="130"/>
      <c r="O38" s="130"/>
      <c r="P38" s="130"/>
      <c r="Q38" s="130"/>
      <c r="R38" s="130"/>
      <c r="S38" s="130"/>
      <c r="T38" s="130"/>
      <c r="U38" s="130"/>
      <c r="V38" s="130"/>
      <c r="W38" s="130"/>
      <c r="X38" s="130"/>
      <c r="Y38" s="130"/>
      <c r="Z38" s="130"/>
    </row>
    <row r="39" ht="13.5" customHeight="1">
      <c r="A39" s="130" t="s">
        <v>1041</v>
      </c>
      <c r="B39" s="130" t="s">
        <v>1042</v>
      </c>
      <c r="C39" s="130" t="s">
        <v>1043</v>
      </c>
      <c r="D39" s="130"/>
      <c r="E39" s="130"/>
      <c r="F39" s="130"/>
      <c r="G39" s="163"/>
      <c r="H39" s="130" t="s">
        <v>964</v>
      </c>
      <c r="I39" s="130"/>
      <c r="J39" s="130"/>
      <c r="K39" s="130"/>
      <c r="L39" s="130"/>
      <c r="M39" s="130"/>
      <c r="N39" s="130"/>
      <c r="O39" s="130"/>
      <c r="P39" s="130"/>
      <c r="Q39" s="130"/>
      <c r="R39" s="130"/>
      <c r="S39" s="130"/>
      <c r="T39" s="130"/>
      <c r="U39" s="130"/>
      <c r="V39" s="130"/>
      <c r="W39" s="130"/>
      <c r="X39" s="130"/>
      <c r="Y39" s="130"/>
      <c r="Z39" s="130"/>
    </row>
    <row r="40" ht="13.5" customHeight="1">
      <c r="A40" s="130" t="s">
        <v>700</v>
      </c>
      <c r="B40" s="130" t="s">
        <v>1042</v>
      </c>
      <c r="C40" s="130" t="s">
        <v>1044</v>
      </c>
      <c r="D40" s="130"/>
      <c r="E40" s="130"/>
      <c r="F40" s="130"/>
      <c r="G40" s="164">
        <v>0.1</v>
      </c>
      <c r="H40" s="130" t="s">
        <v>1030</v>
      </c>
      <c r="I40" s="130"/>
      <c r="J40" s="130"/>
      <c r="K40" s="130"/>
      <c r="L40" s="130"/>
      <c r="M40" s="130"/>
      <c r="N40" s="130"/>
      <c r="O40" s="130"/>
      <c r="P40" s="130"/>
      <c r="Q40" s="130"/>
      <c r="R40" s="130"/>
      <c r="S40" s="130"/>
      <c r="T40" s="130"/>
      <c r="U40" s="130"/>
      <c r="V40" s="130"/>
      <c r="W40" s="130"/>
      <c r="X40" s="130"/>
      <c r="Y40" s="130"/>
      <c r="Z40" s="130"/>
    </row>
    <row r="41" ht="13.5" customHeight="1">
      <c r="A41" s="130" t="s">
        <v>1045</v>
      </c>
      <c r="B41" s="130" t="s">
        <v>1042</v>
      </c>
      <c r="C41" s="130" t="s">
        <v>1046</v>
      </c>
      <c r="D41" s="130"/>
      <c r="E41" s="130"/>
      <c r="F41" s="130"/>
      <c r="G41" s="163"/>
      <c r="H41" s="130" t="s">
        <v>961</v>
      </c>
      <c r="I41" s="130"/>
      <c r="J41" s="130"/>
      <c r="K41" s="130"/>
      <c r="L41" s="130"/>
      <c r="M41" s="130"/>
      <c r="N41" s="130"/>
      <c r="O41" s="130"/>
      <c r="P41" s="130"/>
      <c r="Q41" s="130"/>
      <c r="R41" s="130"/>
      <c r="S41" s="130"/>
      <c r="T41" s="130"/>
      <c r="U41" s="130"/>
      <c r="V41" s="130"/>
      <c r="W41" s="130"/>
      <c r="X41" s="130"/>
      <c r="Y41" s="130"/>
      <c r="Z41" s="130"/>
    </row>
    <row r="42" ht="13.5" customHeight="1">
      <c r="A42" s="130" t="s">
        <v>1047</v>
      </c>
      <c r="B42" s="130" t="s">
        <v>1042</v>
      </c>
      <c r="C42" s="130" t="s">
        <v>1048</v>
      </c>
      <c r="D42" s="130"/>
      <c r="E42" s="130"/>
      <c r="F42" s="130"/>
      <c r="G42" s="163"/>
      <c r="H42" s="130" t="s">
        <v>964</v>
      </c>
      <c r="I42" s="130"/>
      <c r="J42" s="130"/>
      <c r="K42" s="130"/>
      <c r="L42" s="130"/>
      <c r="M42" s="130"/>
      <c r="N42" s="130"/>
      <c r="O42" s="130"/>
      <c r="P42" s="130"/>
      <c r="Q42" s="130"/>
      <c r="R42" s="130"/>
      <c r="S42" s="130"/>
      <c r="T42" s="130"/>
      <c r="U42" s="130"/>
      <c r="V42" s="130"/>
      <c r="W42" s="130"/>
      <c r="X42" s="130"/>
      <c r="Y42" s="130"/>
      <c r="Z42" s="130"/>
    </row>
    <row r="43" ht="13.5" customHeight="1">
      <c r="A43" s="130" t="s">
        <v>1049</v>
      </c>
      <c r="B43" s="130" t="s">
        <v>1042</v>
      </c>
      <c r="C43" s="130" t="s">
        <v>1050</v>
      </c>
      <c r="D43" s="130"/>
      <c r="E43" s="130"/>
      <c r="F43" s="130"/>
      <c r="G43" s="163"/>
      <c r="H43" s="130" t="s">
        <v>969</v>
      </c>
      <c r="I43" s="130"/>
      <c r="J43" s="130"/>
      <c r="K43" s="130"/>
      <c r="L43" s="130"/>
      <c r="M43" s="130"/>
      <c r="N43" s="130"/>
      <c r="O43" s="130"/>
      <c r="P43" s="130"/>
      <c r="Q43" s="130"/>
      <c r="R43" s="130"/>
      <c r="S43" s="130"/>
      <c r="T43" s="130"/>
      <c r="U43" s="130"/>
      <c r="V43" s="130"/>
      <c r="W43" s="130"/>
      <c r="X43" s="130"/>
      <c r="Y43" s="130"/>
      <c r="Z43" s="130"/>
    </row>
    <row r="44" ht="13.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row>
    <row r="45" ht="13.5" customHeight="1">
      <c r="A45" s="130"/>
      <c r="B45" s="130"/>
      <c r="C45" s="130"/>
      <c r="D45" s="130"/>
      <c r="E45" s="130"/>
      <c r="F45" s="130"/>
      <c r="G45" s="130"/>
      <c r="H45" s="130"/>
      <c r="I45" s="130"/>
      <c r="J45" s="130"/>
      <c r="K45" s="130"/>
      <c r="L45" s="130"/>
      <c r="M45" s="130"/>
      <c r="N45" s="130"/>
      <c r="O45" s="130"/>
      <c r="P45" s="130"/>
      <c r="Q45" s="130"/>
      <c r="R45" s="130"/>
      <c r="S45" s="130"/>
      <c r="T45" s="130"/>
      <c r="U45" s="130"/>
      <c r="V45" s="130"/>
      <c r="W45" s="130"/>
      <c r="X45" s="130"/>
      <c r="Y45" s="130"/>
      <c r="Z45" s="130"/>
    </row>
    <row r="46" ht="13.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c r="Z46" s="130"/>
    </row>
    <row r="47" ht="13.5" customHeight="1">
      <c r="A47" s="130" t="s">
        <v>177</v>
      </c>
      <c r="B47" s="130"/>
      <c r="C47" s="130"/>
      <c r="D47" s="130"/>
      <c r="E47" s="130"/>
      <c r="F47" s="130"/>
      <c r="G47" s="130"/>
      <c r="H47" s="130"/>
      <c r="I47" s="130"/>
      <c r="J47" s="130"/>
      <c r="K47" s="130"/>
      <c r="L47" s="130"/>
      <c r="M47" s="130"/>
      <c r="N47" s="130"/>
      <c r="O47" s="130"/>
      <c r="P47" s="130"/>
      <c r="Q47" s="130"/>
      <c r="R47" s="130"/>
      <c r="S47" s="130"/>
      <c r="T47" s="130"/>
      <c r="U47" s="130"/>
      <c r="V47" s="130"/>
      <c r="W47" s="130"/>
      <c r="X47" s="130"/>
      <c r="Y47" s="130"/>
      <c r="Z47" s="130"/>
    </row>
    <row r="48" ht="13.5" customHeight="1">
      <c r="A48" s="130" t="s">
        <v>413</v>
      </c>
      <c r="B48" s="130" t="s">
        <v>971</v>
      </c>
      <c r="C48" s="130" t="s">
        <v>414</v>
      </c>
      <c r="D48" s="130"/>
      <c r="E48" s="130"/>
      <c r="F48" s="130"/>
      <c r="G48" s="130"/>
      <c r="H48" s="130"/>
      <c r="I48" s="130"/>
      <c r="J48" s="130"/>
      <c r="K48" s="130"/>
      <c r="L48" s="130"/>
      <c r="M48" s="130"/>
      <c r="N48" s="130"/>
      <c r="O48" s="130"/>
      <c r="P48" s="130"/>
      <c r="Q48" s="130"/>
      <c r="R48" s="130"/>
      <c r="S48" s="130"/>
      <c r="T48" s="130"/>
      <c r="U48" s="130"/>
      <c r="V48" s="130"/>
      <c r="W48" s="130"/>
      <c r="X48" s="130"/>
      <c r="Y48" s="130"/>
      <c r="Z48" s="130"/>
    </row>
    <row r="49" ht="13.5" customHeight="1">
      <c r="A49" s="130" t="s">
        <v>415</v>
      </c>
      <c r="B49" s="130" t="s">
        <v>971</v>
      </c>
      <c r="C49" s="130" t="s">
        <v>416</v>
      </c>
      <c r="D49" s="130"/>
      <c r="E49" s="130"/>
      <c r="F49" s="130"/>
      <c r="G49" s="130"/>
      <c r="H49" s="130"/>
      <c r="I49" s="130"/>
      <c r="J49" s="130"/>
      <c r="K49" s="130"/>
      <c r="L49" s="130"/>
      <c r="M49" s="130"/>
      <c r="N49" s="130"/>
      <c r="O49" s="130"/>
      <c r="P49" s="130"/>
      <c r="Q49" s="130"/>
      <c r="R49" s="130"/>
      <c r="S49" s="130"/>
      <c r="T49" s="130"/>
      <c r="U49" s="130"/>
      <c r="V49" s="130"/>
      <c r="W49" s="130"/>
      <c r="X49" s="130"/>
      <c r="Y49" s="130"/>
      <c r="Z49" s="130"/>
    </row>
    <row r="50" ht="13.5" customHeight="1">
      <c r="A50" s="130" t="s">
        <v>421</v>
      </c>
      <c r="B50" s="130" t="s">
        <v>971</v>
      </c>
      <c r="C50" s="130" t="s">
        <v>422</v>
      </c>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ht="13.5" customHeight="1">
      <c r="A51" s="130" t="s">
        <v>426</v>
      </c>
      <c r="B51" s="130" t="s">
        <v>971</v>
      </c>
      <c r="C51" s="130" t="s">
        <v>427</v>
      </c>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ht="13.5" customHeight="1">
      <c r="A52" s="130" t="s">
        <v>431</v>
      </c>
      <c r="B52" s="130" t="s">
        <v>971</v>
      </c>
      <c r="C52" s="130" t="s">
        <v>432</v>
      </c>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ht="13.5" customHeight="1">
      <c r="A53" s="130" t="s">
        <v>437</v>
      </c>
      <c r="B53" s="130" t="s">
        <v>971</v>
      </c>
      <c r="C53" s="130" t="s">
        <v>438</v>
      </c>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ht="13.5" customHeight="1">
      <c r="A54" s="130" t="s">
        <v>443</v>
      </c>
      <c r="B54" s="130" t="s">
        <v>971</v>
      </c>
      <c r="C54" s="130" t="s">
        <v>101</v>
      </c>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ht="13.5" customHeight="1">
      <c r="A55" s="130" t="s">
        <v>447</v>
      </c>
      <c r="B55" s="130" t="s">
        <v>971</v>
      </c>
      <c r="C55" s="130" t="s">
        <v>448</v>
      </c>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ht="13.5" customHeight="1">
      <c r="A56" s="130" t="s">
        <v>452</v>
      </c>
      <c r="B56" s="130" t="s">
        <v>971</v>
      </c>
      <c r="C56" s="130" t="s">
        <v>453</v>
      </c>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ht="13.5" customHeight="1">
      <c r="A57" s="130" t="s">
        <v>457</v>
      </c>
      <c r="B57" s="130" t="s">
        <v>971</v>
      </c>
      <c r="C57" s="130" t="s">
        <v>95</v>
      </c>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ht="13.5" customHeight="1">
      <c r="A58" s="130" t="s">
        <v>461</v>
      </c>
      <c r="B58" s="130" t="s">
        <v>971</v>
      </c>
      <c r="C58" s="130" t="s">
        <v>462</v>
      </c>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ht="13.5" customHeight="1">
      <c r="A59" s="130" t="s">
        <v>466</v>
      </c>
      <c r="B59" s="130" t="s">
        <v>971</v>
      </c>
      <c r="C59" s="130" t="s">
        <v>467</v>
      </c>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ht="13.5" customHeight="1">
      <c r="A60" s="130" t="s">
        <v>471</v>
      </c>
      <c r="B60" s="130" t="s">
        <v>971</v>
      </c>
      <c r="C60" s="130" t="s">
        <v>472</v>
      </c>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ht="13.5" customHeight="1">
      <c r="A61" s="130" t="s">
        <v>476</v>
      </c>
      <c r="B61" s="130" t="s">
        <v>971</v>
      </c>
      <c r="C61" s="130" t="s">
        <v>477</v>
      </c>
      <c r="D61" s="130"/>
      <c r="E61" s="130"/>
      <c r="F61" s="130"/>
      <c r="G61" s="130" t="s">
        <v>417</v>
      </c>
      <c r="H61" s="130"/>
      <c r="I61" s="130"/>
      <c r="J61" s="130"/>
      <c r="K61" s="130"/>
      <c r="L61" s="130"/>
      <c r="M61" s="130"/>
      <c r="N61" s="130"/>
      <c r="O61" s="130"/>
      <c r="P61" s="130"/>
      <c r="Q61" s="130"/>
      <c r="R61" s="130"/>
      <c r="S61" s="130"/>
      <c r="T61" s="130"/>
      <c r="U61" s="130"/>
      <c r="V61" s="130"/>
      <c r="W61" s="130"/>
      <c r="X61" s="130"/>
      <c r="Y61" s="130"/>
      <c r="Z61" s="130"/>
    </row>
    <row r="62" ht="13.5" customHeight="1">
      <c r="A62" s="130" t="s">
        <v>482</v>
      </c>
      <c r="B62" s="130" t="s">
        <v>971</v>
      </c>
      <c r="C62" s="130" t="s">
        <v>483</v>
      </c>
      <c r="D62" s="130"/>
      <c r="E62" s="130"/>
      <c r="F62" s="130"/>
      <c r="G62" s="130"/>
      <c r="H62" s="130"/>
      <c r="I62" s="130"/>
      <c r="J62" s="130"/>
      <c r="K62" s="130"/>
      <c r="L62" s="130"/>
      <c r="M62" s="130"/>
      <c r="N62" s="130"/>
      <c r="O62" s="130"/>
      <c r="P62" s="130"/>
      <c r="Q62" s="130"/>
      <c r="R62" s="130"/>
      <c r="S62" s="130"/>
      <c r="T62" s="130"/>
      <c r="U62" s="130"/>
      <c r="V62" s="130"/>
      <c r="W62" s="130"/>
      <c r="X62" s="130"/>
      <c r="Y62" s="130"/>
      <c r="Z62" s="130"/>
    </row>
    <row r="63" ht="13.5" customHeight="1">
      <c r="A63" s="130" t="s">
        <v>487</v>
      </c>
      <c r="B63" s="130" t="s">
        <v>1051</v>
      </c>
      <c r="C63" s="130" t="s">
        <v>488</v>
      </c>
      <c r="D63" s="130"/>
      <c r="E63" s="130"/>
      <c r="F63" s="130"/>
      <c r="G63" s="130" t="s">
        <v>417</v>
      </c>
      <c r="H63" s="130"/>
      <c r="I63" s="130"/>
      <c r="J63" s="130"/>
      <c r="K63" s="130"/>
      <c r="L63" s="130"/>
      <c r="M63" s="130"/>
      <c r="N63" s="130"/>
      <c r="O63" s="130"/>
      <c r="P63" s="130"/>
      <c r="Q63" s="130"/>
      <c r="R63" s="130"/>
      <c r="S63" s="130"/>
      <c r="T63" s="130"/>
      <c r="U63" s="130"/>
      <c r="V63" s="130"/>
      <c r="W63" s="130"/>
      <c r="X63" s="130"/>
      <c r="Y63" s="130"/>
      <c r="Z63" s="130"/>
    </row>
    <row r="64" ht="13.5" customHeight="1">
      <c r="A64" s="130" t="s">
        <v>492</v>
      </c>
      <c r="B64" s="130" t="s">
        <v>1051</v>
      </c>
      <c r="C64" s="130" t="s">
        <v>493</v>
      </c>
      <c r="D64" s="130"/>
      <c r="E64" s="130"/>
      <c r="F64" s="130"/>
      <c r="G64" s="130" t="s">
        <v>417</v>
      </c>
      <c r="H64" s="130"/>
      <c r="I64" s="130"/>
      <c r="J64" s="130"/>
      <c r="K64" s="130"/>
      <c r="L64" s="130"/>
      <c r="M64" s="130"/>
      <c r="N64" s="130"/>
      <c r="O64" s="130"/>
      <c r="P64" s="130"/>
      <c r="Q64" s="130"/>
      <c r="R64" s="130"/>
      <c r="S64" s="130"/>
      <c r="T64" s="130"/>
      <c r="U64" s="130"/>
      <c r="V64" s="130"/>
      <c r="W64" s="130"/>
      <c r="X64" s="130"/>
      <c r="Y64" s="130"/>
      <c r="Z64" s="130"/>
    </row>
    <row r="65" ht="13.5" customHeight="1">
      <c r="A65" s="130" t="s">
        <v>497</v>
      </c>
      <c r="B65" s="130" t="s">
        <v>1051</v>
      </c>
      <c r="C65" s="130" t="s">
        <v>498</v>
      </c>
      <c r="D65" s="130"/>
      <c r="E65" s="130"/>
      <c r="F65" s="130"/>
      <c r="G65" s="130" t="s">
        <v>417</v>
      </c>
      <c r="H65" s="130"/>
      <c r="I65" s="130"/>
      <c r="J65" s="130"/>
      <c r="K65" s="130"/>
      <c r="L65" s="130"/>
      <c r="M65" s="130"/>
      <c r="N65" s="130"/>
      <c r="O65" s="130"/>
      <c r="P65" s="130"/>
      <c r="Q65" s="130"/>
      <c r="R65" s="130"/>
      <c r="S65" s="130"/>
      <c r="T65" s="130"/>
      <c r="U65" s="130"/>
      <c r="V65" s="130"/>
      <c r="W65" s="130"/>
      <c r="X65" s="130"/>
      <c r="Y65" s="130"/>
      <c r="Z65" s="130"/>
    </row>
    <row r="66" ht="13.5" customHeight="1">
      <c r="A66" s="130" t="s">
        <v>502</v>
      </c>
      <c r="B66" s="130" t="s">
        <v>1051</v>
      </c>
      <c r="C66" s="130" t="s">
        <v>503</v>
      </c>
      <c r="D66" s="130"/>
      <c r="E66" s="130"/>
      <c r="F66" s="130"/>
      <c r="G66" s="130" t="s">
        <v>439</v>
      </c>
      <c r="H66" s="130"/>
      <c r="I66" s="130"/>
      <c r="J66" s="130"/>
      <c r="K66" s="130"/>
      <c r="L66" s="130"/>
      <c r="M66" s="130"/>
      <c r="N66" s="130"/>
      <c r="O66" s="130"/>
      <c r="P66" s="130"/>
      <c r="Q66" s="130"/>
      <c r="R66" s="130"/>
      <c r="S66" s="130"/>
      <c r="T66" s="130"/>
      <c r="U66" s="130"/>
      <c r="V66" s="130"/>
      <c r="W66" s="130"/>
      <c r="X66" s="130"/>
      <c r="Y66" s="130"/>
      <c r="Z66" s="130"/>
    </row>
    <row r="67" ht="13.5" customHeight="1">
      <c r="A67" s="130" t="s">
        <v>504</v>
      </c>
      <c r="B67" s="130" t="s">
        <v>1051</v>
      </c>
      <c r="C67" s="130" t="s">
        <v>505</v>
      </c>
      <c r="D67" s="130"/>
      <c r="E67" s="130"/>
      <c r="F67" s="130"/>
      <c r="G67" s="130" t="s">
        <v>417</v>
      </c>
      <c r="H67" s="130"/>
      <c r="I67" s="130"/>
      <c r="J67" s="130"/>
      <c r="K67" s="130"/>
      <c r="L67" s="130"/>
      <c r="M67" s="130"/>
      <c r="N67" s="130"/>
      <c r="O67" s="130"/>
      <c r="P67" s="130"/>
      <c r="Q67" s="130"/>
      <c r="R67" s="130"/>
      <c r="S67" s="130"/>
      <c r="T67" s="130"/>
      <c r="U67" s="130"/>
      <c r="V67" s="130"/>
      <c r="W67" s="130"/>
      <c r="X67" s="130"/>
      <c r="Y67" s="130"/>
      <c r="Z67" s="130"/>
    </row>
    <row r="68" ht="13.5" customHeight="1">
      <c r="A68" s="130" t="s">
        <v>506</v>
      </c>
      <c r="B68" s="130" t="s">
        <v>1051</v>
      </c>
      <c r="C68" s="130" t="s">
        <v>507</v>
      </c>
      <c r="D68" s="130"/>
      <c r="E68" s="130"/>
      <c r="F68" s="130"/>
      <c r="G68" s="130" t="s">
        <v>417</v>
      </c>
      <c r="H68" s="130"/>
      <c r="I68" s="130"/>
      <c r="J68" s="130"/>
      <c r="K68" s="130"/>
      <c r="L68" s="130"/>
      <c r="M68" s="130"/>
      <c r="N68" s="130"/>
      <c r="O68" s="130"/>
      <c r="P68" s="130"/>
      <c r="Q68" s="130"/>
      <c r="R68" s="130"/>
      <c r="S68" s="130"/>
      <c r="T68" s="130"/>
      <c r="U68" s="130"/>
      <c r="V68" s="130"/>
      <c r="W68" s="130"/>
      <c r="X68" s="130"/>
      <c r="Y68" s="130"/>
      <c r="Z68" s="130"/>
    </row>
    <row r="69" ht="13.5" customHeight="1">
      <c r="A69" s="130" t="s">
        <v>508</v>
      </c>
      <c r="B69" s="130" t="s">
        <v>1052</v>
      </c>
      <c r="C69" s="130" t="s">
        <v>509</v>
      </c>
      <c r="D69" s="130"/>
      <c r="E69" s="130"/>
      <c r="F69" s="130"/>
      <c r="G69" s="130"/>
      <c r="H69" s="130"/>
      <c r="I69" s="130"/>
      <c r="J69" s="130"/>
      <c r="K69" s="130"/>
      <c r="L69" s="130"/>
      <c r="M69" s="130"/>
      <c r="N69" s="130"/>
      <c r="O69" s="130"/>
      <c r="P69" s="130"/>
      <c r="Q69" s="130"/>
      <c r="R69" s="130"/>
      <c r="S69" s="130"/>
      <c r="T69" s="130"/>
      <c r="U69" s="130"/>
      <c r="V69" s="130"/>
      <c r="W69" s="130"/>
      <c r="X69" s="130"/>
      <c r="Y69" s="130"/>
      <c r="Z69" s="130"/>
    </row>
    <row r="70" ht="13.5" customHeight="1">
      <c r="A70" s="130" t="s">
        <v>510</v>
      </c>
      <c r="B70" s="130" t="s">
        <v>1053</v>
      </c>
      <c r="C70" s="130" t="s">
        <v>511</v>
      </c>
      <c r="D70" s="130"/>
      <c r="E70" s="130"/>
      <c r="F70" s="130"/>
      <c r="G70" s="130" t="s">
        <v>417</v>
      </c>
      <c r="H70" s="130"/>
      <c r="I70" s="130"/>
      <c r="J70" s="130"/>
      <c r="K70" s="130"/>
      <c r="L70" s="130"/>
      <c r="M70" s="130"/>
      <c r="N70" s="130"/>
      <c r="O70" s="130"/>
      <c r="P70" s="130"/>
      <c r="Q70" s="130"/>
      <c r="R70" s="130"/>
      <c r="S70" s="130"/>
      <c r="T70" s="130"/>
      <c r="U70" s="130"/>
      <c r="V70" s="130"/>
      <c r="W70" s="130"/>
      <c r="X70" s="130"/>
      <c r="Y70" s="130"/>
      <c r="Z70" s="130"/>
    </row>
    <row r="71" ht="13.5" customHeight="1">
      <c r="A71" s="130" t="s">
        <v>512</v>
      </c>
      <c r="B71" s="130" t="s">
        <v>1054</v>
      </c>
      <c r="C71" s="130" t="s">
        <v>513</v>
      </c>
      <c r="D71" s="130"/>
      <c r="E71" s="130"/>
      <c r="F71" s="130"/>
      <c r="G71" s="130"/>
      <c r="H71" s="130"/>
      <c r="I71" s="130"/>
      <c r="J71" s="130"/>
      <c r="K71" s="130"/>
      <c r="L71" s="130"/>
      <c r="M71" s="130"/>
      <c r="N71" s="130"/>
      <c r="O71" s="130"/>
      <c r="P71" s="130"/>
      <c r="Q71" s="130"/>
      <c r="R71" s="130"/>
      <c r="S71" s="130"/>
      <c r="T71" s="130"/>
      <c r="U71" s="130"/>
      <c r="V71" s="130"/>
      <c r="W71" s="130"/>
      <c r="X71" s="130"/>
      <c r="Y71" s="130"/>
      <c r="Z71" s="130"/>
    </row>
    <row r="72" ht="13.5" customHeight="1">
      <c r="A72" s="130" t="s">
        <v>514</v>
      </c>
      <c r="B72" s="130" t="s">
        <v>990</v>
      </c>
      <c r="C72" s="130" t="s">
        <v>515</v>
      </c>
      <c r="D72" s="130"/>
      <c r="E72" s="130"/>
      <c r="F72" s="130"/>
      <c r="G72" s="130" t="s">
        <v>417</v>
      </c>
      <c r="H72" s="130"/>
      <c r="I72" s="130"/>
      <c r="J72" s="130"/>
      <c r="K72" s="130"/>
      <c r="L72" s="130"/>
      <c r="M72" s="130"/>
      <c r="N72" s="130"/>
      <c r="O72" s="130"/>
      <c r="P72" s="130"/>
      <c r="Q72" s="130"/>
      <c r="R72" s="130"/>
      <c r="S72" s="130"/>
      <c r="T72" s="130"/>
      <c r="U72" s="130"/>
      <c r="V72" s="130"/>
      <c r="W72" s="130"/>
      <c r="X72" s="130"/>
      <c r="Y72" s="130"/>
      <c r="Z72" s="130"/>
    </row>
    <row r="73" ht="13.5" customHeight="1">
      <c r="A73" s="130" t="s">
        <v>516</v>
      </c>
      <c r="B73" s="130" t="s">
        <v>990</v>
      </c>
      <c r="C73" s="130" t="s">
        <v>517</v>
      </c>
      <c r="D73" s="130"/>
      <c r="E73" s="130"/>
      <c r="F73" s="130"/>
      <c r="G73" s="130" t="s">
        <v>417</v>
      </c>
      <c r="H73" s="130"/>
      <c r="I73" s="130"/>
      <c r="J73" s="130"/>
      <c r="K73" s="130"/>
      <c r="L73" s="130"/>
      <c r="M73" s="130"/>
      <c r="N73" s="130"/>
      <c r="O73" s="130"/>
      <c r="P73" s="130"/>
      <c r="Q73" s="130"/>
      <c r="R73" s="130"/>
      <c r="S73" s="130"/>
      <c r="T73" s="130"/>
      <c r="U73" s="130"/>
      <c r="V73" s="130"/>
      <c r="W73" s="130"/>
      <c r="X73" s="130"/>
      <c r="Y73" s="130"/>
      <c r="Z73" s="130"/>
    </row>
    <row r="74" ht="13.5" customHeight="1">
      <c r="A74" s="130" t="s">
        <v>518</v>
      </c>
      <c r="B74" s="130" t="s">
        <v>990</v>
      </c>
      <c r="C74" s="130" t="s">
        <v>519</v>
      </c>
      <c r="D74" s="130"/>
      <c r="E74" s="130"/>
      <c r="F74" s="130"/>
      <c r="G74" s="130" t="s">
        <v>417</v>
      </c>
      <c r="H74" s="130"/>
      <c r="I74" s="130"/>
      <c r="J74" s="130"/>
      <c r="K74" s="130"/>
      <c r="L74" s="130"/>
      <c r="M74" s="130"/>
      <c r="N74" s="130"/>
      <c r="O74" s="130"/>
      <c r="P74" s="130"/>
      <c r="Q74" s="130"/>
      <c r="R74" s="130"/>
      <c r="S74" s="130"/>
      <c r="T74" s="130"/>
      <c r="U74" s="130"/>
      <c r="V74" s="130"/>
      <c r="W74" s="130"/>
      <c r="X74" s="130"/>
      <c r="Y74" s="130"/>
      <c r="Z74" s="130"/>
    </row>
    <row r="75" ht="13.5" customHeight="1">
      <c r="A75" s="130" t="s">
        <v>521</v>
      </c>
      <c r="B75" s="130" t="s">
        <v>990</v>
      </c>
      <c r="C75" s="130" t="s">
        <v>522</v>
      </c>
      <c r="D75" s="130"/>
      <c r="E75" s="130"/>
      <c r="F75" s="130"/>
      <c r="G75" s="130" t="s">
        <v>417</v>
      </c>
      <c r="H75" s="130"/>
      <c r="I75" s="130"/>
      <c r="J75" s="130"/>
      <c r="K75" s="130"/>
      <c r="L75" s="130"/>
      <c r="M75" s="130"/>
      <c r="N75" s="130"/>
      <c r="O75" s="130"/>
      <c r="P75" s="130"/>
      <c r="Q75" s="130"/>
      <c r="R75" s="130"/>
      <c r="S75" s="130"/>
      <c r="T75" s="130"/>
      <c r="U75" s="130"/>
      <c r="V75" s="130"/>
      <c r="W75" s="130"/>
      <c r="X75" s="130"/>
      <c r="Y75" s="130"/>
      <c r="Z75" s="130"/>
    </row>
    <row r="76" ht="13.5" customHeight="1">
      <c r="A76" s="130" t="s">
        <v>523</v>
      </c>
      <c r="B76" s="130" t="s">
        <v>990</v>
      </c>
      <c r="C76" s="130" t="s">
        <v>524</v>
      </c>
      <c r="D76" s="130"/>
      <c r="E76" s="130"/>
      <c r="F76" s="130"/>
      <c r="G76" s="130"/>
      <c r="H76" s="130"/>
      <c r="I76" s="130"/>
      <c r="J76" s="130"/>
      <c r="K76" s="130"/>
      <c r="L76" s="130"/>
      <c r="M76" s="130"/>
      <c r="N76" s="130"/>
      <c r="O76" s="130"/>
      <c r="P76" s="130"/>
      <c r="Q76" s="130"/>
      <c r="R76" s="130"/>
      <c r="S76" s="130"/>
      <c r="T76" s="130"/>
      <c r="U76" s="130"/>
      <c r="V76" s="130"/>
      <c r="W76" s="130"/>
      <c r="X76" s="130"/>
      <c r="Y76" s="130"/>
      <c r="Z76" s="130"/>
    </row>
    <row r="77" ht="13.5" customHeight="1">
      <c r="A77" s="130" t="s">
        <v>526</v>
      </c>
      <c r="B77" s="130" t="s">
        <v>1002</v>
      </c>
      <c r="C77" s="130" t="s">
        <v>527</v>
      </c>
      <c r="D77" s="130"/>
      <c r="E77" s="130"/>
      <c r="F77" s="130"/>
      <c r="G77" s="130"/>
      <c r="H77" s="130"/>
      <c r="I77" s="130"/>
      <c r="J77" s="130"/>
      <c r="K77" s="130"/>
      <c r="L77" s="130"/>
      <c r="M77" s="130"/>
      <c r="N77" s="130"/>
      <c r="O77" s="130"/>
      <c r="P77" s="130"/>
      <c r="Q77" s="130"/>
      <c r="R77" s="130"/>
      <c r="S77" s="130"/>
      <c r="T77" s="130"/>
      <c r="U77" s="130"/>
      <c r="V77" s="130"/>
      <c r="W77" s="130"/>
      <c r="X77" s="130"/>
      <c r="Y77" s="130"/>
      <c r="Z77" s="130"/>
    </row>
    <row r="78" ht="13.5" customHeight="1">
      <c r="A78" s="130" t="s">
        <v>528</v>
      </c>
      <c r="B78" s="130" t="s">
        <v>1002</v>
      </c>
      <c r="C78" s="130" t="s">
        <v>529</v>
      </c>
      <c r="D78" s="130"/>
      <c r="E78" s="130"/>
      <c r="F78" s="130"/>
      <c r="G78" s="130"/>
      <c r="H78" s="130"/>
      <c r="I78" s="130"/>
      <c r="J78" s="130"/>
      <c r="K78" s="130"/>
      <c r="L78" s="130"/>
      <c r="M78" s="130"/>
      <c r="N78" s="130"/>
      <c r="O78" s="130"/>
      <c r="P78" s="130"/>
      <c r="Q78" s="130"/>
      <c r="R78" s="130"/>
      <c r="S78" s="130"/>
      <c r="T78" s="130"/>
      <c r="U78" s="130"/>
      <c r="V78" s="130"/>
      <c r="W78" s="130"/>
      <c r="X78" s="130"/>
      <c r="Y78" s="130"/>
      <c r="Z78" s="130"/>
    </row>
    <row r="79" ht="13.5" customHeight="1">
      <c r="A79" s="130" t="s">
        <v>530</v>
      </c>
      <c r="B79" s="130" t="s">
        <v>1002</v>
      </c>
      <c r="C79" s="130" t="s">
        <v>531</v>
      </c>
      <c r="D79" s="130"/>
      <c r="E79" s="130"/>
      <c r="F79" s="130"/>
      <c r="G79" s="130"/>
      <c r="H79" s="130"/>
      <c r="I79" s="130"/>
      <c r="J79" s="130"/>
      <c r="K79" s="130"/>
      <c r="L79" s="130"/>
      <c r="M79" s="130"/>
      <c r="N79" s="130"/>
      <c r="O79" s="130"/>
      <c r="P79" s="130"/>
      <c r="Q79" s="130"/>
      <c r="R79" s="130"/>
      <c r="S79" s="130"/>
      <c r="T79" s="130"/>
      <c r="U79" s="130"/>
      <c r="V79" s="130"/>
      <c r="W79" s="130"/>
      <c r="X79" s="130"/>
      <c r="Y79" s="130"/>
      <c r="Z79" s="130"/>
    </row>
    <row r="80" ht="13.5" customHeight="1">
      <c r="A80" s="130" t="s">
        <v>533</v>
      </c>
      <c r="B80" s="130" t="s">
        <v>1002</v>
      </c>
      <c r="C80" s="130" t="s">
        <v>534</v>
      </c>
      <c r="D80" s="130"/>
      <c r="E80" s="130"/>
      <c r="F80" s="130"/>
      <c r="G80" s="130"/>
      <c r="H80" s="130"/>
      <c r="I80" s="130"/>
      <c r="J80" s="130"/>
      <c r="K80" s="130"/>
      <c r="L80" s="130"/>
      <c r="M80" s="130"/>
      <c r="N80" s="130"/>
      <c r="O80" s="130"/>
      <c r="P80" s="130"/>
      <c r="Q80" s="130"/>
      <c r="R80" s="130"/>
      <c r="S80" s="130"/>
      <c r="T80" s="130"/>
      <c r="U80" s="130"/>
      <c r="V80" s="130"/>
      <c r="W80" s="130"/>
      <c r="X80" s="130"/>
      <c r="Y80" s="130"/>
      <c r="Z80" s="130"/>
    </row>
    <row r="81" ht="13.5" customHeight="1">
      <c r="A81" s="130" t="s">
        <v>535</v>
      </c>
      <c r="B81" s="130" t="s">
        <v>1002</v>
      </c>
      <c r="C81" s="130" t="s">
        <v>536</v>
      </c>
      <c r="D81" s="130"/>
      <c r="E81" s="130"/>
      <c r="F81" s="130"/>
      <c r="G81" s="130"/>
      <c r="H81" s="130"/>
      <c r="I81" s="130"/>
      <c r="J81" s="130"/>
      <c r="K81" s="130"/>
      <c r="L81" s="130"/>
      <c r="M81" s="130"/>
      <c r="N81" s="130"/>
      <c r="O81" s="130"/>
      <c r="P81" s="130"/>
      <c r="Q81" s="130"/>
      <c r="R81" s="130"/>
      <c r="S81" s="130"/>
      <c r="T81" s="130"/>
      <c r="U81" s="130"/>
      <c r="V81" s="130"/>
      <c r="W81" s="130"/>
      <c r="X81" s="130"/>
      <c r="Y81" s="130"/>
      <c r="Z81" s="130"/>
    </row>
    <row r="82" ht="13.5" customHeight="1">
      <c r="A82" s="130" t="s">
        <v>537</v>
      </c>
      <c r="B82" s="130" t="s">
        <v>1002</v>
      </c>
      <c r="C82" s="130" t="s">
        <v>538</v>
      </c>
      <c r="D82" s="130"/>
      <c r="E82" s="130"/>
      <c r="F82" s="130"/>
      <c r="G82" s="130"/>
      <c r="H82" s="130"/>
      <c r="I82" s="130"/>
      <c r="J82" s="130"/>
      <c r="K82" s="130"/>
      <c r="L82" s="130"/>
      <c r="M82" s="130"/>
      <c r="N82" s="130"/>
      <c r="O82" s="130"/>
      <c r="P82" s="130"/>
      <c r="Q82" s="130"/>
      <c r="R82" s="130"/>
      <c r="S82" s="130"/>
      <c r="T82" s="130"/>
      <c r="U82" s="130"/>
      <c r="V82" s="130"/>
      <c r="W82" s="130"/>
      <c r="X82" s="130"/>
      <c r="Y82" s="130"/>
      <c r="Z82" s="130"/>
    </row>
    <row r="83" ht="13.5" customHeight="1">
      <c r="A83" s="130" t="s">
        <v>539</v>
      </c>
      <c r="B83" s="130" t="s">
        <v>1016</v>
      </c>
      <c r="C83" s="130" t="s">
        <v>540</v>
      </c>
      <c r="D83" s="130"/>
      <c r="E83" s="130"/>
      <c r="F83" s="130"/>
      <c r="G83" s="130" t="s">
        <v>439</v>
      </c>
      <c r="H83" s="130"/>
      <c r="I83" s="130"/>
      <c r="J83" s="130"/>
      <c r="K83" s="130"/>
      <c r="L83" s="130"/>
      <c r="M83" s="130"/>
      <c r="N83" s="130"/>
      <c r="O83" s="130"/>
      <c r="P83" s="130"/>
      <c r="Q83" s="130"/>
      <c r="R83" s="130"/>
      <c r="S83" s="130"/>
      <c r="T83" s="130"/>
      <c r="U83" s="130"/>
      <c r="V83" s="130"/>
      <c r="W83" s="130"/>
      <c r="X83" s="130"/>
      <c r="Y83" s="130"/>
      <c r="Z83" s="130"/>
    </row>
    <row r="84" ht="13.5" customHeight="1">
      <c r="A84" s="130" t="s">
        <v>542</v>
      </c>
      <c r="B84" s="130" t="s">
        <v>1016</v>
      </c>
      <c r="C84" s="130" t="s">
        <v>543</v>
      </c>
      <c r="D84" s="130"/>
      <c r="E84" s="130"/>
      <c r="F84" s="130"/>
      <c r="G84" s="130" t="s">
        <v>439</v>
      </c>
      <c r="H84" s="130"/>
      <c r="I84" s="130"/>
      <c r="J84" s="130"/>
      <c r="K84" s="130"/>
      <c r="L84" s="130"/>
      <c r="M84" s="130"/>
      <c r="N84" s="130"/>
      <c r="O84" s="130"/>
      <c r="P84" s="130"/>
      <c r="Q84" s="130"/>
      <c r="R84" s="130"/>
      <c r="S84" s="130"/>
      <c r="T84" s="130"/>
      <c r="U84" s="130"/>
      <c r="V84" s="130"/>
      <c r="W84" s="130"/>
      <c r="X84" s="130"/>
      <c r="Y84" s="130"/>
      <c r="Z84" s="130"/>
    </row>
    <row r="85" ht="13.5" customHeight="1">
      <c r="A85" s="130" t="s">
        <v>544</v>
      </c>
      <c r="B85" s="130" t="s">
        <v>1016</v>
      </c>
      <c r="C85" s="130" t="s">
        <v>545</v>
      </c>
      <c r="D85" s="130"/>
      <c r="E85" s="130"/>
      <c r="F85" s="130"/>
      <c r="G85" s="130"/>
      <c r="H85" s="130"/>
      <c r="I85" s="130"/>
      <c r="J85" s="130"/>
      <c r="K85" s="130"/>
      <c r="L85" s="130"/>
      <c r="M85" s="130"/>
      <c r="N85" s="130"/>
      <c r="O85" s="130"/>
      <c r="P85" s="130"/>
      <c r="Q85" s="130"/>
      <c r="R85" s="130"/>
      <c r="S85" s="130"/>
      <c r="T85" s="130"/>
      <c r="U85" s="130"/>
      <c r="V85" s="130"/>
      <c r="W85" s="130"/>
      <c r="X85" s="130"/>
      <c r="Y85" s="130"/>
      <c r="Z85" s="130"/>
    </row>
    <row r="86" ht="13.5" customHeight="1">
      <c r="A86" s="130" t="s">
        <v>546</v>
      </c>
      <c r="B86" s="130" t="s">
        <v>1016</v>
      </c>
      <c r="C86" s="130" t="s">
        <v>547</v>
      </c>
      <c r="D86" s="130"/>
      <c r="E86" s="130"/>
      <c r="F86" s="130"/>
      <c r="G86" s="130" t="s">
        <v>417</v>
      </c>
      <c r="H86" s="130"/>
      <c r="I86" s="130"/>
      <c r="J86" s="130"/>
      <c r="K86" s="130"/>
      <c r="L86" s="130"/>
      <c r="M86" s="130"/>
      <c r="N86" s="130"/>
      <c r="O86" s="130"/>
      <c r="P86" s="130"/>
      <c r="Q86" s="130"/>
      <c r="R86" s="130"/>
      <c r="S86" s="130"/>
      <c r="T86" s="130"/>
      <c r="U86" s="130"/>
      <c r="V86" s="130"/>
      <c r="W86" s="130"/>
      <c r="X86" s="130"/>
      <c r="Y86" s="130"/>
      <c r="Z86" s="130"/>
    </row>
    <row r="87" ht="13.5" customHeight="1">
      <c r="A87" s="130" t="s">
        <v>549</v>
      </c>
      <c r="B87" s="130" t="s">
        <v>1016</v>
      </c>
      <c r="C87" s="130" t="s">
        <v>550</v>
      </c>
      <c r="D87" s="130"/>
      <c r="E87" s="130"/>
      <c r="F87" s="130"/>
      <c r="G87" s="130"/>
      <c r="H87" s="130"/>
      <c r="I87" s="130"/>
      <c r="J87" s="130"/>
      <c r="K87" s="130"/>
      <c r="L87" s="130"/>
      <c r="M87" s="130"/>
      <c r="N87" s="130"/>
      <c r="O87" s="130"/>
      <c r="P87" s="130"/>
      <c r="Q87" s="130"/>
      <c r="R87" s="130"/>
      <c r="S87" s="130"/>
      <c r="T87" s="130"/>
      <c r="U87" s="130"/>
      <c r="V87" s="130"/>
      <c r="W87" s="130"/>
      <c r="X87" s="130"/>
      <c r="Y87" s="130"/>
      <c r="Z87" s="130"/>
    </row>
    <row r="88" ht="13.5" customHeight="1">
      <c r="A88" s="130" t="s">
        <v>555</v>
      </c>
      <c r="B88" s="130" t="s">
        <v>1016</v>
      </c>
      <c r="C88" s="130" t="s">
        <v>556</v>
      </c>
      <c r="D88" s="130"/>
      <c r="E88" s="130"/>
      <c r="F88" s="130"/>
      <c r="G88" s="130"/>
      <c r="H88" s="130"/>
      <c r="I88" s="130"/>
      <c r="J88" s="130"/>
      <c r="K88" s="130"/>
      <c r="L88" s="130"/>
      <c r="M88" s="130"/>
      <c r="N88" s="130"/>
      <c r="O88" s="130"/>
      <c r="P88" s="130"/>
      <c r="Q88" s="130"/>
      <c r="R88" s="130"/>
      <c r="S88" s="130"/>
      <c r="T88" s="130"/>
      <c r="U88" s="130"/>
      <c r="V88" s="130"/>
      <c r="W88" s="130"/>
      <c r="X88" s="130"/>
      <c r="Y88" s="130"/>
      <c r="Z88" s="130"/>
    </row>
    <row r="89" ht="13.5" customHeight="1">
      <c r="A89" s="130" t="s">
        <v>557</v>
      </c>
      <c r="B89" s="130" t="s">
        <v>1016</v>
      </c>
      <c r="C89" s="130" t="s">
        <v>558</v>
      </c>
      <c r="D89" s="130"/>
      <c r="E89" s="130"/>
      <c r="F89" s="130"/>
      <c r="G89" s="130"/>
      <c r="H89" s="130"/>
      <c r="I89" s="130"/>
      <c r="J89" s="130"/>
      <c r="K89" s="130"/>
      <c r="L89" s="130"/>
      <c r="M89" s="130"/>
      <c r="N89" s="130"/>
      <c r="O89" s="130"/>
      <c r="P89" s="130"/>
      <c r="Q89" s="130"/>
      <c r="R89" s="130"/>
      <c r="S89" s="130"/>
      <c r="T89" s="130"/>
      <c r="U89" s="130"/>
      <c r="V89" s="130"/>
      <c r="W89" s="130"/>
      <c r="X89" s="130"/>
      <c r="Y89" s="130"/>
      <c r="Z89" s="130"/>
    </row>
    <row r="90" ht="13.5" customHeight="1">
      <c r="A90" s="130" t="s">
        <v>548</v>
      </c>
      <c r="B90" s="130" t="s">
        <v>1026</v>
      </c>
      <c r="C90" s="130" t="s">
        <v>355</v>
      </c>
      <c r="D90" s="130"/>
      <c r="E90" s="130"/>
      <c r="F90" s="130"/>
      <c r="G90" s="130"/>
      <c r="H90" s="130"/>
      <c r="I90" s="130"/>
      <c r="J90" s="130"/>
      <c r="K90" s="130"/>
      <c r="L90" s="130"/>
      <c r="M90" s="130"/>
      <c r="N90" s="130"/>
      <c r="O90" s="130"/>
      <c r="P90" s="130"/>
      <c r="Q90" s="130"/>
      <c r="R90" s="130"/>
      <c r="S90" s="130"/>
      <c r="T90" s="130"/>
      <c r="U90" s="130"/>
      <c r="V90" s="130"/>
      <c r="W90" s="130"/>
      <c r="X90" s="130"/>
      <c r="Y90" s="130"/>
      <c r="Z90" s="130"/>
    </row>
    <row r="91" ht="13.5" customHeight="1">
      <c r="A91" s="130" t="s">
        <v>559</v>
      </c>
      <c r="B91" s="130" t="s">
        <v>1026</v>
      </c>
      <c r="C91" s="130" t="s">
        <v>560</v>
      </c>
      <c r="D91" s="130"/>
      <c r="E91" s="130"/>
      <c r="F91" s="130"/>
      <c r="G91" s="130"/>
      <c r="H91" s="130"/>
      <c r="I91" s="130"/>
      <c r="J91" s="130"/>
      <c r="K91" s="130"/>
      <c r="L91" s="130"/>
      <c r="M91" s="130"/>
      <c r="N91" s="130"/>
      <c r="O91" s="130"/>
      <c r="P91" s="130"/>
      <c r="Q91" s="130"/>
      <c r="R91" s="130"/>
      <c r="S91" s="130"/>
      <c r="T91" s="130"/>
      <c r="U91" s="130"/>
      <c r="V91" s="130"/>
      <c r="W91" s="130"/>
      <c r="X91" s="130"/>
      <c r="Y91" s="130"/>
      <c r="Z91" s="130"/>
    </row>
    <row r="92" ht="13.5" customHeight="1">
      <c r="A92" s="130" t="s">
        <v>561</v>
      </c>
      <c r="B92" s="130" t="s">
        <v>1026</v>
      </c>
      <c r="C92" s="130" t="s">
        <v>562</v>
      </c>
      <c r="D92" s="130"/>
      <c r="E92" s="130"/>
      <c r="F92" s="130"/>
      <c r="G92" s="130"/>
      <c r="H92" s="130"/>
      <c r="I92" s="130"/>
      <c r="J92" s="130"/>
      <c r="K92" s="130"/>
      <c r="L92" s="130"/>
      <c r="M92" s="130"/>
      <c r="N92" s="130"/>
      <c r="O92" s="130"/>
      <c r="P92" s="130"/>
      <c r="Q92" s="130"/>
      <c r="R92" s="130"/>
      <c r="S92" s="130"/>
      <c r="T92" s="130"/>
      <c r="U92" s="130"/>
      <c r="V92" s="130"/>
      <c r="W92" s="130"/>
      <c r="X92" s="130"/>
      <c r="Y92" s="130"/>
      <c r="Z92" s="130"/>
    </row>
    <row r="93" ht="13.5" customHeight="1">
      <c r="A93" s="130" t="s">
        <v>563</v>
      </c>
      <c r="B93" s="130" t="s">
        <v>1026</v>
      </c>
      <c r="C93" s="130" t="s">
        <v>564</v>
      </c>
      <c r="D93" s="130"/>
      <c r="E93" s="130"/>
      <c r="F93" s="130"/>
      <c r="G93" s="130"/>
      <c r="H93" s="130"/>
      <c r="I93" s="130"/>
      <c r="J93" s="130"/>
      <c r="K93" s="130"/>
      <c r="L93" s="130"/>
      <c r="M93" s="130"/>
      <c r="N93" s="130"/>
      <c r="O93" s="130"/>
      <c r="P93" s="130"/>
      <c r="Q93" s="130"/>
      <c r="R93" s="130"/>
      <c r="S93" s="130"/>
      <c r="T93" s="130"/>
      <c r="U93" s="130"/>
      <c r="V93" s="130"/>
      <c r="W93" s="130"/>
      <c r="X93" s="130"/>
      <c r="Y93" s="130"/>
      <c r="Z93" s="130"/>
    </row>
    <row r="94" ht="13.5" customHeight="1">
      <c r="A94" s="130" t="s">
        <v>565</v>
      </c>
      <c r="B94" s="130" t="s">
        <v>1026</v>
      </c>
      <c r="C94" s="130" t="s">
        <v>566</v>
      </c>
      <c r="D94" s="130"/>
      <c r="E94" s="130"/>
      <c r="F94" s="130"/>
      <c r="G94" s="130"/>
      <c r="H94" s="130"/>
      <c r="I94" s="130"/>
      <c r="J94" s="130"/>
      <c r="K94" s="130"/>
      <c r="L94" s="130"/>
      <c r="M94" s="130"/>
      <c r="N94" s="130"/>
      <c r="O94" s="130"/>
      <c r="P94" s="130"/>
      <c r="Q94" s="130"/>
      <c r="R94" s="130"/>
      <c r="S94" s="130"/>
      <c r="T94" s="130"/>
      <c r="U94" s="130"/>
      <c r="V94" s="130"/>
      <c r="W94" s="130"/>
      <c r="X94" s="130"/>
      <c r="Y94" s="130"/>
      <c r="Z94" s="130"/>
    </row>
    <row r="95" ht="13.5" customHeight="1">
      <c r="A95" s="130" t="s">
        <v>567</v>
      </c>
      <c r="B95" s="130" t="s">
        <v>1033</v>
      </c>
      <c r="C95" s="130" t="s">
        <v>568</v>
      </c>
      <c r="D95" s="130"/>
      <c r="E95" s="130"/>
      <c r="F95" s="130"/>
      <c r="G95" s="130"/>
      <c r="H95" s="130"/>
      <c r="I95" s="130"/>
      <c r="J95" s="130"/>
      <c r="K95" s="130"/>
      <c r="L95" s="130"/>
      <c r="M95" s="130"/>
      <c r="N95" s="130"/>
      <c r="O95" s="130"/>
      <c r="P95" s="130"/>
      <c r="Q95" s="130"/>
      <c r="R95" s="130"/>
      <c r="S95" s="130"/>
      <c r="T95" s="130"/>
      <c r="U95" s="130"/>
      <c r="V95" s="130"/>
      <c r="W95" s="130"/>
      <c r="X95" s="130"/>
      <c r="Y95" s="130"/>
      <c r="Z95" s="130"/>
    </row>
    <row r="96" ht="13.5" customHeight="1">
      <c r="A96" s="130" t="s">
        <v>569</v>
      </c>
      <c r="B96" s="130" t="s">
        <v>1033</v>
      </c>
      <c r="C96" s="130" t="s">
        <v>570</v>
      </c>
      <c r="D96" s="130"/>
      <c r="E96" s="130"/>
      <c r="F96" s="130"/>
      <c r="G96" s="130"/>
      <c r="H96" s="130"/>
      <c r="I96" s="130"/>
      <c r="J96" s="130"/>
      <c r="K96" s="130"/>
      <c r="L96" s="130"/>
      <c r="M96" s="130"/>
      <c r="N96" s="130"/>
      <c r="O96" s="130"/>
      <c r="P96" s="130"/>
      <c r="Q96" s="130"/>
      <c r="R96" s="130"/>
      <c r="S96" s="130"/>
      <c r="T96" s="130"/>
      <c r="U96" s="130"/>
      <c r="V96" s="130"/>
      <c r="W96" s="130"/>
      <c r="X96" s="130"/>
      <c r="Y96" s="130"/>
      <c r="Z96" s="130"/>
    </row>
    <row r="97" ht="13.5" customHeight="1">
      <c r="A97" s="130" t="s">
        <v>571</v>
      </c>
      <c r="B97" s="130" t="s">
        <v>1033</v>
      </c>
      <c r="C97" s="130" t="s">
        <v>572</v>
      </c>
      <c r="D97" s="130"/>
      <c r="E97" s="130"/>
      <c r="F97" s="130"/>
      <c r="G97" s="130"/>
      <c r="H97" s="130"/>
      <c r="I97" s="130"/>
      <c r="J97" s="130"/>
      <c r="K97" s="130"/>
      <c r="L97" s="130"/>
      <c r="M97" s="130"/>
      <c r="N97" s="130"/>
      <c r="O97" s="130"/>
      <c r="P97" s="130"/>
      <c r="Q97" s="130"/>
      <c r="R97" s="130"/>
      <c r="S97" s="130"/>
      <c r="T97" s="130"/>
      <c r="U97" s="130"/>
      <c r="V97" s="130"/>
      <c r="W97" s="130"/>
      <c r="X97" s="130"/>
      <c r="Y97" s="130"/>
      <c r="Z97" s="130"/>
    </row>
    <row r="98" ht="13.5" customHeight="1">
      <c r="A98" s="130" t="s">
        <v>573</v>
      </c>
      <c r="B98" s="130" t="s">
        <v>1033</v>
      </c>
      <c r="C98" s="130" t="s">
        <v>574</v>
      </c>
      <c r="D98" s="130"/>
      <c r="E98" s="130"/>
      <c r="F98" s="130"/>
      <c r="G98" s="130"/>
      <c r="H98" s="130"/>
      <c r="I98" s="130"/>
      <c r="J98" s="130"/>
      <c r="K98" s="130"/>
      <c r="L98" s="130"/>
      <c r="M98" s="130"/>
      <c r="N98" s="130"/>
      <c r="O98" s="130"/>
      <c r="P98" s="130"/>
      <c r="Q98" s="130"/>
      <c r="R98" s="130"/>
      <c r="S98" s="130"/>
      <c r="T98" s="130"/>
      <c r="U98" s="130"/>
      <c r="V98" s="130"/>
      <c r="W98" s="130"/>
      <c r="X98" s="130"/>
      <c r="Y98" s="130"/>
      <c r="Z98" s="130"/>
    </row>
    <row r="99" ht="13.5" customHeight="1">
      <c r="A99" s="130" t="s">
        <v>575</v>
      </c>
      <c r="B99" s="130" t="s">
        <v>1033</v>
      </c>
      <c r="C99" s="130" t="s">
        <v>576</v>
      </c>
      <c r="D99" s="130"/>
      <c r="E99" s="130"/>
      <c r="F99" s="130"/>
      <c r="G99" s="130"/>
      <c r="H99" s="130"/>
      <c r="I99" s="130"/>
      <c r="J99" s="130"/>
      <c r="K99" s="130"/>
      <c r="L99" s="130"/>
      <c r="M99" s="130"/>
      <c r="N99" s="130"/>
      <c r="O99" s="130"/>
      <c r="P99" s="130"/>
      <c r="Q99" s="130"/>
      <c r="R99" s="130"/>
      <c r="S99" s="130"/>
      <c r="T99" s="130"/>
      <c r="U99" s="130"/>
      <c r="V99" s="130"/>
      <c r="W99" s="130"/>
      <c r="X99" s="130"/>
      <c r="Y99" s="130"/>
      <c r="Z99" s="130"/>
    </row>
    <row r="100" ht="13.5" customHeight="1">
      <c r="A100" s="130" t="s">
        <v>577</v>
      </c>
      <c r="B100" s="130" t="s">
        <v>1033</v>
      </c>
      <c r="C100" s="130" t="s">
        <v>578</v>
      </c>
      <c r="D100" s="130"/>
      <c r="E100" s="130"/>
      <c r="F100" s="130"/>
      <c r="G100" s="130" t="s">
        <v>439</v>
      </c>
      <c r="H100" s="130"/>
      <c r="I100" s="130"/>
      <c r="J100" s="130"/>
      <c r="K100" s="130"/>
      <c r="L100" s="130"/>
      <c r="M100" s="130"/>
      <c r="N100" s="130"/>
      <c r="O100" s="130"/>
      <c r="P100" s="130"/>
      <c r="Q100" s="130"/>
      <c r="R100" s="130"/>
      <c r="S100" s="130"/>
      <c r="T100" s="130"/>
      <c r="U100" s="130"/>
      <c r="V100" s="130"/>
      <c r="W100" s="130"/>
      <c r="X100" s="130"/>
      <c r="Y100" s="130"/>
      <c r="Z100" s="130"/>
    </row>
    <row r="101" ht="13.5" customHeight="1">
      <c r="A101" s="130" t="s">
        <v>579</v>
      </c>
      <c r="B101" s="130" t="s">
        <v>1033</v>
      </c>
      <c r="C101" s="130" t="s">
        <v>580</v>
      </c>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row>
    <row r="102" ht="13.5" customHeight="1">
      <c r="A102" s="130" t="s">
        <v>581</v>
      </c>
      <c r="B102" s="130" t="s">
        <v>1033</v>
      </c>
      <c r="C102" s="130" t="s">
        <v>582</v>
      </c>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ht="13.5" customHeight="1">
      <c r="A103" s="130" t="s">
        <v>55</v>
      </c>
      <c r="B103" s="130" t="s">
        <v>1033</v>
      </c>
      <c r="C103" s="130" t="s">
        <v>583</v>
      </c>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c r="Z103" s="130"/>
    </row>
    <row r="104" ht="13.5" customHeight="1">
      <c r="A104" s="130" t="s">
        <v>584</v>
      </c>
      <c r="B104" s="130" t="s">
        <v>1033</v>
      </c>
      <c r="C104" s="130" t="s">
        <v>585</v>
      </c>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c r="Z104" s="130"/>
    </row>
    <row r="105" ht="13.5" customHeight="1">
      <c r="A105" s="130" t="s">
        <v>586</v>
      </c>
      <c r="B105" s="130" t="s">
        <v>1033</v>
      </c>
      <c r="C105" s="130" t="s">
        <v>587</v>
      </c>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row>
    <row r="106" ht="13.5" customHeight="1">
      <c r="A106" s="130" t="s">
        <v>588</v>
      </c>
      <c r="B106" s="130" t="s">
        <v>1033</v>
      </c>
      <c r="C106" s="130" t="s">
        <v>589</v>
      </c>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c r="Z106" s="130"/>
    </row>
    <row r="107" ht="13.5" customHeight="1">
      <c r="A107" s="130" t="s">
        <v>590</v>
      </c>
      <c r="B107" s="130" t="s">
        <v>1033</v>
      </c>
      <c r="C107" s="130" t="s">
        <v>591</v>
      </c>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row>
    <row r="108" ht="13.5" customHeight="1">
      <c r="A108" s="130" t="s">
        <v>592</v>
      </c>
      <c r="B108" s="130" t="s">
        <v>1055</v>
      </c>
      <c r="C108" s="130" t="s">
        <v>593</v>
      </c>
      <c r="D108" s="130"/>
      <c r="E108" s="130"/>
      <c r="F108" s="130"/>
      <c r="G108" s="130" t="s">
        <v>417</v>
      </c>
      <c r="H108" s="130"/>
      <c r="I108" s="130"/>
      <c r="J108" s="130"/>
      <c r="K108" s="130"/>
      <c r="L108" s="130"/>
      <c r="M108" s="130"/>
      <c r="N108" s="130"/>
      <c r="O108" s="130"/>
      <c r="P108" s="130"/>
      <c r="Q108" s="130"/>
      <c r="R108" s="130"/>
      <c r="S108" s="130"/>
      <c r="T108" s="130"/>
      <c r="U108" s="130"/>
      <c r="V108" s="130"/>
      <c r="W108" s="130"/>
      <c r="X108" s="130"/>
      <c r="Y108" s="130"/>
      <c r="Z108" s="130"/>
    </row>
    <row r="109" ht="13.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row>
    <row r="110" ht="13.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row>
    <row r="111" ht="13.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row>
    <row r="112" ht="13.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row>
    <row r="113" ht="13.5" customHeight="1">
      <c r="A113" s="130"/>
      <c r="B113" s="130"/>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c r="Z113" s="130"/>
    </row>
    <row r="114" ht="13.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row>
    <row r="115" ht="13.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row>
    <row r="116" ht="13.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row>
    <row r="117" ht="13.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row>
    <row r="118" ht="13.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c r="Z118" s="130"/>
    </row>
    <row r="119" ht="13.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c r="Z119" s="130"/>
    </row>
    <row r="120" ht="13.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c r="Z120" s="130"/>
    </row>
    <row r="121" ht="13.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c r="Z121" s="130"/>
    </row>
    <row r="122" ht="13.5" customHeight="1">
      <c r="A122" s="130"/>
      <c r="B122" s="130"/>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c r="Z122" s="130"/>
    </row>
    <row r="123" ht="13.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c r="Z123" s="130"/>
    </row>
    <row r="124" ht="13.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c r="Z124" s="130"/>
    </row>
    <row r="125" ht="13.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c r="Z125" s="130"/>
    </row>
    <row r="126" ht="13.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c r="Z126" s="130"/>
    </row>
    <row r="127" ht="13.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c r="Z127" s="130"/>
    </row>
    <row r="128" ht="13.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row>
    <row r="129" ht="13.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c r="Z129" s="130"/>
    </row>
    <row r="130" ht="13.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c r="Z130" s="130"/>
    </row>
    <row r="131" ht="13.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c r="Z131" s="130"/>
    </row>
    <row r="132" ht="13.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c r="Z132" s="130"/>
    </row>
    <row r="133" ht="13.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c r="Z133" s="130"/>
    </row>
    <row r="134" ht="13.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c r="Z134" s="130"/>
    </row>
    <row r="135" ht="13.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c r="Z135" s="130"/>
    </row>
    <row r="136" ht="13.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c r="Z136" s="130"/>
    </row>
    <row r="137" ht="13.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c r="Z137" s="130"/>
    </row>
    <row r="138" ht="13.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row>
    <row r="139" ht="13.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row>
    <row r="140" ht="13.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row>
    <row r="141" ht="13.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c r="Z141" s="130"/>
    </row>
    <row r="142" ht="13.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row>
    <row r="143" ht="13.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c r="Z143" s="130"/>
    </row>
    <row r="144" ht="13.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c r="Z144" s="130"/>
    </row>
    <row r="145" ht="13.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c r="Z145" s="130"/>
    </row>
    <row r="146" ht="13.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row>
    <row r="147" ht="13.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c r="Z147" s="130"/>
    </row>
    <row r="148" ht="13.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c r="Z148" s="130"/>
    </row>
    <row r="149" ht="13.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c r="Z149" s="130"/>
    </row>
    <row r="150" ht="13.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c r="Z150" s="130"/>
    </row>
    <row r="151" ht="13.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c r="Z151" s="130"/>
    </row>
    <row r="152" ht="13.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c r="Z152" s="130"/>
    </row>
    <row r="153" ht="13.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ht="13.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c r="Z154" s="130"/>
    </row>
    <row r="155" ht="13.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c r="Z155" s="130"/>
    </row>
    <row r="156" ht="13.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c r="Z156" s="130"/>
    </row>
    <row r="157" ht="13.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row>
    <row r="158" ht="13.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row>
    <row r="159" ht="13.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row>
    <row r="160" ht="13.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row>
    <row r="161" ht="13.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row>
    <row r="162" ht="13.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row>
    <row r="163" ht="13.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row>
    <row r="164" ht="13.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row>
    <row r="165" ht="13.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row>
    <row r="166" ht="13.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row>
    <row r="167" ht="13.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row>
    <row r="168" ht="13.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row>
    <row r="169" ht="13.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row>
    <row r="170" ht="13.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row>
    <row r="171" ht="13.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ht="13.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ht="13.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ht="13.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5" ht="13.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c r="Z175" s="130"/>
    </row>
    <row r="176" ht="13.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c r="Z176" s="130"/>
    </row>
    <row r="177" ht="13.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c r="Z177" s="130"/>
    </row>
    <row r="178" ht="13.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c r="Z178" s="130"/>
    </row>
    <row r="179" ht="13.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c r="Z179" s="130"/>
    </row>
    <row r="180" ht="13.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row>
    <row r="181" ht="13.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row>
    <row r="182" ht="13.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c r="Z182" s="130"/>
    </row>
    <row r="183" ht="13.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c r="Z183" s="130"/>
    </row>
    <row r="184" ht="13.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c r="Z184" s="130"/>
    </row>
    <row r="185" ht="13.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c r="Z185" s="130"/>
    </row>
    <row r="186" ht="13.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c r="Z186" s="130"/>
    </row>
    <row r="187" ht="13.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c r="Z187" s="130"/>
    </row>
    <row r="188" ht="13.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row>
    <row r="189" ht="13.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c r="Z189" s="130"/>
    </row>
    <row r="190" ht="13.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row>
    <row r="191" ht="13.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row>
    <row r="192" ht="13.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row>
    <row r="193" ht="13.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row>
    <row r="194" ht="13.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c r="Z194" s="130"/>
    </row>
    <row r="195" ht="13.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c r="Z195" s="130"/>
    </row>
    <row r="196" ht="13.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c r="Z196" s="130"/>
    </row>
    <row r="197" ht="13.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c r="Z197" s="130"/>
    </row>
    <row r="198" ht="13.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c r="Z198" s="130"/>
    </row>
    <row r="199" ht="13.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c r="Z199" s="130"/>
    </row>
    <row r="200" ht="13.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c r="Z200" s="130"/>
    </row>
    <row r="201" ht="13.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c r="Z201" s="130"/>
    </row>
    <row r="202" ht="13.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row>
    <row r="203" ht="13.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c r="Z203" s="130"/>
    </row>
    <row r="204" ht="13.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c r="Z204" s="130"/>
    </row>
    <row r="205" ht="13.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row>
    <row r="206" ht="13.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c r="Z206" s="130"/>
    </row>
    <row r="207" ht="13.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c r="Z207" s="130"/>
    </row>
    <row r="208" ht="13.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c r="Z208" s="130"/>
    </row>
    <row r="209" ht="13.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c r="Z209" s="130"/>
    </row>
    <row r="210" ht="13.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c r="Z210" s="130"/>
    </row>
    <row r="211" ht="13.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c r="Z211" s="130"/>
    </row>
    <row r="212" ht="13.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row>
    <row r="213" ht="13.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c r="Z213" s="130"/>
    </row>
    <row r="214" ht="13.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c r="Z214" s="130"/>
    </row>
    <row r="215" ht="13.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c r="Z215" s="130"/>
    </row>
    <row r="216" ht="13.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row>
    <row r="217" ht="13.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row>
    <row r="218" ht="13.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c r="Z218" s="130"/>
    </row>
    <row r="219" ht="13.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c r="Z219" s="130"/>
    </row>
    <row r="220" ht="13.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c r="Z220" s="130"/>
    </row>
    <row r="221" ht="13.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c r="Z221" s="130"/>
    </row>
    <row r="222" ht="13.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c r="Z222" s="130"/>
    </row>
    <row r="223" ht="13.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c r="Z223" s="130"/>
    </row>
    <row r="224" ht="13.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c r="Z224" s="130"/>
    </row>
    <row r="225" ht="13.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c r="Z225" s="130"/>
    </row>
    <row r="226" ht="13.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row>
    <row r="227" ht="13.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row>
    <row r="228" ht="13.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row>
    <row r="229" ht="13.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c r="Z229" s="130"/>
    </row>
    <row r="230" ht="13.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c r="Z230" s="130"/>
    </row>
    <row r="231" ht="13.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row>
    <row r="232" ht="13.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c r="Z232" s="130"/>
    </row>
    <row r="233" ht="13.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c r="Z233" s="130"/>
    </row>
    <row r="234" ht="13.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c r="Z234" s="130"/>
    </row>
    <row r="235" ht="13.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c r="Z235" s="130"/>
    </row>
    <row r="236" ht="13.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c r="Z236" s="130"/>
    </row>
    <row r="237" ht="13.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c r="Z237" s="130"/>
    </row>
    <row r="238" ht="13.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row>
    <row r="239" ht="13.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c r="Z239" s="130"/>
    </row>
    <row r="240" ht="13.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c r="Z240" s="130"/>
    </row>
    <row r="241" ht="13.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row>
    <row r="242" ht="13.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c r="Z242" s="130"/>
    </row>
    <row r="243" ht="13.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c r="Z243" s="130"/>
    </row>
    <row r="244" ht="13.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c r="Z244" s="130"/>
    </row>
    <row r="245" ht="13.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row>
    <row r="246" ht="13.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row>
    <row r="247" ht="13.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row>
    <row r="248" ht="13.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c r="Z248" s="130"/>
    </row>
    <row r="249" ht="13.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c r="Z249" s="130"/>
    </row>
    <row r="250" ht="13.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c r="Z250" s="130"/>
    </row>
    <row r="251" ht="13.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c r="Z251" s="130"/>
    </row>
    <row r="252" ht="13.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c r="Z252" s="130"/>
    </row>
    <row r="253" ht="13.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c r="Z253" s="130"/>
    </row>
    <row r="254" ht="13.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c r="Z254" s="130"/>
    </row>
    <row r="255" ht="13.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c r="Z255" s="130"/>
    </row>
    <row r="256" ht="13.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c r="Z256" s="130"/>
    </row>
    <row r="257" ht="13.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c r="Z257" s="130"/>
    </row>
    <row r="258" ht="13.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row>
    <row r="259" ht="13.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c r="Z259" s="130"/>
    </row>
    <row r="260" ht="13.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c r="Z260" s="130"/>
    </row>
    <row r="261" ht="13.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c r="Z261" s="130"/>
    </row>
    <row r="262" ht="13.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c r="Z262" s="130"/>
    </row>
    <row r="263" ht="13.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c r="Z263" s="130"/>
    </row>
    <row r="264" ht="13.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c r="Z264" s="130"/>
    </row>
    <row r="265" ht="13.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c r="Z265" s="130"/>
    </row>
    <row r="266" ht="13.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c r="Z266" s="130"/>
    </row>
    <row r="267" ht="13.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c r="Z267" s="130"/>
    </row>
    <row r="268" ht="13.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c r="Z268" s="130"/>
    </row>
    <row r="269" ht="13.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c r="Z269" s="130"/>
    </row>
    <row r="270" ht="13.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c r="Z270" s="130"/>
    </row>
    <row r="271" ht="13.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c r="Z271" s="130"/>
    </row>
    <row r="272" ht="13.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c r="Z272" s="130"/>
    </row>
    <row r="273" ht="13.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row>
    <row r="274" ht="13.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c r="Z274" s="130"/>
    </row>
    <row r="275" ht="13.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row>
    <row r="276" ht="13.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c r="Z276" s="130"/>
    </row>
    <row r="277" ht="13.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c r="Z277" s="130"/>
    </row>
    <row r="278" ht="13.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c r="Z278" s="130"/>
    </row>
    <row r="279" ht="13.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c r="Z279" s="130"/>
    </row>
    <row r="280" ht="13.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c r="Z280" s="130"/>
    </row>
    <row r="281" ht="13.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c r="Z281" s="130"/>
    </row>
    <row r="282" ht="13.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c r="Z282" s="130"/>
    </row>
    <row r="283" ht="13.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c r="Z283" s="130"/>
    </row>
    <row r="284" ht="13.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c r="Z284" s="130"/>
    </row>
    <row r="285" ht="13.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c r="Z285" s="130"/>
    </row>
    <row r="286" ht="13.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c r="Z286" s="130"/>
    </row>
    <row r="287" ht="13.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c r="Z287" s="130"/>
    </row>
    <row r="288" ht="13.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c r="Z288" s="130"/>
    </row>
    <row r="289" ht="13.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c r="Z289" s="130"/>
    </row>
    <row r="290" ht="13.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c r="Z290" s="130"/>
    </row>
    <row r="291" ht="13.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c r="Z291" s="130"/>
    </row>
    <row r="292" ht="13.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c r="Z292" s="130"/>
    </row>
    <row r="293" ht="13.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c r="Z293" s="130"/>
    </row>
    <row r="294" ht="13.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c r="Z294" s="130"/>
    </row>
    <row r="295" ht="13.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row>
    <row r="296" ht="13.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c r="Z296" s="130"/>
    </row>
    <row r="297" ht="13.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c r="Z297" s="130"/>
    </row>
    <row r="298" ht="13.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c r="Z298" s="130"/>
    </row>
    <row r="299" ht="13.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c r="Z299" s="130"/>
    </row>
    <row r="300" ht="13.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c r="Z300" s="130"/>
    </row>
    <row r="301" ht="13.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c r="Z301" s="130"/>
    </row>
    <row r="302" ht="13.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c r="Z302" s="130"/>
    </row>
    <row r="303" ht="13.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c r="Z303" s="130"/>
    </row>
    <row r="304" ht="13.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c r="Z304" s="130"/>
    </row>
    <row r="305" ht="13.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c r="Z305" s="130"/>
    </row>
    <row r="306" ht="13.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c r="Z306" s="130"/>
    </row>
    <row r="307" ht="13.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c r="Z307" s="130"/>
    </row>
    <row r="308" ht="13.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c r="Z308" s="130"/>
    </row>
    <row r="309" ht="13.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c r="Z309" s="130"/>
    </row>
    <row r="310" ht="13.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c r="Z310" s="130"/>
    </row>
    <row r="311" ht="13.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c r="Z311" s="130"/>
    </row>
    <row r="312" ht="13.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c r="Z312" s="130"/>
    </row>
    <row r="313" ht="13.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c r="Z313" s="130"/>
    </row>
    <row r="314" ht="13.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c r="Z314" s="130"/>
    </row>
    <row r="315" ht="13.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c r="Z315" s="130"/>
    </row>
    <row r="316" ht="13.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c r="Z316" s="130"/>
    </row>
    <row r="317" ht="13.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c r="Z317" s="130"/>
    </row>
    <row r="318" ht="13.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c r="Z318" s="130"/>
    </row>
    <row r="319" ht="13.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row>
    <row r="320" ht="13.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c r="Z320" s="130"/>
    </row>
    <row r="321" ht="13.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c r="Z321" s="130"/>
    </row>
    <row r="322" ht="13.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c r="Z322" s="130"/>
    </row>
    <row r="323" ht="13.5" customHeight="1">
      <c r="A323" s="130"/>
      <c r="B323" s="130"/>
      <c r="C323" s="130"/>
      <c r="D323" s="130"/>
      <c r="E323" s="130"/>
      <c r="F323" s="130"/>
      <c r="G323" s="130"/>
      <c r="H323" s="130"/>
      <c r="I323" s="130"/>
      <c r="J323" s="130"/>
      <c r="K323" s="130"/>
      <c r="L323" s="130"/>
      <c r="M323" s="130"/>
      <c r="N323" s="130"/>
      <c r="O323" s="130"/>
      <c r="P323" s="130"/>
      <c r="Q323" s="130"/>
      <c r="R323" s="130"/>
      <c r="S323" s="130"/>
      <c r="T323" s="130"/>
      <c r="U323" s="130"/>
      <c r="V323" s="130"/>
      <c r="W323" s="130"/>
      <c r="X323" s="130"/>
      <c r="Y323" s="130"/>
      <c r="Z323" s="130"/>
    </row>
    <row r="324" ht="13.5" customHeight="1">
      <c r="A324" s="130"/>
      <c r="B324" s="130"/>
      <c r="C324" s="130"/>
      <c r="D324" s="130"/>
      <c r="E324" s="130"/>
      <c r="F324" s="130"/>
      <c r="G324" s="130"/>
      <c r="H324" s="130"/>
      <c r="I324" s="130"/>
      <c r="J324" s="130"/>
      <c r="K324" s="130"/>
      <c r="L324" s="130"/>
      <c r="M324" s="130"/>
      <c r="N324" s="130"/>
      <c r="O324" s="130"/>
      <c r="P324" s="130"/>
      <c r="Q324" s="130"/>
      <c r="R324" s="130"/>
      <c r="S324" s="130"/>
      <c r="T324" s="130"/>
      <c r="U324" s="130"/>
      <c r="V324" s="130"/>
      <c r="W324" s="130"/>
      <c r="X324" s="130"/>
      <c r="Y324" s="130"/>
      <c r="Z324" s="130"/>
    </row>
    <row r="325" ht="13.5" customHeight="1">
      <c r="A325" s="130"/>
      <c r="B325" s="130"/>
      <c r="C325" s="130"/>
      <c r="D325" s="130"/>
      <c r="E325" s="130"/>
      <c r="F325" s="130"/>
      <c r="G325" s="130"/>
      <c r="H325" s="130"/>
      <c r="I325" s="130"/>
      <c r="J325" s="130"/>
      <c r="K325" s="130"/>
      <c r="L325" s="130"/>
      <c r="M325" s="130"/>
      <c r="N325" s="130"/>
      <c r="O325" s="130"/>
      <c r="P325" s="130"/>
      <c r="Q325" s="130"/>
      <c r="R325" s="130"/>
      <c r="S325" s="130"/>
      <c r="T325" s="130"/>
      <c r="U325" s="130"/>
      <c r="V325" s="130"/>
      <c r="W325" s="130"/>
      <c r="X325" s="130"/>
      <c r="Y325" s="130"/>
      <c r="Z325" s="130"/>
    </row>
    <row r="326" ht="13.5" customHeight="1">
      <c r="A326" s="130"/>
      <c r="B326" s="130"/>
      <c r="C326" s="130"/>
      <c r="D326" s="130"/>
      <c r="E326" s="130"/>
      <c r="F326" s="130"/>
      <c r="G326" s="130"/>
      <c r="H326" s="130"/>
      <c r="I326" s="130"/>
      <c r="J326" s="130"/>
      <c r="K326" s="130"/>
      <c r="L326" s="130"/>
      <c r="M326" s="130"/>
      <c r="N326" s="130"/>
      <c r="O326" s="130"/>
      <c r="P326" s="130"/>
      <c r="Q326" s="130"/>
      <c r="R326" s="130"/>
      <c r="S326" s="130"/>
      <c r="T326" s="130"/>
      <c r="U326" s="130"/>
      <c r="V326" s="130"/>
      <c r="W326" s="130"/>
      <c r="X326" s="130"/>
      <c r="Y326" s="130"/>
      <c r="Z326" s="130"/>
    </row>
    <row r="327" ht="13.5" customHeight="1">
      <c r="A327" s="130"/>
      <c r="B327" s="130"/>
      <c r="C327" s="130"/>
      <c r="D327" s="130"/>
      <c r="E327" s="130"/>
      <c r="F327" s="130"/>
      <c r="G327" s="130"/>
      <c r="H327" s="130"/>
      <c r="I327" s="130"/>
      <c r="J327" s="130"/>
      <c r="K327" s="130"/>
      <c r="L327" s="130"/>
      <c r="M327" s="130"/>
      <c r="N327" s="130"/>
      <c r="O327" s="130"/>
      <c r="P327" s="130"/>
      <c r="Q327" s="130"/>
      <c r="R327" s="130"/>
      <c r="S327" s="130"/>
      <c r="T327" s="130"/>
      <c r="U327" s="130"/>
      <c r="V327" s="130"/>
      <c r="W327" s="130"/>
      <c r="X327" s="130"/>
      <c r="Y327" s="130"/>
      <c r="Z327" s="130"/>
    </row>
    <row r="328" ht="13.5" customHeight="1">
      <c r="A328" s="130"/>
      <c r="B328" s="130"/>
      <c r="C328" s="130"/>
      <c r="D328" s="130"/>
      <c r="E328" s="130"/>
      <c r="F328" s="130"/>
      <c r="G328" s="130"/>
      <c r="H328" s="130"/>
      <c r="I328" s="130"/>
      <c r="J328" s="130"/>
      <c r="K328" s="130"/>
      <c r="L328" s="130"/>
      <c r="M328" s="130"/>
      <c r="N328" s="130"/>
      <c r="O328" s="130"/>
      <c r="P328" s="130"/>
      <c r="Q328" s="130"/>
      <c r="R328" s="130"/>
      <c r="S328" s="130"/>
      <c r="T328" s="130"/>
      <c r="U328" s="130"/>
      <c r="V328" s="130"/>
      <c r="W328" s="130"/>
      <c r="X328" s="130"/>
      <c r="Y328" s="130"/>
      <c r="Z328" s="130"/>
    </row>
    <row r="329" ht="13.5" customHeight="1">
      <c r="A329" s="130"/>
      <c r="B329" s="130"/>
      <c r="C329" s="130"/>
      <c r="D329" s="130"/>
      <c r="E329" s="130"/>
      <c r="F329" s="130"/>
      <c r="G329" s="130"/>
      <c r="H329" s="130"/>
      <c r="I329" s="130"/>
      <c r="J329" s="130"/>
      <c r="K329" s="130"/>
      <c r="L329" s="130"/>
      <c r="M329" s="130"/>
      <c r="N329" s="130"/>
      <c r="O329" s="130"/>
      <c r="P329" s="130"/>
      <c r="Q329" s="130"/>
      <c r="R329" s="130"/>
      <c r="S329" s="130"/>
      <c r="T329" s="130"/>
      <c r="U329" s="130"/>
      <c r="V329" s="130"/>
      <c r="W329" s="130"/>
      <c r="X329" s="130"/>
      <c r="Y329" s="130"/>
      <c r="Z329" s="130"/>
    </row>
    <row r="330" ht="13.5" customHeight="1">
      <c r="A330" s="130"/>
      <c r="B330" s="130"/>
      <c r="C330" s="130"/>
      <c r="D330" s="130"/>
      <c r="E330" s="130"/>
      <c r="F330" s="130"/>
      <c r="G330" s="130"/>
      <c r="H330" s="130"/>
      <c r="I330" s="130"/>
      <c r="J330" s="130"/>
      <c r="K330" s="130"/>
      <c r="L330" s="130"/>
      <c r="M330" s="130"/>
      <c r="N330" s="130"/>
      <c r="O330" s="130"/>
      <c r="P330" s="130"/>
      <c r="Q330" s="130"/>
      <c r="R330" s="130"/>
      <c r="S330" s="130"/>
      <c r="T330" s="130"/>
      <c r="U330" s="130"/>
      <c r="V330" s="130"/>
      <c r="W330" s="130"/>
      <c r="X330" s="130"/>
      <c r="Y330" s="130"/>
      <c r="Z330" s="130"/>
    </row>
    <row r="331" ht="13.5" customHeight="1">
      <c r="A331" s="130"/>
      <c r="B331" s="130"/>
      <c r="C331" s="130"/>
      <c r="D331" s="130"/>
      <c r="E331" s="130"/>
      <c r="F331" s="130"/>
      <c r="G331" s="130"/>
      <c r="H331" s="130"/>
      <c r="I331" s="130"/>
      <c r="J331" s="130"/>
      <c r="K331" s="130"/>
      <c r="L331" s="130"/>
      <c r="M331" s="130"/>
      <c r="N331" s="130"/>
      <c r="O331" s="130"/>
      <c r="P331" s="130"/>
      <c r="Q331" s="130"/>
      <c r="R331" s="130"/>
      <c r="S331" s="130"/>
      <c r="T331" s="130"/>
      <c r="U331" s="130"/>
      <c r="V331" s="130"/>
      <c r="W331" s="130"/>
      <c r="X331" s="130"/>
      <c r="Y331" s="130"/>
      <c r="Z331" s="130"/>
    </row>
    <row r="332" ht="13.5" customHeight="1">
      <c r="A332" s="130"/>
      <c r="B332" s="130"/>
      <c r="C332" s="130"/>
      <c r="D332" s="130"/>
      <c r="E332" s="130"/>
      <c r="F332" s="130"/>
      <c r="G332" s="130"/>
      <c r="H332" s="130"/>
      <c r="I332" s="130"/>
      <c r="J332" s="130"/>
      <c r="K332" s="130"/>
      <c r="L332" s="130"/>
      <c r="M332" s="130"/>
      <c r="N332" s="130"/>
      <c r="O332" s="130"/>
      <c r="P332" s="130"/>
      <c r="Q332" s="130"/>
      <c r="R332" s="130"/>
      <c r="S332" s="130"/>
      <c r="T332" s="130"/>
      <c r="U332" s="130"/>
      <c r="V332" s="130"/>
      <c r="W332" s="130"/>
      <c r="X332" s="130"/>
      <c r="Y332" s="130"/>
      <c r="Z332" s="130"/>
    </row>
    <row r="333" ht="13.5" customHeight="1">
      <c r="A333" s="130"/>
      <c r="B333" s="130"/>
      <c r="C333" s="130"/>
      <c r="D333" s="130"/>
      <c r="E333" s="130"/>
      <c r="F333" s="130"/>
      <c r="G333" s="130"/>
      <c r="H333" s="130"/>
      <c r="I333" s="130"/>
      <c r="J333" s="130"/>
      <c r="K333" s="130"/>
      <c r="L333" s="130"/>
      <c r="M333" s="130"/>
      <c r="N333" s="130"/>
      <c r="O333" s="130"/>
      <c r="P333" s="130"/>
      <c r="Q333" s="130"/>
      <c r="R333" s="130"/>
      <c r="S333" s="130"/>
      <c r="T333" s="130"/>
      <c r="U333" s="130"/>
      <c r="V333" s="130"/>
      <c r="W333" s="130"/>
      <c r="X333" s="130"/>
      <c r="Y333" s="130"/>
      <c r="Z333" s="130"/>
    </row>
    <row r="334" ht="13.5" customHeight="1">
      <c r="A334" s="130"/>
      <c r="B334" s="130"/>
      <c r="C334" s="130"/>
      <c r="D334" s="130"/>
      <c r="E334" s="130"/>
      <c r="F334" s="130"/>
      <c r="G334" s="130"/>
      <c r="H334" s="130"/>
      <c r="I334" s="130"/>
      <c r="J334" s="130"/>
      <c r="K334" s="130"/>
      <c r="L334" s="130"/>
      <c r="M334" s="130"/>
      <c r="N334" s="130"/>
      <c r="O334" s="130"/>
      <c r="P334" s="130"/>
      <c r="Q334" s="130"/>
      <c r="R334" s="130"/>
      <c r="S334" s="130"/>
      <c r="T334" s="130"/>
      <c r="U334" s="130"/>
      <c r="V334" s="130"/>
      <c r="W334" s="130"/>
      <c r="X334" s="130"/>
      <c r="Y334" s="130"/>
      <c r="Z334" s="130"/>
    </row>
    <row r="335" ht="13.5" customHeight="1">
      <c r="A335" s="130"/>
      <c r="B335" s="130"/>
      <c r="C335" s="130"/>
      <c r="D335" s="130"/>
      <c r="E335" s="130"/>
      <c r="F335" s="130"/>
      <c r="G335" s="130"/>
      <c r="H335" s="130"/>
      <c r="I335" s="130"/>
      <c r="J335" s="130"/>
      <c r="K335" s="130"/>
      <c r="L335" s="130"/>
      <c r="M335" s="130"/>
      <c r="N335" s="130"/>
      <c r="O335" s="130"/>
      <c r="P335" s="130"/>
      <c r="Q335" s="130"/>
      <c r="R335" s="130"/>
      <c r="S335" s="130"/>
      <c r="T335" s="130"/>
      <c r="U335" s="130"/>
      <c r="V335" s="130"/>
      <c r="W335" s="130"/>
      <c r="X335" s="130"/>
      <c r="Y335" s="130"/>
      <c r="Z335" s="130"/>
    </row>
    <row r="336" ht="13.5" customHeight="1">
      <c r="A336" s="130"/>
      <c r="B336" s="130"/>
      <c r="C336" s="130"/>
      <c r="D336" s="130"/>
      <c r="E336" s="130"/>
      <c r="F336" s="130"/>
      <c r="G336" s="130"/>
      <c r="H336" s="130"/>
      <c r="I336" s="130"/>
      <c r="J336" s="130"/>
      <c r="K336" s="130"/>
      <c r="L336" s="130"/>
      <c r="M336" s="130"/>
      <c r="N336" s="130"/>
      <c r="O336" s="130"/>
      <c r="P336" s="130"/>
      <c r="Q336" s="130"/>
      <c r="R336" s="130"/>
      <c r="S336" s="130"/>
      <c r="T336" s="130"/>
      <c r="U336" s="130"/>
      <c r="V336" s="130"/>
      <c r="W336" s="130"/>
      <c r="X336" s="130"/>
      <c r="Y336" s="130"/>
      <c r="Z336" s="130"/>
    </row>
    <row r="337" ht="13.5" customHeight="1">
      <c r="A337" s="130"/>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row>
    <row r="338" ht="13.5" customHeight="1">
      <c r="A338" s="130"/>
      <c r="B338" s="130"/>
      <c r="C338" s="130"/>
      <c r="D338" s="130"/>
      <c r="E338" s="130"/>
      <c r="F338" s="130"/>
      <c r="G338" s="130"/>
      <c r="H338" s="130"/>
      <c r="I338" s="130"/>
      <c r="J338" s="130"/>
      <c r="K338" s="130"/>
      <c r="L338" s="130"/>
      <c r="M338" s="130"/>
      <c r="N338" s="130"/>
      <c r="O338" s="130"/>
      <c r="P338" s="130"/>
      <c r="Q338" s="130"/>
      <c r="R338" s="130"/>
      <c r="S338" s="130"/>
      <c r="T338" s="130"/>
      <c r="U338" s="130"/>
      <c r="V338" s="130"/>
      <c r="W338" s="130"/>
      <c r="X338" s="130"/>
      <c r="Y338" s="130"/>
      <c r="Z338" s="130"/>
    </row>
    <row r="339" ht="13.5" customHeight="1">
      <c r="A339" s="130"/>
      <c r="B339" s="130"/>
      <c r="C339" s="130"/>
      <c r="D339" s="130"/>
      <c r="E339" s="130"/>
      <c r="F339" s="130"/>
      <c r="G339" s="130"/>
      <c r="H339" s="130"/>
      <c r="I339" s="130"/>
      <c r="J339" s="130"/>
      <c r="K339" s="130"/>
      <c r="L339" s="130"/>
      <c r="M339" s="130"/>
      <c r="N339" s="130"/>
      <c r="O339" s="130"/>
      <c r="P339" s="130"/>
      <c r="Q339" s="130"/>
      <c r="R339" s="130"/>
      <c r="S339" s="130"/>
      <c r="T339" s="130"/>
      <c r="U339" s="130"/>
      <c r="V339" s="130"/>
      <c r="W339" s="130"/>
      <c r="X339" s="130"/>
      <c r="Y339" s="130"/>
      <c r="Z339" s="130"/>
    </row>
    <row r="340" ht="13.5" customHeight="1">
      <c r="A340" s="130"/>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row>
    <row r="341" ht="13.5" customHeight="1">
      <c r="A341" s="130"/>
      <c r="B341" s="130"/>
      <c r="C341" s="130"/>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row>
    <row r="342" ht="13.5" customHeight="1">
      <c r="A342" s="130"/>
      <c r="B342" s="130"/>
      <c r="C342" s="130"/>
      <c r="D342" s="130"/>
      <c r="E342" s="130"/>
      <c r="F342" s="130"/>
      <c r="G342" s="130"/>
      <c r="H342" s="130"/>
      <c r="I342" s="130"/>
      <c r="J342" s="130"/>
      <c r="K342" s="130"/>
      <c r="L342" s="130"/>
      <c r="M342" s="130"/>
      <c r="N342" s="130"/>
      <c r="O342" s="130"/>
      <c r="P342" s="130"/>
      <c r="Q342" s="130"/>
      <c r="R342" s="130"/>
      <c r="S342" s="130"/>
      <c r="T342" s="130"/>
      <c r="U342" s="130"/>
      <c r="V342" s="130"/>
      <c r="W342" s="130"/>
      <c r="X342" s="130"/>
      <c r="Y342" s="130"/>
      <c r="Z342" s="130"/>
    </row>
    <row r="343" ht="13.5" customHeight="1">
      <c r="A343" s="130"/>
      <c r="B343" s="130"/>
      <c r="C343" s="130"/>
      <c r="D343" s="130"/>
      <c r="E343" s="130"/>
      <c r="F343" s="130"/>
      <c r="G343" s="130"/>
      <c r="H343" s="130"/>
      <c r="I343" s="130"/>
      <c r="J343" s="130"/>
      <c r="K343" s="130"/>
      <c r="L343" s="130"/>
      <c r="M343" s="130"/>
      <c r="N343" s="130"/>
      <c r="O343" s="130"/>
      <c r="P343" s="130"/>
      <c r="Q343" s="130"/>
      <c r="R343" s="130"/>
      <c r="S343" s="130"/>
      <c r="T343" s="130"/>
      <c r="U343" s="130"/>
      <c r="V343" s="130"/>
      <c r="W343" s="130"/>
      <c r="X343" s="130"/>
      <c r="Y343" s="130"/>
      <c r="Z343" s="130"/>
    </row>
    <row r="344" ht="13.5" customHeight="1">
      <c r="A344" s="130"/>
      <c r="B344" s="130"/>
      <c r="C344" s="130"/>
      <c r="D344" s="130"/>
      <c r="E344" s="130"/>
      <c r="F344" s="130"/>
      <c r="G344" s="130"/>
      <c r="H344" s="130"/>
      <c r="I344" s="130"/>
      <c r="J344" s="130"/>
      <c r="K344" s="130"/>
      <c r="L344" s="130"/>
      <c r="M344" s="130"/>
      <c r="N344" s="130"/>
      <c r="O344" s="130"/>
      <c r="P344" s="130"/>
      <c r="Q344" s="130"/>
      <c r="R344" s="130"/>
      <c r="S344" s="130"/>
      <c r="T344" s="130"/>
      <c r="U344" s="130"/>
      <c r="V344" s="130"/>
      <c r="W344" s="130"/>
      <c r="X344" s="130"/>
      <c r="Y344" s="130"/>
      <c r="Z344" s="130"/>
    </row>
    <row r="345" ht="13.5" customHeight="1">
      <c r="A345" s="130"/>
      <c r="B345" s="130"/>
      <c r="C345" s="130"/>
      <c r="D345" s="130"/>
      <c r="E345" s="130"/>
      <c r="F345" s="130"/>
      <c r="G345" s="130"/>
      <c r="H345" s="130"/>
      <c r="I345" s="130"/>
      <c r="J345" s="130"/>
      <c r="K345" s="130"/>
      <c r="L345" s="130"/>
      <c r="M345" s="130"/>
      <c r="N345" s="130"/>
      <c r="O345" s="130"/>
      <c r="P345" s="130"/>
      <c r="Q345" s="130"/>
      <c r="R345" s="130"/>
      <c r="S345" s="130"/>
      <c r="T345" s="130"/>
      <c r="U345" s="130"/>
      <c r="V345" s="130"/>
      <c r="W345" s="130"/>
      <c r="X345" s="130"/>
      <c r="Y345" s="130"/>
      <c r="Z345" s="130"/>
    </row>
    <row r="346" ht="13.5" customHeight="1">
      <c r="A346" s="130"/>
      <c r="B346" s="130"/>
      <c r="C346" s="130"/>
      <c r="D346" s="130"/>
      <c r="E346" s="130"/>
      <c r="F346" s="130"/>
      <c r="G346" s="130"/>
      <c r="H346" s="130"/>
      <c r="I346" s="130"/>
      <c r="J346" s="130"/>
      <c r="K346" s="130"/>
      <c r="L346" s="130"/>
      <c r="M346" s="130"/>
      <c r="N346" s="130"/>
      <c r="O346" s="130"/>
      <c r="P346" s="130"/>
      <c r="Q346" s="130"/>
      <c r="R346" s="130"/>
      <c r="S346" s="130"/>
      <c r="T346" s="130"/>
      <c r="U346" s="130"/>
      <c r="V346" s="130"/>
      <c r="W346" s="130"/>
      <c r="X346" s="130"/>
      <c r="Y346" s="130"/>
      <c r="Z346" s="130"/>
    </row>
    <row r="347" ht="13.5" customHeight="1">
      <c r="A347" s="130"/>
      <c r="B347" s="130"/>
      <c r="C347" s="130"/>
      <c r="D347" s="130"/>
      <c r="E347" s="130"/>
      <c r="F347" s="130"/>
      <c r="G347" s="130"/>
      <c r="H347" s="130"/>
      <c r="I347" s="130"/>
      <c r="J347" s="130"/>
      <c r="K347" s="130"/>
      <c r="L347" s="130"/>
      <c r="M347" s="130"/>
      <c r="N347" s="130"/>
      <c r="O347" s="130"/>
      <c r="P347" s="130"/>
      <c r="Q347" s="130"/>
      <c r="R347" s="130"/>
      <c r="S347" s="130"/>
      <c r="T347" s="130"/>
      <c r="U347" s="130"/>
      <c r="V347" s="130"/>
      <c r="W347" s="130"/>
      <c r="X347" s="130"/>
      <c r="Y347" s="130"/>
      <c r="Z347" s="130"/>
    </row>
    <row r="348" ht="13.5" customHeight="1">
      <c r="A348" s="130"/>
      <c r="B348" s="130"/>
      <c r="C348" s="130"/>
      <c r="D348" s="130"/>
      <c r="E348" s="130"/>
      <c r="F348" s="130"/>
      <c r="G348" s="130"/>
      <c r="H348" s="130"/>
      <c r="I348" s="130"/>
      <c r="J348" s="130"/>
      <c r="K348" s="130"/>
      <c r="L348" s="130"/>
      <c r="M348" s="130"/>
      <c r="N348" s="130"/>
      <c r="O348" s="130"/>
      <c r="P348" s="130"/>
      <c r="Q348" s="130"/>
      <c r="R348" s="130"/>
      <c r="S348" s="130"/>
      <c r="T348" s="130"/>
      <c r="U348" s="130"/>
      <c r="V348" s="130"/>
      <c r="W348" s="130"/>
      <c r="X348" s="130"/>
      <c r="Y348" s="130"/>
      <c r="Z348" s="130"/>
    </row>
    <row r="349" ht="13.5" customHeight="1">
      <c r="A349" s="130"/>
      <c r="B349" s="130"/>
      <c r="C349" s="130"/>
      <c r="D349" s="130"/>
      <c r="E349" s="130"/>
      <c r="F349" s="130"/>
      <c r="G349" s="130"/>
      <c r="H349" s="130"/>
      <c r="I349" s="130"/>
      <c r="J349" s="130"/>
      <c r="K349" s="130"/>
      <c r="L349" s="130"/>
      <c r="M349" s="130"/>
      <c r="N349" s="130"/>
      <c r="O349" s="130"/>
      <c r="P349" s="130"/>
      <c r="Q349" s="130"/>
      <c r="R349" s="130"/>
      <c r="S349" s="130"/>
      <c r="T349" s="130"/>
      <c r="U349" s="130"/>
      <c r="V349" s="130"/>
      <c r="W349" s="130"/>
      <c r="X349" s="130"/>
      <c r="Y349" s="130"/>
      <c r="Z349" s="130"/>
    </row>
    <row r="350" ht="13.5" customHeight="1">
      <c r="A350" s="130"/>
      <c r="B350" s="130"/>
      <c r="C350" s="130"/>
      <c r="D350" s="130"/>
      <c r="E350" s="130"/>
      <c r="F350" s="130"/>
      <c r="G350" s="130"/>
      <c r="H350" s="130"/>
      <c r="I350" s="130"/>
      <c r="J350" s="130"/>
      <c r="K350" s="130"/>
      <c r="L350" s="130"/>
      <c r="M350" s="130"/>
      <c r="N350" s="130"/>
      <c r="O350" s="130"/>
      <c r="P350" s="130"/>
      <c r="Q350" s="130"/>
      <c r="R350" s="130"/>
      <c r="S350" s="130"/>
      <c r="T350" s="130"/>
      <c r="U350" s="130"/>
      <c r="V350" s="130"/>
      <c r="W350" s="130"/>
      <c r="X350" s="130"/>
      <c r="Y350" s="130"/>
      <c r="Z350" s="130"/>
    </row>
    <row r="351" ht="13.5" customHeight="1">
      <c r="A351" s="130"/>
      <c r="B351" s="130"/>
      <c r="C351" s="130"/>
      <c r="D351" s="130"/>
      <c r="E351" s="130"/>
      <c r="F351" s="130"/>
      <c r="G351" s="130"/>
      <c r="H351" s="130"/>
      <c r="I351" s="130"/>
      <c r="J351" s="130"/>
      <c r="K351" s="130"/>
      <c r="L351" s="130"/>
      <c r="M351" s="130"/>
      <c r="N351" s="130"/>
      <c r="O351" s="130"/>
      <c r="P351" s="130"/>
      <c r="Q351" s="130"/>
      <c r="R351" s="130"/>
      <c r="S351" s="130"/>
      <c r="T351" s="130"/>
      <c r="U351" s="130"/>
      <c r="V351" s="130"/>
      <c r="W351" s="130"/>
      <c r="X351" s="130"/>
      <c r="Y351" s="130"/>
      <c r="Z351" s="130"/>
    </row>
    <row r="352" ht="13.5" customHeight="1">
      <c r="A352" s="130"/>
      <c r="B352" s="130"/>
      <c r="C352" s="130"/>
      <c r="D352" s="130"/>
      <c r="E352" s="130"/>
      <c r="F352" s="130"/>
      <c r="G352" s="130"/>
      <c r="H352" s="130"/>
      <c r="I352" s="130"/>
      <c r="J352" s="130"/>
      <c r="K352" s="130"/>
      <c r="L352" s="130"/>
      <c r="M352" s="130"/>
      <c r="N352" s="130"/>
      <c r="O352" s="130"/>
      <c r="P352" s="130"/>
      <c r="Q352" s="130"/>
      <c r="R352" s="130"/>
      <c r="S352" s="130"/>
      <c r="T352" s="130"/>
      <c r="U352" s="130"/>
      <c r="V352" s="130"/>
      <c r="W352" s="130"/>
      <c r="X352" s="130"/>
      <c r="Y352" s="130"/>
      <c r="Z352" s="130"/>
    </row>
    <row r="353" ht="13.5" customHeight="1">
      <c r="A353" s="130"/>
      <c r="B353" s="130"/>
      <c r="C353" s="130"/>
      <c r="D353" s="130"/>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row>
    <row r="354" ht="13.5" customHeight="1">
      <c r="A354" s="130"/>
      <c r="B354" s="130"/>
      <c r="C354" s="130"/>
      <c r="D354" s="130"/>
      <c r="E354" s="130"/>
      <c r="F354" s="130"/>
      <c r="G354" s="130"/>
      <c r="H354" s="130"/>
      <c r="I354" s="130"/>
      <c r="J354" s="130"/>
      <c r="K354" s="130"/>
      <c r="L354" s="130"/>
      <c r="M354" s="130"/>
      <c r="N354" s="130"/>
      <c r="O354" s="130"/>
      <c r="P354" s="130"/>
      <c r="Q354" s="130"/>
      <c r="R354" s="130"/>
      <c r="S354" s="130"/>
      <c r="T354" s="130"/>
      <c r="U354" s="130"/>
      <c r="V354" s="130"/>
      <c r="W354" s="130"/>
      <c r="X354" s="130"/>
      <c r="Y354" s="130"/>
      <c r="Z354" s="130"/>
    </row>
    <row r="355" ht="13.5" customHeight="1">
      <c r="A355" s="130"/>
      <c r="B355" s="130"/>
      <c r="C355" s="130"/>
      <c r="D355" s="130"/>
      <c r="E355" s="130"/>
      <c r="F355" s="130"/>
      <c r="G355" s="130"/>
      <c r="H355" s="130"/>
      <c r="I355" s="130"/>
      <c r="J355" s="130"/>
      <c r="K355" s="130"/>
      <c r="L355" s="130"/>
      <c r="M355" s="130"/>
      <c r="N355" s="130"/>
      <c r="O355" s="130"/>
      <c r="P355" s="130"/>
      <c r="Q355" s="130"/>
      <c r="R355" s="130"/>
      <c r="S355" s="130"/>
      <c r="T355" s="130"/>
      <c r="U355" s="130"/>
      <c r="V355" s="130"/>
      <c r="W355" s="130"/>
      <c r="X355" s="130"/>
      <c r="Y355" s="130"/>
      <c r="Z355" s="130"/>
    </row>
    <row r="356" ht="13.5" customHeight="1">
      <c r="A356" s="130"/>
      <c r="B356" s="130"/>
      <c r="C356" s="130"/>
      <c r="D356" s="130"/>
      <c r="E356" s="130"/>
      <c r="F356" s="130"/>
      <c r="G356" s="130"/>
      <c r="H356" s="130"/>
      <c r="I356" s="130"/>
      <c r="J356" s="130"/>
      <c r="K356" s="130"/>
      <c r="L356" s="130"/>
      <c r="M356" s="130"/>
      <c r="N356" s="130"/>
      <c r="O356" s="130"/>
      <c r="P356" s="130"/>
      <c r="Q356" s="130"/>
      <c r="R356" s="130"/>
      <c r="S356" s="130"/>
      <c r="T356" s="130"/>
      <c r="U356" s="130"/>
      <c r="V356" s="130"/>
      <c r="W356" s="130"/>
      <c r="X356" s="130"/>
      <c r="Y356" s="130"/>
      <c r="Z356" s="130"/>
    </row>
    <row r="357" ht="13.5" customHeight="1">
      <c r="A357" s="130"/>
      <c r="B357" s="130"/>
      <c r="C357" s="130"/>
      <c r="D357" s="130"/>
      <c r="E357" s="130"/>
      <c r="F357" s="130"/>
      <c r="G357" s="130"/>
      <c r="H357" s="130"/>
      <c r="I357" s="130"/>
      <c r="J357" s="130"/>
      <c r="K357" s="130"/>
      <c r="L357" s="130"/>
      <c r="M357" s="130"/>
      <c r="N357" s="130"/>
      <c r="O357" s="130"/>
      <c r="P357" s="130"/>
      <c r="Q357" s="130"/>
      <c r="R357" s="130"/>
      <c r="S357" s="130"/>
      <c r="T357" s="130"/>
      <c r="U357" s="130"/>
      <c r="V357" s="130"/>
      <c r="W357" s="130"/>
      <c r="X357" s="130"/>
      <c r="Y357" s="130"/>
      <c r="Z357" s="130"/>
    </row>
    <row r="358" ht="13.5" customHeight="1">
      <c r="A358" s="130"/>
      <c r="B358" s="130"/>
      <c r="C358" s="130"/>
      <c r="D358" s="130"/>
      <c r="E358" s="130"/>
      <c r="F358" s="130"/>
      <c r="G358" s="130"/>
      <c r="H358" s="130"/>
      <c r="I358" s="130"/>
      <c r="J358" s="130"/>
      <c r="K358" s="130"/>
      <c r="L358" s="130"/>
      <c r="M358" s="130"/>
      <c r="N358" s="130"/>
      <c r="O358" s="130"/>
      <c r="P358" s="130"/>
      <c r="Q358" s="130"/>
      <c r="R358" s="130"/>
      <c r="S358" s="130"/>
      <c r="T358" s="130"/>
      <c r="U358" s="130"/>
      <c r="V358" s="130"/>
      <c r="W358" s="130"/>
      <c r="X358" s="130"/>
      <c r="Y358" s="130"/>
      <c r="Z358" s="130"/>
    </row>
    <row r="359" ht="13.5" customHeight="1">
      <c r="A359" s="130"/>
      <c r="B359" s="130"/>
      <c r="C359" s="130"/>
      <c r="D359" s="130"/>
      <c r="E359" s="130"/>
      <c r="F359" s="130"/>
      <c r="G359" s="130"/>
      <c r="H359" s="130"/>
      <c r="I359" s="130"/>
      <c r="J359" s="130"/>
      <c r="K359" s="130"/>
      <c r="L359" s="130"/>
      <c r="M359" s="130"/>
      <c r="N359" s="130"/>
      <c r="O359" s="130"/>
      <c r="P359" s="130"/>
      <c r="Q359" s="130"/>
      <c r="R359" s="130"/>
      <c r="S359" s="130"/>
      <c r="T359" s="130"/>
      <c r="U359" s="130"/>
      <c r="V359" s="130"/>
      <c r="W359" s="130"/>
      <c r="X359" s="130"/>
      <c r="Y359" s="130"/>
      <c r="Z359" s="130"/>
    </row>
    <row r="360" ht="13.5" customHeight="1">
      <c r="A360" s="130"/>
      <c r="B360" s="130"/>
      <c r="C360" s="130"/>
      <c r="D360" s="130"/>
      <c r="E360" s="130"/>
      <c r="F360" s="130"/>
      <c r="G360" s="130"/>
      <c r="H360" s="130"/>
      <c r="I360" s="130"/>
      <c r="J360" s="130"/>
      <c r="K360" s="130"/>
      <c r="L360" s="130"/>
      <c r="M360" s="130"/>
      <c r="N360" s="130"/>
      <c r="O360" s="130"/>
      <c r="P360" s="130"/>
      <c r="Q360" s="130"/>
      <c r="R360" s="130"/>
      <c r="S360" s="130"/>
      <c r="T360" s="130"/>
      <c r="U360" s="130"/>
      <c r="V360" s="130"/>
      <c r="W360" s="130"/>
      <c r="X360" s="130"/>
      <c r="Y360" s="130"/>
      <c r="Z360" s="130"/>
    </row>
    <row r="361" ht="13.5" customHeight="1">
      <c r="A361" s="130"/>
      <c r="B361" s="130"/>
      <c r="C361" s="130"/>
      <c r="D361" s="130"/>
      <c r="E361" s="130"/>
      <c r="F361" s="130"/>
      <c r="G361" s="130"/>
      <c r="H361" s="130"/>
      <c r="I361" s="130"/>
      <c r="J361" s="130"/>
      <c r="K361" s="130"/>
      <c r="L361" s="130"/>
      <c r="M361" s="130"/>
      <c r="N361" s="130"/>
      <c r="O361" s="130"/>
      <c r="P361" s="130"/>
      <c r="Q361" s="130"/>
      <c r="R361" s="130"/>
      <c r="S361" s="130"/>
      <c r="T361" s="130"/>
      <c r="U361" s="130"/>
      <c r="V361" s="130"/>
      <c r="W361" s="130"/>
      <c r="X361" s="130"/>
      <c r="Y361" s="130"/>
      <c r="Z361" s="130"/>
    </row>
    <row r="362" ht="13.5" customHeight="1">
      <c r="A362" s="130"/>
      <c r="B362" s="130"/>
      <c r="C362" s="130"/>
      <c r="D362" s="130"/>
      <c r="E362" s="130"/>
      <c r="F362" s="130"/>
      <c r="G362" s="130"/>
      <c r="H362" s="130"/>
      <c r="I362" s="130"/>
      <c r="J362" s="130"/>
      <c r="K362" s="130"/>
      <c r="L362" s="130"/>
      <c r="M362" s="130"/>
      <c r="N362" s="130"/>
      <c r="O362" s="130"/>
      <c r="P362" s="130"/>
      <c r="Q362" s="130"/>
      <c r="R362" s="130"/>
      <c r="S362" s="130"/>
      <c r="T362" s="130"/>
      <c r="U362" s="130"/>
      <c r="V362" s="130"/>
      <c r="W362" s="130"/>
      <c r="X362" s="130"/>
      <c r="Y362" s="130"/>
      <c r="Z362" s="130"/>
    </row>
    <row r="363" ht="13.5" customHeight="1">
      <c r="A363" s="130"/>
      <c r="B363" s="130"/>
      <c r="C363" s="130"/>
      <c r="D363" s="130"/>
      <c r="E363" s="130"/>
      <c r="F363" s="130"/>
      <c r="G363" s="130"/>
      <c r="H363" s="130"/>
      <c r="I363" s="130"/>
      <c r="J363" s="130"/>
      <c r="K363" s="130"/>
      <c r="L363" s="130"/>
      <c r="M363" s="130"/>
      <c r="N363" s="130"/>
      <c r="O363" s="130"/>
      <c r="P363" s="130"/>
      <c r="Q363" s="130"/>
      <c r="R363" s="130"/>
      <c r="S363" s="130"/>
      <c r="T363" s="130"/>
      <c r="U363" s="130"/>
      <c r="V363" s="130"/>
      <c r="W363" s="130"/>
      <c r="X363" s="130"/>
      <c r="Y363" s="130"/>
      <c r="Z363" s="130"/>
    </row>
    <row r="364" ht="13.5" customHeight="1">
      <c r="A364" s="130"/>
      <c r="B364" s="130"/>
      <c r="C364" s="130"/>
      <c r="D364" s="130"/>
      <c r="E364" s="130"/>
      <c r="F364" s="130"/>
      <c r="G364" s="130"/>
      <c r="H364" s="130"/>
      <c r="I364" s="130"/>
      <c r="J364" s="130"/>
      <c r="K364" s="130"/>
      <c r="L364" s="130"/>
      <c r="M364" s="130"/>
      <c r="N364" s="130"/>
      <c r="O364" s="130"/>
      <c r="P364" s="130"/>
      <c r="Q364" s="130"/>
      <c r="R364" s="130"/>
      <c r="S364" s="130"/>
      <c r="T364" s="130"/>
      <c r="U364" s="130"/>
      <c r="V364" s="130"/>
      <c r="W364" s="130"/>
      <c r="X364" s="130"/>
      <c r="Y364" s="130"/>
      <c r="Z364" s="130"/>
    </row>
    <row r="365" ht="13.5" customHeight="1">
      <c r="A365" s="130"/>
      <c r="B365" s="130"/>
      <c r="C365" s="130"/>
      <c r="D365" s="130"/>
      <c r="E365" s="130"/>
      <c r="F365" s="130"/>
      <c r="G365" s="130"/>
      <c r="H365" s="130"/>
      <c r="I365" s="130"/>
      <c r="J365" s="130"/>
      <c r="K365" s="130"/>
      <c r="L365" s="130"/>
      <c r="M365" s="130"/>
      <c r="N365" s="130"/>
      <c r="O365" s="130"/>
      <c r="P365" s="130"/>
      <c r="Q365" s="130"/>
      <c r="R365" s="130"/>
      <c r="S365" s="130"/>
      <c r="T365" s="130"/>
      <c r="U365" s="130"/>
      <c r="V365" s="130"/>
      <c r="W365" s="130"/>
      <c r="X365" s="130"/>
      <c r="Y365" s="130"/>
      <c r="Z365" s="130"/>
    </row>
    <row r="366" ht="13.5" customHeight="1">
      <c r="A366" s="130"/>
      <c r="B366" s="130"/>
      <c r="C366" s="130"/>
      <c r="D366" s="130"/>
      <c r="E366" s="130"/>
      <c r="F366" s="130"/>
      <c r="G366" s="130"/>
      <c r="H366" s="130"/>
      <c r="I366" s="130"/>
      <c r="J366" s="130"/>
      <c r="K366" s="130"/>
      <c r="L366" s="130"/>
      <c r="M366" s="130"/>
      <c r="N366" s="130"/>
      <c r="O366" s="130"/>
      <c r="P366" s="130"/>
      <c r="Q366" s="130"/>
      <c r="R366" s="130"/>
      <c r="S366" s="130"/>
      <c r="T366" s="130"/>
      <c r="U366" s="130"/>
      <c r="V366" s="130"/>
      <c r="W366" s="130"/>
      <c r="X366" s="130"/>
      <c r="Y366" s="130"/>
      <c r="Z366" s="130"/>
    </row>
    <row r="367" ht="13.5" customHeight="1">
      <c r="A367" s="130"/>
      <c r="B367" s="130"/>
      <c r="C367" s="130"/>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row>
    <row r="368" ht="13.5" customHeight="1">
      <c r="A368" s="130"/>
      <c r="B368" s="130"/>
      <c r="C368" s="130"/>
      <c r="D368" s="130"/>
      <c r="E368" s="130"/>
      <c r="F368" s="130"/>
      <c r="G368" s="130"/>
      <c r="H368" s="130"/>
      <c r="I368" s="130"/>
      <c r="J368" s="130"/>
      <c r="K368" s="130"/>
      <c r="L368" s="130"/>
      <c r="M368" s="130"/>
      <c r="N368" s="130"/>
      <c r="O368" s="130"/>
      <c r="P368" s="130"/>
      <c r="Q368" s="130"/>
      <c r="R368" s="130"/>
      <c r="S368" s="130"/>
      <c r="T368" s="130"/>
      <c r="U368" s="130"/>
      <c r="V368" s="130"/>
      <c r="W368" s="130"/>
      <c r="X368" s="130"/>
      <c r="Y368" s="130"/>
      <c r="Z368" s="130"/>
    </row>
    <row r="369" ht="13.5" customHeight="1">
      <c r="A369" s="130"/>
      <c r="B369" s="130"/>
      <c r="C369" s="130"/>
      <c r="D369" s="130"/>
      <c r="E369" s="130"/>
      <c r="F369" s="130"/>
      <c r="G369" s="130"/>
      <c r="H369" s="130"/>
      <c r="I369" s="130"/>
      <c r="J369" s="130"/>
      <c r="K369" s="130"/>
      <c r="L369" s="130"/>
      <c r="M369" s="130"/>
      <c r="N369" s="130"/>
      <c r="O369" s="130"/>
      <c r="P369" s="130"/>
      <c r="Q369" s="130"/>
      <c r="R369" s="130"/>
      <c r="S369" s="130"/>
      <c r="T369" s="130"/>
      <c r="U369" s="130"/>
      <c r="V369" s="130"/>
      <c r="W369" s="130"/>
      <c r="X369" s="130"/>
      <c r="Y369" s="130"/>
      <c r="Z369" s="130"/>
    </row>
    <row r="370" ht="13.5" customHeight="1">
      <c r="A370" s="130"/>
      <c r="B370" s="130"/>
      <c r="C370" s="130"/>
      <c r="D370" s="130"/>
      <c r="E370" s="130"/>
      <c r="F370" s="130"/>
      <c r="G370" s="130"/>
      <c r="H370" s="130"/>
      <c r="I370" s="130"/>
      <c r="J370" s="130"/>
      <c r="K370" s="130"/>
      <c r="L370" s="130"/>
      <c r="M370" s="130"/>
      <c r="N370" s="130"/>
      <c r="O370" s="130"/>
      <c r="P370" s="130"/>
      <c r="Q370" s="130"/>
      <c r="R370" s="130"/>
      <c r="S370" s="130"/>
      <c r="T370" s="130"/>
      <c r="U370" s="130"/>
      <c r="V370" s="130"/>
      <c r="W370" s="130"/>
      <c r="X370" s="130"/>
      <c r="Y370" s="130"/>
      <c r="Z370" s="130"/>
    </row>
    <row r="371" ht="13.5" customHeight="1">
      <c r="A371" s="130"/>
      <c r="B371" s="130"/>
      <c r="C371" s="130"/>
      <c r="D371" s="130"/>
      <c r="E371" s="130"/>
      <c r="F371" s="130"/>
      <c r="G371" s="130"/>
      <c r="H371" s="130"/>
      <c r="I371" s="130"/>
      <c r="J371" s="130"/>
      <c r="K371" s="130"/>
      <c r="L371" s="130"/>
      <c r="M371" s="130"/>
      <c r="N371" s="130"/>
      <c r="O371" s="130"/>
      <c r="P371" s="130"/>
      <c r="Q371" s="130"/>
      <c r="R371" s="130"/>
      <c r="S371" s="130"/>
      <c r="T371" s="130"/>
      <c r="U371" s="130"/>
      <c r="V371" s="130"/>
      <c r="W371" s="130"/>
      <c r="X371" s="130"/>
      <c r="Y371" s="130"/>
      <c r="Z371" s="130"/>
    </row>
    <row r="372" ht="13.5" customHeight="1">
      <c r="A372" s="130"/>
      <c r="B372" s="130"/>
      <c r="C372" s="130"/>
      <c r="D372" s="130"/>
      <c r="E372" s="130"/>
      <c r="F372" s="130"/>
      <c r="G372" s="130"/>
      <c r="H372" s="130"/>
      <c r="I372" s="130"/>
      <c r="J372" s="130"/>
      <c r="K372" s="130"/>
      <c r="L372" s="130"/>
      <c r="M372" s="130"/>
      <c r="N372" s="130"/>
      <c r="O372" s="130"/>
      <c r="P372" s="130"/>
      <c r="Q372" s="130"/>
      <c r="R372" s="130"/>
      <c r="S372" s="130"/>
      <c r="T372" s="130"/>
      <c r="U372" s="130"/>
      <c r="V372" s="130"/>
      <c r="W372" s="130"/>
      <c r="X372" s="130"/>
      <c r="Y372" s="130"/>
      <c r="Z372" s="130"/>
    </row>
    <row r="373" ht="13.5" customHeight="1">
      <c r="A373" s="130"/>
      <c r="B373" s="130"/>
      <c r="C373" s="130"/>
      <c r="D373" s="130"/>
      <c r="E373" s="130"/>
      <c r="F373" s="130"/>
      <c r="G373" s="130"/>
      <c r="H373" s="130"/>
      <c r="I373" s="130"/>
      <c r="J373" s="130"/>
      <c r="K373" s="130"/>
      <c r="L373" s="130"/>
      <c r="M373" s="130"/>
      <c r="N373" s="130"/>
      <c r="O373" s="130"/>
      <c r="P373" s="130"/>
      <c r="Q373" s="130"/>
      <c r="R373" s="130"/>
      <c r="S373" s="130"/>
      <c r="T373" s="130"/>
      <c r="U373" s="130"/>
      <c r="V373" s="130"/>
      <c r="W373" s="130"/>
      <c r="X373" s="130"/>
      <c r="Y373" s="130"/>
      <c r="Z373" s="130"/>
    </row>
    <row r="374" ht="13.5" customHeight="1">
      <c r="A374" s="130"/>
      <c r="B374" s="130"/>
      <c r="C374" s="130"/>
      <c r="D374" s="130"/>
      <c r="E374" s="130"/>
      <c r="F374" s="130"/>
      <c r="G374" s="130"/>
      <c r="H374" s="130"/>
      <c r="I374" s="130"/>
      <c r="J374" s="130"/>
      <c r="K374" s="130"/>
      <c r="L374" s="130"/>
      <c r="M374" s="130"/>
      <c r="N374" s="130"/>
      <c r="O374" s="130"/>
      <c r="P374" s="130"/>
      <c r="Q374" s="130"/>
      <c r="R374" s="130"/>
      <c r="S374" s="130"/>
      <c r="T374" s="130"/>
      <c r="U374" s="130"/>
      <c r="V374" s="130"/>
      <c r="W374" s="130"/>
      <c r="X374" s="130"/>
      <c r="Y374" s="130"/>
      <c r="Z374" s="130"/>
    </row>
    <row r="375" ht="13.5" customHeight="1">
      <c r="A375" s="130"/>
      <c r="B375" s="130"/>
      <c r="C375" s="130"/>
      <c r="D375" s="130"/>
      <c r="E375" s="130"/>
      <c r="F375" s="130"/>
      <c r="G375" s="130"/>
      <c r="H375" s="130"/>
      <c r="I375" s="130"/>
      <c r="J375" s="130"/>
      <c r="K375" s="130"/>
      <c r="L375" s="130"/>
      <c r="M375" s="130"/>
      <c r="N375" s="130"/>
      <c r="O375" s="130"/>
      <c r="P375" s="130"/>
      <c r="Q375" s="130"/>
      <c r="R375" s="130"/>
      <c r="S375" s="130"/>
      <c r="T375" s="130"/>
      <c r="U375" s="130"/>
      <c r="V375" s="130"/>
      <c r="W375" s="130"/>
      <c r="X375" s="130"/>
      <c r="Y375" s="130"/>
      <c r="Z375" s="130"/>
    </row>
    <row r="376" ht="13.5" customHeight="1">
      <c r="A376" s="130"/>
      <c r="B376" s="130"/>
      <c r="C376" s="130"/>
      <c r="D376" s="130"/>
      <c r="E376" s="130"/>
      <c r="F376" s="130"/>
      <c r="G376" s="130"/>
      <c r="H376" s="130"/>
      <c r="I376" s="130"/>
      <c r="J376" s="130"/>
      <c r="K376" s="130"/>
      <c r="L376" s="130"/>
      <c r="M376" s="130"/>
      <c r="N376" s="130"/>
      <c r="O376" s="130"/>
      <c r="P376" s="130"/>
      <c r="Q376" s="130"/>
      <c r="R376" s="130"/>
      <c r="S376" s="130"/>
      <c r="T376" s="130"/>
      <c r="U376" s="130"/>
      <c r="V376" s="130"/>
      <c r="W376" s="130"/>
      <c r="X376" s="130"/>
      <c r="Y376" s="130"/>
      <c r="Z376" s="130"/>
    </row>
    <row r="377" ht="13.5" customHeight="1">
      <c r="A377" s="130"/>
      <c r="B377" s="130"/>
      <c r="C377" s="130"/>
      <c r="D377" s="130"/>
      <c r="E377" s="130"/>
      <c r="F377" s="130"/>
      <c r="G377" s="130"/>
      <c r="H377" s="130"/>
      <c r="I377" s="130"/>
      <c r="J377" s="130"/>
      <c r="K377" s="130"/>
      <c r="L377" s="130"/>
      <c r="M377" s="130"/>
      <c r="N377" s="130"/>
      <c r="O377" s="130"/>
      <c r="P377" s="130"/>
      <c r="Q377" s="130"/>
      <c r="R377" s="130"/>
      <c r="S377" s="130"/>
      <c r="T377" s="130"/>
      <c r="U377" s="130"/>
      <c r="V377" s="130"/>
      <c r="W377" s="130"/>
      <c r="X377" s="130"/>
      <c r="Y377" s="130"/>
      <c r="Z377" s="130"/>
    </row>
    <row r="378" ht="13.5" customHeight="1">
      <c r="A378" s="130"/>
      <c r="B378" s="130"/>
      <c r="C378" s="130"/>
      <c r="D378" s="130"/>
      <c r="E378" s="130"/>
      <c r="F378" s="130"/>
      <c r="G378" s="130"/>
      <c r="H378" s="130"/>
      <c r="I378" s="130"/>
      <c r="J378" s="130"/>
      <c r="K378" s="130"/>
      <c r="L378" s="130"/>
      <c r="M378" s="130"/>
      <c r="N378" s="130"/>
      <c r="O378" s="130"/>
      <c r="P378" s="130"/>
      <c r="Q378" s="130"/>
      <c r="R378" s="130"/>
      <c r="S378" s="130"/>
      <c r="T378" s="130"/>
      <c r="U378" s="130"/>
      <c r="V378" s="130"/>
      <c r="W378" s="130"/>
      <c r="X378" s="130"/>
      <c r="Y378" s="130"/>
      <c r="Z378" s="130"/>
    </row>
    <row r="379" ht="13.5" customHeight="1">
      <c r="A379" s="130"/>
      <c r="B379" s="130"/>
      <c r="C379" s="130"/>
      <c r="D379" s="130"/>
      <c r="E379" s="130"/>
      <c r="F379" s="130"/>
      <c r="G379" s="130"/>
      <c r="H379" s="130"/>
      <c r="I379" s="130"/>
      <c r="J379" s="130"/>
      <c r="K379" s="130"/>
      <c r="L379" s="130"/>
      <c r="M379" s="130"/>
      <c r="N379" s="130"/>
      <c r="O379" s="130"/>
      <c r="P379" s="130"/>
      <c r="Q379" s="130"/>
      <c r="R379" s="130"/>
      <c r="S379" s="130"/>
      <c r="T379" s="130"/>
      <c r="U379" s="130"/>
      <c r="V379" s="130"/>
      <c r="W379" s="130"/>
      <c r="X379" s="130"/>
      <c r="Y379" s="130"/>
      <c r="Z379" s="130"/>
    </row>
    <row r="380" ht="13.5" customHeight="1">
      <c r="A380" s="130"/>
      <c r="B380" s="130"/>
      <c r="C380" s="130"/>
      <c r="D380" s="130"/>
      <c r="E380" s="130"/>
      <c r="F380" s="130"/>
      <c r="G380" s="130"/>
      <c r="H380" s="130"/>
      <c r="I380" s="130"/>
      <c r="J380" s="130"/>
      <c r="K380" s="130"/>
      <c r="L380" s="130"/>
      <c r="M380" s="130"/>
      <c r="N380" s="130"/>
      <c r="O380" s="130"/>
      <c r="P380" s="130"/>
      <c r="Q380" s="130"/>
      <c r="R380" s="130"/>
      <c r="S380" s="130"/>
      <c r="T380" s="130"/>
      <c r="U380" s="130"/>
      <c r="V380" s="130"/>
      <c r="W380" s="130"/>
      <c r="X380" s="130"/>
      <c r="Y380" s="130"/>
      <c r="Z380" s="130"/>
    </row>
    <row r="381" ht="13.5" customHeight="1">
      <c r="A381" s="130"/>
      <c r="B381" s="130"/>
      <c r="C381" s="130"/>
      <c r="D381" s="130"/>
      <c r="E381" s="130"/>
      <c r="F381" s="130"/>
      <c r="G381" s="130"/>
      <c r="H381" s="130"/>
      <c r="I381" s="130"/>
      <c r="J381" s="130"/>
      <c r="K381" s="130"/>
      <c r="L381" s="130"/>
      <c r="M381" s="130"/>
      <c r="N381" s="130"/>
      <c r="O381" s="130"/>
      <c r="P381" s="130"/>
      <c r="Q381" s="130"/>
      <c r="R381" s="130"/>
      <c r="S381" s="130"/>
      <c r="T381" s="130"/>
      <c r="U381" s="130"/>
      <c r="V381" s="130"/>
      <c r="W381" s="130"/>
      <c r="X381" s="130"/>
      <c r="Y381" s="130"/>
      <c r="Z381" s="130"/>
    </row>
    <row r="382" ht="13.5" customHeight="1">
      <c r="A382" s="130"/>
      <c r="B382" s="130"/>
      <c r="C382" s="130"/>
      <c r="D382" s="130"/>
      <c r="E382" s="130"/>
      <c r="F382" s="130"/>
      <c r="G382" s="130"/>
      <c r="H382" s="130"/>
      <c r="I382" s="130"/>
      <c r="J382" s="130"/>
      <c r="K382" s="130"/>
      <c r="L382" s="130"/>
      <c r="M382" s="130"/>
      <c r="N382" s="130"/>
      <c r="O382" s="130"/>
      <c r="P382" s="130"/>
      <c r="Q382" s="130"/>
      <c r="R382" s="130"/>
      <c r="S382" s="130"/>
      <c r="T382" s="130"/>
      <c r="U382" s="130"/>
      <c r="V382" s="130"/>
      <c r="W382" s="130"/>
      <c r="X382" s="130"/>
      <c r="Y382" s="130"/>
      <c r="Z382" s="130"/>
    </row>
    <row r="383" ht="13.5" customHeight="1">
      <c r="A383" s="130"/>
      <c r="B383" s="130"/>
      <c r="C383" s="130"/>
      <c r="D383" s="130"/>
      <c r="E383" s="130"/>
      <c r="F383" s="130"/>
      <c r="G383" s="130"/>
      <c r="H383" s="130"/>
      <c r="I383" s="130"/>
      <c r="J383" s="130"/>
      <c r="K383" s="130"/>
      <c r="L383" s="130"/>
      <c r="M383" s="130"/>
      <c r="N383" s="130"/>
      <c r="O383" s="130"/>
      <c r="P383" s="130"/>
      <c r="Q383" s="130"/>
      <c r="R383" s="130"/>
      <c r="S383" s="130"/>
      <c r="T383" s="130"/>
      <c r="U383" s="130"/>
      <c r="V383" s="130"/>
      <c r="W383" s="130"/>
      <c r="X383" s="130"/>
      <c r="Y383" s="130"/>
      <c r="Z383" s="130"/>
    </row>
    <row r="384" ht="13.5" customHeight="1">
      <c r="A384" s="130"/>
      <c r="B384" s="130"/>
      <c r="C384" s="130"/>
      <c r="D384" s="130"/>
      <c r="E384" s="130"/>
      <c r="F384" s="130"/>
      <c r="G384" s="130"/>
      <c r="H384" s="130"/>
      <c r="I384" s="130"/>
      <c r="J384" s="130"/>
      <c r="K384" s="130"/>
      <c r="L384" s="130"/>
      <c r="M384" s="130"/>
      <c r="N384" s="130"/>
      <c r="O384" s="130"/>
      <c r="P384" s="130"/>
      <c r="Q384" s="130"/>
      <c r="R384" s="130"/>
      <c r="S384" s="130"/>
      <c r="T384" s="130"/>
      <c r="U384" s="130"/>
      <c r="V384" s="130"/>
      <c r="W384" s="130"/>
      <c r="X384" s="130"/>
      <c r="Y384" s="130"/>
      <c r="Z384" s="130"/>
    </row>
    <row r="385" ht="13.5" customHeight="1">
      <c r="A385" s="130"/>
      <c r="B385" s="130"/>
      <c r="C385" s="130"/>
      <c r="D385" s="130"/>
      <c r="E385" s="130"/>
      <c r="F385" s="130"/>
      <c r="G385" s="130"/>
      <c r="H385" s="130"/>
      <c r="I385" s="130"/>
      <c r="J385" s="130"/>
      <c r="K385" s="130"/>
      <c r="L385" s="130"/>
      <c r="M385" s="130"/>
      <c r="N385" s="130"/>
      <c r="O385" s="130"/>
      <c r="P385" s="130"/>
      <c r="Q385" s="130"/>
      <c r="R385" s="130"/>
      <c r="S385" s="130"/>
      <c r="T385" s="130"/>
      <c r="U385" s="130"/>
      <c r="V385" s="130"/>
      <c r="W385" s="130"/>
      <c r="X385" s="130"/>
      <c r="Y385" s="130"/>
      <c r="Z385" s="130"/>
    </row>
    <row r="386" ht="13.5" customHeight="1">
      <c r="A386" s="130"/>
      <c r="B386" s="130"/>
      <c r="C386" s="130"/>
      <c r="D386" s="130"/>
      <c r="E386" s="130"/>
      <c r="F386" s="130"/>
      <c r="G386" s="130"/>
      <c r="H386" s="130"/>
      <c r="I386" s="130"/>
      <c r="J386" s="130"/>
      <c r="K386" s="130"/>
      <c r="L386" s="130"/>
      <c r="M386" s="130"/>
      <c r="N386" s="130"/>
      <c r="O386" s="130"/>
      <c r="P386" s="130"/>
      <c r="Q386" s="130"/>
      <c r="R386" s="130"/>
      <c r="S386" s="130"/>
      <c r="T386" s="130"/>
      <c r="U386" s="130"/>
      <c r="V386" s="130"/>
      <c r="W386" s="130"/>
      <c r="X386" s="130"/>
      <c r="Y386" s="130"/>
      <c r="Z386" s="130"/>
    </row>
    <row r="387" ht="13.5" customHeight="1">
      <c r="A387" s="130"/>
      <c r="B387" s="130"/>
      <c r="C387" s="130"/>
      <c r="D387" s="130"/>
      <c r="E387" s="130"/>
      <c r="F387" s="130"/>
      <c r="G387" s="130"/>
      <c r="H387" s="130"/>
      <c r="I387" s="130"/>
      <c r="J387" s="130"/>
      <c r="K387" s="130"/>
      <c r="L387" s="130"/>
      <c r="M387" s="130"/>
      <c r="N387" s="130"/>
      <c r="O387" s="130"/>
      <c r="P387" s="130"/>
      <c r="Q387" s="130"/>
      <c r="R387" s="130"/>
      <c r="S387" s="130"/>
      <c r="T387" s="130"/>
      <c r="U387" s="130"/>
      <c r="V387" s="130"/>
      <c r="W387" s="130"/>
      <c r="X387" s="130"/>
      <c r="Y387" s="130"/>
      <c r="Z387" s="130"/>
    </row>
    <row r="388" ht="13.5" customHeight="1">
      <c r="A388" s="130"/>
      <c r="B388" s="130"/>
      <c r="C388" s="130"/>
      <c r="D388" s="130"/>
      <c r="E388" s="130"/>
      <c r="F388" s="130"/>
      <c r="G388" s="130"/>
      <c r="H388" s="130"/>
      <c r="I388" s="130"/>
      <c r="J388" s="130"/>
      <c r="K388" s="130"/>
      <c r="L388" s="130"/>
      <c r="M388" s="130"/>
      <c r="N388" s="130"/>
      <c r="O388" s="130"/>
      <c r="P388" s="130"/>
      <c r="Q388" s="130"/>
      <c r="R388" s="130"/>
      <c r="S388" s="130"/>
      <c r="T388" s="130"/>
      <c r="U388" s="130"/>
      <c r="V388" s="130"/>
      <c r="W388" s="130"/>
      <c r="X388" s="130"/>
      <c r="Y388" s="130"/>
      <c r="Z388" s="130"/>
    </row>
    <row r="389" ht="13.5" customHeight="1">
      <c r="A389" s="130"/>
      <c r="B389" s="130"/>
      <c r="C389" s="130"/>
      <c r="D389" s="130"/>
      <c r="E389" s="130"/>
      <c r="F389" s="130"/>
      <c r="G389" s="130"/>
      <c r="H389" s="130"/>
      <c r="I389" s="130"/>
      <c r="J389" s="130"/>
      <c r="K389" s="130"/>
      <c r="L389" s="130"/>
      <c r="M389" s="130"/>
      <c r="N389" s="130"/>
      <c r="O389" s="130"/>
      <c r="P389" s="130"/>
      <c r="Q389" s="130"/>
      <c r="R389" s="130"/>
      <c r="S389" s="130"/>
      <c r="T389" s="130"/>
      <c r="U389" s="130"/>
      <c r="V389" s="130"/>
      <c r="W389" s="130"/>
      <c r="X389" s="130"/>
      <c r="Y389" s="130"/>
      <c r="Z389" s="130"/>
    </row>
    <row r="390" ht="13.5" customHeight="1">
      <c r="A390" s="130"/>
      <c r="B390" s="130"/>
      <c r="C390" s="130"/>
      <c r="D390" s="130"/>
      <c r="E390" s="130"/>
      <c r="F390" s="130"/>
      <c r="G390" s="130"/>
      <c r="H390" s="130"/>
      <c r="I390" s="130"/>
      <c r="J390" s="130"/>
      <c r="K390" s="130"/>
      <c r="L390" s="130"/>
      <c r="M390" s="130"/>
      <c r="N390" s="130"/>
      <c r="O390" s="130"/>
      <c r="P390" s="130"/>
      <c r="Q390" s="130"/>
      <c r="R390" s="130"/>
      <c r="S390" s="130"/>
      <c r="T390" s="130"/>
      <c r="U390" s="130"/>
      <c r="V390" s="130"/>
      <c r="W390" s="130"/>
      <c r="X390" s="130"/>
      <c r="Y390" s="130"/>
      <c r="Z390" s="130"/>
    </row>
    <row r="391" ht="13.5" customHeight="1">
      <c r="A391" s="130"/>
      <c r="B391" s="130"/>
      <c r="C391" s="130"/>
      <c r="D391" s="130"/>
      <c r="E391" s="130"/>
      <c r="F391" s="130"/>
      <c r="G391" s="130"/>
      <c r="H391" s="130"/>
      <c r="I391" s="130"/>
      <c r="J391" s="130"/>
      <c r="K391" s="130"/>
      <c r="L391" s="130"/>
      <c r="M391" s="130"/>
      <c r="N391" s="130"/>
      <c r="O391" s="130"/>
      <c r="P391" s="130"/>
      <c r="Q391" s="130"/>
      <c r="R391" s="130"/>
      <c r="S391" s="130"/>
      <c r="T391" s="130"/>
      <c r="U391" s="130"/>
      <c r="V391" s="130"/>
      <c r="W391" s="130"/>
      <c r="X391" s="130"/>
      <c r="Y391" s="130"/>
      <c r="Z391" s="130"/>
    </row>
    <row r="392" ht="13.5" customHeight="1">
      <c r="A392" s="130"/>
      <c r="B392" s="130"/>
      <c r="C392" s="130"/>
      <c r="D392" s="130"/>
      <c r="E392" s="130"/>
      <c r="F392" s="130"/>
      <c r="G392" s="130"/>
      <c r="H392" s="130"/>
      <c r="I392" s="130"/>
      <c r="J392" s="130"/>
      <c r="K392" s="130"/>
      <c r="L392" s="130"/>
      <c r="M392" s="130"/>
      <c r="N392" s="130"/>
      <c r="O392" s="130"/>
      <c r="P392" s="130"/>
      <c r="Q392" s="130"/>
      <c r="R392" s="130"/>
      <c r="S392" s="130"/>
      <c r="T392" s="130"/>
      <c r="U392" s="130"/>
      <c r="V392" s="130"/>
      <c r="W392" s="130"/>
      <c r="X392" s="130"/>
      <c r="Y392" s="130"/>
      <c r="Z392" s="130"/>
    </row>
    <row r="393" ht="13.5" customHeight="1">
      <c r="A393" s="130"/>
      <c r="B393" s="130"/>
      <c r="C393" s="130"/>
      <c r="D393" s="130"/>
      <c r="E393" s="130"/>
      <c r="F393" s="130"/>
      <c r="G393" s="130"/>
      <c r="H393" s="130"/>
      <c r="I393" s="130"/>
      <c r="J393" s="130"/>
      <c r="K393" s="130"/>
      <c r="L393" s="130"/>
      <c r="M393" s="130"/>
      <c r="N393" s="130"/>
      <c r="O393" s="130"/>
      <c r="P393" s="130"/>
      <c r="Q393" s="130"/>
      <c r="R393" s="130"/>
      <c r="S393" s="130"/>
      <c r="T393" s="130"/>
      <c r="U393" s="130"/>
      <c r="V393" s="130"/>
      <c r="W393" s="130"/>
      <c r="X393" s="130"/>
      <c r="Y393" s="130"/>
      <c r="Z393" s="130"/>
    </row>
    <row r="394" ht="13.5" customHeight="1">
      <c r="A394" s="130"/>
      <c r="B394" s="130"/>
      <c r="C394" s="130"/>
      <c r="D394" s="130"/>
      <c r="E394" s="130"/>
      <c r="F394" s="130"/>
      <c r="G394" s="130"/>
      <c r="H394" s="130"/>
      <c r="I394" s="130"/>
      <c r="J394" s="130"/>
      <c r="K394" s="130"/>
      <c r="L394" s="130"/>
      <c r="M394" s="130"/>
      <c r="N394" s="130"/>
      <c r="O394" s="130"/>
      <c r="P394" s="130"/>
      <c r="Q394" s="130"/>
      <c r="R394" s="130"/>
      <c r="S394" s="130"/>
      <c r="T394" s="130"/>
      <c r="U394" s="130"/>
      <c r="V394" s="130"/>
      <c r="W394" s="130"/>
      <c r="X394" s="130"/>
      <c r="Y394" s="130"/>
      <c r="Z394" s="130"/>
    </row>
    <row r="395" ht="13.5" customHeight="1">
      <c r="A395" s="130"/>
      <c r="B395" s="130"/>
      <c r="C395" s="130"/>
      <c r="D395" s="130"/>
      <c r="E395" s="130"/>
      <c r="F395" s="130"/>
      <c r="G395" s="130"/>
      <c r="H395" s="130"/>
      <c r="I395" s="130"/>
      <c r="J395" s="130"/>
      <c r="K395" s="130"/>
      <c r="L395" s="130"/>
      <c r="M395" s="130"/>
      <c r="N395" s="130"/>
      <c r="O395" s="130"/>
      <c r="P395" s="130"/>
      <c r="Q395" s="130"/>
      <c r="R395" s="130"/>
      <c r="S395" s="130"/>
      <c r="T395" s="130"/>
      <c r="U395" s="130"/>
      <c r="V395" s="130"/>
      <c r="W395" s="130"/>
      <c r="X395" s="130"/>
      <c r="Y395" s="130"/>
      <c r="Z395" s="130"/>
    </row>
    <row r="396" ht="13.5" customHeight="1">
      <c r="A396" s="130"/>
      <c r="B396" s="130"/>
      <c r="C396" s="130"/>
      <c r="D396" s="130"/>
      <c r="E396" s="130"/>
      <c r="F396" s="130"/>
      <c r="G396" s="130"/>
      <c r="H396" s="130"/>
      <c r="I396" s="130"/>
      <c r="J396" s="130"/>
      <c r="K396" s="130"/>
      <c r="L396" s="130"/>
      <c r="M396" s="130"/>
      <c r="N396" s="130"/>
      <c r="O396" s="130"/>
      <c r="P396" s="130"/>
      <c r="Q396" s="130"/>
      <c r="R396" s="130"/>
      <c r="S396" s="130"/>
      <c r="T396" s="130"/>
      <c r="U396" s="130"/>
      <c r="V396" s="130"/>
      <c r="W396" s="130"/>
      <c r="X396" s="130"/>
      <c r="Y396" s="130"/>
      <c r="Z396" s="130"/>
    </row>
    <row r="397" ht="13.5" customHeight="1">
      <c r="A397" s="130"/>
      <c r="B397" s="130"/>
      <c r="C397" s="130"/>
      <c r="D397" s="130"/>
      <c r="E397" s="130"/>
      <c r="F397" s="130"/>
      <c r="G397" s="130"/>
      <c r="H397" s="130"/>
      <c r="I397" s="130"/>
      <c r="J397" s="130"/>
      <c r="K397" s="130"/>
      <c r="L397" s="130"/>
      <c r="M397" s="130"/>
      <c r="N397" s="130"/>
      <c r="O397" s="130"/>
      <c r="P397" s="130"/>
      <c r="Q397" s="130"/>
      <c r="R397" s="130"/>
      <c r="S397" s="130"/>
      <c r="T397" s="130"/>
      <c r="U397" s="130"/>
      <c r="V397" s="130"/>
      <c r="W397" s="130"/>
      <c r="X397" s="130"/>
      <c r="Y397" s="130"/>
      <c r="Z397" s="130"/>
    </row>
    <row r="398" ht="13.5" customHeight="1">
      <c r="A398" s="130"/>
      <c r="B398" s="130"/>
      <c r="C398" s="130"/>
      <c r="D398" s="130"/>
      <c r="E398" s="130"/>
      <c r="F398" s="130"/>
      <c r="G398" s="130"/>
      <c r="H398" s="130"/>
      <c r="I398" s="130"/>
      <c r="J398" s="130"/>
      <c r="K398" s="130"/>
      <c r="L398" s="130"/>
      <c r="M398" s="130"/>
      <c r="N398" s="130"/>
      <c r="O398" s="130"/>
      <c r="P398" s="130"/>
      <c r="Q398" s="130"/>
      <c r="R398" s="130"/>
      <c r="S398" s="130"/>
      <c r="T398" s="130"/>
      <c r="U398" s="130"/>
      <c r="V398" s="130"/>
      <c r="W398" s="130"/>
      <c r="X398" s="130"/>
      <c r="Y398" s="130"/>
      <c r="Z398" s="130"/>
    </row>
    <row r="399" ht="13.5" customHeight="1">
      <c r="A399" s="130"/>
      <c r="B399" s="130"/>
      <c r="C399" s="130"/>
      <c r="D399" s="130"/>
      <c r="E399" s="130"/>
      <c r="F399" s="130"/>
      <c r="G399" s="130"/>
      <c r="H399" s="130"/>
      <c r="I399" s="130"/>
      <c r="J399" s="130"/>
      <c r="K399" s="130"/>
      <c r="L399" s="130"/>
      <c r="M399" s="130"/>
      <c r="N399" s="130"/>
      <c r="O399" s="130"/>
      <c r="P399" s="130"/>
      <c r="Q399" s="130"/>
      <c r="R399" s="130"/>
      <c r="S399" s="130"/>
      <c r="T399" s="130"/>
      <c r="U399" s="130"/>
      <c r="V399" s="130"/>
      <c r="W399" s="130"/>
      <c r="X399" s="130"/>
      <c r="Y399" s="130"/>
      <c r="Z399" s="130"/>
    </row>
    <row r="400" ht="13.5" customHeight="1">
      <c r="A400" s="130"/>
      <c r="B400" s="130"/>
      <c r="C400" s="130"/>
      <c r="D400" s="130"/>
      <c r="E400" s="130"/>
      <c r="F400" s="130"/>
      <c r="G400" s="130"/>
      <c r="H400" s="130"/>
      <c r="I400" s="130"/>
      <c r="J400" s="130"/>
      <c r="K400" s="130"/>
      <c r="L400" s="130"/>
      <c r="M400" s="130"/>
      <c r="N400" s="130"/>
      <c r="O400" s="130"/>
      <c r="P400" s="130"/>
      <c r="Q400" s="130"/>
      <c r="R400" s="130"/>
      <c r="S400" s="130"/>
      <c r="T400" s="130"/>
      <c r="U400" s="130"/>
      <c r="V400" s="130"/>
      <c r="W400" s="130"/>
      <c r="X400" s="130"/>
      <c r="Y400" s="130"/>
      <c r="Z400" s="130"/>
    </row>
    <row r="401" ht="13.5" customHeight="1">
      <c r="A401" s="130"/>
      <c r="B401" s="130"/>
      <c r="C401" s="130"/>
      <c r="D401" s="130"/>
      <c r="E401" s="130"/>
      <c r="F401" s="130"/>
      <c r="G401" s="130"/>
      <c r="H401" s="130"/>
      <c r="I401" s="130"/>
      <c r="J401" s="130"/>
      <c r="K401" s="130"/>
      <c r="L401" s="130"/>
      <c r="M401" s="130"/>
      <c r="N401" s="130"/>
      <c r="O401" s="130"/>
      <c r="P401" s="130"/>
      <c r="Q401" s="130"/>
      <c r="R401" s="130"/>
      <c r="S401" s="130"/>
      <c r="T401" s="130"/>
      <c r="U401" s="130"/>
      <c r="V401" s="130"/>
      <c r="W401" s="130"/>
      <c r="X401" s="130"/>
      <c r="Y401" s="130"/>
      <c r="Z401" s="130"/>
    </row>
    <row r="402" ht="13.5" customHeight="1">
      <c r="A402" s="130"/>
      <c r="B402" s="130"/>
      <c r="C402" s="130"/>
      <c r="D402" s="130"/>
      <c r="E402" s="130"/>
      <c r="F402" s="130"/>
      <c r="G402" s="130"/>
      <c r="H402" s="130"/>
      <c r="I402" s="130"/>
      <c r="J402" s="130"/>
      <c r="K402" s="130"/>
      <c r="L402" s="130"/>
      <c r="M402" s="130"/>
      <c r="N402" s="130"/>
      <c r="O402" s="130"/>
      <c r="P402" s="130"/>
      <c r="Q402" s="130"/>
      <c r="R402" s="130"/>
      <c r="S402" s="130"/>
      <c r="T402" s="130"/>
      <c r="U402" s="130"/>
      <c r="V402" s="130"/>
      <c r="W402" s="130"/>
      <c r="X402" s="130"/>
      <c r="Y402" s="130"/>
      <c r="Z402" s="130"/>
    </row>
    <row r="403" ht="13.5" customHeight="1">
      <c r="A403" s="130"/>
      <c r="B403" s="130"/>
      <c r="C403" s="130"/>
      <c r="D403" s="130"/>
      <c r="E403" s="130"/>
      <c r="F403" s="130"/>
      <c r="G403" s="130"/>
      <c r="H403" s="130"/>
      <c r="I403" s="130"/>
      <c r="J403" s="130"/>
      <c r="K403" s="130"/>
      <c r="L403" s="130"/>
      <c r="M403" s="130"/>
      <c r="N403" s="130"/>
      <c r="O403" s="130"/>
      <c r="P403" s="130"/>
      <c r="Q403" s="130"/>
      <c r="R403" s="130"/>
      <c r="S403" s="130"/>
      <c r="T403" s="130"/>
      <c r="U403" s="130"/>
      <c r="V403" s="130"/>
      <c r="W403" s="130"/>
      <c r="X403" s="130"/>
      <c r="Y403" s="130"/>
      <c r="Z403" s="130"/>
    </row>
    <row r="404" ht="13.5" customHeight="1">
      <c r="A404" s="130"/>
      <c r="B404" s="130"/>
      <c r="C404" s="130"/>
      <c r="D404" s="130"/>
      <c r="E404" s="130"/>
      <c r="F404" s="130"/>
      <c r="G404" s="130"/>
      <c r="H404" s="130"/>
      <c r="I404" s="130"/>
      <c r="J404" s="130"/>
      <c r="K404" s="130"/>
      <c r="L404" s="130"/>
      <c r="M404" s="130"/>
      <c r="N404" s="130"/>
      <c r="O404" s="130"/>
      <c r="P404" s="130"/>
      <c r="Q404" s="130"/>
      <c r="R404" s="130"/>
      <c r="S404" s="130"/>
      <c r="T404" s="130"/>
      <c r="U404" s="130"/>
      <c r="V404" s="130"/>
      <c r="W404" s="130"/>
      <c r="X404" s="130"/>
      <c r="Y404" s="130"/>
      <c r="Z404" s="130"/>
    </row>
    <row r="405" ht="13.5" customHeight="1">
      <c r="A405" s="130"/>
      <c r="B405" s="130"/>
      <c r="C405" s="130"/>
      <c r="D405" s="130"/>
      <c r="E405" s="130"/>
      <c r="F405" s="130"/>
      <c r="G405" s="130"/>
      <c r="H405" s="130"/>
      <c r="I405" s="130"/>
      <c r="J405" s="130"/>
      <c r="K405" s="130"/>
      <c r="L405" s="130"/>
      <c r="M405" s="130"/>
      <c r="N405" s="130"/>
      <c r="O405" s="130"/>
      <c r="P405" s="130"/>
      <c r="Q405" s="130"/>
      <c r="R405" s="130"/>
      <c r="S405" s="130"/>
      <c r="T405" s="130"/>
      <c r="U405" s="130"/>
      <c r="V405" s="130"/>
      <c r="W405" s="130"/>
      <c r="X405" s="130"/>
      <c r="Y405" s="130"/>
      <c r="Z405" s="130"/>
    </row>
    <row r="406" ht="13.5" customHeight="1">
      <c r="A406" s="130"/>
      <c r="B406" s="130"/>
      <c r="C406" s="130"/>
      <c r="D406" s="130"/>
      <c r="E406" s="130"/>
      <c r="F406" s="130"/>
      <c r="G406" s="130"/>
      <c r="H406" s="130"/>
      <c r="I406" s="130"/>
      <c r="J406" s="130"/>
      <c r="K406" s="130"/>
      <c r="L406" s="130"/>
      <c r="M406" s="130"/>
      <c r="N406" s="130"/>
      <c r="O406" s="130"/>
      <c r="P406" s="130"/>
      <c r="Q406" s="130"/>
      <c r="R406" s="130"/>
      <c r="S406" s="130"/>
      <c r="T406" s="130"/>
      <c r="U406" s="130"/>
      <c r="V406" s="130"/>
      <c r="W406" s="130"/>
      <c r="X406" s="130"/>
      <c r="Y406" s="130"/>
      <c r="Z406" s="130"/>
    </row>
    <row r="407" ht="13.5" customHeight="1">
      <c r="A407" s="130"/>
      <c r="B407" s="130"/>
      <c r="C407" s="130"/>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row>
    <row r="408" ht="13.5" customHeight="1">
      <c r="A408" s="130"/>
      <c r="B408" s="130"/>
      <c r="C408" s="130"/>
      <c r="D408" s="130"/>
      <c r="E408" s="130"/>
      <c r="F408" s="130"/>
      <c r="G408" s="130"/>
      <c r="H408" s="130"/>
      <c r="I408" s="130"/>
      <c r="J408" s="130"/>
      <c r="K408" s="130"/>
      <c r="L408" s="130"/>
      <c r="M408" s="130"/>
      <c r="N408" s="130"/>
      <c r="O408" s="130"/>
      <c r="P408" s="130"/>
      <c r="Q408" s="130"/>
      <c r="R408" s="130"/>
      <c r="S408" s="130"/>
      <c r="T408" s="130"/>
      <c r="U408" s="130"/>
      <c r="V408" s="130"/>
      <c r="W408" s="130"/>
      <c r="X408" s="130"/>
      <c r="Y408" s="130"/>
      <c r="Z408" s="130"/>
    </row>
    <row r="409" ht="13.5" customHeight="1">
      <c r="A409" s="130"/>
      <c r="B409" s="130"/>
      <c r="C409" s="130"/>
      <c r="D409" s="130"/>
      <c r="E409" s="130"/>
      <c r="F409" s="130"/>
      <c r="G409" s="130"/>
      <c r="H409" s="130"/>
      <c r="I409" s="130"/>
      <c r="J409" s="130"/>
      <c r="K409" s="130"/>
      <c r="L409" s="130"/>
      <c r="M409" s="130"/>
      <c r="N409" s="130"/>
      <c r="O409" s="130"/>
      <c r="P409" s="130"/>
      <c r="Q409" s="130"/>
      <c r="R409" s="130"/>
      <c r="S409" s="130"/>
      <c r="T409" s="130"/>
      <c r="U409" s="130"/>
      <c r="V409" s="130"/>
      <c r="W409" s="130"/>
      <c r="X409" s="130"/>
      <c r="Y409" s="130"/>
      <c r="Z409" s="130"/>
    </row>
    <row r="410" ht="13.5" customHeight="1">
      <c r="A410" s="130"/>
      <c r="B410" s="130"/>
      <c r="C410" s="130"/>
      <c r="D410" s="130"/>
      <c r="E410" s="130"/>
      <c r="F410" s="130"/>
      <c r="G410" s="130"/>
      <c r="H410" s="130"/>
      <c r="I410" s="130"/>
      <c r="J410" s="130"/>
      <c r="K410" s="130"/>
      <c r="L410" s="130"/>
      <c r="M410" s="130"/>
      <c r="N410" s="130"/>
      <c r="O410" s="130"/>
      <c r="P410" s="130"/>
      <c r="Q410" s="130"/>
      <c r="R410" s="130"/>
      <c r="S410" s="130"/>
      <c r="T410" s="130"/>
      <c r="U410" s="130"/>
      <c r="V410" s="130"/>
      <c r="W410" s="130"/>
      <c r="X410" s="130"/>
      <c r="Y410" s="130"/>
      <c r="Z410" s="130"/>
    </row>
    <row r="411" ht="13.5" customHeight="1">
      <c r="A411" s="130"/>
      <c r="B411" s="130"/>
      <c r="C411" s="130"/>
      <c r="D411" s="130"/>
      <c r="E411" s="130"/>
      <c r="F411" s="130"/>
      <c r="G411" s="130"/>
      <c r="H411" s="130"/>
      <c r="I411" s="130"/>
      <c r="J411" s="130"/>
      <c r="K411" s="130"/>
      <c r="L411" s="130"/>
      <c r="M411" s="130"/>
      <c r="N411" s="130"/>
      <c r="O411" s="130"/>
      <c r="P411" s="130"/>
      <c r="Q411" s="130"/>
      <c r="R411" s="130"/>
      <c r="S411" s="130"/>
      <c r="T411" s="130"/>
      <c r="U411" s="130"/>
      <c r="V411" s="130"/>
      <c r="W411" s="130"/>
      <c r="X411" s="130"/>
      <c r="Y411" s="130"/>
      <c r="Z411" s="130"/>
    </row>
    <row r="412" ht="13.5" customHeight="1">
      <c r="A412" s="130"/>
      <c r="B412" s="130"/>
      <c r="C412" s="130"/>
      <c r="D412" s="130"/>
      <c r="E412" s="130"/>
      <c r="F412" s="130"/>
      <c r="G412" s="130"/>
      <c r="H412" s="130"/>
      <c r="I412" s="130"/>
      <c r="J412" s="130"/>
      <c r="K412" s="130"/>
      <c r="L412" s="130"/>
      <c r="M412" s="130"/>
      <c r="N412" s="130"/>
      <c r="O412" s="130"/>
      <c r="P412" s="130"/>
      <c r="Q412" s="130"/>
      <c r="R412" s="130"/>
      <c r="S412" s="130"/>
      <c r="T412" s="130"/>
      <c r="U412" s="130"/>
      <c r="V412" s="130"/>
      <c r="W412" s="130"/>
      <c r="X412" s="130"/>
      <c r="Y412" s="130"/>
      <c r="Z412" s="130"/>
    </row>
    <row r="413" ht="13.5" customHeight="1">
      <c r="A413" s="130"/>
      <c r="B413" s="130"/>
      <c r="C413" s="130"/>
      <c r="D413" s="130"/>
      <c r="E413" s="130"/>
      <c r="F413" s="130"/>
      <c r="G413" s="130"/>
      <c r="H413" s="130"/>
      <c r="I413" s="130"/>
      <c r="J413" s="130"/>
      <c r="K413" s="130"/>
      <c r="L413" s="130"/>
      <c r="M413" s="130"/>
      <c r="N413" s="130"/>
      <c r="O413" s="130"/>
      <c r="P413" s="130"/>
      <c r="Q413" s="130"/>
      <c r="R413" s="130"/>
      <c r="S413" s="130"/>
      <c r="T413" s="130"/>
      <c r="U413" s="130"/>
      <c r="V413" s="130"/>
      <c r="W413" s="130"/>
      <c r="X413" s="130"/>
      <c r="Y413" s="130"/>
      <c r="Z413" s="130"/>
    </row>
    <row r="414" ht="13.5" customHeight="1">
      <c r="A414" s="130"/>
      <c r="B414" s="130"/>
      <c r="C414" s="130"/>
      <c r="D414" s="130"/>
      <c r="E414" s="130"/>
      <c r="F414" s="130"/>
      <c r="G414" s="130"/>
      <c r="H414" s="130"/>
      <c r="I414" s="130"/>
      <c r="J414" s="130"/>
      <c r="K414" s="130"/>
      <c r="L414" s="130"/>
      <c r="M414" s="130"/>
      <c r="N414" s="130"/>
      <c r="O414" s="130"/>
      <c r="P414" s="130"/>
      <c r="Q414" s="130"/>
      <c r="R414" s="130"/>
      <c r="S414" s="130"/>
      <c r="T414" s="130"/>
      <c r="U414" s="130"/>
      <c r="V414" s="130"/>
      <c r="W414" s="130"/>
      <c r="X414" s="130"/>
      <c r="Y414" s="130"/>
      <c r="Z414" s="130"/>
    </row>
    <row r="415" ht="13.5" customHeight="1">
      <c r="A415" s="130"/>
      <c r="B415" s="130"/>
      <c r="C415" s="130"/>
      <c r="D415" s="130"/>
      <c r="E415" s="130"/>
      <c r="F415" s="130"/>
      <c r="G415" s="130"/>
      <c r="H415" s="130"/>
      <c r="I415" s="130"/>
      <c r="J415" s="130"/>
      <c r="K415" s="130"/>
      <c r="L415" s="130"/>
      <c r="M415" s="130"/>
      <c r="N415" s="130"/>
      <c r="O415" s="130"/>
      <c r="P415" s="130"/>
      <c r="Q415" s="130"/>
      <c r="R415" s="130"/>
      <c r="S415" s="130"/>
      <c r="T415" s="130"/>
      <c r="U415" s="130"/>
      <c r="V415" s="130"/>
      <c r="W415" s="130"/>
      <c r="X415" s="130"/>
      <c r="Y415" s="130"/>
      <c r="Z415" s="130"/>
    </row>
    <row r="416" ht="13.5" customHeight="1">
      <c r="A416" s="130"/>
      <c r="B416" s="130"/>
      <c r="C416" s="130"/>
      <c r="D416" s="130"/>
      <c r="E416" s="130"/>
      <c r="F416" s="130"/>
      <c r="G416" s="130"/>
      <c r="H416" s="130"/>
      <c r="I416" s="130"/>
      <c r="J416" s="130"/>
      <c r="K416" s="130"/>
      <c r="L416" s="130"/>
      <c r="M416" s="130"/>
      <c r="N416" s="130"/>
      <c r="O416" s="130"/>
      <c r="P416" s="130"/>
      <c r="Q416" s="130"/>
      <c r="R416" s="130"/>
      <c r="S416" s="130"/>
      <c r="T416" s="130"/>
      <c r="U416" s="130"/>
      <c r="V416" s="130"/>
      <c r="W416" s="130"/>
      <c r="X416" s="130"/>
      <c r="Y416" s="130"/>
      <c r="Z416" s="130"/>
    </row>
    <row r="417" ht="13.5" customHeight="1">
      <c r="A417" s="130"/>
      <c r="B417" s="130"/>
      <c r="C417" s="130"/>
      <c r="D417" s="130"/>
      <c r="E417" s="130"/>
      <c r="F417" s="130"/>
      <c r="G417" s="130"/>
      <c r="H417" s="130"/>
      <c r="I417" s="130"/>
      <c r="J417" s="130"/>
      <c r="K417" s="130"/>
      <c r="L417" s="130"/>
      <c r="M417" s="130"/>
      <c r="N417" s="130"/>
      <c r="O417" s="130"/>
      <c r="P417" s="130"/>
      <c r="Q417" s="130"/>
      <c r="R417" s="130"/>
      <c r="S417" s="130"/>
      <c r="T417" s="130"/>
      <c r="U417" s="130"/>
      <c r="V417" s="130"/>
      <c r="W417" s="130"/>
      <c r="X417" s="130"/>
      <c r="Y417" s="130"/>
      <c r="Z417" s="130"/>
    </row>
    <row r="418" ht="13.5" customHeight="1">
      <c r="A418" s="130"/>
      <c r="B418" s="130"/>
      <c r="C418" s="130"/>
      <c r="D418" s="130"/>
      <c r="E418" s="130"/>
      <c r="F418" s="130"/>
      <c r="G418" s="130"/>
      <c r="H418" s="130"/>
      <c r="I418" s="130"/>
      <c r="J418" s="130"/>
      <c r="K418" s="130"/>
      <c r="L418" s="130"/>
      <c r="M418" s="130"/>
      <c r="N418" s="130"/>
      <c r="O418" s="130"/>
      <c r="P418" s="130"/>
      <c r="Q418" s="130"/>
      <c r="R418" s="130"/>
      <c r="S418" s="130"/>
      <c r="T418" s="130"/>
      <c r="U418" s="130"/>
      <c r="V418" s="130"/>
      <c r="W418" s="130"/>
      <c r="X418" s="130"/>
      <c r="Y418" s="130"/>
      <c r="Z418" s="130"/>
    </row>
    <row r="419" ht="13.5" customHeight="1">
      <c r="A419" s="130"/>
      <c r="B419" s="130"/>
      <c r="C419" s="130"/>
      <c r="D419" s="130"/>
      <c r="E419" s="130"/>
      <c r="F419" s="130"/>
      <c r="G419" s="130"/>
      <c r="H419" s="130"/>
      <c r="I419" s="130"/>
      <c r="J419" s="130"/>
      <c r="K419" s="130"/>
      <c r="L419" s="130"/>
      <c r="M419" s="130"/>
      <c r="N419" s="130"/>
      <c r="O419" s="130"/>
      <c r="P419" s="130"/>
      <c r="Q419" s="130"/>
      <c r="R419" s="130"/>
      <c r="S419" s="130"/>
      <c r="T419" s="130"/>
      <c r="U419" s="130"/>
      <c r="V419" s="130"/>
      <c r="W419" s="130"/>
      <c r="X419" s="130"/>
      <c r="Y419" s="130"/>
      <c r="Z419" s="130"/>
    </row>
    <row r="420" ht="13.5" customHeight="1">
      <c r="A420" s="130"/>
      <c r="B420" s="130"/>
      <c r="C420" s="130"/>
      <c r="D420" s="130"/>
      <c r="E420" s="130"/>
      <c r="F420" s="130"/>
      <c r="G420" s="130"/>
      <c r="H420" s="130"/>
      <c r="I420" s="130"/>
      <c r="J420" s="130"/>
      <c r="K420" s="130"/>
      <c r="L420" s="130"/>
      <c r="M420" s="130"/>
      <c r="N420" s="130"/>
      <c r="O420" s="130"/>
      <c r="P420" s="130"/>
      <c r="Q420" s="130"/>
      <c r="R420" s="130"/>
      <c r="S420" s="130"/>
      <c r="T420" s="130"/>
      <c r="U420" s="130"/>
      <c r="V420" s="130"/>
      <c r="W420" s="130"/>
      <c r="X420" s="130"/>
      <c r="Y420" s="130"/>
      <c r="Z420" s="130"/>
    </row>
    <row r="421" ht="13.5" customHeight="1">
      <c r="A421" s="130"/>
      <c r="B421" s="130"/>
      <c r="C421" s="130"/>
      <c r="D421" s="130"/>
      <c r="E421" s="130"/>
      <c r="F421" s="130"/>
      <c r="G421" s="130"/>
      <c r="H421" s="130"/>
      <c r="I421" s="130"/>
      <c r="J421" s="130"/>
      <c r="K421" s="130"/>
      <c r="L421" s="130"/>
      <c r="M421" s="130"/>
      <c r="N421" s="130"/>
      <c r="O421" s="130"/>
      <c r="P421" s="130"/>
      <c r="Q421" s="130"/>
      <c r="R421" s="130"/>
      <c r="S421" s="130"/>
      <c r="T421" s="130"/>
      <c r="U421" s="130"/>
      <c r="V421" s="130"/>
      <c r="W421" s="130"/>
      <c r="X421" s="130"/>
      <c r="Y421" s="130"/>
      <c r="Z421" s="130"/>
    </row>
    <row r="422" ht="13.5" customHeight="1">
      <c r="A422" s="130"/>
      <c r="B422" s="130"/>
      <c r="C422" s="130"/>
      <c r="D422" s="130"/>
      <c r="E422" s="130"/>
      <c r="F422" s="130"/>
      <c r="G422" s="130"/>
      <c r="H422" s="130"/>
      <c r="I422" s="130"/>
      <c r="J422" s="130"/>
      <c r="K422" s="130"/>
      <c r="L422" s="130"/>
      <c r="M422" s="130"/>
      <c r="N422" s="130"/>
      <c r="O422" s="130"/>
      <c r="P422" s="130"/>
      <c r="Q422" s="130"/>
      <c r="R422" s="130"/>
      <c r="S422" s="130"/>
      <c r="T422" s="130"/>
      <c r="U422" s="130"/>
      <c r="V422" s="130"/>
      <c r="W422" s="130"/>
      <c r="X422" s="130"/>
      <c r="Y422" s="130"/>
      <c r="Z422" s="130"/>
    </row>
    <row r="423" ht="13.5" customHeight="1">
      <c r="A423" s="130"/>
      <c r="B423" s="130"/>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row>
    <row r="424" ht="13.5" customHeight="1">
      <c r="A424" s="130"/>
      <c r="B424" s="130"/>
      <c r="C424" s="130"/>
      <c r="D424" s="130"/>
      <c r="E424" s="130"/>
      <c r="F424" s="130"/>
      <c r="G424" s="130"/>
      <c r="H424" s="130"/>
      <c r="I424" s="130"/>
      <c r="J424" s="130"/>
      <c r="K424" s="130"/>
      <c r="L424" s="130"/>
      <c r="M424" s="130"/>
      <c r="N424" s="130"/>
      <c r="O424" s="130"/>
      <c r="P424" s="130"/>
      <c r="Q424" s="130"/>
      <c r="R424" s="130"/>
      <c r="S424" s="130"/>
      <c r="T424" s="130"/>
      <c r="U424" s="130"/>
      <c r="V424" s="130"/>
      <c r="W424" s="130"/>
      <c r="X424" s="130"/>
      <c r="Y424" s="130"/>
      <c r="Z424" s="130"/>
    </row>
    <row r="425" ht="13.5" customHeight="1">
      <c r="A425" s="130"/>
      <c r="B425" s="130"/>
      <c r="C425" s="130"/>
      <c r="D425" s="130"/>
      <c r="E425" s="130"/>
      <c r="F425" s="130"/>
      <c r="G425" s="130"/>
      <c r="H425" s="130"/>
      <c r="I425" s="130"/>
      <c r="J425" s="130"/>
      <c r="K425" s="130"/>
      <c r="L425" s="130"/>
      <c r="M425" s="130"/>
      <c r="N425" s="130"/>
      <c r="O425" s="130"/>
      <c r="P425" s="130"/>
      <c r="Q425" s="130"/>
      <c r="R425" s="130"/>
      <c r="S425" s="130"/>
      <c r="T425" s="130"/>
      <c r="U425" s="130"/>
      <c r="V425" s="130"/>
      <c r="W425" s="130"/>
      <c r="X425" s="130"/>
      <c r="Y425" s="130"/>
      <c r="Z425" s="130"/>
    </row>
    <row r="426" ht="13.5" customHeight="1">
      <c r="A426" s="130"/>
      <c r="B426" s="130"/>
      <c r="C426" s="130"/>
      <c r="D426" s="130"/>
      <c r="E426" s="130"/>
      <c r="F426" s="130"/>
      <c r="G426" s="130"/>
      <c r="H426" s="130"/>
      <c r="I426" s="130"/>
      <c r="J426" s="130"/>
      <c r="K426" s="130"/>
      <c r="L426" s="130"/>
      <c r="M426" s="130"/>
      <c r="N426" s="130"/>
      <c r="O426" s="130"/>
      <c r="P426" s="130"/>
      <c r="Q426" s="130"/>
      <c r="R426" s="130"/>
      <c r="S426" s="130"/>
      <c r="T426" s="130"/>
      <c r="U426" s="130"/>
      <c r="V426" s="130"/>
      <c r="W426" s="130"/>
      <c r="X426" s="130"/>
      <c r="Y426" s="130"/>
      <c r="Z426" s="130"/>
    </row>
    <row r="427" ht="13.5" customHeight="1">
      <c r="A427" s="130"/>
      <c r="B427" s="130"/>
      <c r="C427" s="130"/>
      <c r="D427" s="130"/>
      <c r="E427" s="130"/>
      <c r="F427" s="130"/>
      <c r="G427" s="130"/>
      <c r="H427" s="130"/>
      <c r="I427" s="130"/>
      <c r="J427" s="130"/>
      <c r="K427" s="130"/>
      <c r="L427" s="130"/>
      <c r="M427" s="130"/>
      <c r="N427" s="130"/>
      <c r="O427" s="130"/>
      <c r="P427" s="130"/>
      <c r="Q427" s="130"/>
      <c r="R427" s="130"/>
      <c r="S427" s="130"/>
      <c r="T427" s="130"/>
      <c r="U427" s="130"/>
      <c r="V427" s="130"/>
      <c r="W427" s="130"/>
      <c r="X427" s="130"/>
      <c r="Y427" s="130"/>
      <c r="Z427" s="130"/>
    </row>
    <row r="428" ht="13.5" customHeight="1">
      <c r="A428" s="130"/>
      <c r="B428" s="130"/>
      <c r="C428" s="130"/>
      <c r="D428" s="130"/>
      <c r="E428" s="130"/>
      <c r="F428" s="130"/>
      <c r="G428" s="130"/>
      <c r="H428" s="130"/>
      <c r="I428" s="130"/>
      <c r="J428" s="130"/>
      <c r="K428" s="130"/>
      <c r="L428" s="130"/>
      <c r="M428" s="130"/>
      <c r="N428" s="130"/>
      <c r="O428" s="130"/>
      <c r="P428" s="130"/>
      <c r="Q428" s="130"/>
      <c r="R428" s="130"/>
      <c r="S428" s="130"/>
      <c r="T428" s="130"/>
      <c r="U428" s="130"/>
      <c r="V428" s="130"/>
      <c r="W428" s="130"/>
      <c r="X428" s="130"/>
      <c r="Y428" s="130"/>
      <c r="Z428" s="130"/>
    </row>
    <row r="429" ht="13.5" customHeight="1">
      <c r="A429" s="130"/>
      <c r="B429" s="130"/>
      <c r="C429" s="130"/>
      <c r="D429" s="130"/>
      <c r="E429" s="130"/>
      <c r="F429" s="130"/>
      <c r="G429" s="130"/>
      <c r="H429" s="130"/>
      <c r="I429" s="130"/>
      <c r="J429" s="130"/>
      <c r="K429" s="130"/>
      <c r="L429" s="130"/>
      <c r="M429" s="130"/>
      <c r="N429" s="130"/>
      <c r="O429" s="130"/>
      <c r="P429" s="130"/>
      <c r="Q429" s="130"/>
      <c r="R429" s="130"/>
      <c r="S429" s="130"/>
      <c r="T429" s="130"/>
      <c r="U429" s="130"/>
      <c r="V429" s="130"/>
      <c r="W429" s="130"/>
      <c r="X429" s="130"/>
      <c r="Y429" s="130"/>
      <c r="Z429" s="130"/>
    </row>
    <row r="430" ht="13.5" customHeight="1">
      <c r="A430" s="130"/>
      <c r="B430" s="130"/>
      <c r="C430" s="130"/>
      <c r="D430" s="130"/>
      <c r="E430" s="130"/>
      <c r="F430" s="130"/>
      <c r="G430" s="130"/>
      <c r="H430" s="130"/>
      <c r="I430" s="130"/>
      <c r="J430" s="130"/>
      <c r="K430" s="130"/>
      <c r="L430" s="130"/>
      <c r="M430" s="130"/>
      <c r="N430" s="130"/>
      <c r="O430" s="130"/>
      <c r="P430" s="130"/>
      <c r="Q430" s="130"/>
      <c r="R430" s="130"/>
      <c r="S430" s="130"/>
      <c r="T430" s="130"/>
      <c r="U430" s="130"/>
      <c r="V430" s="130"/>
      <c r="W430" s="130"/>
      <c r="X430" s="130"/>
      <c r="Y430" s="130"/>
      <c r="Z430" s="130"/>
    </row>
    <row r="431" ht="13.5" customHeight="1">
      <c r="A431" s="130"/>
      <c r="B431" s="130"/>
      <c r="C431" s="130"/>
      <c r="D431" s="130"/>
      <c r="E431" s="130"/>
      <c r="F431" s="130"/>
      <c r="G431" s="130"/>
      <c r="H431" s="130"/>
      <c r="I431" s="130"/>
      <c r="J431" s="130"/>
      <c r="K431" s="130"/>
      <c r="L431" s="130"/>
      <c r="M431" s="130"/>
      <c r="N431" s="130"/>
      <c r="O431" s="130"/>
      <c r="P431" s="130"/>
      <c r="Q431" s="130"/>
      <c r="R431" s="130"/>
      <c r="S431" s="130"/>
      <c r="T431" s="130"/>
      <c r="U431" s="130"/>
      <c r="V431" s="130"/>
      <c r="W431" s="130"/>
      <c r="X431" s="130"/>
      <c r="Y431" s="130"/>
      <c r="Z431" s="130"/>
    </row>
    <row r="432" ht="13.5" customHeight="1">
      <c r="A432" s="130"/>
      <c r="B432" s="130"/>
      <c r="C432" s="130"/>
      <c r="D432" s="130"/>
      <c r="E432" s="130"/>
      <c r="F432" s="130"/>
      <c r="G432" s="130"/>
      <c r="H432" s="130"/>
      <c r="I432" s="130"/>
      <c r="J432" s="130"/>
      <c r="K432" s="130"/>
      <c r="L432" s="130"/>
      <c r="M432" s="130"/>
      <c r="N432" s="130"/>
      <c r="O432" s="130"/>
      <c r="P432" s="130"/>
      <c r="Q432" s="130"/>
      <c r="R432" s="130"/>
      <c r="S432" s="130"/>
      <c r="T432" s="130"/>
      <c r="U432" s="130"/>
      <c r="V432" s="130"/>
      <c r="W432" s="130"/>
      <c r="X432" s="130"/>
      <c r="Y432" s="130"/>
      <c r="Z432" s="130"/>
    </row>
    <row r="433" ht="13.5" customHeight="1">
      <c r="A433" s="130"/>
      <c r="B433" s="130"/>
      <c r="C433" s="130"/>
      <c r="D433" s="130"/>
      <c r="E433" s="130"/>
      <c r="F433" s="130"/>
      <c r="G433" s="130"/>
      <c r="H433" s="130"/>
      <c r="I433" s="130"/>
      <c r="J433" s="130"/>
      <c r="K433" s="130"/>
      <c r="L433" s="130"/>
      <c r="M433" s="130"/>
      <c r="N433" s="130"/>
      <c r="O433" s="130"/>
      <c r="P433" s="130"/>
      <c r="Q433" s="130"/>
      <c r="R433" s="130"/>
      <c r="S433" s="130"/>
      <c r="T433" s="130"/>
      <c r="U433" s="130"/>
      <c r="V433" s="130"/>
      <c r="W433" s="130"/>
      <c r="X433" s="130"/>
      <c r="Y433" s="130"/>
      <c r="Z433" s="130"/>
    </row>
    <row r="434" ht="13.5" customHeight="1">
      <c r="A434" s="130"/>
      <c r="B434" s="130"/>
      <c r="C434" s="130"/>
      <c r="D434" s="130"/>
      <c r="E434" s="130"/>
      <c r="F434" s="130"/>
      <c r="G434" s="130"/>
      <c r="H434" s="130"/>
      <c r="I434" s="130"/>
      <c r="J434" s="130"/>
      <c r="K434" s="130"/>
      <c r="L434" s="130"/>
      <c r="M434" s="130"/>
      <c r="N434" s="130"/>
      <c r="O434" s="130"/>
      <c r="P434" s="130"/>
      <c r="Q434" s="130"/>
      <c r="R434" s="130"/>
      <c r="S434" s="130"/>
      <c r="T434" s="130"/>
      <c r="U434" s="130"/>
      <c r="V434" s="130"/>
      <c r="W434" s="130"/>
      <c r="X434" s="130"/>
      <c r="Y434" s="130"/>
      <c r="Z434" s="130"/>
    </row>
    <row r="435" ht="13.5" customHeight="1">
      <c r="A435" s="130"/>
      <c r="B435" s="130"/>
      <c r="C435" s="130"/>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row>
    <row r="436" ht="13.5" customHeight="1">
      <c r="A436" s="130"/>
      <c r="B436" s="130"/>
      <c r="C436" s="130"/>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row>
    <row r="437" ht="13.5" customHeight="1">
      <c r="A437" s="130"/>
      <c r="B437" s="130"/>
      <c r="C437" s="130"/>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row>
    <row r="438" ht="13.5" customHeight="1">
      <c r="A438" s="130"/>
      <c r="B438" s="130"/>
      <c r="C438" s="130"/>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row>
    <row r="439" ht="13.5" customHeight="1">
      <c r="A439" s="130"/>
      <c r="B439" s="130"/>
      <c r="C439" s="130"/>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row>
    <row r="440" ht="13.5" customHeight="1">
      <c r="A440" s="130"/>
      <c r="B440" s="130"/>
      <c r="C440" s="130"/>
      <c r="D440" s="130"/>
      <c r="E440" s="130"/>
      <c r="F440" s="130"/>
      <c r="G440" s="130"/>
      <c r="H440" s="130"/>
      <c r="I440" s="130"/>
      <c r="J440" s="130"/>
      <c r="K440" s="130"/>
      <c r="L440" s="130"/>
      <c r="M440" s="130"/>
      <c r="N440" s="130"/>
      <c r="O440" s="130"/>
      <c r="P440" s="130"/>
      <c r="Q440" s="130"/>
      <c r="R440" s="130"/>
      <c r="S440" s="130"/>
      <c r="T440" s="130"/>
      <c r="U440" s="130"/>
      <c r="V440" s="130"/>
      <c r="W440" s="130"/>
      <c r="X440" s="130"/>
      <c r="Y440" s="130"/>
      <c r="Z440" s="130"/>
    </row>
    <row r="441" ht="13.5" customHeight="1">
      <c r="A441" s="130"/>
      <c r="B441" s="130"/>
      <c r="C441" s="130"/>
      <c r="D441" s="130"/>
      <c r="E441" s="130"/>
      <c r="F441" s="130"/>
      <c r="G441" s="130"/>
      <c r="H441" s="130"/>
      <c r="I441" s="130"/>
      <c r="J441" s="130"/>
      <c r="K441" s="130"/>
      <c r="L441" s="130"/>
      <c r="M441" s="130"/>
      <c r="N441" s="130"/>
      <c r="O441" s="130"/>
      <c r="P441" s="130"/>
      <c r="Q441" s="130"/>
      <c r="R441" s="130"/>
      <c r="S441" s="130"/>
      <c r="T441" s="130"/>
      <c r="U441" s="130"/>
      <c r="V441" s="130"/>
      <c r="W441" s="130"/>
      <c r="X441" s="130"/>
      <c r="Y441" s="130"/>
      <c r="Z441" s="130"/>
    </row>
    <row r="442" ht="13.5" customHeight="1">
      <c r="A442" s="130"/>
      <c r="B442" s="130"/>
      <c r="C442" s="130"/>
      <c r="D442" s="130"/>
      <c r="E442" s="130"/>
      <c r="F442" s="130"/>
      <c r="G442" s="130"/>
      <c r="H442" s="130"/>
      <c r="I442" s="130"/>
      <c r="J442" s="130"/>
      <c r="K442" s="130"/>
      <c r="L442" s="130"/>
      <c r="M442" s="130"/>
      <c r="N442" s="130"/>
      <c r="O442" s="130"/>
      <c r="P442" s="130"/>
      <c r="Q442" s="130"/>
      <c r="R442" s="130"/>
      <c r="S442" s="130"/>
      <c r="T442" s="130"/>
      <c r="U442" s="130"/>
      <c r="V442" s="130"/>
      <c r="W442" s="130"/>
      <c r="X442" s="130"/>
      <c r="Y442" s="130"/>
      <c r="Z442" s="130"/>
    </row>
    <row r="443" ht="13.5" customHeight="1">
      <c r="A443" s="130"/>
      <c r="B443" s="130"/>
      <c r="C443" s="130"/>
      <c r="D443" s="130"/>
      <c r="E443" s="130"/>
      <c r="F443" s="130"/>
      <c r="G443" s="130"/>
      <c r="H443" s="130"/>
      <c r="I443" s="130"/>
      <c r="J443" s="130"/>
      <c r="K443" s="130"/>
      <c r="L443" s="130"/>
      <c r="M443" s="130"/>
      <c r="N443" s="130"/>
      <c r="O443" s="130"/>
      <c r="P443" s="130"/>
      <c r="Q443" s="130"/>
      <c r="R443" s="130"/>
      <c r="S443" s="130"/>
      <c r="T443" s="130"/>
      <c r="U443" s="130"/>
      <c r="V443" s="130"/>
      <c r="W443" s="130"/>
      <c r="X443" s="130"/>
      <c r="Y443" s="130"/>
      <c r="Z443" s="130"/>
    </row>
    <row r="444" ht="13.5" customHeight="1">
      <c r="A444" s="130"/>
      <c r="B444" s="130"/>
      <c r="C444" s="130"/>
      <c r="D444" s="130"/>
      <c r="E444" s="130"/>
      <c r="F444" s="130"/>
      <c r="G444" s="130"/>
      <c r="H444" s="130"/>
      <c r="I444" s="130"/>
      <c r="J444" s="130"/>
      <c r="K444" s="130"/>
      <c r="L444" s="130"/>
      <c r="M444" s="130"/>
      <c r="N444" s="130"/>
      <c r="O444" s="130"/>
      <c r="P444" s="130"/>
      <c r="Q444" s="130"/>
      <c r="R444" s="130"/>
      <c r="S444" s="130"/>
      <c r="T444" s="130"/>
      <c r="U444" s="130"/>
      <c r="V444" s="130"/>
      <c r="W444" s="130"/>
      <c r="X444" s="130"/>
      <c r="Y444" s="130"/>
      <c r="Z444" s="130"/>
    </row>
    <row r="445" ht="13.5" customHeight="1">
      <c r="A445" s="130"/>
      <c r="B445" s="130"/>
      <c r="C445" s="130"/>
      <c r="D445" s="130"/>
      <c r="E445" s="130"/>
      <c r="F445" s="130"/>
      <c r="G445" s="130"/>
      <c r="H445" s="130"/>
      <c r="I445" s="130"/>
      <c r="J445" s="130"/>
      <c r="K445" s="130"/>
      <c r="L445" s="130"/>
      <c r="M445" s="130"/>
      <c r="N445" s="130"/>
      <c r="O445" s="130"/>
      <c r="P445" s="130"/>
      <c r="Q445" s="130"/>
      <c r="R445" s="130"/>
      <c r="S445" s="130"/>
      <c r="T445" s="130"/>
      <c r="U445" s="130"/>
      <c r="V445" s="130"/>
      <c r="W445" s="130"/>
      <c r="X445" s="130"/>
      <c r="Y445" s="130"/>
      <c r="Z445" s="130"/>
    </row>
    <row r="446" ht="13.5" customHeight="1">
      <c r="A446" s="130"/>
      <c r="B446" s="130"/>
      <c r="C446" s="130"/>
      <c r="D446" s="130"/>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row>
    <row r="447" ht="13.5" customHeight="1">
      <c r="A447" s="130"/>
      <c r="B447" s="130"/>
      <c r="C447" s="130"/>
      <c r="D447" s="130"/>
      <c r="E447" s="130"/>
      <c r="F447" s="130"/>
      <c r="G447" s="130"/>
      <c r="H447" s="130"/>
      <c r="I447" s="130"/>
      <c r="J447" s="130"/>
      <c r="K447" s="130"/>
      <c r="L447" s="130"/>
      <c r="M447" s="130"/>
      <c r="N447" s="130"/>
      <c r="O447" s="130"/>
      <c r="P447" s="130"/>
      <c r="Q447" s="130"/>
      <c r="R447" s="130"/>
      <c r="S447" s="130"/>
      <c r="T447" s="130"/>
      <c r="U447" s="130"/>
      <c r="V447" s="130"/>
      <c r="W447" s="130"/>
      <c r="X447" s="130"/>
      <c r="Y447" s="130"/>
      <c r="Z447" s="130"/>
    </row>
    <row r="448" ht="13.5" customHeight="1">
      <c r="A448" s="130"/>
      <c r="B448" s="130"/>
      <c r="C448" s="130"/>
      <c r="D448" s="130"/>
      <c r="E448" s="130"/>
      <c r="F448" s="130"/>
      <c r="G448" s="130"/>
      <c r="H448" s="130"/>
      <c r="I448" s="130"/>
      <c r="J448" s="130"/>
      <c r="K448" s="130"/>
      <c r="L448" s="130"/>
      <c r="M448" s="130"/>
      <c r="N448" s="130"/>
      <c r="O448" s="130"/>
      <c r="P448" s="130"/>
      <c r="Q448" s="130"/>
      <c r="R448" s="130"/>
      <c r="S448" s="130"/>
      <c r="T448" s="130"/>
      <c r="U448" s="130"/>
      <c r="V448" s="130"/>
      <c r="W448" s="130"/>
      <c r="X448" s="130"/>
      <c r="Y448" s="130"/>
      <c r="Z448" s="130"/>
    </row>
    <row r="449" ht="13.5" customHeight="1">
      <c r="A449" s="130"/>
      <c r="B449" s="130"/>
      <c r="C449" s="130"/>
      <c r="D449" s="130"/>
      <c r="E449" s="130"/>
      <c r="F449" s="130"/>
      <c r="G449" s="130"/>
      <c r="H449" s="130"/>
      <c r="I449" s="130"/>
      <c r="J449" s="130"/>
      <c r="K449" s="130"/>
      <c r="L449" s="130"/>
      <c r="M449" s="130"/>
      <c r="N449" s="130"/>
      <c r="O449" s="130"/>
      <c r="P449" s="130"/>
      <c r="Q449" s="130"/>
      <c r="R449" s="130"/>
      <c r="S449" s="130"/>
      <c r="T449" s="130"/>
      <c r="U449" s="130"/>
      <c r="V449" s="130"/>
      <c r="W449" s="130"/>
      <c r="X449" s="130"/>
      <c r="Y449" s="130"/>
      <c r="Z449" s="130"/>
    </row>
    <row r="450" ht="13.5" customHeight="1">
      <c r="A450" s="130"/>
      <c r="B450" s="130"/>
      <c r="C450" s="130"/>
      <c r="D450" s="130"/>
      <c r="E450" s="130"/>
      <c r="F450" s="130"/>
      <c r="G450" s="130"/>
      <c r="H450" s="130"/>
      <c r="I450" s="130"/>
      <c r="J450" s="130"/>
      <c r="K450" s="130"/>
      <c r="L450" s="130"/>
      <c r="M450" s="130"/>
      <c r="N450" s="130"/>
      <c r="O450" s="130"/>
      <c r="P450" s="130"/>
      <c r="Q450" s="130"/>
      <c r="R450" s="130"/>
      <c r="S450" s="130"/>
      <c r="T450" s="130"/>
      <c r="U450" s="130"/>
      <c r="V450" s="130"/>
      <c r="W450" s="130"/>
      <c r="X450" s="130"/>
      <c r="Y450" s="130"/>
      <c r="Z450" s="130"/>
    </row>
    <row r="451" ht="13.5" customHeight="1">
      <c r="A451" s="130"/>
      <c r="B451" s="130"/>
      <c r="C451" s="130"/>
      <c r="D451" s="130"/>
      <c r="E451" s="130"/>
      <c r="F451" s="130"/>
      <c r="G451" s="130"/>
      <c r="H451" s="130"/>
      <c r="I451" s="130"/>
      <c r="J451" s="130"/>
      <c r="K451" s="130"/>
      <c r="L451" s="130"/>
      <c r="M451" s="130"/>
      <c r="N451" s="130"/>
      <c r="O451" s="130"/>
      <c r="P451" s="130"/>
      <c r="Q451" s="130"/>
      <c r="R451" s="130"/>
      <c r="S451" s="130"/>
      <c r="T451" s="130"/>
      <c r="U451" s="130"/>
      <c r="V451" s="130"/>
      <c r="W451" s="130"/>
      <c r="X451" s="130"/>
      <c r="Y451" s="130"/>
      <c r="Z451" s="130"/>
    </row>
    <row r="452" ht="13.5" customHeight="1">
      <c r="A452" s="130"/>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row>
    <row r="453" ht="13.5" customHeight="1">
      <c r="A453" s="130"/>
      <c r="B453" s="130"/>
      <c r="C453" s="130"/>
      <c r="D453" s="130"/>
      <c r="E453" s="130"/>
      <c r="F453" s="130"/>
      <c r="G453" s="130"/>
      <c r="H453" s="130"/>
      <c r="I453" s="130"/>
      <c r="J453" s="130"/>
      <c r="K453" s="130"/>
      <c r="L453" s="130"/>
      <c r="M453" s="130"/>
      <c r="N453" s="130"/>
      <c r="O453" s="130"/>
      <c r="P453" s="130"/>
      <c r="Q453" s="130"/>
      <c r="R453" s="130"/>
      <c r="S453" s="130"/>
      <c r="T453" s="130"/>
      <c r="U453" s="130"/>
      <c r="V453" s="130"/>
      <c r="W453" s="130"/>
      <c r="X453" s="130"/>
      <c r="Y453" s="130"/>
      <c r="Z453" s="130"/>
    </row>
    <row r="454" ht="13.5" customHeight="1">
      <c r="A454" s="130"/>
      <c r="B454" s="130"/>
      <c r="C454" s="130"/>
      <c r="D454" s="130"/>
      <c r="E454" s="130"/>
      <c r="F454" s="130"/>
      <c r="G454" s="130"/>
      <c r="H454" s="130"/>
      <c r="I454" s="130"/>
      <c r="J454" s="130"/>
      <c r="K454" s="130"/>
      <c r="L454" s="130"/>
      <c r="M454" s="130"/>
      <c r="N454" s="130"/>
      <c r="O454" s="130"/>
      <c r="P454" s="130"/>
      <c r="Q454" s="130"/>
      <c r="R454" s="130"/>
      <c r="S454" s="130"/>
      <c r="T454" s="130"/>
      <c r="U454" s="130"/>
      <c r="V454" s="130"/>
      <c r="W454" s="130"/>
      <c r="X454" s="130"/>
      <c r="Y454" s="130"/>
      <c r="Z454" s="130"/>
    </row>
    <row r="455" ht="13.5" customHeight="1">
      <c r="A455" s="130"/>
      <c r="B455" s="130"/>
      <c r="C455" s="130"/>
      <c r="D455" s="130"/>
      <c r="E455" s="130"/>
      <c r="F455" s="130"/>
      <c r="G455" s="130"/>
      <c r="H455" s="130"/>
      <c r="I455" s="130"/>
      <c r="J455" s="130"/>
      <c r="K455" s="130"/>
      <c r="L455" s="130"/>
      <c r="M455" s="130"/>
      <c r="N455" s="130"/>
      <c r="O455" s="130"/>
      <c r="P455" s="130"/>
      <c r="Q455" s="130"/>
      <c r="R455" s="130"/>
      <c r="S455" s="130"/>
      <c r="T455" s="130"/>
      <c r="U455" s="130"/>
      <c r="V455" s="130"/>
      <c r="W455" s="130"/>
      <c r="X455" s="130"/>
      <c r="Y455" s="130"/>
      <c r="Z455" s="130"/>
    </row>
    <row r="456" ht="13.5" customHeight="1">
      <c r="A456" s="130"/>
      <c r="B456" s="130"/>
      <c r="C456" s="130"/>
      <c r="D456" s="130"/>
      <c r="E456" s="130"/>
      <c r="F456" s="130"/>
      <c r="G456" s="130"/>
      <c r="H456" s="130"/>
      <c r="I456" s="130"/>
      <c r="J456" s="130"/>
      <c r="K456" s="130"/>
      <c r="L456" s="130"/>
      <c r="M456" s="130"/>
      <c r="N456" s="130"/>
      <c r="O456" s="130"/>
      <c r="P456" s="130"/>
      <c r="Q456" s="130"/>
      <c r="R456" s="130"/>
      <c r="S456" s="130"/>
      <c r="T456" s="130"/>
      <c r="U456" s="130"/>
      <c r="V456" s="130"/>
      <c r="W456" s="130"/>
      <c r="X456" s="130"/>
      <c r="Y456" s="130"/>
      <c r="Z456" s="130"/>
    </row>
    <row r="457" ht="13.5" customHeight="1">
      <c r="A457" s="130"/>
      <c r="B457" s="130"/>
      <c r="C457" s="130"/>
      <c r="D457" s="130"/>
      <c r="E457" s="130"/>
      <c r="F457" s="130"/>
      <c r="G457" s="130"/>
      <c r="H457" s="130"/>
      <c r="I457" s="130"/>
      <c r="J457" s="130"/>
      <c r="K457" s="130"/>
      <c r="L457" s="130"/>
      <c r="M457" s="130"/>
      <c r="N457" s="130"/>
      <c r="O457" s="130"/>
      <c r="P457" s="130"/>
      <c r="Q457" s="130"/>
      <c r="R457" s="130"/>
      <c r="S457" s="130"/>
      <c r="T457" s="130"/>
      <c r="U457" s="130"/>
      <c r="V457" s="130"/>
      <c r="W457" s="130"/>
      <c r="X457" s="130"/>
      <c r="Y457" s="130"/>
      <c r="Z457" s="130"/>
    </row>
    <row r="458" ht="13.5" customHeight="1">
      <c r="A458" s="130"/>
      <c r="B458" s="130"/>
      <c r="C458" s="130"/>
      <c r="D458" s="130"/>
      <c r="E458" s="130"/>
      <c r="F458" s="130"/>
      <c r="G458" s="130"/>
      <c r="H458" s="130"/>
      <c r="I458" s="130"/>
      <c r="J458" s="130"/>
      <c r="K458" s="130"/>
      <c r="L458" s="130"/>
      <c r="M458" s="130"/>
      <c r="N458" s="130"/>
      <c r="O458" s="130"/>
      <c r="P458" s="130"/>
      <c r="Q458" s="130"/>
      <c r="R458" s="130"/>
      <c r="S458" s="130"/>
      <c r="T458" s="130"/>
      <c r="U458" s="130"/>
      <c r="V458" s="130"/>
      <c r="W458" s="130"/>
      <c r="X458" s="130"/>
      <c r="Y458" s="130"/>
      <c r="Z458" s="130"/>
    </row>
    <row r="459" ht="13.5" customHeight="1">
      <c r="A459" s="130"/>
      <c r="B459" s="130"/>
      <c r="C459" s="130"/>
      <c r="D459" s="130"/>
      <c r="E459" s="130"/>
      <c r="F459" s="130"/>
      <c r="G459" s="130"/>
      <c r="H459" s="130"/>
      <c r="I459" s="130"/>
      <c r="J459" s="130"/>
      <c r="K459" s="130"/>
      <c r="L459" s="130"/>
      <c r="M459" s="130"/>
      <c r="N459" s="130"/>
      <c r="O459" s="130"/>
      <c r="P459" s="130"/>
      <c r="Q459" s="130"/>
      <c r="R459" s="130"/>
      <c r="S459" s="130"/>
      <c r="T459" s="130"/>
      <c r="U459" s="130"/>
      <c r="V459" s="130"/>
      <c r="W459" s="130"/>
      <c r="X459" s="130"/>
      <c r="Y459" s="130"/>
      <c r="Z459" s="130"/>
    </row>
    <row r="460" ht="13.5" customHeight="1">
      <c r="A460" s="130"/>
      <c r="B460" s="130"/>
      <c r="C460" s="130"/>
      <c r="D460" s="130"/>
      <c r="E460" s="130"/>
      <c r="F460" s="130"/>
      <c r="G460" s="130"/>
      <c r="H460" s="130"/>
      <c r="I460" s="130"/>
      <c r="J460" s="130"/>
      <c r="K460" s="130"/>
      <c r="L460" s="130"/>
      <c r="M460" s="130"/>
      <c r="N460" s="130"/>
      <c r="O460" s="130"/>
      <c r="P460" s="130"/>
      <c r="Q460" s="130"/>
      <c r="R460" s="130"/>
      <c r="S460" s="130"/>
      <c r="T460" s="130"/>
      <c r="U460" s="130"/>
      <c r="V460" s="130"/>
      <c r="W460" s="130"/>
      <c r="X460" s="130"/>
      <c r="Y460" s="130"/>
      <c r="Z460" s="130"/>
    </row>
    <row r="461" ht="13.5" customHeight="1">
      <c r="A461" s="130"/>
      <c r="B461" s="130"/>
      <c r="C461" s="130"/>
      <c r="D461" s="130"/>
      <c r="E461" s="130"/>
      <c r="F461" s="130"/>
      <c r="G461" s="130"/>
      <c r="H461" s="130"/>
      <c r="I461" s="130"/>
      <c r="J461" s="130"/>
      <c r="K461" s="130"/>
      <c r="L461" s="130"/>
      <c r="M461" s="130"/>
      <c r="N461" s="130"/>
      <c r="O461" s="130"/>
      <c r="P461" s="130"/>
      <c r="Q461" s="130"/>
      <c r="R461" s="130"/>
      <c r="S461" s="130"/>
      <c r="T461" s="130"/>
      <c r="U461" s="130"/>
      <c r="V461" s="130"/>
      <c r="W461" s="130"/>
      <c r="X461" s="130"/>
      <c r="Y461" s="130"/>
      <c r="Z461" s="130"/>
    </row>
    <row r="462" ht="13.5" customHeight="1">
      <c r="A462" s="130"/>
      <c r="B462" s="130"/>
      <c r="C462" s="130"/>
      <c r="D462" s="130"/>
      <c r="E462" s="130"/>
      <c r="F462" s="130"/>
      <c r="G462" s="130"/>
      <c r="H462" s="130"/>
      <c r="I462" s="130"/>
      <c r="J462" s="130"/>
      <c r="K462" s="130"/>
      <c r="L462" s="130"/>
      <c r="M462" s="130"/>
      <c r="N462" s="130"/>
      <c r="O462" s="130"/>
      <c r="P462" s="130"/>
      <c r="Q462" s="130"/>
      <c r="R462" s="130"/>
      <c r="S462" s="130"/>
      <c r="T462" s="130"/>
      <c r="U462" s="130"/>
      <c r="V462" s="130"/>
      <c r="W462" s="130"/>
      <c r="X462" s="130"/>
      <c r="Y462" s="130"/>
      <c r="Z462" s="130"/>
    </row>
    <row r="463" ht="13.5" customHeight="1">
      <c r="A463" s="130"/>
      <c r="B463" s="130"/>
      <c r="C463" s="130"/>
      <c r="D463" s="130"/>
      <c r="E463" s="130"/>
      <c r="F463" s="130"/>
      <c r="G463" s="130"/>
      <c r="H463" s="130"/>
      <c r="I463" s="130"/>
      <c r="J463" s="130"/>
      <c r="K463" s="130"/>
      <c r="L463" s="130"/>
      <c r="M463" s="130"/>
      <c r="N463" s="130"/>
      <c r="O463" s="130"/>
      <c r="P463" s="130"/>
      <c r="Q463" s="130"/>
      <c r="R463" s="130"/>
      <c r="S463" s="130"/>
      <c r="T463" s="130"/>
      <c r="U463" s="130"/>
      <c r="V463" s="130"/>
      <c r="W463" s="130"/>
      <c r="X463" s="130"/>
      <c r="Y463" s="130"/>
      <c r="Z463" s="130"/>
    </row>
    <row r="464" ht="13.5" customHeight="1">
      <c r="A464" s="130"/>
      <c r="B464" s="130"/>
      <c r="C464" s="130"/>
      <c r="D464" s="130"/>
      <c r="E464" s="130"/>
      <c r="F464" s="130"/>
      <c r="G464" s="130"/>
      <c r="H464" s="130"/>
      <c r="I464" s="130"/>
      <c r="J464" s="130"/>
      <c r="K464" s="130"/>
      <c r="L464" s="130"/>
      <c r="M464" s="130"/>
      <c r="N464" s="130"/>
      <c r="O464" s="130"/>
      <c r="P464" s="130"/>
      <c r="Q464" s="130"/>
      <c r="R464" s="130"/>
      <c r="S464" s="130"/>
      <c r="T464" s="130"/>
      <c r="U464" s="130"/>
      <c r="V464" s="130"/>
      <c r="W464" s="130"/>
      <c r="X464" s="130"/>
      <c r="Y464" s="130"/>
      <c r="Z464" s="130"/>
    </row>
    <row r="465" ht="13.5" customHeight="1">
      <c r="A465" s="130"/>
      <c r="B465" s="130"/>
      <c r="C465" s="130"/>
      <c r="D465" s="130"/>
      <c r="E465" s="130"/>
      <c r="F465" s="130"/>
      <c r="G465" s="130"/>
      <c r="H465" s="130"/>
      <c r="I465" s="130"/>
      <c r="J465" s="130"/>
      <c r="K465" s="130"/>
      <c r="L465" s="130"/>
      <c r="M465" s="130"/>
      <c r="N465" s="130"/>
      <c r="O465" s="130"/>
      <c r="P465" s="130"/>
      <c r="Q465" s="130"/>
      <c r="R465" s="130"/>
      <c r="S465" s="130"/>
      <c r="T465" s="130"/>
      <c r="U465" s="130"/>
      <c r="V465" s="130"/>
      <c r="W465" s="130"/>
      <c r="X465" s="130"/>
      <c r="Y465" s="130"/>
      <c r="Z465" s="130"/>
    </row>
    <row r="466" ht="13.5" customHeight="1">
      <c r="A466" s="130"/>
      <c r="B466" s="130"/>
      <c r="C466" s="130"/>
      <c r="D466" s="130"/>
      <c r="E466" s="130"/>
      <c r="F466" s="130"/>
      <c r="G466" s="130"/>
      <c r="H466" s="130"/>
      <c r="I466" s="130"/>
      <c r="J466" s="130"/>
      <c r="K466" s="130"/>
      <c r="L466" s="130"/>
      <c r="M466" s="130"/>
      <c r="N466" s="130"/>
      <c r="O466" s="130"/>
      <c r="P466" s="130"/>
      <c r="Q466" s="130"/>
      <c r="R466" s="130"/>
      <c r="S466" s="130"/>
      <c r="T466" s="130"/>
      <c r="U466" s="130"/>
      <c r="V466" s="130"/>
      <c r="W466" s="130"/>
      <c r="X466" s="130"/>
      <c r="Y466" s="130"/>
      <c r="Z466" s="130"/>
    </row>
    <row r="467" ht="13.5" customHeight="1">
      <c r="A467" s="130"/>
      <c r="B467" s="130"/>
      <c r="C467" s="130"/>
      <c r="D467" s="130"/>
      <c r="E467" s="130"/>
      <c r="F467" s="130"/>
      <c r="G467" s="130"/>
      <c r="H467" s="130"/>
      <c r="I467" s="130"/>
      <c r="J467" s="130"/>
      <c r="K467" s="130"/>
      <c r="L467" s="130"/>
      <c r="M467" s="130"/>
      <c r="N467" s="130"/>
      <c r="O467" s="130"/>
      <c r="P467" s="130"/>
      <c r="Q467" s="130"/>
      <c r="R467" s="130"/>
      <c r="S467" s="130"/>
      <c r="T467" s="130"/>
      <c r="U467" s="130"/>
      <c r="V467" s="130"/>
      <c r="W467" s="130"/>
      <c r="X467" s="130"/>
      <c r="Y467" s="130"/>
      <c r="Z467" s="130"/>
    </row>
    <row r="468" ht="13.5" customHeight="1">
      <c r="A468" s="130"/>
      <c r="B468" s="130"/>
      <c r="C468" s="130"/>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row>
    <row r="469" ht="13.5" customHeight="1">
      <c r="A469" s="130"/>
      <c r="B469" s="130"/>
      <c r="C469" s="130"/>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row>
    <row r="470" ht="13.5" customHeight="1">
      <c r="A470" s="130"/>
      <c r="B470" s="130"/>
      <c r="C470" s="130"/>
      <c r="D470" s="130"/>
      <c r="E470" s="130"/>
      <c r="F470" s="130"/>
      <c r="G470" s="130"/>
      <c r="H470" s="130"/>
      <c r="I470" s="130"/>
      <c r="J470" s="130"/>
      <c r="K470" s="130"/>
      <c r="L470" s="130"/>
      <c r="M470" s="130"/>
      <c r="N470" s="130"/>
      <c r="O470" s="130"/>
      <c r="P470" s="130"/>
      <c r="Q470" s="130"/>
      <c r="R470" s="130"/>
      <c r="S470" s="130"/>
      <c r="T470" s="130"/>
      <c r="U470" s="130"/>
      <c r="V470" s="130"/>
      <c r="W470" s="130"/>
      <c r="X470" s="130"/>
      <c r="Y470" s="130"/>
      <c r="Z470" s="130"/>
    </row>
    <row r="471" ht="13.5" customHeight="1">
      <c r="A471" s="130"/>
      <c r="B471" s="130"/>
      <c r="C471" s="130"/>
      <c r="D471" s="130"/>
      <c r="E471" s="130"/>
      <c r="F471" s="130"/>
      <c r="G471" s="130"/>
      <c r="H471" s="130"/>
      <c r="I471" s="130"/>
      <c r="J471" s="130"/>
      <c r="K471" s="130"/>
      <c r="L471" s="130"/>
      <c r="M471" s="130"/>
      <c r="N471" s="130"/>
      <c r="O471" s="130"/>
      <c r="P471" s="130"/>
      <c r="Q471" s="130"/>
      <c r="R471" s="130"/>
      <c r="S471" s="130"/>
      <c r="T471" s="130"/>
      <c r="U471" s="130"/>
      <c r="V471" s="130"/>
      <c r="W471" s="130"/>
      <c r="X471" s="130"/>
      <c r="Y471" s="130"/>
      <c r="Z471" s="130"/>
    </row>
    <row r="472" ht="13.5" customHeight="1">
      <c r="A472" s="130"/>
      <c r="B472" s="130"/>
      <c r="C472" s="130"/>
      <c r="D472" s="130"/>
      <c r="E472" s="130"/>
      <c r="F472" s="130"/>
      <c r="G472" s="130"/>
      <c r="H472" s="130"/>
      <c r="I472" s="130"/>
      <c r="J472" s="130"/>
      <c r="K472" s="130"/>
      <c r="L472" s="130"/>
      <c r="M472" s="130"/>
      <c r="N472" s="130"/>
      <c r="O472" s="130"/>
      <c r="P472" s="130"/>
      <c r="Q472" s="130"/>
      <c r="R472" s="130"/>
      <c r="S472" s="130"/>
      <c r="T472" s="130"/>
      <c r="U472" s="130"/>
      <c r="V472" s="130"/>
      <c r="W472" s="130"/>
      <c r="X472" s="130"/>
      <c r="Y472" s="130"/>
      <c r="Z472" s="130"/>
    </row>
    <row r="473" ht="13.5" customHeight="1">
      <c r="A473" s="130"/>
      <c r="B473" s="130"/>
      <c r="C473" s="130"/>
      <c r="D473" s="130"/>
      <c r="E473" s="130"/>
      <c r="F473" s="130"/>
      <c r="G473" s="130"/>
      <c r="H473" s="130"/>
      <c r="I473" s="130"/>
      <c r="J473" s="130"/>
      <c r="K473" s="130"/>
      <c r="L473" s="130"/>
      <c r="M473" s="130"/>
      <c r="N473" s="130"/>
      <c r="O473" s="130"/>
      <c r="P473" s="130"/>
      <c r="Q473" s="130"/>
      <c r="R473" s="130"/>
      <c r="S473" s="130"/>
      <c r="T473" s="130"/>
      <c r="U473" s="130"/>
      <c r="V473" s="130"/>
      <c r="W473" s="130"/>
      <c r="X473" s="130"/>
      <c r="Y473" s="130"/>
      <c r="Z473" s="130"/>
    </row>
    <row r="474" ht="13.5" customHeight="1">
      <c r="A474" s="130"/>
      <c r="B474" s="130"/>
      <c r="C474" s="130"/>
      <c r="D474" s="130"/>
      <c r="E474" s="130"/>
      <c r="F474" s="130"/>
      <c r="G474" s="130"/>
      <c r="H474" s="130"/>
      <c r="I474" s="130"/>
      <c r="J474" s="130"/>
      <c r="K474" s="130"/>
      <c r="L474" s="130"/>
      <c r="M474" s="130"/>
      <c r="N474" s="130"/>
      <c r="O474" s="130"/>
      <c r="P474" s="130"/>
      <c r="Q474" s="130"/>
      <c r="R474" s="130"/>
      <c r="S474" s="130"/>
      <c r="T474" s="130"/>
      <c r="U474" s="130"/>
      <c r="V474" s="130"/>
      <c r="W474" s="130"/>
      <c r="X474" s="130"/>
      <c r="Y474" s="130"/>
      <c r="Z474" s="130"/>
    </row>
    <row r="475" ht="13.5" customHeight="1">
      <c r="A475" s="130"/>
      <c r="B475" s="130"/>
      <c r="C475" s="130"/>
      <c r="D475" s="130"/>
      <c r="E475" s="130"/>
      <c r="F475" s="130"/>
      <c r="G475" s="130"/>
      <c r="H475" s="130"/>
      <c r="I475" s="130"/>
      <c r="J475" s="130"/>
      <c r="K475" s="130"/>
      <c r="L475" s="130"/>
      <c r="M475" s="130"/>
      <c r="N475" s="130"/>
      <c r="O475" s="130"/>
      <c r="P475" s="130"/>
      <c r="Q475" s="130"/>
      <c r="R475" s="130"/>
      <c r="S475" s="130"/>
      <c r="T475" s="130"/>
      <c r="U475" s="130"/>
      <c r="V475" s="130"/>
      <c r="W475" s="130"/>
      <c r="X475" s="130"/>
      <c r="Y475" s="130"/>
      <c r="Z475" s="130"/>
    </row>
    <row r="476" ht="13.5" customHeight="1">
      <c r="A476" s="130"/>
      <c r="B476" s="130"/>
      <c r="C476" s="130"/>
      <c r="D476" s="130"/>
      <c r="E476" s="130"/>
      <c r="F476" s="130"/>
      <c r="G476" s="130"/>
      <c r="H476" s="130"/>
      <c r="I476" s="130"/>
      <c r="J476" s="130"/>
      <c r="K476" s="130"/>
      <c r="L476" s="130"/>
      <c r="M476" s="130"/>
      <c r="N476" s="130"/>
      <c r="O476" s="130"/>
      <c r="P476" s="130"/>
      <c r="Q476" s="130"/>
      <c r="R476" s="130"/>
      <c r="S476" s="130"/>
      <c r="T476" s="130"/>
      <c r="U476" s="130"/>
      <c r="V476" s="130"/>
      <c r="W476" s="130"/>
      <c r="X476" s="130"/>
      <c r="Y476" s="130"/>
      <c r="Z476" s="130"/>
    </row>
    <row r="477" ht="13.5" customHeight="1">
      <c r="A477" s="130"/>
      <c r="B477" s="130"/>
      <c r="C477" s="130"/>
      <c r="D477" s="130"/>
      <c r="E477" s="130"/>
      <c r="F477" s="130"/>
      <c r="G477" s="130"/>
      <c r="H477" s="130"/>
      <c r="I477" s="130"/>
      <c r="J477" s="130"/>
      <c r="K477" s="130"/>
      <c r="L477" s="130"/>
      <c r="M477" s="130"/>
      <c r="N477" s="130"/>
      <c r="O477" s="130"/>
      <c r="P477" s="130"/>
      <c r="Q477" s="130"/>
      <c r="R477" s="130"/>
      <c r="S477" s="130"/>
      <c r="T477" s="130"/>
      <c r="U477" s="130"/>
      <c r="V477" s="130"/>
      <c r="W477" s="130"/>
      <c r="X477" s="130"/>
      <c r="Y477" s="130"/>
      <c r="Z477" s="130"/>
    </row>
    <row r="478" ht="13.5" customHeight="1">
      <c r="A478" s="130"/>
      <c r="B478" s="130"/>
      <c r="C478" s="130"/>
      <c r="D478" s="130"/>
      <c r="E478" s="130"/>
      <c r="F478" s="130"/>
      <c r="G478" s="130"/>
      <c r="H478" s="130"/>
      <c r="I478" s="130"/>
      <c r="J478" s="130"/>
      <c r="K478" s="130"/>
      <c r="L478" s="130"/>
      <c r="M478" s="130"/>
      <c r="N478" s="130"/>
      <c r="O478" s="130"/>
      <c r="P478" s="130"/>
      <c r="Q478" s="130"/>
      <c r="R478" s="130"/>
      <c r="S478" s="130"/>
      <c r="T478" s="130"/>
      <c r="U478" s="130"/>
      <c r="V478" s="130"/>
      <c r="W478" s="130"/>
      <c r="X478" s="130"/>
      <c r="Y478" s="130"/>
      <c r="Z478" s="130"/>
    </row>
    <row r="479" ht="13.5" customHeight="1">
      <c r="A479" s="130"/>
      <c r="B479" s="130"/>
      <c r="C479" s="130"/>
      <c r="D479" s="130"/>
      <c r="E479" s="130"/>
      <c r="F479" s="130"/>
      <c r="G479" s="130"/>
      <c r="H479" s="130"/>
      <c r="I479" s="130"/>
      <c r="J479" s="130"/>
      <c r="K479" s="130"/>
      <c r="L479" s="130"/>
      <c r="M479" s="130"/>
      <c r="N479" s="130"/>
      <c r="O479" s="130"/>
      <c r="P479" s="130"/>
      <c r="Q479" s="130"/>
      <c r="R479" s="130"/>
      <c r="S479" s="130"/>
      <c r="T479" s="130"/>
      <c r="U479" s="130"/>
      <c r="V479" s="130"/>
      <c r="W479" s="130"/>
      <c r="X479" s="130"/>
      <c r="Y479" s="130"/>
      <c r="Z479" s="130"/>
    </row>
    <row r="480" ht="13.5" customHeight="1">
      <c r="A480" s="130"/>
      <c r="B480" s="130"/>
      <c r="C480" s="130"/>
      <c r="D480" s="130"/>
      <c r="E480" s="130"/>
      <c r="F480" s="130"/>
      <c r="G480" s="130"/>
      <c r="H480" s="130"/>
      <c r="I480" s="130"/>
      <c r="J480" s="130"/>
      <c r="K480" s="130"/>
      <c r="L480" s="130"/>
      <c r="M480" s="130"/>
      <c r="N480" s="130"/>
      <c r="O480" s="130"/>
      <c r="P480" s="130"/>
      <c r="Q480" s="130"/>
      <c r="R480" s="130"/>
      <c r="S480" s="130"/>
      <c r="T480" s="130"/>
      <c r="U480" s="130"/>
      <c r="V480" s="130"/>
      <c r="W480" s="130"/>
      <c r="X480" s="130"/>
      <c r="Y480" s="130"/>
      <c r="Z480" s="130"/>
    </row>
    <row r="481" ht="13.5" customHeight="1">
      <c r="A481" s="130"/>
      <c r="B481" s="130"/>
      <c r="C481" s="130"/>
      <c r="D481" s="130"/>
      <c r="E481" s="130"/>
      <c r="F481" s="130"/>
      <c r="G481" s="130"/>
      <c r="H481" s="130"/>
      <c r="I481" s="130"/>
      <c r="J481" s="130"/>
      <c r="K481" s="130"/>
      <c r="L481" s="130"/>
      <c r="M481" s="130"/>
      <c r="N481" s="130"/>
      <c r="O481" s="130"/>
      <c r="P481" s="130"/>
      <c r="Q481" s="130"/>
      <c r="R481" s="130"/>
      <c r="S481" s="130"/>
      <c r="T481" s="130"/>
      <c r="U481" s="130"/>
      <c r="V481" s="130"/>
      <c r="W481" s="130"/>
      <c r="X481" s="130"/>
      <c r="Y481" s="130"/>
      <c r="Z481" s="130"/>
    </row>
    <row r="482" ht="13.5" customHeight="1">
      <c r="A482" s="130"/>
      <c r="B482" s="130"/>
      <c r="C482" s="130"/>
      <c r="D482" s="130"/>
      <c r="E482" s="130"/>
      <c r="F482" s="130"/>
      <c r="G482" s="130"/>
      <c r="H482" s="130"/>
      <c r="I482" s="130"/>
      <c r="J482" s="130"/>
      <c r="K482" s="130"/>
      <c r="L482" s="130"/>
      <c r="M482" s="130"/>
      <c r="N482" s="130"/>
      <c r="O482" s="130"/>
      <c r="P482" s="130"/>
      <c r="Q482" s="130"/>
      <c r="R482" s="130"/>
      <c r="S482" s="130"/>
      <c r="T482" s="130"/>
      <c r="U482" s="130"/>
      <c r="V482" s="130"/>
      <c r="W482" s="130"/>
      <c r="X482" s="130"/>
      <c r="Y482" s="130"/>
      <c r="Z482" s="130"/>
    </row>
    <row r="483" ht="13.5" customHeight="1">
      <c r="A483" s="130"/>
      <c r="B483" s="130"/>
      <c r="C483" s="130"/>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row>
    <row r="484" ht="13.5" customHeight="1">
      <c r="A484" s="130"/>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row>
    <row r="485" ht="13.5" customHeight="1">
      <c r="A485" s="130"/>
      <c r="B485" s="130"/>
      <c r="C485" s="130"/>
      <c r="D485" s="130"/>
      <c r="E485" s="130"/>
      <c r="F485" s="130"/>
      <c r="G485" s="130"/>
      <c r="H485" s="130"/>
      <c r="I485" s="130"/>
      <c r="J485" s="130"/>
      <c r="K485" s="130"/>
      <c r="L485" s="130"/>
      <c r="M485" s="130"/>
      <c r="N485" s="130"/>
      <c r="O485" s="130"/>
      <c r="P485" s="130"/>
      <c r="Q485" s="130"/>
      <c r="R485" s="130"/>
      <c r="S485" s="130"/>
      <c r="T485" s="130"/>
      <c r="U485" s="130"/>
      <c r="V485" s="130"/>
      <c r="W485" s="130"/>
      <c r="X485" s="130"/>
      <c r="Y485" s="130"/>
      <c r="Z485" s="130"/>
    </row>
    <row r="486" ht="13.5" customHeight="1">
      <c r="A486" s="130"/>
      <c r="B486" s="130"/>
      <c r="C486" s="130"/>
      <c r="D486" s="130"/>
      <c r="E486" s="130"/>
      <c r="F486" s="130"/>
      <c r="G486" s="130"/>
      <c r="H486" s="130"/>
      <c r="I486" s="130"/>
      <c r="J486" s="130"/>
      <c r="K486" s="130"/>
      <c r="L486" s="130"/>
      <c r="M486" s="130"/>
      <c r="N486" s="130"/>
      <c r="O486" s="130"/>
      <c r="P486" s="130"/>
      <c r="Q486" s="130"/>
      <c r="R486" s="130"/>
      <c r="S486" s="130"/>
      <c r="T486" s="130"/>
      <c r="U486" s="130"/>
      <c r="V486" s="130"/>
      <c r="W486" s="130"/>
      <c r="X486" s="130"/>
      <c r="Y486" s="130"/>
      <c r="Z486" s="130"/>
    </row>
    <row r="487" ht="13.5" customHeight="1">
      <c r="A487" s="130"/>
      <c r="B487" s="130"/>
      <c r="C487" s="130"/>
      <c r="D487" s="130"/>
      <c r="E487" s="130"/>
      <c r="F487" s="130"/>
      <c r="G487" s="130"/>
      <c r="H487" s="130"/>
      <c r="I487" s="130"/>
      <c r="J487" s="130"/>
      <c r="K487" s="130"/>
      <c r="L487" s="130"/>
      <c r="M487" s="130"/>
      <c r="N487" s="130"/>
      <c r="O487" s="130"/>
      <c r="P487" s="130"/>
      <c r="Q487" s="130"/>
      <c r="R487" s="130"/>
      <c r="S487" s="130"/>
      <c r="T487" s="130"/>
      <c r="U487" s="130"/>
      <c r="V487" s="130"/>
      <c r="W487" s="130"/>
      <c r="X487" s="130"/>
      <c r="Y487" s="130"/>
      <c r="Z487" s="130"/>
    </row>
    <row r="488" ht="13.5" customHeight="1">
      <c r="A488" s="130"/>
      <c r="B488" s="130"/>
      <c r="C488" s="130"/>
      <c r="D488" s="130"/>
      <c r="E488" s="130"/>
      <c r="F488" s="130"/>
      <c r="G488" s="130"/>
      <c r="H488" s="130"/>
      <c r="I488" s="130"/>
      <c r="J488" s="130"/>
      <c r="K488" s="130"/>
      <c r="L488" s="130"/>
      <c r="M488" s="130"/>
      <c r="N488" s="130"/>
      <c r="O488" s="130"/>
      <c r="P488" s="130"/>
      <c r="Q488" s="130"/>
      <c r="R488" s="130"/>
      <c r="S488" s="130"/>
      <c r="T488" s="130"/>
      <c r="U488" s="130"/>
      <c r="V488" s="130"/>
      <c r="W488" s="130"/>
      <c r="X488" s="130"/>
      <c r="Y488" s="130"/>
      <c r="Z488" s="130"/>
    </row>
    <row r="489" ht="13.5" customHeight="1">
      <c r="A489" s="130"/>
      <c r="B489" s="130"/>
      <c r="C489" s="130"/>
      <c r="D489" s="130"/>
      <c r="E489" s="130"/>
      <c r="F489" s="130"/>
      <c r="G489" s="130"/>
      <c r="H489" s="130"/>
      <c r="I489" s="130"/>
      <c r="J489" s="130"/>
      <c r="K489" s="130"/>
      <c r="L489" s="130"/>
      <c r="M489" s="130"/>
      <c r="N489" s="130"/>
      <c r="O489" s="130"/>
      <c r="P489" s="130"/>
      <c r="Q489" s="130"/>
      <c r="R489" s="130"/>
      <c r="S489" s="130"/>
      <c r="T489" s="130"/>
      <c r="U489" s="130"/>
      <c r="V489" s="130"/>
      <c r="W489" s="130"/>
      <c r="X489" s="130"/>
      <c r="Y489" s="130"/>
      <c r="Z489" s="130"/>
    </row>
    <row r="490" ht="13.5" customHeight="1">
      <c r="A490" s="130"/>
      <c r="B490" s="130"/>
      <c r="C490" s="130"/>
      <c r="D490" s="130"/>
      <c r="E490" s="130"/>
      <c r="F490" s="130"/>
      <c r="G490" s="130"/>
      <c r="H490" s="130"/>
      <c r="I490" s="130"/>
      <c r="J490" s="130"/>
      <c r="K490" s="130"/>
      <c r="L490" s="130"/>
      <c r="M490" s="130"/>
      <c r="N490" s="130"/>
      <c r="O490" s="130"/>
      <c r="P490" s="130"/>
      <c r="Q490" s="130"/>
      <c r="R490" s="130"/>
      <c r="S490" s="130"/>
      <c r="T490" s="130"/>
      <c r="U490" s="130"/>
      <c r="V490" s="130"/>
      <c r="W490" s="130"/>
      <c r="X490" s="130"/>
      <c r="Y490" s="130"/>
      <c r="Z490" s="130"/>
    </row>
    <row r="491" ht="13.5" customHeight="1">
      <c r="A491" s="130"/>
      <c r="B491" s="130"/>
      <c r="C491" s="130"/>
      <c r="D491" s="130"/>
      <c r="E491" s="130"/>
      <c r="F491" s="130"/>
      <c r="G491" s="130"/>
      <c r="H491" s="130"/>
      <c r="I491" s="130"/>
      <c r="J491" s="130"/>
      <c r="K491" s="130"/>
      <c r="L491" s="130"/>
      <c r="M491" s="130"/>
      <c r="N491" s="130"/>
      <c r="O491" s="130"/>
      <c r="P491" s="130"/>
      <c r="Q491" s="130"/>
      <c r="R491" s="130"/>
      <c r="S491" s="130"/>
      <c r="T491" s="130"/>
      <c r="U491" s="130"/>
      <c r="V491" s="130"/>
      <c r="W491" s="130"/>
      <c r="X491" s="130"/>
      <c r="Y491" s="130"/>
      <c r="Z491" s="130"/>
    </row>
    <row r="492" ht="13.5" customHeight="1">
      <c r="A492" s="130"/>
      <c r="B492" s="130"/>
      <c r="C492" s="130"/>
      <c r="D492" s="130"/>
      <c r="E492" s="130"/>
      <c r="F492" s="130"/>
      <c r="G492" s="130"/>
      <c r="H492" s="130"/>
      <c r="I492" s="130"/>
      <c r="J492" s="130"/>
      <c r="K492" s="130"/>
      <c r="L492" s="130"/>
      <c r="M492" s="130"/>
      <c r="N492" s="130"/>
      <c r="O492" s="130"/>
      <c r="P492" s="130"/>
      <c r="Q492" s="130"/>
      <c r="R492" s="130"/>
      <c r="S492" s="130"/>
      <c r="T492" s="130"/>
      <c r="U492" s="130"/>
      <c r="V492" s="130"/>
      <c r="W492" s="130"/>
      <c r="X492" s="130"/>
      <c r="Y492" s="130"/>
      <c r="Z492" s="130"/>
    </row>
    <row r="493" ht="13.5" customHeight="1">
      <c r="A493" s="130"/>
      <c r="B493" s="130"/>
      <c r="C493" s="130"/>
      <c r="D493" s="130"/>
      <c r="E493" s="130"/>
      <c r="F493" s="130"/>
      <c r="G493" s="130"/>
      <c r="H493" s="130"/>
      <c r="I493" s="130"/>
      <c r="J493" s="130"/>
      <c r="K493" s="130"/>
      <c r="L493" s="130"/>
      <c r="M493" s="130"/>
      <c r="N493" s="130"/>
      <c r="O493" s="130"/>
      <c r="P493" s="130"/>
      <c r="Q493" s="130"/>
      <c r="R493" s="130"/>
      <c r="S493" s="130"/>
      <c r="T493" s="130"/>
      <c r="U493" s="130"/>
      <c r="V493" s="130"/>
      <c r="W493" s="130"/>
      <c r="X493" s="130"/>
      <c r="Y493" s="130"/>
      <c r="Z493" s="130"/>
    </row>
    <row r="494" ht="13.5" customHeight="1">
      <c r="A494" s="130"/>
      <c r="B494" s="130"/>
      <c r="C494" s="130"/>
      <c r="D494" s="130"/>
      <c r="E494" s="130"/>
      <c r="F494" s="130"/>
      <c r="G494" s="130"/>
      <c r="H494" s="130"/>
      <c r="I494" s="130"/>
      <c r="J494" s="130"/>
      <c r="K494" s="130"/>
      <c r="L494" s="130"/>
      <c r="M494" s="130"/>
      <c r="N494" s="130"/>
      <c r="O494" s="130"/>
      <c r="P494" s="130"/>
      <c r="Q494" s="130"/>
      <c r="R494" s="130"/>
      <c r="S494" s="130"/>
      <c r="T494" s="130"/>
      <c r="U494" s="130"/>
      <c r="V494" s="130"/>
      <c r="W494" s="130"/>
      <c r="X494" s="130"/>
      <c r="Y494" s="130"/>
      <c r="Z494" s="130"/>
    </row>
    <row r="495" ht="13.5" customHeight="1">
      <c r="A495" s="130"/>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row>
    <row r="496" ht="13.5" customHeight="1">
      <c r="A496" s="130"/>
      <c r="B496" s="130"/>
      <c r="C496" s="130"/>
      <c r="D496" s="130"/>
      <c r="E496" s="130"/>
      <c r="F496" s="130"/>
      <c r="G496" s="130"/>
      <c r="H496" s="130"/>
      <c r="I496" s="130"/>
      <c r="J496" s="130"/>
      <c r="K496" s="130"/>
      <c r="L496" s="130"/>
      <c r="M496" s="130"/>
      <c r="N496" s="130"/>
      <c r="O496" s="130"/>
      <c r="P496" s="130"/>
      <c r="Q496" s="130"/>
      <c r="R496" s="130"/>
      <c r="S496" s="130"/>
      <c r="T496" s="130"/>
      <c r="U496" s="130"/>
      <c r="V496" s="130"/>
      <c r="W496" s="130"/>
      <c r="X496" s="130"/>
      <c r="Y496" s="130"/>
      <c r="Z496" s="130"/>
    </row>
    <row r="497" ht="13.5" customHeight="1">
      <c r="A497" s="130"/>
      <c r="B497" s="130"/>
      <c r="C497" s="130"/>
      <c r="D497" s="130"/>
      <c r="E497" s="130"/>
      <c r="F497" s="130"/>
      <c r="G497" s="130"/>
      <c r="H497" s="130"/>
      <c r="I497" s="130"/>
      <c r="J497" s="130"/>
      <c r="K497" s="130"/>
      <c r="L497" s="130"/>
      <c r="M497" s="130"/>
      <c r="N497" s="130"/>
      <c r="O497" s="130"/>
      <c r="P497" s="130"/>
      <c r="Q497" s="130"/>
      <c r="R497" s="130"/>
      <c r="S497" s="130"/>
      <c r="T497" s="130"/>
      <c r="U497" s="130"/>
      <c r="V497" s="130"/>
      <c r="W497" s="130"/>
      <c r="X497" s="130"/>
      <c r="Y497" s="130"/>
      <c r="Z497" s="130"/>
    </row>
    <row r="498" ht="13.5" customHeight="1">
      <c r="A498" s="130"/>
      <c r="B498" s="130"/>
      <c r="C498" s="130"/>
      <c r="D498" s="130"/>
      <c r="E498" s="130"/>
      <c r="F498" s="130"/>
      <c r="G498" s="130"/>
      <c r="H498" s="130"/>
      <c r="I498" s="130"/>
      <c r="J498" s="130"/>
      <c r="K498" s="130"/>
      <c r="L498" s="130"/>
      <c r="M498" s="130"/>
      <c r="N498" s="130"/>
      <c r="O498" s="130"/>
      <c r="P498" s="130"/>
      <c r="Q498" s="130"/>
      <c r="R498" s="130"/>
      <c r="S498" s="130"/>
      <c r="T498" s="130"/>
      <c r="U498" s="130"/>
      <c r="V498" s="130"/>
      <c r="W498" s="130"/>
      <c r="X498" s="130"/>
      <c r="Y498" s="130"/>
      <c r="Z498" s="130"/>
    </row>
    <row r="499" ht="13.5" customHeight="1">
      <c r="A499" s="130"/>
      <c r="B499" s="130"/>
      <c r="C499" s="130"/>
      <c r="D499" s="130"/>
      <c r="E499" s="130"/>
      <c r="F499" s="130"/>
      <c r="G499" s="130"/>
      <c r="H499" s="130"/>
      <c r="I499" s="130"/>
      <c r="J499" s="130"/>
      <c r="K499" s="130"/>
      <c r="L499" s="130"/>
      <c r="M499" s="130"/>
      <c r="N499" s="130"/>
      <c r="O499" s="130"/>
      <c r="P499" s="130"/>
      <c r="Q499" s="130"/>
      <c r="R499" s="130"/>
      <c r="S499" s="130"/>
      <c r="T499" s="130"/>
      <c r="U499" s="130"/>
      <c r="V499" s="130"/>
      <c r="W499" s="130"/>
      <c r="X499" s="130"/>
      <c r="Y499" s="130"/>
      <c r="Z499" s="130"/>
    </row>
    <row r="500" ht="13.5" customHeight="1">
      <c r="A500" s="130"/>
      <c r="B500" s="130"/>
      <c r="C500" s="130"/>
      <c r="D500" s="130"/>
      <c r="E500" s="130"/>
      <c r="F500" s="130"/>
      <c r="G500" s="130"/>
      <c r="H500" s="130"/>
      <c r="I500" s="130"/>
      <c r="J500" s="130"/>
      <c r="K500" s="130"/>
      <c r="L500" s="130"/>
      <c r="M500" s="130"/>
      <c r="N500" s="130"/>
      <c r="O500" s="130"/>
      <c r="P500" s="130"/>
      <c r="Q500" s="130"/>
      <c r="R500" s="130"/>
      <c r="S500" s="130"/>
      <c r="T500" s="130"/>
      <c r="U500" s="130"/>
      <c r="V500" s="130"/>
      <c r="W500" s="130"/>
      <c r="X500" s="130"/>
      <c r="Y500" s="130"/>
      <c r="Z500" s="130"/>
    </row>
    <row r="501" ht="13.5" customHeight="1">
      <c r="A501" s="130"/>
      <c r="B501" s="130"/>
      <c r="C501" s="130"/>
      <c r="D501" s="130"/>
      <c r="E501" s="130"/>
      <c r="F501" s="130"/>
      <c r="G501" s="130"/>
      <c r="H501" s="130"/>
      <c r="I501" s="130"/>
      <c r="J501" s="130"/>
      <c r="K501" s="130"/>
      <c r="L501" s="130"/>
      <c r="M501" s="130"/>
      <c r="N501" s="130"/>
      <c r="O501" s="130"/>
      <c r="P501" s="130"/>
      <c r="Q501" s="130"/>
      <c r="R501" s="130"/>
      <c r="S501" s="130"/>
      <c r="T501" s="130"/>
      <c r="U501" s="130"/>
      <c r="V501" s="130"/>
      <c r="W501" s="130"/>
      <c r="X501" s="130"/>
      <c r="Y501" s="130"/>
      <c r="Z501" s="130"/>
    </row>
    <row r="502" ht="13.5" customHeight="1">
      <c r="A502" s="130"/>
      <c r="B502" s="130"/>
      <c r="C502" s="130"/>
      <c r="D502" s="130"/>
      <c r="E502" s="130"/>
      <c r="F502" s="130"/>
      <c r="G502" s="130"/>
      <c r="H502" s="130"/>
      <c r="I502" s="130"/>
      <c r="J502" s="130"/>
      <c r="K502" s="130"/>
      <c r="L502" s="130"/>
      <c r="M502" s="130"/>
      <c r="N502" s="130"/>
      <c r="O502" s="130"/>
      <c r="P502" s="130"/>
      <c r="Q502" s="130"/>
      <c r="R502" s="130"/>
      <c r="S502" s="130"/>
      <c r="T502" s="130"/>
      <c r="U502" s="130"/>
      <c r="V502" s="130"/>
      <c r="W502" s="130"/>
      <c r="X502" s="130"/>
      <c r="Y502" s="130"/>
      <c r="Z502" s="130"/>
    </row>
    <row r="503" ht="13.5" customHeight="1">
      <c r="A503" s="130"/>
      <c r="B503" s="130"/>
      <c r="C503" s="130"/>
      <c r="D503" s="130"/>
      <c r="E503" s="130"/>
      <c r="F503" s="130"/>
      <c r="G503" s="130"/>
      <c r="H503" s="130"/>
      <c r="I503" s="130"/>
      <c r="J503" s="130"/>
      <c r="K503" s="130"/>
      <c r="L503" s="130"/>
      <c r="M503" s="130"/>
      <c r="N503" s="130"/>
      <c r="O503" s="130"/>
      <c r="P503" s="130"/>
      <c r="Q503" s="130"/>
      <c r="R503" s="130"/>
      <c r="S503" s="130"/>
      <c r="T503" s="130"/>
      <c r="U503" s="130"/>
      <c r="V503" s="130"/>
      <c r="W503" s="130"/>
      <c r="X503" s="130"/>
      <c r="Y503" s="130"/>
      <c r="Z503" s="130"/>
    </row>
    <row r="504" ht="13.5" customHeight="1">
      <c r="A504" s="130"/>
      <c r="B504" s="130"/>
      <c r="C504" s="130"/>
      <c r="D504" s="130"/>
      <c r="E504" s="130"/>
      <c r="F504" s="130"/>
      <c r="G504" s="130"/>
      <c r="H504" s="130"/>
      <c r="I504" s="130"/>
      <c r="J504" s="130"/>
      <c r="K504" s="130"/>
      <c r="L504" s="130"/>
      <c r="M504" s="130"/>
      <c r="N504" s="130"/>
      <c r="O504" s="130"/>
      <c r="P504" s="130"/>
      <c r="Q504" s="130"/>
      <c r="R504" s="130"/>
      <c r="S504" s="130"/>
      <c r="T504" s="130"/>
      <c r="U504" s="130"/>
      <c r="V504" s="130"/>
      <c r="W504" s="130"/>
      <c r="X504" s="130"/>
      <c r="Y504" s="130"/>
      <c r="Z504" s="130"/>
    </row>
    <row r="505" ht="13.5" customHeight="1">
      <c r="A505" s="130"/>
      <c r="B505" s="130"/>
      <c r="C505" s="130"/>
      <c r="D505" s="130"/>
      <c r="E505" s="130"/>
      <c r="F505" s="130"/>
      <c r="G505" s="130"/>
      <c r="H505" s="130"/>
      <c r="I505" s="130"/>
      <c r="J505" s="130"/>
      <c r="K505" s="130"/>
      <c r="L505" s="130"/>
      <c r="M505" s="130"/>
      <c r="N505" s="130"/>
      <c r="O505" s="130"/>
      <c r="P505" s="130"/>
      <c r="Q505" s="130"/>
      <c r="R505" s="130"/>
      <c r="S505" s="130"/>
      <c r="T505" s="130"/>
      <c r="U505" s="130"/>
      <c r="V505" s="130"/>
      <c r="W505" s="130"/>
      <c r="X505" s="130"/>
      <c r="Y505" s="130"/>
      <c r="Z505" s="130"/>
    </row>
    <row r="506" ht="13.5" customHeight="1">
      <c r="A506" s="130"/>
      <c r="B506" s="130"/>
      <c r="C506" s="130"/>
      <c r="D506" s="130"/>
      <c r="E506" s="130"/>
      <c r="F506" s="130"/>
      <c r="G506" s="130"/>
      <c r="H506" s="130"/>
      <c r="I506" s="130"/>
      <c r="J506" s="130"/>
      <c r="K506" s="130"/>
      <c r="L506" s="130"/>
      <c r="M506" s="130"/>
      <c r="N506" s="130"/>
      <c r="O506" s="130"/>
      <c r="P506" s="130"/>
      <c r="Q506" s="130"/>
      <c r="R506" s="130"/>
      <c r="S506" s="130"/>
      <c r="T506" s="130"/>
      <c r="U506" s="130"/>
      <c r="V506" s="130"/>
      <c r="W506" s="130"/>
      <c r="X506" s="130"/>
      <c r="Y506" s="130"/>
      <c r="Z506" s="130"/>
    </row>
    <row r="507" ht="13.5" customHeight="1">
      <c r="A507" s="130"/>
      <c r="B507" s="130"/>
      <c r="C507" s="130"/>
      <c r="D507" s="130"/>
      <c r="E507" s="130"/>
      <c r="F507" s="130"/>
      <c r="G507" s="130"/>
      <c r="H507" s="130"/>
      <c r="I507" s="130"/>
      <c r="J507" s="130"/>
      <c r="K507" s="130"/>
      <c r="L507" s="130"/>
      <c r="M507" s="130"/>
      <c r="N507" s="130"/>
      <c r="O507" s="130"/>
      <c r="P507" s="130"/>
      <c r="Q507" s="130"/>
      <c r="R507" s="130"/>
      <c r="S507" s="130"/>
      <c r="T507" s="130"/>
      <c r="U507" s="130"/>
      <c r="V507" s="130"/>
      <c r="W507" s="130"/>
      <c r="X507" s="130"/>
      <c r="Y507" s="130"/>
      <c r="Z507" s="130"/>
    </row>
    <row r="508" ht="13.5" customHeight="1">
      <c r="A508" s="130"/>
      <c r="B508" s="130"/>
      <c r="C508" s="130"/>
      <c r="D508" s="130"/>
      <c r="E508" s="130"/>
      <c r="F508" s="130"/>
      <c r="G508" s="130"/>
      <c r="H508" s="130"/>
      <c r="I508" s="130"/>
      <c r="J508" s="130"/>
      <c r="K508" s="130"/>
      <c r="L508" s="130"/>
      <c r="M508" s="130"/>
      <c r="N508" s="130"/>
      <c r="O508" s="130"/>
      <c r="P508" s="130"/>
      <c r="Q508" s="130"/>
      <c r="R508" s="130"/>
      <c r="S508" s="130"/>
      <c r="T508" s="130"/>
      <c r="U508" s="130"/>
      <c r="V508" s="130"/>
      <c r="W508" s="130"/>
      <c r="X508" s="130"/>
      <c r="Y508" s="130"/>
      <c r="Z508" s="130"/>
    </row>
    <row r="509" ht="13.5" customHeight="1">
      <c r="A509" s="130"/>
      <c r="B509" s="130"/>
      <c r="C509" s="130"/>
      <c r="D509" s="130"/>
      <c r="E509" s="130"/>
      <c r="F509" s="130"/>
      <c r="G509" s="130"/>
      <c r="H509" s="130"/>
      <c r="I509" s="130"/>
      <c r="J509" s="130"/>
      <c r="K509" s="130"/>
      <c r="L509" s="130"/>
      <c r="M509" s="130"/>
      <c r="N509" s="130"/>
      <c r="O509" s="130"/>
      <c r="P509" s="130"/>
      <c r="Q509" s="130"/>
      <c r="R509" s="130"/>
      <c r="S509" s="130"/>
      <c r="T509" s="130"/>
      <c r="U509" s="130"/>
      <c r="V509" s="130"/>
      <c r="W509" s="130"/>
      <c r="X509" s="130"/>
      <c r="Y509" s="130"/>
      <c r="Z509" s="130"/>
    </row>
    <row r="510" ht="13.5" customHeight="1">
      <c r="A510" s="130"/>
      <c r="B510" s="130"/>
      <c r="C510" s="130"/>
      <c r="D510" s="130"/>
      <c r="E510" s="130"/>
      <c r="F510" s="130"/>
      <c r="G510" s="130"/>
      <c r="H510" s="130"/>
      <c r="I510" s="130"/>
      <c r="J510" s="130"/>
      <c r="K510" s="130"/>
      <c r="L510" s="130"/>
      <c r="M510" s="130"/>
      <c r="N510" s="130"/>
      <c r="O510" s="130"/>
      <c r="P510" s="130"/>
      <c r="Q510" s="130"/>
      <c r="R510" s="130"/>
      <c r="S510" s="130"/>
      <c r="T510" s="130"/>
      <c r="U510" s="130"/>
      <c r="V510" s="130"/>
      <c r="W510" s="130"/>
      <c r="X510" s="130"/>
      <c r="Y510" s="130"/>
      <c r="Z510" s="130"/>
    </row>
    <row r="511" ht="13.5" customHeight="1">
      <c r="A511" s="130"/>
      <c r="B511" s="130"/>
      <c r="C511" s="130"/>
      <c r="D511" s="130"/>
      <c r="E511" s="130"/>
      <c r="F511" s="130"/>
      <c r="G511" s="130"/>
      <c r="H511" s="130"/>
      <c r="I511" s="130"/>
      <c r="J511" s="130"/>
      <c r="K511" s="130"/>
      <c r="L511" s="130"/>
      <c r="M511" s="130"/>
      <c r="N511" s="130"/>
      <c r="O511" s="130"/>
      <c r="P511" s="130"/>
      <c r="Q511" s="130"/>
      <c r="R511" s="130"/>
      <c r="S511" s="130"/>
      <c r="T511" s="130"/>
      <c r="U511" s="130"/>
      <c r="V511" s="130"/>
      <c r="W511" s="130"/>
      <c r="X511" s="130"/>
      <c r="Y511" s="130"/>
      <c r="Z511" s="130"/>
    </row>
    <row r="512" ht="13.5" customHeight="1">
      <c r="A512" s="130"/>
      <c r="B512" s="130"/>
      <c r="C512" s="130"/>
      <c r="D512" s="130"/>
      <c r="E512" s="130"/>
      <c r="F512" s="130"/>
      <c r="G512" s="130"/>
      <c r="H512" s="130"/>
      <c r="I512" s="130"/>
      <c r="J512" s="130"/>
      <c r="K512" s="130"/>
      <c r="L512" s="130"/>
      <c r="M512" s="130"/>
      <c r="N512" s="130"/>
      <c r="O512" s="130"/>
      <c r="P512" s="130"/>
      <c r="Q512" s="130"/>
      <c r="R512" s="130"/>
      <c r="S512" s="130"/>
      <c r="T512" s="130"/>
      <c r="U512" s="130"/>
      <c r="V512" s="130"/>
      <c r="W512" s="130"/>
      <c r="X512" s="130"/>
      <c r="Y512" s="130"/>
      <c r="Z512" s="130"/>
    </row>
    <row r="513" ht="13.5" customHeight="1">
      <c r="A513" s="130"/>
      <c r="B513" s="130"/>
      <c r="C513" s="130"/>
      <c r="D513" s="130"/>
      <c r="E513" s="130"/>
      <c r="F513" s="130"/>
      <c r="G513" s="130"/>
      <c r="H513" s="130"/>
      <c r="I513" s="130"/>
      <c r="J513" s="130"/>
      <c r="K513" s="130"/>
      <c r="L513" s="130"/>
      <c r="M513" s="130"/>
      <c r="N513" s="130"/>
      <c r="O513" s="130"/>
      <c r="P513" s="130"/>
      <c r="Q513" s="130"/>
      <c r="R513" s="130"/>
      <c r="S513" s="130"/>
      <c r="T513" s="130"/>
      <c r="U513" s="130"/>
      <c r="V513" s="130"/>
      <c r="W513" s="130"/>
      <c r="X513" s="130"/>
      <c r="Y513" s="130"/>
      <c r="Z513" s="130"/>
    </row>
    <row r="514" ht="13.5" customHeight="1">
      <c r="A514" s="130"/>
      <c r="B514" s="130"/>
      <c r="C514" s="130"/>
      <c r="D514" s="130"/>
      <c r="E514" s="130"/>
      <c r="F514" s="130"/>
      <c r="G514" s="130"/>
      <c r="H514" s="130"/>
      <c r="I514" s="130"/>
      <c r="J514" s="130"/>
      <c r="K514" s="130"/>
      <c r="L514" s="130"/>
      <c r="M514" s="130"/>
      <c r="N514" s="130"/>
      <c r="O514" s="130"/>
      <c r="P514" s="130"/>
      <c r="Q514" s="130"/>
      <c r="R514" s="130"/>
      <c r="S514" s="130"/>
      <c r="T514" s="130"/>
      <c r="U514" s="130"/>
      <c r="V514" s="130"/>
      <c r="W514" s="130"/>
      <c r="X514" s="130"/>
      <c r="Y514" s="130"/>
      <c r="Z514" s="130"/>
    </row>
    <row r="515" ht="13.5" customHeight="1">
      <c r="A515" s="130"/>
      <c r="B515" s="130"/>
      <c r="C515" s="130"/>
      <c r="D515" s="130"/>
      <c r="E515" s="130"/>
      <c r="F515" s="130"/>
      <c r="G515" s="130"/>
      <c r="H515" s="130"/>
      <c r="I515" s="130"/>
      <c r="J515" s="130"/>
      <c r="K515" s="130"/>
      <c r="L515" s="130"/>
      <c r="M515" s="130"/>
      <c r="N515" s="130"/>
      <c r="O515" s="130"/>
      <c r="P515" s="130"/>
      <c r="Q515" s="130"/>
      <c r="R515" s="130"/>
      <c r="S515" s="130"/>
      <c r="T515" s="130"/>
      <c r="U515" s="130"/>
      <c r="V515" s="130"/>
      <c r="W515" s="130"/>
      <c r="X515" s="130"/>
      <c r="Y515" s="130"/>
      <c r="Z515" s="130"/>
    </row>
    <row r="516" ht="13.5" customHeight="1">
      <c r="A516" s="130"/>
      <c r="B516" s="130"/>
      <c r="C516" s="130"/>
      <c r="D516" s="130"/>
      <c r="E516" s="130"/>
      <c r="F516" s="130"/>
      <c r="G516" s="130"/>
      <c r="H516" s="130"/>
      <c r="I516" s="130"/>
      <c r="J516" s="130"/>
      <c r="K516" s="130"/>
      <c r="L516" s="130"/>
      <c r="M516" s="130"/>
      <c r="N516" s="130"/>
      <c r="O516" s="130"/>
      <c r="P516" s="130"/>
      <c r="Q516" s="130"/>
      <c r="R516" s="130"/>
      <c r="S516" s="130"/>
      <c r="T516" s="130"/>
      <c r="U516" s="130"/>
      <c r="V516" s="130"/>
      <c r="W516" s="130"/>
      <c r="X516" s="130"/>
      <c r="Y516" s="130"/>
      <c r="Z516" s="130"/>
    </row>
    <row r="517" ht="13.5" customHeight="1">
      <c r="A517" s="130"/>
      <c r="B517" s="130"/>
      <c r="C517" s="130"/>
      <c r="D517" s="130"/>
      <c r="E517" s="130"/>
      <c r="F517" s="130"/>
      <c r="G517" s="130"/>
      <c r="H517" s="130"/>
      <c r="I517" s="130"/>
      <c r="J517" s="130"/>
      <c r="K517" s="130"/>
      <c r="L517" s="130"/>
      <c r="M517" s="130"/>
      <c r="N517" s="130"/>
      <c r="O517" s="130"/>
      <c r="P517" s="130"/>
      <c r="Q517" s="130"/>
      <c r="R517" s="130"/>
      <c r="S517" s="130"/>
      <c r="T517" s="130"/>
      <c r="U517" s="130"/>
      <c r="V517" s="130"/>
      <c r="W517" s="130"/>
      <c r="X517" s="130"/>
      <c r="Y517" s="130"/>
      <c r="Z517" s="130"/>
    </row>
    <row r="518" ht="13.5" customHeight="1">
      <c r="A518" s="130"/>
      <c r="B518" s="130"/>
      <c r="C518" s="130"/>
      <c r="D518" s="130"/>
      <c r="E518" s="130"/>
      <c r="F518" s="130"/>
      <c r="G518" s="130"/>
      <c r="H518" s="130"/>
      <c r="I518" s="130"/>
      <c r="J518" s="130"/>
      <c r="K518" s="130"/>
      <c r="L518" s="130"/>
      <c r="M518" s="130"/>
      <c r="N518" s="130"/>
      <c r="O518" s="130"/>
      <c r="P518" s="130"/>
      <c r="Q518" s="130"/>
      <c r="R518" s="130"/>
      <c r="S518" s="130"/>
      <c r="T518" s="130"/>
      <c r="U518" s="130"/>
      <c r="V518" s="130"/>
      <c r="W518" s="130"/>
      <c r="X518" s="130"/>
      <c r="Y518" s="130"/>
      <c r="Z518" s="130"/>
    </row>
    <row r="519" ht="13.5" customHeight="1">
      <c r="A519" s="130"/>
      <c r="B519" s="130"/>
      <c r="C519" s="130"/>
      <c r="D519" s="130"/>
      <c r="E519" s="130"/>
      <c r="F519" s="130"/>
      <c r="G519" s="130"/>
      <c r="H519" s="130"/>
      <c r="I519" s="130"/>
      <c r="J519" s="130"/>
      <c r="K519" s="130"/>
      <c r="L519" s="130"/>
      <c r="M519" s="130"/>
      <c r="N519" s="130"/>
      <c r="O519" s="130"/>
      <c r="P519" s="130"/>
      <c r="Q519" s="130"/>
      <c r="R519" s="130"/>
      <c r="S519" s="130"/>
      <c r="T519" s="130"/>
      <c r="U519" s="130"/>
      <c r="V519" s="130"/>
      <c r="W519" s="130"/>
      <c r="X519" s="130"/>
      <c r="Y519" s="130"/>
      <c r="Z519" s="130"/>
    </row>
    <row r="520" ht="13.5" customHeight="1">
      <c r="A520" s="130"/>
      <c r="B520" s="130"/>
      <c r="C520" s="130"/>
      <c r="D520" s="130"/>
      <c r="E520" s="130"/>
      <c r="F520" s="130"/>
      <c r="G520" s="130"/>
      <c r="H520" s="130"/>
      <c r="I520" s="130"/>
      <c r="J520" s="130"/>
      <c r="K520" s="130"/>
      <c r="L520" s="130"/>
      <c r="M520" s="130"/>
      <c r="N520" s="130"/>
      <c r="O520" s="130"/>
      <c r="P520" s="130"/>
      <c r="Q520" s="130"/>
      <c r="R520" s="130"/>
      <c r="S520" s="130"/>
      <c r="T520" s="130"/>
      <c r="U520" s="130"/>
      <c r="V520" s="130"/>
      <c r="W520" s="130"/>
      <c r="X520" s="130"/>
      <c r="Y520" s="130"/>
      <c r="Z520" s="130"/>
    </row>
    <row r="521" ht="13.5" customHeight="1">
      <c r="A521" s="130"/>
      <c r="B521" s="130"/>
      <c r="C521" s="130"/>
      <c r="D521" s="130"/>
      <c r="E521" s="130"/>
      <c r="F521" s="130"/>
      <c r="G521" s="130"/>
      <c r="H521" s="130"/>
      <c r="I521" s="130"/>
      <c r="J521" s="130"/>
      <c r="K521" s="130"/>
      <c r="L521" s="130"/>
      <c r="M521" s="130"/>
      <c r="N521" s="130"/>
      <c r="O521" s="130"/>
      <c r="P521" s="130"/>
      <c r="Q521" s="130"/>
      <c r="R521" s="130"/>
      <c r="S521" s="130"/>
      <c r="T521" s="130"/>
      <c r="U521" s="130"/>
      <c r="V521" s="130"/>
      <c r="W521" s="130"/>
      <c r="X521" s="130"/>
      <c r="Y521" s="130"/>
      <c r="Z521" s="130"/>
    </row>
    <row r="522" ht="13.5" customHeight="1">
      <c r="A522" s="130"/>
      <c r="B522" s="130"/>
      <c r="C522" s="130"/>
      <c r="D522" s="130"/>
      <c r="E522" s="130"/>
      <c r="F522" s="130"/>
      <c r="G522" s="130"/>
      <c r="H522" s="130"/>
      <c r="I522" s="130"/>
      <c r="J522" s="130"/>
      <c r="K522" s="130"/>
      <c r="L522" s="130"/>
      <c r="M522" s="130"/>
      <c r="N522" s="130"/>
      <c r="O522" s="130"/>
      <c r="P522" s="130"/>
      <c r="Q522" s="130"/>
      <c r="R522" s="130"/>
      <c r="S522" s="130"/>
      <c r="T522" s="130"/>
      <c r="U522" s="130"/>
      <c r="V522" s="130"/>
      <c r="W522" s="130"/>
      <c r="X522" s="130"/>
      <c r="Y522" s="130"/>
      <c r="Z522" s="130"/>
    </row>
    <row r="523" ht="13.5" customHeight="1">
      <c r="A523" s="130"/>
      <c r="B523" s="130"/>
      <c r="C523" s="130"/>
      <c r="D523" s="130"/>
      <c r="E523" s="130"/>
      <c r="F523" s="130"/>
      <c r="G523" s="130"/>
      <c r="H523" s="130"/>
      <c r="I523" s="130"/>
      <c r="J523" s="130"/>
      <c r="K523" s="130"/>
      <c r="L523" s="130"/>
      <c r="M523" s="130"/>
      <c r="N523" s="130"/>
      <c r="O523" s="130"/>
      <c r="P523" s="130"/>
      <c r="Q523" s="130"/>
      <c r="R523" s="130"/>
      <c r="S523" s="130"/>
      <c r="T523" s="130"/>
      <c r="U523" s="130"/>
      <c r="V523" s="130"/>
      <c r="W523" s="130"/>
      <c r="X523" s="130"/>
      <c r="Y523" s="130"/>
      <c r="Z523" s="130"/>
    </row>
    <row r="524" ht="13.5" customHeight="1">
      <c r="A524" s="130"/>
      <c r="B524" s="130"/>
      <c r="C524" s="130"/>
      <c r="D524" s="130"/>
      <c r="E524" s="130"/>
      <c r="F524" s="130"/>
      <c r="G524" s="130"/>
      <c r="H524" s="130"/>
      <c r="I524" s="130"/>
      <c r="J524" s="130"/>
      <c r="K524" s="130"/>
      <c r="L524" s="130"/>
      <c r="M524" s="130"/>
      <c r="N524" s="130"/>
      <c r="O524" s="130"/>
      <c r="P524" s="130"/>
      <c r="Q524" s="130"/>
      <c r="R524" s="130"/>
      <c r="S524" s="130"/>
      <c r="T524" s="130"/>
      <c r="U524" s="130"/>
      <c r="V524" s="130"/>
      <c r="W524" s="130"/>
      <c r="X524" s="130"/>
      <c r="Y524" s="130"/>
      <c r="Z524" s="130"/>
    </row>
    <row r="525" ht="13.5" customHeight="1">
      <c r="A525" s="130"/>
      <c r="B525" s="130"/>
      <c r="C525" s="130"/>
      <c r="D525" s="130"/>
      <c r="E525" s="130"/>
      <c r="F525" s="130"/>
      <c r="G525" s="130"/>
      <c r="H525" s="130"/>
      <c r="I525" s="130"/>
      <c r="J525" s="130"/>
      <c r="K525" s="130"/>
      <c r="L525" s="130"/>
      <c r="M525" s="130"/>
      <c r="N525" s="130"/>
      <c r="O525" s="130"/>
      <c r="P525" s="130"/>
      <c r="Q525" s="130"/>
      <c r="R525" s="130"/>
      <c r="S525" s="130"/>
      <c r="T525" s="130"/>
      <c r="U525" s="130"/>
      <c r="V525" s="130"/>
      <c r="W525" s="130"/>
      <c r="X525" s="130"/>
      <c r="Y525" s="130"/>
      <c r="Z525" s="130"/>
    </row>
    <row r="526" ht="13.5" customHeight="1">
      <c r="A526" s="130"/>
      <c r="B526" s="130"/>
      <c r="C526" s="130"/>
      <c r="D526" s="130"/>
      <c r="E526" s="130"/>
      <c r="F526" s="130"/>
      <c r="G526" s="130"/>
      <c r="H526" s="130"/>
      <c r="I526" s="130"/>
      <c r="J526" s="130"/>
      <c r="K526" s="130"/>
      <c r="L526" s="130"/>
      <c r="M526" s="130"/>
      <c r="N526" s="130"/>
      <c r="O526" s="130"/>
      <c r="P526" s="130"/>
      <c r="Q526" s="130"/>
      <c r="R526" s="130"/>
      <c r="S526" s="130"/>
      <c r="T526" s="130"/>
      <c r="U526" s="130"/>
      <c r="V526" s="130"/>
      <c r="W526" s="130"/>
      <c r="X526" s="130"/>
      <c r="Y526" s="130"/>
      <c r="Z526" s="130"/>
    </row>
    <row r="527" ht="13.5" customHeight="1">
      <c r="A527" s="130"/>
      <c r="B527" s="130"/>
      <c r="C527" s="130"/>
      <c r="D527" s="130"/>
      <c r="E527" s="130"/>
      <c r="F527" s="130"/>
      <c r="G527" s="130"/>
      <c r="H527" s="130"/>
      <c r="I527" s="130"/>
      <c r="J527" s="130"/>
      <c r="K527" s="130"/>
      <c r="L527" s="130"/>
      <c r="M527" s="130"/>
      <c r="N527" s="130"/>
      <c r="O527" s="130"/>
      <c r="P527" s="130"/>
      <c r="Q527" s="130"/>
      <c r="R527" s="130"/>
      <c r="S527" s="130"/>
      <c r="T527" s="130"/>
      <c r="U527" s="130"/>
      <c r="V527" s="130"/>
      <c r="W527" s="130"/>
      <c r="X527" s="130"/>
      <c r="Y527" s="130"/>
      <c r="Z527" s="130"/>
    </row>
    <row r="528" ht="13.5" customHeight="1">
      <c r="A528" s="130"/>
      <c r="B528" s="130"/>
      <c r="C528" s="130"/>
      <c r="D528" s="130"/>
      <c r="E528" s="130"/>
      <c r="F528" s="130"/>
      <c r="G528" s="130"/>
      <c r="H528" s="130"/>
      <c r="I528" s="130"/>
      <c r="J528" s="130"/>
      <c r="K528" s="130"/>
      <c r="L528" s="130"/>
      <c r="M528" s="130"/>
      <c r="N528" s="130"/>
      <c r="O528" s="130"/>
      <c r="P528" s="130"/>
      <c r="Q528" s="130"/>
      <c r="R528" s="130"/>
      <c r="S528" s="130"/>
      <c r="T528" s="130"/>
      <c r="U528" s="130"/>
      <c r="V528" s="130"/>
      <c r="W528" s="130"/>
      <c r="X528" s="130"/>
      <c r="Y528" s="130"/>
      <c r="Z528" s="130"/>
    </row>
    <row r="529" ht="13.5" customHeight="1">
      <c r="A529" s="130"/>
      <c r="B529" s="130"/>
      <c r="C529" s="130"/>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row>
    <row r="530" ht="13.5" customHeight="1">
      <c r="A530" s="130"/>
      <c r="B530" s="130"/>
      <c r="C530" s="130"/>
      <c r="D530" s="130"/>
      <c r="E530" s="130"/>
      <c r="F530" s="130"/>
      <c r="G530" s="130"/>
      <c r="H530" s="130"/>
      <c r="I530" s="130"/>
      <c r="J530" s="130"/>
      <c r="K530" s="130"/>
      <c r="L530" s="130"/>
      <c r="M530" s="130"/>
      <c r="N530" s="130"/>
      <c r="O530" s="130"/>
      <c r="P530" s="130"/>
      <c r="Q530" s="130"/>
      <c r="R530" s="130"/>
      <c r="S530" s="130"/>
      <c r="T530" s="130"/>
      <c r="U530" s="130"/>
      <c r="V530" s="130"/>
      <c r="W530" s="130"/>
      <c r="X530" s="130"/>
      <c r="Y530" s="130"/>
      <c r="Z530" s="130"/>
    </row>
    <row r="531" ht="13.5" customHeight="1">
      <c r="A531" s="130"/>
      <c r="B531" s="130"/>
      <c r="C531" s="130"/>
      <c r="D531" s="130"/>
      <c r="E531" s="130"/>
      <c r="F531" s="130"/>
      <c r="G531" s="130"/>
      <c r="H531" s="130"/>
      <c r="I531" s="130"/>
      <c r="J531" s="130"/>
      <c r="K531" s="130"/>
      <c r="L531" s="130"/>
      <c r="M531" s="130"/>
      <c r="N531" s="130"/>
      <c r="O531" s="130"/>
      <c r="P531" s="130"/>
      <c r="Q531" s="130"/>
      <c r="R531" s="130"/>
      <c r="S531" s="130"/>
      <c r="T531" s="130"/>
      <c r="U531" s="130"/>
      <c r="V531" s="130"/>
      <c r="W531" s="130"/>
      <c r="X531" s="130"/>
      <c r="Y531" s="130"/>
      <c r="Z531" s="130"/>
    </row>
    <row r="532" ht="13.5" customHeight="1">
      <c r="A532" s="130"/>
      <c r="B532" s="130"/>
      <c r="C532" s="130"/>
      <c r="D532" s="130"/>
      <c r="E532" s="130"/>
      <c r="F532" s="130"/>
      <c r="G532" s="130"/>
      <c r="H532" s="130"/>
      <c r="I532" s="130"/>
      <c r="J532" s="130"/>
      <c r="K532" s="130"/>
      <c r="L532" s="130"/>
      <c r="M532" s="130"/>
      <c r="N532" s="130"/>
      <c r="O532" s="130"/>
      <c r="P532" s="130"/>
      <c r="Q532" s="130"/>
      <c r="R532" s="130"/>
      <c r="S532" s="130"/>
      <c r="T532" s="130"/>
      <c r="U532" s="130"/>
      <c r="V532" s="130"/>
      <c r="W532" s="130"/>
      <c r="X532" s="130"/>
      <c r="Y532" s="130"/>
      <c r="Z532" s="130"/>
    </row>
    <row r="533" ht="13.5" customHeight="1">
      <c r="A533" s="130"/>
      <c r="B533" s="130"/>
      <c r="C533" s="130"/>
      <c r="D533" s="130"/>
      <c r="E533" s="130"/>
      <c r="F533" s="130"/>
      <c r="G533" s="130"/>
      <c r="H533" s="130"/>
      <c r="I533" s="130"/>
      <c r="J533" s="130"/>
      <c r="K533" s="130"/>
      <c r="L533" s="130"/>
      <c r="M533" s="130"/>
      <c r="N533" s="130"/>
      <c r="O533" s="130"/>
      <c r="P533" s="130"/>
      <c r="Q533" s="130"/>
      <c r="R533" s="130"/>
      <c r="S533" s="130"/>
      <c r="T533" s="130"/>
      <c r="U533" s="130"/>
      <c r="V533" s="130"/>
      <c r="W533" s="130"/>
      <c r="X533" s="130"/>
      <c r="Y533" s="130"/>
      <c r="Z533" s="130"/>
    </row>
    <row r="534" ht="13.5" customHeight="1">
      <c r="A534" s="130"/>
      <c r="B534" s="130"/>
      <c r="C534" s="130"/>
      <c r="D534" s="130"/>
      <c r="E534" s="130"/>
      <c r="F534" s="130"/>
      <c r="G534" s="130"/>
      <c r="H534" s="130"/>
      <c r="I534" s="130"/>
      <c r="J534" s="130"/>
      <c r="K534" s="130"/>
      <c r="L534" s="130"/>
      <c r="M534" s="130"/>
      <c r="N534" s="130"/>
      <c r="O534" s="130"/>
      <c r="P534" s="130"/>
      <c r="Q534" s="130"/>
      <c r="R534" s="130"/>
      <c r="S534" s="130"/>
      <c r="T534" s="130"/>
      <c r="U534" s="130"/>
      <c r="V534" s="130"/>
      <c r="W534" s="130"/>
      <c r="X534" s="130"/>
      <c r="Y534" s="130"/>
      <c r="Z534" s="130"/>
    </row>
    <row r="535" ht="13.5" customHeight="1">
      <c r="A535" s="130"/>
      <c r="B535" s="130"/>
      <c r="C535" s="130"/>
      <c r="D535" s="130"/>
      <c r="E535" s="130"/>
      <c r="F535" s="130"/>
      <c r="G535" s="130"/>
      <c r="H535" s="130"/>
      <c r="I535" s="130"/>
      <c r="J535" s="130"/>
      <c r="K535" s="130"/>
      <c r="L535" s="130"/>
      <c r="M535" s="130"/>
      <c r="N535" s="130"/>
      <c r="O535" s="130"/>
      <c r="P535" s="130"/>
      <c r="Q535" s="130"/>
      <c r="R535" s="130"/>
      <c r="S535" s="130"/>
      <c r="T535" s="130"/>
      <c r="U535" s="130"/>
      <c r="V535" s="130"/>
      <c r="W535" s="130"/>
      <c r="X535" s="130"/>
      <c r="Y535" s="130"/>
      <c r="Z535" s="130"/>
    </row>
    <row r="536" ht="13.5" customHeight="1">
      <c r="A536" s="130"/>
      <c r="B536" s="130"/>
      <c r="C536" s="130"/>
      <c r="D536" s="130"/>
      <c r="E536" s="130"/>
      <c r="F536" s="130"/>
      <c r="G536" s="130"/>
      <c r="H536" s="130"/>
      <c r="I536" s="130"/>
      <c r="J536" s="130"/>
      <c r="K536" s="130"/>
      <c r="L536" s="130"/>
      <c r="M536" s="130"/>
      <c r="N536" s="130"/>
      <c r="O536" s="130"/>
      <c r="P536" s="130"/>
      <c r="Q536" s="130"/>
      <c r="R536" s="130"/>
      <c r="S536" s="130"/>
      <c r="T536" s="130"/>
      <c r="U536" s="130"/>
      <c r="V536" s="130"/>
      <c r="W536" s="130"/>
      <c r="X536" s="130"/>
      <c r="Y536" s="130"/>
      <c r="Z536" s="130"/>
    </row>
    <row r="537" ht="13.5" customHeight="1">
      <c r="A537" s="130"/>
      <c r="B537" s="130"/>
      <c r="C537" s="130"/>
      <c r="D537" s="130"/>
      <c r="E537" s="130"/>
      <c r="F537" s="130"/>
      <c r="G537" s="130"/>
      <c r="H537" s="130"/>
      <c r="I537" s="130"/>
      <c r="J537" s="130"/>
      <c r="K537" s="130"/>
      <c r="L537" s="130"/>
      <c r="M537" s="130"/>
      <c r="N537" s="130"/>
      <c r="O537" s="130"/>
      <c r="P537" s="130"/>
      <c r="Q537" s="130"/>
      <c r="R537" s="130"/>
      <c r="S537" s="130"/>
      <c r="T537" s="130"/>
      <c r="U537" s="130"/>
      <c r="V537" s="130"/>
      <c r="W537" s="130"/>
      <c r="X537" s="130"/>
      <c r="Y537" s="130"/>
      <c r="Z537" s="130"/>
    </row>
    <row r="538" ht="13.5" customHeight="1">
      <c r="A538" s="130"/>
      <c r="B538" s="130"/>
      <c r="C538" s="130"/>
      <c r="D538" s="130"/>
      <c r="E538" s="130"/>
      <c r="F538" s="130"/>
      <c r="G538" s="130"/>
      <c r="H538" s="130"/>
      <c r="I538" s="130"/>
      <c r="J538" s="130"/>
      <c r="K538" s="130"/>
      <c r="L538" s="130"/>
      <c r="M538" s="130"/>
      <c r="N538" s="130"/>
      <c r="O538" s="130"/>
      <c r="P538" s="130"/>
      <c r="Q538" s="130"/>
      <c r="R538" s="130"/>
      <c r="S538" s="130"/>
      <c r="T538" s="130"/>
      <c r="U538" s="130"/>
      <c r="V538" s="130"/>
      <c r="W538" s="130"/>
      <c r="X538" s="130"/>
      <c r="Y538" s="130"/>
      <c r="Z538" s="130"/>
    </row>
    <row r="539" ht="13.5" customHeight="1">
      <c r="A539" s="130"/>
      <c r="B539" s="130"/>
      <c r="C539" s="130"/>
      <c r="D539" s="130"/>
      <c r="E539" s="130"/>
      <c r="F539" s="130"/>
      <c r="G539" s="130"/>
      <c r="H539" s="130"/>
      <c r="I539" s="130"/>
      <c r="J539" s="130"/>
      <c r="K539" s="130"/>
      <c r="L539" s="130"/>
      <c r="M539" s="130"/>
      <c r="N539" s="130"/>
      <c r="O539" s="130"/>
      <c r="P539" s="130"/>
      <c r="Q539" s="130"/>
      <c r="R539" s="130"/>
      <c r="S539" s="130"/>
      <c r="T539" s="130"/>
      <c r="U539" s="130"/>
      <c r="V539" s="130"/>
      <c r="W539" s="130"/>
      <c r="X539" s="130"/>
      <c r="Y539" s="130"/>
      <c r="Z539" s="130"/>
    </row>
    <row r="540" ht="13.5" customHeight="1">
      <c r="A540" s="130"/>
      <c r="B540" s="130"/>
      <c r="C540" s="130"/>
      <c r="D540" s="130"/>
      <c r="E540" s="130"/>
      <c r="F540" s="130"/>
      <c r="G540" s="130"/>
      <c r="H540" s="130"/>
      <c r="I540" s="130"/>
      <c r="J540" s="130"/>
      <c r="K540" s="130"/>
      <c r="L540" s="130"/>
      <c r="M540" s="130"/>
      <c r="N540" s="130"/>
      <c r="O540" s="130"/>
      <c r="P540" s="130"/>
      <c r="Q540" s="130"/>
      <c r="R540" s="130"/>
      <c r="S540" s="130"/>
      <c r="T540" s="130"/>
      <c r="U540" s="130"/>
      <c r="V540" s="130"/>
      <c r="W540" s="130"/>
      <c r="X540" s="130"/>
      <c r="Y540" s="130"/>
      <c r="Z540" s="130"/>
    </row>
    <row r="541" ht="13.5" customHeight="1">
      <c r="A541" s="130"/>
      <c r="B541" s="130"/>
      <c r="C541" s="130"/>
      <c r="D541" s="130"/>
      <c r="E541" s="130"/>
      <c r="F541" s="130"/>
      <c r="G541" s="130"/>
      <c r="H541" s="130"/>
      <c r="I541" s="130"/>
      <c r="J541" s="130"/>
      <c r="K541" s="130"/>
      <c r="L541" s="130"/>
      <c r="M541" s="130"/>
      <c r="N541" s="130"/>
      <c r="O541" s="130"/>
      <c r="P541" s="130"/>
      <c r="Q541" s="130"/>
      <c r="R541" s="130"/>
      <c r="S541" s="130"/>
      <c r="T541" s="130"/>
      <c r="U541" s="130"/>
      <c r="V541" s="130"/>
      <c r="W541" s="130"/>
      <c r="X541" s="130"/>
      <c r="Y541" s="130"/>
      <c r="Z541" s="130"/>
    </row>
    <row r="542" ht="13.5" customHeight="1">
      <c r="A542" s="130"/>
      <c r="B542" s="130"/>
      <c r="C542" s="130"/>
      <c r="D542" s="130"/>
      <c r="E542" s="130"/>
      <c r="F542" s="130"/>
      <c r="G542" s="130"/>
      <c r="H542" s="130"/>
      <c r="I542" s="130"/>
      <c r="J542" s="130"/>
      <c r="K542" s="130"/>
      <c r="L542" s="130"/>
      <c r="M542" s="130"/>
      <c r="N542" s="130"/>
      <c r="O542" s="130"/>
      <c r="P542" s="130"/>
      <c r="Q542" s="130"/>
      <c r="R542" s="130"/>
      <c r="S542" s="130"/>
      <c r="T542" s="130"/>
      <c r="U542" s="130"/>
      <c r="V542" s="130"/>
      <c r="W542" s="130"/>
      <c r="X542" s="130"/>
      <c r="Y542" s="130"/>
      <c r="Z542" s="130"/>
    </row>
    <row r="543" ht="13.5" customHeight="1">
      <c r="A543" s="130"/>
      <c r="B543" s="130"/>
      <c r="C543" s="130"/>
      <c r="D543" s="130"/>
      <c r="E543" s="130"/>
      <c r="F543" s="130"/>
      <c r="G543" s="130"/>
      <c r="H543" s="130"/>
      <c r="I543" s="130"/>
      <c r="J543" s="130"/>
      <c r="K543" s="130"/>
      <c r="L543" s="130"/>
      <c r="M543" s="130"/>
      <c r="N543" s="130"/>
      <c r="O543" s="130"/>
      <c r="P543" s="130"/>
      <c r="Q543" s="130"/>
      <c r="R543" s="130"/>
      <c r="S543" s="130"/>
      <c r="T543" s="130"/>
      <c r="U543" s="130"/>
      <c r="V543" s="130"/>
      <c r="W543" s="130"/>
      <c r="X543" s="130"/>
      <c r="Y543" s="130"/>
      <c r="Z543" s="130"/>
    </row>
    <row r="544" ht="13.5" customHeight="1">
      <c r="A544" s="130"/>
      <c r="B544" s="130"/>
      <c r="C544" s="130"/>
      <c r="D544" s="130"/>
      <c r="E544" s="130"/>
      <c r="F544" s="130"/>
      <c r="G544" s="130"/>
      <c r="H544" s="130"/>
      <c r="I544" s="130"/>
      <c r="J544" s="130"/>
      <c r="K544" s="130"/>
      <c r="L544" s="130"/>
      <c r="M544" s="130"/>
      <c r="N544" s="130"/>
      <c r="O544" s="130"/>
      <c r="P544" s="130"/>
      <c r="Q544" s="130"/>
      <c r="R544" s="130"/>
      <c r="S544" s="130"/>
      <c r="T544" s="130"/>
      <c r="U544" s="130"/>
      <c r="V544" s="130"/>
      <c r="W544" s="130"/>
      <c r="X544" s="130"/>
      <c r="Y544" s="130"/>
      <c r="Z544" s="130"/>
    </row>
    <row r="545" ht="13.5" customHeight="1">
      <c r="A545" s="130"/>
      <c r="B545" s="130"/>
      <c r="C545" s="130"/>
      <c r="D545" s="130"/>
      <c r="E545" s="130"/>
      <c r="F545" s="130"/>
      <c r="G545" s="130"/>
      <c r="H545" s="130"/>
      <c r="I545" s="130"/>
      <c r="J545" s="130"/>
      <c r="K545" s="130"/>
      <c r="L545" s="130"/>
      <c r="M545" s="130"/>
      <c r="N545" s="130"/>
      <c r="O545" s="130"/>
      <c r="P545" s="130"/>
      <c r="Q545" s="130"/>
      <c r="R545" s="130"/>
      <c r="S545" s="130"/>
      <c r="T545" s="130"/>
      <c r="U545" s="130"/>
      <c r="V545" s="130"/>
      <c r="W545" s="130"/>
      <c r="X545" s="130"/>
      <c r="Y545" s="130"/>
      <c r="Z545" s="130"/>
    </row>
    <row r="546" ht="13.5" customHeight="1">
      <c r="A546" s="130"/>
      <c r="B546" s="130"/>
      <c r="C546" s="130"/>
      <c r="D546" s="130"/>
      <c r="E546" s="130"/>
      <c r="F546" s="130"/>
      <c r="G546" s="130"/>
      <c r="H546" s="130"/>
      <c r="I546" s="130"/>
      <c r="J546" s="130"/>
      <c r="K546" s="130"/>
      <c r="L546" s="130"/>
      <c r="M546" s="130"/>
      <c r="N546" s="130"/>
      <c r="O546" s="130"/>
      <c r="P546" s="130"/>
      <c r="Q546" s="130"/>
      <c r="R546" s="130"/>
      <c r="S546" s="130"/>
      <c r="T546" s="130"/>
      <c r="U546" s="130"/>
      <c r="V546" s="130"/>
      <c r="W546" s="130"/>
      <c r="X546" s="130"/>
      <c r="Y546" s="130"/>
      <c r="Z546" s="130"/>
    </row>
    <row r="547" ht="13.5" customHeight="1">
      <c r="A547" s="130"/>
      <c r="B547" s="130"/>
      <c r="C547" s="130"/>
      <c r="D547" s="130"/>
      <c r="E547" s="130"/>
      <c r="F547" s="130"/>
      <c r="G547" s="130"/>
      <c r="H547" s="130"/>
      <c r="I547" s="130"/>
      <c r="J547" s="130"/>
      <c r="K547" s="130"/>
      <c r="L547" s="130"/>
      <c r="M547" s="130"/>
      <c r="N547" s="130"/>
      <c r="O547" s="130"/>
      <c r="P547" s="130"/>
      <c r="Q547" s="130"/>
      <c r="R547" s="130"/>
      <c r="S547" s="130"/>
      <c r="T547" s="130"/>
      <c r="U547" s="130"/>
      <c r="V547" s="130"/>
      <c r="W547" s="130"/>
      <c r="X547" s="130"/>
      <c r="Y547" s="130"/>
      <c r="Z547" s="130"/>
    </row>
    <row r="548" ht="13.5" customHeight="1">
      <c r="A548" s="130"/>
      <c r="B548" s="130"/>
      <c r="C548" s="130"/>
      <c r="D548" s="130"/>
      <c r="E548" s="130"/>
      <c r="F548" s="130"/>
      <c r="G548" s="130"/>
      <c r="H548" s="130"/>
      <c r="I548" s="130"/>
      <c r="J548" s="130"/>
      <c r="K548" s="130"/>
      <c r="L548" s="130"/>
      <c r="M548" s="130"/>
      <c r="N548" s="130"/>
      <c r="O548" s="130"/>
      <c r="P548" s="130"/>
      <c r="Q548" s="130"/>
      <c r="R548" s="130"/>
      <c r="S548" s="130"/>
      <c r="T548" s="130"/>
      <c r="U548" s="130"/>
      <c r="V548" s="130"/>
      <c r="W548" s="130"/>
      <c r="X548" s="130"/>
      <c r="Y548" s="130"/>
      <c r="Z548" s="130"/>
    </row>
    <row r="549" ht="13.5" customHeight="1">
      <c r="A549" s="130"/>
      <c r="B549" s="130"/>
      <c r="C549" s="130"/>
      <c r="D549" s="130"/>
      <c r="E549" s="130"/>
      <c r="F549" s="130"/>
      <c r="G549" s="130"/>
      <c r="H549" s="130"/>
      <c r="I549" s="130"/>
      <c r="J549" s="130"/>
      <c r="K549" s="130"/>
      <c r="L549" s="130"/>
      <c r="M549" s="130"/>
      <c r="N549" s="130"/>
      <c r="O549" s="130"/>
      <c r="P549" s="130"/>
      <c r="Q549" s="130"/>
      <c r="R549" s="130"/>
      <c r="S549" s="130"/>
      <c r="T549" s="130"/>
      <c r="U549" s="130"/>
      <c r="V549" s="130"/>
      <c r="W549" s="130"/>
      <c r="X549" s="130"/>
      <c r="Y549" s="130"/>
      <c r="Z549" s="130"/>
    </row>
    <row r="550" ht="13.5" customHeight="1">
      <c r="A550" s="130"/>
      <c r="B550" s="130"/>
      <c r="C550" s="130"/>
      <c r="D550" s="130"/>
      <c r="E550" s="130"/>
      <c r="F550" s="130"/>
      <c r="G550" s="130"/>
      <c r="H550" s="130"/>
      <c r="I550" s="130"/>
      <c r="J550" s="130"/>
      <c r="K550" s="130"/>
      <c r="L550" s="130"/>
      <c r="M550" s="130"/>
      <c r="N550" s="130"/>
      <c r="O550" s="130"/>
      <c r="P550" s="130"/>
      <c r="Q550" s="130"/>
      <c r="R550" s="130"/>
      <c r="S550" s="130"/>
      <c r="T550" s="130"/>
      <c r="U550" s="130"/>
      <c r="V550" s="130"/>
      <c r="W550" s="130"/>
      <c r="X550" s="130"/>
      <c r="Y550" s="130"/>
      <c r="Z550" s="130"/>
    </row>
    <row r="551" ht="13.5" customHeight="1">
      <c r="A551" s="130"/>
      <c r="B551" s="130"/>
      <c r="C551" s="130"/>
      <c r="D551" s="130"/>
      <c r="E551" s="130"/>
      <c r="F551" s="130"/>
      <c r="G551" s="130"/>
      <c r="H551" s="130"/>
      <c r="I551" s="130"/>
      <c r="J551" s="130"/>
      <c r="K551" s="130"/>
      <c r="L551" s="130"/>
      <c r="M551" s="130"/>
      <c r="N551" s="130"/>
      <c r="O551" s="130"/>
      <c r="P551" s="130"/>
      <c r="Q551" s="130"/>
      <c r="R551" s="130"/>
      <c r="S551" s="130"/>
      <c r="T551" s="130"/>
      <c r="U551" s="130"/>
      <c r="V551" s="130"/>
      <c r="W551" s="130"/>
      <c r="X551" s="130"/>
      <c r="Y551" s="130"/>
      <c r="Z551" s="130"/>
    </row>
    <row r="552" ht="13.5" customHeight="1">
      <c r="A552" s="130"/>
      <c r="B552" s="130"/>
      <c r="C552" s="130"/>
      <c r="D552" s="130"/>
      <c r="E552" s="130"/>
      <c r="F552" s="130"/>
      <c r="G552" s="130"/>
      <c r="H552" s="130"/>
      <c r="I552" s="130"/>
      <c r="J552" s="130"/>
      <c r="K552" s="130"/>
      <c r="L552" s="130"/>
      <c r="M552" s="130"/>
      <c r="N552" s="130"/>
      <c r="O552" s="130"/>
      <c r="P552" s="130"/>
      <c r="Q552" s="130"/>
      <c r="R552" s="130"/>
      <c r="S552" s="130"/>
      <c r="T552" s="130"/>
      <c r="U552" s="130"/>
      <c r="V552" s="130"/>
      <c r="W552" s="130"/>
      <c r="X552" s="130"/>
      <c r="Y552" s="130"/>
      <c r="Z552" s="130"/>
    </row>
    <row r="553" ht="13.5" customHeight="1">
      <c r="A553" s="130"/>
      <c r="B553" s="130"/>
      <c r="C553" s="130"/>
      <c r="D553" s="130"/>
      <c r="E553" s="130"/>
      <c r="F553" s="130"/>
      <c r="G553" s="130"/>
      <c r="H553" s="130"/>
      <c r="I553" s="130"/>
      <c r="J553" s="130"/>
      <c r="K553" s="130"/>
      <c r="L553" s="130"/>
      <c r="M553" s="130"/>
      <c r="N553" s="130"/>
      <c r="O553" s="130"/>
      <c r="P553" s="130"/>
      <c r="Q553" s="130"/>
      <c r="R553" s="130"/>
      <c r="S553" s="130"/>
      <c r="T553" s="130"/>
      <c r="U553" s="130"/>
      <c r="V553" s="130"/>
      <c r="W553" s="130"/>
      <c r="X553" s="130"/>
      <c r="Y553" s="130"/>
      <c r="Z553" s="130"/>
    </row>
    <row r="554" ht="13.5" customHeight="1">
      <c r="A554" s="130"/>
      <c r="B554" s="130"/>
      <c r="C554" s="130"/>
      <c r="D554" s="130"/>
      <c r="E554" s="130"/>
      <c r="F554" s="130"/>
      <c r="G554" s="130"/>
      <c r="H554" s="130"/>
      <c r="I554" s="130"/>
      <c r="J554" s="130"/>
      <c r="K554" s="130"/>
      <c r="L554" s="130"/>
      <c r="M554" s="130"/>
      <c r="N554" s="130"/>
      <c r="O554" s="130"/>
      <c r="P554" s="130"/>
      <c r="Q554" s="130"/>
      <c r="R554" s="130"/>
      <c r="S554" s="130"/>
      <c r="T554" s="130"/>
      <c r="U554" s="130"/>
      <c r="V554" s="130"/>
      <c r="W554" s="130"/>
      <c r="X554" s="130"/>
      <c r="Y554" s="130"/>
      <c r="Z554" s="130"/>
    </row>
    <row r="555" ht="13.5" customHeight="1">
      <c r="A555" s="130"/>
      <c r="B555" s="130"/>
      <c r="C555" s="130"/>
      <c r="D555" s="130"/>
      <c r="E555" s="130"/>
      <c r="F555" s="130"/>
      <c r="G555" s="130"/>
      <c r="H555" s="130"/>
      <c r="I555" s="130"/>
      <c r="J555" s="130"/>
      <c r="K555" s="130"/>
      <c r="L555" s="130"/>
      <c r="M555" s="130"/>
      <c r="N555" s="130"/>
      <c r="O555" s="130"/>
      <c r="P555" s="130"/>
      <c r="Q555" s="130"/>
      <c r="R555" s="130"/>
      <c r="S555" s="130"/>
      <c r="T555" s="130"/>
      <c r="U555" s="130"/>
      <c r="V555" s="130"/>
      <c r="W555" s="130"/>
      <c r="X555" s="130"/>
      <c r="Y555" s="130"/>
      <c r="Z555" s="130"/>
    </row>
    <row r="556" ht="13.5" customHeight="1">
      <c r="A556" s="130"/>
      <c r="B556" s="130"/>
      <c r="C556" s="130"/>
      <c r="D556" s="130"/>
      <c r="E556" s="130"/>
      <c r="F556" s="130"/>
      <c r="G556" s="130"/>
      <c r="H556" s="130"/>
      <c r="I556" s="130"/>
      <c r="J556" s="130"/>
      <c r="K556" s="130"/>
      <c r="L556" s="130"/>
      <c r="M556" s="130"/>
      <c r="N556" s="130"/>
      <c r="O556" s="130"/>
      <c r="P556" s="130"/>
      <c r="Q556" s="130"/>
      <c r="R556" s="130"/>
      <c r="S556" s="130"/>
      <c r="T556" s="130"/>
      <c r="U556" s="130"/>
      <c r="V556" s="130"/>
      <c r="W556" s="130"/>
      <c r="X556" s="130"/>
      <c r="Y556" s="130"/>
      <c r="Z556" s="130"/>
    </row>
    <row r="557" ht="13.5" customHeight="1">
      <c r="A557" s="130"/>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row>
    <row r="558" ht="13.5" customHeight="1">
      <c r="A558" s="130"/>
      <c r="B558" s="130"/>
      <c r="C558" s="130"/>
      <c r="D558" s="130"/>
      <c r="E558" s="130"/>
      <c r="F558" s="130"/>
      <c r="G558" s="130"/>
      <c r="H558" s="130"/>
      <c r="I558" s="130"/>
      <c r="J558" s="130"/>
      <c r="K558" s="130"/>
      <c r="L558" s="130"/>
      <c r="M558" s="130"/>
      <c r="N558" s="130"/>
      <c r="O558" s="130"/>
      <c r="P558" s="130"/>
      <c r="Q558" s="130"/>
      <c r="R558" s="130"/>
      <c r="S558" s="130"/>
      <c r="T558" s="130"/>
      <c r="U558" s="130"/>
      <c r="V558" s="130"/>
      <c r="W558" s="130"/>
      <c r="X558" s="130"/>
      <c r="Y558" s="130"/>
      <c r="Z558" s="130"/>
    </row>
    <row r="559" ht="13.5" customHeight="1">
      <c r="A559" s="130"/>
      <c r="B559" s="130"/>
      <c r="C559" s="130"/>
      <c r="D559" s="130"/>
      <c r="E559" s="130"/>
      <c r="F559" s="130"/>
      <c r="G559" s="130"/>
      <c r="H559" s="130"/>
      <c r="I559" s="130"/>
      <c r="J559" s="130"/>
      <c r="K559" s="130"/>
      <c r="L559" s="130"/>
      <c r="M559" s="130"/>
      <c r="N559" s="130"/>
      <c r="O559" s="130"/>
      <c r="P559" s="130"/>
      <c r="Q559" s="130"/>
      <c r="R559" s="130"/>
      <c r="S559" s="130"/>
      <c r="T559" s="130"/>
      <c r="U559" s="130"/>
      <c r="V559" s="130"/>
      <c r="W559" s="130"/>
      <c r="X559" s="130"/>
      <c r="Y559" s="130"/>
      <c r="Z559" s="130"/>
    </row>
    <row r="560" ht="13.5" customHeight="1">
      <c r="A560" s="130"/>
      <c r="B560" s="130"/>
      <c r="C560" s="130"/>
      <c r="D560" s="130"/>
      <c r="E560" s="130"/>
      <c r="F560" s="130"/>
      <c r="G560" s="130"/>
      <c r="H560" s="130"/>
      <c r="I560" s="130"/>
      <c r="J560" s="130"/>
      <c r="K560" s="130"/>
      <c r="L560" s="130"/>
      <c r="M560" s="130"/>
      <c r="N560" s="130"/>
      <c r="O560" s="130"/>
      <c r="P560" s="130"/>
      <c r="Q560" s="130"/>
      <c r="R560" s="130"/>
      <c r="S560" s="130"/>
      <c r="T560" s="130"/>
      <c r="U560" s="130"/>
      <c r="V560" s="130"/>
      <c r="W560" s="130"/>
      <c r="X560" s="130"/>
      <c r="Y560" s="130"/>
      <c r="Z560" s="130"/>
    </row>
    <row r="561" ht="13.5" customHeight="1">
      <c r="A561" s="130"/>
      <c r="B561" s="130"/>
      <c r="C561" s="130"/>
      <c r="D561" s="130"/>
      <c r="E561" s="130"/>
      <c r="F561" s="130"/>
      <c r="G561" s="130"/>
      <c r="H561" s="130"/>
      <c r="I561" s="130"/>
      <c r="J561" s="130"/>
      <c r="K561" s="130"/>
      <c r="L561" s="130"/>
      <c r="M561" s="130"/>
      <c r="N561" s="130"/>
      <c r="O561" s="130"/>
      <c r="P561" s="130"/>
      <c r="Q561" s="130"/>
      <c r="R561" s="130"/>
      <c r="S561" s="130"/>
      <c r="T561" s="130"/>
      <c r="U561" s="130"/>
      <c r="V561" s="130"/>
      <c r="W561" s="130"/>
      <c r="X561" s="130"/>
      <c r="Y561" s="130"/>
      <c r="Z561" s="130"/>
    </row>
    <row r="562" ht="13.5" customHeight="1">
      <c r="A562" s="130"/>
      <c r="B562" s="130"/>
      <c r="C562" s="130"/>
      <c r="D562" s="130"/>
      <c r="E562" s="130"/>
      <c r="F562" s="130"/>
      <c r="G562" s="130"/>
      <c r="H562" s="130"/>
      <c r="I562" s="130"/>
      <c r="J562" s="130"/>
      <c r="K562" s="130"/>
      <c r="L562" s="130"/>
      <c r="M562" s="130"/>
      <c r="N562" s="130"/>
      <c r="O562" s="130"/>
      <c r="P562" s="130"/>
      <c r="Q562" s="130"/>
      <c r="R562" s="130"/>
      <c r="S562" s="130"/>
      <c r="T562" s="130"/>
      <c r="U562" s="130"/>
      <c r="V562" s="130"/>
      <c r="W562" s="130"/>
      <c r="X562" s="130"/>
      <c r="Y562" s="130"/>
      <c r="Z562" s="130"/>
    </row>
    <row r="563" ht="13.5" customHeight="1">
      <c r="A563" s="130"/>
      <c r="B563" s="130"/>
      <c r="C563" s="130"/>
      <c r="D563" s="130"/>
      <c r="E563" s="130"/>
      <c r="F563" s="130"/>
      <c r="G563" s="130"/>
      <c r="H563" s="130"/>
      <c r="I563" s="130"/>
      <c r="J563" s="130"/>
      <c r="K563" s="130"/>
      <c r="L563" s="130"/>
      <c r="M563" s="130"/>
      <c r="N563" s="130"/>
      <c r="O563" s="130"/>
      <c r="P563" s="130"/>
      <c r="Q563" s="130"/>
      <c r="R563" s="130"/>
      <c r="S563" s="130"/>
      <c r="T563" s="130"/>
      <c r="U563" s="130"/>
      <c r="V563" s="130"/>
      <c r="W563" s="130"/>
      <c r="X563" s="130"/>
      <c r="Y563" s="130"/>
      <c r="Z563" s="130"/>
    </row>
    <row r="564" ht="13.5" customHeight="1">
      <c r="A564" s="130"/>
      <c r="B564" s="130"/>
      <c r="C564" s="130"/>
      <c r="D564" s="130"/>
      <c r="E564" s="130"/>
      <c r="F564" s="130"/>
      <c r="G564" s="130"/>
      <c r="H564" s="130"/>
      <c r="I564" s="130"/>
      <c r="J564" s="130"/>
      <c r="K564" s="130"/>
      <c r="L564" s="130"/>
      <c r="M564" s="130"/>
      <c r="N564" s="130"/>
      <c r="O564" s="130"/>
      <c r="P564" s="130"/>
      <c r="Q564" s="130"/>
      <c r="R564" s="130"/>
      <c r="S564" s="130"/>
      <c r="T564" s="130"/>
      <c r="U564" s="130"/>
      <c r="V564" s="130"/>
      <c r="W564" s="130"/>
      <c r="X564" s="130"/>
      <c r="Y564" s="130"/>
      <c r="Z564" s="130"/>
    </row>
    <row r="565" ht="13.5" customHeight="1">
      <c r="A565" s="130"/>
      <c r="B565" s="130"/>
      <c r="C565" s="130"/>
      <c r="D565" s="130"/>
      <c r="E565" s="130"/>
      <c r="F565" s="130"/>
      <c r="G565" s="130"/>
      <c r="H565" s="130"/>
      <c r="I565" s="130"/>
      <c r="J565" s="130"/>
      <c r="K565" s="130"/>
      <c r="L565" s="130"/>
      <c r="M565" s="130"/>
      <c r="N565" s="130"/>
      <c r="O565" s="130"/>
      <c r="P565" s="130"/>
      <c r="Q565" s="130"/>
      <c r="R565" s="130"/>
      <c r="S565" s="130"/>
      <c r="T565" s="130"/>
      <c r="U565" s="130"/>
      <c r="V565" s="130"/>
      <c r="W565" s="130"/>
      <c r="X565" s="130"/>
      <c r="Y565" s="130"/>
      <c r="Z565" s="130"/>
    </row>
    <row r="566" ht="13.5" customHeight="1">
      <c r="A566" s="130"/>
      <c r="B566" s="130"/>
      <c r="C566" s="130"/>
      <c r="D566" s="130"/>
      <c r="E566" s="130"/>
      <c r="F566" s="130"/>
      <c r="G566" s="130"/>
      <c r="H566" s="130"/>
      <c r="I566" s="130"/>
      <c r="J566" s="130"/>
      <c r="K566" s="130"/>
      <c r="L566" s="130"/>
      <c r="M566" s="130"/>
      <c r="N566" s="130"/>
      <c r="O566" s="130"/>
      <c r="P566" s="130"/>
      <c r="Q566" s="130"/>
      <c r="R566" s="130"/>
      <c r="S566" s="130"/>
      <c r="T566" s="130"/>
      <c r="U566" s="130"/>
      <c r="V566" s="130"/>
      <c r="W566" s="130"/>
      <c r="X566" s="130"/>
      <c r="Y566" s="130"/>
      <c r="Z566" s="130"/>
    </row>
    <row r="567" ht="13.5" customHeight="1">
      <c r="A567" s="130"/>
      <c r="B567" s="130"/>
      <c r="C567" s="130"/>
      <c r="D567" s="130"/>
      <c r="E567" s="130"/>
      <c r="F567" s="130"/>
      <c r="G567" s="130"/>
      <c r="H567" s="130"/>
      <c r="I567" s="130"/>
      <c r="J567" s="130"/>
      <c r="K567" s="130"/>
      <c r="L567" s="130"/>
      <c r="M567" s="130"/>
      <c r="N567" s="130"/>
      <c r="O567" s="130"/>
      <c r="P567" s="130"/>
      <c r="Q567" s="130"/>
      <c r="R567" s="130"/>
      <c r="S567" s="130"/>
      <c r="T567" s="130"/>
      <c r="U567" s="130"/>
      <c r="V567" s="130"/>
      <c r="W567" s="130"/>
      <c r="X567" s="130"/>
      <c r="Y567" s="130"/>
      <c r="Z567" s="130"/>
    </row>
    <row r="568" ht="13.5" customHeight="1">
      <c r="A568" s="130"/>
      <c r="B568" s="130"/>
      <c r="C568" s="130"/>
      <c r="D568" s="130"/>
      <c r="E568" s="130"/>
      <c r="F568" s="130"/>
      <c r="G568" s="130"/>
      <c r="H568" s="130"/>
      <c r="I568" s="130"/>
      <c r="J568" s="130"/>
      <c r="K568" s="130"/>
      <c r="L568" s="130"/>
      <c r="M568" s="130"/>
      <c r="N568" s="130"/>
      <c r="O568" s="130"/>
      <c r="P568" s="130"/>
      <c r="Q568" s="130"/>
      <c r="R568" s="130"/>
      <c r="S568" s="130"/>
      <c r="T568" s="130"/>
      <c r="U568" s="130"/>
      <c r="V568" s="130"/>
      <c r="W568" s="130"/>
      <c r="X568" s="130"/>
      <c r="Y568" s="130"/>
      <c r="Z568" s="130"/>
    </row>
    <row r="569" ht="13.5" customHeight="1">
      <c r="A569" s="130"/>
      <c r="B569" s="130"/>
      <c r="C569" s="130"/>
      <c r="D569" s="130"/>
      <c r="E569" s="130"/>
      <c r="F569" s="130"/>
      <c r="G569" s="130"/>
      <c r="H569" s="130"/>
      <c r="I569" s="130"/>
      <c r="J569" s="130"/>
      <c r="K569" s="130"/>
      <c r="L569" s="130"/>
      <c r="M569" s="130"/>
      <c r="N569" s="130"/>
      <c r="O569" s="130"/>
      <c r="P569" s="130"/>
      <c r="Q569" s="130"/>
      <c r="R569" s="130"/>
      <c r="S569" s="130"/>
      <c r="T569" s="130"/>
      <c r="U569" s="130"/>
      <c r="V569" s="130"/>
      <c r="W569" s="130"/>
      <c r="X569" s="130"/>
      <c r="Y569" s="130"/>
      <c r="Z569" s="130"/>
    </row>
    <row r="570" ht="13.5" customHeight="1">
      <c r="A570" s="130"/>
      <c r="B570" s="130"/>
      <c r="C570" s="130"/>
      <c r="D570" s="130"/>
      <c r="E570" s="130"/>
      <c r="F570" s="130"/>
      <c r="G570" s="130"/>
      <c r="H570" s="130"/>
      <c r="I570" s="130"/>
      <c r="J570" s="130"/>
      <c r="K570" s="130"/>
      <c r="L570" s="130"/>
      <c r="M570" s="130"/>
      <c r="N570" s="130"/>
      <c r="O570" s="130"/>
      <c r="P570" s="130"/>
      <c r="Q570" s="130"/>
      <c r="R570" s="130"/>
      <c r="S570" s="130"/>
      <c r="T570" s="130"/>
      <c r="U570" s="130"/>
      <c r="V570" s="130"/>
      <c r="W570" s="130"/>
      <c r="X570" s="130"/>
      <c r="Y570" s="130"/>
      <c r="Z570" s="130"/>
    </row>
    <row r="571" ht="13.5" customHeight="1">
      <c r="A571" s="130"/>
      <c r="B571" s="130"/>
      <c r="C571" s="130"/>
      <c r="D571" s="130"/>
      <c r="E571" s="130"/>
      <c r="F571" s="130"/>
      <c r="G571" s="130"/>
      <c r="H571" s="130"/>
      <c r="I571" s="130"/>
      <c r="J571" s="130"/>
      <c r="K571" s="130"/>
      <c r="L571" s="130"/>
      <c r="M571" s="130"/>
      <c r="N571" s="130"/>
      <c r="O571" s="130"/>
      <c r="P571" s="130"/>
      <c r="Q571" s="130"/>
      <c r="R571" s="130"/>
      <c r="S571" s="130"/>
      <c r="T571" s="130"/>
      <c r="U571" s="130"/>
      <c r="V571" s="130"/>
      <c r="W571" s="130"/>
      <c r="X571" s="130"/>
      <c r="Y571" s="130"/>
      <c r="Z571" s="130"/>
    </row>
    <row r="572" ht="13.5" customHeight="1">
      <c r="A572" s="130"/>
      <c r="B572" s="130"/>
      <c r="C572" s="130"/>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row>
    <row r="573" ht="13.5" customHeight="1">
      <c r="A573" s="130"/>
      <c r="B573" s="130"/>
      <c r="C573" s="130"/>
      <c r="D573" s="130"/>
      <c r="E573" s="130"/>
      <c r="F573" s="130"/>
      <c r="G573" s="130"/>
      <c r="H573" s="130"/>
      <c r="I573" s="130"/>
      <c r="J573" s="130"/>
      <c r="K573" s="130"/>
      <c r="L573" s="130"/>
      <c r="M573" s="130"/>
      <c r="N573" s="130"/>
      <c r="O573" s="130"/>
      <c r="P573" s="130"/>
      <c r="Q573" s="130"/>
      <c r="R573" s="130"/>
      <c r="S573" s="130"/>
      <c r="T573" s="130"/>
      <c r="U573" s="130"/>
      <c r="V573" s="130"/>
      <c r="W573" s="130"/>
      <c r="X573" s="130"/>
      <c r="Y573" s="130"/>
      <c r="Z573" s="130"/>
    </row>
    <row r="574" ht="13.5" customHeight="1">
      <c r="A574" s="130"/>
      <c r="B574" s="130"/>
      <c r="C574" s="130"/>
      <c r="D574" s="130"/>
      <c r="E574" s="130"/>
      <c r="F574" s="130"/>
      <c r="G574" s="130"/>
      <c r="H574" s="130"/>
      <c r="I574" s="130"/>
      <c r="J574" s="130"/>
      <c r="K574" s="130"/>
      <c r="L574" s="130"/>
      <c r="M574" s="130"/>
      <c r="N574" s="130"/>
      <c r="O574" s="130"/>
      <c r="P574" s="130"/>
      <c r="Q574" s="130"/>
      <c r="R574" s="130"/>
      <c r="S574" s="130"/>
      <c r="T574" s="130"/>
      <c r="U574" s="130"/>
      <c r="V574" s="130"/>
      <c r="W574" s="130"/>
      <c r="X574" s="130"/>
      <c r="Y574" s="130"/>
      <c r="Z574" s="130"/>
    </row>
    <row r="575" ht="13.5" customHeight="1">
      <c r="A575" s="130"/>
      <c r="B575" s="130"/>
      <c r="C575" s="130"/>
      <c r="D575" s="130"/>
      <c r="E575" s="130"/>
      <c r="F575" s="130"/>
      <c r="G575" s="130"/>
      <c r="H575" s="130"/>
      <c r="I575" s="130"/>
      <c r="J575" s="130"/>
      <c r="K575" s="130"/>
      <c r="L575" s="130"/>
      <c r="M575" s="130"/>
      <c r="N575" s="130"/>
      <c r="O575" s="130"/>
      <c r="P575" s="130"/>
      <c r="Q575" s="130"/>
      <c r="R575" s="130"/>
      <c r="S575" s="130"/>
      <c r="T575" s="130"/>
      <c r="U575" s="130"/>
      <c r="V575" s="130"/>
      <c r="W575" s="130"/>
      <c r="X575" s="130"/>
      <c r="Y575" s="130"/>
      <c r="Z575" s="130"/>
    </row>
    <row r="576" ht="13.5" customHeight="1">
      <c r="A576" s="130"/>
      <c r="B576" s="130"/>
      <c r="C576" s="130"/>
      <c r="D576" s="130"/>
      <c r="E576" s="130"/>
      <c r="F576" s="130"/>
      <c r="G576" s="130"/>
      <c r="H576" s="130"/>
      <c r="I576" s="130"/>
      <c r="J576" s="130"/>
      <c r="K576" s="130"/>
      <c r="L576" s="130"/>
      <c r="M576" s="130"/>
      <c r="N576" s="130"/>
      <c r="O576" s="130"/>
      <c r="P576" s="130"/>
      <c r="Q576" s="130"/>
      <c r="R576" s="130"/>
      <c r="S576" s="130"/>
      <c r="T576" s="130"/>
      <c r="U576" s="130"/>
      <c r="V576" s="130"/>
      <c r="W576" s="130"/>
      <c r="X576" s="130"/>
      <c r="Y576" s="130"/>
      <c r="Z576" s="130"/>
    </row>
    <row r="577" ht="13.5" customHeight="1">
      <c r="A577" s="130"/>
      <c r="B577" s="130"/>
      <c r="C577" s="130"/>
      <c r="D577" s="130"/>
      <c r="E577" s="130"/>
      <c r="F577" s="130"/>
      <c r="G577" s="130"/>
      <c r="H577" s="130"/>
      <c r="I577" s="130"/>
      <c r="J577" s="130"/>
      <c r="K577" s="130"/>
      <c r="L577" s="130"/>
      <c r="M577" s="130"/>
      <c r="N577" s="130"/>
      <c r="O577" s="130"/>
      <c r="P577" s="130"/>
      <c r="Q577" s="130"/>
      <c r="R577" s="130"/>
      <c r="S577" s="130"/>
      <c r="T577" s="130"/>
      <c r="U577" s="130"/>
      <c r="V577" s="130"/>
      <c r="W577" s="130"/>
      <c r="X577" s="130"/>
      <c r="Y577" s="130"/>
      <c r="Z577" s="130"/>
    </row>
    <row r="578" ht="13.5" customHeight="1">
      <c r="A578" s="130"/>
      <c r="B578" s="130"/>
      <c r="C578" s="130"/>
      <c r="D578" s="130"/>
      <c r="E578" s="130"/>
      <c r="F578" s="130"/>
      <c r="G578" s="130"/>
      <c r="H578" s="130"/>
      <c r="I578" s="130"/>
      <c r="J578" s="130"/>
      <c r="K578" s="130"/>
      <c r="L578" s="130"/>
      <c r="M578" s="130"/>
      <c r="N578" s="130"/>
      <c r="O578" s="130"/>
      <c r="P578" s="130"/>
      <c r="Q578" s="130"/>
      <c r="R578" s="130"/>
      <c r="S578" s="130"/>
      <c r="T578" s="130"/>
      <c r="U578" s="130"/>
      <c r="V578" s="130"/>
      <c r="W578" s="130"/>
      <c r="X578" s="130"/>
      <c r="Y578" s="130"/>
      <c r="Z578" s="130"/>
    </row>
    <row r="579" ht="13.5" customHeight="1">
      <c r="A579" s="130"/>
      <c r="B579" s="130"/>
      <c r="C579" s="130"/>
      <c r="D579" s="130"/>
      <c r="E579" s="130"/>
      <c r="F579" s="130"/>
      <c r="G579" s="130"/>
      <c r="H579" s="130"/>
      <c r="I579" s="130"/>
      <c r="J579" s="130"/>
      <c r="K579" s="130"/>
      <c r="L579" s="130"/>
      <c r="M579" s="130"/>
      <c r="N579" s="130"/>
      <c r="O579" s="130"/>
      <c r="P579" s="130"/>
      <c r="Q579" s="130"/>
      <c r="R579" s="130"/>
      <c r="S579" s="130"/>
      <c r="T579" s="130"/>
      <c r="U579" s="130"/>
      <c r="V579" s="130"/>
      <c r="W579" s="130"/>
      <c r="X579" s="130"/>
      <c r="Y579" s="130"/>
      <c r="Z579" s="130"/>
    </row>
    <row r="580" ht="13.5" customHeight="1">
      <c r="A580" s="130"/>
      <c r="B580" s="130"/>
      <c r="C580" s="130"/>
      <c r="D580" s="130"/>
      <c r="E580" s="130"/>
      <c r="F580" s="130"/>
      <c r="G580" s="130"/>
      <c r="H580" s="130"/>
      <c r="I580" s="130"/>
      <c r="J580" s="130"/>
      <c r="K580" s="130"/>
      <c r="L580" s="130"/>
      <c r="M580" s="130"/>
      <c r="N580" s="130"/>
      <c r="O580" s="130"/>
      <c r="P580" s="130"/>
      <c r="Q580" s="130"/>
      <c r="R580" s="130"/>
      <c r="S580" s="130"/>
      <c r="T580" s="130"/>
      <c r="U580" s="130"/>
      <c r="V580" s="130"/>
      <c r="W580" s="130"/>
      <c r="X580" s="130"/>
      <c r="Y580" s="130"/>
      <c r="Z580" s="130"/>
    </row>
    <row r="581" ht="13.5" customHeight="1">
      <c r="A581" s="130"/>
      <c r="B581" s="130"/>
      <c r="C581" s="130"/>
      <c r="D581" s="130"/>
      <c r="E581" s="130"/>
      <c r="F581" s="130"/>
      <c r="G581" s="130"/>
      <c r="H581" s="130"/>
      <c r="I581" s="130"/>
      <c r="J581" s="130"/>
      <c r="K581" s="130"/>
      <c r="L581" s="130"/>
      <c r="M581" s="130"/>
      <c r="N581" s="130"/>
      <c r="O581" s="130"/>
      <c r="P581" s="130"/>
      <c r="Q581" s="130"/>
      <c r="R581" s="130"/>
      <c r="S581" s="130"/>
      <c r="T581" s="130"/>
      <c r="U581" s="130"/>
      <c r="V581" s="130"/>
      <c r="W581" s="130"/>
      <c r="X581" s="130"/>
      <c r="Y581" s="130"/>
      <c r="Z581" s="130"/>
    </row>
    <row r="582" ht="13.5" customHeight="1">
      <c r="A582" s="130"/>
      <c r="B582" s="130"/>
      <c r="C582" s="130"/>
      <c r="D582" s="130"/>
      <c r="E582" s="130"/>
      <c r="F582" s="130"/>
      <c r="G582" s="130"/>
      <c r="H582" s="130"/>
      <c r="I582" s="130"/>
      <c r="J582" s="130"/>
      <c r="K582" s="130"/>
      <c r="L582" s="130"/>
      <c r="M582" s="130"/>
      <c r="N582" s="130"/>
      <c r="O582" s="130"/>
      <c r="P582" s="130"/>
      <c r="Q582" s="130"/>
      <c r="R582" s="130"/>
      <c r="S582" s="130"/>
      <c r="T582" s="130"/>
      <c r="U582" s="130"/>
      <c r="V582" s="130"/>
      <c r="W582" s="130"/>
      <c r="X582" s="130"/>
      <c r="Y582" s="130"/>
      <c r="Z582" s="130"/>
    </row>
    <row r="583" ht="13.5" customHeight="1">
      <c r="A583" s="130"/>
      <c r="B583" s="130"/>
      <c r="C583" s="130"/>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row>
    <row r="584" ht="13.5" customHeight="1">
      <c r="A584" s="130"/>
      <c r="B584" s="130"/>
      <c r="C584" s="130"/>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row>
    <row r="585" ht="13.5" customHeight="1">
      <c r="A585" s="130"/>
      <c r="B585" s="130"/>
      <c r="C585" s="130"/>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row>
    <row r="586" ht="13.5" customHeight="1">
      <c r="A586" s="130"/>
      <c r="B586" s="130"/>
      <c r="C586" s="130"/>
      <c r="D586" s="130"/>
      <c r="E586" s="130"/>
      <c r="F586" s="130"/>
      <c r="G586" s="130"/>
      <c r="H586" s="130"/>
      <c r="I586" s="130"/>
      <c r="J586" s="130"/>
      <c r="K586" s="130"/>
      <c r="L586" s="130"/>
      <c r="M586" s="130"/>
      <c r="N586" s="130"/>
      <c r="O586" s="130"/>
      <c r="P586" s="130"/>
      <c r="Q586" s="130"/>
      <c r="R586" s="130"/>
      <c r="S586" s="130"/>
      <c r="T586" s="130"/>
      <c r="U586" s="130"/>
      <c r="V586" s="130"/>
      <c r="W586" s="130"/>
      <c r="X586" s="130"/>
      <c r="Y586" s="130"/>
      <c r="Z586" s="130"/>
    </row>
    <row r="587" ht="13.5" customHeight="1">
      <c r="A587" s="130"/>
      <c r="B587" s="130"/>
      <c r="C587" s="130"/>
      <c r="D587" s="130"/>
      <c r="E587" s="130"/>
      <c r="F587" s="130"/>
      <c r="G587" s="130"/>
      <c r="H587" s="130"/>
      <c r="I587" s="130"/>
      <c r="J587" s="130"/>
      <c r="K587" s="130"/>
      <c r="L587" s="130"/>
      <c r="M587" s="130"/>
      <c r="N587" s="130"/>
      <c r="O587" s="130"/>
      <c r="P587" s="130"/>
      <c r="Q587" s="130"/>
      <c r="R587" s="130"/>
      <c r="S587" s="130"/>
      <c r="T587" s="130"/>
      <c r="U587" s="130"/>
      <c r="V587" s="130"/>
      <c r="W587" s="130"/>
      <c r="X587" s="130"/>
      <c r="Y587" s="130"/>
      <c r="Z587" s="130"/>
    </row>
    <row r="588" ht="13.5" customHeight="1">
      <c r="A588" s="130"/>
      <c r="B588" s="130"/>
      <c r="C588" s="130"/>
      <c r="D588" s="130"/>
      <c r="E588" s="130"/>
      <c r="F588" s="130"/>
      <c r="G588" s="130"/>
      <c r="H588" s="130"/>
      <c r="I588" s="130"/>
      <c r="J588" s="130"/>
      <c r="K588" s="130"/>
      <c r="L588" s="130"/>
      <c r="M588" s="130"/>
      <c r="N588" s="130"/>
      <c r="O588" s="130"/>
      <c r="P588" s="130"/>
      <c r="Q588" s="130"/>
      <c r="R588" s="130"/>
      <c r="S588" s="130"/>
      <c r="T588" s="130"/>
      <c r="U588" s="130"/>
      <c r="V588" s="130"/>
      <c r="W588" s="130"/>
      <c r="X588" s="130"/>
      <c r="Y588" s="130"/>
      <c r="Z588" s="130"/>
    </row>
    <row r="589" ht="13.5" customHeight="1">
      <c r="A589" s="130"/>
      <c r="B589" s="130"/>
      <c r="C589" s="130"/>
      <c r="D589" s="130"/>
      <c r="E589" s="130"/>
      <c r="F589" s="130"/>
      <c r="G589" s="130"/>
      <c r="H589" s="130"/>
      <c r="I589" s="130"/>
      <c r="J589" s="130"/>
      <c r="K589" s="130"/>
      <c r="L589" s="130"/>
      <c r="M589" s="130"/>
      <c r="N589" s="130"/>
      <c r="O589" s="130"/>
      <c r="P589" s="130"/>
      <c r="Q589" s="130"/>
      <c r="R589" s="130"/>
      <c r="S589" s="130"/>
      <c r="T589" s="130"/>
      <c r="U589" s="130"/>
      <c r="V589" s="130"/>
      <c r="W589" s="130"/>
      <c r="X589" s="130"/>
      <c r="Y589" s="130"/>
      <c r="Z589" s="130"/>
    </row>
    <row r="590" ht="13.5" customHeight="1">
      <c r="A590" s="130"/>
      <c r="B590" s="130"/>
      <c r="C590" s="130"/>
      <c r="D590" s="130"/>
      <c r="E590" s="130"/>
      <c r="F590" s="130"/>
      <c r="G590" s="130"/>
      <c r="H590" s="130"/>
      <c r="I590" s="130"/>
      <c r="J590" s="130"/>
      <c r="K590" s="130"/>
      <c r="L590" s="130"/>
      <c r="M590" s="130"/>
      <c r="N590" s="130"/>
      <c r="O590" s="130"/>
      <c r="P590" s="130"/>
      <c r="Q590" s="130"/>
      <c r="R590" s="130"/>
      <c r="S590" s="130"/>
      <c r="T590" s="130"/>
      <c r="U590" s="130"/>
      <c r="V590" s="130"/>
      <c r="W590" s="130"/>
      <c r="X590" s="130"/>
      <c r="Y590" s="130"/>
      <c r="Z590" s="130"/>
    </row>
    <row r="591" ht="13.5" customHeight="1">
      <c r="A591" s="130"/>
      <c r="B591" s="130"/>
      <c r="C591" s="130"/>
      <c r="D591" s="130"/>
      <c r="E591" s="130"/>
      <c r="F591" s="130"/>
      <c r="G591" s="130"/>
      <c r="H591" s="130"/>
      <c r="I591" s="130"/>
      <c r="J591" s="130"/>
      <c r="K591" s="130"/>
      <c r="L591" s="130"/>
      <c r="M591" s="130"/>
      <c r="N591" s="130"/>
      <c r="O591" s="130"/>
      <c r="P591" s="130"/>
      <c r="Q591" s="130"/>
      <c r="R591" s="130"/>
      <c r="S591" s="130"/>
      <c r="T591" s="130"/>
      <c r="U591" s="130"/>
      <c r="V591" s="130"/>
      <c r="W591" s="130"/>
      <c r="X591" s="130"/>
      <c r="Y591" s="130"/>
      <c r="Z591" s="130"/>
    </row>
    <row r="592" ht="13.5" customHeight="1">
      <c r="A592" s="130"/>
      <c r="B592" s="130"/>
      <c r="C592" s="130"/>
      <c r="D592" s="130"/>
      <c r="E592" s="130"/>
      <c r="F592" s="130"/>
      <c r="G592" s="130"/>
      <c r="H592" s="130"/>
      <c r="I592" s="130"/>
      <c r="J592" s="130"/>
      <c r="K592" s="130"/>
      <c r="L592" s="130"/>
      <c r="M592" s="130"/>
      <c r="N592" s="130"/>
      <c r="O592" s="130"/>
      <c r="P592" s="130"/>
      <c r="Q592" s="130"/>
      <c r="R592" s="130"/>
      <c r="S592" s="130"/>
      <c r="T592" s="130"/>
      <c r="U592" s="130"/>
      <c r="V592" s="130"/>
      <c r="W592" s="130"/>
      <c r="X592" s="130"/>
      <c r="Y592" s="130"/>
      <c r="Z592" s="130"/>
    </row>
    <row r="593" ht="13.5" customHeight="1">
      <c r="A593" s="130"/>
      <c r="B593" s="130"/>
      <c r="C593" s="130"/>
      <c r="D593" s="130"/>
      <c r="E593" s="130"/>
      <c r="F593" s="130"/>
      <c r="G593" s="130"/>
      <c r="H593" s="130"/>
      <c r="I593" s="130"/>
      <c r="J593" s="130"/>
      <c r="K593" s="130"/>
      <c r="L593" s="130"/>
      <c r="M593" s="130"/>
      <c r="N593" s="130"/>
      <c r="O593" s="130"/>
      <c r="P593" s="130"/>
      <c r="Q593" s="130"/>
      <c r="R593" s="130"/>
      <c r="S593" s="130"/>
      <c r="T593" s="130"/>
      <c r="U593" s="130"/>
      <c r="V593" s="130"/>
      <c r="W593" s="130"/>
      <c r="X593" s="130"/>
      <c r="Y593" s="130"/>
      <c r="Z593" s="130"/>
    </row>
    <row r="594" ht="13.5" customHeight="1">
      <c r="A594" s="130"/>
      <c r="B594" s="130"/>
      <c r="C594" s="130"/>
      <c r="D594" s="130"/>
      <c r="E594" s="130"/>
      <c r="F594" s="130"/>
      <c r="G594" s="130"/>
      <c r="H594" s="130"/>
      <c r="I594" s="130"/>
      <c r="J594" s="130"/>
      <c r="K594" s="130"/>
      <c r="L594" s="130"/>
      <c r="M594" s="130"/>
      <c r="N594" s="130"/>
      <c r="O594" s="130"/>
      <c r="P594" s="130"/>
      <c r="Q594" s="130"/>
      <c r="R594" s="130"/>
      <c r="S594" s="130"/>
      <c r="T594" s="130"/>
      <c r="U594" s="130"/>
      <c r="V594" s="130"/>
      <c r="W594" s="130"/>
      <c r="X594" s="130"/>
      <c r="Y594" s="130"/>
      <c r="Z594" s="130"/>
    </row>
    <row r="595" ht="13.5" customHeight="1">
      <c r="A595" s="130"/>
      <c r="B595" s="130"/>
      <c r="C595" s="130"/>
      <c r="D595" s="130"/>
      <c r="E595" s="130"/>
      <c r="F595" s="130"/>
      <c r="G595" s="130"/>
      <c r="H595" s="130"/>
      <c r="I595" s="130"/>
      <c r="J595" s="130"/>
      <c r="K595" s="130"/>
      <c r="L595" s="130"/>
      <c r="M595" s="130"/>
      <c r="N595" s="130"/>
      <c r="O595" s="130"/>
      <c r="P595" s="130"/>
      <c r="Q595" s="130"/>
      <c r="R595" s="130"/>
      <c r="S595" s="130"/>
      <c r="T595" s="130"/>
      <c r="U595" s="130"/>
      <c r="V595" s="130"/>
      <c r="W595" s="130"/>
      <c r="X595" s="130"/>
      <c r="Y595" s="130"/>
      <c r="Z595" s="130"/>
    </row>
    <row r="596" ht="13.5" customHeight="1">
      <c r="A596" s="130"/>
      <c r="B596" s="130"/>
      <c r="C596" s="130"/>
      <c r="D596" s="130"/>
      <c r="E596" s="130"/>
      <c r="F596" s="130"/>
      <c r="G596" s="130"/>
      <c r="H596" s="130"/>
      <c r="I596" s="130"/>
      <c r="J596" s="130"/>
      <c r="K596" s="130"/>
      <c r="L596" s="130"/>
      <c r="M596" s="130"/>
      <c r="N596" s="130"/>
      <c r="O596" s="130"/>
      <c r="P596" s="130"/>
      <c r="Q596" s="130"/>
      <c r="R596" s="130"/>
      <c r="S596" s="130"/>
      <c r="T596" s="130"/>
      <c r="U596" s="130"/>
      <c r="V596" s="130"/>
      <c r="W596" s="130"/>
      <c r="X596" s="130"/>
      <c r="Y596" s="130"/>
      <c r="Z596" s="130"/>
    </row>
    <row r="597" ht="13.5" customHeight="1">
      <c r="A597" s="130"/>
      <c r="B597" s="130"/>
      <c r="C597" s="130"/>
      <c r="D597" s="130"/>
      <c r="E597" s="130"/>
      <c r="F597" s="130"/>
      <c r="G597" s="130"/>
      <c r="H597" s="130"/>
      <c r="I597" s="130"/>
      <c r="J597" s="130"/>
      <c r="K597" s="130"/>
      <c r="L597" s="130"/>
      <c r="M597" s="130"/>
      <c r="N597" s="130"/>
      <c r="O597" s="130"/>
      <c r="P597" s="130"/>
      <c r="Q597" s="130"/>
      <c r="R597" s="130"/>
      <c r="S597" s="130"/>
      <c r="T597" s="130"/>
      <c r="U597" s="130"/>
      <c r="V597" s="130"/>
      <c r="W597" s="130"/>
      <c r="X597" s="130"/>
      <c r="Y597" s="130"/>
      <c r="Z597" s="130"/>
    </row>
    <row r="598" ht="13.5" customHeight="1">
      <c r="A598" s="130"/>
      <c r="B598" s="130"/>
      <c r="C598" s="130"/>
      <c r="D598" s="130"/>
      <c r="E598" s="130"/>
      <c r="F598" s="130"/>
      <c r="G598" s="130"/>
      <c r="H598" s="130"/>
      <c r="I598" s="130"/>
      <c r="J598" s="130"/>
      <c r="K598" s="130"/>
      <c r="L598" s="130"/>
      <c r="M598" s="130"/>
      <c r="N598" s="130"/>
      <c r="O598" s="130"/>
      <c r="P598" s="130"/>
      <c r="Q598" s="130"/>
      <c r="R598" s="130"/>
      <c r="S598" s="130"/>
      <c r="T598" s="130"/>
      <c r="U598" s="130"/>
      <c r="V598" s="130"/>
      <c r="W598" s="130"/>
      <c r="X598" s="130"/>
      <c r="Y598" s="130"/>
      <c r="Z598" s="130"/>
    </row>
    <row r="599" ht="13.5" customHeight="1">
      <c r="A599" s="130"/>
      <c r="B599" s="130"/>
      <c r="C599" s="130"/>
      <c r="D599" s="130"/>
      <c r="E599" s="130"/>
      <c r="F599" s="130"/>
      <c r="G599" s="130"/>
      <c r="H599" s="130"/>
      <c r="I599" s="130"/>
      <c r="J599" s="130"/>
      <c r="K599" s="130"/>
      <c r="L599" s="130"/>
      <c r="M599" s="130"/>
      <c r="N599" s="130"/>
      <c r="O599" s="130"/>
      <c r="P599" s="130"/>
      <c r="Q599" s="130"/>
      <c r="R599" s="130"/>
      <c r="S599" s="130"/>
      <c r="T599" s="130"/>
      <c r="U599" s="130"/>
      <c r="V599" s="130"/>
      <c r="W599" s="130"/>
      <c r="X599" s="130"/>
      <c r="Y599" s="130"/>
      <c r="Z599" s="130"/>
    </row>
    <row r="600" ht="13.5" customHeight="1">
      <c r="A600" s="130"/>
      <c r="B600" s="130"/>
      <c r="C600" s="130"/>
      <c r="D600" s="130"/>
      <c r="E600" s="130"/>
      <c r="F600" s="130"/>
      <c r="G600" s="130"/>
      <c r="H600" s="130"/>
      <c r="I600" s="130"/>
      <c r="J600" s="130"/>
      <c r="K600" s="130"/>
      <c r="L600" s="130"/>
      <c r="M600" s="130"/>
      <c r="N600" s="130"/>
      <c r="O600" s="130"/>
      <c r="P600" s="130"/>
      <c r="Q600" s="130"/>
      <c r="R600" s="130"/>
      <c r="S600" s="130"/>
      <c r="T600" s="130"/>
      <c r="U600" s="130"/>
      <c r="V600" s="130"/>
      <c r="W600" s="130"/>
      <c r="X600" s="130"/>
      <c r="Y600" s="130"/>
      <c r="Z600" s="130"/>
    </row>
    <row r="601" ht="13.5" customHeight="1">
      <c r="A601" s="130"/>
      <c r="B601" s="130"/>
      <c r="C601" s="130"/>
      <c r="D601" s="130"/>
      <c r="E601" s="130"/>
      <c r="F601" s="130"/>
      <c r="G601" s="130"/>
      <c r="H601" s="130"/>
      <c r="I601" s="130"/>
      <c r="J601" s="130"/>
      <c r="K601" s="130"/>
      <c r="L601" s="130"/>
      <c r="M601" s="130"/>
      <c r="N601" s="130"/>
      <c r="O601" s="130"/>
      <c r="P601" s="130"/>
      <c r="Q601" s="130"/>
      <c r="R601" s="130"/>
      <c r="S601" s="130"/>
      <c r="T601" s="130"/>
      <c r="U601" s="130"/>
      <c r="V601" s="130"/>
      <c r="W601" s="130"/>
      <c r="X601" s="130"/>
      <c r="Y601" s="130"/>
      <c r="Z601" s="130"/>
    </row>
    <row r="602" ht="13.5" customHeight="1">
      <c r="A602" s="130"/>
      <c r="B602" s="130"/>
      <c r="C602" s="130"/>
      <c r="D602" s="130"/>
      <c r="E602" s="130"/>
      <c r="F602" s="130"/>
      <c r="G602" s="130"/>
      <c r="H602" s="130"/>
      <c r="I602" s="130"/>
      <c r="J602" s="130"/>
      <c r="K602" s="130"/>
      <c r="L602" s="130"/>
      <c r="M602" s="130"/>
      <c r="N602" s="130"/>
      <c r="O602" s="130"/>
      <c r="P602" s="130"/>
      <c r="Q602" s="130"/>
      <c r="R602" s="130"/>
      <c r="S602" s="130"/>
      <c r="T602" s="130"/>
      <c r="U602" s="130"/>
      <c r="V602" s="130"/>
      <c r="W602" s="130"/>
      <c r="X602" s="130"/>
      <c r="Y602" s="130"/>
      <c r="Z602" s="130"/>
    </row>
    <row r="603" ht="13.5" customHeight="1">
      <c r="A603" s="130"/>
      <c r="B603" s="130"/>
      <c r="C603" s="130"/>
      <c r="D603" s="130"/>
      <c r="E603" s="130"/>
      <c r="F603" s="130"/>
      <c r="G603" s="130"/>
      <c r="H603" s="130"/>
      <c r="I603" s="130"/>
      <c r="J603" s="130"/>
      <c r="K603" s="130"/>
      <c r="L603" s="130"/>
      <c r="M603" s="130"/>
      <c r="N603" s="130"/>
      <c r="O603" s="130"/>
      <c r="P603" s="130"/>
      <c r="Q603" s="130"/>
      <c r="R603" s="130"/>
      <c r="S603" s="130"/>
      <c r="T603" s="130"/>
      <c r="U603" s="130"/>
      <c r="V603" s="130"/>
      <c r="W603" s="130"/>
      <c r="X603" s="130"/>
      <c r="Y603" s="130"/>
      <c r="Z603" s="130"/>
    </row>
    <row r="604" ht="13.5" customHeight="1">
      <c r="A604" s="130"/>
      <c r="B604" s="130"/>
      <c r="C604" s="130"/>
      <c r="D604" s="130"/>
      <c r="E604" s="130"/>
      <c r="F604" s="130"/>
      <c r="G604" s="130"/>
      <c r="H604" s="130"/>
      <c r="I604" s="130"/>
      <c r="J604" s="130"/>
      <c r="K604" s="130"/>
      <c r="L604" s="130"/>
      <c r="M604" s="130"/>
      <c r="N604" s="130"/>
      <c r="O604" s="130"/>
      <c r="P604" s="130"/>
      <c r="Q604" s="130"/>
      <c r="R604" s="130"/>
      <c r="S604" s="130"/>
      <c r="T604" s="130"/>
      <c r="U604" s="130"/>
      <c r="V604" s="130"/>
      <c r="W604" s="130"/>
      <c r="X604" s="130"/>
      <c r="Y604" s="130"/>
      <c r="Z604" s="130"/>
    </row>
    <row r="605" ht="13.5" customHeight="1">
      <c r="A605" s="130"/>
      <c r="B605" s="130"/>
      <c r="C605" s="130"/>
      <c r="D605" s="130"/>
      <c r="E605" s="130"/>
      <c r="F605" s="130"/>
      <c r="G605" s="130"/>
      <c r="H605" s="130"/>
      <c r="I605" s="130"/>
      <c r="J605" s="130"/>
      <c r="K605" s="130"/>
      <c r="L605" s="130"/>
      <c r="M605" s="130"/>
      <c r="N605" s="130"/>
      <c r="O605" s="130"/>
      <c r="P605" s="130"/>
      <c r="Q605" s="130"/>
      <c r="R605" s="130"/>
      <c r="S605" s="130"/>
      <c r="T605" s="130"/>
      <c r="U605" s="130"/>
      <c r="V605" s="130"/>
      <c r="W605" s="130"/>
      <c r="X605" s="130"/>
      <c r="Y605" s="130"/>
      <c r="Z605" s="130"/>
    </row>
    <row r="606" ht="13.5" customHeight="1">
      <c r="A606" s="130"/>
      <c r="B606" s="130"/>
      <c r="C606" s="130"/>
      <c r="D606" s="130"/>
      <c r="E606" s="130"/>
      <c r="F606" s="130"/>
      <c r="G606" s="130"/>
      <c r="H606" s="130"/>
      <c r="I606" s="130"/>
      <c r="J606" s="130"/>
      <c r="K606" s="130"/>
      <c r="L606" s="130"/>
      <c r="M606" s="130"/>
      <c r="N606" s="130"/>
      <c r="O606" s="130"/>
      <c r="P606" s="130"/>
      <c r="Q606" s="130"/>
      <c r="R606" s="130"/>
      <c r="S606" s="130"/>
      <c r="T606" s="130"/>
      <c r="U606" s="130"/>
      <c r="V606" s="130"/>
      <c r="W606" s="130"/>
      <c r="X606" s="130"/>
      <c r="Y606" s="130"/>
      <c r="Z606" s="130"/>
    </row>
    <row r="607" ht="13.5" customHeight="1">
      <c r="A607" s="130"/>
      <c r="B607" s="130"/>
      <c r="C607" s="130"/>
      <c r="D607" s="130"/>
      <c r="E607" s="130"/>
      <c r="F607" s="130"/>
      <c r="G607" s="130"/>
      <c r="H607" s="130"/>
      <c r="I607" s="130"/>
      <c r="J607" s="130"/>
      <c r="K607" s="130"/>
      <c r="L607" s="130"/>
      <c r="M607" s="130"/>
      <c r="N607" s="130"/>
      <c r="O607" s="130"/>
      <c r="P607" s="130"/>
      <c r="Q607" s="130"/>
      <c r="R607" s="130"/>
      <c r="S607" s="130"/>
      <c r="T607" s="130"/>
      <c r="U607" s="130"/>
      <c r="V607" s="130"/>
      <c r="W607" s="130"/>
      <c r="X607" s="130"/>
      <c r="Y607" s="130"/>
      <c r="Z607" s="130"/>
    </row>
    <row r="608" ht="13.5" customHeight="1">
      <c r="A608" s="130"/>
      <c r="B608" s="130"/>
      <c r="C608" s="130"/>
      <c r="D608" s="130"/>
      <c r="E608" s="130"/>
      <c r="F608" s="130"/>
      <c r="G608" s="130"/>
      <c r="H608" s="130"/>
      <c r="I608" s="130"/>
      <c r="J608" s="130"/>
      <c r="K608" s="130"/>
      <c r="L608" s="130"/>
      <c r="M608" s="130"/>
      <c r="N608" s="130"/>
      <c r="O608" s="130"/>
      <c r="P608" s="130"/>
      <c r="Q608" s="130"/>
      <c r="R608" s="130"/>
      <c r="S608" s="130"/>
      <c r="T608" s="130"/>
      <c r="U608" s="130"/>
      <c r="V608" s="130"/>
      <c r="W608" s="130"/>
      <c r="X608" s="130"/>
      <c r="Y608" s="130"/>
      <c r="Z608" s="130"/>
    </row>
    <row r="609" ht="13.5" customHeight="1">
      <c r="A609" s="130"/>
      <c r="B609" s="130"/>
      <c r="C609" s="130"/>
      <c r="D609" s="130"/>
      <c r="E609" s="130"/>
      <c r="F609" s="130"/>
      <c r="G609" s="130"/>
      <c r="H609" s="130"/>
      <c r="I609" s="130"/>
      <c r="J609" s="130"/>
      <c r="K609" s="130"/>
      <c r="L609" s="130"/>
      <c r="M609" s="130"/>
      <c r="N609" s="130"/>
      <c r="O609" s="130"/>
      <c r="P609" s="130"/>
      <c r="Q609" s="130"/>
      <c r="R609" s="130"/>
      <c r="S609" s="130"/>
      <c r="T609" s="130"/>
      <c r="U609" s="130"/>
      <c r="V609" s="130"/>
      <c r="W609" s="130"/>
      <c r="X609" s="130"/>
      <c r="Y609" s="130"/>
      <c r="Z609" s="130"/>
    </row>
    <row r="610" ht="13.5" customHeight="1">
      <c r="A610" s="130"/>
      <c r="B610" s="130"/>
      <c r="C610" s="130"/>
      <c r="D610" s="130"/>
      <c r="E610" s="130"/>
      <c r="F610" s="130"/>
      <c r="G610" s="130"/>
      <c r="H610" s="130"/>
      <c r="I610" s="130"/>
      <c r="J610" s="130"/>
      <c r="K610" s="130"/>
      <c r="L610" s="130"/>
      <c r="M610" s="130"/>
      <c r="N610" s="130"/>
      <c r="O610" s="130"/>
      <c r="P610" s="130"/>
      <c r="Q610" s="130"/>
      <c r="R610" s="130"/>
      <c r="S610" s="130"/>
      <c r="T610" s="130"/>
      <c r="U610" s="130"/>
      <c r="V610" s="130"/>
      <c r="W610" s="130"/>
      <c r="X610" s="130"/>
      <c r="Y610" s="130"/>
      <c r="Z610" s="130"/>
    </row>
    <row r="611" ht="13.5" customHeight="1">
      <c r="A611" s="130"/>
      <c r="B611" s="130"/>
      <c r="C611" s="130"/>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row>
    <row r="612" ht="13.5" customHeight="1">
      <c r="A612" s="130"/>
      <c r="B612" s="130"/>
      <c r="C612" s="130"/>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row>
    <row r="613" ht="13.5" customHeight="1">
      <c r="A613" s="130"/>
      <c r="B613" s="130"/>
      <c r="C613" s="130"/>
      <c r="D613" s="130"/>
      <c r="E613" s="130"/>
      <c r="F613" s="130"/>
      <c r="G613" s="130"/>
      <c r="H613" s="130"/>
      <c r="I613" s="130"/>
      <c r="J613" s="130"/>
      <c r="K613" s="130"/>
      <c r="L613" s="130"/>
      <c r="M613" s="130"/>
      <c r="N613" s="130"/>
      <c r="O613" s="130"/>
      <c r="P613" s="130"/>
      <c r="Q613" s="130"/>
      <c r="R613" s="130"/>
      <c r="S613" s="130"/>
      <c r="T613" s="130"/>
      <c r="U613" s="130"/>
      <c r="V613" s="130"/>
      <c r="W613" s="130"/>
      <c r="X613" s="130"/>
      <c r="Y613" s="130"/>
      <c r="Z613" s="130"/>
    </row>
    <row r="614" ht="13.5" customHeight="1">
      <c r="A614" s="130"/>
      <c r="B614" s="130"/>
      <c r="C614" s="130"/>
      <c r="D614" s="130"/>
      <c r="E614" s="130"/>
      <c r="F614" s="130"/>
      <c r="G614" s="130"/>
      <c r="H614" s="130"/>
      <c r="I614" s="130"/>
      <c r="J614" s="130"/>
      <c r="K614" s="130"/>
      <c r="L614" s="130"/>
      <c r="M614" s="130"/>
      <c r="N614" s="130"/>
      <c r="O614" s="130"/>
      <c r="P614" s="130"/>
      <c r="Q614" s="130"/>
      <c r="R614" s="130"/>
      <c r="S614" s="130"/>
      <c r="T614" s="130"/>
      <c r="U614" s="130"/>
      <c r="V614" s="130"/>
      <c r="W614" s="130"/>
      <c r="X614" s="130"/>
      <c r="Y614" s="130"/>
      <c r="Z614" s="130"/>
    </row>
    <row r="615" ht="13.5" customHeight="1">
      <c r="A615" s="130"/>
      <c r="B615" s="130"/>
      <c r="C615" s="130"/>
      <c r="D615" s="130"/>
      <c r="E615" s="130"/>
      <c r="F615" s="130"/>
      <c r="G615" s="130"/>
      <c r="H615" s="130"/>
      <c r="I615" s="130"/>
      <c r="J615" s="130"/>
      <c r="K615" s="130"/>
      <c r="L615" s="130"/>
      <c r="M615" s="130"/>
      <c r="N615" s="130"/>
      <c r="O615" s="130"/>
      <c r="P615" s="130"/>
      <c r="Q615" s="130"/>
      <c r="R615" s="130"/>
      <c r="S615" s="130"/>
      <c r="T615" s="130"/>
      <c r="U615" s="130"/>
      <c r="V615" s="130"/>
      <c r="W615" s="130"/>
      <c r="X615" s="130"/>
      <c r="Y615" s="130"/>
      <c r="Z615" s="130"/>
    </row>
    <row r="616" ht="13.5" customHeight="1">
      <c r="A616" s="130"/>
      <c r="B616" s="130"/>
      <c r="C616" s="130"/>
      <c r="D616" s="130"/>
      <c r="E616" s="130"/>
      <c r="F616" s="130"/>
      <c r="G616" s="130"/>
      <c r="H616" s="130"/>
      <c r="I616" s="130"/>
      <c r="J616" s="130"/>
      <c r="K616" s="130"/>
      <c r="L616" s="130"/>
      <c r="M616" s="130"/>
      <c r="N616" s="130"/>
      <c r="O616" s="130"/>
      <c r="P616" s="130"/>
      <c r="Q616" s="130"/>
      <c r="R616" s="130"/>
      <c r="S616" s="130"/>
      <c r="T616" s="130"/>
      <c r="U616" s="130"/>
      <c r="V616" s="130"/>
      <c r="W616" s="130"/>
      <c r="X616" s="130"/>
      <c r="Y616" s="130"/>
      <c r="Z616" s="130"/>
    </row>
    <row r="617" ht="13.5" customHeight="1">
      <c r="A617" s="130"/>
      <c r="B617" s="130"/>
      <c r="C617" s="130"/>
      <c r="D617" s="130"/>
      <c r="E617" s="130"/>
      <c r="F617" s="130"/>
      <c r="G617" s="130"/>
      <c r="H617" s="130"/>
      <c r="I617" s="130"/>
      <c r="J617" s="130"/>
      <c r="K617" s="130"/>
      <c r="L617" s="130"/>
      <c r="M617" s="130"/>
      <c r="N617" s="130"/>
      <c r="O617" s="130"/>
      <c r="P617" s="130"/>
      <c r="Q617" s="130"/>
      <c r="R617" s="130"/>
      <c r="S617" s="130"/>
      <c r="T617" s="130"/>
      <c r="U617" s="130"/>
      <c r="V617" s="130"/>
      <c r="W617" s="130"/>
      <c r="X617" s="130"/>
      <c r="Y617" s="130"/>
      <c r="Z617" s="130"/>
    </row>
    <row r="618" ht="13.5" customHeight="1">
      <c r="A618" s="130"/>
      <c r="B618" s="130"/>
      <c r="C618" s="130"/>
      <c r="D618" s="130"/>
      <c r="E618" s="130"/>
      <c r="F618" s="130"/>
      <c r="G618" s="130"/>
      <c r="H618" s="130"/>
      <c r="I618" s="130"/>
      <c r="J618" s="130"/>
      <c r="K618" s="130"/>
      <c r="L618" s="130"/>
      <c r="M618" s="130"/>
      <c r="N618" s="130"/>
      <c r="O618" s="130"/>
      <c r="P618" s="130"/>
      <c r="Q618" s="130"/>
      <c r="R618" s="130"/>
      <c r="S618" s="130"/>
      <c r="T618" s="130"/>
      <c r="U618" s="130"/>
      <c r="V618" s="130"/>
      <c r="W618" s="130"/>
      <c r="X618" s="130"/>
      <c r="Y618" s="130"/>
      <c r="Z618" s="130"/>
    </row>
    <row r="619" ht="13.5" customHeight="1">
      <c r="A619" s="130"/>
      <c r="B619" s="130"/>
      <c r="C619" s="130"/>
      <c r="D619" s="130"/>
      <c r="E619" s="130"/>
      <c r="F619" s="130"/>
      <c r="G619" s="130"/>
      <c r="H619" s="130"/>
      <c r="I619" s="130"/>
      <c r="J619" s="130"/>
      <c r="K619" s="130"/>
      <c r="L619" s="130"/>
      <c r="M619" s="130"/>
      <c r="N619" s="130"/>
      <c r="O619" s="130"/>
      <c r="P619" s="130"/>
      <c r="Q619" s="130"/>
      <c r="R619" s="130"/>
      <c r="S619" s="130"/>
      <c r="T619" s="130"/>
      <c r="U619" s="130"/>
      <c r="V619" s="130"/>
      <c r="W619" s="130"/>
      <c r="X619" s="130"/>
      <c r="Y619" s="130"/>
      <c r="Z619" s="130"/>
    </row>
    <row r="620" ht="13.5" customHeight="1">
      <c r="A620" s="130"/>
      <c r="B620" s="130"/>
      <c r="C620" s="130"/>
      <c r="D620" s="130"/>
      <c r="E620" s="130"/>
      <c r="F620" s="130"/>
      <c r="G620" s="130"/>
      <c r="H620" s="130"/>
      <c r="I620" s="130"/>
      <c r="J620" s="130"/>
      <c r="K620" s="130"/>
      <c r="L620" s="130"/>
      <c r="M620" s="130"/>
      <c r="N620" s="130"/>
      <c r="O620" s="130"/>
      <c r="P620" s="130"/>
      <c r="Q620" s="130"/>
      <c r="R620" s="130"/>
      <c r="S620" s="130"/>
      <c r="T620" s="130"/>
      <c r="U620" s="130"/>
      <c r="V620" s="130"/>
      <c r="W620" s="130"/>
      <c r="X620" s="130"/>
      <c r="Y620" s="130"/>
      <c r="Z620" s="130"/>
    </row>
    <row r="621" ht="13.5" customHeight="1">
      <c r="A621" s="130"/>
      <c r="B621" s="130"/>
      <c r="C621" s="130"/>
      <c r="D621" s="130"/>
      <c r="E621" s="130"/>
      <c r="F621" s="130"/>
      <c r="G621" s="130"/>
      <c r="H621" s="130"/>
      <c r="I621" s="130"/>
      <c r="J621" s="130"/>
      <c r="K621" s="130"/>
      <c r="L621" s="130"/>
      <c r="M621" s="130"/>
      <c r="N621" s="130"/>
      <c r="O621" s="130"/>
      <c r="P621" s="130"/>
      <c r="Q621" s="130"/>
      <c r="R621" s="130"/>
      <c r="S621" s="130"/>
      <c r="T621" s="130"/>
      <c r="U621" s="130"/>
      <c r="V621" s="130"/>
      <c r="W621" s="130"/>
      <c r="X621" s="130"/>
      <c r="Y621" s="130"/>
      <c r="Z621" s="130"/>
    </row>
    <row r="622" ht="13.5" customHeight="1">
      <c r="A622" s="130"/>
      <c r="B622" s="130"/>
      <c r="C622" s="130"/>
      <c r="D622" s="130"/>
      <c r="E622" s="130"/>
      <c r="F622" s="130"/>
      <c r="G622" s="130"/>
      <c r="H622" s="130"/>
      <c r="I622" s="130"/>
      <c r="J622" s="130"/>
      <c r="K622" s="130"/>
      <c r="L622" s="130"/>
      <c r="M622" s="130"/>
      <c r="N622" s="130"/>
      <c r="O622" s="130"/>
      <c r="P622" s="130"/>
      <c r="Q622" s="130"/>
      <c r="R622" s="130"/>
      <c r="S622" s="130"/>
      <c r="T622" s="130"/>
      <c r="U622" s="130"/>
      <c r="V622" s="130"/>
      <c r="W622" s="130"/>
      <c r="X622" s="130"/>
      <c r="Y622" s="130"/>
      <c r="Z622" s="130"/>
    </row>
    <row r="623" ht="13.5" customHeight="1">
      <c r="A623" s="130"/>
      <c r="B623" s="130"/>
      <c r="C623" s="130"/>
      <c r="D623" s="130"/>
      <c r="E623" s="130"/>
      <c r="F623" s="130"/>
      <c r="G623" s="130"/>
      <c r="H623" s="130"/>
      <c r="I623" s="130"/>
      <c r="J623" s="130"/>
      <c r="K623" s="130"/>
      <c r="L623" s="130"/>
      <c r="M623" s="130"/>
      <c r="N623" s="130"/>
      <c r="O623" s="130"/>
      <c r="P623" s="130"/>
      <c r="Q623" s="130"/>
      <c r="R623" s="130"/>
      <c r="S623" s="130"/>
      <c r="T623" s="130"/>
      <c r="U623" s="130"/>
      <c r="V623" s="130"/>
      <c r="W623" s="130"/>
      <c r="X623" s="130"/>
      <c r="Y623" s="130"/>
      <c r="Z623" s="130"/>
    </row>
    <row r="624" ht="13.5" customHeight="1">
      <c r="A624" s="130"/>
      <c r="B624" s="130"/>
      <c r="C624" s="130"/>
      <c r="D624" s="130"/>
      <c r="E624" s="130"/>
      <c r="F624" s="130"/>
      <c r="G624" s="130"/>
      <c r="H624" s="130"/>
      <c r="I624" s="130"/>
      <c r="J624" s="130"/>
      <c r="K624" s="130"/>
      <c r="L624" s="130"/>
      <c r="M624" s="130"/>
      <c r="N624" s="130"/>
      <c r="O624" s="130"/>
      <c r="P624" s="130"/>
      <c r="Q624" s="130"/>
      <c r="R624" s="130"/>
      <c r="S624" s="130"/>
      <c r="T624" s="130"/>
      <c r="U624" s="130"/>
      <c r="V624" s="130"/>
      <c r="W624" s="130"/>
      <c r="X624" s="130"/>
      <c r="Y624" s="130"/>
      <c r="Z624" s="130"/>
    </row>
    <row r="625" ht="13.5" customHeight="1">
      <c r="A625" s="130"/>
      <c r="B625" s="130"/>
      <c r="C625" s="130"/>
      <c r="D625" s="130"/>
      <c r="E625" s="130"/>
      <c r="F625" s="130"/>
      <c r="G625" s="130"/>
      <c r="H625" s="130"/>
      <c r="I625" s="130"/>
      <c r="J625" s="130"/>
      <c r="K625" s="130"/>
      <c r="L625" s="130"/>
      <c r="M625" s="130"/>
      <c r="N625" s="130"/>
      <c r="O625" s="130"/>
      <c r="P625" s="130"/>
      <c r="Q625" s="130"/>
      <c r="R625" s="130"/>
      <c r="S625" s="130"/>
      <c r="T625" s="130"/>
      <c r="U625" s="130"/>
      <c r="V625" s="130"/>
      <c r="W625" s="130"/>
      <c r="X625" s="130"/>
      <c r="Y625" s="130"/>
      <c r="Z625" s="130"/>
    </row>
    <row r="626" ht="13.5" customHeight="1">
      <c r="A626" s="130"/>
      <c r="B626" s="130"/>
      <c r="C626" s="130"/>
      <c r="D626" s="130"/>
      <c r="E626" s="130"/>
      <c r="F626" s="130"/>
      <c r="G626" s="130"/>
      <c r="H626" s="130"/>
      <c r="I626" s="130"/>
      <c r="J626" s="130"/>
      <c r="K626" s="130"/>
      <c r="L626" s="130"/>
      <c r="M626" s="130"/>
      <c r="N626" s="130"/>
      <c r="O626" s="130"/>
      <c r="P626" s="130"/>
      <c r="Q626" s="130"/>
      <c r="R626" s="130"/>
      <c r="S626" s="130"/>
      <c r="T626" s="130"/>
      <c r="U626" s="130"/>
      <c r="V626" s="130"/>
      <c r="W626" s="130"/>
      <c r="X626" s="130"/>
      <c r="Y626" s="130"/>
      <c r="Z626" s="130"/>
    </row>
    <row r="627" ht="13.5" customHeight="1">
      <c r="A627" s="130"/>
      <c r="B627" s="130"/>
      <c r="C627" s="130"/>
      <c r="D627" s="130"/>
      <c r="E627" s="130"/>
      <c r="F627" s="130"/>
      <c r="G627" s="130"/>
      <c r="H627" s="130"/>
      <c r="I627" s="130"/>
      <c r="J627" s="130"/>
      <c r="K627" s="130"/>
      <c r="L627" s="130"/>
      <c r="M627" s="130"/>
      <c r="N627" s="130"/>
      <c r="O627" s="130"/>
      <c r="P627" s="130"/>
      <c r="Q627" s="130"/>
      <c r="R627" s="130"/>
      <c r="S627" s="130"/>
      <c r="T627" s="130"/>
      <c r="U627" s="130"/>
      <c r="V627" s="130"/>
      <c r="W627" s="130"/>
      <c r="X627" s="130"/>
      <c r="Y627" s="130"/>
      <c r="Z627" s="130"/>
    </row>
    <row r="628" ht="13.5" customHeight="1">
      <c r="A628" s="130"/>
      <c r="B628" s="130"/>
      <c r="C628" s="130"/>
      <c r="D628" s="130"/>
      <c r="E628" s="130"/>
      <c r="F628" s="130"/>
      <c r="G628" s="130"/>
      <c r="H628" s="130"/>
      <c r="I628" s="130"/>
      <c r="J628" s="130"/>
      <c r="K628" s="130"/>
      <c r="L628" s="130"/>
      <c r="M628" s="130"/>
      <c r="N628" s="130"/>
      <c r="O628" s="130"/>
      <c r="P628" s="130"/>
      <c r="Q628" s="130"/>
      <c r="R628" s="130"/>
      <c r="S628" s="130"/>
      <c r="T628" s="130"/>
      <c r="U628" s="130"/>
      <c r="V628" s="130"/>
      <c r="W628" s="130"/>
      <c r="X628" s="130"/>
      <c r="Y628" s="130"/>
      <c r="Z628" s="130"/>
    </row>
    <row r="629" ht="13.5" customHeight="1">
      <c r="A629" s="130"/>
      <c r="B629" s="130"/>
      <c r="C629" s="130"/>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row>
    <row r="630" ht="13.5" customHeight="1">
      <c r="A630" s="130"/>
      <c r="B630" s="130"/>
      <c r="C630" s="130"/>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row>
    <row r="631" ht="13.5" customHeight="1">
      <c r="A631" s="130"/>
      <c r="B631" s="130"/>
      <c r="C631" s="130"/>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row>
    <row r="632" ht="13.5" customHeight="1">
      <c r="A632" s="130"/>
      <c r="B632" s="130"/>
      <c r="C632" s="130"/>
      <c r="D632" s="130"/>
      <c r="E632" s="130"/>
      <c r="F632" s="130"/>
      <c r="G632" s="130"/>
      <c r="H632" s="130"/>
      <c r="I632" s="130"/>
      <c r="J632" s="130"/>
      <c r="K632" s="130"/>
      <c r="L632" s="130"/>
      <c r="M632" s="130"/>
      <c r="N632" s="130"/>
      <c r="O632" s="130"/>
      <c r="P632" s="130"/>
      <c r="Q632" s="130"/>
      <c r="R632" s="130"/>
      <c r="S632" s="130"/>
      <c r="T632" s="130"/>
      <c r="U632" s="130"/>
      <c r="V632" s="130"/>
      <c r="W632" s="130"/>
      <c r="X632" s="130"/>
      <c r="Y632" s="130"/>
      <c r="Z632" s="130"/>
    </row>
    <row r="633" ht="13.5" customHeight="1">
      <c r="A633" s="130"/>
      <c r="B633" s="130"/>
      <c r="C633" s="130"/>
      <c r="D633" s="130"/>
      <c r="E633" s="130"/>
      <c r="F633" s="130"/>
      <c r="G633" s="130"/>
      <c r="H633" s="130"/>
      <c r="I633" s="130"/>
      <c r="J633" s="130"/>
      <c r="K633" s="130"/>
      <c r="L633" s="130"/>
      <c r="M633" s="130"/>
      <c r="N633" s="130"/>
      <c r="O633" s="130"/>
      <c r="P633" s="130"/>
      <c r="Q633" s="130"/>
      <c r="R633" s="130"/>
      <c r="S633" s="130"/>
      <c r="T633" s="130"/>
      <c r="U633" s="130"/>
      <c r="V633" s="130"/>
      <c r="W633" s="130"/>
      <c r="X633" s="130"/>
      <c r="Y633" s="130"/>
      <c r="Z633" s="130"/>
    </row>
    <row r="634" ht="13.5" customHeight="1">
      <c r="A634" s="130"/>
      <c r="B634" s="130"/>
      <c r="C634" s="130"/>
      <c r="D634" s="130"/>
      <c r="E634" s="130"/>
      <c r="F634" s="130"/>
      <c r="G634" s="130"/>
      <c r="H634" s="130"/>
      <c r="I634" s="130"/>
      <c r="J634" s="130"/>
      <c r="K634" s="130"/>
      <c r="L634" s="130"/>
      <c r="M634" s="130"/>
      <c r="N634" s="130"/>
      <c r="O634" s="130"/>
      <c r="P634" s="130"/>
      <c r="Q634" s="130"/>
      <c r="R634" s="130"/>
      <c r="S634" s="130"/>
      <c r="T634" s="130"/>
      <c r="U634" s="130"/>
      <c r="V634" s="130"/>
      <c r="W634" s="130"/>
      <c r="X634" s="130"/>
      <c r="Y634" s="130"/>
      <c r="Z634" s="130"/>
    </row>
    <row r="635" ht="13.5" customHeight="1">
      <c r="A635" s="130"/>
      <c r="B635" s="130"/>
      <c r="C635" s="130"/>
      <c r="D635" s="130"/>
      <c r="E635" s="130"/>
      <c r="F635" s="130"/>
      <c r="G635" s="130"/>
      <c r="H635" s="130"/>
      <c r="I635" s="130"/>
      <c r="J635" s="130"/>
      <c r="K635" s="130"/>
      <c r="L635" s="130"/>
      <c r="M635" s="130"/>
      <c r="N635" s="130"/>
      <c r="O635" s="130"/>
      <c r="P635" s="130"/>
      <c r="Q635" s="130"/>
      <c r="R635" s="130"/>
      <c r="S635" s="130"/>
      <c r="T635" s="130"/>
      <c r="U635" s="130"/>
      <c r="V635" s="130"/>
      <c r="W635" s="130"/>
      <c r="X635" s="130"/>
      <c r="Y635" s="130"/>
      <c r="Z635" s="130"/>
    </row>
    <row r="636" ht="13.5" customHeight="1">
      <c r="A636" s="130"/>
      <c r="B636" s="130"/>
      <c r="C636" s="130"/>
      <c r="D636" s="130"/>
      <c r="E636" s="130"/>
      <c r="F636" s="130"/>
      <c r="G636" s="130"/>
      <c r="H636" s="130"/>
      <c r="I636" s="130"/>
      <c r="J636" s="130"/>
      <c r="K636" s="130"/>
      <c r="L636" s="130"/>
      <c r="M636" s="130"/>
      <c r="N636" s="130"/>
      <c r="O636" s="130"/>
      <c r="P636" s="130"/>
      <c r="Q636" s="130"/>
      <c r="R636" s="130"/>
      <c r="S636" s="130"/>
      <c r="T636" s="130"/>
      <c r="U636" s="130"/>
      <c r="V636" s="130"/>
      <c r="W636" s="130"/>
      <c r="X636" s="130"/>
      <c r="Y636" s="130"/>
      <c r="Z636" s="130"/>
    </row>
    <row r="637" ht="13.5" customHeight="1">
      <c r="A637" s="130"/>
      <c r="B637" s="130"/>
      <c r="C637" s="130"/>
      <c r="D637" s="130"/>
      <c r="E637" s="130"/>
      <c r="F637" s="130"/>
      <c r="G637" s="130"/>
      <c r="H637" s="130"/>
      <c r="I637" s="130"/>
      <c r="J637" s="130"/>
      <c r="K637" s="130"/>
      <c r="L637" s="130"/>
      <c r="M637" s="130"/>
      <c r="N637" s="130"/>
      <c r="O637" s="130"/>
      <c r="P637" s="130"/>
      <c r="Q637" s="130"/>
      <c r="R637" s="130"/>
      <c r="S637" s="130"/>
      <c r="T637" s="130"/>
      <c r="U637" s="130"/>
      <c r="V637" s="130"/>
      <c r="W637" s="130"/>
      <c r="X637" s="130"/>
      <c r="Y637" s="130"/>
      <c r="Z637" s="130"/>
    </row>
    <row r="638" ht="13.5" customHeight="1">
      <c r="A638" s="130"/>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row>
    <row r="639" ht="13.5" customHeight="1">
      <c r="A639" s="130"/>
      <c r="B639" s="130"/>
      <c r="C639" s="130"/>
      <c r="D639" s="130"/>
      <c r="E639" s="130"/>
      <c r="F639" s="130"/>
      <c r="G639" s="130"/>
      <c r="H639" s="130"/>
      <c r="I639" s="130"/>
      <c r="J639" s="130"/>
      <c r="K639" s="130"/>
      <c r="L639" s="130"/>
      <c r="M639" s="130"/>
      <c r="N639" s="130"/>
      <c r="O639" s="130"/>
      <c r="P639" s="130"/>
      <c r="Q639" s="130"/>
      <c r="R639" s="130"/>
      <c r="S639" s="130"/>
      <c r="T639" s="130"/>
      <c r="U639" s="130"/>
      <c r="V639" s="130"/>
      <c r="W639" s="130"/>
      <c r="X639" s="130"/>
      <c r="Y639" s="130"/>
      <c r="Z639" s="130"/>
    </row>
    <row r="640" ht="13.5" customHeight="1">
      <c r="A640" s="130"/>
      <c r="B640" s="130"/>
      <c r="C640" s="130"/>
      <c r="D640" s="130"/>
      <c r="E640" s="130"/>
      <c r="F640" s="130"/>
      <c r="G640" s="130"/>
      <c r="H640" s="130"/>
      <c r="I640" s="130"/>
      <c r="J640" s="130"/>
      <c r="K640" s="130"/>
      <c r="L640" s="130"/>
      <c r="M640" s="130"/>
      <c r="N640" s="130"/>
      <c r="O640" s="130"/>
      <c r="P640" s="130"/>
      <c r="Q640" s="130"/>
      <c r="R640" s="130"/>
      <c r="S640" s="130"/>
      <c r="T640" s="130"/>
      <c r="U640" s="130"/>
      <c r="V640" s="130"/>
      <c r="W640" s="130"/>
      <c r="X640" s="130"/>
      <c r="Y640" s="130"/>
      <c r="Z640" s="130"/>
    </row>
    <row r="641" ht="13.5" customHeight="1">
      <c r="A641" s="130"/>
      <c r="B641" s="130"/>
      <c r="C641" s="130"/>
      <c r="D641" s="130"/>
      <c r="E641" s="130"/>
      <c r="F641" s="130"/>
      <c r="G641" s="130"/>
      <c r="H641" s="130"/>
      <c r="I641" s="130"/>
      <c r="J641" s="130"/>
      <c r="K641" s="130"/>
      <c r="L641" s="130"/>
      <c r="M641" s="130"/>
      <c r="N641" s="130"/>
      <c r="O641" s="130"/>
      <c r="P641" s="130"/>
      <c r="Q641" s="130"/>
      <c r="R641" s="130"/>
      <c r="S641" s="130"/>
      <c r="T641" s="130"/>
      <c r="U641" s="130"/>
      <c r="V641" s="130"/>
      <c r="W641" s="130"/>
      <c r="X641" s="130"/>
      <c r="Y641" s="130"/>
      <c r="Z641" s="130"/>
    </row>
    <row r="642" ht="13.5" customHeight="1">
      <c r="A642" s="130"/>
      <c r="B642" s="130"/>
      <c r="C642" s="130"/>
      <c r="D642" s="130"/>
      <c r="E642" s="130"/>
      <c r="F642" s="130"/>
      <c r="G642" s="130"/>
      <c r="H642" s="130"/>
      <c r="I642" s="130"/>
      <c r="J642" s="130"/>
      <c r="K642" s="130"/>
      <c r="L642" s="130"/>
      <c r="M642" s="130"/>
      <c r="N642" s="130"/>
      <c r="O642" s="130"/>
      <c r="P642" s="130"/>
      <c r="Q642" s="130"/>
      <c r="R642" s="130"/>
      <c r="S642" s="130"/>
      <c r="T642" s="130"/>
      <c r="U642" s="130"/>
      <c r="V642" s="130"/>
      <c r="W642" s="130"/>
      <c r="X642" s="130"/>
      <c r="Y642" s="130"/>
      <c r="Z642" s="130"/>
    </row>
    <row r="643" ht="13.5" customHeight="1">
      <c r="A643" s="130"/>
      <c r="B643" s="130"/>
      <c r="C643" s="130"/>
      <c r="D643" s="130"/>
      <c r="E643" s="130"/>
      <c r="F643" s="130"/>
      <c r="G643" s="130"/>
      <c r="H643" s="130"/>
      <c r="I643" s="130"/>
      <c r="J643" s="130"/>
      <c r="K643" s="130"/>
      <c r="L643" s="130"/>
      <c r="M643" s="130"/>
      <c r="N643" s="130"/>
      <c r="O643" s="130"/>
      <c r="P643" s="130"/>
      <c r="Q643" s="130"/>
      <c r="R643" s="130"/>
      <c r="S643" s="130"/>
      <c r="T643" s="130"/>
      <c r="U643" s="130"/>
      <c r="V643" s="130"/>
      <c r="W643" s="130"/>
      <c r="X643" s="130"/>
      <c r="Y643" s="130"/>
      <c r="Z643" s="130"/>
    </row>
    <row r="644" ht="13.5" customHeight="1">
      <c r="A644" s="130"/>
      <c r="B644" s="130"/>
      <c r="C644" s="130"/>
      <c r="D644" s="130"/>
      <c r="E644" s="130"/>
      <c r="F644" s="130"/>
      <c r="G644" s="130"/>
      <c r="H644" s="130"/>
      <c r="I644" s="130"/>
      <c r="J644" s="130"/>
      <c r="K644" s="130"/>
      <c r="L644" s="130"/>
      <c r="M644" s="130"/>
      <c r="N644" s="130"/>
      <c r="O644" s="130"/>
      <c r="P644" s="130"/>
      <c r="Q644" s="130"/>
      <c r="R644" s="130"/>
      <c r="S644" s="130"/>
      <c r="T644" s="130"/>
      <c r="U644" s="130"/>
      <c r="V644" s="130"/>
      <c r="W644" s="130"/>
      <c r="X644" s="130"/>
      <c r="Y644" s="130"/>
      <c r="Z644" s="130"/>
    </row>
    <row r="645" ht="13.5" customHeight="1">
      <c r="A645" s="130"/>
      <c r="B645" s="130"/>
      <c r="C645" s="130"/>
      <c r="D645" s="130"/>
      <c r="E645" s="130"/>
      <c r="F645" s="130"/>
      <c r="G645" s="130"/>
      <c r="H645" s="130"/>
      <c r="I645" s="130"/>
      <c r="J645" s="130"/>
      <c r="K645" s="130"/>
      <c r="L645" s="130"/>
      <c r="M645" s="130"/>
      <c r="N645" s="130"/>
      <c r="O645" s="130"/>
      <c r="P645" s="130"/>
      <c r="Q645" s="130"/>
      <c r="R645" s="130"/>
      <c r="S645" s="130"/>
      <c r="T645" s="130"/>
      <c r="U645" s="130"/>
      <c r="V645" s="130"/>
      <c r="W645" s="130"/>
      <c r="X645" s="130"/>
      <c r="Y645" s="130"/>
      <c r="Z645" s="130"/>
    </row>
    <row r="646" ht="13.5" customHeight="1">
      <c r="A646" s="130"/>
      <c r="B646" s="130"/>
      <c r="C646" s="130"/>
      <c r="D646" s="130"/>
      <c r="E646" s="130"/>
      <c r="F646" s="130"/>
      <c r="G646" s="130"/>
      <c r="H646" s="130"/>
      <c r="I646" s="130"/>
      <c r="J646" s="130"/>
      <c r="K646" s="130"/>
      <c r="L646" s="130"/>
      <c r="M646" s="130"/>
      <c r="N646" s="130"/>
      <c r="O646" s="130"/>
      <c r="P646" s="130"/>
      <c r="Q646" s="130"/>
      <c r="R646" s="130"/>
      <c r="S646" s="130"/>
      <c r="T646" s="130"/>
      <c r="U646" s="130"/>
      <c r="V646" s="130"/>
      <c r="W646" s="130"/>
      <c r="X646" s="130"/>
      <c r="Y646" s="130"/>
      <c r="Z646" s="130"/>
    </row>
    <row r="647" ht="13.5" customHeight="1">
      <c r="A647" s="130"/>
      <c r="B647" s="130"/>
      <c r="C647" s="130"/>
      <c r="D647" s="130"/>
      <c r="E647" s="130"/>
      <c r="F647" s="130"/>
      <c r="G647" s="130"/>
      <c r="H647" s="130"/>
      <c r="I647" s="130"/>
      <c r="J647" s="130"/>
      <c r="K647" s="130"/>
      <c r="L647" s="130"/>
      <c r="M647" s="130"/>
      <c r="N647" s="130"/>
      <c r="O647" s="130"/>
      <c r="P647" s="130"/>
      <c r="Q647" s="130"/>
      <c r="R647" s="130"/>
      <c r="S647" s="130"/>
      <c r="T647" s="130"/>
      <c r="U647" s="130"/>
      <c r="V647" s="130"/>
      <c r="W647" s="130"/>
      <c r="X647" s="130"/>
      <c r="Y647" s="130"/>
      <c r="Z647" s="130"/>
    </row>
    <row r="648" ht="13.5" customHeight="1">
      <c r="A648" s="130"/>
      <c r="B648" s="130"/>
      <c r="C648" s="130"/>
      <c r="D648" s="130"/>
      <c r="E648" s="130"/>
      <c r="F648" s="130"/>
      <c r="G648" s="130"/>
      <c r="H648" s="130"/>
      <c r="I648" s="130"/>
      <c r="J648" s="130"/>
      <c r="K648" s="130"/>
      <c r="L648" s="130"/>
      <c r="M648" s="130"/>
      <c r="N648" s="130"/>
      <c r="O648" s="130"/>
      <c r="P648" s="130"/>
      <c r="Q648" s="130"/>
      <c r="R648" s="130"/>
      <c r="S648" s="130"/>
      <c r="T648" s="130"/>
      <c r="U648" s="130"/>
      <c r="V648" s="130"/>
      <c r="W648" s="130"/>
      <c r="X648" s="130"/>
      <c r="Y648" s="130"/>
      <c r="Z648" s="130"/>
    </row>
    <row r="649" ht="13.5" customHeight="1">
      <c r="A649" s="130"/>
      <c r="B649" s="130"/>
      <c r="C649" s="130"/>
      <c r="D649" s="130"/>
      <c r="E649" s="130"/>
      <c r="F649" s="130"/>
      <c r="G649" s="130"/>
      <c r="H649" s="130"/>
      <c r="I649" s="130"/>
      <c r="J649" s="130"/>
      <c r="K649" s="130"/>
      <c r="L649" s="130"/>
      <c r="M649" s="130"/>
      <c r="N649" s="130"/>
      <c r="O649" s="130"/>
      <c r="P649" s="130"/>
      <c r="Q649" s="130"/>
      <c r="R649" s="130"/>
      <c r="S649" s="130"/>
      <c r="T649" s="130"/>
      <c r="U649" s="130"/>
      <c r="V649" s="130"/>
      <c r="W649" s="130"/>
      <c r="X649" s="130"/>
      <c r="Y649" s="130"/>
      <c r="Z649" s="130"/>
    </row>
    <row r="650" ht="13.5" customHeight="1">
      <c r="A650" s="130"/>
      <c r="B650" s="130"/>
      <c r="C650" s="130"/>
      <c r="D650" s="130"/>
      <c r="E650" s="130"/>
      <c r="F650" s="130"/>
      <c r="G650" s="130"/>
      <c r="H650" s="130"/>
      <c r="I650" s="130"/>
      <c r="J650" s="130"/>
      <c r="K650" s="130"/>
      <c r="L650" s="130"/>
      <c r="M650" s="130"/>
      <c r="N650" s="130"/>
      <c r="O650" s="130"/>
      <c r="P650" s="130"/>
      <c r="Q650" s="130"/>
      <c r="R650" s="130"/>
      <c r="S650" s="130"/>
      <c r="T650" s="130"/>
      <c r="U650" s="130"/>
      <c r="V650" s="130"/>
      <c r="W650" s="130"/>
      <c r="X650" s="130"/>
      <c r="Y650" s="130"/>
      <c r="Z650" s="130"/>
    </row>
    <row r="651" ht="13.5" customHeight="1">
      <c r="A651" s="130"/>
      <c r="B651" s="130"/>
      <c r="C651" s="130"/>
      <c r="D651" s="130"/>
      <c r="E651" s="130"/>
      <c r="F651" s="130"/>
      <c r="G651" s="130"/>
      <c r="H651" s="130"/>
      <c r="I651" s="130"/>
      <c r="J651" s="130"/>
      <c r="K651" s="130"/>
      <c r="L651" s="130"/>
      <c r="M651" s="130"/>
      <c r="N651" s="130"/>
      <c r="O651" s="130"/>
      <c r="P651" s="130"/>
      <c r="Q651" s="130"/>
      <c r="R651" s="130"/>
      <c r="S651" s="130"/>
      <c r="T651" s="130"/>
      <c r="U651" s="130"/>
      <c r="V651" s="130"/>
      <c r="W651" s="130"/>
      <c r="X651" s="130"/>
      <c r="Y651" s="130"/>
      <c r="Z651" s="130"/>
    </row>
    <row r="652" ht="13.5" customHeight="1">
      <c r="A652" s="130"/>
      <c r="B652" s="130"/>
      <c r="C652" s="130"/>
      <c r="D652" s="130"/>
      <c r="E652" s="130"/>
      <c r="F652" s="130"/>
      <c r="G652" s="130"/>
      <c r="H652" s="130"/>
      <c r="I652" s="130"/>
      <c r="J652" s="130"/>
      <c r="K652" s="130"/>
      <c r="L652" s="130"/>
      <c r="M652" s="130"/>
      <c r="N652" s="130"/>
      <c r="O652" s="130"/>
      <c r="P652" s="130"/>
      <c r="Q652" s="130"/>
      <c r="R652" s="130"/>
      <c r="S652" s="130"/>
      <c r="T652" s="130"/>
      <c r="U652" s="130"/>
      <c r="V652" s="130"/>
      <c r="W652" s="130"/>
      <c r="X652" s="130"/>
      <c r="Y652" s="130"/>
      <c r="Z652" s="130"/>
    </row>
    <row r="653" ht="13.5" customHeight="1">
      <c r="A653" s="130"/>
      <c r="B653" s="130"/>
      <c r="C653" s="130"/>
      <c r="D653" s="130"/>
      <c r="E653" s="130"/>
      <c r="F653" s="130"/>
      <c r="G653" s="130"/>
      <c r="H653" s="130"/>
      <c r="I653" s="130"/>
      <c r="J653" s="130"/>
      <c r="K653" s="130"/>
      <c r="L653" s="130"/>
      <c r="M653" s="130"/>
      <c r="N653" s="130"/>
      <c r="O653" s="130"/>
      <c r="P653" s="130"/>
      <c r="Q653" s="130"/>
      <c r="R653" s="130"/>
      <c r="S653" s="130"/>
      <c r="T653" s="130"/>
      <c r="U653" s="130"/>
      <c r="V653" s="130"/>
      <c r="W653" s="130"/>
      <c r="X653" s="130"/>
      <c r="Y653" s="130"/>
      <c r="Z653" s="130"/>
    </row>
    <row r="654" ht="13.5" customHeight="1">
      <c r="A654" s="130"/>
      <c r="B654" s="130"/>
      <c r="C654" s="130"/>
      <c r="D654" s="130"/>
      <c r="E654" s="130"/>
      <c r="F654" s="130"/>
      <c r="G654" s="130"/>
      <c r="H654" s="130"/>
      <c r="I654" s="130"/>
      <c r="J654" s="130"/>
      <c r="K654" s="130"/>
      <c r="L654" s="130"/>
      <c r="M654" s="130"/>
      <c r="N654" s="130"/>
      <c r="O654" s="130"/>
      <c r="P654" s="130"/>
      <c r="Q654" s="130"/>
      <c r="R654" s="130"/>
      <c r="S654" s="130"/>
      <c r="T654" s="130"/>
      <c r="U654" s="130"/>
      <c r="V654" s="130"/>
      <c r="W654" s="130"/>
      <c r="X654" s="130"/>
      <c r="Y654" s="130"/>
      <c r="Z654" s="130"/>
    </row>
    <row r="655" ht="13.5" customHeight="1">
      <c r="A655" s="130"/>
      <c r="B655" s="130"/>
      <c r="C655" s="130"/>
      <c r="D655" s="130"/>
      <c r="E655" s="130"/>
      <c r="F655" s="130"/>
      <c r="G655" s="130"/>
      <c r="H655" s="130"/>
      <c r="I655" s="130"/>
      <c r="J655" s="130"/>
      <c r="K655" s="130"/>
      <c r="L655" s="130"/>
      <c r="M655" s="130"/>
      <c r="N655" s="130"/>
      <c r="O655" s="130"/>
      <c r="P655" s="130"/>
      <c r="Q655" s="130"/>
      <c r="R655" s="130"/>
      <c r="S655" s="130"/>
      <c r="T655" s="130"/>
      <c r="U655" s="130"/>
      <c r="V655" s="130"/>
      <c r="W655" s="130"/>
      <c r="X655" s="130"/>
      <c r="Y655" s="130"/>
      <c r="Z655" s="130"/>
    </row>
    <row r="656" ht="13.5" customHeight="1">
      <c r="A656" s="130"/>
      <c r="B656" s="130"/>
      <c r="C656" s="130"/>
      <c r="D656" s="130"/>
      <c r="E656" s="130"/>
      <c r="F656" s="130"/>
      <c r="G656" s="130"/>
      <c r="H656" s="130"/>
      <c r="I656" s="130"/>
      <c r="J656" s="130"/>
      <c r="K656" s="130"/>
      <c r="L656" s="130"/>
      <c r="M656" s="130"/>
      <c r="N656" s="130"/>
      <c r="O656" s="130"/>
      <c r="P656" s="130"/>
      <c r="Q656" s="130"/>
      <c r="R656" s="130"/>
      <c r="S656" s="130"/>
      <c r="T656" s="130"/>
      <c r="U656" s="130"/>
      <c r="V656" s="130"/>
      <c r="W656" s="130"/>
      <c r="X656" s="130"/>
      <c r="Y656" s="130"/>
      <c r="Z656" s="130"/>
    </row>
    <row r="657" ht="13.5" customHeight="1">
      <c r="A657" s="130"/>
      <c r="B657" s="130"/>
      <c r="C657" s="130"/>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row>
    <row r="658" ht="13.5" customHeight="1">
      <c r="A658" s="130"/>
      <c r="B658" s="130"/>
      <c r="C658" s="130"/>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row>
    <row r="659" ht="13.5" customHeight="1">
      <c r="A659" s="130"/>
      <c r="B659" s="130"/>
      <c r="C659" s="130"/>
      <c r="D659" s="130"/>
      <c r="E659" s="130"/>
      <c r="F659" s="130"/>
      <c r="G659" s="130"/>
      <c r="H659" s="130"/>
      <c r="I659" s="130"/>
      <c r="J659" s="130"/>
      <c r="K659" s="130"/>
      <c r="L659" s="130"/>
      <c r="M659" s="130"/>
      <c r="N659" s="130"/>
      <c r="O659" s="130"/>
      <c r="P659" s="130"/>
      <c r="Q659" s="130"/>
      <c r="R659" s="130"/>
      <c r="S659" s="130"/>
      <c r="T659" s="130"/>
      <c r="U659" s="130"/>
      <c r="V659" s="130"/>
      <c r="W659" s="130"/>
      <c r="X659" s="130"/>
      <c r="Y659" s="130"/>
      <c r="Z659" s="130"/>
    </row>
    <row r="660" ht="13.5" customHeight="1">
      <c r="A660" s="130"/>
      <c r="B660" s="130"/>
      <c r="C660" s="130"/>
      <c r="D660" s="130"/>
      <c r="E660" s="130"/>
      <c r="F660" s="130"/>
      <c r="G660" s="130"/>
      <c r="H660" s="130"/>
      <c r="I660" s="130"/>
      <c r="J660" s="130"/>
      <c r="K660" s="130"/>
      <c r="L660" s="130"/>
      <c r="M660" s="130"/>
      <c r="N660" s="130"/>
      <c r="O660" s="130"/>
      <c r="P660" s="130"/>
      <c r="Q660" s="130"/>
      <c r="R660" s="130"/>
      <c r="S660" s="130"/>
      <c r="T660" s="130"/>
      <c r="U660" s="130"/>
      <c r="V660" s="130"/>
      <c r="W660" s="130"/>
      <c r="X660" s="130"/>
      <c r="Y660" s="130"/>
      <c r="Z660" s="130"/>
    </row>
    <row r="661" ht="13.5" customHeight="1">
      <c r="A661" s="130"/>
      <c r="B661" s="130"/>
      <c r="C661" s="130"/>
      <c r="D661" s="130"/>
      <c r="E661" s="130"/>
      <c r="F661" s="130"/>
      <c r="G661" s="130"/>
      <c r="H661" s="130"/>
      <c r="I661" s="130"/>
      <c r="J661" s="130"/>
      <c r="K661" s="130"/>
      <c r="L661" s="130"/>
      <c r="M661" s="130"/>
      <c r="N661" s="130"/>
      <c r="O661" s="130"/>
      <c r="P661" s="130"/>
      <c r="Q661" s="130"/>
      <c r="R661" s="130"/>
      <c r="S661" s="130"/>
      <c r="T661" s="130"/>
      <c r="U661" s="130"/>
      <c r="V661" s="130"/>
      <c r="W661" s="130"/>
      <c r="X661" s="130"/>
      <c r="Y661" s="130"/>
      <c r="Z661" s="130"/>
    </row>
    <row r="662" ht="13.5" customHeight="1">
      <c r="A662" s="130"/>
      <c r="B662" s="130"/>
      <c r="C662" s="130"/>
      <c r="D662" s="130"/>
      <c r="E662" s="130"/>
      <c r="F662" s="130"/>
      <c r="G662" s="130"/>
      <c r="H662" s="130"/>
      <c r="I662" s="130"/>
      <c r="J662" s="130"/>
      <c r="K662" s="130"/>
      <c r="L662" s="130"/>
      <c r="M662" s="130"/>
      <c r="N662" s="130"/>
      <c r="O662" s="130"/>
      <c r="P662" s="130"/>
      <c r="Q662" s="130"/>
      <c r="R662" s="130"/>
      <c r="S662" s="130"/>
      <c r="T662" s="130"/>
      <c r="U662" s="130"/>
      <c r="V662" s="130"/>
      <c r="W662" s="130"/>
      <c r="X662" s="130"/>
      <c r="Y662" s="130"/>
      <c r="Z662" s="130"/>
    </row>
    <row r="663" ht="13.5" customHeight="1">
      <c r="A663" s="130"/>
      <c r="B663" s="130"/>
      <c r="C663" s="130"/>
      <c r="D663" s="130"/>
      <c r="E663" s="130"/>
      <c r="F663" s="130"/>
      <c r="G663" s="130"/>
      <c r="H663" s="130"/>
      <c r="I663" s="130"/>
      <c r="J663" s="130"/>
      <c r="K663" s="130"/>
      <c r="L663" s="130"/>
      <c r="M663" s="130"/>
      <c r="N663" s="130"/>
      <c r="O663" s="130"/>
      <c r="P663" s="130"/>
      <c r="Q663" s="130"/>
      <c r="R663" s="130"/>
      <c r="S663" s="130"/>
      <c r="T663" s="130"/>
      <c r="U663" s="130"/>
      <c r="V663" s="130"/>
      <c r="W663" s="130"/>
      <c r="X663" s="130"/>
      <c r="Y663" s="130"/>
      <c r="Z663" s="130"/>
    </row>
    <row r="664" ht="13.5" customHeight="1">
      <c r="A664" s="130"/>
      <c r="B664" s="130"/>
      <c r="C664" s="130"/>
      <c r="D664" s="130"/>
      <c r="E664" s="130"/>
      <c r="F664" s="130"/>
      <c r="G664" s="130"/>
      <c r="H664" s="130"/>
      <c r="I664" s="130"/>
      <c r="J664" s="130"/>
      <c r="K664" s="130"/>
      <c r="L664" s="130"/>
      <c r="M664" s="130"/>
      <c r="N664" s="130"/>
      <c r="O664" s="130"/>
      <c r="P664" s="130"/>
      <c r="Q664" s="130"/>
      <c r="R664" s="130"/>
      <c r="S664" s="130"/>
      <c r="T664" s="130"/>
      <c r="U664" s="130"/>
      <c r="V664" s="130"/>
      <c r="W664" s="130"/>
      <c r="X664" s="130"/>
      <c r="Y664" s="130"/>
      <c r="Z664" s="130"/>
    </row>
    <row r="665" ht="13.5" customHeight="1">
      <c r="A665" s="130"/>
      <c r="B665" s="130"/>
      <c r="C665" s="130"/>
      <c r="D665" s="130"/>
      <c r="E665" s="130"/>
      <c r="F665" s="130"/>
      <c r="G665" s="130"/>
      <c r="H665" s="130"/>
      <c r="I665" s="130"/>
      <c r="J665" s="130"/>
      <c r="K665" s="130"/>
      <c r="L665" s="130"/>
      <c r="M665" s="130"/>
      <c r="N665" s="130"/>
      <c r="O665" s="130"/>
      <c r="P665" s="130"/>
      <c r="Q665" s="130"/>
      <c r="R665" s="130"/>
      <c r="S665" s="130"/>
      <c r="T665" s="130"/>
      <c r="U665" s="130"/>
      <c r="V665" s="130"/>
      <c r="W665" s="130"/>
      <c r="X665" s="130"/>
      <c r="Y665" s="130"/>
      <c r="Z665" s="130"/>
    </row>
    <row r="666" ht="13.5" customHeight="1">
      <c r="A666" s="130"/>
      <c r="B666" s="130"/>
      <c r="C666" s="130"/>
      <c r="D666" s="130"/>
      <c r="E666" s="130"/>
      <c r="F666" s="130"/>
      <c r="G666" s="130"/>
      <c r="H666" s="130"/>
      <c r="I666" s="130"/>
      <c r="J666" s="130"/>
      <c r="K666" s="130"/>
      <c r="L666" s="130"/>
      <c r="M666" s="130"/>
      <c r="N666" s="130"/>
      <c r="O666" s="130"/>
      <c r="P666" s="130"/>
      <c r="Q666" s="130"/>
      <c r="R666" s="130"/>
      <c r="S666" s="130"/>
      <c r="T666" s="130"/>
      <c r="U666" s="130"/>
      <c r="V666" s="130"/>
      <c r="W666" s="130"/>
      <c r="X666" s="130"/>
      <c r="Y666" s="130"/>
      <c r="Z666" s="130"/>
    </row>
    <row r="667" ht="13.5" customHeight="1">
      <c r="A667" s="130"/>
      <c r="B667" s="130"/>
      <c r="C667" s="130"/>
      <c r="D667" s="130"/>
      <c r="E667" s="130"/>
      <c r="F667" s="130"/>
      <c r="G667" s="130"/>
      <c r="H667" s="130"/>
      <c r="I667" s="130"/>
      <c r="J667" s="130"/>
      <c r="K667" s="130"/>
      <c r="L667" s="130"/>
      <c r="M667" s="130"/>
      <c r="N667" s="130"/>
      <c r="O667" s="130"/>
      <c r="P667" s="130"/>
      <c r="Q667" s="130"/>
      <c r="R667" s="130"/>
      <c r="S667" s="130"/>
      <c r="T667" s="130"/>
      <c r="U667" s="130"/>
      <c r="V667" s="130"/>
      <c r="W667" s="130"/>
      <c r="X667" s="130"/>
      <c r="Y667" s="130"/>
      <c r="Z667" s="130"/>
    </row>
    <row r="668" ht="13.5" customHeight="1">
      <c r="A668" s="130"/>
      <c r="B668" s="130"/>
      <c r="C668" s="130"/>
      <c r="D668" s="130"/>
      <c r="E668" s="130"/>
      <c r="F668" s="130"/>
      <c r="G668" s="130"/>
      <c r="H668" s="130"/>
      <c r="I668" s="130"/>
      <c r="J668" s="130"/>
      <c r="K668" s="130"/>
      <c r="L668" s="130"/>
      <c r="M668" s="130"/>
      <c r="N668" s="130"/>
      <c r="O668" s="130"/>
      <c r="P668" s="130"/>
      <c r="Q668" s="130"/>
      <c r="R668" s="130"/>
      <c r="S668" s="130"/>
      <c r="T668" s="130"/>
      <c r="U668" s="130"/>
      <c r="V668" s="130"/>
      <c r="W668" s="130"/>
      <c r="X668" s="130"/>
      <c r="Y668" s="130"/>
      <c r="Z668" s="130"/>
    </row>
    <row r="669" ht="13.5" customHeight="1">
      <c r="A669" s="130"/>
      <c r="B669" s="130"/>
      <c r="C669" s="130"/>
      <c r="D669" s="130"/>
      <c r="E669" s="130"/>
      <c r="F669" s="130"/>
      <c r="G669" s="130"/>
      <c r="H669" s="130"/>
      <c r="I669" s="130"/>
      <c r="J669" s="130"/>
      <c r="K669" s="130"/>
      <c r="L669" s="130"/>
      <c r="M669" s="130"/>
      <c r="N669" s="130"/>
      <c r="O669" s="130"/>
      <c r="P669" s="130"/>
      <c r="Q669" s="130"/>
      <c r="R669" s="130"/>
      <c r="S669" s="130"/>
      <c r="T669" s="130"/>
      <c r="U669" s="130"/>
      <c r="V669" s="130"/>
      <c r="W669" s="130"/>
      <c r="X669" s="130"/>
      <c r="Y669" s="130"/>
      <c r="Z669" s="130"/>
    </row>
    <row r="670" ht="13.5" customHeight="1">
      <c r="A670" s="130"/>
      <c r="B670" s="130"/>
      <c r="C670" s="130"/>
      <c r="D670" s="130"/>
      <c r="E670" s="130"/>
      <c r="F670" s="130"/>
      <c r="G670" s="130"/>
      <c r="H670" s="130"/>
      <c r="I670" s="130"/>
      <c r="J670" s="130"/>
      <c r="K670" s="130"/>
      <c r="L670" s="130"/>
      <c r="M670" s="130"/>
      <c r="N670" s="130"/>
      <c r="O670" s="130"/>
      <c r="P670" s="130"/>
      <c r="Q670" s="130"/>
      <c r="R670" s="130"/>
      <c r="S670" s="130"/>
      <c r="T670" s="130"/>
      <c r="U670" s="130"/>
      <c r="V670" s="130"/>
      <c r="W670" s="130"/>
      <c r="X670" s="130"/>
      <c r="Y670" s="130"/>
      <c r="Z670" s="130"/>
    </row>
    <row r="671" ht="13.5" customHeight="1">
      <c r="A671" s="130"/>
      <c r="B671" s="130"/>
      <c r="C671" s="130"/>
      <c r="D671" s="130"/>
      <c r="E671" s="130"/>
      <c r="F671" s="130"/>
      <c r="G671" s="130"/>
      <c r="H671" s="130"/>
      <c r="I671" s="130"/>
      <c r="J671" s="130"/>
      <c r="K671" s="130"/>
      <c r="L671" s="130"/>
      <c r="M671" s="130"/>
      <c r="N671" s="130"/>
      <c r="O671" s="130"/>
      <c r="P671" s="130"/>
      <c r="Q671" s="130"/>
      <c r="R671" s="130"/>
      <c r="S671" s="130"/>
      <c r="T671" s="130"/>
      <c r="U671" s="130"/>
      <c r="V671" s="130"/>
      <c r="W671" s="130"/>
      <c r="X671" s="130"/>
      <c r="Y671" s="130"/>
      <c r="Z671" s="130"/>
    </row>
    <row r="672" ht="13.5" customHeight="1">
      <c r="A672" s="130"/>
      <c r="B672" s="130"/>
      <c r="C672" s="130"/>
      <c r="D672" s="130"/>
      <c r="E672" s="130"/>
      <c r="F672" s="130"/>
      <c r="G672" s="130"/>
      <c r="H672" s="130"/>
      <c r="I672" s="130"/>
      <c r="J672" s="130"/>
      <c r="K672" s="130"/>
      <c r="L672" s="130"/>
      <c r="M672" s="130"/>
      <c r="N672" s="130"/>
      <c r="O672" s="130"/>
      <c r="P672" s="130"/>
      <c r="Q672" s="130"/>
      <c r="R672" s="130"/>
      <c r="S672" s="130"/>
      <c r="T672" s="130"/>
      <c r="U672" s="130"/>
      <c r="V672" s="130"/>
      <c r="W672" s="130"/>
      <c r="X672" s="130"/>
      <c r="Y672" s="130"/>
      <c r="Z672" s="130"/>
    </row>
    <row r="673" ht="13.5" customHeight="1">
      <c r="A673" s="130"/>
      <c r="B673" s="130"/>
      <c r="C673" s="130"/>
      <c r="D673" s="130"/>
      <c r="E673" s="130"/>
      <c r="F673" s="130"/>
      <c r="G673" s="130"/>
      <c r="H673" s="130"/>
      <c r="I673" s="130"/>
      <c r="J673" s="130"/>
      <c r="K673" s="130"/>
      <c r="L673" s="130"/>
      <c r="M673" s="130"/>
      <c r="N673" s="130"/>
      <c r="O673" s="130"/>
      <c r="P673" s="130"/>
      <c r="Q673" s="130"/>
      <c r="R673" s="130"/>
      <c r="S673" s="130"/>
      <c r="T673" s="130"/>
      <c r="U673" s="130"/>
      <c r="V673" s="130"/>
      <c r="W673" s="130"/>
      <c r="X673" s="130"/>
      <c r="Y673" s="130"/>
      <c r="Z673" s="130"/>
    </row>
    <row r="674" ht="13.5" customHeight="1">
      <c r="A674" s="130"/>
      <c r="B674" s="130"/>
      <c r="C674" s="130"/>
      <c r="D674" s="130"/>
      <c r="E674" s="130"/>
      <c r="F674" s="130"/>
      <c r="G674" s="130"/>
      <c r="H674" s="130"/>
      <c r="I674" s="130"/>
      <c r="J674" s="130"/>
      <c r="K674" s="130"/>
      <c r="L674" s="130"/>
      <c r="M674" s="130"/>
      <c r="N674" s="130"/>
      <c r="O674" s="130"/>
      <c r="P674" s="130"/>
      <c r="Q674" s="130"/>
      <c r="R674" s="130"/>
      <c r="S674" s="130"/>
      <c r="T674" s="130"/>
      <c r="U674" s="130"/>
      <c r="V674" s="130"/>
      <c r="W674" s="130"/>
      <c r="X674" s="130"/>
      <c r="Y674" s="130"/>
      <c r="Z674" s="130"/>
    </row>
    <row r="675" ht="13.5" customHeight="1">
      <c r="A675" s="130"/>
      <c r="B675" s="130"/>
      <c r="C675" s="130"/>
      <c r="D675" s="130"/>
      <c r="E675" s="130"/>
      <c r="F675" s="130"/>
      <c r="G675" s="130"/>
      <c r="H675" s="130"/>
      <c r="I675" s="130"/>
      <c r="J675" s="130"/>
      <c r="K675" s="130"/>
      <c r="L675" s="130"/>
      <c r="M675" s="130"/>
      <c r="N675" s="130"/>
      <c r="O675" s="130"/>
      <c r="P675" s="130"/>
      <c r="Q675" s="130"/>
      <c r="R675" s="130"/>
      <c r="S675" s="130"/>
      <c r="T675" s="130"/>
      <c r="U675" s="130"/>
      <c r="V675" s="130"/>
      <c r="W675" s="130"/>
      <c r="X675" s="130"/>
      <c r="Y675" s="130"/>
      <c r="Z675" s="130"/>
    </row>
    <row r="676" ht="13.5" customHeight="1">
      <c r="A676" s="130"/>
      <c r="B676" s="130"/>
      <c r="C676" s="130"/>
      <c r="D676" s="130"/>
      <c r="E676" s="130"/>
      <c r="F676" s="130"/>
      <c r="G676" s="130"/>
      <c r="H676" s="130"/>
      <c r="I676" s="130"/>
      <c r="J676" s="130"/>
      <c r="K676" s="130"/>
      <c r="L676" s="130"/>
      <c r="M676" s="130"/>
      <c r="N676" s="130"/>
      <c r="O676" s="130"/>
      <c r="P676" s="130"/>
      <c r="Q676" s="130"/>
      <c r="R676" s="130"/>
      <c r="S676" s="130"/>
      <c r="T676" s="130"/>
      <c r="U676" s="130"/>
      <c r="V676" s="130"/>
      <c r="W676" s="130"/>
      <c r="X676" s="130"/>
      <c r="Y676" s="130"/>
      <c r="Z676" s="130"/>
    </row>
    <row r="677" ht="13.5" customHeight="1">
      <c r="A677" s="130"/>
      <c r="B677" s="130"/>
      <c r="C677" s="130"/>
      <c r="D677" s="130"/>
      <c r="E677" s="130"/>
      <c r="F677" s="130"/>
      <c r="G677" s="130"/>
      <c r="H677" s="130"/>
      <c r="I677" s="130"/>
      <c r="J677" s="130"/>
      <c r="K677" s="130"/>
      <c r="L677" s="130"/>
      <c r="M677" s="130"/>
      <c r="N677" s="130"/>
      <c r="O677" s="130"/>
      <c r="P677" s="130"/>
      <c r="Q677" s="130"/>
      <c r="R677" s="130"/>
      <c r="S677" s="130"/>
      <c r="T677" s="130"/>
      <c r="U677" s="130"/>
      <c r="V677" s="130"/>
      <c r="W677" s="130"/>
      <c r="X677" s="130"/>
      <c r="Y677" s="130"/>
      <c r="Z677" s="130"/>
    </row>
    <row r="678" ht="13.5" customHeight="1">
      <c r="A678" s="130"/>
      <c r="B678" s="130"/>
      <c r="C678" s="130"/>
      <c r="D678" s="130"/>
      <c r="E678" s="130"/>
      <c r="F678" s="130"/>
      <c r="G678" s="130"/>
      <c r="H678" s="130"/>
      <c r="I678" s="130"/>
      <c r="J678" s="130"/>
      <c r="K678" s="130"/>
      <c r="L678" s="130"/>
      <c r="M678" s="130"/>
      <c r="N678" s="130"/>
      <c r="O678" s="130"/>
      <c r="P678" s="130"/>
      <c r="Q678" s="130"/>
      <c r="R678" s="130"/>
      <c r="S678" s="130"/>
      <c r="T678" s="130"/>
      <c r="U678" s="130"/>
      <c r="V678" s="130"/>
      <c r="W678" s="130"/>
      <c r="X678" s="130"/>
      <c r="Y678" s="130"/>
      <c r="Z678" s="130"/>
    </row>
    <row r="679" ht="13.5" customHeight="1">
      <c r="A679" s="130"/>
      <c r="B679" s="130"/>
      <c r="C679" s="130"/>
      <c r="D679" s="130"/>
      <c r="E679" s="130"/>
      <c r="F679" s="130"/>
      <c r="G679" s="130"/>
      <c r="H679" s="130"/>
      <c r="I679" s="130"/>
      <c r="J679" s="130"/>
      <c r="K679" s="130"/>
      <c r="L679" s="130"/>
      <c r="M679" s="130"/>
      <c r="N679" s="130"/>
      <c r="O679" s="130"/>
      <c r="P679" s="130"/>
      <c r="Q679" s="130"/>
      <c r="R679" s="130"/>
      <c r="S679" s="130"/>
      <c r="T679" s="130"/>
      <c r="U679" s="130"/>
      <c r="V679" s="130"/>
      <c r="W679" s="130"/>
      <c r="X679" s="130"/>
      <c r="Y679" s="130"/>
      <c r="Z679" s="130"/>
    </row>
    <row r="680" ht="13.5" customHeight="1">
      <c r="A680" s="130"/>
      <c r="B680" s="130"/>
      <c r="C680" s="130"/>
      <c r="D680" s="130"/>
      <c r="E680" s="130"/>
      <c r="F680" s="130"/>
      <c r="G680" s="130"/>
      <c r="H680" s="130"/>
      <c r="I680" s="130"/>
      <c r="J680" s="130"/>
      <c r="K680" s="130"/>
      <c r="L680" s="130"/>
      <c r="M680" s="130"/>
      <c r="N680" s="130"/>
      <c r="O680" s="130"/>
      <c r="P680" s="130"/>
      <c r="Q680" s="130"/>
      <c r="R680" s="130"/>
      <c r="S680" s="130"/>
      <c r="T680" s="130"/>
      <c r="U680" s="130"/>
      <c r="V680" s="130"/>
      <c r="W680" s="130"/>
      <c r="X680" s="130"/>
      <c r="Y680" s="130"/>
      <c r="Z680" s="130"/>
    </row>
    <row r="681" ht="13.5" customHeight="1">
      <c r="A681" s="130"/>
      <c r="B681" s="130"/>
      <c r="C681" s="130"/>
      <c r="D681" s="130"/>
      <c r="E681" s="130"/>
      <c r="F681" s="130"/>
      <c r="G681" s="130"/>
      <c r="H681" s="130"/>
      <c r="I681" s="130"/>
      <c r="J681" s="130"/>
      <c r="K681" s="130"/>
      <c r="L681" s="130"/>
      <c r="M681" s="130"/>
      <c r="N681" s="130"/>
      <c r="O681" s="130"/>
      <c r="P681" s="130"/>
      <c r="Q681" s="130"/>
      <c r="R681" s="130"/>
      <c r="S681" s="130"/>
      <c r="T681" s="130"/>
      <c r="U681" s="130"/>
      <c r="V681" s="130"/>
      <c r="W681" s="130"/>
      <c r="X681" s="130"/>
      <c r="Y681" s="130"/>
      <c r="Z681" s="130"/>
    </row>
    <row r="682" ht="13.5" customHeight="1">
      <c r="A682" s="130"/>
      <c r="B682" s="130"/>
      <c r="C682" s="130"/>
      <c r="D682" s="130"/>
      <c r="E682" s="130"/>
      <c r="F682" s="130"/>
      <c r="G682" s="130"/>
      <c r="H682" s="130"/>
      <c r="I682" s="130"/>
      <c r="J682" s="130"/>
      <c r="K682" s="130"/>
      <c r="L682" s="130"/>
      <c r="M682" s="130"/>
      <c r="N682" s="130"/>
      <c r="O682" s="130"/>
      <c r="P682" s="130"/>
      <c r="Q682" s="130"/>
      <c r="R682" s="130"/>
      <c r="S682" s="130"/>
      <c r="T682" s="130"/>
      <c r="U682" s="130"/>
      <c r="V682" s="130"/>
      <c r="W682" s="130"/>
      <c r="X682" s="130"/>
      <c r="Y682" s="130"/>
      <c r="Z682" s="130"/>
    </row>
    <row r="683" ht="13.5" customHeight="1">
      <c r="A683" s="130"/>
      <c r="B683" s="130"/>
      <c r="C683" s="130"/>
      <c r="D683" s="130"/>
      <c r="E683" s="130"/>
      <c r="F683" s="130"/>
      <c r="G683" s="130"/>
      <c r="H683" s="130"/>
      <c r="I683" s="130"/>
      <c r="J683" s="130"/>
      <c r="K683" s="130"/>
      <c r="L683" s="130"/>
      <c r="M683" s="130"/>
      <c r="N683" s="130"/>
      <c r="O683" s="130"/>
      <c r="P683" s="130"/>
      <c r="Q683" s="130"/>
      <c r="R683" s="130"/>
      <c r="S683" s="130"/>
      <c r="T683" s="130"/>
      <c r="U683" s="130"/>
      <c r="V683" s="130"/>
      <c r="W683" s="130"/>
      <c r="X683" s="130"/>
      <c r="Y683" s="130"/>
      <c r="Z683" s="130"/>
    </row>
    <row r="684" ht="13.5" customHeight="1">
      <c r="A684" s="130"/>
      <c r="B684" s="130"/>
      <c r="C684" s="130"/>
      <c r="D684" s="130"/>
      <c r="E684" s="130"/>
      <c r="F684" s="130"/>
      <c r="G684" s="130"/>
      <c r="H684" s="130"/>
      <c r="I684" s="130"/>
      <c r="J684" s="130"/>
      <c r="K684" s="130"/>
      <c r="L684" s="130"/>
      <c r="M684" s="130"/>
      <c r="N684" s="130"/>
      <c r="O684" s="130"/>
      <c r="P684" s="130"/>
      <c r="Q684" s="130"/>
      <c r="R684" s="130"/>
      <c r="S684" s="130"/>
      <c r="T684" s="130"/>
      <c r="U684" s="130"/>
      <c r="V684" s="130"/>
      <c r="W684" s="130"/>
      <c r="X684" s="130"/>
      <c r="Y684" s="130"/>
      <c r="Z684" s="130"/>
    </row>
    <row r="685" ht="13.5" customHeight="1">
      <c r="A685" s="130"/>
      <c r="B685" s="130"/>
      <c r="C685" s="130"/>
      <c r="D685" s="130"/>
      <c r="E685" s="130"/>
      <c r="F685" s="130"/>
      <c r="G685" s="130"/>
      <c r="H685" s="130"/>
      <c r="I685" s="130"/>
      <c r="J685" s="130"/>
      <c r="K685" s="130"/>
      <c r="L685" s="130"/>
      <c r="M685" s="130"/>
      <c r="N685" s="130"/>
      <c r="O685" s="130"/>
      <c r="P685" s="130"/>
      <c r="Q685" s="130"/>
      <c r="R685" s="130"/>
      <c r="S685" s="130"/>
      <c r="T685" s="130"/>
      <c r="U685" s="130"/>
      <c r="V685" s="130"/>
      <c r="W685" s="130"/>
      <c r="X685" s="130"/>
      <c r="Y685" s="130"/>
      <c r="Z685" s="130"/>
    </row>
    <row r="686" ht="13.5" customHeight="1">
      <c r="A686" s="130"/>
      <c r="B686" s="130"/>
      <c r="C686" s="130"/>
      <c r="D686" s="130"/>
      <c r="E686" s="130"/>
      <c r="F686" s="130"/>
      <c r="G686" s="130"/>
      <c r="H686" s="130"/>
      <c r="I686" s="130"/>
      <c r="J686" s="130"/>
      <c r="K686" s="130"/>
      <c r="L686" s="130"/>
      <c r="M686" s="130"/>
      <c r="N686" s="130"/>
      <c r="O686" s="130"/>
      <c r="P686" s="130"/>
      <c r="Q686" s="130"/>
      <c r="R686" s="130"/>
      <c r="S686" s="130"/>
      <c r="T686" s="130"/>
      <c r="U686" s="130"/>
      <c r="V686" s="130"/>
      <c r="W686" s="130"/>
      <c r="X686" s="130"/>
      <c r="Y686" s="130"/>
      <c r="Z686" s="130"/>
    </row>
    <row r="687" ht="13.5" customHeight="1">
      <c r="A687" s="130"/>
      <c r="B687" s="130"/>
      <c r="C687" s="130"/>
      <c r="D687" s="130"/>
      <c r="E687" s="130"/>
      <c r="F687" s="130"/>
      <c r="G687" s="130"/>
      <c r="H687" s="130"/>
      <c r="I687" s="130"/>
      <c r="J687" s="130"/>
      <c r="K687" s="130"/>
      <c r="L687" s="130"/>
      <c r="M687" s="130"/>
      <c r="N687" s="130"/>
      <c r="O687" s="130"/>
      <c r="P687" s="130"/>
      <c r="Q687" s="130"/>
      <c r="R687" s="130"/>
      <c r="S687" s="130"/>
      <c r="T687" s="130"/>
      <c r="U687" s="130"/>
      <c r="V687" s="130"/>
      <c r="W687" s="130"/>
      <c r="X687" s="130"/>
      <c r="Y687" s="130"/>
      <c r="Z687" s="130"/>
    </row>
    <row r="688" ht="13.5" customHeight="1">
      <c r="A688" s="130"/>
      <c r="B688" s="130"/>
      <c r="C688" s="130"/>
      <c r="D688" s="130"/>
      <c r="E688" s="130"/>
      <c r="F688" s="130"/>
      <c r="G688" s="130"/>
      <c r="H688" s="130"/>
      <c r="I688" s="130"/>
      <c r="J688" s="130"/>
      <c r="K688" s="130"/>
      <c r="L688" s="130"/>
      <c r="M688" s="130"/>
      <c r="N688" s="130"/>
      <c r="O688" s="130"/>
      <c r="P688" s="130"/>
      <c r="Q688" s="130"/>
      <c r="R688" s="130"/>
      <c r="S688" s="130"/>
      <c r="T688" s="130"/>
      <c r="U688" s="130"/>
      <c r="V688" s="130"/>
      <c r="W688" s="130"/>
      <c r="X688" s="130"/>
      <c r="Y688" s="130"/>
      <c r="Z688" s="130"/>
    </row>
    <row r="689" ht="13.5" customHeight="1">
      <c r="A689" s="130"/>
      <c r="B689" s="130"/>
      <c r="C689" s="130"/>
      <c r="D689" s="130"/>
      <c r="E689" s="130"/>
      <c r="F689" s="130"/>
      <c r="G689" s="130"/>
      <c r="H689" s="130"/>
      <c r="I689" s="130"/>
      <c r="J689" s="130"/>
      <c r="K689" s="130"/>
      <c r="L689" s="130"/>
      <c r="M689" s="130"/>
      <c r="N689" s="130"/>
      <c r="O689" s="130"/>
      <c r="P689" s="130"/>
      <c r="Q689" s="130"/>
      <c r="R689" s="130"/>
      <c r="S689" s="130"/>
      <c r="T689" s="130"/>
      <c r="U689" s="130"/>
      <c r="V689" s="130"/>
      <c r="W689" s="130"/>
      <c r="X689" s="130"/>
      <c r="Y689" s="130"/>
      <c r="Z689" s="130"/>
    </row>
    <row r="690" ht="13.5" customHeight="1">
      <c r="A690" s="130"/>
      <c r="B690" s="130"/>
      <c r="C690" s="130"/>
      <c r="D690" s="130"/>
      <c r="E690" s="130"/>
      <c r="F690" s="130"/>
      <c r="G690" s="130"/>
      <c r="H690" s="130"/>
      <c r="I690" s="130"/>
      <c r="J690" s="130"/>
      <c r="K690" s="130"/>
      <c r="L690" s="130"/>
      <c r="M690" s="130"/>
      <c r="N690" s="130"/>
      <c r="O690" s="130"/>
      <c r="P690" s="130"/>
      <c r="Q690" s="130"/>
      <c r="R690" s="130"/>
      <c r="S690" s="130"/>
      <c r="T690" s="130"/>
      <c r="U690" s="130"/>
      <c r="V690" s="130"/>
      <c r="W690" s="130"/>
      <c r="X690" s="130"/>
      <c r="Y690" s="130"/>
      <c r="Z690" s="130"/>
    </row>
    <row r="691" ht="13.5" customHeight="1">
      <c r="A691" s="130"/>
      <c r="B691" s="130"/>
      <c r="C691" s="130"/>
      <c r="D691" s="130"/>
      <c r="E691" s="130"/>
      <c r="F691" s="130"/>
      <c r="G691" s="130"/>
      <c r="H691" s="130"/>
      <c r="I691" s="130"/>
      <c r="J691" s="130"/>
      <c r="K691" s="130"/>
      <c r="L691" s="130"/>
      <c r="M691" s="130"/>
      <c r="N691" s="130"/>
      <c r="O691" s="130"/>
      <c r="P691" s="130"/>
      <c r="Q691" s="130"/>
      <c r="R691" s="130"/>
      <c r="S691" s="130"/>
      <c r="T691" s="130"/>
      <c r="U691" s="130"/>
      <c r="V691" s="130"/>
      <c r="W691" s="130"/>
      <c r="X691" s="130"/>
      <c r="Y691" s="130"/>
      <c r="Z691" s="130"/>
    </row>
    <row r="692" ht="13.5" customHeight="1">
      <c r="A692" s="130"/>
      <c r="B692" s="130"/>
      <c r="C692" s="130"/>
      <c r="D692" s="130"/>
      <c r="E692" s="130"/>
      <c r="F692" s="130"/>
      <c r="G692" s="130"/>
      <c r="H692" s="130"/>
      <c r="I692" s="130"/>
      <c r="J692" s="130"/>
      <c r="K692" s="130"/>
      <c r="L692" s="130"/>
      <c r="M692" s="130"/>
      <c r="N692" s="130"/>
      <c r="O692" s="130"/>
      <c r="P692" s="130"/>
      <c r="Q692" s="130"/>
      <c r="R692" s="130"/>
      <c r="S692" s="130"/>
      <c r="T692" s="130"/>
      <c r="U692" s="130"/>
      <c r="V692" s="130"/>
      <c r="W692" s="130"/>
      <c r="X692" s="130"/>
      <c r="Y692" s="130"/>
      <c r="Z692" s="130"/>
    </row>
    <row r="693" ht="13.5" customHeight="1">
      <c r="A693" s="130"/>
      <c r="B693" s="130"/>
      <c r="C693" s="130"/>
      <c r="D693" s="130"/>
      <c r="E693" s="130"/>
      <c r="F693" s="130"/>
      <c r="G693" s="130"/>
      <c r="H693" s="130"/>
      <c r="I693" s="130"/>
      <c r="J693" s="130"/>
      <c r="K693" s="130"/>
      <c r="L693" s="130"/>
      <c r="M693" s="130"/>
      <c r="N693" s="130"/>
      <c r="O693" s="130"/>
      <c r="P693" s="130"/>
      <c r="Q693" s="130"/>
      <c r="R693" s="130"/>
      <c r="S693" s="130"/>
      <c r="T693" s="130"/>
      <c r="U693" s="130"/>
      <c r="V693" s="130"/>
      <c r="W693" s="130"/>
      <c r="X693" s="130"/>
      <c r="Y693" s="130"/>
      <c r="Z693" s="130"/>
    </row>
    <row r="694" ht="13.5" customHeight="1">
      <c r="A694" s="130"/>
      <c r="B694" s="130"/>
      <c r="C694" s="130"/>
      <c r="D694" s="130"/>
      <c r="E694" s="130"/>
      <c r="F694" s="130"/>
      <c r="G694" s="130"/>
      <c r="H694" s="130"/>
      <c r="I694" s="130"/>
      <c r="J694" s="130"/>
      <c r="K694" s="130"/>
      <c r="L694" s="130"/>
      <c r="M694" s="130"/>
      <c r="N694" s="130"/>
      <c r="O694" s="130"/>
      <c r="P694" s="130"/>
      <c r="Q694" s="130"/>
      <c r="R694" s="130"/>
      <c r="S694" s="130"/>
      <c r="T694" s="130"/>
      <c r="U694" s="130"/>
      <c r="V694" s="130"/>
      <c r="W694" s="130"/>
      <c r="X694" s="130"/>
      <c r="Y694" s="130"/>
      <c r="Z694" s="130"/>
    </row>
    <row r="695" ht="13.5" customHeight="1">
      <c r="A695" s="130"/>
      <c r="B695" s="130"/>
      <c r="C695" s="130"/>
      <c r="D695" s="130"/>
      <c r="E695" s="130"/>
      <c r="F695" s="130"/>
      <c r="G695" s="130"/>
      <c r="H695" s="130"/>
      <c r="I695" s="130"/>
      <c r="J695" s="130"/>
      <c r="K695" s="130"/>
      <c r="L695" s="130"/>
      <c r="M695" s="130"/>
      <c r="N695" s="130"/>
      <c r="O695" s="130"/>
      <c r="P695" s="130"/>
      <c r="Q695" s="130"/>
      <c r="R695" s="130"/>
      <c r="S695" s="130"/>
      <c r="T695" s="130"/>
      <c r="U695" s="130"/>
      <c r="V695" s="130"/>
      <c r="W695" s="130"/>
      <c r="X695" s="130"/>
      <c r="Y695" s="130"/>
      <c r="Z695" s="130"/>
    </row>
    <row r="696" ht="13.5" customHeight="1">
      <c r="A696" s="130"/>
      <c r="B696" s="130"/>
      <c r="C696" s="130"/>
      <c r="D696" s="130"/>
      <c r="E696" s="130"/>
      <c r="F696" s="130"/>
      <c r="G696" s="130"/>
      <c r="H696" s="130"/>
      <c r="I696" s="130"/>
      <c r="J696" s="130"/>
      <c r="K696" s="130"/>
      <c r="L696" s="130"/>
      <c r="M696" s="130"/>
      <c r="N696" s="130"/>
      <c r="O696" s="130"/>
      <c r="P696" s="130"/>
      <c r="Q696" s="130"/>
      <c r="R696" s="130"/>
      <c r="S696" s="130"/>
      <c r="T696" s="130"/>
      <c r="U696" s="130"/>
      <c r="V696" s="130"/>
      <c r="W696" s="130"/>
      <c r="X696" s="130"/>
      <c r="Y696" s="130"/>
      <c r="Z696" s="130"/>
    </row>
    <row r="697" ht="13.5" customHeight="1">
      <c r="A697" s="130"/>
      <c r="B697" s="130"/>
      <c r="C697" s="130"/>
      <c r="D697" s="130"/>
      <c r="E697" s="130"/>
      <c r="F697" s="130"/>
      <c r="G697" s="130"/>
      <c r="H697" s="130"/>
      <c r="I697" s="130"/>
      <c r="J697" s="130"/>
      <c r="K697" s="130"/>
      <c r="L697" s="130"/>
      <c r="M697" s="130"/>
      <c r="N697" s="130"/>
      <c r="O697" s="130"/>
      <c r="P697" s="130"/>
      <c r="Q697" s="130"/>
      <c r="R697" s="130"/>
      <c r="S697" s="130"/>
      <c r="T697" s="130"/>
      <c r="U697" s="130"/>
      <c r="V697" s="130"/>
      <c r="W697" s="130"/>
      <c r="X697" s="130"/>
      <c r="Y697" s="130"/>
      <c r="Z697" s="130"/>
    </row>
    <row r="698" ht="13.5" customHeight="1">
      <c r="A698" s="130"/>
      <c r="B698" s="130"/>
      <c r="C698" s="130"/>
      <c r="D698" s="130"/>
      <c r="E698" s="130"/>
      <c r="F698" s="130"/>
      <c r="G698" s="130"/>
      <c r="H698" s="130"/>
      <c r="I698" s="130"/>
      <c r="J698" s="130"/>
      <c r="K698" s="130"/>
      <c r="L698" s="130"/>
      <c r="M698" s="130"/>
      <c r="N698" s="130"/>
      <c r="O698" s="130"/>
      <c r="P698" s="130"/>
      <c r="Q698" s="130"/>
      <c r="R698" s="130"/>
      <c r="S698" s="130"/>
      <c r="T698" s="130"/>
      <c r="U698" s="130"/>
      <c r="V698" s="130"/>
      <c r="W698" s="130"/>
      <c r="X698" s="130"/>
      <c r="Y698" s="130"/>
      <c r="Z698" s="130"/>
    </row>
    <row r="699" ht="13.5" customHeight="1">
      <c r="A699" s="130"/>
      <c r="B699" s="130"/>
      <c r="C699" s="130"/>
      <c r="D699" s="130"/>
      <c r="E699" s="130"/>
      <c r="F699" s="130"/>
      <c r="G699" s="130"/>
      <c r="H699" s="130"/>
      <c r="I699" s="130"/>
      <c r="J699" s="130"/>
      <c r="K699" s="130"/>
      <c r="L699" s="130"/>
      <c r="M699" s="130"/>
      <c r="N699" s="130"/>
      <c r="O699" s="130"/>
      <c r="P699" s="130"/>
      <c r="Q699" s="130"/>
      <c r="R699" s="130"/>
      <c r="S699" s="130"/>
      <c r="T699" s="130"/>
      <c r="U699" s="130"/>
      <c r="V699" s="130"/>
      <c r="W699" s="130"/>
      <c r="X699" s="130"/>
      <c r="Y699" s="130"/>
      <c r="Z699" s="130"/>
    </row>
    <row r="700" ht="13.5" customHeight="1">
      <c r="A700" s="130"/>
      <c r="B700" s="130"/>
      <c r="C700" s="130"/>
      <c r="D700" s="130"/>
      <c r="E700" s="130"/>
      <c r="F700" s="130"/>
      <c r="G700" s="130"/>
      <c r="H700" s="130"/>
      <c r="I700" s="130"/>
      <c r="J700" s="130"/>
      <c r="K700" s="130"/>
      <c r="L700" s="130"/>
      <c r="M700" s="130"/>
      <c r="N700" s="130"/>
      <c r="O700" s="130"/>
      <c r="P700" s="130"/>
      <c r="Q700" s="130"/>
      <c r="R700" s="130"/>
      <c r="S700" s="130"/>
      <c r="T700" s="130"/>
      <c r="U700" s="130"/>
      <c r="V700" s="130"/>
      <c r="W700" s="130"/>
      <c r="X700" s="130"/>
      <c r="Y700" s="130"/>
      <c r="Z700" s="130"/>
    </row>
    <row r="701" ht="13.5" customHeight="1">
      <c r="A701" s="130"/>
      <c r="B701" s="130"/>
      <c r="C701" s="130"/>
      <c r="D701" s="130"/>
      <c r="E701" s="130"/>
      <c r="F701" s="130"/>
      <c r="G701" s="130"/>
      <c r="H701" s="130"/>
      <c r="I701" s="130"/>
      <c r="J701" s="130"/>
      <c r="K701" s="130"/>
      <c r="L701" s="130"/>
      <c r="M701" s="130"/>
      <c r="N701" s="130"/>
      <c r="O701" s="130"/>
      <c r="P701" s="130"/>
      <c r="Q701" s="130"/>
      <c r="R701" s="130"/>
      <c r="S701" s="130"/>
      <c r="T701" s="130"/>
      <c r="U701" s="130"/>
      <c r="V701" s="130"/>
      <c r="W701" s="130"/>
      <c r="X701" s="130"/>
      <c r="Y701" s="130"/>
      <c r="Z701" s="130"/>
    </row>
    <row r="702" ht="13.5" customHeight="1">
      <c r="A702" s="130"/>
      <c r="B702" s="130"/>
      <c r="C702" s="130"/>
      <c r="D702" s="130"/>
      <c r="E702" s="130"/>
      <c r="F702" s="130"/>
      <c r="G702" s="130"/>
      <c r="H702" s="130"/>
      <c r="I702" s="130"/>
      <c r="J702" s="130"/>
      <c r="K702" s="130"/>
      <c r="L702" s="130"/>
      <c r="M702" s="130"/>
      <c r="N702" s="130"/>
      <c r="O702" s="130"/>
      <c r="P702" s="130"/>
      <c r="Q702" s="130"/>
      <c r="R702" s="130"/>
      <c r="S702" s="130"/>
      <c r="T702" s="130"/>
      <c r="U702" s="130"/>
      <c r="V702" s="130"/>
      <c r="W702" s="130"/>
      <c r="X702" s="130"/>
      <c r="Y702" s="130"/>
      <c r="Z702" s="130"/>
    </row>
    <row r="703" ht="13.5" customHeight="1">
      <c r="A703" s="130"/>
      <c r="B703" s="130"/>
      <c r="C703" s="130"/>
      <c r="D703" s="130"/>
      <c r="E703" s="130"/>
      <c r="F703" s="130"/>
      <c r="G703" s="130"/>
      <c r="H703" s="130"/>
      <c r="I703" s="130"/>
      <c r="J703" s="130"/>
      <c r="K703" s="130"/>
      <c r="L703" s="130"/>
      <c r="M703" s="130"/>
      <c r="N703" s="130"/>
      <c r="O703" s="130"/>
      <c r="P703" s="130"/>
      <c r="Q703" s="130"/>
      <c r="R703" s="130"/>
      <c r="S703" s="130"/>
      <c r="T703" s="130"/>
      <c r="U703" s="130"/>
      <c r="V703" s="130"/>
      <c r="W703" s="130"/>
      <c r="X703" s="130"/>
      <c r="Y703" s="130"/>
      <c r="Z703" s="130"/>
    </row>
    <row r="704" ht="13.5" customHeight="1">
      <c r="A704" s="130"/>
      <c r="B704" s="130"/>
      <c r="C704" s="130"/>
      <c r="D704" s="130"/>
      <c r="E704" s="130"/>
      <c r="F704" s="130"/>
      <c r="G704" s="130"/>
      <c r="H704" s="130"/>
      <c r="I704" s="130"/>
      <c r="J704" s="130"/>
      <c r="K704" s="130"/>
      <c r="L704" s="130"/>
      <c r="M704" s="130"/>
      <c r="N704" s="130"/>
      <c r="O704" s="130"/>
      <c r="P704" s="130"/>
      <c r="Q704" s="130"/>
      <c r="R704" s="130"/>
      <c r="S704" s="130"/>
      <c r="T704" s="130"/>
      <c r="U704" s="130"/>
      <c r="V704" s="130"/>
      <c r="W704" s="130"/>
      <c r="X704" s="130"/>
      <c r="Y704" s="130"/>
      <c r="Z704" s="130"/>
    </row>
    <row r="705" ht="13.5" customHeight="1">
      <c r="A705" s="130"/>
      <c r="B705" s="130"/>
      <c r="C705" s="130"/>
      <c r="D705" s="130"/>
      <c r="E705" s="130"/>
      <c r="F705" s="130"/>
      <c r="G705" s="130"/>
      <c r="H705" s="130"/>
      <c r="I705" s="130"/>
      <c r="J705" s="130"/>
      <c r="K705" s="130"/>
      <c r="L705" s="130"/>
      <c r="M705" s="130"/>
      <c r="N705" s="130"/>
      <c r="O705" s="130"/>
      <c r="P705" s="130"/>
      <c r="Q705" s="130"/>
      <c r="R705" s="130"/>
      <c r="S705" s="130"/>
      <c r="T705" s="130"/>
      <c r="U705" s="130"/>
      <c r="V705" s="130"/>
      <c r="W705" s="130"/>
      <c r="X705" s="130"/>
      <c r="Y705" s="130"/>
      <c r="Z705" s="130"/>
    </row>
    <row r="706" ht="13.5" customHeight="1">
      <c r="A706" s="130"/>
      <c r="B706" s="130"/>
      <c r="C706" s="130"/>
      <c r="D706" s="130"/>
      <c r="E706" s="130"/>
      <c r="F706" s="130"/>
      <c r="G706" s="130"/>
      <c r="H706" s="130"/>
      <c r="I706" s="130"/>
      <c r="J706" s="130"/>
      <c r="K706" s="130"/>
      <c r="L706" s="130"/>
      <c r="M706" s="130"/>
      <c r="N706" s="130"/>
      <c r="O706" s="130"/>
      <c r="P706" s="130"/>
      <c r="Q706" s="130"/>
      <c r="R706" s="130"/>
      <c r="S706" s="130"/>
      <c r="T706" s="130"/>
      <c r="U706" s="130"/>
      <c r="V706" s="130"/>
      <c r="W706" s="130"/>
      <c r="X706" s="130"/>
      <c r="Y706" s="130"/>
      <c r="Z706" s="130"/>
    </row>
    <row r="707" ht="13.5" customHeight="1">
      <c r="A707" s="130"/>
      <c r="B707" s="130"/>
      <c r="C707" s="130"/>
      <c r="D707" s="130"/>
      <c r="E707" s="130"/>
      <c r="F707" s="130"/>
      <c r="G707" s="130"/>
      <c r="H707" s="130"/>
      <c r="I707" s="130"/>
      <c r="J707" s="130"/>
      <c r="K707" s="130"/>
      <c r="L707" s="130"/>
      <c r="M707" s="130"/>
      <c r="N707" s="130"/>
      <c r="O707" s="130"/>
      <c r="P707" s="130"/>
      <c r="Q707" s="130"/>
      <c r="R707" s="130"/>
      <c r="S707" s="130"/>
      <c r="T707" s="130"/>
      <c r="U707" s="130"/>
      <c r="V707" s="130"/>
      <c r="W707" s="130"/>
      <c r="X707" s="130"/>
      <c r="Y707" s="130"/>
      <c r="Z707" s="130"/>
    </row>
    <row r="708" ht="13.5" customHeight="1">
      <c r="A708" s="130"/>
      <c r="B708" s="130"/>
      <c r="C708" s="130"/>
      <c r="D708" s="130"/>
      <c r="E708" s="130"/>
      <c r="F708" s="130"/>
      <c r="G708" s="130"/>
      <c r="H708" s="130"/>
      <c r="I708" s="130"/>
      <c r="J708" s="130"/>
      <c r="K708" s="130"/>
      <c r="L708" s="130"/>
      <c r="M708" s="130"/>
      <c r="N708" s="130"/>
      <c r="O708" s="130"/>
      <c r="P708" s="130"/>
      <c r="Q708" s="130"/>
      <c r="R708" s="130"/>
      <c r="S708" s="130"/>
      <c r="T708" s="130"/>
      <c r="U708" s="130"/>
      <c r="V708" s="130"/>
      <c r="W708" s="130"/>
      <c r="X708" s="130"/>
      <c r="Y708" s="130"/>
      <c r="Z708" s="130"/>
    </row>
    <row r="709" ht="13.5" customHeight="1">
      <c r="A709" s="130"/>
      <c r="B709" s="130"/>
      <c r="C709" s="130"/>
      <c r="D709" s="130"/>
      <c r="E709" s="130"/>
      <c r="F709" s="130"/>
      <c r="G709" s="130"/>
      <c r="H709" s="130"/>
      <c r="I709" s="130"/>
      <c r="J709" s="130"/>
      <c r="K709" s="130"/>
      <c r="L709" s="130"/>
      <c r="M709" s="130"/>
      <c r="N709" s="130"/>
      <c r="O709" s="130"/>
      <c r="P709" s="130"/>
      <c r="Q709" s="130"/>
      <c r="R709" s="130"/>
      <c r="S709" s="130"/>
      <c r="T709" s="130"/>
      <c r="U709" s="130"/>
      <c r="V709" s="130"/>
      <c r="W709" s="130"/>
      <c r="X709" s="130"/>
      <c r="Y709" s="130"/>
      <c r="Z709" s="130"/>
    </row>
    <row r="710" ht="13.5" customHeight="1">
      <c r="A710" s="130"/>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row>
    <row r="711" ht="13.5" customHeight="1">
      <c r="A711" s="130"/>
      <c r="B711" s="130"/>
      <c r="C711" s="130"/>
      <c r="D711" s="130"/>
      <c r="E711" s="130"/>
      <c r="F711" s="130"/>
      <c r="G711" s="130"/>
      <c r="H711" s="130"/>
      <c r="I711" s="130"/>
      <c r="J711" s="130"/>
      <c r="K711" s="130"/>
      <c r="L711" s="130"/>
      <c r="M711" s="130"/>
      <c r="N711" s="130"/>
      <c r="O711" s="130"/>
      <c r="P711" s="130"/>
      <c r="Q711" s="130"/>
      <c r="R711" s="130"/>
      <c r="S711" s="130"/>
      <c r="T711" s="130"/>
      <c r="U711" s="130"/>
      <c r="V711" s="130"/>
      <c r="W711" s="130"/>
      <c r="X711" s="130"/>
      <c r="Y711" s="130"/>
      <c r="Z711" s="130"/>
    </row>
    <row r="712" ht="13.5" customHeight="1">
      <c r="A712" s="130"/>
      <c r="B712" s="130"/>
      <c r="C712" s="130"/>
      <c r="D712" s="130"/>
      <c r="E712" s="130"/>
      <c r="F712" s="130"/>
      <c r="G712" s="130"/>
      <c r="H712" s="130"/>
      <c r="I712" s="130"/>
      <c r="J712" s="130"/>
      <c r="K712" s="130"/>
      <c r="L712" s="130"/>
      <c r="M712" s="130"/>
      <c r="N712" s="130"/>
      <c r="O712" s="130"/>
      <c r="P712" s="130"/>
      <c r="Q712" s="130"/>
      <c r="R712" s="130"/>
      <c r="S712" s="130"/>
      <c r="T712" s="130"/>
      <c r="U712" s="130"/>
      <c r="V712" s="130"/>
      <c r="W712" s="130"/>
      <c r="X712" s="130"/>
      <c r="Y712" s="130"/>
      <c r="Z712" s="130"/>
    </row>
    <row r="713" ht="13.5" customHeight="1">
      <c r="A713" s="130"/>
      <c r="B713" s="130"/>
      <c r="C713" s="130"/>
      <c r="D713" s="130"/>
      <c r="E713" s="130"/>
      <c r="F713" s="130"/>
      <c r="G713" s="130"/>
      <c r="H713" s="130"/>
      <c r="I713" s="130"/>
      <c r="J713" s="130"/>
      <c r="K713" s="130"/>
      <c r="L713" s="130"/>
      <c r="M713" s="130"/>
      <c r="N713" s="130"/>
      <c r="O713" s="130"/>
      <c r="P713" s="130"/>
      <c r="Q713" s="130"/>
      <c r="R713" s="130"/>
      <c r="S713" s="130"/>
      <c r="T713" s="130"/>
      <c r="U713" s="130"/>
      <c r="V713" s="130"/>
      <c r="W713" s="130"/>
      <c r="X713" s="130"/>
      <c r="Y713" s="130"/>
      <c r="Z713" s="130"/>
    </row>
    <row r="714" ht="13.5" customHeight="1">
      <c r="A714" s="130"/>
      <c r="B714" s="130"/>
      <c r="C714" s="130"/>
      <c r="D714" s="130"/>
      <c r="E714" s="130"/>
      <c r="F714" s="130"/>
      <c r="G714" s="130"/>
      <c r="H714" s="130"/>
      <c r="I714" s="130"/>
      <c r="J714" s="130"/>
      <c r="K714" s="130"/>
      <c r="L714" s="130"/>
      <c r="M714" s="130"/>
      <c r="N714" s="130"/>
      <c r="O714" s="130"/>
      <c r="P714" s="130"/>
      <c r="Q714" s="130"/>
      <c r="R714" s="130"/>
      <c r="S714" s="130"/>
      <c r="T714" s="130"/>
      <c r="U714" s="130"/>
      <c r="V714" s="130"/>
      <c r="W714" s="130"/>
      <c r="X714" s="130"/>
      <c r="Y714" s="130"/>
      <c r="Z714" s="130"/>
    </row>
    <row r="715" ht="13.5" customHeight="1">
      <c r="A715" s="130"/>
      <c r="B715" s="130"/>
      <c r="C715" s="130"/>
      <c r="D715" s="130"/>
      <c r="E715" s="130"/>
      <c r="F715" s="130"/>
      <c r="G715" s="130"/>
      <c r="H715" s="130"/>
      <c r="I715" s="130"/>
      <c r="J715" s="130"/>
      <c r="K715" s="130"/>
      <c r="L715" s="130"/>
      <c r="M715" s="130"/>
      <c r="N715" s="130"/>
      <c r="O715" s="130"/>
      <c r="P715" s="130"/>
      <c r="Q715" s="130"/>
      <c r="R715" s="130"/>
      <c r="S715" s="130"/>
      <c r="T715" s="130"/>
      <c r="U715" s="130"/>
      <c r="V715" s="130"/>
      <c r="W715" s="130"/>
      <c r="X715" s="130"/>
      <c r="Y715" s="130"/>
      <c r="Z715" s="130"/>
    </row>
    <row r="716" ht="13.5" customHeight="1">
      <c r="A716" s="130"/>
      <c r="B716" s="130"/>
      <c r="C716" s="130"/>
      <c r="D716" s="130"/>
      <c r="E716" s="130"/>
      <c r="F716" s="130"/>
      <c r="G716" s="130"/>
      <c r="H716" s="130"/>
      <c r="I716" s="130"/>
      <c r="J716" s="130"/>
      <c r="K716" s="130"/>
      <c r="L716" s="130"/>
      <c r="M716" s="130"/>
      <c r="N716" s="130"/>
      <c r="O716" s="130"/>
      <c r="P716" s="130"/>
      <c r="Q716" s="130"/>
      <c r="R716" s="130"/>
      <c r="S716" s="130"/>
      <c r="T716" s="130"/>
      <c r="U716" s="130"/>
      <c r="V716" s="130"/>
      <c r="W716" s="130"/>
      <c r="X716" s="130"/>
      <c r="Y716" s="130"/>
      <c r="Z716" s="130"/>
    </row>
    <row r="717" ht="13.5" customHeight="1">
      <c r="A717" s="130"/>
      <c r="B717" s="130"/>
      <c r="C717" s="130"/>
      <c r="D717" s="130"/>
      <c r="E717" s="130"/>
      <c r="F717" s="130"/>
      <c r="G717" s="130"/>
      <c r="H717" s="130"/>
      <c r="I717" s="130"/>
      <c r="J717" s="130"/>
      <c r="K717" s="130"/>
      <c r="L717" s="130"/>
      <c r="M717" s="130"/>
      <c r="N717" s="130"/>
      <c r="O717" s="130"/>
      <c r="P717" s="130"/>
      <c r="Q717" s="130"/>
      <c r="R717" s="130"/>
      <c r="S717" s="130"/>
      <c r="T717" s="130"/>
      <c r="U717" s="130"/>
      <c r="V717" s="130"/>
      <c r="W717" s="130"/>
      <c r="X717" s="130"/>
      <c r="Y717" s="130"/>
      <c r="Z717" s="130"/>
    </row>
    <row r="718" ht="13.5" customHeight="1">
      <c r="A718" s="130"/>
      <c r="B718" s="130"/>
      <c r="C718" s="130"/>
      <c r="D718" s="130"/>
      <c r="E718" s="130"/>
      <c r="F718" s="130"/>
      <c r="G718" s="130"/>
      <c r="H718" s="130"/>
      <c r="I718" s="130"/>
      <c r="J718" s="130"/>
      <c r="K718" s="130"/>
      <c r="L718" s="130"/>
      <c r="M718" s="130"/>
      <c r="N718" s="130"/>
      <c r="O718" s="130"/>
      <c r="P718" s="130"/>
      <c r="Q718" s="130"/>
      <c r="R718" s="130"/>
      <c r="S718" s="130"/>
      <c r="T718" s="130"/>
      <c r="U718" s="130"/>
      <c r="V718" s="130"/>
      <c r="W718" s="130"/>
      <c r="X718" s="130"/>
      <c r="Y718" s="130"/>
      <c r="Z718" s="130"/>
    </row>
    <row r="719" ht="13.5" customHeight="1">
      <c r="A719" s="130"/>
      <c r="B719" s="130"/>
      <c r="C719" s="130"/>
      <c r="D719" s="130"/>
      <c r="E719" s="130"/>
      <c r="F719" s="130"/>
      <c r="G719" s="130"/>
      <c r="H719" s="130"/>
      <c r="I719" s="130"/>
      <c r="J719" s="130"/>
      <c r="K719" s="130"/>
      <c r="L719" s="130"/>
      <c r="M719" s="130"/>
      <c r="N719" s="130"/>
      <c r="O719" s="130"/>
      <c r="P719" s="130"/>
      <c r="Q719" s="130"/>
      <c r="R719" s="130"/>
      <c r="S719" s="130"/>
      <c r="T719" s="130"/>
      <c r="U719" s="130"/>
      <c r="V719" s="130"/>
      <c r="W719" s="130"/>
      <c r="X719" s="130"/>
      <c r="Y719" s="130"/>
      <c r="Z719" s="130"/>
    </row>
    <row r="720" ht="13.5" customHeight="1">
      <c r="A720" s="130"/>
      <c r="B720" s="130"/>
      <c r="C720" s="130"/>
      <c r="D720" s="130"/>
      <c r="E720" s="130"/>
      <c r="F720" s="130"/>
      <c r="G720" s="130"/>
      <c r="H720" s="130"/>
      <c r="I720" s="130"/>
      <c r="J720" s="130"/>
      <c r="K720" s="130"/>
      <c r="L720" s="130"/>
      <c r="M720" s="130"/>
      <c r="N720" s="130"/>
      <c r="O720" s="130"/>
      <c r="P720" s="130"/>
      <c r="Q720" s="130"/>
      <c r="R720" s="130"/>
      <c r="S720" s="130"/>
      <c r="T720" s="130"/>
      <c r="U720" s="130"/>
      <c r="V720" s="130"/>
      <c r="W720" s="130"/>
      <c r="X720" s="130"/>
      <c r="Y720" s="130"/>
      <c r="Z720" s="130"/>
    </row>
    <row r="721" ht="13.5" customHeight="1">
      <c r="A721" s="130"/>
      <c r="B721" s="130"/>
      <c r="C721" s="130"/>
      <c r="D721" s="130"/>
      <c r="E721" s="130"/>
      <c r="F721" s="130"/>
      <c r="G721" s="130"/>
      <c r="H721" s="130"/>
      <c r="I721" s="130"/>
      <c r="J721" s="130"/>
      <c r="K721" s="130"/>
      <c r="L721" s="130"/>
      <c r="M721" s="130"/>
      <c r="N721" s="130"/>
      <c r="O721" s="130"/>
      <c r="P721" s="130"/>
      <c r="Q721" s="130"/>
      <c r="R721" s="130"/>
      <c r="S721" s="130"/>
      <c r="T721" s="130"/>
      <c r="U721" s="130"/>
      <c r="V721" s="130"/>
      <c r="W721" s="130"/>
      <c r="X721" s="130"/>
      <c r="Y721" s="130"/>
      <c r="Z721" s="130"/>
    </row>
    <row r="722" ht="13.5" customHeight="1">
      <c r="A722" s="130"/>
      <c r="B722" s="130"/>
      <c r="C722" s="130"/>
      <c r="D722" s="130"/>
      <c r="E722" s="130"/>
      <c r="F722" s="130"/>
      <c r="G722" s="130"/>
      <c r="H722" s="130"/>
      <c r="I722" s="130"/>
      <c r="J722" s="130"/>
      <c r="K722" s="130"/>
      <c r="L722" s="130"/>
      <c r="M722" s="130"/>
      <c r="N722" s="130"/>
      <c r="O722" s="130"/>
      <c r="P722" s="130"/>
      <c r="Q722" s="130"/>
      <c r="R722" s="130"/>
      <c r="S722" s="130"/>
      <c r="T722" s="130"/>
      <c r="U722" s="130"/>
      <c r="V722" s="130"/>
      <c r="W722" s="130"/>
      <c r="X722" s="130"/>
      <c r="Y722" s="130"/>
      <c r="Z722" s="130"/>
    </row>
    <row r="723" ht="13.5" customHeight="1">
      <c r="A723" s="130"/>
      <c r="B723" s="130"/>
      <c r="C723" s="130"/>
      <c r="D723" s="130"/>
      <c r="E723" s="130"/>
      <c r="F723" s="130"/>
      <c r="G723" s="130"/>
      <c r="H723" s="130"/>
      <c r="I723" s="130"/>
      <c r="J723" s="130"/>
      <c r="K723" s="130"/>
      <c r="L723" s="130"/>
      <c r="M723" s="130"/>
      <c r="N723" s="130"/>
      <c r="O723" s="130"/>
      <c r="P723" s="130"/>
      <c r="Q723" s="130"/>
      <c r="R723" s="130"/>
      <c r="S723" s="130"/>
      <c r="T723" s="130"/>
      <c r="U723" s="130"/>
      <c r="V723" s="130"/>
      <c r="W723" s="130"/>
      <c r="X723" s="130"/>
      <c r="Y723" s="130"/>
      <c r="Z723" s="130"/>
    </row>
    <row r="724" ht="13.5" customHeight="1">
      <c r="A724" s="130"/>
      <c r="B724" s="130"/>
      <c r="C724" s="130"/>
      <c r="D724" s="130"/>
      <c r="E724" s="130"/>
      <c r="F724" s="130"/>
      <c r="G724" s="130"/>
      <c r="H724" s="130"/>
      <c r="I724" s="130"/>
      <c r="J724" s="130"/>
      <c r="K724" s="130"/>
      <c r="L724" s="130"/>
      <c r="M724" s="130"/>
      <c r="N724" s="130"/>
      <c r="O724" s="130"/>
      <c r="P724" s="130"/>
      <c r="Q724" s="130"/>
      <c r="R724" s="130"/>
      <c r="S724" s="130"/>
      <c r="T724" s="130"/>
      <c r="U724" s="130"/>
      <c r="V724" s="130"/>
      <c r="W724" s="130"/>
      <c r="X724" s="130"/>
      <c r="Y724" s="130"/>
      <c r="Z724" s="130"/>
    </row>
    <row r="725" ht="13.5" customHeight="1">
      <c r="A725" s="130"/>
      <c r="B725" s="130"/>
      <c r="C725" s="130"/>
      <c r="D725" s="130"/>
      <c r="E725" s="130"/>
      <c r="F725" s="130"/>
      <c r="G725" s="130"/>
      <c r="H725" s="130"/>
      <c r="I725" s="130"/>
      <c r="J725" s="130"/>
      <c r="K725" s="130"/>
      <c r="L725" s="130"/>
      <c r="M725" s="130"/>
      <c r="N725" s="130"/>
      <c r="O725" s="130"/>
      <c r="P725" s="130"/>
      <c r="Q725" s="130"/>
      <c r="R725" s="130"/>
      <c r="S725" s="130"/>
      <c r="T725" s="130"/>
      <c r="U725" s="130"/>
      <c r="V725" s="130"/>
      <c r="W725" s="130"/>
      <c r="X725" s="130"/>
      <c r="Y725" s="130"/>
      <c r="Z725" s="130"/>
    </row>
    <row r="726" ht="13.5" customHeight="1">
      <c r="A726" s="130"/>
      <c r="B726" s="130"/>
      <c r="C726" s="130"/>
      <c r="D726" s="130"/>
      <c r="E726" s="130"/>
      <c r="F726" s="130"/>
      <c r="G726" s="130"/>
      <c r="H726" s="130"/>
      <c r="I726" s="130"/>
      <c r="J726" s="130"/>
      <c r="K726" s="130"/>
      <c r="L726" s="130"/>
      <c r="M726" s="130"/>
      <c r="N726" s="130"/>
      <c r="O726" s="130"/>
      <c r="P726" s="130"/>
      <c r="Q726" s="130"/>
      <c r="R726" s="130"/>
      <c r="S726" s="130"/>
      <c r="T726" s="130"/>
      <c r="U726" s="130"/>
      <c r="V726" s="130"/>
      <c r="W726" s="130"/>
      <c r="X726" s="130"/>
      <c r="Y726" s="130"/>
      <c r="Z726" s="130"/>
    </row>
    <row r="727" ht="13.5" customHeight="1">
      <c r="A727" s="130"/>
      <c r="B727" s="130"/>
      <c r="C727" s="130"/>
      <c r="D727" s="130"/>
      <c r="E727" s="130"/>
      <c r="F727" s="130"/>
      <c r="G727" s="130"/>
      <c r="H727" s="130"/>
      <c r="I727" s="130"/>
      <c r="J727" s="130"/>
      <c r="K727" s="130"/>
      <c r="L727" s="130"/>
      <c r="M727" s="130"/>
      <c r="N727" s="130"/>
      <c r="O727" s="130"/>
      <c r="P727" s="130"/>
      <c r="Q727" s="130"/>
      <c r="R727" s="130"/>
      <c r="S727" s="130"/>
      <c r="T727" s="130"/>
      <c r="U727" s="130"/>
      <c r="V727" s="130"/>
      <c r="W727" s="130"/>
      <c r="X727" s="130"/>
      <c r="Y727" s="130"/>
      <c r="Z727" s="130"/>
    </row>
    <row r="728" ht="13.5" customHeight="1">
      <c r="A728" s="130"/>
      <c r="B728" s="130"/>
      <c r="C728" s="130"/>
      <c r="D728" s="130"/>
      <c r="E728" s="130"/>
      <c r="F728" s="130"/>
      <c r="G728" s="130"/>
      <c r="H728" s="130"/>
      <c r="I728" s="130"/>
      <c r="J728" s="130"/>
      <c r="K728" s="130"/>
      <c r="L728" s="130"/>
      <c r="M728" s="130"/>
      <c r="N728" s="130"/>
      <c r="O728" s="130"/>
      <c r="P728" s="130"/>
      <c r="Q728" s="130"/>
      <c r="R728" s="130"/>
      <c r="S728" s="130"/>
      <c r="T728" s="130"/>
      <c r="U728" s="130"/>
      <c r="V728" s="130"/>
      <c r="W728" s="130"/>
      <c r="X728" s="130"/>
      <c r="Y728" s="130"/>
      <c r="Z728" s="130"/>
    </row>
    <row r="729" ht="13.5" customHeight="1">
      <c r="A729" s="130"/>
      <c r="B729" s="130"/>
      <c r="C729" s="130"/>
      <c r="D729" s="130"/>
      <c r="E729" s="130"/>
      <c r="F729" s="130"/>
      <c r="G729" s="130"/>
      <c r="H729" s="130"/>
      <c r="I729" s="130"/>
      <c r="J729" s="130"/>
      <c r="K729" s="130"/>
      <c r="L729" s="130"/>
      <c r="M729" s="130"/>
      <c r="N729" s="130"/>
      <c r="O729" s="130"/>
      <c r="P729" s="130"/>
      <c r="Q729" s="130"/>
      <c r="R729" s="130"/>
      <c r="S729" s="130"/>
      <c r="T729" s="130"/>
      <c r="U729" s="130"/>
      <c r="V729" s="130"/>
      <c r="W729" s="130"/>
      <c r="X729" s="130"/>
      <c r="Y729" s="130"/>
      <c r="Z729" s="130"/>
    </row>
    <row r="730" ht="13.5" customHeight="1">
      <c r="A730" s="130"/>
      <c r="B730" s="130"/>
      <c r="C730" s="130"/>
      <c r="D730" s="130"/>
      <c r="E730" s="130"/>
      <c r="F730" s="130"/>
      <c r="G730" s="130"/>
      <c r="H730" s="130"/>
      <c r="I730" s="130"/>
      <c r="J730" s="130"/>
      <c r="K730" s="130"/>
      <c r="L730" s="130"/>
      <c r="M730" s="130"/>
      <c r="N730" s="130"/>
      <c r="O730" s="130"/>
      <c r="P730" s="130"/>
      <c r="Q730" s="130"/>
      <c r="R730" s="130"/>
      <c r="S730" s="130"/>
      <c r="T730" s="130"/>
      <c r="U730" s="130"/>
      <c r="V730" s="130"/>
      <c r="W730" s="130"/>
      <c r="X730" s="130"/>
      <c r="Y730" s="130"/>
      <c r="Z730" s="130"/>
    </row>
    <row r="731" ht="13.5" customHeight="1">
      <c r="A731" s="130"/>
      <c r="B731" s="130"/>
      <c r="C731" s="130"/>
      <c r="D731" s="130"/>
      <c r="E731" s="130"/>
      <c r="F731" s="130"/>
      <c r="G731" s="130"/>
      <c r="H731" s="130"/>
      <c r="I731" s="130"/>
      <c r="J731" s="130"/>
      <c r="K731" s="130"/>
      <c r="L731" s="130"/>
      <c r="M731" s="130"/>
      <c r="N731" s="130"/>
      <c r="O731" s="130"/>
      <c r="P731" s="130"/>
      <c r="Q731" s="130"/>
      <c r="R731" s="130"/>
      <c r="S731" s="130"/>
      <c r="T731" s="130"/>
      <c r="U731" s="130"/>
      <c r="V731" s="130"/>
      <c r="W731" s="130"/>
      <c r="X731" s="130"/>
      <c r="Y731" s="130"/>
      <c r="Z731" s="130"/>
    </row>
    <row r="732" ht="13.5" customHeight="1">
      <c r="A732" s="130"/>
      <c r="B732" s="130"/>
      <c r="C732" s="130"/>
      <c r="D732" s="130"/>
      <c r="E732" s="130"/>
      <c r="F732" s="130"/>
      <c r="G732" s="130"/>
      <c r="H732" s="130"/>
      <c r="I732" s="130"/>
      <c r="J732" s="130"/>
      <c r="K732" s="130"/>
      <c r="L732" s="130"/>
      <c r="M732" s="130"/>
      <c r="N732" s="130"/>
      <c r="O732" s="130"/>
      <c r="P732" s="130"/>
      <c r="Q732" s="130"/>
      <c r="R732" s="130"/>
      <c r="S732" s="130"/>
      <c r="T732" s="130"/>
      <c r="U732" s="130"/>
      <c r="V732" s="130"/>
      <c r="W732" s="130"/>
      <c r="X732" s="130"/>
      <c r="Y732" s="130"/>
      <c r="Z732" s="130"/>
    </row>
    <row r="733" ht="13.5" customHeight="1">
      <c r="A733" s="130"/>
      <c r="B733" s="130"/>
      <c r="C733" s="130"/>
      <c r="D733" s="130"/>
      <c r="E733" s="130"/>
      <c r="F733" s="130"/>
      <c r="G733" s="130"/>
      <c r="H733" s="130"/>
      <c r="I733" s="130"/>
      <c r="J733" s="130"/>
      <c r="K733" s="130"/>
      <c r="L733" s="130"/>
      <c r="M733" s="130"/>
      <c r="N733" s="130"/>
      <c r="O733" s="130"/>
      <c r="P733" s="130"/>
      <c r="Q733" s="130"/>
      <c r="R733" s="130"/>
      <c r="S733" s="130"/>
      <c r="T733" s="130"/>
      <c r="U733" s="130"/>
      <c r="V733" s="130"/>
      <c r="W733" s="130"/>
      <c r="X733" s="130"/>
      <c r="Y733" s="130"/>
      <c r="Z733" s="130"/>
    </row>
    <row r="734" ht="13.5" customHeight="1">
      <c r="A734" s="130"/>
      <c r="B734" s="130"/>
      <c r="C734" s="130"/>
      <c r="D734" s="130"/>
      <c r="E734" s="130"/>
      <c r="F734" s="130"/>
      <c r="G734" s="130"/>
      <c r="H734" s="130"/>
      <c r="I734" s="130"/>
      <c r="J734" s="130"/>
      <c r="K734" s="130"/>
      <c r="L734" s="130"/>
      <c r="M734" s="130"/>
      <c r="N734" s="130"/>
      <c r="O734" s="130"/>
      <c r="P734" s="130"/>
      <c r="Q734" s="130"/>
      <c r="R734" s="130"/>
      <c r="S734" s="130"/>
      <c r="T734" s="130"/>
      <c r="U734" s="130"/>
      <c r="V734" s="130"/>
      <c r="W734" s="130"/>
      <c r="X734" s="130"/>
      <c r="Y734" s="130"/>
      <c r="Z734" s="130"/>
    </row>
    <row r="735" ht="13.5" customHeight="1">
      <c r="A735" s="130"/>
      <c r="B735" s="130"/>
      <c r="C735" s="130"/>
      <c r="D735" s="130"/>
      <c r="E735" s="130"/>
      <c r="F735" s="130"/>
      <c r="G735" s="130"/>
      <c r="H735" s="130"/>
      <c r="I735" s="130"/>
      <c r="J735" s="130"/>
      <c r="K735" s="130"/>
      <c r="L735" s="130"/>
      <c r="M735" s="130"/>
      <c r="N735" s="130"/>
      <c r="O735" s="130"/>
      <c r="P735" s="130"/>
      <c r="Q735" s="130"/>
      <c r="R735" s="130"/>
      <c r="S735" s="130"/>
      <c r="T735" s="130"/>
      <c r="U735" s="130"/>
      <c r="V735" s="130"/>
      <c r="W735" s="130"/>
      <c r="X735" s="130"/>
      <c r="Y735" s="130"/>
      <c r="Z735" s="130"/>
    </row>
    <row r="736" ht="13.5" customHeight="1">
      <c r="A736" s="130"/>
      <c r="B736" s="130"/>
      <c r="C736" s="130"/>
      <c r="D736" s="130"/>
      <c r="E736" s="130"/>
      <c r="F736" s="130"/>
      <c r="G736" s="130"/>
      <c r="H736" s="130"/>
      <c r="I736" s="130"/>
      <c r="J736" s="130"/>
      <c r="K736" s="130"/>
      <c r="L736" s="130"/>
      <c r="M736" s="130"/>
      <c r="N736" s="130"/>
      <c r="O736" s="130"/>
      <c r="P736" s="130"/>
      <c r="Q736" s="130"/>
      <c r="R736" s="130"/>
      <c r="S736" s="130"/>
      <c r="T736" s="130"/>
      <c r="U736" s="130"/>
      <c r="V736" s="130"/>
      <c r="W736" s="130"/>
      <c r="X736" s="130"/>
      <c r="Y736" s="130"/>
      <c r="Z736" s="130"/>
    </row>
    <row r="737" ht="13.5" customHeight="1">
      <c r="A737" s="130"/>
      <c r="B737" s="130"/>
      <c r="C737" s="130"/>
      <c r="D737" s="130"/>
      <c r="E737" s="130"/>
      <c r="F737" s="130"/>
      <c r="G737" s="130"/>
      <c r="H737" s="130"/>
      <c r="I737" s="130"/>
      <c r="J737" s="130"/>
      <c r="K737" s="130"/>
      <c r="L737" s="130"/>
      <c r="M737" s="130"/>
      <c r="N737" s="130"/>
      <c r="O737" s="130"/>
      <c r="P737" s="130"/>
      <c r="Q737" s="130"/>
      <c r="R737" s="130"/>
      <c r="S737" s="130"/>
      <c r="T737" s="130"/>
      <c r="U737" s="130"/>
      <c r="V737" s="130"/>
      <c r="W737" s="130"/>
      <c r="X737" s="130"/>
      <c r="Y737" s="130"/>
      <c r="Z737" s="130"/>
    </row>
    <row r="738" ht="13.5" customHeight="1">
      <c r="A738" s="130"/>
      <c r="B738" s="130"/>
      <c r="C738" s="130"/>
      <c r="D738" s="130"/>
      <c r="E738" s="130"/>
      <c r="F738" s="130"/>
      <c r="G738" s="130"/>
      <c r="H738" s="130"/>
      <c r="I738" s="130"/>
      <c r="J738" s="130"/>
      <c r="K738" s="130"/>
      <c r="L738" s="130"/>
      <c r="M738" s="130"/>
      <c r="N738" s="130"/>
      <c r="O738" s="130"/>
      <c r="P738" s="130"/>
      <c r="Q738" s="130"/>
      <c r="R738" s="130"/>
      <c r="S738" s="130"/>
      <c r="T738" s="130"/>
      <c r="U738" s="130"/>
      <c r="V738" s="130"/>
      <c r="W738" s="130"/>
      <c r="X738" s="130"/>
      <c r="Y738" s="130"/>
      <c r="Z738" s="130"/>
    </row>
    <row r="739" ht="13.5" customHeight="1">
      <c r="A739" s="130"/>
      <c r="B739" s="130"/>
      <c r="C739" s="130"/>
      <c r="D739" s="130"/>
      <c r="E739" s="130"/>
      <c r="F739" s="130"/>
      <c r="G739" s="130"/>
      <c r="H739" s="130"/>
      <c r="I739" s="130"/>
      <c r="J739" s="130"/>
      <c r="K739" s="130"/>
      <c r="L739" s="130"/>
      <c r="M739" s="130"/>
      <c r="N739" s="130"/>
      <c r="O739" s="130"/>
      <c r="P739" s="130"/>
      <c r="Q739" s="130"/>
      <c r="R739" s="130"/>
      <c r="S739" s="130"/>
      <c r="T739" s="130"/>
      <c r="U739" s="130"/>
      <c r="V739" s="130"/>
      <c r="W739" s="130"/>
      <c r="X739" s="130"/>
      <c r="Y739" s="130"/>
      <c r="Z739" s="130"/>
    </row>
    <row r="740" ht="13.5" customHeight="1">
      <c r="A740" s="130"/>
      <c r="B740" s="130"/>
      <c r="C740" s="130"/>
      <c r="D740" s="130"/>
      <c r="E740" s="130"/>
      <c r="F740" s="130"/>
      <c r="G740" s="130"/>
      <c r="H740" s="130"/>
      <c r="I740" s="130"/>
      <c r="J740" s="130"/>
      <c r="K740" s="130"/>
      <c r="L740" s="130"/>
      <c r="M740" s="130"/>
      <c r="N740" s="130"/>
      <c r="O740" s="130"/>
      <c r="P740" s="130"/>
      <c r="Q740" s="130"/>
      <c r="R740" s="130"/>
      <c r="S740" s="130"/>
      <c r="T740" s="130"/>
      <c r="U740" s="130"/>
      <c r="V740" s="130"/>
      <c r="W740" s="130"/>
      <c r="X740" s="130"/>
      <c r="Y740" s="130"/>
      <c r="Z740" s="130"/>
    </row>
    <row r="741" ht="13.5" customHeight="1">
      <c r="A741" s="130"/>
      <c r="B741" s="130"/>
      <c r="C741" s="130"/>
      <c r="D741" s="130"/>
      <c r="E741" s="130"/>
      <c r="F741" s="130"/>
      <c r="G741" s="130"/>
      <c r="H741" s="130"/>
      <c r="I741" s="130"/>
      <c r="J741" s="130"/>
      <c r="K741" s="130"/>
      <c r="L741" s="130"/>
      <c r="M741" s="130"/>
      <c r="N741" s="130"/>
      <c r="O741" s="130"/>
      <c r="P741" s="130"/>
      <c r="Q741" s="130"/>
      <c r="R741" s="130"/>
      <c r="S741" s="130"/>
      <c r="T741" s="130"/>
      <c r="U741" s="130"/>
      <c r="V741" s="130"/>
      <c r="W741" s="130"/>
      <c r="X741" s="130"/>
      <c r="Y741" s="130"/>
      <c r="Z741" s="130"/>
    </row>
    <row r="742" ht="13.5" customHeight="1">
      <c r="A742" s="130"/>
      <c r="B742" s="130"/>
      <c r="C742" s="130"/>
      <c r="D742" s="130"/>
      <c r="E742" s="130"/>
      <c r="F742" s="130"/>
      <c r="G742" s="130"/>
      <c r="H742" s="130"/>
      <c r="I742" s="130"/>
      <c r="J742" s="130"/>
      <c r="K742" s="130"/>
      <c r="L742" s="130"/>
      <c r="M742" s="130"/>
      <c r="N742" s="130"/>
      <c r="O742" s="130"/>
      <c r="P742" s="130"/>
      <c r="Q742" s="130"/>
      <c r="R742" s="130"/>
      <c r="S742" s="130"/>
      <c r="T742" s="130"/>
      <c r="U742" s="130"/>
      <c r="V742" s="130"/>
      <c r="W742" s="130"/>
      <c r="X742" s="130"/>
      <c r="Y742" s="130"/>
      <c r="Z742" s="130"/>
    </row>
    <row r="743" ht="13.5" customHeight="1">
      <c r="A743" s="130"/>
      <c r="B743" s="130"/>
      <c r="C743" s="130"/>
      <c r="D743" s="130"/>
      <c r="E743" s="130"/>
      <c r="F743" s="130"/>
      <c r="G743" s="130"/>
      <c r="H743" s="130"/>
      <c r="I743" s="130"/>
      <c r="J743" s="130"/>
      <c r="K743" s="130"/>
      <c r="L743" s="130"/>
      <c r="M743" s="130"/>
      <c r="N743" s="130"/>
      <c r="O743" s="130"/>
      <c r="P743" s="130"/>
      <c r="Q743" s="130"/>
      <c r="R743" s="130"/>
      <c r="S743" s="130"/>
      <c r="T743" s="130"/>
      <c r="U743" s="130"/>
      <c r="V743" s="130"/>
      <c r="W743" s="130"/>
      <c r="X743" s="130"/>
      <c r="Y743" s="130"/>
      <c r="Z743" s="130"/>
    </row>
    <row r="744" ht="13.5" customHeight="1">
      <c r="A744" s="130"/>
      <c r="B744" s="130"/>
      <c r="C744" s="130"/>
      <c r="D744" s="130"/>
      <c r="E744" s="130"/>
      <c r="F744" s="130"/>
      <c r="G744" s="130"/>
      <c r="H744" s="130"/>
      <c r="I744" s="130"/>
      <c r="J744" s="130"/>
      <c r="K744" s="130"/>
      <c r="L744" s="130"/>
      <c r="M744" s="130"/>
      <c r="N744" s="130"/>
      <c r="O744" s="130"/>
      <c r="P744" s="130"/>
      <c r="Q744" s="130"/>
      <c r="R744" s="130"/>
      <c r="S744" s="130"/>
      <c r="T744" s="130"/>
      <c r="U744" s="130"/>
      <c r="V744" s="130"/>
      <c r="W744" s="130"/>
      <c r="X744" s="130"/>
      <c r="Y744" s="130"/>
      <c r="Z744" s="130"/>
    </row>
    <row r="745" ht="13.5" customHeight="1">
      <c r="A745" s="130"/>
      <c r="B745" s="130"/>
      <c r="C745" s="130"/>
      <c r="D745" s="130"/>
      <c r="E745" s="130"/>
      <c r="F745" s="130"/>
      <c r="G745" s="130"/>
      <c r="H745" s="130"/>
      <c r="I745" s="130"/>
      <c r="J745" s="130"/>
      <c r="K745" s="130"/>
      <c r="L745" s="130"/>
      <c r="M745" s="130"/>
      <c r="N745" s="130"/>
      <c r="O745" s="130"/>
      <c r="P745" s="130"/>
      <c r="Q745" s="130"/>
      <c r="R745" s="130"/>
      <c r="S745" s="130"/>
      <c r="T745" s="130"/>
      <c r="U745" s="130"/>
      <c r="V745" s="130"/>
      <c r="W745" s="130"/>
      <c r="X745" s="130"/>
      <c r="Y745" s="130"/>
      <c r="Z745" s="130"/>
    </row>
    <row r="746" ht="13.5" customHeight="1">
      <c r="A746" s="130"/>
      <c r="B746" s="130"/>
      <c r="C746" s="130"/>
      <c r="D746" s="130"/>
      <c r="E746" s="130"/>
      <c r="F746" s="130"/>
      <c r="G746" s="130"/>
      <c r="H746" s="130"/>
      <c r="I746" s="130"/>
      <c r="J746" s="130"/>
      <c r="K746" s="130"/>
      <c r="L746" s="130"/>
      <c r="M746" s="130"/>
      <c r="N746" s="130"/>
      <c r="O746" s="130"/>
      <c r="P746" s="130"/>
      <c r="Q746" s="130"/>
      <c r="R746" s="130"/>
      <c r="S746" s="130"/>
      <c r="T746" s="130"/>
      <c r="U746" s="130"/>
      <c r="V746" s="130"/>
      <c r="W746" s="130"/>
      <c r="X746" s="130"/>
      <c r="Y746" s="130"/>
      <c r="Z746" s="130"/>
    </row>
    <row r="747" ht="13.5" customHeight="1">
      <c r="A747" s="130"/>
      <c r="B747" s="130"/>
      <c r="C747" s="130"/>
      <c r="D747" s="130"/>
      <c r="E747" s="130"/>
      <c r="F747" s="130"/>
      <c r="G747" s="130"/>
      <c r="H747" s="130"/>
      <c r="I747" s="130"/>
      <c r="J747" s="130"/>
      <c r="K747" s="130"/>
      <c r="L747" s="130"/>
      <c r="M747" s="130"/>
      <c r="N747" s="130"/>
      <c r="O747" s="130"/>
      <c r="P747" s="130"/>
      <c r="Q747" s="130"/>
      <c r="R747" s="130"/>
      <c r="S747" s="130"/>
      <c r="T747" s="130"/>
      <c r="U747" s="130"/>
      <c r="V747" s="130"/>
      <c r="W747" s="130"/>
      <c r="X747" s="130"/>
      <c r="Y747" s="130"/>
      <c r="Z747" s="130"/>
    </row>
    <row r="748" ht="13.5" customHeight="1">
      <c r="A748" s="130"/>
      <c r="B748" s="130"/>
      <c r="C748" s="130"/>
      <c r="D748" s="130"/>
      <c r="E748" s="130"/>
      <c r="F748" s="130"/>
      <c r="G748" s="130"/>
      <c r="H748" s="130"/>
      <c r="I748" s="130"/>
      <c r="J748" s="130"/>
      <c r="K748" s="130"/>
      <c r="L748" s="130"/>
      <c r="M748" s="130"/>
      <c r="N748" s="130"/>
      <c r="O748" s="130"/>
      <c r="P748" s="130"/>
      <c r="Q748" s="130"/>
      <c r="R748" s="130"/>
      <c r="S748" s="130"/>
      <c r="T748" s="130"/>
      <c r="U748" s="130"/>
      <c r="V748" s="130"/>
      <c r="W748" s="130"/>
      <c r="X748" s="130"/>
      <c r="Y748" s="130"/>
      <c r="Z748" s="130"/>
    </row>
    <row r="749" ht="13.5" customHeight="1">
      <c r="A749" s="130"/>
      <c r="B749" s="130"/>
      <c r="C749" s="130"/>
      <c r="D749" s="130"/>
      <c r="E749" s="130"/>
      <c r="F749" s="130"/>
      <c r="G749" s="130"/>
      <c r="H749" s="130"/>
      <c r="I749" s="130"/>
      <c r="J749" s="130"/>
      <c r="K749" s="130"/>
      <c r="L749" s="130"/>
      <c r="M749" s="130"/>
      <c r="N749" s="130"/>
      <c r="O749" s="130"/>
      <c r="P749" s="130"/>
      <c r="Q749" s="130"/>
      <c r="R749" s="130"/>
      <c r="S749" s="130"/>
      <c r="T749" s="130"/>
      <c r="U749" s="130"/>
      <c r="V749" s="130"/>
      <c r="W749" s="130"/>
      <c r="X749" s="130"/>
      <c r="Y749" s="130"/>
      <c r="Z749" s="130"/>
    </row>
    <row r="750" ht="13.5" customHeight="1">
      <c r="A750" s="130"/>
      <c r="B750" s="130"/>
      <c r="C750" s="130"/>
      <c r="D750" s="130"/>
      <c r="E750" s="130"/>
      <c r="F750" s="130"/>
      <c r="G750" s="130"/>
      <c r="H750" s="130"/>
      <c r="I750" s="130"/>
      <c r="J750" s="130"/>
      <c r="K750" s="130"/>
      <c r="L750" s="130"/>
      <c r="M750" s="130"/>
      <c r="N750" s="130"/>
      <c r="O750" s="130"/>
      <c r="P750" s="130"/>
      <c r="Q750" s="130"/>
      <c r="R750" s="130"/>
      <c r="S750" s="130"/>
      <c r="T750" s="130"/>
      <c r="U750" s="130"/>
      <c r="V750" s="130"/>
      <c r="W750" s="130"/>
      <c r="X750" s="130"/>
      <c r="Y750" s="130"/>
      <c r="Z750" s="130"/>
    </row>
    <row r="751" ht="13.5" customHeight="1">
      <c r="A751" s="130"/>
      <c r="B751" s="130"/>
      <c r="C751" s="130"/>
      <c r="D751" s="130"/>
      <c r="E751" s="130"/>
      <c r="F751" s="130"/>
      <c r="G751" s="130"/>
      <c r="H751" s="130"/>
      <c r="I751" s="130"/>
      <c r="J751" s="130"/>
      <c r="K751" s="130"/>
      <c r="L751" s="130"/>
      <c r="M751" s="130"/>
      <c r="N751" s="130"/>
      <c r="O751" s="130"/>
      <c r="P751" s="130"/>
      <c r="Q751" s="130"/>
      <c r="R751" s="130"/>
      <c r="S751" s="130"/>
      <c r="T751" s="130"/>
      <c r="U751" s="130"/>
      <c r="V751" s="130"/>
      <c r="W751" s="130"/>
      <c r="X751" s="130"/>
      <c r="Y751" s="130"/>
      <c r="Z751" s="130"/>
    </row>
    <row r="752" ht="13.5" customHeight="1">
      <c r="A752" s="130"/>
      <c r="B752" s="130"/>
      <c r="C752" s="130"/>
      <c r="D752" s="130"/>
      <c r="E752" s="130"/>
      <c r="F752" s="130"/>
      <c r="G752" s="130"/>
      <c r="H752" s="130"/>
      <c r="I752" s="130"/>
      <c r="J752" s="130"/>
      <c r="K752" s="130"/>
      <c r="L752" s="130"/>
      <c r="M752" s="130"/>
      <c r="N752" s="130"/>
      <c r="O752" s="130"/>
      <c r="P752" s="130"/>
      <c r="Q752" s="130"/>
      <c r="R752" s="130"/>
      <c r="S752" s="130"/>
      <c r="T752" s="130"/>
      <c r="U752" s="130"/>
      <c r="V752" s="130"/>
      <c r="W752" s="130"/>
      <c r="X752" s="130"/>
      <c r="Y752" s="130"/>
      <c r="Z752" s="130"/>
    </row>
    <row r="753" ht="13.5" customHeight="1">
      <c r="A753" s="130"/>
      <c r="B753" s="130"/>
      <c r="C753" s="130"/>
      <c r="D753" s="130"/>
      <c r="E753" s="130"/>
      <c r="F753" s="130"/>
      <c r="G753" s="130"/>
      <c r="H753" s="130"/>
      <c r="I753" s="130"/>
      <c r="J753" s="130"/>
      <c r="K753" s="130"/>
      <c r="L753" s="130"/>
      <c r="M753" s="130"/>
      <c r="N753" s="130"/>
      <c r="O753" s="130"/>
      <c r="P753" s="130"/>
      <c r="Q753" s="130"/>
      <c r="R753" s="130"/>
      <c r="S753" s="130"/>
      <c r="T753" s="130"/>
      <c r="U753" s="130"/>
      <c r="V753" s="130"/>
      <c r="W753" s="130"/>
      <c r="X753" s="130"/>
      <c r="Y753" s="130"/>
      <c r="Z753" s="130"/>
    </row>
    <row r="754" ht="13.5" customHeight="1">
      <c r="A754" s="130"/>
      <c r="B754" s="130"/>
      <c r="C754" s="130"/>
      <c r="D754" s="130"/>
      <c r="E754" s="130"/>
      <c r="F754" s="130"/>
      <c r="G754" s="130"/>
      <c r="H754" s="130"/>
      <c r="I754" s="130"/>
      <c r="J754" s="130"/>
      <c r="K754" s="130"/>
      <c r="L754" s="130"/>
      <c r="M754" s="130"/>
      <c r="N754" s="130"/>
      <c r="O754" s="130"/>
      <c r="P754" s="130"/>
      <c r="Q754" s="130"/>
      <c r="R754" s="130"/>
      <c r="S754" s="130"/>
      <c r="T754" s="130"/>
      <c r="U754" s="130"/>
      <c r="V754" s="130"/>
      <c r="W754" s="130"/>
      <c r="X754" s="130"/>
      <c r="Y754" s="130"/>
      <c r="Z754" s="130"/>
    </row>
    <row r="755" ht="13.5" customHeight="1">
      <c r="A755" s="130"/>
      <c r="B755" s="130"/>
      <c r="C755" s="130"/>
      <c r="D755" s="130"/>
      <c r="E755" s="130"/>
      <c r="F755" s="130"/>
      <c r="G755" s="130"/>
      <c r="H755" s="130"/>
      <c r="I755" s="130"/>
      <c r="J755" s="130"/>
      <c r="K755" s="130"/>
      <c r="L755" s="130"/>
      <c r="M755" s="130"/>
      <c r="N755" s="130"/>
      <c r="O755" s="130"/>
      <c r="P755" s="130"/>
      <c r="Q755" s="130"/>
      <c r="R755" s="130"/>
      <c r="S755" s="130"/>
      <c r="T755" s="130"/>
      <c r="U755" s="130"/>
      <c r="V755" s="130"/>
      <c r="W755" s="130"/>
      <c r="X755" s="130"/>
      <c r="Y755" s="130"/>
      <c r="Z755" s="130"/>
    </row>
    <row r="756" ht="13.5" customHeight="1">
      <c r="A756" s="130"/>
      <c r="B756" s="130"/>
      <c r="C756" s="130"/>
      <c r="D756" s="130"/>
      <c r="E756" s="130"/>
      <c r="F756" s="130"/>
      <c r="G756" s="130"/>
      <c r="H756" s="130"/>
      <c r="I756" s="130"/>
      <c r="J756" s="130"/>
      <c r="K756" s="130"/>
      <c r="L756" s="130"/>
      <c r="M756" s="130"/>
      <c r="N756" s="130"/>
      <c r="O756" s="130"/>
      <c r="P756" s="130"/>
      <c r="Q756" s="130"/>
      <c r="R756" s="130"/>
      <c r="S756" s="130"/>
      <c r="T756" s="130"/>
      <c r="U756" s="130"/>
      <c r="V756" s="130"/>
      <c r="W756" s="130"/>
      <c r="X756" s="130"/>
      <c r="Y756" s="130"/>
      <c r="Z756" s="130"/>
    </row>
    <row r="757" ht="13.5" customHeight="1">
      <c r="A757" s="130"/>
      <c r="B757" s="130"/>
      <c r="C757" s="130"/>
      <c r="D757" s="130"/>
      <c r="E757" s="130"/>
      <c r="F757" s="130"/>
      <c r="G757" s="130"/>
      <c r="H757" s="130"/>
      <c r="I757" s="130"/>
      <c r="J757" s="130"/>
      <c r="K757" s="130"/>
      <c r="L757" s="130"/>
      <c r="M757" s="130"/>
      <c r="N757" s="130"/>
      <c r="O757" s="130"/>
      <c r="P757" s="130"/>
      <c r="Q757" s="130"/>
      <c r="R757" s="130"/>
      <c r="S757" s="130"/>
      <c r="T757" s="130"/>
      <c r="U757" s="130"/>
      <c r="V757" s="130"/>
      <c r="W757" s="130"/>
      <c r="X757" s="130"/>
      <c r="Y757" s="130"/>
      <c r="Z757" s="130"/>
    </row>
    <row r="758" ht="13.5" customHeight="1">
      <c r="A758" s="130"/>
      <c r="B758" s="130"/>
      <c r="C758" s="130"/>
      <c r="D758" s="130"/>
      <c r="E758" s="130"/>
      <c r="F758" s="130"/>
      <c r="G758" s="130"/>
      <c r="H758" s="130"/>
      <c r="I758" s="130"/>
      <c r="J758" s="130"/>
      <c r="K758" s="130"/>
      <c r="L758" s="130"/>
      <c r="M758" s="130"/>
      <c r="N758" s="130"/>
      <c r="O758" s="130"/>
      <c r="P758" s="130"/>
      <c r="Q758" s="130"/>
      <c r="R758" s="130"/>
      <c r="S758" s="130"/>
      <c r="T758" s="130"/>
      <c r="U758" s="130"/>
      <c r="V758" s="130"/>
      <c r="W758" s="130"/>
      <c r="X758" s="130"/>
      <c r="Y758" s="130"/>
      <c r="Z758" s="130"/>
    </row>
    <row r="759" ht="13.5" customHeight="1">
      <c r="A759" s="130"/>
      <c r="B759" s="130"/>
      <c r="C759" s="130"/>
      <c r="D759" s="130"/>
      <c r="E759" s="130"/>
      <c r="F759" s="130"/>
      <c r="G759" s="130"/>
      <c r="H759" s="130"/>
      <c r="I759" s="130"/>
      <c r="J759" s="130"/>
      <c r="K759" s="130"/>
      <c r="L759" s="130"/>
      <c r="M759" s="130"/>
      <c r="N759" s="130"/>
      <c r="O759" s="130"/>
      <c r="P759" s="130"/>
      <c r="Q759" s="130"/>
      <c r="R759" s="130"/>
      <c r="S759" s="130"/>
      <c r="T759" s="130"/>
      <c r="U759" s="130"/>
      <c r="V759" s="130"/>
      <c r="W759" s="130"/>
      <c r="X759" s="130"/>
      <c r="Y759" s="130"/>
      <c r="Z759" s="130"/>
    </row>
    <row r="760" ht="13.5" customHeight="1">
      <c r="A760" s="130"/>
      <c r="B760" s="130"/>
      <c r="C760" s="130"/>
      <c r="D760" s="130"/>
      <c r="E760" s="130"/>
      <c r="F760" s="130"/>
      <c r="G760" s="130"/>
      <c r="H760" s="130"/>
      <c r="I760" s="130"/>
      <c r="J760" s="130"/>
      <c r="K760" s="130"/>
      <c r="L760" s="130"/>
      <c r="M760" s="130"/>
      <c r="N760" s="130"/>
      <c r="O760" s="130"/>
      <c r="P760" s="130"/>
      <c r="Q760" s="130"/>
      <c r="R760" s="130"/>
      <c r="S760" s="130"/>
      <c r="T760" s="130"/>
      <c r="U760" s="130"/>
      <c r="V760" s="130"/>
      <c r="W760" s="130"/>
      <c r="X760" s="130"/>
      <c r="Y760" s="130"/>
      <c r="Z760" s="130"/>
    </row>
    <row r="761" ht="13.5" customHeight="1">
      <c r="A761" s="130"/>
      <c r="B761" s="130"/>
      <c r="C761" s="130"/>
      <c r="D761" s="130"/>
      <c r="E761" s="130"/>
      <c r="F761" s="130"/>
      <c r="G761" s="130"/>
      <c r="H761" s="130"/>
      <c r="I761" s="130"/>
      <c r="J761" s="130"/>
      <c r="K761" s="130"/>
      <c r="L761" s="130"/>
      <c r="M761" s="130"/>
      <c r="N761" s="130"/>
      <c r="O761" s="130"/>
      <c r="P761" s="130"/>
      <c r="Q761" s="130"/>
      <c r="R761" s="130"/>
      <c r="S761" s="130"/>
      <c r="T761" s="130"/>
      <c r="U761" s="130"/>
      <c r="V761" s="130"/>
      <c r="W761" s="130"/>
      <c r="X761" s="130"/>
      <c r="Y761" s="130"/>
      <c r="Z761" s="130"/>
    </row>
    <row r="762" ht="13.5" customHeight="1">
      <c r="A762" s="130"/>
      <c r="B762" s="130"/>
      <c r="C762" s="130"/>
      <c r="D762" s="130"/>
      <c r="E762" s="130"/>
      <c r="F762" s="130"/>
      <c r="G762" s="130"/>
      <c r="H762" s="130"/>
      <c r="I762" s="130"/>
      <c r="J762" s="130"/>
      <c r="K762" s="130"/>
      <c r="L762" s="130"/>
      <c r="M762" s="130"/>
      <c r="N762" s="130"/>
      <c r="O762" s="130"/>
      <c r="P762" s="130"/>
      <c r="Q762" s="130"/>
      <c r="R762" s="130"/>
      <c r="S762" s="130"/>
      <c r="T762" s="130"/>
      <c r="U762" s="130"/>
      <c r="V762" s="130"/>
      <c r="W762" s="130"/>
      <c r="X762" s="130"/>
      <c r="Y762" s="130"/>
      <c r="Z762" s="130"/>
    </row>
    <row r="763" ht="13.5" customHeight="1">
      <c r="A763" s="130"/>
      <c r="B763" s="130"/>
      <c r="C763" s="130"/>
      <c r="D763" s="130"/>
      <c r="E763" s="130"/>
      <c r="F763" s="130"/>
      <c r="G763" s="130"/>
      <c r="H763" s="130"/>
      <c r="I763" s="130"/>
      <c r="J763" s="130"/>
      <c r="K763" s="130"/>
      <c r="L763" s="130"/>
      <c r="M763" s="130"/>
      <c r="N763" s="130"/>
      <c r="O763" s="130"/>
      <c r="P763" s="130"/>
      <c r="Q763" s="130"/>
      <c r="R763" s="130"/>
      <c r="S763" s="130"/>
      <c r="T763" s="130"/>
      <c r="U763" s="130"/>
      <c r="V763" s="130"/>
      <c r="W763" s="130"/>
      <c r="X763" s="130"/>
      <c r="Y763" s="130"/>
      <c r="Z763" s="130"/>
    </row>
    <row r="764" ht="13.5" customHeight="1">
      <c r="A764" s="130"/>
      <c r="B764" s="130"/>
      <c r="C764" s="130"/>
      <c r="D764" s="130"/>
      <c r="E764" s="130"/>
      <c r="F764" s="130"/>
      <c r="G764" s="130"/>
      <c r="H764" s="130"/>
      <c r="I764" s="130"/>
      <c r="J764" s="130"/>
      <c r="K764" s="130"/>
      <c r="L764" s="130"/>
      <c r="M764" s="130"/>
      <c r="N764" s="130"/>
      <c r="O764" s="130"/>
      <c r="P764" s="130"/>
      <c r="Q764" s="130"/>
      <c r="R764" s="130"/>
      <c r="S764" s="130"/>
      <c r="T764" s="130"/>
      <c r="U764" s="130"/>
      <c r="V764" s="130"/>
      <c r="W764" s="130"/>
      <c r="X764" s="130"/>
      <c r="Y764" s="130"/>
      <c r="Z764" s="130"/>
    </row>
    <row r="765" ht="13.5" customHeight="1">
      <c r="A765" s="130"/>
      <c r="B765" s="130"/>
      <c r="C765" s="130"/>
      <c r="D765" s="130"/>
      <c r="E765" s="130"/>
      <c r="F765" s="130"/>
      <c r="G765" s="130"/>
      <c r="H765" s="130"/>
      <c r="I765" s="130"/>
      <c r="J765" s="130"/>
      <c r="K765" s="130"/>
      <c r="L765" s="130"/>
      <c r="M765" s="130"/>
      <c r="N765" s="130"/>
      <c r="O765" s="130"/>
      <c r="P765" s="130"/>
      <c r="Q765" s="130"/>
      <c r="R765" s="130"/>
      <c r="S765" s="130"/>
      <c r="T765" s="130"/>
      <c r="U765" s="130"/>
      <c r="V765" s="130"/>
      <c r="W765" s="130"/>
      <c r="X765" s="130"/>
      <c r="Y765" s="130"/>
      <c r="Z765" s="130"/>
    </row>
    <row r="766" ht="13.5" customHeight="1">
      <c r="A766" s="130"/>
      <c r="B766" s="130"/>
      <c r="C766" s="130"/>
      <c r="D766" s="130"/>
      <c r="E766" s="130"/>
      <c r="F766" s="130"/>
      <c r="G766" s="130"/>
      <c r="H766" s="130"/>
      <c r="I766" s="130"/>
      <c r="J766" s="130"/>
      <c r="K766" s="130"/>
      <c r="L766" s="130"/>
      <c r="M766" s="130"/>
      <c r="N766" s="130"/>
      <c r="O766" s="130"/>
      <c r="P766" s="130"/>
      <c r="Q766" s="130"/>
      <c r="R766" s="130"/>
      <c r="S766" s="130"/>
      <c r="T766" s="130"/>
      <c r="U766" s="130"/>
      <c r="V766" s="130"/>
      <c r="W766" s="130"/>
      <c r="X766" s="130"/>
      <c r="Y766" s="130"/>
      <c r="Z766" s="130"/>
    </row>
    <row r="767" ht="13.5" customHeight="1">
      <c r="A767" s="130"/>
      <c r="B767" s="130"/>
      <c r="C767" s="130"/>
      <c r="D767" s="130"/>
      <c r="E767" s="130"/>
      <c r="F767" s="130"/>
      <c r="G767" s="130"/>
      <c r="H767" s="130"/>
      <c r="I767" s="130"/>
      <c r="J767" s="130"/>
      <c r="K767" s="130"/>
      <c r="L767" s="130"/>
      <c r="M767" s="130"/>
      <c r="N767" s="130"/>
      <c r="O767" s="130"/>
      <c r="P767" s="130"/>
      <c r="Q767" s="130"/>
      <c r="R767" s="130"/>
      <c r="S767" s="130"/>
      <c r="T767" s="130"/>
      <c r="U767" s="130"/>
      <c r="V767" s="130"/>
      <c r="W767" s="130"/>
      <c r="X767" s="130"/>
      <c r="Y767" s="130"/>
      <c r="Z767" s="130"/>
    </row>
    <row r="768" ht="13.5" customHeight="1">
      <c r="A768" s="130"/>
      <c r="B768" s="130"/>
      <c r="C768" s="130"/>
      <c r="D768" s="130"/>
      <c r="E768" s="130"/>
      <c r="F768" s="130"/>
      <c r="G768" s="130"/>
      <c r="H768" s="130"/>
      <c r="I768" s="130"/>
      <c r="J768" s="130"/>
      <c r="K768" s="130"/>
      <c r="L768" s="130"/>
      <c r="M768" s="130"/>
      <c r="N768" s="130"/>
      <c r="O768" s="130"/>
      <c r="P768" s="130"/>
      <c r="Q768" s="130"/>
      <c r="R768" s="130"/>
      <c r="S768" s="130"/>
      <c r="T768" s="130"/>
      <c r="U768" s="130"/>
      <c r="V768" s="130"/>
      <c r="W768" s="130"/>
      <c r="X768" s="130"/>
      <c r="Y768" s="130"/>
      <c r="Z768" s="130"/>
    </row>
    <row r="769" ht="13.5" customHeight="1">
      <c r="A769" s="130"/>
      <c r="B769" s="130"/>
      <c r="C769" s="130"/>
      <c r="D769" s="130"/>
      <c r="E769" s="130"/>
      <c r="F769" s="130"/>
      <c r="G769" s="130"/>
      <c r="H769" s="130"/>
      <c r="I769" s="130"/>
      <c r="J769" s="130"/>
      <c r="K769" s="130"/>
      <c r="L769" s="130"/>
      <c r="M769" s="130"/>
      <c r="N769" s="130"/>
      <c r="O769" s="130"/>
      <c r="P769" s="130"/>
      <c r="Q769" s="130"/>
      <c r="R769" s="130"/>
      <c r="S769" s="130"/>
      <c r="T769" s="130"/>
      <c r="U769" s="130"/>
      <c r="V769" s="130"/>
      <c r="W769" s="130"/>
      <c r="X769" s="130"/>
      <c r="Y769" s="130"/>
      <c r="Z769" s="130"/>
    </row>
    <row r="770" ht="13.5" customHeight="1">
      <c r="A770" s="130"/>
      <c r="B770" s="130"/>
      <c r="C770" s="130"/>
      <c r="D770" s="130"/>
      <c r="E770" s="130"/>
      <c r="F770" s="130"/>
      <c r="G770" s="130"/>
      <c r="H770" s="130"/>
      <c r="I770" s="130"/>
      <c r="J770" s="130"/>
      <c r="K770" s="130"/>
      <c r="L770" s="130"/>
      <c r="M770" s="130"/>
      <c r="N770" s="130"/>
      <c r="O770" s="130"/>
      <c r="P770" s="130"/>
      <c r="Q770" s="130"/>
      <c r="R770" s="130"/>
      <c r="S770" s="130"/>
      <c r="T770" s="130"/>
      <c r="U770" s="130"/>
      <c r="V770" s="130"/>
      <c r="W770" s="130"/>
      <c r="X770" s="130"/>
      <c r="Y770" s="130"/>
      <c r="Z770" s="130"/>
    </row>
    <row r="771" ht="13.5" customHeight="1">
      <c r="A771" s="130"/>
      <c r="B771" s="130"/>
      <c r="C771" s="130"/>
      <c r="D771" s="130"/>
      <c r="E771" s="130"/>
      <c r="F771" s="130"/>
      <c r="G771" s="130"/>
      <c r="H771" s="130"/>
      <c r="I771" s="130"/>
      <c r="J771" s="130"/>
      <c r="K771" s="130"/>
      <c r="L771" s="130"/>
      <c r="M771" s="130"/>
      <c r="N771" s="130"/>
      <c r="O771" s="130"/>
      <c r="P771" s="130"/>
      <c r="Q771" s="130"/>
      <c r="R771" s="130"/>
      <c r="S771" s="130"/>
      <c r="T771" s="130"/>
      <c r="U771" s="130"/>
      <c r="V771" s="130"/>
      <c r="W771" s="130"/>
      <c r="X771" s="130"/>
      <c r="Y771" s="130"/>
      <c r="Z771" s="130"/>
    </row>
    <row r="772" ht="13.5" customHeight="1">
      <c r="A772" s="130"/>
      <c r="B772" s="130"/>
      <c r="C772" s="130"/>
      <c r="D772" s="130"/>
      <c r="E772" s="130"/>
      <c r="F772" s="130"/>
      <c r="G772" s="130"/>
      <c r="H772" s="130"/>
      <c r="I772" s="130"/>
      <c r="J772" s="130"/>
      <c r="K772" s="130"/>
      <c r="L772" s="130"/>
      <c r="M772" s="130"/>
      <c r="N772" s="130"/>
      <c r="O772" s="130"/>
      <c r="P772" s="130"/>
      <c r="Q772" s="130"/>
      <c r="R772" s="130"/>
      <c r="S772" s="130"/>
      <c r="T772" s="130"/>
      <c r="U772" s="130"/>
      <c r="V772" s="130"/>
      <c r="W772" s="130"/>
      <c r="X772" s="130"/>
      <c r="Y772" s="130"/>
      <c r="Z772" s="130"/>
    </row>
    <row r="773" ht="13.5" customHeight="1">
      <c r="A773" s="130"/>
      <c r="B773" s="130"/>
      <c r="C773" s="130"/>
      <c r="D773" s="130"/>
      <c r="E773" s="130"/>
      <c r="F773" s="130"/>
      <c r="G773" s="130"/>
      <c r="H773" s="130"/>
      <c r="I773" s="130"/>
      <c r="J773" s="130"/>
      <c r="K773" s="130"/>
      <c r="L773" s="130"/>
      <c r="M773" s="130"/>
      <c r="N773" s="130"/>
      <c r="O773" s="130"/>
      <c r="P773" s="130"/>
      <c r="Q773" s="130"/>
      <c r="R773" s="130"/>
      <c r="S773" s="130"/>
      <c r="T773" s="130"/>
      <c r="U773" s="130"/>
      <c r="V773" s="130"/>
      <c r="W773" s="130"/>
      <c r="X773" s="130"/>
      <c r="Y773" s="130"/>
      <c r="Z773" s="130"/>
    </row>
    <row r="774" ht="13.5" customHeight="1">
      <c r="A774" s="130"/>
      <c r="B774" s="130"/>
      <c r="C774" s="130"/>
      <c r="D774" s="130"/>
      <c r="E774" s="130"/>
      <c r="F774" s="130"/>
      <c r="G774" s="130"/>
      <c r="H774" s="130"/>
      <c r="I774" s="130"/>
      <c r="J774" s="130"/>
      <c r="K774" s="130"/>
      <c r="L774" s="130"/>
      <c r="M774" s="130"/>
      <c r="N774" s="130"/>
      <c r="O774" s="130"/>
      <c r="P774" s="130"/>
      <c r="Q774" s="130"/>
      <c r="R774" s="130"/>
      <c r="S774" s="130"/>
      <c r="T774" s="130"/>
      <c r="U774" s="130"/>
      <c r="V774" s="130"/>
      <c r="W774" s="130"/>
      <c r="X774" s="130"/>
      <c r="Y774" s="130"/>
      <c r="Z774" s="130"/>
    </row>
    <row r="775" ht="13.5" customHeight="1">
      <c r="A775" s="130"/>
      <c r="B775" s="130"/>
      <c r="C775" s="130"/>
      <c r="D775" s="130"/>
      <c r="E775" s="130"/>
      <c r="F775" s="130"/>
      <c r="G775" s="130"/>
      <c r="H775" s="130"/>
      <c r="I775" s="130"/>
      <c r="J775" s="130"/>
      <c r="K775" s="130"/>
      <c r="L775" s="130"/>
      <c r="M775" s="130"/>
      <c r="N775" s="130"/>
      <c r="O775" s="130"/>
      <c r="P775" s="130"/>
      <c r="Q775" s="130"/>
      <c r="R775" s="130"/>
      <c r="S775" s="130"/>
      <c r="T775" s="130"/>
      <c r="U775" s="130"/>
      <c r="V775" s="130"/>
      <c r="W775" s="130"/>
      <c r="X775" s="130"/>
      <c r="Y775" s="130"/>
      <c r="Z775" s="130"/>
    </row>
    <row r="776" ht="13.5" customHeight="1">
      <c r="A776" s="130"/>
      <c r="B776" s="130"/>
      <c r="C776" s="130"/>
      <c r="D776" s="130"/>
      <c r="E776" s="130"/>
      <c r="F776" s="130"/>
      <c r="G776" s="130"/>
      <c r="H776" s="130"/>
      <c r="I776" s="130"/>
      <c r="J776" s="130"/>
      <c r="K776" s="130"/>
      <c r="L776" s="130"/>
      <c r="M776" s="130"/>
      <c r="N776" s="130"/>
      <c r="O776" s="130"/>
      <c r="P776" s="130"/>
      <c r="Q776" s="130"/>
      <c r="R776" s="130"/>
      <c r="S776" s="130"/>
      <c r="T776" s="130"/>
      <c r="U776" s="130"/>
      <c r="V776" s="130"/>
      <c r="W776" s="130"/>
      <c r="X776" s="130"/>
      <c r="Y776" s="130"/>
      <c r="Z776" s="130"/>
    </row>
    <row r="777" ht="13.5" customHeight="1">
      <c r="A777" s="130"/>
      <c r="B777" s="130"/>
      <c r="C777" s="130"/>
      <c r="D777" s="130"/>
      <c r="E777" s="130"/>
      <c r="F777" s="130"/>
      <c r="G777" s="130"/>
      <c r="H777" s="130"/>
      <c r="I777" s="130"/>
      <c r="J777" s="130"/>
      <c r="K777" s="130"/>
      <c r="L777" s="130"/>
      <c r="M777" s="130"/>
      <c r="N777" s="130"/>
      <c r="O777" s="130"/>
      <c r="P777" s="130"/>
      <c r="Q777" s="130"/>
      <c r="R777" s="130"/>
      <c r="S777" s="130"/>
      <c r="T777" s="130"/>
      <c r="U777" s="130"/>
      <c r="V777" s="130"/>
      <c r="W777" s="130"/>
      <c r="X777" s="130"/>
      <c r="Y777" s="130"/>
      <c r="Z777" s="130"/>
    </row>
    <row r="778" ht="13.5" customHeight="1">
      <c r="A778" s="130"/>
      <c r="B778" s="130"/>
      <c r="C778" s="130"/>
      <c r="D778" s="130"/>
      <c r="E778" s="130"/>
      <c r="F778" s="130"/>
      <c r="G778" s="130"/>
      <c r="H778" s="130"/>
      <c r="I778" s="130"/>
      <c r="J778" s="130"/>
      <c r="K778" s="130"/>
      <c r="L778" s="130"/>
      <c r="M778" s="130"/>
      <c r="N778" s="130"/>
      <c r="O778" s="130"/>
      <c r="P778" s="130"/>
      <c r="Q778" s="130"/>
      <c r="R778" s="130"/>
      <c r="S778" s="130"/>
      <c r="T778" s="130"/>
      <c r="U778" s="130"/>
      <c r="V778" s="130"/>
      <c r="W778" s="130"/>
      <c r="X778" s="130"/>
      <c r="Y778" s="130"/>
      <c r="Z778" s="130"/>
    </row>
    <row r="779" ht="13.5" customHeight="1">
      <c r="A779" s="130"/>
      <c r="B779" s="130"/>
      <c r="C779" s="130"/>
      <c r="D779" s="130"/>
      <c r="E779" s="130"/>
      <c r="F779" s="130"/>
      <c r="G779" s="130"/>
      <c r="H779" s="130"/>
      <c r="I779" s="130"/>
      <c r="J779" s="130"/>
      <c r="K779" s="130"/>
      <c r="L779" s="130"/>
      <c r="M779" s="130"/>
      <c r="N779" s="130"/>
      <c r="O779" s="130"/>
      <c r="P779" s="130"/>
      <c r="Q779" s="130"/>
      <c r="R779" s="130"/>
      <c r="S779" s="130"/>
      <c r="T779" s="130"/>
      <c r="U779" s="130"/>
      <c r="V779" s="130"/>
      <c r="W779" s="130"/>
      <c r="X779" s="130"/>
      <c r="Y779" s="130"/>
      <c r="Z779" s="130"/>
    </row>
    <row r="780" ht="13.5" customHeight="1">
      <c r="A780" s="130"/>
      <c r="B780" s="130"/>
      <c r="C780" s="130"/>
      <c r="D780" s="130"/>
      <c r="E780" s="130"/>
      <c r="F780" s="130"/>
      <c r="G780" s="130"/>
      <c r="H780" s="130"/>
      <c r="I780" s="130"/>
      <c r="J780" s="130"/>
      <c r="K780" s="130"/>
      <c r="L780" s="130"/>
      <c r="M780" s="130"/>
      <c r="N780" s="130"/>
      <c r="O780" s="130"/>
      <c r="P780" s="130"/>
      <c r="Q780" s="130"/>
      <c r="R780" s="130"/>
      <c r="S780" s="130"/>
      <c r="T780" s="130"/>
      <c r="U780" s="130"/>
      <c r="V780" s="130"/>
      <c r="W780" s="130"/>
      <c r="X780" s="130"/>
      <c r="Y780" s="130"/>
      <c r="Z780" s="130"/>
    </row>
    <row r="781" ht="13.5" customHeight="1">
      <c r="A781" s="130"/>
      <c r="B781" s="130"/>
      <c r="C781" s="130"/>
      <c r="D781" s="130"/>
      <c r="E781" s="130"/>
      <c r="F781" s="130"/>
      <c r="G781" s="130"/>
      <c r="H781" s="130"/>
      <c r="I781" s="130"/>
      <c r="J781" s="130"/>
      <c r="K781" s="130"/>
      <c r="L781" s="130"/>
      <c r="M781" s="130"/>
      <c r="N781" s="130"/>
      <c r="O781" s="130"/>
      <c r="P781" s="130"/>
      <c r="Q781" s="130"/>
      <c r="R781" s="130"/>
      <c r="S781" s="130"/>
      <c r="T781" s="130"/>
      <c r="U781" s="130"/>
      <c r="V781" s="130"/>
      <c r="W781" s="130"/>
      <c r="X781" s="130"/>
      <c r="Y781" s="130"/>
      <c r="Z781" s="130"/>
    </row>
    <row r="782" ht="13.5" customHeight="1">
      <c r="A782" s="130"/>
      <c r="B782" s="130"/>
      <c r="C782" s="130"/>
      <c r="D782" s="130"/>
      <c r="E782" s="130"/>
      <c r="F782" s="130"/>
      <c r="G782" s="130"/>
      <c r="H782" s="130"/>
      <c r="I782" s="130"/>
      <c r="J782" s="130"/>
      <c r="K782" s="130"/>
      <c r="L782" s="130"/>
      <c r="M782" s="130"/>
      <c r="N782" s="130"/>
      <c r="O782" s="130"/>
      <c r="P782" s="130"/>
      <c r="Q782" s="130"/>
      <c r="R782" s="130"/>
      <c r="S782" s="130"/>
      <c r="T782" s="130"/>
      <c r="U782" s="130"/>
      <c r="V782" s="130"/>
      <c r="W782" s="130"/>
      <c r="X782" s="130"/>
      <c r="Y782" s="130"/>
      <c r="Z782" s="130"/>
    </row>
    <row r="783" ht="13.5" customHeight="1">
      <c r="A783" s="130"/>
      <c r="B783" s="130"/>
      <c r="C783" s="130"/>
      <c r="D783" s="130"/>
      <c r="E783" s="130"/>
      <c r="F783" s="130"/>
      <c r="G783" s="130"/>
      <c r="H783" s="130"/>
      <c r="I783" s="130"/>
      <c r="J783" s="130"/>
      <c r="K783" s="130"/>
      <c r="L783" s="130"/>
      <c r="M783" s="130"/>
      <c r="N783" s="130"/>
      <c r="O783" s="130"/>
      <c r="P783" s="130"/>
      <c r="Q783" s="130"/>
      <c r="R783" s="130"/>
      <c r="S783" s="130"/>
      <c r="T783" s="130"/>
      <c r="U783" s="130"/>
      <c r="V783" s="130"/>
      <c r="W783" s="130"/>
      <c r="X783" s="130"/>
      <c r="Y783" s="130"/>
      <c r="Z783" s="130"/>
    </row>
    <row r="784" ht="13.5" customHeight="1">
      <c r="A784" s="130"/>
      <c r="B784" s="130"/>
      <c r="C784" s="130"/>
      <c r="D784" s="130"/>
      <c r="E784" s="130"/>
      <c r="F784" s="130"/>
      <c r="G784" s="130"/>
      <c r="H784" s="130"/>
      <c r="I784" s="130"/>
      <c r="J784" s="130"/>
      <c r="K784" s="130"/>
      <c r="L784" s="130"/>
      <c r="M784" s="130"/>
      <c r="N784" s="130"/>
      <c r="O784" s="130"/>
      <c r="P784" s="130"/>
      <c r="Q784" s="130"/>
      <c r="R784" s="130"/>
      <c r="S784" s="130"/>
      <c r="T784" s="130"/>
      <c r="U784" s="130"/>
      <c r="V784" s="130"/>
      <c r="W784" s="130"/>
      <c r="X784" s="130"/>
      <c r="Y784" s="130"/>
      <c r="Z784" s="130"/>
    </row>
    <row r="785" ht="13.5" customHeight="1">
      <c r="A785" s="130"/>
      <c r="B785" s="130"/>
      <c r="C785" s="130"/>
      <c r="D785" s="130"/>
      <c r="E785" s="130"/>
      <c r="F785" s="130"/>
      <c r="G785" s="130"/>
      <c r="H785" s="130"/>
      <c r="I785" s="130"/>
      <c r="J785" s="130"/>
      <c r="K785" s="130"/>
      <c r="L785" s="130"/>
      <c r="M785" s="130"/>
      <c r="N785" s="130"/>
      <c r="O785" s="130"/>
      <c r="P785" s="130"/>
      <c r="Q785" s="130"/>
      <c r="R785" s="130"/>
      <c r="S785" s="130"/>
      <c r="T785" s="130"/>
      <c r="U785" s="130"/>
      <c r="V785" s="130"/>
      <c r="W785" s="130"/>
      <c r="X785" s="130"/>
      <c r="Y785" s="130"/>
      <c r="Z785" s="130"/>
    </row>
    <row r="786" ht="13.5" customHeight="1">
      <c r="A786" s="130"/>
      <c r="B786" s="130"/>
      <c r="C786" s="130"/>
      <c r="D786" s="130"/>
      <c r="E786" s="130"/>
      <c r="F786" s="130"/>
      <c r="G786" s="130"/>
      <c r="H786" s="130"/>
      <c r="I786" s="130"/>
      <c r="J786" s="130"/>
      <c r="K786" s="130"/>
      <c r="L786" s="130"/>
      <c r="M786" s="130"/>
      <c r="N786" s="130"/>
      <c r="O786" s="130"/>
      <c r="P786" s="130"/>
      <c r="Q786" s="130"/>
      <c r="R786" s="130"/>
      <c r="S786" s="130"/>
      <c r="T786" s="130"/>
      <c r="U786" s="130"/>
      <c r="V786" s="130"/>
      <c r="W786" s="130"/>
      <c r="X786" s="130"/>
      <c r="Y786" s="130"/>
      <c r="Z786" s="130"/>
    </row>
    <row r="787" ht="13.5" customHeight="1">
      <c r="A787" s="130"/>
      <c r="B787" s="130"/>
      <c r="C787" s="130"/>
      <c r="D787" s="130"/>
      <c r="E787" s="130"/>
      <c r="F787" s="130"/>
      <c r="G787" s="130"/>
      <c r="H787" s="130"/>
      <c r="I787" s="130"/>
      <c r="J787" s="130"/>
      <c r="K787" s="130"/>
      <c r="L787" s="130"/>
      <c r="M787" s="130"/>
      <c r="N787" s="130"/>
      <c r="O787" s="130"/>
      <c r="P787" s="130"/>
      <c r="Q787" s="130"/>
      <c r="R787" s="130"/>
      <c r="S787" s="130"/>
      <c r="T787" s="130"/>
      <c r="U787" s="130"/>
      <c r="V787" s="130"/>
      <c r="W787" s="130"/>
      <c r="X787" s="130"/>
      <c r="Y787" s="130"/>
      <c r="Z787" s="130"/>
    </row>
    <row r="788" ht="13.5" customHeight="1">
      <c r="A788" s="130"/>
      <c r="B788" s="130"/>
      <c r="C788" s="130"/>
      <c r="D788" s="130"/>
      <c r="E788" s="130"/>
      <c r="F788" s="130"/>
      <c r="G788" s="130"/>
      <c r="H788" s="130"/>
      <c r="I788" s="130"/>
      <c r="J788" s="130"/>
      <c r="K788" s="130"/>
      <c r="L788" s="130"/>
      <c r="M788" s="130"/>
      <c r="N788" s="130"/>
      <c r="O788" s="130"/>
      <c r="P788" s="130"/>
      <c r="Q788" s="130"/>
      <c r="R788" s="130"/>
      <c r="S788" s="130"/>
      <c r="T788" s="130"/>
      <c r="U788" s="130"/>
      <c r="V788" s="130"/>
      <c r="W788" s="130"/>
      <c r="X788" s="130"/>
      <c r="Y788" s="130"/>
      <c r="Z788" s="130"/>
    </row>
    <row r="789" ht="13.5" customHeight="1">
      <c r="A789" s="130"/>
      <c r="B789" s="130"/>
      <c r="C789" s="130"/>
      <c r="D789" s="130"/>
      <c r="E789" s="130"/>
      <c r="F789" s="130"/>
      <c r="G789" s="130"/>
      <c r="H789" s="130"/>
      <c r="I789" s="130"/>
      <c r="J789" s="130"/>
      <c r="K789" s="130"/>
      <c r="L789" s="130"/>
      <c r="M789" s="130"/>
      <c r="N789" s="130"/>
      <c r="O789" s="130"/>
      <c r="P789" s="130"/>
      <c r="Q789" s="130"/>
      <c r="R789" s="130"/>
      <c r="S789" s="130"/>
      <c r="T789" s="130"/>
      <c r="U789" s="130"/>
      <c r="V789" s="130"/>
      <c r="W789" s="130"/>
      <c r="X789" s="130"/>
      <c r="Y789" s="130"/>
      <c r="Z789" s="130"/>
    </row>
    <row r="790" ht="13.5" customHeight="1">
      <c r="A790" s="130"/>
      <c r="B790" s="130"/>
      <c r="C790" s="130"/>
      <c r="D790" s="130"/>
      <c r="E790" s="130"/>
      <c r="F790" s="130"/>
      <c r="G790" s="130"/>
      <c r="H790" s="130"/>
      <c r="I790" s="130"/>
      <c r="J790" s="130"/>
      <c r="K790" s="130"/>
      <c r="L790" s="130"/>
      <c r="M790" s="130"/>
      <c r="N790" s="130"/>
      <c r="O790" s="130"/>
      <c r="P790" s="130"/>
      <c r="Q790" s="130"/>
      <c r="R790" s="130"/>
      <c r="S790" s="130"/>
      <c r="T790" s="130"/>
      <c r="U790" s="130"/>
      <c r="V790" s="130"/>
      <c r="W790" s="130"/>
      <c r="X790" s="130"/>
      <c r="Y790" s="130"/>
      <c r="Z790" s="130"/>
    </row>
    <row r="791" ht="13.5" customHeight="1">
      <c r="A791" s="130"/>
      <c r="B791" s="130"/>
      <c r="C791" s="130"/>
      <c r="D791" s="130"/>
      <c r="E791" s="130"/>
      <c r="F791" s="130"/>
      <c r="G791" s="130"/>
      <c r="H791" s="130"/>
      <c r="I791" s="130"/>
      <c r="J791" s="130"/>
      <c r="K791" s="130"/>
      <c r="L791" s="130"/>
      <c r="M791" s="130"/>
      <c r="N791" s="130"/>
      <c r="O791" s="130"/>
      <c r="P791" s="130"/>
      <c r="Q791" s="130"/>
      <c r="R791" s="130"/>
      <c r="S791" s="130"/>
      <c r="T791" s="130"/>
      <c r="U791" s="130"/>
      <c r="V791" s="130"/>
      <c r="W791" s="130"/>
      <c r="X791" s="130"/>
      <c r="Y791" s="130"/>
      <c r="Z791" s="130"/>
    </row>
    <row r="792" ht="13.5" customHeight="1">
      <c r="A792" s="130"/>
      <c r="B792" s="130"/>
      <c r="C792" s="130"/>
      <c r="D792" s="130"/>
      <c r="E792" s="130"/>
      <c r="F792" s="130"/>
      <c r="G792" s="130"/>
      <c r="H792" s="130"/>
      <c r="I792" s="130"/>
      <c r="J792" s="130"/>
      <c r="K792" s="130"/>
      <c r="L792" s="130"/>
      <c r="M792" s="130"/>
      <c r="N792" s="130"/>
      <c r="O792" s="130"/>
      <c r="P792" s="130"/>
      <c r="Q792" s="130"/>
      <c r="R792" s="130"/>
      <c r="S792" s="130"/>
      <c r="T792" s="130"/>
      <c r="U792" s="130"/>
      <c r="V792" s="130"/>
      <c r="W792" s="130"/>
      <c r="X792" s="130"/>
      <c r="Y792" s="130"/>
      <c r="Z792" s="130"/>
    </row>
    <row r="793" ht="13.5" customHeight="1">
      <c r="A793" s="130"/>
      <c r="B793" s="130"/>
      <c r="C793" s="130"/>
      <c r="D793" s="130"/>
      <c r="E793" s="130"/>
      <c r="F793" s="130"/>
      <c r="G793" s="130"/>
      <c r="H793" s="130"/>
      <c r="I793" s="130"/>
      <c r="J793" s="130"/>
      <c r="K793" s="130"/>
      <c r="L793" s="130"/>
      <c r="M793" s="130"/>
      <c r="N793" s="130"/>
      <c r="O793" s="130"/>
      <c r="P793" s="130"/>
      <c r="Q793" s="130"/>
      <c r="R793" s="130"/>
      <c r="S793" s="130"/>
      <c r="T793" s="130"/>
      <c r="U793" s="130"/>
      <c r="V793" s="130"/>
      <c r="W793" s="130"/>
      <c r="X793" s="130"/>
      <c r="Y793" s="130"/>
      <c r="Z793" s="130"/>
    </row>
    <row r="794" ht="13.5" customHeight="1">
      <c r="A794" s="130"/>
      <c r="B794" s="130"/>
      <c r="C794" s="130"/>
      <c r="D794" s="130"/>
      <c r="E794" s="130"/>
      <c r="F794" s="130"/>
      <c r="G794" s="130"/>
      <c r="H794" s="130"/>
      <c r="I794" s="130"/>
      <c r="J794" s="130"/>
      <c r="K794" s="130"/>
      <c r="L794" s="130"/>
      <c r="M794" s="130"/>
      <c r="N794" s="130"/>
      <c r="O794" s="130"/>
      <c r="P794" s="130"/>
      <c r="Q794" s="130"/>
      <c r="R794" s="130"/>
      <c r="S794" s="130"/>
      <c r="T794" s="130"/>
      <c r="U794" s="130"/>
      <c r="V794" s="130"/>
      <c r="W794" s="130"/>
      <c r="X794" s="130"/>
      <c r="Y794" s="130"/>
      <c r="Z794" s="130"/>
    </row>
    <row r="795" ht="13.5" customHeight="1">
      <c r="A795" s="130"/>
      <c r="B795" s="130"/>
      <c r="C795" s="130"/>
      <c r="D795" s="130"/>
      <c r="E795" s="130"/>
      <c r="F795" s="130"/>
      <c r="G795" s="130"/>
      <c r="H795" s="130"/>
      <c r="I795" s="130"/>
      <c r="J795" s="130"/>
      <c r="K795" s="130"/>
      <c r="L795" s="130"/>
      <c r="M795" s="130"/>
      <c r="N795" s="130"/>
      <c r="O795" s="130"/>
      <c r="P795" s="130"/>
      <c r="Q795" s="130"/>
      <c r="R795" s="130"/>
      <c r="S795" s="130"/>
      <c r="T795" s="130"/>
      <c r="U795" s="130"/>
      <c r="V795" s="130"/>
      <c r="W795" s="130"/>
      <c r="X795" s="130"/>
      <c r="Y795" s="130"/>
      <c r="Z795" s="130"/>
    </row>
    <row r="796" ht="13.5" customHeight="1">
      <c r="A796" s="130"/>
      <c r="B796" s="130"/>
      <c r="C796" s="130"/>
      <c r="D796" s="130"/>
      <c r="E796" s="130"/>
      <c r="F796" s="130"/>
      <c r="G796" s="130"/>
      <c r="H796" s="130"/>
      <c r="I796" s="130"/>
      <c r="J796" s="130"/>
      <c r="K796" s="130"/>
      <c r="L796" s="130"/>
      <c r="M796" s="130"/>
      <c r="N796" s="130"/>
      <c r="O796" s="130"/>
      <c r="P796" s="130"/>
      <c r="Q796" s="130"/>
      <c r="R796" s="130"/>
      <c r="S796" s="130"/>
      <c r="T796" s="130"/>
      <c r="U796" s="130"/>
      <c r="V796" s="130"/>
      <c r="W796" s="130"/>
      <c r="X796" s="130"/>
      <c r="Y796" s="130"/>
      <c r="Z796" s="130"/>
    </row>
    <row r="797" ht="13.5" customHeight="1">
      <c r="A797" s="130"/>
      <c r="B797" s="130"/>
      <c r="C797" s="130"/>
      <c r="D797" s="130"/>
      <c r="E797" s="130"/>
      <c r="F797" s="130"/>
      <c r="G797" s="130"/>
      <c r="H797" s="130"/>
      <c r="I797" s="130"/>
      <c r="J797" s="130"/>
      <c r="K797" s="130"/>
      <c r="L797" s="130"/>
      <c r="M797" s="130"/>
      <c r="N797" s="130"/>
      <c r="O797" s="130"/>
      <c r="P797" s="130"/>
      <c r="Q797" s="130"/>
      <c r="R797" s="130"/>
      <c r="S797" s="130"/>
      <c r="T797" s="130"/>
      <c r="U797" s="130"/>
      <c r="V797" s="130"/>
      <c r="W797" s="130"/>
      <c r="X797" s="130"/>
      <c r="Y797" s="130"/>
      <c r="Z797" s="130"/>
    </row>
    <row r="798" ht="13.5" customHeight="1">
      <c r="A798" s="130"/>
      <c r="B798" s="130"/>
      <c r="C798" s="130"/>
      <c r="D798" s="130"/>
      <c r="E798" s="130"/>
      <c r="F798" s="130"/>
      <c r="G798" s="130"/>
      <c r="H798" s="130"/>
      <c r="I798" s="130"/>
      <c r="J798" s="130"/>
      <c r="K798" s="130"/>
      <c r="L798" s="130"/>
      <c r="M798" s="130"/>
      <c r="N798" s="130"/>
      <c r="O798" s="130"/>
      <c r="P798" s="130"/>
      <c r="Q798" s="130"/>
      <c r="R798" s="130"/>
      <c r="S798" s="130"/>
      <c r="T798" s="130"/>
      <c r="U798" s="130"/>
      <c r="V798" s="130"/>
      <c r="W798" s="130"/>
      <c r="X798" s="130"/>
      <c r="Y798" s="130"/>
      <c r="Z798" s="130"/>
    </row>
    <row r="799" ht="13.5" customHeight="1">
      <c r="A799" s="130"/>
      <c r="B799" s="130"/>
      <c r="C799" s="130"/>
      <c r="D799" s="130"/>
      <c r="E799" s="130"/>
      <c r="F799" s="130"/>
      <c r="G799" s="130"/>
      <c r="H799" s="130"/>
      <c r="I799" s="130"/>
      <c r="J799" s="130"/>
      <c r="K799" s="130"/>
      <c r="L799" s="130"/>
      <c r="M799" s="130"/>
      <c r="N799" s="130"/>
      <c r="O799" s="130"/>
      <c r="P799" s="130"/>
      <c r="Q799" s="130"/>
      <c r="R799" s="130"/>
      <c r="S799" s="130"/>
      <c r="T799" s="130"/>
      <c r="U799" s="130"/>
      <c r="V799" s="130"/>
      <c r="W799" s="130"/>
      <c r="X799" s="130"/>
      <c r="Y799" s="130"/>
      <c r="Z799" s="130"/>
    </row>
    <row r="800" ht="13.5" customHeight="1">
      <c r="A800" s="130"/>
      <c r="B800" s="130"/>
      <c r="C800" s="130"/>
      <c r="D800" s="130"/>
      <c r="E800" s="130"/>
      <c r="F800" s="130"/>
      <c r="G800" s="130"/>
      <c r="H800" s="130"/>
      <c r="I800" s="130"/>
      <c r="J800" s="130"/>
      <c r="K800" s="130"/>
      <c r="L800" s="130"/>
      <c r="M800" s="130"/>
      <c r="N800" s="130"/>
      <c r="O800" s="130"/>
      <c r="P800" s="130"/>
      <c r="Q800" s="130"/>
      <c r="R800" s="130"/>
      <c r="S800" s="130"/>
      <c r="T800" s="130"/>
      <c r="U800" s="130"/>
      <c r="V800" s="130"/>
      <c r="W800" s="130"/>
      <c r="X800" s="130"/>
      <c r="Y800" s="130"/>
      <c r="Z800" s="130"/>
    </row>
    <row r="801" ht="13.5" customHeight="1">
      <c r="A801" s="130"/>
      <c r="B801" s="130"/>
      <c r="C801" s="130"/>
      <c r="D801" s="130"/>
      <c r="E801" s="130"/>
      <c r="F801" s="130"/>
      <c r="G801" s="130"/>
      <c r="H801" s="130"/>
      <c r="I801" s="130"/>
      <c r="J801" s="130"/>
      <c r="K801" s="130"/>
      <c r="L801" s="130"/>
      <c r="M801" s="130"/>
      <c r="N801" s="130"/>
      <c r="O801" s="130"/>
      <c r="P801" s="130"/>
      <c r="Q801" s="130"/>
      <c r="R801" s="130"/>
      <c r="S801" s="130"/>
      <c r="T801" s="130"/>
      <c r="U801" s="130"/>
      <c r="V801" s="130"/>
      <c r="W801" s="130"/>
      <c r="X801" s="130"/>
      <c r="Y801" s="130"/>
      <c r="Z801" s="130"/>
    </row>
    <row r="802" ht="13.5" customHeight="1">
      <c r="A802" s="130"/>
      <c r="B802" s="130"/>
      <c r="C802" s="130"/>
      <c r="D802" s="130"/>
      <c r="E802" s="130"/>
      <c r="F802" s="130"/>
      <c r="G802" s="130"/>
      <c r="H802" s="130"/>
      <c r="I802" s="130"/>
      <c r="J802" s="130"/>
      <c r="K802" s="130"/>
      <c r="L802" s="130"/>
      <c r="M802" s="130"/>
      <c r="N802" s="130"/>
      <c r="O802" s="130"/>
      <c r="P802" s="130"/>
      <c r="Q802" s="130"/>
      <c r="R802" s="130"/>
      <c r="S802" s="130"/>
      <c r="T802" s="130"/>
      <c r="U802" s="130"/>
      <c r="V802" s="130"/>
      <c r="W802" s="130"/>
      <c r="X802" s="130"/>
      <c r="Y802" s="130"/>
      <c r="Z802" s="130"/>
    </row>
    <row r="803" ht="13.5" customHeight="1">
      <c r="A803" s="130"/>
      <c r="B803" s="130"/>
      <c r="C803" s="130"/>
      <c r="D803" s="130"/>
      <c r="E803" s="130"/>
      <c r="F803" s="130"/>
      <c r="G803" s="130"/>
      <c r="H803" s="130"/>
      <c r="I803" s="130"/>
      <c r="J803" s="130"/>
      <c r="K803" s="130"/>
      <c r="L803" s="130"/>
      <c r="M803" s="130"/>
      <c r="N803" s="130"/>
      <c r="O803" s="130"/>
      <c r="P803" s="130"/>
      <c r="Q803" s="130"/>
      <c r="R803" s="130"/>
      <c r="S803" s="130"/>
      <c r="T803" s="130"/>
      <c r="U803" s="130"/>
      <c r="V803" s="130"/>
      <c r="W803" s="130"/>
      <c r="X803" s="130"/>
      <c r="Y803" s="130"/>
      <c r="Z803" s="130"/>
    </row>
    <row r="804" ht="13.5" customHeight="1">
      <c r="A804" s="130"/>
      <c r="B804" s="130"/>
      <c r="C804" s="130"/>
      <c r="D804" s="130"/>
      <c r="E804" s="130"/>
      <c r="F804" s="130"/>
      <c r="G804" s="130"/>
      <c r="H804" s="130"/>
      <c r="I804" s="130"/>
      <c r="J804" s="130"/>
      <c r="K804" s="130"/>
      <c r="L804" s="130"/>
      <c r="M804" s="130"/>
      <c r="N804" s="130"/>
      <c r="O804" s="130"/>
      <c r="P804" s="130"/>
      <c r="Q804" s="130"/>
      <c r="R804" s="130"/>
      <c r="S804" s="130"/>
      <c r="T804" s="130"/>
      <c r="U804" s="130"/>
      <c r="V804" s="130"/>
      <c r="W804" s="130"/>
      <c r="X804" s="130"/>
      <c r="Y804" s="130"/>
      <c r="Z804" s="130"/>
    </row>
    <row r="805" ht="13.5" customHeight="1">
      <c r="A805" s="130"/>
      <c r="B805" s="130"/>
      <c r="C805" s="130"/>
      <c r="D805" s="130"/>
      <c r="E805" s="130"/>
      <c r="F805" s="130"/>
      <c r="G805" s="130"/>
      <c r="H805" s="130"/>
      <c r="I805" s="130"/>
      <c r="J805" s="130"/>
      <c r="K805" s="130"/>
      <c r="L805" s="130"/>
      <c r="M805" s="130"/>
      <c r="N805" s="130"/>
      <c r="O805" s="130"/>
      <c r="P805" s="130"/>
      <c r="Q805" s="130"/>
      <c r="R805" s="130"/>
      <c r="S805" s="130"/>
      <c r="T805" s="130"/>
      <c r="U805" s="130"/>
      <c r="V805" s="130"/>
      <c r="W805" s="130"/>
      <c r="X805" s="130"/>
      <c r="Y805" s="130"/>
      <c r="Z805" s="130"/>
    </row>
    <row r="806" ht="13.5" customHeight="1">
      <c r="A806" s="130"/>
      <c r="B806" s="130"/>
      <c r="C806" s="130"/>
      <c r="D806" s="130"/>
      <c r="E806" s="130"/>
      <c r="F806" s="130"/>
      <c r="G806" s="130"/>
      <c r="H806" s="130"/>
      <c r="I806" s="130"/>
      <c r="J806" s="130"/>
      <c r="K806" s="130"/>
      <c r="L806" s="130"/>
      <c r="M806" s="130"/>
      <c r="N806" s="130"/>
      <c r="O806" s="130"/>
      <c r="P806" s="130"/>
      <c r="Q806" s="130"/>
      <c r="R806" s="130"/>
      <c r="S806" s="130"/>
      <c r="T806" s="130"/>
      <c r="U806" s="130"/>
      <c r="V806" s="130"/>
      <c r="W806" s="130"/>
      <c r="X806" s="130"/>
      <c r="Y806" s="130"/>
      <c r="Z806" s="130"/>
    </row>
    <row r="807" ht="13.5" customHeight="1">
      <c r="A807" s="130"/>
      <c r="B807" s="130"/>
      <c r="C807" s="130"/>
      <c r="D807" s="130"/>
      <c r="E807" s="130"/>
      <c r="F807" s="130"/>
      <c r="G807" s="130"/>
      <c r="H807" s="130"/>
      <c r="I807" s="130"/>
      <c r="J807" s="130"/>
      <c r="K807" s="130"/>
      <c r="L807" s="130"/>
      <c r="M807" s="130"/>
      <c r="N807" s="130"/>
      <c r="O807" s="130"/>
      <c r="P807" s="130"/>
      <c r="Q807" s="130"/>
      <c r="R807" s="130"/>
      <c r="S807" s="130"/>
      <c r="T807" s="130"/>
      <c r="U807" s="130"/>
      <c r="V807" s="130"/>
      <c r="W807" s="130"/>
      <c r="X807" s="130"/>
      <c r="Y807" s="130"/>
      <c r="Z807" s="130"/>
    </row>
    <row r="808" ht="13.5" customHeight="1">
      <c r="A808" s="130"/>
      <c r="B808" s="130"/>
      <c r="C808" s="130"/>
      <c r="D808" s="130"/>
      <c r="E808" s="130"/>
      <c r="F808" s="130"/>
      <c r="G808" s="130"/>
      <c r="H808" s="130"/>
      <c r="I808" s="130"/>
      <c r="J808" s="130"/>
      <c r="K808" s="130"/>
      <c r="L808" s="130"/>
      <c r="M808" s="130"/>
      <c r="N808" s="130"/>
      <c r="O808" s="130"/>
      <c r="P808" s="130"/>
      <c r="Q808" s="130"/>
      <c r="R808" s="130"/>
      <c r="S808" s="130"/>
      <c r="T808" s="130"/>
      <c r="U808" s="130"/>
      <c r="V808" s="130"/>
      <c r="W808" s="130"/>
      <c r="X808" s="130"/>
      <c r="Y808" s="130"/>
      <c r="Z808" s="130"/>
    </row>
    <row r="809" ht="13.5" customHeight="1">
      <c r="A809" s="130"/>
      <c r="B809" s="130"/>
      <c r="C809" s="130"/>
      <c r="D809" s="130"/>
      <c r="E809" s="130"/>
      <c r="F809" s="130"/>
      <c r="G809" s="130"/>
      <c r="H809" s="130"/>
      <c r="I809" s="130"/>
      <c r="J809" s="130"/>
      <c r="K809" s="130"/>
      <c r="L809" s="130"/>
      <c r="M809" s="130"/>
      <c r="N809" s="130"/>
      <c r="O809" s="130"/>
      <c r="P809" s="130"/>
      <c r="Q809" s="130"/>
      <c r="R809" s="130"/>
      <c r="S809" s="130"/>
      <c r="T809" s="130"/>
      <c r="U809" s="130"/>
      <c r="V809" s="130"/>
      <c r="W809" s="130"/>
      <c r="X809" s="130"/>
      <c r="Y809" s="130"/>
      <c r="Z809" s="130"/>
    </row>
    <row r="810" ht="13.5" customHeight="1">
      <c r="A810" s="130"/>
      <c r="B810" s="130"/>
      <c r="C810" s="130"/>
      <c r="D810" s="130"/>
      <c r="E810" s="130"/>
      <c r="F810" s="130"/>
      <c r="G810" s="130"/>
      <c r="H810" s="130"/>
      <c r="I810" s="130"/>
      <c r="J810" s="130"/>
      <c r="K810" s="130"/>
      <c r="L810" s="130"/>
      <c r="M810" s="130"/>
      <c r="N810" s="130"/>
      <c r="O810" s="130"/>
      <c r="P810" s="130"/>
      <c r="Q810" s="130"/>
      <c r="R810" s="130"/>
      <c r="S810" s="130"/>
      <c r="T810" s="130"/>
      <c r="U810" s="130"/>
      <c r="V810" s="130"/>
      <c r="W810" s="130"/>
      <c r="X810" s="130"/>
      <c r="Y810" s="130"/>
      <c r="Z810" s="130"/>
    </row>
    <row r="811" ht="13.5" customHeight="1">
      <c r="A811" s="130"/>
      <c r="B811" s="130"/>
      <c r="C811" s="130"/>
      <c r="D811" s="130"/>
      <c r="E811" s="130"/>
      <c r="F811" s="130"/>
      <c r="G811" s="130"/>
      <c r="H811" s="130"/>
      <c r="I811" s="130"/>
      <c r="J811" s="130"/>
      <c r="K811" s="130"/>
      <c r="L811" s="130"/>
      <c r="M811" s="130"/>
      <c r="N811" s="130"/>
      <c r="O811" s="130"/>
      <c r="P811" s="130"/>
      <c r="Q811" s="130"/>
      <c r="R811" s="130"/>
      <c r="S811" s="130"/>
      <c r="T811" s="130"/>
      <c r="U811" s="130"/>
      <c r="V811" s="130"/>
      <c r="W811" s="130"/>
      <c r="X811" s="130"/>
      <c r="Y811" s="130"/>
      <c r="Z811" s="130"/>
    </row>
    <row r="812" ht="13.5" customHeight="1">
      <c r="A812" s="130"/>
      <c r="B812" s="130"/>
      <c r="C812" s="130"/>
      <c r="D812" s="130"/>
      <c r="E812" s="130"/>
      <c r="F812" s="130"/>
      <c r="G812" s="130"/>
      <c r="H812" s="130"/>
      <c r="I812" s="130"/>
      <c r="J812" s="130"/>
      <c r="K812" s="130"/>
      <c r="L812" s="130"/>
      <c r="M812" s="130"/>
      <c r="N812" s="130"/>
      <c r="O812" s="130"/>
      <c r="P812" s="130"/>
      <c r="Q812" s="130"/>
      <c r="R812" s="130"/>
      <c r="S812" s="130"/>
      <c r="T812" s="130"/>
      <c r="U812" s="130"/>
      <c r="V812" s="130"/>
      <c r="W812" s="130"/>
      <c r="X812" s="130"/>
      <c r="Y812" s="130"/>
      <c r="Z812" s="130"/>
    </row>
    <row r="813" ht="13.5" customHeight="1">
      <c r="A813" s="130"/>
      <c r="B813" s="130"/>
      <c r="C813" s="130"/>
      <c r="D813" s="130"/>
      <c r="E813" s="130"/>
      <c r="F813" s="130"/>
      <c r="G813" s="130"/>
      <c r="H813" s="130"/>
      <c r="I813" s="130"/>
      <c r="J813" s="130"/>
      <c r="K813" s="130"/>
      <c r="L813" s="130"/>
      <c r="M813" s="130"/>
      <c r="N813" s="130"/>
      <c r="O813" s="130"/>
      <c r="P813" s="130"/>
      <c r="Q813" s="130"/>
      <c r="R813" s="130"/>
      <c r="S813" s="130"/>
      <c r="T813" s="130"/>
      <c r="U813" s="130"/>
      <c r="V813" s="130"/>
      <c r="W813" s="130"/>
      <c r="X813" s="130"/>
      <c r="Y813" s="130"/>
      <c r="Z813" s="130"/>
    </row>
    <row r="814" ht="13.5" customHeight="1">
      <c r="A814" s="130"/>
      <c r="B814" s="130"/>
      <c r="C814" s="130"/>
      <c r="D814" s="130"/>
      <c r="E814" s="130"/>
      <c r="F814" s="130"/>
      <c r="G814" s="130"/>
      <c r="H814" s="130"/>
      <c r="I814" s="130"/>
      <c r="J814" s="130"/>
      <c r="K814" s="130"/>
      <c r="L814" s="130"/>
      <c r="M814" s="130"/>
      <c r="N814" s="130"/>
      <c r="O814" s="130"/>
      <c r="P814" s="130"/>
      <c r="Q814" s="130"/>
      <c r="R814" s="130"/>
      <c r="S814" s="130"/>
      <c r="T814" s="130"/>
      <c r="U814" s="130"/>
      <c r="V814" s="130"/>
      <c r="W814" s="130"/>
      <c r="X814" s="130"/>
      <c r="Y814" s="130"/>
      <c r="Z814" s="130"/>
    </row>
    <row r="815" ht="13.5" customHeight="1">
      <c r="A815" s="130"/>
      <c r="B815" s="130"/>
      <c r="C815" s="130"/>
      <c r="D815" s="130"/>
      <c r="E815" s="130"/>
      <c r="F815" s="130"/>
      <c r="G815" s="130"/>
      <c r="H815" s="130"/>
      <c r="I815" s="130"/>
      <c r="J815" s="130"/>
      <c r="K815" s="130"/>
      <c r="L815" s="130"/>
      <c r="M815" s="130"/>
      <c r="N815" s="130"/>
      <c r="O815" s="130"/>
      <c r="P815" s="130"/>
      <c r="Q815" s="130"/>
      <c r="R815" s="130"/>
      <c r="S815" s="130"/>
      <c r="T815" s="130"/>
      <c r="U815" s="130"/>
      <c r="V815" s="130"/>
      <c r="W815" s="130"/>
      <c r="X815" s="130"/>
      <c r="Y815" s="130"/>
      <c r="Z815" s="130"/>
    </row>
    <row r="816" ht="13.5" customHeight="1">
      <c r="A816" s="130"/>
      <c r="B816" s="130"/>
      <c r="C816" s="130"/>
      <c r="D816" s="130"/>
      <c r="E816" s="130"/>
      <c r="F816" s="130"/>
      <c r="G816" s="130"/>
      <c r="H816" s="130"/>
      <c r="I816" s="130"/>
      <c r="J816" s="130"/>
      <c r="K816" s="130"/>
      <c r="L816" s="130"/>
      <c r="M816" s="130"/>
      <c r="N816" s="130"/>
      <c r="O816" s="130"/>
      <c r="P816" s="130"/>
      <c r="Q816" s="130"/>
      <c r="R816" s="130"/>
      <c r="S816" s="130"/>
      <c r="T816" s="130"/>
      <c r="U816" s="130"/>
      <c r="V816" s="130"/>
      <c r="W816" s="130"/>
      <c r="X816" s="130"/>
      <c r="Y816" s="130"/>
      <c r="Z816" s="130"/>
    </row>
    <row r="817" ht="13.5" customHeight="1">
      <c r="A817" s="130"/>
      <c r="B817" s="130"/>
      <c r="C817" s="130"/>
      <c r="D817" s="130"/>
      <c r="E817" s="130"/>
      <c r="F817" s="130"/>
      <c r="G817" s="130"/>
      <c r="H817" s="130"/>
      <c r="I817" s="130"/>
      <c r="J817" s="130"/>
      <c r="K817" s="130"/>
      <c r="L817" s="130"/>
      <c r="M817" s="130"/>
      <c r="N817" s="130"/>
      <c r="O817" s="130"/>
      <c r="P817" s="130"/>
      <c r="Q817" s="130"/>
      <c r="R817" s="130"/>
      <c r="S817" s="130"/>
      <c r="T817" s="130"/>
      <c r="U817" s="130"/>
      <c r="V817" s="130"/>
      <c r="W817" s="130"/>
      <c r="X817" s="130"/>
      <c r="Y817" s="130"/>
      <c r="Z817" s="130"/>
    </row>
    <row r="818" ht="13.5" customHeight="1">
      <c r="A818" s="130"/>
      <c r="B818" s="130"/>
      <c r="C818" s="130"/>
      <c r="D818" s="130"/>
      <c r="E818" s="130"/>
      <c r="F818" s="130"/>
      <c r="G818" s="130"/>
      <c r="H818" s="130"/>
      <c r="I818" s="130"/>
      <c r="J818" s="130"/>
      <c r="K818" s="130"/>
      <c r="L818" s="130"/>
      <c r="M818" s="130"/>
      <c r="N818" s="130"/>
      <c r="O818" s="130"/>
      <c r="P818" s="130"/>
      <c r="Q818" s="130"/>
      <c r="R818" s="130"/>
      <c r="S818" s="130"/>
      <c r="T818" s="130"/>
      <c r="U818" s="130"/>
      <c r="V818" s="130"/>
      <c r="W818" s="130"/>
      <c r="X818" s="130"/>
      <c r="Y818" s="130"/>
      <c r="Z818" s="130"/>
    </row>
    <row r="819" ht="13.5" customHeight="1">
      <c r="A819" s="130"/>
      <c r="B819" s="130"/>
      <c r="C819" s="130"/>
      <c r="D819" s="130"/>
      <c r="E819" s="130"/>
      <c r="F819" s="130"/>
      <c r="G819" s="130"/>
      <c r="H819" s="130"/>
      <c r="I819" s="130"/>
      <c r="J819" s="130"/>
      <c r="K819" s="130"/>
      <c r="L819" s="130"/>
      <c r="M819" s="130"/>
      <c r="N819" s="130"/>
      <c r="O819" s="130"/>
      <c r="P819" s="130"/>
      <c r="Q819" s="130"/>
      <c r="R819" s="130"/>
      <c r="S819" s="130"/>
      <c r="T819" s="130"/>
      <c r="U819" s="130"/>
      <c r="V819" s="130"/>
      <c r="W819" s="130"/>
      <c r="X819" s="130"/>
      <c r="Y819" s="130"/>
      <c r="Z819" s="130"/>
    </row>
    <row r="820" ht="13.5" customHeight="1">
      <c r="A820" s="130"/>
      <c r="B820" s="130"/>
      <c r="C820" s="130"/>
      <c r="D820" s="130"/>
      <c r="E820" s="130"/>
      <c r="F820" s="130"/>
      <c r="G820" s="130"/>
      <c r="H820" s="130"/>
      <c r="I820" s="130"/>
      <c r="J820" s="130"/>
      <c r="K820" s="130"/>
      <c r="L820" s="130"/>
      <c r="M820" s="130"/>
      <c r="N820" s="130"/>
      <c r="O820" s="130"/>
      <c r="P820" s="130"/>
      <c r="Q820" s="130"/>
      <c r="R820" s="130"/>
      <c r="S820" s="130"/>
      <c r="T820" s="130"/>
      <c r="U820" s="130"/>
      <c r="V820" s="130"/>
      <c r="W820" s="130"/>
      <c r="X820" s="130"/>
      <c r="Y820" s="130"/>
      <c r="Z820" s="130"/>
    </row>
    <row r="821" ht="13.5" customHeight="1">
      <c r="A821" s="130"/>
      <c r="B821" s="130"/>
      <c r="C821" s="130"/>
      <c r="D821" s="130"/>
      <c r="E821" s="130"/>
      <c r="F821" s="130"/>
      <c r="G821" s="130"/>
      <c r="H821" s="130"/>
      <c r="I821" s="130"/>
      <c r="J821" s="130"/>
      <c r="K821" s="130"/>
      <c r="L821" s="130"/>
      <c r="M821" s="130"/>
      <c r="N821" s="130"/>
      <c r="O821" s="130"/>
      <c r="P821" s="130"/>
      <c r="Q821" s="130"/>
      <c r="R821" s="130"/>
      <c r="S821" s="130"/>
      <c r="T821" s="130"/>
      <c r="U821" s="130"/>
      <c r="V821" s="130"/>
      <c r="W821" s="130"/>
      <c r="X821" s="130"/>
      <c r="Y821" s="130"/>
      <c r="Z821" s="130"/>
    </row>
    <row r="822" ht="13.5" customHeight="1">
      <c r="A822" s="130"/>
      <c r="B822" s="130"/>
      <c r="C822" s="130"/>
      <c r="D822" s="130"/>
      <c r="E822" s="130"/>
      <c r="F822" s="130"/>
      <c r="G822" s="130"/>
      <c r="H822" s="130"/>
      <c r="I822" s="130"/>
      <c r="J822" s="130"/>
      <c r="K822" s="130"/>
      <c r="L822" s="130"/>
      <c r="M822" s="130"/>
      <c r="N822" s="130"/>
      <c r="O822" s="130"/>
      <c r="P822" s="130"/>
      <c r="Q822" s="130"/>
      <c r="R822" s="130"/>
      <c r="S822" s="130"/>
      <c r="T822" s="130"/>
      <c r="U822" s="130"/>
      <c r="V822" s="130"/>
      <c r="W822" s="130"/>
      <c r="X822" s="130"/>
      <c r="Y822" s="130"/>
      <c r="Z822" s="130"/>
    </row>
    <row r="823" ht="13.5" customHeight="1">
      <c r="A823" s="130"/>
      <c r="B823" s="130"/>
      <c r="C823" s="130"/>
      <c r="D823" s="130"/>
      <c r="E823" s="130"/>
      <c r="F823" s="130"/>
      <c r="G823" s="130"/>
      <c r="H823" s="130"/>
      <c r="I823" s="130"/>
      <c r="J823" s="130"/>
      <c r="K823" s="130"/>
      <c r="L823" s="130"/>
      <c r="M823" s="130"/>
      <c r="N823" s="130"/>
      <c r="O823" s="130"/>
      <c r="P823" s="130"/>
      <c r="Q823" s="130"/>
      <c r="R823" s="130"/>
      <c r="S823" s="130"/>
      <c r="T823" s="130"/>
      <c r="U823" s="130"/>
      <c r="V823" s="130"/>
      <c r="W823" s="130"/>
      <c r="X823" s="130"/>
      <c r="Y823" s="130"/>
      <c r="Z823" s="130"/>
    </row>
    <row r="824" ht="13.5" customHeight="1">
      <c r="A824" s="130"/>
      <c r="B824" s="130"/>
      <c r="C824" s="130"/>
      <c r="D824" s="130"/>
      <c r="E824" s="130"/>
      <c r="F824" s="130"/>
      <c r="G824" s="130"/>
      <c r="H824" s="130"/>
      <c r="I824" s="130"/>
      <c r="J824" s="130"/>
      <c r="K824" s="130"/>
      <c r="L824" s="130"/>
      <c r="M824" s="130"/>
      <c r="N824" s="130"/>
      <c r="O824" s="130"/>
      <c r="P824" s="130"/>
      <c r="Q824" s="130"/>
      <c r="R824" s="130"/>
      <c r="S824" s="130"/>
      <c r="T824" s="130"/>
      <c r="U824" s="130"/>
      <c r="V824" s="130"/>
      <c r="W824" s="130"/>
      <c r="X824" s="130"/>
      <c r="Y824" s="130"/>
      <c r="Z824" s="130"/>
    </row>
    <row r="825" ht="13.5" customHeight="1">
      <c r="A825" s="130"/>
      <c r="B825" s="130"/>
      <c r="C825" s="130"/>
      <c r="D825" s="130"/>
      <c r="E825" s="130"/>
      <c r="F825" s="130"/>
      <c r="G825" s="130"/>
      <c r="H825" s="130"/>
      <c r="I825" s="130"/>
      <c r="J825" s="130"/>
      <c r="K825" s="130"/>
      <c r="L825" s="130"/>
      <c r="M825" s="130"/>
      <c r="N825" s="130"/>
      <c r="O825" s="130"/>
      <c r="P825" s="130"/>
      <c r="Q825" s="130"/>
      <c r="R825" s="130"/>
      <c r="S825" s="130"/>
      <c r="T825" s="130"/>
      <c r="U825" s="130"/>
      <c r="V825" s="130"/>
      <c r="W825" s="130"/>
      <c r="X825" s="130"/>
      <c r="Y825" s="130"/>
      <c r="Z825" s="130"/>
    </row>
    <row r="826" ht="13.5" customHeight="1">
      <c r="A826" s="130"/>
      <c r="B826" s="130"/>
      <c r="C826" s="130"/>
      <c r="D826" s="130"/>
      <c r="E826" s="130"/>
      <c r="F826" s="130"/>
      <c r="G826" s="130"/>
      <c r="H826" s="130"/>
      <c r="I826" s="130"/>
      <c r="J826" s="130"/>
      <c r="K826" s="130"/>
      <c r="L826" s="130"/>
      <c r="M826" s="130"/>
      <c r="N826" s="130"/>
      <c r="O826" s="130"/>
      <c r="P826" s="130"/>
      <c r="Q826" s="130"/>
      <c r="R826" s="130"/>
      <c r="S826" s="130"/>
      <c r="T826" s="130"/>
      <c r="U826" s="130"/>
      <c r="V826" s="130"/>
      <c r="W826" s="130"/>
      <c r="X826" s="130"/>
      <c r="Y826" s="130"/>
      <c r="Z826" s="130"/>
    </row>
    <row r="827" ht="13.5" customHeight="1">
      <c r="A827" s="130"/>
      <c r="B827" s="130"/>
      <c r="C827" s="130"/>
      <c r="D827" s="130"/>
      <c r="E827" s="130"/>
      <c r="F827" s="130"/>
      <c r="G827" s="130"/>
      <c r="H827" s="130"/>
      <c r="I827" s="130"/>
      <c r="J827" s="130"/>
      <c r="K827" s="130"/>
      <c r="L827" s="130"/>
      <c r="M827" s="130"/>
      <c r="N827" s="130"/>
      <c r="O827" s="130"/>
      <c r="P827" s="130"/>
      <c r="Q827" s="130"/>
      <c r="R827" s="130"/>
      <c r="S827" s="130"/>
      <c r="T827" s="130"/>
      <c r="U827" s="130"/>
      <c r="V827" s="130"/>
      <c r="W827" s="130"/>
      <c r="X827" s="130"/>
      <c r="Y827" s="130"/>
      <c r="Z827" s="130"/>
    </row>
    <row r="828" ht="13.5" customHeight="1">
      <c r="A828" s="130"/>
      <c r="B828" s="130"/>
      <c r="C828" s="130"/>
      <c r="D828" s="130"/>
      <c r="E828" s="130"/>
      <c r="F828" s="130"/>
      <c r="G828" s="130"/>
      <c r="H828" s="130"/>
      <c r="I828" s="130"/>
      <c r="J828" s="130"/>
      <c r="K828" s="130"/>
      <c r="L828" s="130"/>
      <c r="M828" s="130"/>
      <c r="N828" s="130"/>
      <c r="O828" s="130"/>
      <c r="P828" s="130"/>
      <c r="Q828" s="130"/>
      <c r="R828" s="130"/>
      <c r="S828" s="130"/>
      <c r="T828" s="130"/>
      <c r="U828" s="130"/>
      <c r="V828" s="130"/>
      <c r="W828" s="130"/>
      <c r="X828" s="130"/>
      <c r="Y828" s="130"/>
      <c r="Z828" s="130"/>
    </row>
    <row r="829" ht="13.5" customHeight="1">
      <c r="A829" s="130"/>
      <c r="B829" s="130"/>
      <c r="C829" s="130"/>
      <c r="D829" s="130"/>
      <c r="E829" s="130"/>
      <c r="F829" s="130"/>
      <c r="G829" s="130"/>
      <c r="H829" s="130"/>
      <c r="I829" s="130"/>
      <c r="J829" s="130"/>
      <c r="K829" s="130"/>
      <c r="L829" s="130"/>
      <c r="M829" s="130"/>
      <c r="N829" s="130"/>
      <c r="O829" s="130"/>
      <c r="P829" s="130"/>
      <c r="Q829" s="130"/>
      <c r="R829" s="130"/>
      <c r="S829" s="130"/>
      <c r="T829" s="130"/>
      <c r="U829" s="130"/>
      <c r="V829" s="130"/>
      <c r="W829" s="130"/>
      <c r="X829" s="130"/>
      <c r="Y829" s="130"/>
      <c r="Z829" s="130"/>
    </row>
    <row r="830" ht="13.5" customHeight="1">
      <c r="A830" s="130"/>
      <c r="B830" s="130"/>
      <c r="C830" s="130"/>
      <c r="D830" s="130"/>
      <c r="E830" s="130"/>
      <c r="F830" s="130"/>
      <c r="G830" s="130"/>
      <c r="H830" s="130"/>
      <c r="I830" s="130"/>
      <c r="J830" s="130"/>
      <c r="K830" s="130"/>
      <c r="L830" s="130"/>
      <c r="M830" s="130"/>
      <c r="N830" s="130"/>
      <c r="O830" s="130"/>
      <c r="P830" s="130"/>
      <c r="Q830" s="130"/>
      <c r="R830" s="130"/>
      <c r="S830" s="130"/>
      <c r="T830" s="130"/>
      <c r="U830" s="130"/>
      <c r="V830" s="130"/>
      <c r="W830" s="130"/>
      <c r="X830" s="130"/>
      <c r="Y830" s="130"/>
      <c r="Z830" s="130"/>
    </row>
    <row r="831" ht="13.5" customHeight="1">
      <c r="A831" s="130"/>
      <c r="B831" s="130"/>
      <c r="C831" s="130"/>
      <c r="D831" s="130"/>
      <c r="E831" s="130"/>
      <c r="F831" s="130"/>
      <c r="G831" s="130"/>
      <c r="H831" s="130"/>
      <c r="I831" s="130"/>
      <c r="J831" s="130"/>
      <c r="K831" s="130"/>
      <c r="L831" s="130"/>
      <c r="M831" s="130"/>
      <c r="N831" s="130"/>
      <c r="O831" s="130"/>
      <c r="P831" s="130"/>
      <c r="Q831" s="130"/>
      <c r="R831" s="130"/>
      <c r="S831" s="130"/>
      <c r="T831" s="130"/>
      <c r="U831" s="130"/>
      <c r="V831" s="130"/>
      <c r="W831" s="130"/>
      <c r="X831" s="130"/>
      <c r="Y831" s="130"/>
      <c r="Z831" s="130"/>
    </row>
    <row r="832" ht="13.5" customHeight="1">
      <c r="A832" s="130"/>
      <c r="B832" s="130"/>
      <c r="C832" s="130"/>
      <c r="D832" s="130"/>
      <c r="E832" s="130"/>
      <c r="F832" s="130"/>
      <c r="G832" s="130"/>
      <c r="H832" s="130"/>
      <c r="I832" s="130"/>
      <c r="J832" s="130"/>
      <c r="K832" s="130"/>
      <c r="L832" s="130"/>
      <c r="M832" s="130"/>
      <c r="N832" s="130"/>
      <c r="O832" s="130"/>
      <c r="P832" s="130"/>
      <c r="Q832" s="130"/>
      <c r="R832" s="130"/>
      <c r="S832" s="130"/>
      <c r="T832" s="130"/>
      <c r="U832" s="130"/>
      <c r="V832" s="130"/>
      <c r="W832" s="130"/>
      <c r="X832" s="130"/>
      <c r="Y832" s="130"/>
      <c r="Z832" s="130"/>
    </row>
    <row r="833" ht="13.5" customHeight="1">
      <c r="A833" s="130"/>
      <c r="B833" s="130"/>
      <c r="C833" s="130"/>
      <c r="D833" s="130"/>
      <c r="E833" s="130"/>
      <c r="F833" s="130"/>
      <c r="G833" s="130"/>
      <c r="H833" s="130"/>
      <c r="I833" s="130"/>
      <c r="J833" s="130"/>
      <c r="K833" s="130"/>
      <c r="L833" s="130"/>
      <c r="M833" s="130"/>
      <c r="N833" s="130"/>
      <c r="O833" s="130"/>
      <c r="P833" s="130"/>
      <c r="Q833" s="130"/>
      <c r="R833" s="130"/>
      <c r="S833" s="130"/>
      <c r="T833" s="130"/>
      <c r="U833" s="130"/>
      <c r="V833" s="130"/>
      <c r="W833" s="130"/>
      <c r="X833" s="130"/>
      <c r="Y833" s="130"/>
      <c r="Z833" s="130"/>
    </row>
    <row r="834" ht="13.5" customHeight="1">
      <c r="A834" s="130"/>
      <c r="B834" s="130"/>
      <c r="C834" s="130"/>
      <c r="D834" s="130"/>
      <c r="E834" s="130"/>
      <c r="F834" s="130"/>
      <c r="G834" s="130"/>
      <c r="H834" s="130"/>
      <c r="I834" s="130"/>
      <c r="J834" s="130"/>
      <c r="K834" s="130"/>
      <c r="L834" s="130"/>
      <c r="M834" s="130"/>
      <c r="N834" s="130"/>
      <c r="O834" s="130"/>
      <c r="P834" s="130"/>
      <c r="Q834" s="130"/>
      <c r="R834" s="130"/>
      <c r="S834" s="130"/>
      <c r="T834" s="130"/>
      <c r="U834" s="130"/>
      <c r="V834" s="130"/>
      <c r="W834" s="130"/>
      <c r="X834" s="130"/>
      <c r="Y834" s="130"/>
      <c r="Z834" s="130"/>
    </row>
    <row r="835" ht="13.5" customHeight="1">
      <c r="A835" s="130"/>
      <c r="B835" s="130"/>
      <c r="C835" s="130"/>
      <c r="D835" s="130"/>
      <c r="E835" s="130"/>
      <c r="F835" s="130"/>
      <c r="G835" s="130"/>
      <c r="H835" s="130"/>
      <c r="I835" s="130"/>
      <c r="J835" s="130"/>
      <c r="K835" s="130"/>
      <c r="L835" s="130"/>
      <c r="M835" s="130"/>
      <c r="N835" s="130"/>
      <c r="O835" s="130"/>
      <c r="P835" s="130"/>
      <c r="Q835" s="130"/>
      <c r="R835" s="130"/>
      <c r="S835" s="130"/>
      <c r="T835" s="130"/>
      <c r="U835" s="130"/>
      <c r="V835" s="130"/>
      <c r="W835" s="130"/>
      <c r="X835" s="130"/>
      <c r="Y835" s="130"/>
      <c r="Z835" s="130"/>
    </row>
    <row r="836" ht="13.5" customHeight="1">
      <c r="A836" s="130"/>
      <c r="B836" s="130"/>
      <c r="C836" s="130"/>
      <c r="D836" s="130"/>
      <c r="E836" s="130"/>
      <c r="F836" s="130"/>
      <c r="G836" s="130"/>
      <c r="H836" s="130"/>
      <c r="I836" s="130"/>
      <c r="J836" s="130"/>
      <c r="K836" s="130"/>
      <c r="L836" s="130"/>
      <c r="M836" s="130"/>
      <c r="N836" s="130"/>
      <c r="O836" s="130"/>
      <c r="P836" s="130"/>
      <c r="Q836" s="130"/>
      <c r="R836" s="130"/>
      <c r="S836" s="130"/>
      <c r="T836" s="130"/>
      <c r="U836" s="130"/>
      <c r="V836" s="130"/>
      <c r="W836" s="130"/>
      <c r="X836" s="130"/>
      <c r="Y836" s="130"/>
      <c r="Z836" s="130"/>
    </row>
    <row r="837" ht="13.5" customHeight="1">
      <c r="A837" s="130"/>
      <c r="B837" s="130"/>
      <c r="C837" s="130"/>
      <c r="D837" s="130"/>
      <c r="E837" s="130"/>
      <c r="F837" s="130"/>
      <c r="G837" s="130"/>
      <c r="H837" s="130"/>
      <c r="I837" s="130"/>
      <c r="J837" s="130"/>
      <c r="K837" s="130"/>
      <c r="L837" s="130"/>
      <c r="M837" s="130"/>
      <c r="N837" s="130"/>
      <c r="O837" s="130"/>
      <c r="P837" s="130"/>
      <c r="Q837" s="130"/>
      <c r="R837" s="130"/>
      <c r="S837" s="130"/>
      <c r="T837" s="130"/>
      <c r="U837" s="130"/>
      <c r="V837" s="130"/>
      <c r="W837" s="130"/>
      <c r="X837" s="130"/>
      <c r="Y837" s="130"/>
      <c r="Z837" s="130"/>
    </row>
    <row r="838" ht="13.5" customHeight="1">
      <c r="A838" s="130"/>
      <c r="B838" s="130"/>
      <c r="C838" s="130"/>
      <c r="D838" s="130"/>
      <c r="E838" s="130"/>
      <c r="F838" s="130"/>
      <c r="G838" s="130"/>
      <c r="H838" s="130"/>
      <c r="I838" s="130"/>
      <c r="J838" s="130"/>
      <c r="K838" s="130"/>
      <c r="L838" s="130"/>
      <c r="M838" s="130"/>
      <c r="N838" s="130"/>
      <c r="O838" s="130"/>
      <c r="P838" s="130"/>
      <c r="Q838" s="130"/>
      <c r="R838" s="130"/>
      <c r="S838" s="130"/>
      <c r="T838" s="130"/>
      <c r="U838" s="130"/>
      <c r="V838" s="130"/>
      <c r="W838" s="130"/>
      <c r="X838" s="130"/>
      <c r="Y838" s="130"/>
      <c r="Z838" s="130"/>
    </row>
    <row r="839" ht="13.5" customHeight="1">
      <c r="A839" s="130"/>
      <c r="B839" s="130"/>
      <c r="C839" s="130"/>
      <c r="D839" s="130"/>
      <c r="E839" s="130"/>
      <c r="F839" s="130"/>
      <c r="G839" s="130"/>
      <c r="H839" s="130"/>
      <c r="I839" s="130"/>
      <c r="J839" s="130"/>
      <c r="K839" s="130"/>
      <c r="L839" s="130"/>
      <c r="M839" s="130"/>
      <c r="N839" s="130"/>
      <c r="O839" s="130"/>
      <c r="P839" s="130"/>
      <c r="Q839" s="130"/>
      <c r="R839" s="130"/>
      <c r="S839" s="130"/>
      <c r="T839" s="130"/>
      <c r="U839" s="130"/>
      <c r="V839" s="130"/>
      <c r="W839" s="130"/>
      <c r="X839" s="130"/>
      <c r="Y839" s="130"/>
      <c r="Z839" s="130"/>
    </row>
    <row r="840" ht="13.5" customHeight="1">
      <c r="A840" s="130"/>
      <c r="B840" s="130"/>
      <c r="C840" s="130"/>
      <c r="D840" s="130"/>
      <c r="E840" s="130"/>
      <c r="F840" s="130"/>
      <c r="G840" s="130"/>
      <c r="H840" s="130"/>
      <c r="I840" s="130"/>
      <c r="J840" s="130"/>
      <c r="K840" s="130"/>
      <c r="L840" s="130"/>
      <c r="M840" s="130"/>
      <c r="N840" s="130"/>
      <c r="O840" s="130"/>
      <c r="P840" s="130"/>
      <c r="Q840" s="130"/>
      <c r="R840" s="130"/>
      <c r="S840" s="130"/>
      <c r="T840" s="130"/>
      <c r="U840" s="130"/>
      <c r="V840" s="130"/>
      <c r="W840" s="130"/>
      <c r="X840" s="130"/>
      <c r="Y840" s="130"/>
      <c r="Z840" s="130"/>
    </row>
    <row r="841" ht="13.5" customHeight="1">
      <c r="A841" s="130"/>
      <c r="B841" s="130"/>
      <c r="C841" s="130"/>
      <c r="D841" s="130"/>
      <c r="E841" s="130"/>
      <c r="F841" s="130"/>
      <c r="G841" s="130"/>
      <c r="H841" s="130"/>
      <c r="I841" s="130"/>
      <c r="J841" s="130"/>
      <c r="K841" s="130"/>
      <c r="L841" s="130"/>
      <c r="M841" s="130"/>
      <c r="N841" s="130"/>
      <c r="O841" s="130"/>
      <c r="P841" s="130"/>
      <c r="Q841" s="130"/>
      <c r="R841" s="130"/>
      <c r="S841" s="130"/>
      <c r="T841" s="130"/>
      <c r="U841" s="130"/>
      <c r="V841" s="130"/>
      <c r="W841" s="130"/>
      <c r="X841" s="130"/>
      <c r="Y841" s="130"/>
      <c r="Z841" s="130"/>
    </row>
    <row r="842" ht="13.5" customHeight="1">
      <c r="A842" s="130"/>
      <c r="B842" s="130"/>
      <c r="C842" s="130"/>
      <c r="D842" s="130"/>
      <c r="E842" s="130"/>
      <c r="F842" s="130"/>
      <c r="G842" s="130"/>
      <c r="H842" s="130"/>
      <c r="I842" s="130"/>
      <c r="J842" s="130"/>
      <c r="K842" s="130"/>
      <c r="L842" s="130"/>
      <c r="M842" s="130"/>
      <c r="N842" s="130"/>
      <c r="O842" s="130"/>
      <c r="P842" s="130"/>
      <c r="Q842" s="130"/>
      <c r="R842" s="130"/>
      <c r="S842" s="130"/>
      <c r="T842" s="130"/>
      <c r="U842" s="130"/>
      <c r="V842" s="130"/>
      <c r="W842" s="130"/>
      <c r="X842" s="130"/>
      <c r="Y842" s="130"/>
      <c r="Z842" s="130"/>
    </row>
    <row r="843" ht="13.5" customHeight="1">
      <c r="A843" s="130"/>
      <c r="B843" s="130"/>
      <c r="C843" s="130"/>
      <c r="D843" s="130"/>
      <c r="E843" s="130"/>
      <c r="F843" s="130"/>
      <c r="G843" s="130"/>
      <c r="H843" s="130"/>
      <c r="I843" s="130"/>
      <c r="J843" s="130"/>
      <c r="K843" s="130"/>
      <c r="L843" s="130"/>
      <c r="M843" s="130"/>
      <c r="N843" s="130"/>
      <c r="O843" s="130"/>
      <c r="P843" s="130"/>
      <c r="Q843" s="130"/>
      <c r="R843" s="130"/>
      <c r="S843" s="130"/>
      <c r="T843" s="130"/>
      <c r="U843" s="130"/>
      <c r="V843" s="130"/>
      <c r="W843" s="130"/>
      <c r="X843" s="130"/>
      <c r="Y843" s="130"/>
      <c r="Z843" s="130"/>
    </row>
    <row r="844" ht="13.5" customHeight="1">
      <c r="A844" s="130"/>
      <c r="B844" s="130"/>
      <c r="C844" s="130"/>
      <c r="D844" s="130"/>
      <c r="E844" s="130"/>
      <c r="F844" s="130"/>
      <c r="G844" s="130"/>
      <c r="H844" s="130"/>
      <c r="I844" s="130"/>
      <c r="J844" s="130"/>
      <c r="K844" s="130"/>
      <c r="L844" s="130"/>
      <c r="M844" s="130"/>
      <c r="N844" s="130"/>
      <c r="O844" s="130"/>
      <c r="P844" s="130"/>
      <c r="Q844" s="130"/>
      <c r="R844" s="130"/>
      <c r="S844" s="130"/>
      <c r="T844" s="130"/>
      <c r="U844" s="130"/>
      <c r="V844" s="130"/>
      <c r="W844" s="130"/>
      <c r="X844" s="130"/>
      <c r="Y844" s="130"/>
      <c r="Z844" s="130"/>
    </row>
    <row r="845" ht="13.5" customHeight="1">
      <c r="A845" s="130"/>
      <c r="B845" s="130"/>
      <c r="C845" s="130"/>
      <c r="D845" s="130"/>
      <c r="E845" s="130"/>
      <c r="F845" s="130"/>
      <c r="G845" s="130"/>
      <c r="H845" s="130"/>
      <c r="I845" s="130"/>
      <c r="J845" s="130"/>
      <c r="K845" s="130"/>
      <c r="L845" s="130"/>
      <c r="M845" s="130"/>
      <c r="N845" s="130"/>
      <c r="O845" s="130"/>
      <c r="P845" s="130"/>
      <c r="Q845" s="130"/>
      <c r="R845" s="130"/>
      <c r="S845" s="130"/>
      <c r="T845" s="130"/>
      <c r="U845" s="130"/>
      <c r="V845" s="130"/>
      <c r="W845" s="130"/>
      <c r="X845" s="130"/>
      <c r="Y845" s="130"/>
      <c r="Z845" s="130"/>
    </row>
    <row r="846" ht="13.5" customHeight="1">
      <c r="A846" s="130"/>
      <c r="B846" s="130"/>
      <c r="C846" s="130"/>
      <c r="D846" s="130"/>
      <c r="E846" s="130"/>
      <c r="F846" s="130"/>
      <c r="G846" s="130"/>
      <c r="H846" s="130"/>
      <c r="I846" s="130"/>
      <c r="J846" s="130"/>
      <c r="K846" s="130"/>
      <c r="L846" s="130"/>
      <c r="M846" s="130"/>
      <c r="N846" s="130"/>
      <c r="O846" s="130"/>
      <c r="P846" s="130"/>
      <c r="Q846" s="130"/>
      <c r="R846" s="130"/>
      <c r="S846" s="130"/>
      <c r="T846" s="130"/>
      <c r="U846" s="130"/>
      <c r="V846" s="130"/>
      <c r="W846" s="130"/>
      <c r="X846" s="130"/>
      <c r="Y846" s="130"/>
      <c r="Z846" s="130"/>
    </row>
    <row r="847" ht="13.5" customHeight="1">
      <c r="A847" s="130"/>
      <c r="B847" s="130"/>
      <c r="C847" s="130"/>
      <c r="D847" s="130"/>
      <c r="E847" s="130"/>
      <c r="F847" s="130"/>
      <c r="G847" s="130"/>
      <c r="H847" s="130"/>
      <c r="I847" s="130"/>
      <c r="J847" s="130"/>
      <c r="K847" s="130"/>
      <c r="L847" s="130"/>
      <c r="M847" s="130"/>
      <c r="N847" s="130"/>
      <c r="O847" s="130"/>
      <c r="P847" s="130"/>
      <c r="Q847" s="130"/>
      <c r="R847" s="130"/>
      <c r="S847" s="130"/>
      <c r="T847" s="130"/>
      <c r="U847" s="130"/>
      <c r="V847" s="130"/>
      <c r="W847" s="130"/>
      <c r="X847" s="130"/>
      <c r="Y847" s="130"/>
      <c r="Z847" s="130"/>
    </row>
    <row r="848" ht="13.5" customHeight="1">
      <c r="A848" s="130"/>
      <c r="B848" s="130"/>
      <c r="C848" s="130"/>
      <c r="D848" s="130"/>
      <c r="E848" s="130"/>
      <c r="F848" s="130"/>
      <c r="G848" s="130"/>
      <c r="H848" s="130"/>
      <c r="I848" s="130"/>
      <c r="J848" s="130"/>
      <c r="K848" s="130"/>
      <c r="L848" s="130"/>
      <c r="M848" s="130"/>
      <c r="N848" s="130"/>
      <c r="O848" s="130"/>
      <c r="P848" s="130"/>
      <c r="Q848" s="130"/>
      <c r="R848" s="130"/>
      <c r="S848" s="130"/>
      <c r="T848" s="130"/>
      <c r="U848" s="130"/>
      <c r="V848" s="130"/>
      <c r="W848" s="130"/>
      <c r="X848" s="130"/>
      <c r="Y848" s="130"/>
      <c r="Z848" s="130"/>
    </row>
    <row r="849" ht="13.5" customHeight="1">
      <c r="A849" s="130"/>
      <c r="B849" s="130"/>
      <c r="C849" s="130"/>
      <c r="D849" s="130"/>
      <c r="E849" s="130"/>
      <c r="F849" s="130"/>
      <c r="G849" s="130"/>
      <c r="H849" s="130"/>
      <c r="I849" s="130"/>
      <c r="J849" s="130"/>
      <c r="K849" s="130"/>
      <c r="L849" s="130"/>
      <c r="M849" s="130"/>
      <c r="N849" s="130"/>
      <c r="O849" s="130"/>
      <c r="P849" s="130"/>
      <c r="Q849" s="130"/>
      <c r="R849" s="130"/>
      <c r="S849" s="130"/>
      <c r="T849" s="130"/>
      <c r="U849" s="130"/>
      <c r="V849" s="130"/>
      <c r="W849" s="130"/>
      <c r="X849" s="130"/>
      <c r="Y849" s="130"/>
      <c r="Z849" s="130"/>
    </row>
    <row r="850" ht="13.5" customHeight="1">
      <c r="A850" s="130"/>
      <c r="B850" s="130"/>
      <c r="C850" s="130"/>
      <c r="D850" s="130"/>
      <c r="E850" s="130"/>
      <c r="F850" s="130"/>
      <c r="G850" s="130"/>
      <c r="H850" s="130"/>
      <c r="I850" s="130"/>
      <c r="J850" s="130"/>
      <c r="K850" s="130"/>
      <c r="L850" s="130"/>
      <c r="M850" s="130"/>
      <c r="N850" s="130"/>
      <c r="O850" s="130"/>
      <c r="P850" s="130"/>
      <c r="Q850" s="130"/>
      <c r="R850" s="130"/>
      <c r="S850" s="130"/>
      <c r="T850" s="130"/>
      <c r="U850" s="130"/>
      <c r="V850" s="130"/>
      <c r="W850" s="130"/>
      <c r="X850" s="130"/>
      <c r="Y850" s="130"/>
      <c r="Z850" s="130"/>
    </row>
    <row r="851" ht="13.5" customHeight="1">
      <c r="A851" s="130"/>
      <c r="B851" s="130"/>
      <c r="C851" s="130"/>
      <c r="D851" s="130"/>
      <c r="E851" s="130"/>
      <c r="F851" s="130"/>
      <c r="G851" s="130"/>
      <c r="H851" s="130"/>
      <c r="I851" s="130"/>
      <c r="J851" s="130"/>
      <c r="K851" s="130"/>
      <c r="L851" s="130"/>
      <c r="M851" s="130"/>
      <c r="N851" s="130"/>
      <c r="O851" s="130"/>
      <c r="P851" s="130"/>
      <c r="Q851" s="130"/>
      <c r="R851" s="130"/>
      <c r="S851" s="130"/>
      <c r="T851" s="130"/>
      <c r="U851" s="130"/>
      <c r="V851" s="130"/>
      <c r="W851" s="130"/>
      <c r="X851" s="130"/>
      <c r="Y851" s="130"/>
      <c r="Z851" s="130"/>
    </row>
    <row r="852" ht="13.5" customHeight="1">
      <c r="A852" s="130"/>
      <c r="B852" s="130"/>
      <c r="C852" s="130"/>
      <c r="D852" s="130"/>
      <c r="E852" s="130"/>
      <c r="F852" s="130"/>
      <c r="G852" s="130"/>
      <c r="H852" s="130"/>
      <c r="I852" s="130"/>
      <c r="J852" s="130"/>
      <c r="K852" s="130"/>
      <c r="L852" s="130"/>
      <c r="M852" s="130"/>
      <c r="N852" s="130"/>
      <c r="O852" s="130"/>
      <c r="P852" s="130"/>
      <c r="Q852" s="130"/>
      <c r="R852" s="130"/>
      <c r="S852" s="130"/>
      <c r="T852" s="130"/>
      <c r="U852" s="130"/>
      <c r="V852" s="130"/>
      <c r="W852" s="130"/>
      <c r="X852" s="130"/>
      <c r="Y852" s="130"/>
      <c r="Z852" s="130"/>
    </row>
    <row r="853" ht="13.5" customHeight="1">
      <c r="A853" s="130"/>
      <c r="B853" s="130"/>
      <c r="C853" s="130"/>
      <c r="D853" s="130"/>
      <c r="E853" s="130"/>
      <c r="F853" s="130"/>
      <c r="G853" s="130"/>
      <c r="H853" s="130"/>
      <c r="I853" s="130"/>
      <c r="J853" s="130"/>
      <c r="K853" s="130"/>
      <c r="L853" s="130"/>
      <c r="M853" s="130"/>
      <c r="N853" s="130"/>
      <c r="O853" s="130"/>
      <c r="P853" s="130"/>
      <c r="Q853" s="130"/>
      <c r="R853" s="130"/>
      <c r="S853" s="130"/>
      <c r="T853" s="130"/>
      <c r="U853" s="130"/>
      <c r="V853" s="130"/>
      <c r="W853" s="130"/>
      <c r="X853" s="130"/>
      <c r="Y853" s="130"/>
      <c r="Z853" s="130"/>
    </row>
    <row r="854" ht="13.5" customHeight="1">
      <c r="A854" s="130"/>
      <c r="B854" s="130"/>
      <c r="C854" s="130"/>
      <c r="D854" s="130"/>
      <c r="E854" s="130"/>
      <c r="F854" s="130"/>
      <c r="G854" s="130"/>
      <c r="H854" s="130"/>
      <c r="I854" s="130"/>
      <c r="J854" s="130"/>
      <c r="K854" s="130"/>
      <c r="L854" s="130"/>
      <c r="M854" s="130"/>
      <c r="N854" s="130"/>
      <c r="O854" s="130"/>
      <c r="P854" s="130"/>
      <c r="Q854" s="130"/>
      <c r="R854" s="130"/>
      <c r="S854" s="130"/>
      <c r="T854" s="130"/>
      <c r="U854" s="130"/>
      <c r="V854" s="130"/>
      <c r="W854" s="130"/>
      <c r="X854" s="130"/>
      <c r="Y854" s="130"/>
      <c r="Z854" s="130"/>
    </row>
    <row r="855" ht="13.5" customHeight="1">
      <c r="A855" s="130"/>
      <c r="B855" s="130"/>
      <c r="C855" s="130"/>
      <c r="D855" s="130"/>
      <c r="E855" s="130"/>
      <c r="F855" s="130"/>
      <c r="G855" s="130"/>
      <c r="H855" s="130"/>
      <c r="I855" s="130"/>
      <c r="J855" s="130"/>
      <c r="K855" s="130"/>
      <c r="L855" s="130"/>
      <c r="M855" s="130"/>
      <c r="N855" s="130"/>
      <c r="O855" s="130"/>
      <c r="P855" s="130"/>
      <c r="Q855" s="130"/>
      <c r="R855" s="130"/>
      <c r="S855" s="130"/>
      <c r="T855" s="130"/>
      <c r="U855" s="130"/>
      <c r="V855" s="130"/>
      <c r="W855" s="130"/>
      <c r="X855" s="130"/>
      <c r="Y855" s="130"/>
      <c r="Z855" s="130"/>
    </row>
    <row r="856" ht="13.5" customHeight="1">
      <c r="A856" s="130"/>
      <c r="B856" s="130"/>
      <c r="C856" s="130"/>
      <c r="D856" s="130"/>
      <c r="E856" s="130"/>
      <c r="F856" s="130"/>
      <c r="G856" s="130"/>
      <c r="H856" s="130"/>
      <c r="I856" s="130"/>
      <c r="J856" s="130"/>
      <c r="K856" s="130"/>
      <c r="L856" s="130"/>
      <c r="M856" s="130"/>
      <c r="N856" s="130"/>
      <c r="O856" s="130"/>
      <c r="P856" s="130"/>
      <c r="Q856" s="130"/>
      <c r="R856" s="130"/>
      <c r="S856" s="130"/>
      <c r="T856" s="130"/>
      <c r="U856" s="130"/>
      <c r="V856" s="130"/>
      <c r="W856" s="130"/>
      <c r="X856" s="130"/>
      <c r="Y856" s="130"/>
      <c r="Z856" s="130"/>
    </row>
    <row r="857" ht="13.5" customHeight="1">
      <c r="A857" s="130"/>
      <c r="B857" s="130"/>
      <c r="C857" s="130"/>
      <c r="D857" s="130"/>
      <c r="E857" s="130"/>
      <c r="F857" s="130"/>
      <c r="G857" s="130"/>
      <c r="H857" s="130"/>
      <c r="I857" s="130"/>
      <c r="J857" s="130"/>
      <c r="K857" s="130"/>
      <c r="L857" s="130"/>
      <c r="M857" s="130"/>
      <c r="N857" s="130"/>
      <c r="O857" s="130"/>
      <c r="P857" s="130"/>
      <c r="Q857" s="130"/>
      <c r="R857" s="130"/>
      <c r="S857" s="130"/>
      <c r="T857" s="130"/>
      <c r="U857" s="130"/>
      <c r="V857" s="130"/>
      <c r="W857" s="130"/>
      <c r="X857" s="130"/>
      <c r="Y857" s="130"/>
      <c r="Z857" s="130"/>
    </row>
    <row r="858" ht="13.5" customHeight="1">
      <c r="A858" s="130"/>
      <c r="B858" s="130"/>
      <c r="C858" s="130"/>
      <c r="D858" s="130"/>
      <c r="E858" s="130"/>
      <c r="F858" s="130"/>
      <c r="G858" s="130"/>
      <c r="H858" s="130"/>
      <c r="I858" s="130"/>
      <c r="J858" s="130"/>
      <c r="K858" s="130"/>
      <c r="L858" s="130"/>
      <c r="M858" s="130"/>
      <c r="N858" s="130"/>
      <c r="O858" s="130"/>
      <c r="P858" s="130"/>
      <c r="Q858" s="130"/>
      <c r="R858" s="130"/>
      <c r="S858" s="130"/>
      <c r="T858" s="130"/>
      <c r="U858" s="130"/>
      <c r="V858" s="130"/>
      <c r="W858" s="130"/>
      <c r="X858" s="130"/>
      <c r="Y858" s="130"/>
      <c r="Z858" s="130"/>
    </row>
    <row r="859" ht="13.5" customHeight="1">
      <c r="A859" s="130"/>
      <c r="B859" s="130"/>
      <c r="C859" s="130"/>
      <c r="D859" s="130"/>
      <c r="E859" s="130"/>
      <c r="F859" s="130"/>
      <c r="G859" s="130"/>
      <c r="H859" s="130"/>
      <c r="I859" s="130"/>
      <c r="J859" s="130"/>
      <c r="K859" s="130"/>
      <c r="L859" s="130"/>
      <c r="M859" s="130"/>
      <c r="N859" s="130"/>
      <c r="O859" s="130"/>
      <c r="P859" s="130"/>
      <c r="Q859" s="130"/>
      <c r="R859" s="130"/>
      <c r="S859" s="130"/>
      <c r="T859" s="130"/>
      <c r="U859" s="130"/>
      <c r="V859" s="130"/>
      <c r="W859" s="130"/>
      <c r="X859" s="130"/>
      <c r="Y859" s="130"/>
      <c r="Z859" s="130"/>
    </row>
    <row r="860" ht="13.5" customHeight="1">
      <c r="A860" s="130"/>
      <c r="B860" s="130"/>
      <c r="C860" s="130"/>
      <c r="D860" s="130"/>
      <c r="E860" s="130"/>
      <c r="F860" s="130"/>
      <c r="G860" s="130"/>
      <c r="H860" s="130"/>
      <c r="I860" s="130"/>
      <c r="J860" s="130"/>
      <c r="K860" s="130"/>
      <c r="L860" s="130"/>
      <c r="M860" s="130"/>
      <c r="N860" s="130"/>
      <c r="O860" s="130"/>
      <c r="P860" s="130"/>
      <c r="Q860" s="130"/>
      <c r="R860" s="130"/>
      <c r="S860" s="130"/>
      <c r="T860" s="130"/>
      <c r="U860" s="130"/>
      <c r="V860" s="130"/>
      <c r="W860" s="130"/>
      <c r="X860" s="130"/>
      <c r="Y860" s="130"/>
      <c r="Z860" s="130"/>
    </row>
    <row r="861" ht="13.5" customHeight="1">
      <c r="A861" s="130"/>
      <c r="B861" s="130"/>
      <c r="C861" s="130"/>
      <c r="D861" s="130"/>
      <c r="E861" s="130"/>
      <c r="F861" s="130"/>
      <c r="G861" s="130"/>
      <c r="H861" s="130"/>
      <c r="I861" s="130"/>
      <c r="J861" s="130"/>
      <c r="K861" s="130"/>
      <c r="L861" s="130"/>
      <c r="M861" s="130"/>
      <c r="N861" s="130"/>
      <c r="O861" s="130"/>
      <c r="P861" s="130"/>
      <c r="Q861" s="130"/>
      <c r="R861" s="130"/>
      <c r="S861" s="130"/>
      <c r="T861" s="130"/>
      <c r="U861" s="130"/>
      <c r="V861" s="130"/>
      <c r="W861" s="130"/>
      <c r="X861" s="130"/>
      <c r="Y861" s="130"/>
      <c r="Z861" s="130"/>
    </row>
    <row r="862" ht="13.5" customHeight="1">
      <c r="A862" s="130"/>
      <c r="B862" s="130"/>
      <c r="C862" s="130"/>
      <c r="D862" s="130"/>
      <c r="E862" s="130"/>
      <c r="F862" s="130"/>
      <c r="G862" s="130"/>
      <c r="H862" s="130"/>
      <c r="I862" s="130"/>
      <c r="J862" s="130"/>
      <c r="K862" s="130"/>
      <c r="L862" s="130"/>
      <c r="M862" s="130"/>
      <c r="N862" s="130"/>
      <c r="O862" s="130"/>
      <c r="P862" s="130"/>
      <c r="Q862" s="130"/>
      <c r="R862" s="130"/>
      <c r="S862" s="130"/>
      <c r="T862" s="130"/>
      <c r="U862" s="130"/>
      <c r="V862" s="130"/>
      <c r="W862" s="130"/>
      <c r="X862" s="130"/>
      <c r="Y862" s="130"/>
      <c r="Z862" s="130"/>
    </row>
    <row r="863" ht="13.5" customHeight="1">
      <c r="A863" s="130"/>
      <c r="B863" s="130"/>
      <c r="C863" s="130"/>
      <c r="D863" s="130"/>
      <c r="E863" s="130"/>
      <c r="F863" s="130"/>
      <c r="G863" s="130"/>
      <c r="H863" s="130"/>
      <c r="I863" s="130"/>
      <c r="J863" s="130"/>
      <c r="K863" s="130"/>
      <c r="L863" s="130"/>
      <c r="M863" s="130"/>
      <c r="N863" s="130"/>
      <c r="O863" s="130"/>
      <c r="P863" s="130"/>
      <c r="Q863" s="130"/>
      <c r="R863" s="130"/>
      <c r="S863" s="130"/>
      <c r="T863" s="130"/>
      <c r="U863" s="130"/>
      <c r="V863" s="130"/>
      <c r="W863" s="130"/>
      <c r="X863" s="130"/>
      <c r="Y863" s="130"/>
      <c r="Z863" s="130"/>
    </row>
    <row r="864" ht="13.5" customHeight="1">
      <c r="A864" s="130"/>
      <c r="B864" s="130"/>
      <c r="C864" s="130"/>
      <c r="D864" s="130"/>
      <c r="E864" s="130"/>
      <c r="F864" s="130"/>
      <c r="G864" s="130"/>
      <c r="H864" s="130"/>
      <c r="I864" s="130"/>
      <c r="J864" s="130"/>
      <c r="K864" s="130"/>
      <c r="L864" s="130"/>
      <c r="M864" s="130"/>
      <c r="N864" s="130"/>
      <c r="O864" s="130"/>
      <c r="P864" s="130"/>
      <c r="Q864" s="130"/>
      <c r="R864" s="130"/>
      <c r="S864" s="130"/>
      <c r="T864" s="130"/>
      <c r="U864" s="130"/>
      <c r="V864" s="130"/>
      <c r="W864" s="130"/>
      <c r="X864" s="130"/>
      <c r="Y864" s="130"/>
      <c r="Z864" s="130"/>
    </row>
    <row r="865" ht="13.5" customHeight="1">
      <c r="A865" s="130"/>
      <c r="B865" s="130"/>
      <c r="C865" s="130"/>
      <c r="D865" s="130"/>
      <c r="E865" s="130"/>
      <c r="F865" s="130"/>
      <c r="G865" s="130"/>
      <c r="H865" s="130"/>
      <c r="I865" s="130"/>
      <c r="J865" s="130"/>
      <c r="K865" s="130"/>
      <c r="L865" s="130"/>
      <c r="M865" s="130"/>
      <c r="N865" s="130"/>
      <c r="O865" s="130"/>
      <c r="P865" s="130"/>
      <c r="Q865" s="130"/>
      <c r="R865" s="130"/>
      <c r="S865" s="130"/>
      <c r="T865" s="130"/>
      <c r="U865" s="130"/>
      <c r="V865" s="130"/>
      <c r="W865" s="130"/>
      <c r="X865" s="130"/>
      <c r="Y865" s="130"/>
      <c r="Z865" s="130"/>
    </row>
    <row r="866" ht="13.5" customHeight="1">
      <c r="A866" s="130"/>
      <c r="B866" s="130"/>
      <c r="C866" s="130"/>
      <c r="D866" s="130"/>
      <c r="E866" s="130"/>
      <c r="F866" s="130"/>
      <c r="G866" s="130"/>
      <c r="H866" s="130"/>
      <c r="I866" s="130"/>
      <c r="J866" s="130"/>
      <c r="K866" s="130"/>
      <c r="L866" s="130"/>
      <c r="M866" s="130"/>
      <c r="N866" s="130"/>
      <c r="O866" s="130"/>
      <c r="P866" s="130"/>
      <c r="Q866" s="130"/>
      <c r="R866" s="130"/>
      <c r="S866" s="130"/>
      <c r="T866" s="130"/>
      <c r="U866" s="130"/>
      <c r="V866" s="130"/>
      <c r="W866" s="130"/>
      <c r="X866" s="130"/>
      <c r="Y866" s="130"/>
      <c r="Z866" s="130"/>
    </row>
    <row r="867" ht="13.5" customHeight="1">
      <c r="A867" s="130"/>
      <c r="B867" s="130"/>
      <c r="C867" s="130"/>
      <c r="D867" s="130"/>
      <c r="E867" s="130"/>
      <c r="F867" s="130"/>
      <c r="G867" s="130"/>
      <c r="H867" s="130"/>
      <c r="I867" s="130"/>
      <c r="J867" s="130"/>
      <c r="K867" s="130"/>
      <c r="L867" s="130"/>
      <c r="M867" s="130"/>
      <c r="N867" s="130"/>
      <c r="O867" s="130"/>
      <c r="P867" s="130"/>
      <c r="Q867" s="130"/>
      <c r="R867" s="130"/>
      <c r="S867" s="130"/>
      <c r="T867" s="130"/>
      <c r="U867" s="130"/>
      <c r="V867" s="130"/>
      <c r="W867" s="130"/>
      <c r="X867" s="130"/>
      <c r="Y867" s="130"/>
      <c r="Z867" s="130"/>
    </row>
    <row r="868" ht="13.5" customHeight="1">
      <c r="A868" s="130"/>
      <c r="B868" s="130"/>
      <c r="C868" s="130"/>
      <c r="D868" s="130"/>
      <c r="E868" s="130"/>
      <c r="F868" s="130"/>
      <c r="G868" s="130"/>
      <c r="H868" s="130"/>
      <c r="I868" s="130"/>
      <c r="J868" s="130"/>
      <c r="K868" s="130"/>
      <c r="L868" s="130"/>
      <c r="M868" s="130"/>
      <c r="N868" s="130"/>
      <c r="O868" s="130"/>
      <c r="P868" s="130"/>
      <c r="Q868" s="130"/>
      <c r="R868" s="130"/>
      <c r="S868" s="130"/>
      <c r="T868" s="130"/>
      <c r="U868" s="130"/>
      <c r="V868" s="130"/>
      <c r="W868" s="130"/>
      <c r="X868" s="130"/>
      <c r="Y868" s="130"/>
      <c r="Z868" s="130"/>
    </row>
    <row r="869" ht="13.5" customHeight="1">
      <c r="A869" s="130"/>
      <c r="B869" s="130"/>
      <c r="C869" s="130"/>
      <c r="D869" s="130"/>
      <c r="E869" s="130"/>
      <c r="F869" s="130"/>
      <c r="G869" s="130"/>
      <c r="H869" s="130"/>
      <c r="I869" s="130"/>
      <c r="J869" s="130"/>
      <c r="K869" s="130"/>
      <c r="L869" s="130"/>
      <c r="M869" s="130"/>
      <c r="N869" s="130"/>
      <c r="O869" s="130"/>
      <c r="P869" s="130"/>
      <c r="Q869" s="130"/>
      <c r="R869" s="130"/>
      <c r="S869" s="130"/>
      <c r="T869" s="130"/>
      <c r="U869" s="130"/>
      <c r="V869" s="130"/>
      <c r="W869" s="130"/>
      <c r="X869" s="130"/>
      <c r="Y869" s="130"/>
      <c r="Z869" s="130"/>
    </row>
    <row r="870" ht="13.5" customHeight="1">
      <c r="A870" s="130"/>
      <c r="B870" s="130"/>
      <c r="C870" s="130"/>
      <c r="D870" s="130"/>
      <c r="E870" s="130"/>
      <c r="F870" s="130"/>
      <c r="G870" s="130"/>
      <c r="H870" s="130"/>
      <c r="I870" s="130"/>
      <c r="J870" s="130"/>
      <c r="K870" s="130"/>
      <c r="L870" s="130"/>
      <c r="M870" s="130"/>
      <c r="N870" s="130"/>
      <c r="O870" s="130"/>
      <c r="P870" s="130"/>
      <c r="Q870" s="130"/>
      <c r="R870" s="130"/>
      <c r="S870" s="130"/>
      <c r="T870" s="130"/>
      <c r="U870" s="130"/>
      <c r="V870" s="130"/>
      <c r="W870" s="130"/>
      <c r="X870" s="130"/>
      <c r="Y870" s="130"/>
      <c r="Z870" s="130"/>
    </row>
    <row r="871" ht="13.5" customHeight="1">
      <c r="A871" s="130"/>
      <c r="B871" s="130"/>
      <c r="C871" s="130"/>
      <c r="D871" s="130"/>
      <c r="E871" s="130"/>
      <c r="F871" s="130"/>
      <c r="G871" s="130"/>
      <c r="H871" s="130"/>
      <c r="I871" s="130"/>
      <c r="J871" s="130"/>
      <c r="K871" s="130"/>
      <c r="L871" s="130"/>
      <c r="M871" s="130"/>
      <c r="N871" s="130"/>
      <c r="O871" s="130"/>
      <c r="P871" s="130"/>
      <c r="Q871" s="130"/>
      <c r="R871" s="130"/>
      <c r="S871" s="130"/>
      <c r="T871" s="130"/>
      <c r="U871" s="130"/>
      <c r="V871" s="130"/>
      <c r="W871" s="130"/>
      <c r="X871" s="130"/>
      <c r="Y871" s="130"/>
      <c r="Z871" s="130"/>
    </row>
    <row r="872" ht="13.5" customHeight="1">
      <c r="A872" s="130"/>
      <c r="B872" s="130"/>
      <c r="C872" s="130"/>
      <c r="D872" s="130"/>
      <c r="E872" s="130"/>
      <c r="F872" s="130"/>
      <c r="G872" s="130"/>
      <c r="H872" s="130"/>
      <c r="I872" s="130"/>
      <c r="J872" s="130"/>
      <c r="K872" s="130"/>
      <c r="L872" s="130"/>
      <c r="M872" s="130"/>
      <c r="N872" s="130"/>
      <c r="O872" s="130"/>
      <c r="P872" s="130"/>
      <c r="Q872" s="130"/>
      <c r="R872" s="130"/>
      <c r="S872" s="130"/>
      <c r="T872" s="130"/>
      <c r="U872" s="130"/>
      <c r="V872" s="130"/>
      <c r="W872" s="130"/>
      <c r="X872" s="130"/>
      <c r="Y872" s="130"/>
      <c r="Z872" s="130"/>
    </row>
    <row r="873" ht="13.5" customHeight="1">
      <c r="A873" s="130"/>
      <c r="B873" s="130"/>
      <c r="C873" s="130"/>
      <c r="D873" s="130"/>
      <c r="E873" s="130"/>
      <c r="F873" s="130"/>
      <c r="G873" s="130"/>
      <c r="H873" s="130"/>
      <c r="I873" s="130"/>
      <c r="J873" s="130"/>
      <c r="K873" s="130"/>
      <c r="L873" s="130"/>
      <c r="M873" s="130"/>
      <c r="N873" s="130"/>
      <c r="O873" s="130"/>
      <c r="P873" s="130"/>
      <c r="Q873" s="130"/>
      <c r="R873" s="130"/>
      <c r="S873" s="130"/>
      <c r="T873" s="130"/>
      <c r="U873" s="130"/>
      <c r="V873" s="130"/>
      <c r="W873" s="130"/>
      <c r="X873" s="130"/>
      <c r="Y873" s="130"/>
      <c r="Z873" s="130"/>
    </row>
    <row r="874" ht="13.5" customHeight="1">
      <c r="A874" s="130"/>
      <c r="B874" s="130"/>
      <c r="C874" s="130"/>
      <c r="D874" s="130"/>
      <c r="E874" s="130"/>
      <c r="F874" s="130"/>
      <c r="G874" s="130"/>
      <c r="H874" s="130"/>
      <c r="I874" s="130"/>
      <c r="J874" s="130"/>
      <c r="K874" s="130"/>
      <c r="L874" s="130"/>
      <c r="M874" s="130"/>
      <c r="N874" s="130"/>
      <c r="O874" s="130"/>
      <c r="P874" s="130"/>
      <c r="Q874" s="130"/>
      <c r="R874" s="130"/>
      <c r="S874" s="130"/>
      <c r="T874" s="130"/>
      <c r="U874" s="130"/>
      <c r="V874" s="130"/>
      <c r="W874" s="130"/>
      <c r="X874" s="130"/>
      <c r="Y874" s="130"/>
      <c r="Z874" s="130"/>
    </row>
    <row r="875" ht="13.5" customHeight="1">
      <c r="A875" s="130"/>
      <c r="B875" s="130"/>
      <c r="C875" s="130"/>
      <c r="D875" s="130"/>
      <c r="E875" s="130"/>
      <c r="F875" s="130"/>
      <c r="G875" s="130"/>
      <c r="H875" s="130"/>
      <c r="I875" s="130"/>
      <c r="J875" s="130"/>
      <c r="K875" s="130"/>
      <c r="L875" s="130"/>
      <c r="M875" s="130"/>
      <c r="N875" s="130"/>
      <c r="O875" s="130"/>
      <c r="P875" s="130"/>
      <c r="Q875" s="130"/>
      <c r="R875" s="130"/>
      <c r="S875" s="130"/>
      <c r="T875" s="130"/>
      <c r="U875" s="130"/>
      <c r="V875" s="130"/>
      <c r="W875" s="130"/>
      <c r="X875" s="130"/>
      <c r="Y875" s="130"/>
      <c r="Z875" s="130"/>
    </row>
    <row r="876" ht="13.5" customHeight="1">
      <c r="A876" s="130"/>
      <c r="B876" s="130"/>
      <c r="C876" s="130"/>
      <c r="D876" s="130"/>
      <c r="E876" s="130"/>
      <c r="F876" s="130"/>
      <c r="G876" s="130"/>
      <c r="H876" s="130"/>
      <c r="I876" s="130"/>
      <c r="J876" s="130"/>
      <c r="K876" s="130"/>
      <c r="L876" s="130"/>
      <c r="M876" s="130"/>
      <c r="N876" s="130"/>
      <c r="O876" s="130"/>
      <c r="P876" s="130"/>
      <c r="Q876" s="130"/>
      <c r="R876" s="130"/>
      <c r="S876" s="130"/>
      <c r="T876" s="130"/>
      <c r="U876" s="130"/>
      <c r="V876" s="130"/>
      <c r="W876" s="130"/>
      <c r="X876" s="130"/>
      <c r="Y876" s="130"/>
      <c r="Z876" s="130"/>
    </row>
    <row r="877" ht="13.5" customHeight="1">
      <c r="A877" s="130"/>
      <c r="B877" s="130"/>
      <c r="C877" s="130"/>
      <c r="D877" s="130"/>
      <c r="E877" s="130"/>
      <c r="F877" s="130"/>
      <c r="G877" s="130"/>
      <c r="H877" s="130"/>
      <c r="I877" s="130"/>
      <c r="J877" s="130"/>
      <c r="K877" s="130"/>
      <c r="L877" s="130"/>
      <c r="M877" s="130"/>
      <c r="N877" s="130"/>
      <c r="O877" s="130"/>
      <c r="P877" s="130"/>
      <c r="Q877" s="130"/>
      <c r="R877" s="130"/>
      <c r="S877" s="130"/>
      <c r="T877" s="130"/>
      <c r="U877" s="130"/>
      <c r="V877" s="130"/>
      <c r="W877" s="130"/>
      <c r="X877" s="130"/>
      <c r="Y877" s="130"/>
      <c r="Z877" s="130"/>
    </row>
    <row r="878" ht="13.5" customHeight="1">
      <c r="A878" s="130"/>
      <c r="B878" s="130"/>
      <c r="C878" s="130"/>
      <c r="D878" s="130"/>
      <c r="E878" s="130"/>
      <c r="F878" s="130"/>
      <c r="G878" s="130"/>
      <c r="H878" s="130"/>
      <c r="I878" s="130"/>
      <c r="J878" s="130"/>
      <c r="K878" s="130"/>
      <c r="L878" s="130"/>
      <c r="M878" s="130"/>
      <c r="N878" s="130"/>
      <c r="O878" s="130"/>
      <c r="P878" s="130"/>
      <c r="Q878" s="130"/>
      <c r="R878" s="130"/>
      <c r="S878" s="130"/>
      <c r="T878" s="130"/>
      <c r="U878" s="130"/>
      <c r="V878" s="130"/>
      <c r="W878" s="130"/>
      <c r="X878" s="130"/>
      <c r="Y878" s="130"/>
      <c r="Z878" s="130"/>
    </row>
    <row r="879" ht="13.5" customHeight="1">
      <c r="A879" s="130"/>
      <c r="B879" s="130"/>
      <c r="C879" s="130"/>
      <c r="D879" s="130"/>
      <c r="E879" s="130"/>
      <c r="F879" s="130"/>
      <c r="G879" s="130"/>
      <c r="H879" s="130"/>
      <c r="I879" s="130"/>
      <c r="J879" s="130"/>
      <c r="K879" s="130"/>
      <c r="L879" s="130"/>
      <c r="M879" s="130"/>
      <c r="N879" s="130"/>
      <c r="O879" s="130"/>
      <c r="P879" s="130"/>
      <c r="Q879" s="130"/>
      <c r="R879" s="130"/>
      <c r="S879" s="130"/>
      <c r="T879" s="130"/>
      <c r="U879" s="130"/>
      <c r="V879" s="130"/>
      <c r="W879" s="130"/>
      <c r="X879" s="130"/>
      <c r="Y879" s="130"/>
      <c r="Z879" s="130"/>
    </row>
    <row r="880" ht="13.5" customHeight="1">
      <c r="A880" s="130"/>
      <c r="B880" s="130"/>
      <c r="C880" s="130"/>
      <c r="D880" s="130"/>
      <c r="E880" s="130"/>
      <c r="F880" s="130"/>
      <c r="G880" s="130"/>
      <c r="H880" s="130"/>
      <c r="I880" s="130"/>
      <c r="J880" s="130"/>
      <c r="K880" s="130"/>
      <c r="L880" s="130"/>
      <c r="M880" s="130"/>
      <c r="N880" s="130"/>
      <c r="O880" s="130"/>
      <c r="P880" s="130"/>
      <c r="Q880" s="130"/>
      <c r="R880" s="130"/>
      <c r="S880" s="130"/>
      <c r="T880" s="130"/>
      <c r="U880" s="130"/>
      <c r="V880" s="130"/>
      <c r="W880" s="130"/>
      <c r="X880" s="130"/>
      <c r="Y880" s="130"/>
      <c r="Z880" s="130"/>
    </row>
    <row r="881" ht="13.5" customHeight="1">
      <c r="A881" s="130"/>
      <c r="B881" s="130"/>
      <c r="C881" s="130"/>
      <c r="D881" s="130"/>
      <c r="E881" s="130"/>
      <c r="F881" s="130"/>
      <c r="G881" s="130"/>
      <c r="H881" s="130"/>
      <c r="I881" s="130"/>
      <c r="J881" s="130"/>
      <c r="K881" s="130"/>
      <c r="L881" s="130"/>
      <c r="M881" s="130"/>
      <c r="N881" s="130"/>
      <c r="O881" s="130"/>
      <c r="P881" s="130"/>
      <c r="Q881" s="130"/>
      <c r="R881" s="130"/>
      <c r="S881" s="130"/>
      <c r="T881" s="130"/>
      <c r="U881" s="130"/>
      <c r="V881" s="130"/>
      <c r="W881" s="130"/>
      <c r="X881" s="130"/>
      <c r="Y881" s="130"/>
      <c r="Z881" s="130"/>
    </row>
    <row r="882" ht="13.5" customHeight="1">
      <c r="A882" s="130"/>
      <c r="B882" s="130"/>
      <c r="C882" s="130"/>
      <c r="D882" s="130"/>
      <c r="E882" s="130"/>
      <c r="F882" s="130"/>
      <c r="G882" s="130"/>
      <c r="H882" s="130"/>
      <c r="I882" s="130"/>
      <c r="J882" s="130"/>
      <c r="K882" s="130"/>
      <c r="L882" s="130"/>
      <c r="M882" s="130"/>
      <c r="N882" s="130"/>
      <c r="O882" s="130"/>
      <c r="P882" s="130"/>
      <c r="Q882" s="130"/>
      <c r="R882" s="130"/>
      <c r="S882" s="130"/>
      <c r="T882" s="130"/>
      <c r="U882" s="130"/>
      <c r="V882" s="130"/>
      <c r="W882" s="130"/>
      <c r="X882" s="130"/>
      <c r="Y882" s="130"/>
      <c r="Z882" s="130"/>
    </row>
    <row r="883" ht="13.5" customHeight="1">
      <c r="A883" s="130"/>
      <c r="B883" s="130"/>
      <c r="C883" s="130"/>
      <c r="D883" s="130"/>
      <c r="E883" s="130"/>
      <c r="F883" s="130"/>
      <c r="G883" s="130"/>
      <c r="H883" s="130"/>
      <c r="I883" s="130"/>
      <c r="J883" s="130"/>
      <c r="K883" s="130"/>
      <c r="L883" s="130"/>
      <c r="M883" s="130"/>
      <c r="N883" s="130"/>
      <c r="O883" s="130"/>
      <c r="P883" s="130"/>
      <c r="Q883" s="130"/>
      <c r="R883" s="130"/>
      <c r="S883" s="130"/>
      <c r="T883" s="130"/>
      <c r="U883" s="130"/>
      <c r="V883" s="130"/>
      <c r="W883" s="130"/>
      <c r="X883" s="130"/>
      <c r="Y883" s="130"/>
      <c r="Z883" s="130"/>
    </row>
    <row r="884" ht="13.5" customHeight="1">
      <c r="A884" s="130"/>
      <c r="B884" s="130"/>
      <c r="C884" s="130"/>
      <c r="D884" s="130"/>
      <c r="E884" s="130"/>
      <c r="F884" s="130"/>
      <c r="G884" s="130"/>
      <c r="H884" s="130"/>
      <c r="I884" s="130"/>
      <c r="J884" s="130"/>
      <c r="K884" s="130"/>
      <c r="L884" s="130"/>
      <c r="M884" s="130"/>
      <c r="N884" s="130"/>
      <c r="O884" s="130"/>
      <c r="P884" s="130"/>
      <c r="Q884" s="130"/>
      <c r="R884" s="130"/>
      <c r="S884" s="130"/>
      <c r="T884" s="130"/>
      <c r="U884" s="130"/>
      <c r="V884" s="130"/>
      <c r="W884" s="130"/>
      <c r="X884" s="130"/>
      <c r="Y884" s="130"/>
      <c r="Z884" s="130"/>
    </row>
    <row r="885" ht="13.5" customHeight="1">
      <c r="A885" s="130"/>
      <c r="B885" s="130"/>
      <c r="C885" s="130"/>
      <c r="D885" s="130"/>
      <c r="E885" s="130"/>
      <c r="F885" s="130"/>
      <c r="G885" s="130"/>
      <c r="H885" s="130"/>
      <c r="I885" s="130"/>
      <c r="J885" s="130"/>
      <c r="K885" s="130"/>
      <c r="L885" s="130"/>
      <c r="M885" s="130"/>
      <c r="N885" s="130"/>
      <c r="O885" s="130"/>
      <c r="P885" s="130"/>
      <c r="Q885" s="130"/>
      <c r="R885" s="130"/>
      <c r="S885" s="130"/>
      <c r="T885" s="130"/>
      <c r="U885" s="130"/>
      <c r="V885" s="130"/>
      <c r="W885" s="130"/>
      <c r="X885" s="130"/>
      <c r="Y885" s="130"/>
      <c r="Z885" s="130"/>
    </row>
    <row r="886" ht="13.5" customHeight="1">
      <c r="A886" s="130"/>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row>
    <row r="887" ht="13.5" customHeight="1">
      <c r="A887" s="130"/>
      <c r="B887" s="130"/>
      <c r="C887" s="130"/>
      <c r="D887" s="130"/>
      <c r="E887" s="130"/>
      <c r="F887" s="130"/>
      <c r="G887" s="130"/>
      <c r="H887" s="130"/>
      <c r="I887" s="130"/>
      <c r="J887" s="130"/>
      <c r="K887" s="130"/>
      <c r="L887" s="130"/>
      <c r="M887" s="130"/>
      <c r="N887" s="130"/>
      <c r="O887" s="130"/>
      <c r="P887" s="130"/>
      <c r="Q887" s="130"/>
      <c r="R887" s="130"/>
      <c r="S887" s="130"/>
      <c r="T887" s="130"/>
      <c r="U887" s="130"/>
      <c r="V887" s="130"/>
      <c r="W887" s="130"/>
      <c r="X887" s="130"/>
      <c r="Y887" s="130"/>
      <c r="Z887" s="130"/>
    </row>
    <row r="888" ht="13.5" customHeight="1">
      <c r="A888" s="130"/>
      <c r="B888" s="130"/>
      <c r="C888" s="130"/>
      <c r="D888" s="130"/>
      <c r="E888" s="130"/>
      <c r="F888" s="130"/>
      <c r="G888" s="130"/>
      <c r="H888" s="130"/>
      <c r="I888" s="130"/>
      <c r="J888" s="130"/>
      <c r="K888" s="130"/>
      <c r="L888" s="130"/>
      <c r="M888" s="130"/>
      <c r="N888" s="130"/>
      <c r="O888" s="130"/>
      <c r="P888" s="130"/>
      <c r="Q888" s="130"/>
      <c r="R888" s="130"/>
      <c r="S888" s="130"/>
      <c r="T888" s="130"/>
      <c r="U888" s="130"/>
      <c r="V888" s="130"/>
      <c r="W888" s="130"/>
      <c r="X888" s="130"/>
      <c r="Y888" s="130"/>
      <c r="Z888" s="130"/>
    </row>
    <row r="889" ht="13.5" customHeight="1">
      <c r="A889" s="130"/>
      <c r="B889" s="130"/>
      <c r="C889" s="130"/>
      <c r="D889" s="130"/>
      <c r="E889" s="130"/>
      <c r="F889" s="130"/>
      <c r="G889" s="130"/>
      <c r="H889" s="130"/>
      <c r="I889" s="130"/>
      <c r="J889" s="130"/>
      <c r="K889" s="130"/>
      <c r="L889" s="130"/>
      <c r="M889" s="130"/>
      <c r="N889" s="130"/>
      <c r="O889" s="130"/>
      <c r="P889" s="130"/>
      <c r="Q889" s="130"/>
      <c r="R889" s="130"/>
      <c r="S889" s="130"/>
      <c r="T889" s="130"/>
      <c r="U889" s="130"/>
      <c r="V889" s="130"/>
      <c r="W889" s="130"/>
      <c r="X889" s="130"/>
      <c r="Y889" s="130"/>
      <c r="Z889" s="130"/>
    </row>
    <row r="890" ht="13.5" customHeight="1">
      <c r="A890" s="130"/>
      <c r="B890" s="130"/>
      <c r="C890" s="130"/>
      <c r="D890" s="130"/>
      <c r="E890" s="130"/>
      <c r="F890" s="130"/>
      <c r="G890" s="130"/>
      <c r="H890" s="130"/>
      <c r="I890" s="130"/>
      <c r="J890" s="130"/>
      <c r="K890" s="130"/>
      <c r="L890" s="130"/>
      <c r="M890" s="130"/>
      <c r="N890" s="130"/>
      <c r="O890" s="130"/>
      <c r="P890" s="130"/>
      <c r="Q890" s="130"/>
      <c r="R890" s="130"/>
      <c r="S890" s="130"/>
      <c r="T890" s="130"/>
      <c r="U890" s="130"/>
      <c r="V890" s="130"/>
      <c r="W890" s="130"/>
      <c r="X890" s="130"/>
      <c r="Y890" s="130"/>
      <c r="Z890" s="130"/>
    </row>
    <row r="891" ht="13.5" customHeight="1">
      <c r="A891" s="130"/>
      <c r="B891" s="130"/>
      <c r="C891" s="130"/>
      <c r="D891" s="130"/>
      <c r="E891" s="130"/>
      <c r="F891" s="130"/>
      <c r="G891" s="130"/>
      <c r="H891" s="130"/>
      <c r="I891" s="130"/>
      <c r="J891" s="130"/>
      <c r="K891" s="130"/>
      <c r="L891" s="130"/>
      <c r="M891" s="130"/>
      <c r="N891" s="130"/>
      <c r="O891" s="130"/>
      <c r="P891" s="130"/>
      <c r="Q891" s="130"/>
      <c r="R891" s="130"/>
      <c r="S891" s="130"/>
      <c r="T891" s="130"/>
      <c r="U891" s="130"/>
      <c r="V891" s="130"/>
      <c r="W891" s="130"/>
      <c r="X891" s="130"/>
      <c r="Y891" s="130"/>
      <c r="Z891" s="130"/>
    </row>
    <row r="892" ht="13.5" customHeight="1">
      <c r="A892" s="130"/>
      <c r="B892" s="130"/>
      <c r="C892" s="130"/>
      <c r="D892" s="130"/>
      <c r="E892" s="130"/>
      <c r="F892" s="130"/>
      <c r="G892" s="130"/>
      <c r="H892" s="130"/>
      <c r="I892" s="130"/>
      <c r="J892" s="130"/>
      <c r="K892" s="130"/>
      <c r="L892" s="130"/>
      <c r="M892" s="130"/>
      <c r="N892" s="130"/>
      <c r="O892" s="130"/>
      <c r="P892" s="130"/>
      <c r="Q892" s="130"/>
      <c r="R892" s="130"/>
      <c r="S892" s="130"/>
      <c r="T892" s="130"/>
      <c r="U892" s="130"/>
      <c r="V892" s="130"/>
      <c r="W892" s="130"/>
      <c r="X892" s="130"/>
      <c r="Y892" s="130"/>
      <c r="Z892" s="130"/>
    </row>
    <row r="893" ht="13.5" customHeight="1">
      <c r="A893" s="130"/>
      <c r="B893" s="130"/>
      <c r="C893" s="130"/>
      <c r="D893" s="130"/>
      <c r="E893" s="130"/>
      <c r="F893" s="130"/>
      <c r="G893" s="130"/>
      <c r="H893" s="130"/>
      <c r="I893" s="130"/>
      <c r="J893" s="130"/>
      <c r="K893" s="130"/>
      <c r="L893" s="130"/>
      <c r="M893" s="130"/>
      <c r="N893" s="130"/>
      <c r="O893" s="130"/>
      <c r="P893" s="130"/>
      <c r="Q893" s="130"/>
      <c r="R893" s="130"/>
      <c r="S893" s="130"/>
      <c r="T893" s="130"/>
      <c r="U893" s="130"/>
      <c r="V893" s="130"/>
      <c r="W893" s="130"/>
      <c r="X893" s="130"/>
      <c r="Y893" s="130"/>
      <c r="Z893" s="130"/>
    </row>
    <row r="894" ht="13.5" customHeight="1">
      <c r="A894" s="130"/>
      <c r="B894" s="130"/>
      <c r="C894" s="130"/>
      <c r="D894" s="130"/>
      <c r="E894" s="130"/>
      <c r="F894" s="130"/>
      <c r="G894" s="130"/>
      <c r="H894" s="130"/>
      <c r="I894" s="130"/>
      <c r="J894" s="130"/>
      <c r="K894" s="130"/>
      <c r="L894" s="130"/>
      <c r="M894" s="130"/>
      <c r="N894" s="130"/>
      <c r="O894" s="130"/>
      <c r="P894" s="130"/>
      <c r="Q894" s="130"/>
      <c r="R894" s="130"/>
      <c r="S894" s="130"/>
      <c r="T894" s="130"/>
      <c r="U894" s="130"/>
      <c r="V894" s="130"/>
      <c r="W894" s="130"/>
      <c r="X894" s="130"/>
      <c r="Y894" s="130"/>
      <c r="Z894" s="130"/>
    </row>
    <row r="895" ht="13.5" customHeight="1">
      <c r="A895" s="130"/>
      <c r="B895" s="130"/>
      <c r="C895" s="130"/>
      <c r="D895" s="130"/>
      <c r="E895" s="130"/>
      <c r="F895" s="130"/>
      <c r="G895" s="130"/>
      <c r="H895" s="130"/>
      <c r="I895" s="130"/>
      <c r="J895" s="130"/>
      <c r="K895" s="130"/>
      <c r="L895" s="130"/>
      <c r="M895" s="130"/>
      <c r="N895" s="130"/>
      <c r="O895" s="130"/>
      <c r="P895" s="130"/>
      <c r="Q895" s="130"/>
      <c r="R895" s="130"/>
      <c r="S895" s="130"/>
      <c r="T895" s="130"/>
      <c r="U895" s="130"/>
      <c r="V895" s="130"/>
      <c r="W895" s="130"/>
      <c r="X895" s="130"/>
      <c r="Y895" s="130"/>
      <c r="Z895" s="130"/>
    </row>
    <row r="896" ht="13.5" customHeight="1">
      <c r="A896" s="130"/>
      <c r="B896" s="130"/>
      <c r="C896" s="130"/>
      <c r="D896" s="130"/>
      <c r="E896" s="130"/>
      <c r="F896" s="130"/>
      <c r="G896" s="130"/>
      <c r="H896" s="130"/>
      <c r="I896" s="130"/>
      <c r="J896" s="130"/>
      <c r="K896" s="130"/>
      <c r="L896" s="130"/>
      <c r="M896" s="130"/>
      <c r="N896" s="130"/>
      <c r="O896" s="130"/>
      <c r="P896" s="130"/>
      <c r="Q896" s="130"/>
      <c r="R896" s="130"/>
      <c r="S896" s="130"/>
      <c r="T896" s="130"/>
      <c r="U896" s="130"/>
      <c r="V896" s="130"/>
      <c r="W896" s="130"/>
      <c r="X896" s="130"/>
      <c r="Y896" s="130"/>
      <c r="Z896" s="130"/>
    </row>
    <row r="897" ht="13.5" customHeight="1">
      <c r="A897" s="130"/>
      <c r="B897" s="130"/>
      <c r="C897" s="130"/>
      <c r="D897" s="130"/>
      <c r="E897" s="130"/>
      <c r="F897" s="130"/>
      <c r="G897" s="130"/>
      <c r="H897" s="130"/>
      <c r="I897" s="130"/>
      <c r="J897" s="130"/>
      <c r="K897" s="130"/>
      <c r="L897" s="130"/>
      <c r="M897" s="130"/>
      <c r="N897" s="130"/>
      <c r="O897" s="130"/>
      <c r="P897" s="130"/>
      <c r="Q897" s="130"/>
      <c r="R897" s="130"/>
      <c r="S897" s="130"/>
      <c r="T897" s="130"/>
      <c r="U897" s="130"/>
      <c r="V897" s="130"/>
      <c r="W897" s="130"/>
      <c r="X897" s="130"/>
      <c r="Y897" s="130"/>
      <c r="Z897" s="130"/>
    </row>
    <row r="898" ht="13.5" customHeight="1">
      <c r="A898" s="130"/>
      <c r="B898" s="130"/>
      <c r="C898" s="130"/>
      <c r="D898" s="130"/>
      <c r="E898" s="130"/>
      <c r="F898" s="130"/>
      <c r="G898" s="130"/>
      <c r="H898" s="130"/>
      <c r="I898" s="130"/>
      <c r="J898" s="130"/>
      <c r="K898" s="130"/>
      <c r="L898" s="130"/>
      <c r="M898" s="130"/>
      <c r="N898" s="130"/>
      <c r="O898" s="130"/>
      <c r="P898" s="130"/>
      <c r="Q898" s="130"/>
      <c r="R898" s="130"/>
      <c r="S898" s="130"/>
      <c r="T898" s="130"/>
      <c r="U898" s="130"/>
      <c r="V898" s="130"/>
      <c r="W898" s="130"/>
      <c r="X898" s="130"/>
      <c r="Y898" s="130"/>
      <c r="Z898" s="130"/>
    </row>
    <row r="899" ht="13.5" customHeight="1">
      <c r="A899" s="130"/>
      <c r="B899" s="130"/>
      <c r="C899" s="130"/>
      <c r="D899" s="130"/>
      <c r="E899" s="130"/>
      <c r="F899" s="130"/>
      <c r="G899" s="130"/>
      <c r="H899" s="130"/>
      <c r="I899" s="130"/>
      <c r="J899" s="130"/>
      <c r="K899" s="130"/>
      <c r="L899" s="130"/>
      <c r="M899" s="130"/>
      <c r="N899" s="130"/>
      <c r="O899" s="130"/>
      <c r="P899" s="130"/>
      <c r="Q899" s="130"/>
      <c r="R899" s="130"/>
      <c r="S899" s="130"/>
      <c r="T899" s="130"/>
      <c r="U899" s="130"/>
      <c r="V899" s="130"/>
      <c r="W899" s="130"/>
      <c r="X899" s="130"/>
      <c r="Y899" s="130"/>
      <c r="Z899" s="130"/>
    </row>
    <row r="900" ht="13.5" customHeight="1">
      <c r="A900" s="130"/>
      <c r="B900" s="130"/>
      <c r="C900" s="130"/>
      <c r="D900" s="130"/>
      <c r="E900" s="130"/>
      <c r="F900" s="130"/>
      <c r="G900" s="130"/>
      <c r="H900" s="130"/>
      <c r="I900" s="130"/>
      <c r="J900" s="130"/>
      <c r="K900" s="130"/>
      <c r="L900" s="130"/>
      <c r="M900" s="130"/>
      <c r="N900" s="130"/>
      <c r="O900" s="130"/>
      <c r="P900" s="130"/>
      <c r="Q900" s="130"/>
      <c r="R900" s="130"/>
      <c r="S900" s="130"/>
      <c r="T900" s="130"/>
      <c r="U900" s="130"/>
      <c r="V900" s="130"/>
      <c r="W900" s="130"/>
      <c r="X900" s="130"/>
      <c r="Y900" s="130"/>
      <c r="Z900" s="130"/>
    </row>
    <row r="901" ht="13.5" customHeight="1">
      <c r="A901" s="130"/>
      <c r="B901" s="130"/>
      <c r="C901" s="130"/>
      <c r="D901" s="130"/>
      <c r="E901" s="130"/>
      <c r="F901" s="130"/>
      <c r="G901" s="130"/>
      <c r="H901" s="130"/>
      <c r="I901" s="130"/>
      <c r="J901" s="130"/>
      <c r="K901" s="130"/>
      <c r="L901" s="130"/>
      <c r="M901" s="130"/>
      <c r="N901" s="130"/>
      <c r="O901" s="130"/>
      <c r="P901" s="130"/>
      <c r="Q901" s="130"/>
      <c r="R901" s="130"/>
      <c r="S901" s="130"/>
      <c r="T901" s="130"/>
      <c r="U901" s="130"/>
      <c r="V901" s="130"/>
      <c r="W901" s="130"/>
      <c r="X901" s="130"/>
      <c r="Y901" s="130"/>
      <c r="Z901" s="130"/>
    </row>
    <row r="902" ht="13.5" customHeight="1">
      <c r="A902" s="130"/>
      <c r="B902" s="130"/>
      <c r="C902" s="130"/>
      <c r="D902" s="130"/>
      <c r="E902" s="130"/>
      <c r="F902" s="130"/>
      <c r="G902" s="130"/>
      <c r="H902" s="130"/>
      <c r="I902" s="130"/>
      <c r="J902" s="130"/>
      <c r="K902" s="130"/>
      <c r="L902" s="130"/>
      <c r="M902" s="130"/>
      <c r="N902" s="130"/>
      <c r="O902" s="130"/>
      <c r="P902" s="130"/>
      <c r="Q902" s="130"/>
      <c r="R902" s="130"/>
      <c r="S902" s="130"/>
      <c r="T902" s="130"/>
      <c r="U902" s="130"/>
      <c r="V902" s="130"/>
      <c r="W902" s="130"/>
      <c r="X902" s="130"/>
      <c r="Y902" s="130"/>
      <c r="Z902" s="130"/>
    </row>
    <row r="903" ht="13.5" customHeight="1">
      <c r="A903" s="130"/>
      <c r="B903" s="130"/>
      <c r="C903" s="130"/>
      <c r="D903" s="130"/>
      <c r="E903" s="130"/>
      <c r="F903" s="130"/>
      <c r="G903" s="130"/>
      <c r="H903" s="130"/>
      <c r="I903" s="130"/>
      <c r="J903" s="130"/>
      <c r="K903" s="130"/>
      <c r="L903" s="130"/>
      <c r="M903" s="130"/>
      <c r="N903" s="130"/>
      <c r="O903" s="130"/>
      <c r="P903" s="130"/>
      <c r="Q903" s="130"/>
      <c r="R903" s="130"/>
      <c r="S903" s="130"/>
      <c r="T903" s="130"/>
      <c r="U903" s="130"/>
      <c r="V903" s="130"/>
      <c r="W903" s="130"/>
      <c r="X903" s="130"/>
      <c r="Y903" s="130"/>
      <c r="Z903" s="130"/>
    </row>
    <row r="904" ht="13.5" customHeight="1">
      <c r="A904" s="130"/>
      <c r="B904" s="130"/>
      <c r="C904" s="130"/>
      <c r="D904" s="130"/>
      <c r="E904" s="130"/>
      <c r="F904" s="130"/>
      <c r="G904" s="130"/>
      <c r="H904" s="130"/>
      <c r="I904" s="130"/>
      <c r="J904" s="130"/>
      <c r="K904" s="130"/>
      <c r="L904" s="130"/>
      <c r="M904" s="130"/>
      <c r="N904" s="130"/>
      <c r="O904" s="130"/>
      <c r="P904" s="130"/>
      <c r="Q904" s="130"/>
      <c r="R904" s="130"/>
      <c r="S904" s="130"/>
      <c r="T904" s="130"/>
      <c r="U904" s="130"/>
      <c r="V904" s="130"/>
      <c r="W904" s="130"/>
      <c r="X904" s="130"/>
      <c r="Y904" s="130"/>
      <c r="Z904" s="130"/>
    </row>
    <row r="905" ht="13.5" customHeight="1">
      <c r="A905" s="130"/>
      <c r="B905" s="130"/>
      <c r="C905" s="130"/>
      <c r="D905" s="130"/>
      <c r="E905" s="130"/>
      <c r="F905" s="130"/>
      <c r="G905" s="130"/>
      <c r="H905" s="130"/>
      <c r="I905" s="130"/>
      <c r="J905" s="130"/>
      <c r="K905" s="130"/>
      <c r="L905" s="130"/>
      <c r="M905" s="130"/>
      <c r="N905" s="130"/>
      <c r="O905" s="130"/>
      <c r="P905" s="130"/>
      <c r="Q905" s="130"/>
      <c r="R905" s="130"/>
      <c r="S905" s="130"/>
      <c r="T905" s="130"/>
      <c r="U905" s="130"/>
      <c r="V905" s="130"/>
      <c r="W905" s="130"/>
      <c r="X905" s="130"/>
      <c r="Y905" s="130"/>
      <c r="Z905" s="130"/>
    </row>
    <row r="906" ht="13.5" customHeight="1">
      <c r="A906" s="130"/>
      <c r="B906" s="130"/>
      <c r="C906" s="130"/>
      <c r="D906" s="130"/>
      <c r="E906" s="130"/>
      <c r="F906" s="130"/>
      <c r="G906" s="130"/>
      <c r="H906" s="130"/>
      <c r="I906" s="130"/>
      <c r="J906" s="130"/>
      <c r="K906" s="130"/>
      <c r="L906" s="130"/>
      <c r="M906" s="130"/>
      <c r="N906" s="130"/>
      <c r="O906" s="130"/>
      <c r="P906" s="130"/>
      <c r="Q906" s="130"/>
      <c r="R906" s="130"/>
      <c r="S906" s="130"/>
      <c r="T906" s="130"/>
      <c r="U906" s="130"/>
      <c r="V906" s="130"/>
      <c r="W906" s="130"/>
      <c r="X906" s="130"/>
      <c r="Y906" s="130"/>
      <c r="Z906" s="130"/>
    </row>
    <row r="907" ht="13.5" customHeight="1">
      <c r="A907" s="130"/>
      <c r="B907" s="130"/>
      <c r="C907" s="130"/>
      <c r="D907" s="130"/>
      <c r="E907" s="130"/>
      <c r="F907" s="130"/>
      <c r="G907" s="130"/>
      <c r="H907" s="130"/>
      <c r="I907" s="130"/>
      <c r="J907" s="130"/>
      <c r="K907" s="130"/>
      <c r="L907" s="130"/>
      <c r="M907" s="130"/>
      <c r="N907" s="130"/>
      <c r="O907" s="130"/>
      <c r="P907" s="130"/>
      <c r="Q907" s="130"/>
      <c r="R907" s="130"/>
      <c r="S907" s="130"/>
      <c r="T907" s="130"/>
      <c r="U907" s="130"/>
      <c r="V907" s="130"/>
      <c r="W907" s="130"/>
      <c r="X907" s="130"/>
      <c r="Y907" s="130"/>
      <c r="Z907" s="130"/>
    </row>
    <row r="908" ht="13.5" customHeight="1">
      <c r="A908" s="130"/>
      <c r="B908" s="130"/>
      <c r="C908" s="130"/>
      <c r="D908" s="130"/>
      <c r="E908" s="130"/>
      <c r="F908" s="130"/>
      <c r="G908" s="130"/>
      <c r="H908" s="130"/>
      <c r="I908" s="130"/>
      <c r="J908" s="130"/>
      <c r="K908" s="130"/>
      <c r="L908" s="130"/>
      <c r="M908" s="130"/>
      <c r="N908" s="130"/>
      <c r="O908" s="130"/>
      <c r="P908" s="130"/>
      <c r="Q908" s="130"/>
      <c r="R908" s="130"/>
      <c r="S908" s="130"/>
      <c r="T908" s="130"/>
      <c r="U908" s="130"/>
      <c r="V908" s="130"/>
      <c r="W908" s="130"/>
      <c r="X908" s="130"/>
      <c r="Y908" s="130"/>
      <c r="Z908" s="130"/>
    </row>
    <row r="909" ht="13.5" customHeight="1">
      <c r="A909" s="130"/>
      <c r="B909" s="130"/>
      <c r="C909" s="130"/>
      <c r="D909" s="130"/>
      <c r="E909" s="130"/>
      <c r="F909" s="130"/>
      <c r="G909" s="130"/>
      <c r="H909" s="130"/>
      <c r="I909" s="130"/>
      <c r="J909" s="130"/>
      <c r="K909" s="130"/>
      <c r="L909" s="130"/>
      <c r="M909" s="130"/>
      <c r="N909" s="130"/>
      <c r="O909" s="130"/>
      <c r="P909" s="130"/>
      <c r="Q909" s="130"/>
      <c r="R909" s="130"/>
      <c r="S909" s="130"/>
      <c r="T909" s="130"/>
      <c r="U909" s="130"/>
      <c r="V909" s="130"/>
      <c r="W909" s="130"/>
      <c r="X909" s="130"/>
      <c r="Y909" s="130"/>
      <c r="Z909" s="130"/>
    </row>
    <row r="910" ht="13.5" customHeight="1">
      <c r="A910" s="130"/>
      <c r="B910" s="130"/>
      <c r="C910" s="130"/>
      <c r="D910" s="130"/>
      <c r="E910" s="130"/>
      <c r="F910" s="130"/>
      <c r="G910" s="130"/>
      <c r="H910" s="130"/>
      <c r="I910" s="130"/>
      <c r="J910" s="130"/>
      <c r="K910" s="130"/>
      <c r="L910" s="130"/>
      <c r="M910" s="130"/>
      <c r="N910" s="130"/>
      <c r="O910" s="130"/>
      <c r="P910" s="130"/>
      <c r="Q910" s="130"/>
      <c r="R910" s="130"/>
      <c r="S910" s="130"/>
      <c r="T910" s="130"/>
      <c r="U910" s="130"/>
      <c r="V910" s="130"/>
      <c r="W910" s="130"/>
      <c r="X910" s="130"/>
      <c r="Y910" s="130"/>
      <c r="Z910" s="130"/>
    </row>
    <row r="911" ht="13.5" customHeight="1">
      <c r="A911" s="130"/>
      <c r="B911" s="130"/>
      <c r="C911" s="130"/>
      <c r="D911" s="130"/>
      <c r="E911" s="130"/>
      <c r="F911" s="130"/>
      <c r="G911" s="130"/>
      <c r="H911" s="130"/>
      <c r="I911" s="130"/>
      <c r="J911" s="130"/>
      <c r="K911" s="130"/>
      <c r="L911" s="130"/>
      <c r="M911" s="130"/>
      <c r="N911" s="130"/>
      <c r="O911" s="130"/>
      <c r="P911" s="130"/>
      <c r="Q911" s="130"/>
      <c r="R911" s="130"/>
      <c r="S911" s="130"/>
      <c r="T911" s="130"/>
      <c r="U911" s="130"/>
      <c r="V911" s="130"/>
      <c r="W911" s="130"/>
      <c r="X911" s="130"/>
      <c r="Y911" s="130"/>
      <c r="Z911" s="130"/>
    </row>
    <row r="912" ht="13.5" customHeight="1">
      <c r="A912" s="130"/>
      <c r="B912" s="130"/>
      <c r="C912" s="130"/>
      <c r="D912" s="130"/>
      <c r="E912" s="130"/>
      <c r="F912" s="130"/>
      <c r="G912" s="130"/>
      <c r="H912" s="130"/>
      <c r="I912" s="130"/>
      <c r="J912" s="130"/>
      <c r="K912" s="130"/>
      <c r="L912" s="130"/>
      <c r="M912" s="130"/>
      <c r="N912" s="130"/>
      <c r="O912" s="130"/>
      <c r="P912" s="130"/>
      <c r="Q912" s="130"/>
      <c r="R912" s="130"/>
      <c r="S912" s="130"/>
      <c r="T912" s="130"/>
      <c r="U912" s="130"/>
      <c r="V912" s="130"/>
      <c r="W912" s="130"/>
      <c r="X912" s="130"/>
      <c r="Y912" s="130"/>
      <c r="Z912" s="130"/>
    </row>
    <row r="913" ht="13.5" customHeight="1">
      <c r="A913" s="130"/>
      <c r="B913" s="130"/>
      <c r="C913" s="130"/>
      <c r="D913" s="130"/>
      <c r="E913" s="130"/>
      <c r="F913" s="130"/>
      <c r="G913" s="130"/>
      <c r="H913" s="130"/>
      <c r="I913" s="130"/>
      <c r="J913" s="130"/>
      <c r="K913" s="130"/>
      <c r="L913" s="130"/>
      <c r="M913" s="130"/>
      <c r="N913" s="130"/>
      <c r="O913" s="130"/>
      <c r="P913" s="130"/>
      <c r="Q913" s="130"/>
      <c r="R913" s="130"/>
      <c r="S913" s="130"/>
      <c r="T913" s="130"/>
      <c r="U913" s="130"/>
      <c r="V913" s="130"/>
      <c r="W913" s="130"/>
      <c r="X913" s="130"/>
      <c r="Y913" s="130"/>
      <c r="Z913" s="130"/>
    </row>
    <row r="914" ht="13.5" customHeight="1">
      <c r="A914" s="130"/>
      <c r="B914" s="130"/>
      <c r="C914" s="130"/>
      <c r="D914" s="130"/>
      <c r="E914" s="130"/>
      <c r="F914" s="130"/>
      <c r="G914" s="130"/>
      <c r="H914" s="130"/>
      <c r="I914" s="130"/>
      <c r="J914" s="130"/>
      <c r="K914" s="130"/>
      <c r="L914" s="130"/>
      <c r="M914" s="130"/>
      <c r="N914" s="130"/>
      <c r="O914" s="130"/>
      <c r="P914" s="130"/>
      <c r="Q914" s="130"/>
      <c r="R914" s="130"/>
      <c r="S914" s="130"/>
      <c r="T914" s="130"/>
      <c r="U914" s="130"/>
      <c r="V914" s="130"/>
      <c r="W914" s="130"/>
      <c r="X914" s="130"/>
      <c r="Y914" s="130"/>
      <c r="Z914" s="130"/>
    </row>
    <row r="915" ht="13.5" customHeight="1">
      <c r="A915" s="130"/>
      <c r="B915" s="130"/>
      <c r="C915" s="130"/>
      <c r="D915" s="130"/>
      <c r="E915" s="130"/>
      <c r="F915" s="130"/>
      <c r="G915" s="130"/>
      <c r="H915" s="130"/>
      <c r="I915" s="130"/>
      <c r="J915" s="130"/>
      <c r="K915" s="130"/>
      <c r="L915" s="130"/>
      <c r="M915" s="130"/>
      <c r="N915" s="130"/>
      <c r="O915" s="130"/>
      <c r="P915" s="130"/>
      <c r="Q915" s="130"/>
      <c r="R915" s="130"/>
      <c r="S915" s="130"/>
      <c r="T915" s="130"/>
      <c r="U915" s="130"/>
      <c r="V915" s="130"/>
      <c r="W915" s="130"/>
      <c r="X915" s="130"/>
      <c r="Y915" s="130"/>
      <c r="Z915" s="130"/>
    </row>
    <row r="916" ht="13.5" customHeight="1">
      <c r="A916" s="130"/>
      <c r="B916" s="130"/>
      <c r="C916" s="130"/>
      <c r="D916" s="130"/>
      <c r="E916" s="130"/>
      <c r="F916" s="130"/>
      <c r="G916" s="130"/>
      <c r="H916" s="130"/>
      <c r="I916" s="130"/>
      <c r="J916" s="130"/>
      <c r="K916" s="130"/>
      <c r="L916" s="130"/>
      <c r="M916" s="130"/>
      <c r="N916" s="130"/>
      <c r="O916" s="130"/>
      <c r="P916" s="130"/>
      <c r="Q916" s="130"/>
      <c r="R916" s="130"/>
      <c r="S916" s="130"/>
      <c r="T916" s="130"/>
      <c r="U916" s="130"/>
      <c r="V916" s="130"/>
      <c r="W916" s="130"/>
      <c r="X916" s="130"/>
      <c r="Y916" s="130"/>
      <c r="Z916" s="130"/>
    </row>
    <row r="917" ht="13.5" customHeight="1">
      <c r="A917" s="130"/>
      <c r="B917" s="130"/>
      <c r="C917" s="130"/>
      <c r="D917" s="130"/>
      <c r="E917" s="130"/>
      <c r="F917" s="130"/>
      <c r="G917" s="130"/>
      <c r="H917" s="130"/>
      <c r="I917" s="130"/>
      <c r="J917" s="130"/>
      <c r="K917" s="130"/>
      <c r="L917" s="130"/>
      <c r="M917" s="130"/>
      <c r="N917" s="130"/>
      <c r="O917" s="130"/>
      <c r="P917" s="130"/>
      <c r="Q917" s="130"/>
      <c r="R917" s="130"/>
      <c r="S917" s="130"/>
      <c r="T917" s="130"/>
      <c r="U917" s="130"/>
      <c r="V917" s="130"/>
      <c r="W917" s="130"/>
      <c r="X917" s="130"/>
      <c r="Y917" s="130"/>
      <c r="Z917" s="130"/>
    </row>
    <row r="918" ht="13.5" customHeight="1">
      <c r="A918" s="130"/>
      <c r="B918" s="130"/>
      <c r="C918" s="130"/>
      <c r="D918" s="130"/>
      <c r="E918" s="130"/>
      <c r="F918" s="130"/>
      <c r="G918" s="130"/>
      <c r="H918" s="130"/>
      <c r="I918" s="130"/>
      <c r="J918" s="130"/>
      <c r="K918" s="130"/>
      <c r="L918" s="130"/>
      <c r="M918" s="130"/>
      <c r="N918" s="130"/>
      <c r="O918" s="130"/>
      <c r="P918" s="130"/>
      <c r="Q918" s="130"/>
      <c r="R918" s="130"/>
      <c r="S918" s="130"/>
      <c r="T918" s="130"/>
      <c r="U918" s="130"/>
      <c r="V918" s="130"/>
      <c r="W918" s="130"/>
      <c r="X918" s="130"/>
      <c r="Y918" s="130"/>
      <c r="Z918" s="130"/>
    </row>
    <row r="919" ht="13.5" customHeight="1">
      <c r="A919" s="130"/>
      <c r="B919" s="130"/>
      <c r="C919" s="130"/>
      <c r="D919" s="130"/>
      <c r="E919" s="130"/>
      <c r="F919" s="130"/>
      <c r="G919" s="130"/>
      <c r="H919" s="130"/>
      <c r="I919" s="130"/>
      <c r="J919" s="130"/>
      <c r="K919" s="130"/>
      <c r="L919" s="130"/>
      <c r="M919" s="130"/>
      <c r="N919" s="130"/>
      <c r="O919" s="130"/>
      <c r="P919" s="130"/>
      <c r="Q919" s="130"/>
      <c r="R919" s="130"/>
      <c r="S919" s="130"/>
      <c r="T919" s="130"/>
      <c r="U919" s="130"/>
      <c r="V919" s="130"/>
      <c r="W919" s="130"/>
      <c r="X919" s="130"/>
      <c r="Y919" s="130"/>
      <c r="Z919" s="130"/>
    </row>
    <row r="920" ht="13.5" customHeight="1">
      <c r="A920" s="130"/>
      <c r="B920" s="130"/>
      <c r="C920" s="130"/>
      <c r="D920" s="130"/>
      <c r="E920" s="130"/>
      <c r="F920" s="130"/>
      <c r="G920" s="130"/>
      <c r="H920" s="130"/>
      <c r="I920" s="130"/>
      <c r="J920" s="130"/>
      <c r="K920" s="130"/>
      <c r="L920" s="130"/>
      <c r="M920" s="130"/>
      <c r="N920" s="130"/>
      <c r="O920" s="130"/>
      <c r="P920" s="130"/>
      <c r="Q920" s="130"/>
      <c r="R920" s="130"/>
      <c r="S920" s="130"/>
      <c r="T920" s="130"/>
      <c r="U920" s="130"/>
      <c r="V920" s="130"/>
      <c r="W920" s="130"/>
      <c r="X920" s="130"/>
      <c r="Y920" s="130"/>
      <c r="Z920" s="130"/>
    </row>
    <row r="921" ht="13.5" customHeight="1">
      <c r="A921" s="130"/>
      <c r="B921" s="130"/>
      <c r="C921" s="130"/>
      <c r="D921" s="130"/>
      <c r="E921" s="130"/>
      <c r="F921" s="130"/>
      <c r="G921" s="130"/>
      <c r="H921" s="130"/>
      <c r="I921" s="130"/>
      <c r="J921" s="130"/>
      <c r="K921" s="130"/>
      <c r="L921" s="130"/>
      <c r="M921" s="130"/>
      <c r="N921" s="130"/>
      <c r="O921" s="130"/>
      <c r="P921" s="130"/>
      <c r="Q921" s="130"/>
      <c r="R921" s="130"/>
      <c r="S921" s="130"/>
      <c r="T921" s="130"/>
      <c r="U921" s="130"/>
      <c r="V921" s="130"/>
      <c r="W921" s="130"/>
      <c r="X921" s="130"/>
      <c r="Y921" s="130"/>
      <c r="Z921" s="130"/>
    </row>
    <row r="922" ht="13.5" customHeight="1">
      <c r="A922" s="130"/>
      <c r="B922" s="130"/>
      <c r="C922" s="130"/>
      <c r="D922" s="130"/>
      <c r="E922" s="130"/>
      <c r="F922" s="130"/>
      <c r="G922" s="130"/>
      <c r="H922" s="130"/>
      <c r="I922" s="130"/>
      <c r="J922" s="130"/>
      <c r="K922" s="130"/>
      <c r="L922" s="130"/>
      <c r="M922" s="130"/>
      <c r="N922" s="130"/>
      <c r="O922" s="130"/>
      <c r="P922" s="130"/>
      <c r="Q922" s="130"/>
      <c r="R922" s="130"/>
      <c r="S922" s="130"/>
      <c r="T922" s="130"/>
      <c r="U922" s="130"/>
      <c r="V922" s="130"/>
      <c r="W922" s="130"/>
      <c r="X922" s="130"/>
      <c r="Y922" s="130"/>
      <c r="Z922" s="130"/>
    </row>
    <row r="923" ht="13.5" customHeight="1">
      <c r="A923" s="130"/>
      <c r="B923" s="130"/>
      <c r="C923" s="130"/>
      <c r="D923" s="130"/>
      <c r="E923" s="130"/>
      <c r="F923" s="130"/>
      <c r="G923" s="130"/>
      <c r="H923" s="130"/>
      <c r="I923" s="130"/>
      <c r="J923" s="130"/>
      <c r="K923" s="130"/>
      <c r="L923" s="130"/>
      <c r="M923" s="130"/>
      <c r="N923" s="130"/>
      <c r="O923" s="130"/>
      <c r="P923" s="130"/>
      <c r="Q923" s="130"/>
      <c r="R923" s="130"/>
      <c r="S923" s="130"/>
      <c r="T923" s="130"/>
      <c r="U923" s="130"/>
      <c r="V923" s="130"/>
      <c r="W923" s="130"/>
      <c r="X923" s="130"/>
      <c r="Y923" s="130"/>
      <c r="Z923" s="130"/>
    </row>
    <row r="924" ht="13.5" customHeight="1">
      <c r="A924" s="130"/>
      <c r="B924" s="130"/>
      <c r="C924" s="130"/>
      <c r="D924" s="130"/>
      <c r="E924" s="130"/>
      <c r="F924" s="130"/>
      <c r="G924" s="130"/>
      <c r="H924" s="130"/>
      <c r="I924" s="130"/>
      <c r="J924" s="130"/>
      <c r="K924" s="130"/>
      <c r="L924" s="130"/>
      <c r="M924" s="130"/>
      <c r="N924" s="130"/>
      <c r="O924" s="130"/>
      <c r="P924" s="130"/>
      <c r="Q924" s="130"/>
      <c r="R924" s="130"/>
      <c r="S924" s="130"/>
      <c r="T924" s="130"/>
      <c r="U924" s="130"/>
      <c r="V924" s="130"/>
      <c r="W924" s="130"/>
      <c r="X924" s="130"/>
      <c r="Y924" s="130"/>
      <c r="Z924" s="130"/>
    </row>
    <row r="925" ht="13.5" customHeight="1">
      <c r="A925" s="130"/>
      <c r="B925" s="130"/>
      <c r="C925" s="130"/>
      <c r="D925" s="130"/>
      <c r="E925" s="130"/>
      <c r="F925" s="130"/>
      <c r="G925" s="130"/>
      <c r="H925" s="130"/>
      <c r="I925" s="130"/>
      <c r="J925" s="130"/>
      <c r="K925" s="130"/>
      <c r="L925" s="130"/>
      <c r="M925" s="130"/>
      <c r="N925" s="130"/>
      <c r="O925" s="130"/>
      <c r="P925" s="130"/>
      <c r="Q925" s="130"/>
      <c r="R925" s="130"/>
      <c r="S925" s="130"/>
      <c r="T925" s="130"/>
      <c r="U925" s="130"/>
      <c r="V925" s="130"/>
      <c r="W925" s="130"/>
      <c r="X925" s="130"/>
      <c r="Y925" s="130"/>
      <c r="Z925" s="130"/>
    </row>
    <row r="926" ht="13.5" customHeight="1">
      <c r="A926" s="130"/>
      <c r="B926" s="130"/>
      <c r="C926" s="130"/>
      <c r="D926" s="130"/>
      <c r="E926" s="130"/>
      <c r="F926" s="130"/>
      <c r="G926" s="130"/>
      <c r="H926" s="130"/>
      <c r="I926" s="130"/>
      <c r="J926" s="130"/>
      <c r="K926" s="130"/>
      <c r="L926" s="130"/>
      <c r="M926" s="130"/>
      <c r="N926" s="130"/>
      <c r="O926" s="130"/>
      <c r="P926" s="130"/>
      <c r="Q926" s="130"/>
      <c r="R926" s="130"/>
      <c r="S926" s="130"/>
      <c r="T926" s="130"/>
      <c r="U926" s="130"/>
      <c r="V926" s="130"/>
      <c r="W926" s="130"/>
      <c r="X926" s="130"/>
      <c r="Y926" s="130"/>
      <c r="Z926" s="130"/>
    </row>
    <row r="927" ht="13.5" customHeight="1">
      <c r="A927" s="130"/>
      <c r="B927" s="130"/>
      <c r="C927" s="130"/>
      <c r="D927" s="130"/>
      <c r="E927" s="130"/>
      <c r="F927" s="130"/>
      <c r="G927" s="130"/>
      <c r="H927" s="130"/>
      <c r="I927" s="130"/>
      <c r="J927" s="130"/>
      <c r="K927" s="130"/>
      <c r="L927" s="130"/>
      <c r="M927" s="130"/>
      <c r="N927" s="130"/>
      <c r="O927" s="130"/>
      <c r="P927" s="130"/>
      <c r="Q927" s="130"/>
      <c r="R927" s="130"/>
      <c r="S927" s="130"/>
      <c r="T927" s="130"/>
      <c r="U927" s="130"/>
      <c r="V927" s="130"/>
      <c r="W927" s="130"/>
      <c r="X927" s="130"/>
      <c r="Y927" s="130"/>
      <c r="Z927" s="130"/>
    </row>
    <row r="928" ht="13.5" customHeight="1">
      <c r="A928" s="130"/>
      <c r="B928" s="130"/>
      <c r="C928" s="130"/>
      <c r="D928" s="130"/>
      <c r="E928" s="130"/>
      <c r="F928" s="130"/>
      <c r="G928" s="130"/>
      <c r="H928" s="130"/>
      <c r="I928" s="130"/>
      <c r="J928" s="130"/>
      <c r="K928" s="130"/>
      <c r="L928" s="130"/>
      <c r="M928" s="130"/>
      <c r="N928" s="130"/>
      <c r="O928" s="130"/>
      <c r="P928" s="130"/>
      <c r="Q928" s="130"/>
      <c r="R928" s="130"/>
      <c r="S928" s="130"/>
      <c r="T928" s="130"/>
      <c r="U928" s="130"/>
      <c r="V928" s="130"/>
      <c r="W928" s="130"/>
      <c r="X928" s="130"/>
      <c r="Y928" s="130"/>
      <c r="Z928" s="130"/>
    </row>
    <row r="929" ht="13.5" customHeight="1">
      <c r="A929" s="130"/>
      <c r="B929" s="130"/>
      <c r="C929" s="130"/>
      <c r="D929" s="130"/>
      <c r="E929" s="130"/>
      <c r="F929" s="130"/>
      <c r="G929" s="130"/>
      <c r="H929" s="130"/>
      <c r="I929" s="130"/>
      <c r="J929" s="130"/>
      <c r="K929" s="130"/>
      <c r="L929" s="130"/>
      <c r="M929" s="130"/>
      <c r="N929" s="130"/>
      <c r="O929" s="130"/>
      <c r="P929" s="130"/>
      <c r="Q929" s="130"/>
      <c r="R929" s="130"/>
      <c r="S929" s="130"/>
      <c r="T929" s="130"/>
      <c r="U929" s="130"/>
      <c r="V929" s="130"/>
      <c r="W929" s="130"/>
      <c r="X929" s="130"/>
      <c r="Y929" s="130"/>
      <c r="Z929" s="130"/>
    </row>
    <row r="930" ht="13.5" customHeight="1">
      <c r="A930" s="130"/>
      <c r="B930" s="130"/>
      <c r="C930" s="130"/>
      <c r="D930" s="130"/>
      <c r="E930" s="130"/>
      <c r="F930" s="130"/>
      <c r="G930" s="130"/>
      <c r="H930" s="130"/>
      <c r="I930" s="130"/>
      <c r="J930" s="130"/>
      <c r="K930" s="130"/>
      <c r="L930" s="130"/>
      <c r="M930" s="130"/>
      <c r="N930" s="130"/>
      <c r="O930" s="130"/>
      <c r="P930" s="130"/>
      <c r="Q930" s="130"/>
      <c r="R930" s="130"/>
      <c r="S930" s="130"/>
      <c r="T930" s="130"/>
      <c r="U930" s="130"/>
      <c r="V930" s="130"/>
      <c r="W930" s="130"/>
      <c r="X930" s="130"/>
      <c r="Y930" s="130"/>
      <c r="Z930" s="130"/>
    </row>
    <row r="931" ht="13.5" customHeight="1">
      <c r="A931" s="130"/>
      <c r="B931" s="130"/>
      <c r="C931" s="130"/>
      <c r="D931" s="130"/>
      <c r="E931" s="130"/>
      <c r="F931" s="130"/>
      <c r="G931" s="130"/>
      <c r="H931" s="130"/>
      <c r="I931" s="130"/>
      <c r="J931" s="130"/>
      <c r="K931" s="130"/>
      <c r="L931" s="130"/>
      <c r="M931" s="130"/>
      <c r="N931" s="130"/>
      <c r="O931" s="130"/>
      <c r="P931" s="130"/>
      <c r="Q931" s="130"/>
      <c r="R931" s="130"/>
      <c r="S931" s="130"/>
      <c r="T931" s="130"/>
      <c r="U931" s="130"/>
      <c r="V931" s="130"/>
      <c r="W931" s="130"/>
      <c r="X931" s="130"/>
      <c r="Y931" s="130"/>
      <c r="Z931" s="130"/>
    </row>
    <row r="932" ht="13.5" customHeight="1">
      <c r="A932" s="130"/>
      <c r="B932" s="130"/>
      <c r="C932" s="130"/>
      <c r="D932" s="130"/>
      <c r="E932" s="130"/>
      <c r="F932" s="130"/>
      <c r="G932" s="130"/>
      <c r="H932" s="130"/>
      <c r="I932" s="130"/>
      <c r="J932" s="130"/>
      <c r="K932" s="130"/>
      <c r="L932" s="130"/>
      <c r="M932" s="130"/>
      <c r="N932" s="130"/>
      <c r="O932" s="130"/>
      <c r="P932" s="130"/>
      <c r="Q932" s="130"/>
      <c r="R932" s="130"/>
      <c r="S932" s="130"/>
      <c r="T932" s="130"/>
      <c r="U932" s="130"/>
      <c r="V932" s="130"/>
      <c r="W932" s="130"/>
      <c r="X932" s="130"/>
      <c r="Y932" s="130"/>
      <c r="Z932" s="130"/>
    </row>
    <row r="933" ht="13.5" customHeight="1">
      <c r="A933" s="130"/>
      <c r="B933" s="130"/>
      <c r="C933" s="130"/>
      <c r="D933" s="130"/>
      <c r="E933" s="130"/>
      <c r="F933" s="130"/>
      <c r="G933" s="130"/>
      <c r="H933" s="130"/>
      <c r="I933" s="130"/>
      <c r="J933" s="130"/>
      <c r="K933" s="130"/>
      <c r="L933" s="130"/>
      <c r="M933" s="130"/>
      <c r="N933" s="130"/>
      <c r="O933" s="130"/>
      <c r="P933" s="130"/>
      <c r="Q933" s="130"/>
      <c r="R933" s="130"/>
      <c r="S933" s="130"/>
      <c r="T933" s="130"/>
      <c r="U933" s="130"/>
      <c r="V933" s="130"/>
      <c r="W933" s="130"/>
      <c r="X933" s="130"/>
      <c r="Y933" s="130"/>
      <c r="Z933" s="130"/>
    </row>
    <row r="934" ht="13.5" customHeight="1">
      <c r="A934" s="130"/>
      <c r="B934" s="130"/>
      <c r="C934" s="130"/>
      <c r="D934" s="130"/>
      <c r="E934" s="130"/>
      <c r="F934" s="130"/>
      <c r="G934" s="130"/>
      <c r="H934" s="130"/>
      <c r="I934" s="130"/>
      <c r="J934" s="130"/>
      <c r="K934" s="130"/>
      <c r="L934" s="130"/>
      <c r="M934" s="130"/>
      <c r="N934" s="130"/>
      <c r="O934" s="130"/>
      <c r="P934" s="130"/>
      <c r="Q934" s="130"/>
      <c r="R934" s="130"/>
      <c r="S934" s="130"/>
      <c r="T934" s="130"/>
      <c r="U934" s="130"/>
      <c r="V934" s="130"/>
      <c r="W934" s="130"/>
      <c r="X934" s="130"/>
      <c r="Y934" s="130"/>
      <c r="Z934" s="130"/>
    </row>
    <row r="935" ht="13.5" customHeight="1">
      <c r="A935" s="130"/>
      <c r="B935" s="130"/>
      <c r="C935" s="130"/>
      <c r="D935" s="130"/>
      <c r="E935" s="130"/>
      <c r="F935" s="130"/>
      <c r="G935" s="130"/>
      <c r="H935" s="130"/>
      <c r="I935" s="130"/>
      <c r="J935" s="130"/>
      <c r="K935" s="130"/>
      <c r="L935" s="130"/>
      <c r="M935" s="130"/>
      <c r="N935" s="130"/>
      <c r="O935" s="130"/>
      <c r="P935" s="130"/>
      <c r="Q935" s="130"/>
      <c r="R935" s="130"/>
      <c r="S935" s="130"/>
      <c r="T935" s="130"/>
      <c r="U935" s="130"/>
      <c r="V935" s="130"/>
      <c r="W935" s="130"/>
      <c r="X935" s="130"/>
      <c r="Y935" s="130"/>
      <c r="Z935" s="130"/>
    </row>
    <row r="936" ht="13.5" customHeight="1">
      <c r="A936" s="130"/>
      <c r="B936" s="130"/>
      <c r="C936" s="130"/>
      <c r="D936" s="130"/>
      <c r="E936" s="130"/>
      <c r="F936" s="130"/>
      <c r="G936" s="130"/>
      <c r="H936" s="130"/>
      <c r="I936" s="130"/>
      <c r="J936" s="130"/>
      <c r="K936" s="130"/>
      <c r="L936" s="130"/>
      <c r="M936" s="130"/>
      <c r="N936" s="130"/>
      <c r="O936" s="130"/>
      <c r="P936" s="130"/>
      <c r="Q936" s="130"/>
      <c r="R936" s="130"/>
      <c r="S936" s="130"/>
      <c r="T936" s="130"/>
      <c r="U936" s="130"/>
      <c r="V936" s="130"/>
      <c r="W936" s="130"/>
      <c r="X936" s="130"/>
      <c r="Y936" s="130"/>
      <c r="Z936" s="130"/>
    </row>
    <row r="937" ht="13.5" customHeight="1">
      <c r="A937" s="130"/>
      <c r="B937" s="130"/>
      <c r="C937" s="130"/>
      <c r="D937" s="130"/>
      <c r="E937" s="130"/>
      <c r="F937" s="130"/>
      <c r="G937" s="130"/>
      <c r="H937" s="130"/>
      <c r="I937" s="130"/>
      <c r="J937" s="130"/>
      <c r="K937" s="130"/>
      <c r="L937" s="130"/>
      <c r="M937" s="130"/>
      <c r="N937" s="130"/>
      <c r="O937" s="130"/>
      <c r="P937" s="130"/>
      <c r="Q937" s="130"/>
      <c r="R937" s="130"/>
      <c r="S937" s="130"/>
      <c r="T937" s="130"/>
      <c r="U937" s="130"/>
      <c r="V937" s="130"/>
      <c r="W937" s="130"/>
      <c r="X937" s="130"/>
      <c r="Y937" s="130"/>
      <c r="Z937" s="130"/>
    </row>
    <row r="938" ht="13.5" customHeight="1">
      <c r="A938" s="130"/>
      <c r="B938" s="130"/>
      <c r="C938" s="130"/>
      <c r="D938" s="130"/>
      <c r="E938" s="130"/>
      <c r="F938" s="130"/>
      <c r="G938" s="130"/>
      <c r="H938" s="130"/>
      <c r="I938" s="130"/>
      <c r="J938" s="130"/>
      <c r="K938" s="130"/>
      <c r="L938" s="130"/>
      <c r="M938" s="130"/>
      <c r="N938" s="130"/>
      <c r="O938" s="130"/>
      <c r="P938" s="130"/>
      <c r="Q938" s="130"/>
      <c r="R938" s="130"/>
      <c r="S938" s="130"/>
      <c r="T938" s="130"/>
      <c r="U938" s="130"/>
      <c r="V938" s="130"/>
      <c r="W938" s="130"/>
      <c r="X938" s="130"/>
      <c r="Y938" s="130"/>
      <c r="Z938" s="130"/>
    </row>
    <row r="939" ht="13.5" customHeight="1">
      <c r="A939" s="130"/>
      <c r="B939" s="130"/>
      <c r="C939" s="130"/>
      <c r="D939" s="130"/>
      <c r="E939" s="130"/>
      <c r="F939" s="130"/>
      <c r="G939" s="130"/>
      <c r="H939" s="130"/>
      <c r="I939" s="130"/>
      <c r="J939" s="130"/>
      <c r="K939" s="130"/>
      <c r="L939" s="130"/>
      <c r="M939" s="130"/>
      <c r="N939" s="130"/>
      <c r="O939" s="130"/>
      <c r="P939" s="130"/>
      <c r="Q939" s="130"/>
      <c r="R939" s="130"/>
      <c r="S939" s="130"/>
      <c r="T939" s="130"/>
      <c r="U939" s="130"/>
      <c r="V939" s="130"/>
      <c r="W939" s="130"/>
      <c r="X939" s="130"/>
      <c r="Y939" s="130"/>
      <c r="Z939" s="130"/>
    </row>
    <row r="940" ht="13.5" customHeight="1">
      <c r="A940" s="130"/>
      <c r="B940" s="130"/>
      <c r="C940" s="130"/>
      <c r="D940" s="130"/>
      <c r="E940" s="130"/>
      <c r="F940" s="130"/>
      <c r="G940" s="130"/>
      <c r="H940" s="130"/>
      <c r="I940" s="130"/>
      <c r="J940" s="130"/>
      <c r="K940" s="130"/>
      <c r="L940" s="130"/>
      <c r="M940" s="130"/>
      <c r="N940" s="130"/>
      <c r="O940" s="130"/>
      <c r="P940" s="130"/>
      <c r="Q940" s="130"/>
      <c r="R940" s="130"/>
      <c r="S940" s="130"/>
      <c r="T940" s="130"/>
      <c r="U940" s="130"/>
      <c r="V940" s="130"/>
      <c r="W940" s="130"/>
      <c r="X940" s="130"/>
      <c r="Y940" s="130"/>
      <c r="Z940" s="130"/>
    </row>
    <row r="941" ht="13.5" customHeight="1">
      <c r="A941" s="130"/>
      <c r="B941" s="130"/>
      <c r="C941" s="130"/>
      <c r="D941" s="130"/>
      <c r="E941" s="130"/>
      <c r="F941" s="130"/>
      <c r="G941" s="130"/>
      <c r="H941" s="130"/>
      <c r="I941" s="130"/>
      <c r="J941" s="130"/>
      <c r="K941" s="130"/>
      <c r="L941" s="130"/>
      <c r="M941" s="130"/>
      <c r="N941" s="130"/>
      <c r="O941" s="130"/>
      <c r="P941" s="130"/>
      <c r="Q941" s="130"/>
      <c r="R941" s="130"/>
      <c r="S941" s="130"/>
      <c r="T941" s="130"/>
      <c r="U941" s="130"/>
      <c r="V941" s="130"/>
      <c r="W941" s="130"/>
      <c r="X941" s="130"/>
      <c r="Y941" s="130"/>
      <c r="Z941" s="130"/>
    </row>
    <row r="942" ht="13.5" customHeight="1">
      <c r="A942" s="130"/>
      <c r="B942" s="130"/>
      <c r="C942" s="130"/>
      <c r="D942" s="130"/>
      <c r="E942" s="130"/>
      <c r="F942" s="130"/>
      <c r="G942" s="130"/>
      <c r="H942" s="130"/>
      <c r="I942" s="130"/>
      <c r="J942" s="130"/>
      <c r="K942" s="130"/>
      <c r="L942" s="130"/>
      <c r="M942" s="130"/>
      <c r="N942" s="130"/>
      <c r="O942" s="130"/>
      <c r="P942" s="130"/>
      <c r="Q942" s="130"/>
      <c r="R942" s="130"/>
      <c r="S942" s="130"/>
      <c r="T942" s="130"/>
      <c r="U942" s="130"/>
      <c r="V942" s="130"/>
      <c r="W942" s="130"/>
      <c r="X942" s="130"/>
      <c r="Y942" s="130"/>
      <c r="Z942" s="130"/>
    </row>
    <row r="943" ht="13.5" customHeight="1">
      <c r="A943" s="130"/>
      <c r="B943" s="130"/>
      <c r="C943" s="130"/>
      <c r="D943" s="130"/>
      <c r="E943" s="130"/>
      <c r="F943" s="130"/>
      <c r="G943" s="130"/>
      <c r="H943" s="130"/>
      <c r="I943" s="130"/>
      <c r="J943" s="130"/>
      <c r="K943" s="130"/>
      <c r="L943" s="130"/>
      <c r="M943" s="130"/>
      <c r="N943" s="130"/>
      <c r="O943" s="130"/>
      <c r="P943" s="130"/>
      <c r="Q943" s="130"/>
      <c r="R943" s="130"/>
      <c r="S943" s="130"/>
      <c r="T943" s="130"/>
      <c r="U943" s="130"/>
      <c r="V943" s="130"/>
      <c r="W943" s="130"/>
      <c r="X943" s="130"/>
      <c r="Y943" s="130"/>
      <c r="Z943" s="130"/>
    </row>
    <row r="944" ht="13.5" customHeight="1">
      <c r="A944" s="130"/>
      <c r="B944" s="130"/>
      <c r="C944" s="130"/>
      <c r="D944" s="130"/>
      <c r="E944" s="130"/>
      <c r="F944" s="130"/>
      <c r="G944" s="130"/>
      <c r="H944" s="130"/>
      <c r="I944" s="130"/>
      <c r="J944" s="130"/>
      <c r="K944" s="130"/>
      <c r="L944" s="130"/>
      <c r="M944" s="130"/>
      <c r="N944" s="130"/>
      <c r="O944" s="130"/>
      <c r="P944" s="130"/>
      <c r="Q944" s="130"/>
      <c r="R944" s="130"/>
      <c r="S944" s="130"/>
      <c r="T944" s="130"/>
      <c r="U944" s="130"/>
      <c r="V944" s="130"/>
      <c r="W944" s="130"/>
      <c r="X944" s="130"/>
      <c r="Y944" s="130"/>
      <c r="Z944" s="130"/>
    </row>
    <row r="945" ht="13.5" customHeight="1">
      <c r="A945" s="130"/>
      <c r="B945" s="130"/>
      <c r="C945" s="130"/>
      <c r="D945" s="130"/>
      <c r="E945" s="130"/>
      <c r="F945" s="130"/>
      <c r="G945" s="130"/>
      <c r="H945" s="130"/>
      <c r="I945" s="130"/>
      <c r="J945" s="130"/>
      <c r="K945" s="130"/>
      <c r="L945" s="130"/>
      <c r="M945" s="130"/>
      <c r="N945" s="130"/>
      <c r="O945" s="130"/>
      <c r="P945" s="130"/>
      <c r="Q945" s="130"/>
      <c r="R945" s="130"/>
      <c r="S945" s="130"/>
      <c r="T945" s="130"/>
      <c r="U945" s="130"/>
      <c r="V945" s="130"/>
      <c r="W945" s="130"/>
      <c r="X945" s="130"/>
      <c r="Y945" s="130"/>
      <c r="Z945" s="130"/>
    </row>
    <row r="946" ht="13.5" customHeight="1">
      <c r="A946" s="130"/>
      <c r="B946" s="130"/>
      <c r="C946" s="130"/>
      <c r="D946" s="130"/>
      <c r="E946" s="130"/>
      <c r="F946" s="130"/>
      <c r="G946" s="130"/>
      <c r="H946" s="130"/>
      <c r="I946" s="130"/>
      <c r="J946" s="130"/>
      <c r="K946" s="130"/>
      <c r="L946" s="130"/>
      <c r="M946" s="130"/>
      <c r="N946" s="130"/>
      <c r="O946" s="130"/>
      <c r="P946" s="130"/>
      <c r="Q946" s="130"/>
      <c r="R946" s="130"/>
      <c r="S946" s="130"/>
      <c r="T946" s="130"/>
      <c r="U946" s="130"/>
      <c r="V946" s="130"/>
      <c r="W946" s="130"/>
      <c r="X946" s="130"/>
      <c r="Y946" s="130"/>
      <c r="Z946" s="130"/>
    </row>
    <row r="947" ht="13.5" customHeight="1">
      <c r="A947" s="130"/>
      <c r="B947" s="130"/>
      <c r="C947" s="130"/>
      <c r="D947" s="130"/>
      <c r="E947" s="130"/>
      <c r="F947" s="130"/>
      <c r="G947" s="130"/>
      <c r="H947" s="130"/>
      <c r="I947" s="130"/>
      <c r="J947" s="130"/>
      <c r="K947" s="130"/>
      <c r="L947" s="130"/>
      <c r="M947" s="130"/>
      <c r="N947" s="130"/>
      <c r="O947" s="130"/>
      <c r="P947" s="130"/>
      <c r="Q947" s="130"/>
      <c r="R947" s="130"/>
      <c r="S947" s="130"/>
      <c r="T947" s="130"/>
      <c r="U947" s="130"/>
      <c r="V947" s="130"/>
      <c r="W947" s="130"/>
      <c r="X947" s="130"/>
      <c r="Y947" s="130"/>
      <c r="Z947" s="130"/>
    </row>
    <row r="948" ht="13.5" customHeight="1">
      <c r="A948" s="130"/>
      <c r="B948" s="130"/>
      <c r="C948" s="130"/>
      <c r="D948" s="130"/>
      <c r="E948" s="130"/>
      <c r="F948" s="130"/>
      <c r="G948" s="130"/>
      <c r="H948" s="130"/>
      <c r="I948" s="130"/>
      <c r="J948" s="130"/>
      <c r="K948" s="130"/>
      <c r="L948" s="130"/>
      <c r="M948" s="130"/>
      <c r="N948" s="130"/>
      <c r="O948" s="130"/>
      <c r="P948" s="130"/>
      <c r="Q948" s="130"/>
      <c r="R948" s="130"/>
      <c r="S948" s="130"/>
      <c r="T948" s="130"/>
      <c r="U948" s="130"/>
      <c r="V948" s="130"/>
      <c r="W948" s="130"/>
      <c r="X948" s="130"/>
      <c r="Y948" s="130"/>
      <c r="Z948" s="130"/>
    </row>
    <row r="949" ht="13.5" customHeight="1">
      <c r="A949" s="130"/>
      <c r="B949" s="130"/>
      <c r="C949" s="130"/>
      <c r="D949" s="130"/>
      <c r="E949" s="130"/>
      <c r="F949" s="130"/>
      <c r="G949" s="130"/>
      <c r="H949" s="130"/>
      <c r="I949" s="130"/>
      <c r="J949" s="130"/>
      <c r="K949" s="130"/>
      <c r="L949" s="130"/>
      <c r="M949" s="130"/>
      <c r="N949" s="130"/>
      <c r="O949" s="130"/>
      <c r="P949" s="130"/>
      <c r="Q949" s="130"/>
      <c r="R949" s="130"/>
      <c r="S949" s="130"/>
      <c r="T949" s="130"/>
      <c r="U949" s="130"/>
      <c r="V949" s="130"/>
      <c r="W949" s="130"/>
      <c r="X949" s="130"/>
      <c r="Y949" s="130"/>
      <c r="Z949" s="130"/>
    </row>
    <row r="950" ht="13.5" customHeight="1">
      <c r="A950" s="130"/>
      <c r="B950" s="130"/>
      <c r="C950" s="130"/>
      <c r="D950" s="130"/>
      <c r="E950" s="130"/>
      <c r="F950" s="130"/>
      <c r="G950" s="130"/>
      <c r="H950" s="130"/>
      <c r="I950" s="130"/>
      <c r="J950" s="130"/>
      <c r="K950" s="130"/>
      <c r="L950" s="130"/>
      <c r="M950" s="130"/>
      <c r="N950" s="130"/>
      <c r="O950" s="130"/>
      <c r="P950" s="130"/>
      <c r="Q950" s="130"/>
      <c r="R950" s="130"/>
      <c r="S950" s="130"/>
      <c r="T950" s="130"/>
      <c r="U950" s="130"/>
      <c r="V950" s="130"/>
      <c r="W950" s="130"/>
      <c r="X950" s="130"/>
      <c r="Y950" s="130"/>
      <c r="Z950" s="130"/>
    </row>
    <row r="951" ht="13.5" customHeight="1">
      <c r="A951" s="130"/>
      <c r="B951" s="130"/>
      <c r="C951" s="130"/>
      <c r="D951" s="130"/>
      <c r="E951" s="130"/>
      <c r="F951" s="130"/>
      <c r="G951" s="130"/>
      <c r="H951" s="130"/>
      <c r="I951" s="130"/>
      <c r="J951" s="130"/>
      <c r="K951" s="130"/>
      <c r="L951" s="130"/>
      <c r="M951" s="130"/>
      <c r="N951" s="130"/>
      <c r="O951" s="130"/>
      <c r="P951" s="130"/>
      <c r="Q951" s="130"/>
      <c r="R951" s="130"/>
      <c r="S951" s="130"/>
      <c r="T951" s="130"/>
      <c r="U951" s="130"/>
      <c r="V951" s="130"/>
      <c r="W951" s="130"/>
      <c r="X951" s="130"/>
      <c r="Y951" s="130"/>
      <c r="Z951" s="130"/>
    </row>
    <row r="952" ht="13.5" customHeight="1">
      <c r="A952" s="130"/>
      <c r="B952" s="130"/>
      <c r="C952" s="130"/>
      <c r="D952" s="130"/>
      <c r="E952" s="130"/>
      <c r="F952" s="130"/>
      <c r="G952" s="130"/>
      <c r="H952" s="130"/>
      <c r="I952" s="130"/>
      <c r="J952" s="130"/>
      <c r="K952" s="130"/>
      <c r="L952" s="130"/>
      <c r="M952" s="130"/>
      <c r="N952" s="130"/>
      <c r="O952" s="130"/>
      <c r="P952" s="130"/>
      <c r="Q952" s="130"/>
      <c r="R952" s="130"/>
      <c r="S952" s="130"/>
      <c r="T952" s="130"/>
      <c r="U952" s="130"/>
      <c r="V952" s="130"/>
      <c r="W952" s="130"/>
      <c r="X952" s="130"/>
      <c r="Y952" s="130"/>
      <c r="Z952" s="130"/>
    </row>
    <row r="953" ht="13.5" customHeight="1">
      <c r="A953" s="130"/>
      <c r="B953" s="130"/>
      <c r="C953" s="130"/>
      <c r="D953" s="130"/>
      <c r="E953" s="130"/>
      <c r="F953" s="130"/>
      <c r="G953" s="130"/>
      <c r="H953" s="130"/>
      <c r="I953" s="130"/>
      <c r="J953" s="130"/>
      <c r="K953" s="130"/>
      <c r="L953" s="130"/>
      <c r="M953" s="130"/>
      <c r="N953" s="130"/>
      <c r="O953" s="130"/>
      <c r="P953" s="130"/>
      <c r="Q953" s="130"/>
      <c r="R953" s="130"/>
      <c r="S953" s="130"/>
      <c r="T953" s="130"/>
      <c r="U953" s="130"/>
      <c r="V953" s="130"/>
      <c r="W953" s="130"/>
      <c r="X953" s="130"/>
      <c r="Y953" s="130"/>
      <c r="Z953" s="130"/>
    </row>
    <row r="954" ht="13.5" customHeight="1">
      <c r="A954" s="130"/>
      <c r="B954" s="130"/>
      <c r="C954" s="130"/>
      <c r="D954" s="130"/>
      <c r="E954" s="130"/>
      <c r="F954" s="130"/>
      <c r="G954" s="130"/>
      <c r="H954" s="130"/>
      <c r="I954" s="130"/>
      <c r="J954" s="130"/>
      <c r="K954" s="130"/>
      <c r="L954" s="130"/>
      <c r="M954" s="130"/>
      <c r="N954" s="130"/>
      <c r="O954" s="130"/>
      <c r="P954" s="130"/>
      <c r="Q954" s="130"/>
      <c r="R954" s="130"/>
      <c r="S954" s="130"/>
      <c r="T954" s="130"/>
      <c r="U954" s="130"/>
      <c r="V954" s="130"/>
      <c r="W954" s="130"/>
      <c r="X954" s="130"/>
      <c r="Y954" s="130"/>
      <c r="Z954" s="130"/>
    </row>
    <row r="955" ht="13.5" customHeight="1">
      <c r="A955" s="130"/>
      <c r="B955" s="130"/>
      <c r="C955" s="130"/>
      <c r="D955" s="130"/>
      <c r="E955" s="130"/>
      <c r="F955" s="130"/>
      <c r="G955" s="130"/>
      <c r="H955" s="130"/>
      <c r="I955" s="130"/>
      <c r="J955" s="130"/>
      <c r="K955" s="130"/>
      <c r="L955" s="130"/>
      <c r="M955" s="130"/>
      <c r="N955" s="130"/>
      <c r="O955" s="130"/>
      <c r="P955" s="130"/>
      <c r="Q955" s="130"/>
      <c r="R955" s="130"/>
      <c r="S955" s="130"/>
      <c r="T955" s="130"/>
      <c r="U955" s="130"/>
      <c r="V955" s="130"/>
      <c r="W955" s="130"/>
      <c r="X955" s="130"/>
      <c r="Y955" s="130"/>
      <c r="Z955" s="130"/>
    </row>
    <row r="956" ht="13.5" customHeight="1">
      <c r="A956" s="130"/>
      <c r="B956" s="130"/>
      <c r="C956" s="130"/>
      <c r="D956" s="130"/>
      <c r="E956" s="130"/>
      <c r="F956" s="130"/>
      <c r="G956" s="130"/>
      <c r="H956" s="130"/>
      <c r="I956" s="130"/>
      <c r="J956" s="130"/>
      <c r="K956" s="130"/>
      <c r="L956" s="130"/>
      <c r="M956" s="130"/>
      <c r="N956" s="130"/>
      <c r="O956" s="130"/>
      <c r="P956" s="130"/>
      <c r="Q956" s="130"/>
      <c r="R956" s="130"/>
      <c r="S956" s="130"/>
      <c r="T956" s="130"/>
      <c r="U956" s="130"/>
      <c r="V956" s="130"/>
      <c r="W956" s="130"/>
      <c r="X956" s="130"/>
      <c r="Y956" s="130"/>
      <c r="Z956" s="130"/>
    </row>
    <row r="957" ht="13.5" customHeight="1">
      <c r="A957" s="130"/>
      <c r="B957" s="130"/>
      <c r="C957" s="130"/>
      <c r="D957" s="130"/>
      <c r="E957" s="130"/>
      <c r="F957" s="130"/>
      <c r="G957" s="130"/>
      <c r="H957" s="130"/>
      <c r="I957" s="130"/>
      <c r="J957" s="130"/>
      <c r="K957" s="130"/>
      <c r="L957" s="130"/>
      <c r="M957" s="130"/>
      <c r="N957" s="130"/>
      <c r="O957" s="130"/>
      <c r="P957" s="130"/>
      <c r="Q957" s="130"/>
      <c r="R957" s="130"/>
      <c r="S957" s="130"/>
      <c r="T957" s="130"/>
      <c r="U957" s="130"/>
      <c r="V957" s="130"/>
      <c r="W957" s="130"/>
      <c r="X957" s="130"/>
      <c r="Y957" s="130"/>
      <c r="Z957" s="130"/>
    </row>
    <row r="958" ht="13.5" customHeight="1">
      <c r="A958" s="130"/>
      <c r="B958" s="130"/>
      <c r="C958" s="130"/>
      <c r="D958" s="130"/>
      <c r="E958" s="130"/>
      <c r="F958" s="130"/>
      <c r="G958" s="130"/>
      <c r="H958" s="130"/>
      <c r="I958" s="130"/>
      <c r="J958" s="130"/>
      <c r="K958" s="130"/>
      <c r="L958" s="130"/>
      <c r="M958" s="130"/>
      <c r="N958" s="130"/>
      <c r="O958" s="130"/>
      <c r="P958" s="130"/>
      <c r="Q958" s="130"/>
      <c r="R958" s="130"/>
      <c r="S958" s="130"/>
      <c r="T958" s="130"/>
      <c r="U958" s="130"/>
      <c r="V958" s="130"/>
      <c r="W958" s="130"/>
      <c r="X958" s="130"/>
      <c r="Y958" s="130"/>
      <c r="Z958" s="130"/>
    </row>
    <row r="959" ht="13.5" customHeight="1">
      <c r="A959" s="130"/>
      <c r="B959" s="130"/>
      <c r="C959" s="130"/>
      <c r="D959" s="130"/>
      <c r="E959" s="130"/>
      <c r="F959" s="130"/>
      <c r="G959" s="130"/>
      <c r="H959" s="130"/>
      <c r="I959" s="130"/>
      <c r="J959" s="130"/>
      <c r="K959" s="130"/>
      <c r="L959" s="130"/>
      <c r="M959" s="130"/>
      <c r="N959" s="130"/>
      <c r="O959" s="130"/>
      <c r="P959" s="130"/>
      <c r="Q959" s="130"/>
      <c r="R959" s="130"/>
      <c r="S959" s="130"/>
      <c r="T959" s="130"/>
      <c r="U959" s="130"/>
      <c r="V959" s="130"/>
      <c r="W959" s="130"/>
      <c r="X959" s="130"/>
      <c r="Y959" s="130"/>
      <c r="Z959" s="130"/>
    </row>
    <row r="960" ht="13.5" customHeight="1">
      <c r="A960" s="130"/>
      <c r="B960" s="130"/>
      <c r="C960" s="130"/>
      <c r="D960" s="130"/>
      <c r="E960" s="130"/>
      <c r="F960" s="130"/>
      <c r="G960" s="130"/>
      <c r="H960" s="130"/>
      <c r="I960" s="130"/>
      <c r="J960" s="130"/>
      <c r="K960" s="130"/>
      <c r="L960" s="130"/>
      <c r="M960" s="130"/>
      <c r="N960" s="130"/>
      <c r="O960" s="130"/>
      <c r="P960" s="130"/>
      <c r="Q960" s="130"/>
      <c r="R960" s="130"/>
      <c r="S960" s="130"/>
      <c r="T960" s="130"/>
      <c r="U960" s="130"/>
      <c r="V960" s="130"/>
      <c r="W960" s="130"/>
      <c r="X960" s="130"/>
      <c r="Y960" s="130"/>
      <c r="Z960" s="130"/>
    </row>
    <row r="961" ht="13.5" customHeight="1">
      <c r="A961" s="130"/>
      <c r="B961" s="130"/>
      <c r="C961" s="130"/>
      <c r="D961" s="130"/>
      <c r="E961" s="130"/>
      <c r="F961" s="130"/>
      <c r="G961" s="130"/>
      <c r="H961" s="130"/>
      <c r="I961" s="130"/>
      <c r="J961" s="130"/>
      <c r="K961" s="130"/>
      <c r="L961" s="130"/>
      <c r="M961" s="130"/>
      <c r="N961" s="130"/>
      <c r="O961" s="130"/>
      <c r="P961" s="130"/>
      <c r="Q961" s="130"/>
      <c r="R961" s="130"/>
      <c r="S961" s="130"/>
      <c r="T961" s="130"/>
      <c r="U961" s="130"/>
      <c r="V961" s="130"/>
      <c r="W961" s="130"/>
      <c r="X961" s="130"/>
      <c r="Y961" s="130"/>
      <c r="Z961" s="130"/>
    </row>
    <row r="962" ht="13.5" customHeight="1">
      <c r="A962" s="130"/>
      <c r="B962" s="130"/>
      <c r="C962" s="130"/>
      <c r="D962" s="130"/>
      <c r="E962" s="130"/>
      <c r="F962" s="130"/>
      <c r="G962" s="130"/>
      <c r="H962" s="130"/>
      <c r="I962" s="130"/>
      <c r="J962" s="130"/>
      <c r="K962" s="130"/>
      <c r="L962" s="130"/>
      <c r="M962" s="130"/>
      <c r="N962" s="130"/>
      <c r="O962" s="130"/>
      <c r="P962" s="130"/>
      <c r="Q962" s="130"/>
      <c r="R962" s="130"/>
      <c r="S962" s="130"/>
      <c r="T962" s="130"/>
      <c r="U962" s="130"/>
      <c r="V962" s="130"/>
      <c r="W962" s="130"/>
      <c r="X962" s="130"/>
      <c r="Y962" s="130"/>
      <c r="Z962" s="130"/>
    </row>
    <row r="963" ht="13.5" customHeight="1">
      <c r="A963" s="130"/>
      <c r="B963" s="130"/>
      <c r="C963" s="130"/>
      <c r="D963" s="130"/>
      <c r="E963" s="130"/>
      <c r="F963" s="130"/>
      <c r="G963" s="130"/>
      <c r="H963" s="130"/>
      <c r="I963" s="130"/>
      <c r="J963" s="130"/>
      <c r="K963" s="130"/>
      <c r="L963" s="130"/>
      <c r="M963" s="130"/>
      <c r="N963" s="130"/>
      <c r="O963" s="130"/>
      <c r="P963" s="130"/>
      <c r="Q963" s="130"/>
      <c r="R963" s="130"/>
      <c r="S963" s="130"/>
      <c r="T963" s="130"/>
      <c r="U963" s="130"/>
      <c r="V963" s="130"/>
      <c r="W963" s="130"/>
      <c r="X963" s="130"/>
      <c r="Y963" s="130"/>
      <c r="Z963" s="130"/>
    </row>
    <row r="964" ht="13.5" customHeight="1">
      <c r="A964" s="130"/>
      <c r="B964" s="130"/>
      <c r="C964" s="130"/>
      <c r="D964" s="130"/>
      <c r="E964" s="130"/>
      <c r="F964" s="130"/>
      <c r="G964" s="130"/>
      <c r="H964" s="130"/>
      <c r="I964" s="130"/>
      <c r="J964" s="130"/>
      <c r="K964" s="130"/>
      <c r="L964" s="130"/>
      <c r="M964" s="130"/>
      <c r="N964" s="130"/>
      <c r="O964" s="130"/>
      <c r="P964" s="130"/>
      <c r="Q964" s="130"/>
      <c r="R964" s="130"/>
      <c r="S964" s="130"/>
      <c r="T964" s="130"/>
      <c r="U964" s="130"/>
      <c r="V964" s="130"/>
      <c r="W964" s="130"/>
      <c r="X964" s="130"/>
      <c r="Y964" s="130"/>
      <c r="Z964" s="130"/>
    </row>
    <row r="965" ht="13.5" customHeight="1">
      <c r="A965" s="130"/>
      <c r="B965" s="130"/>
      <c r="C965" s="130"/>
      <c r="D965" s="130"/>
      <c r="E965" s="130"/>
      <c r="F965" s="130"/>
      <c r="G965" s="130"/>
      <c r="H965" s="130"/>
      <c r="I965" s="130"/>
      <c r="J965" s="130"/>
      <c r="K965" s="130"/>
      <c r="L965" s="130"/>
      <c r="M965" s="130"/>
      <c r="N965" s="130"/>
      <c r="O965" s="130"/>
      <c r="P965" s="130"/>
      <c r="Q965" s="130"/>
      <c r="R965" s="130"/>
      <c r="S965" s="130"/>
      <c r="T965" s="130"/>
      <c r="U965" s="130"/>
      <c r="V965" s="130"/>
      <c r="W965" s="130"/>
      <c r="X965" s="130"/>
      <c r="Y965" s="130"/>
      <c r="Z965" s="130"/>
    </row>
    <row r="966" ht="13.5" customHeight="1">
      <c r="A966" s="130"/>
      <c r="B966" s="130"/>
      <c r="C966" s="130"/>
      <c r="D966" s="130"/>
      <c r="E966" s="130"/>
      <c r="F966" s="130"/>
      <c r="G966" s="130"/>
      <c r="H966" s="130"/>
      <c r="I966" s="130"/>
      <c r="J966" s="130"/>
      <c r="K966" s="130"/>
      <c r="L966" s="130"/>
      <c r="M966" s="130"/>
      <c r="N966" s="130"/>
      <c r="O966" s="130"/>
      <c r="P966" s="130"/>
      <c r="Q966" s="130"/>
      <c r="R966" s="130"/>
      <c r="S966" s="130"/>
      <c r="T966" s="130"/>
      <c r="U966" s="130"/>
      <c r="V966" s="130"/>
      <c r="W966" s="130"/>
      <c r="X966" s="130"/>
      <c r="Y966" s="130"/>
      <c r="Z966" s="130"/>
    </row>
    <row r="967" ht="13.5" customHeight="1">
      <c r="A967" s="130"/>
      <c r="B967" s="130"/>
      <c r="C967" s="130"/>
      <c r="D967" s="130"/>
      <c r="E967" s="130"/>
      <c r="F967" s="130"/>
      <c r="G967" s="130"/>
      <c r="H967" s="130"/>
      <c r="I967" s="130"/>
      <c r="J967" s="130"/>
      <c r="K967" s="130"/>
      <c r="L967" s="130"/>
      <c r="M967" s="130"/>
      <c r="N967" s="130"/>
      <c r="O967" s="130"/>
      <c r="P967" s="130"/>
      <c r="Q967" s="130"/>
      <c r="R967" s="130"/>
      <c r="S967" s="130"/>
      <c r="T967" s="130"/>
      <c r="U967" s="130"/>
      <c r="V967" s="130"/>
      <c r="W967" s="130"/>
      <c r="X967" s="130"/>
      <c r="Y967" s="130"/>
      <c r="Z967" s="130"/>
    </row>
    <row r="968" ht="13.5" customHeight="1">
      <c r="A968" s="130"/>
      <c r="B968" s="130"/>
      <c r="C968" s="130"/>
      <c r="D968" s="130"/>
      <c r="E968" s="130"/>
      <c r="F968" s="130"/>
      <c r="G968" s="130"/>
      <c r="H968" s="130"/>
      <c r="I968" s="130"/>
      <c r="J968" s="130"/>
      <c r="K968" s="130"/>
      <c r="L968" s="130"/>
      <c r="M968" s="130"/>
      <c r="N968" s="130"/>
      <c r="O968" s="130"/>
      <c r="P968" s="130"/>
      <c r="Q968" s="130"/>
      <c r="R968" s="130"/>
      <c r="S968" s="130"/>
      <c r="T968" s="130"/>
      <c r="U968" s="130"/>
      <c r="V968" s="130"/>
      <c r="W968" s="130"/>
      <c r="X968" s="130"/>
      <c r="Y968" s="130"/>
      <c r="Z968" s="130"/>
    </row>
    <row r="969" ht="13.5" customHeight="1">
      <c r="A969" s="130"/>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row>
    <row r="970" ht="13.5" customHeight="1">
      <c r="A970" s="130"/>
      <c r="B970" s="130"/>
      <c r="C970" s="130"/>
      <c r="D970" s="130"/>
      <c r="E970" s="130"/>
      <c r="F970" s="130"/>
      <c r="G970" s="130"/>
      <c r="H970" s="130"/>
      <c r="I970" s="130"/>
      <c r="J970" s="130"/>
      <c r="K970" s="130"/>
      <c r="L970" s="130"/>
      <c r="M970" s="130"/>
      <c r="N970" s="130"/>
      <c r="O970" s="130"/>
      <c r="P970" s="130"/>
      <c r="Q970" s="130"/>
      <c r="R970" s="130"/>
      <c r="S970" s="130"/>
      <c r="T970" s="130"/>
      <c r="U970" s="130"/>
      <c r="V970" s="130"/>
      <c r="W970" s="130"/>
      <c r="X970" s="130"/>
      <c r="Y970" s="130"/>
      <c r="Z970" s="130"/>
    </row>
    <row r="971" ht="13.5" customHeight="1">
      <c r="A971" s="130"/>
      <c r="B971" s="130"/>
      <c r="C971" s="130"/>
      <c r="D971" s="130"/>
      <c r="E971" s="130"/>
      <c r="F971" s="130"/>
      <c r="G971" s="130"/>
      <c r="H971" s="130"/>
      <c r="I971" s="130"/>
      <c r="J971" s="130"/>
      <c r="K971" s="130"/>
      <c r="L971" s="130"/>
      <c r="M971" s="130"/>
      <c r="N971" s="130"/>
      <c r="O971" s="130"/>
      <c r="P971" s="130"/>
      <c r="Q971" s="130"/>
      <c r="R971" s="130"/>
      <c r="S971" s="130"/>
      <c r="T971" s="130"/>
      <c r="U971" s="130"/>
      <c r="V971" s="130"/>
      <c r="W971" s="130"/>
      <c r="X971" s="130"/>
      <c r="Y971" s="130"/>
      <c r="Z971" s="130"/>
    </row>
    <row r="972" ht="13.5" customHeight="1">
      <c r="A972" s="130"/>
      <c r="B972" s="130"/>
      <c r="C972" s="130"/>
      <c r="D972" s="130"/>
      <c r="E972" s="130"/>
      <c r="F972" s="130"/>
      <c r="G972" s="130"/>
      <c r="H972" s="130"/>
      <c r="I972" s="130"/>
      <c r="J972" s="130"/>
      <c r="K972" s="130"/>
      <c r="L972" s="130"/>
      <c r="M972" s="130"/>
      <c r="N972" s="130"/>
      <c r="O972" s="130"/>
      <c r="P972" s="130"/>
      <c r="Q972" s="130"/>
      <c r="R972" s="130"/>
      <c r="S972" s="130"/>
      <c r="T972" s="130"/>
      <c r="U972" s="130"/>
      <c r="V972" s="130"/>
      <c r="W972" s="130"/>
      <c r="X972" s="130"/>
      <c r="Y972" s="130"/>
      <c r="Z972" s="130"/>
    </row>
    <row r="973" ht="13.5" customHeight="1">
      <c r="A973" s="130"/>
      <c r="B973" s="130"/>
      <c r="C973" s="130"/>
      <c r="D973" s="130"/>
      <c r="E973" s="130"/>
      <c r="F973" s="130"/>
      <c r="G973" s="130"/>
      <c r="H973" s="130"/>
      <c r="I973" s="130"/>
      <c r="J973" s="130"/>
      <c r="K973" s="130"/>
      <c r="L973" s="130"/>
      <c r="M973" s="130"/>
      <c r="N973" s="130"/>
      <c r="O973" s="130"/>
      <c r="P973" s="130"/>
      <c r="Q973" s="130"/>
      <c r="R973" s="130"/>
      <c r="S973" s="130"/>
      <c r="T973" s="130"/>
      <c r="U973" s="130"/>
      <c r="V973" s="130"/>
      <c r="W973" s="130"/>
      <c r="X973" s="130"/>
      <c r="Y973" s="130"/>
      <c r="Z973" s="130"/>
    </row>
    <row r="974" ht="13.5" customHeight="1">
      <c r="A974" s="130"/>
      <c r="B974" s="130"/>
      <c r="C974" s="130"/>
      <c r="D974" s="130"/>
      <c r="E974" s="130"/>
      <c r="F974" s="130"/>
      <c r="G974" s="130"/>
      <c r="H974" s="130"/>
      <c r="I974" s="130"/>
      <c r="J974" s="130"/>
      <c r="K974" s="130"/>
      <c r="L974" s="130"/>
      <c r="M974" s="130"/>
      <c r="N974" s="130"/>
      <c r="O974" s="130"/>
      <c r="P974" s="130"/>
      <c r="Q974" s="130"/>
      <c r="R974" s="130"/>
      <c r="S974" s="130"/>
      <c r="T974" s="130"/>
      <c r="U974" s="130"/>
      <c r="V974" s="130"/>
      <c r="W974" s="130"/>
      <c r="X974" s="130"/>
      <c r="Y974" s="130"/>
      <c r="Z974" s="130"/>
    </row>
    <row r="975" ht="13.5" customHeight="1">
      <c r="A975" s="130"/>
      <c r="B975" s="130"/>
      <c r="C975" s="130"/>
      <c r="D975" s="130"/>
      <c r="E975" s="130"/>
      <c r="F975" s="130"/>
      <c r="G975" s="130"/>
      <c r="H975" s="130"/>
      <c r="I975" s="130"/>
      <c r="J975" s="130"/>
      <c r="K975" s="130"/>
      <c r="L975" s="130"/>
      <c r="M975" s="130"/>
      <c r="N975" s="130"/>
      <c r="O975" s="130"/>
      <c r="P975" s="130"/>
      <c r="Q975" s="130"/>
      <c r="R975" s="130"/>
      <c r="S975" s="130"/>
      <c r="T975" s="130"/>
      <c r="U975" s="130"/>
      <c r="V975" s="130"/>
      <c r="W975" s="130"/>
      <c r="X975" s="130"/>
      <c r="Y975" s="130"/>
      <c r="Z975" s="130"/>
    </row>
    <row r="976" ht="13.5" customHeight="1">
      <c r="A976" s="130"/>
      <c r="B976" s="130"/>
      <c r="C976" s="130"/>
      <c r="D976" s="130"/>
      <c r="E976" s="130"/>
      <c r="F976" s="130"/>
      <c r="G976" s="130"/>
      <c r="H976" s="130"/>
      <c r="I976" s="130"/>
      <c r="J976" s="130"/>
      <c r="K976" s="130"/>
      <c r="L976" s="130"/>
      <c r="M976" s="130"/>
      <c r="N976" s="130"/>
      <c r="O976" s="130"/>
      <c r="P976" s="130"/>
      <c r="Q976" s="130"/>
      <c r="R976" s="130"/>
      <c r="S976" s="130"/>
      <c r="T976" s="130"/>
      <c r="U976" s="130"/>
      <c r="V976" s="130"/>
      <c r="W976" s="130"/>
      <c r="X976" s="130"/>
      <c r="Y976" s="130"/>
      <c r="Z976" s="130"/>
    </row>
    <row r="977" ht="13.5" customHeight="1">
      <c r="A977" s="130"/>
      <c r="B977" s="130"/>
      <c r="C977" s="130"/>
      <c r="D977" s="130"/>
      <c r="E977" s="130"/>
      <c r="F977" s="130"/>
      <c r="G977" s="130"/>
      <c r="H977" s="130"/>
      <c r="I977" s="130"/>
      <c r="J977" s="130"/>
      <c r="K977" s="130"/>
      <c r="L977" s="130"/>
      <c r="M977" s="130"/>
      <c r="N977" s="130"/>
      <c r="O977" s="130"/>
      <c r="P977" s="130"/>
      <c r="Q977" s="130"/>
      <c r="R977" s="130"/>
      <c r="S977" s="130"/>
      <c r="T977" s="130"/>
      <c r="U977" s="130"/>
      <c r="V977" s="130"/>
      <c r="W977" s="130"/>
      <c r="X977" s="130"/>
      <c r="Y977" s="130"/>
      <c r="Z977" s="130"/>
    </row>
    <row r="978" ht="13.5" customHeight="1">
      <c r="A978" s="130"/>
      <c r="B978" s="130"/>
      <c r="C978" s="130"/>
      <c r="D978" s="130"/>
      <c r="E978" s="130"/>
      <c r="F978" s="130"/>
      <c r="G978" s="130"/>
      <c r="H978" s="130"/>
      <c r="I978" s="130"/>
      <c r="J978" s="130"/>
      <c r="K978" s="130"/>
      <c r="L978" s="130"/>
      <c r="M978" s="130"/>
      <c r="N978" s="130"/>
      <c r="O978" s="130"/>
      <c r="P978" s="130"/>
      <c r="Q978" s="130"/>
      <c r="R978" s="130"/>
      <c r="S978" s="130"/>
      <c r="T978" s="130"/>
      <c r="U978" s="130"/>
      <c r="V978" s="130"/>
      <c r="W978" s="130"/>
      <c r="X978" s="130"/>
      <c r="Y978" s="130"/>
      <c r="Z978" s="130"/>
    </row>
    <row r="979" ht="13.5" customHeight="1">
      <c r="A979" s="130"/>
      <c r="B979" s="130"/>
      <c r="C979" s="130"/>
      <c r="D979" s="130"/>
      <c r="E979" s="130"/>
      <c r="F979" s="130"/>
      <c r="G979" s="130"/>
      <c r="H979" s="130"/>
      <c r="I979" s="130"/>
      <c r="J979" s="130"/>
      <c r="K979" s="130"/>
      <c r="L979" s="130"/>
      <c r="M979" s="130"/>
      <c r="N979" s="130"/>
      <c r="O979" s="130"/>
      <c r="P979" s="130"/>
      <c r="Q979" s="130"/>
      <c r="R979" s="130"/>
      <c r="S979" s="130"/>
      <c r="T979" s="130"/>
      <c r="U979" s="130"/>
      <c r="V979" s="130"/>
      <c r="W979" s="130"/>
      <c r="X979" s="130"/>
      <c r="Y979" s="130"/>
      <c r="Z979" s="130"/>
    </row>
    <row r="980" ht="13.5" customHeight="1">
      <c r="A980" s="130"/>
      <c r="B980" s="130"/>
      <c r="C980" s="130"/>
      <c r="D980" s="130"/>
      <c r="E980" s="130"/>
      <c r="F980" s="130"/>
      <c r="G980" s="130"/>
      <c r="H980" s="130"/>
      <c r="I980" s="130"/>
      <c r="J980" s="130"/>
      <c r="K980" s="130"/>
      <c r="L980" s="130"/>
      <c r="M980" s="130"/>
      <c r="N980" s="130"/>
      <c r="O980" s="130"/>
      <c r="P980" s="130"/>
      <c r="Q980" s="130"/>
      <c r="R980" s="130"/>
      <c r="S980" s="130"/>
      <c r="T980" s="130"/>
      <c r="U980" s="130"/>
      <c r="V980" s="130"/>
      <c r="W980" s="130"/>
      <c r="X980" s="130"/>
      <c r="Y980" s="130"/>
      <c r="Z980" s="130"/>
    </row>
    <row r="981" ht="13.5" customHeight="1">
      <c r="A981" s="130"/>
      <c r="B981" s="130"/>
      <c r="C981" s="130"/>
      <c r="D981" s="130"/>
      <c r="E981" s="130"/>
      <c r="F981" s="130"/>
      <c r="G981" s="130"/>
      <c r="H981" s="130"/>
      <c r="I981" s="130"/>
      <c r="J981" s="130"/>
      <c r="K981" s="130"/>
      <c r="L981" s="130"/>
      <c r="M981" s="130"/>
      <c r="N981" s="130"/>
      <c r="O981" s="130"/>
      <c r="P981" s="130"/>
      <c r="Q981" s="130"/>
      <c r="R981" s="130"/>
      <c r="S981" s="130"/>
      <c r="T981" s="130"/>
      <c r="U981" s="130"/>
      <c r="V981" s="130"/>
      <c r="W981" s="130"/>
      <c r="X981" s="130"/>
      <c r="Y981" s="130"/>
      <c r="Z981" s="130"/>
    </row>
    <row r="982" ht="13.5" customHeight="1">
      <c r="A982" s="130"/>
      <c r="B982" s="130"/>
      <c r="C982" s="130"/>
      <c r="D982" s="130"/>
      <c r="E982" s="130"/>
      <c r="F982" s="130"/>
      <c r="G982" s="130"/>
      <c r="H982" s="130"/>
      <c r="I982" s="130"/>
      <c r="J982" s="130"/>
      <c r="K982" s="130"/>
      <c r="L982" s="130"/>
      <c r="M982" s="130"/>
      <c r="N982" s="130"/>
      <c r="O982" s="130"/>
      <c r="P982" s="130"/>
      <c r="Q982" s="130"/>
      <c r="R982" s="130"/>
      <c r="S982" s="130"/>
      <c r="T982" s="130"/>
      <c r="U982" s="130"/>
      <c r="V982" s="130"/>
      <c r="W982" s="130"/>
      <c r="X982" s="130"/>
      <c r="Y982" s="130"/>
      <c r="Z982" s="130"/>
    </row>
    <row r="983" ht="13.5" customHeight="1">
      <c r="A983" s="130"/>
      <c r="B983" s="130"/>
      <c r="C983" s="130"/>
      <c r="D983" s="130"/>
      <c r="E983" s="130"/>
      <c r="F983" s="130"/>
      <c r="G983" s="130"/>
      <c r="H983" s="130"/>
      <c r="I983" s="130"/>
      <c r="J983" s="130"/>
      <c r="K983" s="130"/>
      <c r="L983" s="130"/>
      <c r="M983" s="130"/>
      <c r="N983" s="130"/>
      <c r="O983" s="130"/>
      <c r="P983" s="130"/>
      <c r="Q983" s="130"/>
      <c r="R983" s="130"/>
      <c r="S983" s="130"/>
      <c r="T983" s="130"/>
      <c r="U983" s="130"/>
      <c r="V983" s="130"/>
      <c r="W983" s="130"/>
      <c r="X983" s="130"/>
      <c r="Y983" s="130"/>
      <c r="Z983" s="130"/>
    </row>
    <row r="984" ht="13.5" customHeight="1">
      <c r="A984" s="130"/>
      <c r="B984" s="130"/>
      <c r="C984" s="130"/>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row>
    <row r="985" ht="13.5" customHeight="1">
      <c r="A985" s="130"/>
      <c r="B985" s="130"/>
      <c r="C985" s="130"/>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row>
    <row r="986" ht="13.5" customHeight="1">
      <c r="A986" s="130"/>
      <c r="B986" s="130"/>
      <c r="C986" s="130"/>
      <c r="D986" s="130"/>
      <c r="E986" s="130"/>
      <c r="F986" s="130"/>
      <c r="G986" s="130"/>
      <c r="H986" s="130"/>
      <c r="I986" s="130"/>
      <c r="J986" s="130"/>
      <c r="K986" s="130"/>
      <c r="L986" s="130"/>
      <c r="M986" s="130"/>
      <c r="N986" s="130"/>
      <c r="O986" s="130"/>
      <c r="P986" s="130"/>
      <c r="Q986" s="130"/>
      <c r="R986" s="130"/>
      <c r="S986" s="130"/>
      <c r="T986" s="130"/>
      <c r="U986" s="130"/>
      <c r="V986" s="130"/>
      <c r="W986" s="130"/>
      <c r="X986" s="130"/>
      <c r="Y986" s="130"/>
      <c r="Z986" s="130"/>
    </row>
    <row r="987" ht="13.5" customHeight="1">
      <c r="A987" s="130"/>
      <c r="B987" s="130"/>
      <c r="C987" s="130"/>
      <c r="D987" s="130"/>
      <c r="E987" s="130"/>
      <c r="F987" s="130"/>
      <c r="G987" s="130"/>
      <c r="H987" s="130"/>
      <c r="I987" s="130"/>
      <c r="J987" s="130"/>
      <c r="K987" s="130"/>
      <c r="L987" s="130"/>
      <c r="M987" s="130"/>
      <c r="N987" s="130"/>
      <c r="O987" s="130"/>
      <c r="P987" s="130"/>
      <c r="Q987" s="130"/>
      <c r="R987" s="130"/>
      <c r="S987" s="130"/>
      <c r="T987" s="130"/>
      <c r="U987" s="130"/>
      <c r="V987" s="130"/>
      <c r="W987" s="130"/>
      <c r="X987" s="130"/>
      <c r="Y987" s="130"/>
      <c r="Z987" s="130"/>
    </row>
    <row r="988" ht="13.5" customHeight="1">
      <c r="A988" s="130"/>
      <c r="B988" s="130"/>
      <c r="C988" s="130"/>
      <c r="D988" s="130"/>
      <c r="E988" s="130"/>
      <c r="F988" s="130"/>
      <c r="G988" s="130"/>
      <c r="H988" s="130"/>
      <c r="I988" s="130"/>
      <c r="J988" s="130"/>
      <c r="K988" s="130"/>
      <c r="L988" s="130"/>
      <c r="M988" s="130"/>
      <c r="N988" s="130"/>
      <c r="O988" s="130"/>
      <c r="P988" s="130"/>
      <c r="Q988" s="130"/>
      <c r="R988" s="130"/>
      <c r="S988" s="130"/>
      <c r="T988" s="130"/>
      <c r="U988" s="130"/>
      <c r="V988" s="130"/>
      <c r="W988" s="130"/>
      <c r="X988" s="130"/>
      <c r="Y988" s="130"/>
      <c r="Z988" s="130"/>
    </row>
    <row r="989" ht="13.5" customHeight="1">
      <c r="A989" s="130"/>
      <c r="B989" s="130"/>
      <c r="C989" s="130"/>
      <c r="D989" s="130"/>
      <c r="E989" s="130"/>
      <c r="F989" s="130"/>
      <c r="G989" s="130"/>
      <c r="H989" s="130"/>
      <c r="I989" s="130"/>
      <c r="J989" s="130"/>
      <c r="K989" s="130"/>
      <c r="L989" s="130"/>
      <c r="M989" s="130"/>
      <c r="N989" s="130"/>
      <c r="O989" s="130"/>
      <c r="P989" s="130"/>
      <c r="Q989" s="130"/>
      <c r="R989" s="130"/>
      <c r="S989" s="130"/>
      <c r="T989" s="130"/>
      <c r="U989" s="130"/>
      <c r="V989" s="130"/>
      <c r="W989" s="130"/>
      <c r="X989" s="130"/>
      <c r="Y989" s="130"/>
      <c r="Z989" s="130"/>
    </row>
    <row r="990" ht="13.5" customHeight="1">
      <c r="A990" s="130"/>
      <c r="B990" s="130"/>
      <c r="C990" s="130"/>
      <c r="D990" s="130"/>
      <c r="E990" s="130"/>
      <c r="F990" s="130"/>
      <c r="G990" s="130"/>
      <c r="H990" s="130"/>
      <c r="I990" s="130"/>
      <c r="J990" s="130"/>
      <c r="K990" s="130"/>
      <c r="L990" s="130"/>
      <c r="M990" s="130"/>
      <c r="N990" s="130"/>
      <c r="O990" s="130"/>
      <c r="P990" s="130"/>
      <c r="Q990" s="130"/>
      <c r="R990" s="130"/>
      <c r="S990" s="130"/>
      <c r="T990" s="130"/>
      <c r="U990" s="130"/>
      <c r="V990" s="130"/>
      <c r="W990" s="130"/>
      <c r="X990" s="130"/>
      <c r="Y990" s="130"/>
      <c r="Z990" s="130"/>
    </row>
    <row r="991" ht="13.5" customHeight="1">
      <c r="A991" s="130"/>
      <c r="B991" s="130"/>
      <c r="C991" s="130"/>
      <c r="D991" s="130"/>
      <c r="E991" s="130"/>
      <c r="F991" s="130"/>
      <c r="G991" s="130"/>
      <c r="H991" s="130"/>
      <c r="I991" s="130"/>
      <c r="J991" s="130"/>
      <c r="K991" s="130"/>
      <c r="L991" s="130"/>
      <c r="M991" s="130"/>
      <c r="N991" s="130"/>
      <c r="O991" s="130"/>
      <c r="P991" s="130"/>
      <c r="Q991" s="130"/>
      <c r="R991" s="130"/>
      <c r="S991" s="130"/>
      <c r="T991" s="130"/>
      <c r="U991" s="130"/>
      <c r="V991" s="130"/>
      <c r="W991" s="130"/>
      <c r="X991" s="130"/>
      <c r="Y991" s="130"/>
      <c r="Z991" s="130"/>
    </row>
    <row r="992" ht="13.5" customHeight="1">
      <c r="A992" s="130"/>
      <c r="B992" s="130"/>
      <c r="C992" s="130"/>
      <c r="D992" s="130"/>
      <c r="E992" s="130"/>
      <c r="F992" s="130"/>
      <c r="G992" s="130"/>
      <c r="H992" s="130"/>
      <c r="I992" s="130"/>
      <c r="J992" s="130"/>
      <c r="K992" s="130"/>
      <c r="L992" s="130"/>
      <c r="M992" s="130"/>
      <c r="N992" s="130"/>
      <c r="O992" s="130"/>
      <c r="P992" s="130"/>
      <c r="Q992" s="130"/>
      <c r="R992" s="130"/>
      <c r="S992" s="130"/>
      <c r="T992" s="130"/>
      <c r="U992" s="130"/>
      <c r="V992" s="130"/>
      <c r="W992" s="130"/>
      <c r="X992" s="130"/>
      <c r="Y992" s="130"/>
      <c r="Z992" s="130"/>
    </row>
    <row r="993" ht="13.5" customHeight="1">
      <c r="A993" s="130"/>
      <c r="B993" s="130"/>
      <c r="C993" s="130"/>
      <c r="D993" s="130"/>
      <c r="E993" s="130"/>
      <c r="F993" s="130"/>
      <c r="G993" s="130"/>
      <c r="H993" s="130"/>
      <c r="I993" s="130"/>
      <c r="J993" s="130"/>
      <c r="K993" s="130"/>
      <c r="L993" s="130"/>
      <c r="M993" s="130"/>
      <c r="N993" s="130"/>
      <c r="O993" s="130"/>
      <c r="P993" s="130"/>
      <c r="Q993" s="130"/>
      <c r="R993" s="130"/>
      <c r="S993" s="130"/>
      <c r="T993" s="130"/>
      <c r="U993" s="130"/>
      <c r="V993" s="130"/>
      <c r="W993" s="130"/>
      <c r="X993" s="130"/>
      <c r="Y993" s="130"/>
      <c r="Z993" s="130"/>
    </row>
    <row r="994" ht="13.5" customHeight="1">
      <c r="A994" s="130"/>
      <c r="B994" s="130"/>
      <c r="C994" s="130"/>
      <c r="D994" s="130"/>
      <c r="E994" s="130"/>
      <c r="F994" s="130"/>
      <c r="G994" s="130"/>
      <c r="H994" s="130"/>
      <c r="I994" s="130"/>
      <c r="J994" s="130"/>
      <c r="K994" s="130"/>
      <c r="L994" s="130"/>
      <c r="M994" s="130"/>
      <c r="N994" s="130"/>
      <c r="O994" s="130"/>
      <c r="P994" s="130"/>
      <c r="Q994" s="130"/>
      <c r="R994" s="130"/>
      <c r="S994" s="130"/>
      <c r="T994" s="130"/>
      <c r="U994" s="130"/>
      <c r="V994" s="130"/>
      <c r="W994" s="130"/>
      <c r="X994" s="130"/>
      <c r="Y994" s="130"/>
      <c r="Z994" s="130"/>
    </row>
    <row r="995" ht="13.5" customHeight="1">
      <c r="A995" s="130"/>
      <c r="B995" s="130"/>
      <c r="C995" s="130"/>
      <c r="D995" s="130"/>
      <c r="E995" s="130"/>
      <c r="F995" s="130"/>
      <c r="G995" s="130"/>
      <c r="H995" s="130"/>
      <c r="I995" s="130"/>
      <c r="J995" s="130"/>
      <c r="K995" s="130"/>
      <c r="L995" s="130"/>
      <c r="M995" s="130"/>
      <c r="N995" s="130"/>
      <c r="O995" s="130"/>
      <c r="P995" s="130"/>
      <c r="Q995" s="130"/>
      <c r="R995" s="130"/>
      <c r="S995" s="130"/>
      <c r="T995" s="130"/>
      <c r="U995" s="130"/>
      <c r="V995" s="130"/>
      <c r="W995" s="130"/>
      <c r="X995" s="130"/>
      <c r="Y995" s="130"/>
      <c r="Z995" s="130"/>
    </row>
    <row r="996" ht="13.5" customHeight="1">
      <c r="A996" s="130"/>
      <c r="B996" s="130"/>
      <c r="C996" s="130"/>
      <c r="D996" s="130"/>
      <c r="E996" s="130"/>
      <c r="F996" s="130"/>
      <c r="G996" s="130"/>
      <c r="H996" s="130"/>
      <c r="I996" s="130"/>
      <c r="J996" s="130"/>
      <c r="K996" s="130"/>
      <c r="L996" s="130"/>
      <c r="M996" s="130"/>
      <c r="N996" s="130"/>
      <c r="O996" s="130"/>
      <c r="P996" s="130"/>
      <c r="Q996" s="130"/>
      <c r="R996" s="130"/>
      <c r="S996" s="130"/>
      <c r="T996" s="130"/>
      <c r="U996" s="130"/>
      <c r="V996" s="130"/>
      <c r="W996" s="130"/>
      <c r="X996" s="130"/>
      <c r="Y996" s="130"/>
      <c r="Z996" s="130"/>
    </row>
    <row r="997" ht="13.5" customHeight="1">
      <c r="A997" s="130"/>
      <c r="B997" s="130"/>
      <c r="C997" s="130"/>
      <c r="D997" s="130"/>
      <c r="E997" s="130"/>
      <c r="F997" s="130"/>
      <c r="G997" s="130"/>
      <c r="H997" s="130"/>
      <c r="I997" s="130"/>
      <c r="J997" s="130"/>
      <c r="K997" s="130"/>
      <c r="L997" s="130"/>
      <c r="M997" s="130"/>
      <c r="N997" s="130"/>
      <c r="O997" s="130"/>
      <c r="P997" s="130"/>
      <c r="Q997" s="130"/>
      <c r="R997" s="130"/>
      <c r="S997" s="130"/>
      <c r="T997" s="130"/>
      <c r="U997" s="130"/>
      <c r="V997" s="130"/>
      <c r="W997" s="130"/>
      <c r="X997" s="130"/>
      <c r="Y997" s="130"/>
      <c r="Z997" s="130"/>
    </row>
    <row r="998" ht="13.5" customHeight="1">
      <c r="A998" s="130"/>
      <c r="B998" s="130"/>
      <c r="C998" s="130"/>
      <c r="D998" s="130"/>
      <c r="E998" s="130"/>
      <c r="F998" s="130"/>
      <c r="G998" s="130"/>
      <c r="H998" s="130"/>
      <c r="I998" s="130"/>
      <c r="J998" s="130"/>
      <c r="K998" s="130"/>
      <c r="L998" s="130"/>
      <c r="M998" s="130"/>
      <c r="N998" s="130"/>
      <c r="O998" s="130"/>
      <c r="P998" s="130"/>
      <c r="Q998" s="130"/>
      <c r="R998" s="130"/>
      <c r="S998" s="130"/>
      <c r="T998" s="130"/>
      <c r="U998" s="130"/>
      <c r="V998" s="130"/>
      <c r="W998" s="130"/>
      <c r="X998" s="130"/>
      <c r="Y998" s="130"/>
      <c r="Z998" s="130"/>
    </row>
    <row r="999" ht="13.5" customHeight="1">
      <c r="A999" s="130"/>
      <c r="B999" s="130"/>
      <c r="C999" s="130"/>
      <c r="D999" s="130"/>
      <c r="E999" s="130"/>
      <c r="F999" s="130"/>
      <c r="G999" s="130"/>
      <c r="H999" s="130"/>
      <c r="I999" s="130"/>
      <c r="J999" s="130"/>
      <c r="K999" s="130"/>
      <c r="L999" s="130"/>
      <c r="M999" s="130"/>
      <c r="N999" s="130"/>
      <c r="O999" s="130"/>
      <c r="P999" s="130"/>
      <c r="Q999" s="130"/>
      <c r="R999" s="130"/>
      <c r="S999" s="130"/>
      <c r="T999" s="130"/>
      <c r="U999" s="130"/>
      <c r="V999" s="130"/>
      <c r="W999" s="130"/>
      <c r="X999" s="130"/>
      <c r="Y999" s="130"/>
      <c r="Z999" s="130"/>
    </row>
    <row r="1000" ht="13.5" customHeight="1">
      <c r="A1000" s="130"/>
      <c r="B1000" s="130"/>
      <c r="C1000" s="130"/>
      <c r="D1000" s="130"/>
      <c r="E1000" s="130"/>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row>
  </sheetData>
  <printOptions/>
  <pageMargins bottom="0.75" footer="0.0" header="0.0" left="0.7" right="0.7" top="0.75"/>
  <pageSetup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8.89"/>
    <col customWidth="1" min="4" max="4" width="6.11"/>
    <col customWidth="1" min="5" max="10" width="2.78"/>
    <col customWidth="1" min="11" max="11" width="4.89"/>
    <col customWidth="1" min="12" max="17" width="2.78"/>
    <col customWidth="1" min="18" max="18" width="5.0"/>
    <col customWidth="1" min="19" max="20" width="3.44"/>
    <col customWidth="1" min="21" max="34" width="4.67"/>
    <col customWidth="1" min="35" max="42" width="2.67"/>
    <col customWidth="1" min="43" max="46" width="8.89"/>
  </cols>
  <sheetData>
    <row r="1" ht="13.5" customHeight="1">
      <c r="A1" s="165" t="s">
        <v>174</v>
      </c>
      <c r="B1" s="130"/>
      <c r="C1" s="130"/>
      <c r="D1" s="130"/>
      <c r="E1" s="163"/>
      <c r="F1" s="163"/>
      <c r="G1" s="163"/>
      <c r="H1" s="163"/>
      <c r="I1" s="163"/>
      <c r="J1" s="163"/>
      <c r="K1" s="130"/>
      <c r="L1" s="130"/>
      <c r="M1" s="130"/>
      <c r="N1" s="130"/>
      <c r="O1" s="130"/>
      <c r="P1" s="130"/>
      <c r="Q1" s="130"/>
      <c r="R1" s="130"/>
      <c r="S1" s="163"/>
      <c r="T1" s="163"/>
      <c r="U1" s="163"/>
      <c r="V1" s="163"/>
      <c r="W1" s="163"/>
      <c r="X1" s="163"/>
      <c r="Y1" s="163"/>
      <c r="Z1" s="163"/>
      <c r="AA1" s="163"/>
      <c r="AB1" s="163"/>
      <c r="AC1" s="163"/>
      <c r="AD1" s="163"/>
      <c r="AE1" s="163"/>
      <c r="AF1" s="163"/>
      <c r="AG1" s="163"/>
      <c r="AH1" s="163"/>
      <c r="AI1" s="163"/>
      <c r="AJ1" s="163"/>
      <c r="AK1" s="163"/>
      <c r="AL1" s="163"/>
      <c r="AM1" s="163"/>
      <c r="AN1" s="130"/>
      <c r="AO1" s="130"/>
      <c r="AP1" s="130"/>
      <c r="AQ1" s="130"/>
      <c r="AR1" s="130"/>
      <c r="AS1" s="130"/>
      <c r="AT1" s="130"/>
    </row>
    <row r="2" ht="13.5" customHeight="1">
      <c r="A2" s="165" t="s">
        <v>1056</v>
      </c>
      <c r="B2" s="165" t="s">
        <v>1057</v>
      </c>
      <c r="C2" s="165" t="s">
        <v>44</v>
      </c>
      <c r="D2" s="166" t="s">
        <v>49</v>
      </c>
      <c r="E2" s="166" t="s">
        <v>1058</v>
      </c>
      <c r="F2" s="166" t="s">
        <v>1059</v>
      </c>
      <c r="G2" s="166" t="s">
        <v>1060</v>
      </c>
      <c r="H2" s="166" t="s">
        <v>1061</v>
      </c>
      <c r="I2" s="166" t="s">
        <v>218</v>
      </c>
      <c r="J2" s="166" t="s">
        <v>219</v>
      </c>
      <c r="K2" s="130"/>
      <c r="L2" s="166" t="s">
        <v>1058</v>
      </c>
      <c r="M2" s="166" t="s">
        <v>1059</v>
      </c>
      <c r="N2" s="166" t="s">
        <v>1060</v>
      </c>
      <c r="O2" s="166" t="s">
        <v>1061</v>
      </c>
      <c r="P2" s="166" t="s">
        <v>218</v>
      </c>
      <c r="Q2" s="166" t="s">
        <v>219</v>
      </c>
      <c r="R2" s="130"/>
      <c r="S2" s="163"/>
      <c r="T2" s="130"/>
      <c r="U2" s="167" t="s">
        <v>23</v>
      </c>
      <c r="V2" s="167" t="s">
        <v>26</v>
      </c>
      <c r="W2" s="167" t="s">
        <v>29</v>
      </c>
      <c r="X2" s="167" t="s">
        <v>30</v>
      </c>
      <c r="Y2" s="167" t="s">
        <v>173</v>
      </c>
      <c r="Z2" s="167" t="str">
        <f>'主頁'!$C$16</f>
        <v/>
      </c>
      <c r="AA2" s="167" t="str">
        <f>'主頁'!$C$17</f>
        <v/>
      </c>
      <c r="AB2" s="167" t="str">
        <f>'主頁'!$C$18</f>
        <v/>
      </c>
      <c r="AC2" s="167" t="str">
        <f>'主頁'!$C$19</f>
        <v/>
      </c>
      <c r="AD2" s="167" t="str">
        <f>'主頁'!$C$20</f>
        <v/>
      </c>
      <c r="AE2" s="166" t="s">
        <v>541</v>
      </c>
      <c r="AF2" s="163" t="s">
        <v>1062</v>
      </c>
      <c r="AG2" s="163" t="s">
        <v>1063</v>
      </c>
      <c r="AH2" s="163" t="s">
        <v>1064</v>
      </c>
      <c r="AI2" s="163"/>
      <c r="AJ2" s="130"/>
      <c r="AK2" s="130"/>
      <c r="AL2" s="130"/>
      <c r="AM2" s="130"/>
      <c r="AN2" s="130"/>
      <c r="AO2" s="130"/>
      <c r="AP2" s="130"/>
      <c r="AQ2" s="130"/>
      <c r="AR2" s="130"/>
      <c r="AS2" s="130"/>
      <c r="AT2" s="130"/>
    </row>
    <row r="3" ht="13.5" customHeight="1">
      <c r="A3" s="130" t="str">
        <f>CityU!A2</f>
        <v>JS1000</v>
      </c>
      <c r="B3" s="130" t="str">
        <f>CityU!C2</f>
        <v>理學士(計算金融及金融科技)</v>
      </c>
      <c r="C3" s="130"/>
      <c r="D3" s="130"/>
      <c r="E3" s="163">
        <v>3.0</v>
      </c>
      <c r="F3" s="163">
        <v>3.0</v>
      </c>
      <c r="G3" s="163">
        <v>4.0</v>
      </c>
      <c r="H3" s="163">
        <v>2.0</v>
      </c>
      <c r="I3" s="163">
        <v>3.0</v>
      </c>
      <c r="J3" s="163">
        <v>3.0</v>
      </c>
      <c r="K3" s="130"/>
      <c r="L3" s="163">
        <f t="shared" ref="L3:O3" si="1">IF(E3&gt;U3,0,1)</f>
        <v>0</v>
      </c>
      <c r="M3" s="163">
        <f t="shared" si="1"/>
        <v>0</v>
      </c>
      <c r="N3" s="163">
        <f t="shared" si="1"/>
        <v>0</v>
      </c>
      <c r="O3" s="163">
        <f t="shared" si="1"/>
        <v>0</v>
      </c>
      <c r="P3" s="163">
        <f t="shared" ref="P3:P20" si="3">IF(I3&gt;LARGE(Y3:AD3,1),0,1)</f>
        <v>0</v>
      </c>
      <c r="Q3" s="163">
        <f t="shared" ref="Q3:Q25" si="4">IF(J3&gt;LARGE(Y3:AD3,2),0,1)</f>
        <v>0</v>
      </c>
      <c r="R3" s="130"/>
      <c r="S3" s="163">
        <f t="shared" ref="S3:S25" si="5">L3*M3*N3*O3*P3*Q3</f>
        <v>0</v>
      </c>
      <c r="T3" s="130"/>
      <c r="U3" s="163">
        <f>'計分版'!E$14</f>
        <v>0.0000000001</v>
      </c>
      <c r="V3" s="163">
        <f>'計分版'!F$14</f>
        <v>0.0000000002</v>
      </c>
      <c r="W3" s="163">
        <f>'計分版'!G$14</f>
        <v>0.0000000003</v>
      </c>
      <c r="X3" s="163">
        <f>'計分版'!H$14</f>
        <v>0.0000000004</v>
      </c>
      <c r="Y3" s="163">
        <f>'計分版'!I$14</f>
        <v>0.0000000005</v>
      </c>
      <c r="Z3" s="163">
        <f>'計分版'!J$14</f>
        <v>0</v>
      </c>
      <c r="AA3" s="163">
        <f>'計分版'!K$14</f>
        <v>0</v>
      </c>
      <c r="AB3" s="163">
        <f>'計分版'!L$14</f>
        <v>0</v>
      </c>
      <c r="AC3" s="163">
        <f>'計分版'!M$14</f>
        <v>0</v>
      </c>
      <c r="AD3" s="163">
        <f>'計分版'!N$14</f>
        <v>0</v>
      </c>
      <c r="AE3" s="163"/>
      <c r="AF3" s="163" t="s">
        <v>1065</v>
      </c>
      <c r="AG3" s="163" t="s">
        <v>166</v>
      </c>
      <c r="AH3" s="163"/>
      <c r="AI3" s="163"/>
      <c r="AJ3" s="130"/>
      <c r="AK3" s="130"/>
      <c r="AL3" s="130"/>
      <c r="AM3" s="130"/>
      <c r="AN3" s="130"/>
      <c r="AO3" s="130"/>
      <c r="AP3" s="130"/>
      <c r="AQ3" s="130"/>
      <c r="AR3" s="130"/>
      <c r="AS3" s="130"/>
      <c r="AT3" s="130"/>
    </row>
    <row r="4" ht="13.5" customHeight="1">
      <c r="A4" s="130" t="str">
        <f>CityU!A3</f>
        <v>JS1001</v>
      </c>
      <c r="B4" s="130" t="str">
        <f>CityU!C3</f>
        <v>工商管理學士(環球商業)</v>
      </c>
      <c r="C4" s="130"/>
      <c r="D4" s="130"/>
      <c r="E4" s="163">
        <v>3.0</v>
      </c>
      <c r="F4" s="163">
        <v>3.0</v>
      </c>
      <c r="G4" s="163">
        <v>3.0</v>
      </c>
      <c r="H4" s="163">
        <v>2.0</v>
      </c>
      <c r="I4" s="163">
        <v>3.0</v>
      </c>
      <c r="J4" s="163">
        <v>3.0</v>
      </c>
      <c r="K4" s="130"/>
      <c r="L4" s="163">
        <f t="shared" ref="L4:O4" si="2">IF(E4&gt;U4,0,1)</f>
        <v>0</v>
      </c>
      <c r="M4" s="163">
        <f t="shared" si="2"/>
        <v>0</v>
      </c>
      <c r="N4" s="163">
        <f t="shared" si="2"/>
        <v>0</v>
      </c>
      <c r="O4" s="163">
        <f t="shared" si="2"/>
        <v>0</v>
      </c>
      <c r="P4" s="163">
        <f t="shared" si="3"/>
        <v>0</v>
      </c>
      <c r="Q4" s="163">
        <f t="shared" si="4"/>
        <v>0</v>
      </c>
      <c r="R4" s="130"/>
      <c r="S4" s="163">
        <f t="shared" si="5"/>
        <v>0</v>
      </c>
      <c r="T4" s="130"/>
      <c r="U4" s="163">
        <f>'計分版'!E$14</f>
        <v>0.0000000001</v>
      </c>
      <c r="V4" s="163">
        <f>'計分版'!F$14</f>
        <v>0.0000000002</v>
      </c>
      <c r="W4" s="163">
        <f>'計分版'!G$14</f>
        <v>0.0000000003</v>
      </c>
      <c r="X4" s="163">
        <f>'計分版'!H$14</f>
        <v>0.0000000004</v>
      </c>
      <c r="Y4" s="163">
        <f>'計分版'!I$14</f>
        <v>0.0000000005</v>
      </c>
      <c r="Z4" s="163">
        <f>'計分版'!J$14</f>
        <v>0</v>
      </c>
      <c r="AA4" s="163">
        <f>'計分版'!K$14</f>
        <v>0</v>
      </c>
      <c r="AB4" s="163">
        <f>'計分版'!L$14</f>
        <v>0</v>
      </c>
      <c r="AC4" s="163">
        <f>'計分版'!M$14</f>
        <v>0</v>
      </c>
      <c r="AD4" s="163">
        <f>'計分版'!N$14</f>
        <v>0</v>
      </c>
      <c r="AE4" s="163"/>
      <c r="AF4" s="163" t="s">
        <v>1065</v>
      </c>
      <c r="AG4" s="163" t="s">
        <v>166</v>
      </c>
      <c r="AH4" s="163"/>
      <c r="AI4" s="163"/>
      <c r="AJ4" s="130"/>
      <c r="AK4" s="130"/>
      <c r="AL4" s="130"/>
      <c r="AM4" s="130"/>
      <c r="AN4" s="130"/>
      <c r="AO4" s="130"/>
      <c r="AP4" s="130"/>
      <c r="AQ4" s="130"/>
      <c r="AR4" s="130"/>
      <c r="AS4" s="130"/>
      <c r="AT4" s="130"/>
    </row>
    <row r="5" ht="13.5" customHeight="1">
      <c r="A5" s="130" t="str">
        <f>CityU!A4</f>
        <v>JS1002</v>
      </c>
      <c r="B5" s="130" t="str">
        <f>CityU!C4</f>
        <v>工商管理學士(會計)</v>
      </c>
      <c r="C5" s="130"/>
      <c r="D5" s="130"/>
      <c r="E5" s="163">
        <v>3.0</v>
      </c>
      <c r="F5" s="163">
        <v>3.0</v>
      </c>
      <c r="G5" s="163">
        <v>3.0</v>
      </c>
      <c r="H5" s="163">
        <v>2.0</v>
      </c>
      <c r="I5" s="163">
        <v>3.0</v>
      </c>
      <c r="J5" s="163">
        <v>3.0</v>
      </c>
      <c r="K5" s="130"/>
      <c r="L5" s="163">
        <f t="shared" ref="L5:O5" si="6">IF(E5&gt;U5,0,1)</f>
        <v>0</v>
      </c>
      <c r="M5" s="163">
        <f t="shared" si="6"/>
        <v>0</v>
      </c>
      <c r="N5" s="163">
        <f t="shared" si="6"/>
        <v>0</v>
      </c>
      <c r="O5" s="163">
        <f t="shared" si="6"/>
        <v>0</v>
      </c>
      <c r="P5" s="163">
        <f t="shared" si="3"/>
        <v>0</v>
      </c>
      <c r="Q5" s="163">
        <f t="shared" si="4"/>
        <v>0</v>
      </c>
      <c r="R5" s="130"/>
      <c r="S5" s="163">
        <f t="shared" si="5"/>
        <v>0</v>
      </c>
      <c r="T5" s="130"/>
      <c r="U5" s="163">
        <f>'計分版'!E$14</f>
        <v>0.0000000001</v>
      </c>
      <c r="V5" s="163">
        <f>'計分版'!F$14</f>
        <v>0.0000000002</v>
      </c>
      <c r="W5" s="163">
        <f>'計分版'!G$14</f>
        <v>0.0000000003</v>
      </c>
      <c r="X5" s="163">
        <f>'計分版'!H$14</f>
        <v>0.0000000004</v>
      </c>
      <c r="Y5" s="163">
        <f>'計分版'!I$14</f>
        <v>0.0000000005</v>
      </c>
      <c r="Z5" s="163">
        <f>'計分版'!J$14</f>
        <v>0</v>
      </c>
      <c r="AA5" s="163">
        <f>'計分版'!K$14</f>
        <v>0</v>
      </c>
      <c r="AB5" s="163">
        <f>'計分版'!L$14</f>
        <v>0</v>
      </c>
      <c r="AC5" s="163">
        <f>'計分版'!M$14</f>
        <v>0</v>
      </c>
      <c r="AD5" s="163">
        <f>'計分版'!N$14</f>
        <v>0</v>
      </c>
      <c r="AE5" s="163"/>
      <c r="AF5" s="163" t="s">
        <v>1065</v>
      </c>
      <c r="AG5" s="163" t="s">
        <v>166</v>
      </c>
      <c r="AH5" s="163"/>
      <c r="AI5" s="163"/>
      <c r="AJ5" s="130"/>
      <c r="AK5" s="130"/>
      <c r="AL5" s="130"/>
      <c r="AM5" s="130"/>
      <c r="AN5" s="130"/>
      <c r="AO5" s="130"/>
      <c r="AP5" s="130"/>
      <c r="AQ5" s="130"/>
      <c r="AR5" s="130"/>
      <c r="AS5" s="130"/>
      <c r="AT5" s="130"/>
    </row>
    <row r="6" ht="13.5" customHeight="1">
      <c r="A6" s="130" t="str">
        <f>CityU!A5</f>
        <v>JS1005</v>
      </c>
      <c r="B6" s="130" t="str">
        <f>CityU!C5</f>
        <v>工商管理學士(管理學)</v>
      </c>
      <c r="C6" s="130"/>
      <c r="D6" s="130"/>
      <c r="E6" s="163">
        <v>3.0</v>
      </c>
      <c r="F6" s="163">
        <v>3.0</v>
      </c>
      <c r="G6" s="163">
        <v>3.0</v>
      </c>
      <c r="H6" s="163">
        <v>2.0</v>
      </c>
      <c r="I6" s="163">
        <v>3.0</v>
      </c>
      <c r="J6" s="163">
        <v>3.0</v>
      </c>
      <c r="K6" s="130"/>
      <c r="L6" s="163">
        <f t="shared" ref="L6:O6" si="7">IF(E6&gt;U6,0,1)</f>
        <v>0</v>
      </c>
      <c r="M6" s="163">
        <f t="shared" si="7"/>
        <v>0</v>
      </c>
      <c r="N6" s="163">
        <f t="shared" si="7"/>
        <v>0</v>
      </c>
      <c r="O6" s="163">
        <f t="shared" si="7"/>
        <v>0</v>
      </c>
      <c r="P6" s="163">
        <f t="shared" si="3"/>
        <v>0</v>
      </c>
      <c r="Q6" s="163">
        <f t="shared" si="4"/>
        <v>0</v>
      </c>
      <c r="R6" s="130"/>
      <c r="S6" s="163">
        <f t="shared" si="5"/>
        <v>0</v>
      </c>
      <c r="T6" s="130"/>
      <c r="U6" s="163">
        <f>'計分版'!E$14</f>
        <v>0.0000000001</v>
      </c>
      <c r="V6" s="163">
        <f>'計分版'!F$14</f>
        <v>0.0000000002</v>
      </c>
      <c r="W6" s="163">
        <f>'計分版'!G$14</f>
        <v>0.0000000003</v>
      </c>
      <c r="X6" s="163">
        <f>'計分版'!H$14</f>
        <v>0.0000000004</v>
      </c>
      <c r="Y6" s="163">
        <f>'計分版'!I$14</f>
        <v>0.0000000005</v>
      </c>
      <c r="Z6" s="163">
        <f>'計分版'!J$14</f>
        <v>0</v>
      </c>
      <c r="AA6" s="163">
        <f>'計分版'!K$14</f>
        <v>0</v>
      </c>
      <c r="AB6" s="163">
        <f>'計分版'!L$14</f>
        <v>0</v>
      </c>
      <c r="AC6" s="163">
        <f>'計分版'!M$14</f>
        <v>0</v>
      </c>
      <c r="AD6" s="163">
        <f>'計分版'!N$14</f>
        <v>0</v>
      </c>
      <c r="AE6" s="163"/>
      <c r="AF6" s="163" t="s">
        <v>1065</v>
      </c>
      <c r="AG6" s="163" t="s">
        <v>166</v>
      </c>
      <c r="AH6" s="163"/>
      <c r="AI6" s="163"/>
      <c r="AJ6" s="130"/>
      <c r="AK6" s="130"/>
      <c r="AL6" s="130"/>
      <c r="AM6" s="130"/>
      <c r="AN6" s="130"/>
      <c r="AO6" s="130"/>
      <c r="AP6" s="130"/>
      <c r="AQ6" s="130"/>
      <c r="AR6" s="130"/>
      <c r="AS6" s="130"/>
      <c r="AT6" s="130"/>
    </row>
    <row r="7" ht="13.5" customHeight="1">
      <c r="A7" s="130" t="str">
        <f>CityU!A6</f>
        <v>JS1007</v>
      </c>
      <c r="B7" s="130" t="str">
        <f>CityU!C6</f>
        <v>工商管理學士(市場營銷)</v>
      </c>
      <c r="C7" s="130"/>
      <c r="D7" s="130"/>
      <c r="E7" s="163">
        <v>3.0</v>
      </c>
      <c r="F7" s="163">
        <v>3.0</v>
      </c>
      <c r="G7" s="163">
        <v>3.0</v>
      </c>
      <c r="H7" s="163">
        <v>2.0</v>
      </c>
      <c r="I7" s="163">
        <v>3.0</v>
      </c>
      <c r="J7" s="163">
        <v>3.0</v>
      </c>
      <c r="K7" s="130"/>
      <c r="L7" s="163">
        <f t="shared" ref="L7:O7" si="8">IF(E7&gt;U7,0,1)</f>
        <v>0</v>
      </c>
      <c r="M7" s="163">
        <f t="shared" si="8"/>
        <v>0</v>
      </c>
      <c r="N7" s="163">
        <f t="shared" si="8"/>
        <v>0</v>
      </c>
      <c r="O7" s="163">
        <f t="shared" si="8"/>
        <v>0</v>
      </c>
      <c r="P7" s="163">
        <f t="shared" si="3"/>
        <v>0</v>
      </c>
      <c r="Q7" s="163">
        <f t="shared" si="4"/>
        <v>0</v>
      </c>
      <c r="R7" s="130"/>
      <c r="S7" s="163">
        <f t="shared" si="5"/>
        <v>0</v>
      </c>
      <c r="T7" s="130"/>
      <c r="U7" s="163">
        <f>'計分版'!E$14</f>
        <v>0.0000000001</v>
      </c>
      <c r="V7" s="163">
        <f>'計分版'!F$14</f>
        <v>0.0000000002</v>
      </c>
      <c r="W7" s="163">
        <f>'計分版'!G$14</f>
        <v>0.0000000003</v>
      </c>
      <c r="X7" s="163">
        <f>'計分版'!H$14</f>
        <v>0.0000000004</v>
      </c>
      <c r="Y7" s="163">
        <f>'計分版'!I$14</f>
        <v>0.0000000005</v>
      </c>
      <c r="Z7" s="163">
        <f>'計分版'!J$14</f>
        <v>0</v>
      </c>
      <c r="AA7" s="163">
        <f>'計分版'!K$14</f>
        <v>0</v>
      </c>
      <c r="AB7" s="163">
        <f>'計分版'!L$14</f>
        <v>0</v>
      </c>
      <c r="AC7" s="163">
        <f>'計分版'!M$14</f>
        <v>0</v>
      </c>
      <c r="AD7" s="163">
        <f>'計分版'!N$14</f>
        <v>0</v>
      </c>
      <c r="AE7" s="163"/>
      <c r="AF7" s="163" t="s">
        <v>1065</v>
      </c>
      <c r="AG7" s="163" t="s">
        <v>166</v>
      </c>
      <c r="AH7" s="163"/>
      <c r="AI7" s="163"/>
      <c r="AJ7" s="130"/>
      <c r="AK7" s="130"/>
      <c r="AL7" s="130"/>
      <c r="AM7" s="130"/>
      <c r="AN7" s="130"/>
      <c r="AO7" s="130"/>
      <c r="AP7" s="130"/>
      <c r="AQ7" s="130"/>
      <c r="AR7" s="130"/>
      <c r="AS7" s="130"/>
      <c r="AT7" s="130"/>
    </row>
    <row r="8" ht="13.5" customHeight="1">
      <c r="A8" s="130" t="str">
        <f>CityU!A7</f>
        <v>JS1012</v>
      </c>
      <c r="B8" s="130" t="str">
        <f>CityU!C7</f>
        <v>經濟及金融系 [選項: 工商管理學士(商業經濟)、工商管理學士(金融)]</v>
      </c>
      <c r="C8" s="130"/>
      <c r="D8" s="130"/>
      <c r="E8" s="163">
        <v>3.0</v>
      </c>
      <c r="F8" s="163">
        <v>3.0</v>
      </c>
      <c r="G8" s="163">
        <v>3.0</v>
      </c>
      <c r="H8" s="163">
        <v>2.0</v>
      </c>
      <c r="I8" s="163">
        <v>3.0</v>
      </c>
      <c r="J8" s="163">
        <v>3.0</v>
      </c>
      <c r="K8" s="130"/>
      <c r="L8" s="163">
        <f t="shared" ref="L8:O8" si="9">IF(E8&gt;U8,0,1)</f>
        <v>0</v>
      </c>
      <c r="M8" s="163">
        <f t="shared" si="9"/>
        <v>0</v>
      </c>
      <c r="N8" s="163">
        <f t="shared" si="9"/>
        <v>0</v>
      </c>
      <c r="O8" s="163">
        <f t="shared" si="9"/>
        <v>0</v>
      </c>
      <c r="P8" s="163">
        <f t="shared" si="3"/>
        <v>0</v>
      </c>
      <c r="Q8" s="163">
        <f t="shared" si="4"/>
        <v>0</v>
      </c>
      <c r="R8" s="130"/>
      <c r="S8" s="163">
        <f t="shared" si="5"/>
        <v>0</v>
      </c>
      <c r="T8" s="130"/>
      <c r="U8" s="163">
        <f>'計分版'!E$14</f>
        <v>0.0000000001</v>
      </c>
      <c r="V8" s="163">
        <f>'計分版'!F$14</f>
        <v>0.0000000002</v>
      </c>
      <c r="W8" s="163">
        <f>'計分版'!G$14</f>
        <v>0.0000000003</v>
      </c>
      <c r="X8" s="163">
        <f>'計分版'!H$14</f>
        <v>0.0000000004</v>
      </c>
      <c r="Y8" s="163">
        <f>'計分版'!I$14</f>
        <v>0.0000000005</v>
      </c>
      <c r="Z8" s="163">
        <f>'計分版'!J$14</f>
        <v>0</v>
      </c>
      <c r="AA8" s="163">
        <f>'計分版'!K$14</f>
        <v>0</v>
      </c>
      <c r="AB8" s="163">
        <f>'計分版'!L$14</f>
        <v>0</v>
      </c>
      <c r="AC8" s="163">
        <f>'計分版'!M$14</f>
        <v>0</v>
      </c>
      <c r="AD8" s="163">
        <f>'計分版'!N$14</f>
        <v>0</v>
      </c>
      <c r="AE8" s="163"/>
      <c r="AF8" s="163" t="s">
        <v>1065</v>
      </c>
      <c r="AG8" s="163" t="s">
        <v>166</v>
      </c>
      <c r="AH8" s="163"/>
      <c r="AI8" s="163"/>
      <c r="AJ8" s="130"/>
      <c r="AK8" s="130"/>
      <c r="AL8" s="130"/>
      <c r="AM8" s="130"/>
      <c r="AN8" s="130"/>
      <c r="AO8" s="130"/>
      <c r="AP8" s="130"/>
      <c r="AQ8" s="130"/>
      <c r="AR8" s="130"/>
      <c r="AS8" s="130"/>
      <c r="AT8" s="130"/>
    </row>
    <row r="9" ht="13.5" customHeight="1">
      <c r="A9" s="130" t="str">
        <f>CityU!A8</f>
        <v>JS1013</v>
      </c>
      <c r="B9" s="130" t="str">
        <f>CityU!C8</f>
        <v>工商管理學士(商業經濟)</v>
      </c>
      <c r="C9" s="130"/>
      <c r="D9" s="130"/>
      <c r="E9" s="163">
        <v>3.0</v>
      </c>
      <c r="F9" s="163">
        <v>3.0</v>
      </c>
      <c r="G9" s="163">
        <v>3.0</v>
      </c>
      <c r="H9" s="163">
        <v>2.0</v>
      </c>
      <c r="I9" s="163">
        <v>3.0</v>
      </c>
      <c r="J9" s="163">
        <v>3.0</v>
      </c>
      <c r="K9" s="130"/>
      <c r="L9" s="163">
        <f t="shared" ref="L9:O9" si="10">IF(E9&gt;U9,0,1)</f>
        <v>0</v>
      </c>
      <c r="M9" s="163">
        <f t="shared" si="10"/>
        <v>0</v>
      </c>
      <c r="N9" s="163">
        <f t="shared" si="10"/>
        <v>0</v>
      </c>
      <c r="O9" s="163">
        <f t="shared" si="10"/>
        <v>0</v>
      </c>
      <c r="P9" s="163">
        <f t="shared" si="3"/>
        <v>0</v>
      </c>
      <c r="Q9" s="163">
        <f t="shared" si="4"/>
        <v>0</v>
      </c>
      <c r="R9" s="130"/>
      <c r="S9" s="163">
        <f t="shared" si="5"/>
        <v>0</v>
      </c>
      <c r="T9" s="130"/>
      <c r="U9" s="163">
        <f>'計分版'!E$14</f>
        <v>0.0000000001</v>
      </c>
      <c r="V9" s="163">
        <f>'計分版'!F$14</f>
        <v>0.0000000002</v>
      </c>
      <c r="W9" s="163">
        <f>'計分版'!G$14</f>
        <v>0.0000000003</v>
      </c>
      <c r="X9" s="163">
        <f>'計分版'!H$14</f>
        <v>0.0000000004</v>
      </c>
      <c r="Y9" s="163">
        <f>'計分版'!I$14</f>
        <v>0.0000000005</v>
      </c>
      <c r="Z9" s="163">
        <f>'計分版'!J$14</f>
        <v>0</v>
      </c>
      <c r="AA9" s="163">
        <f>'計分版'!K$14</f>
        <v>0</v>
      </c>
      <c r="AB9" s="163">
        <f>'計分版'!L$14</f>
        <v>0</v>
      </c>
      <c r="AC9" s="163">
        <f>'計分版'!M$14</f>
        <v>0</v>
      </c>
      <c r="AD9" s="163">
        <f>'計分版'!N$14</f>
        <v>0</v>
      </c>
      <c r="AE9" s="163"/>
      <c r="AF9" s="163" t="s">
        <v>1065</v>
      </c>
      <c r="AG9" s="163" t="s">
        <v>166</v>
      </c>
      <c r="AH9" s="163"/>
      <c r="AI9" s="163"/>
      <c r="AJ9" s="130"/>
      <c r="AK9" s="130"/>
      <c r="AL9" s="130"/>
      <c r="AM9" s="130"/>
      <c r="AN9" s="130"/>
      <c r="AO9" s="130"/>
      <c r="AP9" s="130"/>
      <c r="AQ9" s="130"/>
      <c r="AR9" s="130"/>
      <c r="AS9" s="130"/>
      <c r="AT9" s="130"/>
    </row>
    <row r="10" ht="13.5" customHeight="1">
      <c r="A10" s="130" t="str">
        <f>CityU!A9</f>
        <v>JS1014</v>
      </c>
      <c r="B10" s="130" t="str">
        <f>CityU!C9</f>
        <v>工商管理學士(金融)</v>
      </c>
      <c r="C10" s="130"/>
      <c r="D10" s="130"/>
      <c r="E10" s="163">
        <v>3.0</v>
      </c>
      <c r="F10" s="163">
        <v>3.0</v>
      </c>
      <c r="G10" s="163">
        <v>3.0</v>
      </c>
      <c r="H10" s="163">
        <v>2.0</v>
      </c>
      <c r="I10" s="163">
        <v>3.0</v>
      </c>
      <c r="J10" s="163">
        <v>3.0</v>
      </c>
      <c r="K10" s="130"/>
      <c r="L10" s="163">
        <f t="shared" ref="L10:O10" si="11">IF(E10&gt;U10,0,1)</f>
        <v>0</v>
      </c>
      <c r="M10" s="163">
        <f t="shared" si="11"/>
        <v>0</v>
      </c>
      <c r="N10" s="163">
        <f t="shared" si="11"/>
        <v>0</v>
      </c>
      <c r="O10" s="163">
        <f t="shared" si="11"/>
        <v>0</v>
      </c>
      <c r="P10" s="163">
        <f t="shared" si="3"/>
        <v>0</v>
      </c>
      <c r="Q10" s="163">
        <f t="shared" si="4"/>
        <v>0</v>
      </c>
      <c r="R10" s="130"/>
      <c r="S10" s="163">
        <f t="shared" si="5"/>
        <v>0</v>
      </c>
      <c r="T10" s="130"/>
      <c r="U10" s="163">
        <f>'計分版'!E$14</f>
        <v>0.0000000001</v>
      </c>
      <c r="V10" s="163">
        <f>'計分版'!F$14</f>
        <v>0.0000000002</v>
      </c>
      <c r="W10" s="163">
        <f>'計分版'!G$14</f>
        <v>0.0000000003</v>
      </c>
      <c r="X10" s="163">
        <f>'計分版'!H$14</f>
        <v>0.0000000004</v>
      </c>
      <c r="Y10" s="163">
        <f>'計分版'!I$14</f>
        <v>0.0000000005</v>
      </c>
      <c r="Z10" s="163">
        <f>'計分版'!J$14</f>
        <v>0</v>
      </c>
      <c r="AA10" s="163">
        <f>'計分版'!K$14</f>
        <v>0</v>
      </c>
      <c r="AB10" s="163">
        <f>'計分版'!L$14</f>
        <v>0</v>
      </c>
      <c r="AC10" s="163">
        <f>'計分版'!M$14</f>
        <v>0</v>
      </c>
      <c r="AD10" s="163">
        <f>'計分版'!N$14</f>
        <v>0</v>
      </c>
      <c r="AE10" s="163"/>
      <c r="AF10" s="163" t="s">
        <v>1065</v>
      </c>
      <c r="AG10" s="163" t="s">
        <v>166</v>
      </c>
      <c r="AH10" s="163"/>
      <c r="AI10" s="163"/>
      <c r="AJ10" s="130"/>
      <c r="AK10" s="130"/>
      <c r="AL10" s="130"/>
      <c r="AM10" s="130"/>
      <c r="AN10" s="130"/>
      <c r="AO10" s="130"/>
      <c r="AP10" s="130"/>
      <c r="AQ10" s="130"/>
      <c r="AR10" s="130"/>
      <c r="AS10" s="130"/>
      <c r="AT10" s="130"/>
    </row>
    <row r="11" ht="13.5" customHeight="1">
      <c r="A11" s="130" t="str">
        <f>CityU!A10</f>
        <v>JS1017</v>
      </c>
      <c r="B11" s="130" t="str">
        <f>CityU!C10</f>
        <v>資訊系統學系 [選項: 工商管理學士(環球商業系統管理)、工商管理學士(資訊管理)]</v>
      </c>
      <c r="C11" s="130"/>
      <c r="D11" s="130"/>
      <c r="E11" s="163">
        <v>3.0</v>
      </c>
      <c r="F11" s="163">
        <v>3.0</v>
      </c>
      <c r="G11" s="163">
        <v>3.0</v>
      </c>
      <c r="H11" s="163">
        <v>2.0</v>
      </c>
      <c r="I11" s="163">
        <v>3.0</v>
      </c>
      <c r="J11" s="163">
        <v>3.0</v>
      </c>
      <c r="K11" s="130"/>
      <c r="L11" s="163">
        <f t="shared" ref="L11:O11" si="12">IF(E11&gt;U11,0,1)</f>
        <v>0</v>
      </c>
      <c r="M11" s="163">
        <f t="shared" si="12"/>
        <v>0</v>
      </c>
      <c r="N11" s="163">
        <f t="shared" si="12"/>
        <v>0</v>
      </c>
      <c r="O11" s="163">
        <f t="shared" si="12"/>
        <v>0</v>
      </c>
      <c r="P11" s="163">
        <f t="shared" si="3"/>
        <v>0</v>
      </c>
      <c r="Q11" s="163">
        <f t="shared" si="4"/>
        <v>0</v>
      </c>
      <c r="R11" s="130"/>
      <c r="S11" s="163">
        <f t="shared" si="5"/>
        <v>0</v>
      </c>
      <c r="T11" s="130"/>
      <c r="U11" s="163">
        <f>'計分版'!E$14</f>
        <v>0.0000000001</v>
      </c>
      <c r="V11" s="163">
        <f>'計分版'!F$14</f>
        <v>0.0000000002</v>
      </c>
      <c r="W11" s="163">
        <f>'計分版'!G$14</f>
        <v>0.0000000003</v>
      </c>
      <c r="X11" s="163">
        <f>'計分版'!H$14</f>
        <v>0.0000000004</v>
      </c>
      <c r="Y11" s="163">
        <f>'計分版'!I$14</f>
        <v>0.0000000005</v>
      </c>
      <c r="Z11" s="163">
        <f>'計分版'!J$14</f>
        <v>0</v>
      </c>
      <c r="AA11" s="163">
        <f>'計分版'!K$14</f>
        <v>0</v>
      </c>
      <c r="AB11" s="163">
        <f>'計分版'!L$14</f>
        <v>0</v>
      </c>
      <c r="AC11" s="163">
        <f>'計分版'!M$14</f>
        <v>0</v>
      </c>
      <c r="AD11" s="163">
        <f>'計分版'!N$14</f>
        <v>0</v>
      </c>
      <c r="AE11" s="163"/>
      <c r="AF11" s="163" t="s">
        <v>1065</v>
      </c>
      <c r="AG11" s="163" t="s">
        <v>166</v>
      </c>
      <c r="AH11" s="163"/>
      <c r="AI11" s="163"/>
      <c r="AJ11" s="130"/>
      <c r="AK11" s="130"/>
      <c r="AL11" s="130"/>
      <c r="AM11" s="130"/>
      <c r="AN11" s="130"/>
      <c r="AO11" s="130"/>
      <c r="AP11" s="130"/>
      <c r="AQ11" s="130"/>
      <c r="AR11" s="130"/>
      <c r="AS11" s="130"/>
      <c r="AT11" s="130"/>
    </row>
    <row r="12" ht="13.5" customHeight="1">
      <c r="A12" s="130" t="str">
        <f>CityU!A11</f>
        <v>JS1018</v>
      </c>
      <c r="B12" s="130" t="str">
        <f>CityU!C11</f>
        <v>工商管理學士(環球商業系統管理)</v>
      </c>
      <c r="C12" s="130"/>
      <c r="D12" s="130"/>
      <c r="E12" s="163">
        <v>3.0</v>
      </c>
      <c r="F12" s="163">
        <v>3.0</v>
      </c>
      <c r="G12" s="163">
        <v>3.0</v>
      </c>
      <c r="H12" s="163">
        <v>2.0</v>
      </c>
      <c r="I12" s="163">
        <v>3.0</v>
      </c>
      <c r="J12" s="163">
        <v>3.0</v>
      </c>
      <c r="K12" s="130"/>
      <c r="L12" s="163">
        <f t="shared" ref="L12:O12" si="13">IF(E12&gt;U12,0,1)</f>
        <v>0</v>
      </c>
      <c r="M12" s="163">
        <f t="shared" si="13"/>
        <v>0</v>
      </c>
      <c r="N12" s="163">
        <f t="shared" si="13"/>
        <v>0</v>
      </c>
      <c r="O12" s="163">
        <f t="shared" si="13"/>
        <v>0</v>
      </c>
      <c r="P12" s="163">
        <f t="shared" si="3"/>
        <v>0</v>
      </c>
      <c r="Q12" s="163">
        <f t="shared" si="4"/>
        <v>0</v>
      </c>
      <c r="R12" s="130"/>
      <c r="S12" s="163">
        <f t="shared" si="5"/>
        <v>0</v>
      </c>
      <c r="T12" s="130"/>
      <c r="U12" s="163">
        <f>'計分版'!E$14</f>
        <v>0.0000000001</v>
      </c>
      <c r="V12" s="163">
        <f>'計分版'!F$14</f>
        <v>0.0000000002</v>
      </c>
      <c r="W12" s="163">
        <f>'計分版'!G$14</f>
        <v>0.0000000003</v>
      </c>
      <c r="X12" s="163">
        <f>'計分版'!H$14</f>
        <v>0.0000000004</v>
      </c>
      <c r="Y12" s="163">
        <f>'計分版'!I$14</f>
        <v>0.0000000005</v>
      </c>
      <c r="Z12" s="163">
        <f>'計分版'!J$14</f>
        <v>0</v>
      </c>
      <c r="AA12" s="163">
        <f>'計分版'!K$14</f>
        <v>0</v>
      </c>
      <c r="AB12" s="163">
        <f>'計分版'!L$14</f>
        <v>0</v>
      </c>
      <c r="AC12" s="163">
        <f>'計分版'!M$14</f>
        <v>0</v>
      </c>
      <c r="AD12" s="163">
        <f>'計分版'!N$14</f>
        <v>0</v>
      </c>
      <c r="AE12" s="163"/>
      <c r="AF12" s="163" t="s">
        <v>1065</v>
      </c>
      <c r="AG12" s="163" t="s">
        <v>166</v>
      </c>
      <c r="AH12" s="163"/>
      <c r="AI12" s="163"/>
      <c r="AJ12" s="130"/>
      <c r="AK12" s="130"/>
      <c r="AL12" s="130"/>
      <c r="AM12" s="130"/>
      <c r="AN12" s="130"/>
      <c r="AO12" s="130"/>
      <c r="AP12" s="130"/>
      <c r="AQ12" s="130"/>
      <c r="AR12" s="130"/>
      <c r="AS12" s="130"/>
      <c r="AT12" s="130"/>
    </row>
    <row r="13" ht="13.5" customHeight="1">
      <c r="A13" s="130" t="str">
        <f>CityU!A12</f>
        <v>JS1019</v>
      </c>
      <c r="B13" s="130" t="str">
        <f>CityU!C12</f>
        <v>工商管理學士(資訊管理)</v>
      </c>
      <c r="C13" s="130"/>
      <c r="D13" s="130"/>
      <c r="E13" s="163">
        <v>3.0</v>
      </c>
      <c r="F13" s="163">
        <v>3.0</v>
      </c>
      <c r="G13" s="163">
        <v>3.0</v>
      </c>
      <c r="H13" s="163">
        <v>2.0</v>
      </c>
      <c r="I13" s="163">
        <v>3.0</v>
      </c>
      <c r="J13" s="163">
        <v>3.0</v>
      </c>
      <c r="K13" s="130"/>
      <c r="L13" s="163">
        <f t="shared" ref="L13:O13" si="14">IF(E13&gt;U13,0,1)</f>
        <v>0</v>
      </c>
      <c r="M13" s="163">
        <f t="shared" si="14"/>
        <v>0</v>
      </c>
      <c r="N13" s="163">
        <f t="shared" si="14"/>
        <v>0</v>
      </c>
      <c r="O13" s="163">
        <f t="shared" si="14"/>
        <v>0</v>
      </c>
      <c r="P13" s="163">
        <f t="shared" si="3"/>
        <v>0</v>
      </c>
      <c r="Q13" s="163">
        <f t="shared" si="4"/>
        <v>0</v>
      </c>
      <c r="R13" s="130"/>
      <c r="S13" s="163">
        <f t="shared" si="5"/>
        <v>0</v>
      </c>
      <c r="T13" s="130"/>
      <c r="U13" s="163">
        <f>'計分版'!E$14</f>
        <v>0.0000000001</v>
      </c>
      <c r="V13" s="163">
        <f>'計分版'!F$14</f>
        <v>0.0000000002</v>
      </c>
      <c r="W13" s="163">
        <f>'計分版'!G$14</f>
        <v>0.0000000003</v>
      </c>
      <c r="X13" s="163">
        <f>'計分版'!H$14</f>
        <v>0.0000000004</v>
      </c>
      <c r="Y13" s="163">
        <f>'計分版'!I$14</f>
        <v>0.0000000005</v>
      </c>
      <c r="Z13" s="163">
        <f>'計分版'!J$14</f>
        <v>0</v>
      </c>
      <c r="AA13" s="163">
        <f>'計分版'!K$14</f>
        <v>0</v>
      </c>
      <c r="AB13" s="163">
        <f>'計分版'!L$14</f>
        <v>0</v>
      </c>
      <c r="AC13" s="163">
        <f>'計分版'!M$14</f>
        <v>0</v>
      </c>
      <c r="AD13" s="163">
        <f>'計分版'!N$14</f>
        <v>0</v>
      </c>
      <c r="AE13" s="163"/>
      <c r="AF13" s="163" t="s">
        <v>1065</v>
      </c>
      <c r="AG13" s="163" t="s">
        <v>166</v>
      </c>
      <c r="AH13" s="163"/>
      <c r="AI13" s="163"/>
      <c r="AJ13" s="130"/>
      <c r="AK13" s="130"/>
      <c r="AL13" s="130"/>
      <c r="AM13" s="130"/>
      <c r="AN13" s="130"/>
      <c r="AO13" s="130"/>
      <c r="AP13" s="130"/>
      <c r="AQ13" s="130"/>
      <c r="AR13" s="130"/>
      <c r="AS13" s="130"/>
      <c r="AT13" s="130"/>
    </row>
    <row r="14" ht="13.5" customHeight="1">
      <c r="A14" s="130" t="str">
        <f>CityU!A13</f>
        <v>JS1025</v>
      </c>
      <c r="B14" s="130" t="str">
        <f>CityU!C13</f>
        <v>管理科學系 [選項: 工商管理學士(商業分析)、工商管理學士(商業營運管理)]</v>
      </c>
      <c r="C14" s="130"/>
      <c r="D14" s="130"/>
      <c r="E14" s="163">
        <v>3.0</v>
      </c>
      <c r="F14" s="163">
        <v>3.0</v>
      </c>
      <c r="G14" s="163">
        <v>3.0</v>
      </c>
      <c r="H14" s="163">
        <v>2.0</v>
      </c>
      <c r="I14" s="163">
        <v>3.0</v>
      </c>
      <c r="J14" s="163">
        <v>3.0</v>
      </c>
      <c r="K14" s="130"/>
      <c r="L14" s="163">
        <f t="shared" ref="L14:O14" si="15">IF(E14&gt;U14,0,1)</f>
        <v>0</v>
      </c>
      <c r="M14" s="163">
        <f t="shared" si="15"/>
        <v>0</v>
      </c>
      <c r="N14" s="163">
        <f t="shared" si="15"/>
        <v>0</v>
      </c>
      <c r="O14" s="163">
        <f t="shared" si="15"/>
        <v>0</v>
      </c>
      <c r="P14" s="163">
        <f t="shared" si="3"/>
        <v>0</v>
      </c>
      <c r="Q14" s="163">
        <f t="shared" si="4"/>
        <v>0</v>
      </c>
      <c r="R14" s="130"/>
      <c r="S14" s="163">
        <f t="shared" si="5"/>
        <v>0</v>
      </c>
      <c r="T14" s="130"/>
      <c r="U14" s="163">
        <f>'計分版'!E$14</f>
        <v>0.0000000001</v>
      </c>
      <c r="V14" s="163">
        <f>'計分版'!F$14</f>
        <v>0.0000000002</v>
      </c>
      <c r="W14" s="163">
        <f>'計分版'!G$14</f>
        <v>0.0000000003</v>
      </c>
      <c r="X14" s="163">
        <f>'計分版'!H$14</f>
        <v>0.0000000004</v>
      </c>
      <c r="Y14" s="163">
        <f>'計分版'!I$14</f>
        <v>0.0000000005</v>
      </c>
      <c r="Z14" s="163">
        <f>'計分版'!J$14</f>
        <v>0</v>
      </c>
      <c r="AA14" s="163">
        <f>'計分版'!K$14</f>
        <v>0</v>
      </c>
      <c r="AB14" s="163">
        <f>'計分版'!L$14</f>
        <v>0</v>
      </c>
      <c r="AC14" s="163">
        <f>'計分版'!M$14</f>
        <v>0</v>
      </c>
      <c r="AD14" s="163">
        <f>'計分版'!N$14</f>
        <v>0</v>
      </c>
      <c r="AE14" s="163"/>
      <c r="AF14" s="163" t="s">
        <v>1065</v>
      </c>
      <c r="AG14" s="163" t="s">
        <v>166</v>
      </c>
      <c r="AH14" s="163"/>
      <c r="AI14" s="163"/>
      <c r="AJ14" s="130"/>
      <c r="AK14" s="130"/>
      <c r="AL14" s="130"/>
      <c r="AM14" s="130"/>
      <c r="AN14" s="130"/>
      <c r="AO14" s="130"/>
      <c r="AP14" s="130"/>
      <c r="AQ14" s="130"/>
      <c r="AR14" s="130"/>
      <c r="AS14" s="130"/>
      <c r="AT14" s="130"/>
    </row>
    <row r="15" ht="13.5" customHeight="1">
      <c r="A15" s="130" t="str">
        <f>CityU!A14</f>
        <v>JS1026</v>
      </c>
      <c r="B15" s="130" t="str">
        <f>CityU!C14</f>
        <v>工商管理學士(商業分析)</v>
      </c>
      <c r="C15" s="130"/>
      <c r="D15" s="130"/>
      <c r="E15" s="163">
        <v>3.0</v>
      </c>
      <c r="F15" s="163">
        <v>3.0</v>
      </c>
      <c r="G15" s="163">
        <v>3.0</v>
      </c>
      <c r="H15" s="163">
        <v>2.0</v>
      </c>
      <c r="I15" s="163">
        <v>3.0</v>
      </c>
      <c r="J15" s="163">
        <v>3.0</v>
      </c>
      <c r="K15" s="130"/>
      <c r="L15" s="163">
        <f t="shared" ref="L15:O15" si="16">IF(E15&gt;U15,0,1)</f>
        <v>0</v>
      </c>
      <c r="M15" s="163">
        <f t="shared" si="16"/>
        <v>0</v>
      </c>
      <c r="N15" s="163">
        <f t="shared" si="16"/>
        <v>0</v>
      </c>
      <c r="O15" s="163">
        <f t="shared" si="16"/>
        <v>0</v>
      </c>
      <c r="P15" s="163">
        <f t="shared" si="3"/>
        <v>0</v>
      </c>
      <c r="Q15" s="163">
        <f t="shared" si="4"/>
        <v>0</v>
      </c>
      <c r="R15" s="130"/>
      <c r="S15" s="163">
        <f t="shared" si="5"/>
        <v>0</v>
      </c>
      <c r="T15" s="130"/>
      <c r="U15" s="163">
        <f>'計分版'!E$14</f>
        <v>0.0000000001</v>
      </c>
      <c r="V15" s="163">
        <f>'計分版'!F$14</f>
        <v>0.0000000002</v>
      </c>
      <c r="W15" s="163">
        <f>'計分版'!G$14</f>
        <v>0.0000000003</v>
      </c>
      <c r="X15" s="163">
        <f>'計分版'!H$14</f>
        <v>0.0000000004</v>
      </c>
      <c r="Y15" s="163">
        <f>'計分版'!I$14</f>
        <v>0.0000000005</v>
      </c>
      <c r="Z15" s="163">
        <f>'計分版'!J$14</f>
        <v>0</v>
      </c>
      <c r="AA15" s="163">
        <f>'計分版'!K$14</f>
        <v>0</v>
      </c>
      <c r="AB15" s="163">
        <f>'計分版'!L$14</f>
        <v>0</v>
      </c>
      <c r="AC15" s="163">
        <f>'計分版'!M$14</f>
        <v>0</v>
      </c>
      <c r="AD15" s="163">
        <f>'計分版'!N$14</f>
        <v>0</v>
      </c>
      <c r="AE15" s="163"/>
      <c r="AF15" s="163" t="s">
        <v>1065</v>
      </c>
      <c r="AG15" s="163" t="s">
        <v>166</v>
      </c>
      <c r="AH15" s="163"/>
      <c r="AI15" s="163"/>
      <c r="AJ15" s="130"/>
      <c r="AK15" s="130"/>
      <c r="AL15" s="130"/>
      <c r="AM15" s="130"/>
      <c r="AN15" s="130"/>
      <c r="AO15" s="130"/>
      <c r="AP15" s="130"/>
      <c r="AQ15" s="130"/>
      <c r="AR15" s="130"/>
      <c r="AS15" s="130"/>
      <c r="AT15" s="130"/>
    </row>
    <row r="16" ht="13.5" customHeight="1">
      <c r="A16" s="130" t="str">
        <f>CityU!A15</f>
        <v>JS1027</v>
      </c>
      <c r="B16" s="130" t="str">
        <f>CityU!C15</f>
        <v>工商管理學士(商業營運管理)</v>
      </c>
      <c r="C16" s="130"/>
      <c r="D16" s="130"/>
      <c r="E16" s="163">
        <v>3.0</v>
      </c>
      <c r="F16" s="163">
        <v>3.0</v>
      </c>
      <c r="G16" s="163">
        <v>3.0</v>
      </c>
      <c r="H16" s="163">
        <v>2.0</v>
      </c>
      <c r="I16" s="163">
        <v>3.0</v>
      </c>
      <c r="J16" s="163">
        <v>3.0</v>
      </c>
      <c r="K16" s="130"/>
      <c r="L16" s="163">
        <f t="shared" ref="L16:O16" si="17">IF(E16&gt;U16,0,1)</f>
        <v>0</v>
      </c>
      <c r="M16" s="163">
        <f t="shared" si="17"/>
        <v>0</v>
      </c>
      <c r="N16" s="163">
        <f t="shared" si="17"/>
        <v>0</v>
      </c>
      <c r="O16" s="163">
        <f t="shared" si="17"/>
        <v>0</v>
      </c>
      <c r="P16" s="163">
        <f t="shared" si="3"/>
        <v>0</v>
      </c>
      <c r="Q16" s="163">
        <f t="shared" si="4"/>
        <v>0</v>
      </c>
      <c r="R16" s="130"/>
      <c r="S16" s="163">
        <f t="shared" si="5"/>
        <v>0</v>
      </c>
      <c r="T16" s="130"/>
      <c r="U16" s="163">
        <f>'計分版'!E$14</f>
        <v>0.0000000001</v>
      </c>
      <c r="V16" s="163">
        <f>'計分版'!F$14</f>
        <v>0.0000000002</v>
      </c>
      <c r="W16" s="163">
        <f>'計分版'!G$14</f>
        <v>0.0000000003</v>
      </c>
      <c r="X16" s="163">
        <f>'計分版'!H$14</f>
        <v>0.0000000004</v>
      </c>
      <c r="Y16" s="163">
        <f>'計分版'!I$14</f>
        <v>0.0000000005</v>
      </c>
      <c r="Z16" s="163">
        <f>'計分版'!J$14</f>
        <v>0</v>
      </c>
      <c r="AA16" s="163">
        <f>'計分版'!K$14</f>
        <v>0</v>
      </c>
      <c r="AB16" s="163">
        <f>'計分版'!L$14</f>
        <v>0</v>
      </c>
      <c r="AC16" s="163">
        <f>'計分版'!M$14</f>
        <v>0</v>
      </c>
      <c r="AD16" s="163">
        <f>'計分版'!N$14</f>
        <v>0</v>
      </c>
      <c r="AE16" s="163"/>
      <c r="AF16" s="163" t="s">
        <v>1065</v>
      </c>
      <c r="AG16" s="163" t="s">
        <v>166</v>
      </c>
      <c r="AH16" s="163"/>
      <c r="AI16" s="163"/>
      <c r="AJ16" s="130"/>
      <c r="AK16" s="130"/>
      <c r="AL16" s="130"/>
      <c r="AM16" s="130"/>
      <c r="AN16" s="130"/>
      <c r="AO16" s="130"/>
      <c r="AP16" s="130"/>
      <c r="AQ16" s="130"/>
      <c r="AR16" s="130"/>
      <c r="AS16" s="130"/>
      <c r="AT16" s="130"/>
    </row>
    <row r="17" ht="13.5" customHeight="1">
      <c r="A17" s="130" t="str">
        <f>CityU!A16</f>
        <v>JS1041</v>
      </c>
      <c r="B17" s="130" t="str">
        <f>CityU!C16</f>
        <v>創意媒體學院 [選項: 文學士(創意媒體)、理學士(創意媒體)、文理學士(新媒體)]</v>
      </c>
      <c r="C17" s="130"/>
      <c r="D17" s="130"/>
      <c r="E17" s="163">
        <v>3.0</v>
      </c>
      <c r="F17" s="163">
        <v>3.0</v>
      </c>
      <c r="G17" s="163">
        <v>2.0</v>
      </c>
      <c r="H17" s="163">
        <v>2.0</v>
      </c>
      <c r="I17" s="163">
        <v>3.0</v>
      </c>
      <c r="J17" s="163">
        <v>3.0</v>
      </c>
      <c r="K17" s="130"/>
      <c r="L17" s="163">
        <f t="shared" ref="L17:O17" si="18">IF(E17&gt;U17,0,1)</f>
        <v>0</v>
      </c>
      <c r="M17" s="163">
        <f t="shared" si="18"/>
        <v>0</v>
      </c>
      <c r="N17" s="163">
        <f t="shared" si="18"/>
        <v>0</v>
      </c>
      <c r="O17" s="163">
        <f t="shared" si="18"/>
        <v>0</v>
      </c>
      <c r="P17" s="163">
        <f t="shared" si="3"/>
        <v>0</v>
      </c>
      <c r="Q17" s="163">
        <f t="shared" si="4"/>
        <v>0</v>
      </c>
      <c r="R17" s="130"/>
      <c r="S17" s="163">
        <f t="shared" si="5"/>
        <v>0</v>
      </c>
      <c r="T17" s="130"/>
      <c r="U17" s="163">
        <f>'計分版'!E$14</f>
        <v>0.0000000001</v>
      </c>
      <c r="V17" s="163">
        <f>'計分版'!F$14</f>
        <v>0.0000000002</v>
      </c>
      <c r="W17" s="163">
        <f>'計分版'!G$14</f>
        <v>0.0000000003</v>
      </c>
      <c r="X17" s="163">
        <f>'計分版'!H$14</f>
        <v>0.0000000004</v>
      </c>
      <c r="Y17" s="163">
        <f>'計分版'!I$14</f>
        <v>0.0000000005</v>
      </c>
      <c r="Z17" s="163">
        <f>'計分版'!J$14</f>
        <v>0</v>
      </c>
      <c r="AA17" s="163">
        <f>'計分版'!K$14</f>
        <v>0</v>
      </c>
      <c r="AB17" s="163">
        <f>'計分版'!L$14</f>
        <v>0</v>
      </c>
      <c r="AC17" s="163">
        <f>'計分版'!M$14</f>
        <v>0</v>
      </c>
      <c r="AD17" s="163">
        <f>'計分版'!N$14</f>
        <v>0</v>
      </c>
      <c r="AE17" s="163"/>
      <c r="AF17" s="163" t="s">
        <v>1065</v>
      </c>
      <c r="AG17" s="163" t="s">
        <v>166</v>
      </c>
      <c r="AH17" s="163" t="s">
        <v>1065</v>
      </c>
      <c r="AI17" s="163"/>
      <c r="AJ17" s="130"/>
      <c r="AK17" s="130"/>
      <c r="AL17" s="130"/>
      <c r="AM17" s="130"/>
      <c r="AN17" s="130"/>
      <c r="AO17" s="130"/>
      <c r="AP17" s="130"/>
      <c r="AQ17" s="130"/>
      <c r="AR17" s="130"/>
      <c r="AS17" s="130"/>
      <c r="AT17" s="130"/>
    </row>
    <row r="18" ht="13.5" customHeight="1">
      <c r="A18" s="130" t="str">
        <f>CityU!A17</f>
        <v>JS1042</v>
      </c>
      <c r="B18" s="130" t="str">
        <f>CityU!C17</f>
        <v>文學士(創意媒體)</v>
      </c>
      <c r="C18" s="130"/>
      <c r="D18" s="130"/>
      <c r="E18" s="163">
        <v>3.0</v>
      </c>
      <c r="F18" s="163">
        <v>3.0</v>
      </c>
      <c r="G18" s="163">
        <v>2.0</v>
      </c>
      <c r="H18" s="163">
        <v>2.0</v>
      </c>
      <c r="I18" s="163">
        <v>3.0</v>
      </c>
      <c r="J18" s="163">
        <v>3.0</v>
      </c>
      <c r="K18" s="130"/>
      <c r="L18" s="163">
        <f t="shared" ref="L18:O18" si="19">IF(E18&gt;U18,0,1)</f>
        <v>0</v>
      </c>
      <c r="M18" s="163">
        <f t="shared" si="19"/>
        <v>0</v>
      </c>
      <c r="N18" s="163">
        <f t="shared" si="19"/>
        <v>0</v>
      </c>
      <c r="O18" s="163">
        <f t="shared" si="19"/>
        <v>0</v>
      </c>
      <c r="P18" s="163">
        <f t="shared" si="3"/>
        <v>0</v>
      </c>
      <c r="Q18" s="163">
        <f t="shared" si="4"/>
        <v>0</v>
      </c>
      <c r="R18" s="130"/>
      <c r="S18" s="163">
        <f t="shared" si="5"/>
        <v>0</v>
      </c>
      <c r="T18" s="130"/>
      <c r="U18" s="163">
        <f>'計分版'!E$14</f>
        <v>0.0000000001</v>
      </c>
      <c r="V18" s="163">
        <f>'計分版'!F$14</f>
        <v>0.0000000002</v>
      </c>
      <c r="W18" s="163">
        <f>'計分版'!G$14</f>
        <v>0.0000000003</v>
      </c>
      <c r="X18" s="163">
        <f>'計分版'!H$14</f>
        <v>0.0000000004</v>
      </c>
      <c r="Y18" s="163">
        <f>'計分版'!I$14</f>
        <v>0.0000000005</v>
      </c>
      <c r="Z18" s="163">
        <f>'計分版'!J$14</f>
        <v>0</v>
      </c>
      <c r="AA18" s="163">
        <f>'計分版'!K$14</f>
        <v>0</v>
      </c>
      <c r="AB18" s="163">
        <f>'計分版'!L$14</f>
        <v>0</v>
      </c>
      <c r="AC18" s="163">
        <f>'計分版'!M$14</f>
        <v>0</v>
      </c>
      <c r="AD18" s="163">
        <f>'計分版'!N$14</f>
        <v>0</v>
      </c>
      <c r="AE18" s="163"/>
      <c r="AF18" s="163" t="s">
        <v>1065</v>
      </c>
      <c r="AG18" s="163" t="s">
        <v>166</v>
      </c>
      <c r="AH18" s="163" t="s">
        <v>1065</v>
      </c>
      <c r="AI18" s="163"/>
      <c r="AJ18" s="130"/>
      <c r="AK18" s="130"/>
      <c r="AL18" s="130"/>
      <c r="AM18" s="130"/>
      <c r="AN18" s="130"/>
      <c r="AO18" s="130"/>
      <c r="AP18" s="130"/>
      <c r="AQ18" s="130"/>
      <c r="AR18" s="130"/>
      <c r="AS18" s="130"/>
      <c r="AT18" s="130"/>
    </row>
    <row r="19" ht="13.5" customHeight="1">
      <c r="A19" s="130" t="str">
        <f>CityU!A18</f>
        <v>JS1043</v>
      </c>
      <c r="B19" s="130" t="str">
        <f>CityU!C18</f>
        <v>理學士(創意媒體)</v>
      </c>
      <c r="C19" s="130"/>
      <c r="D19" s="130"/>
      <c r="E19" s="163">
        <v>3.0</v>
      </c>
      <c r="F19" s="163">
        <v>3.0</v>
      </c>
      <c r="G19" s="163">
        <v>2.0</v>
      </c>
      <c r="H19" s="163">
        <v>2.0</v>
      </c>
      <c r="I19" s="163">
        <v>3.0</v>
      </c>
      <c r="J19" s="163">
        <v>3.0</v>
      </c>
      <c r="K19" s="130"/>
      <c r="L19" s="163">
        <f t="shared" ref="L19:O19" si="20">IF(E19&gt;U19,0,1)</f>
        <v>0</v>
      </c>
      <c r="M19" s="163">
        <f t="shared" si="20"/>
        <v>0</v>
      </c>
      <c r="N19" s="163">
        <f t="shared" si="20"/>
        <v>0</v>
      </c>
      <c r="O19" s="163">
        <f t="shared" si="20"/>
        <v>0</v>
      </c>
      <c r="P19" s="163">
        <f t="shared" si="3"/>
        <v>0</v>
      </c>
      <c r="Q19" s="163">
        <f t="shared" si="4"/>
        <v>0</v>
      </c>
      <c r="R19" s="130"/>
      <c r="S19" s="163">
        <f t="shared" si="5"/>
        <v>0</v>
      </c>
      <c r="T19" s="130"/>
      <c r="U19" s="163">
        <f>'計分版'!E$14</f>
        <v>0.0000000001</v>
      </c>
      <c r="V19" s="163">
        <f>'計分版'!F$14</f>
        <v>0.0000000002</v>
      </c>
      <c r="W19" s="163">
        <f>'計分版'!G$14</f>
        <v>0.0000000003</v>
      </c>
      <c r="X19" s="163">
        <f>'計分版'!H$14</f>
        <v>0.0000000004</v>
      </c>
      <c r="Y19" s="163">
        <f>'計分版'!I$14</f>
        <v>0.0000000005</v>
      </c>
      <c r="Z19" s="163">
        <f>'計分版'!J$14</f>
        <v>0</v>
      </c>
      <c r="AA19" s="163">
        <f>'計分版'!K$14</f>
        <v>0</v>
      </c>
      <c r="AB19" s="163">
        <f>'計分版'!L$14</f>
        <v>0</v>
      </c>
      <c r="AC19" s="163">
        <f>'計分版'!M$14</f>
        <v>0</v>
      </c>
      <c r="AD19" s="163">
        <f>'計分版'!N$14</f>
        <v>0</v>
      </c>
      <c r="AE19" s="163"/>
      <c r="AF19" s="163" t="s">
        <v>1065</v>
      </c>
      <c r="AG19" s="163" t="s">
        <v>166</v>
      </c>
      <c r="AH19" s="163" t="s">
        <v>1065</v>
      </c>
      <c r="AI19" s="163"/>
      <c r="AJ19" s="130"/>
      <c r="AK19" s="130"/>
      <c r="AL19" s="130"/>
      <c r="AM19" s="130"/>
      <c r="AN19" s="130"/>
      <c r="AO19" s="130"/>
      <c r="AP19" s="130"/>
      <c r="AQ19" s="130"/>
      <c r="AR19" s="130"/>
      <c r="AS19" s="130"/>
      <c r="AT19" s="130"/>
    </row>
    <row r="20" ht="13.5" customHeight="1">
      <c r="A20" s="130" t="str">
        <f>CityU!A19</f>
        <v>JS1044</v>
      </c>
      <c r="B20" s="130" t="str">
        <f>CityU!C19</f>
        <v>文理學士(新媒體)</v>
      </c>
      <c r="C20" s="130"/>
      <c r="D20" s="130"/>
      <c r="E20" s="163">
        <v>3.0</v>
      </c>
      <c r="F20" s="163">
        <v>3.0</v>
      </c>
      <c r="G20" s="163">
        <v>2.0</v>
      </c>
      <c r="H20" s="163">
        <v>2.0</v>
      </c>
      <c r="I20" s="163">
        <v>3.0</v>
      </c>
      <c r="J20" s="163">
        <v>3.0</v>
      </c>
      <c r="K20" s="130"/>
      <c r="L20" s="163">
        <f t="shared" ref="L20:O20" si="21">IF(E20&gt;U20,0,1)</f>
        <v>0</v>
      </c>
      <c r="M20" s="163">
        <f t="shared" si="21"/>
        <v>0</v>
      </c>
      <c r="N20" s="163">
        <f t="shared" si="21"/>
        <v>0</v>
      </c>
      <c r="O20" s="163">
        <f t="shared" si="21"/>
        <v>0</v>
      </c>
      <c r="P20" s="163">
        <f t="shared" si="3"/>
        <v>0</v>
      </c>
      <c r="Q20" s="163">
        <f t="shared" si="4"/>
        <v>0</v>
      </c>
      <c r="R20" s="130"/>
      <c r="S20" s="163">
        <f t="shared" si="5"/>
        <v>0</v>
      </c>
      <c r="T20" s="130"/>
      <c r="U20" s="163">
        <f>'計分版'!E$14</f>
        <v>0.0000000001</v>
      </c>
      <c r="V20" s="163">
        <f>'計分版'!F$14</f>
        <v>0.0000000002</v>
      </c>
      <c r="W20" s="163">
        <f>'計分版'!G$14</f>
        <v>0.0000000003</v>
      </c>
      <c r="X20" s="163">
        <f>'計分版'!H$14</f>
        <v>0.0000000004</v>
      </c>
      <c r="Y20" s="163">
        <f>'計分版'!I$14</f>
        <v>0.0000000005</v>
      </c>
      <c r="Z20" s="163">
        <f>'計分版'!J$14</f>
        <v>0</v>
      </c>
      <c r="AA20" s="163">
        <f>'計分版'!K$14</f>
        <v>0</v>
      </c>
      <c r="AB20" s="163">
        <f>'計分版'!L$14</f>
        <v>0</v>
      </c>
      <c r="AC20" s="163">
        <f>'計分版'!M$14</f>
        <v>0</v>
      </c>
      <c r="AD20" s="163">
        <f>'計分版'!N$14</f>
        <v>0</v>
      </c>
      <c r="AE20" s="163"/>
      <c r="AF20" s="163" t="s">
        <v>1065</v>
      </c>
      <c r="AG20" s="163" t="s">
        <v>166</v>
      </c>
      <c r="AH20" s="163" t="s">
        <v>1065</v>
      </c>
      <c r="AI20" s="163"/>
      <c r="AJ20" s="130"/>
      <c r="AK20" s="130"/>
      <c r="AL20" s="130"/>
      <c r="AM20" s="130"/>
      <c r="AN20" s="130"/>
      <c r="AO20" s="130"/>
      <c r="AP20" s="130"/>
      <c r="AQ20" s="130"/>
      <c r="AR20" s="130"/>
      <c r="AS20" s="130"/>
      <c r="AT20" s="130"/>
    </row>
    <row r="21" ht="13.5" customHeight="1">
      <c r="A21" s="130" t="str">
        <f>CityU!A20</f>
        <v>JS1051</v>
      </c>
      <c r="B21" s="130" t="str">
        <f>CityU!C20</f>
        <v>能源及環境學院 [選項: 工學士(能源科學及工程學)、工學士(環境科學及工程學)]</v>
      </c>
      <c r="C21" s="130"/>
      <c r="D21" s="130"/>
      <c r="E21" s="163">
        <v>3.0</v>
      </c>
      <c r="F21" s="163">
        <v>3.0</v>
      </c>
      <c r="G21" s="163">
        <v>2.0</v>
      </c>
      <c r="H21" s="163">
        <v>2.0</v>
      </c>
      <c r="I21" s="163">
        <v>3.0</v>
      </c>
      <c r="J21" s="163">
        <v>3.0</v>
      </c>
      <c r="K21" s="130"/>
      <c r="L21" s="163">
        <f t="shared" ref="L21:O21" si="22">IF(E21&gt;U21,0,1)</f>
        <v>0</v>
      </c>
      <c r="M21" s="163">
        <f t="shared" si="22"/>
        <v>0</v>
      </c>
      <c r="N21" s="163">
        <f t="shared" si="22"/>
        <v>0</v>
      </c>
      <c r="O21" s="163">
        <f t="shared" si="22"/>
        <v>0</v>
      </c>
      <c r="P21" s="163">
        <f>IF('計分版'!$T$30=0,0,IF(I21&gt;LARGE(Y21:AD21,1),0,1))</f>
        <v>0</v>
      </c>
      <c r="Q21" s="163">
        <f t="shared" si="4"/>
        <v>0</v>
      </c>
      <c r="R21" s="130"/>
      <c r="S21" s="163">
        <f t="shared" si="5"/>
        <v>0</v>
      </c>
      <c r="T21" s="130"/>
      <c r="U21" s="163">
        <f>'計分版'!E$14</f>
        <v>0.0000000001</v>
      </c>
      <c r="V21" s="163">
        <f>'計分版'!F$14</f>
        <v>0.0000000002</v>
      </c>
      <c r="W21" s="163">
        <f>'計分版'!G$14</f>
        <v>0.0000000003</v>
      </c>
      <c r="X21" s="163">
        <f>'計分版'!H$14</f>
        <v>0.0000000004</v>
      </c>
      <c r="Y21" s="163">
        <f>'計分版'!I$14</f>
        <v>0.0000000005</v>
      </c>
      <c r="Z21" s="163">
        <f>'計分版'!J$14</f>
        <v>0</v>
      </c>
      <c r="AA21" s="163">
        <f>'計分版'!K$14</f>
        <v>0</v>
      </c>
      <c r="AB21" s="163">
        <f>'計分版'!L$14</f>
        <v>0</v>
      </c>
      <c r="AC21" s="163">
        <f>'計分版'!M$14</f>
        <v>0</v>
      </c>
      <c r="AD21" s="163">
        <f>'計分版'!N$14</f>
        <v>0</v>
      </c>
      <c r="AE21" s="163"/>
      <c r="AF21" s="163" t="s">
        <v>1065</v>
      </c>
      <c r="AG21" s="163" t="s">
        <v>166</v>
      </c>
      <c r="AH21" s="163"/>
      <c r="AI21" s="163"/>
      <c r="AJ21" s="130"/>
      <c r="AK21" s="130"/>
      <c r="AL21" s="130"/>
      <c r="AM21" s="130"/>
      <c r="AN21" s="130"/>
      <c r="AO21" s="130"/>
      <c r="AP21" s="130"/>
      <c r="AQ21" s="130"/>
      <c r="AR21" s="130"/>
      <c r="AS21" s="130"/>
      <c r="AT21" s="130"/>
    </row>
    <row r="22" ht="13.5" customHeight="1">
      <c r="A22" s="130" t="str">
        <f>CityU!A21</f>
        <v>JS1061</v>
      </c>
      <c r="B22" s="130" t="str">
        <f>CityU!C21</f>
        <v>法律學學士</v>
      </c>
      <c r="C22" s="130"/>
      <c r="D22" s="130"/>
      <c r="E22" s="163">
        <v>3.0</v>
      </c>
      <c r="F22" s="163">
        <v>5.0</v>
      </c>
      <c r="G22" s="163">
        <v>2.0</v>
      </c>
      <c r="H22" s="163">
        <v>2.0</v>
      </c>
      <c r="I22" s="163">
        <v>3.0</v>
      </c>
      <c r="J22" s="163">
        <v>3.0</v>
      </c>
      <c r="K22" s="130"/>
      <c r="L22" s="163">
        <f t="shared" ref="L22:O22" si="23">IF(E22&gt;U22,0,1)</f>
        <v>0</v>
      </c>
      <c r="M22" s="163">
        <f t="shared" si="23"/>
        <v>0</v>
      </c>
      <c r="N22" s="163">
        <f t="shared" si="23"/>
        <v>0</v>
      </c>
      <c r="O22" s="163">
        <f t="shared" si="23"/>
        <v>0</v>
      </c>
      <c r="P22" s="163">
        <f t="shared" ref="P22:P37" si="25">IF(I22&gt;LARGE(Y22:AD22,1),0,1)</f>
        <v>0</v>
      </c>
      <c r="Q22" s="163">
        <f t="shared" si="4"/>
        <v>0</v>
      </c>
      <c r="R22" s="130"/>
      <c r="S22" s="163">
        <f t="shared" si="5"/>
        <v>0</v>
      </c>
      <c r="T22" s="130"/>
      <c r="U22" s="163">
        <f>'計分版'!E$14</f>
        <v>0.0000000001</v>
      </c>
      <c r="V22" s="163">
        <f>'計分版'!F$14</f>
        <v>0.0000000002</v>
      </c>
      <c r="W22" s="163">
        <f>'計分版'!G$14</f>
        <v>0.0000000003</v>
      </c>
      <c r="X22" s="163">
        <f>'計分版'!H$14</f>
        <v>0.0000000004</v>
      </c>
      <c r="Y22" s="163">
        <f>'計分版'!I$14</f>
        <v>0.0000000005</v>
      </c>
      <c r="Z22" s="163">
        <f>'計分版'!J$14</f>
        <v>0</v>
      </c>
      <c r="AA22" s="163">
        <f>'計分版'!K$14</f>
        <v>0</v>
      </c>
      <c r="AB22" s="163">
        <f>'計分版'!L$14</f>
        <v>0</v>
      </c>
      <c r="AC22" s="163">
        <f>'計分版'!M$14</f>
        <v>0</v>
      </c>
      <c r="AD22" s="163">
        <f>'計分版'!N$14</f>
        <v>0</v>
      </c>
      <c r="AE22" s="163"/>
      <c r="AF22" s="163" t="s">
        <v>1065</v>
      </c>
      <c r="AG22" s="163" t="s">
        <v>166</v>
      </c>
      <c r="AH22" s="163"/>
      <c r="AI22" s="163"/>
      <c r="AJ22" s="130"/>
      <c r="AK22" s="130"/>
      <c r="AL22" s="130"/>
      <c r="AM22" s="130"/>
      <c r="AN22" s="130"/>
      <c r="AO22" s="130"/>
      <c r="AP22" s="130"/>
      <c r="AQ22" s="130"/>
      <c r="AR22" s="130"/>
      <c r="AS22" s="130"/>
      <c r="AT22" s="130"/>
    </row>
    <row r="23" ht="13.5" customHeight="1">
      <c r="A23" s="130" t="str">
        <f>CityU!A22</f>
        <v>JS1071</v>
      </c>
      <c r="B23" s="130" t="str">
        <f>CityU!C22</f>
        <v>數據科學學院 [選項：理學士 (數據科學)、工學士 (數據與系統工程)]</v>
      </c>
      <c r="C23" s="130"/>
      <c r="D23" s="130"/>
      <c r="E23" s="163">
        <v>3.0</v>
      </c>
      <c r="F23" s="163">
        <v>3.0</v>
      </c>
      <c r="G23" s="163">
        <v>3.0</v>
      </c>
      <c r="H23" s="163">
        <v>2.0</v>
      </c>
      <c r="I23" s="163">
        <v>3.0</v>
      </c>
      <c r="J23" s="163">
        <v>3.0</v>
      </c>
      <c r="K23" s="130"/>
      <c r="L23" s="163">
        <f t="shared" ref="L23:O23" si="24">IF(E23&gt;U23,0,1)</f>
        <v>0</v>
      </c>
      <c r="M23" s="163">
        <f t="shared" si="24"/>
        <v>0</v>
      </c>
      <c r="N23" s="163">
        <f t="shared" si="24"/>
        <v>0</v>
      </c>
      <c r="O23" s="163">
        <f t="shared" si="24"/>
        <v>0</v>
      </c>
      <c r="P23" s="163">
        <f t="shared" si="25"/>
        <v>0</v>
      </c>
      <c r="Q23" s="163">
        <f t="shared" si="4"/>
        <v>0</v>
      </c>
      <c r="R23" s="130"/>
      <c r="S23" s="163">
        <f t="shared" si="5"/>
        <v>0</v>
      </c>
      <c r="T23" s="130"/>
      <c r="U23" s="163">
        <f>'計分版'!E$14</f>
        <v>0.0000000001</v>
      </c>
      <c r="V23" s="163">
        <f>'計分版'!F$14</f>
        <v>0.0000000002</v>
      </c>
      <c r="W23" s="163">
        <f>'計分版'!G$14</f>
        <v>0.0000000003</v>
      </c>
      <c r="X23" s="163">
        <f>'計分版'!H$14</f>
        <v>0.0000000004</v>
      </c>
      <c r="Y23" s="163">
        <f>'計分版'!I$14</f>
        <v>0.0000000005</v>
      </c>
      <c r="Z23" s="163">
        <f>'計分版'!J$14</f>
        <v>0</v>
      </c>
      <c r="AA23" s="163">
        <f>'計分版'!K$14</f>
        <v>0</v>
      </c>
      <c r="AB23" s="163">
        <f>'計分版'!L$14</f>
        <v>0</v>
      </c>
      <c r="AC23" s="163">
        <f>'計分版'!M$14</f>
        <v>0</v>
      </c>
      <c r="AD23" s="163">
        <f>'計分版'!N$14</f>
        <v>0</v>
      </c>
      <c r="AE23" s="163"/>
      <c r="AF23" s="163" t="s">
        <v>1065</v>
      </c>
      <c r="AG23" s="163" t="s">
        <v>166</v>
      </c>
      <c r="AH23" s="163"/>
      <c r="AI23" s="163"/>
      <c r="AJ23" s="130"/>
      <c r="AK23" s="130"/>
      <c r="AL23" s="130"/>
      <c r="AM23" s="130"/>
      <c r="AN23" s="130"/>
      <c r="AO23" s="130"/>
      <c r="AP23" s="130"/>
      <c r="AQ23" s="130"/>
      <c r="AR23" s="130"/>
      <c r="AS23" s="130"/>
      <c r="AT23" s="130"/>
    </row>
    <row r="24" ht="13.5" customHeight="1">
      <c r="A24" s="130" t="str">
        <f>CityU!A23</f>
        <v>JS1072</v>
      </c>
      <c r="B24" s="130" t="str">
        <f>CityU!C23</f>
        <v>理學士(數據科學)</v>
      </c>
      <c r="C24" s="130"/>
      <c r="D24" s="130"/>
      <c r="E24" s="163">
        <v>3.0</v>
      </c>
      <c r="F24" s="163">
        <v>3.0</v>
      </c>
      <c r="G24" s="163">
        <v>3.0</v>
      </c>
      <c r="H24" s="163">
        <v>2.0</v>
      </c>
      <c r="I24" s="163">
        <v>3.0</v>
      </c>
      <c r="J24" s="163">
        <v>3.0</v>
      </c>
      <c r="K24" s="130"/>
      <c r="L24" s="163">
        <f t="shared" ref="L24:O24" si="26">IF(E24&gt;U24,0,1)</f>
        <v>0</v>
      </c>
      <c r="M24" s="163">
        <f t="shared" si="26"/>
        <v>0</v>
      </c>
      <c r="N24" s="163">
        <f t="shared" si="26"/>
        <v>0</v>
      </c>
      <c r="O24" s="163">
        <f t="shared" si="26"/>
        <v>0</v>
      </c>
      <c r="P24" s="163">
        <f t="shared" si="25"/>
        <v>0</v>
      </c>
      <c r="Q24" s="163">
        <f t="shared" si="4"/>
        <v>0</v>
      </c>
      <c r="R24" s="130"/>
      <c r="S24" s="163">
        <f t="shared" si="5"/>
        <v>0</v>
      </c>
      <c r="T24" s="130"/>
      <c r="U24" s="163">
        <f>'計分版'!E$14</f>
        <v>0.0000000001</v>
      </c>
      <c r="V24" s="163">
        <f>'計分版'!F$14</f>
        <v>0.0000000002</v>
      </c>
      <c r="W24" s="163">
        <f>'計分版'!G$14</f>
        <v>0.0000000003</v>
      </c>
      <c r="X24" s="163">
        <f>'計分版'!H$14</f>
        <v>0.0000000004</v>
      </c>
      <c r="Y24" s="163">
        <f>'計分版'!I$14</f>
        <v>0.0000000005</v>
      </c>
      <c r="Z24" s="163">
        <f>'計分版'!J$14</f>
        <v>0</v>
      </c>
      <c r="AA24" s="163">
        <f>'計分版'!K$14</f>
        <v>0</v>
      </c>
      <c r="AB24" s="163">
        <f>'計分版'!L$14</f>
        <v>0</v>
      </c>
      <c r="AC24" s="163">
        <f>'計分版'!M$14</f>
        <v>0</v>
      </c>
      <c r="AD24" s="163">
        <f>'計分版'!N$14</f>
        <v>0</v>
      </c>
      <c r="AE24" s="163"/>
      <c r="AF24" s="163" t="s">
        <v>1065</v>
      </c>
      <c r="AG24" s="163" t="s">
        <v>166</v>
      </c>
      <c r="AH24" s="163"/>
      <c r="AI24" s="163"/>
      <c r="AJ24" s="130"/>
      <c r="AK24" s="130"/>
      <c r="AL24" s="130"/>
      <c r="AM24" s="130"/>
      <c r="AN24" s="130"/>
      <c r="AO24" s="130"/>
      <c r="AP24" s="130"/>
      <c r="AQ24" s="130"/>
      <c r="AR24" s="130"/>
      <c r="AS24" s="130"/>
      <c r="AT24" s="130"/>
    </row>
    <row r="25" ht="13.5" customHeight="1">
      <c r="A25" s="130" t="str">
        <f>CityU!A24</f>
        <v>JS1073</v>
      </c>
      <c r="B25" s="130" t="str">
        <f>CityU!C24</f>
        <v>工學士(數據與系統工程)</v>
      </c>
      <c r="C25" s="130"/>
      <c r="D25" s="130"/>
      <c r="E25" s="163">
        <v>3.0</v>
      </c>
      <c r="F25" s="163">
        <v>3.0</v>
      </c>
      <c r="G25" s="163">
        <v>3.0</v>
      </c>
      <c r="H25" s="163">
        <v>2.0</v>
      </c>
      <c r="I25" s="163">
        <v>3.0</v>
      </c>
      <c r="J25" s="163">
        <v>3.0</v>
      </c>
      <c r="K25" s="130"/>
      <c r="L25" s="163">
        <f t="shared" ref="L25:O25" si="27">IF(E25&gt;U25,0,1)</f>
        <v>0</v>
      </c>
      <c r="M25" s="163">
        <f t="shared" si="27"/>
        <v>0</v>
      </c>
      <c r="N25" s="163">
        <f t="shared" si="27"/>
        <v>0</v>
      </c>
      <c r="O25" s="163">
        <f t="shared" si="27"/>
        <v>0</v>
      </c>
      <c r="P25" s="163">
        <f t="shared" si="25"/>
        <v>0</v>
      </c>
      <c r="Q25" s="163">
        <f t="shared" si="4"/>
        <v>0</v>
      </c>
      <c r="R25" s="130"/>
      <c r="S25" s="163">
        <f t="shared" si="5"/>
        <v>0</v>
      </c>
      <c r="T25" s="130"/>
      <c r="U25" s="163">
        <f>'計分版'!E$14</f>
        <v>0.0000000001</v>
      </c>
      <c r="V25" s="163">
        <f>'計分版'!F$14</f>
        <v>0.0000000002</v>
      </c>
      <c r="W25" s="163">
        <f>'計分版'!G$14</f>
        <v>0.0000000003</v>
      </c>
      <c r="X25" s="163">
        <f>'計分版'!H$14</f>
        <v>0.0000000004</v>
      </c>
      <c r="Y25" s="163">
        <f>'計分版'!I$14</f>
        <v>0.0000000005</v>
      </c>
      <c r="Z25" s="163">
        <f>'計分版'!J$14</f>
        <v>0</v>
      </c>
      <c r="AA25" s="163">
        <f>'計分版'!K$14</f>
        <v>0</v>
      </c>
      <c r="AB25" s="163">
        <f>'計分版'!L$14</f>
        <v>0</v>
      </c>
      <c r="AC25" s="163">
        <f>'計分版'!M$14</f>
        <v>0</v>
      </c>
      <c r="AD25" s="163">
        <f>'計分版'!N$14</f>
        <v>0</v>
      </c>
      <c r="AE25" s="163"/>
      <c r="AF25" s="163" t="s">
        <v>1065</v>
      </c>
      <c r="AG25" s="163" t="s">
        <v>166</v>
      </c>
      <c r="AH25" s="163"/>
      <c r="AI25" s="163"/>
      <c r="AJ25" s="130"/>
      <c r="AK25" s="130"/>
      <c r="AL25" s="130"/>
      <c r="AM25" s="130"/>
      <c r="AN25" s="130"/>
      <c r="AO25" s="130"/>
      <c r="AP25" s="130"/>
      <c r="AQ25" s="130"/>
      <c r="AR25" s="130"/>
      <c r="AS25" s="130"/>
      <c r="AT25" s="130"/>
    </row>
    <row r="26" ht="13.5" customHeight="1">
      <c r="A26" s="130" t="str">
        <f>CityU!A25</f>
        <v>JS1091</v>
      </c>
      <c r="B26" s="130" t="str">
        <f>CityU!C25</f>
        <v>建築科技學部 [選項: 理學副學士(屋宇裝備工程學)、理學副學士(建造工程及管理學)、理學副學士(測量學)]</v>
      </c>
      <c r="C26" s="130"/>
      <c r="D26" s="130"/>
      <c r="E26" s="163">
        <v>2.0</v>
      </c>
      <c r="F26" s="163">
        <v>2.0</v>
      </c>
      <c r="G26" s="163">
        <v>2.0</v>
      </c>
      <c r="H26" s="163">
        <v>2.0</v>
      </c>
      <c r="I26" s="163">
        <v>2.0</v>
      </c>
      <c r="J26" s="163"/>
      <c r="K26" s="130"/>
      <c r="L26" s="163">
        <f t="shared" ref="L26:O26" si="28">IF(E26&gt;U26,0,1)</f>
        <v>0</v>
      </c>
      <c r="M26" s="163">
        <f t="shared" si="28"/>
        <v>0</v>
      </c>
      <c r="N26" s="163">
        <f t="shared" si="28"/>
        <v>0</v>
      </c>
      <c r="O26" s="163">
        <f t="shared" si="28"/>
        <v>0</v>
      </c>
      <c r="P26" s="163">
        <f t="shared" si="25"/>
        <v>0</v>
      </c>
      <c r="Q26" s="163"/>
      <c r="R26" s="130"/>
      <c r="S26" s="163">
        <f t="shared" ref="S26:S27" si="30">L26*M26*N26*O26*P26</f>
        <v>0</v>
      </c>
      <c r="T26" s="130"/>
      <c r="U26" s="163">
        <f>'計分版'!E$14</f>
        <v>0.0000000001</v>
      </c>
      <c r="V26" s="163">
        <f>'計分版'!F$14</f>
        <v>0.0000000002</v>
      </c>
      <c r="W26" s="163">
        <f>'計分版'!G$14</f>
        <v>0.0000000003</v>
      </c>
      <c r="X26" s="163">
        <f>'計分版'!H$14</f>
        <v>0.0000000004</v>
      </c>
      <c r="Y26" s="163">
        <f>'計分版'!I$14</f>
        <v>0.0000000005</v>
      </c>
      <c r="Z26" s="163">
        <f>'計分版'!J$14</f>
        <v>0</v>
      </c>
      <c r="AA26" s="163">
        <f>'計分版'!K$14</f>
        <v>0</v>
      </c>
      <c r="AB26" s="163">
        <f>'計分版'!L$14</f>
        <v>0</v>
      </c>
      <c r="AC26" s="163">
        <f>'計分版'!M$14</f>
        <v>0</v>
      </c>
      <c r="AD26" s="163">
        <f>'計分版'!N$14</f>
        <v>0</v>
      </c>
      <c r="AE26" s="163"/>
      <c r="AF26" s="163" t="s">
        <v>1065</v>
      </c>
      <c r="AG26" s="163" t="s">
        <v>166</v>
      </c>
      <c r="AH26" s="163"/>
      <c r="AI26" s="163"/>
      <c r="AJ26" s="130"/>
      <c r="AK26" s="130"/>
      <c r="AL26" s="130"/>
      <c r="AM26" s="130"/>
      <c r="AN26" s="130"/>
      <c r="AO26" s="130"/>
      <c r="AP26" s="130"/>
      <c r="AQ26" s="130"/>
      <c r="AR26" s="130"/>
      <c r="AS26" s="130"/>
      <c r="AT26" s="130"/>
    </row>
    <row r="27" ht="13.5" customHeight="1">
      <c r="A27" s="130" t="str">
        <f>CityU!A26</f>
        <v>JS1093</v>
      </c>
      <c r="B27" s="130" t="str">
        <f>CityU!C26</f>
        <v>理學副學士(建築學)</v>
      </c>
      <c r="C27" s="130"/>
      <c r="D27" s="130"/>
      <c r="E27" s="163">
        <v>2.0</v>
      </c>
      <c r="F27" s="163">
        <v>2.0</v>
      </c>
      <c r="G27" s="163">
        <v>2.0</v>
      </c>
      <c r="H27" s="163">
        <v>2.0</v>
      </c>
      <c r="I27" s="163">
        <v>2.0</v>
      </c>
      <c r="J27" s="163"/>
      <c r="K27" s="130"/>
      <c r="L27" s="163">
        <f t="shared" ref="L27:O27" si="29">IF(E27&gt;U27,0,1)</f>
        <v>0</v>
      </c>
      <c r="M27" s="163">
        <f t="shared" si="29"/>
        <v>0</v>
      </c>
      <c r="N27" s="163">
        <f t="shared" si="29"/>
        <v>0</v>
      </c>
      <c r="O27" s="163">
        <f t="shared" si="29"/>
        <v>0</v>
      </c>
      <c r="P27" s="163">
        <f t="shared" si="25"/>
        <v>0</v>
      </c>
      <c r="Q27" s="163"/>
      <c r="R27" s="130"/>
      <c r="S27" s="163">
        <f t="shared" si="30"/>
        <v>0</v>
      </c>
      <c r="T27" s="130"/>
      <c r="U27" s="163">
        <f>'計分版'!E$14</f>
        <v>0.0000000001</v>
      </c>
      <c r="V27" s="163">
        <f>'計分版'!F$14</f>
        <v>0.0000000002</v>
      </c>
      <c r="W27" s="163">
        <f>'計分版'!G$14</f>
        <v>0.0000000003</v>
      </c>
      <c r="X27" s="163">
        <f>'計分版'!H$14</f>
        <v>0.0000000004</v>
      </c>
      <c r="Y27" s="163">
        <f>'計分版'!I$14</f>
        <v>0.0000000005</v>
      </c>
      <c r="Z27" s="163">
        <f>'計分版'!J$14</f>
        <v>0</v>
      </c>
      <c r="AA27" s="163">
        <f>'計分版'!K$14</f>
        <v>0</v>
      </c>
      <c r="AB27" s="163">
        <f>'計分版'!L$14</f>
        <v>0</v>
      </c>
      <c r="AC27" s="163">
        <f>'計分版'!M$14</f>
        <v>0</v>
      </c>
      <c r="AD27" s="163">
        <f>'計分版'!N$14</f>
        <v>0</v>
      </c>
      <c r="AE27" s="163"/>
      <c r="AF27" s="163" t="s">
        <v>1065</v>
      </c>
      <c r="AG27" s="163" t="s">
        <v>166</v>
      </c>
      <c r="AH27" s="163"/>
      <c r="AI27" s="163"/>
      <c r="AJ27" s="130"/>
      <c r="AK27" s="130"/>
      <c r="AL27" s="130"/>
      <c r="AM27" s="130"/>
      <c r="AN27" s="130"/>
      <c r="AO27" s="130"/>
      <c r="AP27" s="130"/>
      <c r="AQ27" s="130"/>
      <c r="AR27" s="130"/>
      <c r="AS27" s="130"/>
      <c r="AT27" s="130"/>
    </row>
    <row r="28" ht="13.5" customHeight="1">
      <c r="A28" s="130" t="str">
        <f>CityU!A27</f>
        <v>JS1102</v>
      </c>
      <c r="B28" s="130" t="str">
        <f>CityU!C27</f>
        <v>社會科學學士(亞洲及國際研究)</v>
      </c>
      <c r="C28" s="130"/>
      <c r="D28" s="130"/>
      <c r="E28" s="163">
        <v>3.0</v>
      </c>
      <c r="F28" s="163">
        <v>3.0</v>
      </c>
      <c r="G28" s="163">
        <v>2.0</v>
      </c>
      <c r="H28" s="163">
        <v>2.0</v>
      </c>
      <c r="I28" s="163">
        <v>3.0</v>
      </c>
      <c r="J28" s="163">
        <v>3.0</v>
      </c>
      <c r="K28" s="130"/>
      <c r="L28" s="163">
        <f t="shared" ref="L28:O28" si="31">IF(E28&gt;U28,0,1)</f>
        <v>0</v>
      </c>
      <c r="M28" s="163">
        <f t="shared" si="31"/>
        <v>0</v>
      </c>
      <c r="N28" s="163">
        <f t="shared" si="31"/>
        <v>0</v>
      </c>
      <c r="O28" s="163">
        <f t="shared" si="31"/>
        <v>0</v>
      </c>
      <c r="P28" s="163">
        <f t="shared" si="25"/>
        <v>0</v>
      </c>
      <c r="Q28" s="163">
        <f t="shared" ref="Q28:Q37" si="33">IF(J28&gt;LARGE(Y28:AD28,2),0,1)</f>
        <v>0</v>
      </c>
      <c r="R28" s="130"/>
      <c r="S28" s="163">
        <f t="shared" ref="S28:S52" si="34">L28*M28*N28*O28*P28*Q28</f>
        <v>0</v>
      </c>
      <c r="T28" s="130"/>
      <c r="U28" s="163">
        <f>'計分版'!E$14</f>
        <v>0.0000000001</v>
      </c>
      <c r="V28" s="163">
        <f>'計分版'!F$14</f>
        <v>0.0000000002</v>
      </c>
      <c r="W28" s="163">
        <f>'計分版'!G$14</f>
        <v>0.0000000003</v>
      </c>
      <c r="X28" s="163">
        <f>'計分版'!H$14</f>
        <v>0.0000000004</v>
      </c>
      <c r="Y28" s="163">
        <f>'計分版'!I$14</f>
        <v>0.0000000005</v>
      </c>
      <c r="Z28" s="163">
        <f>'計分版'!J$14</f>
        <v>0</v>
      </c>
      <c r="AA28" s="163">
        <f>'計分版'!K$14</f>
        <v>0</v>
      </c>
      <c r="AB28" s="163">
        <f>'計分版'!L$14</f>
        <v>0</v>
      </c>
      <c r="AC28" s="163">
        <f>'計分版'!M$14</f>
        <v>0</v>
      </c>
      <c r="AD28" s="163">
        <f>'計分版'!N$14</f>
        <v>0</v>
      </c>
      <c r="AE28" s="163"/>
      <c r="AF28" s="163" t="s">
        <v>1065</v>
      </c>
      <c r="AG28" s="163" t="s">
        <v>166</v>
      </c>
      <c r="AH28" s="163"/>
      <c r="AI28" s="163"/>
      <c r="AJ28" s="130"/>
      <c r="AK28" s="130"/>
      <c r="AL28" s="130"/>
      <c r="AM28" s="130"/>
      <c r="AN28" s="130"/>
      <c r="AO28" s="130"/>
      <c r="AP28" s="130"/>
      <c r="AQ28" s="130"/>
      <c r="AR28" s="130"/>
      <c r="AS28" s="130"/>
      <c r="AT28" s="130"/>
    </row>
    <row r="29" ht="13.5" customHeight="1">
      <c r="A29" s="130" t="str">
        <f>CityU!A28</f>
        <v>JS1103</v>
      </c>
      <c r="B29" s="130" t="str">
        <f>CityU!C28</f>
        <v>文學士(中文及歷史)</v>
      </c>
      <c r="C29" s="130"/>
      <c r="D29" s="130"/>
      <c r="E29" s="163">
        <v>3.0</v>
      </c>
      <c r="F29" s="163">
        <v>3.0</v>
      </c>
      <c r="G29" s="163">
        <v>2.0</v>
      </c>
      <c r="H29" s="163">
        <v>2.0</v>
      </c>
      <c r="I29" s="163">
        <v>3.0</v>
      </c>
      <c r="J29" s="163">
        <v>3.0</v>
      </c>
      <c r="K29" s="130"/>
      <c r="L29" s="163">
        <f t="shared" ref="L29:O29" si="32">IF(E29&gt;U29,0,1)</f>
        <v>0</v>
      </c>
      <c r="M29" s="163">
        <f t="shared" si="32"/>
        <v>0</v>
      </c>
      <c r="N29" s="163">
        <f t="shared" si="32"/>
        <v>0</v>
      </c>
      <c r="O29" s="163">
        <f t="shared" si="32"/>
        <v>0</v>
      </c>
      <c r="P29" s="163">
        <f t="shared" si="25"/>
        <v>0</v>
      </c>
      <c r="Q29" s="163">
        <f t="shared" si="33"/>
        <v>0</v>
      </c>
      <c r="R29" s="130"/>
      <c r="S29" s="163">
        <f t="shared" si="34"/>
        <v>0</v>
      </c>
      <c r="T29" s="130"/>
      <c r="U29" s="163">
        <f>'計分版'!E$14</f>
        <v>0.0000000001</v>
      </c>
      <c r="V29" s="163">
        <f>'計分版'!F$14</f>
        <v>0.0000000002</v>
      </c>
      <c r="W29" s="163">
        <f>'計分版'!G$14</f>
        <v>0.0000000003</v>
      </c>
      <c r="X29" s="163">
        <f>'計分版'!H$14</f>
        <v>0.0000000004</v>
      </c>
      <c r="Y29" s="163">
        <f>'計分版'!I$14</f>
        <v>0.0000000005</v>
      </c>
      <c r="Z29" s="163">
        <f>'計分版'!J$14</f>
        <v>0</v>
      </c>
      <c r="AA29" s="163">
        <f>'計分版'!K$14</f>
        <v>0</v>
      </c>
      <c r="AB29" s="163">
        <f>'計分版'!L$14</f>
        <v>0</v>
      </c>
      <c r="AC29" s="163">
        <f>'計分版'!M$14</f>
        <v>0</v>
      </c>
      <c r="AD29" s="163">
        <f>'計分版'!N$14</f>
        <v>0</v>
      </c>
      <c r="AE29" s="163"/>
      <c r="AF29" s="163" t="s">
        <v>1065</v>
      </c>
      <c r="AG29" s="163" t="s">
        <v>166</v>
      </c>
      <c r="AH29" s="163"/>
      <c r="AI29" s="163"/>
      <c r="AJ29" s="130"/>
      <c r="AK29" s="130"/>
      <c r="AL29" s="130"/>
      <c r="AM29" s="130"/>
      <c r="AN29" s="130"/>
      <c r="AO29" s="130"/>
      <c r="AP29" s="130"/>
      <c r="AQ29" s="130"/>
      <c r="AR29" s="130"/>
      <c r="AS29" s="130"/>
      <c r="AT29" s="130"/>
    </row>
    <row r="30" ht="13.5" customHeight="1">
      <c r="A30" s="130" t="str">
        <f>CityU!A29</f>
        <v>JS1104</v>
      </c>
      <c r="B30" s="130" t="str">
        <f>CityU!C29</f>
        <v>文學士(英語語言)</v>
      </c>
      <c r="C30" s="130"/>
      <c r="D30" s="130"/>
      <c r="E30" s="163">
        <v>3.0</v>
      </c>
      <c r="F30" s="163">
        <v>3.0</v>
      </c>
      <c r="G30" s="163">
        <v>2.0</v>
      </c>
      <c r="H30" s="163">
        <v>2.0</v>
      </c>
      <c r="I30" s="163">
        <v>3.0</v>
      </c>
      <c r="J30" s="163">
        <v>3.0</v>
      </c>
      <c r="K30" s="130"/>
      <c r="L30" s="163">
        <f t="shared" ref="L30:O30" si="35">IF(E30&gt;U30,0,1)</f>
        <v>0</v>
      </c>
      <c r="M30" s="163">
        <f t="shared" si="35"/>
        <v>0</v>
      </c>
      <c r="N30" s="163">
        <f t="shared" si="35"/>
        <v>0</v>
      </c>
      <c r="O30" s="163">
        <f t="shared" si="35"/>
        <v>0</v>
      </c>
      <c r="P30" s="163">
        <f t="shared" si="25"/>
        <v>0</v>
      </c>
      <c r="Q30" s="163">
        <f t="shared" si="33"/>
        <v>0</v>
      </c>
      <c r="R30" s="130"/>
      <c r="S30" s="163">
        <f t="shared" si="34"/>
        <v>0</v>
      </c>
      <c r="T30" s="130"/>
      <c r="U30" s="163">
        <f>'計分版'!E$14</f>
        <v>0.0000000001</v>
      </c>
      <c r="V30" s="163">
        <f>'計分版'!F$14</f>
        <v>0.0000000002</v>
      </c>
      <c r="W30" s="163">
        <f>'計分版'!G$14</f>
        <v>0.0000000003</v>
      </c>
      <c r="X30" s="163">
        <f>'計分版'!H$14</f>
        <v>0.0000000004</v>
      </c>
      <c r="Y30" s="163">
        <f>'計分版'!I$14</f>
        <v>0.0000000005</v>
      </c>
      <c r="Z30" s="163">
        <f>'計分版'!J$14</f>
        <v>0</v>
      </c>
      <c r="AA30" s="163">
        <f>'計分版'!K$14</f>
        <v>0</v>
      </c>
      <c r="AB30" s="163">
        <f>'計分版'!L$14</f>
        <v>0</v>
      </c>
      <c r="AC30" s="163">
        <f>'計分版'!M$14</f>
        <v>0</v>
      </c>
      <c r="AD30" s="163">
        <f>'計分版'!N$14</f>
        <v>0</v>
      </c>
      <c r="AE30" s="163"/>
      <c r="AF30" s="163" t="s">
        <v>1065</v>
      </c>
      <c r="AG30" s="163" t="s">
        <v>166</v>
      </c>
      <c r="AH30" s="163"/>
      <c r="AI30" s="163"/>
      <c r="AJ30" s="130"/>
      <c r="AK30" s="130"/>
      <c r="AL30" s="130"/>
      <c r="AM30" s="130"/>
      <c r="AN30" s="130"/>
      <c r="AO30" s="130"/>
      <c r="AP30" s="130"/>
      <c r="AQ30" s="130"/>
      <c r="AR30" s="130"/>
      <c r="AS30" s="130"/>
      <c r="AT30" s="130"/>
    </row>
    <row r="31" ht="13.5" customHeight="1">
      <c r="A31" s="130" t="str">
        <f>CityU!A30</f>
        <v>JS1105</v>
      </c>
      <c r="B31" s="130" t="str">
        <f>CityU!C30</f>
        <v>翻譯及語言學系 [選項: 文學士(語言學及語言應用)、文學士(翻譯及傳譯)]</v>
      </c>
      <c r="C31" s="130"/>
      <c r="D31" s="130"/>
      <c r="E31" s="163">
        <v>3.0</v>
      </c>
      <c r="F31" s="163">
        <v>3.0</v>
      </c>
      <c r="G31" s="163">
        <v>2.0</v>
      </c>
      <c r="H31" s="163">
        <v>2.0</v>
      </c>
      <c r="I31" s="163">
        <v>3.0</v>
      </c>
      <c r="J31" s="163">
        <v>3.0</v>
      </c>
      <c r="K31" s="130"/>
      <c r="L31" s="163">
        <f t="shared" ref="L31:O31" si="36">IF(E31&gt;U31,0,1)</f>
        <v>0</v>
      </c>
      <c r="M31" s="163">
        <f t="shared" si="36"/>
        <v>0</v>
      </c>
      <c r="N31" s="163">
        <f t="shared" si="36"/>
        <v>0</v>
      </c>
      <c r="O31" s="163">
        <f t="shared" si="36"/>
        <v>0</v>
      </c>
      <c r="P31" s="163">
        <f t="shared" si="25"/>
        <v>0</v>
      </c>
      <c r="Q31" s="163">
        <f t="shared" si="33"/>
        <v>0</v>
      </c>
      <c r="R31" s="130"/>
      <c r="S31" s="163">
        <f t="shared" si="34"/>
        <v>0</v>
      </c>
      <c r="T31" s="130"/>
      <c r="U31" s="163">
        <f>'計分版'!E$14</f>
        <v>0.0000000001</v>
      </c>
      <c r="V31" s="163">
        <f>'計分版'!F$14</f>
        <v>0.0000000002</v>
      </c>
      <c r="W31" s="163">
        <f>'計分版'!G$14</f>
        <v>0.0000000003</v>
      </c>
      <c r="X31" s="163">
        <f>'計分版'!H$14</f>
        <v>0.0000000004</v>
      </c>
      <c r="Y31" s="163">
        <f>'計分版'!I$14</f>
        <v>0.0000000005</v>
      </c>
      <c r="Z31" s="163">
        <f>'計分版'!J$14</f>
        <v>0</v>
      </c>
      <c r="AA31" s="163">
        <f>'計分版'!K$14</f>
        <v>0</v>
      </c>
      <c r="AB31" s="163">
        <f>'計分版'!L$14</f>
        <v>0</v>
      </c>
      <c r="AC31" s="163">
        <f>'計分版'!M$14</f>
        <v>0</v>
      </c>
      <c r="AD31" s="163">
        <f>'計分版'!N$14</f>
        <v>0</v>
      </c>
      <c r="AE31" s="163"/>
      <c r="AF31" s="163" t="s">
        <v>1065</v>
      </c>
      <c r="AG31" s="163" t="s">
        <v>166</v>
      </c>
      <c r="AH31" s="163"/>
      <c r="AI31" s="163"/>
      <c r="AJ31" s="130"/>
      <c r="AK31" s="130"/>
      <c r="AL31" s="130"/>
      <c r="AM31" s="130"/>
      <c r="AN31" s="130"/>
      <c r="AO31" s="130"/>
      <c r="AP31" s="130"/>
      <c r="AQ31" s="130"/>
      <c r="AR31" s="130"/>
      <c r="AS31" s="130"/>
      <c r="AT31" s="130"/>
    </row>
    <row r="32" ht="13.5" customHeight="1">
      <c r="A32" s="130" t="str">
        <f>CityU!A31</f>
        <v>JS1106</v>
      </c>
      <c r="B32" s="130" t="str">
        <f>CityU!C31</f>
        <v>媒體與傳播系 [選項: 文學士(數碼電視與廣播)、文學士(媒體與傳播)]</v>
      </c>
      <c r="C32" s="130"/>
      <c r="D32" s="130"/>
      <c r="E32" s="163">
        <v>3.0</v>
      </c>
      <c r="F32" s="163">
        <v>3.0</v>
      </c>
      <c r="G32" s="163">
        <v>2.0</v>
      </c>
      <c r="H32" s="163">
        <v>2.0</v>
      </c>
      <c r="I32" s="163">
        <v>3.0</v>
      </c>
      <c r="J32" s="163">
        <v>3.0</v>
      </c>
      <c r="K32" s="130"/>
      <c r="L32" s="163">
        <f t="shared" ref="L32:O32" si="37">IF(E32&gt;U32,0,1)</f>
        <v>0</v>
      </c>
      <c r="M32" s="163">
        <f t="shared" si="37"/>
        <v>0</v>
      </c>
      <c r="N32" s="163">
        <f t="shared" si="37"/>
        <v>0</v>
      </c>
      <c r="O32" s="163">
        <f t="shared" si="37"/>
        <v>0</v>
      </c>
      <c r="P32" s="163">
        <f t="shared" si="25"/>
        <v>0</v>
      </c>
      <c r="Q32" s="163">
        <f t="shared" si="33"/>
        <v>0</v>
      </c>
      <c r="R32" s="130"/>
      <c r="S32" s="163">
        <f t="shared" si="34"/>
        <v>0</v>
      </c>
      <c r="T32" s="130"/>
      <c r="U32" s="163">
        <f>'計分版'!E$14</f>
        <v>0.0000000001</v>
      </c>
      <c r="V32" s="163">
        <f>'計分版'!F$14</f>
        <v>0.0000000002</v>
      </c>
      <c r="W32" s="163">
        <f>'計分版'!G$14</f>
        <v>0.0000000003</v>
      </c>
      <c r="X32" s="163">
        <f>'計分版'!H$14</f>
        <v>0.0000000004</v>
      </c>
      <c r="Y32" s="163">
        <f>'計分版'!I$14</f>
        <v>0.0000000005</v>
      </c>
      <c r="Z32" s="163">
        <f>'計分版'!J$14</f>
        <v>0</v>
      </c>
      <c r="AA32" s="163">
        <f>'計分版'!K$14</f>
        <v>0</v>
      </c>
      <c r="AB32" s="163">
        <f>'計分版'!L$14</f>
        <v>0</v>
      </c>
      <c r="AC32" s="163">
        <f>'計分版'!M$14</f>
        <v>0</v>
      </c>
      <c r="AD32" s="163">
        <f>'計分版'!N$14</f>
        <v>0</v>
      </c>
      <c r="AE32" s="163"/>
      <c r="AF32" s="163" t="s">
        <v>1065</v>
      </c>
      <c r="AG32" s="163" t="s">
        <v>166</v>
      </c>
      <c r="AH32" s="163"/>
      <c r="AI32" s="163"/>
      <c r="AJ32" s="130"/>
      <c r="AK32" s="130"/>
      <c r="AL32" s="130"/>
      <c r="AM32" s="130"/>
      <c r="AN32" s="130"/>
      <c r="AO32" s="130"/>
      <c r="AP32" s="130"/>
      <c r="AQ32" s="130"/>
      <c r="AR32" s="130"/>
      <c r="AS32" s="130"/>
      <c r="AT32" s="130"/>
    </row>
    <row r="33" ht="13.5" customHeight="1">
      <c r="A33" s="130" t="str">
        <f>CityU!A32</f>
        <v>JS1108</v>
      </c>
      <c r="B33" s="130" t="str">
        <f>CityU!C32</f>
        <v>社會科學學士(公共政策與政治)</v>
      </c>
      <c r="C33" s="130"/>
      <c r="D33" s="130"/>
      <c r="E33" s="163">
        <v>3.0</v>
      </c>
      <c r="F33" s="163">
        <v>3.0</v>
      </c>
      <c r="G33" s="163">
        <v>2.0</v>
      </c>
      <c r="H33" s="163">
        <v>2.0</v>
      </c>
      <c r="I33" s="163">
        <v>3.0</v>
      </c>
      <c r="J33" s="163">
        <v>3.0</v>
      </c>
      <c r="K33" s="130"/>
      <c r="L33" s="163">
        <f t="shared" ref="L33:O33" si="38">IF(E33&gt;U33,0,1)</f>
        <v>0</v>
      </c>
      <c r="M33" s="163">
        <f t="shared" si="38"/>
        <v>0</v>
      </c>
      <c r="N33" s="163">
        <f t="shared" si="38"/>
        <v>0</v>
      </c>
      <c r="O33" s="163">
        <f t="shared" si="38"/>
        <v>0</v>
      </c>
      <c r="P33" s="163">
        <f t="shared" si="25"/>
        <v>0</v>
      </c>
      <c r="Q33" s="163">
        <f t="shared" si="33"/>
        <v>0</v>
      </c>
      <c r="R33" s="130"/>
      <c r="S33" s="163">
        <f t="shared" si="34"/>
        <v>0</v>
      </c>
      <c r="T33" s="130"/>
      <c r="U33" s="163">
        <f>'計分版'!E$14</f>
        <v>0.0000000001</v>
      </c>
      <c r="V33" s="163">
        <f>'計分版'!F$14</f>
        <v>0.0000000002</v>
      </c>
      <c r="W33" s="163">
        <f>'計分版'!G$14</f>
        <v>0.0000000003</v>
      </c>
      <c r="X33" s="163">
        <f>'計分版'!H$14</f>
        <v>0.0000000004</v>
      </c>
      <c r="Y33" s="163">
        <f>'計分版'!I$14</f>
        <v>0.0000000005</v>
      </c>
      <c r="Z33" s="163">
        <f>'計分版'!J$14</f>
        <v>0</v>
      </c>
      <c r="AA33" s="163">
        <f>'計分版'!K$14</f>
        <v>0</v>
      </c>
      <c r="AB33" s="163">
        <f>'計分版'!L$14</f>
        <v>0</v>
      </c>
      <c r="AC33" s="163">
        <f>'計分版'!M$14</f>
        <v>0</v>
      </c>
      <c r="AD33" s="163">
        <f>'計分版'!N$14</f>
        <v>0</v>
      </c>
      <c r="AE33" s="163"/>
      <c r="AF33" s="163" t="s">
        <v>1065</v>
      </c>
      <c r="AG33" s="163" t="s">
        <v>166</v>
      </c>
      <c r="AH33" s="163"/>
      <c r="AI33" s="163"/>
      <c r="AJ33" s="130"/>
      <c r="AK33" s="130"/>
      <c r="AL33" s="130"/>
      <c r="AM33" s="130"/>
      <c r="AN33" s="130"/>
      <c r="AO33" s="130"/>
      <c r="AP33" s="130"/>
      <c r="AQ33" s="130"/>
      <c r="AR33" s="130"/>
      <c r="AS33" s="130"/>
      <c r="AT33" s="130"/>
    </row>
    <row r="34" ht="13.5" customHeight="1">
      <c r="A34" s="130" t="str">
        <f>CityU!A33</f>
        <v>JS1110</v>
      </c>
      <c r="B34" s="130" t="str">
        <f>CityU!C33</f>
        <v>社會及行為科學系 [選項: 社會科學學士(犯罪學及社會學)、社會科學學士(心理學)、社會科學學士(社會工作)]</v>
      </c>
      <c r="C34" s="130"/>
      <c r="D34" s="130"/>
      <c r="E34" s="163">
        <v>3.0</v>
      </c>
      <c r="F34" s="163">
        <v>3.0</v>
      </c>
      <c r="G34" s="163">
        <v>2.0</v>
      </c>
      <c r="H34" s="163">
        <v>2.0</v>
      </c>
      <c r="I34" s="163">
        <v>3.0</v>
      </c>
      <c r="J34" s="163">
        <v>3.0</v>
      </c>
      <c r="K34" s="130"/>
      <c r="L34" s="163">
        <f t="shared" ref="L34:O34" si="39">IF(E34&gt;U34,0,1)</f>
        <v>0</v>
      </c>
      <c r="M34" s="163">
        <f t="shared" si="39"/>
        <v>0</v>
      </c>
      <c r="N34" s="163">
        <f t="shared" si="39"/>
        <v>0</v>
      </c>
      <c r="O34" s="163">
        <f t="shared" si="39"/>
        <v>0</v>
      </c>
      <c r="P34" s="163">
        <f t="shared" si="25"/>
        <v>0</v>
      </c>
      <c r="Q34" s="163">
        <f t="shared" si="33"/>
        <v>0</v>
      </c>
      <c r="R34" s="130"/>
      <c r="S34" s="163">
        <f t="shared" si="34"/>
        <v>0</v>
      </c>
      <c r="T34" s="130"/>
      <c r="U34" s="163">
        <f>'計分版'!E$14</f>
        <v>0.0000000001</v>
      </c>
      <c r="V34" s="163">
        <f>'計分版'!F$14</f>
        <v>0.0000000002</v>
      </c>
      <c r="W34" s="163">
        <f>'計分版'!G$14</f>
        <v>0.0000000003</v>
      </c>
      <c r="X34" s="163">
        <f>'計分版'!H$14</f>
        <v>0.0000000004</v>
      </c>
      <c r="Y34" s="163">
        <f>'計分版'!I$14</f>
        <v>0.0000000005</v>
      </c>
      <c r="Z34" s="163">
        <f>'計分版'!J$14</f>
        <v>0</v>
      </c>
      <c r="AA34" s="163">
        <f>'計分版'!K$14</f>
        <v>0</v>
      </c>
      <c r="AB34" s="163">
        <f>'計分版'!L$14</f>
        <v>0</v>
      </c>
      <c r="AC34" s="163">
        <f>'計分版'!M$14</f>
        <v>0</v>
      </c>
      <c r="AD34" s="163">
        <f>'計分版'!N$14</f>
        <v>0</v>
      </c>
      <c r="AE34" s="163"/>
      <c r="AF34" s="163" t="s">
        <v>1065</v>
      </c>
      <c r="AG34" s="163" t="s">
        <v>166</v>
      </c>
      <c r="AH34" s="163"/>
      <c r="AI34" s="163"/>
      <c r="AJ34" s="130"/>
      <c r="AK34" s="130"/>
      <c r="AL34" s="130"/>
      <c r="AM34" s="130"/>
      <c r="AN34" s="130"/>
      <c r="AO34" s="130"/>
      <c r="AP34" s="130"/>
      <c r="AQ34" s="130"/>
      <c r="AR34" s="130"/>
      <c r="AS34" s="130"/>
      <c r="AT34" s="130"/>
    </row>
    <row r="35" ht="13.5" customHeight="1">
      <c r="A35" s="130" t="str">
        <f>CityU!A34</f>
        <v>JS1111</v>
      </c>
      <c r="B35" s="130" t="str">
        <f>CityU!C34</f>
        <v>社會科學學士(犯罪學及社會學)</v>
      </c>
      <c r="C35" s="130"/>
      <c r="D35" s="130"/>
      <c r="E35" s="163">
        <v>3.0</v>
      </c>
      <c r="F35" s="163">
        <v>3.0</v>
      </c>
      <c r="G35" s="163">
        <v>2.0</v>
      </c>
      <c r="H35" s="163">
        <v>2.0</v>
      </c>
      <c r="I35" s="163">
        <v>3.0</v>
      </c>
      <c r="J35" s="163">
        <v>3.0</v>
      </c>
      <c r="K35" s="130"/>
      <c r="L35" s="163">
        <f t="shared" ref="L35:O35" si="40">IF(E35&gt;U35,0,1)</f>
        <v>0</v>
      </c>
      <c r="M35" s="163">
        <f t="shared" si="40"/>
        <v>0</v>
      </c>
      <c r="N35" s="163">
        <f t="shared" si="40"/>
        <v>0</v>
      </c>
      <c r="O35" s="163">
        <f t="shared" si="40"/>
        <v>0</v>
      </c>
      <c r="P35" s="163">
        <f t="shared" si="25"/>
        <v>0</v>
      </c>
      <c r="Q35" s="163">
        <f t="shared" si="33"/>
        <v>0</v>
      </c>
      <c r="R35" s="130"/>
      <c r="S35" s="163">
        <f t="shared" si="34"/>
        <v>0</v>
      </c>
      <c r="T35" s="130"/>
      <c r="U35" s="163">
        <f>'計分版'!E$14</f>
        <v>0.0000000001</v>
      </c>
      <c r="V35" s="163">
        <f>'計分版'!F$14</f>
        <v>0.0000000002</v>
      </c>
      <c r="W35" s="163">
        <f>'計分版'!G$14</f>
        <v>0.0000000003</v>
      </c>
      <c r="X35" s="163">
        <f>'計分版'!H$14</f>
        <v>0.0000000004</v>
      </c>
      <c r="Y35" s="163">
        <f>'計分版'!I$14</f>
        <v>0.0000000005</v>
      </c>
      <c r="Z35" s="163">
        <f>'計分版'!J$14</f>
        <v>0</v>
      </c>
      <c r="AA35" s="163">
        <f>'計分版'!K$14</f>
        <v>0</v>
      </c>
      <c r="AB35" s="163">
        <f>'計分版'!L$14</f>
        <v>0</v>
      </c>
      <c r="AC35" s="163">
        <f>'計分版'!M$14</f>
        <v>0</v>
      </c>
      <c r="AD35" s="163">
        <f>'計分版'!N$14</f>
        <v>0</v>
      </c>
      <c r="AE35" s="163"/>
      <c r="AF35" s="163" t="s">
        <v>1065</v>
      </c>
      <c r="AG35" s="163" t="s">
        <v>166</v>
      </c>
      <c r="AH35" s="163"/>
      <c r="AI35" s="163"/>
      <c r="AJ35" s="130"/>
      <c r="AK35" s="130"/>
      <c r="AL35" s="130"/>
      <c r="AM35" s="130"/>
      <c r="AN35" s="130"/>
      <c r="AO35" s="130"/>
      <c r="AP35" s="130"/>
      <c r="AQ35" s="130"/>
      <c r="AR35" s="130"/>
      <c r="AS35" s="130"/>
      <c r="AT35" s="130"/>
    </row>
    <row r="36" ht="13.5" customHeight="1">
      <c r="A36" s="130" t="str">
        <f>CityU!A35</f>
        <v>JS1112</v>
      </c>
      <c r="B36" s="130" t="str">
        <f>CityU!C35</f>
        <v>社會科學學士(心理學)</v>
      </c>
      <c r="C36" s="130"/>
      <c r="D36" s="130"/>
      <c r="E36" s="163">
        <v>3.0</v>
      </c>
      <c r="F36" s="163">
        <v>3.0</v>
      </c>
      <c r="G36" s="168">
        <v>2.0</v>
      </c>
      <c r="H36" s="163">
        <v>2.0</v>
      </c>
      <c r="I36" s="163">
        <v>3.0</v>
      </c>
      <c r="J36" s="163">
        <v>3.0</v>
      </c>
      <c r="K36" s="130"/>
      <c r="L36" s="163">
        <f t="shared" ref="L36:O36" si="41">IF(E36&gt;U36,0,1)</f>
        <v>0</v>
      </c>
      <c r="M36" s="163">
        <f t="shared" si="41"/>
        <v>0</v>
      </c>
      <c r="N36" s="163">
        <f t="shared" si="41"/>
        <v>0</v>
      </c>
      <c r="O36" s="163">
        <f t="shared" si="41"/>
        <v>0</v>
      </c>
      <c r="P36" s="163">
        <f t="shared" si="25"/>
        <v>0</v>
      </c>
      <c r="Q36" s="163">
        <f t="shared" si="33"/>
        <v>0</v>
      </c>
      <c r="R36" s="130"/>
      <c r="S36" s="163">
        <f t="shared" si="34"/>
        <v>0</v>
      </c>
      <c r="T36" s="130"/>
      <c r="U36" s="163">
        <f>'計分版'!E$14</f>
        <v>0.0000000001</v>
      </c>
      <c r="V36" s="163">
        <f>'計分版'!F$14</f>
        <v>0.0000000002</v>
      </c>
      <c r="W36" s="163">
        <f>'計分版'!G$14</f>
        <v>0.0000000003</v>
      </c>
      <c r="X36" s="163">
        <f>'計分版'!H$14</f>
        <v>0.0000000004</v>
      </c>
      <c r="Y36" s="163">
        <f>'計分版'!I$14</f>
        <v>0.0000000005</v>
      </c>
      <c r="Z36" s="163">
        <f>'計分版'!J$14</f>
        <v>0</v>
      </c>
      <c r="AA36" s="163">
        <f>'計分版'!K$14</f>
        <v>0</v>
      </c>
      <c r="AB36" s="163">
        <f>'計分版'!L$14</f>
        <v>0</v>
      </c>
      <c r="AC36" s="163">
        <f>'計分版'!M$14</f>
        <v>0</v>
      </c>
      <c r="AD36" s="163">
        <f>'計分版'!N$14</f>
        <v>0</v>
      </c>
      <c r="AE36" s="163"/>
      <c r="AF36" s="163" t="s">
        <v>1065</v>
      </c>
      <c r="AG36" s="163" t="s">
        <v>166</v>
      </c>
      <c r="AH36" s="163"/>
      <c r="AI36" s="163"/>
      <c r="AJ36" s="130"/>
      <c r="AK36" s="130"/>
      <c r="AL36" s="130"/>
      <c r="AM36" s="130"/>
      <c r="AN36" s="130"/>
      <c r="AO36" s="130"/>
      <c r="AP36" s="130"/>
      <c r="AQ36" s="130"/>
      <c r="AR36" s="130"/>
      <c r="AS36" s="130"/>
      <c r="AT36" s="130"/>
    </row>
    <row r="37" ht="13.5" customHeight="1">
      <c r="A37" s="130" t="str">
        <f>CityU!A36</f>
        <v>JS1113</v>
      </c>
      <c r="B37" s="130" t="str">
        <f>CityU!C36</f>
        <v>社會科學學士(社會工作)</v>
      </c>
      <c r="C37" s="130"/>
      <c r="D37" s="130"/>
      <c r="E37" s="163">
        <v>3.0</v>
      </c>
      <c r="F37" s="163">
        <v>3.0</v>
      </c>
      <c r="G37" s="163">
        <v>2.0</v>
      </c>
      <c r="H37" s="163">
        <v>2.0</v>
      </c>
      <c r="I37" s="163">
        <v>3.0</v>
      </c>
      <c r="J37" s="163">
        <v>3.0</v>
      </c>
      <c r="K37" s="130"/>
      <c r="L37" s="163">
        <f t="shared" ref="L37:O37" si="42">IF(E37&gt;U37,0,1)</f>
        <v>0</v>
      </c>
      <c r="M37" s="163">
        <f t="shared" si="42"/>
        <v>0</v>
      </c>
      <c r="N37" s="163">
        <f t="shared" si="42"/>
        <v>0</v>
      </c>
      <c r="O37" s="163">
        <f t="shared" si="42"/>
        <v>0</v>
      </c>
      <c r="P37" s="163">
        <f t="shared" si="25"/>
        <v>0</v>
      </c>
      <c r="Q37" s="163">
        <f t="shared" si="33"/>
        <v>0</v>
      </c>
      <c r="R37" s="130"/>
      <c r="S37" s="163">
        <f t="shared" si="34"/>
        <v>0</v>
      </c>
      <c r="T37" s="130"/>
      <c r="U37" s="163">
        <f>'計分版'!E$14</f>
        <v>0.0000000001</v>
      </c>
      <c r="V37" s="163">
        <f>'計分版'!F$14</f>
        <v>0.0000000002</v>
      </c>
      <c r="W37" s="163">
        <f>'計分版'!G$14</f>
        <v>0.0000000003</v>
      </c>
      <c r="X37" s="163">
        <f>'計分版'!H$14</f>
        <v>0.0000000004</v>
      </c>
      <c r="Y37" s="163">
        <f>'計分版'!I$14</f>
        <v>0.0000000005</v>
      </c>
      <c r="Z37" s="163">
        <f>'計分版'!J$14</f>
        <v>0</v>
      </c>
      <c r="AA37" s="163">
        <f>'計分版'!K$14</f>
        <v>0</v>
      </c>
      <c r="AB37" s="163">
        <f>'計分版'!L$14</f>
        <v>0</v>
      </c>
      <c r="AC37" s="163">
        <f>'計分版'!M$14</f>
        <v>0</v>
      </c>
      <c r="AD37" s="163">
        <f>'計分版'!N$14</f>
        <v>0</v>
      </c>
      <c r="AE37" s="163"/>
      <c r="AF37" s="163" t="s">
        <v>1065</v>
      </c>
      <c r="AG37" s="163" t="s">
        <v>166</v>
      </c>
      <c r="AH37" s="163"/>
      <c r="AI37" s="163"/>
      <c r="AJ37" s="130"/>
      <c r="AK37" s="130"/>
      <c r="AL37" s="130"/>
      <c r="AM37" s="130"/>
      <c r="AN37" s="130"/>
      <c r="AO37" s="130"/>
      <c r="AP37" s="130"/>
      <c r="AQ37" s="130"/>
      <c r="AR37" s="130"/>
      <c r="AS37" s="130"/>
      <c r="AT37" s="130"/>
    </row>
    <row r="38" ht="13.5" customHeight="1">
      <c r="A38" s="130" t="str">
        <f>CityU!A37</f>
        <v>JS1200</v>
      </c>
      <c r="B38" s="130" t="str">
        <f>CityU!C37</f>
        <v>環球精研與科創課程</v>
      </c>
      <c r="C38" s="130"/>
      <c r="D38" s="130"/>
      <c r="E38" s="163">
        <v>3.0</v>
      </c>
      <c r="F38" s="163">
        <v>3.0</v>
      </c>
      <c r="G38" s="163">
        <v>2.0</v>
      </c>
      <c r="H38" s="163">
        <v>2.0</v>
      </c>
      <c r="I38" s="163">
        <v>3.0</v>
      </c>
      <c r="J38" s="163">
        <v>3.0</v>
      </c>
      <c r="K38" s="130"/>
      <c r="L38" s="163">
        <f t="shared" ref="L38:O38" si="43">IF(E38&gt;U38,0,1)</f>
        <v>0</v>
      </c>
      <c r="M38" s="163">
        <f t="shared" si="43"/>
        <v>0</v>
      </c>
      <c r="N38" s="163">
        <f t="shared" si="43"/>
        <v>0</v>
      </c>
      <c r="O38" s="163">
        <f t="shared" si="43"/>
        <v>0</v>
      </c>
      <c r="P38" s="163">
        <f t="shared" ref="P38:P39" si="45">IF(I38&gt;LARGE(Y38:AC38,1),0,1)</f>
        <v>0</v>
      </c>
      <c r="Q38" s="163">
        <f t="shared" ref="Q38:Q39" si="46">IF(J38&gt;LARGE(Y38:AC38,2),0,1)</f>
        <v>0</v>
      </c>
      <c r="R38" s="130"/>
      <c r="S38" s="163">
        <f t="shared" si="34"/>
        <v>0</v>
      </c>
      <c r="T38" s="130"/>
      <c r="U38" s="163">
        <f>'計分版'!E$14</f>
        <v>0.0000000001</v>
      </c>
      <c r="V38" s="163">
        <f>'計分版'!F$14</f>
        <v>0.0000000002</v>
      </c>
      <c r="W38" s="163">
        <f>'計分版'!G$14</f>
        <v>0.0000000003</v>
      </c>
      <c r="X38" s="163">
        <f>'計分版'!H$14</f>
        <v>0.0000000004</v>
      </c>
      <c r="Y38" s="163">
        <f>'計分版'!I$14</f>
        <v>0.0000000005</v>
      </c>
      <c r="Z38" s="163">
        <f>'計分版'!J$14</f>
        <v>0</v>
      </c>
      <c r="AA38" s="163">
        <f>'計分版'!K$14</f>
        <v>0</v>
      </c>
      <c r="AB38" s="163">
        <f>'計分版'!L$14</f>
        <v>0</v>
      </c>
      <c r="AC38" s="163">
        <f>'計分版'!M$14</f>
        <v>0</v>
      </c>
      <c r="AD38" s="163">
        <f>'計分版'!N$14</f>
        <v>0</v>
      </c>
      <c r="AE38" s="163"/>
      <c r="AF38" s="163" t="s">
        <v>1065</v>
      </c>
      <c r="AG38" s="163"/>
      <c r="AH38" s="163"/>
      <c r="AI38" s="163"/>
      <c r="AJ38" s="130"/>
      <c r="AK38" s="130"/>
      <c r="AL38" s="130"/>
      <c r="AM38" s="130"/>
      <c r="AN38" s="130"/>
      <c r="AO38" s="130"/>
      <c r="AP38" s="130"/>
      <c r="AQ38" s="130"/>
      <c r="AR38" s="130"/>
      <c r="AS38" s="130"/>
      <c r="AT38" s="130"/>
    </row>
    <row r="39" ht="13.5" customHeight="1">
      <c r="A39" s="130" t="str">
        <f>CityU!A38</f>
        <v>JS1201</v>
      </c>
      <c r="B39" s="130" t="str">
        <f>CityU!C38</f>
        <v>建築學及土木工程學系 [選項: 工學士(建築工程)、工學士(土木工程)、理學士(測量學)]</v>
      </c>
      <c r="C39" s="130"/>
      <c r="D39" s="130"/>
      <c r="E39" s="163">
        <v>3.0</v>
      </c>
      <c r="F39" s="163">
        <v>3.0</v>
      </c>
      <c r="G39" s="163">
        <v>2.0</v>
      </c>
      <c r="H39" s="163">
        <v>2.0</v>
      </c>
      <c r="I39" s="163">
        <v>3.0</v>
      </c>
      <c r="J39" s="163">
        <v>3.0</v>
      </c>
      <c r="K39" s="130"/>
      <c r="L39" s="163">
        <f t="shared" ref="L39:O39" si="44">IF(E39&gt;U39,0,1)</f>
        <v>0</v>
      </c>
      <c r="M39" s="163">
        <f t="shared" si="44"/>
        <v>0</v>
      </c>
      <c r="N39" s="163">
        <f t="shared" si="44"/>
        <v>0</v>
      </c>
      <c r="O39" s="163">
        <f t="shared" si="44"/>
        <v>0</v>
      </c>
      <c r="P39" s="163">
        <f t="shared" si="45"/>
        <v>0</v>
      </c>
      <c r="Q39" s="163">
        <f t="shared" si="46"/>
        <v>0</v>
      </c>
      <c r="R39" s="130"/>
      <c r="S39" s="163">
        <f t="shared" si="34"/>
        <v>0</v>
      </c>
      <c r="T39" s="130"/>
      <c r="U39" s="163">
        <f>'計分版'!E$14</f>
        <v>0.0000000001</v>
      </c>
      <c r="V39" s="163">
        <f>'計分版'!F$14</f>
        <v>0.0000000002</v>
      </c>
      <c r="W39" s="163">
        <f>'計分版'!G$14</f>
        <v>0.0000000003</v>
      </c>
      <c r="X39" s="163">
        <f>'計分版'!H$14</f>
        <v>0.0000000004</v>
      </c>
      <c r="Y39" s="163">
        <f>'計分版'!I$14</f>
        <v>0.0000000005</v>
      </c>
      <c r="Z39" s="163">
        <f>'計分版'!J$14</f>
        <v>0</v>
      </c>
      <c r="AA39" s="163">
        <f>'計分版'!K$14</f>
        <v>0</v>
      </c>
      <c r="AB39" s="163">
        <f>'計分版'!L$14</f>
        <v>0</v>
      </c>
      <c r="AC39" s="163">
        <f>'計分版'!M$14</f>
        <v>0</v>
      </c>
      <c r="AD39" s="163">
        <f>'計分版'!N$14</f>
        <v>0</v>
      </c>
      <c r="AE39" s="163"/>
      <c r="AF39" s="163" t="s">
        <v>1065</v>
      </c>
      <c r="AG39" s="163"/>
      <c r="AH39" s="163"/>
      <c r="AI39" s="163"/>
      <c r="AJ39" s="130"/>
      <c r="AK39" s="130"/>
      <c r="AL39" s="130"/>
      <c r="AM39" s="130"/>
      <c r="AN39" s="130"/>
      <c r="AO39" s="130"/>
      <c r="AP39" s="130"/>
      <c r="AQ39" s="130"/>
      <c r="AR39" s="130"/>
      <c r="AS39" s="130"/>
      <c r="AT39" s="130"/>
    </row>
    <row r="40" ht="13.5" customHeight="1">
      <c r="A40" s="130" t="str">
        <f>CityU!A39</f>
        <v>JS1202</v>
      </c>
      <c r="B40" s="130" t="str">
        <f>CityU!C39</f>
        <v>理學士(化學)</v>
      </c>
      <c r="C40" s="130"/>
      <c r="D40" s="130"/>
      <c r="E40" s="163">
        <v>3.0</v>
      </c>
      <c r="F40" s="163">
        <v>3.0</v>
      </c>
      <c r="G40" s="163">
        <v>2.0</v>
      </c>
      <c r="H40" s="163">
        <v>2.0</v>
      </c>
      <c r="I40" s="163">
        <v>3.0</v>
      </c>
      <c r="J40" s="163">
        <v>3.0</v>
      </c>
      <c r="K40" s="130"/>
      <c r="L40" s="163">
        <f t="shared" ref="L40:O40" si="47">IF(E40&gt;U40,0,1)</f>
        <v>0</v>
      </c>
      <c r="M40" s="163">
        <f t="shared" si="47"/>
        <v>0</v>
      </c>
      <c r="N40" s="163">
        <f t="shared" si="47"/>
        <v>0</v>
      </c>
      <c r="O40" s="163">
        <f t="shared" si="47"/>
        <v>0</v>
      </c>
      <c r="P40" s="163">
        <f>IF('計分版'!T35=0,0,IF(I40&gt;LARGE(Y40:AD40,1),0,1))</f>
        <v>0</v>
      </c>
      <c r="Q40" s="163">
        <f>IF(AND('計分版'!G4&lt;3,'計分版'!$R$37=0),0,IF(J40&gt;LARGE(Y40:AD40,2),0,1))</f>
        <v>0</v>
      </c>
      <c r="R40" s="130"/>
      <c r="S40" s="163">
        <f t="shared" si="34"/>
        <v>0</v>
      </c>
      <c r="T40" s="130"/>
      <c r="U40" s="163">
        <f>'計分版'!E$14</f>
        <v>0.0000000001</v>
      </c>
      <c r="V40" s="163">
        <f>'計分版'!F$14</f>
        <v>0.0000000002</v>
      </c>
      <c r="W40" s="163">
        <f>'計分版'!G$14</f>
        <v>0.0000000003</v>
      </c>
      <c r="X40" s="163">
        <f>'計分版'!H$14</f>
        <v>0.0000000004</v>
      </c>
      <c r="Y40" s="163">
        <f>'計分版'!I$14</f>
        <v>0.0000000005</v>
      </c>
      <c r="Z40" s="163">
        <f>'計分版'!J$14</f>
        <v>0</v>
      </c>
      <c r="AA40" s="163">
        <f>'計分版'!K$14</f>
        <v>0</v>
      </c>
      <c r="AB40" s="163">
        <f>'計分版'!L$14</f>
        <v>0</v>
      </c>
      <c r="AC40" s="163">
        <f>'計分版'!M$14</f>
        <v>0</v>
      </c>
      <c r="AD40" s="163">
        <f>'計分版'!N$14</f>
        <v>0</v>
      </c>
      <c r="AE40" s="163"/>
      <c r="AF40" s="163" t="s">
        <v>1065</v>
      </c>
      <c r="AG40" s="163" t="s">
        <v>166</v>
      </c>
      <c r="AH40" s="163"/>
      <c r="AI40" s="163"/>
      <c r="AJ40" s="130"/>
      <c r="AK40" s="130"/>
      <c r="AL40" s="130"/>
      <c r="AM40" s="130"/>
      <c r="AN40" s="130"/>
      <c r="AO40" s="130"/>
      <c r="AP40" s="130"/>
      <c r="AQ40" s="130"/>
      <c r="AR40" s="130"/>
      <c r="AS40" s="130"/>
      <c r="AT40" s="130"/>
    </row>
    <row r="41" ht="13.5" customHeight="1">
      <c r="A41" s="130" t="str">
        <f>CityU!A40</f>
        <v>JS1204</v>
      </c>
      <c r="B41" s="130" t="str">
        <f>CityU!C40</f>
        <v>理學士(電腦科學)</v>
      </c>
      <c r="C41" s="130"/>
      <c r="D41" s="130"/>
      <c r="E41" s="163">
        <v>3.0</v>
      </c>
      <c r="F41" s="163">
        <v>3.0</v>
      </c>
      <c r="G41" s="163">
        <v>3.0</v>
      </c>
      <c r="H41" s="163">
        <v>2.0</v>
      </c>
      <c r="I41" s="163">
        <v>3.0</v>
      </c>
      <c r="J41" s="163">
        <v>3.0</v>
      </c>
      <c r="K41" s="130"/>
      <c r="L41" s="163">
        <f t="shared" ref="L41:O41" si="48">IF(E41&gt;U41,0,1)</f>
        <v>0</v>
      </c>
      <c r="M41" s="163">
        <f t="shared" si="48"/>
        <v>0</v>
      </c>
      <c r="N41" s="163">
        <f t="shared" si="48"/>
        <v>0</v>
      </c>
      <c r="O41" s="163">
        <f t="shared" si="48"/>
        <v>0</v>
      </c>
      <c r="P41" s="163">
        <f>IF('計分版'!$T$30=0,0,IF(I41&gt;LARGE(Y41:AD41,1),0,1))</f>
        <v>0</v>
      </c>
      <c r="Q41" s="163">
        <f t="shared" ref="Q41:Q48" si="50">IF(J41&gt;LARGE(Y41:AD41,2),0,1)</f>
        <v>0</v>
      </c>
      <c r="R41" s="130"/>
      <c r="S41" s="163">
        <f t="shared" si="34"/>
        <v>0</v>
      </c>
      <c r="T41" s="130"/>
      <c r="U41" s="163">
        <f>'計分版'!E$14</f>
        <v>0.0000000001</v>
      </c>
      <c r="V41" s="163">
        <f>'計分版'!F$14</f>
        <v>0.0000000002</v>
      </c>
      <c r="W41" s="163">
        <f>'計分版'!G$14</f>
        <v>0.0000000003</v>
      </c>
      <c r="X41" s="163">
        <f>'計分版'!H$14</f>
        <v>0.0000000004</v>
      </c>
      <c r="Y41" s="163">
        <f>'計分版'!I$14</f>
        <v>0.0000000005</v>
      </c>
      <c r="Z41" s="163">
        <f>'計分版'!J$14</f>
        <v>0</v>
      </c>
      <c r="AA41" s="163">
        <f>'計分版'!K$14</f>
        <v>0</v>
      </c>
      <c r="AB41" s="163">
        <f>'計分版'!L$14</f>
        <v>0</v>
      </c>
      <c r="AC41" s="163">
        <f>'計分版'!M$14</f>
        <v>0</v>
      </c>
      <c r="AD41" s="163">
        <f>'計分版'!N$14</f>
        <v>0</v>
      </c>
      <c r="AE41" s="163"/>
      <c r="AF41" s="163" t="s">
        <v>1065</v>
      </c>
      <c r="AG41" s="163" t="s">
        <v>166</v>
      </c>
      <c r="AH41" s="163"/>
      <c r="AI41" s="163"/>
      <c r="AJ41" s="130"/>
      <c r="AK41" s="130"/>
      <c r="AL41" s="130"/>
      <c r="AM41" s="130"/>
      <c r="AN41" s="130"/>
      <c r="AO41" s="130"/>
      <c r="AP41" s="130"/>
      <c r="AQ41" s="130"/>
      <c r="AR41" s="130"/>
      <c r="AS41" s="130"/>
      <c r="AT41" s="130"/>
    </row>
    <row r="42" ht="13.5" customHeight="1">
      <c r="A42" s="130" t="str">
        <f>CityU!A41</f>
        <v>JS1205</v>
      </c>
      <c r="B42" s="130" t="str">
        <f>CityU!C41</f>
        <v>電機工程學系 [選項: 工學士(電子計算機及數據工程學)、工學士(電子及電機工程學)、工學士(資訊工程學)]</v>
      </c>
      <c r="C42" s="130"/>
      <c r="D42" s="130"/>
      <c r="E42" s="163">
        <v>3.0</v>
      </c>
      <c r="F42" s="163">
        <v>3.0</v>
      </c>
      <c r="G42" s="163">
        <v>3.0</v>
      </c>
      <c r="H42" s="163">
        <v>2.0</v>
      </c>
      <c r="I42" s="163">
        <v>3.0</v>
      </c>
      <c r="J42" s="163">
        <v>3.0</v>
      </c>
      <c r="K42" s="130"/>
      <c r="L42" s="163">
        <f t="shared" ref="L42:O42" si="49">IF(E42&gt;U42,0,1)</f>
        <v>0</v>
      </c>
      <c r="M42" s="163">
        <f t="shared" si="49"/>
        <v>0</v>
      </c>
      <c r="N42" s="163">
        <f t="shared" si="49"/>
        <v>0</v>
      </c>
      <c r="O42" s="163">
        <f t="shared" si="49"/>
        <v>0</v>
      </c>
      <c r="P42" s="163">
        <f>IF('計分版'!$T$31=0,0,IF(I42&gt;LARGE(Y42:AD42,1),0,1))</f>
        <v>0</v>
      </c>
      <c r="Q42" s="163">
        <f t="shared" si="50"/>
        <v>0</v>
      </c>
      <c r="R42" s="130"/>
      <c r="S42" s="163">
        <f t="shared" si="34"/>
        <v>0</v>
      </c>
      <c r="T42" s="130"/>
      <c r="U42" s="163">
        <f>'計分版'!E$14</f>
        <v>0.0000000001</v>
      </c>
      <c r="V42" s="163">
        <f>'計分版'!F$14</f>
        <v>0.0000000002</v>
      </c>
      <c r="W42" s="163">
        <f>'計分版'!G$14</f>
        <v>0.0000000003</v>
      </c>
      <c r="X42" s="163">
        <f>'計分版'!H$14</f>
        <v>0.0000000004</v>
      </c>
      <c r="Y42" s="163">
        <f>'計分版'!I$14</f>
        <v>0.0000000005</v>
      </c>
      <c r="Z42" s="163">
        <f>'計分版'!J$14</f>
        <v>0</v>
      </c>
      <c r="AA42" s="163">
        <f>'計分版'!K$14</f>
        <v>0</v>
      </c>
      <c r="AB42" s="163">
        <f>'計分版'!L$14</f>
        <v>0</v>
      </c>
      <c r="AC42" s="163">
        <f>'計分版'!M$14</f>
        <v>0</v>
      </c>
      <c r="AD42" s="163">
        <f>'計分版'!N$14</f>
        <v>0</v>
      </c>
      <c r="AE42" s="163"/>
      <c r="AF42" s="163" t="s">
        <v>1065</v>
      </c>
      <c r="AG42" s="163" t="s">
        <v>166</v>
      </c>
      <c r="AH42" s="163"/>
      <c r="AI42" s="163"/>
      <c r="AJ42" s="130"/>
      <c r="AK42" s="130"/>
      <c r="AL42" s="130"/>
      <c r="AM42" s="130"/>
      <c r="AN42" s="130"/>
      <c r="AO42" s="130"/>
      <c r="AP42" s="130"/>
      <c r="AQ42" s="130"/>
      <c r="AR42" s="130"/>
      <c r="AS42" s="130"/>
      <c r="AT42" s="130"/>
    </row>
    <row r="43" ht="13.5" customHeight="1">
      <c r="A43" s="130" t="str">
        <f>CityU!A42</f>
        <v>JS1206</v>
      </c>
      <c r="B43" s="130" t="str">
        <f>CityU!C42</f>
        <v>理學士(計算數學)</v>
      </c>
      <c r="C43" s="130"/>
      <c r="D43" s="130"/>
      <c r="E43" s="163">
        <v>3.0</v>
      </c>
      <c r="F43" s="163">
        <v>3.0</v>
      </c>
      <c r="G43" s="163">
        <v>3.0</v>
      </c>
      <c r="H43" s="163">
        <v>2.0</v>
      </c>
      <c r="I43" s="163">
        <v>3.0</v>
      </c>
      <c r="J43" s="163">
        <v>3.0</v>
      </c>
      <c r="K43" s="130"/>
      <c r="L43" s="163">
        <f t="shared" ref="L43:O43" si="51">IF(E43&gt;U43,0,1)</f>
        <v>0</v>
      </c>
      <c r="M43" s="163">
        <f t="shared" si="51"/>
        <v>0</v>
      </c>
      <c r="N43" s="163">
        <f t="shared" si="51"/>
        <v>0</v>
      </c>
      <c r="O43" s="163">
        <f t="shared" si="51"/>
        <v>0</v>
      </c>
      <c r="P43" s="163">
        <f>IF('計分版'!$T$36=0,0,IF(I43&gt;LARGE(Y43:AD43,1),0,1))</f>
        <v>0</v>
      </c>
      <c r="Q43" s="163">
        <f t="shared" si="50"/>
        <v>0</v>
      </c>
      <c r="R43" s="130"/>
      <c r="S43" s="163">
        <f t="shared" si="34"/>
        <v>0</v>
      </c>
      <c r="T43" s="130"/>
      <c r="U43" s="163">
        <f>'計分版'!E$14</f>
        <v>0.0000000001</v>
      </c>
      <c r="V43" s="163">
        <f>'計分版'!F$14</f>
        <v>0.0000000002</v>
      </c>
      <c r="W43" s="163">
        <f>'計分版'!G$14</f>
        <v>0.0000000003</v>
      </c>
      <c r="X43" s="163">
        <f>'計分版'!H$14</f>
        <v>0.0000000004</v>
      </c>
      <c r="Y43" s="163">
        <f>'計分版'!I$14</f>
        <v>0.0000000005</v>
      </c>
      <c r="Z43" s="163">
        <f>'計分版'!J$14</f>
        <v>0</v>
      </c>
      <c r="AA43" s="163">
        <f>'計分版'!K$14</f>
        <v>0</v>
      </c>
      <c r="AB43" s="163">
        <f>'計分版'!L$14</f>
        <v>0</v>
      </c>
      <c r="AC43" s="163">
        <f>'計分版'!M$14</f>
        <v>0</v>
      </c>
      <c r="AD43" s="163">
        <f>'計分版'!N$14</f>
        <v>0</v>
      </c>
      <c r="AE43" s="163"/>
      <c r="AF43" s="163" t="s">
        <v>1065</v>
      </c>
      <c r="AG43" s="163" t="s">
        <v>166</v>
      </c>
      <c r="AH43" s="163"/>
      <c r="AI43" s="163"/>
      <c r="AJ43" s="130"/>
      <c r="AK43" s="130"/>
      <c r="AL43" s="130"/>
      <c r="AM43" s="130"/>
      <c r="AN43" s="130"/>
      <c r="AO43" s="130"/>
      <c r="AP43" s="130"/>
      <c r="AQ43" s="130"/>
      <c r="AR43" s="130"/>
      <c r="AS43" s="130"/>
      <c r="AT43" s="130"/>
    </row>
    <row r="44" ht="13.5" customHeight="1">
      <c r="A44" s="130" t="str">
        <f>CityU!A43</f>
        <v>JS1207</v>
      </c>
      <c r="B44" s="130" t="str">
        <f>CityU!C43</f>
        <v>機械工程學系 [選項: 工學士(機械工程)、工學士(核子及風險工程)]</v>
      </c>
      <c r="C44" s="130"/>
      <c r="D44" s="130"/>
      <c r="E44" s="163">
        <v>3.0</v>
      </c>
      <c r="F44" s="163">
        <v>3.0</v>
      </c>
      <c r="G44" s="163">
        <v>3.0</v>
      </c>
      <c r="H44" s="163">
        <v>2.0</v>
      </c>
      <c r="I44" s="163">
        <v>3.0</v>
      </c>
      <c r="J44" s="163">
        <v>3.0</v>
      </c>
      <c r="K44" s="130"/>
      <c r="L44" s="163">
        <f t="shared" ref="L44:O44" si="52">IF(E44&gt;U44,0,1)</f>
        <v>0</v>
      </c>
      <c r="M44" s="163">
        <f t="shared" si="52"/>
        <v>0</v>
      </c>
      <c r="N44" s="163">
        <f t="shared" si="52"/>
        <v>0</v>
      </c>
      <c r="O44" s="163">
        <f t="shared" si="52"/>
        <v>0</v>
      </c>
      <c r="P44" s="163">
        <f>IF(AND('計分版'!$T$32=0,'計分版'!$V$250=0),0,IF(I44&gt;LARGE(Y44:AD44,1),0,1))</f>
        <v>0</v>
      </c>
      <c r="Q44" s="163">
        <f t="shared" si="50"/>
        <v>0</v>
      </c>
      <c r="R44" s="130"/>
      <c r="S44" s="163">
        <f t="shared" si="34"/>
        <v>0</v>
      </c>
      <c r="T44" s="130"/>
      <c r="U44" s="163">
        <f>'計分版'!E$14</f>
        <v>0.0000000001</v>
      </c>
      <c r="V44" s="163">
        <f>'計分版'!F$14</f>
        <v>0.0000000002</v>
      </c>
      <c r="W44" s="163">
        <f>'計分版'!G$14</f>
        <v>0.0000000003</v>
      </c>
      <c r="X44" s="163">
        <f>'計分版'!H$14</f>
        <v>0.0000000004</v>
      </c>
      <c r="Y44" s="163">
        <f>'計分版'!I$14</f>
        <v>0.0000000005</v>
      </c>
      <c r="Z44" s="163">
        <f>'計分版'!J$14</f>
        <v>0</v>
      </c>
      <c r="AA44" s="163">
        <f>'計分版'!K$14</f>
        <v>0</v>
      </c>
      <c r="AB44" s="163">
        <f>'計分版'!L$14</f>
        <v>0</v>
      </c>
      <c r="AC44" s="163">
        <f>'計分版'!M$14</f>
        <v>0</v>
      </c>
      <c r="AD44" s="163">
        <f>'計分版'!N$14</f>
        <v>0</v>
      </c>
      <c r="AE44" s="163"/>
      <c r="AF44" s="163" t="s">
        <v>1065</v>
      </c>
      <c r="AG44" s="163" t="s">
        <v>166</v>
      </c>
      <c r="AH44" s="163"/>
      <c r="AI44" s="163"/>
      <c r="AJ44" s="130"/>
      <c r="AK44" s="130"/>
      <c r="AL44" s="130"/>
      <c r="AM44" s="130"/>
      <c r="AN44" s="130"/>
      <c r="AO44" s="130"/>
      <c r="AP44" s="130"/>
      <c r="AQ44" s="130"/>
      <c r="AR44" s="130"/>
      <c r="AS44" s="130"/>
      <c r="AT44" s="130"/>
    </row>
    <row r="45" ht="13.5" customHeight="1">
      <c r="A45" s="130" t="str">
        <f>CityU!A44</f>
        <v>JS1208</v>
      </c>
      <c r="B45" s="130" t="str">
        <f>CityU!C44</f>
        <v>理學士(物理學)</v>
      </c>
      <c r="C45" s="130"/>
      <c r="D45" s="130"/>
      <c r="E45" s="163">
        <v>3.0</v>
      </c>
      <c r="F45" s="163">
        <v>3.0</v>
      </c>
      <c r="G45" s="163">
        <v>3.0</v>
      </c>
      <c r="H45" s="163">
        <v>2.0</v>
      </c>
      <c r="I45" s="163">
        <v>3.0</v>
      </c>
      <c r="J45" s="163">
        <v>3.0</v>
      </c>
      <c r="K45" s="130"/>
      <c r="L45" s="163">
        <f t="shared" ref="L45:O45" si="53">IF(E45&gt;U45,0,1)</f>
        <v>0</v>
      </c>
      <c r="M45" s="163">
        <f t="shared" si="53"/>
        <v>0</v>
      </c>
      <c r="N45" s="163">
        <f t="shared" si="53"/>
        <v>0</v>
      </c>
      <c r="O45" s="163">
        <f t="shared" si="53"/>
        <v>0</v>
      </c>
      <c r="P45" s="163">
        <f>IF('計分版'!$T$33=0,0,IF(I45&gt;LARGE(Y45:AD45,1),0,1))</f>
        <v>0</v>
      </c>
      <c r="Q45" s="163">
        <f t="shared" si="50"/>
        <v>0</v>
      </c>
      <c r="R45" s="130"/>
      <c r="S45" s="163">
        <f t="shared" si="34"/>
        <v>0</v>
      </c>
      <c r="T45" s="163"/>
      <c r="U45" s="163">
        <f>'計分版'!E$14</f>
        <v>0.0000000001</v>
      </c>
      <c r="V45" s="163">
        <f>'計分版'!F$14</f>
        <v>0.0000000002</v>
      </c>
      <c r="W45" s="163">
        <f>'計分版'!G$14</f>
        <v>0.0000000003</v>
      </c>
      <c r="X45" s="163">
        <f>'計分版'!H$14</f>
        <v>0.0000000004</v>
      </c>
      <c r="Y45" s="163">
        <f>'計分版'!I$14</f>
        <v>0.0000000005</v>
      </c>
      <c r="Z45" s="163">
        <f>'計分版'!J$14</f>
        <v>0</v>
      </c>
      <c r="AA45" s="163">
        <f>'計分版'!K$14</f>
        <v>0</v>
      </c>
      <c r="AB45" s="163">
        <f>'計分版'!L$14</f>
        <v>0</v>
      </c>
      <c r="AC45" s="163">
        <f>'計分版'!M$14</f>
        <v>0</v>
      </c>
      <c r="AD45" s="163">
        <f>'計分版'!N$14</f>
        <v>0</v>
      </c>
      <c r="AE45" s="163"/>
      <c r="AF45" s="163" t="s">
        <v>1065</v>
      </c>
      <c r="AG45" s="163" t="s">
        <v>166</v>
      </c>
      <c r="AH45" s="163"/>
      <c r="AI45" s="163"/>
      <c r="AJ45" s="130"/>
      <c r="AK45" s="130"/>
      <c r="AL45" s="130"/>
      <c r="AM45" s="130"/>
      <c r="AN45" s="130"/>
      <c r="AO45" s="130"/>
      <c r="AP45" s="130"/>
      <c r="AQ45" s="130"/>
      <c r="AR45" s="130"/>
      <c r="AS45" s="130"/>
      <c r="AT45" s="130"/>
    </row>
    <row r="46" ht="13.5" customHeight="1">
      <c r="A46" s="130" t="str">
        <f>CityU!A45</f>
        <v>JS1210</v>
      </c>
      <c r="B46" s="130" t="str">
        <f>CityU!C45</f>
        <v>工學士(材料科學及工程)</v>
      </c>
      <c r="C46" s="130"/>
      <c r="D46" s="130"/>
      <c r="E46" s="163">
        <v>3.0</v>
      </c>
      <c r="F46" s="163">
        <v>3.0</v>
      </c>
      <c r="G46" s="163">
        <v>2.0</v>
      </c>
      <c r="H46" s="163">
        <v>2.0</v>
      </c>
      <c r="I46" s="163">
        <v>3.0</v>
      </c>
      <c r="J46" s="163">
        <v>3.0</v>
      </c>
      <c r="K46" s="130"/>
      <c r="L46" s="163">
        <f t="shared" ref="L46:O46" si="54">IF(E46&gt;U46,0,1)</f>
        <v>0</v>
      </c>
      <c r="M46" s="163">
        <f t="shared" si="54"/>
        <v>0</v>
      </c>
      <c r="N46" s="163">
        <f t="shared" si="54"/>
        <v>0</v>
      </c>
      <c r="O46" s="163">
        <f t="shared" si="54"/>
        <v>0</v>
      </c>
      <c r="P46" s="163">
        <f>IF('計分版'!$T$33=0,0,IF(I46&gt;LARGE(Y46:AD46,1),0,1))</f>
        <v>0</v>
      </c>
      <c r="Q46" s="163">
        <f t="shared" si="50"/>
        <v>0</v>
      </c>
      <c r="R46" s="130"/>
      <c r="S46" s="163">
        <f t="shared" si="34"/>
        <v>0</v>
      </c>
      <c r="T46" s="163"/>
      <c r="U46" s="163">
        <f>'計分版'!E$14</f>
        <v>0.0000000001</v>
      </c>
      <c r="V46" s="163">
        <f>'計分版'!F$14</f>
        <v>0.0000000002</v>
      </c>
      <c r="W46" s="163">
        <f>'計分版'!G$14</f>
        <v>0.0000000003</v>
      </c>
      <c r="X46" s="163">
        <f>'計分版'!H$14</f>
        <v>0.0000000004</v>
      </c>
      <c r="Y46" s="163">
        <f>'計分版'!I$14</f>
        <v>0.0000000005</v>
      </c>
      <c r="Z46" s="163">
        <f>'計分版'!J$14</f>
        <v>0</v>
      </c>
      <c r="AA46" s="163">
        <f>'計分版'!K$14</f>
        <v>0</v>
      </c>
      <c r="AB46" s="163">
        <f>'計分版'!L$14</f>
        <v>0</v>
      </c>
      <c r="AC46" s="163">
        <f>'計分版'!M$14</f>
        <v>0</v>
      </c>
      <c r="AD46" s="163">
        <f>'計分版'!N$14</f>
        <v>0</v>
      </c>
      <c r="AE46" s="163"/>
      <c r="AF46" s="163" t="s">
        <v>1065</v>
      </c>
      <c r="AG46" s="163" t="s">
        <v>166</v>
      </c>
      <c r="AH46" s="163"/>
      <c r="AI46" s="163"/>
      <c r="AJ46" s="130"/>
      <c r="AK46" s="130"/>
      <c r="AL46" s="130"/>
      <c r="AM46" s="130"/>
      <c r="AN46" s="130"/>
      <c r="AO46" s="130"/>
      <c r="AP46" s="130"/>
      <c r="AQ46" s="130"/>
      <c r="AR46" s="130"/>
      <c r="AS46" s="130"/>
      <c r="AT46" s="130"/>
    </row>
    <row r="47" ht="13.5" customHeight="1">
      <c r="A47" s="130" t="str">
        <f>CityU!A46</f>
        <v>JS1211</v>
      </c>
      <c r="B47" s="130" t="str">
        <f>CityU!C46</f>
        <v>工學士(生物醫學工程)</v>
      </c>
      <c r="C47" s="130"/>
      <c r="D47" s="130"/>
      <c r="E47" s="163">
        <v>3.0</v>
      </c>
      <c r="F47" s="163">
        <v>3.0</v>
      </c>
      <c r="G47" s="163">
        <v>3.0</v>
      </c>
      <c r="H47" s="163">
        <v>2.0</v>
      </c>
      <c r="I47" s="163">
        <v>3.0</v>
      </c>
      <c r="J47" s="163">
        <v>3.0</v>
      </c>
      <c r="K47" s="130"/>
      <c r="L47" s="163">
        <f t="shared" ref="L47:O47" si="55">IF(E47&gt;U47,0,1)</f>
        <v>0</v>
      </c>
      <c r="M47" s="163">
        <f t="shared" si="55"/>
        <v>0</v>
      </c>
      <c r="N47" s="163">
        <f t="shared" si="55"/>
        <v>0</v>
      </c>
      <c r="O47" s="163">
        <f t="shared" si="55"/>
        <v>0</v>
      </c>
      <c r="P47" s="163">
        <f>IF('計分版'!R244=0,0,IF(I47&gt;LARGE(Y47:AD47,1),0,1))</f>
        <v>0</v>
      </c>
      <c r="Q47" s="163">
        <f t="shared" si="50"/>
        <v>0</v>
      </c>
      <c r="R47" s="130"/>
      <c r="S47" s="163">
        <f t="shared" si="34"/>
        <v>0</v>
      </c>
      <c r="T47" s="163"/>
      <c r="U47" s="163">
        <f>'計分版'!E$14</f>
        <v>0.0000000001</v>
      </c>
      <c r="V47" s="163">
        <f>'計分版'!F$14</f>
        <v>0.0000000002</v>
      </c>
      <c r="W47" s="163">
        <f>'計分版'!G$14</f>
        <v>0.0000000003</v>
      </c>
      <c r="X47" s="163">
        <f>'計分版'!H$14</f>
        <v>0.0000000004</v>
      </c>
      <c r="Y47" s="163">
        <f>'計分版'!I$14</f>
        <v>0.0000000005</v>
      </c>
      <c r="Z47" s="163">
        <f>'計分版'!J$14</f>
        <v>0</v>
      </c>
      <c r="AA47" s="163">
        <f>'計分版'!K$14</f>
        <v>0</v>
      </c>
      <c r="AB47" s="163">
        <f>'計分版'!L$14</f>
        <v>0</v>
      </c>
      <c r="AC47" s="163">
        <f>'計分版'!M$14</f>
        <v>0</v>
      </c>
      <c r="AD47" s="163">
        <f>'計分版'!N$14</f>
        <v>0</v>
      </c>
      <c r="AE47" s="163"/>
      <c r="AF47" s="163" t="s">
        <v>1065</v>
      </c>
      <c r="AG47" s="163" t="s">
        <v>166</v>
      </c>
      <c r="AH47" s="163"/>
      <c r="AI47" s="163"/>
      <c r="AJ47" s="130"/>
      <c r="AK47" s="130"/>
      <c r="AL47" s="130"/>
      <c r="AM47" s="130"/>
      <c r="AN47" s="130"/>
      <c r="AO47" s="130"/>
      <c r="AP47" s="130"/>
      <c r="AQ47" s="130"/>
      <c r="AR47" s="130"/>
      <c r="AS47" s="130"/>
      <c r="AT47" s="130"/>
    </row>
    <row r="48" ht="13.5" customHeight="1">
      <c r="A48" s="130" t="str">
        <f>CityU!A47</f>
        <v>JS1216</v>
      </c>
      <c r="B48" s="130" t="str">
        <f>CityU!C47</f>
        <v>工學士(智能製造工程學)</v>
      </c>
      <c r="C48" s="130"/>
      <c r="D48" s="130"/>
      <c r="E48" s="163">
        <v>3.0</v>
      </c>
      <c r="F48" s="163">
        <v>3.0</v>
      </c>
      <c r="G48" s="163">
        <v>3.0</v>
      </c>
      <c r="H48" s="163">
        <v>2.0</v>
      </c>
      <c r="I48" s="163">
        <v>3.0</v>
      </c>
      <c r="J48" s="163">
        <v>3.0</v>
      </c>
      <c r="K48" s="130"/>
      <c r="L48" s="163">
        <f t="shared" ref="L48:O48" si="56">IF(E48&gt;U48,0,1)</f>
        <v>0</v>
      </c>
      <c r="M48" s="163">
        <f t="shared" si="56"/>
        <v>0</v>
      </c>
      <c r="N48" s="163">
        <f t="shared" si="56"/>
        <v>0</v>
      </c>
      <c r="O48" s="163">
        <f t="shared" si="56"/>
        <v>0</v>
      </c>
      <c r="P48" s="163">
        <f>IF('計分版'!R41=0,0,IF(I48&gt;LARGE(Y48:AD48,1),0,1))</f>
        <v>0</v>
      </c>
      <c r="Q48" s="163">
        <f t="shared" si="50"/>
        <v>0</v>
      </c>
      <c r="R48" s="130"/>
      <c r="S48" s="163">
        <f t="shared" si="34"/>
        <v>0</v>
      </c>
      <c r="T48" s="163"/>
      <c r="U48" s="163">
        <f>'計分版'!E$14</f>
        <v>0.0000000001</v>
      </c>
      <c r="V48" s="163">
        <f>'計分版'!F$14</f>
        <v>0.0000000002</v>
      </c>
      <c r="W48" s="163">
        <f>'計分版'!G$14</f>
        <v>0.0000000003</v>
      </c>
      <c r="X48" s="163">
        <f>'計分版'!H$14</f>
        <v>0.0000000004</v>
      </c>
      <c r="Y48" s="163">
        <f>'計分版'!I$14</f>
        <v>0.0000000005</v>
      </c>
      <c r="Z48" s="163">
        <f>'計分版'!J$14</f>
        <v>0</v>
      </c>
      <c r="AA48" s="163">
        <f>'計分版'!K$14</f>
        <v>0</v>
      </c>
      <c r="AB48" s="163">
        <f>'計分版'!L$14</f>
        <v>0</v>
      </c>
      <c r="AC48" s="163">
        <f>'計分版'!M$14</f>
        <v>0</v>
      </c>
      <c r="AD48" s="163">
        <f>'計分版'!N$14</f>
        <v>0</v>
      </c>
      <c r="AE48" s="163"/>
      <c r="AF48" s="163" t="s">
        <v>1065</v>
      </c>
      <c r="AG48" s="163" t="s">
        <v>166</v>
      </c>
      <c r="AH48" s="163"/>
      <c r="AI48" s="163"/>
      <c r="AJ48" s="130"/>
      <c r="AK48" s="130"/>
      <c r="AL48" s="130"/>
      <c r="AM48" s="130"/>
      <c r="AN48" s="130"/>
      <c r="AO48" s="130"/>
      <c r="AP48" s="130"/>
      <c r="AQ48" s="130"/>
      <c r="AR48" s="130"/>
      <c r="AS48" s="130"/>
      <c r="AT48" s="130"/>
    </row>
    <row r="49" ht="13.5" customHeight="1">
      <c r="A49" s="130" t="str">
        <f>CityU!A48</f>
        <v>JS1801</v>
      </c>
      <c r="B49" s="130" t="str">
        <f>CityU!C48</f>
        <v>獸醫學學士</v>
      </c>
      <c r="C49" s="130"/>
      <c r="D49" s="130"/>
      <c r="E49" s="163">
        <v>3.0</v>
      </c>
      <c r="F49" s="163">
        <v>3.0</v>
      </c>
      <c r="G49" s="163">
        <v>2.0</v>
      </c>
      <c r="H49" s="163">
        <v>2.0</v>
      </c>
      <c r="I49" s="163">
        <v>3.0</v>
      </c>
      <c r="J49" s="163">
        <v>3.0</v>
      </c>
      <c r="K49" s="130"/>
      <c r="L49" s="163">
        <f t="shared" ref="L49:O49" si="57">IF(E49&gt;U49,0,1)</f>
        <v>0</v>
      </c>
      <c r="M49" s="163">
        <f t="shared" si="57"/>
        <v>0</v>
      </c>
      <c r="N49" s="163">
        <f t="shared" si="57"/>
        <v>0</v>
      </c>
      <c r="O49" s="163">
        <f t="shared" si="57"/>
        <v>0</v>
      </c>
      <c r="P49" s="163">
        <f>IF('計分版'!T72=0,0,IF(I49&gt;LARGE(Z49:AC49,1),0,1))</f>
        <v>0</v>
      </c>
      <c r="Q49" s="163">
        <f>IF('計分版'!T72=0,0,IF(J49&gt;LARGE(Z49:AC49,1),0,1))</f>
        <v>0</v>
      </c>
      <c r="R49" s="130"/>
      <c r="S49" s="163">
        <f t="shared" si="34"/>
        <v>0</v>
      </c>
      <c r="T49" s="130"/>
      <c r="U49" s="163">
        <f>'計分版'!E$14</f>
        <v>0.0000000001</v>
      </c>
      <c r="V49" s="163">
        <f>'計分版'!F$14</f>
        <v>0.0000000002</v>
      </c>
      <c r="W49" s="163">
        <f>'計分版'!G$14</f>
        <v>0.0000000003</v>
      </c>
      <c r="X49" s="163">
        <f>'計分版'!H$14</f>
        <v>0.0000000004</v>
      </c>
      <c r="Y49" s="163">
        <f>'計分版'!I$14</f>
        <v>0.0000000005</v>
      </c>
      <c r="Z49" s="163">
        <f>'計分版'!J$14</f>
        <v>0</v>
      </c>
      <c r="AA49" s="163">
        <f>'計分版'!K$14</f>
        <v>0</v>
      </c>
      <c r="AB49" s="163">
        <f>'計分版'!L$14</f>
        <v>0</v>
      </c>
      <c r="AC49" s="163">
        <f>'計分版'!M$14</f>
        <v>0</v>
      </c>
      <c r="AD49" s="163">
        <f>'計分版'!N$14</f>
        <v>0</v>
      </c>
      <c r="AE49" s="163"/>
      <c r="AF49" s="163"/>
      <c r="AG49" s="163"/>
      <c r="AH49" s="163"/>
      <c r="AI49" s="163"/>
      <c r="AJ49" s="130"/>
      <c r="AK49" s="130"/>
      <c r="AL49" s="130"/>
      <c r="AM49" s="130"/>
      <c r="AN49" s="130"/>
      <c r="AO49" s="130"/>
      <c r="AP49" s="130"/>
      <c r="AQ49" s="130"/>
      <c r="AR49" s="130"/>
      <c r="AS49" s="130"/>
      <c r="AT49" s="130"/>
    </row>
    <row r="50" ht="13.5" customHeight="1">
      <c r="A50" s="130" t="str">
        <f>CityU!A49</f>
        <v>JS1805</v>
      </c>
      <c r="B50" s="130" t="str">
        <f>CityU!C49</f>
        <v>生物醫學系 [選項: 理學士(生物科學)、理學士(生物醫學)]</v>
      </c>
      <c r="C50" s="130"/>
      <c r="D50" s="130"/>
      <c r="E50" s="163">
        <v>3.0</v>
      </c>
      <c r="F50" s="163">
        <v>3.0</v>
      </c>
      <c r="G50" s="163">
        <v>2.0</v>
      </c>
      <c r="H50" s="163">
        <v>2.0</v>
      </c>
      <c r="I50" s="163">
        <v>3.0</v>
      </c>
      <c r="J50" s="163">
        <v>3.0</v>
      </c>
      <c r="K50" s="130"/>
      <c r="L50" s="163">
        <f t="shared" ref="L50:O50" si="58">IF(E50&gt;U50,0,1)</f>
        <v>0</v>
      </c>
      <c r="M50" s="163">
        <f t="shared" si="58"/>
        <v>0</v>
      </c>
      <c r="N50" s="163">
        <f t="shared" si="58"/>
        <v>0</v>
      </c>
      <c r="O50" s="163">
        <f t="shared" si="58"/>
        <v>0</v>
      </c>
      <c r="P50" s="163">
        <f>IF('計分版'!$T$38=0,0,IF(I50&gt;LARGE(Y50:AC50,1),0,1))</f>
        <v>0</v>
      </c>
      <c r="Q50" s="163">
        <f>IF('計分版'!$T$36=0,0,IF(J50&gt;LARGE(Y50:AC50,2),0,1))</f>
        <v>0</v>
      </c>
      <c r="R50" s="130"/>
      <c r="S50" s="163">
        <f t="shared" si="34"/>
        <v>0</v>
      </c>
      <c r="T50" s="130"/>
      <c r="U50" s="163">
        <f>'計分版'!E$14</f>
        <v>0.0000000001</v>
      </c>
      <c r="V50" s="163">
        <f>'計分版'!F$14</f>
        <v>0.0000000002</v>
      </c>
      <c r="W50" s="163">
        <f>'計分版'!G$14</f>
        <v>0.0000000003</v>
      </c>
      <c r="X50" s="163">
        <f>'計分版'!H$14</f>
        <v>0.0000000004</v>
      </c>
      <c r="Y50" s="163">
        <f>'計分版'!I$14</f>
        <v>0.0000000005</v>
      </c>
      <c r="Z50" s="163">
        <f>'計分版'!J$14</f>
        <v>0</v>
      </c>
      <c r="AA50" s="163">
        <f>'計分版'!K$14</f>
        <v>0</v>
      </c>
      <c r="AB50" s="163">
        <f>'計分版'!L$14</f>
        <v>0</v>
      </c>
      <c r="AC50" s="163">
        <f>'計分版'!M$14</f>
        <v>0</v>
      </c>
      <c r="AD50" s="163">
        <f>'計分版'!N$14</f>
        <v>0</v>
      </c>
      <c r="AE50" s="163"/>
      <c r="AF50" s="163" t="s">
        <v>1065</v>
      </c>
      <c r="AG50" s="163"/>
      <c r="AH50" s="163" t="s">
        <v>1065</v>
      </c>
      <c r="AI50" s="163"/>
      <c r="AJ50" s="130"/>
      <c r="AK50" s="130"/>
      <c r="AL50" s="130"/>
      <c r="AM50" s="130"/>
      <c r="AN50" s="130"/>
      <c r="AO50" s="130"/>
      <c r="AP50" s="130"/>
      <c r="AQ50" s="130"/>
      <c r="AR50" s="130"/>
      <c r="AS50" s="130"/>
      <c r="AT50" s="130"/>
    </row>
    <row r="51" ht="13.5" customHeight="1">
      <c r="A51" s="130" t="str">
        <f>CityU!A50</f>
        <v>JS1806</v>
      </c>
      <c r="B51" s="130" t="str">
        <f>CityU!C50</f>
        <v>理學士(生物科學)</v>
      </c>
      <c r="C51" s="130"/>
      <c r="D51" s="130"/>
      <c r="E51" s="163">
        <v>3.0</v>
      </c>
      <c r="F51" s="163">
        <v>3.0</v>
      </c>
      <c r="G51" s="163">
        <v>2.0</v>
      </c>
      <c r="H51" s="163">
        <v>2.0</v>
      </c>
      <c r="I51" s="163">
        <v>3.0</v>
      </c>
      <c r="J51" s="163">
        <v>3.0</v>
      </c>
      <c r="K51" s="130"/>
      <c r="L51" s="163">
        <f t="shared" ref="L51:O51" si="59">IF(E51&gt;U51,0,1)</f>
        <v>0</v>
      </c>
      <c r="M51" s="163">
        <f t="shared" si="59"/>
        <v>0</v>
      </c>
      <c r="N51" s="163">
        <f t="shared" si="59"/>
        <v>0</v>
      </c>
      <c r="O51" s="163">
        <f t="shared" si="59"/>
        <v>0</v>
      </c>
      <c r="P51" s="163">
        <f>IF('計分版'!$T$38=0,0,IF(I51&gt;LARGE(Y51:AC51,1),0,1))</f>
        <v>0</v>
      </c>
      <c r="Q51" s="163">
        <f>IF('計分版'!$T$36=0,0,IF(J51&gt;LARGE(Y51:AC51,2),0,1))</f>
        <v>0</v>
      </c>
      <c r="R51" s="130"/>
      <c r="S51" s="163">
        <f t="shared" si="34"/>
        <v>0</v>
      </c>
      <c r="T51" s="130"/>
      <c r="U51" s="163">
        <f>'計分版'!E$14</f>
        <v>0.0000000001</v>
      </c>
      <c r="V51" s="163">
        <f>'計分版'!F$14</f>
        <v>0.0000000002</v>
      </c>
      <c r="W51" s="163">
        <f>'計分版'!G$14</f>
        <v>0.0000000003</v>
      </c>
      <c r="X51" s="163">
        <f>'計分版'!H$14</f>
        <v>0.0000000004</v>
      </c>
      <c r="Y51" s="163">
        <f>'計分版'!I$14</f>
        <v>0.0000000005</v>
      </c>
      <c r="Z51" s="163">
        <f>'計分版'!J$14</f>
        <v>0</v>
      </c>
      <c r="AA51" s="163">
        <f>'計分版'!K$14</f>
        <v>0</v>
      </c>
      <c r="AB51" s="163">
        <f>'計分版'!L$14</f>
        <v>0</v>
      </c>
      <c r="AC51" s="163">
        <f>'計分版'!M$14</f>
        <v>0</v>
      </c>
      <c r="AD51" s="163">
        <f>'計分版'!N$14</f>
        <v>0</v>
      </c>
      <c r="AE51" s="163"/>
      <c r="AF51" s="163" t="s">
        <v>1065</v>
      </c>
      <c r="AG51" s="163"/>
      <c r="AH51" s="163" t="s">
        <v>1065</v>
      </c>
      <c r="AI51" s="163"/>
      <c r="AJ51" s="130"/>
      <c r="AK51" s="130"/>
      <c r="AL51" s="130"/>
      <c r="AM51" s="130"/>
      <c r="AN51" s="130"/>
      <c r="AO51" s="130"/>
      <c r="AP51" s="130"/>
      <c r="AQ51" s="130"/>
      <c r="AR51" s="130"/>
      <c r="AS51" s="130"/>
      <c r="AT51" s="130"/>
    </row>
    <row r="52" ht="13.5" customHeight="1">
      <c r="A52" s="130" t="str">
        <f>CityU!A51</f>
        <v>JS1807</v>
      </c>
      <c r="B52" s="130" t="str">
        <f>CityU!C51</f>
        <v>理學士(生物醫學)</v>
      </c>
      <c r="C52" s="130"/>
      <c r="D52" s="130"/>
      <c r="E52" s="163">
        <v>3.0</v>
      </c>
      <c r="F52" s="163">
        <v>3.0</v>
      </c>
      <c r="G52" s="163">
        <v>3.0</v>
      </c>
      <c r="H52" s="163">
        <v>2.0</v>
      </c>
      <c r="I52" s="163">
        <v>3.0</v>
      </c>
      <c r="J52" s="163">
        <v>3.0</v>
      </c>
      <c r="K52" s="130"/>
      <c r="L52" s="163">
        <f t="shared" ref="L52:O52" si="60">IF(E52&gt;U52,0,1)</f>
        <v>0</v>
      </c>
      <c r="M52" s="163">
        <f t="shared" si="60"/>
        <v>0</v>
      </c>
      <c r="N52" s="163">
        <f t="shared" si="60"/>
        <v>0</v>
      </c>
      <c r="O52" s="163">
        <f t="shared" si="60"/>
        <v>0</v>
      </c>
      <c r="P52" s="163">
        <f>IF('計分版'!$T$38=0,0,IF(I52&gt;LARGE(Y52:AC52,1),0,1))</f>
        <v>0</v>
      </c>
      <c r="Q52" s="163">
        <f>IF('計分版'!$T$36=0,0,IF(J52&gt;LARGE(Y52:AC52,2),0,1))</f>
        <v>0</v>
      </c>
      <c r="R52" s="130"/>
      <c r="S52" s="163">
        <f t="shared" si="34"/>
        <v>0</v>
      </c>
      <c r="T52" s="130"/>
      <c r="U52" s="163">
        <f>'計分版'!E$14</f>
        <v>0.0000000001</v>
      </c>
      <c r="V52" s="163">
        <f>'計分版'!F$14</f>
        <v>0.0000000002</v>
      </c>
      <c r="W52" s="163">
        <f>'計分版'!G$14</f>
        <v>0.0000000003</v>
      </c>
      <c r="X52" s="163">
        <f>'計分版'!H$14</f>
        <v>0.0000000004</v>
      </c>
      <c r="Y52" s="163">
        <f>'計分版'!I$14</f>
        <v>0.0000000005</v>
      </c>
      <c r="Z52" s="163">
        <f>'計分版'!J$14</f>
        <v>0</v>
      </c>
      <c r="AA52" s="163">
        <f>'計分版'!K$14</f>
        <v>0</v>
      </c>
      <c r="AB52" s="163">
        <f>'計分版'!L$14</f>
        <v>0</v>
      </c>
      <c r="AC52" s="163">
        <f>'計分版'!M$14</f>
        <v>0</v>
      </c>
      <c r="AD52" s="163">
        <f>'計分版'!N$14</f>
        <v>0</v>
      </c>
      <c r="AE52" s="163"/>
      <c r="AF52" s="163" t="s">
        <v>1065</v>
      </c>
      <c r="AG52" s="163"/>
      <c r="AH52" s="163" t="s">
        <v>1065</v>
      </c>
      <c r="AI52" s="163"/>
      <c r="AJ52" s="130"/>
      <c r="AK52" s="130"/>
      <c r="AL52" s="130"/>
      <c r="AM52" s="130"/>
      <c r="AN52" s="130"/>
      <c r="AO52" s="130"/>
      <c r="AP52" s="130"/>
      <c r="AQ52" s="130"/>
      <c r="AR52" s="130"/>
      <c r="AS52" s="130"/>
      <c r="AT52" s="130"/>
    </row>
    <row r="53" ht="13.5" customHeight="1">
      <c r="A53" s="130"/>
      <c r="B53" s="130"/>
      <c r="C53" s="130"/>
      <c r="D53" s="130"/>
      <c r="E53" s="163"/>
      <c r="F53" s="163"/>
      <c r="G53" s="163"/>
      <c r="H53" s="163"/>
      <c r="I53" s="163"/>
      <c r="J53" s="163"/>
      <c r="K53" s="130"/>
      <c r="L53" s="163"/>
      <c r="M53" s="163"/>
      <c r="N53" s="163"/>
      <c r="O53" s="163"/>
      <c r="P53" s="163"/>
      <c r="Q53" s="163"/>
      <c r="R53" s="130"/>
      <c r="S53" s="163"/>
      <c r="T53" s="130"/>
      <c r="U53" s="163"/>
      <c r="V53" s="163"/>
      <c r="W53" s="163"/>
      <c r="X53" s="163"/>
      <c r="Y53" s="163"/>
      <c r="Z53" s="163"/>
      <c r="AA53" s="163"/>
      <c r="AB53" s="163"/>
      <c r="AC53" s="163"/>
      <c r="AD53" s="163"/>
      <c r="AE53" s="163"/>
      <c r="AF53" s="163"/>
      <c r="AG53" s="163"/>
      <c r="AH53" s="163"/>
      <c r="AI53" s="163"/>
      <c r="AJ53" s="130"/>
      <c r="AK53" s="130"/>
      <c r="AL53" s="130"/>
      <c r="AM53" s="130"/>
      <c r="AN53" s="130"/>
      <c r="AO53" s="130"/>
      <c r="AP53" s="130"/>
      <c r="AQ53" s="130"/>
      <c r="AR53" s="130"/>
      <c r="AS53" s="130"/>
      <c r="AT53" s="130"/>
    </row>
    <row r="54" ht="13.5" customHeight="1">
      <c r="A54" s="165" t="s">
        <v>227</v>
      </c>
      <c r="B54" s="130"/>
      <c r="C54" s="130"/>
      <c r="D54" s="130"/>
      <c r="E54" s="163"/>
      <c r="F54" s="163"/>
      <c r="G54" s="163"/>
      <c r="H54" s="163"/>
      <c r="I54" s="163"/>
      <c r="J54" s="163"/>
      <c r="K54" s="130"/>
      <c r="L54" s="130"/>
      <c r="M54" s="130"/>
      <c r="N54" s="130"/>
      <c r="O54" s="130"/>
      <c r="P54" s="130"/>
      <c r="Q54" s="130"/>
      <c r="R54" s="130"/>
      <c r="S54" s="163"/>
      <c r="T54" s="130"/>
      <c r="U54" s="163"/>
      <c r="V54" s="163"/>
      <c r="W54" s="163"/>
      <c r="X54" s="163"/>
      <c r="Y54" s="163"/>
      <c r="Z54" s="163"/>
      <c r="AA54" s="163"/>
      <c r="AB54" s="163"/>
      <c r="AC54" s="163"/>
      <c r="AD54" s="163"/>
      <c r="AE54" s="163"/>
      <c r="AF54" s="163"/>
      <c r="AG54" s="163"/>
      <c r="AH54" s="163"/>
      <c r="AI54" s="163"/>
      <c r="AJ54" s="163"/>
      <c r="AK54" s="163"/>
      <c r="AL54" s="163"/>
      <c r="AM54" s="163"/>
      <c r="AN54" s="130"/>
      <c r="AO54" s="130"/>
      <c r="AP54" s="130"/>
      <c r="AQ54" s="130"/>
      <c r="AR54" s="130"/>
      <c r="AS54" s="130"/>
      <c r="AT54" s="130"/>
    </row>
    <row r="55" ht="13.5" customHeight="1">
      <c r="A55" s="165" t="s">
        <v>1056</v>
      </c>
      <c r="B55" s="165" t="s">
        <v>1057</v>
      </c>
      <c r="C55" s="165" t="s">
        <v>44</v>
      </c>
      <c r="D55" s="166" t="s">
        <v>49</v>
      </c>
      <c r="E55" s="166" t="s">
        <v>1058</v>
      </c>
      <c r="F55" s="166" t="s">
        <v>1059</v>
      </c>
      <c r="G55" s="166" t="s">
        <v>1060</v>
      </c>
      <c r="H55" s="166" t="s">
        <v>1061</v>
      </c>
      <c r="I55" s="166" t="s">
        <v>218</v>
      </c>
      <c r="J55" s="166" t="s">
        <v>219</v>
      </c>
      <c r="K55" s="165"/>
      <c r="L55" s="166" t="s">
        <v>1058</v>
      </c>
      <c r="M55" s="166" t="s">
        <v>1059</v>
      </c>
      <c r="N55" s="166" t="s">
        <v>1060</v>
      </c>
      <c r="O55" s="166" t="s">
        <v>1061</v>
      </c>
      <c r="P55" s="166" t="s">
        <v>218</v>
      </c>
      <c r="Q55" s="166" t="s">
        <v>219</v>
      </c>
      <c r="R55" s="162"/>
      <c r="S55" s="169"/>
      <c r="T55" s="130"/>
      <c r="U55" s="167" t="s">
        <v>23</v>
      </c>
      <c r="V55" s="167" t="s">
        <v>26</v>
      </c>
      <c r="W55" s="167" t="s">
        <v>29</v>
      </c>
      <c r="X55" s="167" t="s">
        <v>30</v>
      </c>
      <c r="Y55" s="167" t="s">
        <v>173</v>
      </c>
      <c r="Z55" s="167" t="str">
        <f>'主頁'!$C$16</f>
        <v/>
      </c>
      <c r="AA55" s="167" t="str">
        <f>'主頁'!$C$17</f>
        <v/>
      </c>
      <c r="AB55" s="167" t="str">
        <f>'主頁'!$C$18</f>
        <v/>
      </c>
      <c r="AC55" s="167" t="str">
        <f>'主頁'!$C$19</f>
        <v/>
      </c>
      <c r="AD55" s="167" t="str">
        <f>'主頁'!$C$20</f>
        <v/>
      </c>
      <c r="AE55" s="166" t="s">
        <v>541</v>
      </c>
      <c r="AF55" s="163" t="s">
        <v>1062</v>
      </c>
      <c r="AG55" s="163" t="s">
        <v>1063</v>
      </c>
      <c r="AH55" s="163" t="s">
        <v>1064</v>
      </c>
      <c r="AI55" s="163"/>
      <c r="AJ55" s="163" t="s">
        <v>1062</v>
      </c>
      <c r="AK55" s="163" t="s">
        <v>1063</v>
      </c>
      <c r="AL55" s="163" t="s">
        <v>1064</v>
      </c>
      <c r="AM55" s="163"/>
      <c r="AN55" s="130"/>
      <c r="AO55" s="130"/>
      <c r="AP55" s="130"/>
      <c r="AQ55" s="130"/>
      <c r="AR55" s="130"/>
      <c r="AS55" s="130"/>
      <c r="AT55" s="130"/>
    </row>
    <row r="56" ht="13.5" customHeight="1">
      <c r="A56" s="130" t="s">
        <v>228</v>
      </c>
      <c r="B56" s="130" t="s">
        <v>229</v>
      </c>
      <c r="C56" s="170" t="s">
        <v>191</v>
      </c>
      <c r="D56" s="130"/>
      <c r="E56" s="163">
        <v>3.0</v>
      </c>
      <c r="F56" s="163">
        <v>3.0</v>
      </c>
      <c r="G56" s="163">
        <v>2.0</v>
      </c>
      <c r="H56" s="163">
        <v>2.0</v>
      </c>
      <c r="I56" s="163">
        <v>3.0</v>
      </c>
      <c r="J56" s="163">
        <v>3.0</v>
      </c>
      <c r="K56" s="130"/>
      <c r="L56" s="163">
        <f t="shared" ref="L56:O56" si="61">IF(E56&gt;U56,0,1)</f>
        <v>0</v>
      </c>
      <c r="M56" s="163">
        <f t="shared" si="61"/>
        <v>0</v>
      </c>
      <c r="N56" s="163">
        <f t="shared" si="61"/>
        <v>0</v>
      </c>
      <c r="O56" s="163">
        <f t="shared" si="61"/>
        <v>0</v>
      </c>
      <c r="P56" s="163">
        <f t="shared" ref="P56:P67" si="63">IF(I56&gt;LARGE(Y56:AC56,1),0,1)</f>
        <v>0</v>
      </c>
      <c r="Q56" s="163">
        <f t="shared" ref="Q56:Q65" si="64">IF(J56&gt;LARGE(Y56:AD56,2),0,1)</f>
        <v>0</v>
      </c>
      <c r="R56" s="130"/>
      <c r="S56" s="163">
        <f t="shared" ref="S56:S62" si="65">L56*M56*N56*O56*P56</f>
        <v>0</v>
      </c>
      <c r="T56" s="130"/>
      <c r="U56" s="163">
        <f>'計分版'!E$14</f>
        <v>0.0000000001</v>
      </c>
      <c r="V56" s="163">
        <f>'計分版'!F$14</f>
        <v>0.0000000002</v>
      </c>
      <c r="W56" s="163">
        <f>'計分版'!G$14</f>
        <v>0.0000000003</v>
      </c>
      <c r="X56" s="163">
        <f>'計分版'!H$14</f>
        <v>0.0000000004</v>
      </c>
      <c r="Y56" s="163">
        <f>'計分版'!I$14</f>
        <v>0.0000000005</v>
      </c>
      <c r="Z56" s="163">
        <f>'計分版'!J$14</f>
        <v>0</v>
      </c>
      <c r="AA56" s="163">
        <f>'計分版'!K$14</f>
        <v>0</v>
      </c>
      <c r="AB56" s="163">
        <f>'計分版'!L$14</f>
        <v>0</v>
      </c>
      <c r="AC56" s="163">
        <f>'計分版'!M$14</f>
        <v>0</v>
      </c>
      <c r="AD56" s="163">
        <f>'計分版'!N$14</f>
        <v>0</v>
      </c>
      <c r="AE56" s="163"/>
      <c r="AF56" s="163" t="s">
        <v>1065</v>
      </c>
      <c r="AG56" s="163"/>
      <c r="AH56" s="163"/>
      <c r="AI56" s="163"/>
      <c r="AJ56" s="163" t="s">
        <v>1065</v>
      </c>
      <c r="AK56" s="163" t="s">
        <v>166</v>
      </c>
      <c r="AL56" s="163"/>
      <c r="AM56" s="163"/>
      <c r="AN56" s="130"/>
      <c r="AO56" s="130"/>
      <c r="AP56" s="130"/>
      <c r="AQ56" s="130"/>
      <c r="AR56" s="130"/>
      <c r="AS56" s="130"/>
      <c r="AT56" s="130"/>
    </row>
    <row r="57" ht="13.5" customHeight="1">
      <c r="A57" s="130" t="s">
        <v>230</v>
      </c>
      <c r="B57" s="130" t="s">
        <v>231</v>
      </c>
      <c r="C57" s="130" t="s">
        <v>191</v>
      </c>
      <c r="D57" s="130"/>
      <c r="E57" s="163">
        <v>3.0</v>
      </c>
      <c r="F57" s="163">
        <v>3.0</v>
      </c>
      <c r="G57" s="163">
        <v>2.0</v>
      </c>
      <c r="H57" s="163">
        <v>2.0</v>
      </c>
      <c r="I57" s="163">
        <v>3.0</v>
      </c>
      <c r="J57" s="163">
        <v>3.0</v>
      </c>
      <c r="K57" s="130"/>
      <c r="L57" s="163">
        <f t="shared" ref="L57:O57" si="62">IF(E57&gt;U57,0,1)</f>
        <v>0</v>
      </c>
      <c r="M57" s="163">
        <f t="shared" si="62"/>
        <v>0</v>
      </c>
      <c r="N57" s="163">
        <f t="shared" si="62"/>
        <v>0</v>
      </c>
      <c r="O57" s="163">
        <f t="shared" si="62"/>
        <v>0</v>
      </c>
      <c r="P57" s="163">
        <f t="shared" si="63"/>
        <v>0</v>
      </c>
      <c r="Q57" s="163">
        <f t="shared" si="64"/>
        <v>0</v>
      </c>
      <c r="R57" s="130"/>
      <c r="S57" s="163">
        <f t="shared" si="65"/>
        <v>0</v>
      </c>
      <c r="T57" s="130"/>
      <c r="U57" s="163">
        <f>'計分版'!E$14</f>
        <v>0.0000000001</v>
      </c>
      <c r="V57" s="163">
        <f>'計分版'!F$14</f>
        <v>0.0000000002</v>
      </c>
      <c r="W57" s="163">
        <f>'計分版'!G$14</f>
        <v>0.0000000003</v>
      </c>
      <c r="X57" s="163">
        <f>'計分版'!H$14</f>
        <v>0.0000000004</v>
      </c>
      <c r="Y57" s="163">
        <f>'計分版'!I$14</f>
        <v>0.0000000005</v>
      </c>
      <c r="Z57" s="163">
        <f>'計分版'!J$14</f>
        <v>0</v>
      </c>
      <c r="AA57" s="163">
        <f>'計分版'!K$14</f>
        <v>0</v>
      </c>
      <c r="AB57" s="163">
        <f>'計分版'!L$14</f>
        <v>0</v>
      </c>
      <c r="AC57" s="163">
        <f>'計分版'!M$14</f>
        <v>0</v>
      </c>
      <c r="AD57" s="163">
        <f>'計分版'!N$14</f>
        <v>0</v>
      </c>
      <c r="AE57" s="163"/>
      <c r="AF57" s="163" t="s">
        <v>1065</v>
      </c>
      <c r="AG57" s="163"/>
      <c r="AH57" s="163"/>
      <c r="AI57" s="163"/>
      <c r="AJ57" s="163" t="s">
        <v>1065</v>
      </c>
      <c r="AK57" s="163" t="s">
        <v>166</v>
      </c>
      <c r="AL57" s="163"/>
      <c r="AM57" s="163"/>
      <c r="AN57" s="130"/>
      <c r="AO57" s="130"/>
      <c r="AP57" s="130"/>
      <c r="AQ57" s="130"/>
      <c r="AR57" s="130"/>
      <c r="AS57" s="130"/>
      <c r="AT57" s="130"/>
    </row>
    <row r="58" ht="13.5" customHeight="1">
      <c r="A58" s="130" t="s">
        <v>232</v>
      </c>
      <c r="B58" s="130" t="s">
        <v>233</v>
      </c>
      <c r="C58" s="130" t="s">
        <v>191</v>
      </c>
      <c r="D58" s="130"/>
      <c r="E58" s="163">
        <v>3.0</v>
      </c>
      <c r="F58" s="163">
        <v>3.0</v>
      </c>
      <c r="G58" s="163">
        <v>2.0</v>
      </c>
      <c r="H58" s="163">
        <v>2.0</v>
      </c>
      <c r="I58" s="163">
        <v>3.0</v>
      </c>
      <c r="J58" s="163">
        <v>3.0</v>
      </c>
      <c r="K58" s="130"/>
      <c r="L58" s="163">
        <f t="shared" ref="L58:O58" si="66">IF(E58&gt;U58,0,1)</f>
        <v>0</v>
      </c>
      <c r="M58" s="163">
        <f t="shared" si="66"/>
        <v>0</v>
      </c>
      <c r="N58" s="163">
        <f t="shared" si="66"/>
        <v>0</v>
      </c>
      <c r="O58" s="163">
        <f t="shared" si="66"/>
        <v>0</v>
      </c>
      <c r="P58" s="163">
        <f t="shared" si="63"/>
        <v>0</v>
      </c>
      <c r="Q58" s="163">
        <f t="shared" si="64"/>
        <v>0</v>
      </c>
      <c r="R58" s="130"/>
      <c r="S58" s="163">
        <f t="shared" si="65"/>
        <v>0</v>
      </c>
      <c r="T58" s="130"/>
      <c r="U58" s="163">
        <f>'計分版'!E$14</f>
        <v>0.0000000001</v>
      </c>
      <c r="V58" s="163">
        <f>'計分版'!F$14</f>
        <v>0.0000000002</v>
      </c>
      <c r="W58" s="163">
        <f>'計分版'!G$14</f>
        <v>0.0000000003</v>
      </c>
      <c r="X58" s="163">
        <f>'計分版'!H$14</f>
        <v>0.0000000004</v>
      </c>
      <c r="Y58" s="163">
        <f>'計分版'!I$14</f>
        <v>0.0000000005</v>
      </c>
      <c r="Z58" s="163">
        <f>'計分版'!J$14</f>
        <v>0</v>
      </c>
      <c r="AA58" s="163">
        <f>'計分版'!K$14</f>
        <v>0</v>
      </c>
      <c r="AB58" s="163">
        <f>'計分版'!L$14</f>
        <v>0</v>
      </c>
      <c r="AC58" s="163">
        <f>'計分版'!M$14</f>
        <v>0</v>
      </c>
      <c r="AD58" s="163">
        <f>'計分版'!N$14</f>
        <v>0</v>
      </c>
      <c r="AE58" s="163"/>
      <c r="AF58" s="163" t="s">
        <v>1065</v>
      </c>
      <c r="AG58" s="163"/>
      <c r="AH58" s="163"/>
      <c r="AI58" s="163"/>
      <c r="AJ58" s="163" t="s">
        <v>1065</v>
      </c>
      <c r="AK58" s="163" t="s">
        <v>166</v>
      </c>
      <c r="AL58" s="163"/>
      <c r="AM58" s="163"/>
      <c r="AN58" s="130"/>
      <c r="AO58" s="130"/>
      <c r="AP58" s="130"/>
      <c r="AQ58" s="130"/>
      <c r="AR58" s="130"/>
      <c r="AS58" s="130"/>
      <c r="AT58" s="130"/>
    </row>
    <row r="59" ht="13.5" customHeight="1">
      <c r="A59" s="130" t="s">
        <v>234</v>
      </c>
      <c r="B59" s="130" t="s">
        <v>235</v>
      </c>
      <c r="C59" s="130" t="s">
        <v>191</v>
      </c>
      <c r="D59" s="130"/>
      <c r="E59" s="163">
        <v>3.0</v>
      </c>
      <c r="F59" s="163">
        <v>3.0</v>
      </c>
      <c r="G59" s="163">
        <v>2.0</v>
      </c>
      <c r="H59" s="163">
        <v>2.0</v>
      </c>
      <c r="I59" s="163">
        <v>3.0</v>
      </c>
      <c r="J59" s="163">
        <v>3.0</v>
      </c>
      <c r="K59" s="130"/>
      <c r="L59" s="163">
        <f t="shared" ref="L59:O59" si="67">IF(E59&gt;U59,0,1)</f>
        <v>0</v>
      </c>
      <c r="M59" s="163">
        <f t="shared" si="67"/>
        <v>0</v>
      </c>
      <c r="N59" s="163">
        <f t="shared" si="67"/>
        <v>0</v>
      </c>
      <c r="O59" s="163">
        <f t="shared" si="67"/>
        <v>0</v>
      </c>
      <c r="P59" s="163">
        <f t="shared" si="63"/>
        <v>0</v>
      </c>
      <c r="Q59" s="163">
        <f t="shared" si="64"/>
        <v>0</v>
      </c>
      <c r="R59" s="130"/>
      <c r="S59" s="163">
        <f t="shared" si="65"/>
        <v>0</v>
      </c>
      <c r="T59" s="130"/>
      <c r="U59" s="163">
        <f>'計分版'!E$14</f>
        <v>0.0000000001</v>
      </c>
      <c r="V59" s="163">
        <f>'計分版'!F$14</f>
        <v>0.0000000002</v>
      </c>
      <c r="W59" s="163">
        <f>'計分版'!G$14</f>
        <v>0.0000000003</v>
      </c>
      <c r="X59" s="163">
        <f>'計分版'!H$14</f>
        <v>0.0000000004</v>
      </c>
      <c r="Y59" s="163">
        <f>'計分版'!I$14</f>
        <v>0.0000000005</v>
      </c>
      <c r="Z59" s="163">
        <f>'計分版'!J$14</f>
        <v>0</v>
      </c>
      <c r="AA59" s="163">
        <f>'計分版'!K$14</f>
        <v>0</v>
      </c>
      <c r="AB59" s="163">
        <f>'計分版'!L$14</f>
        <v>0</v>
      </c>
      <c r="AC59" s="163">
        <f>'計分版'!M$14</f>
        <v>0</v>
      </c>
      <c r="AD59" s="163">
        <f>'計分版'!N$14</f>
        <v>0</v>
      </c>
      <c r="AE59" s="163"/>
      <c r="AF59" s="163" t="s">
        <v>1065</v>
      </c>
      <c r="AG59" s="163"/>
      <c r="AH59" s="163"/>
      <c r="AI59" s="163"/>
      <c r="AJ59" s="163" t="s">
        <v>1065</v>
      </c>
      <c r="AK59" s="163" t="s">
        <v>166</v>
      </c>
      <c r="AL59" s="163"/>
      <c r="AM59" s="163"/>
      <c r="AN59" s="130"/>
      <c r="AO59" s="130"/>
      <c r="AP59" s="130"/>
      <c r="AQ59" s="130"/>
      <c r="AR59" s="130"/>
      <c r="AS59" s="130"/>
      <c r="AT59" s="130"/>
    </row>
    <row r="60" ht="13.5" customHeight="1">
      <c r="A60" s="130" t="s">
        <v>236</v>
      </c>
      <c r="B60" s="130" t="s">
        <v>237</v>
      </c>
      <c r="C60" s="130" t="s">
        <v>191</v>
      </c>
      <c r="D60" s="130"/>
      <c r="E60" s="163">
        <v>3.0</v>
      </c>
      <c r="F60" s="163">
        <v>3.0</v>
      </c>
      <c r="G60" s="163">
        <v>2.0</v>
      </c>
      <c r="H60" s="163">
        <v>2.0</v>
      </c>
      <c r="I60" s="163">
        <v>3.0</v>
      </c>
      <c r="J60" s="163">
        <v>3.0</v>
      </c>
      <c r="K60" s="130"/>
      <c r="L60" s="163">
        <f t="shared" ref="L60:O60" si="68">IF(E60&gt;U60,0,1)</f>
        <v>0</v>
      </c>
      <c r="M60" s="163">
        <f t="shared" si="68"/>
        <v>0</v>
      </c>
      <c r="N60" s="163">
        <f t="shared" si="68"/>
        <v>0</v>
      </c>
      <c r="O60" s="163">
        <f t="shared" si="68"/>
        <v>0</v>
      </c>
      <c r="P60" s="163">
        <f t="shared" si="63"/>
        <v>0</v>
      </c>
      <c r="Q60" s="163">
        <f t="shared" si="64"/>
        <v>0</v>
      </c>
      <c r="R60" s="130"/>
      <c r="S60" s="163">
        <f t="shared" si="65"/>
        <v>0</v>
      </c>
      <c r="T60" s="130"/>
      <c r="U60" s="163">
        <f>'計分版'!E$14</f>
        <v>0.0000000001</v>
      </c>
      <c r="V60" s="163">
        <f>'計分版'!F$14</f>
        <v>0.0000000002</v>
      </c>
      <c r="W60" s="163">
        <f>'計分版'!G$14</f>
        <v>0.0000000003</v>
      </c>
      <c r="X60" s="163">
        <f>'計分版'!H$14</f>
        <v>0.0000000004</v>
      </c>
      <c r="Y60" s="163">
        <f>'計分版'!I$14</f>
        <v>0.0000000005</v>
      </c>
      <c r="Z60" s="163">
        <f>'計分版'!J$14</f>
        <v>0</v>
      </c>
      <c r="AA60" s="163">
        <f>'計分版'!K$14</f>
        <v>0</v>
      </c>
      <c r="AB60" s="163">
        <f>'計分版'!L$14</f>
        <v>0</v>
      </c>
      <c r="AC60" s="163">
        <f>'計分版'!M$14</f>
        <v>0</v>
      </c>
      <c r="AD60" s="163">
        <f>'計分版'!N$14</f>
        <v>0</v>
      </c>
      <c r="AE60" s="163"/>
      <c r="AF60" s="163" t="s">
        <v>1065</v>
      </c>
      <c r="AG60" s="163"/>
      <c r="AH60" s="163"/>
      <c r="AI60" s="163"/>
      <c r="AJ60" s="163" t="s">
        <v>1065</v>
      </c>
      <c r="AK60" s="163" t="s">
        <v>166</v>
      </c>
      <c r="AL60" s="163"/>
      <c r="AM60" s="163"/>
      <c r="AN60" s="130"/>
      <c r="AO60" s="130"/>
      <c r="AP60" s="130"/>
      <c r="AQ60" s="130"/>
      <c r="AR60" s="130"/>
      <c r="AS60" s="130"/>
      <c r="AT60" s="130"/>
    </row>
    <row r="61" ht="13.5" customHeight="1">
      <c r="A61" s="130" t="s">
        <v>238</v>
      </c>
      <c r="B61" s="130" t="s">
        <v>239</v>
      </c>
      <c r="C61" s="130" t="s">
        <v>191</v>
      </c>
      <c r="D61" s="130"/>
      <c r="E61" s="163">
        <v>3.0</v>
      </c>
      <c r="F61" s="163">
        <v>3.0</v>
      </c>
      <c r="G61" s="163">
        <v>2.0</v>
      </c>
      <c r="H61" s="163">
        <v>2.0</v>
      </c>
      <c r="I61" s="163">
        <v>3.0</v>
      </c>
      <c r="J61" s="163">
        <v>3.0</v>
      </c>
      <c r="K61" s="130"/>
      <c r="L61" s="163">
        <f t="shared" ref="L61:O61" si="69">IF(E61&gt;U61,0,1)</f>
        <v>0</v>
      </c>
      <c r="M61" s="163">
        <f t="shared" si="69"/>
        <v>0</v>
      </c>
      <c r="N61" s="163">
        <f t="shared" si="69"/>
        <v>0</v>
      </c>
      <c r="O61" s="163">
        <f t="shared" si="69"/>
        <v>0</v>
      </c>
      <c r="P61" s="163">
        <f t="shared" si="63"/>
        <v>0</v>
      </c>
      <c r="Q61" s="163">
        <f t="shared" si="64"/>
        <v>0</v>
      </c>
      <c r="R61" s="130"/>
      <c r="S61" s="163">
        <f t="shared" si="65"/>
        <v>0</v>
      </c>
      <c r="T61" s="130"/>
      <c r="U61" s="163">
        <f>'計分版'!E$14</f>
        <v>0.0000000001</v>
      </c>
      <c r="V61" s="163">
        <f>'計分版'!F$14</f>
        <v>0.0000000002</v>
      </c>
      <c r="W61" s="163">
        <f>'計分版'!G$14</f>
        <v>0.0000000003</v>
      </c>
      <c r="X61" s="163">
        <f>'計分版'!H$14</f>
        <v>0.0000000004</v>
      </c>
      <c r="Y61" s="163">
        <f>'計分版'!I$14</f>
        <v>0.0000000005</v>
      </c>
      <c r="Z61" s="163">
        <f>'計分版'!J$14</f>
        <v>0</v>
      </c>
      <c r="AA61" s="163">
        <f>'計分版'!K$14</f>
        <v>0</v>
      </c>
      <c r="AB61" s="163">
        <f>'計分版'!L$14</f>
        <v>0</v>
      </c>
      <c r="AC61" s="163">
        <f>'計分版'!M$14</f>
        <v>0</v>
      </c>
      <c r="AD61" s="163">
        <f>'計分版'!N$14</f>
        <v>0</v>
      </c>
      <c r="AE61" s="163"/>
      <c r="AF61" s="163" t="s">
        <v>1065</v>
      </c>
      <c r="AG61" s="163"/>
      <c r="AH61" s="163"/>
      <c r="AI61" s="163"/>
      <c r="AJ61" s="163" t="s">
        <v>1065</v>
      </c>
      <c r="AK61" s="163" t="s">
        <v>166</v>
      </c>
      <c r="AL61" s="163"/>
      <c r="AM61" s="163"/>
      <c r="AN61" s="130"/>
      <c r="AO61" s="130"/>
      <c r="AP61" s="130"/>
      <c r="AQ61" s="130"/>
      <c r="AR61" s="130"/>
      <c r="AS61" s="130"/>
      <c r="AT61" s="130"/>
    </row>
    <row r="62" ht="13.5" customHeight="1">
      <c r="A62" s="130" t="s">
        <v>240</v>
      </c>
      <c r="B62" s="130" t="s">
        <v>241</v>
      </c>
      <c r="C62" s="130" t="s">
        <v>191</v>
      </c>
      <c r="D62" s="130"/>
      <c r="E62" s="163">
        <v>3.0</v>
      </c>
      <c r="F62" s="163">
        <v>3.0</v>
      </c>
      <c r="G62" s="163">
        <v>2.0</v>
      </c>
      <c r="H62" s="163">
        <v>2.0</v>
      </c>
      <c r="I62" s="163">
        <v>3.0</v>
      </c>
      <c r="J62" s="163">
        <v>3.0</v>
      </c>
      <c r="K62" s="130"/>
      <c r="L62" s="163">
        <f t="shared" ref="L62:O62" si="70">IF(E62&gt;U62,0,1)</f>
        <v>0</v>
      </c>
      <c r="M62" s="163">
        <f t="shared" si="70"/>
        <v>0</v>
      </c>
      <c r="N62" s="163">
        <f t="shared" si="70"/>
        <v>0</v>
      </c>
      <c r="O62" s="163">
        <f t="shared" si="70"/>
        <v>0</v>
      </c>
      <c r="P62" s="163">
        <f t="shared" si="63"/>
        <v>0</v>
      </c>
      <c r="Q62" s="163">
        <f t="shared" si="64"/>
        <v>0</v>
      </c>
      <c r="R62" s="130"/>
      <c r="S62" s="163">
        <f t="shared" si="65"/>
        <v>0</v>
      </c>
      <c r="T62" s="130"/>
      <c r="U62" s="163">
        <f>'計分版'!E$14</f>
        <v>0.0000000001</v>
      </c>
      <c r="V62" s="163">
        <f>'計分版'!F$14</f>
        <v>0.0000000002</v>
      </c>
      <c r="W62" s="163">
        <f>'計分版'!G$14</f>
        <v>0.0000000003</v>
      </c>
      <c r="X62" s="163">
        <f>'計分版'!H$14</f>
        <v>0.0000000004</v>
      </c>
      <c r="Y62" s="163">
        <f>'計分版'!I$14</f>
        <v>0.0000000005</v>
      </c>
      <c r="Z62" s="163">
        <f>'計分版'!J$14</f>
        <v>0</v>
      </c>
      <c r="AA62" s="163">
        <f>'計分版'!K$14</f>
        <v>0</v>
      </c>
      <c r="AB62" s="163">
        <f>'計分版'!L$14</f>
        <v>0</v>
      </c>
      <c r="AC62" s="163">
        <f>'計分版'!M$14</f>
        <v>0</v>
      </c>
      <c r="AD62" s="163">
        <f>'計分版'!N$14</f>
        <v>0</v>
      </c>
      <c r="AE62" s="163"/>
      <c r="AF62" s="163" t="s">
        <v>1065</v>
      </c>
      <c r="AG62" s="163"/>
      <c r="AH62" s="163"/>
      <c r="AI62" s="163"/>
      <c r="AJ62" s="163" t="s">
        <v>1065</v>
      </c>
      <c r="AK62" s="163" t="s">
        <v>166</v>
      </c>
      <c r="AL62" s="163"/>
      <c r="AM62" s="163"/>
      <c r="AN62" s="130"/>
      <c r="AO62" s="130"/>
      <c r="AP62" s="130"/>
      <c r="AQ62" s="130"/>
      <c r="AR62" s="130"/>
      <c r="AS62" s="130"/>
      <c r="AT62" s="130"/>
    </row>
    <row r="63" ht="13.5" customHeight="1">
      <c r="A63" s="130" t="s">
        <v>242</v>
      </c>
      <c r="B63" s="130" t="s">
        <v>243</v>
      </c>
      <c r="C63" s="170" t="s">
        <v>191</v>
      </c>
      <c r="D63" s="130"/>
      <c r="E63" s="163">
        <v>3.0</v>
      </c>
      <c r="F63" s="163">
        <v>3.0</v>
      </c>
      <c r="G63" s="163">
        <v>2.0</v>
      </c>
      <c r="H63" s="163">
        <v>2.0</v>
      </c>
      <c r="I63" s="163">
        <v>3.0</v>
      </c>
      <c r="J63" s="163">
        <v>3.0</v>
      </c>
      <c r="K63" s="130"/>
      <c r="L63" s="163">
        <f t="shared" ref="L63:O63" si="71">IF(E63&gt;U63,0,1)</f>
        <v>0</v>
      </c>
      <c r="M63" s="163">
        <f t="shared" si="71"/>
        <v>0</v>
      </c>
      <c r="N63" s="163">
        <f t="shared" si="71"/>
        <v>0</v>
      </c>
      <c r="O63" s="163">
        <f t="shared" si="71"/>
        <v>0</v>
      </c>
      <c r="P63" s="163">
        <f t="shared" si="63"/>
        <v>0</v>
      </c>
      <c r="Q63" s="163">
        <f t="shared" si="64"/>
        <v>0</v>
      </c>
      <c r="R63" s="130"/>
      <c r="S63" s="163">
        <f>IF(L63*M63*N63*O63*P63*Q63=0,0,2)</f>
        <v>0</v>
      </c>
      <c r="T63" s="130"/>
      <c r="U63" s="163">
        <f>'計分版'!E$14</f>
        <v>0.0000000001</v>
      </c>
      <c r="V63" s="163">
        <f>'計分版'!F$14</f>
        <v>0.0000000002</v>
      </c>
      <c r="W63" s="163">
        <f>'計分版'!G$14</f>
        <v>0.0000000003</v>
      </c>
      <c r="X63" s="163">
        <f>'計分版'!H$14</f>
        <v>0.0000000004</v>
      </c>
      <c r="Y63" s="163">
        <f>'計分版'!I$14</f>
        <v>0.0000000005</v>
      </c>
      <c r="Z63" s="163">
        <f>'計分版'!J$14</f>
        <v>0</v>
      </c>
      <c r="AA63" s="163">
        <f>'計分版'!K$14</f>
        <v>0</v>
      </c>
      <c r="AB63" s="163">
        <f>'計分版'!L$14</f>
        <v>0</v>
      </c>
      <c r="AC63" s="163">
        <f>'計分版'!M$14</f>
        <v>0</v>
      </c>
      <c r="AD63" s="163">
        <f>'計分版'!N$14</f>
        <v>0</v>
      </c>
      <c r="AE63" s="163"/>
      <c r="AF63" s="163" t="s">
        <v>1065</v>
      </c>
      <c r="AG63" s="163"/>
      <c r="AH63" s="163"/>
      <c r="AI63" s="163"/>
      <c r="AJ63" s="163" t="s">
        <v>1065</v>
      </c>
      <c r="AK63" s="163" t="s">
        <v>166</v>
      </c>
      <c r="AL63" s="163"/>
      <c r="AM63" s="163"/>
      <c r="AN63" s="130"/>
      <c r="AO63" s="130"/>
      <c r="AP63" s="130"/>
      <c r="AQ63" s="130"/>
      <c r="AR63" s="130"/>
      <c r="AS63" s="130"/>
      <c r="AT63" s="130"/>
    </row>
    <row r="64" ht="13.5" customHeight="1">
      <c r="A64" s="130" t="s">
        <v>244</v>
      </c>
      <c r="B64" s="130" t="s">
        <v>245</v>
      </c>
      <c r="C64" s="170" t="s">
        <v>191</v>
      </c>
      <c r="D64" s="130"/>
      <c r="E64" s="163">
        <v>3.0</v>
      </c>
      <c r="F64" s="163">
        <v>3.0</v>
      </c>
      <c r="G64" s="163">
        <v>2.0</v>
      </c>
      <c r="H64" s="163">
        <v>2.0</v>
      </c>
      <c r="I64" s="163">
        <v>3.0</v>
      </c>
      <c r="J64" s="163">
        <v>3.0</v>
      </c>
      <c r="K64" s="130"/>
      <c r="L64" s="163">
        <f t="shared" ref="L64:O64" si="72">IF(E64&gt;U64,0,1)</f>
        <v>0</v>
      </c>
      <c r="M64" s="163">
        <f t="shared" si="72"/>
        <v>0</v>
      </c>
      <c r="N64" s="163">
        <f t="shared" si="72"/>
        <v>0</v>
      </c>
      <c r="O64" s="163">
        <f t="shared" si="72"/>
        <v>0</v>
      </c>
      <c r="P64" s="163">
        <f t="shared" si="63"/>
        <v>0</v>
      </c>
      <c r="Q64" s="163">
        <f t="shared" si="64"/>
        <v>0</v>
      </c>
      <c r="R64" s="130"/>
      <c r="S64" s="163">
        <f>L64*M64*N64*O64*P64</f>
        <v>0</v>
      </c>
      <c r="T64" s="130"/>
      <c r="U64" s="163">
        <f>'計分版'!E$14</f>
        <v>0.0000000001</v>
      </c>
      <c r="V64" s="163">
        <f>'計分版'!F$14</f>
        <v>0.0000000002</v>
      </c>
      <c r="W64" s="163">
        <f>'計分版'!G$14</f>
        <v>0.0000000003</v>
      </c>
      <c r="X64" s="163">
        <f>'計分版'!H$14</f>
        <v>0.0000000004</v>
      </c>
      <c r="Y64" s="163">
        <f>'計分版'!I$14</f>
        <v>0.0000000005</v>
      </c>
      <c r="Z64" s="163">
        <f>'計分版'!J$14</f>
        <v>0</v>
      </c>
      <c r="AA64" s="163">
        <f>'計分版'!K$14</f>
        <v>0</v>
      </c>
      <c r="AB64" s="163">
        <f>'計分版'!L$14</f>
        <v>0</v>
      </c>
      <c r="AC64" s="163">
        <f>'計分版'!M$14</f>
        <v>0</v>
      </c>
      <c r="AD64" s="163">
        <f>'計分版'!N$14</f>
        <v>0</v>
      </c>
      <c r="AE64" s="163"/>
      <c r="AF64" s="163" t="s">
        <v>1065</v>
      </c>
      <c r="AG64" s="163"/>
      <c r="AH64" s="163"/>
      <c r="AI64" s="163"/>
      <c r="AJ64" s="163" t="s">
        <v>1065</v>
      </c>
      <c r="AK64" s="163" t="s">
        <v>166</v>
      </c>
      <c r="AL64" s="163"/>
      <c r="AM64" s="163"/>
      <c r="AN64" s="130"/>
      <c r="AO64" s="130"/>
      <c r="AP64" s="130"/>
      <c r="AQ64" s="130"/>
      <c r="AR64" s="130"/>
      <c r="AS64" s="130"/>
      <c r="AT64" s="130"/>
    </row>
    <row r="65" ht="13.5" customHeight="1">
      <c r="A65" s="130" t="s">
        <v>246</v>
      </c>
      <c r="B65" s="130" t="s">
        <v>247</v>
      </c>
      <c r="C65" s="170" t="s">
        <v>191</v>
      </c>
      <c r="D65" s="130"/>
      <c r="E65" s="163">
        <v>3.0</v>
      </c>
      <c r="F65" s="163">
        <v>3.0</v>
      </c>
      <c r="G65" s="163">
        <v>2.0</v>
      </c>
      <c r="H65" s="163">
        <v>2.0</v>
      </c>
      <c r="I65" s="163">
        <v>3.0</v>
      </c>
      <c r="J65" s="163">
        <v>3.0</v>
      </c>
      <c r="K65" s="130"/>
      <c r="L65" s="163">
        <f t="shared" ref="L65:O65" si="73">IF(E65&gt;U65,0,1)</f>
        <v>0</v>
      </c>
      <c r="M65" s="163">
        <f t="shared" si="73"/>
        <v>0</v>
      </c>
      <c r="N65" s="163">
        <f t="shared" si="73"/>
        <v>0</v>
      </c>
      <c r="O65" s="163">
        <f t="shared" si="73"/>
        <v>0</v>
      </c>
      <c r="P65" s="163">
        <f t="shared" si="63"/>
        <v>0</v>
      </c>
      <c r="Q65" s="163">
        <f t="shared" si="64"/>
        <v>0</v>
      </c>
      <c r="R65" s="130"/>
      <c r="S65" s="163">
        <f>IF(L65*M65*N65*O65*P65*Q65=0,0,2)</f>
        <v>0</v>
      </c>
      <c r="T65" s="163"/>
      <c r="U65" s="163">
        <f>'計分版'!E$14</f>
        <v>0.0000000001</v>
      </c>
      <c r="V65" s="163">
        <f>'計分版'!F$14</f>
        <v>0.0000000002</v>
      </c>
      <c r="W65" s="163">
        <f>'計分版'!G$14</f>
        <v>0.0000000003</v>
      </c>
      <c r="X65" s="163">
        <f>'計分版'!H$14</f>
        <v>0.0000000004</v>
      </c>
      <c r="Y65" s="163">
        <f>'計分版'!I$14</f>
        <v>0.0000000005</v>
      </c>
      <c r="Z65" s="163">
        <f>'計分版'!J$14</f>
        <v>0</v>
      </c>
      <c r="AA65" s="163">
        <f>'計分版'!K$14</f>
        <v>0</v>
      </c>
      <c r="AB65" s="163">
        <f>'計分版'!L$14</f>
        <v>0</v>
      </c>
      <c r="AC65" s="163">
        <f>'計分版'!M$14</f>
        <v>0</v>
      </c>
      <c r="AD65" s="163">
        <f>'計分版'!N$14</f>
        <v>0</v>
      </c>
      <c r="AE65" s="163"/>
      <c r="AF65" s="163" t="s">
        <v>1065</v>
      </c>
      <c r="AG65" s="163"/>
      <c r="AH65" s="163"/>
      <c r="AI65" s="163"/>
      <c r="AJ65" s="163" t="s">
        <v>1065</v>
      </c>
      <c r="AK65" s="163" t="s">
        <v>166</v>
      </c>
      <c r="AL65" s="163"/>
      <c r="AM65" s="163"/>
      <c r="AN65" s="130"/>
      <c r="AO65" s="130"/>
      <c r="AP65" s="130"/>
      <c r="AQ65" s="130"/>
      <c r="AR65" s="130"/>
      <c r="AS65" s="130"/>
      <c r="AT65" s="130"/>
    </row>
    <row r="66" ht="13.5" customHeight="1">
      <c r="A66" s="130" t="s">
        <v>248</v>
      </c>
      <c r="B66" s="130" t="s">
        <v>249</v>
      </c>
      <c r="C66" s="170" t="s">
        <v>24</v>
      </c>
      <c r="D66" s="130"/>
      <c r="E66" s="163">
        <v>3.0</v>
      </c>
      <c r="F66" s="163">
        <v>3.0</v>
      </c>
      <c r="G66" s="163">
        <v>2.0</v>
      </c>
      <c r="H66" s="163">
        <v>2.0</v>
      </c>
      <c r="I66" s="163">
        <v>3.0</v>
      </c>
      <c r="J66" s="163">
        <v>3.0</v>
      </c>
      <c r="K66" s="130"/>
      <c r="L66" s="163">
        <f t="shared" ref="L66:O66" si="74">IF(E66&gt;U66,0,1)</f>
        <v>0</v>
      </c>
      <c r="M66" s="163">
        <f t="shared" si="74"/>
        <v>0</v>
      </c>
      <c r="N66" s="163">
        <f t="shared" si="74"/>
        <v>0</v>
      </c>
      <c r="O66" s="163">
        <f t="shared" si="74"/>
        <v>0</v>
      </c>
      <c r="P66" s="163">
        <f t="shared" si="63"/>
        <v>0</v>
      </c>
      <c r="Q66" s="163">
        <f t="shared" ref="Q66:Q67" si="76">IF(J66&gt;LARGE(Y66:AC66,2),0,1)</f>
        <v>0</v>
      </c>
      <c r="R66" s="130"/>
      <c r="S66" s="163">
        <f t="shared" ref="S66:S69" si="77">L66*M66*N66*O66*P66</f>
        <v>0</v>
      </c>
      <c r="T66" s="163"/>
      <c r="U66" s="163">
        <f>'計分版'!E$14</f>
        <v>0.0000000001</v>
      </c>
      <c r="V66" s="163">
        <f>'計分版'!F$14</f>
        <v>0.0000000002</v>
      </c>
      <c r="W66" s="163">
        <f>'計分版'!G$14</f>
        <v>0.0000000003</v>
      </c>
      <c r="X66" s="163">
        <f>'計分版'!H$14</f>
        <v>0.0000000004</v>
      </c>
      <c r="Y66" s="163">
        <f>'計分版'!I$14</f>
        <v>0.0000000005</v>
      </c>
      <c r="Z66" s="163">
        <f>'計分版'!J$14</f>
        <v>0</v>
      </c>
      <c r="AA66" s="163">
        <f>'計分版'!K$14</f>
        <v>0</v>
      </c>
      <c r="AB66" s="163">
        <f>'計分版'!L$14</f>
        <v>0</v>
      </c>
      <c r="AC66" s="163">
        <f>'計分版'!M$14</f>
        <v>0</v>
      </c>
      <c r="AD66" s="163">
        <f>'計分版'!N$14</f>
        <v>0</v>
      </c>
      <c r="AE66" s="163"/>
      <c r="AF66" s="163" t="s">
        <v>1065</v>
      </c>
      <c r="AG66" s="163"/>
      <c r="AH66" s="163"/>
      <c r="AI66" s="163"/>
      <c r="AJ66" s="163" t="s">
        <v>1065</v>
      </c>
      <c r="AK66" s="163"/>
      <c r="AL66" s="163"/>
      <c r="AM66" s="163"/>
      <c r="AN66" s="130"/>
      <c r="AO66" s="130"/>
      <c r="AP66" s="130"/>
      <c r="AQ66" s="130"/>
      <c r="AR66" s="130"/>
      <c r="AS66" s="130"/>
      <c r="AT66" s="130"/>
    </row>
    <row r="67" ht="13.5" customHeight="1">
      <c r="A67" s="130" t="s">
        <v>250</v>
      </c>
      <c r="B67" s="130" t="s">
        <v>251</v>
      </c>
      <c r="C67" s="170" t="s">
        <v>24</v>
      </c>
      <c r="D67" s="130"/>
      <c r="E67" s="163">
        <v>3.0</v>
      </c>
      <c r="F67" s="163">
        <v>3.0</v>
      </c>
      <c r="G67" s="163">
        <v>2.0</v>
      </c>
      <c r="H67" s="163">
        <v>2.0</v>
      </c>
      <c r="I67" s="163">
        <v>3.0</v>
      </c>
      <c r="J67" s="163">
        <v>3.0</v>
      </c>
      <c r="K67" s="130"/>
      <c r="L67" s="163">
        <f t="shared" ref="L67:O67" si="75">IF(E67&gt;U67,0,1)</f>
        <v>0</v>
      </c>
      <c r="M67" s="163">
        <f t="shared" si="75"/>
        <v>0</v>
      </c>
      <c r="N67" s="163">
        <f t="shared" si="75"/>
        <v>0</v>
      </c>
      <c r="O67" s="163">
        <f t="shared" si="75"/>
        <v>0</v>
      </c>
      <c r="P67" s="163">
        <f t="shared" si="63"/>
        <v>0</v>
      </c>
      <c r="Q67" s="163">
        <f t="shared" si="76"/>
        <v>0</v>
      </c>
      <c r="R67" s="130"/>
      <c r="S67" s="163">
        <f t="shared" si="77"/>
        <v>0</v>
      </c>
      <c r="T67" s="163"/>
      <c r="U67" s="163">
        <f>'計分版'!E$14</f>
        <v>0.0000000001</v>
      </c>
      <c r="V67" s="163">
        <f>'計分版'!F$14</f>
        <v>0.0000000002</v>
      </c>
      <c r="W67" s="163">
        <f>'計分版'!G$14</f>
        <v>0.0000000003</v>
      </c>
      <c r="X67" s="163">
        <f>'計分版'!H$14</f>
        <v>0.0000000004</v>
      </c>
      <c r="Y67" s="163">
        <f>'計分版'!I$14</f>
        <v>0.0000000005</v>
      </c>
      <c r="Z67" s="163">
        <f>'計分版'!J$14</f>
        <v>0</v>
      </c>
      <c r="AA67" s="163">
        <f>'計分版'!K$14</f>
        <v>0</v>
      </c>
      <c r="AB67" s="163">
        <f>'計分版'!L$14</f>
        <v>0</v>
      </c>
      <c r="AC67" s="163">
        <f>'計分版'!M$14</f>
        <v>0</v>
      </c>
      <c r="AD67" s="163">
        <f>'計分版'!N$14</f>
        <v>0</v>
      </c>
      <c r="AE67" s="163"/>
      <c r="AF67" s="163" t="s">
        <v>1065</v>
      </c>
      <c r="AG67" s="163"/>
      <c r="AH67" s="163"/>
      <c r="AI67" s="163"/>
      <c r="AJ67" s="163" t="s">
        <v>1065</v>
      </c>
      <c r="AK67" s="163"/>
      <c r="AL67" s="163"/>
      <c r="AM67" s="163"/>
      <c r="AN67" s="130"/>
      <c r="AO67" s="130"/>
      <c r="AP67" s="130"/>
      <c r="AQ67" s="130"/>
      <c r="AR67" s="130"/>
      <c r="AS67" s="130"/>
      <c r="AT67" s="130"/>
    </row>
    <row r="68" ht="13.5" customHeight="1">
      <c r="A68" s="130" t="s">
        <v>252</v>
      </c>
      <c r="B68" s="130" t="s">
        <v>253</v>
      </c>
      <c r="C68" s="170" t="s">
        <v>21</v>
      </c>
      <c r="D68" s="130"/>
      <c r="E68" s="163">
        <v>3.0</v>
      </c>
      <c r="F68" s="163">
        <v>3.0</v>
      </c>
      <c r="G68" s="163">
        <v>2.0</v>
      </c>
      <c r="H68" s="163">
        <v>2.0</v>
      </c>
      <c r="I68" s="163">
        <v>3.0</v>
      </c>
      <c r="J68" s="163">
        <v>3.0</v>
      </c>
      <c r="K68" s="130"/>
      <c r="L68" s="163">
        <f t="shared" ref="L68:O68" si="78">IF(E68&gt;U68,0,1)</f>
        <v>0</v>
      </c>
      <c r="M68" s="163">
        <f t="shared" si="78"/>
        <v>0</v>
      </c>
      <c r="N68" s="163">
        <f t="shared" si="78"/>
        <v>0</v>
      </c>
      <c r="O68" s="163">
        <f t="shared" si="78"/>
        <v>0</v>
      </c>
      <c r="P68" s="163">
        <f t="shared" ref="P68:P69" si="80">IF(I68&gt;LARGE(Z68:AC68,1),0,1)</f>
        <v>0</v>
      </c>
      <c r="Q68" s="163">
        <f>IF(J68&gt;LARGE(Y68:AD68,2),0,1)</f>
        <v>0</v>
      </c>
      <c r="R68" s="130"/>
      <c r="S68" s="163">
        <f t="shared" si="77"/>
        <v>0</v>
      </c>
      <c r="T68" s="163"/>
      <c r="U68" s="163">
        <f>'計分版'!E$14</f>
        <v>0.0000000001</v>
      </c>
      <c r="V68" s="163">
        <f>'計分版'!F$14</f>
        <v>0.0000000002</v>
      </c>
      <c r="W68" s="163">
        <f>'計分版'!G$14</f>
        <v>0.0000000003</v>
      </c>
      <c r="X68" s="163">
        <f>'計分版'!H$14</f>
        <v>0.0000000004</v>
      </c>
      <c r="Y68" s="163">
        <f>'計分版'!I$14</f>
        <v>0.0000000005</v>
      </c>
      <c r="Z68" s="163">
        <f>'計分版'!J$14</f>
        <v>0</v>
      </c>
      <c r="AA68" s="163">
        <f>'計分版'!K$14</f>
        <v>0</v>
      </c>
      <c r="AB68" s="163">
        <f>'計分版'!L$14</f>
        <v>0</v>
      </c>
      <c r="AC68" s="163">
        <f>'計分版'!M$14</f>
        <v>0</v>
      </c>
      <c r="AD68" s="163">
        <f>'計分版'!N$14</f>
        <v>0</v>
      </c>
      <c r="AE68" s="163"/>
      <c r="AF68" s="163"/>
      <c r="AG68" s="163"/>
      <c r="AH68" s="163"/>
      <c r="AI68" s="163"/>
      <c r="AJ68" s="163" t="s">
        <v>1065</v>
      </c>
      <c r="AK68" s="163" t="s">
        <v>166</v>
      </c>
      <c r="AL68" s="163" t="s">
        <v>1065</v>
      </c>
      <c r="AM68" s="163"/>
      <c r="AN68" s="130"/>
      <c r="AO68" s="130"/>
      <c r="AP68" s="130"/>
      <c r="AQ68" s="130"/>
      <c r="AR68" s="130"/>
      <c r="AS68" s="130"/>
      <c r="AT68" s="130"/>
    </row>
    <row r="69" ht="13.5" customHeight="1">
      <c r="A69" s="130" t="s">
        <v>254</v>
      </c>
      <c r="B69" s="130" t="s">
        <v>255</v>
      </c>
      <c r="C69" s="170" t="s">
        <v>21</v>
      </c>
      <c r="D69" s="130"/>
      <c r="E69" s="163">
        <v>3.0</v>
      </c>
      <c r="F69" s="163">
        <v>3.0</v>
      </c>
      <c r="G69" s="163">
        <v>2.0</v>
      </c>
      <c r="H69" s="163">
        <v>2.0</v>
      </c>
      <c r="I69" s="163">
        <v>3.0</v>
      </c>
      <c r="J69" s="163">
        <v>3.0</v>
      </c>
      <c r="K69" s="130"/>
      <c r="L69" s="163">
        <f t="shared" ref="L69:O69" si="79">IF(E69&gt;U69,0,1)</f>
        <v>0</v>
      </c>
      <c r="M69" s="163">
        <f t="shared" si="79"/>
        <v>0</v>
      </c>
      <c r="N69" s="163">
        <f t="shared" si="79"/>
        <v>0</v>
      </c>
      <c r="O69" s="163">
        <f t="shared" si="79"/>
        <v>0</v>
      </c>
      <c r="P69" s="163">
        <f t="shared" si="80"/>
        <v>0</v>
      </c>
      <c r="Q69" s="163">
        <f>IF(J69&gt;LARGE(Z69:AC69,2),0,1)</f>
        <v>0</v>
      </c>
      <c r="R69" s="130"/>
      <c r="S69" s="163">
        <f t="shared" si="77"/>
        <v>0</v>
      </c>
      <c r="T69" s="163"/>
      <c r="U69" s="163">
        <f>'計分版'!E$14</f>
        <v>0.0000000001</v>
      </c>
      <c r="V69" s="163">
        <f>'計分版'!F$14</f>
        <v>0.0000000002</v>
      </c>
      <c r="W69" s="163">
        <f>'計分版'!G$14</f>
        <v>0.0000000003</v>
      </c>
      <c r="X69" s="163">
        <f>'計分版'!H$14</f>
        <v>0.0000000004</v>
      </c>
      <c r="Y69" s="163">
        <f>'計分版'!I$14</f>
        <v>0.0000000005</v>
      </c>
      <c r="Z69" s="163">
        <f>'計分版'!J$14</f>
        <v>0</v>
      </c>
      <c r="AA69" s="163">
        <f>'計分版'!K$14</f>
        <v>0</v>
      </c>
      <c r="AB69" s="163">
        <f>'計分版'!L$14</f>
        <v>0</v>
      </c>
      <c r="AC69" s="163">
        <f>'計分版'!M$14</f>
        <v>0</v>
      </c>
      <c r="AD69" s="163">
        <f>'計分版'!N$14</f>
        <v>0</v>
      </c>
      <c r="AE69" s="163"/>
      <c r="AF69" s="163"/>
      <c r="AG69" s="163"/>
      <c r="AH69" s="163"/>
      <c r="AI69" s="163"/>
      <c r="AJ69" s="163" t="s">
        <v>1065</v>
      </c>
      <c r="AK69" s="163" t="s">
        <v>166</v>
      </c>
      <c r="AL69" s="163" t="s">
        <v>1065</v>
      </c>
      <c r="AM69" s="163"/>
      <c r="AN69" s="130"/>
      <c r="AO69" s="130"/>
      <c r="AP69" s="130"/>
      <c r="AQ69" s="130"/>
      <c r="AR69" s="130"/>
      <c r="AS69" s="130"/>
      <c r="AT69" s="130"/>
    </row>
    <row r="70" ht="13.5" customHeight="1">
      <c r="A70" s="130" t="s">
        <v>256</v>
      </c>
      <c r="B70" s="130" t="s">
        <v>257</v>
      </c>
      <c r="C70" s="170" t="s">
        <v>21</v>
      </c>
      <c r="D70" s="130"/>
      <c r="E70" s="163">
        <v>3.0</v>
      </c>
      <c r="F70" s="163">
        <v>3.0</v>
      </c>
      <c r="G70" s="163">
        <v>2.0</v>
      </c>
      <c r="H70" s="163">
        <v>2.0</v>
      </c>
      <c r="I70" s="163">
        <v>3.0</v>
      </c>
      <c r="J70" s="163">
        <v>3.0</v>
      </c>
      <c r="K70" s="130"/>
      <c r="L70" s="163">
        <f t="shared" ref="L70:O70" si="81">IF(E70&gt;U70,0,1)</f>
        <v>0</v>
      </c>
      <c r="M70" s="163">
        <f t="shared" si="81"/>
        <v>0</v>
      </c>
      <c r="N70" s="163">
        <f t="shared" si="81"/>
        <v>0</v>
      </c>
      <c r="O70" s="163">
        <f t="shared" si="81"/>
        <v>0</v>
      </c>
      <c r="P70" s="163">
        <f>IF(I70&gt;LARGE(Y70:AD70,1),0,1)</f>
        <v>0</v>
      </c>
      <c r="Q70" s="163">
        <f t="shared" ref="Q70:Q72" si="83">IF(J70&gt;LARGE(Y70:AD70,2),0,1)</f>
        <v>0</v>
      </c>
      <c r="R70" s="130"/>
      <c r="S70" s="163">
        <f>IF(L70*M70*N70*O70*P70*Q70=0,0,2)</f>
        <v>0</v>
      </c>
      <c r="T70" s="163"/>
      <c r="U70" s="163">
        <f>'計分版'!E$14</f>
        <v>0.0000000001</v>
      </c>
      <c r="V70" s="163">
        <f>'計分版'!F$14</f>
        <v>0.0000000002</v>
      </c>
      <c r="W70" s="163">
        <f>'計分版'!G$14</f>
        <v>0.0000000003</v>
      </c>
      <c r="X70" s="163">
        <f>'計分版'!H$14</f>
        <v>0.0000000004</v>
      </c>
      <c r="Y70" s="163">
        <f>'計分版'!I$14</f>
        <v>0.0000000005</v>
      </c>
      <c r="Z70" s="163">
        <f>'計分版'!J$14</f>
        <v>0</v>
      </c>
      <c r="AA70" s="163">
        <f>'計分版'!K$14</f>
        <v>0</v>
      </c>
      <c r="AB70" s="163">
        <f>'計分版'!L$14</f>
        <v>0</v>
      </c>
      <c r="AC70" s="163">
        <f>'計分版'!M$14</f>
        <v>0</v>
      </c>
      <c r="AD70" s="163">
        <f>'計分版'!N$14</f>
        <v>0</v>
      </c>
      <c r="AE70" s="163"/>
      <c r="AF70" s="163" t="s">
        <v>1065</v>
      </c>
      <c r="AG70" s="163" t="s">
        <v>166</v>
      </c>
      <c r="AH70" s="163" t="s">
        <v>1065</v>
      </c>
      <c r="AI70" s="163"/>
      <c r="AJ70" s="163" t="s">
        <v>1065</v>
      </c>
      <c r="AK70" s="163" t="s">
        <v>166</v>
      </c>
      <c r="AL70" s="163" t="s">
        <v>1065</v>
      </c>
      <c r="AM70" s="163"/>
      <c r="AN70" s="130"/>
      <c r="AO70" s="130"/>
      <c r="AP70" s="130"/>
      <c r="AQ70" s="130"/>
      <c r="AR70" s="130"/>
      <c r="AS70" s="130"/>
      <c r="AT70" s="130"/>
    </row>
    <row r="71" ht="13.5" customHeight="1">
      <c r="A71" s="130" t="s">
        <v>258</v>
      </c>
      <c r="B71" s="130" t="s">
        <v>259</v>
      </c>
      <c r="C71" s="170" t="s">
        <v>21</v>
      </c>
      <c r="D71" s="130"/>
      <c r="E71" s="163">
        <v>3.0</v>
      </c>
      <c r="F71" s="163">
        <v>3.0</v>
      </c>
      <c r="G71" s="163">
        <v>2.0</v>
      </c>
      <c r="H71" s="163">
        <v>2.0</v>
      </c>
      <c r="I71" s="163">
        <v>3.0</v>
      </c>
      <c r="J71" s="163">
        <v>3.0</v>
      </c>
      <c r="K71" s="130"/>
      <c r="L71" s="163">
        <f t="shared" ref="L71:O71" si="82">IF(E71&gt;U71,0,1)</f>
        <v>0</v>
      </c>
      <c r="M71" s="163">
        <f t="shared" si="82"/>
        <v>0</v>
      </c>
      <c r="N71" s="163">
        <f t="shared" si="82"/>
        <v>0</v>
      </c>
      <c r="O71" s="163">
        <f t="shared" si="82"/>
        <v>0</v>
      </c>
      <c r="P71" s="163">
        <f t="shared" ref="P71:P72" si="85">IF(I71&gt;LARGE(Z71:AC71,1),0,1)</f>
        <v>0</v>
      </c>
      <c r="Q71" s="163">
        <f t="shared" si="83"/>
        <v>0</v>
      </c>
      <c r="R71" s="130"/>
      <c r="S71" s="163">
        <f t="shared" ref="S71:S82" si="86">L71*M71*N71*O71*P71</f>
        <v>0</v>
      </c>
      <c r="T71" s="163"/>
      <c r="U71" s="163">
        <f>'計分版'!E$14</f>
        <v>0.0000000001</v>
      </c>
      <c r="V71" s="163">
        <f>'計分版'!F$14</f>
        <v>0.0000000002</v>
      </c>
      <c r="W71" s="163">
        <f>'計分版'!G$14</f>
        <v>0.0000000003</v>
      </c>
      <c r="X71" s="163">
        <f>'計分版'!H$14</f>
        <v>0.0000000004</v>
      </c>
      <c r="Y71" s="163">
        <f>'計分版'!I$14</f>
        <v>0.0000000005</v>
      </c>
      <c r="Z71" s="163">
        <f>'計分版'!J$14</f>
        <v>0</v>
      </c>
      <c r="AA71" s="163">
        <f>'計分版'!K$14</f>
        <v>0</v>
      </c>
      <c r="AB71" s="163">
        <f>'計分版'!L$14</f>
        <v>0</v>
      </c>
      <c r="AC71" s="163">
        <f>'計分版'!M$14</f>
        <v>0</v>
      </c>
      <c r="AD71" s="163">
        <f>'計分版'!N$14</f>
        <v>0</v>
      </c>
      <c r="AE71" s="163"/>
      <c r="AF71" s="163"/>
      <c r="AG71" s="163"/>
      <c r="AH71" s="163"/>
      <c r="AI71" s="163"/>
      <c r="AJ71" s="163" t="s">
        <v>1065</v>
      </c>
      <c r="AK71" s="163" t="s">
        <v>166</v>
      </c>
      <c r="AL71" s="163" t="s">
        <v>1065</v>
      </c>
      <c r="AM71" s="163"/>
      <c r="AN71" s="130"/>
      <c r="AO71" s="130"/>
      <c r="AP71" s="130"/>
      <c r="AQ71" s="130"/>
      <c r="AR71" s="130"/>
      <c r="AS71" s="130"/>
      <c r="AT71" s="130"/>
    </row>
    <row r="72" ht="13.5" customHeight="1">
      <c r="A72" s="130" t="s">
        <v>260</v>
      </c>
      <c r="B72" s="130" t="s">
        <v>261</v>
      </c>
      <c r="C72" s="170" t="s">
        <v>21</v>
      </c>
      <c r="D72" s="130"/>
      <c r="E72" s="163">
        <v>3.0</v>
      </c>
      <c r="F72" s="163">
        <v>3.0</v>
      </c>
      <c r="G72" s="163">
        <v>2.0</v>
      </c>
      <c r="H72" s="163">
        <v>2.0</v>
      </c>
      <c r="I72" s="163">
        <v>3.0</v>
      </c>
      <c r="J72" s="163">
        <v>3.0</v>
      </c>
      <c r="K72" s="130"/>
      <c r="L72" s="163">
        <f t="shared" ref="L72:O72" si="84">IF(E72&gt;U72,0,1)</f>
        <v>0</v>
      </c>
      <c r="M72" s="163">
        <f t="shared" si="84"/>
        <v>0</v>
      </c>
      <c r="N72" s="163">
        <f t="shared" si="84"/>
        <v>0</v>
      </c>
      <c r="O72" s="163">
        <f t="shared" si="84"/>
        <v>0</v>
      </c>
      <c r="P72" s="163">
        <f t="shared" si="85"/>
        <v>0</v>
      </c>
      <c r="Q72" s="163">
        <f t="shared" si="83"/>
        <v>0</v>
      </c>
      <c r="R72" s="130"/>
      <c r="S72" s="163">
        <f t="shared" si="86"/>
        <v>0</v>
      </c>
      <c r="T72" s="163"/>
      <c r="U72" s="163">
        <f>'計分版'!E$14</f>
        <v>0.0000000001</v>
      </c>
      <c r="V72" s="163">
        <f>'計分版'!F$14</f>
        <v>0.0000000002</v>
      </c>
      <c r="W72" s="163">
        <f>'計分版'!G$14</f>
        <v>0.0000000003</v>
      </c>
      <c r="X72" s="163">
        <f>'計分版'!H$14</f>
        <v>0.0000000004</v>
      </c>
      <c r="Y72" s="163">
        <f>'計分版'!I$14</f>
        <v>0.0000000005</v>
      </c>
      <c r="Z72" s="163">
        <f>'計分版'!J$14</f>
        <v>0</v>
      </c>
      <c r="AA72" s="163">
        <f>'計分版'!K$14</f>
        <v>0</v>
      </c>
      <c r="AB72" s="163">
        <f>'計分版'!L$14</f>
        <v>0</v>
      </c>
      <c r="AC72" s="163">
        <f>'計分版'!M$14</f>
        <v>0</v>
      </c>
      <c r="AD72" s="163">
        <f>'計分版'!N$14</f>
        <v>0</v>
      </c>
      <c r="AE72" s="163"/>
      <c r="AF72" s="163"/>
      <c r="AG72" s="163"/>
      <c r="AH72" s="163"/>
      <c r="AI72" s="163"/>
      <c r="AJ72" s="163" t="s">
        <v>1065</v>
      </c>
      <c r="AK72" s="163" t="s">
        <v>166</v>
      </c>
      <c r="AL72" s="163" t="s">
        <v>1065</v>
      </c>
      <c r="AM72" s="163"/>
      <c r="AN72" s="130"/>
      <c r="AO72" s="130"/>
      <c r="AP72" s="130"/>
      <c r="AQ72" s="130"/>
      <c r="AR72" s="130"/>
      <c r="AS72" s="130"/>
      <c r="AT72" s="130"/>
    </row>
    <row r="73" ht="13.5" customHeight="1">
      <c r="A73" s="130" t="s">
        <v>262</v>
      </c>
      <c r="B73" s="130" t="s">
        <v>263</v>
      </c>
      <c r="C73" s="170" t="s">
        <v>21</v>
      </c>
      <c r="D73" s="130"/>
      <c r="E73" s="163">
        <v>3.0</v>
      </c>
      <c r="F73" s="163">
        <v>3.0</v>
      </c>
      <c r="G73" s="163">
        <v>2.0</v>
      </c>
      <c r="H73" s="163">
        <v>2.0</v>
      </c>
      <c r="I73" s="163">
        <v>3.0</v>
      </c>
      <c r="J73" s="163">
        <v>3.0</v>
      </c>
      <c r="K73" s="130"/>
      <c r="L73" s="163">
        <f t="shared" ref="L73:O73" si="87">IF(E73&gt;U73,0,1)</f>
        <v>0</v>
      </c>
      <c r="M73" s="163">
        <f t="shared" si="87"/>
        <v>0</v>
      </c>
      <c r="N73" s="163">
        <f t="shared" si="87"/>
        <v>0</v>
      </c>
      <c r="O73" s="163">
        <f t="shared" si="87"/>
        <v>0</v>
      </c>
      <c r="P73" s="163">
        <f>IF('計分版'!$S$28=0,0,IF(I73&gt;LARGE(Z73:AC73,1),0,1))</f>
        <v>0</v>
      </c>
      <c r="Q73" s="163">
        <f t="shared" ref="Q73:Q74" si="89">IF(J73&gt;LARGE(Y73:AC73,2),0,1)</f>
        <v>0</v>
      </c>
      <c r="R73" s="130"/>
      <c r="S73" s="163">
        <f t="shared" si="86"/>
        <v>0</v>
      </c>
      <c r="T73" s="163"/>
      <c r="U73" s="163">
        <f>'計分版'!E$14</f>
        <v>0.0000000001</v>
      </c>
      <c r="V73" s="163">
        <f>'計分版'!F$14</f>
        <v>0.0000000002</v>
      </c>
      <c r="W73" s="163">
        <f>'計分版'!G$14</f>
        <v>0.0000000003</v>
      </c>
      <c r="X73" s="163">
        <f>'計分版'!H$14</f>
        <v>0.0000000004</v>
      </c>
      <c r="Y73" s="163">
        <f>'計分版'!I$14</f>
        <v>0.0000000005</v>
      </c>
      <c r="Z73" s="163">
        <f>'計分版'!J$14</f>
        <v>0</v>
      </c>
      <c r="AA73" s="163">
        <f>'計分版'!K$14</f>
        <v>0</v>
      </c>
      <c r="AB73" s="163">
        <f>'計分版'!L$14</f>
        <v>0</v>
      </c>
      <c r="AC73" s="163">
        <f>'計分版'!M$14</f>
        <v>0</v>
      </c>
      <c r="AD73" s="163">
        <f>'計分版'!N$14</f>
        <v>0</v>
      </c>
      <c r="AE73" s="163"/>
      <c r="AF73" s="163"/>
      <c r="AG73" s="163"/>
      <c r="AH73" s="163"/>
      <c r="AI73" s="163"/>
      <c r="AJ73" s="163" t="s">
        <v>1065</v>
      </c>
      <c r="AK73" s="163"/>
      <c r="AL73" s="163"/>
      <c r="AM73" s="163"/>
      <c r="AN73" s="130"/>
      <c r="AO73" s="130"/>
      <c r="AP73" s="130"/>
      <c r="AQ73" s="130"/>
      <c r="AR73" s="130"/>
      <c r="AS73" s="130"/>
      <c r="AT73" s="130"/>
    </row>
    <row r="74" ht="13.5" customHeight="1">
      <c r="A74" s="130" t="s">
        <v>264</v>
      </c>
      <c r="B74" s="130" t="s">
        <v>265</v>
      </c>
      <c r="C74" s="170" t="s">
        <v>21</v>
      </c>
      <c r="D74" s="130"/>
      <c r="E74" s="163">
        <v>3.0</v>
      </c>
      <c r="F74" s="163">
        <v>3.0</v>
      </c>
      <c r="G74" s="163">
        <v>2.0</v>
      </c>
      <c r="H74" s="163">
        <v>2.0</v>
      </c>
      <c r="I74" s="163">
        <v>3.0</v>
      </c>
      <c r="J74" s="163">
        <v>3.0</v>
      </c>
      <c r="K74" s="130"/>
      <c r="L74" s="163">
        <f t="shared" ref="L74:O74" si="88">IF(E74&gt;U74,0,1)</f>
        <v>0</v>
      </c>
      <c r="M74" s="163">
        <f t="shared" si="88"/>
        <v>0</v>
      </c>
      <c r="N74" s="163">
        <f t="shared" si="88"/>
        <v>0</v>
      </c>
      <c r="O74" s="163">
        <f t="shared" si="88"/>
        <v>0</v>
      </c>
      <c r="P74" s="163">
        <f>IF('計分版'!$T$39=0,0,IF(I74&gt;LARGE(Z74:AC74,1),0,1))</f>
        <v>0</v>
      </c>
      <c r="Q74" s="163">
        <f t="shared" si="89"/>
        <v>0</v>
      </c>
      <c r="R74" s="130"/>
      <c r="S74" s="163">
        <f t="shared" si="86"/>
        <v>0</v>
      </c>
      <c r="T74" s="163"/>
      <c r="U74" s="163">
        <f>'計分版'!E$14</f>
        <v>0.0000000001</v>
      </c>
      <c r="V74" s="163">
        <f>'計分版'!F$14</f>
        <v>0.0000000002</v>
      </c>
      <c r="W74" s="163">
        <f>'計分版'!G$14</f>
        <v>0.0000000003</v>
      </c>
      <c r="X74" s="163">
        <f>'計分版'!H$14</f>
        <v>0.0000000004</v>
      </c>
      <c r="Y74" s="163">
        <f>'計分版'!I$14</f>
        <v>0.0000000005</v>
      </c>
      <c r="Z74" s="163">
        <f>'計分版'!J$14</f>
        <v>0</v>
      </c>
      <c r="AA74" s="163">
        <f>'計分版'!K$14</f>
        <v>0</v>
      </c>
      <c r="AB74" s="163">
        <f>'計分版'!L$14</f>
        <v>0</v>
      </c>
      <c r="AC74" s="163">
        <f>'計分版'!M$14</f>
        <v>0</v>
      </c>
      <c r="AD74" s="163">
        <f>'計分版'!N$14</f>
        <v>0</v>
      </c>
      <c r="AE74" s="163"/>
      <c r="AF74" s="163"/>
      <c r="AG74" s="163"/>
      <c r="AH74" s="163"/>
      <c r="AI74" s="163"/>
      <c r="AJ74" s="163" t="s">
        <v>1065</v>
      </c>
      <c r="AK74" s="163"/>
      <c r="AL74" s="163"/>
      <c r="AM74" s="163"/>
      <c r="AN74" s="130"/>
      <c r="AO74" s="130"/>
      <c r="AP74" s="130"/>
      <c r="AQ74" s="130"/>
      <c r="AR74" s="130"/>
      <c r="AS74" s="130"/>
      <c r="AT74" s="130"/>
    </row>
    <row r="75" ht="13.5" customHeight="1">
      <c r="A75" s="130" t="s">
        <v>266</v>
      </c>
      <c r="B75" s="130" t="s">
        <v>267</v>
      </c>
      <c r="C75" s="171" t="s">
        <v>24</v>
      </c>
      <c r="D75" s="130"/>
      <c r="E75" s="163">
        <v>3.0</v>
      </c>
      <c r="F75" s="163">
        <v>3.0</v>
      </c>
      <c r="G75" s="163">
        <v>2.0</v>
      </c>
      <c r="H75" s="163">
        <v>2.0</v>
      </c>
      <c r="I75" s="163">
        <v>3.0</v>
      </c>
      <c r="J75" s="163">
        <v>3.0</v>
      </c>
      <c r="K75" s="130"/>
      <c r="L75" s="163">
        <f t="shared" ref="L75:O75" si="90">IF(E75&gt;U75,0,1)</f>
        <v>0</v>
      </c>
      <c r="M75" s="163">
        <f t="shared" si="90"/>
        <v>0</v>
      </c>
      <c r="N75" s="163">
        <f t="shared" si="90"/>
        <v>0</v>
      </c>
      <c r="O75" s="163">
        <f t="shared" si="90"/>
        <v>0</v>
      </c>
      <c r="P75" s="163">
        <f t="shared" ref="P75:P76" si="92">IF(I75&gt;LARGE(Y75:AC75,1),0,1)</f>
        <v>0</v>
      </c>
      <c r="Q75" s="163">
        <f t="shared" ref="Q75:Q76" si="93">IF(J75&gt;LARGE(Y75:AD75,2),0,1)</f>
        <v>0</v>
      </c>
      <c r="R75" s="130"/>
      <c r="S75" s="163">
        <f t="shared" si="86"/>
        <v>0</v>
      </c>
      <c r="T75" s="163"/>
      <c r="U75" s="163">
        <f>'計分版'!E$14</f>
        <v>0.0000000001</v>
      </c>
      <c r="V75" s="163">
        <f>'計分版'!F$14</f>
        <v>0.0000000002</v>
      </c>
      <c r="W75" s="163">
        <f>'計分版'!G$14</f>
        <v>0.0000000003</v>
      </c>
      <c r="X75" s="163">
        <f>'計分版'!H$14</f>
        <v>0.0000000004</v>
      </c>
      <c r="Y75" s="163">
        <f>'計分版'!I$14</f>
        <v>0.0000000005</v>
      </c>
      <c r="Z75" s="163">
        <f>'計分版'!J$14</f>
        <v>0</v>
      </c>
      <c r="AA75" s="163">
        <f>'計分版'!K$14</f>
        <v>0</v>
      </c>
      <c r="AB75" s="163">
        <f>'計分版'!L$14</f>
        <v>0</v>
      </c>
      <c r="AC75" s="163">
        <f>'計分版'!M$14</f>
        <v>0</v>
      </c>
      <c r="AD75" s="163">
        <f>'計分版'!N$14</f>
        <v>0</v>
      </c>
      <c r="AE75" s="163"/>
      <c r="AF75" s="163" t="s">
        <v>1065</v>
      </c>
      <c r="AG75" s="163"/>
      <c r="AH75" s="163"/>
      <c r="AI75" s="163"/>
      <c r="AJ75" s="163" t="s">
        <v>1065</v>
      </c>
      <c r="AK75" s="163" t="s">
        <v>166</v>
      </c>
      <c r="AL75" s="163" t="s">
        <v>1065</v>
      </c>
      <c r="AM75" s="163"/>
      <c r="AN75" s="130"/>
      <c r="AO75" s="130"/>
      <c r="AP75" s="130"/>
      <c r="AQ75" s="130"/>
      <c r="AR75" s="130"/>
      <c r="AS75" s="130"/>
      <c r="AT75" s="130"/>
    </row>
    <row r="76" ht="13.5" customHeight="1">
      <c r="A76" s="130" t="s">
        <v>268</v>
      </c>
      <c r="B76" s="130" t="s">
        <v>269</v>
      </c>
      <c r="C76" s="170" t="s">
        <v>191</v>
      </c>
      <c r="D76" s="130"/>
      <c r="E76" s="163">
        <v>3.0</v>
      </c>
      <c r="F76" s="163">
        <v>3.0</v>
      </c>
      <c r="G76" s="163">
        <v>2.0</v>
      </c>
      <c r="H76" s="163">
        <v>2.0</v>
      </c>
      <c r="I76" s="163">
        <v>3.0</v>
      </c>
      <c r="J76" s="163">
        <v>3.0</v>
      </c>
      <c r="K76" s="130"/>
      <c r="L76" s="163">
        <f t="shared" ref="L76:O76" si="91">IF(E76&gt;U76,0,1)</f>
        <v>0</v>
      </c>
      <c r="M76" s="163">
        <f t="shared" si="91"/>
        <v>0</v>
      </c>
      <c r="N76" s="163">
        <f t="shared" si="91"/>
        <v>0</v>
      </c>
      <c r="O76" s="163">
        <f t="shared" si="91"/>
        <v>0</v>
      </c>
      <c r="P76" s="163">
        <f t="shared" si="92"/>
        <v>0</v>
      </c>
      <c r="Q76" s="163">
        <f t="shared" si="93"/>
        <v>0</v>
      </c>
      <c r="R76" s="130"/>
      <c r="S76" s="163">
        <f t="shared" si="86"/>
        <v>0</v>
      </c>
      <c r="T76" s="163"/>
      <c r="U76" s="163">
        <f>'計分版'!E$14</f>
        <v>0.0000000001</v>
      </c>
      <c r="V76" s="163">
        <f>'計分版'!F$14</f>
        <v>0.0000000002</v>
      </c>
      <c r="W76" s="163">
        <f>'計分版'!G$14</f>
        <v>0.0000000003</v>
      </c>
      <c r="X76" s="163">
        <f>'計分版'!H$14</f>
        <v>0.0000000004</v>
      </c>
      <c r="Y76" s="163">
        <f>'計分版'!I$14</f>
        <v>0.0000000005</v>
      </c>
      <c r="Z76" s="163">
        <f>'計分版'!J$14</f>
        <v>0</v>
      </c>
      <c r="AA76" s="163">
        <f>'計分版'!K$14</f>
        <v>0</v>
      </c>
      <c r="AB76" s="163">
        <f>'計分版'!L$14</f>
        <v>0</v>
      </c>
      <c r="AC76" s="163">
        <f>'計分版'!M$14</f>
        <v>0</v>
      </c>
      <c r="AD76" s="163">
        <f>'計分版'!N$14</f>
        <v>0</v>
      </c>
      <c r="AE76" s="163"/>
      <c r="AF76" s="163" t="s">
        <v>1065</v>
      </c>
      <c r="AG76" s="163"/>
      <c r="AH76" s="163"/>
      <c r="AI76" s="163"/>
      <c r="AJ76" s="163" t="s">
        <v>1065</v>
      </c>
      <c r="AK76" s="163" t="s">
        <v>166</v>
      </c>
      <c r="AL76" s="163"/>
      <c r="AM76" s="163"/>
      <c r="AN76" s="130"/>
      <c r="AO76" s="130"/>
      <c r="AP76" s="130"/>
      <c r="AQ76" s="130"/>
      <c r="AR76" s="130"/>
      <c r="AS76" s="130"/>
      <c r="AT76" s="130"/>
    </row>
    <row r="77" ht="13.5" customHeight="1">
      <c r="A77" s="130" t="s">
        <v>270</v>
      </c>
      <c r="B77" s="130" t="s">
        <v>271</v>
      </c>
      <c r="C77" s="170" t="s">
        <v>191</v>
      </c>
      <c r="D77" s="130"/>
      <c r="E77" s="163">
        <v>3.0</v>
      </c>
      <c r="F77" s="163">
        <v>3.0</v>
      </c>
      <c r="G77" s="163">
        <v>2.0</v>
      </c>
      <c r="H77" s="163">
        <v>2.0</v>
      </c>
      <c r="I77" s="163">
        <v>3.0</v>
      </c>
      <c r="J77" s="163">
        <v>3.0</v>
      </c>
      <c r="K77" s="130"/>
      <c r="L77" s="163">
        <f t="shared" ref="L77:O77" si="94">IF(E77&gt;U77,0,1)</f>
        <v>0</v>
      </c>
      <c r="M77" s="163">
        <f t="shared" si="94"/>
        <v>0</v>
      </c>
      <c r="N77" s="163">
        <f t="shared" si="94"/>
        <v>0</v>
      </c>
      <c r="O77" s="163">
        <f t="shared" si="94"/>
        <v>0</v>
      </c>
      <c r="P77" s="163">
        <f t="shared" ref="P77:P81" si="96">IF(I77&gt;LARGE(Z77:AC77,1),0,1)</f>
        <v>0</v>
      </c>
      <c r="Q77" s="163">
        <f>IF(J77&gt;LARGE(Y77:AC77,2),0,1)</f>
        <v>0</v>
      </c>
      <c r="R77" s="130"/>
      <c r="S77" s="163">
        <f t="shared" si="86"/>
        <v>0</v>
      </c>
      <c r="T77" s="163"/>
      <c r="U77" s="163">
        <f>'計分版'!E$14</f>
        <v>0.0000000001</v>
      </c>
      <c r="V77" s="163">
        <f>'計分版'!F$14</f>
        <v>0.0000000002</v>
      </c>
      <c r="W77" s="163">
        <f>'計分版'!G$14</f>
        <v>0.0000000003</v>
      </c>
      <c r="X77" s="163">
        <f>'計分版'!H$14</f>
        <v>0.0000000004</v>
      </c>
      <c r="Y77" s="163">
        <f>'計分版'!I$14</f>
        <v>0.0000000005</v>
      </c>
      <c r="Z77" s="163">
        <f>'計分版'!J$14</f>
        <v>0</v>
      </c>
      <c r="AA77" s="163">
        <f>'計分版'!K$14</f>
        <v>0</v>
      </c>
      <c r="AB77" s="163">
        <f>'計分版'!L$14</f>
        <v>0</v>
      </c>
      <c r="AC77" s="163">
        <f>'計分版'!M$14</f>
        <v>0</v>
      </c>
      <c r="AD77" s="163">
        <f>'計分版'!N$14</f>
        <v>0</v>
      </c>
      <c r="AE77" s="163"/>
      <c r="AF77" s="163"/>
      <c r="AG77" s="163"/>
      <c r="AH77" s="163"/>
      <c r="AI77" s="163"/>
      <c r="AJ77" s="163" t="s">
        <v>1065</v>
      </c>
      <c r="AK77" s="163"/>
      <c r="AL77" s="163" t="s">
        <v>1065</v>
      </c>
      <c r="AM77" s="163"/>
      <c r="AN77" s="130"/>
      <c r="AO77" s="130"/>
      <c r="AP77" s="130"/>
      <c r="AQ77" s="130"/>
      <c r="AR77" s="130"/>
      <c r="AS77" s="130"/>
      <c r="AT77" s="130"/>
    </row>
    <row r="78" ht="13.5" customHeight="1">
      <c r="A78" s="130" t="s">
        <v>272</v>
      </c>
      <c r="B78" s="130" t="s">
        <v>273</v>
      </c>
      <c r="C78" s="170" t="s">
        <v>21</v>
      </c>
      <c r="D78" s="130"/>
      <c r="E78" s="163">
        <v>3.0</v>
      </c>
      <c r="F78" s="163">
        <v>3.0</v>
      </c>
      <c r="G78" s="163">
        <v>2.0</v>
      </c>
      <c r="H78" s="163">
        <v>2.0</v>
      </c>
      <c r="I78" s="163">
        <v>3.0</v>
      </c>
      <c r="J78" s="163">
        <v>3.0</v>
      </c>
      <c r="K78" s="130"/>
      <c r="L78" s="163">
        <f t="shared" ref="L78:O78" si="95">IF(E78&gt;U78,0,1)</f>
        <v>0</v>
      </c>
      <c r="M78" s="163">
        <f t="shared" si="95"/>
        <v>0</v>
      </c>
      <c r="N78" s="163">
        <f t="shared" si="95"/>
        <v>0</v>
      </c>
      <c r="O78" s="163">
        <f t="shared" si="95"/>
        <v>0</v>
      </c>
      <c r="P78" s="163">
        <f t="shared" si="96"/>
        <v>0</v>
      </c>
      <c r="Q78" s="163">
        <f t="shared" ref="Q78:Q83" si="98">IF(J78&gt;LARGE(Y78:AD78,2),0,1)</f>
        <v>0</v>
      </c>
      <c r="R78" s="130"/>
      <c r="S78" s="163">
        <f t="shared" si="86"/>
        <v>0</v>
      </c>
      <c r="T78" s="163"/>
      <c r="U78" s="163">
        <f>'計分版'!E$14</f>
        <v>0.0000000001</v>
      </c>
      <c r="V78" s="163">
        <f>'計分版'!F$14</f>
        <v>0.0000000002</v>
      </c>
      <c r="W78" s="163">
        <f>'計分版'!G$14</f>
        <v>0.0000000003</v>
      </c>
      <c r="X78" s="163">
        <f>'計分版'!H$14</f>
        <v>0.0000000004</v>
      </c>
      <c r="Y78" s="163">
        <f>'計分版'!I$14</f>
        <v>0.0000000005</v>
      </c>
      <c r="Z78" s="163">
        <f>'計分版'!J$14</f>
        <v>0</v>
      </c>
      <c r="AA78" s="163">
        <f>'計分版'!K$14</f>
        <v>0</v>
      </c>
      <c r="AB78" s="163">
        <f>'計分版'!L$14</f>
        <v>0</v>
      </c>
      <c r="AC78" s="163">
        <f>'計分版'!M$14</f>
        <v>0</v>
      </c>
      <c r="AD78" s="163">
        <f>'計分版'!N$14</f>
        <v>0</v>
      </c>
      <c r="AE78" s="163"/>
      <c r="AF78" s="163"/>
      <c r="AG78" s="163"/>
      <c r="AH78" s="163"/>
      <c r="AI78" s="163"/>
      <c r="AJ78" s="163" t="s">
        <v>1065</v>
      </c>
      <c r="AK78" s="163" t="s">
        <v>163</v>
      </c>
      <c r="AL78" s="163" t="s">
        <v>1065</v>
      </c>
      <c r="AM78" s="163"/>
      <c r="AN78" s="130"/>
      <c r="AO78" s="130"/>
      <c r="AP78" s="130"/>
      <c r="AQ78" s="130"/>
      <c r="AR78" s="130"/>
      <c r="AS78" s="130"/>
      <c r="AT78" s="130"/>
    </row>
    <row r="79" ht="13.5" customHeight="1">
      <c r="A79" s="130" t="s">
        <v>274</v>
      </c>
      <c r="B79" s="130" t="s">
        <v>275</v>
      </c>
      <c r="C79" s="170" t="s">
        <v>21</v>
      </c>
      <c r="D79" s="130"/>
      <c r="E79" s="163">
        <v>3.0</v>
      </c>
      <c r="F79" s="163">
        <v>3.0</v>
      </c>
      <c r="G79" s="163">
        <v>2.0</v>
      </c>
      <c r="H79" s="163">
        <v>2.0</v>
      </c>
      <c r="I79" s="163">
        <v>3.0</v>
      </c>
      <c r="J79" s="163">
        <v>3.0</v>
      </c>
      <c r="K79" s="130"/>
      <c r="L79" s="163">
        <f t="shared" ref="L79:O79" si="97">IF(E79&gt;U79,0,1)</f>
        <v>0</v>
      </c>
      <c r="M79" s="163">
        <f t="shared" si="97"/>
        <v>0</v>
      </c>
      <c r="N79" s="163">
        <f t="shared" si="97"/>
        <v>0</v>
      </c>
      <c r="O79" s="163">
        <f t="shared" si="97"/>
        <v>0</v>
      </c>
      <c r="P79" s="163">
        <f t="shared" si="96"/>
        <v>0</v>
      </c>
      <c r="Q79" s="163">
        <f t="shared" si="98"/>
        <v>0</v>
      </c>
      <c r="R79" s="130"/>
      <c r="S79" s="163">
        <f t="shared" si="86"/>
        <v>0</v>
      </c>
      <c r="T79" s="163"/>
      <c r="U79" s="163">
        <f>'計分版'!E$14</f>
        <v>0.0000000001</v>
      </c>
      <c r="V79" s="163">
        <f>'計分版'!F$14</f>
        <v>0.0000000002</v>
      </c>
      <c r="W79" s="163">
        <f>'計分版'!G$14</f>
        <v>0.0000000003</v>
      </c>
      <c r="X79" s="163">
        <f>'計分版'!H$14</f>
        <v>0.0000000004</v>
      </c>
      <c r="Y79" s="163">
        <f>'計分版'!I$14</f>
        <v>0.0000000005</v>
      </c>
      <c r="Z79" s="163">
        <f>'計分版'!J$14</f>
        <v>0</v>
      </c>
      <c r="AA79" s="163">
        <f>'計分版'!K$14</f>
        <v>0</v>
      </c>
      <c r="AB79" s="163">
        <f>'計分版'!L$14</f>
        <v>0</v>
      </c>
      <c r="AC79" s="163">
        <f>'計分版'!M$14</f>
        <v>0</v>
      </c>
      <c r="AD79" s="163">
        <f>'計分版'!N$14</f>
        <v>0</v>
      </c>
      <c r="AE79" s="163"/>
      <c r="AF79" s="163"/>
      <c r="AG79" s="163"/>
      <c r="AH79" s="163"/>
      <c r="AI79" s="163"/>
      <c r="AJ79" s="163" t="s">
        <v>1065</v>
      </c>
      <c r="AK79" s="163" t="s">
        <v>163</v>
      </c>
      <c r="AL79" s="163" t="s">
        <v>1065</v>
      </c>
      <c r="AM79" s="163"/>
      <c r="AN79" s="130"/>
      <c r="AO79" s="130"/>
      <c r="AP79" s="130"/>
      <c r="AQ79" s="130"/>
      <c r="AR79" s="130"/>
      <c r="AS79" s="130"/>
      <c r="AT79" s="130"/>
    </row>
    <row r="80" ht="13.5" customHeight="1">
      <c r="A80" s="130" t="s">
        <v>276</v>
      </c>
      <c r="B80" s="130" t="s">
        <v>277</v>
      </c>
      <c r="C80" s="170" t="s">
        <v>191</v>
      </c>
      <c r="D80" s="130"/>
      <c r="E80" s="163">
        <v>3.0</v>
      </c>
      <c r="F80" s="163">
        <v>3.0</v>
      </c>
      <c r="G80" s="163">
        <v>2.0</v>
      </c>
      <c r="H80" s="163">
        <v>2.0</v>
      </c>
      <c r="I80" s="163">
        <v>3.0</v>
      </c>
      <c r="J80" s="163">
        <v>3.0</v>
      </c>
      <c r="K80" s="130"/>
      <c r="L80" s="163">
        <f t="shared" ref="L80:O80" si="99">IF(E80&gt;U80,0,1)</f>
        <v>0</v>
      </c>
      <c r="M80" s="163">
        <f t="shared" si="99"/>
        <v>0</v>
      </c>
      <c r="N80" s="163">
        <f t="shared" si="99"/>
        <v>0</v>
      </c>
      <c r="O80" s="163">
        <f t="shared" si="99"/>
        <v>0</v>
      </c>
      <c r="P80" s="163">
        <f t="shared" si="96"/>
        <v>0</v>
      </c>
      <c r="Q80" s="163">
        <f t="shared" si="98"/>
        <v>0</v>
      </c>
      <c r="R80" s="130"/>
      <c r="S80" s="163">
        <f t="shared" si="86"/>
        <v>0</v>
      </c>
      <c r="T80" s="163"/>
      <c r="U80" s="163">
        <f>'計分版'!E$14</f>
        <v>0.0000000001</v>
      </c>
      <c r="V80" s="163">
        <f>'計分版'!F$14</f>
        <v>0.0000000002</v>
      </c>
      <c r="W80" s="163">
        <f>'計分版'!G$14</f>
        <v>0.0000000003</v>
      </c>
      <c r="X80" s="163">
        <f>'計分版'!H$14</f>
        <v>0.0000000004</v>
      </c>
      <c r="Y80" s="163">
        <f>'計分版'!I$14</f>
        <v>0.0000000005</v>
      </c>
      <c r="Z80" s="163">
        <f>'計分版'!J$14</f>
        <v>0</v>
      </c>
      <c r="AA80" s="163">
        <f>'計分版'!K$14</f>
        <v>0</v>
      </c>
      <c r="AB80" s="163">
        <f>'計分版'!L$14</f>
        <v>0</v>
      </c>
      <c r="AC80" s="163">
        <f>'計分版'!M$14</f>
        <v>0</v>
      </c>
      <c r="AD80" s="163">
        <f>'計分版'!N$14</f>
        <v>0</v>
      </c>
      <c r="AE80" s="163"/>
      <c r="AF80" s="163"/>
      <c r="AG80" s="163"/>
      <c r="AH80" s="163"/>
      <c r="AI80" s="163"/>
      <c r="AJ80" s="163" t="s">
        <v>1065</v>
      </c>
      <c r="AK80" s="163" t="s">
        <v>166</v>
      </c>
      <c r="AL80" s="163" t="s">
        <v>1065</v>
      </c>
      <c r="AM80" s="163"/>
      <c r="AN80" s="130"/>
      <c r="AO80" s="130"/>
      <c r="AP80" s="130"/>
      <c r="AQ80" s="130"/>
      <c r="AR80" s="130"/>
      <c r="AS80" s="130"/>
      <c r="AT80" s="130"/>
    </row>
    <row r="81" ht="13.5" customHeight="1">
      <c r="A81" s="130" t="s">
        <v>278</v>
      </c>
      <c r="B81" s="130" t="s">
        <v>279</v>
      </c>
      <c r="C81" s="170" t="s">
        <v>191</v>
      </c>
      <c r="D81" s="130"/>
      <c r="E81" s="163">
        <v>3.0</v>
      </c>
      <c r="F81" s="163">
        <v>3.0</v>
      </c>
      <c r="G81" s="163">
        <v>2.0</v>
      </c>
      <c r="H81" s="163">
        <v>2.0</v>
      </c>
      <c r="I81" s="163">
        <v>3.0</v>
      </c>
      <c r="J81" s="163">
        <v>3.0</v>
      </c>
      <c r="K81" s="130"/>
      <c r="L81" s="163">
        <f t="shared" ref="L81:O81" si="100">IF(E81&gt;U81,0,1)</f>
        <v>0</v>
      </c>
      <c r="M81" s="163">
        <f t="shared" si="100"/>
        <v>0</v>
      </c>
      <c r="N81" s="163">
        <f t="shared" si="100"/>
        <v>0</v>
      </c>
      <c r="O81" s="163">
        <f t="shared" si="100"/>
        <v>0</v>
      </c>
      <c r="P81" s="163">
        <f t="shared" si="96"/>
        <v>0</v>
      </c>
      <c r="Q81" s="163">
        <f t="shared" si="98"/>
        <v>0</v>
      </c>
      <c r="R81" s="130"/>
      <c r="S81" s="163">
        <f t="shared" si="86"/>
        <v>0</v>
      </c>
      <c r="T81" s="163"/>
      <c r="U81" s="163">
        <f>'計分版'!E$14</f>
        <v>0.0000000001</v>
      </c>
      <c r="V81" s="163">
        <f>'計分版'!F$14</f>
        <v>0.0000000002</v>
      </c>
      <c r="W81" s="163">
        <f>'計分版'!G$14</f>
        <v>0.0000000003</v>
      </c>
      <c r="X81" s="163">
        <f>'計分版'!H$14</f>
        <v>0.0000000004</v>
      </c>
      <c r="Y81" s="163">
        <f>'計分版'!I$14</f>
        <v>0.0000000005</v>
      </c>
      <c r="Z81" s="163">
        <f>'計分版'!J$14</f>
        <v>0</v>
      </c>
      <c r="AA81" s="163">
        <f>'計分版'!K$14</f>
        <v>0</v>
      </c>
      <c r="AB81" s="163">
        <f>'計分版'!L$14</f>
        <v>0</v>
      </c>
      <c r="AC81" s="163">
        <f>'計分版'!M$14</f>
        <v>0</v>
      </c>
      <c r="AD81" s="163">
        <f>'計分版'!N$14</f>
        <v>0</v>
      </c>
      <c r="AE81" s="163"/>
      <c r="AF81" s="163"/>
      <c r="AG81" s="163"/>
      <c r="AH81" s="163"/>
      <c r="AI81" s="163"/>
      <c r="AJ81" s="163" t="s">
        <v>1065</v>
      </c>
      <c r="AK81" s="163" t="s">
        <v>166</v>
      </c>
      <c r="AL81" s="163"/>
      <c r="AM81" s="163"/>
      <c r="AN81" s="130"/>
      <c r="AO81" s="130"/>
      <c r="AP81" s="130"/>
      <c r="AQ81" s="130"/>
      <c r="AR81" s="130"/>
      <c r="AS81" s="130"/>
      <c r="AT81" s="130"/>
    </row>
    <row r="82" ht="13.5" customHeight="1">
      <c r="A82" s="130" t="s">
        <v>280</v>
      </c>
      <c r="B82" s="130" t="s">
        <v>281</v>
      </c>
      <c r="C82" s="170" t="s">
        <v>191</v>
      </c>
      <c r="D82" s="130"/>
      <c r="E82" s="163">
        <v>3.0</v>
      </c>
      <c r="F82" s="163">
        <v>3.0</v>
      </c>
      <c r="G82" s="163">
        <v>2.0</v>
      </c>
      <c r="H82" s="163">
        <v>2.0</v>
      </c>
      <c r="I82" s="163">
        <v>3.0</v>
      </c>
      <c r="J82" s="163">
        <v>3.0</v>
      </c>
      <c r="K82" s="130"/>
      <c r="L82" s="163">
        <f t="shared" ref="L82:O82" si="101">IF(E82&gt;U82,0,1)</f>
        <v>0</v>
      </c>
      <c r="M82" s="163">
        <f t="shared" si="101"/>
        <v>0</v>
      </c>
      <c r="N82" s="163">
        <f t="shared" si="101"/>
        <v>0</v>
      </c>
      <c r="O82" s="163">
        <f t="shared" si="101"/>
        <v>0</v>
      </c>
      <c r="P82" s="163">
        <f t="shared" ref="P82:P84" si="103">IF(I82&gt;LARGE(Y82:AC82,1),0,1)</f>
        <v>0</v>
      </c>
      <c r="Q82" s="163">
        <f t="shared" si="98"/>
        <v>0</v>
      </c>
      <c r="R82" s="130"/>
      <c r="S82" s="163">
        <f t="shared" si="86"/>
        <v>0</v>
      </c>
      <c r="T82" s="163"/>
      <c r="U82" s="163">
        <f>'計分版'!E$14</f>
        <v>0.0000000001</v>
      </c>
      <c r="V82" s="163">
        <f>'計分版'!F$14</f>
        <v>0.0000000002</v>
      </c>
      <c r="W82" s="163">
        <f>'計分版'!G$14</f>
        <v>0.0000000003</v>
      </c>
      <c r="X82" s="163">
        <f>'計分版'!H$14</f>
        <v>0.0000000004</v>
      </c>
      <c r="Y82" s="163">
        <f>'計分版'!I$14</f>
        <v>0.0000000005</v>
      </c>
      <c r="Z82" s="163">
        <f>'計分版'!J$14</f>
        <v>0</v>
      </c>
      <c r="AA82" s="163">
        <f>'計分版'!K$14</f>
        <v>0</v>
      </c>
      <c r="AB82" s="163">
        <f>'計分版'!L$14</f>
        <v>0</v>
      </c>
      <c r="AC82" s="163">
        <f>'計分版'!M$14</f>
        <v>0</v>
      </c>
      <c r="AD82" s="163">
        <f>'計分版'!N$14</f>
        <v>0</v>
      </c>
      <c r="AE82" s="163"/>
      <c r="AF82" s="163" t="s">
        <v>1065</v>
      </c>
      <c r="AG82" s="163"/>
      <c r="AH82" s="163"/>
      <c r="AI82" s="163"/>
      <c r="AJ82" s="163" t="s">
        <v>1065</v>
      </c>
      <c r="AK82" s="163" t="s">
        <v>166</v>
      </c>
      <c r="AL82" s="163" t="s">
        <v>1065</v>
      </c>
      <c r="AM82" s="163"/>
      <c r="AN82" s="130"/>
      <c r="AO82" s="130"/>
      <c r="AP82" s="130"/>
      <c r="AQ82" s="130"/>
      <c r="AR82" s="130"/>
      <c r="AS82" s="130"/>
      <c r="AT82" s="130"/>
    </row>
    <row r="83" ht="13.5" customHeight="1">
      <c r="A83" s="130" t="s">
        <v>282</v>
      </c>
      <c r="B83" s="130" t="s">
        <v>283</v>
      </c>
      <c r="C83" s="170" t="s">
        <v>21</v>
      </c>
      <c r="D83" s="130"/>
      <c r="E83" s="163">
        <v>3.0</v>
      </c>
      <c r="F83" s="163">
        <v>3.0</v>
      </c>
      <c r="G83" s="163">
        <v>2.0</v>
      </c>
      <c r="H83" s="163">
        <v>2.0</v>
      </c>
      <c r="I83" s="163">
        <v>3.0</v>
      </c>
      <c r="J83" s="163">
        <v>3.0</v>
      </c>
      <c r="K83" s="130"/>
      <c r="L83" s="163">
        <f t="shared" ref="L83:O83" si="102">IF(E83&gt;U83,0,1)</f>
        <v>0</v>
      </c>
      <c r="M83" s="163">
        <f t="shared" si="102"/>
        <v>0</v>
      </c>
      <c r="N83" s="163">
        <f t="shared" si="102"/>
        <v>0</v>
      </c>
      <c r="O83" s="163">
        <f t="shared" si="102"/>
        <v>0</v>
      </c>
      <c r="P83" s="163">
        <f t="shared" si="103"/>
        <v>0</v>
      </c>
      <c r="Q83" s="163">
        <f t="shared" si="98"/>
        <v>0</v>
      </c>
      <c r="R83" s="130"/>
      <c r="S83" s="163">
        <f>IF(L83*M83*N83*O83*P83*Q83=0,0,2)</f>
        <v>0</v>
      </c>
      <c r="T83" s="163"/>
      <c r="U83" s="163">
        <f>'計分版'!E$14</f>
        <v>0.0000000001</v>
      </c>
      <c r="V83" s="163">
        <f>'計分版'!F$14</f>
        <v>0.0000000002</v>
      </c>
      <c r="W83" s="163">
        <f>'計分版'!G$14</f>
        <v>0.0000000003</v>
      </c>
      <c r="X83" s="163">
        <f>'計分版'!H$14</f>
        <v>0.0000000004</v>
      </c>
      <c r="Y83" s="163">
        <f>'計分版'!I$14</f>
        <v>0.0000000005</v>
      </c>
      <c r="Z83" s="163">
        <f>'計分版'!J$14</f>
        <v>0</v>
      </c>
      <c r="AA83" s="163">
        <f>'計分版'!K$14</f>
        <v>0</v>
      </c>
      <c r="AB83" s="163">
        <f>'計分版'!L$14</f>
        <v>0</v>
      </c>
      <c r="AC83" s="163">
        <f>'計分版'!M$14</f>
        <v>0</v>
      </c>
      <c r="AD83" s="163">
        <f>'計分版'!N$14</f>
        <v>0</v>
      </c>
      <c r="AE83" s="163"/>
      <c r="AF83" s="163" t="s">
        <v>1065</v>
      </c>
      <c r="AG83" s="163"/>
      <c r="AH83" s="163"/>
      <c r="AI83" s="163"/>
      <c r="AJ83" s="163" t="s">
        <v>1065</v>
      </c>
      <c r="AK83" s="163" t="s">
        <v>166</v>
      </c>
      <c r="AL83" s="163" t="s">
        <v>1065</v>
      </c>
      <c r="AM83" s="163"/>
      <c r="AN83" s="130"/>
      <c r="AO83" s="130"/>
      <c r="AP83" s="130"/>
      <c r="AQ83" s="130"/>
      <c r="AR83" s="130"/>
      <c r="AS83" s="130"/>
      <c r="AT83" s="130"/>
    </row>
    <row r="84" ht="13.5" customHeight="1">
      <c r="A84" s="130" t="s">
        <v>284</v>
      </c>
      <c r="B84" s="130" t="s">
        <v>285</v>
      </c>
      <c r="C84" s="170" t="s">
        <v>24</v>
      </c>
      <c r="D84" s="130"/>
      <c r="E84" s="163">
        <v>3.0</v>
      </c>
      <c r="F84" s="163">
        <v>3.0</v>
      </c>
      <c r="G84" s="163">
        <v>2.0</v>
      </c>
      <c r="H84" s="163">
        <v>2.0</v>
      </c>
      <c r="I84" s="163">
        <v>3.0</v>
      </c>
      <c r="J84" s="163">
        <v>3.0</v>
      </c>
      <c r="K84" s="130"/>
      <c r="L84" s="163">
        <f t="shared" ref="L84:O84" si="104">IF(E84&gt;U84,0,1)</f>
        <v>0</v>
      </c>
      <c r="M84" s="163">
        <f t="shared" si="104"/>
        <v>0</v>
      </c>
      <c r="N84" s="163">
        <f t="shared" si="104"/>
        <v>0</v>
      </c>
      <c r="O84" s="163">
        <f t="shared" si="104"/>
        <v>0</v>
      </c>
      <c r="P84" s="163">
        <f t="shared" si="103"/>
        <v>0</v>
      </c>
      <c r="Q84" s="163">
        <f>IF(J84&gt;LARGE(Z84:AC84,2),0,1)</f>
        <v>0</v>
      </c>
      <c r="R84" s="130"/>
      <c r="S84" s="163">
        <f>L84*M84*N84*O84*P84</f>
        <v>0</v>
      </c>
      <c r="T84" s="163"/>
      <c r="U84" s="163">
        <f>'計分版'!E$14</f>
        <v>0.0000000001</v>
      </c>
      <c r="V84" s="163">
        <f>'計分版'!F$14</f>
        <v>0.0000000002</v>
      </c>
      <c r="W84" s="163">
        <f>'計分版'!G$14</f>
        <v>0.0000000003</v>
      </c>
      <c r="X84" s="163">
        <f>'計分版'!H$14</f>
        <v>0.0000000004</v>
      </c>
      <c r="Y84" s="163">
        <f>'計分版'!I$14</f>
        <v>0.0000000005</v>
      </c>
      <c r="Z84" s="163">
        <f>'計分版'!J$14</f>
        <v>0</v>
      </c>
      <c r="AA84" s="163">
        <f>'計分版'!K$14</f>
        <v>0</v>
      </c>
      <c r="AB84" s="163">
        <f>'計分版'!L$14</f>
        <v>0</v>
      </c>
      <c r="AC84" s="163">
        <f>'計分版'!M$14</f>
        <v>0</v>
      </c>
      <c r="AD84" s="163">
        <f>'計分版'!N$14</f>
        <v>0</v>
      </c>
      <c r="AE84" s="163"/>
      <c r="AF84" s="163" t="s">
        <v>1065</v>
      </c>
      <c r="AG84" s="163"/>
      <c r="AH84" s="163"/>
      <c r="AI84" s="163"/>
      <c r="AJ84" s="163" t="s">
        <v>1065</v>
      </c>
      <c r="AK84" s="163"/>
      <c r="AL84" s="163"/>
      <c r="AM84" s="163"/>
      <c r="AN84" s="130"/>
      <c r="AO84" s="130"/>
      <c r="AP84" s="130"/>
      <c r="AQ84" s="130"/>
      <c r="AR84" s="130"/>
      <c r="AS84" s="130"/>
      <c r="AT84" s="130"/>
    </row>
    <row r="85" ht="13.5" customHeight="1">
      <c r="A85" s="130"/>
      <c r="B85" s="130"/>
      <c r="C85" s="170"/>
      <c r="D85" s="130"/>
      <c r="E85" s="163"/>
      <c r="F85" s="163"/>
      <c r="G85" s="163"/>
      <c r="H85" s="163"/>
      <c r="I85" s="163"/>
      <c r="J85" s="163"/>
      <c r="K85" s="130"/>
      <c r="L85" s="163"/>
      <c r="M85" s="163"/>
      <c r="N85" s="163"/>
      <c r="O85" s="163"/>
      <c r="P85" s="163"/>
      <c r="Q85" s="163"/>
      <c r="R85" s="130"/>
      <c r="S85" s="163"/>
      <c r="T85" s="163"/>
      <c r="U85" s="163"/>
      <c r="V85" s="163"/>
      <c r="W85" s="163"/>
      <c r="X85" s="163"/>
      <c r="Y85" s="163"/>
      <c r="Z85" s="163"/>
      <c r="AA85" s="163"/>
      <c r="AB85" s="163"/>
      <c r="AC85" s="163"/>
      <c r="AD85" s="163"/>
      <c r="AE85" s="163"/>
      <c r="AF85" s="163"/>
      <c r="AG85" s="163"/>
      <c r="AH85" s="163"/>
      <c r="AI85" s="163"/>
      <c r="AJ85" s="163"/>
      <c r="AK85" s="163"/>
      <c r="AL85" s="163"/>
      <c r="AM85" s="163"/>
      <c r="AN85" s="130"/>
      <c r="AO85" s="130"/>
      <c r="AP85" s="130"/>
      <c r="AQ85" s="130"/>
      <c r="AR85" s="130"/>
      <c r="AS85" s="130"/>
      <c r="AT85" s="130"/>
    </row>
    <row r="86" ht="13.5" customHeight="1">
      <c r="A86" s="165" t="s">
        <v>176</v>
      </c>
      <c r="B86" s="130"/>
      <c r="C86" s="130"/>
      <c r="D86" s="130"/>
      <c r="E86" s="163"/>
      <c r="F86" s="163"/>
      <c r="G86" s="163"/>
      <c r="H86" s="163"/>
      <c r="I86" s="163"/>
      <c r="J86" s="163"/>
      <c r="K86" s="130"/>
      <c r="L86" s="130"/>
      <c r="M86" s="130"/>
      <c r="N86" s="130"/>
      <c r="O86" s="130"/>
      <c r="P86" s="130"/>
      <c r="Q86" s="130"/>
      <c r="R86" s="130"/>
      <c r="S86" s="163"/>
      <c r="T86" s="163"/>
      <c r="U86" s="163"/>
      <c r="V86" s="163"/>
      <c r="W86" s="163"/>
      <c r="X86" s="163"/>
      <c r="Y86" s="163"/>
      <c r="Z86" s="163"/>
      <c r="AA86" s="163"/>
      <c r="AB86" s="163"/>
      <c r="AC86" s="163"/>
      <c r="AD86" s="163"/>
      <c r="AE86" s="163"/>
      <c r="AF86" s="163"/>
      <c r="AG86" s="163"/>
      <c r="AH86" s="163"/>
      <c r="AI86" s="163"/>
      <c r="AJ86" s="163"/>
      <c r="AK86" s="163"/>
      <c r="AL86" s="163"/>
      <c r="AM86" s="163"/>
      <c r="AN86" s="130"/>
      <c r="AO86" s="130"/>
      <c r="AP86" s="130"/>
      <c r="AQ86" s="130"/>
      <c r="AR86" s="130"/>
      <c r="AS86" s="130"/>
      <c r="AT86" s="130"/>
    </row>
    <row r="87" ht="13.5" customHeight="1">
      <c r="A87" s="165" t="s">
        <v>1056</v>
      </c>
      <c r="B87" s="165" t="s">
        <v>1057</v>
      </c>
      <c r="C87" s="165" t="s">
        <v>44</v>
      </c>
      <c r="D87" s="166" t="s">
        <v>49</v>
      </c>
      <c r="E87" s="166" t="s">
        <v>1058</v>
      </c>
      <c r="F87" s="166" t="s">
        <v>1059</v>
      </c>
      <c r="G87" s="166" t="s">
        <v>1060</v>
      </c>
      <c r="H87" s="166" t="s">
        <v>1061</v>
      </c>
      <c r="I87" s="166" t="s">
        <v>218</v>
      </c>
      <c r="J87" s="166" t="s">
        <v>219</v>
      </c>
      <c r="K87" s="165"/>
      <c r="L87" s="166" t="s">
        <v>1058</v>
      </c>
      <c r="M87" s="166" t="s">
        <v>1059</v>
      </c>
      <c r="N87" s="166" t="s">
        <v>1060</v>
      </c>
      <c r="O87" s="166" t="s">
        <v>1061</v>
      </c>
      <c r="P87" s="166" t="s">
        <v>218</v>
      </c>
      <c r="Q87" s="166" t="s">
        <v>219</v>
      </c>
      <c r="R87" s="163"/>
      <c r="S87" s="163"/>
      <c r="T87" s="163"/>
      <c r="U87" s="167" t="s">
        <v>23</v>
      </c>
      <c r="V87" s="167" t="s">
        <v>26</v>
      </c>
      <c r="W87" s="167" t="s">
        <v>29</v>
      </c>
      <c r="X87" s="167" t="s">
        <v>30</v>
      </c>
      <c r="Y87" s="167" t="s">
        <v>173</v>
      </c>
      <c r="Z87" s="167" t="str">
        <f>'主頁'!$C$16</f>
        <v/>
      </c>
      <c r="AA87" s="167" t="str">
        <f>'主頁'!$C$17</f>
        <v/>
      </c>
      <c r="AB87" s="167" t="str">
        <f>'主頁'!$C$18</f>
        <v/>
      </c>
      <c r="AC87" s="167" t="str">
        <f>'主頁'!$C$19</f>
        <v/>
      </c>
      <c r="AD87" s="167" t="str">
        <f>'主頁'!$C$20</f>
        <v/>
      </c>
      <c r="AE87" s="166" t="s">
        <v>541</v>
      </c>
      <c r="AF87" s="163" t="s">
        <v>1062</v>
      </c>
      <c r="AG87" s="163" t="s">
        <v>1063</v>
      </c>
      <c r="AH87" s="163" t="s">
        <v>1064</v>
      </c>
      <c r="AI87" s="163"/>
      <c r="AJ87" s="163"/>
      <c r="AK87" s="163"/>
      <c r="AL87" s="163"/>
      <c r="AM87" s="163"/>
      <c r="AN87" s="130"/>
      <c r="AO87" s="130"/>
      <c r="AP87" s="130"/>
      <c r="AQ87" s="130"/>
      <c r="AR87" s="130"/>
      <c r="AS87" s="130"/>
      <c r="AT87" s="130"/>
    </row>
    <row r="88" ht="13.5" customHeight="1">
      <c r="A88" s="130" t="s">
        <v>286</v>
      </c>
      <c r="B88" s="130" t="s">
        <v>287</v>
      </c>
      <c r="C88" s="170" t="s">
        <v>191</v>
      </c>
      <c r="D88" s="163"/>
      <c r="E88" s="163">
        <v>3.0</v>
      </c>
      <c r="F88" s="163">
        <v>3.0</v>
      </c>
      <c r="G88" s="163">
        <v>2.0</v>
      </c>
      <c r="H88" s="163">
        <v>2.0</v>
      </c>
      <c r="I88" s="163">
        <v>3.0</v>
      </c>
      <c r="J88" s="163">
        <v>3.0</v>
      </c>
      <c r="K88" s="130"/>
      <c r="L88" s="163">
        <f t="shared" ref="L88:O88" si="105">IF(E88&gt;U88,0,1)</f>
        <v>0</v>
      </c>
      <c r="M88" s="163">
        <f t="shared" si="105"/>
        <v>0</v>
      </c>
      <c r="N88" s="163">
        <f t="shared" si="105"/>
        <v>0</v>
      </c>
      <c r="O88" s="163">
        <f t="shared" si="105"/>
        <v>0</v>
      </c>
      <c r="P88" s="163">
        <f t="shared" ref="P88:P132" si="107">IF(I88&gt;LARGE(Y88:AD88,1),0,1)</f>
        <v>0</v>
      </c>
      <c r="Q88" s="163">
        <f t="shared" ref="Q88:Q132" si="108">IF(J88&gt;LARGE(Y88:AD88,2),0,1)</f>
        <v>0</v>
      </c>
      <c r="R88" s="130"/>
      <c r="S88" s="163">
        <f t="shared" ref="S88:S132" si="109">L88*M88*N88*O88*P88*Q88</f>
        <v>0</v>
      </c>
      <c r="T88" s="163"/>
      <c r="U88" s="163">
        <f>'計分版'!E$14</f>
        <v>0.0000000001</v>
      </c>
      <c r="V88" s="163">
        <f>'計分版'!F$14</f>
        <v>0.0000000002</v>
      </c>
      <c r="W88" s="163">
        <f>'計分版'!G$14</f>
        <v>0.0000000003</v>
      </c>
      <c r="X88" s="163">
        <f>'計分版'!H$14</f>
        <v>0.0000000004</v>
      </c>
      <c r="Y88" s="163">
        <f>'計分版'!I$14</f>
        <v>0.0000000005</v>
      </c>
      <c r="Z88" s="163">
        <f>'計分版'!J$14</f>
        <v>0</v>
      </c>
      <c r="AA88" s="163">
        <f>'計分版'!K$14</f>
        <v>0</v>
      </c>
      <c r="AB88" s="163">
        <f>'計分版'!L$14</f>
        <v>0</v>
      </c>
      <c r="AC88" s="163">
        <f>'計分版'!M$14</f>
        <v>0</v>
      </c>
      <c r="AD88" s="163">
        <f>'計分版'!N$14</f>
        <v>0</v>
      </c>
      <c r="AE88" s="163"/>
      <c r="AF88" s="163" t="s">
        <v>1065</v>
      </c>
      <c r="AG88" s="163" t="s">
        <v>166</v>
      </c>
      <c r="AH88" s="163"/>
      <c r="AI88" s="163"/>
      <c r="AJ88" s="163"/>
      <c r="AK88" s="163"/>
      <c r="AL88" s="163"/>
      <c r="AM88" s="163"/>
      <c r="AN88" s="130"/>
      <c r="AO88" s="130"/>
      <c r="AP88" s="130"/>
      <c r="AQ88" s="130"/>
      <c r="AR88" s="130"/>
      <c r="AS88" s="130"/>
      <c r="AT88" s="130"/>
    </row>
    <row r="89" ht="13.5" customHeight="1">
      <c r="A89" s="130" t="s">
        <v>288</v>
      </c>
      <c r="B89" s="130" t="s">
        <v>289</v>
      </c>
      <c r="C89" s="170" t="s">
        <v>21</v>
      </c>
      <c r="D89" s="163"/>
      <c r="E89" s="163">
        <v>3.0</v>
      </c>
      <c r="F89" s="163">
        <v>3.0</v>
      </c>
      <c r="G89" s="163">
        <v>2.0</v>
      </c>
      <c r="H89" s="163">
        <v>2.0</v>
      </c>
      <c r="I89" s="163">
        <v>3.0</v>
      </c>
      <c r="J89" s="163">
        <v>3.0</v>
      </c>
      <c r="K89" s="130"/>
      <c r="L89" s="163">
        <f t="shared" ref="L89:O89" si="106">IF(E89&gt;U89,0,1)</f>
        <v>0</v>
      </c>
      <c r="M89" s="163">
        <f t="shared" si="106"/>
        <v>0</v>
      </c>
      <c r="N89" s="163">
        <f t="shared" si="106"/>
        <v>0</v>
      </c>
      <c r="O89" s="163">
        <f t="shared" si="106"/>
        <v>0</v>
      </c>
      <c r="P89" s="163">
        <f t="shared" si="107"/>
        <v>0</v>
      </c>
      <c r="Q89" s="163">
        <f t="shared" si="108"/>
        <v>0</v>
      </c>
      <c r="R89" s="130"/>
      <c r="S89" s="163">
        <f t="shared" si="109"/>
        <v>0</v>
      </c>
      <c r="T89" s="163"/>
      <c r="U89" s="163">
        <f>'計分版'!E$14</f>
        <v>0.0000000001</v>
      </c>
      <c r="V89" s="163">
        <f>'計分版'!F$14</f>
        <v>0.0000000002</v>
      </c>
      <c r="W89" s="163">
        <f>'計分版'!G$14</f>
        <v>0.0000000003</v>
      </c>
      <c r="X89" s="163">
        <f>'計分版'!H$14</f>
        <v>0.0000000004</v>
      </c>
      <c r="Y89" s="163">
        <f>'計分版'!I$14</f>
        <v>0.0000000005</v>
      </c>
      <c r="Z89" s="163">
        <f>'計分版'!J$14</f>
        <v>0</v>
      </c>
      <c r="AA89" s="163">
        <f>'計分版'!K$14</f>
        <v>0</v>
      </c>
      <c r="AB89" s="163">
        <f>'計分版'!L$14</f>
        <v>0</v>
      </c>
      <c r="AC89" s="163">
        <f>'計分版'!M$14</f>
        <v>0</v>
      </c>
      <c r="AD89" s="163">
        <f>'計分版'!N$14</f>
        <v>0</v>
      </c>
      <c r="AE89" s="163"/>
      <c r="AF89" s="163" t="s">
        <v>1065</v>
      </c>
      <c r="AG89" s="163" t="s">
        <v>166</v>
      </c>
      <c r="AH89" s="163"/>
      <c r="AI89" s="163"/>
      <c r="AJ89" s="163"/>
      <c r="AK89" s="163"/>
      <c r="AL89" s="163"/>
      <c r="AM89" s="163"/>
      <c r="AN89" s="130"/>
      <c r="AO89" s="130"/>
      <c r="AP89" s="130"/>
      <c r="AQ89" s="130"/>
      <c r="AR89" s="130"/>
      <c r="AS89" s="130"/>
      <c r="AT89" s="130"/>
    </row>
    <row r="90" ht="13.5" customHeight="1">
      <c r="A90" s="130" t="s">
        <v>290</v>
      </c>
      <c r="B90" s="130" t="s">
        <v>291</v>
      </c>
      <c r="C90" s="170" t="s">
        <v>21</v>
      </c>
      <c r="D90" s="163"/>
      <c r="E90" s="163">
        <v>3.0</v>
      </c>
      <c r="F90" s="163">
        <v>3.0</v>
      </c>
      <c r="G90" s="163">
        <v>2.0</v>
      </c>
      <c r="H90" s="163">
        <v>2.0</v>
      </c>
      <c r="I90" s="163">
        <v>3.0</v>
      </c>
      <c r="J90" s="163">
        <v>3.0</v>
      </c>
      <c r="K90" s="130"/>
      <c r="L90" s="163">
        <f t="shared" ref="L90:O90" si="110">IF(E90&gt;U90,0,1)</f>
        <v>0</v>
      </c>
      <c r="M90" s="163">
        <f t="shared" si="110"/>
        <v>0</v>
      </c>
      <c r="N90" s="163">
        <f t="shared" si="110"/>
        <v>0</v>
      </c>
      <c r="O90" s="163">
        <f t="shared" si="110"/>
        <v>0</v>
      </c>
      <c r="P90" s="163">
        <f t="shared" si="107"/>
        <v>0</v>
      </c>
      <c r="Q90" s="163">
        <f t="shared" si="108"/>
        <v>0</v>
      </c>
      <c r="R90" s="130"/>
      <c r="S90" s="163">
        <f t="shared" si="109"/>
        <v>0</v>
      </c>
      <c r="T90" s="163"/>
      <c r="U90" s="163">
        <f>'計分版'!E$14</f>
        <v>0.0000000001</v>
      </c>
      <c r="V90" s="163">
        <f>'計分版'!F$14</f>
        <v>0.0000000002</v>
      </c>
      <c r="W90" s="163">
        <f>'計分版'!G$14</f>
        <v>0.0000000003</v>
      </c>
      <c r="X90" s="163">
        <f>'計分版'!H$14</f>
        <v>0.0000000004</v>
      </c>
      <c r="Y90" s="163">
        <f>'計分版'!I$14</f>
        <v>0.0000000005</v>
      </c>
      <c r="Z90" s="163">
        <f>'計分版'!J$14</f>
        <v>0</v>
      </c>
      <c r="AA90" s="163">
        <f>'計分版'!K$14</f>
        <v>0</v>
      </c>
      <c r="AB90" s="163">
        <f>'計分版'!L$14</f>
        <v>0</v>
      </c>
      <c r="AC90" s="163">
        <f>'計分版'!M$14</f>
        <v>0</v>
      </c>
      <c r="AD90" s="163">
        <f>'計分版'!N$14</f>
        <v>0</v>
      </c>
      <c r="AE90" s="163"/>
      <c r="AF90" s="163" t="s">
        <v>1065</v>
      </c>
      <c r="AG90" s="163" t="s">
        <v>166</v>
      </c>
      <c r="AH90" s="163"/>
      <c r="AI90" s="163"/>
      <c r="AJ90" s="163"/>
      <c r="AK90" s="163"/>
      <c r="AL90" s="163"/>
      <c r="AM90" s="163"/>
      <c r="AN90" s="130"/>
      <c r="AO90" s="130"/>
      <c r="AP90" s="130"/>
      <c r="AQ90" s="130"/>
      <c r="AR90" s="130"/>
      <c r="AS90" s="130"/>
      <c r="AT90" s="130"/>
    </row>
    <row r="91" ht="13.5" customHeight="1">
      <c r="A91" s="130" t="s">
        <v>292</v>
      </c>
      <c r="B91" s="130" t="s">
        <v>293</v>
      </c>
      <c r="C91" s="170" t="s">
        <v>21</v>
      </c>
      <c r="D91" s="163"/>
      <c r="E91" s="163">
        <v>3.0</v>
      </c>
      <c r="F91" s="163">
        <v>3.0</v>
      </c>
      <c r="G91" s="163">
        <v>2.0</v>
      </c>
      <c r="H91" s="163">
        <v>2.0</v>
      </c>
      <c r="I91" s="163">
        <v>3.0</v>
      </c>
      <c r="J91" s="163">
        <v>3.0</v>
      </c>
      <c r="K91" s="130"/>
      <c r="L91" s="163">
        <f t="shared" ref="L91:O91" si="111">IF(E91&gt;U91,0,1)</f>
        <v>0</v>
      </c>
      <c r="M91" s="163">
        <f t="shared" si="111"/>
        <v>0</v>
      </c>
      <c r="N91" s="163">
        <f t="shared" si="111"/>
        <v>0</v>
      </c>
      <c r="O91" s="163">
        <f t="shared" si="111"/>
        <v>0</v>
      </c>
      <c r="P91" s="163">
        <f t="shared" si="107"/>
        <v>0</v>
      </c>
      <c r="Q91" s="163">
        <f t="shared" si="108"/>
        <v>0</v>
      </c>
      <c r="R91" s="130"/>
      <c r="S91" s="163">
        <f t="shared" si="109"/>
        <v>0</v>
      </c>
      <c r="T91" s="163"/>
      <c r="U91" s="163">
        <f>'計分版'!E$14</f>
        <v>0.0000000001</v>
      </c>
      <c r="V91" s="163">
        <f>'計分版'!F$14</f>
        <v>0.0000000002</v>
      </c>
      <c r="W91" s="163">
        <f>'計分版'!G$14</f>
        <v>0.0000000003</v>
      </c>
      <c r="X91" s="163">
        <f>'計分版'!H$14</f>
        <v>0.0000000004</v>
      </c>
      <c r="Y91" s="163">
        <f>'計分版'!I$14</f>
        <v>0.0000000005</v>
      </c>
      <c r="Z91" s="163">
        <f>'計分版'!J$14</f>
        <v>0</v>
      </c>
      <c r="AA91" s="163">
        <f>'計分版'!K$14</f>
        <v>0</v>
      </c>
      <c r="AB91" s="163">
        <f>'計分版'!L$14</f>
        <v>0</v>
      </c>
      <c r="AC91" s="163">
        <f>'計分版'!M$14</f>
        <v>0</v>
      </c>
      <c r="AD91" s="163">
        <f>'計分版'!N$14</f>
        <v>0</v>
      </c>
      <c r="AE91" s="163"/>
      <c r="AF91" s="163" t="s">
        <v>1065</v>
      </c>
      <c r="AG91" s="163" t="s">
        <v>166</v>
      </c>
      <c r="AH91" s="163"/>
      <c r="AI91" s="163"/>
      <c r="AJ91" s="163"/>
      <c r="AK91" s="163"/>
      <c r="AL91" s="163"/>
      <c r="AM91" s="163"/>
      <c r="AN91" s="130"/>
      <c r="AO91" s="130"/>
      <c r="AP91" s="130"/>
      <c r="AQ91" s="130"/>
      <c r="AR91" s="130"/>
      <c r="AS91" s="130"/>
      <c r="AT91" s="130"/>
    </row>
    <row r="92" ht="13.5" customHeight="1">
      <c r="A92" s="130" t="s">
        <v>294</v>
      </c>
      <c r="B92" s="130" t="s">
        <v>295</v>
      </c>
      <c r="C92" s="170" t="s">
        <v>21</v>
      </c>
      <c r="D92" s="163"/>
      <c r="E92" s="163">
        <v>3.0</v>
      </c>
      <c r="F92" s="163">
        <v>3.0</v>
      </c>
      <c r="G92" s="163">
        <v>2.0</v>
      </c>
      <c r="H92" s="163">
        <v>2.0</v>
      </c>
      <c r="I92" s="163">
        <v>3.0</v>
      </c>
      <c r="J92" s="163">
        <v>3.0</v>
      </c>
      <c r="K92" s="130"/>
      <c r="L92" s="163">
        <f t="shared" ref="L92:O92" si="112">IF(E92&gt;U92,0,1)</f>
        <v>0</v>
      </c>
      <c r="M92" s="163">
        <f t="shared" si="112"/>
        <v>0</v>
      </c>
      <c r="N92" s="163">
        <f t="shared" si="112"/>
        <v>0</v>
      </c>
      <c r="O92" s="163">
        <f t="shared" si="112"/>
        <v>0</v>
      </c>
      <c r="P92" s="163">
        <f t="shared" si="107"/>
        <v>0</v>
      </c>
      <c r="Q92" s="163">
        <f t="shared" si="108"/>
        <v>0</v>
      </c>
      <c r="R92" s="130"/>
      <c r="S92" s="163">
        <f t="shared" si="109"/>
        <v>0</v>
      </c>
      <c r="T92" s="163"/>
      <c r="U92" s="163">
        <f>'計分版'!E$14</f>
        <v>0.0000000001</v>
      </c>
      <c r="V92" s="163">
        <f>'計分版'!F$14</f>
        <v>0.0000000002</v>
      </c>
      <c r="W92" s="163">
        <f>'計分版'!G$14</f>
        <v>0.0000000003</v>
      </c>
      <c r="X92" s="163">
        <f>'計分版'!H$14</f>
        <v>0.0000000004</v>
      </c>
      <c r="Y92" s="163">
        <f>'計分版'!I$14</f>
        <v>0.0000000005</v>
      </c>
      <c r="Z92" s="163">
        <f>'計分版'!J$14</f>
        <v>0</v>
      </c>
      <c r="AA92" s="163">
        <f>'計分版'!K$14</f>
        <v>0</v>
      </c>
      <c r="AB92" s="163">
        <f>'計分版'!L$14</f>
        <v>0</v>
      </c>
      <c r="AC92" s="163">
        <f>'計分版'!M$14</f>
        <v>0</v>
      </c>
      <c r="AD92" s="163">
        <f>'計分版'!N$14</f>
        <v>0</v>
      </c>
      <c r="AE92" s="163"/>
      <c r="AF92" s="163" t="s">
        <v>1065</v>
      </c>
      <c r="AG92" s="163" t="s">
        <v>166</v>
      </c>
      <c r="AH92" s="163"/>
      <c r="AI92" s="163"/>
      <c r="AJ92" s="163"/>
      <c r="AK92" s="163"/>
      <c r="AL92" s="163"/>
      <c r="AM92" s="163"/>
      <c r="AN92" s="130"/>
      <c r="AO92" s="130"/>
      <c r="AP92" s="130"/>
      <c r="AQ92" s="130"/>
      <c r="AR92" s="130"/>
      <c r="AS92" s="130"/>
      <c r="AT92" s="130"/>
    </row>
    <row r="93" ht="13.5" customHeight="1">
      <c r="A93" s="130" t="s">
        <v>296</v>
      </c>
      <c r="B93" s="130" t="s">
        <v>297</v>
      </c>
      <c r="C93" s="170" t="s">
        <v>21</v>
      </c>
      <c r="D93" s="163"/>
      <c r="E93" s="163">
        <v>3.0</v>
      </c>
      <c r="F93" s="163">
        <v>3.0</v>
      </c>
      <c r="G93" s="163">
        <v>2.0</v>
      </c>
      <c r="H93" s="163">
        <v>2.0</v>
      </c>
      <c r="I93" s="163">
        <v>3.0</v>
      </c>
      <c r="J93" s="163">
        <v>3.0</v>
      </c>
      <c r="K93" s="130"/>
      <c r="L93" s="163">
        <f t="shared" ref="L93:O93" si="113">IF(E93&gt;U93,0,1)</f>
        <v>0</v>
      </c>
      <c r="M93" s="163">
        <f t="shared" si="113"/>
        <v>0</v>
      </c>
      <c r="N93" s="163">
        <f t="shared" si="113"/>
        <v>0</v>
      </c>
      <c r="O93" s="163">
        <f t="shared" si="113"/>
        <v>0</v>
      </c>
      <c r="P93" s="163">
        <f t="shared" si="107"/>
        <v>0</v>
      </c>
      <c r="Q93" s="163">
        <f t="shared" si="108"/>
        <v>0</v>
      </c>
      <c r="R93" s="130"/>
      <c r="S93" s="163">
        <f t="shared" si="109"/>
        <v>0</v>
      </c>
      <c r="T93" s="163"/>
      <c r="U93" s="163">
        <f>'計分版'!E$14</f>
        <v>0.0000000001</v>
      </c>
      <c r="V93" s="163">
        <f>'計分版'!F$14</f>
        <v>0.0000000002</v>
      </c>
      <c r="W93" s="163">
        <f>'計分版'!G$14</f>
        <v>0.0000000003</v>
      </c>
      <c r="X93" s="163">
        <f>'計分版'!H$14</f>
        <v>0.0000000004</v>
      </c>
      <c r="Y93" s="163">
        <f>'計分版'!I$14</f>
        <v>0.0000000005</v>
      </c>
      <c r="Z93" s="163">
        <f>'計分版'!J$14</f>
        <v>0</v>
      </c>
      <c r="AA93" s="163">
        <f>'計分版'!K$14</f>
        <v>0</v>
      </c>
      <c r="AB93" s="163">
        <f>'計分版'!L$14</f>
        <v>0</v>
      </c>
      <c r="AC93" s="163">
        <f>'計分版'!M$14</f>
        <v>0</v>
      </c>
      <c r="AD93" s="163">
        <f>'計分版'!N$14</f>
        <v>0</v>
      </c>
      <c r="AE93" s="163"/>
      <c r="AF93" s="163" t="s">
        <v>1065</v>
      </c>
      <c r="AG93" s="163" t="s">
        <v>166</v>
      </c>
      <c r="AH93" s="163"/>
      <c r="AI93" s="163"/>
      <c r="AJ93" s="163"/>
      <c r="AK93" s="163"/>
      <c r="AL93" s="163"/>
      <c r="AM93" s="163"/>
      <c r="AN93" s="130"/>
      <c r="AO93" s="130"/>
      <c r="AP93" s="130"/>
      <c r="AQ93" s="130"/>
      <c r="AR93" s="130"/>
      <c r="AS93" s="130"/>
      <c r="AT93" s="130"/>
    </row>
    <row r="94" ht="13.5" customHeight="1">
      <c r="A94" s="130" t="s">
        <v>298</v>
      </c>
      <c r="B94" s="130" t="s">
        <v>299</v>
      </c>
      <c r="C94" s="170" t="s">
        <v>21</v>
      </c>
      <c r="D94" s="163"/>
      <c r="E94" s="163">
        <v>3.0</v>
      </c>
      <c r="F94" s="163">
        <v>3.0</v>
      </c>
      <c r="G94" s="163">
        <v>2.0</v>
      </c>
      <c r="H94" s="163">
        <v>2.0</v>
      </c>
      <c r="I94" s="163">
        <v>3.0</v>
      </c>
      <c r="J94" s="163">
        <v>3.0</v>
      </c>
      <c r="K94" s="130"/>
      <c r="L94" s="163">
        <f t="shared" ref="L94:O94" si="114">IF(E94&gt;U94,0,1)</f>
        <v>0</v>
      </c>
      <c r="M94" s="163">
        <f t="shared" si="114"/>
        <v>0</v>
      </c>
      <c r="N94" s="163">
        <f t="shared" si="114"/>
        <v>0</v>
      </c>
      <c r="O94" s="163">
        <f t="shared" si="114"/>
        <v>0</v>
      </c>
      <c r="P94" s="163">
        <f t="shared" si="107"/>
        <v>0</v>
      </c>
      <c r="Q94" s="163">
        <f t="shared" si="108"/>
        <v>0</v>
      </c>
      <c r="R94" s="130"/>
      <c r="S94" s="163">
        <f t="shared" si="109"/>
        <v>0</v>
      </c>
      <c r="T94" s="163"/>
      <c r="U94" s="163">
        <f>'計分版'!E$14</f>
        <v>0.0000000001</v>
      </c>
      <c r="V94" s="163">
        <f>'計分版'!F$14</f>
        <v>0.0000000002</v>
      </c>
      <c r="W94" s="163">
        <f>'計分版'!G$14</f>
        <v>0.0000000003</v>
      </c>
      <c r="X94" s="163">
        <f>'計分版'!H$14</f>
        <v>0.0000000004</v>
      </c>
      <c r="Y94" s="163">
        <f>'計分版'!I$14</f>
        <v>0.0000000005</v>
      </c>
      <c r="Z94" s="163">
        <f>'計分版'!J$14</f>
        <v>0</v>
      </c>
      <c r="AA94" s="163">
        <f>'計分版'!K$14</f>
        <v>0</v>
      </c>
      <c r="AB94" s="163">
        <f>'計分版'!L$14</f>
        <v>0</v>
      </c>
      <c r="AC94" s="163">
        <f>'計分版'!M$14</f>
        <v>0</v>
      </c>
      <c r="AD94" s="163">
        <f>'計分版'!N$14</f>
        <v>0</v>
      </c>
      <c r="AE94" s="163"/>
      <c r="AF94" s="163" t="s">
        <v>1065</v>
      </c>
      <c r="AG94" s="163" t="s">
        <v>166</v>
      </c>
      <c r="AH94" s="163"/>
      <c r="AI94" s="163"/>
      <c r="AJ94" s="163"/>
      <c r="AK94" s="163"/>
      <c r="AL94" s="163"/>
      <c r="AM94" s="163"/>
      <c r="AN94" s="130"/>
      <c r="AO94" s="130"/>
      <c r="AP94" s="130"/>
      <c r="AQ94" s="130"/>
      <c r="AR94" s="130"/>
      <c r="AS94" s="130"/>
      <c r="AT94" s="130"/>
    </row>
    <row r="95" ht="13.5" customHeight="1">
      <c r="A95" s="130" t="s">
        <v>300</v>
      </c>
      <c r="B95" s="130" t="s">
        <v>301</v>
      </c>
      <c r="C95" s="170" t="s">
        <v>24</v>
      </c>
      <c r="D95" s="163"/>
      <c r="E95" s="163">
        <v>3.0</v>
      </c>
      <c r="F95" s="163">
        <v>3.0</v>
      </c>
      <c r="G95" s="163">
        <v>2.0</v>
      </c>
      <c r="H95" s="163">
        <v>2.0</v>
      </c>
      <c r="I95" s="163">
        <v>3.0</v>
      </c>
      <c r="J95" s="163">
        <v>3.0</v>
      </c>
      <c r="K95" s="130"/>
      <c r="L95" s="163">
        <f t="shared" ref="L95:O95" si="115">IF(E95&gt;U95,0,1)</f>
        <v>0</v>
      </c>
      <c r="M95" s="163">
        <f t="shared" si="115"/>
        <v>0</v>
      </c>
      <c r="N95" s="163">
        <f t="shared" si="115"/>
        <v>0</v>
      </c>
      <c r="O95" s="163">
        <f t="shared" si="115"/>
        <v>0</v>
      </c>
      <c r="P95" s="163">
        <f t="shared" si="107"/>
        <v>0</v>
      </c>
      <c r="Q95" s="163">
        <f t="shared" si="108"/>
        <v>0</v>
      </c>
      <c r="R95" s="130"/>
      <c r="S95" s="163">
        <f t="shared" si="109"/>
        <v>0</v>
      </c>
      <c r="T95" s="163"/>
      <c r="U95" s="163">
        <f>'計分版'!E$14</f>
        <v>0.0000000001</v>
      </c>
      <c r="V95" s="163">
        <f>'計分版'!F$14</f>
        <v>0.0000000002</v>
      </c>
      <c r="W95" s="163">
        <f>'計分版'!G$14</f>
        <v>0.0000000003</v>
      </c>
      <c r="X95" s="163">
        <f>'計分版'!H$14</f>
        <v>0.0000000004</v>
      </c>
      <c r="Y95" s="163">
        <f>'計分版'!I$14</f>
        <v>0.0000000005</v>
      </c>
      <c r="Z95" s="163">
        <f>'計分版'!J$14</f>
        <v>0</v>
      </c>
      <c r="AA95" s="163">
        <f>'計分版'!K$14</f>
        <v>0</v>
      </c>
      <c r="AB95" s="163">
        <f>'計分版'!L$14</f>
        <v>0</v>
      </c>
      <c r="AC95" s="163">
        <f>'計分版'!M$14</f>
        <v>0</v>
      </c>
      <c r="AD95" s="163">
        <f>'計分版'!N$14</f>
        <v>0</v>
      </c>
      <c r="AE95" s="163"/>
      <c r="AF95" s="163" t="s">
        <v>1065</v>
      </c>
      <c r="AG95" s="163" t="s">
        <v>166</v>
      </c>
      <c r="AH95" s="163"/>
      <c r="AI95" s="163"/>
      <c r="AJ95" s="163"/>
      <c r="AK95" s="163"/>
      <c r="AL95" s="163"/>
      <c r="AM95" s="163"/>
      <c r="AN95" s="130"/>
      <c r="AO95" s="130"/>
      <c r="AP95" s="130"/>
      <c r="AQ95" s="130"/>
      <c r="AR95" s="130"/>
      <c r="AS95" s="130"/>
      <c r="AT95" s="130"/>
    </row>
    <row r="96" ht="13.5" customHeight="1">
      <c r="A96" s="130" t="s">
        <v>302</v>
      </c>
      <c r="B96" s="130" t="s">
        <v>303</v>
      </c>
      <c r="C96" s="170" t="s">
        <v>21</v>
      </c>
      <c r="D96" s="163"/>
      <c r="E96" s="163">
        <v>3.0</v>
      </c>
      <c r="F96" s="163">
        <v>3.0</v>
      </c>
      <c r="G96" s="163">
        <v>2.0</v>
      </c>
      <c r="H96" s="163">
        <v>2.0</v>
      </c>
      <c r="I96" s="163">
        <v>3.0</v>
      </c>
      <c r="J96" s="163">
        <v>3.0</v>
      </c>
      <c r="K96" s="130"/>
      <c r="L96" s="163">
        <f t="shared" ref="L96:O96" si="116">IF(E96&gt;U96,0,1)</f>
        <v>0</v>
      </c>
      <c r="M96" s="163">
        <f t="shared" si="116"/>
        <v>0</v>
      </c>
      <c r="N96" s="163">
        <f t="shared" si="116"/>
        <v>0</v>
      </c>
      <c r="O96" s="163">
        <f t="shared" si="116"/>
        <v>0</v>
      </c>
      <c r="P96" s="163">
        <f t="shared" si="107"/>
        <v>0</v>
      </c>
      <c r="Q96" s="163">
        <f t="shared" si="108"/>
        <v>0</v>
      </c>
      <c r="R96" s="130"/>
      <c r="S96" s="163">
        <f t="shared" si="109"/>
        <v>0</v>
      </c>
      <c r="T96" s="163"/>
      <c r="U96" s="163">
        <f>'計分版'!E$14</f>
        <v>0.0000000001</v>
      </c>
      <c r="V96" s="163">
        <f>'計分版'!F$14</f>
        <v>0.0000000002</v>
      </c>
      <c r="W96" s="163">
        <f>'計分版'!G$14</f>
        <v>0.0000000003</v>
      </c>
      <c r="X96" s="163">
        <f>'計分版'!H$14</f>
        <v>0.0000000004</v>
      </c>
      <c r="Y96" s="163">
        <f>'計分版'!I$14</f>
        <v>0.0000000005</v>
      </c>
      <c r="Z96" s="163">
        <f>'計分版'!J$14</f>
        <v>0</v>
      </c>
      <c r="AA96" s="163">
        <f>'計分版'!K$14</f>
        <v>0</v>
      </c>
      <c r="AB96" s="163">
        <f>'計分版'!L$14</f>
        <v>0</v>
      </c>
      <c r="AC96" s="163">
        <f>'計分版'!M$14</f>
        <v>0</v>
      </c>
      <c r="AD96" s="163">
        <f>'計分版'!N$14</f>
        <v>0</v>
      </c>
      <c r="AE96" s="163"/>
      <c r="AF96" s="163" t="s">
        <v>1065</v>
      </c>
      <c r="AG96" s="163" t="s">
        <v>166</v>
      </c>
      <c r="AH96" s="163"/>
      <c r="AI96" s="163"/>
      <c r="AJ96" s="163"/>
      <c r="AK96" s="163"/>
      <c r="AL96" s="163"/>
      <c r="AM96" s="163"/>
      <c r="AN96" s="130"/>
      <c r="AO96" s="130"/>
      <c r="AP96" s="130"/>
      <c r="AQ96" s="130"/>
      <c r="AR96" s="130"/>
      <c r="AS96" s="130"/>
      <c r="AT96" s="130"/>
    </row>
    <row r="97" ht="13.5" customHeight="1">
      <c r="A97" s="130" t="s">
        <v>304</v>
      </c>
      <c r="B97" s="130" t="s">
        <v>305</v>
      </c>
      <c r="C97" s="170" t="s">
        <v>21</v>
      </c>
      <c r="D97" s="163"/>
      <c r="E97" s="163">
        <v>3.0</v>
      </c>
      <c r="F97" s="163">
        <v>3.0</v>
      </c>
      <c r="G97" s="163">
        <v>2.0</v>
      </c>
      <c r="H97" s="163">
        <v>2.0</v>
      </c>
      <c r="I97" s="163">
        <v>3.0</v>
      </c>
      <c r="J97" s="163">
        <v>3.0</v>
      </c>
      <c r="K97" s="130"/>
      <c r="L97" s="163">
        <f t="shared" ref="L97:O97" si="117">IF(E97&gt;U97,0,1)</f>
        <v>0</v>
      </c>
      <c r="M97" s="163">
        <f t="shared" si="117"/>
        <v>0</v>
      </c>
      <c r="N97" s="163">
        <f t="shared" si="117"/>
        <v>0</v>
      </c>
      <c r="O97" s="163">
        <f t="shared" si="117"/>
        <v>0</v>
      </c>
      <c r="P97" s="163">
        <f t="shared" si="107"/>
        <v>0</v>
      </c>
      <c r="Q97" s="163">
        <f t="shared" si="108"/>
        <v>0</v>
      </c>
      <c r="R97" s="130"/>
      <c r="S97" s="163">
        <f t="shared" si="109"/>
        <v>0</v>
      </c>
      <c r="T97" s="163"/>
      <c r="U97" s="163">
        <f>'計分版'!E$14</f>
        <v>0.0000000001</v>
      </c>
      <c r="V97" s="163">
        <f>'計分版'!F$14</f>
        <v>0.0000000002</v>
      </c>
      <c r="W97" s="163">
        <f>'計分版'!G$14</f>
        <v>0.0000000003</v>
      </c>
      <c r="X97" s="163">
        <f>'計分版'!H$14</f>
        <v>0.0000000004</v>
      </c>
      <c r="Y97" s="163">
        <f>'計分版'!I$14</f>
        <v>0.0000000005</v>
      </c>
      <c r="Z97" s="163">
        <f>'計分版'!J$14</f>
        <v>0</v>
      </c>
      <c r="AA97" s="163">
        <f>'計分版'!K$14</f>
        <v>0</v>
      </c>
      <c r="AB97" s="163">
        <f>'計分版'!L$14</f>
        <v>0</v>
      </c>
      <c r="AC97" s="163">
        <f>'計分版'!M$14</f>
        <v>0</v>
      </c>
      <c r="AD97" s="163">
        <f>'計分版'!N$14</f>
        <v>0</v>
      </c>
      <c r="AE97" s="163"/>
      <c r="AF97" s="163" t="s">
        <v>1065</v>
      </c>
      <c r="AG97" s="163" t="s">
        <v>166</v>
      </c>
      <c r="AH97" s="163"/>
      <c r="AI97" s="163"/>
      <c r="AJ97" s="163"/>
      <c r="AK97" s="163"/>
      <c r="AL97" s="163"/>
      <c r="AM97" s="163"/>
      <c r="AN97" s="130"/>
      <c r="AO97" s="130"/>
      <c r="AP97" s="130"/>
      <c r="AQ97" s="130"/>
      <c r="AR97" s="130"/>
      <c r="AS97" s="130"/>
      <c r="AT97" s="130"/>
    </row>
    <row r="98" ht="13.5" customHeight="1">
      <c r="A98" s="130" t="s">
        <v>306</v>
      </c>
      <c r="B98" s="130" t="s">
        <v>307</v>
      </c>
      <c r="C98" s="170" t="s">
        <v>21</v>
      </c>
      <c r="D98" s="163"/>
      <c r="E98" s="163">
        <v>3.0</v>
      </c>
      <c r="F98" s="163">
        <v>3.0</v>
      </c>
      <c r="G98" s="163">
        <v>2.0</v>
      </c>
      <c r="H98" s="163">
        <v>2.0</v>
      </c>
      <c r="I98" s="163">
        <v>3.0</v>
      </c>
      <c r="J98" s="163">
        <v>3.0</v>
      </c>
      <c r="K98" s="130"/>
      <c r="L98" s="163">
        <f t="shared" ref="L98:O98" si="118">IF(E98&gt;U98,0,1)</f>
        <v>0</v>
      </c>
      <c r="M98" s="163">
        <f t="shared" si="118"/>
        <v>0</v>
      </c>
      <c r="N98" s="163">
        <f t="shared" si="118"/>
        <v>0</v>
      </c>
      <c r="O98" s="163">
        <f t="shared" si="118"/>
        <v>0</v>
      </c>
      <c r="P98" s="163">
        <f t="shared" si="107"/>
        <v>0</v>
      </c>
      <c r="Q98" s="163">
        <f t="shared" si="108"/>
        <v>0</v>
      </c>
      <c r="R98" s="130"/>
      <c r="S98" s="163">
        <f t="shared" si="109"/>
        <v>0</v>
      </c>
      <c r="T98" s="163"/>
      <c r="U98" s="163">
        <f>'計分版'!E$14</f>
        <v>0.0000000001</v>
      </c>
      <c r="V98" s="163">
        <f>'計分版'!F$14</f>
        <v>0.0000000002</v>
      </c>
      <c r="W98" s="163">
        <f>'計分版'!G$14</f>
        <v>0.0000000003</v>
      </c>
      <c r="X98" s="163">
        <f>'計分版'!H$14</f>
        <v>0.0000000004</v>
      </c>
      <c r="Y98" s="163">
        <f>'計分版'!I$14</f>
        <v>0.0000000005</v>
      </c>
      <c r="Z98" s="163">
        <f>'計分版'!J$14</f>
        <v>0</v>
      </c>
      <c r="AA98" s="163">
        <f>'計分版'!K$14</f>
        <v>0</v>
      </c>
      <c r="AB98" s="163">
        <f>'計分版'!L$14</f>
        <v>0</v>
      </c>
      <c r="AC98" s="163">
        <f>'計分版'!M$14</f>
        <v>0</v>
      </c>
      <c r="AD98" s="163">
        <f>'計分版'!N$14</f>
        <v>0</v>
      </c>
      <c r="AE98" s="163"/>
      <c r="AF98" s="163" t="s">
        <v>1065</v>
      </c>
      <c r="AG98" s="163" t="s">
        <v>166</v>
      </c>
      <c r="AH98" s="163"/>
      <c r="AI98" s="163"/>
      <c r="AJ98" s="163"/>
      <c r="AK98" s="163"/>
      <c r="AL98" s="163"/>
      <c r="AM98" s="163"/>
      <c r="AN98" s="130"/>
      <c r="AO98" s="130"/>
      <c r="AP98" s="130"/>
      <c r="AQ98" s="130"/>
      <c r="AR98" s="130"/>
      <c r="AS98" s="130"/>
      <c r="AT98" s="130"/>
    </row>
    <row r="99" ht="13.5" customHeight="1">
      <c r="A99" s="130" t="s">
        <v>308</v>
      </c>
      <c r="B99" s="130" t="s">
        <v>309</v>
      </c>
      <c r="C99" s="170" t="s">
        <v>21</v>
      </c>
      <c r="D99" s="163"/>
      <c r="E99" s="163">
        <v>3.0</v>
      </c>
      <c r="F99" s="163">
        <v>3.0</v>
      </c>
      <c r="G99" s="163">
        <v>2.0</v>
      </c>
      <c r="H99" s="163">
        <v>2.0</v>
      </c>
      <c r="I99" s="163">
        <v>3.0</v>
      </c>
      <c r="J99" s="163">
        <v>3.0</v>
      </c>
      <c r="K99" s="130"/>
      <c r="L99" s="163">
        <f t="shared" ref="L99:O99" si="119">IF(E99&gt;U99,0,1)</f>
        <v>0</v>
      </c>
      <c r="M99" s="163">
        <f t="shared" si="119"/>
        <v>0</v>
      </c>
      <c r="N99" s="163">
        <f t="shared" si="119"/>
        <v>0</v>
      </c>
      <c r="O99" s="163">
        <f t="shared" si="119"/>
        <v>0</v>
      </c>
      <c r="P99" s="163">
        <f t="shared" si="107"/>
        <v>0</v>
      </c>
      <c r="Q99" s="163">
        <f t="shared" si="108"/>
        <v>0</v>
      </c>
      <c r="R99" s="130"/>
      <c r="S99" s="163">
        <f t="shared" si="109"/>
        <v>0</v>
      </c>
      <c r="T99" s="163"/>
      <c r="U99" s="163">
        <f>'計分版'!E$14</f>
        <v>0.0000000001</v>
      </c>
      <c r="V99" s="163">
        <f>'計分版'!F$14</f>
        <v>0.0000000002</v>
      </c>
      <c r="W99" s="163">
        <f>'計分版'!G$14</f>
        <v>0.0000000003</v>
      </c>
      <c r="X99" s="163">
        <f>'計分版'!H$14</f>
        <v>0.0000000004</v>
      </c>
      <c r="Y99" s="163">
        <f>'計分版'!I$14</f>
        <v>0.0000000005</v>
      </c>
      <c r="Z99" s="163">
        <f>'計分版'!J$14</f>
        <v>0</v>
      </c>
      <c r="AA99" s="163">
        <f>'計分版'!K$14</f>
        <v>0</v>
      </c>
      <c r="AB99" s="163">
        <f>'計分版'!L$14</f>
        <v>0</v>
      </c>
      <c r="AC99" s="163">
        <f>'計分版'!M$14</f>
        <v>0</v>
      </c>
      <c r="AD99" s="163">
        <f>'計分版'!N$14</f>
        <v>0</v>
      </c>
      <c r="AE99" s="163"/>
      <c r="AF99" s="163" t="s">
        <v>1065</v>
      </c>
      <c r="AG99" s="163" t="s">
        <v>166</v>
      </c>
      <c r="AH99" s="163"/>
      <c r="AI99" s="163"/>
      <c r="AJ99" s="163"/>
      <c r="AK99" s="163"/>
      <c r="AL99" s="163"/>
      <c r="AM99" s="163"/>
      <c r="AN99" s="130"/>
      <c r="AO99" s="130"/>
      <c r="AP99" s="130"/>
      <c r="AQ99" s="130"/>
      <c r="AR99" s="130"/>
      <c r="AS99" s="130"/>
      <c r="AT99" s="130"/>
    </row>
    <row r="100" ht="13.5" customHeight="1">
      <c r="A100" s="130" t="s">
        <v>310</v>
      </c>
      <c r="B100" s="130" t="s">
        <v>311</v>
      </c>
      <c r="C100" s="170" t="s">
        <v>21</v>
      </c>
      <c r="D100" s="163"/>
      <c r="E100" s="163">
        <v>3.0</v>
      </c>
      <c r="F100" s="163">
        <v>3.0</v>
      </c>
      <c r="G100" s="163">
        <v>2.0</v>
      </c>
      <c r="H100" s="163">
        <v>2.0</v>
      </c>
      <c r="I100" s="163">
        <v>3.0</v>
      </c>
      <c r="J100" s="163">
        <v>3.0</v>
      </c>
      <c r="K100" s="130"/>
      <c r="L100" s="163">
        <f t="shared" ref="L100:O100" si="120">IF(E100&gt;U100,0,1)</f>
        <v>0</v>
      </c>
      <c r="M100" s="163">
        <f t="shared" si="120"/>
        <v>0</v>
      </c>
      <c r="N100" s="163">
        <f t="shared" si="120"/>
        <v>0</v>
      </c>
      <c r="O100" s="163">
        <f t="shared" si="120"/>
        <v>0</v>
      </c>
      <c r="P100" s="163">
        <f t="shared" si="107"/>
        <v>0</v>
      </c>
      <c r="Q100" s="163">
        <f t="shared" si="108"/>
        <v>0</v>
      </c>
      <c r="R100" s="130"/>
      <c r="S100" s="163">
        <f t="shared" si="109"/>
        <v>0</v>
      </c>
      <c r="T100" s="163"/>
      <c r="U100" s="163">
        <f>'計分版'!E$14</f>
        <v>0.0000000001</v>
      </c>
      <c r="V100" s="163">
        <f>'計分版'!F$14</f>
        <v>0.0000000002</v>
      </c>
      <c r="W100" s="163">
        <f>'計分版'!G$14</f>
        <v>0.0000000003</v>
      </c>
      <c r="X100" s="163">
        <f>'計分版'!H$14</f>
        <v>0.0000000004</v>
      </c>
      <c r="Y100" s="163">
        <f>'計分版'!I$14</f>
        <v>0.0000000005</v>
      </c>
      <c r="Z100" s="163">
        <f>'計分版'!J$14</f>
        <v>0</v>
      </c>
      <c r="AA100" s="163">
        <f>'計分版'!K$14</f>
        <v>0</v>
      </c>
      <c r="AB100" s="163">
        <f>'計分版'!L$14</f>
        <v>0</v>
      </c>
      <c r="AC100" s="163">
        <f>'計分版'!M$14</f>
        <v>0</v>
      </c>
      <c r="AD100" s="163">
        <f>'計分版'!N$14</f>
        <v>0</v>
      </c>
      <c r="AE100" s="163"/>
      <c r="AF100" s="163" t="s">
        <v>1065</v>
      </c>
      <c r="AG100" s="163" t="s">
        <v>166</v>
      </c>
      <c r="AH100" s="163"/>
      <c r="AI100" s="163"/>
      <c r="AJ100" s="163"/>
      <c r="AK100" s="163"/>
      <c r="AL100" s="163"/>
      <c r="AM100" s="163"/>
      <c r="AN100" s="130"/>
      <c r="AO100" s="130"/>
      <c r="AP100" s="130"/>
      <c r="AQ100" s="130"/>
      <c r="AR100" s="130"/>
      <c r="AS100" s="130"/>
      <c r="AT100" s="130"/>
    </row>
    <row r="101" ht="13.5" customHeight="1">
      <c r="A101" s="130" t="s">
        <v>312</v>
      </c>
      <c r="B101" s="130" t="s">
        <v>313</v>
      </c>
      <c r="C101" s="170" t="s">
        <v>21</v>
      </c>
      <c r="D101" s="163"/>
      <c r="E101" s="163">
        <v>3.0</v>
      </c>
      <c r="F101" s="163">
        <v>3.0</v>
      </c>
      <c r="G101" s="163">
        <v>2.0</v>
      </c>
      <c r="H101" s="163">
        <v>2.0</v>
      </c>
      <c r="I101" s="163">
        <v>3.0</v>
      </c>
      <c r="J101" s="163">
        <v>3.0</v>
      </c>
      <c r="K101" s="130"/>
      <c r="L101" s="163">
        <f t="shared" ref="L101:O101" si="121">IF(E101&gt;U101,0,1)</f>
        <v>0</v>
      </c>
      <c r="M101" s="163">
        <f t="shared" si="121"/>
        <v>0</v>
      </c>
      <c r="N101" s="163">
        <f t="shared" si="121"/>
        <v>0</v>
      </c>
      <c r="O101" s="163">
        <f t="shared" si="121"/>
        <v>0</v>
      </c>
      <c r="P101" s="163">
        <f t="shared" si="107"/>
        <v>0</v>
      </c>
      <c r="Q101" s="163">
        <f t="shared" si="108"/>
        <v>0</v>
      </c>
      <c r="R101" s="130"/>
      <c r="S101" s="163">
        <f t="shared" si="109"/>
        <v>0</v>
      </c>
      <c r="T101" s="163"/>
      <c r="U101" s="163">
        <f>'計分版'!E$14</f>
        <v>0.0000000001</v>
      </c>
      <c r="V101" s="163">
        <f>'計分版'!F$14</f>
        <v>0.0000000002</v>
      </c>
      <c r="W101" s="163">
        <f>'計分版'!G$14</f>
        <v>0.0000000003</v>
      </c>
      <c r="X101" s="163">
        <f>'計分版'!H$14</f>
        <v>0.0000000004</v>
      </c>
      <c r="Y101" s="163">
        <f>'計分版'!I$14</f>
        <v>0.0000000005</v>
      </c>
      <c r="Z101" s="163">
        <f>'計分版'!J$14</f>
        <v>0</v>
      </c>
      <c r="AA101" s="163">
        <f>'計分版'!K$14</f>
        <v>0</v>
      </c>
      <c r="AB101" s="163">
        <f>'計分版'!L$14</f>
        <v>0</v>
      </c>
      <c r="AC101" s="163">
        <f>'計分版'!M$14</f>
        <v>0</v>
      </c>
      <c r="AD101" s="163">
        <f>'計分版'!N$14</f>
        <v>0</v>
      </c>
      <c r="AE101" s="163"/>
      <c r="AF101" s="163" t="s">
        <v>1065</v>
      </c>
      <c r="AG101" s="163" t="s">
        <v>166</v>
      </c>
      <c r="AH101" s="163"/>
      <c r="AI101" s="163"/>
      <c r="AJ101" s="163"/>
      <c r="AK101" s="163"/>
      <c r="AL101" s="163"/>
      <c r="AM101" s="163"/>
      <c r="AN101" s="130"/>
      <c r="AO101" s="130"/>
      <c r="AP101" s="130"/>
      <c r="AQ101" s="130"/>
      <c r="AR101" s="130"/>
      <c r="AS101" s="130"/>
      <c r="AT101" s="130"/>
    </row>
    <row r="102" ht="13.5" customHeight="1">
      <c r="A102" s="130" t="s">
        <v>314</v>
      </c>
      <c r="B102" s="130" t="s">
        <v>315</v>
      </c>
      <c r="C102" s="170" t="s">
        <v>21</v>
      </c>
      <c r="D102" s="163"/>
      <c r="E102" s="163">
        <v>3.0</v>
      </c>
      <c r="F102" s="163">
        <v>3.0</v>
      </c>
      <c r="G102" s="163">
        <v>2.0</v>
      </c>
      <c r="H102" s="163">
        <v>2.0</v>
      </c>
      <c r="I102" s="163">
        <v>3.0</v>
      </c>
      <c r="J102" s="163">
        <v>3.0</v>
      </c>
      <c r="K102" s="130"/>
      <c r="L102" s="163">
        <f t="shared" ref="L102:O102" si="122">IF(E102&gt;U102,0,1)</f>
        <v>0</v>
      </c>
      <c r="M102" s="163">
        <f t="shared" si="122"/>
        <v>0</v>
      </c>
      <c r="N102" s="163">
        <f t="shared" si="122"/>
        <v>0</v>
      </c>
      <c r="O102" s="163">
        <f t="shared" si="122"/>
        <v>0</v>
      </c>
      <c r="P102" s="163">
        <f t="shared" si="107"/>
        <v>0</v>
      </c>
      <c r="Q102" s="163">
        <f t="shared" si="108"/>
        <v>0</v>
      </c>
      <c r="R102" s="130"/>
      <c r="S102" s="163">
        <f t="shared" si="109"/>
        <v>0</v>
      </c>
      <c r="T102" s="163"/>
      <c r="U102" s="163">
        <f>'計分版'!E$14</f>
        <v>0.0000000001</v>
      </c>
      <c r="V102" s="163">
        <f>'計分版'!F$14</f>
        <v>0.0000000002</v>
      </c>
      <c r="W102" s="163">
        <f>'計分版'!G$14</f>
        <v>0.0000000003</v>
      </c>
      <c r="X102" s="163">
        <f>'計分版'!H$14</f>
        <v>0.0000000004</v>
      </c>
      <c r="Y102" s="163">
        <f>'計分版'!I$14</f>
        <v>0.0000000005</v>
      </c>
      <c r="Z102" s="163">
        <f>'計分版'!J$14</f>
        <v>0</v>
      </c>
      <c r="AA102" s="163">
        <f>'計分版'!K$14</f>
        <v>0</v>
      </c>
      <c r="AB102" s="163">
        <f>'計分版'!L$14</f>
        <v>0</v>
      </c>
      <c r="AC102" s="163">
        <f>'計分版'!M$14</f>
        <v>0</v>
      </c>
      <c r="AD102" s="163">
        <f>'計分版'!N$14</f>
        <v>0</v>
      </c>
      <c r="AE102" s="163"/>
      <c r="AF102" s="163" t="s">
        <v>1065</v>
      </c>
      <c r="AG102" s="163" t="s">
        <v>166</v>
      </c>
      <c r="AH102" s="163"/>
      <c r="AI102" s="163"/>
      <c r="AJ102" s="163"/>
      <c r="AK102" s="163"/>
      <c r="AL102" s="163"/>
      <c r="AM102" s="163"/>
      <c r="AN102" s="130"/>
      <c r="AO102" s="130"/>
      <c r="AP102" s="130"/>
      <c r="AQ102" s="130"/>
      <c r="AR102" s="130"/>
      <c r="AS102" s="130"/>
      <c r="AT102" s="130"/>
    </row>
    <row r="103" ht="13.5" customHeight="1">
      <c r="A103" s="130" t="s">
        <v>316</v>
      </c>
      <c r="B103" s="130" t="s">
        <v>317</v>
      </c>
      <c r="C103" s="170" t="s">
        <v>21</v>
      </c>
      <c r="D103" s="163"/>
      <c r="E103" s="163">
        <v>3.0</v>
      </c>
      <c r="F103" s="163">
        <v>3.0</v>
      </c>
      <c r="G103" s="163">
        <v>2.0</v>
      </c>
      <c r="H103" s="163">
        <v>2.0</v>
      </c>
      <c r="I103" s="163">
        <v>3.0</v>
      </c>
      <c r="J103" s="163">
        <v>3.0</v>
      </c>
      <c r="K103" s="130"/>
      <c r="L103" s="163">
        <f t="shared" ref="L103:O103" si="123">IF(E103&gt;U103,0,1)</f>
        <v>0</v>
      </c>
      <c r="M103" s="163">
        <f t="shared" si="123"/>
        <v>0</v>
      </c>
      <c r="N103" s="163">
        <f t="shared" si="123"/>
        <v>0</v>
      </c>
      <c r="O103" s="163">
        <f t="shared" si="123"/>
        <v>0</v>
      </c>
      <c r="P103" s="163">
        <f t="shared" si="107"/>
        <v>0</v>
      </c>
      <c r="Q103" s="163">
        <f t="shared" si="108"/>
        <v>0</v>
      </c>
      <c r="R103" s="130"/>
      <c r="S103" s="163">
        <f t="shared" si="109"/>
        <v>0</v>
      </c>
      <c r="T103" s="163"/>
      <c r="U103" s="163">
        <f>'計分版'!E$14</f>
        <v>0.0000000001</v>
      </c>
      <c r="V103" s="163">
        <f>'計分版'!F$14</f>
        <v>0.0000000002</v>
      </c>
      <c r="W103" s="163">
        <f>'計分版'!G$14</f>
        <v>0.0000000003</v>
      </c>
      <c r="X103" s="163">
        <f>'計分版'!H$14</f>
        <v>0.0000000004</v>
      </c>
      <c r="Y103" s="163">
        <f>'計分版'!I$14</f>
        <v>0.0000000005</v>
      </c>
      <c r="Z103" s="163">
        <f>'計分版'!J$14</f>
        <v>0</v>
      </c>
      <c r="AA103" s="163">
        <f>'計分版'!K$14</f>
        <v>0</v>
      </c>
      <c r="AB103" s="163">
        <f>'計分版'!L$14</f>
        <v>0</v>
      </c>
      <c r="AC103" s="163">
        <f>'計分版'!M$14</f>
        <v>0</v>
      </c>
      <c r="AD103" s="163">
        <f>'計分版'!N$14</f>
        <v>0</v>
      </c>
      <c r="AE103" s="163"/>
      <c r="AF103" s="163" t="s">
        <v>1065</v>
      </c>
      <c r="AG103" s="163" t="s">
        <v>166</v>
      </c>
      <c r="AH103" s="163"/>
      <c r="AI103" s="163"/>
      <c r="AJ103" s="163"/>
      <c r="AK103" s="163"/>
      <c r="AL103" s="163"/>
      <c r="AM103" s="163"/>
      <c r="AN103" s="130"/>
      <c r="AO103" s="130"/>
      <c r="AP103" s="130"/>
      <c r="AQ103" s="130"/>
      <c r="AR103" s="130"/>
      <c r="AS103" s="130"/>
      <c r="AT103" s="130"/>
    </row>
    <row r="104" ht="13.5" customHeight="1">
      <c r="A104" s="130" t="s">
        <v>318</v>
      </c>
      <c r="B104" s="130" t="s">
        <v>319</v>
      </c>
      <c r="C104" s="170" t="s">
        <v>21</v>
      </c>
      <c r="D104" s="163"/>
      <c r="E104" s="163">
        <v>3.0</v>
      </c>
      <c r="F104" s="163">
        <v>3.0</v>
      </c>
      <c r="G104" s="163">
        <v>2.0</v>
      </c>
      <c r="H104" s="163">
        <v>2.0</v>
      </c>
      <c r="I104" s="163">
        <v>3.0</v>
      </c>
      <c r="J104" s="163">
        <v>3.0</v>
      </c>
      <c r="K104" s="130"/>
      <c r="L104" s="163">
        <f t="shared" ref="L104:O104" si="124">IF(E104&gt;U104,0,1)</f>
        <v>0</v>
      </c>
      <c r="M104" s="163">
        <f t="shared" si="124"/>
        <v>0</v>
      </c>
      <c r="N104" s="163">
        <f t="shared" si="124"/>
        <v>0</v>
      </c>
      <c r="O104" s="163">
        <f t="shared" si="124"/>
        <v>0</v>
      </c>
      <c r="P104" s="163">
        <f t="shared" si="107"/>
        <v>0</v>
      </c>
      <c r="Q104" s="163">
        <f t="shared" si="108"/>
        <v>0</v>
      </c>
      <c r="R104" s="130"/>
      <c r="S104" s="163">
        <f t="shared" si="109"/>
        <v>0</v>
      </c>
      <c r="T104" s="163"/>
      <c r="U104" s="163">
        <f>'計分版'!E$14</f>
        <v>0.0000000001</v>
      </c>
      <c r="V104" s="163">
        <f>'計分版'!F$14</f>
        <v>0.0000000002</v>
      </c>
      <c r="W104" s="163">
        <f>'計分版'!G$14</f>
        <v>0.0000000003</v>
      </c>
      <c r="X104" s="163">
        <f>'計分版'!H$14</f>
        <v>0.0000000004</v>
      </c>
      <c r="Y104" s="163">
        <f>'計分版'!I$14</f>
        <v>0.0000000005</v>
      </c>
      <c r="Z104" s="163">
        <f>'計分版'!J$14</f>
        <v>0</v>
      </c>
      <c r="AA104" s="163">
        <f>'計分版'!K$14</f>
        <v>0</v>
      </c>
      <c r="AB104" s="163">
        <f>'計分版'!L$14</f>
        <v>0</v>
      </c>
      <c r="AC104" s="163">
        <f>'計分版'!M$14</f>
        <v>0</v>
      </c>
      <c r="AD104" s="163">
        <f>'計分版'!N$14</f>
        <v>0</v>
      </c>
      <c r="AE104" s="163"/>
      <c r="AF104" s="163" t="s">
        <v>1065</v>
      </c>
      <c r="AG104" s="163" t="s">
        <v>166</v>
      </c>
      <c r="AH104" s="163"/>
      <c r="AI104" s="163"/>
      <c r="AJ104" s="163"/>
      <c r="AK104" s="163"/>
      <c r="AL104" s="163"/>
      <c r="AM104" s="163"/>
      <c r="AN104" s="130"/>
      <c r="AO104" s="130"/>
      <c r="AP104" s="130"/>
      <c r="AQ104" s="130"/>
      <c r="AR104" s="130"/>
      <c r="AS104" s="130"/>
      <c r="AT104" s="130"/>
    </row>
    <row r="105" ht="13.5" customHeight="1">
      <c r="A105" s="130" t="s">
        <v>320</v>
      </c>
      <c r="B105" s="130" t="s">
        <v>321</v>
      </c>
      <c r="C105" s="170" t="s">
        <v>24</v>
      </c>
      <c r="D105" s="163"/>
      <c r="E105" s="163">
        <v>3.0</v>
      </c>
      <c r="F105" s="163">
        <v>3.0</v>
      </c>
      <c r="G105" s="163">
        <v>2.0</v>
      </c>
      <c r="H105" s="163">
        <v>2.0</v>
      </c>
      <c r="I105" s="163">
        <v>3.0</v>
      </c>
      <c r="J105" s="163">
        <v>3.0</v>
      </c>
      <c r="K105" s="130"/>
      <c r="L105" s="163">
        <f t="shared" ref="L105:O105" si="125">IF(E105&gt;U105,0,1)</f>
        <v>0</v>
      </c>
      <c r="M105" s="163">
        <f t="shared" si="125"/>
        <v>0</v>
      </c>
      <c r="N105" s="163">
        <f t="shared" si="125"/>
        <v>0</v>
      </c>
      <c r="O105" s="163">
        <f t="shared" si="125"/>
        <v>0</v>
      </c>
      <c r="P105" s="163">
        <f t="shared" si="107"/>
        <v>0</v>
      </c>
      <c r="Q105" s="163">
        <f t="shared" si="108"/>
        <v>0</v>
      </c>
      <c r="R105" s="130"/>
      <c r="S105" s="163">
        <f t="shared" si="109"/>
        <v>0</v>
      </c>
      <c r="T105" s="163"/>
      <c r="U105" s="163">
        <f>'計分版'!E$14</f>
        <v>0.0000000001</v>
      </c>
      <c r="V105" s="163">
        <f>'計分版'!F$14</f>
        <v>0.0000000002</v>
      </c>
      <c r="W105" s="163">
        <f>'計分版'!G$14</f>
        <v>0.0000000003</v>
      </c>
      <c r="X105" s="163">
        <f>'計分版'!H$14</f>
        <v>0.0000000004</v>
      </c>
      <c r="Y105" s="163">
        <f>'計分版'!I$14</f>
        <v>0.0000000005</v>
      </c>
      <c r="Z105" s="163">
        <f>'計分版'!J$14</f>
        <v>0</v>
      </c>
      <c r="AA105" s="163">
        <f>'計分版'!K$14</f>
        <v>0</v>
      </c>
      <c r="AB105" s="163">
        <f>'計分版'!L$14</f>
        <v>0</v>
      </c>
      <c r="AC105" s="163">
        <f>'計分版'!M$14</f>
        <v>0</v>
      </c>
      <c r="AD105" s="163">
        <f>'計分版'!N$14</f>
        <v>0</v>
      </c>
      <c r="AE105" s="163"/>
      <c r="AF105" s="163" t="s">
        <v>1065</v>
      </c>
      <c r="AG105" s="163" t="s">
        <v>166</v>
      </c>
      <c r="AH105" s="163"/>
      <c r="AI105" s="163"/>
      <c r="AJ105" s="163"/>
      <c r="AK105" s="163"/>
      <c r="AL105" s="163"/>
      <c r="AM105" s="163"/>
      <c r="AN105" s="130"/>
      <c r="AO105" s="130"/>
      <c r="AP105" s="130"/>
      <c r="AQ105" s="130"/>
      <c r="AR105" s="130"/>
      <c r="AS105" s="130"/>
      <c r="AT105" s="130"/>
    </row>
    <row r="106" ht="13.5" customHeight="1">
      <c r="A106" s="130" t="s">
        <v>322</v>
      </c>
      <c r="B106" s="130" t="s">
        <v>323</v>
      </c>
      <c r="C106" s="170" t="s">
        <v>24</v>
      </c>
      <c r="D106" s="163"/>
      <c r="E106" s="163">
        <v>3.0</v>
      </c>
      <c r="F106" s="163">
        <v>3.0</v>
      </c>
      <c r="G106" s="163">
        <v>2.0</v>
      </c>
      <c r="H106" s="163">
        <v>2.0</v>
      </c>
      <c r="I106" s="163">
        <v>3.0</v>
      </c>
      <c r="J106" s="163">
        <v>3.0</v>
      </c>
      <c r="K106" s="130"/>
      <c r="L106" s="163">
        <f t="shared" ref="L106:O106" si="126">IF(E106&gt;U106,0,1)</f>
        <v>0</v>
      </c>
      <c r="M106" s="163">
        <f t="shared" si="126"/>
        <v>0</v>
      </c>
      <c r="N106" s="163">
        <f t="shared" si="126"/>
        <v>0</v>
      </c>
      <c r="O106" s="163">
        <f t="shared" si="126"/>
        <v>0</v>
      </c>
      <c r="P106" s="163">
        <f t="shared" si="107"/>
        <v>0</v>
      </c>
      <c r="Q106" s="163">
        <f t="shared" si="108"/>
        <v>0</v>
      </c>
      <c r="R106" s="130"/>
      <c r="S106" s="163">
        <f t="shared" si="109"/>
        <v>0</v>
      </c>
      <c r="T106" s="163"/>
      <c r="U106" s="163">
        <f>'計分版'!E$14</f>
        <v>0.0000000001</v>
      </c>
      <c r="V106" s="163">
        <f>'計分版'!F$14</f>
        <v>0.0000000002</v>
      </c>
      <c r="W106" s="163">
        <f>'計分版'!G$14</f>
        <v>0.0000000003</v>
      </c>
      <c r="X106" s="163">
        <f>'計分版'!H$14</f>
        <v>0.0000000004</v>
      </c>
      <c r="Y106" s="163">
        <f>'計分版'!I$14</f>
        <v>0.0000000005</v>
      </c>
      <c r="Z106" s="163">
        <f>'計分版'!J$14</f>
        <v>0</v>
      </c>
      <c r="AA106" s="163">
        <f>'計分版'!K$14</f>
        <v>0</v>
      </c>
      <c r="AB106" s="163">
        <f>'計分版'!L$14</f>
        <v>0</v>
      </c>
      <c r="AC106" s="163">
        <f>'計分版'!M$14</f>
        <v>0</v>
      </c>
      <c r="AD106" s="163">
        <f>'計分版'!N$14</f>
        <v>0</v>
      </c>
      <c r="AE106" s="163"/>
      <c r="AF106" s="163" t="s">
        <v>1065</v>
      </c>
      <c r="AG106" s="163" t="s">
        <v>166</v>
      </c>
      <c r="AH106" s="163"/>
      <c r="AI106" s="163"/>
      <c r="AJ106" s="163"/>
      <c r="AK106" s="163"/>
      <c r="AL106" s="163"/>
      <c r="AM106" s="163"/>
      <c r="AN106" s="130"/>
      <c r="AO106" s="130"/>
      <c r="AP106" s="130"/>
      <c r="AQ106" s="130"/>
      <c r="AR106" s="130"/>
      <c r="AS106" s="130"/>
      <c r="AT106" s="130"/>
    </row>
    <row r="107" ht="13.5" customHeight="1">
      <c r="A107" s="130" t="s">
        <v>324</v>
      </c>
      <c r="B107" s="130" t="s">
        <v>325</v>
      </c>
      <c r="C107" s="170" t="s">
        <v>24</v>
      </c>
      <c r="D107" s="163"/>
      <c r="E107" s="163">
        <v>3.0</v>
      </c>
      <c r="F107" s="163">
        <v>3.0</v>
      </c>
      <c r="G107" s="163">
        <v>2.0</v>
      </c>
      <c r="H107" s="163">
        <v>2.0</v>
      </c>
      <c r="I107" s="163">
        <v>3.0</v>
      </c>
      <c r="J107" s="163">
        <v>3.0</v>
      </c>
      <c r="K107" s="130"/>
      <c r="L107" s="163">
        <f t="shared" ref="L107:O107" si="127">IF(E107&gt;U107,0,1)</f>
        <v>0</v>
      </c>
      <c r="M107" s="163">
        <f t="shared" si="127"/>
        <v>0</v>
      </c>
      <c r="N107" s="163">
        <f t="shared" si="127"/>
        <v>0</v>
      </c>
      <c r="O107" s="163">
        <f t="shared" si="127"/>
        <v>0</v>
      </c>
      <c r="P107" s="163">
        <f t="shared" si="107"/>
        <v>0</v>
      </c>
      <c r="Q107" s="163">
        <f t="shared" si="108"/>
        <v>0</v>
      </c>
      <c r="R107" s="130"/>
      <c r="S107" s="163">
        <f t="shared" si="109"/>
        <v>0</v>
      </c>
      <c r="T107" s="163"/>
      <c r="U107" s="163">
        <f>'計分版'!E$14</f>
        <v>0.0000000001</v>
      </c>
      <c r="V107" s="163">
        <f>'計分版'!F$14</f>
        <v>0.0000000002</v>
      </c>
      <c r="W107" s="163">
        <f>'計分版'!G$14</f>
        <v>0.0000000003</v>
      </c>
      <c r="X107" s="163">
        <f>'計分版'!H$14</f>
        <v>0.0000000004</v>
      </c>
      <c r="Y107" s="163">
        <f>'計分版'!I$14</f>
        <v>0.0000000005</v>
      </c>
      <c r="Z107" s="163">
        <f>'計分版'!J$14</f>
        <v>0</v>
      </c>
      <c r="AA107" s="163">
        <f>'計分版'!K$14</f>
        <v>0</v>
      </c>
      <c r="AB107" s="163">
        <f>'計分版'!L$14</f>
        <v>0</v>
      </c>
      <c r="AC107" s="163">
        <f>'計分版'!M$14</f>
        <v>0</v>
      </c>
      <c r="AD107" s="163">
        <f>'計分版'!N$14</f>
        <v>0</v>
      </c>
      <c r="AE107" s="163"/>
      <c r="AF107" s="163" t="s">
        <v>1065</v>
      </c>
      <c r="AG107" s="163" t="s">
        <v>166</v>
      </c>
      <c r="AH107" s="163"/>
      <c r="AI107" s="163"/>
      <c r="AJ107" s="163"/>
      <c r="AK107" s="163"/>
      <c r="AL107" s="163"/>
      <c r="AM107" s="163"/>
      <c r="AN107" s="130"/>
      <c r="AO107" s="130"/>
      <c r="AP107" s="130"/>
      <c r="AQ107" s="130"/>
      <c r="AR107" s="130"/>
      <c r="AS107" s="130"/>
      <c r="AT107" s="130"/>
    </row>
    <row r="108" ht="13.5" customHeight="1">
      <c r="A108" s="130" t="s">
        <v>326</v>
      </c>
      <c r="B108" s="130" t="s">
        <v>327</v>
      </c>
      <c r="C108" s="170" t="s">
        <v>191</v>
      </c>
      <c r="D108" s="163"/>
      <c r="E108" s="163">
        <v>3.0</v>
      </c>
      <c r="F108" s="163">
        <v>3.0</v>
      </c>
      <c r="G108" s="163">
        <v>2.0</v>
      </c>
      <c r="H108" s="163">
        <v>2.0</v>
      </c>
      <c r="I108" s="163">
        <v>3.0</v>
      </c>
      <c r="J108" s="163">
        <v>3.0</v>
      </c>
      <c r="K108" s="130"/>
      <c r="L108" s="163">
        <f t="shared" ref="L108:O108" si="128">IF(E108&gt;U108,0,1)</f>
        <v>0</v>
      </c>
      <c r="M108" s="163">
        <f t="shared" si="128"/>
        <v>0</v>
      </c>
      <c r="N108" s="163">
        <f t="shared" si="128"/>
        <v>0</v>
      </c>
      <c r="O108" s="163">
        <f t="shared" si="128"/>
        <v>0</v>
      </c>
      <c r="P108" s="163">
        <f t="shared" si="107"/>
        <v>0</v>
      </c>
      <c r="Q108" s="163">
        <f t="shared" si="108"/>
        <v>0</v>
      </c>
      <c r="R108" s="130"/>
      <c r="S108" s="163">
        <f t="shared" si="109"/>
        <v>0</v>
      </c>
      <c r="T108" s="163"/>
      <c r="U108" s="163">
        <f>'計分版'!E$14</f>
        <v>0.0000000001</v>
      </c>
      <c r="V108" s="163">
        <f>'計分版'!F$14</f>
        <v>0.0000000002</v>
      </c>
      <c r="W108" s="163">
        <f>'計分版'!G$14</f>
        <v>0.0000000003</v>
      </c>
      <c r="X108" s="163">
        <f>'計分版'!H$14</f>
        <v>0.0000000004</v>
      </c>
      <c r="Y108" s="163">
        <f>'計分版'!I$14</f>
        <v>0.0000000005</v>
      </c>
      <c r="Z108" s="163">
        <f>'計分版'!J$14</f>
        <v>0</v>
      </c>
      <c r="AA108" s="163">
        <f>'計分版'!K$14</f>
        <v>0</v>
      </c>
      <c r="AB108" s="163">
        <f>'計分版'!L$14</f>
        <v>0</v>
      </c>
      <c r="AC108" s="163">
        <f>'計分版'!M$14</f>
        <v>0</v>
      </c>
      <c r="AD108" s="163">
        <f>'計分版'!N$14</f>
        <v>0</v>
      </c>
      <c r="AE108" s="163"/>
      <c r="AF108" s="163" t="s">
        <v>1065</v>
      </c>
      <c r="AG108" s="163" t="s">
        <v>166</v>
      </c>
      <c r="AH108" s="163"/>
      <c r="AI108" s="163"/>
      <c r="AJ108" s="163"/>
      <c r="AK108" s="163"/>
      <c r="AL108" s="163"/>
      <c r="AM108" s="163"/>
      <c r="AN108" s="130"/>
      <c r="AO108" s="130"/>
      <c r="AP108" s="130"/>
      <c r="AQ108" s="130"/>
      <c r="AR108" s="130"/>
      <c r="AS108" s="130"/>
      <c r="AT108" s="130"/>
    </row>
    <row r="109" ht="13.5" customHeight="1">
      <c r="A109" s="130" t="s">
        <v>328</v>
      </c>
      <c r="B109" s="130" t="s">
        <v>329</v>
      </c>
      <c r="C109" s="170" t="s">
        <v>24</v>
      </c>
      <c r="D109" s="163"/>
      <c r="E109" s="163">
        <v>3.0</v>
      </c>
      <c r="F109" s="163">
        <v>3.0</v>
      </c>
      <c r="G109" s="163">
        <v>2.0</v>
      </c>
      <c r="H109" s="163">
        <v>2.0</v>
      </c>
      <c r="I109" s="163">
        <v>3.0</v>
      </c>
      <c r="J109" s="163">
        <v>3.0</v>
      </c>
      <c r="K109" s="130"/>
      <c r="L109" s="163">
        <f t="shared" ref="L109:O109" si="129">IF(E109&gt;U109,0,1)</f>
        <v>0</v>
      </c>
      <c r="M109" s="163">
        <f t="shared" si="129"/>
        <v>0</v>
      </c>
      <c r="N109" s="163">
        <f t="shared" si="129"/>
        <v>0</v>
      </c>
      <c r="O109" s="163">
        <f t="shared" si="129"/>
        <v>0</v>
      </c>
      <c r="P109" s="163">
        <f t="shared" si="107"/>
        <v>0</v>
      </c>
      <c r="Q109" s="163">
        <f t="shared" si="108"/>
        <v>0</v>
      </c>
      <c r="R109" s="130"/>
      <c r="S109" s="163">
        <f t="shared" si="109"/>
        <v>0</v>
      </c>
      <c r="T109" s="130"/>
      <c r="U109" s="163">
        <f>'計分版'!E$14</f>
        <v>0.0000000001</v>
      </c>
      <c r="V109" s="163">
        <f>'計分版'!F$14</f>
        <v>0.0000000002</v>
      </c>
      <c r="W109" s="163">
        <f>'計分版'!G$14</f>
        <v>0.0000000003</v>
      </c>
      <c r="X109" s="163">
        <f>'計分版'!H$14</f>
        <v>0.0000000004</v>
      </c>
      <c r="Y109" s="163">
        <f>'計分版'!I$14</f>
        <v>0.0000000005</v>
      </c>
      <c r="Z109" s="163">
        <f>'計分版'!J$14</f>
        <v>0</v>
      </c>
      <c r="AA109" s="163">
        <f>'計分版'!K$14</f>
        <v>0</v>
      </c>
      <c r="AB109" s="163">
        <f>'計分版'!L$14</f>
        <v>0</v>
      </c>
      <c r="AC109" s="163">
        <f>'計分版'!M$14</f>
        <v>0</v>
      </c>
      <c r="AD109" s="163">
        <f>'計分版'!N$14</f>
        <v>0</v>
      </c>
      <c r="AE109" s="163"/>
      <c r="AF109" s="163" t="s">
        <v>1065</v>
      </c>
      <c r="AG109" s="163" t="s">
        <v>166</v>
      </c>
      <c r="AH109" s="163"/>
      <c r="AI109" s="163"/>
      <c r="AJ109" s="163"/>
      <c r="AK109" s="163"/>
      <c r="AL109" s="163"/>
      <c r="AM109" s="163"/>
      <c r="AN109" s="130"/>
      <c r="AO109" s="130"/>
      <c r="AP109" s="130"/>
      <c r="AQ109" s="130"/>
      <c r="AR109" s="130"/>
      <c r="AS109" s="130"/>
      <c r="AT109" s="130"/>
    </row>
    <row r="110" ht="13.5" customHeight="1">
      <c r="A110" s="130" t="s">
        <v>330</v>
      </c>
      <c r="B110" s="130" t="s">
        <v>331</v>
      </c>
      <c r="C110" s="170" t="s">
        <v>191</v>
      </c>
      <c r="D110" s="163"/>
      <c r="E110" s="163">
        <v>3.0</v>
      </c>
      <c r="F110" s="163">
        <v>3.0</v>
      </c>
      <c r="G110" s="163">
        <v>2.0</v>
      </c>
      <c r="H110" s="163">
        <v>2.0</v>
      </c>
      <c r="I110" s="163">
        <v>3.0</v>
      </c>
      <c r="J110" s="163">
        <v>3.0</v>
      </c>
      <c r="K110" s="130"/>
      <c r="L110" s="163">
        <f t="shared" ref="L110:O110" si="130">IF(E110&gt;U110,0,1)</f>
        <v>0</v>
      </c>
      <c r="M110" s="163">
        <f t="shared" si="130"/>
        <v>0</v>
      </c>
      <c r="N110" s="163">
        <f t="shared" si="130"/>
        <v>0</v>
      </c>
      <c r="O110" s="163">
        <f t="shared" si="130"/>
        <v>0</v>
      </c>
      <c r="P110" s="163">
        <f t="shared" si="107"/>
        <v>0</v>
      </c>
      <c r="Q110" s="163">
        <f t="shared" si="108"/>
        <v>0</v>
      </c>
      <c r="R110" s="130"/>
      <c r="S110" s="163">
        <f t="shared" si="109"/>
        <v>0</v>
      </c>
      <c r="T110" s="130"/>
      <c r="U110" s="163">
        <f>'計分版'!E$14</f>
        <v>0.0000000001</v>
      </c>
      <c r="V110" s="163">
        <f>'計分版'!F$14</f>
        <v>0.0000000002</v>
      </c>
      <c r="W110" s="163">
        <f>'計分版'!G$14</f>
        <v>0.0000000003</v>
      </c>
      <c r="X110" s="163">
        <f>'計分版'!H$14</f>
        <v>0.0000000004</v>
      </c>
      <c r="Y110" s="163">
        <f>'計分版'!I$14</f>
        <v>0.0000000005</v>
      </c>
      <c r="Z110" s="163">
        <f>'計分版'!J$14</f>
        <v>0</v>
      </c>
      <c r="AA110" s="163">
        <f>'計分版'!K$14</f>
        <v>0</v>
      </c>
      <c r="AB110" s="163">
        <f>'計分版'!L$14</f>
        <v>0</v>
      </c>
      <c r="AC110" s="163">
        <f>'計分版'!M$14</f>
        <v>0</v>
      </c>
      <c r="AD110" s="163">
        <f>'計分版'!N$14</f>
        <v>0</v>
      </c>
      <c r="AE110" s="163"/>
      <c r="AF110" s="163" t="s">
        <v>1065</v>
      </c>
      <c r="AG110" s="163" t="s">
        <v>166</v>
      </c>
      <c r="AH110" s="163"/>
      <c r="AI110" s="163"/>
      <c r="AJ110" s="163"/>
      <c r="AK110" s="163"/>
      <c r="AL110" s="163"/>
      <c r="AM110" s="163"/>
      <c r="AN110" s="130"/>
      <c r="AO110" s="130"/>
      <c r="AP110" s="130"/>
      <c r="AQ110" s="130"/>
      <c r="AR110" s="130"/>
      <c r="AS110" s="130"/>
      <c r="AT110" s="130"/>
    </row>
    <row r="111" ht="13.5" customHeight="1">
      <c r="A111" s="130" t="s">
        <v>332</v>
      </c>
      <c r="B111" s="130" t="s">
        <v>333</v>
      </c>
      <c r="C111" s="170" t="s">
        <v>21</v>
      </c>
      <c r="D111" s="163"/>
      <c r="E111" s="163">
        <v>3.0</v>
      </c>
      <c r="F111" s="163">
        <v>3.0</v>
      </c>
      <c r="G111" s="163">
        <v>2.0</v>
      </c>
      <c r="H111" s="163">
        <v>2.0</v>
      </c>
      <c r="I111" s="163">
        <v>3.0</v>
      </c>
      <c r="J111" s="163">
        <v>3.0</v>
      </c>
      <c r="K111" s="130"/>
      <c r="L111" s="163">
        <f t="shared" ref="L111:O111" si="131">IF(E111&gt;U111,0,1)</f>
        <v>0</v>
      </c>
      <c r="M111" s="163">
        <f t="shared" si="131"/>
        <v>0</v>
      </c>
      <c r="N111" s="163">
        <f t="shared" si="131"/>
        <v>0</v>
      </c>
      <c r="O111" s="163">
        <f t="shared" si="131"/>
        <v>0</v>
      </c>
      <c r="P111" s="163">
        <f t="shared" si="107"/>
        <v>0</v>
      </c>
      <c r="Q111" s="163">
        <f t="shared" si="108"/>
        <v>0</v>
      </c>
      <c r="R111" s="130"/>
      <c r="S111" s="163">
        <f t="shared" si="109"/>
        <v>0</v>
      </c>
      <c r="T111" s="130"/>
      <c r="U111" s="163">
        <f>'計分版'!E$14</f>
        <v>0.0000000001</v>
      </c>
      <c r="V111" s="163">
        <f>'計分版'!F$14</f>
        <v>0.0000000002</v>
      </c>
      <c r="W111" s="163">
        <f>'計分版'!G$14</f>
        <v>0.0000000003</v>
      </c>
      <c r="X111" s="163">
        <f>'計分版'!H$14</f>
        <v>0.0000000004</v>
      </c>
      <c r="Y111" s="163">
        <f>'計分版'!I$14</f>
        <v>0.0000000005</v>
      </c>
      <c r="Z111" s="163">
        <f>'計分版'!J$14</f>
        <v>0</v>
      </c>
      <c r="AA111" s="163">
        <f>'計分版'!K$14</f>
        <v>0</v>
      </c>
      <c r="AB111" s="163">
        <f>'計分版'!L$14</f>
        <v>0</v>
      </c>
      <c r="AC111" s="163">
        <f>'計分版'!M$14</f>
        <v>0</v>
      </c>
      <c r="AD111" s="163">
        <f>'計分版'!N$14</f>
        <v>0</v>
      </c>
      <c r="AE111" s="163"/>
      <c r="AF111" s="163" t="s">
        <v>1065</v>
      </c>
      <c r="AG111" s="163" t="s">
        <v>166</v>
      </c>
      <c r="AH111" s="163"/>
      <c r="AI111" s="163"/>
      <c r="AJ111" s="163"/>
      <c r="AK111" s="163"/>
      <c r="AL111" s="163"/>
      <c r="AM111" s="163"/>
      <c r="AN111" s="130"/>
      <c r="AO111" s="130"/>
      <c r="AP111" s="130"/>
      <c r="AQ111" s="130"/>
      <c r="AR111" s="130"/>
      <c r="AS111" s="130"/>
      <c r="AT111" s="130"/>
    </row>
    <row r="112" ht="13.5" customHeight="1">
      <c r="A112" s="130" t="s">
        <v>334</v>
      </c>
      <c r="B112" s="130" t="s">
        <v>335</v>
      </c>
      <c r="C112" s="170" t="s">
        <v>21</v>
      </c>
      <c r="D112" s="163"/>
      <c r="E112" s="163">
        <v>3.0</v>
      </c>
      <c r="F112" s="163">
        <v>3.0</v>
      </c>
      <c r="G112" s="163">
        <v>2.0</v>
      </c>
      <c r="H112" s="163">
        <v>2.0</v>
      </c>
      <c r="I112" s="163">
        <v>3.0</v>
      </c>
      <c r="J112" s="163">
        <v>3.0</v>
      </c>
      <c r="K112" s="130"/>
      <c r="L112" s="163">
        <f t="shared" ref="L112:O112" si="132">IF(E112&gt;U112,0,1)</f>
        <v>0</v>
      </c>
      <c r="M112" s="163">
        <f t="shared" si="132"/>
        <v>0</v>
      </c>
      <c r="N112" s="163">
        <f t="shared" si="132"/>
        <v>0</v>
      </c>
      <c r="O112" s="163">
        <f t="shared" si="132"/>
        <v>0</v>
      </c>
      <c r="P112" s="163">
        <f t="shared" si="107"/>
        <v>0</v>
      </c>
      <c r="Q112" s="163">
        <f t="shared" si="108"/>
        <v>0</v>
      </c>
      <c r="R112" s="130"/>
      <c r="S112" s="163">
        <f t="shared" si="109"/>
        <v>0</v>
      </c>
      <c r="T112" s="163"/>
      <c r="U112" s="163">
        <f>'計分版'!E$14</f>
        <v>0.0000000001</v>
      </c>
      <c r="V112" s="163">
        <f>'計分版'!F$14</f>
        <v>0.0000000002</v>
      </c>
      <c r="W112" s="163">
        <f>'計分版'!G$14</f>
        <v>0.0000000003</v>
      </c>
      <c r="X112" s="163">
        <f>'計分版'!H$14</f>
        <v>0.0000000004</v>
      </c>
      <c r="Y112" s="163">
        <f>'計分版'!I$14</f>
        <v>0.0000000005</v>
      </c>
      <c r="Z112" s="163">
        <f>'計分版'!J$14</f>
        <v>0</v>
      </c>
      <c r="AA112" s="163">
        <f>'計分版'!K$14</f>
        <v>0</v>
      </c>
      <c r="AB112" s="163">
        <f>'計分版'!L$14</f>
        <v>0</v>
      </c>
      <c r="AC112" s="163">
        <f>'計分版'!M$14</f>
        <v>0</v>
      </c>
      <c r="AD112" s="163">
        <f>'計分版'!N$14</f>
        <v>0</v>
      </c>
      <c r="AE112" s="163"/>
      <c r="AF112" s="163" t="s">
        <v>1065</v>
      </c>
      <c r="AG112" s="163" t="s">
        <v>166</v>
      </c>
      <c r="AH112" s="163"/>
      <c r="AI112" s="163"/>
      <c r="AJ112" s="163"/>
      <c r="AK112" s="163"/>
      <c r="AL112" s="163"/>
      <c r="AM112" s="163"/>
      <c r="AN112" s="130"/>
      <c r="AO112" s="130"/>
      <c r="AP112" s="130"/>
      <c r="AQ112" s="130"/>
      <c r="AR112" s="130"/>
      <c r="AS112" s="130"/>
      <c r="AT112" s="130"/>
    </row>
    <row r="113" ht="13.5" customHeight="1">
      <c r="A113" s="130" t="s">
        <v>336</v>
      </c>
      <c r="B113" s="130" t="s">
        <v>337</v>
      </c>
      <c r="C113" s="170" t="s">
        <v>21</v>
      </c>
      <c r="D113" s="163"/>
      <c r="E113" s="163">
        <v>3.0</v>
      </c>
      <c r="F113" s="163">
        <v>3.0</v>
      </c>
      <c r="G113" s="163">
        <v>2.0</v>
      </c>
      <c r="H113" s="163">
        <v>2.0</v>
      </c>
      <c r="I113" s="163">
        <v>3.0</v>
      </c>
      <c r="J113" s="163">
        <v>3.0</v>
      </c>
      <c r="K113" s="130"/>
      <c r="L113" s="163">
        <f t="shared" ref="L113:O113" si="133">IF(E113&gt;U113,0,1)</f>
        <v>0</v>
      </c>
      <c r="M113" s="163">
        <f t="shared" si="133"/>
        <v>0</v>
      </c>
      <c r="N113" s="163">
        <f t="shared" si="133"/>
        <v>0</v>
      </c>
      <c r="O113" s="163">
        <f t="shared" si="133"/>
        <v>0</v>
      </c>
      <c r="P113" s="163">
        <f t="shared" si="107"/>
        <v>0</v>
      </c>
      <c r="Q113" s="163">
        <f t="shared" si="108"/>
        <v>0</v>
      </c>
      <c r="R113" s="130"/>
      <c r="S113" s="163">
        <f t="shared" si="109"/>
        <v>0</v>
      </c>
      <c r="T113" s="163"/>
      <c r="U113" s="163">
        <f>'計分版'!E$14</f>
        <v>0.0000000001</v>
      </c>
      <c r="V113" s="163">
        <f>'計分版'!F$14</f>
        <v>0.0000000002</v>
      </c>
      <c r="W113" s="163">
        <f>'計分版'!G$14</f>
        <v>0.0000000003</v>
      </c>
      <c r="X113" s="163">
        <f>'計分版'!H$14</f>
        <v>0.0000000004</v>
      </c>
      <c r="Y113" s="163">
        <f>'計分版'!I$14</f>
        <v>0.0000000005</v>
      </c>
      <c r="Z113" s="163">
        <f>'計分版'!J$14</f>
        <v>0</v>
      </c>
      <c r="AA113" s="163">
        <f>'計分版'!K$14</f>
        <v>0</v>
      </c>
      <c r="AB113" s="163">
        <f>'計分版'!L$14</f>
        <v>0</v>
      </c>
      <c r="AC113" s="163">
        <f>'計分版'!M$14</f>
        <v>0</v>
      </c>
      <c r="AD113" s="163">
        <f>'計分版'!N$14</f>
        <v>0</v>
      </c>
      <c r="AE113" s="163"/>
      <c r="AF113" s="163" t="s">
        <v>1065</v>
      </c>
      <c r="AG113" s="163" t="s">
        <v>166</v>
      </c>
      <c r="AH113" s="163"/>
      <c r="AI113" s="163"/>
      <c r="AJ113" s="163"/>
      <c r="AK113" s="163"/>
      <c r="AL113" s="163"/>
      <c r="AM113" s="163"/>
      <c r="AN113" s="130"/>
      <c r="AO113" s="130"/>
      <c r="AP113" s="130"/>
      <c r="AQ113" s="130"/>
      <c r="AR113" s="130"/>
      <c r="AS113" s="130"/>
      <c r="AT113" s="130"/>
    </row>
    <row r="114" ht="13.5" customHeight="1">
      <c r="A114" s="130" t="s">
        <v>338</v>
      </c>
      <c r="B114" s="130" t="s">
        <v>339</v>
      </c>
      <c r="C114" s="170" t="s">
        <v>21</v>
      </c>
      <c r="D114" s="163"/>
      <c r="E114" s="163">
        <v>3.0</v>
      </c>
      <c r="F114" s="163">
        <v>3.0</v>
      </c>
      <c r="G114" s="163">
        <v>2.0</v>
      </c>
      <c r="H114" s="163">
        <v>2.0</v>
      </c>
      <c r="I114" s="163">
        <v>3.0</v>
      </c>
      <c r="J114" s="163">
        <v>3.0</v>
      </c>
      <c r="K114" s="130"/>
      <c r="L114" s="163">
        <f t="shared" ref="L114:O114" si="134">IF(E114&gt;U114,0,1)</f>
        <v>0</v>
      </c>
      <c r="M114" s="163">
        <f t="shared" si="134"/>
        <v>0</v>
      </c>
      <c r="N114" s="163">
        <f t="shared" si="134"/>
        <v>0</v>
      </c>
      <c r="O114" s="163">
        <f t="shared" si="134"/>
        <v>0</v>
      </c>
      <c r="P114" s="163">
        <f t="shared" si="107"/>
        <v>0</v>
      </c>
      <c r="Q114" s="163">
        <f t="shared" si="108"/>
        <v>0</v>
      </c>
      <c r="R114" s="130"/>
      <c r="S114" s="163">
        <f t="shared" si="109"/>
        <v>0</v>
      </c>
      <c r="T114" s="163"/>
      <c r="U114" s="163">
        <f>'計分版'!E$14</f>
        <v>0.0000000001</v>
      </c>
      <c r="V114" s="163">
        <f>'計分版'!F$14</f>
        <v>0.0000000002</v>
      </c>
      <c r="W114" s="163">
        <f>'計分版'!G$14</f>
        <v>0.0000000003</v>
      </c>
      <c r="X114" s="163">
        <f>'計分版'!H$14</f>
        <v>0.0000000004</v>
      </c>
      <c r="Y114" s="163">
        <f>'計分版'!I$14</f>
        <v>0.0000000005</v>
      </c>
      <c r="Z114" s="163">
        <f>'計分版'!J$14</f>
        <v>0</v>
      </c>
      <c r="AA114" s="163">
        <f>'計分版'!K$14</f>
        <v>0</v>
      </c>
      <c r="AB114" s="163">
        <f>'計分版'!L$14</f>
        <v>0</v>
      </c>
      <c r="AC114" s="163">
        <f>'計分版'!M$14</f>
        <v>0</v>
      </c>
      <c r="AD114" s="163">
        <f>'計分版'!N$14</f>
        <v>0</v>
      </c>
      <c r="AE114" s="163"/>
      <c r="AF114" s="163" t="s">
        <v>1065</v>
      </c>
      <c r="AG114" s="163" t="s">
        <v>166</v>
      </c>
      <c r="AH114" s="163"/>
      <c r="AI114" s="163"/>
      <c r="AJ114" s="163"/>
      <c r="AK114" s="163"/>
      <c r="AL114" s="163"/>
      <c r="AM114" s="163"/>
      <c r="AN114" s="130"/>
      <c r="AO114" s="130"/>
      <c r="AP114" s="130"/>
      <c r="AQ114" s="130"/>
      <c r="AR114" s="130"/>
      <c r="AS114" s="130"/>
      <c r="AT114" s="130"/>
    </row>
    <row r="115" ht="13.5" customHeight="1">
      <c r="A115" s="130" t="s">
        <v>340</v>
      </c>
      <c r="B115" s="130" t="s">
        <v>341</v>
      </c>
      <c r="C115" s="170" t="s">
        <v>21</v>
      </c>
      <c r="D115" s="163"/>
      <c r="E115" s="163">
        <v>3.0</v>
      </c>
      <c r="F115" s="163">
        <v>3.0</v>
      </c>
      <c r="G115" s="163">
        <v>2.0</v>
      </c>
      <c r="H115" s="163">
        <v>2.0</v>
      </c>
      <c r="I115" s="163">
        <v>3.0</v>
      </c>
      <c r="J115" s="163">
        <v>3.0</v>
      </c>
      <c r="K115" s="130"/>
      <c r="L115" s="163">
        <f t="shared" ref="L115:O115" si="135">IF(E115&gt;U115,0,1)</f>
        <v>0</v>
      </c>
      <c r="M115" s="163">
        <f t="shared" si="135"/>
        <v>0</v>
      </c>
      <c r="N115" s="163">
        <f t="shared" si="135"/>
        <v>0</v>
      </c>
      <c r="O115" s="163">
        <f t="shared" si="135"/>
        <v>0</v>
      </c>
      <c r="P115" s="163">
        <f t="shared" si="107"/>
        <v>0</v>
      </c>
      <c r="Q115" s="163">
        <f t="shared" si="108"/>
        <v>0</v>
      </c>
      <c r="R115" s="130"/>
      <c r="S115" s="163">
        <f t="shared" si="109"/>
        <v>0</v>
      </c>
      <c r="T115" s="163"/>
      <c r="U115" s="163">
        <f>'計分版'!E$14</f>
        <v>0.0000000001</v>
      </c>
      <c r="V115" s="163">
        <f>'計分版'!F$14</f>
        <v>0.0000000002</v>
      </c>
      <c r="W115" s="163">
        <f>'計分版'!G$14</f>
        <v>0.0000000003</v>
      </c>
      <c r="X115" s="163">
        <f>'計分版'!H$14</f>
        <v>0.0000000004</v>
      </c>
      <c r="Y115" s="163">
        <f>'計分版'!I$14</f>
        <v>0.0000000005</v>
      </c>
      <c r="Z115" s="163">
        <f>'計分版'!J$14</f>
        <v>0</v>
      </c>
      <c r="AA115" s="163">
        <f>'計分版'!K$14</f>
        <v>0</v>
      </c>
      <c r="AB115" s="163">
        <f>'計分版'!L$14</f>
        <v>0</v>
      </c>
      <c r="AC115" s="163">
        <f>'計分版'!M$14</f>
        <v>0</v>
      </c>
      <c r="AD115" s="163">
        <f>'計分版'!N$14</f>
        <v>0</v>
      </c>
      <c r="AE115" s="163"/>
      <c r="AF115" s="163" t="s">
        <v>1065</v>
      </c>
      <c r="AG115" s="163" t="s">
        <v>166</v>
      </c>
      <c r="AH115" s="163"/>
      <c r="AI115" s="163"/>
      <c r="AJ115" s="163"/>
      <c r="AK115" s="163"/>
      <c r="AL115" s="163"/>
      <c r="AM115" s="163"/>
      <c r="AN115" s="130"/>
      <c r="AO115" s="130"/>
      <c r="AP115" s="130"/>
      <c r="AQ115" s="130"/>
      <c r="AR115" s="130"/>
      <c r="AS115" s="130"/>
      <c r="AT115" s="130"/>
    </row>
    <row r="116" ht="13.5" customHeight="1">
      <c r="A116" s="130" t="s">
        <v>342</v>
      </c>
      <c r="B116" s="130" t="s">
        <v>343</v>
      </c>
      <c r="C116" s="170" t="s">
        <v>21</v>
      </c>
      <c r="D116" s="163"/>
      <c r="E116" s="163">
        <v>3.0</v>
      </c>
      <c r="F116" s="163">
        <v>3.0</v>
      </c>
      <c r="G116" s="163">
        <v>2.0</v>
      </c>
      <c r="H116" s="163">
        <v>2.0</v>
      </c>
      <c r="I116" s="163">
        <v>3.0</v>
      </c>
      <c r="J116" s="163">
        <v>3.0</v>
      </c>
      <c r="K116" s="130"/>
      <c r="L116" s="163">
        <f t="shared" ref="L116:O116" si="136">IF(E116&gt;U116,0,1)</f>
        <v>0</v>
      </c>
      <c r="M116" s="163">
        <f t="shared" si="136"/>
        <v>0</v>
      </c>
      <c r="N116" s="163">
        <f t="shared" si="136"/>
        <v>0</v>
      </c>
      <c r="O116" s="163">
        <f t="shared" si="136"/>
        <v>0</v>
      </c>
      <c r="P116" s="163">
        <f t="shared" si="107"/>
        <v>0</v>
      </c>
      <c r="Q116" s="163">
        <f t="shared" si="108"/>
        <v>0</v>
      </c>
      <c r="R116" s="130"/>
      <c r="S116" s="163">
        <f t="shared" si="109"/>
        <v>0</v>
      </c>
      <c r="T116" s="163"/>
      <c r="U116" s="163">
        <f>'計分版'!E$14</f>
        <v>0.0000000001</v>
      </c>
      <c r="V116" s="163">
        <f>'計分版'!F$14</f>
        <v>0.0000000002</v>
      </c>
      <c r="W116" s="163">
        <f>'計分版'!G$14</f>
        <v>0.0000000003</v>
      </c>
      <c r="X116" s="163">
        <f>'計分版'!H$14</f>
        <v>0.0000000004</v>
      </c>
      <c r="Y116" s="163">
        <f>'計分版'!I$14</f>
        <v>0.0000000005</v>
      </c>
      <c r="Z116" s="163">
        <f>'計分版'!J$14</f>
        <v>0</v>
      </c>
      <c r="AA116" s="163">
        <f>'計分版'!K$14</f>
        <v>0</v>
      </c>
      <c r="AB116" s="163">
        <f>'計分版'!L$14</f>
        <v>0</v>
      </c>
      <c r="AC116" s="163">
        <f>'計分版'!M$14</f>
        <v>0</v>
      </c>
      <c r="AD116" s="163">
        <f>'計分版'!N$14</f>
        <v>0</v>
      </c>
      <c r="AE116" s="163"/>
      <c r="AF116" s="163" t="s">
        <v>1065</v>
      </c>
      <c r="AG116" s="163" t="s">
        <v>166</v>
      </c>
      <c r="AH116" s="163"/>
      <c r="AI116" s="163"/>
      <c r="AJ116" s="163"/>
      <c r="AK116" s="163"/>
      <c r="AL116" s="163"/>
      <c r="AM116" s="163"/>
      <c r="AN116" s="130"/>
      <c r="AO116" s="130"/>
      <c r="AP116" s="130"/>
      <c r="AQ116" s="130"/>
      <c r="AR116" s="130"/>
      <c r="AS116" s="130"/>
      <c r="AT116" s="130"/>
    </row>
    <row r="117" ht="13.5" customHeight="1">
      <c r="A117" s="130" t="s">
        <v>344</v>
      </c>
      <c r="B117" s="130" t="s">
        <v>345</v>
      </c>
      <c r="C117" s="170" t="s">
        <v>191</v>
      </c>
      <c r="D117" s="163"/>
      <c r="E117" s="163">
        <v>3.0</v>
      </c>
      <c r="F117" s="163">
        <v>3.0</v>
      </c>
      <c r="G117" s="163">
        <v>2.0</v>
      </c>
      <c r="H117" s="163">
        <v>2.0</v>
      </c>
      <c r="I117" s="163">
        <v>3.0</v>
      </c>
      <c r="J117" s="163">
        <v>3.0</v>
      </c>
      <c r="K117" s="130"/>
      <c r="L117" s="163">
        <f t="shared" ref="L117:O117" si="137">IF(E117&gt;U117,0,1)</f>
        <v>0</v>
      </c>
      <c r="M117" s="163">
        <f t="shared" si="137"/>
        <v>0</v>
      </c>
      <c r="N117" s="163">
        <f t="shared" si="137"/>
        <v>0</v>
      </c>
      <c r="O117" s="163">
        <f t="shared" si="137"/>
        <v>0</v>
      </c>
      <c r="P117" s="163">
        <f t="shared" si="107"/>
        <v>0</v>
      </c>
      <c r="Q117" s="163">
        <f t="shared" si="108"/>
        <v>0</v>
      </c>
      <c r="R117" s="130"/>
      <c r="S117" s="163">
        <f t="shared" si="109"/>
        <v>0</v>
      </c>
      <c r="T117" s="163"/>
      <c r="U117" s="163">
        <f>'計分版'!E$14</f>
        <v>0.0000000001</v>
      </c>
      <c r="V117" s="163">
        <f>'計分版'!F$14</f>
        <v>0.0000000002</v>
      </c>
      <c r="W117" s="163">
        <f>'計分版'!G$14</f>
        <v>0.0000000003</v>
      </c>
      <c r="X117" s="163">
        <f>'計分版'!H$14</f>
        <v>0.0000000004</v>
      </c>
      <c r="Y117" s="163">
        <f>'計分版'!I$14</f>
        <v>0.0000000005</v>
      </c>
      <c r="Z117" s="163">
        <f>'計分版'!J$14</f>
        <v>0</v>
      </c>
      <c r="AA117" s="163">
        <f>'計分版'!K$14</f>
        <v>0</v>
      </c>
      <c r="AB117" s="163">
        <f>'計分版'!L$14</f>
        <v>0</v>
      </c>
      <c r="AC117" s="163">
        <f>'計分版'!M$14</f>
        <v>0</v>
      </c>
      <c r="AD117" s="163">
        <f>'計分版'!N$14</f>
        <v>0</v>
      </c>
      <c r="AE117" s="163"/>
      <c r="AF117" s="163" t="s">
        <v>1065</v>
      </c>
      <c r="AG117" s="163" t="s">
        <v>166</v>
      </c>
      <c r="AH117" s="163"/>
      <c r="AI117" s="163"/>
      <c r="AJ117" s="163"/>
      <c r="AK117" s="163"/>
      <c r="AL117" s="163"/>
      <c r="AM117" s="163"/>
      <c r="AN117" s="130"/>
      <c r="AO117" s="130"/>
      <c r="AP117" s="130"/>
      <c r="AQ117" s="130"/>
      <c r="AR117" s="130"/>
      <c r="AS117" s="130"/>
      <c r="AT117" s="130"/>
    </row>
    <row r="118" ht="13.5" customHeight="1">
      <c r="A118" s="130" t="s">
        <v>346</v>
      </c>
      <c r="B118" s="130" t="s">
        <v>347</v>
      </c>
      <c r="C118" s="170" t="s">
        <v>21</v>
      </c>
      <c r="D118" s="163"/>
      <c r="E118" s="163">
        <v>3.0</v>
      </c>
      <c r="F118" s="163">
        <v>3.0</v>
      </c>
      <c r="G118" s="163">
        <v>2.0</v>
      </c>
      <c r="H118" s="163">
        <v>2.0</v>
      </c>
      <c r="I118" s="163">
        <v>3.0</v>
      </c>
      <c r="J118" s="163">
        <v>3.0</v>
      </c>
      <c r="K118" s="130"/>
      <c r="L118" s="163">
        <f t="shared" ref="L118:O118" si="138">IF(E118&gt;U118,0,1)</f>
        <v>0</v>
      </c>
      <c r="M118" s="163">
        <f t="shared" si="138"/>
        <v>0</v>
      </c>
      <c r="N118" s="163">
        <f t="shared" si="138"/>
        <v>0</v>
      </c>
      <c r="O118" s="163">
        <f t="shared" si="138"/>
        <v>0</v>
      </c>
      <c r="P118" s="163">
        <f t="shared" si="107"/>
        <v>0</v>
      </c>
      <c r="Q118" s="163">
        <f t="shared" si="108"/>
        <v>0</v>
      </c>
      <c r="R118" s="130"/>
      <c r="S118" s="163">
        <f t="shared" si="109"/>
        <v>0</v>
      </c>
      <c r="T118" s="163"/>
      <c r="U118" s="163">
        <f>'計分版'!E$14</f>
        <v>0.0000000001</v>
      </c>
      <c r="V118" s="163">
        <f>'計分版'!F$14</f>
        <v>0.0000000002</v>
      </c>
      <c r="W118" s="163">
        <f>'計分版'!G$14</f>
        <v>0.0000000003</v>
      </c>
      <c r="X118" s="163">
        <f>'計分版'!H$14</f>
        <v>0.0000000004</v>
      </c>
      <c r="Y118" s="163">
        <f>'計分版'!I$14</f>
        <v>0.0000000005</v>
      </c>
      <c r="Z118" s="163">
        <f>'計分版'!J$14</f>
        <v>0</v>
      </c>
      <c r="AA118" s="163">
        <f>'計分版'!K$14</f>
        <v>0</v>
      </c>
      <c r="AB118" s="163">
        <f>'計分版'!L$14</f>
        <v>0</v>
      </c>
      <c r="AC118" s="163">
        <f>'計分版'!M$14</f>
        <v>0</v>
      </c>
      <c r="AD118" s="163">
        <f>'計分版'!N$14</f>
        <v>0</v>
      </c>
      <c r="AE118" s="163"/>
      <c r="AF118" s="163" t="s">
        <v>1065</v>
      </c>
      <c r="AG118" s="163" t="s">
        <v>166</v>
      </c>
      <c r="AH118" s="163"/>
      <c r="AI118" s="163"/>
      <c r="AJ118" s="163"/>
      <c r="AK118" s="163"/>
      <c r="AL118" s="163"/>
      <c r="AM118" s="163"/>
      <c r="AN118" s="130"/>
      <c r="AO118" s="130"/>
      <c r="AP118" s="130"/>
      <c r="AQ118" s="130"/>
      <c r="AR118" s="130"/>
      <c r="AS118" s="130"/>
      <c r="AT118" s="130"/>
    </row>
    <row r="119" ht="13.5" customHeight="1">
      <c r="A119" s="130" t="s">
        <v>348</v>
      </c>
      <c r="B119" s="130" t="s">
        <v>349</v>
      </c>
      <c r="C119" s="170" t="s">
        <v>21</v>
      </c>
      <c r="D119" s="163"/>
      <c r="E119" s="163">
        <v>3.0</v>
      </c>
      <c r="F119" s="163">
        <v>3.0</v>
      </c>
      <c r="G119" s="163">
        <v>2.0</v>
      </c>
      <c r="H119" s="163">
        <v>2.0</v>
      </c>
      <c r="I119" s="163">
        <v>3.0</v>
      </c>
      <c r="J119" s="163">
        <v>3.0</v>
      </c>
      <c r="K119" s="130"/>
      <c r="L119" s="163">
        <f t="shared" ref="L119:O119" si="139">IF(E119&gt;U119,0,1)</f>
        <v>0</v>
      </c>
      <c r="M119" s="163">
        <f t="shared" si="139"/>
        <v>0</v>
      </c>
      <c r="N119" s="163">
        <f t="shared" si="139"/>
        <v>0</v>
      </c>
      <c r="O119" s="163">
        <f t="shared" si="139"/>
        <v>0</v>
      </c>
      <c r="P119" s="163">
        <f t="shared" si="107"/>
        <v>0</v>
      </c>
      <c r="Q119" s="163">
        <f t="shared" si="108"/>
        <v>0</v>
      </c>
      <c r="R119" s="130"/>
      <c r="S119" s="163">
        <f t="shared" si="109"/>
        <v>0</v>
      </c>
      <c r="T119" s="163"/>
      <c r="U119" s="163">
        <f>'計分版'!E$14</f>
        <v>0.0000000001</v>
      </c>
      <c r="V119" s="163">
        <f>'計分版'!F$14</f>
        <v>0.0000000002</v>
      </c>
      <c r="W119" s="163">
        <f>'計分版'!G$14</f>
        <v>0.0000000003</v>
      </c>
      <c r="X119" s="163">
        <f>'計分版'!H$14</f>
        <v>0.0000000004</v>
      </c>
      <c r="Y119" s="163">
        <f>'計分版'!I$14</f>
        <v>0.0000000005</v>
      </c>
      <c r="Z119" s="163">
        <f>'計分版'!J$14</f>
        <v>0</v>
      </c>
      <c r="AA119" s="163">
        <f>'計分版'!K$14</f>
        <v>0</v>
      </c>
      <c r="AB119" s="163">
        <f>'計分版'!L$14</f>
        <v>0</v>
      </c>
      <c r="AC119" s="163">
        <f>'計分版'!M$14</f>
        <v>0</v>
      </c>
      <c r="AD119" s="163">
        <f>'計分版'!N$14</f>
        <v>0</v>
      </c>
      <c r="AE119" s="163"/>
      <c r="AF119" s="163" t="s">
        <v>1065</v>
      </c>
      <c r="AG119" s="163" t="s">
        <v>166</v>
      </c>
      <c r="AH119" s="163"/>
      <c r="AI119" s="163"/>
      <c r="AJ119" s="163"/>
      <c r="AK119" s="163"/>
      <c r="AL119" s="163"/>
      <c r="AM119" s="163"/>
      <c r="AN119" s="130"/>
      <c r="AO119" s="130"/>
      <c r="AP119" s="130"/>
      <c r="AQ119" s="130"/>
      <c r="AR119" s="130"/>
      <c r="AS119" s="130"/>
      <c r="AT119" s="130"/>
    </row>
    <row r="120" ht="13.5" customHeight="1">
      <c r="A120" s="130" t="s">
        <v>350</v>
      </c>
      <c r="B120" s="130" t="s">
        <v>351</v>
      </c>
      <c r="C120" s="170" t="s">
        <v>21</v>
      </c>
      <c r="D120" s="163"/>
      <c r="E120" s="163">
        <v>3.0</v>
      </c>
      <c r="F120" s="163">
        <v>3.0</v>
      </c>
      <c r="G120" s="163">
        <v>2.0</v>
      </c>
      <c r="H120" s="163">
        <v>2.0</v>
      </c>
      <c r="I120" s="163">
        <v>3.0</v>
      </c>
      <c r="J120" s="163">
        <v>3.0</v>
      </c>
      <c r="K120" s="130"/>
      <c r="L120" s="163">
        <f t="shared" ref="L120:O120" si="140">IF(E120&gt;U120,0,1)</f>
        <v>0</v>
      </c>
      <c r="M120" s="163">
        <f t="shared" si="140"/>
        <v>0</v>
      </c>
      <c r="N120" s="163">
        <f t="shared" si="140"/>
        <v>0</v>
      </c>
      <c r="O120" s="163">
        <f t="shared" si="140"/>
        <v>0</v>
      </c>
      <c r="P120" s="163">
        <f t="shared" si="107"/>
        <v>0</v>
      </c>
      <c r="Q120" s="163">
        <f t="shared" si="108"/>
        <v>0</v>
      </c>
      <c r="R120" s="130"/>
      <c r="S120" s="163">
        <f t="shared" si="109"/>
        <v>0</v>
      </c>
      <c r="T120" s="163"/>
      <c r="U120" s="163">
        <f>'計分版'!E$14</f>
        <v>0.0000000001</v>
      </c>
      <c r="V120" s="163">
        <f>'計分版'!F$14</f>
        <v>0.0000000002</v>
      </c>
      <c r="W120" s="163">
        <f>'計分版'!G$14</f>
        <v>0.0000000003</v>
      </c>
      <c r="X120" s="163">
        <f>'計分版'!H$14</f>
        <v>0.0000000004</v>
      </c>
      <c r="Y120" s="163">
        <f>'計分版'!I$14</f>
        <v>0.0000000005</v>
      </c>
      <c r="Z120" s="163">
        <f>'計分版'!J$14</f>
        <v>0</v>
      </c>
      <c r="AA120" s="163">
        <f>'計分版'!K$14</f>
        <v>0</v>
      </c>
      <c r="AB120" s="163">
        <f>'計分版'!L$14</f>
        <v>0</v>
      </c>
      <c r="AC120" s="163">
        <f>'計分版'!M$14</f>
        <v>0</v>
      </c>
      <c r="AD120" s="163">
        <f>'計分版'!N$14</f>
        <v>0</v>
      </c>
      <c r="AE120" s="163"/>
      <c r="AF120" s="163" t="s">
        <v>1065</v>
      </c>
      <c r="AG120" s="163" t="s">
        <v>166</v>
      </c>
      <c r="AH120" s="163"/>
      <c r="AI120" s="163"/>
      <c r="AJ120" s="163"/>
      <c r="AK120" s="163"/>
      <c r="AL120" s="163"/>
      <c r="AM120" s="163"/>
      <c r="AN120" s="130"/>
      <c r="AO120" s="130"/>
      <c r="AP120" s="130"/>
      <c r="AQ120" s="130"/>
      <c r="AR120" s="130"/>
      <c r="AS120" s="130"/>
      <c r="AT120" s="130"/>
    </row>
    <row r="121" ht="13.5" customHeight="1">
      <c r="A121" s="130" t="s">
        <v>352</v>
      </c>
      <c r="B121" s="130" t="s">
        <v>353</v>
      </c>
      <c r="C121" s="170" t="s">
        <v>21</v>
      </c>
      <c r="D121" s="163"/>
      <c r="E121" s="163">
        <v>3.0</v>
      </c>
      <c r="F121" s="163">
        <v>3.0</v>
      </c>
      <c r="G121" s="163">
        <v>2.0</v>
      </c>
      <c r="H121" s="163">
        <v>2.0</v>
      </c>
      <c r="I121" s="163">
        <v>3.0</v>
      </c>
      <c r="J121" s="163">
        <v>3.0</v>
      </c>
      <c r="K121" s="130"/>
      <c r="L121" s="163">
        <f t="shared" ref="L121:O121" si="141">IF(E121&gt;U121,0,1)</f>
        <v>0</v>
      </c>
      <c r="M121" s="163">
        <f t="shared" si="141"/>
        <v>0</v>
      </c>
      <c r="N121" s="163">
        <f t="shared" si="141"/>
        <v>0</v>
      </c>
      <c r="O121" s="163">
        <f t="shared" si="141"/>
        <v>0</v>
      </c>
      <c r="P121" s="163">
        <f t="shared" si="107"/>
        <v>0</v>
      </c>
      <c r="Q121" s="163">
        <f t="shared" si="108"/>
        <v>0</v>
      </c>
      <c r="R121" s="130"/>
      <c r="S121" s="163">
        <f t="shared" si="109"/>
        <v>0</v>
      </c>
      <c r="T121" s="163"/>
      <c r="U121" s="163">
        <f>'計分版'!E$14</f>
        <v>0.0000000001</v>
      </c>
      <c r="V121" s="163">
        <f>'計分版'!F$14</f>
        <v>0.0000000002</v>
      </c>
      <c r="W121" s="163">
        <f>'計分版'!G$14</f>
        <v>0.0000000003</v>
      </c>
      <c r="X121" s="163">
        <f>'計分版'!H$14</f>
        <v>0.0000000004</v>
      </c>
      <c r="Y121" s="163">
        <f>'計分版'!I$14</f>
        <v>0.0000000005</v>
      </c>
      <c r="Z121" s="163">
        <f>'計分版'!J$14</f>
        <v>0</v>
      </c>
      <c r="AA121" s="163">
        <f>'計分版'!K$14</f>
        <v>0</v>
      </c>
      <c r="AB121" s="163">
        <f>'計分版'!L$14</f>
        <v>0</v>
      </c>
      <c r="AC121" s="163">
        <f>'計分版'!M$14</f>
        <v>0</v>
      </c>
      <c r="AD121" s="163">
        <f>'計分版'!N$14</f>
        <v>0</v>
      </c>
      <c r="AE121" s="163"/>
      <c r="AF121" s="163" t="s">
        <v>1065</v>
      </c>
      <c r="AG121" s="163" t="s">
        <v>166</v>
      </c>
      <c r="AH121" s="163"/>
      <c r="AI121" s="163"/>
      <c r="AJ121" s="163"/>
      <c r="AK121" s="163"/>
      <c r="AL121" s="163"/>
      <c r="AM121" s="163"/>
      <c r="AN121" s="130"/>
      <c r="AO121" s="130"/>
      <c r="AP121" s="130"/>
      <c r="AQ121" s="130"/>
      <c r="AR121" s="130"/>
      <c r="AS121" s="130"/>
      <c r="AT121" s="130"/>
    </row>
    <row r="122" ht="13.5" customHeight="1">
      <c r="A122" s="130" t="s">
        <v>356</v>
      </c>
      <c r="B122" s="130" t="s">
        <v>357</v>
      </c>
      <c r="C122" s="170" t="s">
        <v>358</v>
      </c>
      <c r="D122" s="163"/>
      <c r="E122" s="163">
        <v>3.0</v>
      </c>
      <c r="F122" s="163">
        <v>3.0</v>
      </c>
      <c r="G122" s="163">
        <v>2.0</v>
      </c>
      <c r="H122" s="163">
        <v>2.0</v>
      </c>
      <c r="I122" s="163">
        <v>3.0</v>
      </c>
      <c r="J122" s="163">
        <v>3.0</v>
      </c>
      <c r="K122" s="130"/>
      <c r="L122" s="163">
        <f t="shared" ref="L122:O122" si="142">IF(E122&gt;U122,0,1)</f>
        <v>0</v>
      </c>
      <c r="M122" s="163">
        <f t="shared" si="142"/>
        <v>0</v>
      </c>
      <c r="N122" s="163">
        <f t="shared" si="142"/>
        <v>0</v>
      </c>
      <c r="O122" s="163">
        <f t="shared" si="142"/>
        <v>0</v>
      </c>
      <c r="P122" s="163">
        <f t="shared" si="107"/>
        <v>0</v>
      </c>
      <c r="Q122" s="163">
        <f t="shared" si="108"/>
        <v>0</v>
      </c>
      <c r="R122" s="130"/>
      <c r="S122" s="163">
        <f t="shared" si="109"/>
        <v>0</v>
      </c>
      <c r="T122" s="163"/>
      <c r="U122" s="163">
        <f>'計分版'!E$14</f>
        <v>0.0000000001</v>
      </c>
      <c r="V122" s="163">
        <f>'計分版'!F$14</f>
        <v>0.0000000002</v>
      </c>
      <c r="W122" s="163">
        <f>'計分版'!G$14</f>
        <v>0.0000000003</v>
      </c>
      <c r="X122" s="163">
        <f>'計分版'!H$14</f>
        <v>0.0000000004</v>
      </c>
      <c r="Y122" s="163">
        <f>'計分版'!I$14</f>
        <v>0.0000000005</v>
      </c>
      <c r="Z122" s="163">
        <f>'計分版'!J$14</f>
        <v>0</v>
      </c>
      <c r="AA122" s="163">
        <f>'計分版'!K$14</f>
        <v>0</v>
      </c>
      <c r="AB122" s="163">
        <f>'計分版'!L$14</f>
        <v>0</v>
      </c>
      <c r="AC122" s="163">
        <f>'計分版'!M$14</f>
        <v>0</v>
      </c>
      <c r="AD122" s="163">
        <f>'計分版'!N$14</f>
        <v>0</v>
      </c>
      <c r="AE122" s="163"/>
      <c r="AF122" s="163" t="s">
        <v>1065</v>
      </c>
      <c r="AG122" s="163" t="s">
        <v>166</v>
      </c>
      <c r="AH122" s="163"/>
      <c r="AI122" s="163"/>
      <c r="AJ122" s="163"/>
      <c r="AK122" s="163"/>
      <c r="AL122" s="163"/>
      <c r="AM122" s="163"/>
      <c r="AN122" s="130"/>
      <c r="AO122" s="130"/>
      <c r="AP122" s="130"/>
      <c r="AQ122" s="130"/>
      <c r="AR122" s="130"/>
      <c r="AS122" s="130"/>
      <c r="AT122" s="130"/>
    </row>
    <row r="123" ht="13.5" customHeight="1">
      <c r="A123" s="130" t="s">
        <v>361</v>
      </c>
      <c r="B123" s="130" t="s">
        <v>362</v>
      </c>
      <c r="C123" s="170" t="s">
        <v>21</v>
      </c>
      <c r="D123" s="163"/>
      <c r="E123" s="163">
        <v>3.0</v>
      </c>
      <c r="F123" s="163">
        <v>3.0</v>
      </c>
      <c r="G123" s="163">
        <v>2.0</v>
      </c>
      <c r="H123" s="163">
        <v>2.0</v>
      </c>
      <c r="I123" s="163">
        <v>3.0</v>
      </c>
      <c r="J123" s="163">
        <v>3.0</v>
      </c>
      <c r="K123" s="130"/>
      <c r="L123" s="163">
        <f t="shared" ref="L123:O123" si="143">IF(E123&gt;U123,0,1)</f>
        <v>0</v>
      </c>
      <c r="M123" s="163">
        <f t="shared" si="143"/>
        <v>0</v>
      </c>
      <c r="N123" s="163">
        <f t="shared" si="143"/>
        <v>0</v>
      </c>
      <c r="O123" s="163">
        <f t="shared" si="143"/>
        <v>0</v>
      </c>
      <c r="P123" s="163">
        <f t="shared" si="107"/>
        <v>0</v>
      </c>
      <c r="Q123" s="163">
        <f t="shared" si="108"/>
        <v>0</v>
      </c>
      <c r="R123" s="130"/>
      <c r="S123" s="163">
        <f t="shared" si="109"/>
        <v>0</v>
      </c>
      <c r="T123" s="163"/>
      <c r="U123" s="163">
        <f>'計分版'!E$14</f>
        <v>0.0000000001</v>
      </c>
      <c r="V123" s="163">
        <f>'計分版'!F$14</f>
        <v>0.0000000002</v>
      </c>
      <c r="W123" s="163">
        <f>'計分版'!G$14</f>
        <v>0.0000000003</v>
      </c>
      <c r="X123" s="163">
        <f>'計分版'!H$14</f>
        <v>0.0000000004</v>
      </c>
      <c r="Y123" s="163">
        <f>'計分版'!I$14</f>
        <v>0.0000000005</v>
      </c>
      <c r="Z123" s="163">
        <f>'計分版'!J$14</f>
        <v>0</v>
      </c>
      <c r="AA123" s="163">
        <f>'計分版'!K$14</f>
        <v>0</v>
      </c>
      <c r="AB123" s="163">
        <f>'計分版'!L$14</f>
        <v>0</v>
      </c>
      <c r="AC123" s="163">
        <f>'計分版'!M$14</f>
        <v>0</v>
      </c>
      <c r="AD123" s="163">
        <f>'計分版'!N$14</f>
        <v>0</v>
      </c>
      <c r="AE123" s="163"/>
      <c r="AF123" s="163" t="s">
        <v>1065</v>
      </c>
      <c r="AG123" s="163" t="s">
        <v>166</v>
      </c>
      <c r="AH123" s="163"/>
      <c r="AI123" s="163"/>
      <c r="AJ123" s="163"/>
      <c r="AK123" s="163"/>
      <c r="AL123" s="163"/>
      <c r="AM123" s="163"/>
      <c r="AN123" s="130"/>
      <c r="AO123" s="130"/>
      <c r="AP123" s="130"/>
      <c r="AQ123" s="130"/>
      <c r="AR123" s="130"/>
      <c r="AS123" s="130"/>
      <c r="AT123" s="130"/>
    </row>
    <row r="124" ht="13.5" customHeight="1">
      <c r="A124" s="130" t="s">
        <v>365</v>
      </c>
      <c r="B124" s="130" t="s">
        <v>366</v>
      </c>
      <c r="C124" s="170" t="s">
        <v>358</v>
      </c>
      <c r="D124" s="163"/>
      <c r="E124" s="163">
        <v>3.0</v>
      </c>
      <c r="F124" s="163">
        <v>3.0</v>
      </c>
      <c r="G124" s="163">
        <v>2.0</v>
      </c>
      <c r="H124" s="163">
        <v>2.0</v>
      </c>
      <c r="I124" s="163">
        <v>3.0</v>
      </c>
      <c r="J124" s="163">
        <v>3.0</v>
      </c>
      <c r="K124" s="130"/>
      <c r="L124" s="163">
        <f t="shared" ref="L124:O124" si="144">IF(E124&gt;U124,0,1)</f>
        <v>0</v>
      </c>
      <c r="M124" s="163">
        <f t="shared" si="144"/>
        <v>0</v>
      </c>
      <c r="N124" s="163">
        <f t="shared" si="144"/>
        <v>0</v>
      </c>
      <c r="O124" s="163">
        <f t="shared" si="144"/>
        <v>0</v>
      </c>
      <c r="P124" s="163">
        <f t="shared" si="107"/>
        <v>0</v>
      </c>
      <c r="Q124" s="163">
        <f t="shared" si="108"/>
        <v>0</v>
      </c>
      <c r="R124" s="130"/>
      <c r="S124" s="163">
        <f t="shared" si="109"/>
        <v>0</v>
      </c>
      <c r="T124" s="163"/>
      <c r="U124" s="163">
        <f>'計分版'!E$14</f>
        <v>0.0000000001</v>
      </c>
      <c r="V124" s="163">
        <f>'計分版'!F$14</f>
        <v>0.0000000002</v>
      </c>
      <c r="W124" s="163">
        <f>'計分版'!G$14</f>
        <v>0.0000000003</v>
      </c>
      <c r="X124" s="163">
        <f>'計分版'!H$14</f>
        <v>0.0000000004</v>
      </c>
      <c r="Y124" s="163">
        <f>'計分版'!I$14</f>
        <v>0.0000000005</v>
      </c>
      <c r="Z124" s="163">
        <f>'計分版'!J$14</f>
        <v>0</v>
      </c>
      <c r="AA124" s="163">
        <f>'計分版'!K$14</f>
        <v>0</v>
      </c>
      <c r="AB124" s="163">
        <f>'計分版'!L$14</f>
        <v>0</v>
      </c>
      <c r="AC124" s="163">
        <f>'計分版'!M$14</f>
        <v>0</v>
      </c>
      <c r="AD124" s="163">
        <f>'計分版'!N$14</f>
        <v>0</v>
      </c>
      <c r="AE124" s="163"/>
      <c r="AF124" s="163" t="s">
        <v>1065</v>
      </c>
      <c r="AG124" s="163" t="s">
        <v>166</v>
      </c>
      <c r="AH124" s="163"/>
      <c r="AI124" s="163"/>
      <c r="AJ124" s="163"/>
      <c r="AK124" s="163"/>
      <c r="AL124" s="163"/>
      <c r="AM124" s="163"/>
      <c r="AN124" s="130"/>
      <c r="AO124" s="130"/>
      <c r="AP124" s="130"/>
      <c r="AQ124" s="130"/>
      <c r="AR124" s="130"/>
      <c r="AS124" s="130"/>
      <c r="AT124" s="130"/>
    </row>
    <row r="125" ht="13.5" customHeight="1">
      <c r="A125" s="130" t="s">
        <v>368</v>
      </c>
      <c r="B125" s="130" t="s">
        <v>369</v>
      </c>
      <c r="C125" s="170"/>
      <c r="D125" s="163"/>
      <c r="E125" s="163">
        <v>3.0</v>
      </c>
      <c r="F125" s="163">
        <v>3.0</v>
      </c>
      <c r="G125" s="163">
        <v>2.0</v>
      </c>
      <c r="H125" s="163">
        <v>2.0</v>
      </c>
      <c r="I125" s="163">
        <v>3.0</v>
      </c>
      <c r="J125" s="163">
        <v>3.0</v>
      </c>
      <c r="K125" s="130"/>
      <c r="L125" s="163">
        <f t="shared" ref="L125:O125" si="145">IF(E125&gt;U125,0,1)</f>
        <v>0</v>
      </c>
      <c r="M125" s="163">
        <f t="shared" si="145"/>
        <v>0</v>
      </c>
      <c r="N125" s="163">
        <f t="shared" si="145"/>
        <v>0</v>
      </c>
      <c r="O125" s="163">
        <f t="shared" si="145"/>
        <v>0</v>
      </c>
      <c r="P125" s="163">
        <f t="shared" si="107"/>
        <v>0</v>
      </c>
      <c r="Q125" s="163">
        <f t="shared" si="108"/>
        <v>0</v>
      </c>
      <c r="R125" s="130"/>
      <c r="S125" s="163">
        <f t="shared" si="109"/>
        <v>0</v>
      </c>
      <c r="T125" s="163"/>
      <c r="U125" s="163">
        <f>'計分版'!E$14</f>
        <v>0.0000000001</v>
      </c>
      <c r="V125" s="163">
        <f>'計分版'!F$14</f>
        <v>0.0000000002</v>
      </c>
      <c r="W125" s="163">
        <f>'計分版'!G$14</f>
        <v>0.0000000003</v>
      </c>
      <c r="X125" s="163">
        <f>'計分版'!H$14</f>
        <v>0.0000000004</v>
      </c>
      <c r="Y125" s="163">
        <f>'計分版'!I$14</f>
        <v>0.0000000005</v>
      </c>
      <c r="Z125" s="163">
        <f>'計分版'!J$14</f>
        <v>0</v>
      </c>
      <c r="AA125" s="163">
        <f>'計分版'!K$14</f>
        <v>0</v>
      </c>
      <c r="AB125" s="163">
        <f>'計分版'!L$14</f>
        <v>0</v>
      </c>
      <c r="AC125" s="163">
        <f>'計分版'!M$14</f>
        <v>0</v>
      </c>
      <c r="AD125" s="163">
        <f>'計分版'!N$14</f>
        <v>0</v>
      </c>
      <c r="AE125" s="163"/>
      <c r="AF125" s="163" t="s">
        <v>1065</v>
      </c>
      <c r="AG125" s="163" t="s">
        <v>166</v>
      </c>
      <c r="AH125" s="163"/>
      <c r="AI125" s="163"/>
      <c r="AJ125" s="163"/>
      <c r="AK125" s="163"/>
      <c r="AL125" s="163"/>
      <c r="AM125" s="163"/>
      <c r="AN125" s="130"/>
      <c r="AO125" s="130"/>
      <c r="AP125" s="130"/>
      <c r="AQ125" s="130"/>
      <c r="AR125" s="130"/>
      <c r="AS125" s="130"/>
      <c r="AT125" s="130"/>
    </row>
    <row r="126" ht="13.5" customHeight="1">
      <c r="A126" s="130" t="s">
        <v>370</v>
      </c>
      <c r="B126" s="130" t="s">
        <v>371</v>
      </c>
      <c r="C126" s="170" t="s">
        <v>21</v>
      </c>
      <c r="D126" s="163"/>
      <c r="E126" s="163">
        <v>3.0</v>
      </c>
      <c r="F126" s="163">
        <v>3.0</v>
      </c>
      <c r="G126" s="163">
        <v>2.0</v>
      </c>
      <c r="H126" s="163">
        <v>2.0</v>
      </c>
      <c r="I126" s="163">
        <v>3.0</v>
      </c>
      <c r="J126" s="163">
        <v>3.0</v>
      </c>
      <c r="K126" s="130"/>
      <c r="L126" s="163">
        <f t="shared" ref="L126:O126" si="146">IF(E126&gt;U126,0,1)</f>
        <v>0</v>
      </c>
      <c r="M126" s="163">
        <f t="shared" si="146"/>
        <v>0</v>
      </c>
      <c r="N126" s="163">
        <f t="shared" si="146"/>
        <v>0</v>
      </c>
      <c r="O126" s="163">
        <f t="shared" si="146"/>
        <v>0</v>
      </c>
      <c r="P126" s="163">
        <f t="shared" si="107"/>
        <v>0</v>
      </c>
      <c r="Q126" s="163">
        <f t="shared" si="108"/>
        <v>0</v>
      </c>
      <c r="R126" s="130"/>
      <c r="S126" s="163">
        <f t="shared" si="109"/>
        <v>0</v>
      </c>
      <c r="T126" s="163"/>
      <c r="U126" s="163">
        <f>'計分版'!E$14</f>
        <v>0.0000000001</v>
      </c>
      <c r="V126" s="163">
        <f>'計分版'!F$14</f>
        <v>0.0000000002</v>
      </c>
      <c r="W126" s="163">
        <f>'計分版'!G$14</f>
        <v>0.0000000003</v>
      </c>
      <c r="X126" s="163">
        <f>'計分版'!H$14</f>
        <v>0.0000000004</v>
      </c>
      <c r="Y126" s="163">
        <f>'計分版'!I$14</f>
        <v>0.0000000005</v>
      </c>
      <c r="Z126" s="163">
        <f>'計分版'!J$14</f>
        <v>0</v>
      </c>
      <c r="AA126" s="163">
        <f>'計分版'!K$14</f>
        <v>0</v>
      </c>
      <c r="AB126" s="163">
        <f>'計分版'!L$14</f>
        <v>0</v>
      </c>
      <c r="AC126" s="163">
        <f>'計分版'!M$14</f>
        <v>0</v>
      </c>
      <c r="AD126" s="163">
        <f>'計分版'!N$14</f>
        <v>0</v>
      </c>
      <c r="AE126" s="163"/>
      <c r="AF126" s="163" t="s">
        <v>1065</v>
      </c>
      <c r="AG126" s="163" t="s">
        <v>166</v>
      </c>
      <c r="AH126" s="163"/>
      <c r="AI126" s="163"/>
      <c r="AJ126" s="163"/>
      <c r="AK126" s="163"/>
      <c r="AL126" s="163"/>
      <c r="AM126" s="163"/>
      <c r="AN126" s="130"/>
      <c r="AO126" s="130"/>
      <c r="AP126" s="130"/>
      <c r="AQ126" s="130"/>
      <c r="AR126" s="130"/>
      <c r="AS126" s="130"/>
      <c r="AT126" s="130"/>
    </row>
    <row r="127" ht="13.5" customHeight="1">
      <c r="A127" s="130" t="s">
        <v>373</v>
      </c>
      <c r="B127" s="130" t="s">
        <v>374</v>
      </c>
      <c r="C127" s="170" t="s">
        <v>21</v>
      </c>
      <c r="D127" s="163"/>
      <c r="E127" s="163">
        <v>3.0</v>
      </c>
      <c r="F127" s="163">
        <v>3.0</v>
      </c>
      <c r="G127" s="163">
        <v>2.0</v>
      </c>
      <c r="H127" s="163">
        <v>2.0</v>
      </c>
      <c r="I127" s="163">
        <v>3.0</v>
      </c>
      <c r="J127" s="163">
        <v>3.0</v>
      </c>
      <c r="K127" s="130"/>
      <c r="L127" s="163">
        <f t="shared" ref="L127:O127" si="147">IF(E127&gt;U127,0,1)</f>
        <v>0</v>
      </c>
      <c r="M127" s="163">
        <f t="shared" si="147"/>
        <v>0</v>
      </c>
      <c r="N127" s="163">
        <f t="shared" si="147"/>
        <v>0</v>
      </c>
      <c r="O127" s="163">
        <f t="shared" si="147"/>
        <v>0</v>
      </c>
      <c r="P127" s="163">
        <f t="shared" si="107"/>
        <v>0</v>
      </c>
      <c r="Q127" s="163">
        <f t="shared" si="108"/>
        <v>0</v>
      </c>
      <c r="R127" s="130"/>
      <c r="S127" s="163">
        <f t="shared" si="109"/>
        <v>0</v>
      </c>
      <c r="T127" s="163"/>
      <c r="U127" s="163">
        <f>'計分版'!E$14</f>
        <v>0.0000000001</v>
      </c>
      <c r="V127" s="163">
        <f>'計分版'!F$14</f>
        <v>0.0000000002</v>
      </c>
      <c r="W127" s="163">
        <f>'計分版'!G$14</f>
        <v>0.0000000003</v>
      </c>
      <c r="X127" s="163">
        <f>'計分版'!H$14</f>
        <v>0.0000000004</v>
      </c>
      <c r="Y127" s="163">
        <f>'計分版'!I$14</f>
        <v>0.0000000005</v>
      </c>
      <c r="Z127" s="163">
        <f>'計分版'!J$14</f>
        <v>0</v>
      </c>
      <c r="AA127" s="163">
        <f>'計分版'!K$14</f>
        <v>0</v>
      </c>
      <c r="AB127" s="163">
        <f>'計分版'!L$14</f>
        <v>0</v>
      </c>
      <c r="AC127" s="163">
        <f>'計分版'!M$14</f>
        <v>0</v>
      </c>
      <c r="AD127" s="163">
        <f>'計分版'!N$14</f>
        <v>0</v>
      </c>
      <c r="AE127" s="163"/>
      <c r="AF127" s="163" t="s">
        <v>1065</v>
      </c>
      <c r="AG127" s="163" t="s">
        <v>166</v>
      </c>
      <c r="AH127" s="163"/>
      <c r="AI127" s="163"/>
      <c r="AJ127" s="163"/>
      <c r="AK127" s="163"/>
      <c r="AL127" s="163"/>
      <c r="AM127" s="163"/>
      <c r="AN127" s="130"/>
      <c r="AO127" s="130"/>
      <c r="AP127" s="130"/>
      <c r="AQ127" s="130"/>
      <c r="AR127" s="130"/>
      <c r="AS127" s="130"/>
      <c r="AT127" s="130"/>
    </row>
    <row r="128" ht="13.5" customHeight="1">
      <c r="A128" s="130" t="s">
        <v>376</v>
      </c>
      <c r="B128" s="130" t="s">
        <v>377</v>
      </c>
      <c r="C128" s="170" t="s">
        <v>21</v>
      </c>
      <c r="D128" s="163"/>
      <c r="E128" s="163">
        <v>3.0</v>
      </c>
      <c r="F128" s="163">
        <v>3.0</v>
      </c>
      <c r="G128" s="163">
        <v>2.0</v>
      </c>
      <c r="H128" s="163">
        <v>2.0</v>
      </c>
      <c r="I128" s="163">
        <v>3.0</v>
      </c>
      <c r="J128" s="163">
        <v>3.0</v>
      </c>
      <c r="K128" s="130"/>
      <c r="L128" s="163">
        <f t="shared" ref="L128:O128" si="148">IF(E128&gt;U128,0,1)</f>
        <v>0</v>
      </c>
      <c r="M128" s="163">
        <f t="shared" si="148"/>
        <v>0</v>
      </c>
      <c r="N128" s="163">
        <f t="shared" si="148"/>
        <v>0</v>
      </c>
      <c r="O128" s="163">
        <f t="shared" si="148"/>
        <v>0</v>
      </c>
      <c r="P128" s="163">
        <f t="shared" si="107"/>
        <v>0</v>
      </c>
      <c r="Q128" s="163">
        <f t="shared" si="108"/>
        <v>0</v>
      </c>
      <c r="R128" s="130"/>
      <c r="S128" s="163">
        <f t="shared" si="109"/>
        <v>0</v>
      </c>
      <c r="T128" s="163"/>
      <c r="U128" s="163">
        <f>'計分版'!E$14</f>
        <v>0.0000000001</v>
      </c>
      <c r="V128" s="163">
        <f>'計分版'!F$14</f>
        <v>0.0000000002</v>
      </c>
      <c r="W128" s="163">
        <f>'計分版'!G$14</f>
        <v>0.0000000003</v>
      </c>
      <c r="X128" s="163">
        <f>'計分版'!H$14</f>
        <v>0.0000000004</v>
      </c>
      <c r="Y128" s="163">
        <f>'計分版'!I$14</f>
        <v>0.0000000005</v>
      </c>
      <c r="Z128" s="163">
        <f>'計分版'!J$14</f>
        <v>0</v>
      </c>
      <c r="AA128" s="163">
        <f>'計分版'!K$14</f>
        <v>0</v>
      </c>
      <c r="AB128" s="163">
        <f>'計分版'!L$14</f>
        <v>0</v>
      </c>
      <c r="AC128" s="163">
        <f>'計分版'!M$14</f>
        <v>0</v>
      </c>
      <c r="AD128" s="163">
        <f>'計分版'!N$14</f>
        <v>0</v>
      </c>
      <c r="AE128" s="163"/>
      <c r="AF128" s="163" t="s">
        <v>1065</v>
      </c>
      <c r="AG128" s="163" t="s">
        <v>166</v>
      </c>
      <c r="AH128" s="163"/>
      <c r="AI128" s="163"/>
      <c r="AJ128" s="163"/>
      <c r="AK128" s="163"/>
      <c r="AL128" s="163"/>
      <c r="AM128" s="163"/>
      <c r="AN128" s="130"/>
      <c r="AO128" s="130"/>
      <c r="AP128" s="130"/>
      <c r="AQ128" s="130"/>
      <c r="AR128" s="130"/>
      <c r="AS128" s="130"/>
      <c r="AT128" s="130"/>
    </row>
    <row r="129" ht="13.5" customHeight="1">
      <c r="A129" s="130" t="s">
        <v>379</v>
      </c>
      <c r="B129" s="130" t="s">
        <v>380</v>
      </c>
      <c r="C129" s="170" t="s">
        <v>21</v>
      </c>
      <c r="D129" s="163"/>
      <c r="E129" s="163">
        <v>3.0</v>
      </c>
      <c r="F129" s="163">
        <v>3.0</v>
      </c>
      <c r="G129" s="163">
        <v>2.0</v>
      </c>
      <c r="H129" s="163">
        <v>2.0</v>
      </c>
      <c r="I129" s="163">
        <v>3.0</v>
      </c>
      <c r="J129" s="163">
        <v>3.0</v>
      </c>
      <c r="K129" s="130"/>
      <c r="L129" s="163">
        <f t="shared" ref="L129:O129" si="149">IF(E129&gt;U129,0,1)</f>
        <v>0</v>
      </c>
      <c r="M129" s="163">
        <f t="shared" si="149"/>
        <v>0</v>
      </c>
      <c r="N129" s="163">
        <f t="shared" si="149"/>
        <v>0</v>
      </c>
      <c r="O129" s="163">
        <f t="shared" si="149"/>
        <v>0</v>
      </c>
      <c r="P129" s="163">
        <f t="shared" si="107"/>
        <v>0</v>
      </c>
      <c r="Q129" s="163">
        <f t="shared" si="108"/>
        <v>0</v>
      </c>
      <c r="R129" s="130"/>
      <c r="S129" s="163">
        <f t="shared" si="109"/>
        <v>0</v>
      </c>
      <c r="T129" s="163"/>
      <c r="U129" s="163">
        <f>'計分版'!E$14</f>
        <v>0.0000000001</v>
      </c>
      <c r="V129" s="163">
        <f>'計分版'!F$14</f>
        <v>0.0000000002</v>
      </c>
      <c r="W129" s="163">
        <f>'計分版'!G$14</f>
        <v>0.0000000003</v>
      </c>
      <c r="X129" s="163">
        <f>'計分版'!H$14</f>
        <v>0.0000000004</v>
      </c>
      <c r="Y129" s="163">
        <f>'計分版'!I$14</f>
        <v>0.0000000005</v>
      </c>
      <c r="Z129" s="163">
        <f>'計分版'!J$14</f>
        <v>0</v>
      </c>
      <c r="AA129" s="163">
        <f>'計分版'!K$14</f>
        <v>0</v>
      </c>
      <c r="AB129" s="163">
        <f>'計分版'!L$14</f>
        <v>0</v>
      </c>
      <c r="AC129" s="163">
        <f>'計分版'!M$14</f>
        <v>0</v>
      </c>
      <c r="AD129" s="163">
        <f>'計分版'!N$14</f>
        <v>0</v>
      </c>
      <c r="AE129" s="163"/>
      <c r="AF129" s="163" t="s">
        <v>1065</v>
      </c>
      <c r="AG129" s="163" t="s">
        <v>166</v>
      </c>
      <c r="AH129" s="163"/>
      <c r="AI129" s="163"/>
      <c r="AJ129" s="163"/>
      <c r="AK129" s="163"/>
      <c r="AL129" s="163"/>
      <c r="AM129" s="163"/>
      <c r="AN129" s="130"/>
      <c r="AO129" s="130"/>
      <c r="AP129" s="130"/>
      <c r="AQ129" s="130"/>
      <c r="AR129" s="130"/>
      <c r="AS129" s="130"/>
      <c r="AT129" s="130"/>
    </row>
    <row r="130" ht="13.5" customHeight="1">
      <c r="A130" s="130" t="s">
        <v>382</v>
      </c>
      <c r="B130" s="130" t="s">
        <v>383</v>
      </c>
      <c r="C130" s="170" t="s">
        <v>21</v>
      </c>
      <c r="D130" s="163"/>
      <c r="E130" s="163">
        <v>3.0</v>
      </c>
      <c r="F130" s="163">
        <v>3.0</v>
      </c>
      <c r="G130" s="163">
        <v>2.0</v>
      </c>
      <c r="H130" s="163">
        <v>2.0</v>
      </c>
      <c r="I130" s="163">
        <v>3.0</v>
      </c>
      <c r="J130" s="163">
        <v>3.0</v>
      </c>
      <c r="K130" s="130"/>
      <c r="L130" s="163">
        <f t="shared" ref="L130:O130" si="150">IF(E130&gt;U130,0,1)</f>
        <v>0</v>
      </c>
      <c r="M130" s="163">
        <f t="shared" si="150"/>
        <v>0</v>
      </c>
      <c r="N130" s="163">
        <f t="shared" si="150"/>
        <v>0</v>
      </c>
      <c r="O130" s="163">
        <f t="shared" si="150"/>
        <v>0</v>
      </c>
      <c r="P130" s="163">
        <f t="shared" si="107"/>
        <v>0</v>
      </c>
      <c r="Q130" s="163">
        <f t="shared" si="108"/>
        <v>0</v>
      </c>
      <c r="R130" s="130"/>
      <c r="S130" s="163">
        <f t="shared" si="109"/>
        <v>0</v>
      </c>
      <c r="T130" s="163"/>
      <c r="U130" s="163">
        <f>'計分版'!E$14</f>
        <v>0.0000000001</v>
      </c>
      <c r="V130" s="163">
        <f>'計分版'!F$14</f>
        <v>0.0000000002</v>
      </c>
      <c r="W130" s="163">
        <f>'計分版'!G$14</f>
        <v>0.0000000003</v>
      </c>
      <c r="X130" s="163">
        <f>'計分版'!H$14</f>
        <v>0.0000000004</v>
      </c>
      <c r="Y130" s="163">
        <f>'計分版'!I$14</f>
        <v>0.0000000005</v>
      </c>
      <c r="Z130" s="163">
        <f>'計分版'!J$14</f>
        <v>0</v>
      </c>
      <c r="AA130" s="163">
        <f>'計分版'!K$14</f>
        <v>0</v>
      </c>
      <c r="AB130" s="163">
        <f>'計分版'!L$14</f>
        <v>0</v>
      </c>
      <c r="AC130" s="163">
        <f>'計分版'!M$14</f>
        <v>0</v>
      </c>
      <c r="AD130" s="163">
        <f>'計分版'!N$14</f>
        <v>0</v>
      </c>
      <c r="AE130" s="163"/>
      <c r="AF130" s="163" t="s">
        <v>1065</v>
      </c>
      <c r="AG130" s="163" t="s">
        <v>166</v>
      </c>
      <c r="AH130" s="163"/>
      <c r="AI130" s="163"/>
      <c r="AJ130" s="163"/>
      <c r="AK130" s="163"/>
      <c r="AL130" s="163"/>
      <c r="AM130" s="163"/>
      <c r="AN130" s="130"/>
      <c r="AO130" s="130"/>
      <c r="AP130" s="130"/>
      <c r="AQ130" s="130"/>
      <c r="AR130" s="130"/>
      <c r="AS130" s="130"/>
      <c r="AT130" s="130"/>
    </row>
    <row r="131" ht="13.5" customHeight="1">
      <c r="A131" s="130" t="s">
        <v>384</v>
      </c>
      <c r="B131" s="130" t="s">
        <v>385</v>
      </c>
      <c r="C131" s="170" t="s">
        <v>21</v>
      </c>
      <c r="D131" s="163"/>
      <c r="E131" s="163">
        <v>3.0</v>
      </c>
      <c r="F131" s="163">
        <v>3.0</v>
      </c>
      <c r="G131" s="163">
        <v>2.0</v>
      </c>
      <c r="H131" s="163">
        <v>2.0</v>
      </c>
      <c r="I131" s="163">
        <v>3.0</v>
      </c>
      <c r="J131" s="163">
        <v>3.0</v>
      </c>
      <c r="K131" s="130"/>
      <c r="L131" s="163">
        <f t="shared" ref="L131:O131" si="151">IF(E131&gt;U131,0,1)</f>
        <v>0</v>
      </c>
      <c r="M131" s="163">
        <f t="shared" si="151"/>
        <v>0</v>
      </c>
      <c r="N131" s="163">
        <f t="shared" si="151"/>
        <v>0</v>
      </c>
      <c r="O131" s="163">
        <f t="shared" si="151"/>
        <v>0</v>
      </c>
      <c r="P131" s="163">
        <f t="shared" si="107"/>
        <v>0</v>
      </c>
      <c r="Q131" s="163">
        <f t="shared" si="108"/>
        <v>0</v>
      </c>
      <c r="R131" s="130"/>
      <c r="S131" s="163">
        <f t="shared" si="109"/>
        <v>0</v>
      </c>
      <c r="T131" s="163"/>
      <c r="U131" s="163">
        <f>'計分版'!E$14</f>
        <v>0.0000000001</v>
      </c>
      <c r="V131" s="163">
        <f>'計分版'!F$14</f>
        <v>0.0000000002</v>
      </c>
      <c r="W131" s="163">
        <f>'計分版'!G$14</f>
        <v>0.0000000003</v>
      </c>
      <c r="X131" s="163">
        <f>'計分版'!H$14</f>
        <v>0.0000000004</v>
      </c>
      <c r="Y131" s="163">
        <f>'計分版'!I$14</f>
        <v>0.0000000005</v>
      </c>
      <c r="Z131" s="163">
        <f>'計分版'!J$14</f>
        <v>0</v>
      </c>
      <c r="AA131" s="163">
        <f>'計分版'!K$14</f>
        <v>0</v>
      </c>
      <c r="AB131" s="163">
        <f>'計分版'!L$14</f>
        <v>0</v>
      </c>
      <c r="AC131" s="163">
        <f>'計分版'!M$14</f>
        <v>0</v>
      </c>
      <c r="AD131" s="163">
        <f>'計分版'!N$14</f>
        <v>0</v>
      </c>
      <c r="AE131" s="163"/>
      <c r="AF131" s="163" t="s">
        <v>1065</v>
      </c>
      <c r="AG131" s="163" t="s">
        <v>166</v>
      </c>
      <c r="AH131" s="163"/>
      <c r="AI131" s="163"/>
      <c r="AJ131" s="163"/>
      <c r="AK131" s="163"/>
      <c r="AL131" s="163"/>
      <c r="AM131" s="163"/>
      <c r="AN131" s="130"/>
      <c r="AO131" s="130"/>
      <c r="AP131" s="130"/>
      <c r="AQ131" s="130"/>
      <c r="AR131" s="130"/>
      <c r="AS131" s="130"/>
      <c r="AT131" s="130"/>
    </row>
    <row r="132" ht="13.5" customHeight="1">
      <c r="A132" s="130" t="s">
        <v>386</v>
      </c>
      <c r="B132" s="130" t="s">
        <v>387</v>
      </c>
      <c r="C132" s="170" t="s">
        <v>21</v>
      </c>
      <c r="D132" s="163"/>
      <c r="E132" s="163">
        <v>3.0</v>
      </c>
      <c r="F132" s="163">
        <v>3.0</v>
      </c>
      <c r="G132" s="163">
        <v>2.0</v>
      </c>
      <c r="H132" s="163">
        <v>2.0</v>
      </c>
      <c r="I132" s="163">
        <v>3.0</v>
      </c>
      <c r="J132" s="163">
        <v>3.0</v>
      </c>
      <c r="K132" s="130"/>
      <c r="L132" s="163">
        <f t="shared" ref="L132:O132" si="152">IF(E132&gt;U132,0,1)</f>
        <v>0</v>
      </c>
      <c r="M132" s="163">
        <f t="shared" si="152"/>
        <v>0</v>
      </c>
      <c r="N132" s="163">
        <f t="shared" si="152"/>
        <v>0</v>
      </c>
      <c r="O132" s="163">
        <f t="shared" si="152"/>
        <v>0</v>
      </c>
      <c r="P132" s="163">
        <f t="shared" si="107"/>
        <v>0</v>
      </c>
      <c r="Q132" s="163">
        <f t="shared" si="108"/>
        <v>0</v>
      </c>
      <c r="R132" s="130"/>
      <c r="S132" s="163">
        <f t="shared" si="109"/>
        <v>0</v>
      </c>
      <c r="T132" s="163"/>
      <c r="U132" s="163">
        <f>'計分版'!E$14</f>
        <v>0.0000000001</v>
      </c>
      <c r="V132" s="163">
        <f>'計分版'!F$14</f>
        <v>0.0000000002</v>
      </c>
      <c r="W132" s="163">
        <f>'計分版'!G$14</f>
        <v>0.0000000003</v>
      </c>
      <c r="X132" s="163">
        <f>'計分版'!H$14</f>
        <v>0.0000000004</v>
      </c>
      <c r="Y132" s="163">
        <f>'計分版'!I$14</f>
        <v>0.0000000005</v>
      </c>
      <c r="Z132" s="163">
        <f>'計分版'!J$14</f>
        <v>0</v>
      </c>
      <c r="AA132" s="163">
        <f>'計分版'!K$14</f>
        <v>0</v>
      </c>
      <c r="AB132" s="163">
        <f>'計分版'!L$14</f>
        <v>0</v>
      </c>
      <c r="AC132" s="163">
        <f>'計分版'!M$14</f>
        <v>0</v>
      </c>
      <c r="AD132" s="163">
        <f>'計分版'!N$14</f>
        <v>0</v>
      </c>
      <c r="AE132" s="163"/>
      <c r="AF132" s="163" t="s">
        <v>1065</v>
      </c>
      <c r="AG132" s="163" t="s">
        <v>166</v>
      </c>
      <c r="AH132" s="163"/>
      <c r="AI132" s="163"/>
      <c r="AJ132" s="163"/>
      <c r="AK132" s="163"/>
      <c r="AL132" s="163"/>
      <c r="AM132" s="163"/>
      <c r="AN132" s="130"/>
      <c r="AO132" s="130"/>
      <c r="AP132" s="130"/>
      <c r="AQ132" s="130"/>
      <c r="AR132" s="130"/>
      <c r="AS132" s="130"/>
      <c r="AT132" s="130"/>
    </row>
    <row r="133" ht="13.5" customHeight="1">
      <c r="A133" s="130"/>
      <c r="B133" s="130"/>
      <c r="C133" s="130"/>
      <c r="D133" s="130"/>
      <c r="E133" s="130"/>
      <c r="F133" s="163"/>
      <c r="G133" s="163"/>
      <c r="H133" s="163"/>
      <c r="I133" s="163"/>
      <c r="J133" s="163"/>
      <c r="K133" s="130"/>
      <c r="L133" s="130"/>
      <c r="M133" s="130"/>
      <c r="N133" s="130"/>
      <c r="O133" s="130"/>
      <c r="P133" s="130"/>
      <c r="Q133" s="163"/>
      <c r="R133" s="163"/>
      <c r="S133" s="163"/>
      <c r="T133" s="163"/>
      <c r="U133" s="163"/>
      <c r="V133" s="163"/>
      <c r="W133" s="163"/>
      <c r="X133" s="163"/>
      <c r="Y133" s="163"/>
      <c r="Z133" s="163"/>
      <c r="AA133" s="163"/>
      <c r="AB133" s="163"/>
      <c r="AC133" s="163"/>
      <c r="AD133" s="163"/>
      <c r="AE133" s="163"/>
      <c r="AF133" s="163"/>
      <c r="AG133" s="163"/>
      <c r="AH133" s="163"/>
      <c r="AI133" s="163"/>
      <c r="AJ133" s="163"/>
      <c r="AK133" s="163"/>
      <c r="AL133" s="163"/>
      <c r="AM133" s="163"/>
      <c r="AN133" s="130"/>
      <c r="AO133" s="130"/>
      <c r="AP133" s="130"/>
      <c r="AQ133" s="130"/>
      <c r="AR133" s="130"/>
      <c r="AS133" s="130"/>
      <c r="AT133" s="130"/>
    </row>
    <row r="134" ht="13.5" customHeight="1">
      <c r="A134" s="130" t="s">
        <v>388</v>
      </c>
      <c r="B134" s="130" t="s">
        <v>389</v>
      </c>
      <c r="C134" s="170" t="s">
        <v>358</v>
      </c>
      <c r="D134" s="163"/>
      <c r="E134" s="163">
        <v>2.0</v>
      </c>
      <c r="F134" s="163">
        <v>2.0</v>
      </c>
      <c r="G134" s="163">
        <v>2.0</v>
      </c>
      <c r="H134" s="163">
        <v>2.0</v>
      </c>
      <c r="I134" s="163">
        <v>2.0</v>
      </c>
      <c r="J134" s="163"/>
      <c r="K134" s="130"/>
      <c r="L134" s="163">
        <f t="shared" ref="L134:O134" si="153">IF(E134&gt;U134,0,1)</f>
        <v>0</v>
      </c>
      <c r="M134" s="163">
        <f t="shared" si="153"/>
        <v>0</v>
      </c>
      <c r="N134" s="163">
        <f t="shared" si="153"/>
        <v>0</v>
      </c>
      <c r="O134" s="163">
        <f t="shared" si="153"/>
        <v>0</v>
      </c>
      <c r="P134" s="163">
        <f t="shared" ref="P134:P143" si="155">IF(I134&gt;LARGE(W134:AD134,3),0,1)</f>
        <v>0</v>
      </c>
      <c r="Q134" s="130"/>
      <c r="R134" s="130"/>
      <c r="S134" s="163">
        <f t="shared" ref="S134:S143" si="156">L134*M134*N134*O134*P134</f>
        <v>0</v>
      </c>
      <c r="T134" s="163"/>
      <c r="U134" s="163">
        <f>'計分版'!E$14</f>
        <v>0.0000000001</v>
      </c>
      <c r="V134" s="163">
        <f>'計分版'!F$14</f>
        <v>0.0000000002</v>
      </c>
      <c r="W134" s="163">
        <f>'計分版'!G$14</f>
        <v>0.0000000003</v>
      </c>
      <c r="X134" s="163">
        <f>'計分版'!H$14</f>
        <v>0.0000000004</v>
      </c>
      <c r="Y134" s="163">
        <f>'計分版'!I$14</f>
        <v>0.0000000005</v>
      </c>
      <c r="Z134" s="163">
        <f>'計分版'!J$14</f>
        <v>0</v>
      </c>
      <c r="AA134" s="163">
        <f>'計分版'!K$14</f>
        <v>0</v>
      </c>
      <c r="AB134" s="163">
        <f>'計分版'!L$14</f>
        <v>0</v>
      </c>
      <c r="AC134" s="163">
        <f>'計分版'!M$14</f>
        <v>0</v>
      </c>
      <c r="AD134" s="163">
        <f>'計分版'!N$14</f>
        <v>0</v>
      </c>
      <c r="AE134" s="163"/>
      <c r="AF134" s="163" t="s">
        <v>1065</v>
      </c>
      <c r="AG134" s="163" t="s">
        <v>166</v>
      </c>
      <c r="AH134" s="163"/>
      <c r="AI134" s="163"/>
      <c r="AJ134" s="163"/>
      <c r="AK134" s="163"/>
      <c r="AL134" s="163"/>
      <c r="AM134" s="163"/>
      <c r="AN134" s="130"/>
      <c r="AO134" s="130"/>
      <c r="AP134" s="130"/>
      <c r="AQ134" s="130"/>
      <c r="AR134" s="130"/>
      <c r="AS134" s="130"/>
      <c r="AT134" s="130"/>
    </row>
    <row r="135" ht="13.5" customHeight="1">
      <c r="A135" s="130" t="s">
        <v>391</v>
      </c>
      <c r="B135" s="130" t="s">
        <v>392</v>
      </c>
      <c r="C135" s="170" t="s">
        <v>358</v>
      </c>
      <c r="D135" s="163"/>
      <c r="E135" s="163">
        <v>2.0</v>
      </c>
      <c r="F135" s="163">
        <v>2.0</v>
      </c>
      <c r="G135" s="163">
        <v>2.0</v>
      </c>
      <c r="H135" s="163">
        <v>2.0</v>
      </c>
      <c r="I135" s="163">
        <v>2.0</v>
      </c>
      <c r="J135" s="163"/>
      <c r="K135" s="130"/>
      <c r="L135" s="163">
        <f t="shared" ref="L135:O135" si="154">IF(E135&gt;U135,0,1)</f>
        <v>0</v>
      </c>
      <c r="M135" s="163">
        <f t="shared" si="154"/>
        <v>0</v>
      </c>
      <c r="N135" s="163">
        <f t="shared" si="154"/>
        <v>0</v>
      </c>
      <c r="O135" s="163">
        <f t="shared" si="154"/>
        <v>0</v>
      </c>
      <c r="P135" s="163">
        <f t="shared" si="155"/>
        <v>0</v>
      </c>
      <c r="Q135" s="130"/>
      <c r="R135" s="130"/>
      <c r="S135" s="163">
        <f t="shared" si="156"/>
        <v>0</v>
      </c>
      <c r="T135" s="163"/>
      <c r="U135" s="163">
        <f>'計分版'!E$14</f>
        <v>0.0000000001</v>
      </c>
      <c r="V135" s="163">
        <f>'計分版'!F$14</f>
        <v>0.0000000002</v>
      </c>
      <c r="W135" s="163">
        <f>'計分版'!G$14</f>
        <v>0.0000000003</v>
      </c>
      <c r="X135" s="163">
        <f>'計分版'!H$14</f>
        <v>0.0000000004</v>
      </c>
      <c r="Y135" s="163">
        <f>'計分版'!I$14</f>
        <v>0.0000000005</v>
      </c>
      <c r="Z135" s="163">
        <f>'計分版'!J$14</f>
        <v>0</v>
      </c>
      <c r="AA135" s="163">
        <f>'計分版'!K$14</f>
        <v>0</v>
      </c>
      <c r="AB135" s="163">
        <f>'計分版'!L$14</f>
        <v>0</v>
      </c>
      <c r="AC135" s="163">
        <f>'計分版'!M$14</f>
        <v>0</v>
      </c>
      <c r="AD135" s="163">
        <f>'計分版'!N$14</f>
        <v>0</v>
      </c>
      <c r="AE135" s="163"/>
      <c r="AF135" s="163" t="s">
        <v>1065</v>
      </c>
      <c r="AG135" s="163" t="s">
        <v>166</v>
      </c>
      <c r="AH135" s="163"/>
      <c r="AI135" s="163"/>
      <c r="AJ135" s="163"/>
      <c r="AK135" s="163"/>
      <c r="AL135" s="163"/>
      <c r="AM135" s="163"/>
      <c r="AN135" s="130"/>
      <c r="AO135" s="130"/>
      <c r="AP135" s="130"/>
      <c r="AQ135" s="130"/>
      <c r="AR135" s="130"/>
      <c r="AS135" s="130"/>
      <c r="AT135" s="130"/>
    </row>
    <row r="136" ht="13.5" customHeight="1">
      <c r="A136" s="130" t="s">
        <v>394</v>
      </c>
      <c r="B136" s="130" t="s">
        <v>395</v>
      </c>
      <c r="C136" s="170" t="s">
        <v>358</v>
      </c>
      <c r="D136" s="163"/>
      <c r="E136" s="163">
        <v>2.0</v>
      </c>
      <c r="F136" s="163">
        <v>2.0</v>
      </c>
      <c r="G136" s="163">
        <v>2.0</v>
      </c>
      <c r="H136" s="163">
        <v>2.0</v>
      </c>
      <c r="I136" s="163">
        <v>2.0</v>
      </c>
      <c r="J136" s="163"/>
      <c r="K136" s="130"/>
      <c r="L136" s="163">
        <f t="shared" ref="L136:O136" si="157">IF(E136&gt;U136,0,1)</f>
        <v>0</v>
      </c>
      <c r="M136" s="163">
        <f t="shared" si="157"/>
        <v>0</v>
      </c>
      <c r="N136" s="163">
        <f t="shared" si="157"/>
        <v>0</v>
      </c>
      <c r="O136" s="163">
        <f t="shared" si="157"/>
        <v>0</v>
      </c>
      <c r="P136" s="163">
        <f t="shared" si="155"/>
        <v>0</v>
      </c>
      <c r="Q136" s="130"/>
      <c r="R136" s="130"/>
      <c r="S136" s="163">
        <f t="shared" si="156"/>
        <v>0</v>
      </c>
      <c r="T136" s="163"/>
      <c r="U136" s="163">
        <f>'計分版'!E$14</f>
        <v>0.0000000001</v>
      </c>
      <c r="V136" s="163">
        <f>'計分版'!F$14</f>
        <v>0.0000000002</v>
      </c>
      <c r="W136" s="163">
        <f>'計分版'!G$14</f>
        <v>0.0000000003</v>
      </c>
      <c r="X136" s="163">
        <f>'計分版'!H$14</f>
        <v>0.0000000004</v>
      </c>
      <c r="Y136" s="163">
        <f>'計分版'!I$14</f>
        <v>0.0000000005</v>
      </c>
      <c r="Z136" s="163">
        <f>'計分版'!J$14</f>
        <v>0</v>
      </c>
      <c r="AA136" s="163">
        <f>'計分版'!K$14</f>
        <v>0</v>
      </c>
      <c r="AB136" s="163">
        <f>'計分版'!L$14</f>
        <v>0</v>
      </c>
      <c r="AC136" s="163">
        <f>'計分版'!M$14</f>
        <v>0</v>
      </c>
      <c r="AD136" s="163">
        <f>'計分版'!N$14</f>
        <v>0</v>
      </c>
      <c r="AE136" s="163"/>
      <c r="AF136" s="163" t="s">
        <v>1065</v>
      </c>
      <c r="AG136" s="163" t="s">
        <v>166</v>
      </c>
      <c r="AH136" s="163"/>
      <c r="AI136" s="163"/>
      <c r="AJ136" s="163"/>
      <c r="AK136" s="163"/>
      <c r="AL136" s="163"/>
      <c r="AM136" s="163"/>
      <c r="AN136" s="130"/>
      <c r="AO136" s="130"/>
      <c r="AP136" s="130"/>
      <c r="AQ136" s="130"/>
      <c r="AR136" s="130"/>
      <c r="AS136" s="130"/>
      <c r="AT136" s="130"/>
    </row>
    <row r="137" ht="13.5" customHeight="1">
      <c r="A137" s="130" t="s">
        <v>396</v>
      </c>
      <c r="B137" s="130" t="s">
        <v>397</v>
      </c>
      <c r="C137" s="170" t="s">
        <v>358</v>
      </c>
      <c r="D137" s="163"/>
      <c r="E137" s="163">
        <v>2.0</v>
      </c>
      <c r="F137" s="163">
        <v>2.0</v>
      </c>
      <c r="G137" s="163">
        <v>2.0</v>
      </c>
      <c r="H137" s="163">
        <v>2.0</v>
      </c>
      <c r="I137" s="163">
        <v>2.0</v>
      </c>
      <c r="J137" s="163"/>
      <c r="K137" s="130"/>
      <c r="L137" s="163">
        <f t="shared" ref="L137:O137" si="158">IF(E137&gt;U137,0,1)</f>
        <v>0</v>
      </c>
      <c r="M137" s="163">
        <f t="shared" si="158"/>
        <v>0</v>
      </c>
      <c r="N137" s="163">
        <f t="shared" si="158"/>
        <v>0</v>
      </c>
      <c r="O137" s="163">
        <f t="shared" si="158"/>
        <v>0</v>
      </c>
      <c r="P137" s="163">
        <f t="shared" si="155"/>
        <v>0</v>
      </c>
      <c r="Q137" s="130"/>
      <c r="R137" s="130"/>
      <c r="S137" s="163">
        <f t="shared" si="156"/>
        <v>0</v>
      </c>
      <c r="T137" s="163"/>
      <c r="U137" s="163">
        <f>'計分版'!E$14</f>
        <v>0.0000000001</v>
      </c>
      <c r="V137" s="163">
        <f>'計分版'!F$14</f>
        <v>0.0000000002</v>
      </c>
      <c r="W137" s="163">
        <f>'計分版'!G$14</f>
        <v>0.0000000003</v>
      </c>
      <c r="X137" s="163">
        <f>'計分版'!H$14</f>
        <v>0.0000000004</v>
      </c>
      <c r="Y137" s="163">
        <f>'計分版'!I$14</f>
        <v>0.0000000005</v>
      </c>
      <c r="Z137" s="163">
        <f>'計分版'!J$14</f>
        <v>0</v>
      </c>
      <c r="AA137" s="163">
        <f>'計分版'!K$14</f>
        <v>0</v>
      </c>
      <c r="AB137" s="163">
        <f>'計分版'!L$14</f>
        <v>0</v>
      </c>
      <c r="AC137" s="163">
        <f>'計分版'!M$14</f>
        <v>0</v>
      </c>
      <c r="AD137" s="163">
        <f>'計分版'!N$14</f>
        <v>0</v>
      </c>
      <c r="AE137" s="163"/>
      <c r="AF137" s="163" t="s">
        <v>1065</v>
      </c>
      <c r="AG137" s="163" t="s">
        <v>166</v>
      </c>
      <c r="AH137" s="163"/>
      <c r="AI137" s="163"/>
      <c r="AJ137" s="163"/>
      <c r="AK137" s="163"/>
      <c r="AL137" s="163"/>
      <c r="AM137" s="163"/>
      <c r="AN137" s="130"/>
      <c r="AO137" s="130"/>
      <c r="AP137" s="130"/>
      <c r="AQ137" s="130"/>
      <c r="AR137" s="130"/>
      <c r="AS137" s="130"/>
      <c r="AT137" s="130"/>
    </row>
    <row r="138" ht="13.5" customHeight="1">
      <c r="A138" s="130" t="s">
        <v>398</v>
      </c>
      <c r="B138" s="130" t="s">
        <v>399</v>
      </c>
      <c r="C138" s="170" t="s">
        <v>358</v>
      </c>
      <c r="D138" s="163"/>
      <c r="E138" s="163">
        <v>2.0</v>
      </c>
      <c r="F138" s="163">
        <v>2.0</v>
      </c>
      <c r="G138" s="163">
        <v>2.0</v>
      </c>
      <c r="H138" s="163">
        <v>2.0</v>
      </c>
      <c r="I138" s="163">
        <v>2.0</v>
      </c>
      <c r="J138" s="163"/>
      <c r="K138" s="130"/>
      <c r="L138" s="163">
        <f t="shared" ref="L138:O138" si="159">IF(E138&gt;U138,0,1)</f>
        <v>0</v>
      </c>
      <c r="M138" s="163">
        <f t="shared" si="159"/>
        <v>0</v>
      </c>
      <c r="N138" s="163">
        <f t="shared" si="159"/>
        <v>0</v>
      </c>
      <c r="O138" s="163">
        <f t="shared" si="159"/>
        <v>0</v>
      </c>
      <c r="P138" s="163">
        <f t="shared" si="155"/>
        <v>0</v>
      </c>
      <c r="Q138" s="130"/>
      <c r="R138" s="130"/>
      <c r="S138" s="163">
        <f t="shared" si="156"/>
        <v>0</v>
      </c>
      <c r="T138" s="163"/>
      <c r="U138" s="163">
        <f>'計分版'!E$14</f>
        <v>0.0000000001</v>
      </c>
      <c r="V138" s="163">
        <f>'計分版'!F$14</f>
        <v>0.0000000002</v>
      </c>
      <c r="W138" s="163">
        <f>'計分版'!G$14</f>
        <v>0.0000000003</v>
      </c>
      <c r="X138" s="163">
        <f>'計分版'!H$14</f>
        <v>0.0000000004</v>
      </c>
      <c r="Y138" s="163">
        <f>'計分版'!I$14</f>
        <v>0.0000000005</v>
      </c>
      <c r="Z138" s="163">
        <f>'計分版'!J$14</f>
        <v>0</v>
      </c>
      <c r="AA138" s="163">
        <f>'計分版'!K$14</f>
        <v>0</v>
      </c>
      <c r="AB138" s="163">
        <f>'計分版'!L$14</f>
        <v>0</v>
      </c>
      <c r="AC138" s="163">
        <f>'計分版'!M$14</f>
        <v>0</v>
      </c>
      <c r="AD138" s="163">
        <f>'計分版'!N$14</f>
        <v>0</v>
      </c>
      <c r="AE138" s="163"/>
      <c r="AF138" s="163" t="s">
        <v>1065</v>
      </c>
      <c r="AG138" s="163" t="s">
        <v>166</v>
      </c>
      <c r="AH138" s="163"/>
      <c r="AI138" s="163"/>
      <c r="AJ138" s="163"/>
      <c r="AK138" s="163"/>
      <c r="AL138" s="163"/>
      <c r="AM138" s="163"/>
      <c r="AN138" s="130"/>
      <c r="AO138" s="130"/>
      <c r="AP138" s="130"/>
      <c r="AQ138" s="130"/>
      <c r="AR138" s="130"/>
      <c r="AS138" s="130"/>
      <c r="AT138" s="130"/>
    </row>
    <row r="139" ht="13.5" customHeight="1">
      <c r="A139" s="130" t="s">
        <v>400</v>
      </c>
      <c r="B139" s="130" t="s">
        <v>401</v>
      </c>
      <c r="C139" s="170" t="s">
        <v>358</v>
      </c>
      <c r="D139" s="163"/>
      <c r="E139" s="163">
        <v>2.0</v>
      </c>
      <c r="F139" s="163">
        <v>2.0</v>
      </c>
      <c r="G139" s="163">
        <v>2.0</v>
      </c>
      <c r="H139" s="163">
        <v>2.0</v>
      </c>
      <c r="I139" s="163">
        <v>2.0</v>
      </c>
      <c r="J139" s="163"/>
      <c r="K139" s="130"/>
      <c r="L139" s="163">
        <f t="shared" ref="L139:O139" si="160">IF(E139&gt;U139,0,1)</f>
        <v>0</v>
      </c>
      <c r="M139" s="163">
        <f t="shared" si="160"/>
        <v>0</v>
      </c>
      <c r="N139" s="163">
        <f t="shared" si="160"/>
        <v>0</v>
      </c>
      <c r="O139" s="163">
        <f t="shared" si="160"/>
        <v>0</v>
      </c>
      <c r="P139" s="163">
        <f t="shared" si="155"/>
        <v>0</v>
      </c>
      <c r="Q139" s="130"/>
      <c r="R139" s="130"/>
      <c r="S139" s="163">
        <f t="shared" si="156"/>
        <v>0</v>
      </c>
      <c r="T139" s="163"/>
      <c r="U139" s="163">
        <f>'計分版'!E$14</f>
        <v>0.0000000001</v>
      </c>
      <c r="V139" s="163">
        <f>'計分版'!F$14</f>
        <v>0.0000000002</v>
      </c>
      <c r="W139" s="163">
        <f>'計分版'!G$14</f>
        <v>0.0000000003</v>
      </c>
      <c r="X139" s="163">
        <f>'計分版'!H$14</f>
        <v>0.0000000004</v>
      </c>
      <c r="Y139" s="163">
        <f>'計分版'!I$14</f>
        <v>0.0000000005</v>
      </c>
      <c r="Z139" s="163">
        <f>'計分版'!J$14</f>
        <v>0</v>
      </c>
      <c r="AA139" s="163">
        <f>'計分版'!K$14</f>
        <v>0</v>
      </c>
      <c r="AB139" s="163">
        <f>'計分版'!L$14</f>
        <v>0</v>
      </c>
      <c r="AC139" s="163">
        <f>'計分版'!M$14</f>
        <v>0</v>
      </c>
      <c r="AD139" s="163">
        <f>'計分版'!N$14</f>
        <v>0</v>
      </c>
      <c r="AE139" s="163"/>
      <c r="AF139" s="163" t="s">
        <v>1065</v>
      </c>
      <c r="AG139" s="163" t="s">
        <v>166</v>
      </c>
      <c r="AH139" s="163"/>
      <c r="AI139" s="163"/>
      <c r="AJ139" s="163"/>
      <c r="AK139" s="163"/>
      <c r="AL139" s="163"/>
      <c r="AM139" s="163"/>
      <c r="AN139" s="130"/>
      <c r="AO139" s="130"/>
      <c r="AP139" s="130"/>
      <c r="AQ139" s="130"/>
      <c r="AR139" s="130"/>
      <c r="AS139" s="130"/>
      <c r="AT139" s="130"/>
    </row>
    <row r="140" ht="13.5" customHeight="1">
      <c r="A140" s="130" t="s">
        <v>402</v>
      </c>
      <c r="B140" s="130" t="s">
        <v>403</v>
      </c>
      <c r="C140" s="170" t="s">
        <v>358</v>
      </c>
      <c r="D140" s="163"/>
      <c r="E140" s="163">
        <v>2.0</v>
      </c>
      <c r="F140" s="163">
        <v>2.0</v>
      </c>
      <c r="G140" s="163">
        <v>2.0</v>
      </c>
      <c r="H140" s="163">
        <v>2.0</v>
      </c>
      <c r="I140" s="163">
        <v>2.0</v>
      </c>
      <c r="J140" s="163"/>
      <c r="K140" s="130"/>
      <c r="L140" s="163">
        <f t="shared" ref="L140:O140" si="161">IF(E140&gt;U140,0,1)</f>
        <v>0</v>
      </c>
      <c r="M140" s="163">
        <f t="shared" si="161"/>
        <v>0</v>
      </c>
      <c r="N140" s="163">
        <f t="shared" si="161"/>
        <v>0</v>
      </c>
      <c r="O140" s="163">
        <f t="shared" si="161"/>
        <v>0</v>
      </c>
      <c r="P140" s="163">
        <f t="shared" si="155"/>
        <v>0</v>
      </c>
      <c r="Q140" s="130"/>
      <c r="R140" s="130"/>
      <c r="S140" s="163">
        <f t="shared" si="156"/>
        <v>0</v>
      </c>
      <c r="T140" s="163"/>
      <c r="U140" s="163">
        <f>'計分版'!E$14</f>
        <v>0.0000000001</v>
      </c>
      <c r="V140" s="163">
        <f>'計分版'!F$14</f>
        <v>0.0000000002</v>
      </c>
      <c r="W140" s="163">
        <f>'計分版'!G$14</f>
        <v>0.0000000003</v>
      </c>
      <c r="X140" s="163">
        <f>'計分版'!H$14</f>
        <v>0.0000000004</v>
      </c>
      <c r="Y140" s="163">
        <f>'計分版'!I$14</f>
        <v>0.0000000005</v>
      </c>
      <c r="Z140" s="163">
        <f>'計分版'!J$14</f>
        <v>0</v>
      </c>
      <c r="AA140" s="163">
        <f>'計分版'!K$14</f>
        <v>0</v>
      </c>
      <c r="AB140" s="163">
        <f>'計分版'!L$14</f>
        <v>0</v>
      </c>
      <c r="AC140" s="163">
        <f>'計分版'!M$14</f>
        <v>0</v>
      </c>
      <c r="AD140" s="163">
        <f>'計分版'!N$14</f>
        <v>0</v>
      </c>
      <c r="AE140" s="163"/>
      <c r="AF140" s="163" t="s">
        <v>1065</v>
      </c>
      <c r="AG140" s="163" t="s">
        <v>166</v>
      </c>
      <c r="AH140" s="163"/>
      <c r="AI140" s="163"/>
      <c r="AJ140" s="163"/>
      <c r="AK140" s="163"/>
      <c r="AL140" s="163"/>
      <c r="AM140" s="163"/>
      <c r="AN140" s="130"/>
      <c r="AO140" s="130"/>
      <c r="AP140" s="130"/>
      <c r="AQ140" s="130"/>
      <c r="AR140" s="130"/>
      <c r="AS140" s="130"/>
      <c r="AT140" s="130"/>
    </row>
    <row r="141" ht="13.5" customHeight="1">
      <c r="A141" s="130" t="s">
        <v>404</v>
      </c>
      <c r="B141" s="130" t="s">
        <v>405</v>
      </c>
      <c r="C141" s="170" t="s">
        <v>358</v>
      </c>
      <c r="D141" s="163"/>
      <c r="E141" s="163">
        <v>2.0</v>
      </c>
      <c r="F141" s="163">
        <v>2.0</v>
      </c>
      <c r="G141" s="163">
        <v>2.0</v>
      </c>
      <c r="H141" s="163">
        <v>2.0</v>
      </c>
      <c r="I141" s="163">
        <v>2.0</v>
      </c>
      <c r="J141" s="163"/>
      <c r="K141" s="130"/>
      <c r="L141" s="163">
        <f t="shared" ref="L141:O141" si="162">IF(E141&gt;U141,0,1)</f>
        <v>0</v>
      </c>
      <c r="M141" s="163">
        <f t="shared" si="162"/>
        <v>0</v>
      </c>
      <c r="N141" s="163">
        <f t="shared" si="162"/>
        <v>0</v>
      </c>
      <c r="O141" s="163">
        <f t="shared" si="162"/>
        <v>0</v>
      </c>
      <c r="P141" s="163">
        <f t="shared" si="155"/>
        <v>0</v>
      </c>
      <c r="Q141" s="130"/>
      <c r="R141" s="130"/>
      <c r="S141" s="163">
        <f t="shared" si="156"/>
        <v>0</v>
      </c>
      <c r="T141" s="130"/>
      <c r="U141" s="163">
        <f>'計分版'!E$14</f>
        <v>0.0000000001</v>
      </c>
      <c r="V141" s="163">
        <f>'計分版'!F$14</f>
        <v>0.0000000002</v>
      </c>
      <c r="W141" s="163">
        <f>'計分版'!G$14</f>
        <v>0.0000000003</v>
      </c>
      <c r="X141" s="163">
        <f>'計分版'!H$14</f>
        <v>0.0000000004</v>
      </c>
      <c r="Y141" s="163">
        <f>'計分版'!I$14</f>
        <v>0.0000000005</v>
      </c>
      <c r="Z141" s="163">
        <f>'計分版'!J$14</f>
        <v>0</v>
      </c>
      <c r="AA141" s="163">
        <f>'計分版'!K$14</f>
        <v>0</v>
      </c>
      <c r="AB141" s="163">
        <f>'計分版'!L$14</f>
        <v>0</v>
      </c>
      <c r="AC141" s="163">
        <f>'計分版'!M$14</f>
        <v>0</v>
      </c>
      <c r="AD141" s="163">
        <f>'計分版'!N$14</f>
        <v>0</v>
      </c>
      <c r="AE141" s="163"/>
      <c r="AF141" s="163" t="s">
        <v>1065</v>
      </c>
      <c r="AG141" s="163" t="s">
        <v>166</v>
      </c>
      <c r="AH141" s="163"/>
      <c r="AI141" s="163"/>
      <c r="AJ141" s="163"/>
      <c r="AK141" s="163"/>
      <c r="AL141" s="163"/>
      <c r="AM141" s="163"/>
      <c r="AN141" s="130"/>
      <c r="AO141" s="130"/>
      <c r="AP141" s="130"/>
      <c r="AQ141" s="130"/>
      <c r="AR141" s="130"/>
      <c r="AS141" s="130"/>
      <c r="AT141" s="130"/>
    </row>
    <row r="142" ht="13.5" customHeight="1">
      <c r="A142" s="130" t="s">
        <v>406</v>
      </c>
      <c r="B142" s="130" t="s">
        <v>407</v>
      </c>
      <c r="C142" s="170" t="s">
        <v>358</v>
      </c>
      <c r="D142" s="163"/>
      <c r="E142" s="163">
        <v>2.0</v>
      </c>
      <c r="F142" s="163">
        <v>2.0</v>
      </c>
      <c r="G142" s="163">
        <v>2.0</v>
      </c>
      <c r="H142" s="163">
        <v>2.0</v>
      </c>
      <c r="I142" s="163">
        <v>2.0</v>
      </c>
      <c r="J142" s="163"/>
      <c r="K142" s="130"/>
      <c r="L142" s="163">
        <f t="shared" ref="L142:O142" si="163">IF(E142&gt;U142,0,1)</f>
        <v>0</v>
      </c>
      <c r="M142" s="163">
        <f t="shared" si="163"/>
        <v>0</v>
      </c>
      <c r="N142" s="163">
        <f t="shared" si="163"/>
        <v>0</v>
      </c>
      <c r="O142" s="163">
        <f t="shared" si="163"/>
        <v>0</v>
      </c>
      <c r="P142" s="163">
        <f t="shared" si="155"/>
        <v>0</v>
      </c>
      <c r="Q142" s="130"/>
      <c r="R142" s="130"/>
      <c r="S142" s="163">
        <f t="shared" si="156"/>
        <v>0</v>
      </c>
      <c r="T142" s="163"/>
      <c r="U142" s="163">
        <f>'計分版'!E$14</f>
        <v>0.0000000001</v>
      </c>
      <c r="V142" s="163">
        <f>'計分版'!F$14</f>
        <v>0.0000000002</v>
      </c>
      <c r="W142" s="163">
        <f>'計分版'!G$14</f>
        <v>0.0000000003</v>
      </c>
      <c r="X142" s="163">
        <f>'計分版'!H$14</f>
        <v>0.0000000004</v>
      </c>
      <c r="Y142" s="163">
        <f>'計分版'!I$14</f>
        <v>0.0000000005</v>
      </c>
      <c r="Z142" s="163">
        <f>'計分版'!J$14</f>
        <v>0</v>
      </c>
      <c r="AA142" s="163">
        <f>'計分版'!K$14</f>
        <v>0</v>
      </c>
      <c r="AB142" s="163">
        <f>'計分版'!L$14</f>
        <v>0</v>
      </c>
      <c r="AC142" s="163">
        <f>'計分版'!M$14</f>
        <v>0</v>
      </c>
      <c r="AD142" s="163">
        <f>'計分版'!N$14</f>
        <v>0</v>
      </c>
      <c r="AE142" s="163"/>
      <c r="AF142" s="163" t="s">
        <v>1065</v>
      </c>
      <c r="AG142" s="163" t="s">
        <v>166</v>
      </c>
      <c r="AH142" s="163"/>
      <c r="AI142" s="163"/>
      <c r="AJ142" s="163"/>
      <c r="AK142" s="163"/>
      <c r="AL142" s="163"/>
      <c r="AM142" s="163"/>
      <c r="AN142" s="130"/>
      <c r="AO142" s="130"/>
      <c r="AP142" s="130"/>
      <c r="AQ142" s="130"/>
      <c r="AR142" s="130"/>
      <c r="AS142" s="130"/>
      <c r="AT142" s="130"/>
    </row>
    <row r="143" ht="13.5" customHeight="1">
      <c r="A143" s="130" t="s">
        <v>410</v>
      </c>
      <c r="B143" s="130" t="s">
        <v>411</v>
      </c>
      <c r="C143" s="170" t="s">
        <v>358</v>
      </c>
      <c r="D143" s="163"/>
      <c r="E143" s="163">
        <v>2.0</v>
      </c>
      <c r="F143" s="163">
        <v>2.0</v>
      </c>
      <c r="G143" s="163">
        <v>2.0</v>
      </c>
      <c r="H143" s="163">
        <v>2.0</v>
      </c>
      <c r="I143" s="163">
        <v>2.0</v>
      </c>
      <c r="J143" s="163"/>
      <c r="K143" s="130"/>
      <c r="L143" s="163">
        <f t="shared" ref="L143:O143" si="164">IF(E143&gt;U143,0,1)</f>
        <v>0</v>
      </c>
      <c r="M143" s="163">
        <f t="shared" si="164"/>
        <v>0</v>
      </c>
      <c r="N143" s="163">
        <f t="shared" si="164"/>
        <v>0</v>
      </c>
      <c r="O143" s="163">
        <f t="shared" si="164"/>
        <v>0</v>
      </c>
      <c r="P143" s="163">
        <f t="shared" si="155"/>
        <v>0</v>
      </c>
      <c r="Q143" s="130"/>
      <c r="R143" s="130"/>
      <c r="S143" s="163">
        <f t="shared" si="156"/>
        <v>0</v>
      </c>
      <c r="T143" s="163"/>
      <c r="U143" s="163">
        <f>'計分版'!E$14</f>
        <v>0.0000000001</v>
      </c>
      <c r="V143" s="163">
        <f>'計分版'!F$14</f>
        <v>0.0000000002</v>
      </c>
      <c r="W143" s="163">
        <f>'計分版'!G$14</f>
        <v>0.0000000003</v>
      </c>
      <c r="X143" s="163">
        <f>'計分版'!H$14</f>
        <v>0.0000000004</v>
      </c>
      <c r="Y143" s="163">
        <f>'計分版'!I$14</f>
        <v>0.0000000005</v>
      </c>
      <c r="Z143" s="163">
        <f>'計分版'!J$14</f>
        <v>0</v>
      </c>
      <c r="AA143" s="163">
        <f>'計分版'!K$14</f>
        <v>0</v>
      </c>
      <c r="AB143" s="163">
        <f>'計分版'!L$14</f>
        <v>0</v>
      </c>
      <c r="AC143" s="163">
        <f>'計分版'!M$14</f>
        <v>0</v>
      </c>
      <c r="AD143" s="163">
        <f>'計分版'!N$14</f>
        <v>0</v>
      </c>
      <c r="AE143" s="163"/>
      <c r="AF143" s="163" t="s">
        <v>1065</v>
      </c>
      <c r="AG143" s="163" t="s">
        <v>166</v>
      </c>
      <c r="AH143" s="163"/>
      <c r="AI143" s="163"/>
      <c r="AJ143" s="163"/>
      <c r="AK143" s="163"/>
      <c r="AL143" s="163"/>
      <c r="AM143" s="163"/>
      <c r="AN143" s="130"/>
      <c r="AO143" s="130"/>
      <c r="AP143" s="130"/>
      <c r="AQ143" s="130"/>
      <c r="AR143" s="130"/>
      <c r="AS143" s="130"/>
      <c r="AT143" s="130"/>
    </row>
    <row r="144" ht="13.5" customHeight="1">
      <c r="A144" s="130"/>
      <c r="B144" s="130"/>
      <c r="C144" s="130"/>
      <c r="D144" s="130"/>
      <c r="E144" s="163"/>
      <c r="F144" s="163"/>
      <c r="G144" s="163"/>
      <c r="H144" s="163"/>
      <c r="I144" s="163"/>
      <c r="J144" s="163"/>
      <c r="K144" s="130"/>
      <c r="L144" s="130"/>
      <c r="M144" s="130"/>
      <c r="N144" s="130"/>
      <c r="O144" s="130"/>
      <c r="P144" s="130"/>
      <c r="Q144" s="130"/>
      <c r="R144" s="130"/>
      <c r="S144" s="163"/>
      <c r="T144" s="163"/>
      <c r="U144" s="163"/>
      <c r="V144" s="163"/>
      <c r="W144" s="163"/>
      <c r="X144" s="163"/>
      <c r="Y144" s="163"/>
      <c r="Z144" s="163"/>
      <c r="AA144" s="163"/>
      <c r="AB144" s="163"/>
      <c r="AC144" s="163"/>
      <c r="AD144" s="163"/>
      <c r="AE144" s="163"/>
      <c r="AF144" s="163"/>
      <c r="AG144" s="163"/>
      <c r="AH144" s="163"/>
      <c r="AI144" s="163"/>
      <c r="AJ144" s="163"/>
      <c r="AK144" s="163"/>
      <c r="AL144" s="163"/>
      <c r="AM144" s="163"/>
      <c r="AN144" s="130"/>
      <c r="AO144" s="130"/>
      <c r="AP144" s="130"/>
      <c r="AQ144" s="130"/>
      <c r="AR144" s="130"/>
      <c r="AS144" s="130"/>
      <c r="AT144" s="130"/>
    </row>
    <row r="145" ht="13.5" customHeight="1">
      <c r="A145" s="165" t="s">
        <v>177</v>
      </c>
      <c r="B145" s="130"/>
      <c r="C145" s="130"/>
      <c r="D145" s="130"/>
      <c r="E145" s="163"/>
      <c r="F145" s="163"/>
      <c r="G145" s="163"/>
      <c r="H145" s="163"/>
      <c r="I145" s="163"/>
      <c r="J145" s="163"/>
      <c r="K145" s="130"/>
      <c r="L145" s="130"/>
      <c r="M145" s="130"/>
      <c r="N145" s="130"/>
      <c r="O145" s="130"/>
      <c r="P145" s="130"/>
      <c r="Q145" s="130"/>
      <c r="R145" s="130"/>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30"/>
      <c r="AO145" s="130"/>
      <c r="AP145" s="130"/>
      <c r="AQ145" s="130"/>
      <c r="AR145" s="130"/>
      <c r="AS145" s="130"/>
      <c r="AT145" s="130"/>
    </row>
    <row r="146" ht="13.5" customHeight="1">
      <c r="A146" s="165" t="s">
        <v>1056</v>
      </c>
      <c r="B146" s="165" t="s">
        <v>1057</v>
      </c>
      <c r="C146" s="165" t="s">
        <v>44</v>
      </c>
      <c r="D146" s="166" t="s">
        <v>49</v>
      </c>
      <c r="E146" s="166" t="s">
        <v>1058</v>
      </c>
      <c r="F146" s="166" t="s">
        <v>1059</v>
      </c>
      <c r="G146" s="166" t="s">
        <v>1060</v>
      </c>
      <c r="H146" s="166" t="s">
        <v>1061</v>
      </c>
      <c r="I146" s="166" t="s">
        <v>218</v>
      </c>
      <c r="J146" s="166" t="s">
        <v>219</v>
      </c>
      <c r="K146" s="165"/>
      <c r="L146" s="166" t="s">
        <v>1058</v>
      </c>
      <c r="M146" s="166" t="s">
        <v>1059</v>
      </c>
      <c r="N146" s="166" t="s">
        <v>1060</v>
      </c>
      <c r="O146" s="166" t="s">
        <v>1061</v>
      </c>
      <c r="P146" s="166" t="s">
        <v>218</v>
      </c>
      <c r="Q146" s="166" t="s">
        <v>219</v>
      </c>
      <c r="R146" s="163"/>
      <c r="S146" s="163"/>
      <c r="T146" s="163"/>
      <c r="U146" s="167" t="s">
        <v>23</v>
      </c>
      <c r="V146" s="167" t="s">
        <v>26</v>
      </c>
      <c r="W146" s="167" t="s">
        <v>29</v>
      </c>
      <c r="X146" s="167" t="s">
        <v>30</v>
      </c>
      <c r="Y146" s="167" t="s">
        <v>173</v>
      </c>
      <c r="Z146" s="167" t="str">
        <f>'主頁'!$C$16</f>
        <v/>
      </c>
      <c r="AA146" s="167" t="str">
        <f>'主頁'!$C$17</f>
        <v/>
      </c>
      <c r="AB146" s="167" t="str">
        <f>'主頁'!$C$18</f>
        <v/>
      </c>
      <c r="AC146" s="167" t="str">
        <f>'主頁'!$C$19</f>
        <v/>
      </c>
      <c r="AD146" s="167" t="str">
        <f>'主頁'!$C$20</f>
        <v/>
      </c>
      <c r="AE146" s="166" t="s">
        <v>541</v>
      </c>
      <c r="AF146" s="163" t="s">
        <v>1062</v>
      </c>
      <c r="AG146" s="163" t="s">
        <v>1063</v>
      </c>
      <c r="AH146" s="163" t="s">
        <v>1064</v>
      </c>
      <c r="AI146" s="163"/>
      <c r="AJ146" s="163"/>
      <c r="AK146" s="163"/>
      <c r="AL146" s="163"/>
      <c r="AM146" s="163"/>
      <c r="AN146" s="130"/>
      <c r="AO146" s="130"/>
      <c r="AP146" s="130"/>
      <c r="AQ146" s="130"/>
      <c r="AR146" s="130"/>
      <c r="AS146" s="130"/>
      <c r="AT146" s="130"/>
    </row>
    <row r="147" ht="13.5" customHeight="1">
      <c r="A147" s="130" t="s">
        <v>413</v>
      </c>
      <c r="B147" s="130" t="s">
        <v>414</v>
      </c>
      <c r="C147" s="130" t="s">
        <v>21</v>
      </c>
      <c r="D147" s="163">
        <v>20.0</v>
      </c>
      <c r="E147" s="163">
        <v>3.0</v>
      </c>
      <c r="F147" s="163">
        <v>3.0</v>
      </c>
      <c r="G147" s="163">
        <v>2.0</v>
      </c>
      <c r="H147" s="163">
        <v>2.0</v>
      </c>
      <c r="I147" s="163">
        <v>3.0</v>
      </c>
      <c r="J147" s="163">
        <v>3.0</v>
      </c>
      <c r="K147" s="130"/>
      <c r="L147" s="163">
        <f t="shared" ref="L147:O147" si="165">IF(E147&gt;U147,0,1)</f>
        <v>0</v>
      </c>
      <c r="M147" s="163">
        <f t="shared" si="165"/>
        <v>0</v>
      </c>
      <c r="N147" s="163">
        <f t="shared" si="165"/>
        <v>0</v>
      </c>
      <c r="O147" s="163">
        <f t="shared" si="165"/>
        <v>0</v>
      </c>
      <c r="P147" s="163">
        <f>IF(I147&gt;LARGE('計分版'!$I$14:$N$14,1),0,1)</f>
        <v>0</v>
      </c>
      <c r="Q147" s="163">
        <f>IF(J147&gt;LARGE('計分版'!$I$14:$N$14,2),0,1)</f>
        <v>0</v>
      </c>
      <c r="R147" s="163"/>
      <c r="S147" s="163">
        <f t="shared" ref="S147:S155" si="167">L147*M147*N147*O147*P147*Q147</f>
        <v>0</v>
      </c>
      <c r="T147" s="163"/>
      <c r="U147" s="163">
        <f>'計分版'!E$14</f>
        <v>0.0000000001</v>
      </c>
      <c r="V147" s="163">
        <f>'計分版'!F$14</f>
        <v>0.0000000002</v>
      </c>
      <c r="W147" s="163">
        <f>'計分版'!G$14</f>
        <v>0.0000000003</v>
      </c>
      <c r="X147" s="163">
        <f>'計分版'!H$14</f>
        <v>0.0000000004</v>
      </c>
      <c r="Y147" s="163">
        <f>'計分版'!I$14</f>
        <v>0.0000000005</v>
      </c>
      <c r="Z147" s="163">
        <f>'計分版'!J$14</f>
        <v>0</v>
      </c>
      <c r="AA147" s="163">
        <f>'計分版'!K$14</f>
        <v>0</v>
      </c>
      <c r="AB147" s="163">
        <f>'計分版'!L$14</f>
        <v>0</v>
      </c>
      <c r="AC147" s="163">
        <f>'計分版'!M$14</f>
        <v>0</v>
      </c>
      <c r="AD147" s="163">
        <f>'計分版'!N$14</f>
        <v>0</v>
      </c>
      <c r="AE147" s="163"/>
      <c r="AF147" s="163" t="s">
        <v>1065</v>
      </c>
      <c r="AG147" s="163" t="s">
        <v>166</v>
      </c>
      <c r="AH147" s="163" t="s">
        <v>1065</v>
      </c>
      <c r="AI147" s="163"/>
      <c r="AJ147" s="163"/>
      <c r="AK147" s="163"/>
      <c r="AL147" s="163"/>
      <c r="AM147" s="163"/>
      <c r="AN147" s="130"/>
      <c r="AO147" s="130"/>
      <c r="AP147" s="130"/>
      <c r="AQ147" s="130"/>
      <c r="AR147" s="130"/>
      <c r="AS147" s="130"/>
      <c r="AT147" s="130"/>
    </row>
    <row r="148" ht="13.5" customHeight="1">
      <c r="A148" s="130" t="s">
        <v>415</v>
      </c>
      <c r="B148" s="130" t="s">
        <v>416</v>
      </c>
      <c r="C148" s="130" t="s">
        <v>21</v>
      </c>
      <c r="D148" s="163">
        <v>80.0</v>
      </c>
      <c r="E148" s="163">
        <v>3.0</v>
      </c>
      <c r="F148" s="163">
        <v>3.0</v>
      </c>
      <c r="G148" s="163">
        <v>2.0</v>
      </c>
      <c r="H148" s="163">
        <v>2.0</v>
      </c>
      <c r="I148" s="163">
        <v>3.0</v>
      </c>
      <c r="J148" s="163">
        <v>3.0</v>
      </c>
      <c r="K148" s="130"/>
      <c r="L148" s="163">
        <f t="shared" ref="L148:O148" si="166">IF(E148&gt;U148,0,1)</f>
        <v>0</v>
      </c>
      <c r="M148" s="163">
        <f t="shared" si="166"/>
        <v>0</v>
      </c>
      <c r="N148" s="163">
        <f t="shared" si="166"/>
        <v>0</v>
      </c>
      <c r="O148" s="163">
        <f t="shared" si="166"/>
        <v>0</v>
      </c>
      <c r="P148" s="163">
        <f>IF(I148&gt;LARGE('計分版'!$I$14:$N$14,1),0,1)</f>
        <v>0</v>
      </c>
      <c r="Q148" s="163">
        <f>IF(J148&gt;LARGE('計分版'!$I$14:$N$14,2),0,1)</f>
        <v>0</v>
      </c>
      <c r="R148" s="163"/>
      <c r="S148" s="163">
        <f t="shared" si="167"/>
        <v>0</v>
      </c>
      <c r="T148" s="163"/>
      <c r="U148" s="163">
        <f>'計分版'!E$14</f>
        <v>0.0000000001</v>
      </c>
      <c r="V148" s="163">
        <f>'計分版'!F$14</f>
        <v>0.0000000002</v>
      </c>
      <c r="W148" s="163">
        <f>'計分版'!G$14</f>
        <v>0.0000000003</v>
      </c>
      <c r="X148" s="163">
        <f>'計分版'!H$14</f>
        <v>0.0000000004</v>
      </c>
      <c r="Y148" s="163">
        <f>'計分版'!I$14</f>
        <v>0.0000000005</v>
      </c>
      <c r="Z148" s="163">
        <f>'計分版'!J$14</f>
        <v>0</v>
      </c>
      <c r="AA148" s="163">
        <f>'計分版'!K$14</f>
        <v>0</v>
      </c>
      <c r="AB148" s="163">
        <f>'計分版'!L$14</f>
        <v>0</v>
      </c>
      <c r="AC148" s="163">
        <f>'計分版'!M$14</f>
        <v>0</v>
      </c>
      <c r="AD148" s="163">
        <f>'計分版'!N$14</f>
        <v>0</v>
      </c>
      <c r="AE148" s="163"/>
      <c r="AF148" s="163" t="s">
        <v>1065</v>
      </c>
      <c r="AG148" s="163" t="s">
        <v>166</v>
      </c>
      <c r="AH148" s="163"/>
      <c r="AI148" s="163"/>
      <c r="AJ148" s="163"/>
      <c r="AK148" s="163"/>
      <c r="AL148" s="163"/>
      <c r="AM148" s="163"/>
      <c r="AN148" s="130"/>
      <c r="AO148" s="130"/>
      <c r="AP148" s="130"/>
      <c r="AQ148" s="130"/>
      <c r="AR148" s="130"/>
      <c r="AS148" s="130"/>
      <c r="AT148" s="130"/>
    </row>
    <row r="149" ht="13.5" customHeight="1">
      <c r="A149" s="130" t="s">
        <v>421</v>
      </c>
      <c r="B149" s="130" t="s">
        <v>422</v>
      </c>
      <c r="C149" s="130" t="s">
        <v>21</v>
      </c>
      <c r="D149" s="163">
        <v>17.0</v>
      </c>
      <c r="E149" s="163">
        <v>3.0</v>
      </c>
      <c r="F149" s="163">
        <v>3.0</v>
      </c>
      <c r="G149" s="163">
        <v>2.0</v>
      </c>
      <c r="H149" s="163">
        <v>2.0</v>
      </c>
      <c r="I149" s="163">
        <v>3.0</v>
      </c>
      <c r="J149" s="163">
        <v>3.0</v>
      </c>
      <c r="K149" s="130"/>
      <c r="L149" s="163">
        <f t="shared" ref="L149:O149" si="168">IF(E149&gt;U149,0,1)</f>
        <v>0</v>
      </c>
      <c r="M149" s="163">
        <f t="shared" si="168"/>
        <v>0</v>
      </c>
      <c r="N149" s="163">
        <f t="shared" si="168"/>
        <v>0</v>
      </c>
      <c r="O149" s="163">
        <f t="shared" si="168"/>
        <v>0</v>
      </c>
      <c r="P149" s="163">
        <f>IF(I149&gt;LARGE('計分版'!$I$14:$N$14,1),0,1)</f>
        <v>0</v>
      </c>
      <c r="Q149" s="163">
        <f>IF(J149&gt;LARGE('計分版'!$I$14:$N$14,2),0,1)</f>
        <v>0</v>
      </c>
      <c r="R149" s="163"/>
      <c r="S149" s="163">
        <f t="shared" si="167"/>
        <v>0</v>
      </c>
      <c r="T149" s="163"/>
      <c r="U149" s="163">
        <f>'計分版'!E$14</f>
        <v>0.0000000001</v>
      </c>
      <c r="V149" s="163">
        <f>'計分版'!F$14</f>
        <v>0.0000000002</v>
      </c>
      <c r="W149" s="163">
        <f>'計分版'!G$14</f>
        <v>0.0000000003</v>
      </c>
      <c r="X149" s="163">
        <f>'計分版'!H$14</f>
        <v>0.0000000004</v>
      </c>
      <c r="Y149" s="163">
        <f>'計分版'!I$14</f>
        <v>0.0000000005</v>
      </c>
      <c r="Z149" s="163">
        <f>'計分版'!J$14</f>
        <v>0</v>
      </c>
      <c r="AA149" s="163">
        <f>'計分版'!K$14</f>
        <v>0</v>
      </c>
      <c r="AB149" s="163">
        <f>'計分版'!L$14</f>
        <v>0</v>
      </c>
      <c r="AC149" s="163">
        <f>'計分版'!M$14</f>
        <v>0</v>
      </c>
      <c r="AD149" s="163">
        <f>'計分版'!N$14</f>
        <v>0</v>
      </c>
      <c r="AE149" s="163"/>
      <c r="AF149" s="163" t="s">
        <v>1065</v>
      </c>
      <c r="AG149" s="163" t="s">
        <v>166</v>
      </c>
      <c r="AH149" s="163"/>
      <c r="AI149" s="163"/>
      <c r="AJ149" s="163"/>
      <c r="AK149" s="163"/>
      <c r="AL149" s="163"/>
      <c r="AM149" s="163"/>
      <c r="AN149" s="130"/>
      <c r="AO149" s="130"/>
      <c r="AP149" s="130"/>
      <c r="AQ149" s="130"/>
      <c r="AR149" s="130"/>
      <c r="AS149" s="130"/>
      <c r="AT149" s="130"/>
    </row>
    <row r="150" ht="13.5" customHeight="1">
      <c r="A150" s="130" t="s">
        <v>426</v>
      </c>
      <c r="B150" s="130" t="s">
        <v>427</v>
      </c>
      <c r="C150" s="130" t="s">
        <v>21</v>
      </c>
      <c r="D150" s="163">
        <v>21.0</v>
      </c>
      <c r="E150" s="163">
        <v>3.0</v>
      </c>
      <c r="F150" s="163">
        <v>3.0</v>
      </c>
      <c r="G150" s="163">
        <v>2.0</v>
      </c>
      <c r="H150" s="163">
        <v>2.0</v>
      </c>
      <c r="I150" s="163">
        <v>3.0</v>
      </c>
      <c r="J150" s="163">
        <v>3.0</v>
      </c>
      <c r="K150" s="130"/>
      <c r="L150" s="163">
        <f t="shared" ref="L150:O150" si="169">IF(E150&gt;U150,0,1)</f>
        <v>0</v>
      </c>
      <c r="M150" s="163">
        <f t="shared" si="169"/>
        <v>0</v>
      </c>
      <c r="N150" s="163">
        <f t="shared" si="169"/>
        <v>0</v>
      </c>
      <c r="O150" s="163">
        <f t="shared" si="169"/>
        <v>0</v>
      </c>
      <c r="P150" s="163">
        <f>IF(I150&gt;LARGE('計分版'!$I$14:$N$14,1),0,1)</f>
        <v>0</v>
      </c>
      <c r="Q150" s="163">
        <f>IF(J150&gt;LARGE('計分版'!$I$14:$N$14,2),0,1)</f>
        <v>0</v>
      </c>
      <c r="R150" s="163"/>
      <c r="S150" s="163">
        <f t="shared" si="167"/>
        <v>0</v>
      </c>
      <c r="T150" s="163"/>
      <c r="U150" s="163">
        <f>'計分版'!E$14</f>
        <v>0.0000000001</v>
      </c>
      <c r="V150" s="163">
        <f>'計分版'!F$14</f>
        <v>0.0000000002</v>
      </c>
      <c r="W150" s="163">
        <f>'計分版'!G$14</f>
        <v>0.0000000003</v>
      </c>
      <c r="X150" s="163">
        <f>'計分版'!H$14</f>
        <v>0.0000000004</v>
      </c>
      <c r="Y150" s="163">
        <f>'計分版'!I$14</f>
        <v>0.0000000005</v>
      </c>
      <c r="Z150" s="163">
        <f>'計分版'!J$14</f>
        <v>0</v>
      </c>
      <c r="AA150" s="163">
        <f>'計分版'!K$14</f>
        <v>0</v>
      </c>
      <c r="AB150" s="163">
        <f>'計分版'!L$14</f>
        <v>0</v>
      </c>
      <c r="AC150" s="163">
        <f>'計分版'!M$14</f>
        <v>0</v>
      </c>
      <c r="AD150" s="163">
        <f>'計分版'!N$14</f>
        <v>0</v>
      </c>
      <c r="AE150" s="163"/>
      <c r="AF150" s="163" t="s">
        <v>1065</v>
      </c>
      <c r="AG150" s="163" t="s">
        <v>166</v>
      </c>
      <c r="AH150" s="163"/>
      <c r="AI150" s="163"/>
      <c r="AJ150" s="163"/>
      <c r="AK150" s="163"/>
      <c r="AL150" s="163"/>
      <c r="AM150" s="163"/>
      <c r="AN150" s="130"/>
      <c r="AO150" s="130"/>
      <c r="AP150" s="130"/>
      <c r="AQ150" s="130"/>
      <c r="AR150" s="130"/>
      <c r="AS150" s="130"/>
      <c r="AT150" s="130"/>
    </row>
    <row r="151" ht="13.5" customHeight="1">
      <c r="A151" s="130" t="s">
        <v>431</v>
      </c>
      <c r="B151" s="130" t="s">
        <v>432</v>
      </c>
      <c r="C151" s="172" t="s">
        <v>191</v>
      </c>
      <c r="D151" s="163">
        <v>55.0</v>
      </c>
      <c r="E151" s="163">
        <v>3.0</v>
      </c>
      <c r="F151" s="163">
        <v>3.0</v>
      </c>
      <c r="G151" s="163">
        <v>2.0</v>
      </c>
      <c r="H151" s="163">
        <v>2.0</v>
      </c>
      <c r="I151" s="163">
        <v>3.0</v>
      </c>
      <c r="J151" s="163">
        <v>3.0</v>
      </c>
      <c r="K151" s="130"/>
      <c r="L151" s="163">
        <f t="shared" ref="L151:O151" si="170">IF(E151&gt;U151,0,1)</f>
        <v>0</v>
      </c>
      <c r="M151" s="163">
        <f t="shared" si="170"/>
        <v>0</v>
      </c>
      <c r="N151" s="163">
        <f t="shared" si="170"/>
        <v>0</v>
      </c>
      <c r="O151" s="163">
        <f t="shared" si="170"/>
        <v>0</v>
      </c>
      <c r="P151" s="163">
        <f>IF(I151&gt;LARGE('計分版'!$I$14:$N$14,1),0,1)</f>
        <v>0</v>
      </c>
      <c r="Q151" s="163">
        <f>IF(J151&gt;LARGE('計分版'!$I$14:$N$14,2),0,1)</f>
        <v>0</v>
      </c>
      <c r="R151" s="163"/>
      <c r="S151" s="163">
        <f t="shared" si="167"/>
        <v>0</v>
      </c>
      <c r="T151" s="163"/>
      <c r="U151" s="163">
        <f>'計分版'!E$14</f>
        <v>0.0000000001</v>
      </c>
      <c r="V151" s="163">
        <f>'計分版'!F$14</f>
        <v>0.0000000002</v>
      </c>
      <c r="W151" s="163">
        <f>'計分版'!G$14</f>
        <v>0.0000000003</v>
      </c>
      <c r="X151" s="163">
        <f>'計分版'!H$14</f>
        <v>0.0000000004</v>
      </c>
      <c r="Y151" s="163">
        <f>'計分版'!I$14</f>
        <v>0.0000000005</v>
      </c>
      <c r="Z151" s="163">
        <f>'計分版'!J$14</f>
        <v>0</v>
      </c>
      <c r="AA151" s="163">
        <f>'計分版'!K$14</f>
        <v>0</v>
      </c>
      <c r="AB151" s="163">
        <f>'計分版'!L$14</f>
        <v>0</v>
      </c>
      <c r="AC151" s="163">
        <f>'計分版'!M$14</f>
        <v>0</v>
      </c>
      <c r="AD151" s="163">
        <f>'計分版'!N$14</f>
        <v>0</v>
      </c>
      <c r="AE151" s="163"/>
      <c r="AF151" s="163" t="s">
        <v>1065</v>
      </c>
      <c r="AG151" s="163" t="s">
        <v>166</v>
      </c>
      <c r="AH151" s="163" t="s">
        <v>1065</v>
      </c>
      <c r="AI151" s="163"/>
      <c r="AJ151" s="163"/>
      <c r="AK151" s="163"/>
      <c r="AL151" s="163"/>
      <c r="AM151" s="163"/>
      <c r="AN151" s="130"/>
      <c r="AO151" s="130"/>
      <c r="AP151" s="130"/>
      <c r="AQ151" s="130"/>
      <c r="AR151" s="130"/>
      <c r="AS151" s="130"/>
      <c r="AT151" s="130"/>
    </row>
    <row r="152" ht="13.5" customHeight="1">
      <c r="A152" s="130" t="s">
        <v>437</v>
      </c>
      <c r="B152" s="130" t="s">
        <v>438</v>
      </c>
      <c r="C152" s="130" t="s">
        <v>21</v>
      </c>
      <c r="D152" s="163">
        <v>20.0</v>
      </c>
      <c r="E152" s="163">
        <v>3.0</v>
      </c>
      <c r="F152" s="163">
        <v>3.0</v>
      </c>
      <c r="G152" s="163">
        <v>2.0</v>
      </c>
      <c r="H152" s="163">
        <v>2.0</v>
      </c>
      <c r="I152" s="163">
        <v>3.0</v>
      </c>
      <c r="J152" s="163">
        <v>3.0</v>
      </c>
      <c r="K152" s="130"/>
      <c r="L152" s="163">
        <f t="shared" ref="L152:O152" si="171">IF(E152&gt;U152,0,1)</f>
        <v>0</v>
      </c>
      <c r="M152" s="163">
        <f t="shared" si="171"/>
        <v>0</v>
      </c>
      <c r="N152" s="163">
        <f t="shared" si="171"/>
        <v>0</v>
      </c>
      <c r="O152" s="163">
        <f t="shared" si="171"/>
        <v>0</v>
      </c>
      <c r="P152" s="163">
        <f>IF(I152&gt;LARGE('計分版'!$I$14:$N$14,1),0,1)</f>
        <v>0</v>
      </c>
      <c r="Q152" s="163">
        <f>IF(J152&gt;LARGE('計分版'!$I$14:$N$14,2),0,1)</f>
        <v>0</v>
      </c>
      <c r="R152" s="163"/>
      <c r="S152" s="163">
        <f t="shared" si="167"/>
        <v>0</v>
      </c>
      <c r="T152" s="163"/>
      <c r="U152" s="163">
        <f>'計分版'!E$14</f>
        <v>0.0000000001</v>
      </c>
      <c r="V152" s="163">
        <f>'計分版'!F$14</f>
        <v>0.0000000002</v>
      </c>
      <c r="W152" s="163">
        <f>'計分版'!G$14</f>
        <v>0.0000000003</v>
      </c>
      <c r="X152" s="163">
        <f>'計分版'!H$14</f>
        <v>0.0000000004</v>
      </c>
      <c r="Y152" s="163">
        <f>'計分版'!I$14</f>
        <v>0.0000000005</v>
      </c>
      <c r="Z152" s="163">
        <f>'計分版'!J$14</f>
        <v>0</v>
      </c>
      <c r="AA152" s="163">
        <f>'計分版'!K$14</f>
        <v>0</v>
      </c>
      <c r="AB152" s="163">
        <f>'計分版'!L$14</f>
        <v>0</v>
      </c>
      <c r="AC152" s="163">
        <f>'計分版'!M$14</f>
        <v>0</v>
      </c>
      <c r="AD152" s="163">
        <f>'計分版'!N$14</f>
        <v>0</v>
      </c>
      <c r="AE152" s="163"/>
      <c r="AF152" s="163" t="s">
        <v>1065</v>
      </c>
      <c r="AG152" s="163" t="s">
        <v>166</v>
      </c>
      <c r="AH152" s="163" t="s">
        <v>1065</v>
      </c>
      <c r="AI152" s="163"/>
      <c r="AJ152" s="163"/>
      <c r="AK152" s="163"/>
      <c r="AL152" s="163"/>
      <c r="AM152" s="163"/>
      <c r="AN152" s="130"/>
      <c r="AO152" s="130"/>
      <c r="AP152" s="130"/>
      <c r="AQ152" s="130"/>
      <c r="AR152" s="130"/>
      <c r="AS152" s="130"/>
      <c r="AT152" s="130"/>
    </row>
    <row r="153" ht="13.5" customHeight="1">
      <c r="A153" s="130" t="s">
        <v>443</v>
      </c>
      <c r="B153" s="130" t="s">
        <v>101</v>
      </c>
      <c r="C153" s="130" t="s">
        <v>21</v>
      </c>
      <c r="D153" s="163">
        <v>47.0</v>
      </c>
      <c r="E153" s="163">
        <v>3.0</v>
      </c>
      <c r="F153" s="163">
        <v>3.0</v>
      </c>
      <c r="G153" s="163">
        <v>2.0</v>
      </c>
      <c r="H153" s="163">
        <v>2.0</v>
      </c>
      <c r="I153" s="163">
        <v>3.0</v>
      </c>
      <c r="J153" s="163">
        <v>3.0</v>
      </c>
      <c r="K153" s="130"/>
      <c r="L153" s="163">
        <f t="shared" ref="L153:O153" si="172">IF(E153&gt;U153,0,1)</f>
        <v>0</v>
      </c>
      <c r="M153" s="163">
        <f t="shared" si="172"/>
        <v>0</v>
      </c>
      <c r="N153" s="163">
        <f t="shared" si="172"/>
        <v>0</v>
      </c>
      <c r="O153" s="163">
        <f t="shared" si="172"/>
        <v>0</v>
      </c>
      <c r="P153" s="163">
        <f>IF(I153&gt;LARGE('計分版'!$I$14:$N$14,1),0,1)</f>
        <v>0</v>
      </c>
      <c r="Q153" s="163">
        <f>IF(J153&gt;LARGE('計分版'!$I$14:$N$14,2),0,1)</f>
        <v>0</v>
      </c>
      <c r="R153" s="163"/>
      <c r="S153" s="163">
        <f t="shared" si="167"/>
        <v>0</v>
      </c>
      <c r="T153" s="163"/>
      <c r="U153" s="163">
        <f>'計分版'!E$14</f>
        <v>0.0000000001</v>
      </c>
      <c r="V153" s="163">
        <f>'計分版'!F$14</f>
        <v>0.0000000002</v>
      </c>
      <c r="W153" s="163">
        <f>'計分版'!G$14</f>
        <v>0.0000000003</v>
      </c>
      <c r="X153" s="163">
        <f>'計分版'!H$14</f>
        <v>0.0000000004</v>
      </c>
      <c r="Y153" s="163">
        <f>'計分版'!I$14</f>
        <v>0.0000000005</v>
      </c>
      <c r="Z153" s="163">
        <f>'計分版'!J$14</f>
        <v>0</v>
      </c>
      <c r="AA153" s="163">
        <f>'計分版'!K$14</f>
        <v>0</v>
      </c>
      <c r="AB153" s="163">
        <f>'計分版'!L$14</f>
        <v>0</v>
      </c>
      <c r="AC153" s="163">
        <f>'計分版'!M$14</f>
        <v>0</v>
      </c>
      <c r="AD153" s="163">
        <f>'計分版'!N$14</f>
        <v>0</v>
      </c>
      <c r="AE153" s="163"/>
      <c r="AF153" s="163" t="s">
        <v>1065</v>
      </c>
      <c r="AG153" s="163" t="s">
        <v>166</v>
      </c>
      <c r="AH153" s="163"/>
      <c r="AI153" s="163"/>
      <c r="AJ153" s="163"/>
      <c r="AK153" s="163"/>
      <c r="AL153" s="163"/>
      <c r="AM153" s="163"/>
      <c r="AN153" s="130"/>
      <c r="AO153" s="130"/>
      <c r="AP153" s="130"/>
      <c r="AQ153" s="130"/>
      <c r="AR153" s="130"/>
      <c r="AS153" s="130"/>
      <c r="AT153" s="130"/>
    </row>
    <row r="154" ht="13.5" customHeight="1">
      <c r="A154" s="130" t="s">
        <v>447</v>
      </c>
      <c r="B154" s="130" t="s">
        <v>448</v>
      </c>
      <c r="C154" s="130" t="s">
        <v>21</v>
      </c>
      <c r="D154" s="163">
        <v>22.0</v>
      </c>
      <c r="E154" s="163">
        <v>3.0</v>
      </c>
      <c r="F154" s="163">
        <v>3.0</v>
      </c>
      <c r="G154" s="163">
        <v>2.0</v>
      </c>
      <c r="H154" s="163">
        <v>2.0</v>
      </c>
      <c r="I154" s="163">
        <v>3.0</v>
      </c>
      <c r="J154" s="163">
        <v>3.0</v>
      </c>
      <c r="K154" s="130"/>
      <c r="L154" s="163">
        <f t="shared" ref="L154:O154" si="173">IF(E154&gt;U154,0,1)</f>
        <v>0</v>
      </c>
      <c r="M154" s="163">
        <f t="shared" si="173"/>
        <v>0</v>
      </c>
      <c r="N154" s="163">
        <f t="shared" si="173"/>
        <v>0</v>
      </c>
      <c r="O154" s="163">
        <f t="shared" si="173"/>
        <v>0</v>
      </c>
      <c r="P154" s="163">
        <f>IF(I154&gt;LARGE('計分版'!$I$14:$N$14,1),0,1)</f>
        <v>0</v>
      </c>
      <c r="Q154" s="163">
        <f>IF(J154&gt;LARGE('計分版'!$I$14:$N$14,2),0,1)</f>
        <v>0</v>
      </c>
      <c r="R154" s="163"/>
      <c r="S154" s="163">
        <f t="shared" si="167"/>
        <v>0</v>
      </c>
      <c r="T154" s="163"/>
      <c r="U154" s="163">
        <f>'計分版'!E$14</f>
        <v>0.0000000001</v>
      </c>
      <c r="V154" s="163">
        <f>'計分版'!F$14</f>
        <v>0.0000000002</v>
      </c>
      <c r="W154" s="163">
        <f>'計分版'!G$14</f>
        <v>0.0000000003</v>
      </c>
      <c r="X154" s="163">
        <f>'計分版'!H$14</f>
        <v>0.0000000004</v>
      </c>
      <c r="Y154" s="163">
        <f>'計分版'!I$14</f>
        <v>0.0000000005</v>
      </c>
      <c r="Z154" s="163">
        <f>'計分版'!J$14</f>
        <v>0</v>
      </c>
      <c r="AA154" s="163">
        <f>'計分版'!K$14</f>
        <v>0</v>
      </c>
      <c r="AB154" s="163">
        <f>'計分版'!L$14</f>
        <v>0</v>
      </c>
      <c r="AC154" s="163">
        <f>'計分版'!M$14</f>
        <v>0</v>
      </c>
      <c r="AD154" s="163">
        <f>'計分版'!N$14</f>
        <v>0</v>
      </c>
      <c r="AE154" s="163"/>
      <c r="AF154" s="163" t="s">
        <v>1065</v>
      </c>
      <c r="AG154" s="163" t="s">
        <v>166</v>
      </c>
      <c r="AH154" s="163" t="s">
        <v>1065</v>
      </c>
      <c r="AI154" s="163"/>
      <c r="AJ154" s="163"/>
      <c r="AK154" s="163"/>
      <c r="AL154" s="163"/>
      <c r="AM154" s="163"/>
      <c r="AN154" s="130"/>
      <c r="AO154" s="130"/>
      <c r="AP154" s="130"/>
      <c r="AQ154" s="130"/>
      <c r="AR154" s="130"/>
      <c r="AS154" s="130"/>
      <c r="AT154" s="130"/>
    </row>
    <row r="155" ht="13.5" customHeight="1">
      <c r="A155" s="130" t="s">
        <v>452</v>
      </c>
      <c r="B155" s="130" t="s">
        <v>453</v>
      </c>
      <c r="C155" s="130" t="s">
        <v>21</v>
      </c>
      <c r="D155" s="163">
        <v>20.0</v>
      </c>
      <c r="E155" s="163">
        <v>3.0</v>
      </c>
      <c r="F155" s="163">
        <v>3.0</v>
      </c>
      <c r="G155" s="163">
        <v>2.0</v>
      </c>
      <c r="H155" s="163">
        <v>2.0</v>
      </c>
      <c r="I155" s="163">
        <v>3.0</v>
      </c>
      <c r="J155" s="163">
        <v>3.0</v>
      </c>
      <c r="K155" s="130"/>
      <c r="L155" s="163">
        <f t="shared" ref="L155:O155" si="174">IF(E155&gt;U155,0,1)</f>
        <v>0</v>
      </c>
      <c r="M155" s="163">
        <f t="shared" si="174"/>
        <v>0</v>
      </c>
      <c r="N155" s="163">
        <f t="shared" si="174"/>
        <v>0</v>
      </c>
      <c r="O155" s="163">
        <f t="shared" si="174"/>
        <v>0</v>
      </c>
      <c r="P155" s="163">
        <f>IF(I155&gt;LARGE('計分版'!$I$14:$N$14,1),0,1)</f>
        <v>0</v>
      </c>
      <c r="Q155" s="163">
        <f>IF(J155&gt;LARGE('計分版'!$I$14:$N$14,2),0,1)</f>
        <v>0</v>
      </c>
      <c r="R155" s="163"/>
      <c r="S155" s="163">
        <f t="shared" si="167"/>
        <v>0</v>
      </c>
      <c r="T155" s="163"/>
      <c r="U155" s="163">
        <f>'計分版'!E$14</f>
        <v>0.0000000001</v>
      </c>
      <c r="V155" s="163">
        <f>'計分版'!F$14</f>
        <v>0.0000000002</v>
      </c>
      <c r="W155" s="163">
        <f>'計分版'!G$14</f>
        <v>0.0000000003</v>
      </c>
      <c r="X155" s="163">
        <f>'計分版'!H$14</f>
        <v>0.0000000004</v>
      </c>
      <c r="Y155" s="163">
        <f>'計分版'!I$14</f>
        <v>0.0000000005</v>
      </c>
      <c r="Z155" s="163">
        <f>'計分版'!J$14</f>
        <v>0</v>
      </c>
      <c r="AA155" s="163">
        <f>'計分版'!K$14</f>
        <v>0</v>
      </c>
      <c r="AB155" s="163">
        <f>'計分版'!L$14</f>
        <v>0</v>
      </c>
      <c r="AC155" s="163">
        <f>'計分版'!M$14</f>
        <v>0</v>
      </c>
      <c r="AD155" s="163">
        <f>'計分版'!N$14</f>
        <v>0</v>
      </c>
      <c r="AE155" s="163"/>
      <c r="AF155" s="163" t="s">
        <v>1065</v>
      </c>
      <c r="AG155" s="163" t="s">
        <v>166</v>
      </c>
      <c r="AH155" s="163"/>
      <c r="AI155" s="163"/>
      <c r="AJ155" s="163"/>
      <c r="AK155" s="163"/>
      <c r="AL155" s="163"/>
      <c r="AM155" s="163"/>
      <c r="AN155" s="130"/>
      <c r="AO155" s="130"/>
      <c r="AP155" s="130"/>
      <c r="AQ155" s="130"/>
      <c r="AR155" s="130"/>
      <c r="AS155" s="130"/>
      <c r="AT155" s="130"/>
    </row>
    <row r="156" ht="13.5" customHeight="1">
      <c r="A156" s="130" t="s">
        <v>457</v>
      </c>
      <c r="B156" s="130" t="s">
        <v>95</v>
      </c>
      <c r="C156" s="130" t="s">
        <v>21</v>
      </c>
      <c r="D156" s="163">
        <v>28.0</v>
      </c>
      <c r="E156" s="163">
        <v>3.0</v>
      </c>
      <c r="F156" s="163">
        <v>3.0</v>
      </c>
      <c r="G156" s="163">
        <v>2.0</v>
      </c>
      <c r="H156" s="163">
        <v>2.0</v>
      </c>
      <c r="I156" s="163">
        <v>3.0</v>
      </c>
      <c r="J156" s="163">
        <v>3.0</v>
      </c>
      <c r="K156" s="130"/>
      <c r="L156" s="163">
        <f t="shared" ref="L156:O156" si="175">IF(E156&gt;U156,0,1)</f>
        <v>0</v>
      </c>
      <c r="M156" s="163">
        <f t="shared" si="175"/>
        <v>0</v>
      </c>
      <c r="N156" s="163">
        <f t="shared" si="175"/>
        <v>0</v>
      </c>
      <c r="O156" s="163">
        <f t="shared" si="175"/>
        <v>0</v>
      </c>
      <c r="P156" s="163">
        <f>IF(AND('計分版'!V175=1,LARGE(('計分版'!Q175:T175),1)&gt;3),1,IF(I156&gt;LARGE('計分版'!$I$14:$N$14,1),0,2))</f>
        <v>0</v>
      </c>
      <c r="Q156" s="163">
        <f>IF(J156&gt;LARGE('計分版'!$I$14:$N$14,2),0,1)</f>
        <v>0</v>
      </c>
      <c r="R156" s="163"/>
      <c r="S156" s="163">
        <f>IF(L156*M156*N156*O156*P156*Q156=0,0,2)</f>
        <v>0</v>
      </c>
      <c r="T156" s="163"/>
      <c r="U156" s="163">
        <f>'計分版'!E$14</f>
        <v>0.0000000001</v>
      </c>
      <c r="V156" s="163">
        <f>'計分版'!F$14</f>
        <v>0.0000000002</v>
      </c>
      <c r="W156" s="163">
        <f>'計分版'!G$14</f>
        <v>0.0000000003</v>
      </c>
      <c r="X156" s="163">
        <f>'計分版'!H$14</f>
        <v>0.0000000004</v>
      </c>
      <c r="Y156" s="163">
        <f>'計分版'!I$14</f>
        <v>0.0000000005</v>
      </c>
      <c r="Z156" s="163">
        <f>'計分版'!J$14</f>
        <v>0</v>
      </c>
      <c r="AA156" s="163">
        <f>'計分版'!K$14</f>
        <v>0</v>
      </c>
      <c r="AB156" s="163">
        <f>'計分版'!L$14</f>
        <v>0</v>
      </c>
      <c r="AC156" s="163">
        <f>'計分版'!M$14</f>
        <v>0</v>
      </c>
      <c r="AD156" s="163">
        <f>'計分版'!N$14</f>
        <v>0</v>
      </c>
      <c r="AE156" s="163"/>
      <c r="AF156" s="163" t="s">
        <v>1065</v>
      </c>
      <c r="AG156" s="163" t="s">
        <v>166</v>
      </c>
      <c r="AH156" s="163"/>
      <c r="AI156" s="163"/>
      <c r="AJ156" s="163"/>
      <c r="AK156" s="163"/>
      <c r="AL156" s="163"/>
      <c r="AM156" s="163"/>
      <c r="AN156" s="130"/>
      <c r="AO156" s="130"/>
      <c r="AP156" s="130"/>
      <c r="AQ156" s="130"/>
      <c r="AR156" s="130"/>
      <c r="AS156" s="130"/>
      <c r="AT156" s="130"/>
    </row>
    <row r="157" ht="13.5" customHeight="1">
      <c r="A157" s="130" t="s">
        <v>461</v>
      </c>
      <c r="B157" s="130" t="s">
        <v>462</v>
      </c>
      <c r="C157" s="130" t="s">
        <v>21</v>
      </c>
      <c r="D157" s="163">
        <v>21.0</v>
      </c>
      <c r="E157" s="163">
        <v>3.0</v>
      </c>
      <c r="F157" s="163">
        <v>3.0</v>
      </c>
      <c r="G157" s="163">
        <v>2.0</v>
      </c>
      <c r="H157" s="163">
        <v>2.0</v>
      </c>
      <c r="I157" s="163">
        <v>3.0</v>
      </c>
      <c r="J157" s="163">
        <v>3.0</v>
      </c>
      <c r="K157" s="130"/>
      <c r="L157" s="163">
        <f t="shared" ref="L157:O157" si="176">IF(E157&gt;U157,0,1)</f>
        <v>0</v>
      </c>
      <c r="M157" s="163">
        <f t="shared" si="176"/>
        <v>0</v>
      </c>
      <c r="N157" s="163">
        <f t="shared" si="176"/>
        <v>0</v>
      </c>
      <c r="O157" s="163">
        <f t="shared" si="176"/>
        <v>0</v>
      </c>
      <c r="P157" s="163">
        <f>IF(I157&gt;LARGE('計分版'!$I$14:$N$14,1),0,1)</f>
        <v>0</v>
      </c>
      <c r="Q157" s="163">
        <f>IF(J157&gt;LARGE('計分版'!$I$14:$N$14,2),0,1)</f>
        <v>0</v>
      </c>
      <c r="R157" s="163"/>
      <c r="S157" s="163">
        <f t="shared" ref="S157:S207" si="178">L157*M157*N157*O157*P157*Q157</f>
        <v>0</v>
      </c>
      <c r="T157" s="163"/>
      <c r="U157" s="163">
        <f>'計分版'!E$14</f>
        <v>0.0000000001</v>
      </c>
      <c r="V157" s="163">
        <f>'計分版'!F$14</f>
        <v>0.0000000002</v>
      </c>
      <c r="W157" s="163">
        <f>'計分版'!G$14</f>
        <v>0.0000000003</v>
      </c>
      <c r="X157" s="163">
        <f>'計分版'!H$14</f>
        <v>0.0000000004</v>
      </c>
      <c r="Y157" s="163">
        <f>'計分版'!I$14</f>
        <v>0.0000000005</v>
      </c>
      <c r="Z157" s="163">
        <f>'計分版'!J$14</f>
        <v>0</v>
      </c>
      <c r="AA157" s="163">
        <f>'計分版'!K$14</f>
        <v>0</v>
      </c>
      <c r="AB157" s="163">
        <f>'計分版'!L$14</f>
        <v>0</v>
      </c>
      <c r="AC157" s="163">
        <f>'計分版'!M$14</f>
        <v>0</v>
      </c>
      <c r="AD157" s="163">
        <f>'計分版'!N$14</f>
        <v>0</v>
      </c>
      <c r="AE157" s="163"/>
      <c r="AF157" s="163" t="s">
        <v>1065</v>
      </c>
      <c r="AG157" s="163" t="s">
        <v>166</v>
      </c>
      <c r="AH157" s="163"/>
      <c r="AI157" s="163"/>
      <c r="AJ157" s="163"/>
      <c r="AK157" s="163"/>
      <c r="AL157" s="163"/>
      <c r="AM157" s="163"/>
      <c r="AN157" s="130"/>
      <c r="AO157" s="130"/>
      <c r="AP157" s="130"/>
      <c r="AQ157" s="130"/>
      <c r="AR157" s="130"/>
      <c r="AS157" s="130"/>
      <c r="AT157" s="130"/>
    </row>
    <row r="158" ht="13.5" customHeight="1">
      <c r="A158" s="130" t="s">
        <v>466</v>
      </c>
      <c r="B158" s="130" t="s">
        <v>467</v>
      </c>
      <c r="C158" s="130" t="s">
        <v>21</v>
      </c>
      <c r="D158" s="163">
        <v>19.0</v>
      </c>
      <c r="E158" s="163">
        <v>3.0</v>
      </c>
      <c r="F158" s="163">
        <v>3.0</v>
      </c>
      <c r="G158" s="163">
        <v>2.0</v>
      </c>
      <c r="H158" s="163">
        <v>2.0</v>
      </c>
      <c r="I158" s="163">
        <v>3.0</v>
      </c>
      <c r="J158" s="163">
        <v>3.0</v>
      </c>
      <c r="K158" s="130"/>
      <c r="L158" s="163">
        <f t="shared" ref="L158:O158" si="177">IF(E158&gt;U158,0,1)</f>
        <v>0</v>
      </c>
      <c r="M158" s="163">
        <f t="shared" si="177"/>
        <v>0</v>
      </c>
      <c r="N158" s="163">
        <f t="shared" si="177"/>
        <v>0</v>
      </c>
      <c r="O158" s="163">
        <f t="shared" si="177"/>
        <v>0</v>
      </c>
      <c r="P158" s="163">
        <f>IF(I158&gt;LARGE('計分版'!$I$14:$N$14,1),0,1)</f>
        <v>0</v>
      </c>
      <c r="Q158" s="163">
        <f>IF(J158&gt;LARGE('計分版'!$I$14:$N$14,2),0,1)</f>
        <v>0</v>
      </c>
      <c r="R158" s="163"/>
      <c r="S158" s="163">
        <f t="shared" si="178"/>
        <v>0</v>
      </c>
      <c r="T158" s="163"/>
      <c r="U158" s="163">
        <f>'計分版'!E$14</f>
        <v>0.0000000001</v>
      </c>
      <c r="V158" s="163">
        <f>'計分版'!F$14</f>
        <v>0.0000000002</v>
      </c>
      <c r="W158" s="163">
        <f>'計分版'!G$14</f>
        <v>0.0000000003</v>
      </c>
      <c r="X158" s="163">
        <f>'計分版'!H$14</f>
        <v>0.0000000004</v>
      </c>
      <c r="Y158" s="163">
        <f>'計分版'!I$14</f>
        <v>0.0000000005</v>
      </c>
      <c r="Z158" s="163">
        <f>'計分版'!J$14</f>
        <v>0</v>
      </c>
      <c r="AA158" s="163">
        <f>'計分版'!K$14</f>
        <v>0</v>
      </c>
      <c r="AB158" s="163">
        <f>'計分版'!L$14</f>
        <v>0</v>
      </c>
      <c r="AC158" s="163">
        <f>'計分版'!M$14</f>
        <v>0</v>
      </c>
      <c r="AD158" s="163">
        <f>'計分版'!N$14</f>
        <v>0</v>
      </c>
      <c r="AE158" s="163"/>
      <c r="AF158" s="163" t="s">
        <v>1065</v>
      </c>
      <c r="AG158" s="163" t="s">
        <v>166</v>
      </c>
      <c r="AH158" s="163"/>
      <c r="AI158" s="163"/>
      <c r="AJ158" s="163"/>
      <c r="AK158" s="163"/>
      <c r="AL158" s="163"/>
      <c r="AM158" s="163"/>
      <c r="AN158" s="130"/>
      <c r="AO158" s="130"/>
      <c r="AP158" s="130"/>
      <c r="AQ158" s="130"/>
      <c r="AR158" s="130"/>
      <c r="AS158" s="130"/>
      <c r="AT158" s="130"/>
    </row>
    <row r="159" ht="13.5" customHeight="1">
      <c r="A159" s="130" t="s">
        <v>471</v>
      </c>
      <c r="B159" s="130" t="s">
        <v>472</v>
      </c>
      <c r="C159" s="130" t="s">
        <v>21</v>
      </c>
      <c r="E159" s="163">
        <v>3.0</v>
      </c>
      <c r="F159" s="163">
        <v>3.0</v>
      </c>
      <c r="G159" s="163">
        <v>2.0</v>
      </c>
      <c r="H159" s="163">
        <v>2.0</v>
      </c>
      <c r="I159" s="163">
        <v>3.0</v>
      </c>
      <c r="J159" s="163">
        <v>3.0</v>
      </c>
      <c r="K159" s="130"/>
      <c r="L159" s="163">
        <f t="shared" ref="L159:O159" si="179">IF(E159&gt;U159,0,1)</f>
        <v>0</v>
      </c>
      <c r="M159" s="163">
        <f t="shared" si="179"/>
        <v>0</v>
      </c>
      <c r="N159" s="163">
        <f t="shared" si="179"/>
        <v>0</v>
      </c>
      <c r="O159" s="163">
        <f t="shared" si="179"/>
        <v>0</v>
      </c>
      <c r="P159" s="163">
        <f>IF(I159&gt;LARGE('計分版'!$I$14:$N$14,1),0,1)</f>
        <v>0</v>
      </c>
      <c r="Q159" s="163">
        <f>IF(J159&gt;LARGE('計分版'!$I$14:$N$14,2),0,1)</f>
        <v>0</v>
      </c>
      <c r="R159" s="163"/>
      <c r="S159" s="163">
        <f t="shared" si="178"/>
        <v>0</v>
      </c>
      <c r="T159" s="163"/>
      <c r="U159" s="163">
        <f>'計分版'!E$14</f>
        <v>0.0000000001</v>
      </c>
      <c r="V159" s="163">
        <f>'計分版'!F$14</f>
        <v>0.0000000002</v>
      </c>
      <c r="W159" s="163">
        <f>'計分版'!G$14</f>
        <v>0.0000000003</v>
      </c>
      <c r="X159" s="163">
        <f>'計分版'!H$14</f>
        <v>0.0000000004</v>
      </c>
      <c r="Y159" s="163">
        <f>'計分版'!I$14</f>
        <v>0.0000000005</v>
      </c>
      <c r="Z159" s="163">
        <f>'計分版'!J$14</f>
        <v>0</v>
      </c>
      <c r="AA159" s="163">
        <f>'計分版'!K$14</f>
        <v>0</v>
      </c>
      <c r="AB159" s="163">
        <f>'計分版'!L$14</f>
        <v>0</v>
      </c>
      <c r="AC159" s="163">
        <f>'計分版'!M$14</f>
        <v>0</v>
      </c>
      <c r="AD159" s="163">
        <f>'計分版'!N$14</f>
        <v>0</v>
      </c>
      <c r="AE159" s="163"/>
      <c r="AF159" s="163" t="s">
        <v>1065</v>
      </c>
      <c r="AG159" s="163" t="s">
        <v>166</v>
      </c>
      <c r="AH159" s="163" t="s">
        <v>1065</v>
      </c>
      <c r="AI159" s="163"/>
      <c r="AJ159" s="163"/>
      <c r="AK159" s="163"/>
      <c r="AL159" s="163"/>
      <c r="AM159" s="163"/>
      <c r="AN159" s="130"/>
      <c r="AO159" s="130"/>
      <c r="AP159" s="130"/>
      <c r="AQ159" s="130"/>
      <c r="AR159" s="130"/>
      <c r="AS159" s="130"/>
      <c r="AT159" s="130"/>
    </row>
    <row r="160" ht="13.5" customHeight="1">
      <c r="A160" s="130" t="s">
        <v>476</v>
      </c>
      <c r="B160" s="130" t="s">
        <v>477</v>
      </c>
      <c r="C160" s="130" t="s">
        <v>21</v>
      </c>
      <c r="D160" s="163">
        <v>32.0</v>
      </c>
      <c r="E160" s="163">
        <v>3.0</v>
      </c>
      <c r="F160" s="163">
        <v>3.0</v>
      </c>
      <c r="G160" s="163">
        <v>3.0</v>
      </c>
      <c r="H160" s="163">
        <v>3.0</v>
      </c>
      <c r="I160" s="163">
        <v>3.0</v>
      </c>
      <c r="J160" s="163">
        <v>3.0</v>
      </c>
      <c r="K160" s="130"/>
      <c r="L160" s="163">
        <f t="shared" ref="L160:O160" si="180">IF(E160&gt;U160,0,1)</f>
        <v>0</v>
      </c>
      <c r="M160" s="163">
        <f t="shared" si="180"/>
        <v>0</v>
      </c>
      <c r="N160" s="163">
        <f t="shared" si="180"/>
        <v>0</v>
      </c>
      <c r="O160" s="163">
        <f t="shared" si="180"/>
        <v>0</v>
      </c>
      <c r="P160" s="163">
        <f>IF(I160&gt;LARGE('計分版'!$I$14:$N$14,1),0,1)</f>
        <v>0</v>
      </c>
      <c r="Q160" s="163">
        <f>IF(J160&gt;LARGE('計分版'!$I$14:$N$14,2),0,1)</f>
        <v>0</v>
      </c>
      <c r="R160" s="163"/>
      <c r="S160" s="163">
        <f t="shared" si="178"/>
        <v>0</v>
      </c>
      <c r="T160" s="163"/>
      <c r="U160" s="163">
        <f>'計分版'!E$14</f>
        <v>0.0000000001</v>
      </c>
      <c r="V160" s="163">
        <f>'計分版'!F$14</f>
        <v>0.0000000002</v>
      </c>
      <c r="W160" s="163">
        <f>'計分版'!G$14</f>
        <v>0.0000000003</v>
      </c>
      <c r="X160" s="163">
        <f>'計分版'!H$14</f>
        <v>0.0000000004</v>
      </c>
      <c r="Y160" s="163">
        <f>'計分版'!I$14</f>
        <v>0.0000000005</v>
      </c>
      <c r="Z160" s="163">
        <f>'計分版'!J$14</f>
        <v>0</v>
      </c>
      <c r="AA160" s="163">
        <f>'計分版'!K$14</f>
        <v>0</v>
      </c>
      <c r="AB160" s="163">
        <f>'計分版'!L$14</f>
        <v>0</v>
      </c>
      <c r="AC160" s="163">
        <f>'計分版'!M$14</f>
        <v>0</v>
      </c>
      <c r="AD160" s="163">
        <f>'計分版'!N$14</f>
        <v>0</v>
      </c>
      <c r="AE160" s="163"/>
      <c r="AF160" s="163" t="s">
        <v>1065</v>
      </c>
      <c r="AG160" s="163" t="s">
        <v>166</v>
      </c>
      <c r="AH160" s="163"/>
      <c r="AI160" s="163"/>
      <c r="AJ160" s="163"/>
      <c r="AK160" s="163"/>
      <c r="AL160" s="163"/>
      <c r="AM160" s="163"/>
      <c r="AN160" s="130"/>
      <c r="AO160" s="130"/>
      <c r="AP160" s="130"/>
      <c r="AQ160" s="130"/>
      <c r="AR160" s="130"/>
      <c r="AS160" s="130"/>
      <c r="AT160" s="130"/>
    </row>
    <row r="161" ht="13.5" customHeight="1">
      <c r="A161" s="130" t="s">
        <v>482</v>
      </c>
      <c r="B161" s="173" t="s">
        <v>483</v>
      </c>
      <c r="C161" s="130" t="s">
        <v>21</v>
      </c>
      <c r="D161" s="163">
        <v>15.0</v>
      </c>
      <c r="E161" s="163">
        <v>3.0</v>
      </c>
      <c r="F161" s="163">
        <v>3.0</v>
      </c>
      <c r="G161" s="163">
        <v>2.0</v>
      </c>
      <c r="H161" s="163">
        <v>2.0</v>
      </c>
      <c r="I161" s="163">
        <v>3.0</v>
      </c>
      <c r="J161" s="163">
        <v>3.0</v>
      </c>
      <c r="K161" s="130"/>
      <c r="L161" s="163">
        <f t="shared" ref="L161:L207" si="182">IF(E161&gt;U161,0,1)</f>
        <v>0</v>
      </c>
      <c r="M161" s="163">
        <f>IF(V161&gt;4,1,IF(V161&gt;3,2,0))</f>
        <v>0</v>
      </c>
      <c r="N161" s="163">
        <f t="shared" ref="N161:O161" si="181">IF(G161&gt;W161,0,1)</f>
        <v>0</v>
      </c>
      <c r="O161" s="163">
        <f t="shared" si="181"/>
        <v>0</v>
      </c>
      <c r="P161" s="163">
        <f>IF(I161&gt;LARGE('計分版'!$I$14:$N$14,1),0,1)</f>
        <v>0</v>
      </c>
      <c r="Q161" s="163">
        <f>IF(J161&gt;LARGE('計分版'!$I$14:$N$14,2),0,1)</f>
        <v>0</v>
      </c>
      <c r="R161" s="163"/>
      <c r="S161" s="163">
        <f t="shared" si="178"/>
        <v>0</v>
      </c>
      <c r="T161" s="163"/>
      <c r="U161" s="163">
        <f>'計分版'!E$14</f>
        <v>0.0000000001</v>
      </c>
      <c r="V161" s="163">
        <f>'計分版'!F$14</f>
        <v>0.0000000002</v>
      </c>
      <c r="W161" s="163">
        <f>'計分版'!G$14</f>
        <v>0.0000000003</v>
      </c>
      <c r="X161" s="163">
        <f>'計分版'!H$14</f>
        <v>0.0000000004</v>
      </c>
      <c r="Y161" s="163">
        <f>'計分版'!I$14</f>
        <v>0.0000000005</v>
      </c>
      <c r="Z161" s="163">
        <f>'計分版'!J$14</f>
        <v>0</v>
      </c>
      <c r="AA161" s="163">
        <f>'計分版'!K$14</f>
        <v>0</v>
      </c>
      <c r="AB161" s="163">
        <f>'計分版'!L$14</f>
        <v>0</v>
      </c>
      <c r="AC161" s="163">
        <f>'計分版'!M$14</f>
        <v>0</v>
      </c>
      <c r="AD161" s="163">
        <f>'計分版'!N$14</f>
        <v>0</v>
      </c>
      <c r="AE161" s="163"/>
      <c r="AF161" s="163" t="s">
        <v>1065</v>
      </c>
      <c r="AG161" s="163" t="s">
        <v>166</v>
      </c>
      <c r="AH161" s="163"/>
      <c r="AI161" s="163"/>
      <c r="AJ161" s="163"/>
      <c r="AK161" s="163"/>
      <c r="AL161" s="163"/>
      <c r="AM161" s="163"/>
      <c r="AN161" s="130"/>
      <c r="AO161" s="130"/>
      <c r="AP161" s="130"/>
      <c r="AQ161" s="130"/>
      <c r="AR161" s="130"/>
      <c r="AS161" s="130"/>
      <c r="AT161" s="130"/>
    </row>
    <row r="162" ht="13.5" customHeight="1">
      <c r="A162" s="130" t="s">
        <v>487</v>
      </c>
      <c r="B162" s="130" t="s">
        <v>488</v>
      </c>
      <c r="C162" s="130" t="s">
        <v>21</v>
      </c>
      <c r="D162" s="163">
        <v>233.0</v>
      </c>
      <c r="E162" s="163">
        <v>3.0</v>
      </c>
      <c r="F162" s="163">
        <v>3.0</v>
      </c>
      <c r="G162" s="163">
        <v>2.0</v>
      </c>
      <c r="H162" s="163">
        <v>2.0</v>
      </c>
      <c r="I162" s="163">
        <v>3.0</v>
      </c>
      <c r="J162" s="163">
        <v>3.0</v>
      </c>
      <c r="K162" s="130"/>
      <c r="L162" s="163">
        <f t="shared" si="182"/>
        <v>0</v>
      </c>
      <c r="M162" s="163">
        <f t="shared" ref="M162:O162" si="183">IF(F162&gt;V162,0,1)</f>
        <v>0</v>
      </c>
      <c r="N162" s="163">
        <f t="shared" si="183"/>
        <v>0</v>
      </c>
      <c r="O162" s="163">
        <f t="shared" si="183"/>
        <v>0</v>
      </c>
      <c r="P162" s="163">
        <f>IF(I162&gt;LARGE('計分版'!$I$14:$N$14,1),0,1)</f>
        <v>0</v>
      </c>
      <c r="Q162" s="163">
        <f>IF(J162&gt;LARGE('計分版'!$I$14:$N$14,2),0,1)</f>
        <v>0</v>
      </c>
      <c r="R162" s="163"/>
      <c r="S162" s="163">
        <f t="shared" si="178"/>
        <v>0</v>
      </c>
      <c r="T162" s="163"/>
      <c r="U162" s="163">
        <f>'計分版'!E$14</f>
        <v>0.0000000001</v>
      </c>
      <c r="V162" s="163">
        <f>'計分版'!F$14</f>
        <v>0.0000000002</v>
      </c>
      <c r="W162" s="163">
        <f>'計分版'!G$14</f>
        <v>0.0000000003</v>
      </c>
      <c r="X162" s="163">
        <f>'計分版'!H$14</f>
        <v>0.0000000004</v>
      </c>
      <c r="Y162" s="163">
        <f>'計分版'!I$14</f>
        <v>0.0000000005</v>
      </c>
      <c r="Z162" s="163">
        <f>'計分版'!J$14</f>
        <v>0</v>
      </c>
      <c r="AA162" s="163">
        <f>'計分版'!K$14</f>
        <v>0</v>
      </c>
      <c r="AB162" s="163">
        <f>'計分版'!L$14</f>
        <v>0</v>
      </c>
      <c r="AC162" s="163">
        <f>'計分版'!M$14</f>
        <v>0</v>
      </c>
      <c r="AD162" s="163">
        <f>'計分版'!N$14</f>
        <v>0</v>
      </c>
      <c r="AE162" s="163"/>
      <c r="AF162" s="163" t="s">
        <v>1065</v>
      </c>
      <c r="AG162" s="163" t="s">
        <v>166</v>
      </c>
      <c r="AH162" s="163"/>
      <c r="AI162" s="163"/>
      <c r="AJ162" s="163"/>
      <c r="AK162" s="163"/>
      <c r="AL162" s="163"/>
      <c r="AM162" s="163"/>
      <c r="AN162" s="130"/>
      <c r="AO162" s="130"/>
      <c r="AP162" s="130"/>
      <c r="AQ162" s="130"/>
      <c r="AR162" s="130"/>
      <c r="AS162" s="130"/>
      <c r="AT162" s="130"/>
    </row>
    <row r="163" ht="13.5" customHeight="1">
      <c r="A163" s="130" t="s">
        <v>492</v>
      </c>
      <c r="B163" s="130" t="s">
        <v>493</v>
      </c>
      <c r="C163" s="130" t="s">
        <v>191</v>
      </c>
      <c r="D163" s="163">
        <v>15.0</v>
      </c>
      <c r="E163" s="163">
        <v>4.0</v>
      </c>
      <c r="F163" s="163">
        <v>5.0</v>
      </c>
      <c r="G163" s="163">
        <v>3.0</v>
      </c>
      <c r="H163" s="163">
        <v>3.0</v>
      </c>
      <c r="I163" s="163">
        <v>3.0</v>
      </c>
      <c r="J163" s="163">
        <v>3.0</v>
      </c>
      <c r="K163" s="130"/>
      <c r="L163" s="163">
        <f t="shared" si="182"/>
        <v>0</v>
      </c>
      <c r="M163" s="163">
        <f t="shared" ref="M163:O163" si="184">IF(F163&gt;V163,0,1)</f>
        <v>0</v>
      </c>
      <c r="N163" s="163">
        <f t="shared" si="184"/>
        <v>0</v>
      </c>
      <c r="O163" s="163">
        <f t="shared" si="184"/>
        <v>0</v>
      </c>
      <c r="P163" s="163">
        <f>IF(I163&gt;LARGE('計分版'!$I$14:$N$14,1),0,1)</f>
        <v>0</v>
      </c>
      <c r="Q163" s="163">
        <f>IF(J163&gt;LARGE('計分版'!$I$14:$N$14,2),0,1)</f>
        <v>0</v>
      </c>
      <c r="R163" s="163"/>
      <c r="S163" s="163">
        <f t="shared" si="178"/>
        <v>0</v>
      </c>
      <c r="T163" s="163"/>
      <c r="U163" s="163">
        <f>'計分版'!E$14</f>
        <v>0.0000000001</v>
      </c>
      <c r="V163" s="163">
        <f>'計分版'!F$14</f>
        <v>0.0000000002</v>
      </c>
      <c r="W163" s="163">
        <f>'計分版'!G$14</f>
        <v>0.0000000003</v>
      </c>
      <c r="X163" s="163">
        <f>'計分版'!H$14</f>
        <v>0.0000000004</v>
      </c>
      <c r="Y163" s="163">
        <f>'計分版'!I$14</f>
        <v>0.0000000005</v>
      </c>
      <c r="Z163" s="163">
        <f>'計分版'!J$14</f>
        <v>0</v>
      </c>
      <c r="AA163" s="163">
        <f>'計分版'!K$14</f>
        <v>0</v>
      </c>
      <c r="AB163" s="163">
        <f>'計分版'!L$14</f>
        <v>0</v>
      </c>
      <c r="AC163" s="163">
        <f>'計分版'!M$14</f>
        <v>0</v>
      </c>
      <c r="AD163" s="163">
        <f>'計分版'!N$14</f>
        <v>0</v>
      </c>
      <c r="AE163" s="163"/>
      <c r="AF163" s="163" t="s">
        <v>1065</v>
      </c>
      <c r="AG163" s="163" t="s">
        <v>166</v>
      </c>
      <c r="AH163" s="163"/>
      <c r="AI163" s="163"/>
      <c r="AJ163" s="163"/>
      <c r="AK163" s="163"/>
      <c r="AL163" s="163"/>
      <c r="AM163" s="163"/>
      <c r="AN163" s="130"/>
      <c r="AO163" s="130"/>
      <c r="AP163" s="130"/>
      <c r="AQ163" s="130"/>
      <c r="AR163" s="130"/>
      <c r="AS163" s="130"/>
      <c r="AT163" s="130"/>
    </row>
    <row r="164" ht="13.5" customHeight="1">
      <c r="A164" s="130" t="s">
        <v>497</v>
      </c>
      <c r="B164" s="130" t="s">
        <v>498</v>
      </c>
      <c r="C164" s="174" t="s">
        <v>21</v>
      </c>
      <c r="D164" s="163">
        <v>66.0</v>
      </c>
      <c r="E164" s="163">
        <v>3.0</v>
      </c>
      <c r="F164" s="163">
        <v>3.0</v>
      </c>
      <c r="G164" s="163">
        <v>2.0</v>
      </c>
      <c r="H164" s="163">
        <v>2.0</v>
      </c>
      <c r="I164" s="163">
        <v>3.0</v>
      </c>
      <c r="J164" s="163">
        <v>3.0</v>
      </c>
      <c r="K164" s="130"/>
      <c r="L164" s="163">
        <f t="shared" si="182"/>
        <v>0</v>
      </c>
      <c r="M164" s="163">
        <f t="shared" ref="M164:O164" si="185">IF(F164&gt;V164,0,1)</f>
        <v>0</v>
      </c>
      <c r="N164" s="163">
        <f t="shared" si="185"/>
        <v>0</v>
      </c>
      <c r="O164" s="163">
        <f t="shared" si="185"/>
        <v>0</v>
      </c>
      <c r="P164" s="163">
        <f>IF(I164&gt;LARGE('計分版'!$I$14:$N$14,1),0,1)</f>
        <v>0</v>
      </c>
      <c r="Q164" s="163">
        <f>IF(J164&gt;LARGE('計分版'!$I$14:$N$14,2),0,1)</f>
        <v>0</v>
      </c>
      <c r="R164" s="163"/>
      <c r="S164" s="163">
        <f t="shared" si="178"/>
        <v>0</v>
      </c>
      <c r="T164" s="163"/>
      <c r="U164" s="163">
        <f>'計分版'!E$14</f>
        <v>0.0000000001</v>
      </c>
      <c r="V164" s="163">
        <f>'計分版'!F$14</f>
        <v>0.0000000002</v>
      </c>
      <c r="W164" s="163">
        <f>'計分版'!G$14</f>
        <v>0.0000000003</v>
      </c>
      <c r="X164" s="163">
        <f>'計分版'!H$14</f>
        <v>0.0000000004</v>
      </c>
      <c r="Y164" s="163">
        <f>'計分版'!I$14</f>
        <v>0.0000000005</v>
      </c>
      <c r="Z164" s="163">
        <f>'計分版'!J$14</f>
        <v>0</v>
      </c>
      <c r="AA164" s="163">
        <f>'計分版'!K$14</f>
        <v>0</v>
      </c>
      <c r="AB164" s="163">
        <f>'計分版'!L$14</f>
        <v>0</v>
      </c>
      <c r="AC164" s="163">
        <f>'計分版'!M$14</f>
        <v>0</v>
      </c>
      <c r="AD164" s="163">
        <f>'計分版'!N$14</f>
        <v>0</v>
      </c>
      <c r="AE164" s="163"/>
      <c r="AF164" s="163" t="s">
        <v>1065</v>
      </c>
      <c r="AG164" s="163" t="s">
        <v>166</v>
      </c>
      <c r="AH164" s="163"/>
      <c r="AI164" s="163"/>
      <c r="AJ164" s="163"/>
      <c r="AK164" s="163"/>
      <c r="AL164" s="163"/>
      <c r="AM164" s="163"/>
      <c r="AN164" s="130"/>
      <c r="AO164" s="130"/>
      <c r="AP164" s="130"/>
      <c r="AQ164" s="130"/>
      <c r="AR164" s="130"/>
      <c r="AS164" s="130"/>
      <c r="AT164" s="130"/>
    </row>
    <row r="165" ht="13.5" customHeight="1">
      <c r="A165" s="130" t="s">
        <v>502</v>
      </c>
      <c r="B165" s="130" t="s">
        <v>503</v>
      </c>
      <c r="C165" s="130" t="s">
        <v>21</v>
      </c>
      <c r="D165" s="163">
        <v>36.0</v>
      </c>
      <c r="E165" s="163">
        <v>3.0</v>
      </c>
      <c r="F165" s="163">
        <v>3.0</v>
      </c>
      <c r="G165" s="163">
        <v>5.0</v>
      </c>
      <c r="H165" s="163">
        <v>2.0</v>
      </c>
      <c r="I165" s="163">
        <v>3.0</v>
      </c>
      <c r="J165" s="163">
        <v>3.0</v>
      </c>
      <c r="K165" s="130"/>
      <c r="L165" s="163">
        <f t="shared" si="182"/>
        <v>0</v>
      </c>
      <c r="M165" s="163">
        <f t="shared" ref="M165:M207" si="186">IF(F165&gt;V165,0,1)</f>
        <v>0</v>
      </c>
      <c r="N165" s="163">
        <f>IF(W165&gt;G165,1,IF(Y165&gt;5,1,0))</f>
        <v>0</v>
      </c>
      <c r="O165" s="163">
        <f>IF(H165&gt;X165,0,1)</f>
        <v>0</v>
      </c>
      <c r="P165" s="163">
        <f>IF(I165&gt;LARGE('計分版'!$I$14:$N$14,1),0,1)</f>
        <v>0</v>
      </c>
      <c r="Q165" s="163">
        <f>IF(AND('計分版'!$G$14&lt;5,'計分版'!$I$14&lt;5),0,IF(I165&gt;LARGE('計分版'!$I$14:$N$14,2),0,1))</f>
        <v>0</v>
      </c>
      <c r="R165" s="163"/>
      <c r="S165" s="163">
        <f t="shared" si="178"/>
        <v>0</v>
      </c>
      <c r="T165" s="163"/>
      <c r="U165" s="163">
        <f>'計分版'!E$14</f>
        <v>0.0000000001</v>
      </c>
      <c r="V165" s="163">
        <f>'計分版'!F$14</f>
        <v>0.0000000002</v>
      </c>
      <c r="W165" s="163">
        <f>'計分版'!G$14</f>
        <v>0.0000000003</v>
      </c>
      <c r="X165" s="163">
        <f>'計分版'!H$14</f>
        <v>0.0000000004</v>
      </c>
      <c r="Y165" s="163">
        <f>'計分版'!I$14</f>
        <v>0.0000000005</v>
      </c>
      <c r="Z165" s="163">
        <f>'計分版'!J$14</f>
        <v>0</v>
      </c>
      <c r="AA165" s="163">
        <f>'計分版'!K$14</f>
        <v>0</v>
      </c>
      <c r="AB165" s="163">
        <f>'計分版'!L$14</f>
        <v>0</v>
      </c>
      <c r="AC165" s="163">
        <f>'計分版'!M$14</f>
        <v>0</v>
      </c>
      <c r="AD165" s="163">
        <f>'計分版'!N$14</f>
        <v>0</v>
      </c>
      <c r="AE165" s="163"/>
      <c r="AF165" s="163" t="s">
        <v>1065</v>
      </c>
      <c r="AG165" s="163" t="s">
        <v>166</v>
      </c>
      <c r="AH165" s="163" t="s">
        <v>1065</v>
      </c>
      <c r="AI165" s="163"/>
      <c r="AJ165" s="163"/>
      <c r="AK165" s="163"/>
      <c r="AL165" s="163"/>
      <c r="AM165" s="163"/>
      <c r="AN165" s="130"/>
      <c r="AO165" s="130"/>
      <c r="AP165" s="130"/>
      <c r="AQ165" s="130"/>
      <c r="AR165" s="130"/>
      <c r="AS165" s="130"/>
      <c r="AT165" s="130"/>
    </row>
    <row r="166" ht="13.5" customHeight="1">
      <c r="A166" s="130" t="s">
        <v>504</v>
      </c>
      <c r="B166" s="130" t="s">
        <v>505</v>
      </c>
      <c r="C166" s="130" t="s">
        <v>21</v>
      </c>
      <c r="D166" s="163">
        <v>126.0</v>
      </c>
      <c r="E166" s="163">
        <v>3.0</v>
      </c>
      <c r="F166" s="163">
        <v>3.0</v>
      </c>
      <c r="G166" s="163">
        <v>3.0</v>
      </c>
      <c r="H166" s="163">
        <v>2.0</v>
      </c>
      <c r="I166" s="163">
        <v>3.0</v>
      </c>
      <c r="J166" s="163">
        <v>3.0</v>
      </c>
      <c r="K166" s="130"/>
      <c r="L166" s="163">
        <f t="shared" si="182"/>
        <v>0</v>
      </c>
      <c r="M166" s="163">
        <f t="shared" si="186"/>
        <v>0</v>
      </c>
      <c r="N166" s="163">
        <f t="shared" ref="N166:O166" si="187">IF(G166&gt;W166,0,1)</f>
        <v>0</v>
      </c>
      <c r="O166" s="163">
        <f t="shared" si="187"/>
        <v>0</v>
      </c>
      <c r="P166" s="163">
        <f>IF(I166&gt;LARGE('計分版'!$I$14:$N$14,1),0,1)</f>
        <v>0</v>
      </c>
      <c r="Q166" s="163">
        <f>IF(J166&gt;LARGE('計分版'!$I$14:$N$14,2),0,1)</f>
        <v>0</v>
      </c>
      <c r="R166" s="163"/>
      <c r="S166" s="163">
        <f t="shared" si="178"/>
        <v>0</v>
      </c>
      <c r="T166" s="163"/>
      <c r="U166" s="163">
        <f>'計分版'!E$14</f>
        <v>0.0000000001</v>
      </c>
      <c r="V166" s="163">
        <f>'計分版'!F$14</f>
        <v>0.0000000002</v>
      </c>
      <c r="W166" s="163">
        <f>'計分版'!G$14</f>
        <v>0.0000000003</v>
      </c>
      <c r="X166" s="163">
        <f>'計分版'!H$14</f>
        <v>0.0000000004</v>
      </c>
      <c r="Y166" s="163">
        <f>'計分版'!I$14</f>
        <v>0.0000000005</v>
      </c>
      <c r="Z166" s="163">
        <f>'計分版'!J$14</f>
        <v>0</v>
      </c>
      <c r="AA166" s="163">
        <f>'計分版'!K$14</f>
        <v>0</v>
      </c>
      <c r="AB166" s="163">
        <f>'計分版'!L$14</f>
        <v>0</v>
      </c>
      <c r="AC166" s="163">
        <f>'計分版'!M$14</f>
        <v>0</v>
      </c>
      <c r="AD166" s="163">
        <f>'計分版'!N$14</f>
        <v>0</v>
      </c>
      <c r="AE166" s="163"/>
      <c r="AF166" s="163" t="s">
        <v>1065</v>
      </c>
      <c r="AG166" s="163" t="s">
        <v>166</v>
      </c>
      <c r="AH166" s="163" t="s">
        <v>1065</v>
      </c>
      <c r="AI166" s="163"/>
      <c r="AJ166" s="163"/>
      <c r="AK166" s="163"/>
      <c r="AL166" s="163"/>
      <c r="AM166" s="163"/>
      <c r="AN166" s="130"/>
      <c r="AO166" s="130"/>
      <c r="AP166" s="130"/>
      <c r="AQ166" s="130"/>
      <c r="AR166" s="130"/>
      <c r="AS166" s="130"/>
      <c r="AT166" s="130"/>
    </row>
    <row r="167" ht="13.5" customHeight="1">
      <c r="A167" s="130" t="s">
        <v>506</v>
      </c>
      <c r="B167" s="130" t="s">
        <v>507</v>
      </c>
      <c r="C167" s="130" t="s">
        <v>21</v>
      </c>
      <c r="D167" s="163">
        <v>37.0</v>
      </c>
      <c r="E167" s="163">
        <v>3.0</v>
      </c>
      <c r="F167" s="163">
        <v>3.0</v>
      </c>
      <c r="G167" s="163">
        <v>3.0</v>
      </c>
      <c r="H167" s="163">
        <v>2.0</v>
      </c>
      <c r="I167" s="163">
        <v>3.0</v>
      </c>
      <c r="J167" s="163">
        <v>3.0</v>
      </c>
      <c r="K167" s="130"/>
      <c r="L167" s="163">
        <f t="shared" si="182"/>
        <v>0</v>
      </c>
      <c r="M167" s="163">
        <f t="shared" si="186"/>
        <v>0</v>
      </c>
      <c r="N167" s="163">
        <f t="shared" ref="N167:O167" si="188">IF(G167&gt;W167,0,1)</f>
        <v>0</v>
      </c>
      <c r="O167" s="163">
        <f t="shared" si="188"/>
        <v>0</v>
      </c>
      <c r="P167" s="163">
        <f>IF(I167&gt;LARGE('計分版'!$I$14:$N$14,1),0,1)</f>
        <v>0</v>
      </c>
      <c r="Q167" s="163">
        <f>IF(J167&gt;LARGE('計分版'!$I$14:$N$14,2),0,1)</f>
        <v>0</v>
      </c>
      <c r="R167" s="163"/>
      <c r="S167" s="163">
        <f t="shared" si="178"/>
        <v>0</v>
      </c>
      <c r="T167" s="163"/>
      <c r="U167" s="163">
        <f>'計分版'!E$14</f>
        <v>0.0000000001</v>
      </c>
      <c r="V167" s="163">
        <f>'計分版'!F$14</f>
        <v>0.0000000002</v>
      </c>
      <c r="W167" s="163">
        <f>'計分版'!G$14</f>
        <v>0.0000000003</v>
      </c>
      <c r="X167" s="163">
        <f>'計分版'!H$14</f>
        <v>0.0000000004</v>
      </c>
      <c r="Y167" s="163">
        <f>'計分版'!I$14</f>
        <v>0.0000000005</v>
      </c>
      <c r="Z167" s="163">
        <f>'計分版'!J$14</f>
        <v>0</v>
      </c>
      <c r="AA167" s="163">
        <f>'計分版'!K$14</f>
        <v>0</v>
      </c>
      <c r="AB167" s="163">
        <f>'計分版'!L$14</f>
        <v>0</v>
      </c>
      <c r="AC167" s="163">
        <f>'計分版'!M$14</f>
        <v>0</v>
      </c>
      <c r="AD167" s="163">
        <f>'計分版'!N$14</f>
        <v>0</v>
      </c>
      <c r="AE167" s="163"/>
      <c r="AF167" s="163" t="s">
        <v>1065</v>
      </c>
      <c r="AG167" s="163" t="s">
        <v>166</v>
      </c>
      <c r="AH167" s="163" t="s">
        <v>1065</v>
      </c>
      <c r="AI167" s="163"/>
      <c r="AJ167" s="163"/>
      <c r="AK167" s="163"/>
      <c r="AL167" s="163"/>
      <c r="AM167" s="163"/>
      <c r="AN167" s="130"/>
      <c r="AO167" s="130"/>
      <c r="AP167" s="130"/>
      <c r="AQ167" s="130"/>
      <c r="AR167" s="130"/>
      <c r="AS167" s="130"/>
      <c r="AT167" s="130"/>
    </row>
    <row r="168" ht="13.5" customHeight="1">
      <c r="A168" s="130" t="s">
        <v>508</v>
      </c>
      <c r="B168" s="130" t="s">
        <v>509</v>
      </c>
      <c r="C168" s="172" t="s">
        <v>191</v>
      </c>
      <c r="D168" s="163">
        <v>24.0</v>
      </c>
      <c r="E168" s="163">
        <v>4.0</v>
      </c>
      <c r="F168" s="163">
        <v>5.0</v>
      </c>
      <c r="G168" s="163">
        <v>3.0</v>
      </c>
      <c r="H168" s="163">
        <v>2.0</v>
      </c>
      <c r="I168" s="163">
        <v>3.0</v>
      </c>
      <c r="J168" s="163">
        <v>3.0</v>
      </c>
      <c r="K168" s="130"/>
      <c r="L168" s="163">
        <f t="shared" si="182"/>
        <v>0</v>
      </c>
      <c r="M168" s="163">
        <f t="shared" si="186"/>
        <v>0</v>
      </c>
      <c r="N168" s="163">
        <f>IF(W168&gt;4,1,IF(W168&gt;3,2,0))</f>
        <v>0</v>
      </c>
      <c r="O168" s="163">
        <f>IF(H168&gt;X168,0,1)</f>
        <v>0</v>
      </c>
      <c r="P168" s="163">
        <f>IF(I168&gt;LARGE('計分版'!$I$14:$N$14,1),0,1)</f>
        <v>0</v>
      </c>
      <c r="Q168" s="163">
        <f>IF(J168&gt;LARGE('計分版'!$I$14:$N$14,2),0,1)</f>
        <v>0</v>
      </c>
      <c r="R168" s="163"/>
      <c r="S168" s="163">
        <f t="shared" si="178"/>
        <v>0</v>
      </c>
      <c r="T168" s="163"/>
      <c r="U168" s="163">
        <f>'計分版'!E$14</f>
        <v>0.0000000001</v>
      </c>
      <c r="V168" s="163">
        <f>'計分版'!F$14</f>
        <v>0.0000000002</v>
      </c>
      <c r="W168" s="163">
        <f>'計分版'!G$14</f>
        <v>0.0000000003</v>
      </c>
      <c r="X168" s="163">
        <f>'計分版'!H$14</f>
        <v>0.0000000004</v>
      </c>
      <c r="Y168" s="163">
        <f>'計分版'!I$14</f>
        <v>0.0000000005</v>
      </c>
      <c r="Z168" s="163">
        <f>'計分版'!J$14</f>
        <v>0</v>
      </c>
      <c r="AA168" s="163">
        <f>'計分版'!K$14</f>
        <v>0</v>
      </c>
      <c r="AB168" s="163">
        <f>'計分版'!L$14</f>
        <v>0</v>
      </c>
      <c r="AC168" s="163">
        <f>'計分版'!M$14</f>
        <v>0</v>
      </c>
      <c r="AD168" s="163">
        <f>'計分版'!N$14</f>
        <v>0</v>
      </c>
      <c r="AE168" s="163"/>
      <c r="AF168" s="163" t="s">
        <v>1065</v>
      </c>
      <c r="AG168" s="163" t="s">
        <v>166</v>
      </c>
      <c r="AH168" s="163"/>
      <c r="AI168" s="163"/>
      <c r="AJ168" s="163"/>
      <c r="AK168" s="163"/>
      <c r="AL168" s="163"/>
      <c r="AM168" s="163"/>
      <c r="AN168" s="130"/>
      <c r="AO168" s="130"/>
      <c r="AP168" s="130"/>
      <c r="AQ168" s="130"/>
      <c r="AR168" s="130"/>
      <c r="AS168" s="130"/>
      <c r="AT168" s="130"/>
    </row>
    <row r="169" ht="13.5" customHeight="1">
      <c r="A169" s="130" t="s">
        <v>510</v>
      </c>
      <c r="B169" s="130" t="s">
        <v>511</v>
      </c>
      <c r="C169" s="130" t="s">
        <v>191</v>
      </c>
      <c r="D169" s="163">
        <v>25.0</v>
      </c>
      <c r="E169" s="163">
        <v>4.0</v>
      </c>
      <c r="F169" s="163">
        <v>5.0</v>
      </c>
      <c r="G169" s="163">
        <v>3.0</v>
      </c>
      <c r="H169" s="163">
        <v>2.0</v>
      </c>
      <c r="I169" s="163">
        <v>3.0</v>
      </c>
      <c r="J169" s="163">
        <v>3.0</v>
      </c>
      <c r="K169" s="130"/>
      <c r="L169" s="163">
        <f t="shared" si="182"/>
        <v>0</v>
      </c>
      <c r="M169" s="163">
        <f t="shared" si="186"/>
        <v>0</v>
      </c>
      <c r="N169" s="163">
        <f t="shared" ref="N169:O169" si="189">IF(G169&gt;W169,0,1)</f>
        <v>0</v>
      </c>
      <c r="O169" s="163">
        <f t="shared" si="189"/>
        <v>0</v>
      </c>
      <c r="P169" s="163">
        <f>IF(I169&gt;LARGE('計分版'!$I$14:$N$14,1),0,1)</f>
        <v>0</v>
      </c>
      <c r="Q169" s="163">
        <f>IF(J169&gt;LARGE('計分版'!$I$14:$N$14,2),0,1)</f>
        <v>0</v>
      </c>
      <c r="R169" s="163"/>
      <c r="S169" s="163">
        <f t="shared" si="178"/>
        <v>0</v>
      </c>
      <c r="T169" s="163"/>
      <c r="U169" s="163">
        <f>'計分版'!E$14</f>
        <v>0.0000000001</v>
      </c>
      <c r="V169" s="163">
        <f>'計分版'!F$14</f>
        <v>0.0000000002</v>
      </c>
      <c r="W169" s="163">
        <f>'計分版'!G$14</f>
        <v>0.0000000003</v>
      </c>
      <c r="X169" s="163">
        <f>'計分版'!H$14</f>
        <v>0.0000000004</v>
      </c>
      <c r="Y169" s="163">
        <f>'計分版'!I$14</f>
        <v>0.0000000005</v>
      </c>
      <c r="Z169" s="163">
        <f>'計分版'!J$14</f>
        <v>0</v>
      </c>
      <c r="AA169" s="163">
        <f>'計分版'!K$14</f>
        <v>0</v>
      </c>
      <c r="AB169" s="163">
        <f>'計分版'!L$14</f>
        <v>0</v>
      </c>
      <c r="AC169" s="163">
        <f>'計分版'!M$14</f>
        <v>0</v>
      </c>
      <c r="AD169" s="163">
        <f>'計分版'!N$14</f>
        <v>0</v>
      </c>
      <c r="AE169" s="163"/>
      <c r="AF169" s="163" t="s">
        <v>1065</v>
      </c>
      <c r="AG169" s="163" t="s">
        <v>166</v>
      </c>
      <c r="AH169" s="163"/>
      <c r="AI169" s="163"/>
      <c r="AJ169" s="163"/>
      <c r="AK169" s="163"/>
      <c r="AL169" s="163"/>
      <c r="AM169" s="163"/>
      <c r="AN169" s="130"/>
      <c r="AO169" s="130"/>
      <c r="AP169" s="130"/>
      <c r="AQ169" s="130"/>
      <c r="AR169" s="130"/>
      <c r="AS169" s="130"/>
      <c r="AT169" s="130"/>
    </row>
    <row r="170" ht="13.5" customHeight="1">
      <c r="A170" s="130" t="s">
        <v>512</v>
      </c>
      <c r="B170" s="130" t="s">
        <v>513</v>
      </c>
      <c r="C170" s="174" t="s">
        <v>21</v>
      </c>
      <c r="D170" s="163">
        <v>20.0</v>
      </c>
      <c r="E170" s="163">
        <v>3.0</v>
      </c>
      <c r="F170" s="163">
        <v>3.0</v>
      </c>
      <c r="G170" s="163">
        <v>3.0</v>
      </c>
      <c r="H170" s="163">
        <v>2.0</v>
      </c>
      <c r="I170" s="163">
        <v>3.0</v>
      </c>
      <c r="J170" s="163">
        <v>3.0</v>
      </c>
      <c r="K170" s="130"/>
      <c r="L170" s="163">
        <f t="shared" si="182"/>
        <v>0</v>
      </c>
      <c r="M170" s="163">
        <f t="shared" si="186"/>
        <v>0</v>
      </c>
      <c r="N170" s="163">
        <f t="shared" ref="N170:O170" si="190">IF(G170&gt;W170,0,1)</f>
        <v>0</v>
      </c>
      <c r="O170" s="163">
        <f t="shared" si="190"/>
        <v>0</v>
      </c>
      <c r="P170" s="163">
        <f>IF(I170&gt;LARGE('計分版'!$I$14:$N$14,1),0,1)</f>
        <v>0</v>
      </c>
      <c r="Q170" s="163">
        <f>IF(J170&gt;LARGE('計分版'!$I$14:$N$14,2),0,1)</f>
        <v>0</v>
      </c>
      <c r="R170" s="163"/>
      <c r="S170" s="163">
        <f t="shared" si="178"/>
        <v>0</v>
      </c>
      <c r="T170" s="163"/>
      <c r="U170" s="163">
        <f>'計分版'!E$14</f>
        <v>0.0000000001</v>
      </c>
      <c r="V170" s="163">
        <f>'計分版'!F$14</f>
        <v>0.0000000002</v>
      </c>
      <c r="W170" s="163">
        <f>'計分版'!G$14</f>
        <v>0.0000000003</v>
      </c>
      <c r="X170" s="163">
        <f>'計分版'!H$14</f>
        <v>0.0000000004</v>
      </c>
      <c r="Y170" s="163">
        <f>'計分版'!I$14</f>
        <v>0.0000000005</v>
      </c>
      <c r="Z170" s="163">
        <f>'計分版'!J$14</f>
        <v>0</v>
      </c>
      <c r="AA170" s="163">
        <f>'計分版'!K$14</f>
        <v>0</v>
      </c>
      <c r="AB170" s="163">
        <f>'計分版'!L$14</f>
        <v>0</v>
      </c>
      <c r="AC170" s="163">
        <f>'計分版'!M$14</f>
        <v>0</v>
      </c>
      <c r="AD170" s="163">
        <f>'計分版'!N$14</f>
        <v>0</v>
      </c>
      <c r="AE170" s="163"/>
      <c r="AF170" s="163" t="s">
        <v>1065</v>
      </c>
      <c r="AG170" s="163" t="s">
        <v>166</v>
      </c>
      <c r="AH170" s="163" t="s">
        <v>1065</v>
      </c>
      <c r="AI170" s="163"/>
      <c r="AJ170" s="163"/>
      <c r="AK170" s="163"/>
      <c r="AL170" s="163"/>
      <c r="AM170" s="163"/>
      <c r="AN170" s="130"/>
      <c r="AO170" s="130"/>
      <c r="AP170" s="130"/>
      <c r="AQ170" s="130"/>
      <c r="AR170" s="130"/>
      <c r="AS170" s="130"/>
      <c r="AT170" s="130"/>
    </row>
    <row r="171" ht="13.5" customHeight="1">
      <c r="A171" s="130" t="s">
        <v>514</v>
      </c>
      <c r="B171" s="130" t="s">
        <v>515</v>
      </c>
      <c r="C171" s="130" t="s">
        <v>21</v>
      </c>
      <c r="D171" s="163">
        <v>24.0</v>
      </c>
      <c r="E171" s="163">
        <v>3.0</v>
      </c>
      <c r="F171" s="163">
        <v>3.0</v>
      </c>
      <c r="G171" s="163">
        <v>2.0</v>
      </c>
      <c r="H171" s="163">
        <v>2.0</v>
      </c>
      <c r="I171" s="163">
        <v>3.0</v>
      </c>
      <c r="J171" s="163">
        <v>3.0</v>
      </c>
      <c r="K171" s="130"/>
      <c r="L171" s="163">
        <f t="shared" si="182"/>
        <v>0</v>
      </c>
      <c r="M171" s="163">
        <f t="shared" si="186"/>
        <v>0</v>
      </c>
      <c r="N171" s="163">
        <f t="shared" ref="N171:O171" si="191">IF(G171&gt;W171,0,1)</f>
        <v>0</v>
      </c>
      <c r="O171" s="163">
        <f t="shared" si="191"/>
        <v>0</v>
      </c>
      <c r="P171" s="163">
        <f>IF(I171&gt;LARGE('計分版'!$I$14:$N$14,1),0,1)</f>
        <v>0</v>
      </c>
      <c r="Q171" s="163">
        <f>IF(J171&gt;LARGE('計分版'!$I$14:$N$14,2),0,1)</f>
        <v>0</v>
      </c>
      <c r="R171" s="163"/>
      <c r="S171" s="163">
        <f t="shared" si="178"/>
        <v>0</v>
      </c>
      <c r="T171" s="163"/>
      <c r="U171" s="163">
        <f>'計分版'!E$14</f>
        <v>0.0000000001</v>
      </c>
      <c r="V171" s="163">
        <f>'計分版'!F$14</f>
        <v>0.0000000002</v>
      </c>
      <c r="W171" s="163">
        <f>'計分版'!G$14</f>
        <v>0.0000000003</v>
      </c>
      <c r="X171" s="163">
        <f>'計分版'!H$14</f>
        <v>0.0000000004</v>
      </c>
      <c r="Y171" s="163">
        <f>'計分版'!I$14</f>
        <v>0.0000000005</v>
      </c>
      <c r="Z171" s="163">
        <f>'計分版'!J$14</f>
        <v>0</v>
      </c>
      <c r="AA171" s="163">
        <f>'計分版'!K$14</f>
        <v>0</v>
      </c>
      <c r="AB171" s="163">
        <f>'計分版'!L$14</f>
        <v>0</v>
      </c>
      <c r="AC171" s="163">
        <f>'計分版'!M$14</f>
        <v>0</v>
      </c>
      <c r="AD171" s="163">
        <f>'計分版'!N$14</f>
        <v>0</v>
      </c>
      <c r="AE171" s="163"/>
      <c r="AF171" s="163" t="s">
        <v>1065</v>
      </c>
      <c r="AG171" s="163" t="s">
        <v>166</v>
      </c>
      <c r="AH171" s="163"/>
      <c r="AI171" s="163"/>
      <c r="AJ171" s="163"/>
      <c r="AK171" s="163"/>
      <c r="AL171" s="163"/>
      <c r="AM171" s="163"/>
      <c r="AN171" s="130"/>
      <c r="AO171" s="130"/>
      <c r="AP171" s="130"/>
      <c r="AQ171" s="130"/>
      <c r="AR171" s="130"/>
      <c r="AS171" s="130"/>
      <c r="AT171" s="130"/>
    </row>
    <row r="172" ht="13.5" customHeight="1">
      <c r="A172" s="130" t="s">
        <v>516</v>
      </c>
      <c r="B172" s="130" t="s">
        <v>517</v>
      </c>
      <c r="C172" s="130" t="s">
        <v>21</v>
      </c>
      <c r="D172" s="163">
        <v>20.0</v>
      </c>
      <c r="E172" s="163">
        <v>4.0</v>
      </c>
      <c r="F172" s="163">
        <v>3.0</v>
      </c>
      <c r="G172" s="163">
        <v>2.0</v>
      </c>
      <c r="H172" s="163">
        <v>2.0</v>
      </c>
      <c r="I172" s="163">
        <v>3.0</v>
      </c>
      <c r="J172" s="163">
        <v>3.0</v>
      </c>
      <c r="K172" s="130"/>
      <c r="L172" s="163">
        <f t="shared" si="182"/>
        <v>0</v>
      </c>
      <c r="M172" s="163">
        <f t="shared" si="186"/>
        <v>0</v>
      </c>
      <c r="N172" s="163">
        <f t="shared" ref="N172:O172" si="192">IF(G172&gt;W172,0,1)</f>
        <v>0</v>
      </c>
      <c r="O172" s="163">
        <f t="shared" si="192"/>
        <v>0</v>
      </c>
      <c r="P172" s="163">
        <f>IF(I172&gt;LARGE('計分版'!$I$14:$N$14,1),0,1)</f>
        <v>0</v>
      </c>
      <c r="Q172" s="163">
        <f>IF(J172&gt;LARGE('計分版'!$I$14:$N$14,2),0,1)</f>
        <v>0</v>
      </c>
      <c r="R172" s="163"/>
      <c r="S172" s="163">
        <f t="shared" si="178"/>
        <v>0</v>
      </c>
      <c r="T172" s="163"/>
      <c r="U172" s="163">
        <f>'計分版'!E$14</f>
        <v>0.0000000001</v>
      </c>
      <c r="V172" s="163">
        <f>'計分版'!F$14</f>
        <v>0.0000000002</v>
      </c>
      <c r="W172" s="163">
        <f>'計分版'!G$14</f>
        <v>0.0000000003</v>
      </c>
      <c r="X172" s="163">
        <f>'計分版'!H$14</f>
        <v>0.0000000004</v>
      </c>
      <c r="Y172" s="163">
        <f>'計分版'!I$14</f>
        <v>0.0000000005</v>
      </c>
      <c r="Z172" s="163">
        <f>'計分版'!J$14</f>
        <v>0</v>
      </c>
      <c r="AA172" s="163">
        <f>'計分版'!K$14</f>
        <v>0</v>
      </c>
      <c r="AB172" s="163">
        <f>'計分版'!L$14</f>
        <v>0</v>
      </c>
      <c r="AC172" s="163">
        <f>'計分版'!M$14</f>
        <v>0</v>
      </c>
      <c r="AD172" s="163">
        <f>'計分版'!N$14</f>
        <v>0</v>
      </c>
      <c r="AE172" s="163"/>
      <c r="AF172" s="163" t="s">
        <v>1065</v>
      </c>
      <c r="AG172" s="163" t="s">
        <v>166</v>
      </c>
      <c r="AH172" s="163"/>
      <c r="AI172" s="163"/>
      <c r="AJ172" s="163"/>
      <c r="AK172" s="163"/>
      <c r="AL172" s="163"/>
      <c r="AM172" s="163"/>
      <c r="AN172" s="130"/>
      <c r="AO172" s="130"/>
      <c r="AP172" s="130"/>
      <c r="AQ172" s="130"/>
      <c r="AR172" s="130"/>
      <c r="AS172" s="130"/>
      <c r="AT172" s="130"/>
    </row>
    <row r="173" ht="13.5" customHeight="1">
      <c r="A173" s="130" t="s">
        <v>518</v>
      </c>
      <c r="B173" s="130" t="s">
        <v>519</v>
      </c>
      <c r="C173" s="130" t="s">
        <v>21</v>
      </c>
      <c r="D173" s="163">
        <v>14.0</v>
      </c>
      <c r="E173" s="163">
        <v>3.0</v>
      </c>
      <c r="F173" s="163">
        <v>4.0</v>
      </c>
      <c r="G173" s="163">
        <v>2.0</v>
      </c>
      <c r="H173" s="163">
        <v>2.0</v>
      </c>
      <c r="I173" s="163">
        <v>3.0</v>
      </c>
      <c r="J173" s="163">
        <v>3.0</v>
      </c>
      <c r="K173" s="130"/>
      <c r="L173" s="163">
        <f t="shared" si="182"/>
        <v>0</v>
      </c>
      <c r="M173" s="163">
        <f t="shared" si="186"/>
        <v>0</v>
      </c>
      <c r="N173" s="163">
        <f t="shared" ref="N173:O173" si="193">IF(G173&gt;W173,0,1)</f>
        <v>0</v>
      </c>
      <c r="O173" s="163">
        <f t="shared" si="193"/>
        <v>0</v>
      </c>
      <c r="P173" s="163">
        <f>IF(I173&gt;LARGE('計分版'!$I$14:$N$14,1),0,1)</f>
        <v>0</v>
      </c>
      <c r="Q173" s="163">
        <f>IF(J173&gt;LARGE('計分版'!$I$14:$N$14,2),0,1)</f>
        <v>0</v>
      </c>
      <c r="R173" s="163"/>
      <c r="S173" s="163">
        <f t="shared" si="178"/>
        <v>0</v>
      </c>
      <c r="T173" s="163"/>
      <c r="U173" s="163">
        <f>'計分版'!E$14</f>
        <v>0.0000000001</v>
      </c>
      <c r="V173" s="163">
        <f>'計分版'!F$14</f>
        <v>0.0000000002</v>
      </c>
      <c r="W173" s="163">
        <f>'計分版'!G$14</f>
        <v>0.0000000003</v>
      </c>
      <c r="X173" s="163">
        <f>'計分版'!H$14</f>
        <v>0.0000000004</v>
      </c>
      <c r="Y173" s="163">
        <f>'計分版'!I$14</f>
        <v>0.0000000005</v>
      </c>
      <c r="Z173" s="163">
        <f>'計分版'!J$14</f>
        <v>0</v>
      </c>
      <c r="AA173" s="163">
        <f>'計分版'!K$14</f>
        <v>0</v>
      </c>
      <c r="AB173" s="163">
        <f>'計分版'!L$14</f>
        <v>0</v>
      </c>
      <c r="AC173" s="163">
        <f>'計分版'!M$14</f>
        <v>0</v>
      </c>
      <c r="AD173" s="163">
        <f>'計分版'!N$14</f>
        <v>0</v>
      </c>
      <c r="AE173" s="163"/>
      <c r="AF173" s="163" t="s">
        <v>1065</v>
      </c>
      <c r="AG173" s="163" t="s">
        <v>166</v>
      </c>
      <c r="AH173" s="163" t="s">
        <v>1065</v>
      </c>
      <c r="AI173" s="163"/>
      <c r="AJ173" s="163"/>
      <c r="AK173" s="163"/>
      <c r="AL173" s="163"/>
      <c r="AM173" s="163"/>
      <c r="AN173" s="130"/>
      <c r="AO173" s="130"/>
      <c r="AP173" s="130"/>
      <c r="AQ173" s="130"/>
      <c r="AR173" s="130"/>
      <c r="AS173" s="130"/>
      <c r="AT173" s="130"/>
    </row>
    <row r="174" ht="13.5" customHeight="1">
      <c r="A174" s="130" t="s">
        <v>521</v>
      </c>
      <c r="B174" s="130" t="s">
        <v>522</v>
      </c>
      <c r="C174" s="130" t="s">
        <v>21</v>
      </c>
      <c r="D174" s="163">
        <v>18.0</v>
      </c>
      <c r="E174" s="163">
        <v>3.0</v>
      </c>
      <c r="F174" s="163">
        <v>3.0</v>
      </c>
      <c r="G174" s="163">
        <v>4.0</v>
      </c>
      <c r="H174" s="163">
        <v>2.0</v>
      </c>
      <c r="I174" s="163">
        <v>3.0</v>
      </c>
      <c r="J174" s="163">
        <v>3.0</v>
      </c>
      <c r="K174" s="130"/>
      <c r="L174" s="163">
        <f t="shared" si="182"/>
        <v>0</v>
      </c>
      <c r="M174" s="163">
        <f t="shared" si="186"/>
        <v>0</v>
      </c>
      <c r="N174" s="163">
        <f t="shared" ref="N174:O174" si="194">IF(G174&gt;W174,0,1)</f>
        <v>0</v>
      </c>
      <c r="O174" s="163">
        <f t="shared" si="194"/>
        <v>0</v>
      </c>
      <c r="P174" s="163">
        <f>IF(I174&lt;LARGE('計分版'!$J$14:$N$14,1),1,0)</f>
        <v>0</v>
      </c>
      <c r="Q174" s="163">
        <f>IF('計分版'!$I$14&gt;3,1,0)</f>
        <v>0</v>
      </c>
      <c r="R174" s="163"/>
      <c r="S174" s="163">
        <f t="shared" si="178"/>
        <v>0</v>
      </c>
      <c r="T174" s="163"/>
      <c r="U174" s="163">
        <f>'計分版'!E$14</f>
        <v>0.0000000001</v>
      </c>
      <c r="V174" s="163">
        <f>'計分版'!F$14</f>
        <v>0.0000000002</v>
      </c>
      <c r="W174" s="163">
        <f>'計分版'!G$14</f>
        <v>0.0000000003</v>
      </c>
      <c r="X174" s="163">
        <f>'計分版'!H$14</f>
        <v>0.0000000004</v>
      </c>
      <c r="Y174" s="163">
        <f>'計分版'!I$14</f>
        <v>0.0000000005</v>
      </c>
      <c r="Z174" s="163">
        <f>'計分版'!J$14</f>
        <v>0</v>
      </c>
      <c r="AA174" s="163">
        <f>'計分版'!K$14</f>
        <v>0</v>
      </c>
      <c r="AB174" s="163">
        <f>'計分版'!L$14</f>
        <v>0</v>
      </c>
      <c r="AC174" s="163">
        <f>'計分版'!M$14</f>
        <v>0</v>
      </c>
      <c r="AD174" s="163">
        <f>'計分版'!N$14</f>
        <v>0</v>
      </c>
      <c r="AE174" s="163"/>
      <c r="AF174" s="163" t="s">
        <v>1065</v>
      </c>
      <c r="AG174" s="163" t="s">
        <v>166</v>
      </c>
      <c r="AH174" s="163"/>
      <c r="AI174" s="163"/>
      <c r="AJ174" s="163"/>
      <c r="AK174" s="163"/>
      <c r="AL174" s="163"/>
      <c r="AM174" s="163"/>
      <c r="AN174" s="130"/>
      <c r="AO174" s="130"/>
      <c r="AP174" s="130"/>
      <c r="AQ174" s="130"/>
      <c r="AR174" s="130"/>
      <c r="AS174" s="130"/>
      <c r="AT174" s="130"/>
    </row>
    <row r="175" ht="13.5" customHeight="1">
      <c r="A175" s="130" t="s">
        <v>523</v>
      </c>
      <c r="B175" s="130" t="s">
        <v>524</v>
      </c>
      <c r="C175" s="130" t="s">
        <v>21</v>
      </c>
      <c r="D175" s="163">
        <v>21.0</v>
      </c>
      <c r="E175" s="163">
        <v>3.0</v>
      </c>
      <c r="F175" s="163">
        <v>3.0</v>
      </c>
      <c r="G175" s="163">
        <v>2.0</v>
      </c>
      <c r="H175" s="163">
        <v>2.0</v>
      </c>
      <c r="I175" s="163">
        <v>3.0</v>
      </c>
      <c r="J175" s="163">
        <v>3.0</v>
      </c>
      <c r="K175" s="130"/>
      <c r="L175" s="163">
        <f t="shared" si="182"/>
        <v>0</v>
      </c>
      <c r="M175" s="163">
        <f t="shared" si="186"/>
        <v>0</v>
      </c>
      <c r="N175" s="163">
        <f t="shared" ref="N175:O175" si="195">IF(G175&gt;W175,0,1)</f>
        <v>0</v>
      </c>
      <c r="O175" s="163">
        <f t="shared" si="195"/>
        <v>0</v>
      </c>
      <c r="P175" s="163">
        <f>IF(I175&gt;LARGE('計分版'!$I$14:$N$14,1),0,1)</f>
        <v>0</v>
      </c>
      <c r="Q175" s="163">
        <f>IF(J175&gt;LARGE('計分版'!$I$14:$N$14,2),0,1)</f>
        <v>0</v>
      </c>
      <c r="R175" s="163"/>
      <c r="S175" s="163">
        <f t="shared" si="178"/>
        <v>0</v>
      </c>
      <c r="T175" s="163"/>
      <c r="U175" s="163">
        <f>'計分版'!E$14</f>
        <v>0.0000000001</v>
      </c>
      <c r="V175" s="163">
        <f>'計分版'!F$14</f>
        <v>0.0000000002</v>
      </c>
      <c r="W175" s="163">
        <f>'計分版'!G$14</f>
        <v>0.0000000003</v>
      </c>
      <c r="X175" s="163">
        <f>'計分版'!H$14</f>
        <v>0.0000000004</v>
      </c>
      <c r="Y175" s="163">
        <f>'計分版'!I$14</f>
        <v>0.0000000005</v>
      </c>
      <c r="Z175" s="163">
        <f>'計分版'!J$14</f>
        <v>0</v>
      </c>
      <c r="AA175" s="163">
        <f>'計分版'!K$14</f>
        <v>0</v>
      </c>
      <c r="AB175" s="163">
        <f>'計分版'!L$14</f>
        <v>0</v>
      </c>
      <c r="AC175" s="163">
        <f>'計分版'!M$14</f>
        <v>0</v>
      </c>
      <c r="AD175" s="163">
        <f>'計分版'!N$14</f>
        <v>0</v>
      </c>
      <c r="AE175" s="163"/>
      <c r="AF175" s="163" t="s">
        <v>1065</v>
      </c>
      <c r="AG175" s="163" t="s">
        <v>166</v>
      </c>
      <c r="AH175" s="163" t="s">
        <v>1065</v>
      </c>
      <c r="AI175" s="163"/>
      <c r="AJ175" s="163"/>
      <c r="AK175" s="163"/>
      <c r="AL175" s="163"/>
      <c r="AM175" s="163"/>
      <c r="AN175" s="130"/>
      <c r="AO175" s="130"/>
      <c r="AP175" s="130"/>
      <c r="AQ175" s="130"/>
      <c r="AR175" s="130"/>
      <c r="AS175" s="130"/>
      <c r="AT175" s="130"/>
    </row>
    <row r="176" ht="13.5" customHeight="1">
      <c r="A176" s="130" t="s">
        <v>526</v>
      </c>
      <c r="B176" s="130" t="s">
        <v>527</v>
      </c>
      <c r="C176" s="130" t="s">
        <v>21</v>
      </c>
      <c r="D176" s="163">
        <v>304.0</v>
      </c>
      <c r="E176" s="163">
        <v>3.0</v>
      </c>
      <c r="F176" s="163">
        <v>3.0</v>
      </c>
      <c r="G176" s="163">
        <v>3.0</v>
      </c>
      <c r="H176" s="163">
        <v>2.0</v>
      </c>
      <c r="I176" s="163">
        <v>3.0</v>
      </c>
      <c r="J176" s="163">
        <v>3.0</v>
      </c>
      <c r="K176" s="130"/>
      <c r="L176" s="163">
        <f t="shared" si="182"/>
        <v>0</v>
      </c>
      <c r="M176" s="163">
        <f t="shared" si="186"/>
        <v>0</v>
      </c>
      <c r="N176" s="163">
        <f t="shared" ref="N176:O176" si="196">IF(G176&gt;W176,0,1)</f>
        <v>0</v>
      </c>
      <c r="O176" s="163">
        <f t="shared" si="196"/>
        <v>0</v>
      </c>
      <c r="P176" s="163">
        <f>IF(OR(AND('計分版'!$J$1="物理",'計分版'!$J$14&gt;3),AND('計分版'!$J$1="生物",'計分版'!$J$14&gt;3),AND('計分版'!$J$1="化學",'計分版'!$J$14&gt;3),AND('計分版'!$J$1="組合科學 (物理、化學)",'計分版'!$J$14&gt;3),AND('計分版'!$J$1="組合科學 (物理、生物)",'計分版'!$J$14&gt;3),AND('計分版'!$J$1="組合科學 (生物、化學)",'計分版'!$J$14&gt;3),AND('計分版'!$K$1="物理",'計分版'!$K$14&gt;3),AND('計分版'!$K$1="生物",'計分版'!$K$14&gt;3),AND('計分版'!$K$1="化學",'計分版'!$K$14&gt;3),AND('計分版'!$K$1="組合科學 (物理、化學)",'計分版'!$K$14&gt;3),AND('計分版'!$K$1="組合科學 (物理、生物)",'計分版'!$K$14&gt;3),AND('計分版'!$K$1="組合科學 (生物、化學)",'計分版'!$K$14&gt;3),AND('計分版'!$L$1="物理",'計分版'!$L$14&gt;3),AND('計分版'!$L$1="生物",'計分版'!$L$14&gt;3),AND('計分版'!$L$1="化學",'計分版'!$L$14&gt;3),AND('計分版'!$L$1="組合科學 (物理、化學)",'計分版'!$L$14&gt;3),AND('計分版'!$L$1="組合科學 (物理、生物)",'計分版'!$L$14&gt;3),AND('計分版'!$L$1="組合科學 (生物、化學)",'計分版'!$L$14&gt;3),AND('計分版'!$M$1="物理",'計分版'!$M$14&gt;3),AND('計分版'!$M$1="生物",'計分版'!$M$14&gt;3),AND('計分版'!$M$1="化學",'計分版'!$M$14&gt;3),AND('計分版'!$M$1="組合科學 (物理、化學)",'計分版'!$M$14&gt;3),AND('計分版'!$M$1="組合科學 (物理、生物)",'計分版'!$M$14&gt;3),AND('計分版'!$M$1="組合科學 (生物、化學)",'計分版'!$M$14&gt;3),'計分版'!$I$14&gt;3),1,0)</f>
        <v>0</v>
      </c>
      <c r="Q176" s="163">
        <f>IF(J176&gt;LARGE('計分版'!$I$14:$N$14,2),0,1)</f>
        <v>0</v>
      </c>
      <c r="R176" s="163"/>
      <c r="S176" s="163">
        <f t="shared" si="178"/>
        <v>0</v>
      </c>
      <c r="T176" s="163"/>
      <c r="U176" s="163">
        <f>'計分版'!E$14</f>
        <v>0.0000000001</v>
      </c>
      <c r="V176" s="163">
        <f>'計分版'!F$14</f>
        <v>0.0000000002</v>
      </c>
      <c r="W176" s="163">
        <f>'計分版'!G$14</f>
        <v>0.0000000003</v>
      </c>
      <c r="X176" s="163">
        <f>'計分版'!H$14</f>
        <v>0.0000000004</v>
      </c>
      <c r="Y176" s="163">
        <f>'計分版'!I$14</f>
        <v>0.0000000005</v>
      </c>
      <c r="Z176" s="163">
        <f>'計分版'!J$14</f>
        <v>0</v>
      </c>
      <c r="AA176" s="163">
        <f>'計分版'!K$14</f>
        <v>0</v>
      </c>
      <c r="AB176" s="163">
        <f>'計分版'!L$14</f>
        <v>0</v>
      </c>
      <c r="AC176" s="163">
        <f>'計分版'!M$14</f>
        <v>0</v>
      </c>
      <c r="AD176" s="163">
        <f>'計分版'!N$14</f>
        <v>0</v>
      </c>
      <c r="AE176" s="163"/>
      <c r="AF176" s="163" t="s">
        <v>1065</v>
      </c>
      <c r="AG176" s="163" t="s">
        <v>166</v>
      </c>
      <c r="AH176" s="163" t="s">
        <v>1065</v>
      </c>
      <c r="AI176" s="163"/>
      <c r="AJ176" s="163"/>
      <c r="AK176" s="163"/>
      <c r="AL176" s="163"/>
      <c r="AM176" s="163"/>
      <c r="AN176" s="130"/>
      <c r="AO176" s="130"/>
      <c r="AP176" s="130"/>
      <c r="AQ176" s="130"/>
      <c r="AR176" s="130"/>
      <c r="AS176" s="130"/>
      <c r="AT176" s="130"/>
    </row>
    <row r="177" ht="13.5" customHeight="1">
      <c r="A177" s="130" t="s">
        <v>528</v>
      </c>
      <c r="B177" s="130" t="s">
        <v>529</v>
      </c>
      <c r="C177" s="130" t="s">
        <v>21</v>
      </c>
      <c r="D177" s="163">
        <v>30.0</v>
      </c>
      <c r="E177" s="163">
        <v>3.0</v>
      </c>
      <c r="F177" s="163">
        <v>3.0</v>
      </c>
      <c r="G177" s="163">
        <v>4.0</v>
      </c>
      <c r="H177" s="163">
        <v>3.0</v>
      </c>
      <c r="I177" s="163">
        <v>3.0</v>
      </c>
      <c r="J177" s="163">
        <v>3.0</v>
      </c>
      <c r="K177" s="130"/>
      <c r="L177" s="163">
        <f t="shared" si="182"/>
        <v>0</v>
      </c>
      <c r="M177" s="163">
        <f t="shared" si="186"/>
        <v>0</v>
      </c>
      <c r="N177" s="163">
        <f t="shared" ref="N177:O177" si="197">IF(G177&gt;W177,0,1)</f>
        <v>0</v>
      </c>
      <c r="O177" s="163">
        <f t="shared" si="197"/>
        <v>0</v>
      </c>
      <c r="P177" s="163">
        <f>IF(I177&gt;LARGE('計分版'!$I$14:$N$14,1),0,1)</f>
        <v>0</v>
      </c>
      <c r="Q177" s="163">
        <f>IF(J177&gt;LARGE('計分版'!$I$14:$N$14,2),0,1)</f>
        <v>0</v>
      </c>
      <c r="R177" s="163"/>
      <c r="S177" s="163">
        <f t="shared" si="178"/>
        <v>0</v>
      </c>
      <c r="T177" s="163"/>
      <c r="U177" s="163">
        <f>'計分版'!E$14</f>
        <v>0.0000000001</v>
      </c>
      <c r="V177" s="163">
        <f>'計分版'!F$14</f>
        <v>0.0000000002</v>
      </c>
      <c r="W177" s="163">
        <f>'計分版'!G$14</f>
        <v>0.0000000003</v>
      </c>
      <c r="X177" s="163">
        <f>'計分版'!H$14</f>
        <v>0.0000000004</v>
      </c>
      <c r="Y177" s="163">
        <f>'計分版'!I$14</f>
        <v>0.0000000005</v>
      </c>
      <c r="Z177" s="163">
        <f>'計分版'!J$14</f>
        <v>0</v>
      </c>
      <c r="AA177" s="163">
        <f>'計分版'!K$14</f>
        <v>0</v>
      </c>
      <c r="AB177" s="163">
        <f>'計分版'!L$14</f>
        <v>0</v>
      </c>
      <c r="AC177" s="163">
        <f>'計分版'!M$14</f>
        <v>0</v>
      </c>
      <c r="AD177" s="163">
        <f>'計分版'!N$14</f>
        <v>0</v>
      </c>
      <c r="AE177" s="163"/>
      <c r="AF177" s="163" t="s">
        <v>1065</v>
      </c>
      <c r="AG177" s="163" t="s">
        <v>166</v>
      </c>
      <c r="AH177" s="163" t="s">
        <v>1065</v>
      </c>
      <c r="AI177" s="163"/>
      <c r="AJ177" s="163"/>
      <c r="AK177" s="163"/>
      <c r="AL177" s="163"/>
      <c r="AM177" s="163"/>
      <c r="AN177" s="130"/>
      <c r="AO177" s="130"/>
      <c r="AP177" s="130"/>
      <c r="AQ177" s="130"/>
      <c r="AR177" s="130"/>
      <c r="AS177" s="130"/>
      <c r="AT177" s="130"/>
    </row>
    <row r="178" ht="13.5" customHeight="1">
      <c r="A178" s="130" t="s">
        <v>530</v>
      </c>
      <c r="B178" s="130" t="s">
        <v>531</v>
      </c>
      <c r="C178" s="130" t="s">
        <v>21</v>
      </c>
      <c r="D178" s="163">
        <v>57.0</v>
      </c>
      <c r="E178" s="163">
        <v>3.0</v>
      </c>
      <c r="F178" s="163">
        <v>3.0</v>
      </c>
      <c r="G178" s="163">
        <v>3.0</v>
      </c>
      <c r="H178" s="163">
        <v>2.0</v>
      </c>
      <c r="I178" s="163">
        <v>3.0</v>
      </c>
      <c r="J178" s="163">
        <v>3.0</v>
      </c>
      <c r="K178" s="130"/>
      <c r="L178" s="163">
        <f t="shared" si="182"/>
        <v>0</v>
      </c>
      <c r="M178" s="163">
        <f t="shared" si="186"/>
        <v>0</v>
      </c>
      <c r="N178" s="163">
        <f t="shared" ref="N178:O178" si="198">IF(G178&gt;W178,0,1)</f>
        <v>0</v>
      </c>
      <c r="O178" s="163">
        <f t="shared" si="198"/>
        <v>0</v>
      </c>
      <c r="P178" s="163">
        <f>IF(OR(AND('計分版'!$J$1="物理",'計分版'!$J$14&gt;3),AND('計分版'!$J$1="生物",'計分版'!$J$14&gt;3),AND('計分版'!$J$1="化學",'計分版'!$J$14&gt;3),AND('計分版'!$J$1="組合科學 (物理、化學)",'計分版'!$J$14&gt;3),AND('計分版'!$J$1="組合科學 (物理、生物)",'計分版'!$J$14&gt;3),AND('計分版'!$J$1="組合科學 (生物、化學)",'計分版'!$J$14&gt;3), AND('計分版'!$J$1="資訊及通訊科技",'計分版'!$J$14&gt;3),AND('計分版'!$K$1="物理",'計分版'!$K$14&gt;3),AND('計分版'!$K$1="生物",'計分版'!$K$14&gt;3),AND('計分版'!$K$1="化學",'計分版'!$K$14&gt;3),AND('計分版'!$K$1="組合科學 (物理、化學)",'計分版'!$K$14&gt;3),AND('計分版'!$K$1="組合科學 (物理、生物)",'計分版'!$K$14&gt;3),AND('計分版'!$K$1="組合科學 (生物、化學)",'計分版'!$K$14&gt;3),AND('計分版'!$K$1="資訊及通訊科技",'計分版'!$K$14&gt;3),AND('計分版'!$L$1="物理",'計分版'!$L$14&gt;3),AND('計分版'!$L$1="生物",'計分版'!$L$14&gt;3),AND('計分版'!$L$1="化學",'計分版'!$L$14&gt;3),AND('計分版'!$L$1="組合科學 (物理、化學)",'計分版'!$L$14&gt;3),AND('計分版'!$L$1="組合科學 (物理、生物)",'計分版'!$L$14&gt;3),AND('計分版'!$L$1="組合科學 (生物、化學)",'計分版'!$L$14&gt;3),AND('計分版'!$L$1="資訊及通訊科技",'計分版'!$L$14&gt;3),AND('計分版'!$M$1="物理",'計分版'!$M$14&gt;3),AND('計分版'!$M$1="生物",'計分版'!$M$14&gt;3),AND('計分版'!$M$1="化學",'計分版'!$M$14&gt;3),AND('計分版'!$M$1="組合科學 (物理、化學)",'計分版'!$M$14&gt;3),AND('計分版'!$M$1="組合科學 (物理、生物)",'計分版'!$M$14&gt;3),AND('計分版'!$M$1="組合科學 (生物、化學)",'計分版'!$M$14&gt;3),AND('計分版'!$M$1="資訊及通訊科技",'計分版'!$M$14&gt;3),'計分版'!$I$14&gt;3),1,0)</f>
        <v>0</v>
      </c>
      <c r="Q178" s="163">
        <f>IF(J178&gt;LARGE('計分版'!$I$14:$N$14,2),0,1)</f>
        <v>0</v>
      </c>
      <c r="R178" s="163"/>
      <c r="S178" s="163">
        <f t="shared" si="178"/>
        <v>0</v>
      </c>
      <c r="T178" s="163"/>
      <c r="U178" s="163">
        <f>'計分版'!E$14</f>
        <v>0.0000000001</v>
      </c>
      <c r="V178" s="163">
        <f>'計分版'!F$14</f>
        <v>0.0000000002</v>
      </c>
      <c r="W178" s="163">
        <f>'計分版'!G$14</f>
        <v>0.0000000003</v>
      </c>
      <c r="X178" s="163">
        <f>'計分版'!H$14</f>
        <v>0.0000000004</v>
      </c>
      <c r="Y178" s="163">
        <f>'計分版'!I$14</f>
        <v>0.0000000005</v>
      </c>
      <c r="Z178" s="163">
        <f>'計分版'!J$14</f>
        <v>0</v>
      </c>
      <c r="AA178" s="163">
        <f>'計分版'!K$14</f>
        <v>0</v>
      </c>
      <c r="AB178" s="163">
        <f>'計分版'!L$14</f>
        <v>0</v>
      </c>
      <c r="AC178" s="163">
        <f>'計分版'!M$14</f>
        <v>0</v>
      </c>
      <c r="AD178" s="163">
        <f>'計分版'!N$14</f>
        <v>0</v>
      </c>
      <c r="AE178" s="163"/>
      <c r="AF178" s="163" t="s">
        <v>1065</v>
      </c>
      <c r="AG178" s="163" t="s">
        <v>166</v>
      </c>
      <c r="AH178" s="163" t="s">
        <v>1065</v>
      </c>
      <c r="AI178" s="163"/>
      <c r="AJ178" s="163"/>
      <c r="AK178" s="163"/>
      <c r="AL178" s="163"/>
      <c r="AM178" s="163"/>
      <c r="AN178" s="130"/>
      <c r="AO178" s="130"/>
      <c r="AP178" s="130"/>
      <c r="AQ178" s="130"/>
      <c r="AR178" s="130"/>
      <c r="AS178" s="130"/>
      <c r="AT178" s="130"/>
    </row>
    <row r="179" ht="13.5" customHeight="1">
      <c r="A179" s="130" t="s">
        <v>533</v>
      </c>
      <c r="B179" s="130" t="s">
        <v>534</v>
      </c>
      <c r="C179" s="130" t="s">
        <v>21</v>
      </c>
      <c r="D179" s="163">
        <v>49.0</v>
      </c>
      <c r="E179" s="163">
        <v>3.0</v>
      </c>
      <c r="F179" s="163">
        <v>3.0</v>
      </c>
      <c r="G179" s="163">
        <v>3.0</v>
      </c>
      <c r="H179" s="163">
        <v>2.0</v>
      </c>
      <c r="I179" s="163">
        <v>3.0</v>
      </c>
      <c r="J179" s="163">
        <v>3.0</v>
      </c>
      <c r="K179" s="130"/>
      <c r="L179" s="163">
        <f t="shared" si="182"/>
        <v>0</v>
      </c>
      <c r="M179" s="163">
        <f t="shared" si="186"/>
        <v>0</v>
      </c>
      <c r="N179" s="163">
        <f t="shared" ref="N179:O179" si="199">IF(G179&gt;W179,0,1)</f>
        <v>0</v>
      </c>
      <c r="O179" s="163">
        <f t="shared" si="199"/>
        <v>0</v>
      </c>
      <c r="P179" s="163">
        <f>IF(OR(AND('計分版'!$J$1="物理",'計分版'!$J$14&gt;3),AND('計分版'!$J$1="生物",'計分版'!$J$14&gt;3),AND('計分版'!$J$1="化學",'計分版'!$J$14&gt;3),AND('計分版'!$J$1="組合科學 (物理、化學)",'計分版'!$J$14&gt;3),AND('計分版'!$J$1="組合科學 (物理、生物)",'計分版'!$J$14&gt;3),AND('計分版'!$J$1="組合科學 (生物、化學)",'計分版'!$J$14&gt;3),AND('計分版'!$K$1="物理",'計分版'!$K$14&gt;3),AND('計分版'!$K$1="生物",'計分版'!$K$14&gt;3),AND('計分版'!$K$1="化學",'計分版'!$K$14&gt;3),AND('計分版'!$K$1="組合科學 (物理、化學)",'計分版'!$K$14&gt;3),AND('計分版'!$K$1="組合科學 (物理、生物)",'計分版'!$K$14&gt;3),AND('計分版'!$K$1="組合科學 (生物、化學)",'計分版'!$K$14&gt;3),AND('計分版'!$L$1="物理",'計分版'!$L$14&gt;3),AND('計分版'!$L$1="生物",'計分版'!$L$14&gt;3),AND('計分版'!$L$1="化學",'計分版'!$L$14&gt;3),AND('計分版'!$L$1="組合科學 (物理、化學)",'計分版'!$L$14&gt;3),AND('計分版'!$L$1="組合科學 (物理、生物)",'計分版'!$L$14&gt;3),AND('計分版'!$L$1="組合科學 (生物、化學)",'計分版'!$L$14&gt;3),AND('計分版'!$M$1="物理",'計分版'!$M$14&gt;3),AND('計分版'!$M$1="生物",'計分版'!$M$14&gt;3),AND('計分版'!$M$1="化學",'計分版'!$M$14&gt;3),AND('計分版'!$M$1="組合科學 (物理、化學)",'計分版'!$M$14&gt;3),AND('計分版'!$M$1="組合科學 (物理、生物)",'計分版'!$M$14&gt;3),AND('計分版'!$M$1="組合科學 (生物、化學)",'計分版'!$M$14&gt;3),'計分版'!$I$14&gt;3),1,0)</f>
        <v>0</v>
      </c>
      <c r="Q179" s="163">
        <f>IF(J179&gt;LARGE('計分版'!$I$14:$N$14,2),0,1)</f>
        <v>0</v>
      </c>
      <c r="R179" s="163"/>
      <c r="S179" s="163">
        <f t="shared" si="178"/>
        <v>0</v>
      </c>
      <c r="T179" s="163"/>
      <c r="U179" s="163">
        <f>'計分版'!E$14</f>
        <v>0.0000000001</v>
      </c>
      <c r="V179" s="163">
        <f>'計分版'!F$14</f>
        <v>0.0000000002</v>
      </c>
      <c r="W179" s="163">
        <f>'計分版'!G$14</f>
        <v>0.0000000003</v>
      </c>
      <c r="X179" s="163">
        <f>'計分版'!H$14</f>
        <v>0.0000000004</v>
      </c>
      <c r="Y179" s="163">
        <f>'計分版'!I$14</f>
        <v>0.0000000005</v>
      </c>
      <c r="Z179" s="163">
        <f>'計分版'!J$14</f>
        <v>0</v>
      </c>
      <c r="AA179" s="163">
        <f>'計分版'!K$14</f>
        <v>0</v>
      </c>
      <c r="AB179" s="163">
        <f>'計分版'!L$14</f>
        <v>0</v>
      </c>
      <c r="AC179" s="163">
        <f>'計分版'!M$14</f>
        <v>0</v>
      </c>
      <c r="AD179" s="163">
        <f>'計分版'!N$14</f>
        <v>0</v>
      </c>
      <c r="AE179" s="163"/>
      <c r="AF179" s="163" t="s">
        <v>1065</v>
      </c>
      <c r="AG179" s="163" t="s">
        <v>166</v>
      </c>
      <c r="AH179" s="163" t="s">
        <v>1065</v>
      </c>
      <c r="AI179" s="163"/>
      <c r="AJ179" s="163"/>
      <c r="AK179" s="163"/>
      <c r="AL179" s="163"/>
      <c r="AM179" s="163"/>
      <c r="AN179" s="130"/>
      <c r="AO179" s="130"/>
      <c r="AP179" s="130"/>
      <c r="AQ179" s="130"/>
      <c r="AR179" s="130"/>
      <c r="AS179" s="130"/>
      <c r="AT179" s="130"/>
    </row>
    <row r="180" ht="13.5" customHeight="1">
      <c r="A180" s="130" t="s">
        <v>535</v>
      </c>
      <c r="B180" s="130" t="s">
        <v>536</v>
      </c>
      <c r="C180" s="130" t="s">
        <v>21</v>
      </c>
      <c r="D180" s="163">
        <v>35.0</v>
      </c>
      <c r="E180" s="163">
        <v>3.0</v>
      </c>
      <c r="F180" s="163">
        <v>3.0</v>
      </c>
      <c r="G180" s="163">
        <v>3.0</v>
      </c>
      <c r="H180" s="163">
        <v>2.0</v>
      </c>
      <c r="I180" s="163">
        <v>3.0</v>
      </c>
      <c r="J180" s="163">
        <v>3.0</v>
      </c>
      <c r="K180" s="130"/>
      <c r="L180" s="163">
        <f t="shared" si="182"/>
        <v>0</v>
      </c>
      <c r="M180" s="163">
        <f t="shared" si="186"/>
        <v>0</v>
      </c>
      <c r="N180" s="163">
        <f t="shared" ref="N180:O180" si="200">IF(G180&gt;W180,0,1)</f>
        <v>0</v>
      </c>
      <c r="O180" s="163">
        <f t="shared" si="200"/>
        <v>0</v>
      </c>
      <c r="P180" s="163">
        <f>IF(OR(AND('計分版'!$J$1="物理",'計分版'!$J$14&gt;3),AND('計分版'!$J$1="生物",'計分版'!$J$14&gt;3),AND('計分版'!$J$1="化學",'計分版'!$J$14&gt;3),AND('計分版'!$J$1="組合科學 (物理、化學)",'計分版'!$J$14&gt;3),AND('計分版'!$J$1="組合科學 (物理、生物)",'計分版'!$J$14&gt;3),AND('計分版'!$J$1="組合科學 (生物、化學)",'計分版'!$J$14&gt;3),AND('計分版'!$J$1="資訊及通訊科技",'計分版'!$J$14&gt;3),AND('計分版'!$J$1="設計與應用科技",'計分版'!$J$14&gt;3),AND('計分版'!$K$1="物理",'計分版'!$K$14&gt;3),AND('計分版'!$K$1="生物",'計分版'!$K$14&gt;3),AND('計分版'!$K$1="化學",'計分版'!$K$14&gt;3),AND('計分版'!$K$1="組合科學 (物理、化學)",'計分版'!$K$14&gt;3),AND('計分版'!$K$1="組合科學 (物理、生物)",'計分版'!$K$14&gt;3),AND('計分版'!$K$1="組合科學 (生物、化學)",'計分版'!$K$14&gt;3),AND('計分版'!$K$1="資訊及通訊科技",'計分版'!$K$14&gt;3), AND('計分版'!$K$1="設計與應用科技",'計分版'!$K$14&gt;3),AND('計分版'!$L$1="物理",'計分版'!$L$14&gt;3),AND('計分版'!$L$1="生物",'計分版'!$L$14&gt;3),AND('計分版'!$L$1="化學",'計分版'!$L$14&gt;3),AND('計分版'!$L$1="組合科學 (物理、化學)",'計分版'!$L$14&gt;3),AND('計分版'!$L$1="組合科學 (物理、生物)",'計分版'!$L$14&gt;3),AND('計分版'!$L$1="組合科學 (生物、化學)",'計分版'!$L$14&gt;3),AND('計分版'!$L$1="資訊及通訊科技",'計分版'!$L$14&gt;3), AND('計分版'!$L$1="設計與應用科技",'計分版'!$L$14&gt;3),AND('計分版'!$M$1="物理",'計分版'!$M$14&gt;3),AND('計分版'!$M$1="生物",'計分版'!$M$14&gt;3),AND('計分版'!$M$1="化學",'計分版'!$M$14&gt;3),AND('計分版'!$M$1="組合科學 (物理、化學)",'計分版'!$M$14&gt;3),AND('計分版'!$M$1="組合科學 (物理、生物)",'計分版'!$M$14&gt;3),AND('計分版'!$M$1="組合科學 (生物、化學)",'計分版'!$M$14&gt;3),AND('計分版'!$M$1="資訊及通訊科技",'計分版'!$M$14&gt;3),AND('計分版'!$M$1="設計與應用科技",'計分版'!$M$14&gt;3),'計分版'!$I$14&gt;3),1,0)</f>
        <v>0</v>
      </c>
      <c r="Q180" s="163">
        <f>IF(J180&gt;LARGE('計分版'!$I$14:$N$14,2),0,1)</f>
        <v>0</v>
      </c>
      <c r="R180" s="163"/>
      <c r="S180" s="163">
        <f t="shared" si="178"/>
        <v>0</v>
      </c>
      <c r="T180" s="163"/>
      <c r="U180" s="163">
        <f>'計分版'!E$14</f>
        <v>0.0000000001</v>
      </c>
      <c r="V180" s="163">
        <f>'計分版'!F$14</f>
        <v>0.0000000002</v>
      </c>
      <c r="W180" s="163">
        <f>'計分版'!G$14</f>
        <v>0.0000000003</v>
      </c>
      <c r="X180" s="163">
        <f>'計分版'!H$14</f>
        <v>0.0000000004</v>
      </c>
      <c r="Y180" s="163">
        <f>'計分版'!I$14</f>
        <v>0.0000000005</v>
      </c>
      <c r="Z180" s="163">
        <f>'計分版'!J$14</f>
        <v>0</v>
      </c>
      <c r="AA180" s="163">
        <f>'計分版'!K$14</f>
        <v>0</v>
      </c>
      <c r="AB180" s="163">
        <f>'計分版'!L$14</f>
        <v>0</v>
      </c>
      <c r="AC180" s="163">
        <f>'計分版'!M$14</f>
        <v>0</v>
      </c>
      <c r="AD180" s="163">
        <f>'計分版'!N$14</f>
        <v>0</v>
      </c>
      <c r="AE180" s="163"/>
      <c r="AF180" s="163" t="s">
        <v>1065</v>
      </c>
      <c r="AG180" s="163" t="s">
        <v>166</v>
      </c>
      <c r="AH180" s="163" t="s">
        <v>1065</v>
      </c>
      <c r="AI180" s="163"/>
      <c r="AJ180" s="163"/>
      <c r="AK180" s="163"/>
      <c r="AL180" s="163"/>
      <c r="AM180" s="163"/>
      <c r="AN180" s="130"/>
      <c r="AO180" s="130"/>
      <c r="AP180" s="130"/>
      <c r="AQ180" s="130"/>
      <c r="AR180" s="130"/>
      <c r="AS180" s="130"/>
      <c r="AT180" s="130"/>
    </row>
    <row r="181" ht="13.5" customHeight="1">
      <c r="A181" s="130" t="s">
        <v>537</v>
      </c>
      <c r="B181" s="130" t="s">
        <v>538</v>
      </c>
      <c r="C181" s="130" t="s">
        <v>21</v>
      </c>
      <c r="D181" s="163">
        <v>30.0</v>
      </c>
      <c r="E181" s="163">
        <v>3.0</v>
      </c>
      <c r="F181" s="163">
        <v>4.0</v>
      </c>
      <c r="G181" s="163">
        <v>5.0</v>
      </c>
      <c r="H181" s="163">
        <v>3.0</v>
      </c>
      <c r="I181" s="163">
        <v>3.0</v>
      </c>
      <c r="J181" s="163">
        <v>3.0</v>
      </c>
      <c r="K181" s="130"/>
      <c r="L181" s="163">
        <f t="shared" si="182"/>
        <v>0</v>
      </c>
      <c r="M181" s="163">
        <f t="shared" si="186"/>
        <v>0</v>
      </c>
      <c r="N181" s="163">
        <f>IF(W181&gt;5,1,IF(W181&gt;4,2,0))</f>
        <v>0</v>
      </c>
      <c r="O181" s="163">
        <f>IF(H181&gt;X181,0,1)</f>
        <v>0</v>
      </c>
      <c r="P181" s="163">
        <f>IF(I181&gt;LARGE('計分版'!$I$14:$N$14,1),0,1)</f>
        <v>0</v>
      </c>
      <c r="Q181" s="163">
        <f>IF(J181&gt;LARGE('計分版'!$I$14:$N$14,2),0,1)</f>
        <v>0</v>
      </c>
      <c r="R181" s="163"/>
      <c r="S181" s="163">
        <f t="shared" si="178"/>
        <v>0</v>
      </c>
      <c r="T181" s="163"/>
      <c r="U181" s="163">
        <f>'計分版'!E$14</f>
        <v>0.0000000001</v>
      </c>
      <c r="V181" s="163">
        <f>'計分版'!F$14</f>
        <v>0.0000000002</v>
      </c>
      <c r="W181" s="163">
        <f>'計分版'!G$14</f>
        <v>0.0000000003</v>
      </c>
      <c r="X181" s="163">
        <f>'計分版'!H$14</f>
        <v>0.0000000004</v>
      </c>
      <c r="Y181" s="163">
        <f>'計分版'!I$14</f>
        <v>0.0000000005</v>
      </c>
      <c r="Z181" s="163">
        <f>'計分版'!J$14</f>
        <v>0</v>
      </c>
      <c r="AA181" s="163">
        <f>'計分版'!K$14</f>
        <v>0</v>
      </c>
      <c r="AB181" s="163">
        <f>'計分版'!L$14</f>
        <v>0</v>
      </c>
      <c r="AC181" s="163">
        <f>'計分版'!M$14</f>
        <v>0</v>
      </c>
      <c r="AD181" s="163">
        <f>'計分版'!N$14</f>
        <v>0</v>
      </c>
      <c r="AE181" s="163"/>
      <c r="AF181" s="163" t="s">
        <v>1065</v>
      </c>
      <c r="AG181" s="163" t="s">
        <v>166</v>
      </c>
      <c r="AH181" s="163"/>
      <c r="AI181" s="163"/>
      <c r="AJ181" s="163"/>
      <c r="AK181" s="163"/>
      <c r="AL181" s="163"/>
      <c r="AM181" s="163"/>
      <c r="AN181" s="130"/>
      <c r="AO181" s="130"/>
      <c r="AP181" s="130"/>
      <c r="AQ181" s="130"/>
      <c r="AR181" s="130"/>
      <c r="AS181" s="130"/>
      <c r="AT181" s="130"/>
    </row>
    <row r="182" ht="13.5" customHeight="1">
      <c r="A182" s="130" t="s">
        <v>539</v>
      </c>
      <c r="B182" s="130" t="s">
        <v>540</v>
      </c>
      <c r="C182" s="130" t="s">
        <v>478</v>
      </c>
      <c r="D182" s="163">
        <v>265.0</v>
      </c>
      <c r="E182" s="163">
        <v>3.0</v>
      </c>
      <c r="F182" s="163">
        <v>4.0</v>
      </c>
      <c r="G182" s="163">
        <v>3.0</v>
      </c>
      <c r="H182" s="163">
        <v>3.0</v>
      </c>
      <c r="I182" s="163">
        <v>3.0</v>
      </c>
      <c r="J182" s="163">
        <v>3.0</v>
      </c>
      <c r="K182" s="130"/>
      <c r="L182" s="163">
        <f t="shared" si="182"/>
        <v>0</v>
      </c>
      <c r="M182" s="163">
        <f t="shared" si="186"/>
        <v>0</v>
      </c>
      <c r="N182" s="163">
        <f t="shared" ref="N182:O182" si="201">IF(G182&gt;W182,0,1)</f>
        <v>0</v>
      </c>
      <c r="O182" s="163">
        <f t="shared" si="201"/>
        <v>0</v>
      </c>
      <c r="P182" s="163">
        <f>IF('計分版'!$S$28=0,0,IF(I182&gt;LARGE('計分版'!$I$14:$N$14,1),0,1))</f>
        <v>0</v>
      </c>
      <c r="Q182" s="163">
        <f>IF(J182&lt;LARGE('計分版'!$J$14:$N$14,2),1,0)</f>
        <v>0</v>
      </c>
      <c r="R182" s="163"/>
      <c r="S182" s="163">
        <f t="shared" si="178"/>
        <v>0</v>
      </c>
      <c r="T182" s="163"/>
      <c r="U182" s="163">
        <f>'計分版'!E$14</f>
        <v>0.0000000001</v>
      </c>
      <c r="V182" s="163">
        <f>'計分版'!F$14</f>
        <v>0.0000000002</v>
      </c>
      <c r="W182" s="163">
        <f>'計分版'!G$14</f>
        <v>0.0000000003</v>
      </c>
      <c r="X182" s="163">
        <f>'計分版'!H$14</f>
        <v>0.0000000004</v>
      </c>
      <c r="Y182" s="163">
        <f>'計分版'!I$14</f>
        <v>0.0000000005</v>
      </c>
      <c r="Z182" s="163">
        <f>'計分版'!J$14</f>
        <v>0</v>
      </c>
      <c r="AA182" s="163">
        <f>'計分版'!K$14</f>
        <v>0</v>
      </c>
      <c r="AB182" s="163">
        <f>'計分版'!L$14</f>
        <v>0</v>
      </c>
      <c r="AC182" s="163">
        <f>'計分版'!M$14</f>
        <v>0</v>
      </c>
      <c r="AD182" s="163">
        <f>'計分版'!N$14</f>
        <v>0</v>
      </c>
      <c r="AE182" s="163"/>
      <c r="AF182" s="163" t="s">
        <v>1065</v>
      </c>
      <c r="AG182" s="163" t="s">
        <v>166</v>
      </c>
      <c r="AH182" s="163"/>
      <c r="AI182" s="163"/>
      <c r="AJ182" s="163"/>
      <c r="AK182" s="163"/>
      <c r="AL182" s="163"/>
      <c r="AM182" s="163"/>
      <c r="AN182" s="130"/>
      <c r="AO182" s="130"/>
      <c r="AP182" s="130"/>
      <c r="AQ182" s="130"/>
      <c r="AR182" s="130"/>
      <c r="AS182" s="130"/>
      <c r="AT182" s="130"/>
    </row>
    <row r="183" ht="13.5" customHeight="1">
      <c r="A183" s="130" t="s">
        <v>542</v>
      </c>
      <c r="B183" s="130" t="s">
        <v>543</v>
      </c>
      <c r="C183" s="130" t="s">
        <v>478</v>
      </c>
      <c r="E183" s="163">
        <v>3.0</v>
      </c>
      <c r="F183" s="163">
        <v>4.0</v>
      </c>
      <c r="G183" s="163">
        <v>3.0</v>
      </c>
      <c r="H183" s="163">
        <v>3.0</v>
      </c>
      <c r="I183" s="163">
        <v>3.0</v>
      </c>
      <c r="J183" s="163">
        <v>3.0</v>
      </c>
      <c r="K183" s="130"/>
      <c r="L183" s="163">
        <f t="shared" si="182"/>
        <v>0</v>
      </c>
      <c r="M183" s="163">
        <f t="shared" si="186"/>
        <v>0</v>
      </c>
      <c r="N183" s="163">
        <f t="shared" ref="N183:O183" si="202">IF(G183&gt;W183,0,1)</f>
        <v>0</v>
      </c>
      <c r="O183" s="163">
        <f t="shared" si="202"/>
        <v>0</v>
      </c>
      <c r="P183" s="163">
        <f>IF('計分版'!$S$28=0,0,IF(I183&gt;LARGE('計分版'!$I$14:$N$14,1),0,1))</f>
        <v>0</v>
      </c>
      <c r="Q183" s="163">
        <f>IF(J183&lt;LARGE('計分版'!$J$14:$N$14,2),1,0)</f>
        <v>0</v>
      </c>
      <c r="R183" s="163"/>
      <c r="S183" s="163">
        <f t="shared" si="178"/>
        <v>0</v>
      </c>
      <c r="T183" s="163"/>
      <c r="U183" s="163">
        <f>'計分版'!E$14</f>
        <v>0.0000000001</v>
      </c>
      <c r="V183" s="163">
        <f>'計分版'!F$14</f>
        <v>0.0000000002</v>
      </c>
      <c r="W183" s="163">
        <f>'計分版'!G$14</f>
        <v>0.0000000003</v>
      </c>
      <c r="X183" s="163">
        <f>'計分版'!H$14</f>
        <v>0.0000000004</v>
      </c>
      <c r="Y183" s="163">
        <f>'計分版'!I$14</f>
        <v>0.0000000005</v>
      </c>
      <c r="Z183" s="163">
        <f>'計分版'!J$14</f>
        <v>0</v>
      </c>
      <c r="AA183" s="163">
        <f>'計分版'!K$14</f>
        <v>0</v>
      </c>
      <c r="AB183" s="163">
        <f>'計分版'!L$14</f>
        <v>0</v>
      </c>
      <c r="AC183" s="163">
        <f>'計分版'!M$14</f>
        <v>0</v>
      </c>
      <c r="AD183" s="163">
        <f>'計分版'!N$14</f>
        <v>0</v>
      </c>
      <c r="AE183" s="163"/>
      <c r="AF183" s="163" t="s">
        <v>1065</v>
      </c>
      <c r="AG183" s="163" t="s">
        <v>166</v>
      </c>
      <c r="AH183" s="163"/>
      <c r="AI183" s="163"/>
      <c r="AJ183" s="163"/>
      <c r="AK183" s="163"/>
      <c r="AL183" s="163"/>
      <c r="AM183" s="163"/>
      <c r="AN183" s="130"/>
      <c r="AO183" s="130"/>
      <c r="AP183" s="130"/>
      <c r="AQ183" s="130"/>
      <c r="AR183" s="130"/>
      <c r="AS183" s="130"/>
      <c r="AT183" s="130"/>
    </row>
    <row r="184" ht="13.5" customHeight="1">
      <c r="A184" s="130" t="s">
        <v>544</v>
      </c>
      <c r="B184" s="130" t="s">
        <v>545</v>
      </c>
      <c r="C184" s="130" t="s">
        <v>191</v>
      </c>
      <c r="D184" s="163">
        <v>217.0</v>
      </c>
      <c r="E184" s="163">
        <v>3.0</v>
      </c>
      <c r="F184" s="163">
        <v>3.0</v>
      </c>
      <c r="G184" s="163">
        <v>2.0</v>
      </c>
      <c r="H184" s="163">
        <v>2.0</v>
      </c>
      <c r="I184" s="163">
        <v>3.0</v>
      </c>
      <c r="J184" s="163">
        <v>3.0</v>
      </c>
      <c r="K184" s="130"/>
      <c r="L184" s="163">
        <f t="shared" si="182"/>
        <v>0</v>
      </c>
      <c r="M184" s="163">
        <f t="shared" si="186"/>
        <v>0</v>
      </c>
      <c r="N184" s="163">
        <f t="shared" ref="N184:O184" si="203">IF(G184&gt;W184,0,1)</f>
        <v>0</v>
      </c>
      <c r="O184" s="163">
        <f t="shared" si="203"/>
        <v>0</v>
      </c>
      <c r="P184" s="163">
        <f>IF(I184&gt;LARGE('計分版'!$I$14:$N$14,1),0,1)</f>
        <v>0</v>
      </c>
      <c r="Q184" s="163">
        <f>IF(J184&gt;LARGE('計分版'!$I$14:$N$14,2),0,1)</f>
        <v>0</v>
      </c>
      <c r="R184" s="163"/>
      <c r="S184" s="163">
        <f t="shared" si="178"/>
        <v>0</v>
      </c>
      <c r="T184" s="163"/>
      <c r="U184" s="163">
        <f>'計分版'!E$14</f>
        <v>0.0000000001</v>
      </c>
      <c r="V184" s="163">
        <f>'計分版'!F$14</f>
        <v>0.0000000002</v>
      </c>
      <c r="W184" s="163">
        <f>'計分版'!G$14</f>
        <v>0.0000000003</v>
      </c>
      <c r="X184" s="163">
        <f>'計分版'!H$14</f>
        <v>0.0000000004</v>
      </c>
      <c r="Y184" s="163">
        <f>'計分版'!I$14</f>
        <v>0.0000000005</v>
      </c>
      <c r="Z184" s="163">
        <f>'計分版'!J$14</f>
        <v>0</v>
      </c>
      <c r="AA184" s="163">
        <f>'計分版'!K$14</f>
        <v>0</v>
      </c>
      <c r="AB184" s="163">
        <f>'計分版'!L$14</f>
        <v>0</v>
      </c>
      <c r="AC184" s="163">
        <f>'計分版'!M$14</f>
        <v>0</v>
      </c>
      <c r="AD184" s="163">
        <f>'計分版'!N$14</f>
        <v>0</v>
      </c>
      <c r="AE184" s="163"/>
      <c r="AF184" s="163" t="s">
        <v>1065</v>
      </c>
      <c r="AG184" s="163" t="s">
        <v>166</v>
      </c>
      <c r="AH184" s="163" t="s">
        <v>1065</v>
      </c>
      <c r="AI184" s="163"/>
      <c r="AJ184" s="163"/>
      <c r="AK184" s="163"/>
      <c r="AL184" s="163"/>
      <c r="AM184" s="163"/>
      <c r="AN184" s="130"/>
      <c r="AO184" s="130"/>
      <c r="AP184" s="130"/>
      <c r="AQ184" s="130"/>
      <c r="AR184" s="130"/>
      <c r="AS184" s="130"/>
      <c r="AT184" s="130"/>
    </row>
    <row r="185" ht="13.5" customHeight="1">
      <c r="A185" s="130" t="s">
        <v>546</v>
      </c>
      <c r="B185" s="130" t="s">
        <v>547</v>
      </c>
      <c r="C185" s="130" t="s">
        <v>191</v>
      </c>
      <c r="D185" s="163">
        <v>61.0</v>
      </c>
      <c r="E185" s="163">
        <v>3.0</v>
      </c>
      <c r="F185" s="163">
        <v>3.0</v>
      </c>
      <c r="G185" s="163">
        <v>3.0</v>
      </c>
      <c r="H185" s="163">
        <v>3.0</v>
      </c>
      <c r="I185" s="163">
        <v>3.0</v>
      </c>
      <c r="J185" s="163">
        <v>3.0</v>
      </c>
      <c r="K185" s="130"/>
      <c r="L185" s="163">
        <f t="shared" si="182"/>
        <v>0</v>
      </c>
      <c r="M185" s="163">
        <f t="shared" si="186"/>
        <v>0</v>
      </c>
      <c r="N185" s="163">
        <f t="shared" ref="N185:O185" si="204">IF(G185&gt;W185,0,1)</f>
        <v>0</v>
      </c>
      <c r="O185" s="163">
        <f t="shared" si="204"/>
        <v>0</v>
      </c>
      <c r="P185" s="163">
        <f>IF(I185&gt;LARGE('計分版'!$I$14:$N$14,1),0,1)</f>
        <v>0</v>
      </c>
      <c r="Q185" s="163">
        <f>IF(J185&gt;LARGE('計分版'!$I$14:$N$14,2),0,1)</f>
        <v>0</v>
      </c>
      <c r="R185" s="163"/>
      <c r="S185" s="163">
        <f t="shared" si="178"/>
        <v>0</v>
      </c>
      <c r="T185" s="163"/>
      <c r="U185" s="163">
        <f>'計分版'!E$14</f>
        <v>0.0000000001</v>
      </c>
      <c r="V185" s="163">
        <f>'計分版'!F$14</f>
        <v>0.0000000002</v>
      </c>
      <c r="W185" s="163">
        <f>'計分版'!G$14</f>
        <v>0.0000000003</v>
      </c>
      <c r="X185" s="163">
        <f>'計分版'!H$14</f>
        <v>0.0000000004</v>
      </c>
      <c r="Y185" s="163">
        <f>'計分版'!I$14</f>
        <v>0.0000000005</v>
      </c>
      <c r="Z185" s="163">
        <f>'計分版'!J$14</f>
        <v>0</v>
      </c>
      <c r="AA185" s="163">
        <f>'計分版'!K$14</f>
        <v>0</v>
      </c>
      <c r="AB185" s="163">
        <f>'計分版'!L$14</f>
        <v>0</v>
      </c>
      <c r="AC185" s="163">
        <f>'計分版'!M$14</f>
        <v>0</v>
      </c>
      <c r="AD185" s="163">
        <f>'計分版'!N$14</f>
        <v>0</v>
      </c>
      <c r="AE185" s="163"/>
      <c r="AF185" s="163" t="s">
        <v>1065</v>
      </c>
      <c r="AG185" s="163" t="s">
        <v>166</v>
      </c>
      <c r="AH185" s="163"/>
      <c r="AI185" s="163"/>
      <c r="AJ185" s="163"/>
      <c r="AK185" s="163"/>
      <c r="AL185" s="163"/>
      <c r="AM185" s="163"/>
      <c r="AN185" s="130"/>
      <c r="AO185" s="130"/>
      <c r="AP185" s="130"/>
      <c r="AQ185" s="130"/>
      <c r="AR185" s="130"/>
      <c r="AS185" s="130"/>
      <c r="AT185" s="130"/>
    </row>
    <row r="186" ht="13.5" customHeight="1">
      <c r="A186" s="130" t="s">
        <v>549</v>
      </c>
      <c r="B186" s="130" t="s">
        <v>550</v>
      </c>
      <c r="C186" s="130" t="s">
        <v>21</v>
      </c>
      <c r="D186" s="163">
        <v>32.0</v>
      </c>
      <c r="E186" s="163">
        <v>3.0</v>
      </c>
      <c r="F186" s="163">
        <v>3.0</v>
      </c>
      <c r="G186" s="163">
        <v>2.0</v>
      </c>
      <c r="H186" s="163">
        <v>2.0</v>
      </c>
      <c r="I186" s="163">
        <v>3.0</v>
      </c>
      <c r="J186" s="163">
        <v>3.0</v>
      </c>
      <c r="K186" s="130"/>
      <c r="L186" s="163">
        <f t="shared" si="182"/>
        <v>0</v>
      </c>
      <c r="M186" s="163">
        <f t="shared" si="186"/>
        <v>0</v>
      </c>
      <c r="N186" s="163">
        <f t="shared" ref="N186:O186" si="205">IF(G186&gt;W186,0,1)</f>
        <v>0</v>
      </c>
      <c r="O186" s="163">
        <f t="shared" si="205"/>
        <v>0</v>
      </c>
      <c r="P186" s="163">
        <f>IF(I186&gt;LARGE('計分版'!$I$14:$N$14,1),0,1)</f>
        <v>0</v>
      </c>
      <c r="Q186" s="163">
        <f>IF(J186&gt;LARGE('計分版'!$I$14:$N$14,2),0,1)</f>
        <v>0</v>
      </c>
      <c r="R186" s="163"/>
      <c r="S186" s="163">
        <f t="shared" si="178"/>
        <v>0</v>
      </c>
      <c r="T186" s="163"/>
      <c r="U186" s="163">
        <f>'計分版'!E$14</f>
        <v>0.0000000001</v>
      </c>
      <c r="V186" s="163">
        <f>'計分版'!F$14</f>
        <v>0.0000000002</v>
      </c>
      <c r="W186" s="163">
        <f>'計分版'!G$14</f>
        <v>0.0000000003</v>
      </c>
      <c r="X186" s="163">
        <f>'計分版'!H$14</f>
        <v>0.0000000004</v>
      </c>
      <c r="Y186" s="163">
        <f>'計分版'!I$14</f>
        <v>0.0000000005</v>
      </c>
      <c r="Z186" s="163">
        <f>'計分版'!J$14</f>
        <v>0</v>
      </c>
      <c r="AA186" s="163">
        <f>'計分版'!K$14</f>
        <v>0</v>
      </c>
      <c r="AB186" s="163">
        <f>'計分版'!L$14</f>
        <v>0</v>
      </c>
      <c r="AC186" s="163">
        <f>'計分版'!M$14</f>
        <v>0</v>
      </c>
      <c r="AD186" s="163">
        <f>'計分版'!N$14</f>
        <v>0</v>
      </c>
      <c r="AE186" s="163"/>
      <c r="AF186" s="163" t="s">
        <v>1065</v>
      </c>
      <c r="AG186" s="163" t="s">
        <v>166</v>
      </c>
      <c r="AH186" s="163" t="s">
        <v>1065</v>
      </c>
      <c r="AI186" s="163"/>
      <c r="AJ186" s="163"/>
      <c r="AK186" s="163"/>
      <c r="AL186" s="163"/>
      <c r="AM186" s="163"/>
      <c r="AN186" s="130"/>
      <c r="AO186" s="130"/>
      <c r="AP186" s="130"/>
      <c r="AQ186" s="130"/>
      <c r="AR186" s="130"/>
      <c r="AS186" s="130"/>
      <c r="AT186" s="130"/>
    </row>
    <row r="187" ht="13.5" customHeight="1">
      <c r="A187" s="130" t="s">
        <v>555</v>
      </c>
      <c r="B187" s="130" t="s">
        <v>556</v>
      </c>
      <c r="C187" s="130" t="s">
        <v>191</v>
      </c>
      <c r="D187" s="163">
        <v>25.0</v>
      </c>
      <c r="E187" s="163">
        <v>3.0</v>
      </c>
      <c r="F187" s="163">
        <v>3.0</v>
      </c>
      <c r="G187" s="163">
        <v>2.0</v>
      </c>
      <c r="H187" s="163">
        <v>2.0</v>
      </c>
      <c r="I187" s="163">
        <v>3.0</v>
      </c>
      <c r="J187" s="163">
        <v>3.0</v>
      </c>
      <c r="K187" s="130"/>
      <c r="L187" s="163">
        <f t="shared" si="182"/>
        <v>0</v>
      </c>
      <c r="M187" s="163">
        <f t="shared" si="186"/>
        <v>0</v>
      </c>
      <c r="N187" s="163">
        <f t="shared" ref="N187:O187" si="206">IF(G187&gt;W187,0,1)</f>
        <v>0</v>
      </c>
      <c r="O187" s="163">
        <f t="shared" si="206"/>
        <v>0</v>
      </c>
      <c r="P187" s="163">
        <f>IF(I187&gt;LARGE('計分版'!$I$14:$N$14,1),0,1)</f>
        <v>0</v>
      </c>
      <c r="Q187" s="163">
        <f>IF(J187&gt;LARGE('計分版'!$I$14:$N$14,2),0,1)</f>
        <v>0</v>
      </c>
      <c r="R187" s="163"/>
      <c r="S187" s="163">
        <f t="shared" si="178"/>
        <v>0</v>
      </c>
      <c r="T187" s="163"/>
      <c r="U187" s="163">
        <f>'計分版'!E$14</f>
        <v>0.0000000001</v>
      </c>
      <c r="V187" s="163">
        <f>'計分版'!F$14</f>
        <v>0.0000000002</v>
      </c>
      <c r="W187" s="163">
        <f>'計分版'!G$14</f>
        <v>0.0000000003</v>
      </c>
      <c r="X187" s="163">
        <f>'計分版'!H$14</f>
        <v>0.0000000004</v>
      </c>
      <c r="Y187" s="163">
        <f>'計分版'!I$14</f>
        <v>0.0000000005</v>
      </c>
      <c r="Z187" s="163">
        <f>'計分版'!J$14</f>
        <v>0</v>
      </c>
      <c r="AA187" s="163">
        <f>'計分版'!K$14</f>
        <v>0</v>
      </c>
      <c r="AB187" s="163">
        <f>'計分版'!L$14</f>
        <v>0</v>
      </c>
      <c r="AC187" s="163">
        <f>'計分版'!M$14</f>
        <v>0</v>
      </c>
      <c r="AD187" s="163">
        <f>'計分版'!N$14</f>
        <v>0</v>
      </c>
      <c r="AE187" s="163"/>
      <c r="AF187" s="163" t="s">
        <v>1065</v>
      </c>
      <c r="AG187" s="163" t="s">
        <v>166</v>
      </c>
      <c r="AH187" s="163" t="s">
        <v>1065</v>
      </c>
      <c r="AI187" s="163"/>
      <c r="AJ187" s="163"/>
      <c r="AK187" s="163"/>
      <c r="AL187" s="163"/>
      <c r="AM187" s="163"/>
      <c r="AN187" s="130"/>
      <c r="AO187" s="130"/>
      <c r="AP187" s="130"/>
      <c r="AQ187" s="130"/>
      <c r="AR187" s="130"/>
      <c r="AS187" s="130"/>
      <c r="AT187" s="130"/>
    </row>
    <row r="188" ht="13.5" customHeight="1">
      <c r="A188" s="130" t="s">
        <v>557</v>
      </c>
      <c r="B188" s="130" t="s">
        <v>558</v>
      </c>
      <c r="C188" s="130" t="s">
        <v>191</v>
      </c>
      <c r="D188" s="163">
        <v>20.0</v>
      </c>
      <c r="E188" s="163">
        <v>3.0</v>
      </c>
      <c r="F188" s="163">
        <v>3.0</v>
      </c>
      <c r="G188" s="163">
        <v>3.0</v>
      </c>
      <c r="H188" s="163">
        <v>2.0</v>
      </c>
      <c r="I188" s="163">
        <v>3.0</v>
      </c>
      <c r="J188" s="163">
        <v>3.0</v>
      </c>
      <c r="K188" s="130"/>
      <c r="L188" s="163">
        <f t="shared" si="182"/>
        <v>0</v>
      </c>
      <c r="M188" s="163">
        <f t="shared" si="186"/>
        <v>0</v>
      </c>
      <c r="N188" s="163">
        <f t="shared" ref="N188:O188" si="207">IF(G188&gt;W188,0,1)</f>
        <v>0</v>
      </c>
      <c r="O188" s="163">
        <f t="shared" si="207"/>
        <v>0</v>
      </c>
      <c r="P188" s="163">
        <f>IF('計分版'!$S$28=0,0,IF(I188&gt;LARGE('計分版'!$I$14:$N$14,1),0,1))</f>
        <v>0</v>
      </c>
      <c r="Q188" s="163">
        <f>IF(J188&lt;LARGE('計分版'!$J$14:$M$14,2),1,0)</f>
        <v>0</v>
      </c>
      <c r="R188" s="163"/>
      <c r="S188" s="163">
        <f t="shared" si="178"/>
        <v>0</v>
      </c>
      <c r="T188" s="163"/>
      <c r="U188" s="163">
        <f>'計分版'!E$14</f>
        <v>0.0000000001</v>
      </c>
      <c r="V188" s="163">
        <f>'計分版'!F$14</f>
        <v>0.0000000002</v>
      </c>
      <c r="W188" s="163">
        <f>'計分版'!G$14</f>
        <v>0.0000000003</v>
      </c>
      <c r="X188" s="163">
        <f>'計分版'!H$14</f>
        <v>0.0000000004</v>
      </c>
      <c r="Y188" s="163">
        <f>'計分版'!I$14</f>
        <v>0.0000000005</v>
      </c>
      <c r="Z188" s="163">
        <f>'計分版'!J$14</f>
        <v>0</v>
      </c>
      <c r="AA188" s="163">
        <f>'計分版'!K$14</f>
        <v>0</v>
      </c>
      <c r="AB188" s="163">
        <f>'計分版'!L$14</f>
        <v>0</v>
      </c>
      <c r="AC188" s="163">
        <f>'計分版'!M$14</f>
        <v>0</v>
      </c>
      <c r="AD188" s="163">
        <f>'計分版'!N$14</f>
        <v>0</v>
      </c>
      <c r="AE188" s="163"/>
      <c r="AF188" s="163" t="s">
        <v>1065</v>
      </c>
      <c r="AG188" s="163" t="s">
        <v>166</v>
      </c>
      <c r="AH188" s="163" t="s">
        <v>1065</v>
      </c>
      <c r="AI188" s="163"/>
      <c r="AJ188" s="163"/>
      <c r="AK188" s="163"/>
      <c r="AL188" s="163"/>
      <c r="AM188" s="163"/>
      <c r="AN188" s="130"/>
      <c r="AO188" s="130"/>
      <c r="AP188" s="130"/>
      <c r="AQ188" s="130"/>
      <c r="AR188" s="130"/>
      <c r="AS188" s="130"/>
      <c r="AT188" s="130"/>
    </row>
    <row r="189" ht="13.5" customHeight="1">
      <c r="A189" s="130" t="s">
        <v>548</v>
      </c>
      <c r="B189" s="130" t="s">
        <v>355</v>
      </c>
      <c r="C189" s="130" t="s">
        <v>21</v>
      </c>
      <c r="D189" s="163">
        <v>374.0</v>
      </c>
      <c r="E189" s="163">
        <v>3.0</v>
      </c>
      <c r="F189" s="163">
        <v>3.0</v>
      </c>
      <c r="G189" s="163">
        <v>2.0</v>
      </c>
      <c r="H189" s="163">
        <v>2.0</v>
      </c>
      <c r="I189" s="163">
        <v>3.0</v>
      </c>
      <c r="J189" s="163">
        <v>3.0</v>
      </c>
      <c r="K189" s="130"/>
      <c r="L189" s="163">
        <f t="shared" si="182"/>
        <v>0</v>
      </c>
      <c r="M189" s="163">
        <f t="shared" si="186"/>
        <v>0</v>
      </c>
      <c r="N189" s="163">
        <f t="shared" ref="N189:O189" si="208">IF(G189&gt;W189,0,1)</f>
        <v>0</v>
      </c>
      <c r="O189" s="163">
        <f t="shared" si="208"/>
        <v>0</v>
      </c>
      <c r="P189" s="163">
        <f>IF(OR(AND('計分版'!$J$1="物理",'計分版'!$J$14&gt;3),AND('計分版'!$J$1="生物",'計分版'!$J$14&gt;3),AND('計分版'!$J$1="化學",'計分版'!$J$14&gt;3),AND('計分版'!$J$1="組合科學 (物理、化學)",'計分版'!$J$14&gt;3),AND('計分版'!$J$1="組合科學 (物理、生物)",'計分版'!$J$14&gt;3),AND('計分版'!$J$1="組合科學 (生物、化學)",'計分版'!$J$14&gt;3), AND('計分版'!$J$1="綜合科學",'計分版'!$J$14&gt;3),AND('計分版'!$K$1="物理",'計分版'!$K$14&gt;3),AND('計分版'!$K$1="生物",'計分版'!$K$14&gt;3),AND('計分版'!$K$1="化學",'計分版'!$K$14&gt;3),AND('計分版'!$K$1="組合科學 (物理、化學)",'計分版'!$K$14&gt;3),AND('計分版'!$K$1="組合科學 (物理、生物)",'計分版'!$K$14&gt;3),AND('計分版'!$K$1="組合科學 (生物、化學)",'計分版'!$K$14&gt;3),AND('計分版'!$K$1="資訊及通訊科技",'計分版'!$K$14&gt;3),AND('計分版'!$L$1="物理",'計分版'!$L$14&gt;3),AND('計分版'!$L$1="生物",'計分版'!$L$14&gt;3),AND('計分版'!$L$1="化學",'計分版'!$L$14&gt;3),AND('計分版'!$L$1="組合科學 (物理、化學)",'計分版'!$L$14&gt;3),AND('計分版'!$L$1="組合科學 (物理、生物)",'計分版'!$L$14&gt;3),AND('計分版'!$L$1="組合科學 (生物、化學)",'計分版'!$L$14&gt;3),AND('計分版'!$L$1="資訊及通訊科技",'計分版'!$L$14&gt;3),AND('計分版'!$M$1="物理",'計分版'!$M$14&gt;3),AND('計分版'!$M$1="生物",'計分版'!$M$14&gt;3),AND('計分版'!$M$1="化學",'計分版'!$M$14&gt;3),AND('計分版'!$M$1="組合科學 (物理、化學)",'計分版'!$M$14&gt;3),AND('計分版'!$M$1="組合科學 (物理、生物)",'計分版'!$M$14&gt;3),AND('計分版'!$M$1="組合科學 (生物、化學)",'計分版'!$M$14&gt;3),AND('計分版'!$M$1="資訊及通訊科技",'計分版'!$M$14&gt;3),'計分版'!$I$14&gt;3),1,0)</f>
        <v>0</v>
      </c>
      <c r="Q189" s="163">
        <f>IF(J189&lt;LARGE('計分版'!$I$14:$M$14,2),1,0)</f>
        <v>0</v>
      </c>
      <c r="R189" s="163"/>
      <c r="S189" s="163">
        <f t="shared" si="178"/>
        <v>0</v>
      </c>
      <c r="T189" s="163"/>
      <c r="U189" s="163">
        <f>'計分版'!E$14</f>
        <v>0.0000000001</v>
      </c>
      <c r="V189" s="163">
        <f>'計分版'!F$14</f>
        <v>0.0000000002</v>
      </c>
      <c r="W189" s="163">
        <f>'計分版'!G$14</f>
        <v>0.0000000003</v>
      </c>
      <c r="X189" s="163">
        <f>'計分版'!H$14</f>
        <v>0.0000000004</v>
      </c>
      <c r="Y189" s="163">
        <f>'計分版'!I$14</f>
        <v>0.0000000005</v>
      </c>
      <c r="Z189" s="163">
        <f>'計分版'!J$14</f>
        <v>0</v>
      </c>
      <c r="AA189" s="163">
        <f>'計分版'!K$14</f>
        <v>0</v>
      </c>
      <c r="AB189" s="163">
        <f>'計分版'!L$14</f>
        <v>0</v>
      </c>
      <c r="AC189" s="163">
        <f>'計分版'!M$14</f>
        <v>0</v>
      </c>
      <c r="AD189" s="163">
        <f>'計分版'!N$14</f>
        <v>0</v>
      </c>
      <c r="AE189" s="163"/>
      <c r="AF189" s="163" t="s">
        <v>1065</v>
      </c>
      <c r="AG189" s="163" t="s">
        <v>166</v>
      </c>
      <c r="AH189" s="163"/>
      <c r="AI189" s="163"/>
      <c r="AJ189" s="163"/>
      <c r="AK189" s="163"/>
      <c r="AL189" s="163"/>
      <c r="AM189" s="163"/>
      <c r="AN189" s="130"/>
      <c r="AO189" s="130"/>
      <c r="AP189" s="130"/>
      <c r="AQ189" s="130"/>
      <c r="AR189" s="130"/>
      <c r="AS189" s="130"/>
      <c r="AT189" s="130"/>
    </row>
    <row r="190" ht="13.5" customHeight="1">
      <c r="A190" s="130" t="s">
        <v>559</v>
      </c>
      <c r="B190" s="130" t="s">
        <v>560</v>
      </c>
      <c r="C190" s="130" t="s">
        <v>21</v>
      </c>
      <c r="D190" s="163">
        <v>20.0</v>
      </c>
      <c r="E190" s="163">
        <v>3.0</v>
      </c>
      <c r="F190" s="163">
        <v>4.0</v>
      </c>
      <c r="G190" s="163">
        <v>4.0</v>
      </c>
      <c r="H190" s="163">
        <v>2.0</v>
      </c>
      <c r="I190" s="163">
        <v>4.0</v>
      </c>
      <c r="J190" s="163">
        <v>3.0</v>
      </c>
      <c r="K190" s="130"/>
      <c r="L190" s="163">
        <f t="shared" si="182"/>
        <v>0</v>
      </c>
      <c r="M190" s="163">
        <f t="shared" si="186"/>
        <v>0</v>
      </c>
      <c r="N190" s="163">
        <f t="shared" ref="N190:O190" si="209">IF(G190&gt;W190,0,1)</f>
        <v>0</v>
      </c>
      <c r="O190" s="163">
        <f t="shared" si="209"/>
        <v>0</v>
      </c>
      <c r="P190" s="163">
        <f>IF(OR(AND('計分版'!$J$1="物理",'計分版'!$J$14&gt;4),AND('計分版'!$J$1="地理",'計分版'!$J$14&gt;4),AND('計分版'!$J$1="化學",'計分版'!$J$14&gt;4),AND('計分版'!$J$1="組合科學 (物理、化學)",'計分版'!$J$14&gt;4),AND('計分版'!$J$1="組合科學 (物理、生物)",'計分版'!$J$14&gt;4),AND('計分版'!$J$1="組合科學 (生物、化學)",'計分版'!$J$14&gt;4),AND('計分版'!$K$1="物理",'計分版'!$K$14&gt;4),AND('計分版'!$K$1="地理",'計分版'!$K$14&gt;4),AND('計分版'!$K$1="化學",'計分版'!$K$14&gt;4),AND('計分版'!$K$1="組合科學 (物理、化學)",'計分版'!$K$14&gt;4),AND('計分版'!$K$1="組合科學 (物理、生物)",'計分版'!$K$14&gt;4),AND('計分版'!$K$1="組合科學 (生物、化學)",'計分版'!$K$14&gt;4),AND('計分版'!$L$1="物理",'計分版'!$L$14&gt;4),AND('計分版'!$L$1="地理",'計分版'!$L$14&gt;4),AND('計分版'!$L$1="化學",'計分版'!$L$14&gt;4),AND('計分版'!$L$1="組合科學 (物理、化學)",'計分版'!$L$14&gt;4),AND('計分版'!$L$1="組合科學 (物理、生物)",'計分版'!$L$14&gt;4),AND('計分版'!$L$1="組合科學 (生物、化學)",'計分版'!$L$14&gt;4),AND('計分版'!$M$1="物理",'計分版'!$M$14&gt;4),AND('計分版'!$M$1="地理",'計分版'!$M$14&gt;4),AND('計分版'!$M$1="化學",'計分版'!$M$14&gt;4),AND('計分版'!$M$1="組合科學 (物理、化學)",'計分版'!$M$14&gt;4),AND('計分版'!$M$1="組合科學 (物理、生物)",'計分版'!$M$14&gt;4),AND('計分版'!$M$1="組合科學 (生物、化學)",'計分版'!$M$14&gt;4),'計分版'!$I$14&gt;4),1,0)</f>
        <v>0</v>
      </c>
      <c r="Q190" s="163">
        <f>IF(J190&lt;'計分版'!$X$215,1,0)</f>
        <v>0</v>
      </c>
      <c r="R190" s="163"/>
      <c r="S190" s="163">
        <f t="shared" si="178"/>
        <v>0</v>
      </c>
      <c r="T190" s="163"/>
      <c r="U190" s="163">
        <f>'計分版'!E$14</f>
        <v>0.0000000001</v>
      </c>
      <c r="V190" s="163">
        <f>'計分版'!F$14</f>
        <v>0.0000000002</v>
      </c>
      <c r="W190" s="163">
        <f>'計分版'!G$14</f>
        <v>0.0000000003</v>
      </c>
      <c r="X190" s="163">
        <f>'計分版'!H$14</f>
        <v>0.0000000004</v>
      </c>
      <c r="Y190" s="163">
        <f>'計分版'!I$14</f>
        <v>0.0000000005</v>
      </c>
      <c r="Z190" s="163">
        <f>'計分版'!J$14</f>
        <v>0</v>
      </c>
      <c r="AA190" s="163">
        <f>'計分版'!K$14</f>
        <v>0</v>
      </c>
      <c r="AB190" s="163">
        <f>'計分版'!L$14</f>
        <v>0</v>
      </c>
      <c r="AC190" s="163">
        <f>'計分版'!M$14</f>
        <v>0</v>
      </c>
      <c r="AD190" s="163">
        <f>'計分版'!N$14</f>
        <v>0</v>
      </c>
      <c r="AE190" s="163"/>
      <c r="AF190" s="163" t="s">
        <v>1065</v>
      </c>
      <c r="AG190" s="163" t="s">
        <v>166</v>
      </c>
      <c r="AH190" s="163"/>
      <c r="AI190" s="163"/>
      <c r="AJ190" s="163"/>
      <c r="AK190" s="163"/>
      <c r="AL190" s="163"/>
      <c r="AM190" s="163"/>
      <c r="AN190" s="130"/>
      <c r="AO190" s="130"/>
      <c r="AP190" s="130"/>
      <c r="AQ190" s="130"/>
      <c r="AR190" s="130"/>
      <c r="AS190" s="130"/>
      <c r="AT190" s="130"/>
    </row>
    <row r="191" ht="13.5" customHeight="1">
      <c r="A191" s="130" t="s">
        <v>561</v>
      </c>
      <c r="B191" s="130" t="s">
        <v>562</v>
      </c>
      <c r="C191" s="130" t="s">
        <v>21</v>
      </c>
      <c r="D191" s="163">
        <v>27.0</v>
      </c>
      <c r="E191" s="163">
        <v>3.0</v>
      </c>
      <c r="F191" s="163">
        <v>3.0</v>
      </c>
      <c r="G191" s="163">
        <v>4.0</v>
      </c>
      <c r="H191" s="163">
        <v>2.0</v>
      </c>
      <c r="I191" s="163">
        <v>3.0</v>
      </c>
      <c r="J191" s="163">
        <v>4.0</v>
      </c>
      <c r="K191" s="130"/>
      <c r="L191" s="163">
        <f t="shared" si="182"/>
        <v>0</v>
      </c>
      <c r="M191" s="163">
        <f t="shared" si="186"/>
        <v>0</v>
      </c>
      <c r="N191" s="163">
        <f t="shared" ref="N191:O191" si="210">IF(G191&gt;W191,0,1)</f>
        <v>0</v>
      </c>
      <c r="O191" s="163">
        <f t="shared" si="210"/>
        <v>0</v>
      </c>
      <c r="P191" s="163">
        <f>IF(OR(AND('計分版'!$J$1="物理",'計分版'!$J$14&gt;3),AND('計分版'!$J$1="生物",'計分版'!$J$14&gt;3),AND('計分版'!$J$1="化學",'計分版'!$J$14&gt;3),AND('計分版'!$J$1="組合科學 (物理、化學)",'計分版'!$J$14&gt;3),AND('計分版'!$J$1="組合科學 (物理、生物)",'計分版'!$J$14&gt;3),AND('計分版'!$J$1="組合科學 (生物、化學)",'計分版'!$J$14&gt;3),AND('計分版'!$J$1="資訊及通訊科技",'計分版'!$J$14&gt;3),AND('計分版'!$J$1="綜合科學",'計分版'!$J$14&gt;3),  AND('計分版'!$J$1="經濟",'計分版'!$J$14&gt;3), AND('計分版'!$J$1="地理",'計分版'!$J$14&gt;3), AND('計分版'!$J$1="科技與生活",'計分版'!$J$14&gt;3),  AND('計分版'!$K$1="物理",'計分版'!$K$14&gt;3),AND('計分版'!$K$1="生物",'計分版'!$K$14&gt;3),AND('計分版'!$K$1="化學",'計分版'!$K$14&gt;3),AND('計分版'!$K$1="組合科學 (物理、化學)",'計分版'!$K$14&gt;3),AND('計分版'!$K$1="組合科學 (物理、生物)",'計分版'!$K$14&gt;3),AND('計分版'!$K$1="組合科學 (生物、化學)",'計分版'!$K$14&gt;3),AND('計分版'!$K$1="資訊及通訊科技",'計分版'!$K$14&gt;3), AND('計分版'!$K$1="綜合科學",'計分版'!$K$14&gt;3), AND('計分版'!$K$1="經濟",'計分版'!$K$14&gt;3), AND('計分版'!$K$1="地理",'計分版'!$K$14&gt;3), AND('計分版'!$K$1="科技與生活",'計分版'!$K$14&gt;3),  AND('計分版'!$L$1="物理",'計分版'!$L$14&gt;3),AND('計分版'!$L$1="生物",'計分版'!$L$14&gt;3),AND('計分版'!$L$1="化學",'計分版'!$L$14&gt;3),AND('計分版'!$L$1="組合科學 (物理、化學)",'計分版'!$L$14&gt;3),AND('計分版'!$L$1="組合科學 (物理、生物)",'計分版'!$L$14&gt;3),AND('計分版'!$L$1="組合科學 (生物、化學)",'計分版'!$L$14&gt;3),AND('計分版'!$L$1="資訊及通訊科技",'計分版'!$L$14&gt;3), AND('計分版'!$L$1="綜合科學",'計分版'!$L$14&gt;3), AND('計分版'!$L$1="經濟",'計分版'!$L$14&gt;3), AND('計分版'!$L$1="地理",'計分版'!$L$14&gt;3), AND('計分版'!$L$1="科技與生活",'計分版'!$L$14&gt;3),  AND('計分版'!$M$1="物理",'計分版'!$M$14&gt;3),AND('計分版'!$M$1="生物",'計分版'!$M$14&gt;3),AND('計分版'!$M$1="化學",'計分版'!$M$14&gt;3),AND('計分版'!$M$1="組合科學 (物理、化學)",'計分版'!$M$14&gt;3),AND('計分版'!$M$1="組合科學 (物理、生物)",'計分版'!$M$14&gt;3),AND('計分版'!$M$1="組合科學 (生物、化學)",'計分版'!$M$14&gt;3),AND('計分版'!$M$1="資訊及通訊科技",'計分版'!$M$14&gt;3),AND('計分版'!$M$1="綜合科學",'計分版'!$M$14&gt;3), AND('計分版'!$M$1="經濟",'計分版'!$M$14&gt;3), AND('計分版'!$M$1="地理",'計分版'!$M$14&gt;3), AND('計分版'!$M$1="科技與生活",'計分版'!$M$14&gt;3)),1,0)</f>
        <v>0</v>
      </c>
      <c r="Q191" s="163">
        <f>IF(J191&lt;'計分版'!$I$14,1,0)</f>
        <v>0</v>
      </c>
      <c r="R191" s="163"/>
      <c r="S191" s="163">
        <f t="shared" si="178"/>
        <v>0</v>
      </c>
      <c r="T191" s="163"/>
      <c r="U191" s="163">
        <f>'計分版'!E$14</f>
        <v>0.0000000001</v>
      </c>
      <c r="V191" s="163">
        <f>'計分版'!F$14</f>
        <v>0.0000000002</v>
      </c>
      <c r="W191" s="163">
        <f>'計分版'!G$14</f>
        <v>0.0000000003</v>
      </c>
      <c r="X191" s="163">
        <f>'計分版'!H$14</f>
        <v>0.0000000004</v>
      </c>
      <c r="Y191" s="163">
        <f>'計分版'!I$14</f>
        <v>0.0000000005</v>
      </c>
      <c r="Z191" s="163">
        <f>'計分版'!J$14</f>
        <v>0</v>
      </c>
      <c r="AA191" s="163">
        <f>'計分版'!K$14</f>
        <v>0</v>
      </c>
      <c r="AB191" s="163">
        <f>'計分版'!L$14</f>
        <v>0</v>
      </c>
      <c r="AC191" s="163">
        <f>'計分版'!M$14</f>
        <v>0</v>
      </c>
      <c r="AD191" s="163">
        <f>'計分版'!N$14</f>
        <v>0</v>
      </c>
      <c r="AE191" s="163"/>
      <c r="AF191" s="163" t="s">
        <v>1065</v>
      </c>
      <c r="AG191" s="163" t="s">
        <v>166</v>
      </c>
      <c r="AH191" s="163"/>
      <c r="AI191" s="163"/>
      <c r="AJ191" s="163"/>
      <c r="AK191" s="163"/>
      <c r="AL191" s="163"/>
      <c r="AM191" s="163"/>
      <c r="AN191" s="130"/>
      <c r="AO191" s="130"/>
      <c r="AP191" s="130"/>
      <c r="AQ191" s="130"/>
      <c r="AR191" s="130"/>
      <c r="AS191" s="130"/>
      <c r="AT191" s="130"/>
    </row>
    <row r="192" ht="13.5" customHeight="1">
      <c r="A192" s="130" t="s">
        <v>563</v>
      </c>
      <c r="B192" s="130" t="s">
        <v>564</v>
      </c>
      <c r="C192" s="130" t="s">
        <v>21</v>
      </c>
      <c r="D192" s="163">
        <v>20.0</v>
      </c>
      <c r="E192" s="163">
        <v>3.0</v>
      </c>
      <c r="F192" s="163">
        <v>3.0</v>
      </c>
      <c r="G192" s="163">
        <v>4.0</v>
      </c>
      <c r="H192" s="163">
        <v>2.0</v>
      </c>
      <c r="I192" s="163">
        <v>4.0</v>
      </c>
      <c r="J192" s="163">
        <v>3.0</v>
      </c>
      <c r="K192" s="130"/>
      <c r="L192" s="163">
        <f t="shared" si="182"/>
        <v>0</v>
      </c>
      <c r="M192" s="163">
        <f t="shared" si="186"/>
        <v>0</v>
      </c>
      <c r="N192" s="163">
        <f t="shared" ref="N192:O192" si="211">IF(G192&gt;W192,0,1)</f>
        <v>0</v>
      </c>
      <c r="O192" s="163">
        <f t="shared" si="211"/>
        <v>0</v>
      </c>
      <c r="P192" s="163">
        <f>IF(OR(AND('計分版'!$J$1="物理",'計分版'!$J$14&gt;4),AND('計分版'!$K$1="物理",'計分版'!$K$14&gt;4),AND('計分版'!$L$1="物理",'計分版'!$L$14&gt;4), AND('計分版'!$M$1="物理",'計分版'!$M$14&gt;4)),1,0)</f>
        <v>0</v>
      </c>
      <c r="Q192" s="163">
        <f>IF(OR(AND('計分版'!$J$1="物理",'計分版'!$J$14&gt;3),AND('計分版'!$J$1="生物",'計分版'!$J$14&gt;3),AND('計分版'!$J$1="化學",'計分版'!$J$14&gt;3),AND('計分版'!$J$1="組合科學 (物理、化學)",'計分版'!$J$14&gt;3),AND('計分版'!$J$1="組合科學 (物理、生物)",'計分版'!$J$14&gt;3),AND('計分版'!$J$1="組合科學 (生物、化學)",'計分版'!$J$14&gt;3),AND('計分版'!$J$1="資訊及通訊科技",'計分版'!$J$14&gt;3),AND('計分版'!$J$1="綜合科學",'計分版'!$J$14&gt;3),  AND('計分版'!$J$1="經濟",'計分版'!$J$14&gt;3), AND('計分版'!$J$1="地理",'計分版'!$J$14&gt;3), AND('計分版'!$J$1="科技與生活",'計分版'!$J$14&gt;3),  AND('計分版'!$K$1="物理",'計分版'!$K$14&gt;3),AND('計分版'!$K$1="生物",'計分版'!$K$14&gt;3),AND('計分版'!$K$1="化學",'計分版'!$K$14&gt;3),AND('計分版'!$K$1="組合科學 (物理、化學)",'計分版'!$K$14&gt;3),AND('計分版'!$K$1="組合科學 (物理、生物)",'計分版'!$K$14&gt;3),AND('計分版'!$K$1="組合科學 (生物、化學)",'計分版'!$K$14&gt;3),AND('計分版'!$K$1="資訊及通訊科技",'計分版'!$K$14&gt;3), AND('計分版'!$K$1="綜合科學",'計分版'!$K$14&gt;3), AND('計分版'!$K$1="經濟",'計分版'!$K$14&gt;3), AND('計分版'!$K$1="地理",'計分版'!$K$14&gt;3), AND('計分版'!$K$1="科技與生活",'計分版'!$K$14&gt;3),  AND('計分版'!$L$1="物理",'計分版'!$L$14&gt;3),AND('計分版'!$L$1="生物",'計分版'!$L$14&gt;3),AND('計分版'!$L$1="化學",'計分版'!$L$14&gt;3),AND('計分版'!$L$1="組合科學 (物理、化學)",'計分版'!$L$14&gt;3),AND('計分版'!$L$1="組合科學 (物理、生物)",'計分版'!$L$14&gt;3),AND('計分版'!$L$1="組合科學 (生物、化學)",'計分版'!$L$14&gt;3),AND('計分版'!$L$1="資訊及通訊科技",'計分版'!$L$14&gt;3), AND('計分版'!$L$1="綜合科學",'計分版'!$L$14&gt;3), AND('計分版'!$L$1="經濟",'計分版'!$L$14&gt;3), AND('計分版'!$L$1="地理",'計分版'!$L$14&gt;3), AND('計分版'!$L$1="科技與生活",'計分版'!$L$14&gt;3),  AND('計分版'!$M$1="物理",'計分版'!$M$14&gt;3),AND('計分版'!$M$1="生物",'計分版'!$M$14&gt;3),AND('計分版'!$M$1="化學",'計分版'!$M$14&gt;3),AND('計分版'!$M$1="組合科學 (物理、化學)",'計分版'!$M$14&gt;3),AND('計分版'!$M$1="組合科學 (物理、生物)",'計分版'!$M$14&gt;3),AND('計分版'!$M$1="組合科學 (生物、化學)",'計分版'!$M$14&gt;3),AND('計分版'!$M$1="資訊及通訊科技",'計分版'!$M$14&gt;3),AND('計分版'!$M$1="綜合科學",'計分版'!$M$14&gt;3), AND('計分版'!$M$1="經濟",'計分版'!$M$14&gt;3), AND('計分版'!$M$1="地理",'計分版'!$M$14&gt;3), AND('計分版'!$M$1="科技與生活",'計分版'!$M$14&gt;3), '計分版'!$I$14&gt;3),1,0)</f>
        <v>0</v>
      </c>
      <c r="R192" s="163"/>
      <c r="S192" s="163">
        <f t="shared" si="178"/>
        <v>0</v>
      </c>
      <c r="T192" s="163"/>
      <c r="U192" s="163">
        <f>'計分版'!E$14</f>
        <v>0.0000000001</v>
      </c>
      <c r="V192" s="163">
        <f>'計分版'!F$14</f>
        <v>0.0000000002</v>
      </c>
      <c r="W192" s="163">
        <f>'計分版'!G$14</f>
        <v>0.0000000003</v>
      </c>
      <c r="X192" s="163">
        <f>'計分版'!H$14</f>
        <v>0.0000000004</v>
      </c>
      <c r="Y192" s="163">
        <f>'計分版'!I$14</f>
        <v>0.0000000005</v>
      </c>
      <c r="Z192" s="163">
        <f>'計分版'!J$14</f>
        <v>0</v>
      </c>
      <c r="AA192" s="163">
        <f>'計分版'!K$14</f>
        <v>0</v>
      </c>
      <c r="AB192" s="163">
        <f>'計分版'!L$14</f>
        <v>0</v>
      </c>
      <c r="AC192" s="163">
        <f>'計分版'!M$14</f>
        <v>0</v>
      </c>
      <c r="AD192" s="163">
        <f>'計分版'!N$14</f>
        <v>0</v>
      </c>
      <c r="AE192" s="163"/>
      <c r="AF192" s="163" t="s">
        <v>1065</v>
      </c>
      <c r="AG192" s="163" t="s">
        <v>166</v>
      </c>
      <c r="AH192" s="163"/>
      <c r="AI192" s="163"/>
      <c r="AJ192" s="163"/>
      <c r="AK192" s="163"/>
      <c r="AL192" s="163"/>
      <c r="AM192" s="163"/>
      <c r="AN192" s="130"/>
      <c r="AO192" s="130"/>
      <c r="AP192" s="130"/>
      <c r="AQ192" s="130"/>
      <c r="AR192" s="130"/>
      <c r="AS192" s="130"/>
      <c r="AT192" s="130"/>
    </row>
    <row r="193" ht="13.5" customHeight="1">
      <c r="A193" s="130" t="s">
        <v>565</v>
      </c>
      <c r="B193" s="130" t="s">
        <v>566</v>
      </c>
      <c r="C193" s="130" t="s">
        <v>21</v>
      </c>
      <c r="D193" s="163">
        <v>26.0</v>
      </c>
      <c r="E193" s="163">
        <v>3.0</v>
      </c>
      <c r="F193" s="163">
        <v>3.0</v>
      </c>
      <c r="G193" s="163">
        <v>3.0</v>
      </c>
      <c r="H193" s="163">
        <v>2.0</v>
      </c>
      <c r="I193" s="163">
        <v>3.0</v>
      </c>
      <c r="J193" s="163">
        <v>3.0</v>
      </c>
      <c r="K193" s="130"/>
      <c r="L193" s="163">
        <f t="shared" si="182"/>
        <v>0</v>
      </c>
      <c r="M193" s="163">
        <f t="shared" si="186"/>
        <v>0</v>
      </c>
      <c r="N193" s="163">
        <f t="shared" ref="N193:O193" si="212">IF(G193&gt;W193,0,1)</f>
        <v>0</v>
      </c>
      <c r="O193" s="163">
        <f t="shared" si="212"/>
        <v>0</v>
      </c>
      <c r="P193" s="163">
        <f>IF(I193&lt;=LARGE('計分版'!$J$14:$M$14,1),1,0)</f>
        <v>0</v>
      </c>
      <c r="Q193" s="163">
        <f>IF('計分版'!$I$14&gt;3,1,0)</f>
        <v>0</v>
      </c>
      <c r="R193" s="163"/>
      <c r="S193" s="163">
        <f t="shared" si="178"/>
        <v>0</v>
      </c>
      <c r="T193" s="163"/>
      <c r="U193" s="163">
        <f>'計分版'!E$14</f>
        <v>0.0000000001</v>
      </c>
      <c r="V193" s="163">
        <f>'計分版'!F$14</f>
        <v>0.0000000002</v>
      </c>
      <c r="W193" s="163">
        <f>'計分版'!G$14</f>
        <v>0.0000000003</v>
      </c>
      <c r="X193" s="163">
        <f>'計分版'!H$14</f>
        <v>0.0000000004</v>
      </c>
      <c r="Y193" s="163">
        <f>'計分版'!I$14</f>
        <v>0.0000000005</v>
      </c>
      <c r="Z193" s="163">
        <f>'計分版'!J$14</f>
        <v>0</v>
      </c>
      <c r="AA193" s="163">
        <f>'計分版'!K$14</f>
        <v>0</v>
      </c>
      <c r="AB193" s="163">
        <f>'計分版'!L$14</f>
        <v>0</v>
      </c>
      <c r="AC193" s="163">
        <f>'計分版'!M$14</f>
        <v>0</v>
      </c>
      <c r="AD193" s="163">
        <f>'計分版'!N$14</f>
        <v>0</v>
      </c>
      <c r="AE193" s="163"/>
      <c r="AF193" s="163" t="s">
        <v>1065</v>
      </c>
      <c r="AG193" s="163" t="s">
        <v>166</v>
      </c>
      <c r="AH193" s="163" t="s">
        <v>1065</v>
      </c>
      <c r="AI193" s="163"/>
      <c r="AJ193" s="163"/>
      <c r="AK193" s="163"/>
      <c r="AL193" s="163"/>
      <c r="AM193" s="163"/>
      <c r="AN193" s="130"/>
      <c r="AO193" s="130"/>
      <c r="AP193" s="130"/>
      <c r="AQ193" s="130"/>
      <c r="AR193" s="130"/>
      <c r="AS193" s="130"/>
      <c r="AT193" s="130"/>
    </row>
    <row r="194" ht="13.5" customHeight="1">
      <c r="A194" s="130" t="s">
        <v>567</v>
      </c>
      <c r="B194" s="130" t="s">
        <v>568</v>
      </c>
      <c r="C194" s="130" t="s">
        <v>21</v>
      </c>
      <c r="D194" s="163">
        <v>65.0</v>
      </c>
      <c r="E194" s="163">
        <v>3.0</v>
      </c>
      <c r="F194" s="163">
        <v>3.0</v>
      </c>
      <c r="G194" s="163">
        <v>2.0</v>
      </c>
      <c r="H194" s="163">
        <v>2.0</v>
      </c>
      <c r="I194" s="163">
        <v>3.0</v>
      </c>
      <c r="J194" s="163">
        <v>3.0</v>
      </c>
      <c r="K194" s="130"/>
      <c r="L194" s="163">
        <f t="shared" si="182"/>
        <v>0</v>
      </c>
      <c r="M194" s="163">
        <f t="shared" si="186"/>
        <v>0</v>
      </c>
      <c r="N194" s="163">
        <f t="shared" ref="N194:O194" si="213">IF(G194&gt;W194,0,1)</f>
        <v>0</v>
      </c>
      <c r="O194" s="163">
        <f t="shared" si="213"/>
        <v>0</v>
      </c>
      <c r="P194" s="163">
        <f>IF(I194&gt;LARGE('計分版'!$I$14:$N$14,1),0,1)</f>
        <v>0</v>
      </c>
      <c r="Q194" s="163">
        <f>IF(J194&gt;LARGE('計分版'!$I$14:$N$14,2),0,1)</f>
        <v>0</v>
      </c>
      <c r="R194" s="163"/>
      <c r="S194" s="163">
        <f t="shared" si="178"/>
        <v>0</v>
      </c>
      <c r="T194" s="163"/>
      <c r="U194" s="163">
        <f>'計分版'!E$14</f>
        <v>0.0000000001</v>
      </c>
      <c r="V194" s="163">
        <f>'計分版'!F$14</f>
        <v>0.0000000002</v>
      </c>
      <c r="W194" s="163">
        <f>'計分版'!G$14</f>
        <v>0.0000000003</v>
      </c>
      <c r="X194" s="163">
        <f>'計分版'!H$14</f>
        <v>0.0000000004</v>
      </c>
      <c r="Y194" s="163">
        <f>'計分版'!I$14</f>
        <v>0.0000000005</v>
      </c>
      <c r="Z194" s="163">
        <f>'計分版'!J$14</f>
        <v>0</v>
      </c>
      <c r="AA194" s="163">
        <f>'計分版'!K$14</f>
        <v>0</v>
      </c>
      <c r="AB194" s="163">
        <f>'計分版'!L$14</f>
        <v>0</v>
      </c>
      <c r="AC194" s="163">
        <f>'計分版'!M$14</f>
        <v>0</v>
      </c>
      <c r="AD194" s="163">
        <f>'計分版'!N$14</f>
        <v>0</v>
      </c>
      <c r="AE194" s="163"/>
      <c r="AF194" s="163" t="s">
        <v>1065</v>
      </c>
      <c r="AG194" s="163" t="s">
        <v>166</v>
      </c>
      <c r="AH194" s="163" t="s">
        <v>1065</v>
      </c>
      <c r="AI194" s="163"/>
      <c r="AJ194" s="163"/>
      <c r="AK194" s="163"/>
      <c r="AL194" s="163"/>
      <c r="AM194" s="163"/>
      <c r="AN194" s="130"/>
      <c r="AO194" s="130"/>
      <c r="AP194" s="130"/>
      <c r="AQ194" s="130"/>
      <c r="AR194" s="130"/>
      <c r="AS194" s="130"/>
      <c r="AT194" s="130"/>
    </row>
    <row r="195" ht="13.5" customHeight="1">
      <c r="A195" s="130" t="s">
        <v>569</v>
      </c>
      <c r="B195" s="130" t="s">
        <v>570</v>
      </c>
      <c r="C195" s="172" t="s">
        <v>21</v>
      </c>
      <c r="D195" s="163">
        <v>32.0</v>
      </c>
      <c r="E195" s="163">
        <v>3.0</v>
      </c>
      <c r="F195" s="163">
        <v>3.0</v>
      </c>
      <c r="G195" s="163">
        <v>3.0</v>
      </c>
      <c r="H195" s="163">
        <v>3.0</v>
      </c>
      <c r="I195" s="163">
        <v>3.0</v>
      </c>
      <c r="J195" s="163">
        <v>3.0</v>
      </c>
      <c r="K195" s="130"/>
      <c r="L195" s="163">
        <f t="shared" si="182"/>
        <v>0</v>
      </c>
      <c r="M195" s="163">
        <f t="shared" si="186"/>
        <v>0</v>
      </c>
      <c r="N195" s="163">
        <f t="shared" ref="N195:O195" si="214">IF(G195&gt;W195,0,1)</f>
        <v>0</v>
      </c>
      <c r="O195" s="163">
        <f t="shared" si="214"/>
        <v>0</v>
      </c>
      <c r="P195" s="163">
        <f>IF(I195&gt;LARGE('計分版'!$I$14:$N$14,1),0,1)</f>
        <v>0</v>
      </c>
      <c r="Q195" s="163">
        <f>IF(J195&gt;LARGE('計分版'!$I$14:$N$14,2),0,1)</f>
        <v>0</v>
      </c>
      <c r="R195" s="163"/>
      <c r="S195" s="163">
        <f t="shared" si="178"/>
        <v>0</v>
      </c>
      <c r="T195" s="163"/>
      <c r="U195" s="163">
        <f>'計分版'!E$14</f>
        <v>0.0000000001</v>
      </c>
      <c r="V195" s="163">
        <f>'計分版'!F$14</f>
        <v>0.0000000002</v>
      </c>
      <c r="W195" s="163">
        <f>'計分版'!G$14</f>
        <v>0.0000000003</v>
      </c>
      <c r="X195" s="163">
        <f>'計分版'!H$14</f>
        <v>0.0000000004</v>
      </c>
      <c r="Y195" s="163">
        <f>'計分版'!I$14</f>
        <v>0.0000000005</v>
      </c>
      <c r="Z195" s="163">
        <f>'計分版'!J$14</f>
        <v>0</v>
      </c>
      <c r="AA195" s="163">
        <f>'計分版'!K$14</f>
        <v>0</v>
      </c>
      <c r="AB195" s="163">
        <f>'計分版'!L$14</f>
        <v>0</v>
      </c>
      <c r="AC195" s="163">
        <f>'計分版'!M$14</f>
        <v>0</v>
      </c>
      <c r="AD195" s="163">
        <f>'計分版'!N$14</f>
        <v>0</v>
      </c>
      <c r="AE195" s="163"/>
      <c r="AF195" s="163" t="s">
        <v>1065</v>
      </c>
      <c r="AG195" s="163" t="s">
        <v>166</v>
      </c>
      <c r="AH195" s="163" t="s">
        <v>1065</v>
      </c>
      <c r="AI195" s="163"/>
      <c r="AJ195" s="163"/>
      <c r="AK195" s="163"/>
      <c r="AL195" s="163"/>
      <c r="AM195" s="163"/>
      <c r="AN195" s="130"/>
      <c r="AO195" s="130"/>
      <c r="AP195" s="130"/>
      <c r="AQ195" s="130"/>
      <c r="AR195" s="130"/>
      <c r="AS195" s="130"/>
      <c r="AT195" s="130"/>
    </row>
    <row r="196" ht="13.5" customHeight="1">
      <c r="A196" s="130" t="s">
        <v>571</v>
      </c>
      <c r="B196" s="130" t="s">
        <v>572</v>
      </c>
      <c r="C196" s="130" t="s">
        <v>21</v>
      </c>
      <c r="D196" s="163">
        <v>67.0</v>
      </c>
      <c r="E196" s="163">
        <v>3.0</v>
      </c>
      <c r="F196" s="163">
        <v>3.0</v>
      </c>
      <c r="G196" s="163">
        <v>3.0</v>
      </c>
      <c r="H196" s="163">
        <v>2.0</v>
      </c>
      <c r="I196" s="163">
        <v>3.0</v>
      </c>
      <c r="J196" s="163">
        <v>3.0</v>
      </c>
      <c r="K196" s="130"/>
      <c r="L196" s="163">
        <f t="shared" si="182"/>
        <v>0</v>
      </c>
      <c r="M196" s="163">
        <f t="shared" si="186"/>
        <v>0</v>
      </c>
      <c r="N196" s="163">
        <f t="shared" ref="N196:O196" si="215">IF(G196&gt;W196,0,1)</f>
        <v>0</v>
      </c>
      <c r="O196" s="163">
        <f t="shared" si="215"/>
        <v>0</v>
      </c>
      <c r="P196" s="163">
        <f>IF(I196&gt;LARGE('計分版'!$I$14:$N$14,1),0,1)</f>
        <v>0</v>
      </c>
      <c r="Q196" s="163">
        <f>IF(J196&gt;LARGE('計分版'!$I$14:$N$14,2),0,1)</f>
        <v>0</v>
      </c>
      <c r="R196" s="163"/>
      <c r="S196" s="163">
        <f t="shared" si="178"/>
        <v>0</v>
      </c>
      <c r="T196" s="163"/>
      <c r="U196" s="163">
        <f>'計分版'!E$14</f>
        <v>0.0000000001</v>
      </c>
      <c r="V196" s="163">
        <f>'計分版'!F$14</f>
        <v>0.0000000002</v>
      </c>
      <c r="W196" s="163">
        <f>'計分版'!G$14</f>
        <v>0.0000000003</v>
      </c>
      <c r="X196" s="163">
        <f>'計分版'!H$14</f>
        <v>0.0000000004</v>
      </c>
      <c r="Y196" s="163">
        <f>'計分版'!I$14</f>
        <v>0.0000000005</v>
      </c>
      <c r="Z196" s="163">
        <f>'計分版'!J$14</f>
        <v>0</v>
      </c>
      <c r="AA196" s="163">
        <f>'計分版'!K$14</f>
        <v>0</v>
      </c>
      <c r="AB196" s="163">
        <f>'計分版'!L$14</f>
        <v>0</v>
      </c>
      <c r="AC196" s="163">
        <f>'計分版'!M$14</f>
        <v>0</v>
      </c>
      <c r="AD196" s="163">
        <f>'計分版'!N$14</f>
        <v>0</v>
      </c>
      <c r="AE196" s="163"/>
      <c r="AF196" s="163" t="s">
        <v>1065</v>
      </c>
      <c r="AG196" s="163" t="s">
        <v>166</v>
      </c>
      <c r="AH196" s="163"/>
      <c r="AI196" s="163"/>
      <c r="AJ196" s="163"/>
      <c r="AK196" s="163"/>
      <c r="AL196" s="163"/>
      <c r="AM196" s="163"/>
      <c r="AN196" s="130"/>
      <c r="AO196" s="130"/>
      <c r="AP196" s="130"/>
      <c r="AQ196" s="130"/>
      <c r="AR196" s="130"/>
      <c r="AS196" s="130"/>
      <c r="AT196" s="130"/>
    </row>
    <row r="197" ht="13.5" customHeight="1">
      <c r="A197" s="130" t="s">
        <v>573</v>
      </c>
      <c r="B197" s="130" t="s">
        <v>574</v>
      </c>
      <c r="C197" s="130" t="s">
        <v>21</v>
      </c>
      <c r="D197" s="163">
        <v>40.0</v>
      </c>
      <c r="E197" s="163">
        <v>3.0</v>
      </c>
      <c r="F197" s="163">
        <v>3.0</v>
      </c>
      <c r="G197" s="163">
        <v>2.0</v>
      </c>
      <c r="H197" s="163">
        <v>2.0</v>
      </c>
      <c r="I197" s="163">
        <v>3.0</v>
      </c>
      <c r="J197" s="163">
        <v>3.0</v>
      </c>
      <c r="K197" s="130"/>
      <c r="L197" s="163">
        <f t="shared" si="182"/>
        <v>0</v>
      </c>
      <c r="M197" s="163">
        <f t="shared" si="186"/>
        <v>0</v>
      </c>
      <c r="N197" s="163">
        <f t="shared" ref="N197:O197" si="216">IF(G197&gt;W197,0,1)</f>
        <v>0</v>
      </c>
      <c r="O197" s="163">
        <f t="shared" si="216"/>
        <v>0</v>
      </c>
      <c r="P197" s="163">
        <f>IF(I197&gt;LARGE('計分版'!$I$14:$N$14,1),0,1)</f>
        <v>0</v>
      </c>
      <c r="Q197" s="163">
        <f>IF(J197&gt;LARGE('計分版'!$I$14:$N$14,2),0,1)</f>
        <v>0</v>
      </c>
      <c r="R197" s="163"/>
      <c r="S197" s="163">
        <f t="shared" si="178"/>
        <v>0</v>
      </c>
      <c r="T197" s="163"/>
      <c r="U197" s="163">
        <f>'計分版'!E$14</f>
        <v>0.0000000001</v>
      </c>
      <c r="V197" s="163">
        <f>'計分版'!F$14</f>
        <v>0.0000000002</v>
      </c>
      <c r="W197" s="163">
        <f>'計分版'!G$14</f>
        <v>0.0000000003</v>
      </c>
      <c r="X197" s="163">
        <f>'計分版'!H$14</f>
        <v>0.0000000004</v>
      </c>
      <c r="Y197" s="163">
        <f>'計分版'!I$14</f>
        <v>0.0000000005</v>
      </c>
      <c r="Z197" s="163">
        <f>'計分版'!J$14</f>
        <v>0</v>
      </c>
      <c r="AA197" s="163">
        <f>'計分版'!K$14</f>
        <v>0</v>
      </c>
      <c r="AB197" s="163">
        <f>'計分版'!L$14</f>
        <v>0</v>
      </c>
      <c r="AC197" s="163">
        <f>'計分版'!M$14</f>
        <v>0</v>
      </c>
      <c r="AD197" s="163">
        <f>'計分版'!N$14</f>
        <v>0</v>
      </c>
      <c r="AE197" s="163"/>
      <c r="AF197" s="163" t="s">
        <v>1065</v>
      </c>
      <c r="AG197" s="163" t="s">
        <v>166</v>
      </c>
      <c r="AH197" s="163"/>
      <c r="AI197" s="163"/>
      <c r="AJ197" s="163"/>
      <c r="AK197" s="163"/>
      <c r="AL197" s="163"/>
      <c r="AM197" s="163"/>
      <c r="AN197" s="130"/>
      <c r="AO197" s="130"/>
      <c r="AP197" s="130"/>
      <c r="AQ197" s="130"/>
      <c r="AR197" s="130"/>
      <c r="AS197" s="130"/>
      <c r="AT197" s="130"/>
    </row>
    <row r="198" ht="13.5" customHeight="1">
      <c r="A198" s="130" t="s">
        <v>575</v>
      </c>
      <c r="B198" s="130" t="s">
        <v>576</v>
      </c>
      <c r="C198" s="130" t="s">
        <v>21</v>
      </c>
      <c r="D198" s="163">
        <v>20.0</v>
      </c>
      <c r="E198" s="163">
        <v>3.0</v>
      </c>
      <c r="F198" s="163">
        <v>3.0</v>
      </c>
      <c r="G198" s="163">
        <v>2.0</v>
      </c>
      <c r="H198" s="163">
        <v>2.0</v>
      </c>
      <c r="I198" s="163">
        <v>3.0</v>
      </c>
      <c r="J198" s="163">
        <v>3.0</v>
      </c>
      <c r="K198" s="130"/>
      <c r="L198" s="163">
        <f t="shared" si="182"/>
        <v>0</v>
      </c>
      <c r="M198" s="163">
        <f t="shared" si="186"/>
        <v>0</v>
      </c>
      <c r="N198" s="163">
        <f t="shared" ref="N198:O198" si="217">IF(G198&gt;W198,0,1)</f>
        <v>0</v>
      </c>
      <c r="O198" s="163">
        <f t="shared" si="217"/>
        <v>0</v>
      </c>
      <c r="P198" s="163">
        <f>IF(I198&gt;LARGE('計分版'!$I$14:$N$14,1),0,1)</f>
        <v>0</v>
      </c>
      <c r="Q198" s="163">
        <f>IF(J198&gt;LARGE('計分版'!$I$14:$N$14,2),0,1)</f>
        <v>0</v>
      </c>
      <c r="R198" s="163"/>
      <c r="S198" s="163">
        <f t="shared" si="178"/>
        <v>0</v>
      </c>
      <c r="T198" s="163"/>
      <c r="U198" s="163">
        <f>'計分版'!E$14</f>
        <v>0.0000000001</v>
      </c>
      <c r="V198" s="163">
        <f>'計分版'!F$14</f>
        <v>0.0000000002</v>
      </c>
      <c r="W198" s="163">
        <f>'計分版'!G$14</f>
        <v>0.0000000003</v>
      </c>
      <c r="X198" s="163">
        <f>'計分版'!H$14</f>
        <v>0.0000000004</v>
      </c>
      <c r="Y198" s="163">
        <f>'計分版'!I$14</f>
        <v>0.0000000005</v>
      </c>
      <c r="Z198" s="163">
        <f>'計分版'!J$14</f>
        <v>0</v>
      </c>
      <c r="AA198" s="163">
        <f>'計分版'!K$14</f>
        <v>0</v>
      </c>
      <c r="AB198" s="163">
        <f>'計分版'!L$14</f>
        <v>0</v>
      </c>
      <c r="AC198" s="163">
        <f>'計分版'!M$14</f>
        <v>0</v>
      </c>
      <c r="AD198" s="163">
        <f>'計分版'!N$14</f>
        <v>0</v>
      </c>
      <c r="AE198" s="163"/>
      <c r="AF198" s="163" t="s">
        <v>1065</v>
      </c>
      <c r="AG198" s="163" t="s">
        <v>166</v>
      </c>
      <c r="AH198" s="163" t="s">
        <v>1065</v>
      </c>
      <c r="AI198" s="163"/>
      <c r="AJ198" s="163"/>
      <c r="AK198" s="163"/>
      <c r="AL198" s="163"/>
      <c r="AM198" s="163"/>
      <c r="AN198" s="130"/>
      <c r="AO198" s="130"/>
      <c r="AP198" s="130"/>
      <c r="AQ198" s="130"/>
      <c r="AR198" s="130"/>
      <c r="AS198" s="130"/>
      <c r="AT198" s="130"/>
    </row>
    <row r="199" ht="13.5" customHeight="1">
      <c r="A199" s="130" t="s">
        <v>577</v>
      </c>
      <c r="B199" s="130" t="s">
        <v>578</v>
      </c>
      <c r="C199" s="130" t="s">
        <v>191</v>
      </c>
      <c r="D199" s="163">
        <v>38.0</v>
      </c>
      <c r="E199" s="163">
        <v>3.0</v>
      </c>
      <c r="F199" s="163">
        <v>3.0</v>
      </c>
      <c r="G199" s="163">
        <v>2.0</v>
      </c>
      <c r="H199" s="163">
        <v>3.0</v>
      </c>
      <c r="I199" s="163">
        <v>3.0</v>
      </c>
      <c r="J199" s="163">
        <v>3.0</v>
      </c>
      <c r="K199" s="130"/>
      <c r="L199" s="163">
        <f t="shared" si="182"/>
        <v>0</v>
      </c>
      <c r="M199" s="163">
        <f t="shared" si="186"/>
        <v>0</v>
      </c>
      <c r="N199" s="163">
        <f t="shared" ref="N199:O199" si="218">IF(G199&gt;W199,0,1)</f>
        <v>0</v>
      </c>
      <c r="O199" s="163">
        <f t="shared" si="218"/>
        <v>0</v>
      </c>
      <c r="P199" s="163">
        <f>IF(I199&gt;LARGE('計分版'!$I$14:$N$14,1),0,1)</f>
        <v>0</v>
      </c>
      <c r="Q199" s="163">
        <f>IF(J199&gt;LARGE('計分版'!$I$14:$N$14,2),0,1)</f>
        <v>0</v>
      </c>
      <c r="R199" s="163"/>
      <c r="S199" s="163">
        <f t="shared" si="178"/>
        <v>0</v>
      </c>
      <c r="T199" s="163"/>
      <c r="U199" s="163">
        <f>'計分版'!E$14</f>
        <v>0.0000000001</v>
      </c>
      <c r="V199" s="163">
        <f>'計分版'!F$14</f>
        <v>0.0000000002</v>
      </c>
      <c r="W199" s="163">
        <f>'計分版'!G$14</f>
        <v>0.0000000003</v>
      </c>
      <c r="X199" s="163">
        <f>'計分版'!H$14</f>
        <v>0.0000000004</v>
      </c>
      <c r="Y199" s="163">
        <f>'計分版'!I$14</f>
        <v>0.0000000005</v>
      </c>
      <c r="Z199" s="163">
        <f>'計分版'!J$14</f>
        <v>0</v>
      </c>
      <c r="AA199" s="163">
        <f>'計分版'!K$14</f>
        <v>0</v>
      </c>
      <c r="AB199" s="163">
        <f>'計分版'!L$14</f>
        <v>0</v>
      </c>
      <c r="AC199" s="163">
        <f>'計分版'!M$14</f>
        <v>0</v>
      </c>
      <c r="AD199" s="163">
        <f>'計分版'!N$14</f>
        <v>0</v>
      </c>
      <c r="AE199" s="163"/>
      <c r="AF199" s="163" t="s">
        <v>1065</v>
      </c>
      <c r="AG199" s="163" t="s">
        <v>166</v>
      </c>
      <c r="AH199" s="163" t="s">
        <v>1065</v>
      </c>
      <c r="AI199" s="163"/>
      <c r="AJ199" s="163"/>
      <c r="AK199" s="163"/>
      <c r="AL199" s="163"/>
      <c r="AM199" s="163"/>
      <c r="AN199" s="130"/>
      <c r="AO199" s="130"/>
      <c r="AP199" s="130"/>
      <c r="AQ199" s="130"/>
      <c r="AR199" s="130"/>
      <c r="AS199" s="130"/>
      <c r="AT199" s="130"/>
    </row>
    <row r="200" ht="13.5" customHeight="1">
      <c r="A200" s="130" t="s">
        <v>579</v>
      </c>
      <c r="B200" s="130" t="s">
        <v>580</v>
      </c>
      <c r="C200" s="130" t="s">
        <v>21</v>
      </c>
      <c r="D200" s="163">
        <v>43.0</v>
      </c>
      <c r="E200" s="163">
        <v>3.0</v>
      </c>
      <c r="F200" s="163">
        <v>3.0</v>
      </c>
      <c r="G200" s="163">
        <v>2.0</v>
      </c>
      <c r="H200" s="163">
        <v>2.0</v>
      </c>
      <c r="I200" s="163">
        <v>3.0</v>
      </c>
      <c r="J200" s="163">
        <v>3.0</v>
      </c>
      <c r="K200" s="130"/>
      <c r="L200" s="163">
        <f t="shared" si="182"/>
        <v>0</v>
      </c>
      <c r="M200" s="163">
        <f t="shared" si="186"/>
        <v>0</v>
      </c>
      <c r="N200" s="163">
        <f t="shared" ref="N200:O200" si="219">IF(G200&gt;W200,0,1)</f>
        <v>0</v>
      </c>
      <c r="O200" s="163">
        <f t="shared" si="219"/>
        <v>0</v>
      </c>
      <c r="P200" s="163">
        <f>IF(I200&gt;LARGE('計分版'!$I$14:$N$14,1),0,1)</f>
        <v>0</v>
      </c>
      <c r="Q200" s="163">
        <f>IF(J200&gt;LARGE('計分版'!$I$14:$N$14,2),0,1)</f>
        <v>0</v>
      </c>
      <c r="R200" s="163"/>
      <c r="S200" s="163">
        <f t="shared" si="178"/>
        <v>0</v>
      </c>
      <c r="T200" s="170"/>
      <c r="U200" s="163">
        <f>'計分版'!E$14</f>
        <v>0.0000000001</v>
      </c>
      <c r="V200" s="163">
        <f>'計分版'!F$14</f>
        <v>0.0000000002</v>
      </c>
      <c r="W200" s="163">
        <f>'計分版'!G$14</f>
        <v>0.0000000003</v>
      </c>
      <c r="X200" s="163">
        <f>'計分版'!H$14</f>
        <v>0.0000000004</v>
      </c>
      <c r="Y200" s="163">
        <f>'計分版'!I$14</f>
        <v>0.0000000005</v>
      </c>
      <c r="Z200" s="163">
        <f>'計分版'!J$14</f>
        <v>0</v>
      </c>
      <c r="AA200" s="163">
        <f>'計分版'!K$14</f>
        <v>0</v>
      </c>
      <c r="AB200" s="163">
        <f>'計分版'!L$14</f>
        <v>0</v>
      </c>
      <c r="AC200" s="163">
        <f>'計分版'!M$14</f>
        <v>0</v>
      </c>
      <c r="AD200" s="163">
        <f>'計分版'!N$14</f>
        <v>0</v>
      </c>
      <c r="AE200" s="163"/>
      <c r="AF200" s="163" t="s">
        <v>1065</v>
      </c>
      <c r="AG200" s="163" t="s">
        <v>166</v>
      </c>
      <c r="AH200" s="163"/>
      <c r="AI200" s="163"/>
      <c r="AJ200" s="163"/>
      <c r="AK200" s="163"/>
      <c r="AL200" s="163"/>
      <c r="AM200" s="163"/>
      <c r="AN200" s="130"/>
      <c r="AO200" s="130"/>
      <c r="AP200" s="130"/>
      <c r="AQ200" s="130"/>
      <c r="AR200" s="130"/>
      <c r="AS200" s="130"/>
      <c r="AT200" s="130"/>
    </row>
    <row r="201" ht="13.5" customHeight="1">
      <c r="A201" s="130" t="s">
        <v>581</v>
      </c>
      <c r="B201" s="130" t="s">
        <v>582</v>
      </c>
      <c r="C201" s="130" t="s">
        <v>21</v>
      </c>
      <c r="D201" s="163">
        <v>18.0</v>
      </c>
      <c r="E201" s="163">
        <v>3.0</v>
      </c>
      <c r="F201" s="163">
        <v>4.0</v>
      </c>
      <c r="G201" s="163">
        <v>2.0</v>
      </c>
      <c r="H201" s="163">
        <v>2.0</v>
      </c>
      <c r="I201" s="163">
        <v>3.0</v>
      </c>
      <c r="J201" s="163">
        <v>3.0</v>
      </c>
      <c r="K201" s="130"/>
      <c r="L201" s="163">
        <f t="shared" si="182"/>
        <v>0</v>
      </c>
      <c r="M201" s="163">
        <f t="shared" si="186"/>
        <v>0</v>
      </c>
      <c r="N201" s="163">
        <f t="shared" ref="N201:O201" si="220">IF(G201&gt;W201,0,1)</f>
        <v>0</v>
      </c>
      <c r="O201" s="163">
        <f t="shared" si="220"/>
        <v>0</v>
      </c>
      <c r="P201" s="163">
        <f>IF(I201&gt;LARGE('計分版'!$I$14:$N$14,1),0,1)</f>
        <v>0</v>
      </c>
      <c r="Q201" s="163">
        <f>IF(J201&gt;LARGE('計分版'!$I$14:$N$14,2),0,1)</f>
        <v>0</v>
      </c>
      <c r="R201" s="163"/>
      <c r="S201" s="163">
        <f t="shared" si="178"/>
        <v>0</v>
      </c>
      <c r="T201" s="170"/>
      <c r="U201" s="163">
        <f>'計分版'!E$14</f>
        <v>0.0000000001</v>
      </c>
      <c r="V201" s="163">
        <f>'計分版'!F$14</f>
        <v>0.0000000002</v>
      </c>
      <c r="W201" s="163">
        <f>'計分版'!G$14</f>
        <v>0.0000000003</v>
      </c>
      <c r="X201" s="163">
        <f>'計分版'!H$14</f>
        <v>0.0000000004</v>
      </c>
      <c r="Y201" s="163">
        <f>'計分版'!I$14</f>
        <v>0.0000000005</v>
      </c>
      <c r="Z201" s="163">
        <f>'計分版'!J$14</f>
        <v>0</v>
      </c>
      <c r="AA201" s="163">
        <f>'計分版'!K$14</f>
        <v>0</v>
      </c>
      <c r="AB201" s="163">
        <f>'計分版'!L$14</f>
        <v>0</v>
      </c>
      <c r="AC201" s="163">
        <f>'計分版'!M$14</f>
        <v>0</v>
      </c>
      <c r="AD201" s="163">
        <f>'計分版'!N$14</f>
        <v>0</v>
      </c>
      <c r="AE201" s="163"/>
      <c r="AF201" s="163" t="s">
        <v>1065</v>
      </c>
      <c r="AG201" s="163" t="s">
        <v>166</v>
      </c>
      <c r="AH201" s="163"/>
      <c r="AI201" s="163"/>
      <c r="AJ201" s="163"/>
      <c r="AK201" s="163"/>
      <c r="AL201" s="163"/>
      <c r="AM201" s="163"/>
      <c r="AN201" s="130"/>
      <c r="AO201" s="130"/>
      <c r="AP201" s="130"/>
      <c r="AQ201" s="130"/>
      <c r="AR201" s="130"/>
      <c r="AS201" s="130"/>
      <c r="AT201" s="130"/>
    </row>
    <row r="202" ht="13.5" customHeight="1">
      <c r="A202" s="130" t="s">
        <v>55</v>
      </c>
      <c r="B202" s="130" t="s">
        <v>583</v>
      </c>
      <c r="C202" s="130" t="s">
        <v>21</v>
      </c>
      <c r="D202" s="163">
        <v>54.0</v>
      </c>
      <c r="E202" s="163">
        <v>3.0</v>
      </c>
      <c r="F202" s="163">
        <v>3.0</v>
      </c>
      <c r="G202" s="163">
        <v>2.0</v>
      </c>
      <c r="H202" s="163">
        <v>2.0</v>
      </c>
      <c r="I202" s="163">
        <v>3.0</v>
      </c>
      <c r="J202" s="163">
        <v>3.0</v>
      </c>
      <c r="K202" s="130"/>
      <c r="L202" s="163">
        <f t="shared" si="182"/>
        <v>0</v>
      </c>
      <c r="M202" s="163">
        <f t="shared" si="186"/>
        <v>0</v>
      </c>
      <c r="N202" s="163">
        <f t="shared" ref="N202:O202" si="221">IF(G202&gt;W202,0,1)</f>
        <v>0</v>
      </c>
      <c r="O202" s="163">
        <f t="shared" si="221"/>
        <v>0</v>
      </c>
      <c r="P202" s="163">
        <f>IF(I202&gt;LARGE('計分版'!$I$14:$N$14,1),0,1)</f>
        <v>0</v>
      </c>
      <c r="Q202" s="163">
        <f>IF(J202&gt;LARGE('計分版'!$I$14:$N$14,2),0,1)</f>
        <v>0</v>
      </c>
      <c r="R202" s="163"/>
      <c r="S202" s="163">
        <f t="shared" si="178"/>
        <v>0</v>
      </c>
      <c r="T202" s="170"/>
      <c r="U202" s="163">
        <f>'計分版'!E$14</f>
        <v>0.0000000001</v>
      </c>
      <c r="V202" s="163">
        <f>'計分版'!F$14</f>
        <v>0.0000000002</v>
      </c>
      <c r="W202" s="163">
        <f>'計分版'!G$14</f>
        <v>0.0000000003</v>
      </c>
      <c r="X202" s="163">
        <f>'計分版'!H$14</f>
        <v>0.0000000004</v>
      </c>
      <c r="Y202" s="163">
        <f>'計分版'!I$14</f>
        <v>0.0000000005</v>
      </c>
      <c r="Z202" s="163">
        <f>'計分版'!J$14</f>
        <v>0</v>
      </c>
      <c r="AA202" s="163">
        <f>'計分版'!K$14</f>
        <v>0</v>
      </c>
      <c r="AB202" s="163">
        <f>'計分版'!L$14</f>
        <v>0</v>
      </c>
      <c r="AC202" s="163">
        <f>'計分版'!M$14</f>
        <v>0</v>
      </c>
      <c r="AD202" s="163">
        <f>'計分版'!N$14</f>
        <v>0</v>
      </c>
      <c r="AE202" s="163"/>
      <c r="AF202" s="163" t="s">
        <v>1065</v>
      </c>
      <c r="AG202" s="163" t="s">
        <v>166</v>
      </c>
      <c r="AH202" s="163" t="s">
        <v>1065</v>
      </c>
      <c r="AI202" s="163"/>
      <c r="AJ202" s="163"/>
      <c r="AK202" s="163"/>
      <c r="AL202" s="163"/>
      <c r="AM202" s="163"/>
      <c r="AN202" s="130"/>
      <c r="AO202" s="130"/>
      <c r="AP202" s="130"/>
      <c r="AQ202" s="130"/>
      <c r="AR202" s="130"/>
      <c r="AS202" s="130"/>
      <c r="AT202" s="130"/>
    </row>
    <row r="203" ht="13.5" customHeight="1">
      <c r="A203" s="130" t="s">
        <v>584</v>
      </c>
      <c r="B203" s="130" t="s">
        <v>585</v>
      </c>
      <c r="C203" s="130" t="s">
        <v>21</v>
      </c>
      <c r="D203" s="163">
        <v>46.0</v>
      </c>
      <c r="E203" s="163">
        <v>3.0</v>
      </c>
      <c r="F203" s="163">
        <v>3.0</v>
      </c>
      <c r="G203" s="163">
        <v>2.0</v>
      </c>
      <c r="H203" s="163">
        <v>3.0</v>
      </c>
      <c r="I203" s="163">
        <v>3.0</v>
      </c>
      <c r="J203" s="163">
        <v>3.0</v>
      </c>
      <c r="K203" s="130"/>
      <c r="L203" s="163">
        <f t="shared" si="182"/>
        <v>0</v>
      </c>
      <c r="M203" s="163">
        <f t="shared" si="186"/>
        <v>0</v>
      </c>
      <c r="N203" s="163">
        <f t="shared" ref="N203:O203" si="222">IF(G203&gt;W203,0,1)</f>
        <v>0</v>
      </c>
      <c r="O203" s="163">
        <f t="shared" si="222"/>
        <v>0</v>
      </c>
      <c r="P203" s="163">
        <f>IF(I203&gt;LARGE('計分版'!$I$14:$N$14,1),0,1)</f>
        <v>0</v>
      </c>
      <c r="Q203" s="163">
        <f>IF(J203&gt;LARGE('計分版'!$I$14:$N$14,2),0,1)</f>
        <v>0</v>
      </c>
      <c r="R203" s="163"/>
      <c r="S203" s="163">
        <f t="shared" si="178"/>
        <v>0</v>
      </c>
      <c r="T203" s="170"/>
      <c r="U203" s="163">
        <f>'計分版'!E$14</f>
        <v>0.0000000001</v>
      </c>
      <c r="V203" s="163">
        <f>'計分版'!F$14</f>
        <v>0.0000000002</v>
      </c>
      <c r="W203" s="163">
        <f>'計分版'!G$14</f>
        <v>0.0000000003</v>
      </c>
      <c r="X203" s="163">
        <f>'計分版'!H$14</f>
        <v>0.0000000004</v>
      </c>
      <c r="Y203" s="163">
        <f>'計分版'!I$14</f>
        <v>0.0000000005</v>
      </c>
      <c r="Z203" s="163">
        <f>'計分版'!J$14</f>
        <v>0</v>
      </c>
      <c r="AA203" s="163">
        <f>'計分版'!K$14</f>
        <v>0</v>
      </c>
      <c r="AB203" s="163">
        <f>'計分版'!L$14</f>
        <v>0</v>
      </c>
      <c r="AC203" s="163">
        <f>'計分版'!M$14</f>
        <v>0</v>
      </c>
      <c r="AD203" s="163">
        <f>'計分版'!N$14</f>
        <v>0</v>
      </c>
      <c r="AE203" s="163"/>
      <c r="AF203" s="163" t="s">
        <v>1065</v>
      </c>
      <c r="AG203" s="163" t="s">
        <v>166</v>
      </c>
      <c r="AH203" s="163"/>
      <c r="AI203" s="163"/>
      <c r="AJ203" s="163"/>
      <c r="AK203" s="163"/>
      <c r="AL203" s="163"/>
      <c r="AM203" s="163"/>
      <c r="AN203" s="130"/>
      <c r="AO203" s="130"/>
      <c r="AP203" s="130"/>
      <c r="AQ203" s="130"/>
      <c r="AR203" s="130"/>
      <c r="AS203" s="130"/>
      <c r="AT203" s="130"/>
    </row>
    <row r="204" ht="13.5" customHeight="1">
      <c r="A204" s="130" t="s">
        <v>586</v>
      </c>
      <c r="B204" s="130" t="s">
        <v>587</v>
      </c>
      <c r="C204" s="130" t="s">
        <v>21</v>
      </c>
      <c r="D204" s="163">
        <v>39.0</v>
      </c>
      <c r="E204" s="163">
        <v>3.0</v>
      </c>
      <c r="F204" s="163">
        <v>3.0</v>
      </c>
      <c r="G204" s="163">
        <v>2.0</v>
      </c>
      <c r="H204" s="163">
        <v>2.0</v>
      </c>
      <c r="I204" s="163">
        <v>3.0</v>
      </c>
      <c r="J204" s="163">
        <v>3.0</v>
      </c>
      <c r="K204" s="130"/>
      <c r="L204" s="163">
        <f t="shared" si="182"/>
        <v>0</v>
      </c>
      <c r="M204" s="163">
        <f t="shared" si="186"/>
        <v>0</v>
      </c>
      <c r="N204" s="163">
        <f t="shared" ref="N204:O204" si="223">IF(G204&gt;W204,0,1)</f>
        <v>0</v>
      </c>
      <c r="O204" s="163">
        <f t="shared" si="223"/>
        <v>0</v>
      </c>
      <c r="P204" s="163">
        <f>IF(I204&gt;LARGE('計分版'!$I$14:$N$14,1),0,1)</f>
        <v>0</v>
      </c>
      <c r="Q204" s="163">
        <f>IF(J204&gt;LARGE('計分版'!$I$14:$N$14,2),0,1)</f>
        <v>0</v>
      </c>
      <c r="R204" s="163"/>
      <c r="S204" s="163">
        <f t="shared" si="178"/>
        <v>0</v>
      </c>
      <c r="T204" s="170"/>
      <c r="U204" s="163">
        <f>'計分版'!E$14</f>
        <v>0.0000000001</v>
      </c>
      <c r="V204" s="163">
        <f>'計分版'!F$14</f>
        <v>0.0000000002</v>
      </c>
      <c r="W204" s="163">
        <f>'計分版'!G$14</f>
        <v>0.0000000003</v>
      </c>
      <c r="X204" s="163">
        <f>'計分版'!H$14</f>
        <v>0.0000000004</v>
      </c>
      <c r="Y204" s="163">
        <f>'計分版'!I$14</f>
        <v>0.0000000005</v>
      </c>
      <c r="Z204" s="163">
        <f>'計分版'!J$14</f>
        <v>0</v>
      </c>
      <c r="AA204" s="163">
        <f>'計分版'!K$14</f>
        <v>0</v>
      </c>
      <c r="AB204" s="163">
        <f>'計分版'!L$14</f>
        <v>0</v>
      </c>
      <c r="AC204" s="163">
        <f>'計分版'!M$14</f>
        <v>0</v>
      </c>
      <c r="AD204" s="163">
        <f>'計分版'!N$14</f>
        <v>0</v>
      </c>
      <c r="AE204" s="163"/>
      <c r="AF204" s="163" t="s">
        <v>1065</v>
      </c>
      <c r="AG204" s="163" t="s">
        <v>166</v>
      </c>
      <c r="AH204" s="163" t="s">
        <v>1065</v>
      </c>
      <c r="AI204" s="163"/>
      <c r="AJ204" s="163"/>
      <c r="AK204" s="163"/>
      <c r="AL204" s="163"/>
      <c r="AM204" s="163"/>
      <c r="AN204" s="130"/>
      <c r="AO204" s="130"/>
      <c r="AP204" s="130"/>
      <c r="AQ204" s="130"/>
      <c r="AR204" s="130"/>
      <c r="AS204" s="130"/>
      <c r="AT204" s="130"/>
    </row>
    <row r="205" ht="13.5" customHeight="1">
      <c r="A205" s="130" t="s">
        <v>588</v>
      </c>
      <c r="B205" s="130" t="s">
        <v>589</v>
      </c>
      <c r="C205" s="130" t="s">
        <v>21</v>
      </c>
      <c r="D205" s="163">
        <v>20.0</v>
      </c>
      <c r="E205" s="163">
        <v>3.0</v>
      </c>
      <c r="F205" s="163">
        <v>3.0</v>
      </c>
      <c r="G205" s="163">
        <v>2.0</v>
      </c>
      <c r="H205" s="163">
        <v>2.0</v>
      </c>
      <c r="I205" s="163">
        <v>3.0</v>
      </c>
      <c r="J205" s="163">
        <v>3.0</v>
      </c>
      <c r="K205" s="130"/>
      <c r="L205" s="163">
        <f t="shared" si="182"/>
        <v>0</v>
      </c>
      <c r="M205" s="163">
        <f t="shared" si="186"/>
        <v>0</v>
      </c>
      <c r="N205" s="163">
        <f t="shared" ref="N205:O205" si="224">IF(G205&gt;W205,0,1)</f>
        <v>0</v>
      </c>
      <c r="O205" s="163">
        <f t="shared" si="224"/>
        <v>0</v>
      </c>
      <c r="P205" s="163">
        <f>IF(I205&gt;LARGE('計分版'!$I$14:$N$14,1),0,1)</f>
        <v>0</v>
      </c>
      <c r="Q205" s="163">
        <f>IF(J205&gt;LARGE('計分版'!$I$14:$N$14,2),0,1)</f>
        <v>0</v>
      </c>
      <c r="R205" s="163"/>
      <c r="S205" s="163">
        <f t="shared" si="178"/>
        <v>0</v>
      </c>
      <c r="T205" s="170"/>
      <c r="U205" s="163">
        <f>'計分版'!E$14</f>
        <v>0.0000000001</v>
      </c>
      <c r="V205" s="163">
        <f>'計分版'!F$14</f>
        <v>0.0000000002</v>
      </c>
      <c r="W205" s="163">
        <f>'計分版'!G$14</f>
        <v>0.0000000003</v>
      </c>
      <c r="X205" s="163">
        <f>'計分版'!H$14</f>
        <v>0.0000000004</v>
      </c>
      <c r="Y205" s="163">
        <f>'計分版'!I$14</f>
        <v>0.0000000005</v>
      </c>
      <c r="Z205" s="163">
        <f>'計分版'!J$14</f>
        <v>0</v>
      </c>
      <c r="AA205" s="163">
        <f>'計分版'!K$14</f>
        <v>0</v>
      </c>
      <c r="AB205" s="163">
        <f>'計分版'!L$14</f>
        <v>0</v>
      </c>
      <c r="AC205" s="163">
        <f>'計分版'!M$14</f>
        <v>0</v>
      </c>
      <c r="AD205" s="163">
        <f>'計分版'!N$14</f>
        <v>0</v>
      </c>
      <c r="AE205" s="163"/>
      <c r="AF205" s="163" t="s">
        <v>1065</v>
      </c>
      <c r="AG205" s="163" t="s">
        <v>166</v>
      </c>
      <c r="AH205" s="163"/>
      <c r="AI205" s="163"/>
      <c r="AJ205" s="163"/>
      <c r="AK205" s="163"/>
      <c r="AL205" s="163"/>
      <c r="AM205" s="163"/>
      <c r="AN205" s="130"/>
      <c r="AO205" s="130"/>
      <c r="AP205" s="130"/>
      <c r="AQ205" s="130"/>
      <c r="AR205" s="130"/>
      <c r="AS205" s="130"/>
      <c r="AT205" s="130"/>
    </row>
    <row r="206" ht="13.5" customHeight="1">
      <c r="A206" s="130" t="s">
        <v>590</v>
      </c>
      <c r="B206" s="130" t="s">
        <v>591</v>
      </c>
      <c r="C206" s="130" t="s">
        <v>21</v>
      </c>
      <c r="D206" s="163">
        <v>20.0</v>
      </c>
      <c r="E206" s="163">
        <v>3.0</v>
      </c>
      <c r="F206" s="163">
        <v>3.0</v>
      </c>
      <c r="G206" s="163">
        <v>3.0</v>
      </c>
      <c r="H206" s="163">
        <v>2.0</v>
      </c>
      <c r="I206" s="163">
        <v>3.0</v>
      </c>
      <c r="J206" s="163">
        <v>3.0</v>
      </c>
      <c r="K206" s="130"/>
      <c r="L206" s="163">
        <f t="shared" si="182"/>
        <v>0</v>
      </c>
      <c r="M206" s="163">
        <f t="shared" si="186"/>
        <v>0</v>
      </c>
      <c r="N206" s="163">
        <f t="shared" ref="N206:O206" si="225">IF(G206&gt;W206,0,1)</f>
        <v>0</v>
      </c>
      <c r="O206" s="163">
        <f t="shared" si="225"/>
        <v>0</v>
      </c>
      <c r="P206" s="163">
        <f>IF(I206&gt;LARGE('計分版'!$I$14:$N$14,1),0,1)</f>
        <v>0</v>
      </c>
      <c r="Q206" s="163">
        <f>IF(J206&gt;LARGE('計分版'!$I$14:$N$14,2),0,1)</f>
        <v>0</v>
      </c>
      <c r="R206" s="163"/>
      <c r="S206" s="163">
        <f t="shared" si="178"/>
        <v>0</v>
      </c>
      <c r="T206" s="170"/>
      <c r="U206" s="163">
        <f>'計分版'!E$14</f>
        <v>0.0000000001</v>
      </c>
      <c r="V206" s="163">
        <f>'計分版'!F$14</f>
        <v>0.0000000002</v>
      </c>
      <c r="W206" s="163">
        <f>'計分版'!G$14</f>
        <v>0.0000000003</v>
      </c>
      <c r="X206" s="163">
        <f>'計分版'!H$14</f>
        <v>0.0000000004</v>
      </c>
      <c r="Y206" s="163">
        <f>'計分版'!I$14</f>
        <v>0.0000000005</v>
      </c>
      <c r="Z206" s="163">
        <f>'計分版'!J$14</f>
        <v>0</v>
      </c>
      <c r="AA206" s="163">
        <f>'計分版'!K$14</f>
        <v>0</v>
      </c>
      <c r="AB206" s="163">
        <f>'計分版'!L$14</f>
        <v>0</v>
      </c>
      <c r="AC206" s="163">
        <f>'計分版'!M$14</f>
        <v>0</v>
      </c>
      <c r="AD206" s="163">
        <f>'計分版'!N$14</f>
        <v>0</v>
      </c>
      <c r="AE206" s="163"/>
      <c r="AF206" s="163" t="s">
        <v>1065</v>
      </c>
      <c r="AG206" s="163" t="s">
        <v>166</v>
      </c>
      <c r="AH206" s="163" t="s">
        <v>1065</v>
      </c>
      <c r="AI206" s="163"/>
      <c r="AJ206" s="163"/>
      <c r="AK206" s="163"/>
      <c r="AL206" s="163"/>
      <c r="AM206" s="163"/>
      <c r="AN206" s="130"/>
      <c r="AO206" s="130"/>
      <c r="AP206" s="130"/>
      <c r="AQ206" s="130"/>
      <c r="AR206" s="130"/>
      <c r="AS206" s="130"/>
      <c r="AT206" s="130"/>
    </row>
    <row r="207" ht="13.5" customHeight="1">
      <c r="A207" s="130" t="s">
        <v>592</v>
      </c>
      <c r="B207" s="130" t="s">
        <v>593</v>
      </c>
      <c r="C207" s="130" t="s">
        <v>191</v>
      </c>
      <c r="D207" s="163">
        <v>76.0</v>
      </c>
      <c r="E207" s="163">
        <v>4.0</v>
      </c>
      <c r="F207" s="163">
        <v>5.0</v>
      </c>
      <c r="G207" s="163">
        <v>3.0</v>
      </c>
      <c r="H207" s="163">
        <v>3.0</v>
      </c>
      <c r="I207" s="163">
        <v>3.0</v>
      </c>
      <c r="J207" s="163">
        <v>3.0</v>
      </c>
      <c r="K207" s="130"/>
      <c r="L207" s="163">
        <f t="shared" si="182"/>
        <v>0</v>
      </c>
      <c r="M207" s="163">
        <f t="shared" si="186"/>
        <v>0</v>
      </c>
      <c r="N207" s="163">
        <f t="shared" ref="N207:O207" si="226">IF(G207&gt;W207,0,1)</f>
        <v>0</v>
      </c>
      <c r="O207" s="163">
        <f t="shared" si="226"/>
        <v>0</v>
      </c>
      <c r="P207" s="163">
        <f>IF(I207&gt;LARGE('計分版'!$I$14:$N$14,1),0,1)</f>
        <v>0</v>
      </c>
      <c r="Q207" s="163">
        <f>IF(J207&gt;LARGE('計分版'!$I$14:$N$14,2),0,1)</f>
        <v>0</v>
      </c>
      <c r="R207" s="163"/>
      <c r="S207" s="163">
        <f t="shared" si="178"/>
        <v>0</v>
      </c>
      <c r="T207" s="170"/>
      <c r="U207" s="163">
        <f>'計分版'!E$14</f>
        <v>0.0000000001</v>
      </c>
      <c r="V207" s="163">
        <f>'計分版'!F$14</f>
        <v>0.0000000002</v>
      </c>
      <c r="W207" s="163">
        <f>'計分版'!G$14</f>
        <v>0.0000000003</v>
      </c>
      <c r="X207" s="163">
        <f>'計分版'!H$14</f>
        <v>0.0000000004</v>
      </c>
      <c r="Y207" s="163">
        <f>'計分版'!I$14</f>
        <v>0.0000000005</v>
      </c>
      <c r="Z207" s="163">
        <f>'計分版'!J$14</f>
        <v>0</v>
      </c>
      <c r="AA207" s="163">
        <f>'計分版'!K$14</f>
        <v>0</v>
      </c>
      <c r="AB207" s="163">
        <f>'計分版'!L$14</f>
        <v>0</v>
      </c>
      <c r="AC207" s="163">
        <f>'計分版'!M$14</f>
        <v>0</v>
      </c>
      <c r="AD207" s="163">
        <f>'計分版'!N$14</f>
        <v>0</v>
      </c>
      <c r="AE207" s="163"/>
      <c r="AF207" s="163" t="s">
        <v>1065</v>
      </c>
      <c r="AG207" s="163" t="s">
        <v>166</v>
      </c>
      <c r="AH207" s="163"/>
      <c r="AI207" s="163"/>
      <c r="AJ207" s="163"/>
      <c r="AK207" s="163"/>
      <c r="AL207" s="163"/>
      <c r="AM207" s="163"/>
      <c r="AN207" s="130"/>
      <c r="AO207" s="130"/>
      <c r="AP207" s="130"/>
      <c r="AQ207" s="130"/>
      <c r="AR207" s="130"/>
      <c r="AS207" s="130"/>
      <c r="AT207" s="130"/>
    </row>
    <row r="208" ht="13.5" customHeight="1">
      <c r="A208" s="130"/>
      <c r="B208" s="130"/>
      <c r="C208" s="130"/>
      <c r="D208" s="130"/>
      <c r="E208" s="163"/>
      <c r="F208" s="163"/>
      <c r="G208" s="163"/>
      <c r="H208" s="163"/>
      <c r="I208" s="163"/>
      <c r="J208" s="163"/>
      <c r="K208" s="130"/>
      <c r="L208" s="130"/>
      <c r="M208" s="130"/>
      <c r="N208" s="130"/>
      <c r="O208" s="130"/>
      <c r="P208" s="130"/>
      <c r="Q208" s="130"/>
      <c r="R208" s="130"/>
      <c r="S208" s="163"/>
      <c r="T208" s="163"/>
      <c r="U208" s="163"/>
      <c r="V208" s="163"/>
      <c r="W208" s="163"/>
      <c r="X208" s="163"/>
      <c r="Y208" s="163"/>
      <c r="Z208" s="163"/>
      <c r="AA208" s="163"/>
      <c r="AB208" s="163"/>
      <c r="AC208" s="163"/>
      <c r="AD208" s="163"/>
      <c r="AE208" s="163"/>
      <c r="AF208" s="163"/>
      <c r="AG208" s="163"/>
      <c r="AH208" s="163"/>
      <c r="AI208" s="163"/>
      <c r="AJ208" s="163"/>
      <c r="AK208" s="163"/>
      <c r="AL208" s="163"/>
      <c r="AM208" s="163"/>
      <c r="AN208" s="130"/>
      <c r="AO208" s="130"/>
      <c r="AP208" s="130"/>
      <c r="AQ208" s="130"/>
      <c r="AR208" s="130"/>
      <c r="AS208" s="130"/>
      <c r="AT208" s="130"/>
    </row>
    <row r="209" ht="13.5" customHeight="1">
      <c r="A209" s="165" t="s">
        <v>178</v>
      </c>
      <c r="B209" s="130"/>
      <c r="C209" s="130"/>
      <c r="D209" s="130"/>
      <c r="E209" s="163"/>
      <c r="F209" s="163"/>
      <c r="G209" s="163"/>
      <c r="H209" s="163"/>
      <c r="I209" s="163"/>
      <c r="J209" s="163"/>
      <c r="K209" s="130"/>
      <c r="L209" s="130"/>
      <c r="M209" s="130"/>
      <c r="N209" s="130"/>
      <c r="O209" s="130"/>
      <c r="P209" s="130"/>
      <c r="Q209" s="130"/>
      <c r="R209" s="130"/>
      <c r="S209" s="163"/>
      <c r="T209" s="163"/>
      <c r="U209" s="163"/>
      <c r="V209" s="163"/>
      <c r="W209" s="163"/>
      <c r="X209" s="163"/>
      <c r="Y209" s="163"/>
      <c r="Z209" s="163"/>
      <c r="AA209" s="163"/>
      <c r="AB209" s="163"/>
      <c r="AC209" s="163"/>
      <c r="AD209" s="163"/>
      <c r="AE209" s="163"/>
      <c r="AF209" s="163"/>
      <c r="AG209" s="163"/>
      <c r="AH209" s="163"/>
      <c r="AI209" s="163"/>
      <c r="AJ209" s="163"/>
      <c r="AK209" s="163"/>
      <c r="AL209" s="163"/>
      <c r="AM209" s="163"/>
      <c r="AN209" s="130"/>
      <c r="AO209" s="130"/>
      <c r="AP209" s="130"/>
      <c r="AQ209" s="130"/>
      <c r="AR209" s="130"/>
      <c r="AS209" s="130"/>
      <c r="AT209" s="130"/>
    </row>
    <row r="210" ht="13.5" customHeight="1">
      <c r="A210" s="165" t="s">
        <v>1056</v>
      </c>
      <c r="B210" s="165" t="s">
        <v>1057</v>
      </c>
      <c r="C210" s="165" t="s">
        <v>44</v>
      </c>
      <c r="D210" s="166" t="s">
        <v>49</v>
      </c>
      <c r="E210" s="166" t="s">
        <v>1058</v>
      </c>
      <c r="F210" s="166" t="s">
        <v>1059</v>
      </c>
      <c r="G210" s="166" t="s">
        <v>1060</v>
      </c>
      <c r="H210" s="166" t="s">
        <v>1061</v>
      </c>
      <c r="I210" s="166" t="s">
        <v>218</v>
      </c>
      <c r="J210" s="166" t="s">
        <v>219</v>
      </c>
      <c r="K210" s="165"/>
      <c r="L210" s="166" t="s">
        <v>1058</v>
      </c>
      <c r="M210" s="166" t="s">
        <v>1059</v>
      </c>
      <c r="N210" s="166" t="s">
        <v>1060</v>
      </c>
      <c r="O210" s="166" t="s">
        <v>1061</v>
      </c>
      <c r="P210" s="166" t="s">
        <v>218</v>
      </c>
      <c r="Q210" s="166" t="s">
        <v>219</v>
      </c>
      <c r="R210" s="163"/>
      <c r="S210" s="163"/>
      <c r="T210" s="170"/>
      <c r="U210" s="167" t="s">
        <v>23</v>
      </c>
      <c r="V210" s="167" t="s">
        <v>26</v>
      </c>
      <c r="W210" s="167" t="s">
        <v>29</v>
      </c>
      <c r="X210" s="167" t="s">
        <v>30</v>
      </c>
      <c r="Y210" s="167" t="s">
        <v>173</v>
      </c>
      <c r="Z210" s="167" t="str">
        <f>'主頁'!$C$16</f>
        <v/>
      </c>
      <c r="AA210" s="167" t="str">
        <f>'主頁'!$C$17</f>
        <v/>
      </c>
      <c r="AB210" s="167" t="str">
        <f>'主頁'!$C$18</f>
        <v/>
      </c>
      <c r="AC210" s="167" t="str">
        <f>'主頁'!$C$19</f>
        <v/>
      </c>
      <c r="AD210" s="167" t="str">
        <f>'主頁'!$C$20</f>
        <v/>
      </c>
      <c r="AE210" s="166" t="s">
        <v>541</v>
      </c>
      <c r="AF210" s="163" t="s">
        <v>1062</v>
      </c>
      <c r="AG210" s="163" t="s">
        <v>1063</v>
      </c>
      <c r="AH210" s="163" t="s">
        <v>1064</v>
      </c>
      <c r="AI210" s="163"/>
      <c r="AJ210" s="163"/>
      <c r="AK210" s="163"/>
      <c r="AL210" s="163"/>
      <c r="AM210" s="163"/>
      <c r="AN210" s="130"/>
      <c r="AO210" s="130"/>
      <c r="AP210" s="130"/>
      <c r="AQ210" s="130"/>
      <c r="AR210" s="130"/>
      <c r="AS210" s="130"/>
      <c r="AT210" s="130"/>
    </row>
    <row r="211" ht="13.5" customHeight="1">
      <c r="A211" s="130" t="s">
        <v>354</v>
      </c>
      <c r="B211" s="130" t="s">
        <v>594</v>
      </c>
      <c r="C211" s="130" t="s">
        <v>595</v>
      </c>
      <c r="D211" s="163">
        <v>21.0</v>
      </c>
      <c r="E211" s="163">
        <v>3.0</v>
      </c>
      <c r="F211" s="163">
        <v>3.0</v>
      </c>
      <c r="G211" s="163">
        <v>2.0</v>
      </c>
      <c r="H211" s="163">
        <v>2.0</v>
      </c>
      <c r="I211" s="163">
        <v>3.0</v>
      </c>
      <c r="J211" s="163">
        <v>3.0</v>
      </c>
      <c r="K211" s="130"/>
      <c r="L211" s="163">
        <f t="shared" ref="L211:O211" si="227">IF(E211&gt;U211,0,1)</f>
        <v>0</v>
      </c>
      <c r="M211" s="163">
        <f t="shared" si="227"/>
        <v>0</v>
      </c>
      <c r="N211" s="163">
        <f t="shared" si="227"/>
        <v>0</v>
      </c>
      <c r="O211" s="163">
        <f t="shared" si="227"/>
        <v>0</v>
      </c>
      <c r="P211" s="163">
        <f>IF('計分版'!$V$229=0,0,IF(I211&gt;LARGE(Y211:AC211,1),0,1))</f>
        <v>0</v>
      </c>
      <c r="Q211" s="163">
        <f>IF('計分版'!$V$229=0,0,IF(J211&gt;LARGE(Y211:AC211,1),0,1))</f>
        <v>0</v>
      </c>
      <c r="R211" s="130"/>
      <c r="S211" s="163">
        <f t="shared" ref="S211:S215" si="229">L211*M211*N211*O211*P211*Q211</f>
        <v>0</v>
      </c>
      <c r="T211" s="170"/>
      <c r="U211" s="163">
        <f>'計分版'!E$14</f>
        <v>0.0000000001</v>
      </c>
      <c r="V211" s="163">
        <f>'計分版'!F$14</f>
        <v>0.0000000002</v>
      </c>
      <c r="W211" s="163">
        <f>'計分版'!G$14</f>
        <v>0.0000000003</v>
      </c>
      <c r="X211" s="163">
        <f>'計分版'!H$14</f>
        <v>0.0000000004</v>
      </c>
      <c r="Y211" s="163">
        <f>'計分版'!I$14</f>
        <v>0.0000000005</v>
      </c>
      <c r="Z211" s="163">
        <f>'計分版'!J$14</f>
        <v>0</v>
      </c>
      <c r="AA211" s="163">
        <f>'計分版'!K$14</f>
        <v>0</v>
      </c>
      <c r="AB211" s="163">
        <f>'計分版'!L$14</f>
        <v>0</v>
      </c>
      <c r="AC211" s="163">
        <f>'計分版'!M$14</f>
        <v>0</v>
      </c>
      <c r="AD211" s="163">
        <f>'計分版'!N$14</f>
        <v>0</v>
      </c>
      <c r="AE211" s="163"/>
      <c r="AF211" s="163" t="s">
        <v>1065</v>
      </c>
      <c r="AG211" s="163"/>
      <c r="AH211" s="163"/>
      <c r="AI211" s="163"/>
      <c r="AJ211" s="163"/>
      <c r="AK211" s="163"/>
      <c r="AL211" s="163"/>
      <c r="AM211" s="163"/>
      <c r="AN211" s="130"/>
      <c r="AO211" s="130"/>
      <c r="AP211" s="130"/>
      <c r="AQ211" s="130"/>
      <c r="AR211" s="130"/>
      <c r="AS211" s="130"/>
      <c r="AT211" s="130"/>
    </row>
    <row r="212" ht="13.5" customHeight="1">
      <c r="A212" s="130" t="s">
        <v>599</v>
      </c>
      <c r="B212" s="130" t="s">
        <v>600</v>
      </c>
      <c r="C212" s="130" t="s">
        <v>601</v>
      </c>
      <c r="D212" s="163">
        <v>464.0</v>
      </c>
      <c r="E212" s="163">
        <v>3.0</v>
      </c>
      <c r="F212" s="163">
        <v>3.0</v>
      </c>
      <c r="G212" s="163">
        <v>2.0</v>
      </c>
      <c r="H212" s="163">
        <v>2.0</v>
      </c>
      <c r="I212" s="163">
        <v>3.0</v>
      </c>
      <c r="J212" s="163">
        <v>3.0</v>
      </c>
      <c r="K212" s="130"/>
      <c r="L212" s="163">
        <f t="shared" ref="L212:O212" si="228">IF(E212&gt;U212,0,1)</f>
        <v>0</v>
      </c>
      <c r="M212" s="163">
        <f t="shared" si="228"/>
        <v>0</v>
      </c>
      <c r="N212" s="163">
        <f t="shared" si="228"/>
        <v>0</v>
      </c>
      <c r="O212" s="163">
        <f t="shared" si="228"/>
        <v>0</v>
      </c>
      <c r="P212" s="163">
        <f>IF('計分版'!$R$230=0,0,IF(I212&gt;LARGE(Y212:AC212,1),0,1))</f>
        <v>0</v>
      </c>
      <c r="Q212" s="163">
        <f t="shared" ref="Q212:Q235" si="231">IF(J212&gt;LARGE(Y212:AC212,2),0,1)</f>
        <v>0</v>
      </c>
      <c r="R212" s="130"/>
      <c r="S212" s="163">
        <f t="shared" si="229"/>
        <v>0</v>
      </c>
      <c r="T212" s="170"/>
      <c r="U212" s="163">
        <f>'計分版'!E$14</f>
        <v>0.0000000001</v>
      </c>
      <c r="V212" s="163">
        <f>'計分版'!F$14</f>
        <v>0.0000000002</v>
      </c>
      <c r="W212" s="163">
        <f>'計分版'!G$14</f>
        <v>0.0000000003</v>
      </c>
      <c r="X212" s="163">
        <f>'計分版'!H$14</f>
        <v>0.0000000004</v>
      </c>
      <c r="Y212" s="163">
        <f>'計分版'!I$14</f>
        <v>0.0000000005</v>
      </c>
      <c r="Z212" s="163">
        <f>'計分版'!J$14</f>
        <v>0</v>
      </c>
      <c r="AA212" s="163">
        <f>'計分版'!K$14</f>
        <v>0</v>
      </c>
      <c r="AB212" s="163">
        <f>'計分版'!L$14</f>
        <v>0</v>
      </c>
      <c r="AC212" s="163">
        <f>'計分版'!M$14</f>
        <v>0</v>
      </c>
      <c r="AD212" s="163">
        <f>'計分版'!N$14</f>
        <v>0</v>
      </c>
      <c r="AE212" s="163"/>
      <c r="AF212" s="163" t="s">
        <v>1065</v>
      </c>
      <c r="AG212" s="163"/>
      <c r="AH212" s="163"/>
      <c r="AI212" s="163"/>
      <c r="AJ212" s="163"/>
      <c r="AK212" s="163"/>
      <c r="AL212" s="163"/>
      <c r="AM212" s="163"/>
      <c r="AN212" s="130"/>
      <c r="AO212" s="130"/>
      <c r="AP212" s="130"/>
      <c r="AQ212" s="130"/>
      <c r="AR212" s="130"/>
      <c r="AS212" s="130"/>
      <c r="AT212" s="130"/>
    </row>
    <row r="213" ht="13.5" customHeight="1">
      <c r="A213" s="130" t="s">
        <v>602</v>
      </c>
      <c r="B213" s="130" t="s">
        <v>603</v>
      </c>
      <c r="C213" s="130" t="s">
        <v>601</v>
      </c>
      <c r="D213" s="163">
        <v>464.0</v>
      </c>
      <c r="E213" s="163">
        <v>3.0</v>
      </c>
      <c r="F213" s="163">
        <v>3.0</v>
      </c>
      <c r="G213" s="163">
        <v>2.0</v>
      </c>
      <c r="H213" s="163">
        <v>2.0</v>
      </c>
      <c r="I213" s="163">
        <v>3.0</v>
      </c>
      <c r="J213" s="163">
        <v>3.0</v>
      </c>
      <c r="K213" s="130"/>
      <c r="L213" s="163">
        <f t="shared" ref="L213:O213" si="230">IF(E213&gt;U213,0,1)</f>
        <v>0</v>
      </c>
      <c r="M213" s="163">
        <f t="shared" si="230"/>
        <v>0</v>
      </c>
      <c r="N213" s="163">
        <f t="shared" si="230"/>
        <v>0</v>
      </c>
      <c r="O213" s="163">
        <f t="shared" si="230"/>
        <v>0</v>
      </c>
      <c r="P213" s="163">
        <f>IF('計分版'!$R$230=0,0,IF(I213&gt;LARGE(Y213:AC213,1),0,1))</f>
        <v>0</v>
      </c>
      <c r="Q213" s="163">
        <f t="shared" si="231"/>
        <v>0</v>
      </c>
      <c r="R213" s="130"/>
      <c r="S213" s="163">
        <f t="shared" si="229"/>
        <v>0</v>
      </c>
      <c r="T213" s="170"/>
      <c r="U213" s="163">
        <f>'計分版'!E$14</f>
        <v>0.0000000001</v>
      </c>
      <c r="V213" s="163">
        <f>'計分版'!F$14</f>
        <v>0.0000000002</v>
      </c>
      <c r="W213" s="163">
        <f>'計分版'!G$14</f>
        <v>0.0000000003</v>
      </c>
      <c r="X213" s="163">
        <f>'計分版'!H$14</f>
        <v>0.0000000004</v>
      </c>
      <c r="Y213" s="163">
        <f>'計分版'!I$14</f>
        <v>0.0000000005</v>
      </c>
      <c r="Z213" s="163">
        <f>'計分版'!J$14</f>
        <v>0</v>
      </c>
      <c r="AA213" s="163">
        <f>'計分版'!K$14</f>
        <v>0</v>
      </c>
      <c r="AB213" s="163">
        <f>'計分版'!L$14</f>
        <v>0</v>
      </c>
      <c r="AC213" s="163">
        <f>'計分版'!M$14</f>
        <v>0</v>
      </c>
      <c r="AD213" s="163">
        <f>'計分版'!N$14</f>
        <v>0</v>
      </c>
      <c r="AE213" s="163"/>
      <c r="AF213" s="163" t="s">
        <v>1065</v>
      </c>
      <c r="AG213" s="163"/>
      <c r="AH213" s="163"/>
      <c r="AI213" s="163"/>
      <c r="AJ213" s="163"/>
      <c r="AK213" s="163"/>
      <c r="AL213" s="163"/>
      <c r="AM213" s="163"/>
      <c r="AN213" s="130"/>
      <c r="AO213" s="130"/>
      <c r="AP213" s="130"/>
      <c r="AQ213" s="130"/>
      <c r="AR213" s="130"/>
      <c r="AS213" s="130"/>
      <c r="AT213" s="130"/>
    </row>
    <row r="214" ht="13.5" customHeight="1">
      <c r="A214" s="130" t="s">
        <v>604</v>
      </c>
      <c r="B214" s="130" t="s">
        <v>605</v>
      </c>
      <c r="C214" s="130" t="s">
        <v>601</v>
      </c>
      <c r="D214" s="163"/>
      <c r="E214" s="163">
        <v>3.0</v>
      </c>
      <c r="F214" s="163">
        <v>3.0</v>
      </c>
      <c r="G214" s="163">
        <v>2.0</v>
      </c>
      <c r="H214" s="163">
        <v>2.0</v>
      </c>
      <c r="I214" s="163">
        <v>3.0</v>
      </c>
      <c r="J214" s="163">
        <v>3.0</v>
      </c>
      <c r="K214" s="130"/>
      <c r="L214" s="163">
        <f t="shared" ref="L214:O214" si="232">IF(E214&gt;U214,0,1)</f>
        <v>0</v>
      </c>
      <c r="M214" s="163">
        <f t="shared" si="232"/>
        <v>0</v>
      </c>
      <c r="N214" s="163">
        <f t="shared" si="232"/>
        <v>0</v>
      </c>
      <c r="O214" s="163">
        <f t="shared" si="232"/>
        <v>0</v>
      </c>
      <c r="P214" s="163">
        <f>IF('計分版'!$R$230=0,0,IF(I214&gt;LARGE(Y214:AC214,1),0,1))</f>
        <v>0</v>
      </c>
      <c r="Q214" s="163">
        <f t="shared" si="231"/>
        <v>0</v>
      </c>
      <c r="R214" s="130"/>
      <c r="S214" s="163">
        <f t="shared" si="229"/>
        <v>0</v>
      </c>
      <c r="T214" s="170"/>
      <c r="U214" s="163">
        <f>'計分版'!E$14</f>
        <v>0.0000000001</v>
      </c>
      <c r="V214" s="163">
        <f>'計分版'!F$14</f>
        <v>0.0000000002</v>
      </c>
      <c r="W214" s="163">
        <f>'計分版'!G$14</f>
        <v>0.0000000003</v>
      </c>
      <c r="X214" s="163">
        <f>'計分版'!H$14</f>
        <v>0.0000000004</v>
      </c>
      <c r="Y214" s="163">
        <f>'計分版'!I$14</f>
        <v>0.0000000005</v>
      </c>
      <c r="Z214" s="163">
        <f>'計分版'!J$14</f>
        <v>0</v>
      </c>
      <c r="AA214" s="163">
        <f>'計分版'!K$14</f>
        <v>0</v>
      </c>
      <c r="AB214" s="163">
        <f>'計分版'!L$14</f>
        <v>0</v>
      </c>
      <c r="AC214" s="163">
        <f>'計分版'!M$14</f>
        <v>0</v>
      </c>
      <c r="AD214" s="163">
        <f>'計分版'!N$14</f>
        <v>0</v>
      </c>
      <c r="AE214" s="163"/>
      <c r="AF214" s="163" t="s">
        <v>1065</v>
      </c>
      <c r="AG214" s="163"/>
      <c r="AH214" s="163"/>
      <c r="AI214" s="163"/>
      <c r="AJ214" s="163"/>
      <c r="AK214" s="163"/>
      <c r="AL214" s="163"/>
      <c r="AM214" s="163"/>
      <c r="AN214" s="130"/>
      <c r="AO214" s="130"/>
      <c r="AP214" s="130"/>
      <c r="AQ214" s="130"/>
      <c r="AR214" s="130"/>
      <c r="AS214" s="130"/>
      <c r="AT214" s="130"/>
    </row>
    <row r="215" ht="13.5" customHeight="1">
      <c r="A215" s="130" t="s">
        <v>359</v>
      </c>
      <c r="B215" s="130" t="s">
        <v>606</v>
      </c>
      <c r="C215" s="130" t="s">
        <v>601</v>
      </c>
      <c r="D215" s="163">
        <v>674.0</v>
      </c>
      <c r="E215" s="163">
        <v>3.0</v>
      </c>
      <c r="F215" s="163">
        <v>3.0</v>
      </c>
      <c r="G215" s="163">
        <v>2.0</v>
      </c>
      <c r="H215" s="163">
        <v>2.0</v>
      </c>
      <c r="I215" s="163">
        <v>3.0</v>
      </c>
      <c r="J215" s="163">
        <v>3.0</v>
      </c>
      <c r="K215" s="130"/>
      <c r="L215" s="163">
        <f t="shared" ref="L215:O215" si="233">IF(E215&gt;U215,0,1)</f>
        <v>0</v>
      </c>
      <c r="M215" s="163">
        <f t="shared" si="233"/>
        <v>0</v>
      </c>
      <c r="N215" s="163">
        <f t="shared" si="233"/>
        <v>0</v>
      </c>
      <c r="O215" s="163">
        <f t="shared" si="233"/>
        <v>0</v>
      </c>
      <c r="P215" s="163">
        <f>IF(AND('計分版'!$T$244=0,'計分版'!$R$230=0),0,IF(I215&gt;LARGE(Y215:AC215,1),0,1))</f>
        <v>0</v>
      </c>
      <c r="Q215" s="163">
        <f t="shared" si="231"/>
        <v>0</v>
      </c>
      <c r="R215" s="130"/>
      <c r="S215" s="163">
        <f t="shared" si="229"/>
        <v>0</v>
      </c>
      <c r="T215" s="170"/>
      <c r="U215" s="163">
        <f>'計分版'!E$14</f>
        <v>0.0000000001</v>
      </c>
      <c r="V215" s="163">
        <f>'計分版'!F$14</f>
        <v>0.0000000002</v>
      </c>
      <c r="W215" s="163">
        <f>'計分版'!G$14</f>
        <v>0.0000000003</v>
      </c>
      <c r="X215" s="163">
        <f>'計分版'!H$14</f>
        <v>0.0000000004</v>
      </c>
      <c r="Y215" s="163">
        <f>'計分版'!I$14</f>
        <v>0.0000000005</v>
      </c>
      <c r="Z215" s="163">
        <f>'計分版'!J$14</f>
        <v>0</v>
      </c>
      <c r="AA215" s="163">
        <f>'計分版'!K$14</f>
        <v>0</v>
      </c>
      <c r="AB215" s="163">
        <f>'計分版'!L$14</f>
        <v>0</v>
      </c>
      <c r="AC215" s="163">
        <f>'計分版'!M$14</f>
        <v>0</v>
      </c>
      <c r="AD215" s="163">
        <f>'計分版'!N$14</f>
        <v>0</v>
      </c>
      <c r="AE215" s="163"/>
      <c r="AF215" s="163" t="s">
        <v>1065</v>
      </c>
      <c r="AG215" s="163"/>
      <c r="AH215" s="163"/>
      <c r="AI215" s="163"/>
      <c r="AJ215" s="163"/>
      <c r="AK215" s="163"/>
      <c r="AL215" s="163"/>
      <c r="AM215" s="163"/>
      <c r="AN215" s="130"/>
      <c r="AO215" s="130"/>
      <c r="AP215" s="130"/>
      <c r="AQ215" s="130"/>
      <c r="AR215" s="130"/>
      <c r="AS215" s="130"/>
      <c r="AT215" s="130"/>
    </row>
    <row r="216" ht="13.5" customHeight="1">
      <c r="A216" s="130" t="s">
        <v>363</v>
      </c>
      <c r="B216" s="130" t="s">
        <v>610</v>
      </c>
      <c r="C216" s="130" t="s">
        <v>601</v>
      </c>
      <c r="D216" s="163">
        <v>25.0</v>
      </c>
      <c r="E216" s="163">
        <v>3.0</v>
      </c>
      <c r="F216" s="163">
        <v>3.0</v>
      </c>
      <c r="G216" s="163">
        <v>2.0</v>
      </c>
      <c r="H216" s="163">
        <v>2.0</v>
      </c>
      <c r="I216" s="163">
        <v>3.0</v>
      </c>
      <c r="J216" s="163">
        <v>3.0</v>
      </c>
      <c r="K216" s="130"/>
      <c r="L216" s="163">
        <f t="shared" ref="L216:O216" si="234">IF(E216&gt;U216,0,1)</f>
        <v>0</v>
      </c>
      <c r="M216" s="163">
        <f t="shared" si="234"/>
        <v>0</v>
      </c>
      <c r="N216" s="163">
        <f t="shared" si="234"/>
        <v>0</v>
      </c>
      <c r="O216" s="163">
        <f t="shared" si="234"/>
        <v>0</v>
      </c>
      <c r="P216" s="163">
        <f>IF(AND('計分版'!$T$244=0,'計分版'!$R$230=0),0,IF(I216&gt;LARGE(Y216:AC216,1),0,1))</f>
        <v>0</v>
      </c>
      <c r="Q216" s="163">
        <f t="shared" si="231"/>
        <v>0</v>
      </c>
      <c r="R216" s="130"/>
      <c r="S216" s="163">
        <f>IF(L216*M216*N216*O216*P216*Q216=0,0,2)</f>
        <v>0</v>
      </c>
      <c r="T216" s="170"/>
      <c r="U216" s="163">
        <f>'計分版'!E$14</f>
        <v>0.0000000001</v>
      </c>
      <c r="V216" s="163">
        <f>'計分版'!F$14</f>
        <v>0.0000000002</v>
      </c>
      <c r="W216" s="163">
        <f>'計分版'!G$14</f>
        <v>0.0000000003</v>
      </c>
      <c r="X216" s="163">
        <f>'計分版'!H$14</f>
        <v>0.0000000004</v>
      </c>
      <c r="Y216" s="163">
        <f>'計分版'!I$14</f>
        <v>0.0000000005</v>
      </c>
      <c r="Z216" s="163">
        <f>'計分版'!J$14</f>
        <v>0</v>
      </c>
      <c r="AA216" s="163">
        <f>'計分版'!K$14</f>
        <v>0</v>
      </c>
      <c r="AB216" s="163">
        <f>'計分版'!L$14</f>
        <v>0</v>
      </c>
      <c r="AC216" s="163">
        <f>'計分版'!M$14</f>
        <v>0</v>
      </c>
      <c r="AD216" s="163">
        <f>'計分版'!N$14</f>
        <v>0</v>
      </c>
      <c r="AE216" s="163"/>
      <c r="AF216" s="163" t="s">
        <v>1065</v>
      </c>
      <c r="AG216" s="163"/>
      <c r="AH216" s="163"/>
      <c r="AI216" s="163"/>
      <c r="AJ216" s="163"/>
      <c r="AK216" s="163"/>
      <c r="AL216" s="163"/>
      <c r="AM216" s="163"/>
      <c r="AN216" s="130"/>
      <c r="AO216" s="130"/>
      <c r="AP216" s="130"/>
      <c r="AQ216" s="130"/>
      <c r="AR216" s="130"/>
      <c r="AS216" s="130"/>
      <c r="AT216" s="130"/>
    </row>
    <row r="217" ht="13.5" customHeight="1">
      <c r="A217" s="130" t="s">
        <v>612</v>
      </c>
      <c r="B217" s="130" t="s">
        <v>613</v>
      </c>
      <c r="C217" s="130" t="s">
        <v>601</v>
      </c>
      <c r="D217" s="163"/>
      <c r="E217" s="163">
        <v>3.0</v>
      </c>
      <c r="F217" s="163">
        <v>3.0</v>
      </c>
      <c r="G217" s="163">
        <v>2.0</v>
      </c>
      <c r="H217" s="163">
        <v>2.0</v>
      </c>
      <c r="I217" s="163">
        <v>3.0</v>
      </c>
      <c r="J217" s="163">
        <v>3.0</v>
      </c>
      <c r="K217" s="130"/>
      <c r="L217" s="163">
        <f t="shared" ref="L217:O217" si="235">IF(E217&gt;U217,0,1)</f>
        <v>0</v>
      </c>
      <c r="M217" s="163">
        <f t="shared" si="235"/>
        <v>0</v>
      </c>
      <c r="N217" s="163">
        <f t="shared" si="235"/>
        <v>0</v>
      </c>
      <c r="O217" s="163">
        <f t="shared" si="235"/>
        <v>0</v>
      </c>
      <c r="P217" s="163">
        <f>IF(AND('計分版'!$T$244=0,'計分版'!$R$230=0),0,IF(I217&gt;LARGE(Y217:AC217,1),0,1))</f>
        <v>0</v>
      </c>
      <c r="Q217" s="163">
        <f t="shared" si="231"/>
        <v>0</v>
      </c>
      <c r="R217" s="130"/>
      <c r="S217" s="163">
        <f t="shared" ref="S217:S235" si="237">L217*M217*N217*O217*P217*Q217</f>
        <v>0</v>
      </c>
      <c r="T217" s="170"/>
      <c r="U217" s="163">
        <f>'計分版'!E$14</f>
        <v>0.0000000001</v>
      </c>
      <c r="V217" s="163">
        <f>'計分版'!F$14</f>
        <v>0.0000000002</v>
      </c>
      <c r="W217" s="163">
        <f>'計分版'!G$14</f>
        <v>0.0000000003</v>
      </c>
      <c r="X217" s="163">
        <f>'計分版'!H$14</f>
        <v>0.0000000004</v>
      </c>
      <c r="Y217" s="163">
        <f>'計分版'!I$14</f>
        <v>0.0000000005</v>
      </c>
      <c r="Z217" s="163">
        <f>'計分版'!J$14</f>
        <v>0</v>
      </c>
      <c r="AA217" s="163">
        <f>'計分版'!K$14</f>
        <v>0</v>
      </c>
      <c r="AB217" s="163">
        <f>'計分版'!L$14</f>
        <v>0</v>
      </c>
      <c r="AC217" s="163">
        <f>'計分版'!M$14</f>
        <v>0</v>
      </c>
      <c r="AD217" s="163">
        <f>'計分版'!N$14</f>
        <v>0</v>
      </c>
      <c r="AE217" s="163"/>
      <c r="AF217" s="163" t="s">
        <v>1065</v>
      </c>
      <c r="AG217" s="163"/>
      <c r="AH217" s="163"/>
      <c r="AI217" s="163"/>
      <c r="AJ217" s="163"/>
      <c r="AK217" s="163"/>
      <c r="AL217" s="163"/>
      <c r="AM217" s="163"/>
      <c r="AN217" s="130"/>
      <c r="AO217" s="130"/>
      <c r="AP217" s="130"/>
      <c r="AQ217" s="130"/>
      <c r="AR217" s="130"/>
      <c r="AS217" s="130"/>
      <c r="AT217" s="130"/>
    </row>
    <row r="218" ht="13.5" customHeight="1">
      <c r="A218" s="130" t="s">
        <v>615</v>
      </c>
      <c r="B218" s="130" t="s">
        <v>616</v>
      </c>
      <c r="C218" s="130" t="s">
        <v>617</v>
      </c>
      <c r="D218" s="163">
        <v>385.0</v>
      </c>
      <c r="E218" s="163">
        <v>3.0</v>
      </c>
      <c r="F218" s="163">
        <v>4.0</v>
      </c>
      <c r="G218" s="163">
        <v>3.0</v>
      </c>
      <c r="H218" s="163">
        <v>2.0</v>
      </c>
      <c r="I218" s="163">
        <v>3.0</v>
      </c>
      <c r="J218" s="163">
        <v>3.0</v>
      </c>
      <c r="K218" s="130"/>
      <c r="L218" s="163">
        <f t="shared" ref="L218:O218" si="236">IF(E218&gt;U218,0,1)</f>
        <v>0</v>
      </c>
      <c r="M218" s="163">
        <f t="shared" si="236"/>
        <v>0</v>
      </c>
      <c r="N218" s="163">
        <f t="shared" si="236"/>
        <v>0</v>
      </c>
      <c r="O218" s="163">
        <f t="shared" si="236"/>
        <v>0</v>
      </c>
      <c r="P218" s="163">
        <f t="shared" ref="P218:P230" si="239">IF(I218&gt;LARGE(Y218:AC218,1),0,1)</f>
        <v>0</v>
      </c>
      <c r="Q218" s="163">
        <f t="shared" si="231"/>
        <v>0</v>
      </c>
      <c r="R218" s="130"/>
      <c r="S218" s="163">
        <f t="shared" si="237"/>
        <v>0</v>
      </c>
      <c r="T218" s="170"/>
      <c r="U218" s="163">
        <f>'計分版'!E$14</f>
        <v>0.0000000001</v>
      </c>
      <c r="V218" s="163">
        <f>'計分版'!F$14</f>
        <v>0.0000000002</v>
      </c>
      <c r="W218" s="163">
        <f>'計分版'!G$14</f>
        <v>0.0000000003</v>
      </c>
      <c r="X218" s="163">
        <f>'計分版'!H$14</f>
        <v>0.0000000004</v>
      </c>
      <c r="Y218" s="163">
        <f>'計分版'!I$14</f>
        <v>0.0000000005</v>
      </c>
      <c r="Z218" s="163">
        <f>'計分版'!J$14</f>
        <v>0</v>
      </c>
      <c r="AA218" s="163">
        <f>'計分版'!K$14</f>
        <v>0</v>
      </c>
      <c r="AB218" s="163">
        <f>'計分版'!L$14</f>
        <v>0</v>
      </c>
      <c r="AC218" s="163">
        <f>'計分版'!M$14</f>
        <v>0</v>
      </c>
      <c r="AD218" s="163">
        <f>'計分版'!N$14</f>
        <v>0</v>
      </c>
      <c r="AE218" s="163"/>
      <c r="AF218" s="163" t="s">
        <v>1065</v>
      </c>
      <c r="AG218" s="163"/>
      <c r="AH218" s="163"/>
      <c r="AI218" s="163"/>
      <c r="AJ218" s="163"/>
      <c r="AK218" s="163"/>
      <c r="AL218" s="163"/>
      <c r="AM218" s="163"/>
      <c r="AN218" s="130"/>
      <c r="AO218" s="130"/>
      <c r="AP218" s="130"/>
      <c r="AQ218" s="130"/>
      <c r="AR218" s="130"/>
      <c r="AS218" s="130"/>
      <c r="AT218" s="130"/>
    </row>
    <row r="219" ht="13.5" customHeight="1">
      <c r="A219" s="130" t="s">
        <v>620</v>
      </c>
      <c r="B219" s="130" t="s">
        <v>621</v>
      </c>
      <c r="C219" s="130" t="s">
        <v>617</v>
      </c>
      <c r="D219" s="163">
        <v>25.0</v>
      </c>
      <c r="E219" s="163">
        <v>3.0</v>
      </c>
      <c r="F219" s="163">
        <v>4.0</v>
      </c>
      <c r="G219" s="163">
        <v>3.0</v>
      </c>
      <c r="H219" s="163">
        <v>2.0</v>
      </c>
      <c r="I219" s="163">
        <v>3.0</v>
      </c>
      <c r="J219" s="163">
        <v>3.0</v>
      </c>
      <c r="K219" s="130"/>
      <c r="L219" s="163">
        <f t="shared" ref="L219:O219" si="238">IF(E219&gt;U219,0,1)</f>
        <v>0</v>
      </c>
      <c r="M219" s="163">
        <f t="shared" si="238"/>
        <v>0</v>
      </c>
      <c r="N219" s="163">
        <f t="shared" si="238"/>
        <v>0</v>
      </c>
      <c r="O219" s="163">
        <f t="shared" si="238"/>
        <v>0</v>
      </c>
      <c r="P219" s="163">
        <f t="shared" si="239"/>
        <v>0</v>
      </c>
      <c r="Q219" s="163">
        <f t="shared" si="231"/>
        <v>0</v>
      </c>
      <c r="R219" s="130"/>
      <c r="S219" s="163">
        <f t="shared" si="237"/>
        <v>0</v>
      </c>
      <c r="T219" s="170"/>
      <c r="U219" s="163">
        <f>'計分版'!E$14</f>
        <v>0.0000000001</v>
      </c>
      <c r="V219" s="163">
        <f>'計分版'!F$14</f>
        <v>0.0000000002</v>
      </c>
      <c r="W219" s="163">
        <f>'計分版'!G$14</f>
        <v>0.0000000003</v>
      </c>
      <c r="X219" s="163">
        <f>'計分版'!H$14</f>
        <v>0.0000000004</v>
      </c>
      <c r="Y219" s="163">
        <f>'計分版'!I$14</f>
        <v>0.0000000005</v>
      </c>
      <c r="Z219" s="163">
        <f>'計分版'!J$14</f>
        <v>0</v>
      </c>
      <c r="AA219" s="163">
        <f>'計分版'!K$14</f>
        <v>0</v>
      </c>
      <c r="AB219" s="163">
        <f>'計分版'!L$14</f>
        <v>0</v>
      </c>
      <c r="AC219" s="163">
        <f>'計分版'!M$14</f>
        <v>0</v>
      </c>
      <c r="AD219" s="163">
        <f>'計分版'!N$14</f>
        <v>0</v>
      </c>
      <c r="AE219" s="163"/>
      <c r="AF219" s="163" t="s">
        <v>1065</v>
      </c>
      <c r="AG219" s="163"/>
      <c r="AH219" s="163"/>
      <c r="AI219" s="163"/>
      <c r="AJ219" s="163"/>
      <c r="AK219" s="163"/>
      <c r="AL219" s="163"/>
      <c r="AM219" s="163"/>
      <c r="AN219" s="130"/>
      <c r="AO219" s="130"/>
      <c r="AP219" s="130"/>
      <c r="AQ219" s="130"/>
      <c r="AR219" s="130"/>
      <c r="AS219" s="130"/>
      <c r="AT219" s="130"/>
    </row>
    <row r="220" ht="13.5" customHeight="1">
      <c r="A220" s="130" t="s">
        <v>623</v>
      </c>
      <c r="B220" s="130" t="s">
        <v>624</v>
      </c>
      <c r="C220" s="130" t="s">
        <v>617</v>
      </c>
      <c r="D220" s="163">
        <v>30.0</v>
      </c>
      <c r="E220" s="163">
        <v>3.0</v>
      </c>
      <c r="F220" s="163">
        <v>4.0</v>
      </c>
      <c r="G220" s="163">
        <v>3.0</v>
      </c>
      <c r="H220" s="163">
        <v>2.0</v>
      </c>
      <c r="I220" s="163">
        <v>3.0</v>
      </c>
      <c r="J220" s="163">
        <v>3.0</v>
      </c>
      <c r="K220" s="130"/>
      <c r="L220" s="163">
        <f t="shared" ref="L220:O220" si="240">IF(E220&gt;U220,0,1)</f>
        <v>0</v>
      </c>
      <c r="M220" s="163">
        <f t="shared" si="240"/>
        <v>0</v>
      </c>
      <c r="N220" s="163">
        <f t="shared" si="240"/>
        <v>0</v>
      </c>
      <c r="O220" s="163">
        <f t="shared" si="240"/>
        <v>0</v>
      </c>
      <c r="P220" s="163">
        <f t="shared" si="239"/>
        <v>0</v>
      </c>
      <c r="Q220" s="163">
        <f t="shared" si="231"/>
        <v>0</v>
      </c>
      <c r="R220" s="130"/>
      <c r="S220" s="163">
        <f t="shared" si="237"/>
        <v>0</v>
      </c>
      <c r="T220" s="170"/>
      <c r="U220" s="163">
        <f>'計分版'!E$14</f>
        <v>0.0000000001</v>
      </c>
      <c r="V220" s="163">
        <f>'計分版'!F$14</f>
        <v>0.0000000002</v>
      </c>
      <c r="W220" s="163">
        <f>'計分版'!G$14</f>
        <v>0.0000000003</v>
      </c>
      <c r="X220" s="163">
        <f>'計分版'!H$14</f>
        <v>0.0000000004</v>
      </c>
      <c r="Y220" s="163">
        <f>'計分版'!I$14</f>
        <v>0.0000000005</v>
      </c>
      <c r="Z220" s="163">
        <f>'計分版'!J$14</f>
        <v>0</v>
      </c>
      <c r="AA220" s="163">
        <f>'計分版'!K$14</f>
        <v>0</v>
      </c>
      <c r="AB220" s="163">
        <f>'計分版'!L$14</f>
        <v>0</v>
      </c>
      <c r="AC220" s="163">
        <f>'計分版'!M$14</f>
        <v>0</v>
      </c>
      <c r="AD220" s="163">
        <f>'計分版'!N$14</f>
        <v>0</v>
      </c>
      <c r="AE220" s="163"/>
      <c r="AF220" s="163" t="s">
        <v>1065</v>
      </c>
      <c r="AG220" s="163"/>
      <c r="AH220" s="163"/>
      <c r="AI220" s="163"/>
      <c r="AJ220" s="163"/>
      <c r="AK220" s="163"/>
      <c r="AL220" s="163"/>
      <c r="AM220" s="163"/>
      <c r="AN220" s="130"/>
      <c r="AO220" s="130"/>
      <c r="AP220" s="130"/>
      <c r="AQ220" s="130"/>
      <c r="AR220" s="130"/>
      <c r="AS220" s="130"/>
      <c r="AT220" s="130"/>
    </row>
    <row r="221" ht="13.5" customHeight="1">
      <c r="A221" s="130" t="s">
        <v>625</v>
      </c>
      <c r="B221" s="130" t="s">
        <v>626</v>
      </c>
      <c r="C221" s="130" t="s">
        <v>617</v>
      </c>
      <c r="D221" s="163">
        <v>26.0</v>
      </c>
      <c r="E221" s="163">
        <v>3.0</v>
      </c>
      <c r="F221" s="163">
        <v>4.0</v>
      </c>
      <c r="G221" s="163">
        <v>3.0</v>
      </c>
      <c r="H221" s="163">
        <v>2.0</v>
      </c>
      <c r="I221" s="163">
        <v>3.0</v>
      </c>
      <c r="J221" s="163">
        <v>3.0</v>
      </c>
      <c r="K221" s="130"/>
      <c r="L221" s="163">
        <f t="shared" ref="L221:O221" si="241">IF(E221&gt;U221,0,1)</f>
        <v>0</v>
      </c>
      <c r="M221" s="163">
        <f t="shared" si="241"/>
        <v>0</v>
      </c>
      <c r="N221" s="163">
        <f t="shared" si="241"/>
        <v>0</v>
      </c>
      <c r="O221" s="163">
        <f t="shared" si="241"/>
        <v>0</v>
      </c>
      <c r="P221" s="163">
        <f t="shared" si="239"/>
        <v>0</v>
      </c>
      <c r="Q221" s="163">
        <f t="shared" si="231"/>
        <v>0</v>
      </c>
      <c r="R221" s="130"/>
      <c r="S221" s="163">
        <f t="shared" si="237"/>
        <v>0</v>
      </c>
      <c r="T221" s="170"/>
      <c r="U221" s="163">
        <f>'計分版'!E$14</f>
        <v>0.0000000001</v>
      </c>
      <c r="V221" s="163">
        <f>'計分版'!F$14</f>
        <v>0.0000000002</v>
      </c>
      <c r="W221" s="163">
        <f>'計分版'!G$14</f>
        <v>0.0000000003</v>
      </c>
      <c r="X221" s="163">
        <f>'計分版'!H$14</f>
        <v>0.0000000004</v>
      </c>
      <c r="Y221" s="163">
        <f>'計分版'!I$14</f>
        <v>0.0000000005</v>
      </c>
      <c r="Z221" s="163">
        <f>'計分版'!J$14</f>
        <v>0</v>
      </c>
      <c r="AA221" s="163">
        <f>'計分版'!K$14</f>
        <v>0</v>
      </c>
      <c r="AB221" s="163">
        <f>'計分版'!L$14</f>
        <v>0</v>
      </c>
      <c r="AC221" s="163">
        <f>'計分版'!M$14</f>
        <v>0</v>
      </c>
      <c r="AD221" s="163">
        <f>'計分版'!N$14</f>
        <v>0</v>
      </c>
      <c r="AE221" s="163"/>
      <c r="AF221" s="163" t="s">
        <v>1065</v>
      </c>
      <c r="AG221" s="163"/>
      <c r="AH221" s="163"/>
      <c r="AI221" s="163"/>
      <c r="AJ221" s="163"/>
      <c r="AK221" s="163"/>
      <c r="AL221" s="163"/>
      <c r="AM221" s="163"/>
      <c r="AN221" s="130"/>
      <c r="AO221" s="130"/>
      <c r="AP221" s="130"/>
      <c r="AQ221" s="130"/>
      <c r="AR221" s="130"/>
      <c r="AS221" s="130"/>
      <c r="AT221" s="130"/>
    </row>
    <row r="222" ht="13.5" customHeight="1">
      <c r="A222" s="130" t="s">
        <v>627</v>
      </c>
      <c r="B222" s="130" t="s">
        <v>628</v>
      </c>
      <c r="C222" s="130" t="s">
        <v>617</v>
      </c>
      <c r="D222" s="163">
        <v>25.0</v>
      </c>
      <c r="E222" s="163">
        <v>3.0</v>
      </c>
      <c r="F222" s="163">
        <v>4.0</v>
      </c>
      <c r="G222" s="163">
        <v>3.0</v>
      </c>
      <c r="H222" s="163">
        <v>2.0</v>
      </c>
      <c r="I222" s="163">
        <v>3.0</v>
      </c>
      <c r="J222" s="163">
        <v>3.0</v>
      </c>
      <c r="K222" s="130"/>
      <c r="L222" s="163">
        <f t="shared" ref="L222:O222" si="242">IF(E222&gt;U222,0,1)</f>
        <v>0</v>
      </c>
      <c r="M222" s="163">
        <f t="shared" si="242"/>
        <v>0</v>
      </c>
      <c r="N222" s="163">
        <f t="shared" si="242"/>
        <v>0</v>
      </c>
      <c r="O222" s="163">
        <f t="shared" si="242"/>
        <v>0</v>
      </c>
      <c r="P222" s="163">
        <f t="shared" si="239"/>
        <v>0</v>
      </c>
      <c r="Q222" s="163">
        <f t="shared" si="231"/>
        <v>0</v>
      </c>
      <c r="R222" s="130"/>
      <c r="S222" s="163">
        <f t="shared" si="237"/>
        <v>0</v>
      </c>
      <c r="T222" s="170"/>
      <c r="U222" s="163">
        <f>'計分版'!E$14</f>
        <v>0.0000000001</v>
      </c>
      <c r="V222" s="163">
        <f>'計分版'!F$14</f>
        <v>0.0000000002</v>
      </c>
      <c r="W222" s="163">
        <f>'計分版'!G$14</f>
        <v>0.0000000003</v>
      </c>
      <c r="X222" s="163">
        <f>'計分版'!H$14</f>
        <v>0.0000000004</v>
      </c>
      <c r="Y222" s="163">
        <f>'計分版'!I$14</f>
        <v>0.0000000005</v>
      </c>
      <c r="Z222" s="163">
        <f>'計分版'!J$14</f>
        <v>0</v>
      </c>
      <c r="AA222" s="163">
        <f>'計分版'!K$14</f>
        <v>0</v>
      </c>
      <c r="AB222" s="163">
        <f>'計分版'!L$14</f>
        <v>0</v>
      </c>
      <c r="AC222" s="163">
        <f>'計分版'!M$14</f>
        <v>0</v>
      </c>
      <c r="AD222" s="163">
        <f>'計分版'!N$14</f>
        <v>0</v>
      </c>
      <c r="AE222" s="163"/>
      <c r="AF222" s="163" t="s">
        <v>1065</v>
      </c>
      <c r="AG222" s="163"/>
      <c r="AH222" s="163"/>
      <c r="AI222" s="163"/>
      <c r="AJ222" s="163"/>
      <c r="AK222" s="163"/>
      <c r="AL222" s="163"/>
      <c r="AM222" s="163"/>
      <c r="AN222" s="130"/>
      <c r="AO222" s="130"/>
      <c r="AP222" s="130"/>
      <c r="AQ222" s="130"/>
      <c r="AR222" s="130"/>
      <c r="AS222" s="130"/>
      <c r="AT222" s="130"/>
    </row>
    <row r="223" ht="13.5" customHeight="1">
      <c r="A223" s="130" t="s">
        <v>629</v>
      </c>
      <c r="B223" s="130" t="s">
        <v>630</v>
      </c>
      <c r="C223" s="130" t="s">
        <v>617</v>
      </c>
      <c r="D223" s="163">
        <v>25.0</v>
      </c>
      <c r="E223" s="163">
        <v>3.0</v>
      </c>
      <c r="F223" s="163">
        <v>4.0</v>
      </c>
      <c r="G223" s="163">
        <v>3.0</v>
      </c>
      <c r="H223" s="163">
        <v>2.0</v>
      </c>
      <c r="I223" s="163">
        <v>3.0</v>
      </c>
      <c r="J223" s="163">
        <v>3.0</v>
      </c>
      <c r="K223" s="130"/>
      <c r="L223" s="163">
        <f t="shared" ref="L223:O223" si="243">IF(E223&gt;U223,0,1)</f>
        <v>0</v>
      </c>
      <c r="M223" s="163">
        <f t="shared" si="243"/>
        <v>0</v>
      </c>
      <c r="N223" s="163">
        <f t="shared" si="243"/>
        <v>0</v>
      </c>
      <c r="O223" s="163">
        <f t="shared" si="243"/>
        <v>0</v>
      </c>
      <c r="P223" s="163">
        <f t="shared" si="239"/>
        <v>0</v>
      </c>
      <c r="Q223" s="163">
        <f t="shared" si="231"/>
        <v>0</v>
      </c>
      <c r="R223" s="130"/>
      <c r="S223" s="163">
        <f t="shared" si="237"/>
        <v>0</v>
      </c>
      <c r="T223" s="170"/>
      <c r="U223" s="163">
        <f>'計分版'!E$14</f>
        <v>0.0000000001</v>
      </c>
      <c r="V223" s="163">
        <f>'計分版'!F$14</f>
        <v>0.0000000002</v>
      </c>
      <c r="W223" s="163">
        <f>'計分版'!G$14</f>
        <v>0.0000000003</v>
      </c>
      <c r="X223" s="163">
        <f>'計分版'!H$14</f>
        <v>0.0000000004</v>
      </c>
      <c r="Y223" s="163">
        <f>'計分版'!I$14</f>
        <v>0.0000000005</v>
      </c>
      <c r="Z223" s="163">
        <f>'計分版'!J$14</f>
        <v>0</v>
      </c>
      <c r="AA223" s="163">
        <f>'計分版'!K$14</f>
        <v>0</v>
      </c>
      <c r="AB223" s="163">
        <f>'計分版'!L$14</f>
        <v>0</v>
      </c>
      <c r="AC223" s="163">
        <f>'計分版'!M$14</f>
        <v>0</v>
      </c>
      <c r="AD223" s="163">
        <f>'計分版'!N$14</f>
        <v>0</v>
      </c>
      <c r="AE223" s="163"/>
      <c r="AF223" s="163" t="s">
        <v>1065</v>
      </c>
      <c r="AG223" s="163"/>
      <c r="AH223" s="163"/>
      <c r="AI223" s="163"/>
      <c r="AJ223" s="163"/>
      <c r="AK223" s="163"/>
      <c r="AL223" s="163"/>
      <c r="AM223" s="163"/>
      <c r="AN223" s="130"/>
      <c r="AO223" s="130"/>
      <c r="AP223" s="130"/>
      <c r="AQ223" s="130"/>
      <c r="AR223" s="130"/>
      <c r="AS223" s="130"/>
      <c r="AT223" s="130"/>
    </row>
    <row r="224" ht="13.5" customHeight="1">
      <c r="A224" s="130" t="s">
        <v>631</v>
      </c>
      <c r="B224" s="130" t="s">
        <v>632</v>
      </c>
      <c r="C224" s="130" t="s">
        <v>617</v>
      </c>
      <c r="D224" s="163">
        <v>25.0</v>
      </c>
      <c r="E224" s="163">
        <v>3.0</v>
      </c>
      <c r="F224" s="163">
        <v>4.0</v>
      </c>
      <c r="G224" s="163">
        <v>3.0</v>
      </c>
      <c r="H224" s="163">
        <v>2.0</v>
      </c>
      <c r="I224" s="163">
        <v>3.0</v>
      </c>
      <c r="J224" s="163">
        <v>3.0</v>
      </c>
      <c r="K224" s="130"/>
      <c r="L224" s="163">
        <f t="shared" ref="L224:O224" si="244">IF(E224&gt;U224,0,1)</f>
        <v>0</v>
      </c>
      <c r="M224" s="163">
        <f t="shared" si="244"/>
        <v>0</v>
      </c>
      <c r="N224" s="163">
        <f t="shared" si="244"/>
        <v>0</v>
      </c>
      <c r="O224" s="163">
        <f t="shared" si="244"/>
        <v>0</v>
      </c>
      <c r="P224" s="163">
        <f t="shared" si="239"/>
        <v>0</v>
      </c>
      <c r="Q224" s="163">
        <f t="shared" si="231"/>
        <v>0</v>
      </c>
      <c r="R224" s="130"/>
      <c r="S224" s="163">
        <f t="shared" si="237"/>
        <v>0</v>
      </c>
      <c r="T224" s="163"/>
      <c r="U224" s="163">
        <f>'計分版'!E$14</f>
        <v>0.0000000001</v>
      </c>
      <c r="V224" s="163">
        <f>'計分版'!F$14</f>
        <v>0.0000000002</v>
      </c>
      <c r="W224" s="163">
        <f>'計分版'!G$14</f>
        <v>0.0000000003</v>
      </c>
      <c r="X224" s="163">
        <f>'計分版'!H$14</f>
        <v>0.0000000004</v>
      </c>
      <c r="Y224" s="163">
        <f>'計分版'!I$14</f>
        <v>0.0000000005</v>
      </c>
      <c r="Z224" s="163">
        <f>'計分版'!J$14</f>
        <v>0</v>
      </c>
      <c r="AA224" s="163">
        <f>'計分版'!K$14</f>
        <v>0</v>
      </c>
      <c r="AB224" s="163">
        <f>'計分版'!L$14</f>
        <v>0</v>
      </c>
      <c r="AC224" s="163">
        <f>'計分版'!M$14</f>
        <v>0</v>
      </c>
      <c r="AD224" s="163">
        <f>'計分版'!N$14</f>
        <v>0</v>
      </c>
      <c r="AE224" s="163"/>
      <c r="AF224" s="163" t="s">
        <v>1065</v>
      </c>
      <c r="AG224" s="163"/>
      <c r="AH224" s="163"/>
      <c r="AI224" s="163"/>
      <c r="AJ224" s="163"/>
      <c r="AK224" s="163"/>
      <c r="AL224" s="163"/>
      <c r="AM224" s="163"/>
      <c r="AN224" s="130"/>
      <c r="AO224" s="130"/>
      <c r="AP224" s="130"/>
      <c r="AQ224" s="130"/>
      <c r="AR224" s="130"/>
      <c r="AS224" s="130"/>
      <c r="AT224" s="130"/>
    </row>
    <row r="225" ht="13.5" customHeight="1">
      <c r="A225" s="130" t="s">
        <v>633</v>
      </c>
      <c r="B225" s="130" t="s">
        <v>634</v>
      </c>
      <c r="C225" s="130" t="s">
        <v>617</v>
      </c>
      <c r="D225" s="163">
        <v>25.0</v>
      </c>
      <c r="E225" s="163">
        <v>3.0</v>
      </c>
      <c r="F225" s="163">
        <v>4.0</v>
      </c>
      <c r="G225" s="163">
        <v>3.0</v>
      </c>
      <c r="H225" s="163">
        <v>2.0</v>
      </c>
      <c r="I225" s="163">
        <v>3.0</v>
      </c>
      <c r="J225" s="163">
        <v>3.0</v>
      </c>
      <c r="K225" s="130"/>
      <c r="L225" s="163">
        <f t="shared" ref="L225:O225" si="245">IF(E225&gt;U225,0,1)</f>
        <v>0</v>
      </c>
      <c r="M225" s="163">
        <f t="shared" si="245"/>
        <v>0</v>
      </c>
      <c r="N225" s="163">
        <f t="shared" si="245"/>
        <v>0</v>
      </c>
      <c r="O225" s="163">
        <f t="shared" si="245"/>
        <v>0</v>
      </c>
      <c r="P225" s="163">
        <f t="shared" si="239"/>
        <v>0</v>
      </c>
      <c r="Q225" s="163">
        <f t="shared" si="231"/>
        <v>0</v>
      </c>
      <c r="R225" s="130"/>
      <c r="S225" s="163">
        <f t="shared" si="237"/>
        <v>0</v>
      </c>
      <c r="T225" s="163"/>
      <c r="U225" s="163">
        <f>'計分版'!E$14</f>
        <v>0.0000000001</v>
      </c>
      <c r="V225" s="163">
        <f>'計分版'!F$14</f>
        <v>0.0000000002</v>
      </c>
      <c r="W225" s="163">
        <f>'計分版'!G$14</f>
        <v>0.0000000003</v>
      </c>
      <c r="X225" s="163">
        <f>'計分版'!H$14</f>
        <v>0.0000000004</v>
      </c>
      <c r="Y225" s="163">
        <f>'計分版'!I$14</f>
        <v>0.0000000005</v>
      </c>
      <c r="Z225" s="163">
        <f>'計分版'!J$14</f>
        <v>0</v>
      </c>
      <c r="AA225" s="163">
        <f>'計分版'!K$14</f>
        <v>0</v>
      </c>
      <c r="AB225" s="163">
        <f>'計分版'!L$14</f>
        <v>0</v>
      </c>
      <c r="AC225" s="163">
        <f>'計分版'!M$14</f>
        <v>0</v>
      </c>
      <c r="AD225" s="163">
        <f>'計分版'!N$14</f>
        <v>0</v>
      </c>
      <c r="AE225" s="163"/>
      <c r="AF225" s="163" t="s">
        <v>1065</v>
      </c>
      <c r="AG225" s="163"/>
      <c r="AH225" s="163"/>
      <c r="AI225" s="163"/>
      <c r="AJ225" s="163"/>
      <c r="AK225" s="163"/>
      <c r="AL225" s="163"/>
      <c r="AM225" s="163"/>
      <c r="AN225" s="130"/>
      <c r="AO225" s="130"/>
      <c r="AP225" s="130"/>
      <c r="AQ225" s="130"/>
      <c r="AR225" s="130"/>
      <c r="AS225" s="130"/>
      <c r="AT225" s="130"/>
    </row>
    <row r="226" ht="13.5" customHeight="1">
      <c r="A226" s="130" t="s">
        <v>635</v>
      </c>
      <c r="B226" s="130" t="s">
        <v>636</v>
      </c>
      <c r="C226" s="130" t="s">
        <v>617</v>
      </c>
      <c r="D226" s="163">
        <v>60.0</v>
      </c>
      <c r="E226" s="163">
        <v>3.0</v>
      </c>
      <c r="F226" s="163">
        <v>4.0</v>
      </c>
      <c r="G226" s="163">
        <v>3.0</v>
      </c>
      <c r="H226" s="163">
        <v>2.0</v>
      </c>
      <c r="I226" s="163">
        <v>3.0</v>
      </c>
      <c r="J226" s="163">
        <v>3.0</v>
      </c>
      <c r="K226" s="130"/>
      <c r="L226" s="163">
        <f t="shared" ref="L226:O226" si="246">IF(E226&gt;U226,0,1)</f>
        <v>0</v>
      </c>
      <c r="M226" s="163">
        <f t="shared" si="246"/>
        <v>0</v>
      </c>
      <c r="N226" s="163">
        <f t="shared" si="246"/>
        <v>0</v>
      </c>
      <c r="O226" s="163">
        <f t="shared" si="246"/>
        <v>0</v>
      </c>
      <c r="P226" s="163">
        <f t="shared" si="239"/>
        <v>0</v>
      </c>
      <c r="Q226" s="163">
        <f t="shared" si="231"/>
        <v>0</v>
      </c>
      <c r="R226" s="130"/>
      <c r="S226" s="163">
        <f t="shared" si="237"/>
        <v>0</v>
      </c>
      <c r="T226" s="163"/>
      <c r="U226" s="163">
        <f>'計分版'!E$14</f>
        <v>0.0000000001</v>
      </c>
      <c r="V226" s="163">
        <f>'計分版'!F$14</f>
        <v>0.0000000002</v>
      </c>
      <c r="W226" s="163">
        <f>'計分版'!G$14</f>
        <v>0.0000000003</v>
      </c>
      <c r="X226" s="163">
        <f>'計分版'!H$14</f>
        <v>0.0000000004</v>
      </c>
      <c r="Y226" s="163">
        <f>'計分版'!I$14</f>
        <v>0.0000000005</v>
      </c>
      <c r="Z226" s="163">
        <f>'計分版'!J$14</f>
        <v>0</v>
      </c>
      <c r="AA226" s="163">
        <f>'計分版'!K$14</f>
        <v>0</v>
      </c>
      <c r="AB226" s="163">
        <f>'計分版'!L$14</f>
        <v>0</v>
      </c>
      <c r="AC226" s="163">
        <f>'計分版'!M$14</f>
        <v>0</v>
      </c>
      <c r="AD226" s="163">
        <f>'計分版'!N$14</f>
        <v>0</v>
      </c>
      <c r="AE226" s="163"/>
      <c r="AF226" s="163" t="s">
        <v>1065</v>
      </c>
      <c r="AG226" s="163"/>
      <c r="AH226" s="163"/>
      <c r="AI226" s="163"/>
      <c r="AJ226" s="163"/>
      <c r="AK226" s="163"/>
      <c r="AL226" s="163"/>
      <c r="AM226" s="163"/>
      <c r="AN226" s="130"/>
      <c r="AO226" s="130"/>
      <c r="AP226" s="130"/>
      <c r="AQ226" s="130"/>
      <c r="AR226" s="130"/>
      <c r="AS226" s="130"/>
      <c r="AT226" s="130"/>
    </row>
    <row r="227" ht="13.5" customHeight="1">
      <c r="A227" s="130" t="s">
        <v>638</v>
      </c>
      <c r="B227" s="130" t="s">
        <v>639</v>
      </c>
      <c r="C227" s="130" t="s">
        <v>617</v>
      </c>
      <c r="D227" s="163">
        <v>26.0</v>
      </c>
      <c r="E227" s="163">
        <v>3.0</v>
      </c>
      <c r="F227" s="163">
        <v>4.0</v>
      </c>
      <c r="G227" s="163">
        <v>3.0</v>
      </c>
      <c r="H227" s="163">
        <v>2.0</v>
      </c>
      <c r="I227" s="163">
        <v>3.0</v>
      </c>
      <c r="J227" s="163">
        <v>3.0</v>
      </c>
      <c r="K227" s="130"/>
      <c r="L227" s="163">
        <f t="shared" ref="L227:O227" si="247">IF(E227&gt;U227,0,1)</f>
        <v>0</v>
      </c>
      <c r="M227" s="163">
        <f t="shared" si="247"/>
        <v>0</v>
      </c>
      <c r="N227" s="163">
        <f t="shared" si="247"/>
        <v>0</v>
      </c>
      <c r="O227" s="163">
        <f t="shared" si="247"/>
        <v>0</v>
      </c>
      <c r="P227" s="163">
        <f t="shared" si="239"/>
        <v>0</v>
      </c>
      <c r="Q227" s="163">
        <f t="shared" si="231"/>
        <v>0</v>
      </c>
      <c r="R227" s="130"/>
      <c r="S227" s="163">
        <f t="shared" si="237"/>
        <v>0</v>
      </c>
      <c r="T227" s="163"/>
      <c r="U227" s="163">
        <f>'計分版'!E$14</f>
        <v>0.0000000001</v>
      </c>
      <c r="V227" s="163">
        <f>'計分版'!F$14</f>
        <v>0.0000000002</v>
      </c>
      <c r="W227" s="163">
        <f>'計分版'!G$14</f>
        <v>0.0000000003</v>
      </c>
      <c r="X227" s="163">
        <f>'計分版'!H$14</f>
        <v>0.0000000004</v>
      </c>
      <c r="Y227" s="163">
        <f>'計分版'!I$14</f>
        <v>0.0000000005</v>
      </c>
      <c r="Z227" s="163">
        <f>'計分版'!J$14</f>
        <v>0</v>
      </c>
      <c r="AA227" s="163">
        <f>'計分版'!K$14</f>
        <v>0</v>
      </c>
      <c r="AB227" s="163">
        <f>'計分版'!L$14</f>
        <v>0</v>
      </c>
      <c r="AC227" s="163">
        <f>'計分版'!M$14</f>
        <v>0</v>
      </c>
      <c r="AD227" s="163">
        <f>'計分版'!N$14</f>
        <v>0</v>
      </c>
      <c r="AE227" s="163"/>
      <c r="AF227" s="163" t="s">
        <v>1065</v>
      </c>
      <c r="AG227" s="163"/>
      <c r="AH227" s="163"/>
      <c r="AI227" s="163"/>
      <c r="AJ227" s="163"/>
      <c r="AK227" s="163"/>
      <c r="AL227" s="163"/>
      <c r="AM227" s="163"/>
      <c r="AN227" s="130"/>
      <c r="AO227" s="130"/>
      <c r="AP227" s="130"/>
      <c r="AQ227" s="130"/>
      <c r="AR227" s="130"/>
      <c r="AS227" s="130"/>
      <c r="AT227" s="130"/>
    </row>
    <row r="228" ht="13.5" customHeight="1">
      <c r="A228" s="130" t="s">
        <v>641</v>
      </c>
      <c r="B228" s="130" t="s">
        <v>642</v>
      </c>
      <c r="C228" s="130" t="s">
        <v>617</v>
      </c>
      <c r="D228" s="163">
        <v>20.0</v>
      </c>
      <c r="E228" s="163">
        <v>3.0</v>
      </c>
      <c r="F228" s="163">
        <v>4.0</v>
      </c>
      <c r="G228" s="163">
        <v>3.0</v>
      </c>
      <c r="H228" s="163">
        <v>2.0</v>
      </c>
      <c r="I228" s="163">
        <v>3.0</v>
      </c>
      <c r="J228" s="163">
        <v>3.0</v>
      </c>
      <c r="K228" s="130"/>
      <c r="L228" s="163">
        <f t="shared" ref="L228:O228" si="248">IF(E228&gt;U228,0,1)</f>
        <v>0</v>
      </c>
      <c r="M228" s="163">
        <f t="shared" si="248"/>
        <v>0</v>
      </c>
      <c r="N228" s="163">
        <f t="shared" si="248"/>
        <v>0</v>
      </c>
      <c r="O228" s="163">
        <f t="shared" si="248"/>
        <v>0</v>
      </c>
      <c r="P228" s="163">
        <f t="shared" si="239"/>
        <v>0</v>
      </c>
      <c r="Q228" s="163">
        <f t="shared" si="231"/>
        <v>0</v>
      </c>
      <c r="R228" s="130"/>
      <c r="S228" s="163">
        <f t="shared" si="237"/>
        <v>0</v>
      </c>
      <c r="T228" s="163"/>
      <c r="U228" s="163">
        <f>'計分版'!E$14</f>
        <v>0.0000000001</v>
      </c>
      <c r="V228" s="163">
        <f>'計分版'!F$14</f>
        <v>0.0000000002</v>
      </c>
      <c r="W228" s="163">
        <f>'計分版'!G$14</f>
        <v>0.0000000003</v>
      </c>
      <c r="X228" s="163">
        <f>'計分版'!H$14</f>
        <v>0.0000000004</v>
      </c>
      <c r="Y228" s="163">
        <f>'計分版'!I$14</f>
        <v>0.0000000005</v>
      </c>
      <c r="Z228" s="163">
        <f>'計分版'!J$14</f>
        <v>0</v>
      </c>
      <c r="AA228" s="163">
        <f>'計分版'!K$14</f>
        <v>0</v>
      </c>
      <c r="AB228" s="163">
        <f>'計分版'!L$14</f>
        <v>0</v>
      </c>
      <c r="AC228" s="163">
        <f>'計分版'!M$14</f>
        <v>0</v>
      </c>
      <c r="AD228" s="163">
        <f>'計分版'!N$14</f>
        <v>0</v>
      </c>
      <c r="AE228" s="163"/>
      <c r="AF228" s="163" t="s">
        <v>1065</v>
      </c>
      <c r="AG228" s="163"/>
      <c r="AH228" s="163"/>
      <c r="AI228" s="163"/>
      <c r="AJ228" s="163"/>
      <c r="AK228" s="163"/>
      <c r="AL228" s="163"/>
      <c r="AM228" s="163"/>
      <c r="AN228" s="130"/>
      <c r="AO228" s="130"/>
      <c r="AP228" s="130"/>
      <c r="AQ228" s="130"/>
      <c r="AR228" s="130"/>
      <c r="AS228" s="130"/>
      <c r="AT228" s="130"/>
    </row>
    <row r="229" ht="13.5" customHeight="1">
      <c r="A229" s="130" t="s">
        <v>644</v>
      </c>
      <c r="B229" s="130" t="s">
        <v>645</v>
      </c>
      <c r="C229" s="130" t="s">
        <v>646</v>
      </c>
      <c r="D229" s="163">
        <v>50.0</v>
      </c>
      <c r="E229" s="163">
        <v>3.0</v>
      </c>
      <c r="F229" s="163">
        <v>3.0</v>
      </c>
      <c r="G229" s="163">
        <v>2.0</v>
      </c>
      <c r="H229" s="163">
        <v>2.0</v>
      </c>
      <c r="I229" s="163">
        <v>3.0</v>
      </c>
      <c r="J229" s="163">
        <v>3.0</v>
      </c>
      <c r="K229" s="130"/>
      <c r="L229" s="163">
        <f t="shared" ref="L229:O229" si="249">IF(E229&gt;U229,0,1)</f>
        <v>0</v>
      </c>
      <c r="M229" s="163">
        <f t="shared" si="249"/>
        <v>0</v>
      </c>
      <c r="N229" s="163">
        <f t="shared" si="249"/>
        <v>0</v>
      </c>
      <c r="O229" s="163">
        <f t="shared" si="249"/>
        <v>0</v>
      </c>
      <c r="P229" s="163">
        <f t="shared" si="239"/>
        <v>0</v>
      </c>
      <c r="Q229" s="163">
        <f t="shared" si="231"/>
        <v>0</v>
      </c>
      <c r="R229" s="130"/>
      <c r="S229" s="163">
        <f t="shared" si="237"/>
        <v>0</v>
      </c>
      <c r="T229" s="163"/>
      <c r="U229" s="163">
        <f>'計分版'!E$14</f>
        <v>0.0000000001</v>
      </c>
      <c r="V229" s="163">
        <f>'計分版'!F$14</f>
        <v>0.0000000002</v>
      </c>
      <c r="W229" s="163">
        <f>'計分版'!G$14</f>
        <v>0.0000000003</v>
      </c>
      <c r="X229" s="163">
        <f>'計分版'!H$14</f>
        <v>0.0000000004</v>
      </c>
      <c r="Y229" s="163">
        <f>'計分版'!I$14</f>
        <v>0.0000000005</v>
      </c>
      <c r="Z229" s="163">
        <f>'計分版'!J$14</f>
        <v>0</v>
      </c>
      <c r="AA229" s="163">
        <f>'計分版'!K$14</f>
        <v>0</v>
      </c>
      <c r="AB229" s="163">
        <f>'計分版'!L$14</f>
        <v>0</v>
      </c>
      <c r="AC229" s="163">
        <f>'計分版'!M$14</f>
        <v>0</v>
      </c>
      <c r="AD229" s="163">
        <f>'計分版'!N$14</f>
        <v>0</v>
      </c>
      <c r="AE229" s="163"/>
      <c r="AF229" s="163" t="s">
        <v>1065</v>
      </c>
      <c r="AG229" s="163"/>
      <c r="AH229" s="163"/>
      <c r="AI229" s="163"/>
      <c r="AJ229" s="163"/>
      <c r="AK229" s="163"/>
      <c r="AL229" s="163"/>
      <c r="AM229" s="163"/>
      <c r="AN229" s="130"/>
      <c r="AO229" s="130"/>
      <c r="AP229" s="130"/>
      <c r="AQ229" s="130"/>
      <c r="AR229" s="130"/>
      <c r="AS229" s="130"/>
      <c r="AT229" s="130"/>
    </row>
    <row r="230" ht="13.5" customHeight="1">
      <c r="A230" s="130" t="s">
        <v>647</v>
      </c>
      <c r="B230" s="130" t="s">
        <v>648</v>
      </c>
      <c r="C230" s="130" t="s">
        <v>617</v>
      </c>
      <c r="D230" s="163">
        <v>28.0</v>
      </c>
      <c r="E230" s="163">
        <v>3.0</v>
      </c>
      <c r="F230" s="163">
        <v>3.0</v>
      </c>
      <c r="G230" s="163">
        <v>3.0</v>
      </c>
      <c r="H230" s="163">
        <v>2.0</v>
      </c>
      <c r="I230" s="163">
        <v>3.0</v>
      </c>
      <c r="J230" s="163">
        <v>3.0</v>
      </c>
      <c r="K230" s="130"/>
      <c r="L230" s="163">
        <f t="shared" ref="L230:O230" si="250">IF(E230&gt;U230,0,1)</f>
        <v>0</v>
      </c>
      <c r="M230" s="163">
        <f t="shared" si="250"/>
        <v>0</v>
      </c>
      <c r="N230" s="163">
        <f t="shared" si="250"/>
        <v>0</v>
      </c>
      <c r="O230" s="163">
        <f t="shared" si="250"/>
        <v>0</v>
      </c>
      <c r="P230" s="163">
        <f t="shared" si="239"/>
        <v>0</v>
      </c>
      <c r="Q230" s="163">
        <f t="shared" si="231"/>
        <v>0</v>
      </c>
      <c r="R230" s="130"/>
      <c r="S230" s="163">
        <f t="shared" si="237"/>
        <v>0</v>
      </c>
      <c r="T230" s="163"/>
      <c r="U230" s="163">
        <f>'計分版'!E$14</f>
        <v>0.0000000001</v>
      </c>
      <c r="V230" s="163">
        <f>'計分版'!F$14</f>
        <v>0.0000000002</v>
      </c>
      <c r="W230" s="163">
        <f>'計分版'!G$14</f>
        <v>0.0000000003</v>
      </c>
      <c r="X230" s="163">
        <f>'計分版'!H$14</f>
        <v>0.0000000004</v>
      </c>
      <c r="Y230" s="163">
        <f>'計分版'!I$14</f>
        <v>0.0000000005</v>
      </c>
      <c r="Z230" s="163">
        <f>'計分版'!J$14</f>
        <v>0</v>
      </c>
      <c r="AA230" s="163">
        <f>'計分版'!K$14</f>
        <v>0</v>
      </c>
      <c r="AB230" s="163">
        <f>'計分版'!L$14</f>
        <v>0</v>
      </c>
      <c r="AC230" s="163">
        <f>'計分版'!M$14</f>
        <v>0</v>
      </c>
      <c r="AD230" s="163">
        <f>'計分版'!N$14</f>
        <v>0</v>
      </c>
      <c r="AE230" s="163"/>
      <c r="AF230" s="163" t="s">
        <v>1065</v>
      </c>
      <c r="AG230" s="163"/>
      <c r="AH230" s="163"/>
      <c r="AI230" s="163"/>
      <c r="AJ230" s="163"/>
      <c r="AK230" s="163"/>
      <c r="AL230" s="163"/>
      <c r="AM230" s="163"/>
      <c r="AN230" s="130"/>
      <c r="AO230" s="130"/>
      <c r="AP230" s="130"/>
      <c r="AQ230" s="130"/>
      <c r="AR230" s="130"/>
      <c r="AS230" s="130"/>
      <c r="AT230" s="130"/>
    </row>
    <row r="231" ht="13.5" customHeight="1">
      <c r="A231" s="130" t="s">
        <v>650</v>
      </c>
      <c r="B231" s="130" t="s">
        <v>651</v>
      </c>
      <c r="C231" s="130" t="s">
        <v>617</v>
      </c>
      <c r="D231" s="163">
        <v>26.0</v>
      </c>
      <c r="E231" s="163">
        <v>3.0</v>
      </c>
      <c r="F231" s="163">
        <v>4.0</v>
      </c>
      <c r="G231" s="163">
        <v>3.0</v>
      </c>
      <c r="H231" s="163">
        <v>2.0</v>
      </c>
      <c r="I231" s="163">
        <v>3.0</v>
      </c>
      <c r="J231" s="163">
        <v>3.0</v>
      </c>
      <c r="K231" s="130"/>
      <c r="L231" s="163">
        <f t="shared" ref="L231:O231" si="251">IF(E231&gt;U231,0,1)</f>
        <v>0</v>
      </c>
      <c r="M231" s="163">
        <f t="shared" si="251"/>
        <v>0</v>
      </c>
      <c r="N231" s="163">
        <f t="shared" si="251"/>
        <v>0</v>
      </c>
      <c r="O231" s="163">
        <f t="shared" si="251"/>
        <v>0</v>
      </c>
      <c r="P231" s="163">
        <f>IF('計分版'!$S$28=0,0,IF(I231&gt;LARGE(Y231:AC231,1),0,1))</f>
        <v>0</v>
      </c>
      <c r="Q231" s="163">
        <f t="shared" si="231"/>
        <v>0</v>
      </c>
      <c r="R231" s="130"/>
      <c r="S231" s="163">
        <f t="shared" si="237"/>
        <v>0</v>
      </c>
      <c r="T231" s="163"/>
      <c r="U231" s="163">
        <f>'計分版'!E$14</f>
        <v>0.0000000001</v>
      </c>
      <c r="V231" s="163">
        <f>'計分版'!F$14</f>
        <v>0.0000000002</v>
      </c>
      <c r="W231" s="163">
        <f>'計分版'!G$14</f>
        <v>0.0000000003</v>
      </c>
      <c r="X231" s="163">
        <f>'計分版'!H$14</f>
        <v>0.0000000004</v>
      </c>
      <c r="Y231" s="163">
        <f>'計分版'!I$14</f>
        <v>0.0000000005</v>
      </c>
      <c r="Z231" s="163">
        <f>'計分版'!J$14</f>
        <v>0</v>
      </c>
      <c r="AA231" s="163">
        <f>'計分版'!K$14</f>
        <v>0</v>
      </c>
      <c r="AB231" s="163">
        <f>'計分版'!L$14</f>
        <v>0</v>
      </c>
      <c r="AC231" s="163">
        <f>'計分版'!M$14</f>
        <v>0</v>
      </c>
      <c r="AD231" s="163">
        <f>'計分版'!N$14</f>
        <v>0</v>
      </c>
      <c r="AE231" s="163"/>
      <c r="AF231" s="163" t="s">
        <v>1065</v>
      </c>
      <c r="AG231" s="163"/>
      <c r="AH231" s="163"/>
      <c r="AI231" s="163"/>
      <c r="AJ231" s="163"/>
      <c r="AK231" s="163"/>
      <c r="AL231" s="163"/>
      <c r="AM231" s="163"/>
      <c r="AN231" s="130"/>
      <c r="AO231" s="130"/>
      <c r="AP231" s="130"/>
      <c r="AQ231" s="130"/>
      <c r="AR231" s="130"/>
      <c r="AS231" s="130"/>
      <c r="AT231" s="130"/>
    </row>
    <row r="232" ht="13.5" customHeight="1">
      <c r="A232" s="130" t="s">
        <v>653</v>
      </c>
      <c r="B232" s="130" t="s">
        <v>654</v>
      </c>
      <c r="C232" s="130" t="s">
        <v>617</v>
      </c>
      <c r="D232" s="163">
        <v>15.0</v>
      </c>
      <c r="E232" s="163">
        <v>3.0</v>
      </c>
      <c r="F232" s="163">
        <v>4.0</v>
      </c>
      <c r="G232" s="163">
        <v>3.0</v>
      </c>
      <c r="H232" s="163">
        <v>2.0</v>
      </c>
      <c r="I232" s="163">
        <v>3.0</v>
      </c>
      <c r="J232" s="163">
        <v>3.0</v>
      </c>
      <c r="K232" s="130"/>
      <c r="L232" s="163">
        <f t="shared" ref="L232:O232" si="252">IF(E232&gt;U232,0,1)</f>
        <v>0</v>
      </c>
      <c r="M232" s="163">
        <f t="shared" si="252"/>
        <v>0</v>
      </c>
      <c r="N232" s="163">
        <f t="shared" si="252"/>
        <v>0</v>
      </c>
      <c r="O232" s="163">
        <f t="shared" si="252"/>
        <v>0</v>
      </c>
      <c r="P232" s="163">
        <f>IF(I232&gt;LARGE(Y232:AC232,1),0,1)</f>
        <v>0</v>
      </c>
      <c r="Q232" s="163">
        <f t="shared" si="231"/>
        <v>0</v>
      </c>
      <c r="R232" s="130"/>
      <c r="S232" s="163">
        <f t="shared" si="237"/>
        <v>0</v>
      </c>
      <c r="T232" s="163"/>
      <c r="U232" s="163">
        <f>'計分版'!E$14</f>
        <v>0.0000000001</v>
      </c>
      <c r="V232" s="163">
        <f>'計分版'!F$14</f>
        <v>0.0000000002</v>
      </c>
      <c r="W232" s="163">
        <f>'計分版'!G$14</f>
        <v>0.0000000003</v>
      </c>
      <c r="X232" s="163">
        <f>'計分版'!H$14</f>
        <v>0.0000000004</v>
      </c>
      <c r="Y232" s="163">
        <f>'計分版'!I$14</f>
        <v>0.0000000005</v>
      </c>
      <c r="Z232" s="163">
        <f>'計分版'!J$14</f>
        <v>0</v>
      </c>
      <c r="AA232" s="163">
        <f>'計分版'!K$14</f>
        <v>0</v>
      </c>
      <c r="AB232" s="163">
        <f>'計分版'!L$14</f>
        <v>0</v>
      </c>
      <c r="AC232" s="163">
        <f>'計分版'!M$14</f>
        <v>0</v>
      </c>
      <c r="AD232" s="163">
        <f>'計分版'!N$14</f>
        <v>0</v>
      </c>
      <c r="AE232" s="163"/>
      <c r="AF232" s="163" t="s">
        <v>1065</v>
      </c>
      <c r="AG232" s="163"/>
      <c r="AH232" s="163"/>
      <c r="AI232" s="163"/>
      <c r="AJ232" s="163"/>
      <c r="AK232" s="163"/>
      <c r="AL232" s="163"/>
      <c r="AM232" s="163"/>
      <c r="AN232" s="130"/>
      <c r="AO232" s="130"/>
      <c r="AP232" s="130"/>
      <c r="AQ232" s="130"/>
      <c r="AR232" s="130"/>
      <c r="AS232" s="130"/>
      <c r="AT232" s="130"/>
    </row>
    <row r="233" ht="13.5" customHeight="1">
      <c r="A233" s="130" t="s">
        <v>656</v>
      </c>
      <c r="B233" s="130" t="s">
        <v>657</v>
      </c>
      <c r="C233" s="130" t="s">
        <v>617</v>
      </c>
      <c r="D233" s="163">
        <v>15.0</v>
      </c>
      <c r="E233" s="163">
        <v>3.0</v>
      </c>
      <c r="F233" s="163">
        <v>4.0</v>
      </c>
      <c r="G233" s="163">
        <v>3.0</v>
      </c>
      <c r="H233" s="163">
        <v>2.0</v>
      </c>
      <c r="I233" s="163">
        <v>3.0</v>
      </c>
      <c r="J233" s="163">
        <v>3.0</v>
      </c>
      <c r="K233" s="130"/>
      <c r="L233" s="163">
        <f t="shared" ref="L233:O233" si="253">IF(E233&gt;U233,0,1)</f>
        <v>0</v>
      </c>
      <c r="M233" s="163">
        <f t="shared" si="253"/>
        <v>0</v>
      </c>
      <c r="N233" s="163">
        <f t="shared" si="253"/>
        <v>0</v>
      </c>
      <c r="O233" s="163">
        <f t="shared" si="253"/>
        <v>0</v>
      </c>
      <c r="P233" s="163">
        <f>IF('計分版'!R252&lt;1,0,IF(I233&gt;LARGE(Y233:AC233,1),0,1))</f>
        <v>0</v>
      </c>
      <c r="Q233" s="163">
        <f t="shared" si="231"/>
        <v>0</v>
      </c>
      <c r="R233" s="130"/>
      <c r="S233" s="163">
        <f t="shared" si="237"/>
        <v>0</v>
      </c>
      <c r="T233" s="163"/>
      <c r="U233" s="163">
        <f>'計分版'!E$14</f>
        <v>0.0000000001</v>
      </c>
      <c r="V233" s="163">
        <f>'計分版'!F$14</f>
        <v>0.0000000002</v>
      </c>
      <c r="W233" s="163">
        <f>'計分版'!G$14</f>
        <v>0.0000000003</v>
      </c>
      <c r="X233" s="163">
        <f>'計分版'!H$14</f>
        <v>0.0000000004</v>
      </c>
      <c r="Y233" s="163">
        <f>'計分版'!I$14</f>
        <v>0.0000000005</v>
      </c>
      <c r="Z233" s="163">
        <f>'計分版'!J$14</f>
        <v>0</v>
      </c>
      <c r="AA233" s="163">
        <f>'計分版'!K$14</f>
        <v>0</v>
      </c>
      <c r="AB233" s="163">
        <f>'計分版'!L$14</f>
        <v>0</v>
      </c>
      <c r="AC233" s="163">
        <f>'計分版'!M$14</f>
        <v>0</v>
      </c>
      <c r="AD233" s="163">
        <f>'計分版'!N$14</f>
        <v>0</v>
      </c>
      <c r="AE233" s="163"/>
      <c r="AF233" s="163" t="s">
        <v>1065</v>
      </c>
      <c r="AG233" s="163"/>
      <c r="AH233" s="163"/>
      <c r="AI233" s="163"/>
      <c r="AJ233" s="163"/>
      <c r="AK233" s="163"/>
      <c r="AL233" s="163"/>
      <c r="AM233" s="163"/>
      <c r="AN233" s="130"/>
      <c r="AO233" s="130"/>
      <c r="AP233" s="130"/>
      <c r="AQ233" s="130"/>
      <c r="AR233" s="130"/>
      <c r="AS233" s="130"/>
      <c r="AT233" s="130"/>
    </row>
    <row r="234" ht="13.5" customHeight="1">
      <c r="A234" s="130" t="s">
        <v>658</v>
      </c>
      <c r="B234" s="130" t="s">
        <v>659</v>
      </c>
      <c r="C234" s="130" t="s">
        <v>617</v>
      </c>
      <c r="D234" s="163">
        <v>23.0</v>
      </c>
      <c r="E234" s="163">
        <v>3.0</v>
      </c>
      <c r="F234" s="163">
        <v>4.0</v>
      </c>
      <c r="G234" s="163">
        <v>3.0</v>
      </c>
      <c r="H234" s="163">
        <v>2.0</v>
      </c>
      <c r="I234" s="163">
        <v>3.0</v>
      </c>
      <c r="J234" s="163">
        <v>3.0</v>
      </c>
      <c r="K234" s="130"/>
      <c r="L234" s="163">
        <f t="shared" ref="L234:O234" si="254">IF(E234&gt;U234,0,1)</f>
        <v>0</v>
      </c>
      <c r="M234" s="163">
        <f t="shared" si="254"/>
        <v>0</v>
      </c>
      <c r="N234" s="163">
        <f t="shared" si="254"/>
        <v>0</v>
      </c>
      <c r="O234" s="163">
        <f t="shared" si="254"/>
        <v>0</v>
      </c>
      <c r="P234" s="163">
        <f>IF(I234&gt;LARGE(Y234:AC234,1),0,1)</f>
        <v>0</v>
      </c>
      <c r="Q234" s="163">
        <f t="shared" si="231"/>
        <v>0</v>
      </c>
      <c r="R234" s="130"/>
      <c r="S234" s="163">
        <f t="shared" si="237"/>
        <v>0</v>
      </c>
      <c r="T234" s="163"/>
      <c r="U234" s="163">
        <f>'計分版'!E$14</f>
        <v>0.0000000001</v>
      </c>
      <c r="V234" s="163">
        <f>'計分版'!F$14</f>
        <v>0.0000000002</v>
      </c>
      <c r="W234" s="163">
        <f>'計分版'!G$14</f>
        <v>0.0000000003</v>
      </c>
      <c r="X234" s="163">
        <f>'計分版'!H$14</f>
        <v>0.0000000004</v>
      </c>
      <c r="Y234" s="163">
        <f>'計分版'!I$14</f>
        <v>0.0000000005</v>
      </c>
      <c r="Z234" s="163">
        <f>'計分版'!J$14</f>
        <v>0</v>
      </c>
      <c r="AA234" s="163">
        <f>'計分版'!K$14</f>
        <v>0</v>
      </c>
      <c r="AB234" s="163">
        <f>'計分版'!L$14</f>
        <v>0</v>
      </c>
      <c r="AC234" s="163">
        <f>'計分版'!M$14</f>
        <v>0</v>
      </c>
      <c r="AD234" s="163">
        <f>'計分版'!N$14</f>
        <v>0</v>
      </c>
      <c r="AE234" s="163"/>
      <c r="AF234" s="163" t="s">
        <v>1065</v>
      </c>
      <c r="AG234" s="163"/>
      <c r="AH234" s="163"/>
      <c r="AI234" s="163"/>
      <c r="AJ234" s="163"/>
      <c r="AK234" s="163"/>
      <c r="AL234" s="163"/>
      <c r="AM234" s="163"/>
      <c r="AN234" s="130"/>
      <c r="AO234" s="130"/>
      <c r="AP234" s="130"/>
      <c r="AQ234" s="130"/>
      <c r="AR234" s="130"/>
      <c r="AS234" s="130"/>
      <c r="AT234" s="130"/>
    </row>
    <row r="235" ht="13.5" customHeight="1">
      <c r="A235" s="130" t="s">
        <v>661</v>
      </c>
      <c r="B235" s="130" t="s">
        <v>662</v>
      </c>
      <c r="C235" s="130" t="s">
        <v>617</v>
      </c>
      <c r="D235" s="163">
        <v>21.0</v>
      </c>
      <c r="E235" s="163">
        <v>3.0</v>
      </c>
      <c r="F235" s="163">
        <v>4.0</v>
      </c>
      <c r="G235" s="163">
        <v>3.0</v>
      </c>
      <c r="H235" s="163">
        <v>2.0</v>
      </c>
      <c r="I235" s="163">
        <v>3.0</v>
      </c>
      <c r="J235" s="163">
        <v>3.0</v>
      </c>
      <c r="K235" s="130"/>
      <c r="L235" s="163">
        <f t="shared" ref="L235:O235" si="255">IF(E235&gt;U235,0,1)</f>
        <v>0</v>
      </c>
      <c r="M235" s="163">
        <f t="shared" si="255"/>
        <v>0</v>
      </c>
      <c r="N235" s="163">
        <f t="shared" si="255"/>
        <v>0</v>
      </c>
      <c r="O235" s="163">
        <f t="shared" si="255"/>
        <v>0</v>
      </c>
      <c r="P235" s="163">
        <f>IF(AND('計分版'!$T$244=0,'計分版'!$R$230=0),0,IF(I235&gt;LARGE(Y235:AC235,1),0,1))</f>
        <v>0</v>
      </c>
      <c r="Q235" s="163">
        <f t="shared" si="231"/>
        <v>0</v>
      </c>
      <c r="R235" s="130"/>
      <c r="S235" s="163">
        <f t="shared" si="237"/>
        <v>0</v>
      </c>
      <c r="T235" s="163"/>
      <c r="U235" s="163">
        <f>'計分版'!E$14</f>
        <v>0.0000000001</v>
      </c>
      <c r="V235" s="163">
        <f>'計分版'!F$14</f>
        <v>0.0000000002</v>
      </c>
      <c r="W235" s="163">
        <f>'計分版'!G$14</f>
        <v>0.0000000003</v>
      </c>
      <c r="X235" s="163">
        <f>'計分版'!H$14</f>
        <v>0.0000000004</v>
      </c>
      <c r="Y235" s="163">
        <f>'計分版'!I$14</f>
        <v>0.0000000005</v>
      </c>
      <c r="Z235" s="163">
        <f>'計分版'!J$14</f>
        <v>0</v>
      </c>
      <c r="AA235" s="163">
        <f>'計分版'!K$14</f>
        <v>0</v>
      </c>
      <c r="AB235" s="163">
        <f>'計分版'!L$14</f>
        <v>0</v>
      </c>
      <c r="AC235" s="163">
        <f>'計分版'!M$14</f>
        <v>0</v>
      </c>
      <c r="AD235" s="163">
        <f>'計分版'!N$14</f>
        <v>0</v>
      </c>
      <c r="AE235" s="163"/>
      <c r="AF235" s="163" t="s">
        <v>1065</v>
      </c>
      <c r="AG235" s="163"/>
      <c r="AH235" s="163"/>
      <c r="AI235" s="163"/>
      <c r="AJ235" s="163"/>
      <c r="AK235" s="163"/>
      <c r="AL235" s="163"/>
      <c r="AM235" s="163"/>
      <c r="AN235" s="130"/>
      <c r="AO235" s="130"/>
      <c r="AP235" s="130"/>
      <c r="AQ235" s="130"/>
      <c r="AR235" s="130"/>
      <c r="AS235" s="130"/>
      <c r="AT235" s="130"/>
    </row>
    <row r="236" ht="13.5" customHeight="1">
      <c r="A236" s="130"/>
      <c r="B236" s="130"/>
      <c r="C236" s="130"/>
      <c r="D236" s="130"/>
      <c r="E236" s="130"/>
      <c r="F236" s="130"/>
      <c r="G236" s="130"/>
      <c r="H236" s="130"/>
      <c r="I236" s="130"/>
      <c r="J236" s="130"/>
      <c r="K236" s="130"/>
      <c r="L236" s="130"/>
      <c r="M236" s="130"/>
      <c r="N236" s="130"/>
      <c r="O236" s="130"/>
      <c r="P236" s="130"/>
      <c r="Q236" s="130"/>
      <c r="R236" s="130"/>
      <c r="S236" s="130"/>
      <c r="T236" s="163"/>
      <c r="U236" s="163"/>
      <c r="V236" s="163"/>
      <c r="W236" s="163"/>
      <c r="X236" s="163"/>
      <c r="Y236" s="163"/>
      <c r="Z236" s="163"/>
      <c r="AA236" s="163"/>
      <c r="AB236" s="163"/>
      <c r="AC236" s="163"/>
      <c r="AD236" s="163"/>
      <c r="AE236" s="163"/>
      <c r="AF236" s="163"/>
      <c r="AG236" s="163"/>
      <c r="AH236" s="163"/>
      <c r="AI236" s="163"/>
      <c r="AJ236" s="163"/>
      <c r="AK236" s="163"/>
      <c r="AL236" s="163"/>
      <c r="AM236" s="163"/>
      <c r="AN236" s="130"/>
      <c r="AO236" s="130"/>
      <c r="AP236" s="130"/>
      <c r="AQ236" s="130"/>
      <c r="AR236" s="130"/>
      <c r="AS236" s="130"/>
      <c r="AT236" s="130"/>
    </row>
    <row r="237" ht="13.5" customHeight="1">
      <c r="A237" s="165" t="s">
        <v>179</v>
      </c>
      <c r="B237" s="130"/>
      <c r="C237" s="130"/>
      <c r="D237" s="130"/>
      <c r="E237" s="163"/>
      <c r="F237" s="163"/>
      <c r="G237" s="163"/>
      <c r="H237" s="163"/>
      <c r="I237" s="163"/>
      <c r="J237" s="163"/>
      <c r="K237" s="130"/>
      <c r="L237" s="130"/>
      <c r="M237" s="130"/>
      <c r="N237" s="130"/>
      <c r="O237" s="130"/>
      <c r="P237" s="130"/>
      <c r="Q237" s="130"/>
      <c r="R237" s="130"/>
      <c r="S237" s="163"/>
      <c r="T237" s="163"/>
      <c r="U237" s="163"/>
      <c r="V237" s="163"/>
      <c r="W237" s="163"/>
      <c r="X237" s="163"/>
      <c r="Y237" s="163"/>
      <c r="Z237" s="163"/>
      <c r="AA237" s="163"/>
      <c r="AB237" s="163"/>
      <c r="AC237" s="163"/>
      <c r="AD237" s="163"/>
      <c r="AE237" s="163"/>
      <c r="AF237" s="163"/>
      <c r="AG237" s="163"/>
      <c r="AH237" s="163"/>
      <c r="AI237" s="163"/>
      <c r="AJ237" s="163"/>
      <c r="AK237" s="163"/>
      <c r="AL237" s="163"/>
      <c r="AM237" s="163"/>
      <c r="AN237" s="130"/>
      <c r="AO237" s="130"/>
      <c r="AP237" s="130"/>
      <c r="AQ237" s="130"/>
      <c r="AR237" s="130"/>
      <c r="AS237" s="130"/>
      <c r="AT237" s="130"/>
    </row>
    <row r="238" ht="13.5" customHeight="1">
      <c r="A238" s="165" t="s">
        <v>1056</v>
      </c>
      <c r="B238" s="165" t="s">
        <v>1057</v>
      </c>
      <c r="C238" s="165" t="s">
        <v>44</v>
      </c>
      <c r="D238" s="166" t="s">
        <v>49</v>
      </c>
      <c r="E238" s="166" t="s">
        <v>1058</v>
      </c>
      <c r="F238" s="166" t="s">
        <v>1059</v>
      </c>
      <c r="G238" s="166" t="s">
        <v>1060</v>
      </c>
      <c r="H238" s="166" t="s">
        <v>1061</v>
      </c>
      <c r="I238" s="166" t="s">
        <v>218</v>
      </c>
      <c r="J238" s="166" t="s">
        <v>219</v>
      </c>
      <c r="K238" s="163"/>
      <c r="L238" s="166" t="s">
        <v>1058</v>
      </c>
      <c r="M238" s="166" t="s">
        <v>1059</v>
      </c>
      <c r="N238" s="166" t="s">
        <v>1060</v>
      </c>
      <c r="O238" s="166" t="s">
        <v>1061</v>
      </c>
      <c r="P238" s="166" t="s">
        <v>218</v>
      </c>
      <c r="Q238" s="166" t="s">
        <v>219</v>
      </c>
      <c r="R238" s="130"/>
      <c r="S238" s="130"/>
      <c r="T238" s="163"/>
      <c r="U238" s="167" t="s">
        <v>23</v>
      </c>
      <c r="V238" s="167" t="s">
        <v>26</v>
      </c>
      <c r="W238" s="167" t="s">
        <v>29</v>
      </c>
      <c r="X238" s="167" t="s">
        <v>30</v>
      </c>
      <c r="Y238" s="167" t="s">
        <v>173</v>
      </c>
      <c r="Z238" s="167" t="str">
        <f>'主頁'!$C$16</f>
        <v/>
      </c>
      <c r="AA238" s="167" t="str">
        <f>'主頁'!$C$17</f>
        <v/>
      </c>
      <c r="AB238" s="167" t="str">
        <f>'主頁'!$C$18</f>
        <v/>
      </c>
      <c r="AC238" s="167" t="str">
        <f>'主頁'!$C$19</f>
        <v/>
      </c>
      <c r="AD238" s="167" t="str">
        <f>'主頁'!$C$20</f>
        <v/>
      </c>
      <c r="AE238" s="166" t="s">
        <v>541</v>
      </c>
      <c r="AF238" s="163" t="s">
        <v>1062</v>
      </c>
      <c r="AG238" s="163" t="s">
        <v>1063</v>
      </c>
      <c r="AH238" s="163" t="s">
        <v>1064</v>
      </c>
      <c r="AI238" s="163"/>
      <c r="AJ238" s="163"/>
      <c r="AK238" s="163"/>
      <c r="AL238" s="163"/>
      <c r="AM238" s="163"/>
      <c r="AN238" s="130"/>
      <c r="AO238" s="130"/>
      <c r="AP238" s="130"/>
      <c r="AQ238" s="130"/>
      <c r="AR238" s="130"/>
      <c r="AS238" s="130"/>
      <c r="AT238" s="130"/>
    </row>
    <row r="239" ht="13.5" customHeight="1">
      <c r="A239" s="130" t="str">
        <f>HKU!A2</f>
        <v>JS6004</v>
      </c>
      <c r="B239" s="130" t="str">
        <f>HKU!C2</f>
        <v>建築學文學士</v>
      </c>
      <c r="C239" s="175" t="s">
        <v>24</v>
      </c>
      <c r="D239" s="166"/>
      <c r="E239" s="163">
        <v>3.0</v>
      </c>
      <c r="F239" s="163">
        <v>3.0</v>
      </c>
      <c r="G239" s="163">
        <v>2.0</v>
      </c>
      <c r="H239" s="163">
        <v>2.0</v>
      </c>
      <c r="I239" s="163">
        <v>3.0</v>
      </c>
      <c r="J239" s="163">
        <v>3.0</v>
      </c>
      <c r="K239" s="163"/>
      <c r="L239" s="163">
        <f t="shared" ref="L239:O239" si="256">IF(E239&gt;U239,0,1)</f>
        <v>0</v>
      </c>
      <c r="M239" s="163">
        <f t="shared" si="256"/>
        <v>0</v>
      </c>
      <c r="N239" s="163">
        <f t="shared" si="256"/>
        <v>0</v>
      </c>
      <c r="O239" s="163">
        <f t="shared" si="256"/>
        <v>0</v>
      </c>
      <c r="P239" s="163">
        <f t="shared" ref="P239:P246" si="258">IF(I239&gt;LARGE(Z239:AD239,1),0,1)</f>
        <v>0</v>
      </c>
      <c r="Q239" s="163">
        <f t="shared" ref="Q239:Q246" si="259">IF(J239&gt;LARGE(Z239:AD239,2),0,1)</f>
        <v>0</v>
      </c>
      <c r="R239" s="130"/>
      <c r="S239" s="163">
        <f>IF(L239*M239*N239*O239*P239*Q239=0,0,2)</f>
        <v>0</v>
      </c>
      <c r="T239" s="163"/>
      <c r="U239" s="163">
        <f>'計分版'!E$14</f>
        <v>0.0000000001</v>
      </c>
      <c r="V239" s="163">
        <f>'計分版'!F$14</f>
        <v>0.0000000002</v>
      </c>
      <c r="W239" s="163">
        <f>'計分版'!G$14</f>
        <v>0.0000000003</v>
      </c>
      <c r="X239" s="163">
        <f>'計分版'!H$14</f>
        <v>0.0000000004</v>
      </c>
      <c r="Y239" s="163">
        <f>'計分版'!I$14</f>
        <v>0.0000000005</v>
      </c>
      <c r="Z239" s="163">
        <f>'計分版'!J$14</f>
        <v>0</v>
      </c>
      <c r="AA239" s="163">
        <f>'計分版'!K$14</f>
        <v>0</v>
      </c>
      <c r="AB239" s="163">
        <f>'計分版'!L$14</f>
        <v>0</v>
      </c>
      <c r="AC239" s="163">
        <f>'計分版'!M$14</f>
        <v>0</v>
      </c>
      <c r="AD239" s="163">
        <f>'計分版'!N$14</f>
        <v>0</v>
      </c>
      <c r="AE239" s="163"/>
      <c r="AF239" s="163"/>
      <c r="AG239" s="163" t="s">
        <v>166</v>
      </c>
      <c r="AH239" s="163"/>
      <c r="AI239" s="163"/>
      <c r="AJ239" s="163"/>
      <c r="AK239" s="163"/>
      <c r="AL239" s="163"/>
      <c r="AM239" s="163"/>
      <c r="AN239" s="130"/>
      <c r="AO239" s="130"/>
      <c r="AP239" s="130"/>
      <c r="AQ239" s="130"/>
      <c r="AR239" s="130"/>
      <c r="AS239" s="130"/>
      <c r="AT239" s="130"/>
    </row>
    <row r="240" ht="13.5" customHeight="1">
      <c r="A240" s="130" t="str">
        <f>HKU!A3</f>
        <v>JS6016</v>
      </c>
      <c r="B240" s="130" t="str">
        <f>HKU!C3</f>
        <v>理學士(測量學)</v>
      </c>
      <c r="C240" s="175" t="s">
        <v>21</v>
      </c>
      <c r="D240" s="166"/>
      <c r="E240" s="163">
        <v>3.0</v>
      </c>
      <c r="F240" s="163">
        <v>3.0</v>
      </c>
      <c r="G240" s="163">
        <v>2.0</v>
      </c>
      <c r="H240" s="163">
        <v>2.0</v>
      </c>
      <c r="I240" s="163">
        <v>3.0</v>
      </c>
      <c r="J240" s="163">
        <v>3.0</v>
      </c>
      <c r="K240" s="163"/>
      <c r="L240" s="163">
        <f t="shared" ref="L240:O240" si="257">IF(E240&gt;U240,0,1)</f>
        <v>0</v>
      </c>
      <c r="M240" s="163">
        <f t="shared" si="257"/>
        <v>0</v>
      </c>
      <c r="N240" s="163">
        <f t="shared" si="257"/>
        <v>0</v>
      </c>
      <c r="O240" s="163">
        <f t="shared" si="257"/>
        <v>0</v>
      </c>
      <c r="P240" s="163">
        <f t="shared" si="258"/>
        <v>0</v>
      </c>
      <c r="Q240" s="163">
        <f t="shared" si="259"/>
        <v>0</v>
      </c>
      <c r="R240" s="130"/>
      <c r="S240" s="163">
        <f t="shared" ref="S240:S276" si="261">L240*M240*N240*O240*P240*Q240</f>
        <v>0</v>
      </c>
      <c r="T240" s="163"/>
      <c r="U240" s="163">
        <f>'計分版'!E$14</f>
        <v>0.0000000001</v>
      </c>
      <c r="V240" s="163">
        <f>'計分版'!F$14</f>
        <v>0.0000000002</v>
      </c>
      <c r="W240" s="163">
        <f>'計分版'!G$14</f>
        <v>0.0000000003</v>
      </c>
      <c r="X240" s="163">
        <f>'計分版'!H$14</f>
        <v>0.0000000004</v>
      </c>
      <c r="Y240" s="163">
        <f>'計分版'!I$14</f>
        <v>0.0000000005</v>
      </c>
      <c r="Z240" s="163">
        <f>'計分版'!J$14</f>
        <v>0</v>
      </c>
      <c r="AA240" s="163">
        <f>'計分版'!K$14</f>
        <v>0</v>
      </c>
      <c r="AB240" s="163">
        <f>'計分版'!L$14</f>
        <v>0</v>
      </c>
      <c r="AC240" s="163">
        <f>'計分版'!M$14</f>
        <v>0</v>
      </c>
      <c r="AD240" s="163">
        <f>'計分版'!N$14</f>
        <v>0</v>
      </c>
      <c r="AE240" s="163"/>
      <c r="AF240" s="163"/>
      <c r="AG240" s="163" t="s">
        <v>166</v>
      </c>
      <c r="AH240" s="163"/>
      <c r="AI240" s="163"/>
      <c r="AJ240" s="163"/>
      <c r="AK240" s="163"/>
      <c r="AL240" s="163"/>
      <c r="AM240" s="163"/>
      <c r="AN240" s="130"/>
      <c r="AO240" s="130"/>
      <c r="AP240" s="130"/>
      <c r="AQ240" s="130"/>
      <c r="AR240" s="130"/>
      <c r="AS240" s="130"/>
      <c r="AT240" s="130"/>
    </row>
    <row r="241" ht="13.5" customHeight="1">
      <c r="A241" s="130" t="str">
        <f>HKU!A4</f>
        <v>JS6028</v>
      </c>
      <c r="B241" s="130" t="str">
        <f>HKU!C4</f>
        <v>園境學文學士</v>
      </c>
      <c r="C241" s="175" t="s">
        <v>21</v>
      </c>
      <c r="D241" s="166"/>
      <c r="E241" s="163">
        <v>3.0</v>
      </c>
      <c r="F241" s="163">
        <v>3.0</v>
      </c>
      <c r="G241" s="163">
        <v>2.0</v>
      </c>
      <c r="H241" s="163">
        <v>2.0</v>
      </c>
      <c r="I241" s="163">
        <v>3.0</v>
      </c>
      <c r="J241" s="163">
        <v>3.0</v>
      </c>
      <c r="K241" s="163"/>
      <c r="L241" s="163">
        <f t="shared" ref="L241:O241" si="260">IF(E241&gt;U241,0,1)</f>
        <v>0</v>
      </c>
      <c r="M241" s="163">
        <f t="shared" si="260"/>
        <v>0</v>
      </c>
      <c r="N241" s="163">
        <f t="shared" si="260"/>
        <v>0</v>
      </c>
      <c r="O241" s="163">
        <f t="shared" si="260"/>
        <v>0</v>
      </c>
      <c r="P241" s="163">
        <f t="shared" si="258"/>
        <v>0</v>
      </c>
      <c r="Q241" s="163">
        <f t="shared" si="259"/>
        <v>0</v>
      </c>
      <c r="R241" s="130"/>
      <c r="S241" s="163">
        <f t="shared" si="261"/>
        <v>0</v>
      </c>
      <c r="T241" s="163"/>
      <c r="U241" s="163">
        <f>'計分版'!E$14</f>
        <v>0.0000000001</v>
      </c>
      <c r="V241" s="163">
        <f>'計分版'!F$14</f>
        <v>0.0000000002</v>
      </c>
      <c r="W241" s="163">
        <f>'計分版'!G$14</f>
        <v>0.0000000003</v>
      </c>
      <c r="X241" s="163">
        <f>'計分版'!H$14</f>
        <v>0.0000000004</v>
      </c>
      <c r="Y241" s="163">
        <f>'計分版'!I$14</f>
        <v>0.0000000005</v>
      </c>
      <c r="Z241" s="163">
        <f>'計分版'!J$14</f>
        <v>0</v>
      </c>
      <c r="AA241" s="163">
        <f>'計分版'!K$14</f>
        <v>0</v>
      </c>
      <c r="AB241" s="163">
        <f>'計分版'!L$14</f>
        <v>0</v>
      </c>
      <c r="AC241" s="163">
        <f>'計分版'!M$14</f>
        <v>0</v>
      </c>
      <c r="AD241" s="163">
        <f>'計分版'!N$14</f>
        <v>0</v>
      </c>
      <c r="AE241" s="163"/>
      <c r="AF241" s="163"/>
      <c r="AG241" s="163" t="s">
        <v>166</v>
      </c>
      <c r="AH241" s="163"/>
      <c r="AI241" s="163"/>
      <c r="AJ241" s="163"/>
      <c r="AK241" s="163"/>
      <c r="AL241" s="163"/>
      <c r="AM241" s="163"/>
      <c r="AN241" s="130"/>
      <c r="AO241" s="130"/>
      <c r="AP241" s="130"/>
      <c r="AQ241" s="130"/>
      <c r="AR241" s="130"/>
      <c r="AS241" s="130"/>
      <c r="AT241" s="130"/>
    </row>
    <row r="242" ht="13.5" customHeight="1">
      <c r="A242" s="130" t="str">
        <f>HKU!A5</f>
        <v>JS6042</v>
      </c>
      <c r="B242" s="130" t="str">
        <f>HKU!C5</f>
        <v>文學士(城市研究)</v>
      </c>
      <c r="C242" s="175" t="s">
        <v>21</v>
      </c>
      <c r="D242" s="166"/>
      <c r="E242" s="163">
        <v>3.0</v>
      </c>
      <c r="F242" s="163">
        <v>3.0</v>
      </c>
      <c r="G242" s="163">
        <v>2.0</v>
      </c>
      <c r="H242" s="163">
        <v>2.0</v>
      </c>
      <c r="I242" s="163">
        <v>3.0</v>
      </c>
      <c r="J242" s="163">
        <v>3.0</v>
      </c>
      <c r="K242" s="163"/>
      <c r="L242" s="163">
        <f t="shared" ref="L242:O242" si="262">IF(E242&gt;U242,0,1)</f>
        <v>0</v>
      </c>
      <c r="M242" s="163">
        <f t="shared" si="262"/>
        <v>0</v>
      </c>
      <c r="N242" s="163">
        <f t="shared" si="262"/>
        <v>0</v>
      </c>
      <c r="O242" s="163">
        <f t="shared" si="262"/>
        <v>0</v>
      </c>
      <c r="P242" s="163">
        <f t="shared" si="258"/>
        <v>0</v>
      </c>
      <c r="Q242" s="163">
        <f t="shared" si="259"/>
        <v>0</v>
      </c>
      <c r="R242" s="130"/>
      <c r="S242" s="163">
        <f t="shared" si="261"/>
        <v>0</v>
      </c>
      <c r="T242" s="163"/>
      <c r="U242" s="163">
        <f>'計分版'!E$14</f>
        <v>0.0000000001</v>
      </c>
      <c r="V242" s="163">
        <f>'計分版'!F$14</f>
        <v>0.0000000002</v>
      </c>
      <c r="W242" s="163">
        <f>'計分版'!G$14</f>
        <v>0.0000000003</v>
      </c>
      <c r="X242" s="163">
        <f>'計分版'!H$14</f>
        <v>0.0000000004</v>
      </c>
      <c r="Y242" s="163">
        <f>'計分版'!I$14</f>
        <v>0.0000000005</v>
      </c>
      <c r="Z242" s="163">
        <f>'計分版'!J$14</f>
        <v>0</v>
      </c>
      <c r="AA242" s="163">
        <f>'計分版'!K$14</f>
        <v>0</v>
      </c>
      <c r="AB242" s="163">
        <f>'計分版'!L$14</f>
        <v>0</v>
      </c>
      <c r="AC242" s="163">
        <f>'計分版'!M$14</f>
        <v>0</v>
      </c>
      <c r="AD242" s="163">
        <f>'計分版'!N$14</f>
        <v>0</v>
      </c>
      <c r="AE242" s="163"/>
      <c r="AF242" s="163"/>
      <c r="AG242" s="163" t="s">
        <v>166</v>
      </c>
      <c r="AH242" s="163"/>
      <c r="AI242" s="163"/>
      <c r="AJ242" s="163"/>
      <c r="AK242" s="163"/>
      <c r="AL242" s="163"/>
      <c r="AM242" s="163"/>
      <c r="AN242" s="130"/>
      <c r="AO242" s="130"/>
      <c r="AP242" s="130"/>
      <c r="AQ242" s="130"/>
      <c r="AR242" s="130"/>
      <c r="AS242" s="130"/>
      <c r="AT242" s="130"/>
    </row>
    <row r="243" ht="13.5" customHeight="1">
      <c r="A243" s="130" t="str">
        <f>HKU!A6</f>
        <v>JS6054</v>
      </c>
      <c r="B243" s="130" t="str">
        <f>HKU!C6</f>
        <v>文學士</v>
      </c>
      <c r="C243" s="175" t="s">
        <v>21</v>
      </c>
      <c r="D243" s="166"/>
      <c r="E243" s="163">
        <v>3.0</v>
      </c>
      <c r="F243" s="163">
        <v>3.0</v>
      </c>
      <c r="G243" s="163">
        <v>2.0</v>
      </c>
      <c r="H243" s="163">
        <v>2.0</v>
      </c>
      <c r="I243" s="163">
        <v>3.0</v>
      </c>
      <c r="J243" s="163">
        <v>3.0</v>
      </c>
      <c r="K243" s="163"/>
      <c r="L243" s="163">
        <f t="shared" ref="L243:O243" si="263">IF(E243&gt;U243,0,1)</f>
        <v>0</v>
      </c>
      <c r="M243" s="163">
        <f t="shared" si="263"/>
        <v>0</v>
      </c>
      <c r="N243" s="163">
        <f t="shared" si="263"/>
        <v>0</v>
      </c>
      <c r="O243" s="163">
        <f t="shared" si="263"/>
        <v>0</v>
      </c>
      <c r="P243" s="163">
        <f t="shared" si="258"/>
        <v>0</v>
      </c>
      <c r="Q243" s="163">
        <f t="shared" si="259"/>
        <v>0</v>
      </c>
      <c r="R243" s="130"/>
      <c r="S243" s="163">
        <f t="shared" si="261"/>
        <v>0</v>
      </c>
      <c r="T243" s="163"/>
      <c r="U243" s="163">
        <f>'計分版'!E$14</f>
        <v>0.0000000001</v>
      </c>
      <c r="V243" s="163">
        <f>'計分版'!F$14</f>
        <v>0.0000000002</v>
      </c>
      <c r="W243" s="163">
        <f>'計分版'!G$14</f>
        <v>0.0000000003</v>
      </c>
      <c r="X243" s="163">
        <f>'計分版'!H$14</f>
        <v>0.0000000004</v>
      </c>
      <c r="Y243" s="163">
        <f>'計分版'!I$14</f>
        <v>0.0000000005</v>
      </c>
      <c r="Z243" s="163">
        <f>'計分版'!J$14</f>
        <v>0</v>
      </c>
      <c r="AA243" s="163">
        <f>'計分版'!K$14</f>
        <v>0</v>
      </c>
      <c r="AB243" s="163">
        <f>'計分版'!L$14</f>
        <v>0</v>
      </c>
      <c r="AC243" s="163">
        <f>'計分版'!M$14</f>
        <v>0</v>
      </c>
      <c r="AD243" s="163">
        <f>'計分版'!N$14</f>
        <v>0</v>
      </c>
      <c r="AE243" s="163"/>
      <c r="AF243" s="163"/>
      <c r="AG243" s="163" t="s">
        <v>166</v>
      </c>
      <c r="AH243" s="163"/>
      <c r="AI243" s="163"/>
      <c r="AJ243" s="163"/>
      <c r="AK243" s="163"/>
      <c r="AL243" s="163"/>
      <c r="AM243" s="163"/>
      <c r="AN243" s="130"/>
      <c r="AO243" s="130"/>
      <c r="AP243" s="130"/>
      <c r="AQ243" s="130"/>
      <c r="AR243" s="130"/>
      <c r="AS243" s="130"/>
      <c r="AT243" s="130"/>
    </row>
    <row r="244" ht="13.5" customHeight="1">
      <c r="A244" s="130" t="str">
        <f>HKU!A7</f>
        <v>JS6767</v>
      </c>
      <c r="B244" s="130" t="str">
        <f>HKU!C7</f>
        <v>經濟學學士 / 經濟金融學學士</v>
      </c>
      <c r="C244" s="175" t="s">
        <v>24</v>
      </c>
      <c r="D244" s="165"/>
      <c r="E244" s="163">
        <v>3.0</v>
      </c>
      <c r="F244" s="163">
        <v>4.0</v>
      </c>
      <c r="G244" s="163">
        <v>3.0</v>
      </c>
      <c r="H244" s="163">
        <v>2.0</v>
      </c>
      <c r="I244" s="163">
        <v>3.0</v>
      </c>
      <c r="J244" s="163">
        <v>3.0</v>
      </c>
      <c r="K244" s="163"/>
      <c r="L244" s="163">
        <f t="shared" ref="L244:O244" si="264">IF(E244&gt;U244,0,1)</f>
        <v>0</v>
      </c>
      <c r="M244" s="163">
        <f t="shared" si="264"/>
        <v>0</v>
      </c>
      <c r="N244" s="163">
        <f t="shared" si="264"/>
        <v>0</v>
      </c>
      <c r="O244" s="163">
        <f t="shared" si="264"/>
        <v>0</v>
      </c>
      <c r="P244" s="163">
        <f t="shared" si="258"/>
        <v>0</v>
      </c>
      <c r="Q244" s="163">
        <f t="shared" si="259"/>
        <v>0</v>
      </c>
      <c r="R244" s="130"/>
      <c r="S244" s="163">
        <f t="shared" si="261"/>
        <v>0</v>
      </c>
      <c r="T244" s="163"/>
      <c r="U244" s="163">
        <f>'計分版'!E$14</f>
        <v>0.0000000001</v>
      </c>
      <c r="V244" s="163">
        <f>'計分版'!F$14</f>
        <v>0.0000000002</v>
      </c>
      <c r="W244" s="163">
        <f>'計分版'!G$14</f>
        <v>0.0000000003</v>
      </c>
      <c r="X244" s="163">
        <f>'計分版'!H$14</f>
        <v>0.0000000004</v>
      </c>
      <c r="Y244" s="163">
        <f>'計分版'!I$14</f>
        <v>0.0000000005</v>
      </c>
      <c r="Z244" s="163">
        <f>'計分版'!J$14</f>
        <v>0</v>
      </c>
      <c r="AA244" s="163">
        <f>'計分版'!K$14</f>
        <v>0</v>
      </c>
      <c r="AB244" s="163">
        <f>'計分版'!L$14</f>
        <v>0</v>
      </c>
      <c r="AC244" s="163">
        <f>'計分版'!M$14</f>
        <v>0</v>
      </c>
      <c r="AD244" s="163">
        <f>'計分版'!N$14</f>
        <v>0</v>
      </c>
      <c r="AE244" s="163"/>
      <c r="AF244" s="163"/>
      <c r="AG244" s="163" t="s">
        <v>166</v>
      </c>
      <c r="AH244" s="163"/>
      <c r="AI244" s="163"/>
      <c r="AJ244" s="163"/>
      <c r="AK244" s="163"/>
      <c r="AL244" s="163"/>
      <c r="AM244" s="163"/>
      <c r="AN244" s="130"/>
      <c r="AO244" s="130"/>
      <c r="AP244" s="130"/>
      <c r="AQ244" s="130"/>
      <c r="AR244" s="130"/>
      <c r="AS244" s="130"/>
      <c r="AT244" s="130"/>
    </row>
    <row r="245" ht="13.5" customHeight="1">
      <c r="A245" s="130" t="str">
        <f>HKU!A8</f>
        <v>JS6781</v>
      </c>
      <c r="B245" s="130" t="str">
        <f>HKU!C8</f>
        <v>工商管理學學士 / 工商管理學學士(會計及財務)</v>
      </c>
      <c r="C245" s="175" t="s">
        <v>24</v>
      </c>
      <c r="D245" s="165"/>
      <c r="E245" s="163">
        <v>3.0</v>
      </c>
      <c r="F245" s="163">
        <v>4.0</v>
      </c>
      <c r="G245" s="163">
        <v>3.0</v>
      </c>
      <c r="H245" s="163">
        <v>2.0</v>
      </c>
      <c r="I245" s="163">
        <v>3.0</v>
      </c>
      <c r="J245" s="163">
        <v>3.0</v>
      </c>
      <c r="K245" s="163"/>
      <c r="L245" s="163">
        <f t="shared" ref="L245:O245" si="265">IF(E245&gt;U245,0,1)</f>
        <v>0</v>
      </c>
      <c r="M245" s="163">
        <f t="shared" si="265"/>
        <v>0</v>
      </c>
      <c r="N245" s="163">
        <f t="shared" si="265"/>
        <v>0</v>
      </c>
      <c r="O245" s="163">
        <f t="shared" si="265"/>
        <v>0</v>
      </c>
      <c r="P245" s="163">
        <f t="shared" si="258"/>
        <v>0</v>
      </c>
      <c r="Q245" s="163">
        <f t="shared" si="259"/>
        <v>0</v>
      </c>
      <c r="R245" s="130"/>
      <c r="S245" s="163">
        <f t="shared" si="261"/>
        <v>0</v>
      </c>
      <c r="T245" s="163"/>
      <c r="U245" s="163">
        <f>'計分版'!E$14</f>
        <v>0.0000000001</v>
      </c>
      <c r="V245" s="163">
        <f>'計分版'!F$14</f>
        <v>0.0000000002</v>
      </c>
      <c r="W245" s="163">
        <f>'計分版'!G$14</f>
        <v>0.0000000003</v>
      </c>
      <c r="X245" s="163">
        <f>'計分版'!H$14</f>
        <v>0.0000000004</v>
      </c>
      <c r="Y245" s="163">
        <f>'計分版'!I$14</f>
        <v>0.0000000005</v>
      </c>
      <c r="Z245" s="163">
        <f>'計分版'!J$14</f>
        <v>0</v>
      </c>
      <c r="AA245" s="163">
        <f>'計分版'!K$14</f>
        <v>0</v>
      </c>
      <c r="AB245" s="163">
        <f>'計分版'!L$14</f>
        <v>0</v>
      </c>
      <c r="AC245" s="163">
        <f>'計分版'!M$14</f>
        <v>0</v>
      </c>
      <c r="AD245" s="163">
        <f>'計分版'!N$14</f>
        <v>0</v>
      </c>
      <c r="AE245" s="163"/>
      <c r="AF245" s="163"/>
      <c r="AG245" s="163" t="s">
        <v>166</v>
      </c>
      <c r="AH245" s="163"/>
      <c r="AI245" s="163"/>
      <c r="AJ245" s="163"/>
      <c r="AK245" s="163"/>
      <c r="AL245" s="163"/>
      <c r="AM245" s="163"/>
      <c r="AN245" s="130"/>
      <c r="AO245" s="130"/>
      <c r="AP245" s="130"/>
      <c r="AQ245" s="130"/>
      <c r="AR245" s="130"/>
      <c r="AS245" s="130"/>
      <c r="AT245" s="130"/>
    </row>
    <row r="246" ht="13.5" customHeight="1">
      <c r="A246" s="130" t="str">
        <f>HKU!A9</f>
        <v>JS6860</v>
      </c>
      <c r="B246" s="130" t="str">
        <f>HKU!C9</f>
        <v>金融學學士(資產管理及私人銀行)</v>
      </c>
      <c r="C246" s="175" t="s">
        <v>24</v>
      </c>
      <c r="D246" s="165"/>
      <c r="E246" s="163">
        <v>3.0</v>
      </c>
      <c r="F246" s="163">
        <v>4.0</v>
      </c>
      <c r="G246" s="163">
        <v>3.0</v>
      </c>
      <c r="H246" s="163">
        <v>2.0</v>
      </c>
      <c r="I246" s="163">
        <v>3.0</v>
      </c>
      <c r="J246" s="163">
        <v>3.0</v>
      </c>
      <c r="K246" s="163"/>
      <c r="L246" s="163">
        <f t="shared" ref="L246:O246" si="266">IF(E246&gt;U246,0,1)</f>
        <v>0</v>
      </c>
      <c r="M246" s="163">
        <f t="shared" si="266"/>
        <v>0</v>
      </c>
      <c r="N246" s="163">
        <f t="shared" si="266"/>
        <v>0</v>
      </c>
      <c r="O246" s="163">
        <f t="shared" si="266"/>
        <v>0</v>
      </c>
      <c r="P246" s="163">
        <f t="shared" si="258"/>
        <v>0</v>
      </c>
      <c r="Q246" s="163">
        <f t="shared" si="259"/>
        <v>0</v>
      </c>
      <c r="R246" s="130"/>
      <c r="S246" s="163">
        <f t="shared" si="261"/>
        <v>0</v>
      </c>
      <c r="T246" s="163"/>
      <c r="U246" s="163">
        <f>'計分版'!E$14</f>
        <v>0.0000000001</v>
      </c>
      <c r="V246" s="163">
        <f>'計分版'!F$14</f>
        <v>0.0000000002</v>
      </c>
      <c r="W246" s="163">
        <f>'計分版'!G$14</f>
        <v>0.0000000003</v>
      </c>
      <c r="X246" s="163">
        <f>'計分版'!H$14</f>
        <v>0.0000000004</v>
      </c>
      <c r="Y246" s="163">
        <f>'計分版'!I$14</f>
        <v>0.0000000005</v>
      </c>
      <c r="Z246" s="163">
        <f>'計分版'!J$14</f>
        <v>0</v>
      </c>
      <c r="AA246" s="163">
        <f>'計分版'!K$14</f>
        <v>0</v>
      </c>
      <c r="AB246" s="163">
        <f>'計分版'!L$14</f>
        <v>0</v>
      </c>
      <c r="AC246" s="163">
        <f>'計分版'!M$14</f>
        <v>0</v>
      </c>
      <c r="AD246" s="163">
        <f>'計分版'!N$14</f>
        <v>0</v>
      </c>
      <c r="AE246" s="163"/>
      <c r="AF246" s="163"/>
      <c r="AG246" s="163" t="s">
        <v>166</v>
      </c>
      <c r="AH246" s="163"/>
      <c r="AI246" s="163"/>
      <c r="AJ246" s="163"/>
      <c r="AK246" s="163"/>
      <c r="AL246" s="163"/>
      <c r="AM246" s="163"/>
      <c r="AN246" s="130"/>
      <c r="AO246" s="130"/>
      <c r="AP246" s="130"/>
      <c r="AQ246" s="130"/>
      <c r="AR246" s="130"/>
      <c r="AS246" s="130"/>
      <c r="AT246" s="130"/>
    </row>
    <row r="247" ht="13.5" customHeight="1">
      <c r="A247" s="130" t="str">
        <f>HKU!A10</f>
        <v>JS6793</v>
      </c>
      <c r="B247" s="130" t="str">
        <f>HKU!C10</f>
        <v>工商管理學學士(資訊系統)</v>
      </c>
      <c r="C247" s="175" t="s">
        <v>24</v>
      </c>
      <c r="D247" s="166"/>
      <c r="E247" s="163">
        <v>3.0</v>
      </c>
      <c r="F247" s="163">
        <v>4.0</v>
      </c>
      <c r="G247" s="163">
        <v>3.0</v>
      </c>
      <c r="H247" s="163">
        <v>2.0</v>
      </c>
      <c r="I247" s="163">
        <v>3.0</v>
      </c>
      <c r="J247" s="163">
        <v>3.0</v>
      </c>
      <c r="K247" s="163"/>
      <c r="L247" s="163">
        <f t="shared" ref="L247:O247" si="267">IF(E247&gt;U247,0,1)</f>
        <v>0</v>
      </c>
      <c r="M247" s="163">
        <f t="shared" si="267"/>
        <v>0</v>
      </c>
      <c r="N247" s="163">
        <f t="shared" si="267"/>
        <v>0</v>
      </c>
      <c r="O247" s="163">
        <f t="shared" si="267"/>
        <v>0</v>
      </c>
      <c r="P247" s="163">
        <f>IF(OR(I247&gt;LARGE(Z247:AD247,1),'計分版'!$P$261=0),0,1)</f>
        <v>0</v>
      </c>
      <c r="Q247" s="163">
        <f>IF(J247&gt;LARGE(Z247:AD247,2),0,IF('計分版'!$I$14&lt;3,2,1))</f>
        <v>0</v>
      </c>
      <c r="R247" s="130"/>
      <c r="S247" s="163">
        <f t="shared" si="261"/>
        <v>0</v>
      </c>
      <c r="T247" s="163"/>
      <c r="U247" s="163">
        <f>'計分版'!E$14</f>
        <v>0.0000000001</v>
      </c>
      <c r="V247" s="163">
        <f>'計分版'!F$14</f>
        <v>0.0000000002</v>
      </c>
      <c r="W247" s="163">
        <f>'計分版'!G$14</f>
        <v>0.0000000003</v>
      </c>
      <c r="X247" s="163">
        <f>'計分版'!H$14</f>
        <v>0.0000000004</v>
      </c>
      <c r="Y247" s="163">
        <f>'計分版'!I$14</f>
        <v>0.0000000005</v>
      </c>
      <c r="Z247" s="163">
        <f>'計分版'!J$14</f>
        <v>0</v>
      </c>
      <c r="AA247" s="163">
        <f>'計分版'!K$14</f>
        <v>0</v>
      </c>
      <c r="AB247" s="163">
        <f>'計分版'!L$14</f>
        <v>0</v>
      </c>
      <c r="AC247" s="163">
        <f>'計分版'!M$14</f>
        <v>0</v>
      </c>
      <c r="AD247" s="163">
        <f>'計分版'!N$14</f>
        <v>0</v>
      </c>
      <c r="AE247" s="163"/>
      <c r="AF247" s="163"/>
      <c r="AG247" s="163" t="s">
        <v>166</v>
      </c>
      <c r="AH247" s="163"/>
      <c r="AI247" s="163"/>
      <c r="AJ247" s="163"/>
      <c r="AK247" s="163"/>
      <c r="AL247" s="163"/>
      <c r="AM247" s="163"/>
      <c r="AN247" s="130"/>
      <c r="AO247" s="130"/>
      <c r="AP247" s="130"/>
      <c r="AQ247" s="130"/>
      <c r="AR247" s="130"/>
      <c r="AS247" s="130"/>
      <c r="AT247" s="130"/>
    </row>
    <row r="248" ht="13.5" customHeight="1">
      <c r="A248" s="130" t="str">
        <f>HKU!A11</f>
        <v>JS6808</v>
      </c>
      <c r="B248" s="130" t="str">
        <f>HKU!C11</f>
        <v>工商管理學學士(法學)及法學士 (雙學位課程)</v>
      </c>
      <c r="C248" s="175" t="s">
        <v>24</v>
      </c>
      <c r="D248" s="166"/>
      <c r="E248" s="163">
        <v>4.0</v>
      </c>
      <c r="F248" s="163">
        <v>5.0</v>
      </c>
      <c r="G248" s="163">
        <v>4.0</v>
      </c>
      <c r="H248" s="163">
        <v>2.0</v>
      </c>
      <c r="I248" s="163">
        <v>3.0</v>
      </c>
      <c r="J248" s="163">
        <v>3.0</v>
      </c>
      <c r="K248" s="163"/>
      <c r="L248" s="163">
        <f t="shared" ref="L248:O248" si="268">IF(E248&gt;U248,0,1)</f>
        <v>0</v>
      </c>
      <c r="M248" s="163">
        <f t="shared" si="268"/>
        <v>0</v>
      </c>
      <c r="N248" s="163">
        <f t="shared" si="268"/>
        <v>0</v>
      </c>
      <c r="O248" s="163">
        <f t="shared" si="268"/>
        <v>0</v>
      </c>
      <c r="P248" s="163">
        <f t="shared" ref="P248:P250" si="270">IF(I248&gt;LARGE(Z248:AD248,1),0,1)</f>
        <v>0</v>
      </c>
      <c r="Q248" s="163">
        <f>IF(J248&gt;LARGE(Z248:AD248,2),0,1)</f>
        <v>0</v>
      </c>
      <c r="R248" s="130"/>
      <c r="S248" s="163">
        <f t="shared" si="261"/>
        <v>0</v>
      </c>
      <c r="T248" s="163"/>
      <c r="U248" s="163">
        <f>'計分版'!E$14</f>
        <v>0.0000000001</v>
      </c>
      <c r="V248" s="163">
        <f>'計分版'!F$14</f>
        <v>0.0000000002</v>
      </c>
      <c r="W248" s="163">
        <f>'計分版'!G$14</f>
        <v>0.0000000003</v>
      </c>
      <c r="X248" s="163">
        <f>'計分版'!H$14</f>
        <v>0.0000000004</v>
      </c>
      <c r="Y248" s="163">
        <f>'計分版'!I$14</f>
        <v>0.0000000005</v>
      </c>
      <c r="Z248" s="163">
        <f>'計分版'!J$14</f>
        <v>0</v>
      </c>
      <c r="AA248" s="163">
        <f>'計分版'!K$14</f>
        <v>0</v>
      </c>
      <c r="AB248" s="163">
        <f>'計分版'!L$14</f>
        <v>0</v>
      </c>
      <c r="AC248" s="163">
        <f>'計分版'!M$14</f>
        <v>0</v>
      </c>
      <c r="AD248" s="163">
        <f>'計分版'!N$14</f>
        <v>0</v>
      </c>
      <c r="AE248" s="163"/>
      <c r="AF248" s="163"/>
      <c r="AG248" s="163" t="s">
        <v>166</v>
      </c>
      <c r="AH248" s="163"/>
      <c r="AI248" s="163"/>
      <c r="AJ248" s="163"/>
      <c r="AK248" s="163"/>
      <c r="AL248" s="163"/>
      <c r="AM248" s="163"/>
      <c r="AN248" s="130"/>
      <c r="AO248" s="130"/>
      <c r="AP248" s="130"/>
      <c r="AQ248" s="130"/>
      <c r="AR248" s="130"/>
      <c r="AS248" s="130"/>
      <c r="AT248" s="130"/>
    </row>
    <row r="249" ht="13.5" customHeight="1">
      <c r="A249" s="130" t="str">
        <f>HKU!A12</f>
        <v>JS6884</v>
      </c>
      <c r="B249" s="130" t="str">
        <f>HKU!C12</f>
        <v>理學士(計量金融)</v>
      </c>
      <c r="C249" s="175" t="s">
        <v>24</v>
      </c>
      <c r="D249" s="166"/>
      <c r="E249" s="163">
        <v>3.0</v>
      </c>
      <c r="F249" s="163">
        <v>4.0</v>
      </c>
      <c r="G249" s="163">
        <v>3.0</v>
      </c>
      <c r="H249" s="163">
        <v>2.0</v>
      </c>
      <c r="I249" s="163">
        <v>3.0</v>
      </c>
      <c r="J249" s="163">
        <v>3.0</v>
      </c>
      <c r="K249" s="163"/>
      <c r="L249" s="163">
        <f t="shared" ref="L249:O249" si="269">IF(E249&gt;U249,0,1)</f>
        <v>0</v>
      </c>
      <c r="M249" s="163">
        <f t="shared" si="269"/>
        <v>0</v>
      </c>
      <c r="N249" s="163">
        <f t="shared" si="269"/>
        <v>0</v>
      </c>
      <c r="O249" s="163">
        <f t="shared" si="269"/>
        <v>0</v>
      </c>
      <c r="P249" s="163">
        <f t="shared" si="270"/>
        <v>0</v>
      </c>
      <c r="Q249" s="163">
        <f>IF('計分版'!$I$14&lt;3,0,IF(J249&gt;LARGE(Z249:AD249,2),0,1))</f>
        <v>0</v>
      </c>
      <c r="R249" s="130"/>
      <c r="S249" s="163">
        <f t="shared" si="261"/>
        <v>0</v>
      </c>
      <c r="T249" s="163"/>
      <c r="U249" s="163">
        <f>'計分版'!E$14</f>
        <v>0.0000000001</v>
      </c>
      <c r="V249" s="163">
        <f>'計分版'!F$14</f>
        <v>0.0000000002</v>
      </c>
      <c r="W249" s="163">
        <f>'計分版'!G$14</f>
        <v>0.0000000003</v>
      </c>
      <c r="X249" s="163">
        <f>'計分版'!H$14</f>
        <v>0.0000000004</v>
      </c>
      <c r="Y249" s="163">
        <f>'計分版'!I$14</f>
        <v>0.0000000005</v>
      </c>
      <c r="Z249" s="163">
        <f>'計分版'!J$14</f>
        <v>0</v>
      </c>
      <c r="AA249" s="163">
        <f>'計分版'!K$14</f>
        <v>0</v>
      </c>
      <c r="AB249" s="163">
        <f>'計分版'!L$14</f>
        <v>0</v>
      </c>
      <c r="AC249" s="163">
        <f>'計分版'!M$14</f>
        <v>0</v>
      </c>
      <c r="AD249" s="163">
        <f>'計分版'!N$14</f>
        <v>0</v>
      </c>
      <c r="AE249" s="163"/>
      <c r="AF249" s="163"/>
      <c r="AG249" s="163" t="s">
        <v>166</v>
      </c>
      <c r="AH249" s="163"/>
      <c r="AI249" s="163"/>
      <c r="AJ249" s="163"/>
      <c r="AK249" s="163"/>
      <c r="AL249" s="163"/>
      <c r="AM249" s="163"/>
      <c r="AN249" s="130"/>
      <c r="AO249" s="130"/>
      <c r="AP249" s="130"/>
      <c r="AQ249" s="130"/>
      <c r="AR249" s="130"/>
      <c r="AS249" s="130"/>
      <c r="AT249" s="130"/>
    </row>
    <row r="250" ht="13.5" customHeight="1">
      <c r="A250" s="130" t="str">
        <f>HKU!A13</f>
        <v>JS6896</v>
      </c>
      <c r="B250" s="130" t="str">
        <f>HKU!C13</f>
        <v>工商管理學學士(國際商業及環球管理)</v>
      </c>
      <c r="C250" s="175" t="s">
        <v>24</v>
      </c>
      <c r="D250" s="166"/>
      <c r="E250" s="163">
        <v>3.0</v>
      </c>
      <c r="F250" s="163">
        <v>5.0</v>
      </c>
      <c r="G250" s="163">
        <v>4.0</v>
      </c>
      <c r="H250" s="163">
        <v>2.0</v>
      </c>
      <c r="I250" s="163">
        <v>3.0</v>
      </c>
      <c r="J250" s="163">
        <v>3.0</v>
      </c>
      <c r="K250" s="163"/>
      <c r="L250" s="163">
        <f t="shared" ref="L250:O250" si="271">IF(E250&gt;U250,0,1)</f>
        <v>0</v>
      </c>
      <c r="M250" s="163">
        <f t="shared" si="271"/>
        <v>0</v>
      </c>
      <c r="N250" s="163">
        <f t="shared" si="271"/>
        <v>0</v>
      </c>
      <c r="O250" s="163">
        <f t="shared" si="271"/>
        <v>0</v>
      </c>
      <c r="P250" s="163">
        <f t="shared" si="270"/>
        <v>0</v>
      </c>
      <c r="Q250" s="163">
        <f t="shared" ref="Q250:Q257" si="273">IF(J250&gt;LARGE(Z250:AD250,2),0,1)</f>
        <v>0</v>
      </c>
      <c r="R250" s="130"/>
      <c r="S250" s="163">
        <f t="shared" si="261"/>
        <v>0</v>
      </c>
      <c r="T250" s="163"/>
      <c r="U250" s="163">
        <f>'計分版'!E$14</f>
        <v>0.0000000001</v>
      </c>
      <c r="V250" s="163">
        <f>'計分版'!F$14</f>
        <v>0.0000000002</v>
      </c>
      <c r="W250" s="163">
        <f>'計分版'!G$14</f>
        <v>0.0000000003</v>
      </c>
      <c r="X250" s="163">
        <f>'計分版'!H$14</f>
        <v>0.0000000004</v>
      </c>
      <c r="Y250" s="163">
        <f>'計分版'!I$14</f>
        <v>0.0000000005</v>
      </c>
      <c r="Z250" s="163">
        <f>'計分版'!J$14</f>
        <v>0</v>
      </c>
      <c r="AA250" s="163">
        <f>'計分版'!K$14</f>
        <v>0</v>
      </c>
      <c r="AB250" s="163">
        <f>'計分版'!L$14</f>
        <v>0</v>
      </c>
      <c r="AC250" s="163">
        <f>'計分版'!M$14</f>
        <v>0</v>
      </c>
      <c r="AD250" s="163">
        <f>'計分版'!N$14</f>
        <v>0</v>
      </c>
      <c r="AE250" s="163"/>
      <c r="AF250" s="163"/>
      <c r="AG250" s="163" t="s">
        <v>166</v>
      </c>
      <c r="AH250" s="163"/>
      <c r="AI250" s="163"/>
      <c r="AJ250" s="163"/>
      <c r="AK250" s="163"/>
      <c r="AL250" s="163"/>
      <c r="AM250" s="163"/>
      <c r="AN250" s="130"/>
      <c r="AO250" s="130"/>
      <c r="AP250" s="130"/>
      <c r="AQ250" s="130"/>
      <c r="AR250" s="130"/>
      <c r="AS250" s="130"/>
      <c r="AT250" s="130"/>
    </row>
    <row r="251" ht="13.5" customHeight="1">
      <c r="A251" s="130" t="str">
        <f>HKU!A14</f>
        <v>JS6107</v>
      </c>
      <c r="B251" s="130" t="str">
        <f>HKU!C14</f>
        <v>牙醫學士</v>
      </c>
      <c r="C251" s="175" t="s">
        <v>24</v>
      </c>
      <c r="D251" s="166"/>
      <c r="E251" s="163">
        <v>3.0</v>
      </c>
      <c r="F251" s="163">
        <v>4.0</v>
      </c>
      <c r="G251" s="163">
        <v>3.0</v>
      </c>
      <c r="H251" s="163">
        <v>3.0</v>
      </c>
      <c r="I251" s="163">
        <v>3.0</v>
      </c>
      <c r="J251" s="163">
        <v>3.0</v>
      </c>
      <c r="K251" s="163"/>
      <c r="L251" s="163">
        <f t="shared" ref="L251:O251" si="272">IF(E251&gt;U251,0,1)</f>
        <v>0</v>
      </c>
      <c r="M251" s="163">
        <f t="shared" si="272"/>
        <v>0</v>
      </c>
      <c r="N251" s="163">
        <f t="shared" si="272"/>
        <v>0</v>
      </c>
      <c r="O251" s="163">
        <f t="shared" si="272"/>
        <v>0</v>
      </c>
      <c r="P251" s="163">
        <f>IF('計分版'!$P$259=0,0,IF(I251&gt;LARGE(Z251:AD251,1),0,1))</f>
        <v>0</v>
      </c>
      <c r="Q251" s="163">
        <f t="shared" si="273"/>
        <v>0</v>
      </c>
      <c r="R251" s="130"/>
      <c r="S251" s="163">
        <f t="shared" si="261"/>
        <v>0</v>
      </c>
      <c r="T251" s="163"/>
      <c r="U251" s="163">
        <f>'計分版'!E$14</f>
        <v>0.0000000001</v>
      </c>
      <c r="V251" s="163">
        <f>'計分版'!F$14</f>
        <v>0.0000000002</v>
      </c>
      <c r="W251" s="163">
        <f>'計分版'!G$14</f>
        <v>0.0000000003</v>
      </c>
      <c r="X251" s="163">
        <f>'計分版'!H$14</f>
        <v>0.0000000004</v>
      </c>
      <c r="Y251" s="163">
        <f>'計分版'!I$14</f>
        <v>0.0000000005</v>
      </c>
      <c r="Z251" s="163">
        <f>'計分版'!J$14</f>
        <v>0</v>
      </c>
      <c r="AA251" s="163">
        <f>'計分版'!K$14</f>
        <v>0</v>
      </c>
      <c r="AB251" s="163">
        <f>'計分版'!L$14</f>
        <v>0</v>
      </c>
      <c r="AC251" s="163">
        <f>'計分版'!M$14</f>
        <v>0</v>
      </c>
      <c r="AD251" s="163">
        <f>'計分版'!N$14</f>
        <v>0</v>
      </c>
      <c r="AE251" s="163"/>
      <c r="AF251" s="163"/>
      <c r="AG251" s="163" t="s">
        <v>166</v>
      </c>
      <c r="AH251" s="163"/>
      <c r="AI251" s="163"/>
      <c r="AJ251" s="163"/>
      <c r="AK251" s="163"/>
      <c r="AL251" s="163"/>
      <c r="AM251" s="163"/>
      <c r="AN251" s="130"/>
      <c r="AO251" s="130"/>
      <c r="AP251" s="130"/>
      <c r="AQ251" s="130"/>
      <c r="AR251" s="130"/>
      <c r="AS251" s="130"/>
      <c r="AT251" s="130"/>
    </row>
    <row r="252" ht="13.5" customHeight="1">
      <c r="A252" s="130" t="str">
        <f>HKU!A15</f>
        <v>JS6066</v>
      </c>
      <c r="B252" s="130" t="str">
        <f>HKU!C15</f>
        <v>文學士及教育學士(語文教育) - 英文教育 (雙學位課程)</v>
      </c>
      <c r="C252" s="175" t="s">
        <v>21</v>
      </c>
      <c r="D252" s="166"/>
      <c r="E252" s="163">
        <v>3.0</v>
      </c>
      <c r="F252" s="163">
        <v>3.0</v>
      </c>
      <c r="G252" s="163">
        <v>2.0</v>
      </c>
      <c r="H252" s="163">
        <v>2.0</v>
      </c>
      <c r="I252" s="163">
        <v>3.0</v>
      </c>
      <c r="J252" s="163">
        <v>3.0</v>
      </c>
      <c r="K252" s="163"/>
      <c r="L252" s="163">
        <f t="shared" ref="L252:O252" si="274">IF(E252&gt;U252,0,1)</f>
        <v>0</v>
      </c>
      <c r="M252" s="163">
        <f t="shared" si="274"/>
        <v>0</v>
      </c>
      <c r="N252" s="163">
        <f t="shared" si="274"/>
        <v>0</v>
      </c>
      <c r="O252" s="163">
        <f t="shared" si="274"/>
        <v>0</v>
      </c>
      <c r="P252" s="163">
        <f t="shared" ref="P252:P254" si="276">IF(I252&gt;LARGE(Z252:AD252,1),0,1)</f>
        <v>0</v>
      </c>
      <c r="Q252" s="163">
        <f t="shared" si="273"/>
        <v>0</v>
      </c>
      <c r="R252" s="130"/>
      <c r="S252" s="163">
        <f t="shared" si="261"/>
        <v>0</v>
      </c>
      <c r="T252" s="163"/>
      <c r="U252" s="163">
        <f>'計分版'!E$14</f>
        <v>0.0000000001</v>
      </c>
      <c r="V252" s="163">
        <f>'計分版'!F$14</f>
        <v>0.0000000002</v>
      </c>
      <c r="W252" s="163">
        <f>'計分版'!G$14</f>
        <v>0.0000000003</v>
      </c>
      <c r="X252" s="163">
        <f>'計分版'!H$14</f>
        <v>0.0000000004</v>
      </c>
      <c r="Y252" s="163">
        <f>'計分版'!I$14</f>
        <v>0.0000000005</v>
      </c>
      <c r="Z252" s="163">
        <f>'計分版'!J$14</f>
        <v>0</v>
      </c>
      <c r="AA252" s="163">
        <f>'計分版'!K$14</f>
        <v>0</v>
      </c>
      <c r="AB252" s="163">
        <f>'計分版'!L$14</f>
        <v>0</v>
      </c>
      <c r="AC252" s="163">
        <f>'計分版'!M$14</f>
        <v>0</v>
      </c>
      <c r="AD252" s="163">
        <f>'計分版'!N$14</f>
        <v>0</v>
      </c>
      <c r="AE252" s="163"/>
      <c r="AF252" s="163"/>
      <c r="AG252" s="163" t="s">
        <v>166</v>
      </c>
      <c r="AH252" s="163"/>
      <c r="AI252" s="163"/>
      <c r="AJ252" s="163"/>
      <c r="AK252" s="163"/>
      <c r="AL252" s="163"/>
      <c r="AM252" s="163"/>
      <c r="AN252" s="130"/>
      <c r="AO252" s="130"/>
      <c r="AP252" s="130"/>
      <c r="AQ252" s="130"/>
      <c r="AR252" s="130"/>
      <c r="AS252" s="130"/>
      <c r="AT252" s="130"/>
    </row>
    <row r="253" ht="13.5" customHeight="1">
      <c r="A253" s="130" t="str">
        <f>HKU!A16</f>
        <v>JS6080</v>
      </c>
      <c r="B253" s="130" t="str">
        <f>HKU!C16</f>
        <v>文學士及教育學士(語文教育) - 中文教育 (雙學位課程)</v>
      </c>
      <c r="C253" s="175" t="s">
        <v>21</v>
      </c>
      <c r="D253" s="166"/>
      <c r="E253" s="163">
        <v>3.0</v>
      </c>
      <c r="F253" s="163">
        <v>3.0</v>
      </c>
      <c r="G253" s="163">
        <v>2.0</v>
      </c>
      <c r="H253" s="163">
        <v>2.0</v>
      </c>
      <c r="I253" s="163">
        <v>3.0</v>
      </c>
      <c r="J253" s="163">
        <v>3.0</v>
      </c>
      <c r="K253" s="163"/>
      <c r="L253" s="163">
        <f t="shared" ref="L253:O253" si="275">IF(E253&gt;U253,0,1)</f>
        <v>0</v>
      </c>
      <c r="M253" s="163">
        <f t="shared" si="275"/>
        <v>0</v>
      </c>
      <c r="N253" s="163">
        <f t="shared" si="275"/>
        <v>0</v>
      </c>
      <c r="O253" s="163">
        <f t="shared" si="275"/>
        <v>0</v>
      </c>
      <c r="P253" s="163">
        <f t="shared" si="276"/>
        <v>0</v>
      </c>
      <c r="Q253" s="163">
        <f t="shared" si="273"/>
        <v>0</v>
      </c>
      <c r="R253" s="130"/>
      <c r="S253" s="163">
        <f t="shared" si="261"/>
        <v>0</v>
      </c>
      <c r="T253" s="163"/>
      <c r="U253" s="163">
        <f>'計分版'!E$14</f>
        <v>0.0000000001</v>
      </c>
      <c r="V253" s="163">
        <f>'計分版'!F$14</f>
        <v>0.0000000002</v>
      </c>
      <c r="W253" s="163">
        <f>'計分版'!G$14</f>
        <v>0.0000000003</v>
      </c>
      <c r="X253" s="163">
        <f>'計分版'!H$14</f>
        <v>0.0000000004</v>
      </c>
      <c r="Y253" s="163">
        <f>'計分版'!I$14</f>
        <v>0.0000000005</v>
      </c>
      <c r="Z253" s="163">
        <f>'計分版'!J$14</f>
        <v>0</v>
      </c>
      <c r="AA253" s="163">
        <f>'計分版'!K$14</f>
        <v>0</v>
      </c>
      <c r="AB253" s="163">
        <f>'計分版'!L$14</f>
        <v>0</v>
      </c>
      <c r="AC253" s="163">
        <f>'計分版'!M$14</f>
        <v>0</v>
      </c>
      <c r="AD253" s="163">
        <f>'計分版'!N$14</f>
        <v>0</v>
      </c>
      <c r="AE253" s="163"/>
      <c r="AF253" s="163"/>
      <c r="AG253" s="163" t="s">
        <v>166</v>
      </c>
      <c r="AH253" s="163"/>
      <c r="AI253" s="163"/>
      <c r="AJ253" s="163"/>
      <c r="AK253" s="163"/>
      <c r="AL253" s="163"/>
      <c r="AM253" s="163"/>
      <c r="AN253" s="130"/>
      <c r="AO253" s="130"/>
      <c r="AP253" s="130"/>
      <c r="AQ253" s="130"/>
      <c r="AR253" s="130"/>
      <c r="AS253" s="130"/>
      <c r="AT253" s="130"/>
    </row>
    <row r="254" ht="13.5" customHeight="1">
      <c r="A254" s="130" t="str">
        <f>HKU!A17</f>
        <v>JS6092</v>
      </c>
      <c r="B254" s="130" t="str">
        <f>HKU!C17</f>
        <v>教育學士(幼兒教育及特殊教育)</v>
      </c>
      <c r="C254" s="175" t="s">
        <v>21</v>
      </c>
      <c r="D254" s="166"/>
      <c r="E254" s="163">
        <v>3.0</v>
      </c>
      <c r="F254" s="163">
        <v>3.0</v>
      </c>
      <c r="G254" s="163">
        <v>2.0</v>
      </c>
      <c r="H254" s="163">
        <v>2.0</v>
      </c>
      <c r="I254" s="163">
        <v>3.0</v>
      </c>
      <c r="J254" s="163">
        <v>3.0</v>
      </c>
      <c r="K254" s="163"/>
      <c r="L254" s="163">
        <f t="shared" ref="L254:O254" si="277">IF(E254&gt;U254,0,1)</f>
        <v>0</v>
      </c>
      <c r="M254" s="163">
        <f t="shared" si="277"/>
        <v>0</v>
      </c>
      <c r="N254" s="163">
        <f t="shared" si="277"/>
        <v>0</v>
      </c>
      <c r="O254" s="163">
        <f t="shared" si="277"/>
        <v>0</v>
      </c>
      <c r="P254" s="163">
        <f t="shared" si="276"/>
        <v>0</v>
      </c>
      <c r="Q254" s="163">
        <f t="shared" si="273"/>
        <v>0</v>
      </c>
      <c r="R254" s="130"/>
      <c r="S254" s="163">
        <f t="shared" si="261"/>
        <v>0</v>
      </c>
      <c r="T254" s="163"/>
      <c r="U254" s="163">
        <f>'計分版'!E$14</f>
        <v>0.0000000001</v>
      </c>
      <c r="V254" s="163">
        <f>'計分版'!F$14</f>
        <v>0.0000000002</v>
      </c>
      <c r="W254" s="163">
        <f>'計分版'!G$14</f>
        <v>0.0000000003</v>
      </c>
      <c r="X254" s="163">
        <f>'計分版'!H$14</f>
        <v>0.0000000004</v>
      </c>
      <c r="Y254" s="163">
        <f>'計分版'!I$14</f>
        <v>0.0000000005</v>
      </c>
      <c r="Z254" s="163">
        <f>'計分版'!J$14</f>
        <v>0</v>
      </c>
      <c r="AA254" s="163">
        <f>'計分版'!K$14</f>
        <v>0</v>
      </c>
      <c r="AB254" s="163">
        <f>'計分版'!L$14</f>
        <v>0</v>
      </c>
      <c r="AC254" s="163">
        <f>'計分版'!M$14</f>
        <v>0</v>
      </c>
      <c r="AD254" s="163">
        <f>'計分版'!N$14</f>
        <v>0</v>
      </c>
      <c r="AE254" s="163"/>
      <c r="AF254" s="163"/>
      <c r="AG254" s="163" t="s">
        <v>166</v>
      </c>
      <c r="AH254" s="163"/>
      <c r="AI254" s="163"/>
      <c r="AJ254" s="163"/>
      <c r="AK254" s="163"/>
      <c r="AL254" s="163"/>
      <c r="AM254" s="163"/>
      <c r="AN254" s="130"/>
      <c r="AO254" s="130"/>
      <c r="AP254" s="130"/>
      <c r="AQ254" s="130"/>
      <c r="AR254" s="130"/>
      <c r="AS254" s="130"/>
      <c r="AT254" s="130"/>
    </row>
    <row r="255" ht="13.5" customHeight="1">
      <c r="A255" s="130" t="str">
        <f>HKU!A18</f>
        <v>JS6119</v>
      </c>
      <c r="B255" s="130" t="str">
        <f>HKU!C18</f>
        <v>教育學士及理學士 (雙學位課程)</v>
      </c>
      <c r="C255" s="175" t="s">
        <v>21</v>
      </c>
      <c r="D255" s="166"/>
      <c r="E255" s="163">
        <v>3.0</v>
      </c>
      <c r="F255" s="163">
        <v>3.0</v>
      </c>
      <c r="G255" s="163">
        <v>2.0</v>
      </c>
      <c r="H255" s="163">
        <v>2.0</v>
      </c>
      <c r="I255" s="163">
        <v>3.0</v>
      </c>
      <c r="J255" s="163">
        <v>3.0</v>
      </c>
      <c r="K255" s="163"/>
      <c r="L255" s="163">
        <f t="shared" ref="L255:O255" si="278">IF(E255&gt;U255,0,1)</f>
        <v>0</v>
      </c>
      <c r="M255" s="163">
        <f t="shared" si="278"/>
        <v>0</v>
      </c>
      <c r="N255" s="163">
        <f t="shared" si="278"/>
        <v>0</v>
      </c>
      <c r="O255" s="163">
        <f t="shared" si="278"/>
        <v>0</v>
      </c>
      <c r="P255" s="163">
        <f>IF('計分版'!$P$259=0,0,IF(I255&gt;LARGE(Z255:AD255,1),0,1))</f>
        <v>0</v>
      </c>
      <c r="Q255" s="163">
        <f t="shared" si="273"/>
        <v>0</v>
      </c>
      <c r="R255" s="130"/>
      <c r="S255" s="163">
        <f t="shared" si="261"/>
        <v>0</v>
      </c>
      <c r="T255" s="163"/>
      <c r="U255" s="163">
        <f>'計分版'!E$14</f>
        <v>0.0000000001</v>
      </c>
      <c r="V255" s="163">
        <f>'計分版'!F$14</f>
        <v>0.0000000002</v>
      </c>
      <c r="W255" s="163">
        <f>'計分版'!G$14</f>
        <v>0.0000000003</v>
      </c>
      <c r="X255" s="163">
        <f>'計分版'!H$14</f>
        <v>0.0000000004</v>
      </c>
      <c r="Y255" s="163">
        <f>'計分版'!I$14</f>
        <v>0.0000000005</v>
      </c>
      <c r="Z255" s="163">
        <f>'計分版'!J$14</f>
        <v>0</v>
      </c>
      <c r="AA255" s="163">
        <f>'計分版'!K$14</f>
        <v>0</v>
      </c>
      <c r="AB255" s="163">
        <f>'計分版'!L$14</f>
        <v>0</v>
      </c>
      <c r="AC255" s="163">
        <f>'計分版'!M$14</f>
        <v>0</v>
      </c>
      <c r="AD255" s="163">
        <f>'計分版'!N$14</f>
        <v>0</v>
      </c>
      <c r="AE255" s="163"/>
      <c r="AF255" s="163"/>
      <c r="AG255" s="163" t="s">
        <v>166</v>
      </c>
      <c r="AH255" s="163"/>
      <c r="AI255" s="163"/>
      <c r="AJ255" s="163"/>
      <c r="AK255" s="163"/>
      <c r="AL255" s="163"/>
      <c r="AM255" s="163"/>
      <c r="AN255" s="130"/>
      <c r="AO255" s="130"/>
      <c r="AP255" s="130"/>
      <c r="AQ255" s="130"/>
      <c r="AR255" s="130"/>
      <c r="AS255" s="130"/>
      <c r="AT255" s="130"/>
    </row>
    <row r="256" ht="13.5" customHeight="1">
      <c r="A256" s="130" t="str">
        <f>HKU!A19</f>
        <v>JS6157</v>
      </c>
      <c r="B256" s="130" t="str">
        <f>HKU!C19</f>
        <v>理學士(言語及聽覺科學)</v>
      </c>
      <c r="C256" s="175" t="s">
        <v>24</v>
      </c>
      <c r="D256" s="166"/>
      <c r="E256" s="163">
        <v>3.0</v>
      </c>
      <c r="F256" s="163">
        <v>3.0</v>
      </c>
      <c r="G256" s="163">
        <v>2.0</v>
      </c>
      <c r="H256" s="163">
        <v>2.0</v>
      </c>
      <c r="I256" s="163">
        <v>3.0</v>
      </c>
      <c r="J256" s="163">
        <v>3.0</v>
      </c>
      <c r="K256" s="163"/>
      <c r="L256" s="163">
        <f t="shared" ref="L256:O256" si="279">IF(E256&gt;U256,0,1)</f>
        <v>0</v>
      </c>
      <c r="M256" s="163">
        <f t="shared" si="279"/>
        <v>0</v>
      </c>
      <c r="N256" s="163">
        <f t="shared" si="279"/>
        <v>0</v>
      </c>
      <c r="O256" s="163">
        <f t="shared" si="279"/>
        <v>0</v>
      </c>
      <c r="P256" s="163">
        <f>IF('計分版'!$P$267=0,0,IF(I256&gt;LARGE(Z256:AD256,1),0,1))</f>
        <v>0</v>
      </c>
      <c r="Q256" s="163">
        <f t="shared" si="273"/>
        <v>0</v>
      </c>
      <c r="R256" s="130"/>
      <c r="S256" s="163">
        <f t="shared" si="261"/>
        <v>0</v>
      </c>
      <c r="T256" s="163"/>
      <c r="U256" s="163">
        <f>'計分版'!E$14</f>
        <v>0.0000000001</v>
      </c>
      <c r="V256" s="163">
        <f>'計分版'!F$14</f>
        <v>0.0000000002</v>
      </c>
      <c r="W256" s="163">
        <f>'計分版'!G$14</f>
        <v>0.0000000003</v>
      </c>
      <c r="X256" s="163">
        <f>'計分版'!H$14</f>
        <v>0.0000000004</v>
      </c>
      <c r="Y256" s="163">
        <f>'計分版'!I$14</f>
        <v>0.0000000005</v>
      </c>
      <c r="Z256" s="163">
        <f>'計分版'!J$14</f>
        <v>0</v>
      </c>
      <c r="AA256" s="163">
        <f>'計分版'!K$14</f>
        <v>0</v>
      </c>
      <c r="AB256" s="163">
        <f>'計分版'!L$14</f>
        <v>0</v>
      </c>
      <c r="AC256" s="163">
        <f>'計分版'!M$14</f>
        <v>0</v>
      </c>
      <c r="AD256" s="163">
        <f>'計分版'!N$14</f>
        <v>0</v>
      </c>
      <c r="AE256" s="163"/>
      <c r="AF256" s="163"/>
      <c r="AG256" s="163" t="s">
        <v>166</v>
      </c>
      <c r="AH256" s="163"/>
      <c r="AI256" s="163"/>
      <c r="AJ256" s="163"/>
      <c r="AK256" s="163"/>
      <c r="AL256" s="163"/>
      <c r="AM256" s="163"/>
      <c r="AN256" s="130"/>
      <c r="AO256" s="130"/>
      <c r="AP256" s="130"/>
      <c r="AQ256" s="130"/>
      <c r="AR256" s="130"/>
      <c r="AS256" s="130"/>
      <c r="AT256" s="130"/>
    </row>
    <row r="257" ht="13.5" customHeight="1">
      <c r="A257" s="130" t="str">
        <f>HKU!A20</f>
        <v>JS6195</v>
      </c>
      <c r="B257" s="130" t="str">
        <f>HKU!C20</f>
        <v>教育學士及社會科學學士 (雙學位課程)</v>
      </c>
      <c r="C257" s="175" t="s">
        <v>21</v>
      </c>
      <c r="D257" s="166"/>
      <c r="E257" s="163">
        <v>3.0</v>
      </c>
      <c r="F257" s="163">
        <v>3.0</v>
      </c>
      <c r="G257" s="163">
        <v>2.0</v>
      </c>
      <c r="H257" s="163">
        <v>2.0</v>
      </c>
      <c r="I257" s="163">
        <v>3.0</v>
      </c>
      <c r="J257" s="163">
        <v>3.0</v>
      </c>
      <c r="K257" s="163"/>
      <c r="L257" s="163">
        <f t="shared" ref="L257:O257" si="280">IF(E257&gt;U257,0,1)</f>
        <v>0</v>
      </c>
      <c r="M257" s="163">
        <f t="shared" si="280"/>
        <v>0</v>
      </c>
      <c r="N257" s="163">
        <f t="shared" si="280"/>
        <v>0</v>
      </c>
      <c r="O257" s="163">
        <f t="shared" si="280"/>
        <v>0</v>
      </c>
      <c r="P257" s="163">
        <f>IF(I257&gt;LARGE(Z257:AD257,1),0,1)</f>
        <v>0</v>
      </c>
      <c r="Q257" s="163">
        <f t="shared" si="273"/>
        <v>0</v>
      </c>
      <c r="R257" s="130"/>
      <c r="S257" s="163">
        <f t="shared" si="261"/>
        <v>0</v>
      </c>
      <c r="T257" s="163"/>
      <c r="U257" s="163">
        <f>'計分版'!E$14</f>
        <v>0.0000000001</v>
      </c>
      <c r="V257" s="163">
        <f>'計分版'!F$14</f>
        <v>0.0000000002</v>
      </c>
      <c r="W257" s="163">
        <f>'計分版'!G$14</f>
        <v>0.0000000003</v>
      </c>
      <c r="X257" s="163">
        <f>'計分版'!H$14</f>
        <v>0.0000000004</v>
      </c>
      <c r="Y257" s="163">
        <f>'計分版'!I$14</f>
        <v>0.0000000005</v>
      </c>
      <c r="Z257" s="163">
        <f>'計分版'!J$14</f>
        <v>0</v>
      </c>
      <c r="AA257" s="163">
        <f>'計分版'!K$14</f>
        <v>0</v>
      </c>
      <c r="AB257" s="163">
        <f>'計分版'!L$14</f>
        <v>0</v>
      </c>
      <c r="AC257" s="163">
        <f>'計分版'!M$14</f>
        <v>0</v>
      </c>
      <c r="AD257" s="163">
        <f>'計分版'!N$14</f>
        <v>0</v>
      </c>
      <c r="AE257" s="163"/>
      <c r="AF257" s="163"/>
      <c r="AG257" s="163" t="s">
        <v>166</v>
      </c>
      <c r="AH257" s="163"/>
      <c r="AI257" s="163"/>
      <c r="AJ257" s="163"/>
      <c r="AK257" s="163"/>
      <c r="AL257" s="163"/>
      <c r="AM257" s="163"/>
      <c r="AN257" s="130"/>
      <c r="AO257" s="130"/>
      <c r="AP257" s="130"/>
      <c r="AQ257" s="130"/>
      <c r="AR257" s="130"/>
      <c r="AS257" s="130"/>
      <c r="AT257" s="130"/>
    </row>
    <row r="258" ht="13.5" customHeight="1">
      <c r="A258" s="130" t="str">
        <f>HKU!A21</f>
        <v>JS6925</v>
      </c>
      <c r="B258" s="130" t="str">
        <f>HKU!C21</f>
        <v>工學學士(生物醫學工程)</v>
      </c>
      <c r="C258" s="175" t="s">
        <v>21</v>
      </c>
      <c r="D258" s="166"/>
      <c r="E258" s="163">
        <v>3.0</v>
      </c>
      <c r="F258" s="163">
        <v>3.0</v>
      </c>
      <c r="G258" s="163">
        <v>2.0</v>
      </c>
      <c r="H258" s="163">
        <v>2.0</v>
      </c>
      <c r="I258" s="163">
        <v>3.0</v>
      </c>
      <c r="J258" s="163">
        <v>3.0</v>
      </c>
      <c r="K258" s="163"/>
      <c r="L258" s="163">
        <f t="shared" ref="L258:O258" si="281">IF(E258&gt;U258,0,1)</f>
        <v>0</v>
      </c>
      <c r="M258" s="163">
        <f t="shared" si="281"/>
        <v>0</v>
      </c>
      <c r="N258" s="163">
        <f t="shared" si="281"/>
        <v>0</v>
      </c>
      <c r="O258" s="163">
        <f t="shared" si="281"/>
        <v>0</v>
      </c>
      <c r="P258" s="163">
        <f>IF('計分版'!$P$263=0,0,IF(I258&gt;LARGE(Z258:AD258,1),0,1))</f>
        <v>0</v>
      </c>
      <c r="Q258" s="163">
        <f>IF(J258&gt;LARGE(Z258:AD258,2),0,IF('計分版'!$I$14&lt;3,2,1))</f>
        <v>0</v>
      </c>
      <c r="R258" s="130"/>
      <c r="S258" s="163">
        <f t="shared" si="261"/>
        <v>0</v>
      </c>
      <c r="T258" s="163"/>
      <c r="U258" s="163">
        <f>'計分版'!E$14</f>
        <v>0.0000000001</v>
      </c>
      <c r="V258" s="163">
        <f>'計分版'!F$14</f>
        <v>0.0000000002</v>
      </c>
      <c r="W258" s="163">
        <f>'計分版'!G$14</f>
        <v>0.0000000003</v>
      </c>
      <c r="X258" s="163">
        <f>'計分版'!H$14</f>
        <v>0.0000000004</v>
      </c>
      <c r="Y258" s="163">
        <f>'計分版'!I$14</f>
        <v>0.0000000005</v>
      </c>
      <c r="Z258" s="163">
        <f>'計分版'!J$14</f>
        <v>0</v>
      </c>
      <c r="AA258" s="163">
        <f>'計分版'!K$14</f>
        <v>0</v>
      </c>
      <c r="AB258" s="163">
        <f>'計分版'!L$14</f>
        <v>0</v>
      </c>
      <c r="AC258" s="163">
        <f>'計分版'!M$14</f>
        <v>0</v>
      </c>
      <c r="AD258" s="163">
        <f>'計分版'!N$14</f>
        <v>0</v>
      </c>
      <c r="AE258" s="163"/>
      <c r="AF258" s="163"/>
      <c r="AG258" s="163" t="s">
        <v>166</v>
      </c>
      <c r="AH258" s="163"/>
      <c r="AI258" s="163"/>
      <c r="AJ258" s="163"/>
      <c r="AK258" s="163"/>
      <c r="AL258" s="163"/>
      <c r="AM258" s="163"/>
      <c r="AN258" s="130"/>
      <c r="AO258" s="130"/>
      <c r="AP258" s="130"/>
      <c r="AQ258" s="130"/>
      <c r="AR258" s="130"/>
      <c r="AS258" s="130"/>
      <c r="AT258" s="130"/>
    </row>
    <row r="259" ht="13.5" customHeight="1">
      <c r="A259" s="130" t="str">
        <f>HKU!A22</f>
        <v>JS6937</v>
      </c>
      <c r="B259" s="130" t="str">
        <f>HKU!C22</f>
        <v>環球工程與商業課程</v>
      </c>
      <c r="C259" s="175" t="s">
        <v>21</v>
      </c>
      <c r="D259" s="166"/>
      <c r="E259" s="163">
        <v>3.0</v>
      </c>
      <c r="F259" s="163">
        <v>4.0</v>
      </c>
      <c r="G259" s="163">
        <v>4.0</v>
      </c>
      <c r="H259" s="163">
        <v>2.0</v>
      </c>
      <c r="I259" s="163">
        <v>3.0</v>
      </c>
      <c r="J259" s="163">
        <v>3.0</v>
      </c>
      <c r="K259" s="163"/>
      <c r="L259" s="163">
        <f t="shared" ref="L259:O259" si="282">IF(E259&gt;U259,0,1)</f>
        <v>0</v>
      </c>
      <c r="M259" s="163">
        <f t="shared" si="282"/>
        <v>0</v>
      </c>
      <c r="N259" s="163">
        <f t="shared" si="282"/>
        <v>0</v>
      </c>
      <c r="O259" s="163">
        <f t="shared" si="282"/>
        <v>0</v>
      </c>
      <c r="P259" s="163">
        <f>IF('計分版'!$P$263=0,0,IF(I259&gt;LARGE(Z259:AD259,1),0,1))</f>
        <v>0</v>
      </c>
      <c r="Q259" s="163">
        <f>IF(J259&gt;LARGE(Z259:AD259,2),0,IF('計分版'!$I$14&lt;3,2,1))</f>
        <v>0</v>
      </c>
      <c r="R259" s="130"/>
      <c r="S259" s="163">
        <f t="shared" si="261"/>
        <v>0</v>
      </c>
      <c r="T259" s="163"/>
      <c r="U259" s="163">
        <f>'計分版'!E$14</f>
        <v>0.0000000001</v>
      </c>
      <c r="V259" s="163">
        <f>'計分版'!F$14</f>
        <v>0.0000000002</v>
      </c>
      <c r="W259" s="163">
        <f>'計分版'!G$14</f>
        <v>0.0000000003</v>
      </c>
      <c r="X259" s="163">
        <f>'計分版'!H$14</f>
        <v>0.0000000004</v>
      </c>
      <c r="Y259" s="163">
        <f>'計分版'!I$14</f>
        <v>0.0000000005</v>
      </c>
      <c r="Z259" s="163">
        <f>'計分版'!J$14</f>
        <v>0</v>
      </c>
      <c r="AA259" s="163">
        <f>'計分版'!K$14</f>
        <v>0</v>
      </c>
      <c r="AB259" s="163">
        <f>'計分版'!L$14</f>
        <v>0</v>
      </c>
      <c r="AC259" s="163">
        <f>'計分版'!M$14</f>
        <v>0</v>
      </c>
      <c r="AD259" s="163">
        <f>'計分版'!N$14</f>
        <v>0</v>
      </c>
      <c r="AE259" s="163"/>
      <c r="AF259" s="163"/>
      <c r="AG259" s="163" t="s">
        <v>166</v>
      </c>
      <c r="AH259" s="163"/>
      <c r="AI259" s="163"/>
      <c r="AJ259" s="163"/>
      <c r="AK259" s="163"/>
      <c r="AL259" s="163"/>
      <c r="AM259" s="163"/>
      <c r="AN259" s="130"/>
      <c r="AO259" s="130"/>
      <c r="AP259" s="130"/>
      <c r="AQ259" s="130"/>
      <c r="AR259" s="130"/>
      <c r="AS259" s="130"/>
      <c r="AT259" s="130"/>
    </row>
    <row r="260" ht="13.5" customHeight="1">
      <c r="A260" s="130" t="str">
        <f>HKU!A23</f>
        <v>JS6951</v>
      </c>
      <c r="B260" s="130" t="str">
        <f>HKU!C23</f>
        <v>工學學士(工程科學)</v>
      </c>
      <c r="C260" s="175" t="s">
        <v>21</v>
      </c>
      <c r="D260" s="166"/>
      <c r="E260" s="163">
        <v>3.0</v>
      </c>
      <c r="F260" s="163">
        <v>3.0</v>
      </c>
      <c r="G260" s="163">
        <v>2.0</v>
      </c>
      <c r="H260" s="163">
        <v>2.0</v>
      </c>
      <c r="I260" s="163">
        <v>3.0</v>
      </c>
      <c r="J260" s="163">
        <v>3.0</v>
      </c>
      <c r="K260" s="163"/>
      <c r="L260" s="163">
        <f t="shared" ref="L260:O260" si="283">IF(E260&gt;U260,0,1)</f>
        <v>0</v>
      </c>
      <c r="M260" s="163">
        <f t="shared" si="283"/>
        <v>0</v>
      </c>
      <c r="N260" s="163">
        <f t="shared" si="283"/>
        <v>0</v>
      </c>
      <c r="O260" s="163">
        <f t="shared" si="283"/>
        <v>0</v>
      </c>
      <c r="P260" s="163">
        <f>IF('計分版'!$P$263=0,0,IF(I260&gt;LARGE(Z260:AD260,1),0,1))</f>
        <v>0</v>
      </c>
      <c r="Q260" s="163">
        <f>IF(J260&gt;LARGE(Z260:AD260,2),0,IF('計分版'!$I$14&lt;3,2,1))</f>
        <v>0</v>
      </c>
      <c r="R260" s="130"/>
      <c r="S260" s="163">
        <f t="shared" si="261"/>
        <v>0</v>
      </c>
      <c r="T260" s="163"/>
      <c r="U260" s="163">
        <f>'計分版'!E$14</f>
        <v>0.0000000001</v>
      </c>
      <c r="V260" s="163">
        <f>'計分版'!F$14</f>
        <v>0.0000000002</v>
      </c>
      <c r="W260" s="163">
        <f>'計分版'!G$14</f>
        <v>0.0000000003</v>
      </c>
      <c r="X260" s="163">
        <f>'計分版'!H$14</f>
        <v>0.0000000004</v>
      </c>
      <c r="Y260" s="163">
        <f>'計分版'!I$14</f>
        <v>0.0000000005</v>
      </c>
      <c r="Z260" s="163">
        <f>'計分版'!J$14</f>
        <v>0</v>
      </c>
      <c r="AA260" s="163">
        <f>'計分版'!K$14</f>
        <v>0</v>
      </c>
      <c r="AB260" s="163">
        <f>'計分版'!L$14</f>
        <v>0</v>
      </c>
      <c r="AC260" s="163">
        <f>'計分版'!M$14</f>
        <v>0</v>
      </c>
      <c r="AD260" s="163">
        <f>'計分版'!N$14</f>
        <v>0</v>
      </c>
      <c r="AE260" s="163"/>
      <c r="AF260" s="163"/>
      <c r="AG260" s="163" t="s">
        <v>166</v>
      </c>
      <c r="AH260" s="163"/>
      <c r="AI260" s="163"/>
      <c r="AJ260" s="163"/>
      <c r="AK260" s="163"/>
      <c r="AL260" s="163"/>
      <c r="AM260" s="163"/>
      <c r="AN260" s="130"/>
      <c r="AO260" s="130"/>
      <c r="AP260" s="130"/>
      <c r="AQ260" s="130"/>
      <c r="AR260" s="130"/>
      <c r="AS260" s="130"/>
      <c r="AT260" s="130"/>
    </row>
    <row r="261" ht="13.5" customHeight="1">
      <c r="A261" s="130" t="str">
        <f>HKU!A24</f>
        <v>JS6963</v>
      </c>
      <c r="B261" s="130" t="str">
        <f>HKU!C24</f>
        <v>工學學士</v>
      </c>
      <c r="C261" s="175" t="s">
        <v>21</v>
      </c>
      <c r="D261" s="166"/>
      <c r="E261" s="163">
        <v>3.0</v>
      </c>
      <c r="F261" s="163">
        <v>3.0</v>
      </c>
      <c r="G261" s="163">
        <v>2.0</v>
      </c>
      <c r="H261" s="163">
        <v>2.0</v>
      </c>
      <c r="I261" s="163">
        <v>3.0</v>
      </c>
      <c r="J261" s="163">
        <v>3.0</v>
      </c>
      <c r="K261" s="163"/>
      <c r="L261" s="163">
        <f t="shared" ref="L261:O261" si="284">IF(E261&gt;U261,0,1)</f>
        <v>0</v>
      </c>
      <c r="M261" s="163">
        <f t="shared" si="284"/>
        <v>0</v>
      </c>
      <c r="N261" s="163">
        <f t="shared" si="284"/>
        <v>0</v>
      </c>
      <c r="O261" s="163">
        <f t="shared" si="284"/>
        <v>0</v>
      </c>
      <c r="P261" s="163">
        <f>IF('計分版'!$P$263=0,0,IF(I261&gt;LARGE(Z261:AD261,1),0,1))</f>
        <v>0</v>
      </c>
      <c r="Q261" s="163">
        <f>IF(J261&gt;LARGE(Z261:AD261,2),0,IF('計分版'!$I$14&lt;3,2,1))</f>
        <v>0</v>
      </c>
      <c r="R261" s="130"/>
      <c r="S261" s="163">
        <f t="shared" si="261"/>
        <v>0</v>
      </c>
      <c r="T261" s="163"/>
      <c r="U261" s="163">
        <f>'計分版'!E$14</f>
        <v>0.0000000001</v>
      </c>
      <c r="V261" s="163">
        <f>'計分版'!F$14</f>
        <v>0.0000000002</v>
      </c>
      <c r="W261" s="163">
        <f>'計分版'!G$14</f>
        <v>0.0000000003</v>
      </c>
      <c r="X261" s="163">
        <f>'計分版'!H$14</f>
        <v>0.0000000004</v>
      </c>
      <c r="Y261" s="163">
        <f>'計分版'!I$14</f>
        <v>0.0000000005</v>
      </c>
      <c r="Z261" s="163">
        <f>'計分版'!J$14</f>
        <v>0</v>
      </c>
      <c r="AA261" s="163">
        <f>'計分版'!K$14</f>
        <v>0</v>
      </c>
      <c r="AB261" s="163">
        <f>'計分版'!L$14</f>
        <v>0</v>
      </c>
      <c r="AC261" s="163">
        <f>'計分版'!M$14</f>
        <v>0</v>
      </c>
      <c r="AD261" s="163">
        <f>'計分版'!N$14</f>
        <v>0</v>
      </c>
      <c r="AE261" s="163"/>
      <c r="AF261" s="163"/>
      <c r="AG261" s="163" t="s">
        <v>166</v>
      </c>
      <c r="AH261" s="163"/>
      <c r="AI261" s="163"/>
      <c r="AJ261" s="163"/>
      <c r="AK261" s="163"/>
      <c r="AL261" s="163"/>
      <c r="AM261" s="163"/>
      <c r="AN261" s="130"/>
      <c r="AO261" s="130"/>
      <c r="AP261" s="130"/>
      <c r="AQ261" s="130"/>
      <c r="AR261" s="130"/>
      <c r="AS261" s="130"/>
      <c r="AT261" s="130"/>
    </row>
    <row r="262" ht="13.5" customHeight="1">
      <c r="A262" s="130" t="str">
        <f>HKU!A25</f>
        <v>JS6078</v>
      </c>
      <c r="B262" s="130" t="str">
        <f>HKU!C25</f>
        <v>文學士及法學士 (雙學位課程)</v>
      </c>
      <c r="C262" s="175" t="s">
        <v>24</v>
      </c>
      <c r="D262" s="166"/>
      <c r="E262" s="163">
        <v>4.0</v>
      </c>
      <c r="F262" s="163">
        <v>5.0</v>
      </c>
      <c r="G262" s="163">
        <v>3.0</v>
      </c>
      <c r="H262" s="163">
        <v>3.0</v>
      </c>
      <c r="I262" s="163">
        <v>3.0</v>
      </c>
      <c r="J262" s="163">
        <v>3.0</v>
      </c>
      <c r="K262" s="163"/>
      <c r="L262" s="163">
        <f t="shared" ref="L262:O262" si="285">IF(E262&gt;U262,0,1)</f>
        <v>0</v>
      </c>
      <c r="M262" s="163">
        <f t="shared" si="285"/>
        <v>0</v>
      </c>
      <c r="N262" s="163">
        <f t="shared" si="285"/>
        <v>0</v>
      </c>
      <c r="O262" s="163">
        <f t="shared" si="285"/>
        <v>0</v>
      </c>
      <c r="P262" s="163">
        <f t="shared" ref="P262:P264" si="287">IF(I262&gt;LARGE(Z262:AD262,1),0,1)</f>
        <v>0</v>
      </c>
      <c r="Q262" s="163">
        <f t="shared" ref="Q262:Q268" si="288">IF(J262&gt;LARGE(Z262:AD262,2),0,1)</f>
        <v>0</v>
      </c>
      <c r="R262" s="130"/>
      <c r="S262" s="163">
        <f t="shared" si="261"/>
        <v>0</v>
      </c>
      <c r="T262" s="163"/>
      <c r="U262" s="163">
        <f>'計分版'!E$14</f>
        <v>0.0000000001</v>
      </c>
      <c r="V262" s="163">
        <f>'計分版'!F$14</f>
        <v>0.0000000002</v>
      </c>
      <c r="W262" s="163">
        <f>'計分版'!G$14</f>
        <v>0.0000000003</v>
      </c>
      <c r="X262" s="163">
        <f>'計分版'!H$14</f>
        <v>0.0000000004</v>
      </c>
      <c r="Y262" s="163">
        <f>'計分版'!I$14</f>
        <v>0.0000000005</v>
      </c>
      <c r="Z262" s="163">
        <f>'計分版'!J$14</f>
        <v>0</v>
      </c>
      <c r="AA262" s="163">
        <f>'計分版'!K$14</f>
        <v>0</v>
      </c>
      <c r="AB262" s="163">
        <f>'計分版'!L$14</f>
        <v>0</v>
      </c>
      <c r="AC262" s="163">
        <f>'計分版'!M$14</f>
        <v>0</v>
      </c>
      <c r="AD262" s="163">
        <f>'計分版'!N$14</f>
        <v>0</v>
      </c>
      <c r="AE262" s="163"/>
      <c r="AF262" s="163"/>
      <c r="AG262" s="163" t="s">
        <v>166</v>
      </c>
      <c r="AH262" s="163"/>
      <c r="AI262" s="163"/>
      <c r="AJ262" s="163"/>
      <c r="AK262" s="163"/>
      <c r="AL262" s="163"/>
      <c r="AM262" s="163"/>
      <c r="AN262" s="130"/>
      <c r="AO262" s="130"/>
      <c r="AP262" s="130"/>
      <c r="AQ262" s="130"/>
      <c r="AR262" s="130"/>
      <c r="AS262" s="130"/>
      <c r="AT262" s="130"/>
    </row>
    <row r="263" ht="13.5" customHeight="1">
      <c r="A263" s="130" t="str">
        <f>HKU!A26</f>
        <v>JS6406</v>
      </c>
      <c r="B263" s="130" t="str">
        <f>HKU!C26</f>
        <v>法學士</v>
      </c>
      <c r="C263" s="175" t="s">
        <v>24</v>
      </c>
      <c r="D263" s="166"/>
      <c r="E263" s="163">
        <v>4.0</v>
      </c>
      <c r="F263" s="163">
        <v>5.0</v>
      </c>
      <c r="G263" s="163">
        <v>3.0</v>
      </c>
      <c r="H263" s="163">
        <v>3.0</v>
      </c>
      <c r="I263" s="163">
        <v>3.0</v>
      </c>
      <c r="J263" s="163">
        <v>3.0</v>
      </c>
      <c r="K263" s="163"/>
      <c r="L263" s="163">
        <f t="shared" ref="L263:O263" si="286">IF(E263&gt;U263,0,1)</f>
        <v>0</v>
      </c>
      <c r="M263" s="163">
        <f t="shared" si="286"/>
        <v>0</v>
      </c>
      <c r="N263" s="163">
        <f t="shared" si="286"/>
        <v>0</v>
      </c>
      <c r="O263" s="163">
        <f t="shared" si="286"/>
        <v>0</v>
      </c>
      <c r="P263" s="163">
        <f t="shared" si="287"/>
        <v>0</v>
      </c>
      <c r="Q263" s="163">
        <f t="shared" si="288"/>
        <v>0</v>
      </c>
      <c r="R263" s="130"/>
      <c r="S263" s="163">
        <f t="shared" si="261"/>
        <v>0</v>
      </c>
      <c r="T263" s="163"/>
      <c r="U263" s="163">
        <f>'計分版'!E$14</f>
        <v>0.0000000001</v>
      </c>
      <c r="V263" s="163">
        <f>'計分版'!F$14</f>
        <v>0.0000000002</v>
      </c>
      <c r="W263" s="163">
        <f>'計分版'!G$14</f>
        <v>0.0000000003</v>
      </c>
      <c r="X263" s="163">
        <f>'計分版'!H$14</f>
        <v>0.0000000004</v>
      </c>
      <c r="Y263" s="163">
        <f>'計分版'!I$14</f>
        <v>0.0000000005</v>
      </c>
      <c r="Z263" s="163">
        <f>'計分版'!J$14</f>
        <v>0</v>
      </c>
      <c r="AA263" s="163">
        <f>'計分版'!K$14</f>
        <v>0</v>
      </c>
      <c r="AB263" s="163">
        <f>'計分版'!L$14</f>
        <v>0</v>
      </c>
      <c r="AC263" s="163">
        <f>'計分版'!M$14</f>
        <v>0</v>
      </c>
      <c r="AD263" s="163">
        <f>'計分版'!N$14</f>
        <v>0</v>
      </c>
      <c r="AE263" s="163"/>
      <c r="AF263" s="163"/>
      <c r="AG263" s="163" t="s">
        <v>166</v>
      </c>
      <c r="AH263" s="163"/>
      <c r="AI263" s="163"/>
      <c r="AJ263" s="163"/>
      <c r="AK263" s="163"/>
      <c r="AL263" s="163"/>
      <c r="AM263" s="163"/>
      <c r="AN263" s="130"/>
      <c r="AO263" s="130"/>
      <c r="AP263" s="130"/>
      <c r="AQ263" s="130"/>
      <c r="AR263" s="130"/>
      <c r="AS263" s="130"/>
      <c r="AT263" s="130"/>
    </row>
    <row r="264" ht="13.5" customHeight="1">
      <c r="A264" s="130" t="str">
        <f>HKU!A27</f>
        <v>JS6418</v>
      </c>
      <c r="B264" s="130" t="str">
        <f>HKU!C27</f>
        <v>護理學學士菁英領袖培育專修組別</v>
      </c>
      <c r="C264" s="175" t="s">
        <v>21</v>
      </c>
      <c r="D264" s="166"/>
      <c r="E264" s="163">
        <v>3.0</v>
      </c>
      <c r="F264" s="163">
        <v>3.0</v>
      </c>
      <c r="G264" s="163">
        <v>2.0</v>
      </c>
      <c r="H264" s="163">
        <v>2.0</v>
      </c>
      <c r="I264" s="163">
        <v>3.0</v>
      </c>
      <c r="J264" s="163">
        <v>3.0</v>
      </c>
      <c r="K264" s="163"/>
      <c r="L264" s="163">
        <f t="shared" ref="L264:O264" si="289">IF(E264&gt;U264,0,1)</f>
        <v>0</v>
      </c>
      <c r="M264" s="163">
        <f t="shared" si="289"/>
        <v>0</v>
      </c>
      <c r="N264" s="163">
        <f t="shared" si="289"/>
        <v>0</v>
      </c>
      <c r="O264" s="163">
        <f t="shared" si="289"/>
        <v>0</v>
      </c>
      <c r="P264" s="163">
        <f t="shared" si="287"/>
        <v>0</v>
      </c>
      <c r="Q264" s="163">
        <f t="shared" si="288"/>
        <v>0</v>
      </c>
      <c r="R264" s="130"/>
      <c r="S264" s="163">
        <f t="shared" si="261"/>
        <v>0</v>
      </c>
      <c r="T264" s="163"/>
      <c r="U264" s="163">
        <f>'計分版'!E$14</f>
        <v>0.0000000001</v>
      </c>
      <c r="V264" s="163">
        <f>'計分版'!F$14</f>
        <v>0.0000000002</v>
      </c>
      <c r="W264" s="163">
        <f>'計分版'!G$14</f>
        <v>0.0000000003</v>
      </c>
      <c r="X264" s="163">
        <f>'計分版'!H$14</f>
        <v>0.0000000004</v>
      </c>
      <c r="Y264" s="163">
        <f>'計分版'!I$14</f>
        <v>0.0000000005</v>
      </c>
      <c r="Z264" s="163">
        <f>'計分版'!J$14</f>
        <v>0</v>
      </c>
      <c r="AA264" s="163">
        <f>'計分版'!K$14</f>
        <v>0</v>
      </c>
      <c r="AB264" s="163">
        <f>'計分版'!L$14</f>
        <v>0</v>
      </c>
      <c r="AC264" s="163">
        <f>'計分版'!M$14</f>
        <v>0</v>
      </c>
      <c r="AD264" s="163">
        <f>'計分版'!N$14</f>
        <v>0</v>
      </c>
      <c r="AE264" s="163"/>
      <c r="AF264" s="163"/>
      <c r="AG264" s="163" t="s">
        <v>166</v>
      </c>
      <c r="AH264" s="163"/>
      <c r="AI264" s="163"/>
      <c r="AJ264" s="163"/>
      <c r="AK264" s="163"/>
      <c r="AL264" s="163"/>
      <c r="AM264" s="163"/>
      <c r="AN264" s="130"/>
      <c r="AO264" s="130"/>
      <c r="AP264" s="130"/>
      <c r="AQ264" s="130"/>
      <c r="AR264" s="130"/>
      <c r="AS264" s="130"/>
      <c r="AT264" s="130"/>
    </row>
    <row r="265" ht="13.5" customHeight="1">
      <c r="A265" s="130" t="str">
        <f>HKU!A28</f>
        <v>JS6456</v>
      </c>
      <c r="B265" s="130" t="str">
        <f>HKU!C28</f>
        <v>內外全科醫學士</v>
      </c>
      <c r="C265" s="175" t="s">
        <v>24</v>
      </c>
      <c r="D265" s="166"/>
      <c r="E265" s="163">
        <v>3.0</v>
      </c>
      <c r="F265" s="163">
        <v>4.0</v>
      </c>
      <c r="G265" s="163">
        <v>2.0</v>
      </c>
      <c r="H265" s="163">
        <v>2.0</v>
      </c>
      <c r="I265" s="163">
        <v>3.0</v>
      </c>
      <c r="J265" s="163">
        <v>3.0</v>
      </c>
      <c r="K265" s="163"/>
      <c r="L265" s="163">
        <f t="shared" ref="L265:O265" si="290">IF(E265&gt;U265,0,1)</f>
        <v>0</v>
      </c>
      <c r="M265" s="163">
        <f t="shared" si="290"/>
        <v>0</v>
      </c>
      <c r="N265" s="163">
        <f t="shared" si="290"/>
        <v>0</v>
      </c>
      <c r="O265" s="163">
        <f t="shared" si="290"/>
        <v>0</v>
      </c>
      <c r="P265" s="163">
        <f>IF('計分版'!P265=0,0,IF(I265&gt;LARGE(Z265:AD265,1),0,1))</f>
        <v>0</v>
      </c>
      <c r="Q265" s="163">
        <f t="shared" si="288"/>
        <v>0</v>
      </c>
      <c r="R265" s="130"/>
      <c r="S265" s="163">
        <f t="shared" si="261"/>
        <v>0</v>
      </c>
      <c r="T265" s="163"/>
      <c r="U265" s="163">
        <f>'計分版'!E$14</f>
        <v>0.0000000001</v>
      </c>
      <c r="V265" s="163">
        <f>'計分版'!F$14</f>
        <v>0.0000000002</v>
      </c>
      <c r="W265" s="163">
        <f>'計分版'!G$14</f>
        <v>0.0000000003</v>
      </c>
      <c r="X265" s="163">
        <f>'計分版'!H$14</f>
        <v>0.0000000004</v>
      </c>
      <c r="Y265" s="163">
        <f>'計分版'!I$14</f>
        <v>0.0000000005</v>
      </c>
      <c r="Z265" s="163">
        <f>'計分版'!J$14</f>
        <v>0</v>
      </c>
      <c r="AA265" s="163">
        <f>'計分版'!K$14</f>
        <v>0</v>
      </c>
      <c r="AB265" s="163">
        <f>'計分版'!L$14</f>
        <v>0</v>
      </c>
      <c r="AC265" s="163">
        <f>'計分版'!M$14</f>
        <v>0</v>
      </c>
      <c r="AD265" s="163">
        <f>'計分版'!N$14</f>
        <v>0</v>
      </c>
      <c r="AE265" s="163"/>
      <c r="AF265" s="163"/>
      <c r="AG265" s="163" t="s">
        <v>166</v>
      </c>
      <c r="AH265" s="163"/>
      <c r="AI265" s="163"/>
      <c r="AJ265" s="163"/>
      <c r="AK265" s="163"/>
      <c r="AL265" s="163"/>
      <c r="AM265" s="163"/>
      <c r="AN265" s="130"/>
      <c r="AO265" s="130"/>
      <c r="AP265" s="130"/>
      <c r="AQ265" s="130"/>
      <c r="AR265" s="130"/>
      <c r="AS265" s="130"/>
      <c r="AT265" s="130"/>
    </row>
    <row r="266" ht="13.5" customHeight="1">
      <c r="A266" s="130" t="str">
        <f>HKU!A29</f>
        <v>JS6468</v>
      </c>
      <c r="B266" s="130" t="str">
        <f>HKU!C29</f>
        <v>護理學學士</v>
      </c>
      <c r="C266" s="175" t="s">
        <v>21</v>
      </c>
      <c r="D266" s="166"/>
      <c r="E266" s="163">
        <v>3.0</v>
      </c>
      <c r="F266" s="163">
        <v>3.0</v>
      </c>
      <c r="G266" s="163">
        <v>2.0</v>
      </c>
      <c r="H266" s="163">
        <v>2.0</v>
      </c>
      <c r="I266" s="163">
        <v>3.0</v>
      </c>
      <c r="J266" s="163">
        <v>3.0</v>
      </c>
      <c r="K266" s="163"/>
      <c r="L266" s="163">
        <f t="shared" ref="L266:O266" si="291">IF(E266&gt;U266,0,1)</f>
        <v>0</v>
      </c>
      <c r="M266" s="163">
        <f t="shared" si="291"/>
        <v>0</v>
      </c>
      <c r="N266" s="163">
        <f t="shared" si="291"/>
        <v>0</v>
      </c>
      <c r="O266" s="163">
        <f t="shared" si="291"/>
        <v>0</v>
      </c>
      <c r="P266" s="163">
        <f>IF(I266&gt;LARGE(Z266:AD266,1),0,1)</f>
        <v>0</v>
      </c>
      <c r="Q266" s="163">
        <f t="shared" si="288"/>
        <v>0</v>
      </c>
      <c r="R266" s="130"/>
      <c r="S266" s="163">
        <f t="shared" si="261"/>
        <v>0</v>
      </c>
      <c r="T266" s="163"/>
      <c r="U266" s="163">
        <f>'計分版'!E$14</f>
        <v>0.0000000001</v>
      </c>
      <c r="V266" s="163">
        <f>'計分版'!F$14</f>
        <v>0.0000000002</v>
      </c>
      <c r="W266" s="163">
        <f>'計分版'!G$14</f>
        <v>0.0000000003</v>
      </c>
      <c r="X266" s="163">
        <f>'計分版'!H$14</f>
        <v>0.0000000004</v>
      </c>
      <c r="Y266" s="163">
        <f>'計分版'!I$14</f>
        <v>0.0000000005</v>
      </c>
      <c r="Z266" s="163">
        <f>'計分版'!J$14</f>
        <v>0</v>
      </c>
      <c r="AA266" s="163">
        <f>'計分版'!K$14</f>
        <v>0</v>
      </c>
      <c r="AB266" s="163">
        <f>'計分版'!L$14</f>
        <v>0</v>
      </c>
      <c r="AC266" s="163">
        <f>'計分版'!M$14</f>
        <v>0</v>
      </c>
      <c r="AD266" s="163">
        <f>'計分版'!N$14</f>
        <v>0</v>
      </c>
      <c r="AE266" s="163"/>
      <c r="AF266" s="163"/>
      <c r="AG266" s="163" t="s">
        <v>166</v>
      </c>
      <c r="AH266" s="163"/>
      <c r="AI266" s="163"/>
      <c r="AJ266" s="163"/>
      <c r="AK266" s="163"/>
      <c r="AL266" s="163"/>
      <c r="AM266" s="163"/>
      <c r="AN266" s="130"/>
      <c r="AO266" s="130"/>
      <c r="AP266" s="130"/>
      <c r="AQ266" s="130"/>
      <c r="AR266" s="130"/>
      <c r="AS266" s="130"/>
      <c r="AT266" s="130"/>
    </row>
    <row r="267" ht="13.5" customHeight="1">
      <c r="A267" s="130" t="str">
        <f>HKU!A30</f>
        <v>JS6482</v>
      </c>
      <c r="B267" s="130" t="str">
        <f>HKU!C30</f>
        <v>中醫全科學士</v>
      </c>
      <c r="C267" s="175" t="s">
        <v>21</v>
      </c>
      <c r="D267" s="166"/>
      <c r="E267" s="163">
        <v>3.0</v>
      </c>
      <c r="F267" s="163">
        <v>3.0</v>
      </c>
      <c r="G267" s="163">
        <v>2.0</v>
      </c>
      <c r="H267" s="163">
        <v>2.0</v>
      </c>
      <c r="I267" s="163">
        <v>3.0</v>
      </c>
      <c r="J267" s="163">
        <v>3.0</v>
      </c>
      <c r="K267" s="163"/>
      <c r="L267" s="163">
        <f t="shared" ref="L267:O267" si="292">IF(E267&gt;U267,0,1)</f>
        <v>0</v>
      </c>
      <c r="M267" s="163">
        <f t="shared" si="292"/>
        <v>0</v>
      </c>
      <c r="N267" s="163">
        <f t="shared" si="292"/>
        <v>0</v>
      </c>
      <c r="O267" s="163">
        <f t="shared" si="292"/>
        <v>0</v>
      </c>
      <c r="P267" s="163">
        <f>IF('計分版'!$P$259=0,0,IF(I266&gt;LARGE(Z267:AD267,1),0,1))</f>
        <v>0</v>
      </c>
      <c r="Q267" s="163">
        <f t="shared" si="288"/>
        <v>0</v>
      </c>
      <c r="R267" s="130"/>
      <c r="S267" s="163">
        <f t="shared" si="261"/>
        <v>0</v>
      </c>
      <c r="T267" s="163"/>
      <c r="U267" s="163">
        <f>'計分版'!E$14</f>
        <v>0.0000000001</v>
      </c>
      <c r="V267" s="163">
        <f>'計分版'!F$14</f>
        <v>0.0000000002</v>
      </c>
      <c r="W267" s="163">
        <f>'計分版'!G$14</f>
        <v>0.0000000003</v>
      </c>
      <c r="X267" s="163">
        <f>'計分版'!H$14</f>
        <v>0.0000000004</v>
      </c>
      <c r="Y267" s="163">
        <f>'計分版'!I$14</f>
        <v>0.0000000005</v>
      </c>
      <c r="Z267" s="163">
        <f>'計分版'!J$14</f>
        <v>0</v>
      </c>
      <c r="AA267" s="163">
        <f>'計分版'!K$14</f>
        <v>0</v>
      </c>
      <c r="AB267" s="163">
        <f>'計分版'!L$14</f>
        <v>0</v>
      </c>
      <c r="AC267" s="163">
        <f>'計分版'!M$14</f>
        <v>0</v>
      </c>
      <c r="AD267" s="163">
        <f>'計分版'!N$14</f>
        <v>0</v>
      </c>
      <c r="AE267" s="163"/>
      <c r="AF267" s="163"/>
      <c r="AG267" s="163" t="s">
        <v>166</v>
      </c>
      <c r="AH267" s="163"/>
      <c r="AI267" s="163"/>
      <c r="AJ267" s="163"/>
      <c r="AK267" s="163"/>
      <c r="AL267" s="163"/>
      <c r="AM267" s="163"/>
      <c r="AN267" s="130"/>
      <c r="AO267" s="130"/>
      <c r="AP267" s="130"/>
      <c r="AQ267" s="130"/>
      <c r="AR267" s="130"/>
      <c r="AS267" s="130"/>
      <c r="AT267" s="130"/>
    </row>
    <row r="268" ht="13.5" customHeight="1">
      <c r="A268" s="130" t="str">
        <f>HKU!A31</f>
        <v>JS6494</v>
      </c>
      <c r="B268" s="130" t="str">
        <f>HKU!C31</f>
        <v>藥劑學學士</v>
      </c>
      <c r="C268" s="175" t="s">
        <v>24</v>
      </c>
      <c r="D268" s="166"/>
      <c r="E268" s="163">
        <v>3.0</v>
      </c>
      <c r="F268" s="163">
        <v>4.0</v>
      </c>
      <c r="G268" s="163">
        <v>2.0</v>
      </c>
      <c r="H268" s="163">
        <v>2.0</v>
      </c>
      <c r="I268" s="163">
        <v>3.0</v>
      </c>
      <c r="J268" s="163">
        <v>3.0</v>
      </c>
      <c r="K268" s="163"/>
      <c r="L268" s="163">
        <f t="shared" ref="L268:O268" si="293">IF(E268&gt;U268,0,1)</f>
        <v>0</v>
      </c>
      <c r="M268" s="163">
        <f t="shared" si="293"/>
        <v>0</v>
      </c>
      <c r="N268" s="163">
        <f t="shared" si="293"/>
        <v>0</v>
      </c>
      <c r="O268" s="163">
        <f t="shared" si="293"/>
        <v>0</v>
      </c>
      <c r="P268" s="163">
        <f>IF('計分版'!P265=0,0,IF(I268&gt;LARGE(Z268:AD268,1),0,1))</f>
        <v>0</v>
      </c>
      <c r="Q268" s="163">
        <f t="shared" si="288"/>
        <v>0</v>
      </c>
      <c r="R268" s="130"/>
      <c r="S268" s="163">
        <f t="shared" si="261"/>
        <v>0</v>
      </c>
      <c r="T268" s="163"/>
      <c r="U268" s="163">
        <f>'計分版'!E$14</f>
        <v>0.0000000001</v>
      </c>
      <c r="V268" s="163">
        <f>'計分版'!F$14</f>
        <v>0.0000000002</v>
      </c>
      <c r="W268" s="163">
        <f>'計分版'!G$14</f>
        <v>0.0000000003</v>
      </c>
      <c r="X268" s="163">
        <f>'計分版'!H$14</f>
        <v>0.0000000004</v>
      </c>
      <c r="Y268" s="163">
        <f>'計分版'!I$14</f>
        <v>0.0000000005</v>
      </c>
      <c r="Z268" s="163">
        <f>'計分版'!J$14</f>
        <v>0</v>
      </c>
      <c r="AA268" s="163">
        <f>'計分版'!K$14</f>
        <v>0</v>
      </c>
      <c r="AB268" s="163">
        <f>'計分版'!L$14</f>
        <v>0</v>
      </c>
      <c r="AC268" s="163">
        <f>'計分版'!M$14</f>
        <v>0</v>
      </c>
      <c r="AD268" s="163">
        <f>'計分版'!N$14</f>
        <v>0</v>
      </c>
      <c r="AE268" s="163"/>
      <c r="AF268" s="163"/>
      <c r="AG268" s="163" t="s">
        <v>166</v>
      </c>
      <c r="AH268" s="163"/>
      <c r="AI268" s="163"/>
      <c r="AJ268" s="163"/>
      <c r="AK268" s="163"/>
      <c r="AL268" s="163"/>
      <c r="AM268" s="163"/>
      <c r="AN268" s="130"/>
      <c r="AO268" s="130"/>
      <c r="AP268" s="130"/>
      <c r="AQ268" s="130"/>
      <c r="AR268" s="130"/>
      <c r="AS268" s="130"/>
      <c r="AT268" s="130"/>
    </row>
    <row r="269" ht="13.5" customHeight="1">
      <c r="A269" s="130" t="str">
        <f>HKU!A32</f>
        <v>JS6949</v>
      </c>
      <c r="B269" s="130" t="str">
        <f>HKU!C32</f>
        <v>生物醫學學士</v>
      </c>
      <c r="C269" s="175" t="s">
        <v>24</v>
      </c>
      <c r="D269" s="166"/>
      <c r="E269" s="163">
        <v>3.0</v>
      </c>
      <c r="F269" s="163">
        <v>4.0</v>
      </c>
      <c r="G269" s="163">
        <v>2.0</v>
      </c>
      <c r="H269" s="163">
        <v>2.0</v>
      </c>
      <c r="I269" s="163">
        <v>3.0</v>
      </c>
      <c r="J269" s="163">
        <v>3.0</v>
      </c>
      <c r="K269" s="163"/>
      <c r="L269" s="163">
        <f t="shared" ref="L269:O269" si="294">IF(E269&gt;U269,0,1)</f>
        <v>0</v>
      </c>
      <c r="M269" s="163">
        <f t="shared" si="294"/>
        <v>0</v>
      </c>
      <c r="N269" s="163">
        <f t="shared" si="294"/>
        <v>0</v>
      </c>
      <c r="O269" s="163">
        <f t="shared" si="294"/>
        <v>0</v>
      </c>
      <c r="P269" s="163">
        <f>IF('計分版'!$P$269=0,0,IF(I269&gt;LARGE(Z269:AD269,1),0,1))</f>
        <v>0</v>
      </c>
      <c r="Q269" s="163">
        <f>IF(J269&gt;LARGE('計分版'!$I$14:$N$14,2),0,1)</f>
        <v>0</v>
      </c>
      <c r="R269" s="130"/>
      <c r="S269" s="163">
        <f t="shared" si="261"/>
        <v>0</v>
      </c>
      <c r="T269" s="163"/>
      <c r="U269" s="163">
        <f>'計分版'!E$14</f>
        <v>0.0000000001</v>
      </c>
      <c r="V269" s="163">
        <f>'計分版'!F$14</f>
        <v>0.0000000002</v>
      </c>
      <c r="W269" s="163">
        <f>'計分版'!G$14</f>
        <v>0.0000000003</v>
      </c>
      <c r="X269" s="163">
        <f>'計分版'!H$14</f>
        <v>0.0000000004</v>
      </c>
      <c r="Y269" s="163">
        <f>'計分版'!I$14</f>
        <v>0.0000000005</v>
      </c>
      <c r="Z269" s="163">
        <f>'計分版'!J$14</f>
        <v>0</v>
      </c>
      <c r="AA269" s="163">
        <f>'計分版'!K$14</f>
        <v>0</v>
      </c>
      <c r="AB269" s="163">
        <f>'計分版'!L$14</f>
        <v>0</v>
      </c>
      <c r="AC269" s="163">
        <f>'計分版'!M$14</f>
        <v>0</v>
      </c>
      <c r="AD269" s="163">
        <f>'計分版'!N$14</f>
        <v>0</v>
      </c>
      <c r="AE269" s="163"/>
      <c r="AF269" s="163"/>
      <c r="AG269" s="163" t="s">
        <v>166</v>
      </c>
      <c r="AH269" s="163"/>
      <c r="AI269" s="163"/>
      <c r="AJ269" s="163"/>
      <c r="AK269" s="163"/>
      <c r="AL269" s="163"/>
      <c r="AM269" s="163"/>
      <c r="AN269" s="130"/>
      <c r="AO269" s="130"/>
      <c r="AP269" s="130"/>
      <c r="AQ269" s="130"/>
      <c r="AR269" s="130"/>
      <c r="AS269" s="130"/>
      <c r="AT269" s="130"/>
    </row>
    <row r="270" ht="13.5" customHeight="1">
      <c r="A270" s="130" t="str">
        <f>HKU!A33</f>
        <v>JS6688</v>
      </c>
      <c r="B270" s="130" t="str">
        <f>HKU!C33</f>
        <v>科研專才啟導課程</v>
      </c>
      <c r="C270" s="176" t="s">
        <v>24</v>
      </c>
      <c r="D270" s="166"/>
      <c r="E270" s="163">
        <v>3.0</v>
      </c>
      <c r="F270" s="163">
        <v>5.0</v>
      </c>
      <c r="G270" s="163">
        <v>4.0</v>
      </c>
      <c r="H270" s="163">
        <v>2.0</v>
      </c>
      <c r="I270" s="163">
        <v>3.0</v>
      </c>
      <c r="J270" s="163">
        <v>3.0</v>
      </c>
      <c r="K270" s="163"/>
      <c r="L270" s="163">
        <f t="shared" ref="L270:L281" si="296">IF(E270&gt;U270,0,1)</f>
        <v>0</v>
      </c>
      <c r="M270" s="163">
        <f>IF(V270&gt;5,1,IF(V270&gt;4,2,0))</f>
        <v>0</v>
      </c>
      <c r="N270" s="163">
        <f t="shared" ref="N270:O270" si="295">IF(G270&gt;W270,0,1)</f>
        <v>0</v>
      </c>
      <c r="O270" s="163">
        <f t="shared" si="295"/>
        <v>0</v>
      </c>
      <c r="P270" s="163">
        <f>IF(OR('計分版'!R256&lt;3,'計分版'!T256&lt;3),0,1)</f>
        <v>0</v>
      </c>
      <c r="Q270" s="163">
        <f>IF('計分版'!$I$14&lt;4,0,1)</f>
        <v>0</v>
      </c>
      <c r="R270" s="130"/>
      <c r="S270" s="163">
        <f t="shared" si="261"/>
        <v>0</v>
      </c>
      <c r="T270" s="163"/>
      <c r="U270" s="163">
        <f>'計分版'!E$14</f>
        <v>0.0000000001</v>
      </c>
      <c r="V270" s="163">
        <f>'計分版'!F$14</f>
        <v>0.0000000002</v>
      </c>
      <c r="W270" s="163">
        <f>'計分版'!G$14</f>
        <v>0.0000000003</v>
      </c>
      <c r="X270" s="163">
        <f>'計分版'!H$14</f>
        <v>0.0000000004</v>
      </c>
      <c r="Y270" s="163">
        <f>'計分版'!I$14</f>
        <v>0.0000000005</v>
      </c>
      <c r="Z270" s="163">
        <f>'計分版'!J$14</f>
        <v>0</v>
      </c>
      <c r="AA270" s="163">
        <f>'計分版'!K$14</f>
        <v>0</v>
      </c>
      <c r="AB270" s="163">
        <f>'計分版'!L$14</f>
        <v>0</v>
      </c>
      <c r="AC270" s="163">
        <f>'計分版'!M$14</f>
        <v>0</v>
      </c>
      <c r="AD270" s="163">
        <f>'計分版'!N$14</f>
        <v>0</v>
      </c>
      <c r="AE270" s="163"/>
      <c r="AF270" s="163"/>
      <c r="AG270" s="163" t="s">
        <v>166</v>
      </c>
      <c r="AH270" s="163"/>
      <c r="AI270" s="163"/>
      <c r="AJ270" s="163"/>
      <c r="AK270" s="163"/>
      <c r="AL270" s="163"/>
      <c r="AM270" s="163"/>
      <c r="AN270" s="130"/>
      <c r="AO270" s="130"/>
      <c r="AP270" s="130"/>
      <c r="AQ270" s="130"/>
      <c r="AR270" s="130"/>
      <c r="AS270" s="130"/>
      <c r="AT270" s="130"/>
    </row>
    <row r="271" ht="13.5" customHeight="1">
      <c r="A271" s="130" t="str">
        <f>HKU!A34</f>
        <v>JS6729</v>
      </c>
      <c r="B271" s="130" t="str">
        <f>HKU!C34</f>
        <v>理學士(精算學)</v>
      </c>
      <c r="C271" s="175" t="s">
        <v>24</v>
      </c>
      <c r="D271" s="166"/>
      <c r="E271" s="163">
        <v>3.0</v>
      </c>
      <c r="F271" s="163">
        <v>3.0</v>
      </c>
      <c r="G271" s="163">
        <v>4.0</v>
      </c>
      <c r="H271" s="163">
        <v>2.0</v>
      </c>
      <c r="I271" s="163">
        <v>3.0</v>
      </c>
      <c r="J271" s="163">
        <v>3.0</v>
      </c>
      <c r="K271" s="163"/>
      <c r="L271" s="163">
        <f t="shared" si="296"/>
        <v>0</v>
      </c>
      <c r="M271" s="163">
        <f t="shared" ref="M271:O271" si="297">IF(F271&gt;V271,0,1)</f>
        <v>0</v>
      </c>
      <c r="N271" s="163">
        <f t="shared" si="297"/>
        <v>0</v>
      </c>
      <c r="O271" s="163">
        <f t="shared" si="297"/>
        <v>0</v>
      </c>
      <c r="P271" s="163">
        <f>IF(I271&gt;LARGE(Z271:AD271,1),0,1)</f>
        <v>0</v>
      </c>
      <c r="Q271" s="163">
        <f>IF('計分版'!$I$14&lt;3,0,IF(J271&gt;LARGE(Z271:AD271,2),0,1))</f>
        <v>0</v>
      </c>
      <c r="R271" s="130"/>
      <c r="S271" s="163">
        <f t="shared" si="261"/>
        <v>0</v>
      </c>
      <c r="T271" s="163"/>
      <c r="U271" s="163">
        <f>'計分版'!E$14</f>
        <v>0.0000000001</v>
      </c>
      <c r="V271" s="163">
        <f>'計分版'!F$14</f>
        <v>0.0000000002</v>
      </c>
      <c r="W271" s="163">
        <f>'計分版'!G$14</f>
        <v>0.0000000003</v>
      </c>
      <c r="X271" s="163">
        <f>'計分版'!H$14</f>
        <v>0.0000000004</v>
      </c>
      <c r="Y271" s="163">
        <f>'計分版'!I$14</f>
        <v>0.0000000005</v>
      </c>
      <c r="Z271" s="163">
        <f>'計分版'!J$14</f>
        <v>0</v>
      </c>
      <c r="AA271" s="163">
        <f>'計分版'!K$14</f>
        <v>0</v>
      </c>
      <c r="AB271" s="163">
        <f>'計分版'!L$14</f>
        <v>0</v>
      </c>
      <c r="AC271" s="163">
        <f>'計分版'!M$14</f>
        <v>0</v>
      </c>
      <c r="AD271" s="163">
        <f>'計分版'!N$14</f>
        <v>0</v>
      </c>
      <c r="AE271" s="163"/>
      <c r="AF271" s="163"/>
      <c r="AG271" s="163" t="s">
        <v>166</v>
      </c>
      <c r="AH271" s="163"/>
      <c r="AI271" s="163"/>
      <c r="AJ271" s="163"/>
      <c r="AK271" s="163"/>
      <c r="AL271" s="163"/>
      <c r="AM271" s="163"/>
      <c r="AN271" s="130"/>
      <c r="AO271" s="130"/>
      <c r="AP271" s="130"/>
      <c r="AQ271" s="130"/>
      <c r="AR271" s="130"/>
      <c r="AS271" s="130"/>
      <c r="AT271" s="130"/>
    </row>
    <row r="272" ht="13.5" customHeight="1">
      <c r="A272" s="130" t="str">
        <f>HKU!A35</f>
        <v>JS6901</v>
      </c>
      <c r="B272" s="130" t="str">
        <f>HKU!C35</f>
        <v>理學士</v>
      </c>
      <c r="C272" s="175" t="s">
        <v>21</v>
      </c>
      <c r="D272" s="166"/>
      <c r="E272" s="163">
        <v>3.0</v>
      </c>
      <c r="F272" s="163">
        <v>3.0</v>
      </c>
      <c r="G272" s="163">
        <v>2.0</v>
      </c>
      <c r="H272" s="163">
        <v>2.0</v>
      </c>
      <c r="I272" s="163">
        <v>3.0</v>
      </c>
      <c r="J272" s="163">
        <v>3.0</v>
      </c>
      <c r="K272" s="163"/>
      <c r="L272" s="163">
        <f t="shared" si="296"/>
        <v>0</v>
      </c>
      <c r="M272" s="163">
        <f t="shared" ref="M272:O272" si="298">IF(F272&gt;V272,0,1)</f>
        <v>0</v>
      </c>
      <c r="N272" s="163">
        <f t="shared" si="298"/>
        <v>0</v>
      </c>
      <c r="O272" s="163">
        <f t="shared" si="298"/>
        <v>0</v>
      </c>
      <c r="P272" s="163">
        <f>IF('計分版'!$P$259=0,0,IF(I271&gt;LARGE(Z272:AD272,1),0,1))</f>
        <v>0</v>
      </c>
      <c r="Q272" s="163">
        <f t="shared" ref="Q272:Q276" si="300">IF(J272&gt;LARGE(Z272:AD272,2),0,1)</f>
        <v>0</v>
      </c>
      <c r="R272" s="130"/>
      <c r="S272" s="163">
        <f t="shared" si="261"/>
        <v>0</v>
      </c>
      <c r="T272" s="163"/>
      <c r="U272" s="163">
        <f>'計分版'!E$14</f>
        <v>0.0000000001</v>
      </c>
      <c r="V272" s="163">
        <f>'計分版'!F$14</f>
        <v>0.0000000002</v>
      </c>
      <c r="W272" s="163">
        <f>'計分版'!G$14</f>
        <v>0.0000000003</v>
      </c>
      <c r="X272" s="163">
        <f>'計分版'!H$14</f>
        <v>0.0000000004</v>
      </c>
      <c r="Y272" s="163">
        <f>'計分版'!I$14</f>
        <v>0.0000000005</v>
      </c>
      <c r="Z272" s="163">
        <f>'計分版'!J$14</f>
        <v>0</v>
      </c>
      <c r="AA272" s="163">
        <f>'計分版'!K$14</f>
        <v>0</v>
      </c>
      <c r="AB272" s="163">
        <f>'計分版'!L$14</f>
        <v>0</v>
      </c>
      <c r="AC272" s="163">
        <f>'計分版'!M$14</f>
        <v>0</v>
      </c>
      <c r="AD272" s="163">
        <f>'計分版'!N$14</f>
        <v>0</v>
      </c>
      <c r="AE272" s="163"/>
      <c r="AF272" s="163"/>
      <c r="AG272" s="163" t="s">
        <v>166</v>
      </c>
      <c r="AH272" s="163"/>
      <c r="AI272" s="163"/>
      <c r="AJ272" s="163"/>
      <c r="AK272" s="163"/>
      <c r="AL272" s="163"/>
      <c r="AM272" s="163"/>
      <c r="AN272" s="130"/>
      <c r="AO272" s="130"/>
      <c r="AP272" s="130"/>
      <c r="AQ272" s="130"/>
      <c r="AR272" s="130"/>
      <c r="AS272" s="130"/>
      <c r="AT272" s="130"/>
    </row>
    <row r="273" ht="13.5" customHeight="1">
      <c r="A273" s="130" t="str">
        <f>HKU!A36</f>
        <v>JS6717</v>
      </c>
      <c r="B273" s="130" t="str">
        <f>HKU!C36</f>
        <v>社會科學學士</v>
      </c>
      <c r="C273" s="175" t="s">
        <v>21</v>
      </c>
      <c r="D273" s="166"/>
      <c r="E273" s="163">
        <v>3.0</v>
      </c>
      <c r="F273" s="163">
        <v>3.0</v>
      </c>
      <c r="G273" s="163">
        <v>2.0</v>
      </c>
      <c r="H273" s="163">
        <v>2.0</v>
      </c>
      <c r="I273" s="163">
        <v>3.0</v>
      </c>
      <c r="J273" s="163">
        <v>3.0</v>
      </c>
      <c r="K273" s="163"/>
      <c r="L273" s="163">
        <f t="shared" si="296"/>
        <v>0</v>
      </c>
      <c r="M273" s="163">
        <f t="shared" ref="M273:O273" si="299">IF(F273&gt;V273,0,1)</f>
        <v>0</v>
      </c>
      <c r="N273" s="163">
        <f t="shared" si="299"/>
        <v>0</v>
      </c>
      <c r="O273" s="163">
        <f t="shared" si="299"/>
        <v>0</v>
      </c>
      <c r="P273" s="163">
        <f t="shared" ref="P273:P281" si="302">IF(I273&gt;LARGE(Z273:AD273,1),0,1)</f>
        <v>0</v>
      </c>
      <c r="Q273" s="163">
        <f t="shared" si="300"/>
        <v>0</v>
      </c>
      <c r="R273" s="130"/>
      <c r="S273" s="163">
        <f t="shared" si="261"/>
        <v>0</v>
      </c>
      <c r="T273" s="163"/>
      <c r="U273" s="163">
        <f>'計分版'!E$14</f>
        <v>0.0000000001</v>
      </c>
      <c r="V273" s="163">
        <f>'計分版'!F$14</f>
        <v>0.0000000002</v>
      </c>
      <c r="W273" s="163">
        <f>'計分版'!G$14</f>
        <v>0.0000000003</v>
      </c>
      <c r="X273" s="163">
        <f>'計分版'!H$14</f>
        <v>0.0000000004</v>
      </c>
      <c r="Y273" s="163">
        <f>'計分版'!I$14</f>
        <v>0.0000000005</v>
      </c>
      <c r="Z273" s="163">
        <f>'計分版'!J$14</f>
        <v>0</v>
      </c>
      <c r="AA273" s="163">
        <f>'計分版'!K$14</f>
        <v>0</v>
      </c>
      <c r="AB273" s="163">
        <f>'計分版'!L$14</f>
        <v>0</v>
      </c>
      <c r="AC273" s="163">
        <f>'計分版'!M$14</f>
        <v>0</v>
      </c>
      <c r="AD273" s="163">
        <f>'計分版'!N$14</f>
        <v>0</v>
      </c>
      <c r="AE273" s="163"/>
      <c r="AF273" s="163"/>
      <c r="AG273" s="163" t="s">
        <v>166</v>
      </c>
      <c r="AH273" s="163"/>
      <c r="AI273" s="163"/>
      <c r="AJ273" s="163"/>
      <c r="AK273" s="163"/>
      <c r="AL273" s="163"/>
      <c r="AM273" s="163"/>
      <c r="AN273" s="130"/>
      <c r="AO273" s="130"/>
      <c r="AP273" s="130"/>
      <c r="AQ273" s="130"/>
      <c r="AR273" s="130"/>
      <c r="AS273" s="130"/>
      <c r="AT273" s="130"/>
    </row>
    <row r="274" ht="13.5" customHeight="1">
      <c r="A274" s="130" t="str">
        <f>HKU!A37</f>
        <v>JS6731</v>
      </c>
      <c r="B274" s="130" t="str">
        <f>HKU!C37</f>
        <v>社會工作學學士</v>
      </c>
      <c r="C274" s="175" t="s">
        <v>21</v>
      </c>
      <c r="D274" s="166"/>
      <c r="E274" s="163">
        <v>3.0</v>
      </c>
      <c r="F274" s="163">
        <v>3.0</v>
      </c>
      <c r="G274" s="163">
        <v>2.0</v>
      </c>
      <c r="H274" s="163">
        <v>2.0</v>
      </c>
      <c r="I274" s="163">
        <v>3.0</v>
      </c>
      <c r="J274" s="163">
        <v>3.0</v>
      </c>
      <c r="K274" s="163"/>
      <c r="L274" s="163">
        <f t="shared" si="296"/>
        <v>0</v>
      </c>
      <c r="M274" s="163">
        <f t="shared" ref="M274:O274" si="301">IF(F274&gt;V274,0,1)</f>
        <v>0</v>
      </c>
      <c r="N274" s="163">
        <f t="shared" si="301"/>
        <v>0</v>
      </c>
      <c r="O274" s="163">
        <f t="shared" si="301"/>
        <v>0</v>
      </c>
      <c r="P274" s="163">
        <f t="shared" si="302"/>
        <v>0</v>
      </c>
      <c r="Q274" s="163">
        <f t="shared" si="300"/>
        <v>0</v>
      </c>
      <c r="R274" s="130"/>
      <c r="S274" s="163">
        <f t="shared" si="261"/>
        <v>0</v>
      </c>
      <c r="T274" s="163"/>
      <c r="U274" s="163">
        <f>'計分版'!E$14</f>
        <v>0.0000000001</v>
      </c>
      <c r="V274" s="163">
        <f>'計分版'!F$14</f>
        <v>0.0000000002</v>
      </c>
      <c r="W274" s="163">
        <f>'計分版'!G$14</f>
        <v>0.0000000003</v>
      </c>
      <c r="X274" s="163">
        <f>'計分版'!H$14</f>
        <v>0.0000000004</v>
      </c>
      <c r="Y274" s="163">
        <f>'計分版'!I$14</f>
        <v>0.0000000005</v>
      </c>
      <c r="Z274" s="163">
        <f>'計分版'!J$14</f>
        <v>0</v>
      </c>
      <c r="AA274" s="163">
        <f>'計分版'!K$14</f>
        <v>0</v>
      </c>
      <c r="AB274" s="163">
        <f>'計分版'!L$14</f>
        <v>0</v>
      </c>
      <c r="AC274" s="163">
        <f>'計分版'!M$14</f>
        <v>0</v>
      </c>
      <c r="AD274" s="163">
        <f>'計分版'!N$14</f>
        <v>0</v>
      </c>
      <c r="AE274" s="163"/>
      <c r="AF274" s="163"/>
      <c r="AG274" s="163" t="s">
        <v>166</v>
      </c>
      <c r="AH274" s="163"/>
      <c r="AI274" s="163"/>
      <c r="AJ274" s="163"/>
      <c r="AK274" s="163"/>
      <c r="AL274" s="163"/>
      <c r="AM274" s="163"/>
      <c r="AN274" s="130"/>
      <c r="AO274" s="130"/>
      <c r="AP274" s="130"/>
      <c r="AQ274" s="130"/>
      <c r="AR274" s="130"/>
      <c r="AS274" s="130"/>
      <c r="AT274" s="130"/>
    </row>
    <row r="275" ht="13.5" customHeight="1">
      <c r="A275" s="130" t="str">
        <f>HKU!A38</f>
        <v>JS6810</v>
      </c>
      <c r="B275" s="130" t="str">
        <f>HKU!C38</f>
        <v>社會科學學士(政治學與法學)及法學士 (雙學位課程)</v>
      </c>
      <c r="C275" s="175" t="s">
        <v>24</v>
      </c>
      <c r="D275" s="166"/>
      <c r="E275" s="163">
        <v>4.0</v>
      </c>
      <c r="F275" s="163">
        <v>5.0</v>
      </c>
      <c r="G275" s="163">
        <v>3.0</v>
      </c>
      <c r="H275" s="163">
        <v>3.0</v>
      </c>
      <c r="I275" s="163">
        <v>3.0</v>
      </c>
      <c r="J275" s="163">
        <v>3.0</v>
      </c>
      <c r="K275" s="163"/>
      <c r="L275" s="163">
        <f t="shared" si="296"/>
        <v>0</v>
      </c>
      <c r="M275" s="163">
        <f t="shared" ref="M275:O275" si="303">IF(F275&gt;V275,0,1)</f>
        <v>0</v>
      </c>
      <c r="N275" s="163">
        <f t="shared" si="303"/>
        <v>0</v>
      </c>
      <c r="O275" s="163">
        <f t="shared" si="303"/>
        <v>0</v>
      </c>
      <c r="P275" s="163">
        <f t="shared" si="302"/>
        <v>0</v>
      </c>
      <c r="Q275" s="163">
        <f t="shared" si="300"/>
        <v>0</v>
      </c>
      <c r="R275" s="130"/>
      <c r="S275" s="163">
        <f t="shared" si="261"/>
        <v>0</v>
      </c>
      <c r="T275" s="163"/>
      <c r="U275" s="163">
        <f>'計分版'!E$14</f>
        <v>0.0000000001</v>
      </c>
      <c r="V275" s="163">
        <f>'計分版'!F$14</f>
        <v>0.0000000002</v>
      </c>
      <c r="W275" s="163">
        <f>'計分版'!G$14</f>
        <v>0.0000000003</v>
      </c>
      <c r="X275" s="163">
        <f>'計分版'!H$14</f>
        <v>0.0000000004</v>
      </c>
      <c r="Y275" s="163">
        <f>'計分版'!I$14</f>
        <v>0.0000000005</v>
      </c>
      <c r="Z275" s="163">
        <f>'計分版'!J$14</f>
        <v>0</v>
      </c>
      <c r="AA275" s="163">
        <f>'計分版'!K$14</f>
        <v>0</v>
      </c>
      <c r="AB275" s="163">
        <f>'計分版'!L$14</f>
        <v>0</v>
      </c>
      <c r="AC275" s="163">
        <f>'計分版'!M$14</f>
        <v>0</v>
      </c>
      <c r="AD275" s="163">
        <f>'計分版'!N$14</f>
        <v>0</v>
      </c>
      <c r="AE275" s="163"/>
      <c r="AF275" s="163"/>
      <c r="AG275" s="163" t="s">
        <v>166</v>
      </c>
      <c r="AH275" s="163"/>
      <c r="AI275" s="163"/>
      <c r="AJ275" s="163"/>
      <c r="AK275" s="163"/>
      <c r="AL275" s="163"/>
      <c r="AM275" s="163"/>
      <c r="AN275" s="130"/>
      <c r="AO275" s="130"/>
      <c r="AP275" s="130"/>
      <c r="AQ275" s="130"/>
      <c r="AR275" s="130"/>
      <c r="AS275" s="130"/>
      <c r="AT275" s="130"/>
    </row>
    <row r="276" ht="13.5" customHeight="1">
      <c r="A276" s="130" t="str">
        <f>HKU!A39</f>
        <v>JS6822</v>
      </c>
      <c r="B276" s="130" t="str">
        <f>HKU!C39</f>
        <v>新聞學學士</v>
      </c>
      <c r="C276" s="175" t="s">
        <v>21</v>
      </c>
      <c r="D276" s="166"/>
      <c r="E276" s="163">
        <v>3.0</v>
      </c>
      <c r="F276" s="163">
        <v>3.0</v>
      </c>
      <c r="G276" s="163">
        <v>2.0</v>
      </c>
      <c r="H276" s="163">
        <v>2.0</v>
      </c>
      <c r="I276" s="163">
        <v>3.0</v>
      </c>
      <c r="J276" s="163">
        <v>3.0</v>
      </c>
      <c r="K276" s="163"/>
      <c r="L276" s="163">
        <f t="shared" si="296"/>
        <v>0</v>
      </c>
      <c r="M276" s="163">
        <f t="shared" ref="M276:O276" si="304">IF(F276&gt;V276,0,1)</f>
        <v>0</v>
      </c>
      <c r="N276" s="163">
        <f t="shared" si="304"/>
        <v>0</v>
      </c>
      <c r="O276" s="163">
        <f t="shared" si="304"/>
        <v>0</v>
      </c>
      <c r="P276" s="163">
        <f t="shared" si="302"/>
        <v>0</v>
      </c>
      <c r="Q276" s="163">
        <f t="shared" si="300"/>
        <v>0</v>
      </c>
      <c r="R276" s="130"/>
      <c r="S276" s="163">
        <f t="shared" si="261"/>
        <v>0</v>
      </c>
      <c r="T276" s="163"/>
      <c r="U276" s="163">
        <f>'計分版'!E$14</f>
        <v>0.0000000001</v>
      </c>
      <c r="V276" s="163">
        <f>'計分版'!F$14</f>
        <v>0.0000000002</v>
      </c>
      <c r="W276" s="163">
        <f>'計分版'!G$14</f>
        <v>0.0000000003</v>
      </c>
      <c r="X276" s="163">
        <f>'計分版'!H$14</f>
        <v>0.0000000004</v>
      </c>
      <c r="Y276" s="163">
        <f>'計分版'!I$14</f>
        <v>0.0000000005</v>
      </c>
      <c r="Z276" s="163">
        <f>'計分版'!J$14</f>
        <v>0</v>
      </c>
      <c r="AA276" s="163">
        <f>'計分版'!K$14</f>
        <v>0</v>
      </c>
      <c r="AB276" s="163">
        <f>'計分版'!L$14</f>
        <v>0</v>
      </c>
      <c r="AC276" s="163">
        <f>'計分版'!M$14</f>
        <v>0</v>
      </c>
      <c r="AD276" s="163">
        <f>'計分版'!N$14</f>
        <v>0</v>
      </c>
      <c r="AE276" s="163"/>
      <c r="AF276" s="163"/>
      <c r="AG276" s="163" t="s">
        <v>166</v>
      </c>
      <c r="AH276" s="163"/>
      <c r="AI276" s="163"/>
      <c r="AJ276" s="163"/>
      <c r="AK276" s="163"/>
      <c r="AL276" s="163"/>
      <c r="AM276" s="163"/>
      <c r="AN276" s="130"/>
      <c r="AO276" s="130"/>
      <c r="AP276" s="130"/>
      <c r="AQ276" s="130"/>
      <c r="AR276" s="130"/>
      <c r="AS276" s="130"/>
      <c r="AT276" s="130"/>
    </row>
    <row r="277" ht="13.5" customHeight="1">
      <c r="A277" s="130" t="str">
        <f>HKU!A40</f>
        <v>JS6212</v>
      </c>
      <c r="B277" s="130" t="str">
        <f>HKU!C40</f>
        <v>文理學士</v>
      </c>
      <c r="C277" s="175" t="s">
        <v>21</v>
      </c>
      <c r="D277" s="166"/>
      <c r="E277" s="163">
        <v>3.0</v>
      </c>
      <c r="F277" s="163">
        <v>5.0</v>
      </c>
      <c r="G277" s="163">
        <v>2.0</v>
      </c>
      <c r="H277" s="163">
        <v>2.0</v>
      </c>
      <c r="I277" s="163">
        <v>3.0</v>
      </c>
      <c r="J277" s="163">
        <v>3.0</v>
      </c>
      <c r="K277" s="163"/>
      <c r="L277" s="163">
        <f t="shared" si="296"/>
        <v>0</v>
      </c>
      <c r="M277" s="163">
        <f t="shared" ref="M277:M281" si="306">IF(V277&gt;5,1,IF(V277&gt;4,2,0))</f>
        <v>0</v>
      </c>
      <c r="N277" s="163">
        <f t="shared" ref="N277:O277" si="305">IF(G277&gt;W277,0,1)</f>
        <v>0</v>
      </c>
      <c r="O277" s="163">
        <f t="shared" si="305"/>
        <v>0</v>
      </c>
      <c r="P277" s="163">
        <f t="shared" si="302"/>
        <v>0</v>
      </c>
      <c r="Q277" s="163">
        <f>IF(J277&gt;LARGE(Z277:AD277,2),0,IF('計分版'!$I$14&lt;3,2,1))</f>
        <v>0</v>
      </c>
      <c r="R277" s="130"/>
      <c r="S277" s="163">
        <f t="shared" ref="S277:S278" si="308">IF(L277*M277*N277*O277*P277*Q277=4,2,L277*M277*N277*O277*P277*Q277)</f>
        <v>0</v>
      </c>
      <c r="T277" s="163"/>
      <c r="U277" s="163">
        <f>'計分版'!E$14</f>
        <v>0.0000000001</v>
      </c>
      <c r="V277" s="163">
        <f>'計分版'!F$14</f>
        <v>0.0000000002</v>
      </c>
      <c r="W277" s="163">
        <f>'計分版'!G$14</f>
        <v>0.0000000003</v>
      </c>
      <c r="X277" s="163">
        <f>'計分版'!H$14</f>
        <v>0.0000000004</v>
      </c>
      <c r="Y277" s="163">
        <f>'計分版'!I$14</f>
        <v>0.0000000005</v>
      </c>
      <c r="Z277" s="163">
        <f>'計分版'!J$14</f>
        <v>0</v>
      </c>
      <c r="AA277" s="163">
        <f>'計分版'!K$14</f>
        <v>0</v>
      </c>
      <c r="AB277" s="163">
        <f>'計分版'!L$14</f>
        <v>0</v>
      </c>
      <c r="AC277" s="163">
        <f>'計分版'!M$14</f>
        <v>0</v>
      </c>
      <c r="AD277" s="163">
        <f>'計分版'!N$14</f>
        <v>0</v>
      </c>
      <c r="AE277" s="163"/>
      <c r="AF277" s="163"/>
      <c r="AG277" s="163" t="s">
        <v>166</v>
      </c>
      <c r="AH277" s="163"/>
      <c r="AI277" s="163"/>
      <c r="AJ277" s="163"/>
      <c r="AK277" s="163"/>
      <c r="AL277" s="163"/>
      <c r="AM277" s="163"/>
      <c r="AN277" s="130"/>
      <c r="AO277" s="130"/>
      <c r="AP277" s="130"/>
      <c r="AQ277" s="130"/>
      <c r="AR277" s="130"/>
      <c r="AS277" s="130"/>
      <c r="AT277" s="130"/>
    </row>
    <row r="278" ht="13.5" customHeight="1">
      <c r="A278" s="130" t="str">
        <f>HKU!A41</f>
        <v>JS6224</v>
      </c>
      <c r="B278" s="130" t="str">
        <f>HKU!C41</f>
        <v>文理學士(應用人工智能)</v>
      </c>
      <c r="C278" s="175" t="s">
        <v>24</v>
      </c>
      <c r="D278" s="166"/>
      <c r="E278" s="163">
        <v>3.0</v>
      </c>
      <c r="F278" s="163">
        <v>5.0</v>
      </c>
      <c r="G278" s="163">
        <v>4.0</v>
      </c>
      <c r="H278" s="163">
        <v>2.0</v>
      </c>
      <c r="I278" s="163">
        <v>3.0</v>
      </c>
      <c r="J278" s="163">
        <v>3.0</v>
      </c>
      <c r="K278" s="163"/>
      <c r="L278" s="163">
        <f t="shared" si="296"/>
        <v>0</v>
      </c>
      <c r="M278" s="163">
        <f t="shared" si="306"/>
        <v>0</v>
      </c>
      <c r="N278" s="163">
        <f t="shared" ref="N278:O278" si="307">IF(G278&gt;W278,0,1)</f>
        <v>0</v>
      </c>
      <c r="O278" s="163">
        <f t="shared" si="307"/>
        <v>0</v>
      </c>
      <c r="P278" s="163">
        <f t="shared" si="302"/>
        <v>0</v>
      </c>
      <c r="Q278" s="163">
        <f>IF('計分版'!$I$14&lt;3,0,IF(J278&gt;LARGE(Z278:AD278,2),0,1))</f>
        <v>0</v>
      </c>
      <c r="R278" s="130"/>
      <c r="S278" s="163">
        <f t="shared" si="308"/>
        <v>0</v>
      </c>
      <c r="T278" s="163"/>
      <c r="U278" s="163">
        <f>'計分版'!E$14</f>
        <v>0.0000000001</v>
      </c>
      <c r="V278" s="163">
        <f>'計分版'!F$14</f>
        <v>0.0000000002</v>
      </c>
      <c r="W278" s="163">
        <f>'計分版'!G$14</f>
        <v>0.0000000003</v>
      </c>
      <c r="X278" s="163">
        <f>'計分版'!H$14</f>
        <v>0.0000000004</v>
      </c>
      <c r="Y278" s="163">
        <f>'計分版'!I$14</f>
        <v>0.0000000005</v>
      </c>
      <c r="Z278" s="163">
        <f>'計分版'!J$14</f>
        <v>0</v>
      </c>
      <c r="AA278" s="163">
        <f>'計分版'!K$14</f>
        <v>0</v>
      </c>
      <c r="AB278" s="163">
        <f>'計分版'!L$14</f>
        <v>0</v>
      </c>
      <c r="AC278" s="163">
        <f>'計分版'!M$14</f>
        <v>0</v>
      </c>
      <c r="AD278" s="163">
        <f>'計分版'!N$14</f>
        <v>0</v>
      </c>
      <c r="AE278" s="163"/>
      <c r="AF278" s="163"/>
      <c r="AG278" s="163" t="s">
        <v>166</v>
      </c>
      <c r="AH278" s="163"/>
      <c r="AI278" s="163"/>
      <c r="AJ278" s="163"/>
      <c r="AK278" s="163"/>
      <c r="AL278" s="163"/>
      <c r="AM278" s="163"/>
      <c r="AN278" s="130"/>
      <c r="AO278" s="130"/>
      <c r="AP278" s="130"/>
      <c r="AQ278" s="130"/>
      <c r="AR278" s="130"/>
      <c r="AS278" s="130"/>
      <c r="AT278" s="130"/>
    </row>
    <row r="279" ht="13.5" customHeight="1">
      <c r="A279" s="130" t="str">
        <f>HKU!A42</f>
        <v>JS6236</v>
      </c>
      <c r="B279" s="130" t="str">
        <f>HKU!C42</f>
        <v>文理學士(設計＋)</v>
      </c>
      <c r="C279" s="175" t="s">
        <v>24</v>
      </c>
      <c r="D279" s="166"/>
      <c r="E279" s="163">
        <v>3.0</v>
      </c>
      <c r="F279" s="163">
        <v>5.0</v>
      </c>
      <c r="G279" s="163">
        <v>2.0</v>
      </c>
      <c r="H279" s="163">
        <v>2.0</v>
      </c>
      <c r="I279" s="163">
        <v>3.0</v>
      </c>
      <c r="J279" s="163">
        <v>3.0</v>
      </c>
      <c r="K279" s="163"/>
      <c r="L279" s="163">
        <f t="shared" si="296"/>
        <v>0</v>
      </c>
      <c r="M279" s="163">
        <f t="shared" si="306"/>
        <v>0</v>
      </c>
      <c r="N279" s="163">
        <f t="shared" ref="N279:O279" si="309">IF(G279&gt;W279,0,1)</f>
        <v>0</v>
      </c>
      <c r="O279" s="163">
        <f t="shared" si="309"/>
        <v>0</v>
      </c>
      <c r="P279" s="163">
        <f t="shared" si="302"/>
        <v>0</v>
      </c>
      <c r="Q279" s="163">
        <f t="shared" ref="Q279:Q281" si="311">IF(J279&gt;LARGE(Z279:AD279,2),0,1)</f>
        <v>0</v>
      </c>
      <c r="R279" s="130"/>
      <c r="S279" s="163">
        <f>IF(L279*M279*N279*O279*P279*Q279=0,0,2)</f>
        <v>0</v>
      </c>
      <c r="T279" s="163"/>
      <c r="U279" s="163">
        <f>'計分版'!E$14</f>
        <v>0.0000000001</v>
      </c>
      <c r="V279" s="163">
        <f>'計分版'!F$14</f>
        <v>0.0000000002</v>
      </c>
      <c r="W279" s="163">
        <f>'計分版'!G$14</f>
        <v>0.0000000003</v>
      </c>
      <c r="X279" s="163">
        <f>'計分版'!H$14</f>
        <v>0.0000000004</v>
      </c>
      <c r="Y279" s="163">
        <f>'計分版'!I$14</f>
        <v>0.0000000005</v>
      </c>
      <c r="Z279" s="163">
        <f>'計分版'!J$14</f>
        <v>0</v>
      </c>
      <c r="AA279" s="163">
        <f>'計分版'!K$14</f>
        <v>0</v>
      </c>
      <c r="AB279" s="163">
        <f>'計分版'!L$14</f>
        <v>0</v>
      </c>
      <c r="AC279" s="163">
        <f>'計分版'!M$14</f>
        <v>0</v>
      </c>
      <c r="AD279" s="163">
        <f>'計分版'!N$14</f>
        <v>0</v>
      </c>
      <c r="AE279" s="163"/>
      <c r="AF279" s="163"/>
      <c r="AG279" s="163" t="s">
        <v>166</v>
      </c>
      <c r="AH279" s="163"/>
      <c r="AI279" s="163"/>
      <c r="AJ279" s="163"/>
      <c r="AK279" s="163"/>
      <c r="AL279" s="163"/>
      <c r="AM279" s="163"/>
      <c r="AN279" s="130"/>
      <c r="AO279" s="130"/>
      <c r="AP279" s="130"/>
      <c r="AQ279" s="130"/>
      <c r="AR279" s="130"/>
      <c r="AS279" s="130"/>
      <c r="AT279" s="130"/>
    </row>
    <row r="280" ht="13.5" customHeight="1">
      <c r="A280" s="130" t="str">
        <f>HKU!A43</f>
        <v>JS6248</v>
      </c>
      <c r="B280" s="130" t="str">
        <f>HKU!C43</f>
        <v>文理學士(金融科技)</v>
      </c>
      <c r="C280" s="175" t="s">
        <v>24</v>
      </c>
      <c r="D280" s="166"/>
      <c r="E280" s="163">
        <v>3.0</v>
      </c>
      <c r="F280" s="163">
        <v>5.0</v>
      </c>
      <c r="G280" s="163">
        <v>3.0</v>
      </c>
      <c r="H280" s="163">
        <v>2.0</v>
      </c>
      <c r="I280" s="163">
        <v>3.0</v>
      </c>
      <c r="J280" s="163">
        <v>3.0</v>
      </c>
      <c r="K280" s="163"/>
      <c r="L280" s="163">
        <f t="shared" si="296"/>
        <v>0</v>
      </c>
      <c r="M280" s="163">
        <f t="shared" si="306"/>
        <v>0</v>
      </c>
      <c r="N280" s="163">
        <f t="shared" ref="N280:O280" si="310">IF(G280&gt;W280,0,1)</f>
        <v>0</v>
      </c>
      <c r="O280" s="163">
        <f t="shared" si="310"/>
        <v>0</v>
      </c>
      <c r="P280" s="163">
        <f t="shared" si="302"/>
        <v>0</v>
      </c>
      <c r="Q280" s="163">
        <f t="shared" si="311"/>
        <v>0</v>
      </c>
      <c r="R280" s="130"/>
      <c r="S280" s="163">
        <f t="shared" ref="S280:S281" si="313">IF(L280*M280*N280*O280*P280*Q280=4,2,L280*M280*N280*O280*P280*Q280)</f>
        <v>0</v>
      </c>
      <c r="T280" s="163"/>
      <c r="U280" s="163">
        <f>'計分版'!E$14</f>
        <v>0.0000000001</v>
      </c>
      <c r="V280" s="163">
        <f>'計分版'!F$14</f>
        <v>0.0000000002</v>
      </c>
      <c r="W280" s="163">
        <f>'計分版'!G$14</f>
        <v>0.0000000003</v>
      </c>
      <c r="X280" s="163">
        <f>'計分版'!H$14</f>
        <v>0.0000000004</v>
      </c>
      <c r="Y280" s="163">
        <f>'計分版'!I$14</f>
        <v>0.0000000005</v>
      </c>
      <c r="Z280" s="163">
        <f>'計分版'!J$14</f>
        <v>0</v>
      </c>
      <c r="AA280" s="163">
        <f>'計分版'!K$14</f>
        <v>0</v>
      </c>
      <c r="AB280" s="163">
        <f>'計分版'!L$14</f>
        <v>0</v>
      </c>
      <c r="AC280" s="163">
        <f>'計分版'!M$14</f>
        <v>0</v>
      </c>
      <c r="AD280" s="163">
        <f>'計分版'!N$14</f>
        <v>0</v>
      </c>
      <c r="AE280" s="163"/>
      <c r="AF280" s="163"/>
      <c r="AG280" s="163" t="s">
        <v>166</v>
      </c>
      <c r="AH280" s="163"/>
      <c r="AI280" s="163"/>
      <c r="AJ280" s="163"/>
      <c r="AK280" s="163"/>
      <c r="AL280" s="163"/>
      <c r="AM280" s="163"/>
      <c r="AN280" s="130"/>
      <c r="AO280" s="130"/>
      <c r="AP280" s="130"/>
      <c r="AQ280" s="130"/>
      <c r="AR280" s="130"/>
      <c r="AS280" s="130"/>
      <c r="AT280" s="130"/>
    </row>
    <row r="281" ht="13.5" customHeight="1">
      <c r="A281" s="130" t="str">
        <f>HKU!A44</f>
        <v>JS6250</v>
      </c>
      <c r="B281" s="130" t="str">
        <f>HKU!C44</f>
        <v>文理學士(環球衞生及發展)</v>
      </c>
      <c r="C281" s="175" t="s">
        <v>21</v>
      </c>
      <c r="D281" s="166"/>
      <c r="E281" s="163">
        <v>3.0</v>
      </c>
      <c r="F281" s="163">
        <v>5.0</v>
      </c>
      <c r="G281" s="163">
        <v>2.0</v>
      </c>
      <c r="H281" s="163">
        <v>2.0</v>
      </c>
      <c r="I281" s="163">
        <v>3.0</v>
      </c>
      <c r="J281" s="163">
        <v>3.0</v>
      </c>
      <c r="K281" s="163"/>
      <c r="L281" s="163">
        <f t="shared" si="296"/>
        <v>0</v>
      </c>
      <c r="M281" s="163">
        <f t="shared" si="306"/>
        <v>0</v>
      </c>
      <c r="N281" s="163">
        <f t="shared" ref="N281:O281" si="312">IF(G281&gt;W281,0,1)</f>
        <v>0</v>
      </c>
      <c r="O281" s="163">
        <f t="shared" si="312"/>
        <v>0</v>
      </c>
      <c r="P281" s="163">
        <f t="shared" si="302"/>
        <v>0</v>
      </c>
      <c r="Q281" s="163">
        <f t="shared" si="311"/>
        <v>0</v>
      </c>
      <c r="R281" s="130"/>
      <c r="S281" s="163">
        <f t="shared" si="313"/>
        <v>0</v>
      </c>
      <c r="T281" s="163"/>
      <c r="U281" s="163">
        <f>'計分版'!E$14</f>
        <v>0.0000000001</v>
      </c>
      <c r="V281" s="163">
        <f>'計分版'!F$14</f>
        <v>0.0000000002</v>
      </c>
      <c r="W281" s="163">
        <f>'計分版'!G$14</f>
        <v>0.0000000003</v>
      </c>
      <c r="X281" s="163">
        <f>'計分版'!H$14</f>
        <v>0.0000000004</v>
      </c>
      <c r="Y281" s="163">
        <f>'計分版'!I$14</f>
        <v>0.0000000005</v>
      </c>
      <c r="Z281" s="163">
        <f>'計分版'!J$14</f>
        <v>0</v>
      </c>
      <c r="AA281" s="163">
        <f>'計分版'!K$14</f>
        <v>0</v>
      </c>
      <c r="AB281" s="163">
        <f>'計分版'!L$14</f>
        <v>0</v>
      </c>
      <c r="AC281" s="163">
        <f>'計分版'!M$14</f>
        <v>0</v>
      </c>
      <c r="AD281" s="163">
        <f>'計分版'!N$14</f>
        <v>0</v>
      </c>
      <c r="AE281" s="163"/>
      <c r="AF281" s="163"/>
      <c r="AG281" s="163" t="s">
        <v>166</v>
      </c>
      <c r="AH281" s="163"/>
      <c r="AI281" s="163"/>
      <c r="AJ281" s="163"/>
      <c r="AK281" s="163"/>
      <c r="AL281" s="163"/>
      <c r="AM281" s="163"/>
      <c r="AN281" s="130"/>
      <c r="AO281" s="130"/>
      <c r="AP281" s="130"/>
      <c r="AQ281" s="130"/>
      <c r="AR281" s="130"/>
      <c r="AS281" s="130"/>
      <c r="AT281" s="130"/>
    </row>
    <row r="282" ht="13.5" customHeight="1">
      <c r="A282" s="130"/>
      <c r="B282" s="130"/>
      <c r="C282" s="130"/>
      <c r="D282" s="130"/>
      <c r="E282" s="130"/>
      <c r="F282" s="130"/>
      <c r="G282" s="130"/>
      <c r="H282" s="130"/>
      <c r="I282" s="130"/>
      <c r="J282" s="130"/>
      <c r="K282" s="130"/>
      <c r="L282" s="130"/>
      <c r="M282" s="130"/>
      <c r="N282" s="130"/>
      <c r="O282" s="130"/>
      <c r="P282" s="130"/>
      <c r="Q282" s="130"/>
      <c r="R282" s="130"/>
      <c r="S282" s="130"/>
      <c r="T282" s="163"/>
      <c r="U282" s="163"/>
      <c r="V282" s="163"/>
      <c r="W282" s="163"/>
      <c r="X282" s="163"/>
      <c r="Y282" s="163"/>
      <c r="Z282" s="163"/>
      <c r="AA282" s="163"/>
      <c r="AB282" s="163"/>
      <c r="AC282" s="163"/>
      <c r="AD282" s="163"/>
      <c r="AE282" s="163"/>
      <c r="AF282" s="163"/>
      <c r="AG282" s="163"/>
      <c r="AH282" s="163"/>
      <c r="AI282" s="163"/>
      <c r="AJ282" s="163"/>
      <c r="AK282" s="163"/>
      <c r="AL282" s="163"/>
      <c r="AM282" s="163"/>
      <c r="AN282" s="130"/>
      <c r="AO282" s="130"/>
      <c r="AP282" s="130"/>
      <c r="AQ282" s="130"/>
      <c r="AR282" s="130"/>
      <c r="AS282" s="130"/>
      <c r="AT282" s="130"/>
    </row>
    <row r="283" ht="13.5" customHeight="1">
      <c r="A283" s="165" t="s">
        <v>180</v>
      </c>
      <c r="B283" s="130"/>
      <c r="C283" s="130"/>
      <c r="D283" s="130"/>
      <c r="E283" s="130"/>
      <c r="F283" s="130"/>
      <c r="G283" s="130"/>
      <c r="H283" s="130"/>
      <c r="I283" s="130"/>
      <c r="J283" s="130"/>
      <c r="K283" s="130"/>
      <c r="L283" s="130"/>
      <c r="M283" s="130"/>
      <c r="N283" s="130"/>
      <c r="O283" s="130"/>
      <c r="P283" s="130"/>
      <c r="Q283" s="130"/>
      <c r="R283" s="130"/>
      <c r="S283" s="130"/>
      <c r="T283" s="163"/>
      <c r="U283" s="163"/>
      <c r="V283" s="163"/>
      <c r="W283" s="163"/>
      <c r="X283" s="163"/>
      <c r="Y283" s="163"/>
      <c r="Z283" s="163"/>
      <c r="AA283" s="163"/>
      <c r="AB283" s="163"/>
      <c r="AC283" s="163"/>
      <c r="AD283" s="163"/>
      <c r="AE283" s="163"/>
      <c r="AF283" s="163"/>
      <c r="AG283" s="163"/>
      <c r="AH283" s="163"/>
      <c r="AI283" s="163"/>
      <c r="AJ283" s="163"/>
      <c r="AK283" s="163"/>
      <c r="AL283" s="163"/>
      <c r="AM283" s="163"/>
      <c r="AN283" s="130"/>
      <c r="AO283" s="130"/>
      <c r="AP283" s="130"/>
      <c r="AQ283" s="130"/>
      <c r="AR283" s="130"/>
      <c r="AS283" s="130"/>
      <c r="AT283" s="130"/>
    </row>
    <row r="284" ht="13.5" customHeight="1">
      <c r="A284" s="165" t="s">
        <v>1056</v>
      </c>
      <c r="B284" s="165" t="s">
        <v>1057</v>
      </c>
      <c r="C284" s="165" t="s">
        <v>44</v>
      </c>
      <c r="D284" s="166" t="s">
        <v>49</v>
      </c>
      <c r="E284" s="166" t="s">
        <v>1058</v>
      </c>
      <c r="F284" s="166" t="s">
        <v>1059</v>
      </c>
      <c r="G284" s="166" t="s">
        <v>1060</v>
      </c>
      <c r="H284" s="166" t="s">
        <v>1061</v>
      </c>
      <c r="I284" s="166" t="s">
        <v>218</v>
      </c>
      <c r="J284" s="166" t="s">
        <v>219</v>
      </c>
      <c r="K284" s="163"/>
      <c r="L284" s="166" t="s">
        <v>1058</v>
      </c>
      <c r="M284" s="166" t="s">
        <v>1059</v>
      </c>
      <c r="N284" s="166" t="s">
        <v>1060</v>
      </c>
      <c r="O284" s="166" t="s">
        <v>1061</v>
      </c>
      <c r="P284" s="166" t="s">
        <v>218</v>
      </c>
      <c r="Q284" s="166" t="s">
        <v>219</v>
      </c>
      <c r="R284" s="165"/>
      <c r="S284" s="163"/>
      <c r="T284" s="163"/>
      <c r="U284" s="167" t="s">
        <v>23</v>
      </c>
      <c r="V284" s="167" t="s">
        <v>26</v>
      </c>
      <c r="W284" s="167" t="s">
        <v>29</v>
      </c>
      <c r="X284" s="167" t="s">
        <v>30</v>
      </c>
      <c r="Y284" s="167" t="s">
        <v>173</v>
      </c>
      <c r="Z284" s="167" t="str">
        <f>'主頁'!$C$16</f>
        <v/>
      </c>
      <c r="AA284" s="167" t="str">
        <f>'主頁'!$C$17</f>
        <v/>
      </c>
      <c r="AB284" s="167" t="str">
        <f>'主頁'!$C$18</f>
        <v/>
      </c>
      <c r="AC284" s="167" t="str">
        <f>'主頁'!$C$19</f>
        <v/>
      </c>
      <c r="AD284" s="167" t="str">
        <f>'主頁'!$C$20</f>
        <v/>
      </c>
      <c r="AE284" s="166" t="s">
        <v>541</v>
      </c>
      <c r="AF284" s="163" t="s">
        <v>1062</v>
      </c>
      <c r="AG284" s="163" t="s">
        <v>1063</v>
      </c>
      <c r="AH284" s="163" t="s">
        <v>1064</v>
      </c>
      <c r="AI284" s="163"/>
      <c r="AJ284" s="163"/>
      <c r="AK284" s="163"/>
      <c r="AL284" s="163"/>
      <c r="AM284" s="163"/>
      <c r="AN284" s="130"/>
      <c r="AO284" s="130"/>
      <c r="AP284" s="130"/>
      <c r="AQ284" s="130"/>
      <c r="AR284" s="130"/>
      <c r="AS284" s="130"/>
      <c r="AT284" s="130"/>
    </row>
    <row r="285" ht="13.5" customHeight="1">
      <c r="A285" s="130" t="s">
        <v>701</v>
      </c>
      <c r="B285" s="130" t="s">
        <v>702</v>
      </c>
      <c r="C285" s="170" t="s">
        <v>21</v>
      </c>
      <c r="D285" s="163">
        <v>46.0</v>
      </c>
      <c r="E285" s="163">
        <v>3.0</v>
      </c>
      <c r="F285" s="163">
        <v>3.0</v>
      </c>
      <c r="G285" s="163">
        <v>2.0</v>
      </c>
      <c r="H285" s="163">
        <v>2.0</v>
      </c>
      <c r="I285" s="163">
        <v>2.0</v>
      </c>
      <c r="J285" s="163"/>
      <c r="K285" s="130"/>
      <c r="L285" s="163">
        <f t="shared" ref="L285:O285" si="314">IF(E285&gt;U285,0,1)</f>
        <v>0</v>
      </c>
      <c r="M285" s="163">
        <f t="shared" si="314"/>
        <v>0</v>
      </c>
      <c r="N285" s="163">
        <f t="shared" si="314"/>
        <v>0</v>
      </c>
      <c r="O285" s="163">
        <f t="shared" si="314"/>
        <v>0</v>
      </c>
      <c r="P285" s="163">
        <f t="shared" ref="P285:P296" si="316">IF(I285&gt;LARGE(Z285:AD285,1),0,1)</f>
        <v>0</v>
      </c>
      <c r="Q285" s="163"/>
      <c r="R285" s="163"/>
      <c r="S285" s="163">
        <f t="shared" ref="S285:S296" si="317">L285*M285*N285*O285*P285</f>
        <v>0</v>
      </c>
      <c r="T285" s="163"/>
      <c r="U285" s="163">
        <f>'計分版'!E$14</f>
        <v>0.0000000001</v>
      </c>
      <c r="V285" s="163">
        <f>'計分版'!F$14</f>
        <v>0.0000000002</v>
      </c>
      <c r="W285" s="163">
        <f>'計分版'!G$14</f>
        <v>0.0000000003</v>
      </c>
      <c r="X285" s="163">
        <f>'計分版'!H$14</f>
        <v>0.0000000004</v>
      </c>
      <c r="Y285" s="163">
        <f>'計分版'!I$14</f>
        <v>0.0000000005</v>
      </c>
      <c r="Z285" s="163">
        <f>'計分版'!J$14</f>
        <v>0</v>
      </c>
      <c r="AA285" s="163">
        <f>'計分版'!K$14</f>
        <v>0</v>
      </c>
      <c r="AB285" s="163">
        <f>'計分版'!L$14</f>
        <v>0</v>
      </c>
      <c r="AC285" s="163">
        <f>'計分版'!M$14</f>
        <v>0</v>
      </c>
      <c r="AD285" s="163">
        <f>'計分版'!N$14</f>
        <v>0</v>
      </c>
      <c r="AE285" s="163"/>
      <c r="AF285" s="163"/>
      <c r="AG285" s="163" t="s">
        <v>166</v>
      </c>
      <c r="AH285" s="163"/>
      <c r="AI285" s="163"/>
      <c r="AJ285" s="163"/>
      <c r="AK285" s="163"/>
      <c r="AL285" s="163"/>
      <c r="AM285" s="163"/>
      <c r="AN285" s="130"/>
      <c r="AO285" s="130"/>
      <c r="AP285" s="130"/>
      <c r="AQ285" s="130"/>
      <c r="AR285" s="130"/>
      <c r="AS285" s="130"/>
      <c r="AT285" s="130"/>
    </row>
    <row r="286" ht="13.5" customHeight="1">
      <c r="A286" s="130" t="s">
        <v>703</v>
      </c>
      <c r="B286" s="130" t="s">
        <v>704</v>
      </c>
      <c r="C286" s="170" t="s">
        <v>21</v>
      </c>
      <c r="D286" s="163">
        <v>20.0</v>
      </c>
      <c r="E286" s="163">
        <v>3.0</v>
      </c>
      <c r="F286" s="163">
        <v>3.0</v>
      </c>
      <c r="G286" s="163">
        <v>2.0</v>
      </c>
      <c r="H286" s="163">
        <v>2.0</v>
      </c>
      <c r="I286" s="163">
        <v>2.0</v>
      </c>
      <c r="J286" s="163"/>
      <c r="K286" s="130"/>
      <c r="L286" s="163">
        <f t="shared" ref="L286:O286" si="315">IF(E286&gt;U286,0,1)</f>
        <v>0</v>
      </c>
      <c r="M286" s="163">
        <f t="shared" si="315"/>
        <v>0</v>
      </c>
      <c r="N286" s="163">
        <f t="shared" si="315"/>
        <v>0</v>
      </c>
      <c r="O286" s="163">
        <f t="shared" si="315"/>
        <v>0</v>
      </c>
      <c r="P286" s="163">
        <f t="shared" si="316"/>
        <v>0</v>
      </c>
      <c r="Q286" s="163"/>
      <c r="R286" s="163"/>
      <c r="S286" s="163">
        <f t="shared" si="317"/>
        <v>0</v>
      </c>
      <c r="T286" s="163"/>
      <c r="U286" s="163">
        <f>'計分版'!E$14</f>
        <v>0.0000000001</v>
      </c>
      <c r="V286" s="163">
        <f>'計分版'!F$14</f>
        <v>0.0000000002</v>
      </c>
      <c r="W286" s="163">
        <f>'計分版'!G$14</f>
        <v>0.0000000003</v>
      </c>
      <c r="X286" s="163">
        <f>'計分版'!H$14</f>
        <v>0.0000000004</v>
      </c>
      <c r="Y286" s="163">
        <f>'計分版'!I$14</f>
        <v>0.0000000005</v>
      </c>
      <c r="Z286" s="163">
        <f>'計分版'!J$14</f>
        <v>0</v>
      </c>
      <c r="AA286" s="163">
        <f>'計分版'!K$14</f>
        <v>0</v>
      </c>
      <c r="AB286" s="163">
        <f>'計分版'!L$14</f>
        <v>0</v>
      </c>
      <c r="AC286" s="163">
        <f>'計分版'!M$14</f>
        <v>0</v>
      </c>
      <c r="AD286" s="163">
        <f>'計分版'!N$14</f>
        <v>0</v>
      </c>
      <c r="AE286" s="163"/>
      <c r="AF286" s="163"/>
      <c r="AG286" s="163" t="s">
        <v>166</v>
      </c>
      <c r="AH286" s="163"/>
      <c r="AI286" s="163"/>
      <c r="AJ286" s="163"/>
      <c r="AK286" s="163"/>
      <c r="AL286" s="163"/>
      <c r="AM286" s="163"/>
      <c r="AN286" s="130"/>
      <c r="AO286" s="130"/>
      <c r="AP286" s="130"/>
      <c r="AQ286" s="130"/>
      <c r="AR286" s="130"/>
      <c r="AS286" s="130"/>
      <c r="AT286" s="130"/>
    </row>
    <row r="287" ht="13.5" customHeight="1">
      <c r="A287" s="130" t="s">
        <v>708</v>
      </c>
      <c r="B287" s="130" t="s">
        <v>709</v>
      </c>
      <c r="C287" s="170" t="s">
        <v>21</v>
      </c>
      <c r="D287" s="163">
        <v>41.0</v>
      </c>
      <c r="E287" s="163">
        <v>3.0</v>
      </c>
      <c r="F287" s="163">
        <v>3.0</v>
      </c>
      <c r="G287" s="163">
        <v>2.0</v>
      </c>
      <c r="H287" s="163">
        <v>2.0</v>
      </c>
      <c r="I287" s="163">
        <v>2.0</v>
      </c>
      <c r="J287" s="163"/>
      <c r="K287" s="130"/>
      <c r="L287" s="163">
        <f t="shared" ref="L287:O287" si="318">IF(E287&gt;U287,0,1)</f>
        <v>0</v>
      </c>
      <c r="M287" s="163">
        <f t="shared" si="318"/>
        <v>0</v>
      </c>
      <c r="N287" s="163">
        <f t="shared" si="318"/>
        <v>0</v>
      </c>
      <c r="O287" s="163">
        <f t="shared" si="318"/>
        <v>0</v>
      </c>
      <c r="P287" s="163">
        <f t="shared" si="316"/>
        <v>0</v>
      </c>
      <c r="Q287" s="163"/>
      <c r="R287" s="163"/>
      <c r="S287" s="163">
        <f t="shared" si="317"/>
        <v>0</v>
      </c>
      <c r="T287" s="163"/>
      <c r="U287" s="163">
        <f>'計分版'!E$14</f>
        <v>0.0000000001</v>
      </c>
      <c r="V287" s="163">
        <f>'計分版'!F$14</f>
        <v>0.0000000002</v>
      </c>
      <c r="W287" s="163">
        <f>'計分版'!G$14</f>
        <v>0.0000000003</v>
      </c>
      <c r="X287" s="163">
        <f>'計分版'!H$14</f>
        <v>0.0000000004</v>
      </c>
      <c r="Y287" s="163">
        <f>'計分版'!I$14</f>
        <v>0.0000000005</v>
      </c>
      <c r="Z287" s="163">
        <f>'計分版'!J$14</f>
        <v>0</v>
      </c>
      <c r="AA287" s="163">
        <f>'計分版'!K$14</f>
        <v>0</v>
      </c>
      <c r="AB287" s="163">
        <f>'計分版'!L$14</f>
        <v>0</v>
      </c>
      <c r="AC287" s="163">
        <f>'計分版'!M$14</f>
        <v>0</v>
      </c>
      <c r="AD287" s="163">
        <f>'計分版'!N$14</f>
        <v>0</v>
      </c>
      <c r="AE287" s="163"/>
      <c r="AF287" s="163"/>
      <c r="AG287" s="163" t="s">
        <v>166</v>
      </c>
      <c r="AH287" s="163"/>
      <c r="AI287" s="163"/>
      <c r="AJ287" s="163"/>
      <c r="AK287" s="163"/>
      <c r="AL287" s="163"/>
      <c r="AM287" s="163"/>
      <c r="AN287" s="130"/>
      <c r="AO287" s="130"/>
      <c r="AP287" s="130"/>
      <c r="AQ287" s="130"/>
      <c r="AR287" s="130"/>
      <c r="AS287" s="130"/>
      <c r="AT287" s="130"/>
    </row>
    <row r="288" ht="13.5" customHeight="1">
      <c r="A288" s="130" t="s">
        <v>706</v>
      </c>
      <c r="B288" s="130" t="s">
        <v>707</v>
      </c>
      <c r="C288" s="170" t="s">
        <v>21</v>
      </c>
      <c r="D288" s="163">
        <v>144.0</v>
      </c>
      <c r="E288" s="163">
        <v>3.0</v>
      </c>
      <c r="F288" s="163">
        <v>3.0</v>
      </c>
      <c r="G288" s="163">
        <v>2.0</v>
      </c>
      <c r="H288" s="163">
        <v>2.0</v>
      </c>
      <c r="I288" s="163">
        <v>2.0</v>
      </c>
      <c r="J288" s="163"/>
      <c r="K288" s="130"/>
      <c r="L288" s="163">
        <f t="shared" ref="L288:O288" si="319">IF(E288&gt;U288,0,1)</f>
        <v>0</v>
      </c>
      <c r="M288" s="163">
        <f t="shared" si="319"/>
        <v>0</v>
      </c>
      <c r="N288" s="163">
        <f t="shared" si="319"/>
        <v>0</v>
      </c>
      <c r="O288" s="163">
        <f t="shared" si="319"/>
        <v>0</v>
      </c>
      <c r="P288" s="163">
        <f t="shared" si="316"/>
        <v>0</v>
      </c>
      <c r="Q288" s="163"/>
      <c r="R288" s="163"/>
      <c r="S288" s="163">
        <f t="shared" si="317"/>
        <v>0</v>
      </c>
      <c r="T288" s="163"/>
      <c r="U288" s="163">
        <f>'計分版'!E$14</f>
        <v>0.0000000001</v>
      </c>
      <c r="V288" s="163">
        <f>'計分版'!F$14</f>
        <v>0.0000000002</v>
      </c>
      <c r="W288" s="163">
        <f>'計分版'!G$14</f>
        <v>0.0000000003</v>
      </c>
      <c r="X288" s="163">
        <f>'計分版'!H$14</f>
        <v>0.0000000004</v>
      </c>
      <c r="Y288" s="163">
        <f>'計分版'!I$14</f>
        <v>0.0000000005</v>
      </c>
      <c r="Z288" s="163">
        <f>'計分版'!J$14</f>
        <v>0</v>
      </c>
      <c r="AA288" s="163">
        <f>'計分版'!K$14</f>
        <v>0</v>
      </c>
      <c r="AB288" s="163">
        <f>'計分版'!L$14</f>
        <v>0</v>
      </c>
      <c r="AC288" s="163">
        <f>'計分版'!M$14</f>
        <v>0</v>
      </c>
      <c r="AD288" s="163">
        <f>'計分版'!N$14</f>
        <v>0</v>
      </c>
      <c r="AE288" s="163"/>
      <c r="AF288" s="163"/>
      <c r="AG288" s="163" t="s">
        <v>166</v>
      </c>
      <c r="AH288" s="163"/>
      <c r="AI288" s="163"/>
      <c r="AJ288" s="163"/>
      <c r="AK288" s="163"/>
      <c r="AL288" s="163"/>
      <c r="AM288" s="163"/>
      <c r="AN288" s="130"/>
      <c r="AO288" s="130"/>
      <c r="AP288" s="130"/>
      <c r="AQ288" s="130"/>
      <c r="AR288" s="130"/>
      <c r="AS288" s="130"/>
      <c r="AT288" s="130"/>
    </row>
    <row r="289" ht="13.5" customHeight="1">
      <c r="A289" s="130" t="s">
        <v>710</v>
      </c>
      <c r="B289" s="130" t="s">
        <v>711</v>
      </c>
      <c r="C289" s="170" t="s">
        <v>21</v>
      </c>
      <c r="D289" s="163">
        <v>25.0</v>
      </c>
      <c r="E289" s="163">
        <v>3.0</v>
      </c>
      <c r="F289" s="163">
        <v>3.0</v>
      </c>
      <c r="G289" s="163">
        <v>2.0</v>
      </c>
      <c r="H289" s="163">
        <v>2.0</v>
      </c>
      <c r="I289" s="163">
        <v>2.0</v>
      </c>
      <c r="J289" s="163"/>
      <c r="K289" s="130"/>
      <c r="L289" s="163">
        <f t="shared" ref="L289:O289" si="320">IF(E289&gt;U289,0,1)</f>
        <v>0</v>
      </c>
      <c r="M289" s="163">
        <f t="shared" si="320"/>
        <v>0</v>
      </c>
      <c r="N289" s="163">
        <f t="shared" si="320"/>
        <v>0</v>
      </c>
      <c r="O289" s="163">
        <f t="shared" si="320"/>
        <v>0</v>
      </c>
      <c r="P289" s="163">
        <f t="shared" si="316"/>
        <v>0</v>
      </c>
      <c r="Q289" s="163"/>
      <c r="R289" s="163"/>
      <c r="S289" s="163">
        <f t="shared" si="317"/>
        <v>0</v>
      </c>
      <c r="T289" s="163"/>
      <c r="U289" s="163">
        <f>'計分版'!E$14</f>
        <v>0.0000000001</v>
      </c>
      <c r="V289" s="163">
        <f>'計分版'!F$14</f>
        <v>0.0000000002</v>
      </c>
      <c r="W289" s="163">
        <f>'計分版'!G$14</f>
        <v>0.0000000003</v>
      </c>
      <c r="X289" s="163">
        <f>'計分版'!H$14</f>
        <v>0.0000000004</v>
      </c>
      <c r="Y289" s="163">
        <f>'計分版'!I$14</f>
        <v>0.0000000005</v>
      </c>
      <c r="Z289" s="163">
        <f>'計分版'!J$14</f>
        <v>0</v>
      </c>
      <c r="AA289" s="163">
        <f>'計分版'!K$14</f>
        <v>0</v>
      </c>
      <c r="AB289" s="163">
        <f>'計分版'!L$14</f>
        <v>0</v>
      </c>
      <c r="AC289" s="163">
        <f>'計分版'!M$14</f>
        <v>0</v>
      </c>
      <c r="AD289" s="163">
        <f>'計分版'!N$14</f>
        <v>0</v>
      </c>
      <c r="AE289" s="163"/>
      <c r="AF289" s="163"/>
      <c r="AG289" s="163" t="s">
        <v>166</v>
      </c>
      <c r="AH289" s="163"/>
      <c r="AI289" s="163"/>
      <c r="AJ289" s="163"/>
      <c r="AK289" s="163"/>
      <c r="AL289" s="163"/>
      <c r="AM289" s="163"/>
      <c r="AN289" s="130"/>
      <c r="AO289" s="130"/>
      <c r="AP289" s="130"/>
      <c r="AQ289" s="130"/>
      <c r="AR289" s="130"/>
      <c r="AS289" s="130"/>
      <c r="AT289" s="130"/>
    </row>
    <row r="290" ht="13.5" customHeight="1">
      <c r="A290" s="130" t="s">
        <v>712</v>
      </c>
      <c r="B290" s="130" t="s">
        <v>713</v>
      </c>
      <c r="C290" s="170" t="s">
        <v>21</v>
      </c>
      <c r="D290" s="163">
        <v>25.0</v>
      </c>
      <c r="E290" s="163">
        <v>3.0</v>
      </c>
      <c r="F290" s="163">
        <v>3.0</v>
      </c>
      <c r="G290" s="163">
        <v>3.0</v>
      </c>
      <c r="H290" s="163">
        <v>2.0</v>
      </c>
      <c r="I290" s="163">
        <v>2.0</v>
      </c>
      <c r="J290" s="163"/>
      <c r="K290" s="130"/>
      <c r="L290" s="163">
        <f t="shared" ref="L290:O290" si="321">IF(E290&gt;U290,0,1)</f>
        <v>0</v>
      </c>
      <c r="M290" s="163">
        <f t="shared" si="321"/>
        <v>0</v>
      </c>
      <c r="N290" s="163">
        <f t="shared" si="321"/>
        <v>0</v>
      </c>
      <c r="O290" s="163">
        <f t="shared" si="321"/>
        <v>0</v>
      </c>
      <c r="P290" s="163">
        <f t="shared" si="316"/>
        <v>0</v>
      </c>
      <c r="Q290" s="163"/>
      <c r="R290" s="163"/>
      <c r="S290" s="163">
        <f t="shared" si="317"/>
        <v>0</v>
      </c>
      <c r="T290" s="163"/>
      <c r="U290" s="163">
        <f>'計分版'!E$14</f>
        <v>0.0000000001</v>
      </c>
      <c r="V290" s="163">
        <f>'計分版'!F$14</f>
        <v>0.0000000002</v>
      </c>
      <c r="W290" s="163">
        <f>'計分版'!G$14</f>
        <v>0.0000000003</v>
      </c>
      <c r="X290" s="163">
        <f>'計分版'!H$14</f>
        <v>0.0000000004</v>
      </c>
      <c r="Y290" s="163">
        <f>'計分版'!I$14</f>
        <v>0.0000000005</v>
      </c>
      <c r="Z290" s="163">
        <f>'計分版'!J$14</f>
        <v>0</v>
      </c>
      <c r="AA290" s="163">
        <f>'計分版'!K$14</f>
        <v>0</v>
      </c>
      <c r="AB290" s="163">
        <f>'計分版'!L$14</f>
        <v>0</v>
      </c>
      <c r="AC290" s="163">
        <f>'計分版'!M$14</f>
        <v>0</v>
      </c>
      <c r="AD290" s="163">
        <f>'計分版'!N$14</f>
        <v>0</v>
      </c>
      <c r="AE290" s="163"/>
      <c r="AF290" s="163"/>
      <c r="AG290" s="163" t="s">
        <v>166</v>
      </c>
      <c r="AH290" s="163"/>
      <c r="AI290" s="163"/>
      <c r="AJ290" s="163"/>
      <c r="AK290" s="163"/>
      <c r="AL290" s="163"/>
      <c r="AM290" s="163"/>
      <c r="AN290" s="130"/>
      <c r="AO290" s="130"/>
      <c r="AP290" s="130"/>
      <c r="AQ290" s="130"/>
      <c r="AR290" s="130"/>
      <c r="AS290" s="130"/>
      <c r="AT290" s="130"/>
    </row>
    <row r="291" ht="13.5" customHeight="1">
      <c r="A291" s="130" t="s">
        <v>714</v>
      </c>
      <c r="B291" s="130" t="s">
        <v>715</v>
      </c>
      <c r="C291" s="170" t="s">
        <v>21</v>
      </c>
      <c r="D291" s="163">
        <v>98.0</v>
      </c>
      <c r="E291" s="163">
        <v>3.0</v>
      </c>
      <c r="F291" s="163">
        <v>3.0</v>
      </c>
      <c r="G291" s="163">
        <v>2.0</v>
      </c>
      <c r="H291" s="163">
        <v>2.0</v>
      </c>
      <c r="I291" s="163">
        <v>2.0</v>
      </c>
      <c r="J291" s="163"/>
      <c r="K291" s="130"/>
      <c r="L291" s="163">
        <f t="shared" ref="L291:O291" si="322">IF(E291&gt;U291,0,1)</f>
        <v>0</v>
      </c>
      <c r="M291" s="163">
        <f t="shared" si="322"/>
        <v>0</v>
      </c>
      <c r="N291" s="163">
        <f t="shared" si="322"/>
        <v>0</v>
      </c>
      <c r="O291" s="163">
        <f t="shared" si="322"/>
        <v>0</v>
      </c>
      <c r="P291" s="163">
        <f t="shared" si="316"/>
        <v>0</v>
      </c>
      <c r="Q291" s="163"/>
      <c r="R291" s="163"/>
      <c r="S291" s="163">
        <f t="shared" si="317"/>
        <v>0</v>
      </c>
      <c r="T291" s="163"/>
      <c r="U291" s="163">
        <f>'計分版'!E$14</f>
        <v>0.0000000001</v>
      </c>
      <c r="V291" s="163">
        <f>'計分版'!F$14</f>
        <v>0.0000000002</v>
      </c>
      <c r="W291" s="163">
        <f>'計分版'!G$14</f>
        <v>0.0000000003</v>
      </c>
      <c r="X291" s="163">
        <f>'計分版'!H$14</f>
        <v>0.0000000004</v>
      </c>
      <c r="Y291" s="163">
        <f>'計分版'!I$14</f>
        <v>0.0000000005</v>
      </c>
      <c r="Z291" s="163">
        <f>'計分版'!J$14</f>
        <v>0</v>
      </c>
      <c r="AA291" s="163">
        <f>'計分版'!K$14</f>
        <v>0</v>
      </c>
      <c r="AB291" s="163">
        <f>'計分版'!L$14</f>
        <v>0</v>
      </c>
      <c r="AC291" s="163">
        <f>'計分版'!M$14</f>
        <v>0</v>
      </c>
      <c r="AD291" s="163">
        <f>'計分版'!N$14</f>
        <v>0</v>
      </c>
      <c r="AE291" s="163"/>
      <c r="AF291" s="163"/>
      <c r="AG291" s="163" t="s">
        <v>166</v>
      </c>
      <c r="AH291" s="163"/>
      <c r="AI291" s="163"/>
      <c r="AJ291" s="163"/>
      <c r="AK291" s="163"/>
      <c r="AL291" s="163"/>
      <c r="AM291" s="163"/>
      <c r="AN291" s="130"/>
      <c r="AO291" s="130"/>
      <c r="AP291" s="130"/>
      <c r="AQ291" s="130"/>
      <c r="AR291" s="130"/>
      <c r="AS291" s="130"/>
      <c r="AT291" s="130"/>
    </row>
    <row r="292" ht="13.5" customHeight="1">
      <c r="A292" s="130" t="s">
        <v>716</v>
      </c>
      <c r="B292" s="130" t="s">
        <v>717</v>
      </c>
      <c r="C292" s="170" t="s">
        <v>21</v>
      </c>
      <c r="D292" s="163">
        <v>29.0</v>
      </c>
      <c r="E292" s="163">
        <v>3.0</v>
      </c>
      <c r="F292" s="163">
        <v>3.0</v>
      </c>
      <c r="G292" s="163">
        <v>2.0</v>
      </c>
      <c r="H292" s="163">
        <v>2.0</v>
      </c>
      <c r="I292" s="163">
        <v>2.0</v>
      </c>
      <c r="J292" s="163"/>
      <c r="K292" s="130"/>
      <c r="L292" s="163">
        <f t="shared" ref="L292:O292" si="323">IF(E292&gt;U292,0,1)</f>
        <v>0</v>
      </c>
      <c r="M292" s="163">
        <f t="shared" si="323"/>
        <v>0</v>
      </c>
      <c r="N292" s="163">
        <f t="shared" si="323"/>
        <v>0</v>
      </c>
      <c r="O292" s="163">
        <f t="shared" si="323"/>
        <v>0</v>
      </c>
      <c r="P292" s="163">
        <f t="shared" si="316"/>
        <v>0</v>
      </c>
      <c r="Q292" s="163"/>
      <c r="R292" s="163"/>
      <c r="S292" s="163">
        <f t="shared" si="317"/>
        <v>0</v>
      </c>
      <c r="T292" s="163"/>
      <c r="U292" s="163">
        <f>'計分版'!E$14</f>
        <v>0.0000000001</v>
      </c>
      <c r="V292" s="163">
        <f>'計分版'!F$14</f>
        <v>0.0000000002</v>
      </c>
      <c r="W292" s="163">
        <f>'計分版'!G$14</f>
        <v>0.0000000003</v>
      </c>
      <c r="X292" s="163">
        <f>'計分版'!H$14</f>
        <v>0.0000000004</v>
      </c>
      <c r="Y292" s="163">
        <f>'計分版'!I$14</f>
        <v>0.0000000005</v>
      </c>
      <c r="Z292" s="163">
        <f>'計分版'!J$14</f>
        <v>0</v>
      </c>
      <c r="AA292" s="163">
        <f>'計分版'!K$14</f>
        <v>0</v>
      </c>
      <c r="AB292" s="163">
        <f>'計分版'!L$14</f>
        <v>0</v>
      </c>
      <c r="AC292" s="163">
        <f>'計分版'!M$14</f>
        <v>0</v>
      </c>
      <c r="AD292" s="163">
        <f>'計分版'!N$14</f>
        <v>0</v>
      </c>
      <c r="AE292" s="163"/>
      <c r="AF292" s="163"/>
      <c r="AG292" s="163" t="s">
        <v>166</v>
      </c>
      <c r="AH292" s="163"/>
      <c r="AI292" s="163"/>
      <c r="AJ292" s="163"/>
      <c r="AK292" s="163"/>
      <c r="AL292" s="163"/>
      <c r="AM292" s="163"/>
      <c r="AN292" s="130"/>
      <c r="AO292" s="130"/>
      <c r="AP292" s="130"/>
      <c r="AQ292" s="130"/>
      <c r="AR292" s="130"/>
      <c r="AS292" s="130"/>
      <c r="AT292" s="130"/>
    </row>
    <row r="293" ht="13.5" customHeight="1">
      <c r="A293" s="130" t="s">
        <v>718</v>
      </c>
      <c r="B293" s="130" t="s">
        <v>719</v>
      </c>
      <c r="C293" s="170" t="s">
        <v>21</v>
      </c>
      <c r="D293" s="163">
        <v>28.0</v>
      </c>
      <c r="E293" s="163">
        <v>3.0</v>
      </c>
      <c r="F293" s="163">
        <v>3.0</v>
      </c>
      <c r="G293" s="163">
        <v>2.0</v>
      </c>
      <c r="H293" s="163">
        <v>2.0</v>
      </c>
      <c r="I293" s="163">
        <v>2.0</v>
      </c>
      <c r="J293" s="163"/>
      <c r="K293" s="130"/>
      <c r="L293" s="163">
        <f t="shared" ref="L293:O293" si="324">IF(E293&gt;U293,0,1)</f>
        <v>0</v>
      </c>
      <c r="M293" s="163">
        <f t="shared" si="324"/>
        <v>0</v>
      </c>
      <c r="N293" s="163">
        <f t="shared" si="324"/>
        <v>0</v>
      </c>
      <c r="O293" s="163">
        <f t="shared" si="324"/>
        <v>0</v>
      </c>
      <c r="P293" s="163">
        <f t="shared" si="316"/>
        <v>0</v>
      </c>
      <c r="Q293" s="163"/>
      <c r="R293" s="163"/>
      <c r="S293" s="163">
        <f t="shared" si="317"/>
        <v>0</v>
      </c>
      <c r="T293" s="163"/>
      <c r="U293" s="163">
        <f>'計分版'!E$14</f>
        <v>0.0000000001</v>
      </c>
      <c r="V293" s="163">
        <f>'計分版'!F$14</f>
        <v>0.0000000002</v>
      </c>
      <c r="W293" s="163">
        <f>'計分版'!G$14</f>
        <v>0.0000000003</v>
      </c>
      <c r="X293" s="163">
        <f>'計分版'!H$14</f>
        <v>0.0000000004</v>
      </c>
      <c r="Y293" s="163">
        <f>'計分版'!I$14</f>
        <v>0.0000000005</v>
      </c>
      <c r="Z293" s="163">
        <f>'計分版'!J$14</f>
        <v>0</v>
      </c>
      <c r="AA293" s="163">
        <f>'計分版'!K$14</f>
        <v>0</v>
      </c>
      <c r="AB293" s="163">
        <f>'計分版'!L$14</f>
        <v>0</v>
      </c>
      <c r="AC293" s="163">
        <f>'計分版'!M$14</f>
        <v>0</v>
      </c>
      <c r="AD293" s="163">
        <f>'計分版'!N$14</f>
        <v>0</v>
      </c>
      <c r="AE293" s="163"/>
      <c r="AF293" s="163"/>
      <c r="AG293" s="163" t="s">
        <v>166</v>
      </c>
      <c r="AH293" s="163"/>
      <c r="AI293" s="163"/>
      <c r="AJ293" s="163"/>
      <c r="AK293" s="163"/>
      <c r="AL293" s="163"/>
      <c r="AM293" s="163"/>
      <c r="AN293" s="130"/>
      <c r="AO293" s="130"/>
      <c r="AP293" s="130"/>
      <c r="AQ293" s="130"/>
      <c r="AR293" s="130"/>
      <c r="AS293" s="130"/>
      <c r="AT293" s="130"/>
    </row>
    <row r="294" ht="13.5" customHeight="1">
      <c r="A294" s="130" t="s">
        <v>720</v>
      </c>
      <c r="B294" s="130" t="s">
        <v>721</v>
      </c>
      <c r="C294" s="170" t="s">
        <v>21</v>
      </c>
      <c r="D294" s="163">
        <v>31.0</v>
      </c>
      <c r="E294" s="163">
        <v>3.0</v>
      </c>
      <c r="F294" s="163">
        <v>3.0</v>
      </c>
      <c r="G294" s="163">
        <v>2.0</v>
      </c>
      <c r="H294" s="163">
        <v>2.0</v>
      </c>
      <c r="I294" s="163">
        <v>2.0</v>
      </c>
      <c r="J294" s="163"/>
      <c r="K294" s="130"/>
      <c r="L294" s="163">
        <f t="shared" ref="L294:O294" si="325">IF(E294&gt;U294,0,1)</f>
        <v>0</v>
      </c>
      <c r="M294" s="163">
        <f t="shared" si="325"/>
        <v>0</v>
      </c>
      <c r="N294" s="163">
        <f t="shared" si="325"/>
        <v>0</v>
      </c>
      <c r="O294" s="163">
        <f t="shared" si="325"/>
        <v>0</v>
      </c>
      <c r="P294" s="163">
        <f t="shared" si="316"/>
        <v>0</v>
      </c>
      <c r="Q294" s="163"/>
      <c r="R294" s="163"/>
      <c r="S294" s="163">
        <f t="shared" si="317"/>
        <v>0</v>
      </c>
      <c r="T294" s="163"/>
      <c r="U294" s="163">
        <f>'計分版'!E$14</f>
        <v>0.0000000001</v>
      </c>
      <c r="V294" s="163">
        <f>'計分版'!F$14</f>
        <v>0.0000000002</v>
      </c>
      <c r="W294" s="163">
        <f>'計分版'!G$14</f>
        <v>0.0000000003</v>
      </c>
      <c r="X294" s="163">
        <f>'計分版'!H$14</f>
        <v>0.0000000004</v>
      </c>
      <c r="Y294" s="163">
        <f>'計分版'!I$14</f>
        <v>0.0000000005</v>
      </c>
      <c r="Z294" s="163">
        <f>'計分版'!J$14</f>
        <v>0</v>
      </c>
      <c r="AA294" s="163">
        <f>'計分版'!K$14</f>
        <v>0</v>
      </c>
      <c r="AB294" s="163">
        <f>'計分版'!L$14</f>
        <v>0</v>
      </c>
      <c r="AC294" s="163">
        <f>'計分版'!M$14</f>
        <v>0</v>
      </c>
      <c r="AD294" s="163">
        <f>'計分版'!N$14</f>
        <v>0</v>
      </c>
      <c r="AE294" s="163"/>
      <c r="AF294" s="163"/>
      <c r="AG294" s="163" t="s">
        <v>166</v>
      </c>
      <c r="AH294" s="163"/>
      <c r="AI294" s="163"/>
      <c r="AJ294" s="163"/>
      <c r="AK294" s="163"/>
      <c r="AL294" s="163"/>
      <c r="AM294" s="163"/>
      <c r="AN294" s="130"/>
      <c r="AO294" s="130"/>
      <c r="AP294" s="130"/>
      <c r="AQ294" s="130"/>
      <c r="AR294" s="130"/>
      <c r="AS294" s="130"/>
      <c r="AT294" s="130"/>
    </row>
    <row r="295" ht="13.5" customHeight="1">
      <c r="A295" s="130" t="s">
        <v>722</v>
      </c>
      <c r="B295" s="130" t="s">
        <v>723</v>
      </c>
      <c r="C295" s="170" t="s">
        <v>21</v>
      </c>
      <c r="D295" s="163">
        <v>28.0</v>
      </c>
      <c r="E295" s="163">
        <v>3.0</v>
      </c>
      <c r="F295" s="163">
        <v>3.0</v>
      </c>
      <c r="G295" s="163">
        <v>2.0</v>
      </c>
      <c r="H295" s="163">
        <v>2.0</v>
      </c>
      <c r="I295" s="163">
        <v>2.0</v>
      </c>
      <c r="J295" s="163"/>
      <c r="K295" s="130"/>
      <c r="L295" s="163">
        <f t="shared" ref="L295:O295" si="326">IF(E295&gt;U295,0,1)</f>
        <v>0</v>
      </c>
      <c r="M295" s="163">
        <f t="shared" si="326"/>
        <v>0</v>
      </c>
      <c r="N295" s="163">
        <f t="shared" si="326"/>
        <v>0</v>
      </c>
      <c r="O295" s="163">
        <f t="shared" si="326"/>
        <v>0</v>
      </c>
      <c r="P295" s="163">
        <f t="shared" si="316"/>
        <v>0</v>
      </c>
      <c r="Q295" s="163"/>
      <c r="R295" s="163"/>
      <c r="S295" s="163">
        <f t="shared" si="317"/>
        <v>0</v>
      </c>
      <c r="T295" s="163"/>
      <c r="U295" s="163">
        <f>'計分版'!E$14</f>
        <v>0.0000000001</v>
      </c>
      <c r="V295" s="163">
        <f>'計分版'!F$14</f>
        <v>0.0000000002</v>
      </c>
      <c r="W295" s="163">
        <f>'計分版'!G$14</f>
        <v>0.0000000003</v>
      </c>
      <c r="X295" s="163">
        <f>'計分版'!H$14</f>
        <v>0.0000000004</v>
      </c>
      <c r="Y295" s="163">
        <f>'計分版'!I$14</f>
        <v>0.0000000005</v>
      </c>
      <c r="Z295" s="163">
        <f>'計分版'!J$14</f>
        <v>0</v>
      </c>
      <c r="AA295" s="163">
        <f>'計分版'!K$14</f>
        <v>0</v>
      </c>
      <c r="AB295" s="163">
        <f>'計分版'!L$14</f>
        <v>0</v>
      </c>
      <c r="AC295" s="163">
        <f>'計分版'!M$14</f>
        <v>0</v>
      </c>
      <c r="AD295" s="163">
        <f>'計分版'!N$14</f>
        <v>0</v>
      </c>
      <c r="AE295" s="163"/>
      <c r="AF295" s="163"/>
      <c r="AG295" s="163" t="s">
        <v>166</v>
      </c>
      <c r="AH295" s="163"/>
      <c r="AI295" s="163"/>
      <c r="AJ295" s="163"/>
      <c r="AK295" s="163"/>
      <c r="AL295" s="163"/>
      <c r="AM295" s="163"/>
      <c r="AN295" s="130"/>
      <c r="AO295" s="130"/>
      <c r="AP295" s="130"/>
      <c r="AQ295" s="130"/>
      <c r="AR295" s="130"/>
      <c r="AS295" s="130"/>
      <c r="AT295" s="130"/>
    </row>
    <row r="296" ht="13.5" customHeight="1">
      <c r="A296" s="130" t="s">
        <v>724</v>
      </c>
      <c r="B296" s="130" t="s">
        <v>725</v>
      </c>
      <c r="C296" s="170" t="s">
        <v>21</v>
      </c>
      <c r="D296" s="163">
        <v>26.0</v>
      </c>
      <c r="E296" s="163">
        <v>3.0</v>
      </c>
      <c r="F296" s="163">
        <v>3.0</v>
      </c>
      <c r="G296" s="163">
        <v>2.0</v>
      </c>
      <c r="H296" s="163">
        <v>2.0</v>
      </c>
      <c r="I296" s="163">
        <v>2.0</v>
      </c>
      <c r="J296" s="163"/>
      <c r="K296" s="130"/>
      <c r="L296" s="163">
        <f t="shared" ref="L296:O296" si="327">IF(E296&gt;U296,0,1)</f>
        <v>0</v>
      </c>
      <c r="M296" s="163">
        <f t="shared" si="327"/>
        <v>0</v>
      </c>
      <c r="N296" s="163">
        <f t="shared" si="327"/>
        <v>0</v>
      </c>
      <c r="O296" s="163">
        <f t="shared" si="327"/>
        <v>0</v>
      </c>
      <c r="P296" s="163">
        <f t="shared" si="316"/>
        <v>0</v>
      </c>
      <c r="Q296" s="163"/>
      <c r="R296" s="163"/>
      <c r="S296" s="163">
        <f t="shared" si="317"/>
        <v>0</v>
      </c>
      <c r="T296" s="163"/>
      <c r="U296" s="163">
        <f>'計分版'!E$14</f>
        <v>0.0000000001</v>
      </c>
      <c r="V296" s="163">
        <f>'計分版'!F$14</f>
        <v>0.0000000002</v>
      </c>
      <c r="W296" s="163">
        <f>'計分版'!G$14</f>
        <v>0.0000000003</v>
      </c>
      <c r="X296" s="163">
        <f>'計分版'!H$14</f>
        <v>0.0000000004</v>
      </c>
      <c r="Y296" s="163">
        <f>'計分版'!I$14</f>
        <v>0.0000000005</v>
      </c>
      <c r="Z296" s="163">
        <f>'計分版'!J$14</f>
        <v>0</v>
      </c>
      <c r="AA296" s="163">
        <f>'計分版'!K$14</f>
        <v>0</v>
      </c>
      <c r="AB296" s="163">
        <f>'計分版'!L$14</f>
        <v>0</v>
      </c>
      <c r="AC296" s="163">
        <f>'計分版'!M$14</f>
        <v>0</v>
      </c>
      <c r="AD296" s="163">
        <f>'計分版'!N$14</f>
        <v>0</v>
      </c>
      <c r="AE296" s="163"/>
      <c r="AF296" s="163"/>
      <c r="AG296" s="163" t="s">
        <v>166</v>
      </c>
      <c r="AH296" s="163"/>
      <c r="AI296" s="163"/>
      <c r="AJ296" s="163"/>
      <c r="AK296" s="163"/>
      <c r="AL296" s="163"/>
      <c r="AM296" s="163"/>
      <c r="AN296" s="130"/>
      <c r="AO296" s="130"/>
      <c r="AP296" s="130"/>
      <c r="AQ296" s="130"/>
      <c r="AR296" s="130"/>
      <c r="AS296" s="130"/>
      <c r="AT296" s="130"/>
    </row>
    <row r="297" ht="13.5" customHeight="1">
      <c r="A297" s="130"/>
      <c r="B297" s="130"/>
      <c r="C297" s="130"/>
      <c r="D297" s="130"/>
      <c r="E297" s="163"/>
      <c r="F297" s="163"/>
      <c r="G297" s="163"/>
      <c r="H297" s="163"/>
      <c r="I297" s="163"/>
      <c r="J297" s="163"/>
      <c r="K297" s="130"/>
      <c r="L297" s="130"/>
      <c r="M297" s="130"/>
      <c r="N297" s="130"/>
      <c r="O297" s="130"/>
      <c r="P297" s="130"/>
      <c r="Q297" s="130"/>
      <c r="R297" s="130"/>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30"/>
      <c r="AO297" s="130"/>
      <c r="AP297" s="130"/>
      <c r="AQ297" s="130"/>
      <c r="AR297" s="130"/>
      <c r="AS297" s="130"/>
      <c r="AT297" s="130"/>
    </row>
    <row r="298" ht="13.5" customHeight="1">
      <c r="A298" s="165" t="s">
        <v>952</v>
      </c>
      <c r="B298" s="130"/>
      <c r="C298" s="130"/>
      <c r="D298" s="130"/>
      <c r="E298" s="163"/>
      <c r="F298" s="163"/>
      <c r="G298" s="163"/>
      <c r="H298" s="163"/>
      <c r="I298" s="163"/>
      <c r="J298" s="163"/>
      <c r="K298" s="130"/>
      <c r="L298" s="130"/>
      <c r="M298" s="130"/>
      <c r="N298" s="130"/>
      <c r="O298" s="130"/>
      <c r="P298" s="130"/>
      <c r="Q298" s="130"/>
      <c r="R298" s="130"/>
      <c r="S298" s="163"/>
      <c r="T298" s="163"/>
      <c r="U298" s="163"/>
      <c r="V298" s="163"/>
      <c r="W298" s="163"/>
      <c r="X298" s="163"/>
      <c r="Y298" s="163"/>
      <c r="Z298" s="163"/>
      <c r="AA298" s="163"/>
      <c r="AB298" s="163"/>
      <c r="AC298" s="163"/>
      <c r="AD298" s="163"/>
      <c r="AE298" s="163"/>
      <c r="AF298" s="163"/>
      <c r="AG298" s="163"/>
      <c r="AH298" s="163"/>
      <c r="AI298" s="163"/>
      <c r="AJ298" s="163"/>
      <c r="AK298" s="163"/>
      <c r="AL298" s="163"/>
      <c r="AM298" s="163"/>
      <c r="AN298" s="130"/>
      <c r="AO298" s="130"/>
      <c r="AP298" s="130"/>
      <c r="AQ298" s="130"/>
      <c r="AR298" s="130"/>
      <c r="AS298" s="130"/>
      <c r="AT298" s="130"/>
    </row>
    <row r="299" ht="13.5" customHeight="1">
      <c r="A299" s="165" t="s">
        <v>1056</v>
      </c>
      <c r="B299" s="165" t="s">
        <v>1057</v>
      </c>
      <c r="C299" s="165" t="s">
        <v>44</v>
      </c>
      <c r="D299" s="166" t="s">
        <v>49</v>
      </c>
      <c r="E299" s="166" t="s">
        <v>1058</v>
      </c>
      <c r="F299" s="166" t="s">
        <v>1059</v>
      </c>
      <c r="G299" s="166" t="s">
        <v>1060</v>
      </c>
      <c r="H299" s="166" t="s">
        <v>1061</v>
      </c>
      <c r="I299" s="166" t="s">
        <v>218</v>
      </c>
      <c r="J299" s="166"/>
      <c r="K299" s="163"/>
      <c r="L299" s="166" t="s">
        <v>1058</v>
      </c>
      <c r="M299" s="166" t="s">
        <v>1059</v>
      </c>
      <c r="N299" s="166" t="s">
        <v>1060</v>
      </c>
      <c r="O299" s="166" t="s">
        <v>1061</v>
      </c>
      <c r="P299" s="166" t="s">
        <v>218</v>
      </c>
      <c r="Q299" s="166"/>
      <c r="R299" s="130"/>
      <c r="S299" s="163"/>
      <c r="T299" s="163"/>
      <c r="U299" s="167" t="s">
        <v>23</v>
      </c>
      <c r="V299" s="167" t="s">
        <v>26</v>
      </c>
      <c r="W299" s="167" t="s">
        <v>29</v>
      </c>
      <c r="X299" s="167" t="s">
        <v>30</v>
      </c>
      <c r="Y299" s="167" t="s">
        <v>173</v>
      </c>
      <c r="Z299" s="167" t="str">
        <f>'主頁'!$C$16</f>
        <v/>
      </c>
      <c r="AA299" s="167" t="str">
        <f>'主頁'!$C$17</f>
        <v/>
      </c>
      <c r="AB299" s="167" t="str">
        <f>'主頁'!$C$18</f>
        <v/>
      </c>
      <c r="AC299" s="167" t="str">
        <f>'主頁'!$C$19</f>
        <v/>
      </c>
      <c r="AD299" s="167" t="str">
        <f>'主頁'!$C$20</f>
        <v/>
      </c>
      <c r="AE299" s="166" t="s">
        <v>541</v>
      </c>
      <c r="AF299" s="163" t="s">
        <v>1062</v>
      </c>
      <c r="AG299" s="163" t="s">
        <v>1063</v>
      </c>
      <c r="AH299" s="163" t="s">
        <v>1064</v>
      </c>
      <c r="AI299" s="163"/>
      <c r="AJ299" s="163"/>
      <c r="AK299" s="163"/>
      <c r="AL299" s="163"/>
      <c r="AM299" s="163"/>
      <c r="AN299" s="130"/>
      <c r="AO299" s="130"/>
      <c r="AP299" s="130"/>
      <c r="AQ299" s="130"/>
      <c r="AR299" s="130"/>
      <c r="AS299" s="130"/>
      <c r="AT299" s="130"/>
    </row>
    <row r="300" ht="13.5" customHeight="1">
      <c r="A300" s="130" t="s">
        <v>726</v>
      </c>
      <c r="B300" s="130" t="s">
        <v>727</v>
      </c>
      <c r="C300" s="170" t="s">
        <v>21</v>
      </c>
      <c r="D300" s="163"/>
      <c r="E300" s="163">
        <v>3.0</v>
      </c>
      <c r="F300" s="163">
        <v>3.0</v>
      </c>
      <c r="G300" s="163">
        <v>2.0</v>
      </c>
      <c r="H300" s="163">
        <v>2.0</v>
      </c>
      <c r="I300" s="163">
        <v>2.0</v>
      </c>
      <c r="J300" s="163"/>
      <c r="K300" s="130"/>
      <c r="L300" s="163">
        <f>IF(E300&gt;U300,0,IF(U300&lt;5,2,1))</f>
        <v>0</v>
      </c>
      <c r="M300" s="163">
        <f t="shared" ref="M300:O300" si="328">IF(F300&gt;V300,0,1)</f>
        <v>0</v>
      </c>
      <c r="N300" s="163">
        <f t="shared" si="328"/>
        <v>0</v>
      </c>
      <c r="O300" s="163">
        <f t="shared" si="328"/>
        <v>0</v>
      </c>
      <c r="P300" s="163">
        <f>IF(I300&gt;LARGE(Y300:AD300,1),0,1)</f>
        <v>0</v>
      </c>
      <c r="Q300" s="130"/>
      <c r="R300" s="130"/>
      <c r="S300" s="163">
        <f t="shared" ref="S300:S303" si="330">L300*M300*N300*O300*P300</f>
        <v>0</v>
      </c>
      <c r="T300" s="163"/>
      <c r="U300" s="163">
        <f>'計分版'!E$14</f>
        <v>0.0000000001</v>
      </c>
      <c r="V300" s="163">
        <f>'計分版'!F$14</f>
        <v>0.0000000002</v>
      </c>
      <c r="W300" s="163">
        <f>'計分版'!G$14</f>
        <v>0.0000000003</v>
      </c>
      <c r="X300" s="163">
        <f>'計分版'!H$14</f>
        <v>0.0000000004</v>
      </c>
      <c r="Y300" s="163">
        <f>'計分版'!I$14</f>
        <v>0.0000000005</v>
      </c>
      <c r="Z300" s="163">
        <f>'計分版'!J$14</f>
        <v>0</v>
      </c>
      <c r="AA300" s="163">
        <f>'計分版'!K$14</f>
        <v>0</v>
      </c>
      <c r="AB300" s="163">
        <f>'計分版'!L$14</f>
        <v>0</v>
      </c>
      <c r="AC300" s="163">
        <f>'計分版'!M$14</f>
        <v>0</v>
      </c>
      <c r="AD300" s="163">
        <f>'計分版'!N$14</f>
        <v>0</v>
      </c>
      <c r="AE300" s="163"/>
      <c r="AF300" s="163" t="s">
        <v>1065</v>
      </c>
      <c r="AG300" s="163" t="s">
        <v>166</v>
      </c>
      <c r="AH300" s="163"/>
      <c r="AI300" s="163"/>
      <c r="AJ300" s="163"/>
      <c r="AK300" s="163"/>
      <c r="AL300" s="163"/>
      <c r="AM300" s="163"/>
      <c r="AN300" s="130"/>
      <c r="AO300" s="130"/>
      <c r="AP300" s="130"/>
      <c r="AQ300" s="130"/>
      <c r="AR300" s="130"/>
      <c r="AS300" s="130"/>
      <c r="AT300" s="130"/>
    </row>
    <row r="301" ht="13.5" customHeight="1">
      <c r="A301" s="130" t="s">
        <v>728</v>
      </c>
      <c r="B301" s="130" t="s">
        <v>729</v>
      </c>
      <c r="C301" s="170" t="s">
        <v>21</v>
      </c>
      <c r="D301" s="163"/>
      <c r="E301" s="163">
        <v>3.0</v>
      </c>
      <c r="F301" s="163">
        <v>3.0</v>
      </c>
      <c r="G301" s="163">
        <v>2.0</v>
      </c>
      <c r="H301" s="163">
        <v>2.0</v>
      </c>
      <c r="I301" s="163">
        <v>2.0</v>
      </c>
      <c r="J301" s="163"/>
      <c r="K301" s="130"/>
      <c r="L301" s="163">
        <f t="shared" ref="L301:L311" si="331">IF(E301&gt;U301,0,1)</f>
        <v>0</v>
      </c>
      <c r="M301" s="163">
        <f>IF(F301&gt;V301,0,IF(V301&lt;5,2,1))</f>
        <v>0</v>
      </c>
      <c r="N301" s="163">
        <f t="shared" ref="N301:O301" si="329">IF(G301&gt;W301,0,1)</f>
        <v>0</v>
      </c>
      <c r="O301" s="163">
        <f t="shared" si="329"/>
        <v>0</v>
      </c>
      <c r="P301" s="163">
        <f>IF(I301&gt;LARGE('計分版'!$I$14:$N$14,1),0,1)</f>
        <v>0</v>
      </c>
      <c r="Q301" s="130"/>
      <c r="R301" s="130"/>
      <c r="S301" s="163">
        <f t="shared" si="330"/>
        <v>0</v>
      </c>
      <c r="T301" s="163"/>
      <c r="U301" s="163">
        <f>'計分版'!E$14</f>
        <v>0.0000000001</v>
      </c>
      <c r="V301" s="163">
        <f>'計分版'!F$14</f>
        <v>0.0000000002</v>
      </c>
      <c r="W301" s="163">
        <f>'計分版'!G$14</f>
        <v>0.0000000003</v>
      </c>
      <c r="X301" s="163">
        <f>'計分版'!H$14</f>
        <v>0.0000000004</v>
      </c>
      <c r="Y301" s="163">
        <f>'計分版'!I$14</f>
        <v>0.0000000005</v>
      </c>
      <c r="Z301" s="163">
        <f>'計分版'!J$14</f>
        <v>0</v>
      </c>
      <c r="AA301" s="163">
        <f>'計分版'!K$14</f>
        <v>0</v>
      </c>
      <c r="AB301" s="163">
        <f>'計分版'!L$14</f>
        <v>0</v>
      </c>
      <c r="AC301" s="163">
        <f>'計分版'!M$14</f>
        <v>0</v>
      </c>
      <c r="AD301" s="163">
        <f>'計分版'!N$14</f>
        <v>0</v>
      </c>
      <c r="AE301" s="163"/>
      <c r="AF301" s="163" t="s">
        <v>1065</v>
      </c>
      <c r="AG301" s="163" t="s">
        <v>166</v>
      </c>
      <c r="AH301" s="163"/>
      <c r="AI301" s="163"/>
      <c r="AJ301" s="163"/>
      <c r="AK301" s="163"/>
      <c r="AL301" s="163"/>
      <c r="AM301" s="163"/>
      <c r="AN301" s="130"/>
      <c r="AO301" s="130"/>
      <c r="AP301" s="130"/>
      <c r="AQ301" s="130"/>
      <c r="AR301" s="130"/>
      <c r="AS301" s="130"/>
      <c r="AT301" s="130"/>
    </row>
    <row r="302" ht="13.5" customHeight="1">
      <c r="A302" s="130" t="s">
        <v>730</v>
      </c>
      <c r="B302" s="130" t="s">
        <v>731</v>
      </c>
      <c r="C302" s="170" t="s">
        <v>21</v>
      </c>
      <c r="D302" s="163"/>
      <c r="E302" s="163">
        <v>3.0</v>
      </c>
      <c r="F302" s="163">
        <v>3.0</v>
      </c>
      <c r="G302" s="163">
        <v>2.0</v>
      </c>
      <c r="H302" s="163">
        <v>2.0</v>
      </c>
      <c r="I302" s="163">
        <v>2.0</v>
      </c>
      <c r="J302" s="163"/>
      <c r="K302" s="130"/>
      <c r="L302" s="163">
        <f t="shared" si="331"/>
        <v>0</v>
      </c>
      <c r="M302" s="163">
        <f t="shared" ref="M302:O302" si="332">IF(F302&gt;V302,0,1)</f>
        <v>0</v>
      </c>
      <c r="N302" s="163">
        <f t="shared" si="332"/>
        <v>0</v>
      </c>
      <c r="O302" s="163">
        <f t="shared" si="332"/>
        <v>0</v>
      </c>
      <c r="P302" s="163">
        <f>IF(I302&gt;LARGE('計分版'!$I$14:$N$14,1),0,1)</f>
        <v>0</v>
      </c>
      <c r="Q302" s="130"/>
      <c r="R302" s="130"/>
      <c r="S302" s="163">
        <f t="shared" si="330"/>
        <v>0</v>
      </c>
      <c r="T302" s="163"/>
      <c r="U302" s="163">
        <f>'計分版'!E$14</f>
        <v>0.0000000001</v>
      </c>
      <c r="V302" s="163">
        <f>'計分版'!F$14</f>
        <v>0.0000000002</v>
      </c>
      <c r="W302" s="163">
        <f>'計分版'!G$14</f>
        <v>0.0000000003</v>
      </c>
      <c r="X302" s="163">
        <f>'計分版'!H$14</f>
        <v>0.0000000004</v>
      </c>
      <c r="Y302" s="163">
        <f>'計分版'!I$14</f>
        <v>0.0000000005</v>
      </c>
      <c r="Z302" s="163">
        <f>'計分版'!J$14</f>
        <v>0</v>
      </c>
      <c r="AA302" s="163">
        <f>'計分版'!K$14</f>
        <v>0</v>
      </c>
      <c r="AB302" s="163">
        <f>'計分版'!L$14</f>
        <v>0</v>
      </c>
      <c r="AC302" s="163">
        <f>'計分版'!M$14</f>
        <v>0</v>
      </c>
      <c r="AD302" s="163">
        <f>'計分版'!N$14</f>
        <v>0</v>
      </c>
      <c r="AE302" s="163"/>
      <c r="AF302" s="163" t="s">
        <v>1065</v>
      </c>
      <c r="AG302" s="163" t="s">
        <v>166</v>
      </c>
      <c r="AH302" s="163"/>
      <c r="AI302" s="163"/>
      <c r="AJ302" s="163"/>
      <c r="AK302" s="163"/>
      <c r="AL302" s="163"/>
      <c r="AM302" s="163"/>
      <c r="AN302" s="130"/>
      <c r="AO302" s="130"/>
      <c r="AP302" s="130"/>
      <c r="AQ302" s="130"/>
      <c r="AR302" s="130"/>
      <c r="AS302" s="130"/>
      <c r="AT302" s="130"/>
    </row>
    <row r="303" ht="13.5" customHeight="1">
      <c r="A303" s="130" t="s">
        <v>732</v>
      </c>
      <c r="B303" s="130" t="s">
        <v>733</v>
      </c>
      <c r="C303" s="170" t="s">
        <v>21</v>
      </c>
      <c r="D303" s="163"/>
      <c r="E303" s="163">
        <v>3.0</v>
      </c>
      <c r="F303" s="163">
        <v>3.0</v>
      </c>
      <c r="G303" s="163">
        <v>3.0</v>
      </c>
      <c r="H303" s="163">
        <v>2.0</v>
      </c>
      <c r="I303" s="163">
        <v>2.0</v>
      </c>
      <c r="J303" s="163"/>
      <c r="K303" s="130"/>
      <c r="L303" s="163">
        <f t="shared" si="331"/>
        <v>0</v>
      </c>
      <c r="M303" s="163">
        <f t="shared" ref="M303:O303" si="333">IF(F303&gt;V303,0,1)</f>
        <v>0</v>
      </c>
      <c r="N303" s="163">
        <f t="shared" si="333"/>
        <v>0</v>
      </c>
      <c r="O303" s="163">
        <f t="shared" si="333"/>
        <v>0</v>
      </c>
      <c r="P303" s="163">
        <f>IF(AND(W303&gt;3,Y303&gt;2),1,IF(W303&gt;5,2,0))</f>
        <v>0</v>
      </c>
      <c r="Q303" s="130"/>
      <c r="R303" s="130"/>
      <c r="S303" s="163">
        <f t="shared" si="330"/>
        <v>0</v>
      </c>
      <c r="T303" s="163"/>
      <c r="U303" s="163">
        <f>'計分版'!E$14</f>
        <v>0.0000000001</v>
      </c>
      <c r="V303" s="163">
        <f>'計分版'!F$14</f>
        <v>0.0000000002</v>
      </c>
      <c r="W303" s="163">
        <f>'計分版'!G$14</f>
        <v>0.0000000003</v>
      </c>
      <c r="X303" s="163">
        <f>'計分版'!H$14</f>
        <v>0.0000000004</v>
      </c>
      <c r="Y303" s="163">
        <f>'計分版'!I$14</f>
        <v>0.0000000005</v>
      </c>
      <c r="Z303" s="163">
        <f>'計分版'!J$14</f>
        <v>0</v>
      </c>
      <c r="AA303" s="163">
        <f>'計分版'!K$14</f>
        <v>0</v>
      </c>
      <c r="AB303" s="163">
        <f>'計分版'!L$14</f>
        <v>0</v>
      </c>
      <c r="AC303" s="163">
        <f>'計分版'!M$14</f>
        <v>0</v>
      </c>
      <c r="AD303" s="163">
        <f>'計分版'!N$14</f>
        <v>0</v>
      </c>
      <c r="AE303" s="163"/>
      <c r="AF303" s="163" t="s">
        <v>1065</v>
      </c>
      <c r="AG303" s="163" t="s">
        <v>166</v>
      </c>
      <c r="AH303" s="163"/>
      <c r="AI303" s="163"/>
      <c r="AJ303" s="163"/>
      <c r="AK303" s="163"/>
      <c r="AL303" s="163"/>
      <c r="AM303" s="163"/>
      <c r="AN303" s="130"/>
      <c r="AO303" s="130"/>
      <c r="AP303" s="130"/>
      <c r="AQ303" s="130"/>
      <c r="AR303" s="130"/>
      <c r="AS303" s="130"/>
      <c r="AT303" s="130"/>
    </row>
    <row r="304" ht="13.5" customHeight="1">
      <c r="A304" s="130" t="s">
        <v>734</v>
      </c>
      <c r="B304" s="130" t="s">
        <v>735</v>
      </c>
      <c r="C304" s="170" t="s">
        <v>21</v>
      </c>
      <c r="D304" s="163"/>
      <c r="E304" s="163">
        <v>3.0</v>
      </c>
      <c r="F304" s="163">
        <v>3.0</v>
      </c>
      <c r="G304" s="163">
        <v>2.0</v>
      </c>
      <c r="H304" s="163">
        <v>2.0</v>
      </c>
      <c r="I304" s="163">
        <v>2.0</v>
      </c>
      <c r="J304" s="163"/>
      <c r="K304" s="130"/>
      <c r="L304" s="163">
        <f t="shared" si="331"/>
        <v>0</v>
      </c>
      <c r="M304" s="163">
        <f t="shared" ref="M304:O304" si="334">IF(F304&gt;V304,0,1)</f>
        <v>0</v>
      </c>
      <c r="N304" s="163">
        <f t="shared" si="334"/>
        <v>0</v>
      </c>
      <c r="O304" s="163">
        <f t="shared" si="334"/>
        <v>0</v>
      </c>
      <c r="P304" s="163">
        <f>IF(I304&gt;LARGE(Y304:AD304,1),0,1)</f>
        <v>0</v>
      </c>
      <c r="Q304" s="130"/>
      <c r="R304" s="130"/>
      <c r="S304" s="163">
        <f>IF(L304*M304*N304*O304*P304=0,0,2)</f>
        <v>0</v>
      </c>
      <c r="T304" s="163"/>
      <c r="U304" s="163">
        <f>'計分版'!E$14</f>
        <v>0.0000000001</v>
      </c>
      <c r="V304" s="163">
        <f>'計分版'!F$14</f>
        <v>0.0000000002</v>
      </c>
      <c r="W304" s="163">
        <f>'計分版'!G$14</f>
        <v>0.0000000003</v>
      </c>
      <c r="X304" s="163">
        <f>'計分版'!H$14</f>
        <v>0.0000000004</v>
      </c>
      <c r="Y304" s="163">
        <f>'計分版'!I$14</f>
        <v>0.0000000005</v>
      </c>
      <c r="Z304" s="163">
        <f>'計分版'!J$14</f>
        <v>0</v>
      </c>
      <c r="AA304" s="163">
        <f>'計分版'!K$14</f>
        <v>0</v>
      </c>
      <c r="AB304" s="163">
        <f>'計分版'!L$14</f>
        <v>0</v>
      </c>
      <c r="AC304" s="163">
        <f>'計分版'!M$14</f>
        <v>0</v>
      </c>
      <c r="AD304" s="163">
        <f>'計分版'!N$14</f>
        <v>0</v>
      </c>
      <c r="AE304" s="163"/>
      <c r="AF304" s="163" t="s">
        <v>1065</v>
      </c>
      <c r="AG304" s="163" t="s">
        <v>166</v>
      </c>
      <c r="AH304" s="163"/>
      <c r="AI304" s="163"/>
      <c r="AJ304" s="163"/>
      <c r="AK304" s="163"/>
      <c r="AL304" s="163"/>
      <c r="AM304" s="163"/>
      <c r="AN304" s="130"/>
      <c r="AO304" s="130"/>
      <c r="AP304" s="130"/>
      <c r="AQ304" s="130"/>
      <c r="AR304" s="130"/>
      <c r="AS304" s="130"/>
      <c r="AT304" s="130"/>
    </row>
    <row r="305" ht="13.5" customHeight="1">
      <c r="A305" s="130" t="s">
        <v>736</v>
      </c>
      <c r="B305" s="130" t="s">
        <v>737</v>
      </c>
      <c r="C305" s="170" t="s">
        <v>21</v>
      </c>
      <c r="D305" s="163"/>
      <c r="E305" s="163">
        <v>3.0</v>
      </c>
      <c r="F305" s="163">
        <v>3.0</v>
      </c>
      <c r="G305" s="163">
        <v>2.0</v>
      </c>
      <c r="H305" s="163">
        <v>2.0</v>
      </c>
      <c r="I305" s="163">
        <v>2.0</v>
      </c>
      <c r="J305" s="163"/>
      <c r="K305" s="130"/>
      <c r="L305" s="163">
        <f t="shared" si="331"/>
        <v>0</v>
      </c>
      <c r="M305" s="163">
        <f t="shared" ref="M305:O305" si="335">IF(F305&gt;V305,0,1)</f>
        <v>0</v>
      </c>
      <c r="N305" s="163">
        <f t="shared" si="335"/>
        <v>0</v>
      </c>
      <c r="O305" s="163">
        <f t="shared" si="335"/>
        <v>0</v>
      </c>
      <c r="P305" s="163">
        <f>IF(OR('計分版'!R27&gt;2,'計分版'!T244&gt;2),1,0)</f>
        <v>0</v>
      </c>
      <c r="Q305" s="130"/>
      <c r="R305" s="130"/>
      <c r="S305" s="163">
        <f t="shared" ref="S305:S322" si="337">L305*M305*N305*O305*P305</f>
        <v>0</v>
      </c>
      <c r="T305" s="163"/>
      <c r="U305" s="163">
        <f>'計分版'!E$14</f>
        <v>0.0000000001</v>
      </c>
      <c r="V305" s="163">
        <f>'計分版'!F$14</f>
        <v>0.0000000002</v>
      </c>
      <c r="W305" s="163">
        <f>'計分版'!G$14</f>
        <v>0.0000000003</v>
      </c>
      <c r="X305" s="163">
        <f>'計分版'!H$14</f>
        <v>0.0000000004</v>
      </c>
      <c r="Y305" s="163">
        <f>'計分版'!I$14</f>
        <v>0.0000000005</v>
      </c>
      <c r="Z305" s="163">
        <f>'計分版'!J$14</f>
        <v>0</v>
      </c>
      <c r="AA305" s="163">
        <f>'計分版'!K$14</f>
        <v>0</v>
      </c>
      <c r="AB305" s="163">
        <f>'計分版'!L$14</f>
        <v>0</v>
      </c>
      <c r="AC305" s="163">
        <f>'計分版'!M$14</f>
        <v>0</v>
      </c>
      <c r="AD305" s="163">
        <f>'計分版'!N$14</f>
        <v>0</v>
      </c>
      <c r="AE305" s="163"/>
      <c r="AF305" s="163" t="s">
        <v>1065</v>
      </c>
      <c r="AG305" s="163" t="s">
        <v>166</v>
      </c>
      <c r="AH305" s="163"/>
      <c r="AI305" s="163"/>
      <c r="AJ305" s="163"/>
      <c r="AK305" s="163"/>
      <c r="AL305" s="163"/>
      <c r="AM305" s="163"/>
      <c r="AN305" s="130"/>
      <c r="AO305" s="130"/>
      <c r="AP305" s="130"/>
      <c r="AQ305" s="130"/>
      <c r="AR305" s="130"/>
      <c r="AS305" s="130"/>
      <c r="AT305" s="130"/>
    </row>
    <row r="306" ht="13.5" customHeight="1">
      <c r="A306" s="130" t="s">
        <v>738</v>
      </c>
      <c r="B306" s="130" t="s">
        <v>739</v>
      </c>
      <c r="C306" s="170" t="s">
        <v>21</v>
      </c>
      <c r="D306" s="163"/>
      <c r="E306" s="163">
        <v>3.0</v>
      </c>
      <c r="F306" s="163">
        <v>3.0</v>
      </c>
      <c r="G306" s="163">
        <v>2.0</v>
      </c>
      <c r="H306" s="163">
        <v>2.0</v>
      </c>
      <c r="I306" s="163">
        <v>2.0</v>
      </c>
      <c r="J306" s="163"/>
      <c r="K306" s="130"/>
      <c r="L306" s="163">
        <f t="shared" si="331"/>
        <v>0</v>
      </c>
      <c r="M306" s="163">
        <f t="shared" ref="M306:O306" si="336">IF(F306&gt;V306,0,1)</f>
        <v>0</v>
      </c>
      <c r="N306" s="163">
        <f t="shared" si="336"/>
        <v>0</v>
      </c>
      <c r="O306" s="163">
        <f t="shared" si="336"/>
        <v>0</v>
      </c>
      <c r="P306" s="163">
        <f>IF(I306&gt;LARGE(Y306:AD306,1),0,1)</f>
        <v>0</v>
      </c>
      <c r="Q306" s="130"/>
      <c r="R306" s="130"/>
      <c r="S306" s="163">
        <f t="shared" si="337"/>
        <v>0</v>
      </c>
      <c r="T306" s="163"/>
      <c r="U306" s="163">
        <f>'計分版'!E$14</f>
        <v>0.0000000001</v>
      </c>
      <c r="V306" s="163">
        <f>'計分版'!F$14</f>
        <v>0.0000000002</v>
      </c>
      <c r="W306" s="163">
        <f>'計分版'!G$14</f>
        <v>0.0000000003</v>
      </c>
      <c r="X306" s="163">
        <f>'計分版'!H$14</f>
        <v>0.0000000004</v>
      </c>
      <c r="Y306" s="163">
        <f>'計分版'!I$14</f>
        <v>0.0000000005</v>
      </c>
      <c r="Z306" s="163">
        <f>'計分版'!J$14</f>
        <v>0</v>
      </c>
      <c r="AA306" s="163">
        <f>'計分版'!K$14</f>
        <v>0</v>
      </c>
      <c r="AB306" s="163">
        <f>'計分版'!L$14</f>
        <v>0</v>
      </c>
      <c r="AC306" s="163">
        <f>'計分版'!M$14</f>
        <v>0</v>
      </c>
      <c r="AD306" s="163">
        <f>'計分版'!N$14</f>
        <v>0</v>
      </c>
      <c r="AE306" s="163"/>
      <c r="AF306" s="163" t="s">
        <v>1065</v>
      </c>
      <c r="AG306" s="163" t="s">
        <v>166</v>
      </c>
      <c r="AH306" s="163"/>
      <c r="AI306" s="163"/>
      <c r="AJ306" s="163"/>
      <c r="AK306" s="163"/>
      <c r="AL306" s="163"/>
      <c r="AM306" s="163"/>
      <c r="AN306" s="130"/>
      <c r="AO306" s="130"/>
      <c r="AP306" s="130"/>
      <c r="AQ306" s="130"/>
      <c r="AR306" s="130"/>
      <c r="AS306" s="130"/>
      <c r="AT306" s="130"/>
    </row>
    <row r="307" ht="13.5" customHeight="1">
      <c r="A307" s="130" t="s">
        <v>741</v>
      </c>
      <c r="B307" s="130" t="s">
        <v>742</v>
      </c>
      <c r="C307" s="170" t="s">
        <v>21</v>
      </c>
      <c r="D307" s="163"/>
      <c r="E307" s="163">
        <v>3.0</v>
      </c>
      <c r="F307" s="163">
        <v>3.0</v>
      </c>
      <c r="G307" s="163">
        <v>3.0</v>
      </c>
      <c r="H307" s="163">
        <v>2.0</v>
      </c>
      <c r="I307" s="163">
        <v>2.0</v>
      </c>
      <c r="J307" s="163"/>
      <c r="K307" s="130"/>
      <c r="L307" s="163">
        <f t="shared" si="331"/>
        <v>0</v>
      </c>
      <c r="M307" s="163">
        <f t="shared" ref="M307:O307" si="338">IF(F307&gt;V307,0,1)</f>
        <v>0</v>
      </c>
      <c r="N307" s="163">
        <f t="shared" si="338"/>
        <v>0</v>
      </c>
      <c r="O307" s="163">
        <f t="shared" si="338"/>
        <v>0</v>
      </c>
      <c r="P307" s="163">
        <f>IF(AND(W307&gt;3,Y307&gt;2),1,IF(W307&gt;5,2,0))</f>
        <v>0</v>
      </c>
      <c r="Q307" s="130"/>
      <c r="R307" s="130"/>
      <c r="S307" s="163">
        <f t="shared" si="337"/>
        <v>0</v>
      </c>
      <c r="T307" s="163"/>
      <c r="U307" s="163">
        <f>'計分版'!E$14</f>
        <v>0.0000000001</v>
      </c>
      <c r="V307" s="163">
        <f>'計分版'!F$14</f>
        <v>0.0000000002</v>
      </c>
      <c r="W307" s="163">
        <f>'計分版'!G$14</f>
        <v>0.0000000003</v>
      </c>
      <c r="X307" s="163">
        <f>'計分版'!H$14</f>
        <v>0.0000000004</v>
      </c>
      <c r="Y307" s="163">
        <f>'計分版'!I$14</f>
        <v>0.0000000005</v>
      </c>
      <c r="Z307" s="163">
        <f>'計分版'!J$14</f>
        <v>0</v>
      </c>
      <c r="AA307" s="163">
        <f>'計分版'!K$14</f>
        <v>0</v>
      </c>
      <c r="AB307" s="163">
        <f>'計分版'!L$14</f>
        <v>0</v>
      </c>
      <c r="AC307" s="163">
        <f>'計分版'!M$14</f>
        <v>0</v>
      </c>
      <c r="AD307" s="163">
        <f>'計分版'!N$14</f>
        <v>0</v>
      </c>
      <c r="AE307" s="163"/>
      <c r="AF307" s="163" t="s">
        <v>1065</v>
      </c>
      <c r="AG307" s="163" t="s">
        <v>166</v>
      </c>
      <c r="AH307" s="163"/>
      <c r="AI307" s="163"/>
      <c r="AJ307" s="163"/>
      <c r="AK307" s="163"/>
      <c r="AL307" s="163"/>
      <c r="AM307" s="163"/>
      <c r="AN307" s="130"/>
      <c r="AO307" s="130"/>
      <c r="AP307" s="130"/>
      <c r="AQ307" s="130"/>
      <c r="AR307" s="130"/>
      <c r="AS307" s="130"/>
      <c r="AT307" s="130"/>
    </row>
    <row r="308" ht="13.5" customHeight="1">
      <c r="A308" s="130" t="s">
        <v>743</v>
      </c>
      <c r="B308" s="130" t="s">
        <v>744</v>
      </c>
      <c r="C308" s="170" t="s">
        <v>21</v>
      </c>
      <c r="D308" s="163"/>
      <c r="E308" s="163">
        <v>3.0</v>
      </c>
      <c r="F308" s="163">
        <v>3.0</v>
      </c>
      <c r="G308" s="163">
        <v>2.0</v>
      </c>
      <c r="H308" s="163">
        <v>2.0</v>
      </c>
      <c r="I308" s="163">
        <v>2.0</v>
      </c>
      <c r="J308" s="163"/>
      <c r="K308" s="130"/>
      <c r="L308" s="163">
        <f t="shared" si="331"/>
        <v>0</v>
      </c>
      <c r="M308" s="163">
        <f t="shared" ref="M308:O308" si="339">IF(F308&gt;V308,0,1)</f>
        <v>0</v>
      </c>
      <c r="N308" s="163">
        <f t="shared" si="339"/>
        <v>0</v>
      </c>
      <c r="O308" s="163">
        <f t="shared" si="339"/>
        <v>0</v>
      </c>
      <c r="P308" s="163">
        <f t="shared" ref="P308:P310" si="341">IF(I308&gt;LARGE(Y308:AD308,1),0,1)</f>
        <v>0</v>
      </c>
      <c r="Q308" s="130"/>
      <c r="R308" s="130"/>
      <c r="S308" s="163">
        <f t="shared" si="337"/>
        <v>0</v>
      </c>
      <c r="T308" s="163"/>
      <c r="U308" s="163">
        <f>'計分版'!E$14</f>
        <v>0.0000000001</v>
      </c>
      <c r="V308" s="163">
        <f>'計分版'!F$14</f>
        <v>0.0000000002</v>
      </c>
      <c r="W308" s="163">
        <f>'計分版'!G$14</f>
        <v>0.0000000003</v>
      </c>
      <c r="X308" s="163">
        <f>'計分版'!H$14</f>
        <v>0.0000000004</v>
      </c>
      <c r="Y308" s="163">
        <f>'計分版'!I$14</f>
        <v>0.0000000005</v>
      </c>
      <c r="Z308" s="163">
        <f>'計分版'!J$14</f>
        <v>0</v>
      </c>
      <c r="AA308" s="163">
        <f>'計分版'!K$14</f>
        <v>0</v>
      </c>
      <c r="AB308" s="163">
        <f>'計分版'!L$14</f>
        <v>0</v>
      </c>
      <c r="AC308" s="163">
        <f>'計分版'!M$14</f>
        <v>0</v>
      </c>
      <c r="AD308" s="163">
        <f>'計分版'!N$14</f>
        <v>0</v>
      </c>
      <c r="AE308" s="163"/>
      <c r="AF308" s="163" t="s">
        <v>1065</v>
      </c>
      <c r="AG308" s="163" t="s">
        <v>166</v>
      </c>
      <c r="AH308" s="163"/>
      <c r="AI308" s="163"/>
      <c r="AJ308" s="163"/>
      <c r="AK308" s="163"/>
      <c r="AL308" s="163"/>
      <c r="AM308" s="163"/>
      <c r="AN308" s="130"/>
      <c r="AO308" s="130"/>
      <c r="AP308" s="130"/>
      <c r="AQ308" s="130"/>
      <c r="AR308" s="130"/>
      <c r="AS308" s="130"/>
      <c r="AT308" s="130"/>
    </row>
    <row r="309" ht="13.5" customHeight="1">
      <c r="A309" s="130" t="s">
        <v>745</v>
      </c>
      <c r="B309" s="130" t="s">
        <v>746</v>
      </c>
      <c r="C309" s="170" t="s">
        <v>21</v>
      </c>
      <c r="D309" s="163"/>
      <c r="E309" s="163">
        <v>3.0</v>
      </c>
      <c r="F309" s="163">
        <v>3.0</v>
      </c>
      <c r="G309" s="163">
        <v>2.0</v>
      </c>
      <c r="H309" s="163">
        <v>2.0</v>
      </c>
      <c r="I309" s="163">
        <v>2.0</v>
      </c>
      <c r="J309" s="163"/>
      <c r="K309" s="130"/>
      <c r="L309" s="163">
        <f t="shared" si="331"/>
        <v>0</v>
      </c>
      <c r="M309" s="163">
        <f t="shared" ref="M309:O309" si="340">IF(F309&gt;V309,0,1)</f>
        <v>0</v>
      </c>
      <c r="N309" s="163">
        <f t="shared" si="340"/>
        <v>0</v>
      </c>
      <c r="O309" s="163">
        <f t="shared" si="340"/>
        <v>0</v>
      </c>
      <c r="P309" s="163">
        <f t="shared" si="341"/>
        <v>0</v>
      </c>
      <c r="Q309" s="130"/>
      <c r="R309" s="130"/>
      <c r="S309" s="163">
        <f t="shared" si="337"/>
        <v>0</v>
      </c>
      <c r="T309" s="163"/>
      <c r="U309" s="163">
        <f>'計分版'!E$14</f>
        <v>0.0000000001</v>
      </c>
      <c r="V309" s="163">
        <f>'計分版'!F$14</f>
        <v>0.0000000002</v>
      </c>
      <c r="W309" s="163">
        <f>'計分版'!G$14</f>
        <v>0.0000000003</v>
      </c>
      <c r="X309" s="163">
        <f>'計分版'!H$14</f>
        <v>0.0000000004</v>
      </c>
      <c r="Y309" s="163">
        <f>'計分版'!I$14</f>
        <v>0.0000000005</v>
      </c>
      <c r="Z309" s="163">
        <f>'計分版'!J$14</f>
        <v>0</v>
      </c>
      <c r="AA309" s="163">
        <f>'計分版'!K$14</f>
        <v>0</v>
      </c>
      <c r="AB309" s="163">
        <f>'計分版'!L$14</f>
        <v>0</v>
      </c>
      <c r="AC309" s="163">
        <f>'計分版'!M$14</f>
        <v>0</v>
      </c>
      <c r="AD309" s="163">
        <f>'計分版'!N$14</f>
        <v>0</v>
      </c>
      <c r="AE309" s="163"/>
      <c r="AF309" s="163" t="s">
        <v>1065</v>
      </c>
      <c r="AG309" s="163" t="s">
        <v>166</v>
      </c>
      <c r="AH309" s="163"/>
      <c r="AI309" s="163"/>
      <c r="AJ309" s="163"/>
      <c r="AK309" s="163"/>
      <c r="AL309" s="163"/>
      <c r="AM309" s="163"/>
      <c r="AN309" s="130"/>
      <c r="AO309" s="130"/>
      <c r="AP309" s="130"/>
      <c r="AQ309" s="130"/>
      <c r="AR309" s="130"/>
      <c r="AS309" s="130"/>
      <c r="AT309" s="130"/>
    </row>
    <row r="310" ht="13.5" customHeight="1">
      <c r="A310" s="130" t="s">
        <v>747</v>
      </c>
      <c r="B310" s="130" t="s">
        <v>748</v>
      </c>
      <c r="C310" s="170" t="s">
        <v>21</v>
      </c>
      <c r="D310" s="163"/>
      <c r="E310" s="163">
        <v>3.0</v>
      </c>
      <c r="F310" s="163">
        <v>3.0</v>
      </c>
      <c r="G310" s="163">
        <v>2.0</v>
      </c>
      <c r="H310" s="163">
        <v>2.0</v>
      </c>
      <c r="I310" s="163">
        <v>2.0</v>
      </c>
      <c r="J310" s="163"/>
      <c r="K310" s="130"/>
      <c r="L310" s="163">
        <f t="shared" si="331"/>
        <v>0</v>
      </c>
      <c r="M310" s="163">
        <f t="shared" ref="M310:O310" si="342">IF(F310&gt;V310,0,1)</f>
        <v>0</v>
      </c>
      <c r="N310" s="163">
        <f t="shared" si="342"/>
        <v>0</v>
      </c>
      <c r="O310" s="163">
        <f t="shared" si="342"/>
        <v>0</v>
      </c>
      <c r="P310" s="163">
        <f t="shared" si="341"/>
        <v>0</v>
      </c>
      <c r="Q310" s="130"/>
      <c r="R310" s="130"/>
      <c r="S310" s="163">
        <f t="shared" si="337"/>
        <v>0</v>
      </c>
      <c r="T310" s="163"/>
      <c r="U310" s="163">
        <f>'計分版'!E$14</f>
        <v>0.0000000001</v>
      </c>
      <c r="V310" s="163">
        <f>'計分版'!F$14</f>
        <v>0.0000000002</v>
      </c>
      <c r="W310" s="163">
        <f>'計分版'!G$14</f>
        <v>0.0000000003</v>
      </c>
      <c r="X310" s="163">
        <f>'計分版'!H$14</f>
        <v>0.0000000004</v>
      </c>
      <c r="Y310" s="163">
        <f>'計分版'!I$14</f>
        <v>0.0000000005</v>
      </c>
      <c r="Z310" s="163">
        <f>'計分版'!J$14</f>
        <v>0</v>
      </c>
      <c r="AA310" s="163">
        <f>'計分版'!K$14</f>
        <v>0</v>
      </c>
      <c r="AB310" s="163">
        <f>'計分版'!L$14</f>
        <v>0</v>
      </c>
      <c r="AC310" s="163">
        <f>'計分版'!M$14</f>
        <v>0</v>
      </c>
      <c r="AD310" s="163">
        <f>'計分版'!N$14</f>
        <v>0</v>
      </c>
      <c r="AE310" s="163"/>
      <c r="AF310" s="163" t="s">
        <v>1065</v>
      </c>
      <c r="AG310" s="163" t="s">
        <v>166</v>
      </c>
      <c r="AH310" s="163"/>
      <c r="AI310" s="163"/>
      <c r="AJ310" s="163"/>
      <c r="AK310" s="163"/>
      <c r="AL310" s="163"/>
      <c r="AM310" s="163"/>
      <c r="AN310" s="130"/>
      <c r="AO310" s="130"/>
      <c r="AP310" s="130"/>
      <c r="AQ310" s="130"/>
      <c r="AR310" s="130"/>
      <c r="AS310" s="130"/>
      <c r="AT310" s="130"/>
    </row>
    <row r="311" ht="13.5" customHeight="1">
      <c r="A311" s="130" t="s">
        <v>749</v>
      </c>
      <c r="B311" s="130" t="s">
        <v>750</v>
      </c>
      <c r="C311" s="170" t="s">
        <v>21</v>
      </c>
      <c r="D311" s="163"/>
      <c r="E311" s="163">
        <v>3.0</v>
      </c>
      <c r="F311" s="163">
        <v>3.0</v>
      </c>
      <c r="G311" s="163">
        <v>2.0</v>
      </c>
      <c r="H311" s="163">
        <v>2.0</v>
      </c>
      <c r="I311" s="163">
        <v>4.0</v>
      </c>
      <c r="J311" s="163"/>
      <c r="K311" s="130"/>
      <c r="L311" s="163">
        <f t="shared" si="331"/>
        <v>0</v>
      </c>
      <c r="M311" s="163">
        <f t="shared" ref="M311:O311" si="343">IF(F311&gt;V311,0,1)</f>
        <v>0</v>
      </c>
      <c r="N311" s="163">
        <f t="shared" si="343"/>
        <v>0</v>
      </c>
      <c r="O311" s="163">
        <f t="shared" si="343"/>
        <v>0</v>
      </c>
      <c r="P311" s="163">
        <f>IF('計分版'!R27&gt;4,1,0)</f>
        <v>0</v>
      </c>
      <c r="Q311" s="130"/>
      <c r="R311" s="130"/>
      <c r="S311" s="163">
        <f t="shared" si="337"/>
        <v>0</v>
      </c>
      <c r="T311" s="163"/>
      <c r="U311" s="163">
        <f>'計分版'!E$14</f>
        <v>0.0000000001</v>
      </c>
      <c r="V311" s="163">
        <f>'計分版'!F$14</f>
        <v>0.0000000002</v>
      </c>
      <c r="W311" s="163">
        <f>'計分版'!G$14</f>
        <v>0.0000000003</v>
      </c>
      <c r="X311" s="163">
        <f>'計分版'!H$14</f>
        <v>0.0000000004</v>
      </c>
      <c r="Y311" s="163">
        <f>'計分版'!I$14</f>
        <v>0.0000000005</v>
      </c>
      <c r="Z311" s="163">
        <f>'計分版'!J$14</f>
        <v>0</v>
      </c>
      <c r="AA311" s="163">
        <f>'計分版'!K$14</f>
        <v>0</v>
      </c>
      <c r="AB311" s="163">
        <f>'計分版'!L$14</f>
        <v>0</v>
      </c>
      <c r="AC311" s="163">
        <f>'計分版'!M$14</f>
        <v>0</v>
      </c>
      <c r="AD311" s="163">
        <f>'計分版'!N$14</f>
        <v>0</v>
      </c>
      <c r="AE311" s="163"/>
      <c r="AF311" s="163" t="s">
        <v>1065</v>
      </c>
      <c r="AG311" s="163" t="s">
        <v>166</v>
      </c>
      <c r="AH311" s="163"/>
      <c r="AI311" s="163"/>
      <c r="AJ311" s="163"/>
      <c r="AK311" s="163"/>
      <c r="AL311" s="163"/>
      <c r="AM311" s="163"/>
      <c r="AN311" s="130"/>
      <c r="AO311" s="130"/>
      <c r="AP311" s="130"/>
      <c r="AQ311" s="130"/>
      <c r="AR311" s="130"/>
      <c r="AS311" s="130"/>
      <c r="AT311" s="130"/>
    </row>
    <row r="312" ht="13.5" customHeight="1">
      <c r="A312" s="130" t="s">
        <v>752</v>
      </c>
      <c r="B312" s="130" t="s">
        <v>753</v>
      </c>
      <c r="C312" s="170" t="s">
        <v>21</v>
      </c>
      <c r="D312" s="163"/>
      <c r="E312" s="163">
        <v>3.0</v>
      </c>
      <c r="F312" s="163">
        <v>3.0</v>
      </c>
      <c r="G312" s="163">
        <v>2.0</v>
      </c>
      <c r="H312" s="163">
        <v>2.0</v>
      </c>
      <c r="I312" s="163">
        <v>2.0</v>
      </c>
      <c r="J312" s="163"/>
      <c r="K312" s="130"/>
      <c r="L312" s="163">
        <f>IF(E312&gt;U312,0,IF(U312&lt;5,2,1))</f>
        <v>0</v>
      </c>
      <c r="M312" s="163">
        <f t="shared" ref="M312:O312" si="344">IF(F312&gt;V312,0,1)</f>
        <v>0</v>
      </c>
      <c r="N312" s="163">
        <f t="shared" si="344"/>
        <v>0</v>
      </c>
      <c r="O312" s="163">
        <f t="shared" si="344"/>
        <v>0</v>
      </c>
      <c r="P312" s="163">
        <f t="shared" ref="P312:P314" si="346">IF(I312&gt;LARGE(Y312:AD312,1),0,1)</f>
        <v>0</v>
      </c>
      <c r="Q312" s="130"/>
      <c r="R312" s="130"/>
      <c r="S312" s="163">
        <f t="shared" si="337"/>
        <v>0</v>
      </c>
      <c r="T312" s="163"/>
      <c r="U312" s="163">
        <f>'計分版'!E$14</f>
        <v>0.0000000001</v>
      </c>
      <c r="V312" s="163">
        <f>'計分版'!F$14</f>
        <v>0.0000000002</v>
      </c>
      <c r="W312" s="163">
        <f>'計分版'!G$14</f>
        <v>0.0000000003</v>
      </c>
      <c r="X312" s="163">
        <f>'計分版'!H$14</f>
        <v>0.0000000004</v>
      </c>
      <c r="Y312" s="163">
        <f>'計分版'!I$14</f>
        <v>0.0000000005</v>
      </c>
      <c r="Z312" s="163">
        <f>'計分版'!J$14</f>
        <v>0</v>
      </c>
      <c r="AA312" s="163">
        <f>'計分版'!K$14</f>
        <v>0</v>
      </c>
      <c r="AB312" s="163">
        <f>'計分版'!L$14</f>
        <v>0</v>
      </c>
      <c r="AC312" s="163">
        <f>'計分版'!M$14</f>
        <v>0</v>
      </c>
      <c r="AD312" s="163">
        <f>'計分版'!N$14</f>
        <v>0</v>
      </c>
      <c r="AE312" s="163"/>
      <c r="AF312" s="163" t="s">
        <v>1065</v>
      </c>
      <c r="AG312" s="163" t="s">
        <v>166</v>
      </c>
      <c r="AH312" s="163"/>
      <c r="AI312" s="163"/>
      <c r="AJ312" s="163"/>
      <c r="AK312" s="163"/>
      <c r="AL312" s="163"/>
      <c r="AM312" s="163"/>
      <c r="AN312" s="130"/>
      <c r="AO312" s="130"/>
      <c r="AP312" s="130"/>
      <c r="AQ312" s="130"/>
      <c r="AR312" s="130"/>
      <c r="AS312" s="130"/>
      <c r="AT312" s="130"/>
    </row>
    <row r="313" ht="13.5" customHeight="1">
      <c r="A313" s="130" t="s">
        <v>754</v>
      </c>
      <c r="B313" s="130" t="s">
        <v>755</v>
      </c>
      <c r="C313" s="170" t="s">
        <v>21</v>
      </c>
      <c r="D313" s="163"/>
      <c r="E313" s="163">
        <v>3.0</v>
      </c>
      <c r="F313" s="163">
        <v>3.0</v>
      </c>
      <c r="G313" s="163">
        <v>2.0</v>
      </c>
      <c r="H313" s="163">
        <v>2.0</v>
      </c>
      <c r="I313" s="163">
        <v>2.0</v>
      </c>
      <c r="J313" s="163"/>
      <c r="K313" s="130"/>
      <c r="L313" s="163">
        <f t="shared" ref="L313:L322" si="347">IF(E313&gt;U313,0,1)</f>
        <v>0</v>
      </c>
      <c r="M313" s="163">
        <f>IF(F313&gt;V313,0,IF(V313&lt;5,2,1))</f>
        <v>0</v>
      </c>
      <c r="N313" s="163">
        <f t="shared" ref="N313:O313" si="345">IF(G313&gt;W313,0,1)</f>
        <v>0</v>
      </c>
      <c r="O313" s="163">
        <f t="shared" si="345"/>
        <v>0</v>
      </c>
      <c r="P313" s="163">
        <f t="shared" si="346"/>
        <v>0</v>
      </c>
      <c r="Q313" s="130"/>
      <c r="R313" s="130"/>
      <c r="S313" s="163">
        <f t="shared" si="337"/>
        <v>0</v>
      </c>
      <c r="T313" s="163"/>
      <c r="U313" s="163">
        <f>'計分版'!E$14</f>
        <v>0.0000000001</v>
      </c>
      <c r="V313" s="163">
        <f>'計分版'!F$14</f>
        <v>0.0000000002</v>
      </c>
      <c r="W313" s="163">
        <f>'計分版'!G$14</f>
        <v>0.0000000003</v>
      </c>
      <c r="X313" s="163">
        <f>'計分版'!H$14</f>
        <v>0.0000000004</v>
      </c>
      <c r="Y313" s="163">
        <f>'計分版'!I$14</f>
        <v>0.0000000005</v>
      </c>
      <c r="Z313" s="163">
        <f>'計分版'!J$14</f>
        <v>0</v>
      </c>
      <c r="AA313" s="163">
        <f>'計分版'!K$14</f>
        <v>0</v>
      </c>
      <c r="AB313" s="163">
        <f>'計分版'!L$14</f>
        <v>0</v>
      </c>
      <c r="AC313" s="163">
        <f>'計分版'!M$14</f>
        <v>0</v>
      </c>
      <c r="AD313" s="163">
        <f>'計分版'!N$14</f>
        <v>0</v>
      </c>
      <c r="AE313" s="163"/>
      <c r="AF313" s="163" t="s">
        <v>1065</v>
      </c>
      <c r="AG313" s="163" t="s">
        <v>166</v>
      </c>
      <c r="AH313" s="163"/>
      <c r="AI313" s="163"/>
      <c r="AJ313" s="163"/>
      <c r="AK313" s="163"/>
      <c r="AL313" s="163"/>
      <c r="AM313" s="163"/>
      <c r="AN313" s="130"/>
      <c r="AO313" s="130"/>
      <c r="AP313" s="130"/>
      <c r="AQ313" s="130"/>
      <c r="AR313" s="130"/>
      <c r="AS313" s="130"/>
      <c r="AT313" s="130"/>
    </row>
    <row r="314" ht="13.5" customHeight="1">
      <c r="A314" s="130" t="s">
        <v>756</v>
      </c>
      <c r="B314" s="130" t="s">
        <v>757</v>
      </c>
      <c r="C314" s="170" t="s">
        <v>21</v>
      </c>
      <c r="D314" s="163"/>
      <c r="E314" s="163">
        <v>3.0</v>
      </c>
      <c r="F314" s="163">
        <v>3.0</v>
      </c>
      <c r="G314" s="163">
        <v>2.0</v>
      </c>
      <c r="H314" s="163">
        <v>2.0</v>
      </c>
      <c r="I314" s="163">
        <v>2.0</v>
      </c>
      <c r="J314" s="163"/>
      <c r="K314" s="130"/>
      <c r="L314" s="163">
        <f t="shared" si="347"/>
        <v>0</v>
      </c>
      <c r="M314" s="163">
        <f t="shared" ref="M314:O314" si="348">IF(F314&gt;V314,0,1)</f>
        <v>0</v>
      </c>
      <c r="N314" s="163">
        <f t="shared" si="348"/>
        <v>0</v>
      </c>
      <c r="O314" s="163">
        <f t="shared" si="348"/>
        <v>0</v>
      </c>
      <c r="P314" s="163">
        <f t="shared" si="346"/>
        <v>0</v>
      </c>
      <c r="Q314" s="130"/>
      <c r="R314" s="130"/>
      <c r="S314" s="163">
        <f t="shared" si="337"/>
        <v>0</v>
      </c>
      <c r="T314" s="163"/>
      <c r="U314" s="163">
        <f>'計分版'!E$14</f>
        <v>0.0000000001</v>
      </c>
      <c r="V314" s="163">
        <f>'計分版'!F$14</f>
        <v>0.0000000002</v>
      </c>
      <c r="W314" s="163">
        <f>'計分版'!G$14</f>
        <v>0.0000000003</v>
      </c>
      <c r="X314" s="163">
        <f>'計分版'!H$14</f>
        <v>0.0000000004</v>
      </c>
      <c r="Y314" s="163">
        <f>'計分版'!I$14</f>
        <v>0.0000000005</v>
      </c>
      <c r="Z314" s="163">
        <f>'計分版'!J$14</f>
        <v>0</v>
      </c>
      <c r="AA314" s="163">
        <f>'計分版'!K$14</f>
        <v>0</v>
      </c>
      <c r="AB314" s="163">
        <f>'計分版'!L$14</f>
        <v>0</v>
      </c>
      <c r="AC314" s="163">
        <f>'計分版'!M$14</f>
        <v>0</v>
      </c>
      <c r="AD314" s="163">
        <f>'計分版'!N$14</f>
        <v>0</v>
      </c>
      <c r="AE314" s="163"/>
      <c r="AF314" s="163" t="s">
        <v>1065</v>
      </c>
      <c r="AG314" s="163" t="s">
        <v>166</v>
      </c>
      <c r="AH314" s="163"/>
      <c r="AI314" s="163"/>
      <c r="AJ314" s="163"/>
      <c r="AK314" s="163"/>
      <c r="AL314" s="163"/>
      <c r="AM314" s="163"/>
      <c r="AN314" s="130"/>
      <c r="AO314" s="130"/>
      <c r="AP314" s="130"/>
      <c r="AQ314" s="130"/>
      <c r="AR314" s="130"/>
      <c r="AS314" s="130"/>
      <c r="AT314" s="130"/>
    </row>
    <row r="315" ht="13.5" customHeight="1">
      <c r="A315" s="130" t="s">
        <v>758</v>
      </c>
      <c r="B315" s="130" t="s">
        <v>759</v>
      </c>
      <c r="C315" s="170" t="s">
        <v>21</v>
      </c>
      <c r="D315" s="163"/>
      <c r="E315" s="163">
        <v>3.0</v>
      </c>
      <c r="F315" s="163">
        <v>3.0</v>
      </c>
      <c r="G315" s="163">
        <v>2.0</v>
      </c>
      <c r="H315" s="163">
        <v>2.0</v>
      </c>
      <c r="I315" s="163">
        <v>2.0</v>
      </c>
      <c r="J315" s="163"/>
      <c r="K315" s="130"/>
      <c r="L315" s="163">
        <f t="shared" si="347"/>
        <v>0</v>
      </c>
      <c r="M315" s="163">
        <f t="shared" ref="M315:O315" si="349">IF(F315&gt;V315,0,1)</f>
        <v>0</v>
      </c>
      <c r="N315" s="163">
        <f t="shared" si="349"/>
        <v>0</v>
      </c>
      <c r="O315" s="163">
        <f t="shared" si="349"/>
        <v>0</v>
      </c>
      <c r="P315" s="163">
        <f>IF(I315&gt;LARGE(Y315:AD315,1),0,IF('計分版'!U331&gt;4,1,2))</f>
        <v>0</v>
      </c>
      <c r="Q315" s="130"/>
      <c r="R315" s="130"/>
      <c r="S315" s="163">
        <f t="shared" si="337"/>
        <v>0</v>
      </c>
      <c r="T315" s="163"/>
      <c r="U315" s="163">
        <f>'計分版'!E$14</f>
        <v>0.0000000001</v>
      </c>
      <c r="V315" s="163">
        <f>'計分版'!F$14</f>
        <v>0.0000000002</v>
      </c>
      <c r="W315" s="163">
        <f>'計分版'!G$14</f>
        <v>0.0000000003</v>
      </c>
      <c r="X315" s="163">
        <f>'計分版'!H$14</f>
        <v>0.0000000004</v>
      </c>
      <c r="Y315" s="163">
        <f>'計分版'!I$14</f>
        <v>0.0000000005</v>
      </c>
      <c r="Z315" s="163">
        <f>'計分版'!J$14</f>
        <v>0</v>
      </c>
      <c r="AA315" s="163">
        <f>'計分版'!K$14</f>
        <v>0</v>
      </c>
      <c r="AB315" s="163">
        <f>'計分版'!L$14</f>
        <v>0</v>
      </c>
      <c r="AC315" s="163">
        <f>'計分版'!M$14</f>
        <v>0</v>
      </c>
      <c r="AD315" s="163">
        <f>'計分版'!N$14</f>
        <v>0</v>
      </c>
      <c r="AE315" s="163"/>
      <c r="AF315" s="163" t="s">
        <v>1065</v>
      </c>
      <c r="AG315" s="163" t="s">
        <v>166</v>
      </c>
      <c r="AH315" s="163"/>
      <c r="AI315" s="163"/>
      <c r="AJ315" s="163"/>
      <c r="AK315" s="163"/>
      <c r="AL315" s="163"/>
      <c r="AM315" s="163"/>
      <c r="AN315" s="130"/>
      <c r="AO315" s="130"/>
      <c r="AP315" s="130"/>
      <c r="AQ315" s="130"/>
      <c r="AR315" s="130"/>
      <c r="AS315" s="130"/>
      <c r="AT315" s="130"/>
    </row>
    <row r="316" ht="13.5" customHeight="1">
      <c r="A316" s="130" t="s">
        <v>760</v>
      </c>
      <c r="B316" s="130" t="s">
        <v>761</v>
      </c>
      <c r="C316" s="170" t="s">
        <v>21</v>
      </c>
      <c r="D316" s="163"/>
      <c r="E316" s="163">
        <v>3.0</v>
      </c>
      <c r="F316" s="163">
        <v>3.0</v>
      </c>
      <c r="G316" s="163">
        <v>2.0</v>
      </c>
      <c r="H316" s="163">
        <v>2.0</v>
      </c>
      <c r="I316" s="163">
        <v>2.0</v>
      </c>
      <c r="J316" s="163"/>
      <c r="K316" s="130"/>
      <c r="L316" s="163">
        <f t="shared" si="347"/>
        <v>0</v>
      </c>
      <c r="M316" s="163">
        <f t="shared" ref="M316:O316" si="350">IF(F316&gt;V316,0,1)</f>
        <v>0</v>
      </c>
      <c r="N316" s="163">
        <f t="shared" si="350"/>
        <v>0</v>
      </c>
      <c r="O316" s="163">
        <f t="shared" si="350"/>
        <v>0</v>
      </c>
      <c r="P316" s="163">
        <f>IF(I316&gt;LARGE(Y316:AD316,1),0,IF('計分版'!U332&gt;4,1,2))</f>
        <v>0</v>
      </c>
      <c r="Q316" s="130"/>
      <c r="R316" s="130"/>
      <c r="S316" s="163">
        <f t="shared" si="337"/>
        <v>0</v>
      </c>
      <c r="T316" s="163"/>
      <c r="U316" s="163">
        <f>'計分版'!E$14</f>
        <v>0.0000000001</v>
      </c>
      <c r="V316" s="163">
        <f>'計分版'!F$14</f>
        <v>0.0000000002</v>
      </c>
      <c r="W316" s="163">
        <f>'計分版'!G$14</f>
        <v>0.0000000003</v>
      </c>
      <c r="X316" s="163">
        <f>'計分版'!H$14</f>
        <v>0.0000000004</v>
      </c>
      <c r="Y316" s="163">
        <f>'計分版'!I$14</f>
        <v>0.0000000005</v>
      </c>
      <c r="Z316" s="163">
        <f>'計分版'!J$14</f>
        <v>0</v>
      </c>
      <c r="AA316" s="163">
        <f>'計分版'!K$14</f>
        <v>0</v>
      </c>
      <c r="AB316" s="163">
        <f>'計分版'!L$14</f>
        <v>0</v>
      </c>
      <c r="AC316" s="163">
        <f>'計分版'!M$14</f>
        <v>0</v>
      </c>
      <c r="AD316" s="163">
        <f>'計分版'!N$14</f>
        <v>0</v>
      </c>
      <c r="AE316" s="163"/>
      <c r="AF316" s="163" t="s">
        <v>1065</v>
      </c>
      <c r="AG316" s="163" t="s">
        <v>166</v>
      </c>
      <c r="AH316" s="163"/>
      <c r="AI316" s="163"/>
      <c r="AJ316" s="163"/>
      <c r="AK316" s="163"/>
      <c r="AL316" s="163"/>
      <c r="AM316" s="163"/>
      <c r="AN316" s="130"/>
      <c r="AO316" s="130"/>
      <c r="AP316" s="130"/>
      <c r="AQ316" s="130"/>
      <c r="AR316" s="130"/>
      <c r="AS316" s="130"/>
      <c r="AT316" s="130"/>
    </row>
    <row r="317" ht="13.5" customHeight="1">
      <c r="A317" s="130" t="s">
        <v>762</v>
      </c>
      <c r="B317" s="130" t="s">
        <v>763</v>
      </c>
      <c r="C317" s="170" t="s">
        <v>21</v>
      </c>
      <c r="D317" s="163"/>
      <c r="E317" s="163">
        <v>3.0</v>
      </c>
      <c r="F317" s="163">
        <v>3.0</v>
      </c>
      <c r="G317" s="163">
        <v>2.0</v>
      </c>
      <c r="H317" s="163">
        <v>2.0</v>
      </c>
      <c r="I317" s="163">
        <v>2.0</v>
      </c>
      <c r="J317" s="163"/>
      <c r="K317" s="130"/>
      <c r="L317" s="163">
        <f t="shared" si="347"/>
        <v>0</v>
      </c>
      <c r="M317" s="163">
        <f t="shared" ref="M317:O317" si="351">IF(F317&gt;V317,0,1)</f>
        <v>0</v>
      </c>
      <c r="N317" s="163">
        <f t="shared" si="351"/>
        <v>0</v>
      </c>
      <c r="O317" s="163">
        <f t="shared" si="351"/>
        <v>0</v>
      </c>
      <c r="P317" s="163">
        <f t="shared" ref="P317:P318" si="353">IF(I317&gt;LARGE(Y317:AD317,1),0,1)</f>
        <v>0</v>
      </c>
      <c r="Q317" s="130"/>
      <c r="R317" s="130"/>
      <c r="S317" s="163">
        <f t="shared" si="337"/>
        <v>0</v>
      </c>
      <c r="T317" s="163"/>
      <c r="U317" s="163">
        <f>'計分版'!E$14</f>
        <v>0.0000000001</v>
      </c>
      <c r="V317" s="163">
        <f>'計分版'!F$14</f>
        <v>0.0000000002</v>
      </c>
      <c r="W317" s="163">
        <f>'計分版'!G$14</f>
        <v>0.0000000003</v>
      </c>
      <c r="X317" s="163">
        <f>'計分版'!H$14</f>
        <v>0.0000000004</v>
      </c>
      <c r="Y317" s="163">
        <f>'計分版'!I$14</f>
        <v>0.0000000005</v>
      </c>
      <c r="Z317" s="163">
        <f>'計分版'!J$14</f>
        <v>0</v>
      </c>
      <c r="AA317" s="163">
        <f>'計分版'!K$14</f>
        <v>0</v>
      </c>
      <c r="AB317" s="163">
        <f>'計分版'!L$14</f>
        <v>0</v>
      </c>
      <c r="AC317" s="163">
        <f>'計分版'!M$14</f>
        <v>0</v>
      </c>
      <c r="AD317" s="163">
        <f>'計分版'!N$14</f>
        <v>0</v>
      </c>
      <c r="AE317" s="163"/>
      <c r="AF317" s="163" t="s">
        <v>1065</v>
      </c>
      <c r="AG317" s="163" t="s">
        <v>166</v>
      </c>
      <c r="AH317" s="163"/>
      <c r="AI317" s="163"/>
      <c r="AJ317" s="163"/>
      <c r="AK317" s="163"/>
      <c r="AL317" s="163"/>
      <c r="AM317" s="163"/>
      <c r="AN317" s="130"/>
      <c r="AO317" s="130"/>
      <c r="AP317" s="130"/>
      <c r="AQ317" s="130"/>
      <c r="AR317" s="130"/>
      <c r="AS317" s="130"/>
      <c r="AT317" s="130"/>
    </row>
    <row r="318" ht="13.5" customHeight="1">
      <c r="A318" s="130" t="s">
        <v>764</v>
      </c>
      <c r="B318" s="130" t="s">
        <v>765</v>
      </c>
      <c r="C318" s="170" t="s">
        <v>21</v>
      </c>
      <c r="D318" s="163"/>
      <c r="E318" s="163">
        <v>3.0</v>
      </c>
      <c r="F318" s="163">
        <v>3.0</v>
      </c>
      <c r="G318" s="163">
        <v>2.0</v>
      </c>
      <c r="H318" s="163">
        <v>2.0</v>
      </c>
      <c r="I318" s="163">
        <v>2.0</v>
      </c>
      <c r="J318" s="163"/>
      <c r="K318" s="130"/>
      <c r="L318" s="163">
        <f t="shared" si="347"/>
        <v>0</v>
      </c>
      <c r="M318" s="163">
        <f t="shared" ref="M318:O318" si="352">IF(F318&gt;V318,0,1)</f>
        <v>0</v>
      </c>
      <c r="N318" s="163">
        <f t="shared" si="352"/>
        <v>0</v>
      </c>
      <c r="O318" s="163">
        <f t="shared" si="352"/>
        <v>0</v>
      </c>
      <c r="P318" s="163">
        <f t="shared" si="353"/>
        <v>0</v>
      </c>
      <c r="Q318" s="130"/>
      <c r="R318" s="130"/>
      <c r="S318" s="163">
        <f t="shared" si="337"/>
        <v>0</v>
      </c>
      <c r="T318" s="163"/>
      <c r="U318" s="163">
        <f>'計分版'!E$14</f>
        <v>0.0000000001</v>
      </c>
      <c r="V318" s="163">
        <f>'計分版'!F$14</f>
        <v>0.0000000002</v>
      </c>
      <c r="W318" s="163">
        <f>'計分版'!G$14</f>
        <v>0.0000000003</v>
      </c>
      <c r="X318" s="163">
        <f>'計分版'!H$14</f>
        <v>0.0000000004</v>
      </c>
      <c r="Y318" s="163">
        <f>'計分版'!I$14</f>
        <v>0.0000000005</v>
      </c>
      <c r="Z318" s="163">
        <f>'計分版'!J$14</f>
        <v>0</v>
      </c>
      <c r="AA318" s="163">
        <f>'計分版'!K$14</f>
        <v>0</v>
      </c>
      <c r="AB318" s="163">
        <f>'計分版'!L$14</f>
        <v>0</v>
      </c>
      <c r="AC318" s="163">
        <f>'計分版'!M$14</f>
        <v>0</v>
      </c>
      <c r="AD318" s="163">
        <f>'計分版'!N$14</f>
        <v>0</v>
      </c>
      <c r="AE318" s="163"/>
      <c r="AF318" s="163" t="s">
        <v>1065</v>
      </c>
      <c r="AG318" s="163" t="s">
        <v>166</v>
      </c>
      <c r="AH318" s="163"/>
      <c r="AI318" s="163"/>
      <c r="AJ318" s="163"/>
      <c r="AK318" s="163"/>
      <c r="AL318" s="163"/>
      <c r="AM318" s="163"/>
      <c r="AN318" s="130"/>
      <c r="AO318" s="130"/>
      <c r="AP318" s="130"/>
      <c r="AQ318" s="130"/>
      <c r="AR318" s="130"/>
      <c r="AS318" s="130"/>
      <c r="AT318" s="130"/>
    </row>
    <row r="319" ht="13.5" customHeight="1">
      <c r="A319" s="130" t="s">
        <v>766</v>
      </c>
      <c r="B319" s="130" t="s">
        <v>767</v>
      </c>
      <c r="C319" s="170" t="s">
        <v>21</v>
      </c>
      <c r="D319" s="163"/>
      <c r="E319" s="163">
        <v>3.0</v>
      </c>
      <c r="F319" s="163">
        <v>3.0</v>
      </c>
      <c r="G319" s="163">
        <v>2.0</v>
      </c>
      <c r="H319" s="163">
        <v>2.0</v>
      </c>
      <c r="I319" s="163">
        <v>2.0</v>
      </c>
      <c r="J319" s="163"/>
      <c r="K319" s="130"/>
      <c r="L319" s="163">
        <f t="shared" si="347"/>
        <v>0</v>
      </c>
      <c r="M319" s="163">
        <f t="shared" ref="M319:O319" si="354">IF(F319&gt;V319,0,1)</f>
        <v>0</v>
      </c>
      <c r="N319" s="163">
        <f t="shared" si="354"/>
        <v>0</v>
      </c>
      <c r="O319" s="163">
        <f t="shared" si="354"/>
        <v>0</v>
      </c>
      <c r="P319" s="163">
        <f>IF(I319&gt;LARGE(Y319:AD319,1),0,IF('計分版'!U331&gt;4,1,2))</f>
        <v>0</v>
      </c>
      <c r="Q319" s="130"/>
      <c r="R319" s="130"/>
      <c r="S319" s="163">
        <f t="shared" si="337"/>
        <v>0</v>
      </c>
      <c r="T319" s="163"/>
      <c r="U319" s="163">
        <f>'計分版'!E$14</f>
        <v>0.0000000001</v>
      </c>
      <c r="V319" s="163">
        <f>'計分版'!F$14</f>
        <v>0.0000000002</v>
      </c>
      <c r="W319" s="163">
        <f>'計分版'!G$14</f>
        <v>0.0000000003</v>
      </c>
      <c r="X319" s="163">
        <f>'計分版'!H$14</f>
        <v>0.0000000004</v>
      </c>
      <c r="Y319" s="163">
        <f>'計分版'!I$14</f>
        <v>0.0000000005</v>
      </c>
      <c r="Z319" s="163">
        <f>'計分版'!J$14</f>
        <v>0</v>
      </c>
      <c r="AA319" s="163">
        <f>'計分版'!K$14</f>
        <v>0</v>
      </c>
      <c r="AB319" s="163">
        <f>'計分版'!L$14</f>
        <v>0</v>
      </c>
      <c r="AC319" s="163">
        <f>'計分版'!M$14</f>
        <v>0</v>
      </c>
      <c r="AD319" s="163">
        <f>'計分版'!N$14</f>
        <v>0</v>
      </c>
      <c r="AE319" s="163"/>
      <c r="AF319" s="163" t="s">
        <v>1065</v>
      </c>
      <c r="AG319" s="163" t="s">
        <v>166</v>
      </c>
      <c r="AH319" s="163"/>
      <c r="AI319" s="163"/>
      <c r="AJ319" s="163"/>
      <c r="AK319" s="163"/>
      <c r="AL319" s="163"/>
      <c r="AM319" s="163"/>
      <c r="AN319" s="130"/>
      <c r="AO319" s="130"/>
      <c r="AP319" s="130"/>
      <c r="AQ319" s="130"/>
      <c r="AR319" s="130"/>
      <c r="AS319" s="130"/>
      <c r="AT319" s="130"/>
    </row>
    <row r="320" ht="13.5" customHeight="1">
      <c r="A320" s="130" t="s">
        <v>768</v>
      </c>
      <c r="B320" s="130" t="s">
        <v>769</v>
      </c>
      <c r="C320" s="170" t="s">
        <v>21</v>
      </c>
      <c r="D320" s="163"/>
      <c r="E320" s="163">
        <v>3.0</v>
      </c>
      <c r="F320" s="163">
        <v>3.0</v>
      </c>
      <c r="G320" s="163">
        <v>2.0</v>
      </c>
      <c r="H320" s="163">
        <v>2.0</v>
      </c>
      <c r="I320" s="163">
        <v>2.0</v>
      </c>
      <c r="J320" s="163"/>
      <c r="K320" s="130"/>
      <c r="L320" s="163">
        <f t="shared" si="347"/>
        <v>0</v>
      </c>
      <c r="M320" s="163">
        <f t="shared" ref="M320:O320" si="355">IF(F320&gt;V320,0,1)</f>
        <v>0</v>
      </c>
      <c r="N320" s="163">
        <f t="shared" si="355"/>
        <v>0</v>
      </c>
      <c r="O320" s="163">
        <f t="shared" si="355"/>
        <v>0</v>
      </c>
      <c r="P320" s="163">
        <f>IF(I320&gt;LARGE(Y320:AD320,1),0,IF('計分版'!U332&gt;4,1,2))</f>
        <v>0</v>
      </c>
      <c r="Q320" s="130"/>
      <c r="R320" s="130"/>
      <c r="S320" s="163">
        <f t="shared" si="337"/>
        <v>0</v>
      </c>
      <c r="T320" s="163"/>
      <c r="U320" s="163">
        <f>'計分版'!E$14</f>
        <v>0.0000000001</v>
      </c>
      <c r="V320" s="163">
        <f>'計分版'!F$14</f>
        <v>0.0000000002</v>
      </c>
      <c r="W320" s="163">
        <f>'計分版'!G$14</f>
        <v>0.0000000003</v>
      </c>
      <c r="X320" s="163">
        <f>'計分版'!H$14</f>
        <v>0.0000000004</v>
      </c>
      <c r="Y320" s="163">
        <f>'計分版'!I$14</f>
        <v>0.0000000005</v>
      </c>
      <c r="Z320" s="163">
        <f>'計分版'!J$14</f>
        <v>0</v>
      </c>
      <c r="AA320" s="163">
        <f>'計分版'!K$14</f>
        <v>0</v>
      </c>
      <c r="AB320" s="163">
        <f>'計分版'!L$14</f>
        <v>0</v>
      </c>
      <c r="AC320" s="163">
        <f>'計分版'!M$14</f>
        <v>0</v>
      </c>
      <c r="AD320" s="163">
        <f>'計分版'!N$14</f>
        <v>0</v>
      </c>
      <c r="AE320" s="163"/>
      <c r="AF320" s="163" t="s">
        <v>1065</v>
      </c>
      <c r="AG320" s="163" t="s">
        <v>166</v>
      </c>
      <c r="AH320" s="163"/>
      <c r="AI320" s="163"/>
      <c r="AJ320" s="163"/>
      <c r="AK320" s="163"/>
      <c r="AL320" s="163"/>
      <c r="AM320" s="163"/>
      <c r="AN320" s="130"/>
      <c r="AO320" s="130"/>
      <c r="AP320" s="130"/>
      <c r="AQ320" s="130"/>
      <c r="AR320" s="130"/>
      <c r="AS320" s="130"/>
      <c r="AT320" s="130"/>
    </row>
    <row r="321" ht="13.5" customHeight="1">
      <c r="A321" s="130" t="s">
        <v>770</v>
      </c>
      <c r="B321" s="130" t="s">
        <v>771</v>
      </c>
      <c r="C321" s="170" t="s">
        <v>21</v>
      </c>
      <c r="D321" s="163"/>
      <c r="E321" s="163">
        <v>3.0</v>
      </c>
      <c r="F321" s="163">
        <v>3.0</v>
      </c>
      <c r="G321" s="163">
        <v>2.0</v>
      </c>
      <c r="H321" s="163">
        <v>2.0</v>
      </c>
      <c r="I321" s="163">
        <v>2.0</v>
      </c>
      <c r="J321" s="163"/>
      <c r="K321" s="130"/>
      <c r="L321" s="163">
        <f t="shared" si="347"/>
        <v>0</v>
      </c>
      <c r="M321" s="163">
        <f>IF(F321&gt;V321,0,IF(V321&lt;6,2,1))</f>
        <v>0</v>
      </c>
      <c r="N321" s="163">
        <f t="shared" ref="N321:O321" si="356">IF(G321&gt;W321,0,1)</f>
        <v>0</v>
      </c>
      <c r="O321" s="163">
        <f t="shared" si="356"/>
        <v>0</v>
      </c>
      <c r="P321" s="163">
        <f t="shared" ref="P321:P322" si="358">IF(I321&gt;LARGE(Y321:AD321,1),0,1)</f>
        <v>0</v>
      </c>
      <c r="Q321" s="130"/>
      <c r="R321" s="130"/>
      <c r="S321" s="163">
        <f t="shared" si="337"/>
        <v>0</v>
      </c>
      <c r="T321" s="163"/>
      <c r="U321" s="163">
        <f>'計分版'!E$14</f>
        <v>0.0000000001</v>
      </c>
      <c r="V321" s="163">
        <f>'計分版'!F$14</f>
        <v>0.0000000002</v>
      </c>
      <c r="W321" s="163">
        <f>'計分版'!G$14</f>
        <v>0.0000000003</v>
      </c>
      <c r="X321" s="163">
        <f>'計分版'!H$14</f>
        <v>0.0000000004</v>
      </c>
      <c r="Y321" s="163">
        <f>'計分版'!I$14</f>
        <v>0.0000000005</v>
      </c>
      <c r="Z321" s="163">
        <f>'計分版'!J$14</f>
        <v>0</v>
      </c>
      <c r="AA321" s="163">
        <f>'計分版'!K$14</f>
        <v>0</v>
      </c>
      <c r="AB321" s="163">
        <f>'計分版'!L$14</f>
        <v>0</v>
      </c>
      <c r="AC321" s="163">
        <f>'計分版'!M$14</f>
        <v>0</v>
      </c>
      <c r="AD321" s="163">
        <f>'計分版'!N$14</f>
        <v>0</v>
      </c>
      <c r="AE321" s="163"/>
      <c r="AF321" s="163" t="s">
        <v>1065</v>
      </c>
      <c r="AG321" s="163" t="s">
        <v>166</v>
      </c>
      <c r="AH321" s="163"/>
      <c r="AI321" s="163"/>
      <c r="AJ321" s="163"/>
      <c r="AK321" s="163"/>
      <c r="AL321" s="163"/>
      <c r="AM321" s="163"/>
      <c r="AN321" s="130"/>
      <c r="AO321" s="130"/>
      <c r="AP321" s="130"/>
      <c r="AQ321" s="130"/>
      <c r="AR321" s="130"/>
      <c r="AS321" s="130"/>
      <c r="AT321" s="130"/>
    </row>
    <row r="322" ht="13.5" customHeight="1">
      <c r="A322" s="130" t="s">
        <v>772</v>
      </c>
      <c r="B322" s="130" t="s">
        <v>773</v>
      </c>
      <c r="C322" s="170" t="s">
        <v>21</v>
      </c>
      <c r="D322" s="163"/>
      <c r="E322" s="163">
        <v>2.0</v>
      </c>
      <c r="F322" s="163">
        <v>2.0</v>
      </c>
      <c r="G322" s="163">
        <v>2.0</v>
      </c>
      <c r="H322" s="163">
        <v>2.0</v>
      </c>
      <c r="I322" s="163">
        <v>2.0</v>
      </c>
      <c r="J322" s="163"/>
      <c r="K322" s="130"/>
      <c r="L322" s="163">
        <f t="shared" si="347"/>
        <v>0</v>
      </c>
      <c r="M322" s="163">
        <f t="shared" ref="M322:O322" si="357">IF(F322&gt;V322,0,1)</f>
        <v>0</v>
      </c>
      <c r="N322" s="163">
        <f t="shared" si="357"/>
        <v>0</v>
      </c>
      <c r="O322" s="163">
        <f t="shared" si="357"/>
        <v>0</v>
      </c>
      <c r="P322" s="163">
        <f t="shared" si="358"/>
        <v>0</v>
      </c>
      <c r="Q322" s="130"/>
      <c r="R322" s="130"/>
      <c r="S322" s="163">
        <f t="shared" si="337"/>
        <v>0</v>
      </c>
      <c r="T322" s="163"/>
      <c r="U322" s="163">
        <f>'計分版'!E$14</f>
        <v>0.0000000001</v>
      </c>
      <c r="V322" s="163">
        <f>'計分版'!F$14</f>
        <v>0.0000000002</v>
      </c>
      <c r="W322" s="163">
        <f>'計分版'!G$14</f>
        <v>0.0000000003</v>
      </c>
      <c r="X322" s="163">
        <f>'計分版'!H$14</f>
        <v>0.0000000004</v>
      </c>
      <c r="Y322" s="163">
        <f>'計分版'!I$14</f>
        <v>0.0000000005</v>
      </c>
      <c r="Z322" s="163">
        <f>'計分版'!J$14</f>
        <v>0</v>
      </c>
      <c r="AA322" s="163">
        <f>'計分版'!K$14</f>
        <v>0</v>
      </c>
      <c r="AB322" s="163">
        <f>'計分版'!L$14</f>
        <v>0</v>
      </c>
      <c r="AC322" s="163">
        <f>'計分版'!M$14</f>
        <v>0</v>
      </c>
      <c r="AD322" s="163">
        <f>'計分版'!N$14</f>
        <v>0</v>
      </c>
      <c r="AE322" s="163"/>
      <c r="AF322" s="163" t="s">
        <v>1065</v>
      </c>
      <c r="AG322" s="163" t="s">
        <v>166</v>
      </c>
      <c r="AH322" s="163"/>
      <c r="AI322" s="163"/>
      <c r="AJ322" s="163"/>
      <c r="AK322" s="163"/>
      <c r="AL322" s="163"/>
      <c r="AM322" s="163"/>
      <c r="AN322" s="130"/>
      <c r="AO322" s="130"/>
      <c r="AP322" s="130"/>
      <c r="AQ322" s="130"/>
      <c r="AR322" s="130"/>
      <c r="AS322" s="130"/>
      <c r="AT322" s="130"/>
    </row>
    <row r="323" ht="13.5" customHeight="1">
      <c r="A323" s="130"/>
      <c r="B323" s="130"/>
      <c r="C323" s="130"/>
      <c r="D323" s="130"/>
      <c r="E323" s="163"/>
      <c r="F323" s="163"/>
      <c r="G323" s="163"/>
      <c r="H323" s="163"/>
      <c r="I323" s="163"/>
      <c r="J323" s="163"/>
      <c r="K323" s="130"/>
      <c r="L323" s="130"/>
      <c r="M323" s="130"/>
      <c r="N323" s="130"/>
      <c r="O323" s="130"/>
      <c r="P323" s="130"/>
      <c r="Q323" s="130"/>
      <c r="R323" s="130"/>
      <c r="S323" s="163"/>
      <c r="T323" s="163"/>
      <c r="U323" s="163"/>
      <c r="V323" s="163"/>
      <c r="W323" s="163"/>
      <c r="X323" s="163"/>
      <c r="Y323" s="163"/>
      <c r="Z323" s="163"/>
      <c r="AA323" s="163"/>
      <c r="AB323" s="163"/>
      <c r="AC323" s="163"/>
      <c r="AD323" s="163"/>
      <c r="AE323" s="163"/>
      <c r="AF323" s="163"/>
      <c r="AG323" s="163"/>
      <c r="AH323" s="163"/>
      <c r="AI323" s="163"/>
      <c r="AJ323" s="163"/>
      <c r="AK323" s="163"/>
      <c r="AL323" s="163"/>
      <c r="AM323" s="163"/>
      <c r="AN323" s="130"/>
      <c r="AO323" s="130"/>
      <c r="AP323" s="130"/>
      <c r="AQ323" s="130"/>
      <c r="AR323" s="130"/>
      <c r="AS323" s="130"/>
      <c r="AT323" s="130"/>
    </row>
    <row r="324" ht="13.5" customHeight="1">
      <c r="A324" s="165" t="s">
        <v>184</v>
      </c>
      <c r="B324" s="130"/>
      <c r="C324" s="130"/>
      <c r="D324" s="130"/>
      <c r="E324" s="163"/>
      <c r="F324" s="163"/>
      <c r="G324" s="163"/>
      <c r="H324" s="163"/>
      <c r="I324" s="163"/>
      <c r="J324" s="163"/>
      <c r="K324" s="130"/>
      <c r="L324" s="130"/>
      <c r="M324" s="130"/>
      <c r="N324" s="130"/>
      <c r="O324" s="130"/>
      <c r="P324" s="130"/>
      <c r="Q324" s="130"/>
      <c r="R324" s="130"/>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30"/>
      <c r="AO324" s="130"/>
      <c r="AP324" s="130"/>
      <c r="AQ324" s="130"/>
      <c r="AR324" s="130"/>
      <c r="AS324" s="130"/>
      <c r="AT324" s="130"/>
    </row>
    <row r="325" ht="13.5" customHeight="1">
      <c r="A325" s="165" t="s">
        <v>1056</v>
      </c>
      <c r="B325" s="165" t="s">
        <v>1057</v>
      </c>
      <c r="C325" s="165" t="s">
        <v>44</v>
      </c>
      <c r="D325" s="166" t="s">
        <v>49</v>
      </c>
      <c r="E325" s="166" t="s">
        <v>1058</v>
      </c>
      <c r="F325" s="166" t="s">
        <v>1059</v>
      </c>
      <c r="G325" s="166" t="s">
        <v>1060</v>
      </c>
      <c r="H325" s="166" t="s">
        <v>1061</v>
      </c>
      <c r="I325" s="166" t="s">
        <v>218</v>
      </c>
      <c r="J325" s="166"/>
      <c r="K325" s="163"/>
      <c r="L325" s="166" t="s">
        <v>1058</v>
      </c>
      <c r="M325" s="166" t="s">
        <v>1059</v>
      </c>
      <c r="N325" s="166" t="s">
        <v>1060</v>
      </c>
      <c r="O325" s="166" t="s">
        <v>1061</v>
      </c>
      <c r="P325" s="166" t="s">
        <v>218</v>
      </c>
      <c r="Q325" s="130"/>
      <c r="R325" s="130"/>
      <c r="S325" s="163"/>
      <c r="T325" s="163"/>
      <c r="U325" s="167" t="s">
        <v>23</v>
      </c>
      <c r="V325" s="167" t="s">
        <v>26</v>
      </c>
      <c r="W325" s="167" t="s">
        <v>29</v>
      </c>
      <c r="X325" s="167" t="s">
        <v>30</v>
      </c>
      <c r="Y325" s="167" t="s">
        <v>173</v>
      </c>
      <c r="Z325" s="167" t="str">
        <f>'主頁'!$C$16</f>
        <v/>
      </c>
      <c r="AA325" s="167" t="str">
        <f>'主頁'!$C$17</f>
        <v/>
      </c>
      <c r="AB325" s="167" t="str">
        <f>'主頁'!$C$18</f>
        <v/>
      </c>
      <c r="AC325" s="167" t="str">
        <f>'主頁'!$C$19</f>
        <v/>
      </c>
      <c r="AD325" s="167" t="str">
        <f>'主頁'!$C$20</f>
        <v/>
      </c>
      <c r="AE325" s="166" t="s">
        <v>541</v>
      </c>
      <c r="AF325" s="163" t="s">
        <v>1062</v>
      </c>
      <c r="AG325" s="163" t="s">
        <v>1063</v>
      </c>
      <c r="AH325" s="163" t="s">
        <v>1064</v>
      </c>
      <c r="AI325" s="163"/>
      <c r="AJ325" s="163"/>
      <c r="AK325" s="163"/>
      <c r="AL325" s="163"/>
      <c r="AM325" s="163"/>
      <c r="AN325" s="130"/>
      <c r="AO325" s="130"/>
      <c r="AP325" s="130"/>
      <c r="AQ325" s="130"/>
      <c r="AR325" s="130"/>
      <c r="AS325" s="130"/>
      <c r="AT325" s="130"/>
    </row>
    <row r="326" ht="13.5" customHeight="1">
      <c r="A326" s="130" t="s">
        <v>774</v>
      </c>
      <c r="B326" s="130" t="s">
        <v>763</v>
      </c>
      <c r="C326" s="130" t="s">
        <v>775</v>
      </c>
      <c r="D326" s="130"/>
      <c r="E326" s="163">
        <v>3.0</v>
      </c>
      <c r="F326" s="163">
        <v>3.0</v>
      </c>
      <c r="G326" s="163">
        <v>2.0</v>
      </c>
      <c r="H326" s="163">
        <v>2.0</v>
      </c>
      <c r="I326" s="163">
        <v>2.0</v>
      </c>
      <c r="J326" s="163"/>
      <c r="K326" s="130"/>
      <c r="L326" s="163">
        <f t="shared" ref="L326:O326" si="359">IF(E326&gt;U326,0,1)</f>
        <v>0</v>
      </c>
      <c r="M326" s="163">
        <f t="shared" si="359"/>
        <v>0</v>
      </c>
      <c r="N326" s="163">
        <f t="shared" si="359"/>
        <v>0</v>
      </c>
      <c r="O326" s="163">
        <f t="shared" si="359"/>
        <v>0</v>
      </c>
      <c r="P326" s="163">
        <f t="shared" ref="P326:P356" si="361">IF(I326&gt;LARGE(Y326:AD326,1),0,1)</f>
        <v>0</v>
      </c>
      <c r="Q326" s="130"/>
      <c r="R326" s="130"/>
      <c r="S326" s="163">
        <f t="shared" ref="S326:S360" si="362">L326*M326*N326*O326*P326</f>
        <v>0</v>
      </c>
      <c r="T326" s="163"/>
      <c r="U326" s="163">
        <f>'計分版'!E$14</f>
        <v>0.0000000001</v>
      </c>
      <c r="V326" s="163">
        <f>'計分版'!F$14</f>
        <v>0.0000000002</v>
      </c>
      <c r="W326" s="163">
        <f>'計分版'!G$14</f>
        <v>0.0000000003</v>
      </c>
      <c r="X326" s="163">
        <f>'計分版'!H$14</f>
        <v>0.0000000004</v>
      </c>
      <c r="Y326" s="163">
        <f>'計分版'!I$14</f>
        <v>0.0000000005</v>
      </c>
      <c r="Z326" s="163">
        <f>'計分版'!J$14</f>
        <v>0</v>
      </c>
      <c r="AA326" s="163">
        <f>'計分版'!K$14</f>
        <v>0</v>
      </c>
      <c r="AB326" s="163">
        <f>'計分版'!L$14</f>
        <v>0</v>
      </c>
      <c r="AC326" s="163">
        <f>'計分版'!M$14</f>
        <v>0</v>
      </c>
      <c r="AD326" s="163">
        <f>'計分版'!N$14</f>
        <v>0</v>
      </c>
      <c r="AE326" s="163"/>
      <c r="AF326" s="163" t="s">
        <v>1065</v>
      </c>
      <c r="AG326" s="163" t="s">
        <v>166</v>
      </c>
      <c r="AH326" s="163" t="s">
        <v>1065</v>
      </c>
      <c r="AI326" s="163"/>
      <c r="AJ326" s="163"/>
      <c r="AK326" s="163"/>
      <c r="AL326" s="163"/>
      <c r="AM326" s="163"/>
      <c r="AN326" s="130"/>
      <c r="AO326" s="130"/>
      <c r="AP326" s="130"/>
      <c r="AQ326" s="130"/>
      <c r="AR326" s="130"/>
      <c r="AS326" s="130"/>
      <c r="AT326" s="130"/>
    </row>
    <row r="327" ht="13.5" customHeight="1">
      <c r="A327" s="130" t="s">
        <v>776</v>
      </c>
      <c r="B327" s="130" t="s">
        <v>777</v>
      </c>
      <c r="C327" s="130" t="s">
        <v>775</v>
      </c>
      <c r="D327" s="130"/>
      <c r="E327" s="163">
        <v>3.0</v>
      </c>
      <c r="F327" s="163">
        <v>3.0</v>
      </c>
      <c r="G327" s="163">
        <v>2.0</v>
      </c>
      <c r="H327" s="163">
        <v>2.0</v>
      </c>
      <c r="I327" s="163">
        <v>2.0</v>
      </c>
      <c r="J327" s="163"/>
      <c r="K327" s="130"/>
      <c r="L327" s="163">
        <f t="shared" ref="L327:O327" si="360">IF(E327&gt;U327,0,1)</f>
        <v>0</v>
      </c>
      <c r="M327" s="163">
        <f t="shared" si="360"/>
        <v>0</v>
      </c>
      <c r="N327" s="163">
        <f t="shared" si="360"/>
        <v>0</v>
      </c>
      <c r="O327" s="163">
        <f t="shared" si="360"/>
        <v>0</v>
      </c>
      <c r="P327" s="163">
        <f t="shared" si="361"/>
        <v>0</v>
      </c>
      <c r="Q327" s="130"/>
      <c r="R327" s="130"/>
      <c r="S327" s="163">
        <f t="shared" si="362"/>
        <v>0</v>
      </c>
      <c r="T327" s="163"/>
      <c r="U327" s="163">
        <f>'計分版'!E$14</f>
        <v>0.0000000001</v>
      </c>
      <c r="V327" s="163">
        <f>'計分版'!F$14</f>
        <v>0.0000000002</v>
      </c>
      <c r="W327" s="163">
        <f>'計分版'!G$14</f>
        <v>0.0000000003</v>
      </c>
      <c r="X327" s="163">
        <f>'計分版'!H$14</f>
        <v>0.0000000004</v>
      </c>
      <c r="Y327" s="163">
        <f>'計分版'!I$14</f>
        <v>0.0000000005</v>
      </c>
      <c r="Z327" s="163">
        <f>'計分版'!J$14</f>
        <v>0</v>
      </c>
      <c r="AA327" s="163">
        <f>'計分版'!K$14</f>
        <v>0</v>
      </c>
      <c r="AB327" s="163">
        <f>'計分版'!L$14</f>
        <v>0</v>
      </c>
      <c r="AC327" s="163">
        <f>'計分版'!M$14</f>
        <v>0</v>
      </c>
      <c r="AD327" s="163">
        <f>'計分版'!N$14</f>
        <v>0</v>
      </c>
      <c r="AE327" s="163"/>
      <c r="AF327" s="163" t="s">
        <v>1065</v>
      </c>
      <c r="AG327" s="163" t="s">
        <v>166</v>
      </c>
      <c r="AH327" s="163" t="s">
        <v>1065</v>
      </c>
      <c r="AI327" s="163"/>
      <c r="AJ327" s="163"/>
      <c r="AK327" s="163"/>
      <c r="AL327" s="163"/>
      <c r="AM327" s="163"/>
      <c r="AN327" s="130"/>
      <c r="AO327" s="130"/>
      <c r="AP327" s="130"/>
      <c r="AQ327" s="130"/>
      <c r="AR327" s="130"/>
      <c r="AS327" s="130"/>
      <c r="AT327" s="130"/>
    </row>
    <row r="328" ht="13.5" customHeight="1">
      <c r="A328" s="130" t="s">
        <v>778</v>
      </c>
      <c r="B328" s="130" t="s">
        <v>779</v>
      </c>
      <c r="C328" s="130" t="s">
        <v>775</v>
      </c>
      <c r="D328" s="130"/>
      <c r="E328" s="163">
        <v>3.0</v>
      </c>
      <c r="F328" s="163">
        <v>3.0</v>
      </c>
      <c r="G328" s="163">
        <v>2.0</v>
      </c>
      <c r="H328" s="163">
        <v>2.0</v>
      </c>
      <c r="I328" s="163">
        <v>2.0</v>
      </c>
      <c r="J328" s="163"/>
      <c r="K328" s="130"/>
      <c r="L328" s="163">
        <f t="shared" ref="L328:O328" si="363">IF(E328&gt;U328,0,1)</f>
        <v>0</v>
      </c>
      <c r="M328" s="163">
        <f t="shared" si="363"/>
        <v>0</v>
      </c>
      <c r="N328" s="163">
        <f t="shared" si="363"/>
        <v>0</v>
      </c>
      <c r="O328" s="163">
        <f t="shared" si="363"/>
        <v>0</v>
      </c>
      <c r="P328" s="163">
        <f t="shared" si="361"/>
        <v>0</v>
      </c>
      <c r="Q328" s="130"/>
      <c r="R328" s="130"/>
      <c r="S328" s="163">
        <f t="shared" si="362"/>
        <v>0</v>
      </c>
      <c r="T328" s="163"/>
      <c r="U328" s="163">
        <f>'計分版'!E$14</f>
        <v>0.0000000001</v>
      </c>
      <c r="V328" s="163">
        <f>'計分版'!F$14</f>
        <v>0.0000000002</v>
      </c>
      <c r="W328" s="163">
        <f>'計分版'!G$14</f>
        <v>0.0000000003</v>
      </c>
      <c r="X328" s="163">
        <f>'計分版'!H$14</f>
        <v>0.0000000004</v>
      </c>
      <c r="Y328" s="163">
        <f>'計分版'!I$14</f>
        <v>0.0000000005</v>
      </c>
      <c r="Z328" s="163">
        <f>'計分版'!J$14</f>
        <v>0</v>
      </c>
      <c r="AA328" s="163">
        <f>'計分版'!K$14</f>
        <v>0</v>
      </c>
      <c r="AB328" s="163">
        <f>'計分版'!L$14</f>
        <v>0</v>
      </c>
      <c r="AC328" s="163">
        <f>'計分版'!M$14</f>
        <v>0</v>
      </c>
      <c r="AD328" s="163">
        <f>'計分版'!N$14</f>
        <v>0</v>
      </c>
      <c r="AE328" s="163"/>
      <c r="AF328" s="163" t="s">
        <v>1065</v>
      </c>
      <c r="AG328" s="163" t="s">
        <v>166</v>
      </c>
      <c r="AH328" s="163" t="s">
        <v>1065</v>
      </c>
      <c r="AI328" s="163"/>
      <c r="AJ328" s="163"/>
      <c r="AK328" s="163"/>
      <c r="AL328" s="163"/>
      <c r="AM328" s="163"/>
      <c r="AN328" s="130"/>
      <c r="AO328" s="130"/>
      <c r="AP328" s="130"/>
      <c r="AQ328" s="130"/>
      <c r="AR328" s="130"/>
      <c r="AS328" s="130"/>
      <c r="AT328" s="130"/>
    </row>
    <row r="329" ht="13.5" customHeight="1">
      <c r="A329" s="130" t="s">
        <v>780</v>
      </c>
      <c r="B329" s="130" t="s">
        <v>781</v>
      </c>
      <c r="C329" s="130" t="s">
        <v>775</v>
      </c>
      <c r="D329" s="130"/>
      <c r="E329" s="163">
        <v>3.0</v>
      </c>
      <c r="F329" s="163">
        <v>3.0</v>
      </c>
      <c r="G329" s="163">
        <v>2.0</v>
      </c>
      <c r="H329" s="163">
        <v>2.0</v>
      </c>
      <c r="I329" s="163">
        <v>2.0</v>
      </c>
      <c r="J329" s="163"/>
      <c r="K329" s="130"/>
      <c r="L329" s="163">
        <f t="shared" ref="L329:O329" si="364">IF(E329&gt;U329,0,1)</f>
        <v>0</v>
      </c>
      <c r="M329" s="163">
        <f t="shared" si="364"/>
        <v>0</v>
      </c>
      <c r="N329" s="163">
        <f t="shared" si="364"/>
        <v>0</v>
      </c>
      <c r="O329" s="163">
        <f t="shared" si="364"/>
        <v>0</v>
      </c>
      <c r="P329" s="163">
        <f t="shared" si="361"/>
        <v>0</v>
      </c>
      <c r="Q329" s="130"/>
      <c r="R329" s="130"/>
      <c r="S329" s="163">
        <f t="shared" si="362"/>
        <v>0</v>
      </c>
      <c r="T329" s="163"/>
      <c r="U329" s="163">
        <f>'計分版'!E$14</f>
        <v>0.0000000001</v>
      </c>
      <c r="V329" s="163">
        <f>'計分版'!F$14</f>
        <v>0.0000000002</v>
      </c>
      <c r="W329" s="163">
        <f>'計分版'!G$14</f>
        <v>0.0000000003</v>
      </c>
      <c r="X329" s="163">
        <f>'計分版'!H$14</f>
        <v>0.0000000004</v>
      </c>
      <c r="Y329" s="163">
        <f>'計分版'!I$14</f>
        <v>0.0000000005</v>
      </c>
      <c r="Z329" s="163">
        <f>'計分版'!J$14</f>
        <v>0</v>
      </c>
      <c r="AA329" s="163">
        <f>'計分版'!K$14</f>
        <v>0</v>
      </c>
      <c r="AB329" s="163">
        <f>'計分版'!L$14</f>
        <v>0</v>
      </c>
      <c r="AC329" s="163">
        <f>'計分版'!M$14</f>
        <v>0</v>
      </c>
      <c r="AD329" s="163">
        <f>'計分版'!N$14</f>
        <v>0</v>
      </c>
      <c r="AE329" s="163"/>
      <c r="AF329" s="163" t="s">
        <v>1065</v>
      </c>
      <c r="AG329" s="163" t="s">
        <v>166</v>
      </c>
      <c r="AH329" s="163" t="s">
        <v>1065</v>
      </c>
      <c r="AI329" s="163"/>
      <c r="AJ329" s="163"/>
      <c r="AK329" s="163"/>
      <c r="AL329" s="163"/>
      <c r="AM329" s="163"/>
      <c r="AN329" s="130"/>
      <c r="AO329" s="130"/>
      <c r="AP329" s="130"/>
      <c r="AQ329" s="130"/>
      <c r="AR329" s="130"/>
      <c r="AS329" s="130"/>
      <c r="AT329" s="130"/>
    </row>
    <row r="330" ht="13.5" customHeight="1">
      <c r="A330" s="130" t="s">
        <v>782</v>
      </c>
      <c r="B330" s="130" t="s">
        <v>783</v>
      </c>
      <c r="C330" s="130" t="s">
        <v>775</v>
      </c>
      <c r="D330" s="130"/>
      <c r="E330" s="163">
        <v>3.0</v>
      </c>
      <c r="F330" s="163">
        <v>3.0</v>
      </c>
      <c r="G330" s="163">
        <v>2.0</v>
      </c>
      <c r="H330" s="163">
        <v>2.0</v>
      </c>
      <c r="I330" s="163">
        <v>2.0</v>
      </c>
      <c r="J330" s="163"/>
      <c r="K330" s="130"/>
      <c r="L330" s="163">
        <f t="shared" ref="L330:O330" si="365">IF(E330&gt;U330,0,1)</f>
        <v>0</v>
      </c>
      <c r="M330" s="163">
        <f t="shared" si="365"/>
        <v>0</v>
      </c>
      <c r="N330" s="163">
        <f t="shared" si="365"/>
        <v>0</v>
      </c>
      <c r="O330" s="163">
        <f t="shared" si="365"/>
        <v>0</v>
      </c>
      <c r="P330" s="163">
        <f t="shared" si="361"/>
        <v>0</v>
      </c>
      <c r="Q330" s="130"/>
      <c r="R330" s="130"/>
      <c r="S330" s="163">
        <f t="shared" si="362"/>
        <v>0</v>
      </c>
      <c r="T330" s="163"/>
      <c r="U330" s="163">
        <f>'計分版'!E$14</f>
        <v>0.0000000001</v>
      </c>
      <c r="V330" s="163">
        <f>'計分版'!F$14</f>
        <v>0.0000000002</v>
      </c>
      <c r="W330" s="163">
        <f>'計分版'!G$14</f>
        <v>0.0000000003</v>
      </c>
      <c r="X330" s="163">
        <f>'計分版'!H$14</f>
        <v>0.0000000004</v>
      </c>
      <c r="Y330" s="163">
        <f>'計分版'!I$14</f>
        <v>0.0000000005</v>
      </c>
      <c r="Z330" s="163">
        <f>'計分版'!J$14</f>
        <v>0</v>
      </c>
      <c r="AA330" s="163">
        <f>'計分版'!K$14</f>
        <v>0</v>
      </c>
      <c r="AB330" s="163">
        <f>'計分版'!L$14</f>
        <v>0</v>
      </c>
      <c r="AC330" s="163">
        <f>'計分版'!M$14</f>
        <v>0</v>
      </c>
      <c r="AD330" s="163">
        <f>'計分版'!N$14</f>
        <v>0</v>
      </c>
      <c r="AE330" s="163"/>
      <c r="AF330" s="163" t="s">
        <v>1065</v>
      </c>
      <c r="AG330" s="163" t="s">
        <v>166</v>
      </c>
      <c r="AH330" s="163" t="s">
        <v>1065</v>
      </c>
      <c r="AI330" s="163"/>
      <c r="AJ330" s="163"/>
      <c r="AK330" s="163"/>
      <c r="AL330" s="163"/>
      <c r="AM330" s="163"/>
      <c r="AN330" s="130"/>
      <c r="AO330" s="130"/>
      <c r="AP330" s="130"/>
      <c r="AQ330" s="130"/>
      <c r="AR330" s="130"/>
      <c r="AS330" s="130"/>
      <c r="AT330" s="130"/>
    </row>
    <row r="331" ht="13.5" customHeight="1">
      <c r="A331" s="130" t="s">
        <v>784</v>
      </c>
      <c r="B331" s="130" t="s">
        <v>785</v>
      </c>
      <c r="C331" s="130" t="s">
        <v>775</v>
      </c>
      <c r="D331" s="130"/>
      <c r="E331" s="163">
        <v>3.0</v>
      </c>
      <c r="F331" s="163">
        <v>3.0</v>
      </c>
      <c r="G331" s="163">
        <v>2.0</v>
      </c>
      <c r="H331" s="163">
        <v>2.0</v>
      </c>
      <c r="I331" s="163">
        <v>2.0</v>
      </c>
      <c r="J331" s="163"/>
      <c r="K331" s="130"/>
      <c r="L331" s="163">
        <f t="shared" ref="L331:O331" si="366">IF(E331&gt;U331,0,1)</f>
        <v>0</v>
      </c>
      <c r="M331" s="163">
        <f t="shared" si="366"/>
        <v>0</v>
      </c>
      <c r="N331" s="163">
        <f t="shared" si="366"/>
        <v>0</v>
      </c>
      <c r="O331" s="163">
        <f t="shared" si="366"/>
        <v>0</v>
      </c>
      <c r="P331" s="163">
        <f t="shared" si="361"/>
        <v>0</v>
      </c>
      <c r="Q331" s="130"/>
      <c r="R331" s="130"/>
      <c r="S331" s="163">
        <f t="shared" si="362"/>
        <v>0</v>
      </c>
      <c r="T331" s="163"/>
      <c r="U331" s="163">
        <f>'計分版'!E$14</f>
        <v>0.0000000001</v>
      </c>
      <c r="V331" s="163">
        <f>'計分版'!F$14</f>
        <v>0.0000000002</v>
      </c>
      <c r="W331" s="163">
        <f>'計分版'!G$14</f>
        <v>0.0000000003</v>
      </c>
      <c r="X331" s="163">
        <f>'計分版'!H$14</f>
        <v>0.0000000004</v>
      </c>
      <c r="Y331" s="163">
        <f>'計分版'!I$14</f>
        <v>0.0000000005</v>
      </c>
      <c r="Z331" s="163">
        <f>'計分版'!J$14</f>
        <v>0</v>
      </c>
      <c r="AA331" s="163">
        <f>'計分版'!K$14</f>
        <v>0</v>
      </c>
      <c r="AB331" s="163">
        <f>'計分版'!L$14</f>
        <v>0</v>
      </c>
      <c r="AC331" s="163">
        <f>'計分版'!M$14</f>
        <v>0</v>
      </c>
      <c r="AD331" s="163">
        <f>'計分版'!N$14</f>
        <v>0</v>
      </c>
      <c r="AE331" s="163"/>
      <c r="AF331" s="163" t="s">
        <v>1065</v>
      </c>
      <c r="AG331" s="163" t="s">
        <v>166</v>
      </c>
      <c r="AH331" s="163" t="s">
        <v>1065</v>
      </c>
      <c r="AI331" s="163"/>
      <c r="AJ331" s="163"/>
      <c r="AK331" s="163"/>
      <c r="AL331" s="163"/>
      <c r="AM331" s="163"/>
      <c r="AN331" s="130"/>
      <c r="AO331" s="130"/>
      <c r="AP331" s="130"/>
      <c r="AQ331" s="130"/>
      <c r="AR331" s="130"/>
      <c r="AS331" s="130"/>
      <c r="AT331" s="130"/>
    </row>
    <row r="332" ht="13.5" customHeight="1">
      <c r="A332" s="130" t="s">
        <v>786</v>
      </c>
      <c r="B332" s="130" t="s">
        <v>787</v>
      </c>
      <c r="C332" s="130" t="s">
        <v>775</v>
      </c>
      <c r="D332" s="130"/>
      <c r="E332" s="163">
        <v>3.0</v>
      </c>
      <c r="F332" s="163">
        <v>3.0</v>
      </c>
      <c r="G332" s="163">
        <v>2.0</v>
      </c>
      <c r="H332" s="163">
        <v>2.0</v>
      </c>
      <c r="I332" s="163">
        <v>2.0</v>
      </c>
      <c r="J332" s="163"/>
      <c r="K332" s="130"/>
      <c r="L332" s="163">
        <f t="shared" ref="L332:O332" si="367">IF(E332&gt;U332,0,1)</f>
        <v>0</v>
      </c>
      <c r="M332" s="163">
        <f t="shared" si="367"/>
        <v>0</v>
      </c>
      <c r="N332" s="163">
        <f t="shared" si="367"/>
        <v>0</v>
      </c>
      <c r="O332" s="163">
        <f t="shared" si="367"/>
        <v>0</v>
      </c>
      <c r="P332" s="163">
        <f t="shared" si="361"/>
        <v>0</v>
      </c>
      <c r="Q332" s="130"/>
      <c r="R332" s="130"/>
      <c r="S332" s="163">
        <f t="shared" si="362"/>
        <v>0</v>
      </c>
      <c r="T332" s="163"/>
      <c r="U332" s="163">
        <f>'計分版'!E$14</f>
        <v>0.0000000001</v>
      </c>
      <c r="V332" s="163">
        <f>'計分版'!F$14</f>
        <v>0.0000000002</v>
      </c>
      <c r="W332" s="163">
        <f>'計分版'!G$14</f>
        <v>0.0000000003</v>
      </c>
      <c r="X332" s="163">
        <f>'計分版'!H$14</f>
        <v>0.0000000004</v>
      </c>
      <c r="Y332" s="163">
        <f>'計分版'!I$14</f>
        <v>0.0000000005</v>
      </c>
      <c r="Z332" s="163">
        <f>'計分版'!J$14</f>
        <v>0</v>
      </c>
      <c r="AA332" s="163">
        <f>'計分版'!K$14</f>
        <v>0</v>
      </c>
      <c r="AB332" s="163">
        <f>'計分版'!L$14</f>
        <v>0</v>
      </c>
      <c r="AC332" s="163">
        <f>'計分版'!M$14</f>
        <v>0</v>
      </c>
      <c r="AD332" s="163">
        <f>'計分版'!N$14</f>
        <v>0</v>
      </c>
      <c r="AE332" s="163"/>
      <c r="AF332" s="163" t="s">
        <v>1065</v>
      </c>
      <c r="AG332" s="163" t="s">
        <v>166</v>
      </c>
      <c r="AH332" s="163" t="s">
        <v>1065</v>
      </c>
      <c r="AI332" s="163"/>
      <c r="AJ332" s="163"/>
      <c r="AK332" s="163"/>
      <c r="AL332" s="163"/>
      <c r="AM332" s="163"/>
      <c r="AN332" s="130"/>
      <c r="AO332" s="130"/>
      <c r="AP332" s="130"/>
      <c r="AQ332" s="130"/>
      <c r="AR332" s="130"/>
      <c r="AS332" s="130"/>
      <c r="AT332" s="130"/>
    </row>
    <row r="333" ht="13.5" customHeight="1">
      <c r="A333" s="130" t="s">
        <v>788</v>
      </c>
      <c r="B333" s="130" t="s">
        <v>789</v>
      </c>
      <c r="C333" s="130" t="s">
        <v>775</v>
      </c>
      <c r="D333" s="130"/>
      <c r="E333" s="163">
        <v>3.0</v>
      </c>
      <c r="F333" s="163">
        <v>3.0</v>
      </c>
      <c r="G333" s="163">
        <v>2.0</v>
      </c>
      <c r="H333" s="163">
        <v>2.0</v>
      </c>
      <c r="I333" s="163">
        <v>2.0</v>
      </c>
      <c r="J333" s="163"/>
      <c r="K333" s="130"/>
      <c r="L333" s="163">
        <f t="shared" ref="L333:O333" si="368">IF(E333&gt;U333,0,1)</f>
        <v>0</v>
      </c>
      <c r="M333" s="163">
        <f t="shared" si="368"/>
        <v>0</v>
      </c>
      <c r="N333" s="163">
        <f t="shared" si="368"/>
        <v>0</v>
      </c>
      <c r="O333" s="163">
        <f t="shared" si="368"/>
        <v>0</v>
      </c>
      <c r="P333" s="163">
        <f t="shared" si="361"/>
        <v>0</v>
      </c>
      <c r="Q333" s="130"/>
      <c r="R333" s="130"/>
      <c r="S333" s="163">
        <f t="shared" si="362"/>
        <v>0</v>
      </c>
      <c r="T333" s="163"/>
      <c r="U333" s="163">
        <f>'計分版'!E$14</f>
        <v>0.0000000001</v>
      </c>
      <c r="V333" s="163">
        <f>'計分版'!F$14</f>
        <v>0.0000000002</v>
      </c>
      <c r="W333" s="163">
        <f>'計分版'!G$14</f>
        <v>0.0000000003</v>
      </c>
      <c r="X333" s="163">
        <f>'計分版'!H$14</f>
        <v>0.0000000004</v>
      </c>
      <c r="Y333" s="163">
        <f>'計分版'!I$14</f>
        <v>0.0000000005</v>
      </c>
      <c r="Z333" s="163">
        <f>'計分版'!J$14</f>
        <v>0</v>
      </c>
      <c r="AA333" s="163">
        <f>'計分版'!K$14</f>
        <v>0</v>
      </c>
      <c r="AB333" s="163">
        <f>'計分版'!L$14</f>
        <v>0</v>
      </c>
      <c r="AC333" s="163">
        <f>'計分版'!M$14</f>
        <v>0</v>
      </c>
      <c r="AD333" s="163">
        <f>'計分版'!N$14</f>
        <v>0</v>
      </c>
      <c r="AE333" s="163"/>
      <c r="AF333" s="163" t="s">
        <v>1065</v>
      </c>
      <c r="AG333" s="163" t="s">
        <v>166</v>
      </c>
      <c r="AH333" s="163" t="s">
        <v>1065</v>
      </c>
      <c r="AI333" s="163"/>
      <c r="AJ333" s="163"/>
      <c r="AK333" s="163"/>
      <c r="AL333" s="163"/>
      <c r="AM333" s="163"/>
      <c r="AN333" s="130"/>
      <c r="AO333" s="130"/>
      <c r="AP333" s="130"/>
      <c r="AQ333" s="130"/>
      <c r="AR333" s="130"/>
      <c r="AS333" s="130"/>
      <c r="AT333" s="130"/>
    </row>
    <row r="334" ht="13.5" customHeight="1">
      <c r="A334" s="130" t="s">
        <v>790</v>
      </c>
      <c r="B334" s="130" t="s">
        <v>791</v>
      </c>
      <c r="C334" s="130" t="s">
        <v>775</v>
      </c>
      <c r="D334" s="130"/>
      <c r="E334" s="163">
        <v>3.0</v>
      </c>
      <c r="F334" s="163">
        <v>3.0</v>
      </c>
      <c r="G334" s="163">
        <v>2.0</v>
      </c>
      <c r="H334" s="163">
        <v>2.0</v>
      </c>
      <c r="I334" s="163">
        <v>2.0</v>
      </c>
      <c r="J334" s="163"/>
      <c r="K334" s="130"/>
      <c r="L334" s="163">
        <f t="shared" ref="L334:O334" si="369">IF(E334&gt;U334,0,1)</f>
        <v>0</v>
      </c>
      <c r="M334" s="163">
        <f t="shared" si="369"/>
        <v>0</v>
      </c>
      <c r="N334" s="163">
        <f t="shared" si="369"/>
        <v>0</v>
      </c>
      <c r="O334" s="163">
        <f t="shared" si="369"/>
        <v>0</v>
      </c>
      <c r="P334" s="163">
        <f t="shared" si="361"/>
        <v>0</v>
      </c>
      <c r="Q334" s="130"/>
      <c r="R334" s="130"/>
      <c r="S334" s="163">
        <f t="shared" si="362"/>
        <v>0</v>
      </c>
      <c r="T334" s="163"/>
      <c r="U334" s="163">
        <f>'計分版'!E$14</f>
        <v>0.0000000001</v>
      </c>
      <c r="V334" s="163">
        <f>'計分版'!F$14</f>
        <v>0.0000000002</v>
      </c>
      <c r="W334" s="163">
        <f>'計分版'!G$14</f>
        <v>0.0000000003</v>
      </c>
      <c r="X334" s="163">
        <f>'計分版'!H$14</f>
        <v>0.0000000004</v>
      </c>
      <c r="Y334" s="163">
        <f>'計分版'!I$14</f>
        <v>0.0000000005</v>
      </c>
      <c r="Z334" s="163">
        <f>'計分版'!J$14</f>
        <v>0</v>
      </c>
      <c r="AA334" s="163">
        <f>'計分版'!K$14</f>
        <v>0</v>
      </c>
      <c r="AB334" s="163">
        <f>'計分版'!L$14</f>
        <v>0</v>
      </c>
      <c r="AC334" s="163">
        <f>'計分版'!M$14</f>
        <v>0</v>
      </c>
      <c r="AD334" s="163">
        <f>'計分版'!N$14</f>
        <v>0</v>
      </c>
      <c r="AE334" s="163"/>
      <c r="AF334" s="163" t="s">
        <v>1065</v>
      </c>
      <c r="AG334" s="163" t="s">
        <v>166</v>
      </c>
      <c r="AH334" s="163" t="s">
        <v>1065</v>
      </c>
      <c r="AI334" s="163"/>
      <c r="AJ334" s="163"/>
      <c r="AK334" s="163"/>
      <c r="AL334" s="163"/>
      <c r="AM334" s="163"/>
      <c r="AN334" s="130"/>
      <c r="AO334" s="130"/>
      <c r="AP334" s="130"/>
      <c r="AQ334" s="130"/>
      <c r="AR334" s="130"/>
      <c r="AS334" s="130"/>
      <c r="AT334" s="130"/>
    </row>
    <row r="335" ht="13.5" customHeight="1">
      <c r="A335" s="130" t="s">
        <v>792</v>
      </c>
      <c r="B335" s="130" t="s">
        <v>793</v>
      </c>
      <c r="C335" s="130" t="s">
        <v>775</v>
      </c>
      <c r="D335" s="130"/>
      <c r="E335" s="163">
        <v>3.0</v>
      </c>
      <c r="F335" s="163">
        <v>3.0</v>
      </c>
      <c r="G335" s="163">
        <v>2.0</v>
      </c>
      <c r="H335" s="163">
        <v>2.0</v>
      </c>
      <c r="I335" s="163">
        <v>2.0</v>
      </c>
      <c r="J335" s="163"/>
      <c r="K335" s="130"/>
      <c r="L335" s="163">
        <f t="shared" ref="L335:O335" si="370">IF(E335&gt;U335,0,1)</f>
        <v>0</v>
      </c>
      <c r="M335" s="163">
        <f t="shared" si="370"/>
        <v>0</v>
      </c>
      <c r="N335" s="163">
        <f t="shared" si="370"/>
        <v>0</v>
      </c>
      <c r="O335" s="163">
        <f t="shared" si="370"/>
        <v>0</v>
      </c>
      <c r="P335" s="163">
        <f t="shared" si="361"/>
        <v>0</v>
      </c>
      <c r="Q335" s="130"/>
      <c r="R335" s="130"/>
      <c r="S335" s="163">
        <f t="shared" si="362"/>
        <v>0</v>
      </c>
      <c r="T335" s="163"/>
      <c r="U335" s="163">
        <f>'計分版'!E$14</f>
        <v>0.0000000001</v>
      </c>
      <c r="V335" s="163">
        <f>'計分版'!F$14</f>
        <v>0.0000000002</v>
      </c>
      <c r="W335" s="163">
        <f>'計分版'!G$14</f>
        <v>0.0000000003</v>
      </c>
      <c r="X335" s="163">
        <f>'計分版'!H$14</f>
        <v>0.0000000004</v>
      </c>
      <c r="Y335" s="163">
        <f>'計分版'!I$14</f>
        <v>0.0000000005</v>
      </c>
      <c r="Z335" s="163">
        <f>'計分版'!J$14</f>
        <v>0</v>
      </c>
      <c r="AA335" s="163">
        <f>'計分版'!K$14</f>
        <v>0</v>
      </c>
      <c r="AB335" s="163">
        <f>'計分版'!L$14</f>
        <v>0</v>
      </c>
      <c r="AC335" s="163">
        <f>'計分版'!M$14</f>
        <v>0</v>
      </c>
      <c r="AD335" s="163">
        <f>'計分版'!N$14</f>
        <v>0</v>
      </c>
      <c r="AE335" s="163"/>
      <c r="AF335" s="163" t="s">
        <v>1065</v>
      </c>
      <c r="AG335" s="163" t="s">
        <v>166</v>
      </c>
      <c r="AH335" s="163" t="s">
        <v>1065</v>
      </c>
      <c r="AI335" s="163"/>
      <c r="AJ335" s="163"/>
      <c r="AK335" s="163"/>
      <c r="AL335" s="163"/>
      <c r="AM335" s="163"/>
      <c r="AN335" s="130"/>
      <c r="AO335" s="130"/>
      <c r="AP335" s="130"/>
      <c r="AQ335" s="130"/>
      <c r="AR335" s="130"/>
      <c r="AS335" s="130"/>
      <c r="AT335" s="130"/>
    </row>
    <row r="336" ht="13.5" customHeight="1">
      <c r="A336" s="130" t="s">
        <v>794</v>
      </c>
      <c r="B336" s="130" t="s">
        <v>795</v>
      </c>
      <c r="C336" s="130" t="s">
        <v>775</v>
      </c>
      <c r="D336" s="130"/>
      <c r="E336" s="163">
        <v>3.0</v>
      </c>
      <c r="F336" s="163">
        <v>3.0</v>
      </c>
      <c r="G336" s="163">
        <v>2.0</v>
      </c>
      <c r="H336" s="163">
        <v>2.0</v>
      </c>
      <c r="I336" s="163">
        <v>2.0</v>
      </c>
      <c r="J336" s="163"/>
      <c r="K336" s="130"/>
      <c r="L336" s="163">
        <f t="shared" ref="L336:O336" si="371">IF(E336&gt;U336,0,1)</f>
        <v>0</v>
      </c>
      <c r="M336" s="163">
        <f t="shared" si="371"/>
        <v>0</v>
      </c>
      <c r="N336" s="163">
        <f t="shared" si="371"/>
        <v>0</v>
      </c>
      <c r="O336" s="163">
        <f t="shared" si="371"/>
        <v>0</v>
      </c>
      <c r="P336" s="163">
        <f t="shared" si="361"/>
        <v>0</v>
      </c>
      <c r="Q336" s="130"/>
      <c r="R336" s="130"/>
      <c r="S336" s="163">
        <f t="shared" si="362"/>
        <v>0</v>
      </c>
      <c r="T336" s="163"/>
      <c r="U336" s="163">
        <f>'計分版'!E$14</f>
        <v>0.0000000001</v>
      </c>
      <c r="V336" s="163">
        <f>'計分版'!F$14</f>
        <v>0.0000000002</v>
      </c>
      <c r="W336" s="163">
        <f>'計分版'!G$14</f>
        <v>0.0000000003</v>
      </c>
      <c r="X336" s="163">
        <f>'計分版'!H$14</f>
        <v>0.0000000004</v>
      </c>
      <c r="Y336" s="163">
        <f>'計分版'!I$14</f>
        <v>0.0000000005</v>
      </c>
      <c r="Z336" s="163">
        <f>'計分版'!J$14</f>
        <v>0</v>
      </c>
      <c r="AA336" s="163">
        <f>'計分版'!K$14</f>
        <v>0</v>
      </c>
      <c r="AB336" s="163">
        <f>'計分版'!L$14</f>
        <v>0</v>
      </c>
      <c r="AC336" s="163">
        <f>'計分版'!M$14</f>
        <v>0</v>
      </c>
      <c r="AD336" s="163">
        <f>'計分版'!N$14</f>
        <v>0</v>
      </c>
      <c r="AE336" s="163"/>
      <c r="AF336" s="163" t="s">
        <v>1065</v>
      </c>
      <c r="AG336" s="163" t="s">
        <v>166</v>
      </c>
      <c r="AH336" s="163" t="s">
        <v>1065</v>
      </c>
      <c r="AI336" s="163"/>
      <c r="AJ336" s="163"/>
      <c r="AK336" s="163"/>
      <c r="AL336" s="163"/>
      <c r="AM336" s="163"/>
      <c r="AN336" s="130"/>
      <c r="AO336" s="130"/>
      <c r="AP336" s="130"/>
      <c r="AQ336" s="130"/>
      <c r="AR336" s="130"/>
      <c r="AS336" s="130"/>
      <c r="AT336" s="130"/>
    </row>
    <row r="337" ht="13.5" customHeight="1">
      <c r="A337" s="130" t="s">
        <v>796</v>
      </c>
      <c r="B337" s="130" t="s">
        <v>797</v>
      </c>
      <c r="C337" s="130" t="s">
        <v>775</v>
      </c>
      <c r="D337" s="130"/>
      <c r="E337" s="163">
        <v>3.0</v>
      </c>
      <c r="F337" s="163">
        <v>3.0</v>
      </c>
      <c r="G337" s="163">
        <v>2.0</v>
      </c>
      <c r="H337" s="163">
        <v>2.0</v>
      </c>
      <c r="I337" s="163">
        <v>2.0</v>
      </c>
      <c r="J337" s="163"/>
      <c r="K337" s="130"/>
      <c r="L337" s="163">
        <f t="shared" ref="L337:O337" si="372">IF(E337&gt;U337,0,1)</f>
        <v>0</v>
      </c>
      <c r="M337" s="163">
        <f t="shared" si="372"/>
        <v>0</v>
      </c>
      <c r="N337" s="163">
        <f t="shared" si="372"/>
        <v>0</v>
      </c>
      <c r="O337" s="163">
        <f t="shared" si="372"/>
        <v>0</v>
      </c>
      <c r="P337" s="163">
        <f t="shared" si="361"/>
        <v>0</v>
      </c>
      <c r="Q337" s="130"/>
      <c r="R337" s="130"/>
      <c r="S337" s="163">
        <f t="shared" si="362"/>
        <v>0</v>
      </c>
      <c r="T337" s="163"/>
      <c r="U337" s="163">
        <f>'計分版'!E$14</f>
        <v>0.0000000001</v>
      </c>
      <c r="V337" s="163">
        <f>'計分版'!F$14</f>
        <v>0.0000000002</v>
      </c>
      <c r="W337" s="163">
        <f>'計分版'!G$14</f>
        <v>0.0000000003</v>
      </c>
      <c r="X337" s="163">
        <f>'計分版'!H$14</f>
        <v>0.0000000004</v>
      </c>
      <c r="Y337" s="163">
        <f>'計分版'!I$14</f>
        <v>0.0000000005</v>
      </c>
      <c r="Z337" s="163">
        <f>'計分版'!J$14</f>
        <v>0</v>
      </c>
      <c r="AA337" s="163">
        <f>'計分版'!K$14</f>
        <v>0</v>
      </c>
      <c r="AB337" s="163">
        <f>'計分版'!L$14</f>
        <v>0</v>
      </c>
      <c r="AC337" s="163">
        <f>'計分版'!M$14</f>
        <v>0</v>
      </c>
      <c r="AD337" s="163">
        <f>'計分版'!N$14</f>
        <v>0</v>
      </c>
      <c r="AE337" s="163"/>
      <c r="AF337" s="163" t="s">
        <v>1065</v>
      </c>
      <c r="AG337" s="163" t="s">
        <v>166</v>
      </c>
      <c r="AH337" s="163" t="s">
        <v>1065</v>
      </c>
      <c r="AI337" s="163"/>
      <c r="AJ337" s="163"/>
      <c r="AK337" s="163"/>
      <c r="AL337" s="163"/>
      <c r="AM337" s="163"/>
      <c r="AN337" s="130"/>
      <c r="AO337" s="130"/>
      <c r="AP337" s="130"/>
      <c r="AQ337" s="130"/>
      <c r="AR337" s="130"/>
      <c r="AS337" s="130"/>
      <c r="AT337" s="130"/>
    </row>
    <row r="338" ht="13.5" customHeight="1">
      <c r="A338" s="130" t="s">
        <v>798</v>
      </c>
      <c r="B338" s="130" t="s">
        <v>799</v>
      </c>
      <c r="C338" s="130" t="s">
        <v>775</v>
      </c>
      <c r="D338" s="130"/>
      <c r="E338" s="163">
        <v>3.0</v>
      </c>
      <c r="F338" s="163">
        <v>3.0</v>
      </c>
      <c r="G338" s="163">
        <v>2.0</v>
      </c>
      <c r="H338" s="163">
        <v>2.0</v>
      </c>
      <c r="I338" s="163">
        <v>2.0</v>
      </c>
      <c r="J338" s="163"/>
      <c r="K338" s="130"/>
      <c r="L338" s="163">
        <f t="shared" ref="L338:O338" si="373">IF(E338&gt;U338,0,1)</f>
        <v>0</v>
      </c>
      <c r="M338" s="163">
        <f t="shared" si="373"/>
        <v>0</v>
      </c>
      <c r="N338" s="163">
        <f t="shared" si="373"/>
        <v>0</v>
      </c>
      <c r="O338" s="163">
        <f t="shared" si="373"/>
        <v>0</v>
      </c>
      <c r="P338" s="163">
        <f t="shared" si="361"/>
        <v>0</v>
      </c>
      <c r="Q338" s="130"/>
      <c r="R338" s="130"/>
      <c r="S338" s="163">
        <f t="shared" si="362"/>
        <v>0</v>
      </c>
      <c r="T338" s="163"/>
      <c r="U338" s="163">
        <f>'計分版'!E$14</f>
        <v>0.0000000001</v>
      </c>
      <c r="V338" s="163">
        <f>'計分版'!F$14</f>
        <v>0.0000000002</v>
      </c>
      <c r="W338" s="163">
        <f>'計分版'!G$14</f>
        <v>0.0000000003</v>
      </c>
      <c r="X338" s="163">
        <f>'計分版'!H$14</f>
        <v>0.0000000004</v>
      </c>
      <c r="Y338" s="163">
        <f>'計分版'!I$14</f>
        <v>0.0000000005</v>
      </c>
      <c r="Z338" s="163">
        <f>'計分版'!J$14</f>
        <v>0</v>
      </c>
      <c r="AA338" s="163">
        <f>'計分版'!K$14</f>
        <v>0</v>
      </c>
      <c r="AB338" s="163">
        <f>'計分版'!L$14</f>
        <v>0</v>
      </c>
      <c r="AC338" s="163">
        <f>'計分版'!M$14</f>
        <v>0</v>
      </c>
      <c r="AD338" s="163">
        <f>'計分版'!N$14</f>
        <v>0</v>
      </c>
      <c r="AE338" s="163"/>
      <c r="AF338" s="163" t="s">
        <v>1065</v>
      </c>
      <c r="AG338" s="163" t="s">
        <v>166</v>
      </c>
      <c r="AH338" s="163" t="s">
        <v>1065</v>
      </c>
      <c r="AI338" s="163"/>
      <c r="AJ338" s="163"/>
      <c r="AK338" s="163"/>
      <c r="AL338" s="163"/>
      <c r="AM338" s="163"/>
      <c r="AN338" s="130"/>
      <c r="AO338" s="130"/>
      <c r="AP338" s="130"/>
      <c r="AQ338" s="130"/>
      <c r="AR338" s="130"/>
      <c r="AS338" s="130"/>
      <c r="AT338" s="130"/>
    </row>
    <row r="339" ht="13.5" customHeight="1">
      <c r="A339" s="130" t="s">
        <v>800</v>
      </c>
      <c r="B339" s="130" t="s">
        <v>801</v>
      </c>
      <c r="C339" s="130" t="s">
        <v>775</v>
      </c>
      <c r="D339" s="130"/>
      <c r="E339" s="163">
        <v>3.0</v>
      </c>
      <c r="F339" s="163">
        <v>3.0</v>
      </c>
      <c r="G339" s="163">
        <v>2.0</v>
      </c>
      <c r="H339" s="163">
        <v>2.0</v>
      </c>
      <c r="I339" s="163">
        <v>2.0</v>
      </c>
      <c r="J339" s="163"/>
      <c r="K339" s="130"/>
      <c r="L339" s="163">
        <f t="shared" ref="L339:O339" si="374">IF(E339&gt;U339,0,1)</f>
        <v>0</v>
      </c>
      <c r="M339" s="163">
        <f t="shared" si="374"/>
        <v>0</v>
      </c>
      <c r="N339" s="163">
        <f t="shared" si="374"/>
        <v>0</v>
      </c>
      <c r="O339" s="163">
        <f t="shared" si="374"/>
        <v>0</v>
      </c>
      <c r="P339" s="163">
        <f t="shared" si="361"/>
        <v>0</v>
      </c>
      <c r="Q339" s="130"/>
      <c r="R339" s="130"/>
      <c r="S339" s="163">
        <f t="shared" si="362"/>
        <v>0</v>
      </c>
      <c r="T339" s="163"/>
      <c r="U339" s="163">
        <f>'計分版'!E$14</f>
        <v>0.0000000001</v>
      </c>
      <c r="V339" s="163">
        <f>'計分版'!F$14</f>
        <v>0.0000000002</v>
      </c>
      <c r="W339" s="163">
        <f>'計分版'!G$14</f>
        <v>0.0000000003</v>
      </c>
      <c r="X339" s="163">
        <f>'計分版'!H$14</f>
        <v>0.0000000004</v>
      </c>
      <c r="Y339" s="163">
        <f>'計分版'!I$14</f>
        <v>0.0000000005</v>
      </c>
      <c r="Z339" s="163">
        <f>'計分版'!J$14</f>
        <v>0</v>
      </c>
      <c r="AA339" s="163">
        <f>'計分版'!K$14</f>
        <v>0</v>
      </c>
      <c r="AB339" s="163">
        <f>'計分版'!L$14</f>
        <v>0</v>
      </c>
      <c r="AC339" s="163">
        <f>'計分版'!M$14</f>
        <v>0</v>
      </c>
      <c r="AD339" s="163">
        <f>'計分版'!N$14</f>
        <v>0</v>
      </c>
      <c r="AE339" s="163"/>
      <c r="AF339" s="163" t="s">
        <v>1065</v>
      </c>
      <c r="AG339" s="163" t="s">
        <v>166</v>
      </c>
      <c r="AH339" s="163" t="s">
        <v>1065</v>
      </c>
      <c r="AI339" s="163"/>
      <c r="AJ339" s="163"/>
      <c r="AK339" s="163"/>
      <c r="AL339" s="163"/>
      <c r="AM339" s="163"/>
      <c r="AN339" s="130"/>
      <c r="AO339" s="130"/>
      <c r="AP339" s="130"/>
      <c r="AQ339" s="130"/>
      <c r="AR339" s="130"/>
      <c r="AS339" s="130"/>
      <c r="AT339" s="130"/>
    </row>
    <row r="340" ht="13.5" customHeight="1">
      <c r="A340" s="130" t="s">
        <v>802</v>
      </c>
      <c r="B340" s="130" t="s">
        <v>803</v>
      </c>
      <c r="C340" s="130" t="s">
        <v>775</v>
      </c>
      <c r="D340" s="130"/>
      <c r="E340" s="163">
        <v>3.0</v>
      </c>
      <c r="F340" s="163">
        <v>3.0</v>
      </c>
      <c r="G340" s="163">
        <v>2.0</v>
      </c>
      <c r="H340" s="163">
        <v>2.0</v>
      </c>
      <c r="I340" s="163">
        <v>2.0</v>
      </c>
      <c r="J340" s="163"/>
      <c r="K340" s="130"/>
      <c r="L340" s="163">
        <f t="shared" ref="L340:O340" si="375">IF(E340&gt;U340,0,1)</f>
        <v>0</v>
      </c>
      <c r="M340" s="163">
        <f t="shared" si="375"/>
        <v>0</v>
      </c>
      <c r="N340" s="163">
        <f t="shared" si="375"/>
        <v>0</v>
      </c>
      <c r="O340" s="163">
        <f t="shared" si="375"/>
        <v>0</v>
      </c>
      <c r="P340" s="163">
        <f t="shared" si="361"/>
        <v>0</v>
      </c>
      <c r="Q340" s="130"/>
      <c r="R340" s="130"/>
      <c r="S340" s="163">
        <f t="shared" si="362"/>
        <v>0</v>
      </c>
      <c r="T340" s="163"/>
      <c r="U340" s="163">
        <f>'計分版'!E$14</f>
        <v>0.0000000001</v>
      </c>
      <c r="V340" s="163">
        <f>'計分版'!F$14</f>
        <v>0.0000000002</v>
      </c>
      <c r="W340" s="163">
        <f>'計分版'!G$14</f>
        <v>0.0000000003</v>
      </c>
      <c r="X340" s="163">
        <f>'計分版'!H$14</f>
        <v>0.0000000004</v>
      </c>
      <c r="Y340" s="163">
        <f>'計分版'!I$14</f>
        <v>0.0000000005</v>
      </c>
      <c r="Z340" s="163">
        <f>'計分版'!J$14</f>
        <v>0</v>
      </c>
      <c r="AA340" s="163">
        <f>'計分版'!K$14</f>
        <v>0</v>
      </c>
      <c r="AB340" s="163">
        <f>'計分版'!L$14</f>
        <v>0</v>
      </c>
      <c r="AC340" s="163">
        <f>'計分版'!M$14</f>
        <v>0</v>
      </c>
      <c r="AD340" s="163">
        <f>'計分版'!N$14</f>
        <v>0</v>
      </c>
      <c r="AE340" s="163"/>
      <c r="AF340" s="163" t="s">
        <v>1065</v>
      </c>
      <c r="AG340" s="163" t="s">
        <v>166</v>
      </c>
      <c r="AH340" s="163" t="s">
        <v>1065</v>
      </c>
      <c r="AI340" s="163"/>
      <c r="AJ340" s="163"/>
      <c r="AK340" s="163"/>
      <c r="AL340" s="163"/>
      <c r="AM340" s="163"/>
      <c r="AN340" s="130"/>
      <c r="AO340" s="130"/>
      <c r="AP340" s="130"/>
      <c r="AQ340" s="130"/>
      <c r="AR340" s="130"/>
      <c r="AS340" s="130"/>
      <c r="AT340" s="130"/>
    </row>
    <row r="341" ht="13.5" customHeight="1">
      <c r="A341" s="130" t="s">
        <v>804</v>
      </c>
      <c r="B341" s="130" t="s">
        <v>805</v>
      </c>
      <c r="C341" s="130" t="s">
        <v>775</v>
      </c>
      <c r="D341" s="130"/>
      <c r="E341" s="163">
        <v>3.0</v>
      </c>
      <c r="F341" s="163">
        <v>3.0</v>
      </c>
      <c r="G341" s="163">
        <v>2.0</v>
      </c>
      <c r="H341" s="163">
        <v>2.0</v>
      </c>
      <c r="I341" s="163">
        <v>2.0</v>
      </c>
      <c r="J341" s="163"/>
      <c r="K341" s="130"/>
      <c r="L341" s="163">
        <f t="shared" ref="L341:O341" si="376">IF(E341&gt;U341,0,1)</f>
        <v>0</v>
      </c>
      <c r="M341" s="163">
        <f t="shared" si="376"/>
        <v>0</v>
      </c>
      <c r="N341" s="163">
        <f t="shared" si="376"/>
        <v>0</v>
      </c>
      <c r="O341" s="163">
        <f t="shared" si="376"/>
        <v>0</v>
      </c>
      <c r="P341" s="163">
        <f t="shared" si="361"/>
        <v>0</v>
      </c>
      <c r="Q341" s="130"/>
      <c r="R341" s="130"/>
      <c r="S341" s="163">
        <f t="shared" si="362"/>
        <v>0</v>
      </c>
      <c r="T341" s="163"/>
      <c r="U341" s="163">
        <f>'計分版'!E$14</f>
        <v>0.0000000001</v>
      </c>
      <c r="V341" s="163">
        <f>'計分版'!F$14</f>
        <v>0.0000000002</v>
      </c>
      <c r="W341" s="163">
        <f>'計分版'!G$14</f>
        <v>0.0000000003</v>
      </c>
      <c r="X341" s="163">
        <f>'計分版'!H$14</f>
        <v>0.0000000004</v>
      </c>
      <c r="Y341" s="163">
        <f>'計分版'!I$14</f>
        <v>0.0000000005</v>
      </c>
      <c r="Z341" s="163">
        <f>'計分版'!J$14</f>
        <v>0</v>
      </c>
      <c r="AA341" s="163">
        <f>'計分版'!K$14</f>
        <v>0</v>
      </c>
      <c r="AB341" s="163">
        <f>'計分版'!L$14</f>
        <v>0</v>
      </c>
      <c r="AC341" s="163">
        <f>'計分版'!M$14</f>
        <v>0</v>
      </c>
      <c r="AD341" s="163">
        <f>'計分版'!N$14</f>
        <v>0</v>
      </c>
      <c r="AE341" s="163"/>
      <c r="AF341" s="163" t="s">
        <v>1065</v>
      </c>
      <c r="AG341" s="163" t="s">
        <v>166</v>
      </c>
      <c r="AH341" s="163" t="s">
        <v>1065</v>
      </c>
      <c r="AI341" s="163"/>
      <c r="AJ341" s="163"/>
      <c r="AK341" s="163"/>
      <c r="AL341" s="163"/>
      <c r="AM341" s="163"/>
      <c r="AN341" s="130"/>
      <c r="AO341" s="130"/>
      <c r="AP341" s="130"/>
      <c r="AQ341" s="130"/>
      <c r="AR341" s="130"/>
      <c r="AS341" s="130"/>
      <c r="AT341" s="130"/>
    </row>
    <row r="342" ht="13.5" customHeight="1">
      <c r="A342" s="130" t="s">
        <v>806</v>
      </c>
      <c r="B342" s="130" t="s">
        <v>807</v>
      </c>
      <c r="C342" s="130" t="s">
        <v>775</v>
      </c>
      <c r="D342" s="130"/>
      <c r="E342" s="163">
        <v>3.0</v>
      </c>
      <c r="F342" s="163">
        <v>3.0</v>
      </c>
      <c r="G342" s="163">
        <v>2.0</v>
      </c>
      <c r="H342" s="163">
        <v>2.0</v>
      </c>
      <c r="I342" s="163">
        <v>2.0</v>
      </c>
      <c r="J342" s="163"/>
      <c r="K342" s="130"/>
      <c r="L342" s="163">
        <f t="shared" ref="L342:O342" si="377">IF(E342&gt;U342,0,1)</f>
        <v>0</v>
      </c>
      <c r="M342" s="163">
        <f t="shared" si="377"/>
        <v>0</v>
      </c>
      <c r="N342" s="163">
        <f t="shared" si="377"/>
        <v>0</v>
      </c>
      <c r="O342" s="163">
        <f t="shared" si="377"/>
        <v>0</v>
      </c>
      <c r="P342" s="163">
        <f t="shared" si="361"/>
        <v>0</v>
      </c>
      <c r="Q342" s="130"/>
      <c r="R342" s="130"/>
      <c r="S342" s="163">
        <f t="shared" si="362"/>
        <v>0</v>
      </c>
      <c r="T342" s="163"/>
      <c r="U342" s="163">
        <f>'計分版'!E$14</f>
        <v>0.0000000001</v>
      </c>
      <c r="V342" s="163">
        <f>'計分版'!F$14</f>
        <v>0.0000000002</v>
      </c>
      <c r="W342" s="163">
        <f>'計分版'!G$14</f>
        <v>0.0000000003</v>
      </c>
      <c r="X342" s="163">
        <f>'計分版'!H$14</f>
        <v>0.0000000004</v>
      </c>
      <c r="Y342" s="163">
        <f>'計分版'!I$14</f>
        <v>0.0000000005</v>
      </c>
      <c r="Z342" s="163">
        <f>'計分版'!J$14</f>
        <v>0</v>
      </c>
      <c r="AA342" s="163">
        <f>'計分版'!K$14</f>
        <v>0</v>
      </c>
      <c r="AB342" s="163">
        <f>'計分版'!L$14</f>
        <v>0</v>
      </c>
      <c r="AC342" s="163">
        <f>'計分版'!M$14</f>
        <v>0</v>
      </c>
      <c r="AD342" s="163">
        <f>'計分版'!N$14</f>
        <v>0</v>
      </c>
      <c r="AE342" s="163"/>
      <c r="AF342" s="163" t="s">
        <v>1065</v>
      </c>
      <c r="AG342" s="163" t="s">
        <v>166</v>
      </c>
      <c r="AH342" s="163" t="s">
        <v>1065</v>
      </c>
      <c r="AI342" s="163"/>
      <c r="AJ342" s="163"/>
      <c r="AK342" s="163"/>
      <c r="AL342" s="163"/>
      <c r="AM342" s="163"/>
      <c r="AN342" s="130"/>
      <c r="AO342" s="130"/>
      <c r="AP342" s="130"/>
      <c r="AQ342" s="130"/>
      <c r="AR342" s="130"/>
      <c r="AS342" s="130"/>
      <c r="AT342" s="130"/>
    </row>
    <row r="343" ht="13.5" customHeight="1">
      <c r="A343" s="130" t="s">
        <v>808</v>
      </c>
      <c r="B343" s="130" t="s">
        <v>809</v>
      </c>
      <c r="C343" s="130" t="s">
        <v>775</v>
      </c>
      <c r="D343" s="130"/>
      <c r="E343" s="163">
        <v>3.0</v>
      </c>
      <c r="F343" s="163">
        <v>3.0</v>
      </c>
      <c r="G343" s="163">
        <v>2.0</v>
      </c>
      <c r="H343" s="163">
        <v>2.0</v>
      </c>
      <c r="I343" s="163">
        <v>2.0</v>
      </c>
      <c r="J343" s="163"/>
      <c r="K343" s="130"/>
      <c r="L343" s="163">
        <f t="shared" ref="L343:O343" si="378">IF(E343&gt;U343,0,1)</f>
        <v>0</v>
      </c>
      <c r="M343" s="163">
        <f t="shared" si="378"/>
        <v>0</v>
      </c>
      <c r="N343" s="163">
        <f t="shared" si="378"/>
        <v>0</v>
      </c>
      <c r="O343" s="163">
        <f t="shared" si="378"/>
        <v>0</v>
      </c>
      <c r="P343" s="163">
        <f t="shared" si="361"/>
        <v>0</v>
      </c>
      <c r="Q343" s="130"/>
      <c r="R343" s="130"/>
      <c r="S343" s="163">
        <f t="shared" si="362"/>
        <v>0</v>
      </c>
      <c r="T343" s="163"/>
      <c r="U343" s="163">
        <f>'計分版'!E$14</f>
        <v>0.0000000001</v>
      </c>
      <c r="V343" s="163">
        <f>'計分版'!F$14</f>
        <v>0.0000000002</v>
      </c>
      <c r="W343" s="163">
        <f>'計分版'!G$14</f>
        <v>0.0000000003</v>
      </c>
      <c r="X343" s="163">
        <f>'計分版'!H$14</f>
        <v>0.0000000004</v>
      </c>
      <c r="Y343" s="163">
        <f>'計分版'!I$14</f>
        <v>0.0000000005</v>
      </c>
      <c r="Z343" s="163">
        <f>'計分版'!J$14</f>
        <v>0</v>
      </c>
      <c r="AA343" s="163">
        <f>'計分版'!K$14</f>
        <v>0</v>
      </c>
      <c r="AB343" s="163">
        <f>'計分版'!L$14</f>
        <v>0</v>
      </c>
      <c r="AC343" s="163">
        <f>'計分版'!M$14</f>
        <v>0</v>
      </c>
      <c r="AD343" s="163">
        <f>'計分版'!N$14</f>
        <v>0</v>
      </c>
      <c r="AE343" s="163"/>
      <c r="AF343" s="163" t="s">
        <v>1065</v>
      </c>
      <c r="AG343" s="163" t="s">
        <v>166</v>
      </c>
      <c r="AH343" s="163" t="s">
        <v>1065</v>
      </c>
      <c r="AI343" s="163"/>
      <c r="AJ343" s="163"/>
      <c r="AK343" s="163"/>
      <c r="AL343" s="163"/>
      <c r="AM343" s="163"/>
      <c r="AN343" s="130"/>
      <c r="AO343" s="130"/>
      <c r="AP343" s="130"/>
      <c r="AQ343" s="130"/>
      <c r="AR343" s="130"/>
      <c r="AS343" s="130"/>
      <c r="AT343" s="130"/>
    </row>
    <row r="344" ht="13.5" customHeight="1">
      <c r="A344" s="130" t="s">
        <v>810</v>
      </c>
      <c r="B344" s="130" t="s">
        <v>811</v>
      </c>
      <c r="C344" s="130" t="s">
        <v>775</v>
      </c>
      <c r="D344" s="130"/>
      <c r="E344" s="163">
        <v>3.0</v>
      </c>
      <c r="F344" s="163">
        <v>3.0</v>
      </c>
      <c r="G344" s="163">
        <v>2.0</v>
      </c>
      <c r="H344" s="163">
        <v>2.0</v>
      </c>
      <c r="I344" s="163">
        <v>2.0</v>
      </c>
      <c r="J344" s="163"/>
      <c r="K344" s="130"/>
      <c r="L344" s="163">
        <f t="shared" ref="L344:O344" si="379">IF(E344&gt;U344,0,1)</f>
        <v>0</v>
      </c>
      <c r="M344" s="163">
        <f t="shared" si="379"/>
        <v>0</v>
      </c>
      <c r="N344" s="163">
        <f t="shared" si="379"/>
        <v>0</v>
      </c>
      <c r="O344" s="163">
        <f t="shared" si="379"/>
        <v>0</v>
      </c>
      <c r="P344" s="163">
        <f t="shared" si="361"/>
        <v>0</v>
      </c>
      <c r="Q344" s="130"/>
      <c r="R344" s="130"/>
      <c r="S344" s="163">
        <f t="shared" si="362"/>
        <v>0</v>
      </c>
      <c r="T344" s="163"/>
      <c r="U344" s="163">
        <f>'計分版'!E$14</f>
        <v>0.0000000001</v>
      </c>
      <c r="V344" s="163">
        <f>'計分版'!F$14</f>
        <v>0.0000000002</v>
      </c>
      <c r="W344" s="163">
        <f>'計分版'!G$14</f>
        <v>0.0000000003</v>
      </c>
      <c r="X344" s="163">
        <f>'計分版'!H$14</f>
        <v>0.0000000004</v>
      </c>
      <c r="Y344" s="163">
        <f>'計分版'!I$14</f>
        <v>0.0000000005</v>
      </c>
      <c r="Z344" s="163">
        <f>'計分版'!J$14</f>
        <v>0</v>
      </c>
      <c r="AA344" s="163">
        <f>'計分版'!K$14</f>
        <v>0</v>
      </c>
      <c r="AB344" s="163">
        <f>'計分版'!L$14</f>
        <v>0</v>
      </c>
      <c r="AC344" s="163">
        <f>'計分版'!M$14</f>
        <v>0</v>
      </c>
      <c r="AD344" s="163">
        <f>'計分版'!N$14</f>
        <v>0</v>
      </c>
      <c r="AE344" s="163"/>
      <c r="AF344" s="163" t="s">
        <v>1065</v>
      </c>
      <c r="AG344" s="163" t="s">
        <v>166</v>
      </c>
      <c r="AH344" s="163" t="s">
        <v>1065</v>
      </c>
      <c r="AI344" s="163"/>
      <c r="AJ344" s="163"/>
      <c r="AK344" s="163"/>
      <c r="AL344" s="163"/>
      <c r="AM344" s="163"/>
      <c r="AN344" s="130"/>
      <c r="AO344" s="130"/>
      <c r="AP344" s="130"/>
      <c r="AQ344" s="130"/>
      <c r="AR344" s="130"/>
      <c r="AS344" s="130"/>
      <c r="AT344" s="130"/>
    </row>
    <row r="345" ht="13.5" customHeight="1">
      <c r="A345" s="130" t="s">
        <v>812</v>
      </c>
      <c r="B345" s="130" t="s">
        <v>813</v>
      </c>
      <c r="C345" s="130" t="s">
        <v>775</v>
      </c>
      <c r="D345" s="130"/>
      <c r="E345" s="163">
        <v>3.0</v>
      </c>
      <c r="F345" s="163">
        <v>3.0</v>
      </c>
      <c r="G345" s="163">
        <v>2.0</v>
      </c>
      <c r="H345" s="163">
        <v>2.0</v>
      </c>
      <c r="I345" s="163">
        <v>2.0</v>
      </c>
      <c r="J345" s="163"/>
      <c r="K345" s="130"/>
      <c r="L345" s="163">
        <f t="shared" ref="L345:O345" si="380">IF(E345&gt;U345,0,1)</f>
        <v>0</v>
      </c>
      <c r="M345" s="163">
        <f t="shared" si="380"/>
        <v>0</v>
      </c>
      <c r="N345" s="163">
        <f t="shared" si="380"/>
        <v>0</v>
      </c>
      <c r="O345" s="163">
        <f t="shared" si="380"/>
        <v>0</v>
      </c>
      <c r="P345" s="163">
        <f t="shared" si="361"/>
        <v>0</v>
      </c>
      <c r="Q345" s="130"/>
      <c r="R345" s="130"/>
      <c r="S345" s="163">
        <f t="shared" si="362"/>
        <v>0</v>
      </c>
      <c r="T345" s="163"/>
      <c r="U345" s="163">
        <f>'計分版'!E$14</f>
        <v>0.0000000001</v>
      </c>
      <c r="V345" s="163">
        <f>'計分版'!F$14</f>
        <v>0.0000000002</v>
      </c>
      <c r="W345" s="163">
        <f>'計分版'!G$14</f>
        <v>0.0000000003</v>
      </c>
      <c r="X345" s="163">
        <f>'計分版'!H$14</f>
        <v>0.0000000004</v>
      </c>
      <c r="Y345" s="163">
        <f>'計分版'!I$14</f>
        <v>0.0000000005</v>
      </c>
      <c r="Z345" s="163">
        <f>'計分版'!J$14</f>
        <v>0</v>
      </c>
      <c r="AA345" s="163">
        <f>'計分版'!K$14</f>
        <v>0</v>
      </c>
      <c r="AB345" s="163">
        <f>'計分版'!L$14</f>
        <v>0</v>
      </c>
      <c r="AC345" s="163">
        <f>'計分版'!M$14</f>
        <v>0</v>
      </c>
      <c r="AD345" s="163">
        <f>'計分版'!N$14</f>
        <v>0</v>
      </c>
      <c r="AE345" s="163"/>
      <c r="AF345" s="163" t="s">
        <v>1065</v>
      </c>
      <c r="AG345" s="163" t="s">
        <v>166</v>
      </c>
      <c r="AH345" s="163" t="s">
        <v>1065</v>
      </c>
      <c r="AI345" s="163"/>
      <c r="AJ345" s="163"/>
      <c r="AK345" s="163"/>
      <c r="AL345" s="163"/>
      <c r="AM345" s="163"/>
      <c r="AN345" s="130"/>
      <c r="AO345" s="130"/>
      <c r="AP345" s="130"/>
      <c r="AQ345" s="130"/>
      <c r="AR345" s="130"/>
      <c r="AS345" s="130"/>
      <c r="AT345" s="130"/>
    </row>
    <row r="346" ht="13.5" customHeight="1">
      <c r="A346" s="130" t="s">
        <v>814</v>
      </c>
      <c r="B346" s="130" t="s">
        <v>815</v>
      </c>
      <c r="C346" s="130" t="s">
        <v>775</v>
      </c>
      <c r="D346" s="130"/>
      <c r="E346" s="163">
        <v>3.0</v>
      </c>
      <c r="F346" s="163">
        <v>3.0</v>
      </c>
      <c r="G346" s="163">
        <v>2.0</v>
      </c>
      <c r="H346" s="163">
        <v>2.0</v>
      </c>
      <c r="I346" s="163">
        <v>2.0</v>
      </c>
      <c r="J346" s="163"/>
      <c r="K346" s="130"/>
      <c r="L346" s="163">
        <f t="shared" ref="L346:O346" si="381">IF(E346&gt;U346,0,1)</f>
        <v>0</v>
      </c>
      <c r="M346" s="163">
        <f t="shared" si="381"/>
        <v>0</v>
      </c>
      <c r="N346" s="163">
        <f t="shared" si="381"/>
        <v>0</v>
      </c>
      <c r="O346" s="163">
        <f t="shared" si="381"/>
        <v>0</v>
      </c>
      <c r="P346" s="163">
        <f t="shared" si="361"/>
        <v>0</v>
      </c>
      <c r="Q346" s="130"/>
      <c r="R346" s="130"/>
      <c r="S346" s="163">
        <f t="shared" si="362"/>
        <v>0</v>
      </c>
      <c r="T346" s="163"/>
      <c r="U346" s="163">
        <f>'計分版'!E$14</f>
        <v>0.0000000001</v>
      </c>
      <c r="V346" s="163">
        <f>'計分版'!F$14</f>
        <v>0.0000000002</v>
      </c>
      <c r="W346" s="163">
        <f>'計分版'!G$14</f>
        <v>0.0000000003</v>
      </c>
      <c r="X346" s="163">
        <f>'計分版'!H$14</f>
        <v>0.0000000004</v>
      </c>
      <c r="Y346" s="163">
        <f>'計分版'!I$14</f>
        <v>0.0000000005</v>
      </c>
      <c r="Z346" s="163">
        <f>'計分版'!J$14</f>
        <v>0</v>
      </c>
      <c r="AA346" s="163">
        <f>'計分版'!K$14</f>
        <v>0</v>
      </c>
      <c r="AB346" s="163">
        <f>'計分版'!L$14</f>
        <v>0</v>
      </c>
      <c r="AC346" s="163">
        <f>'計分版'!M$14</f>
        <v>0</v>
      </c>
      <c r="AD346" s="163">
        <f>'計分版'!N$14</f>
        <v>0</v>
      </c>
      <c r="AE346" s="163"/>
      <c r="AF346" s="163" t="s">
        <v>1065</v>
      </c>
      <c r="AG346" s="163" t="s">
        <v>166</v>
      </c>
      <c r="AH346" s="163" t="s">
        <v>1065</v>
      </c>
      <c r="AI346" s="163"/>
      <c r="AJ346" s="163"/>
      <c r="AK346" s="163"/>
      <c r="AL346" s="163"/>
      <c r="AM346" s="163"/>
      <c r="AN346" s="130"/>
      <c r="AO346" s="130"/>
      <c r="AP346" s="130"/>
      <c r="AQ346" s="130"/>
      <c r="AR346" s="130"/>
      <c r="AS346" s="130"/>
      <c r="AT346" s="130"/>
    </row>
    <row r="347" ht="13.5" customHeight="1">
      <c r="A347" s="130" t="s">
        <v>816</v>
      </c>
      <c r="B347" s="130" t="s">
        <v>817</v>
      </c>
      <c r="C347" s="130" t="s">
        <v>775</v>
      </c>
      <c r="D347" s="130"/>
      <c r="E347" s="163">
        <v>3.0</v>
      </c>
      <c r="F347" s="163">
        <v>3.0</v>
      </c>
      <c r="G347" s="163">
        <v>2.0</v>
      </c>
      <c r="H347" s="163">
        <v>2.0</v>
      </c>
      <c r="I347" s="163">
        <v>2.0</v>
      </c>
      <c r="J347" s="163"/>
      <c r="K347" s="130"/>
      <c r="L347" s="163">
        <f t="shared" ref="L347:O347" si="382">IF(E347&gt;U347,0,1)</f>
        <v>0</v>
      </c>
      <c r="M347" s="163">
        <f t="shared" si="382"/>
        <v>0</v>
      </c>
      <c r="N347" s="163">
        <f t="shared" si="382"/>
        <v>0</v>
      </c>
      <c r="O347" s="163">
        <f t="shared" si="382"/>
        <v>0</v>
      </c>
      <c r="P347" s="163">
        <f t="shared" si="361"/>
        <v>0</v>
      </c>
      <c r="Q347" s="130"/>
      <c r="R347" s="130"/>
      <c r="S347" s="163">
        <f t="shared" si="362"/>
        <v>0</v>
      </c>
      <c r="T347" s="163"/>
      <c r="U347" s="163">
        <f>'計分版'!E$14</f>
        <v>0.0000000001</v>
      </c>
      <c r="V347" s="163">
        <f>'計分版'!F$14</f>
        <v>0.0000000002</v>
      </c>
      <c r="W347" s="163">
        <f>'計分版'!G$14</f>
        <v>0.0000000003</v>
      </c>
      <c r="X347" s="163">
        <f>'計分版'!H$14</f>
        <v>0.0000000004</v>
      </c>
      <c r="Y347" s="163">
        <f>'計分版'!I$14</f>
        <v>0.0000000005</v>
      </c>
      <c r="Z347" s="163">
        <f>'計分版'!J$14</f>
        <v>0</v>
      </c>
      <c r="AA347" s="163">
        <f>'計分版'!K$14</f>
        <v>0</v>
      </c>
      <c r="AB347" s="163">
        <f>'計分版'!L$14</f>
        <v>0</v>
      </c>
      <c r="AC347" s="163">
        <f>'計分版'!M$14</f>
        <v>0</v>
      </c>
      <c r="AD347" s="163">
        <f>'計分版'!N$14</f>
        <v>0</v>
      </c>
      <c r="AE347" s="163"/>
      <c r="AF347" s="163" t="s">
        <v>1065</v>
      </c>
      <c r="AG347" s="163" t="s">
        <v>166</v>
      </c>
      <c r="AH347" s="163" t="s">
        <v>1065</v>
      </c>
      <c r="AI347" s="163"/>
      <c r="AJ347" s="163"/>
      <c r="AK347" s="163"/>
      <c r="AL347" s="163"/>
      <c r="AM347" s="163"/>
      <c r="AN347" s="130"/>
      <c r="AO347" s="130"/>
      <c r="AP347" s="130"/>
      <c r="AQ347" s="130"/>
      <c r="AR347" s="130"/>
      <c r="AS347" s="130"/>
      <c r="AT347" s="130"/>
    </row>
    <row r="348" ht="13.5" customHeight="1">
      <c r="A348" s="130" t="s">
        <v>818</v>
      </c>
      <c r="B348" s="130" t="s">
        <v>819</v>
      </c>
      <c r="C348" s="130" t="s">
        <v>21</v>
      </c>
      <c r="D348" s="130"/>
      <c r="E348" s="163">
        <v>3.0</v>
      </c>
      <c r="F348" s="163">
        <v>3.0</v>
      </c>
      <c r="G348" s="163">
        <v>2.0</v>
      </c>
      <c r="H348" s="163">
        <v>2.0</v>
      </c>
      <c r="I348" s="163">
        <v>2.0</v>
      </c>
      <c r="J348" s="163"/>
      <c r="K348" s="130"/>
      <c r="L348" s="163">
        <f t="shared" ref="L348:O348" si="383">IF(E348&gt;U348,0,1)</f>
        <v>0</v>
      </c>
      <c r="M348" s="163">
        <f t="shared" si="383"/>
        <v>0</v>
      </c>
      <c r="N348" s="163">
        <f t="shared" si="383"/>
        <v>0</v>
      </c>
      <c r="O348" s="163">
        <f t="shared" si="383"/>
        <v>0</v>
      </c>
      <c r="P348" s="163">
        <f t="shared" si="361"/>
        <v>0</v>
      </c>
      <c r="Q348" s="130"/>
      <c r="R348" s="130"/>
      <c r="S348" s="163">
        <f t="shared" si="362"/>
        <v>0</v>
      </c>
      <c r="T348" s="163"/>
      <c r="U348" s="163">
        <f>'計分版'!E$14</f>
        <v>0.0000000001</v>
      </c>
      <c r="V348" s="163">
        <f>'計分版'!F$14</f>
        <v>0.0000000002</v>
      </c>
      <c r="W348" s="163">
        <f>'計分版'!G$14</f>
        <v>0.0000000003</v>
      </c>
      <c r="X348" s="163">
        <f>'計分版'!H$14</f>
        <v>0.0000000004</v>
      </c>
      <c r="Y348" s="163">
        <f>'計分版'!I$14</f>
        <v>0.0000000005</v>
      </c>
      <c r="Z348" s="163">
        <f>'計分版'!J$14</f>
        <v>0</v>
      </c>
      <c r="AA348" s="163">
        <f>'計分版'!K$14</f>
        <v>0</v>
      </c>
      <c r="AB348" s="163">
        <f>'計分版'!L$14</f>
        <v>0</v>
      </c>
      <c r="AC348" s="163">
        <f>'計分版'!M$14</f>
        <v>0</v>
      </c>
      <c r="AD348" s="163">
        <f>'計分版'!N$14</f>
        <v>0</v>
      </c>
      <c r="AE348" s="163"/>
      <c r="AF348" s="163" t="s">
        <v>1065</v>
      </c>
      <c r="AG348" s="163" t="s">
        <v>166</v>
      </c>
      <c r="AH348" s="163" t="s">
        <v>1065</v>
      </c>
      <c r="AI348" s="163"/>
      <c r="AJ348" s="163"/>
      <c r="AK348" s="163"/>
      <c r="AL348" s="163"/>
      <c r="AM348" s="163"/>
      <c r="AN348" s="130"/>
      <c r="AO348" s="130"/>
      <c r="AP348" s="130"/>
      <c r="AQ348" s="130"/>
      <c r="AR348" s="130"/>
      <c r="AS348" s="130"/>
      <c r="AT348" s="130"/>
    </row>
    <row r="349" ht="13.5" customHeight="1">
      <c r="A349" s="130" t="s">
        <v>820</v>
      </c>
      <c r="B349" s="130" t="s">
        <v>821</v>
      </c>
      <c r="C349" s="130" t="s">
        <v>21</v>
      </c>
      <c r="D349" s="130"/>
      <c r="E349" s="163">
        <v>3.0</v>
      </c>
      <c r="F349" s="163">
        <v>3.0</v>
      </c>
      <c r="G349" s="163">
        <v>2.0</v>
      </c>
      <c r="H349" s="163">
        <v>2.0</v>
      </c>
      <c r="I349" s="163">
        <v>2.0</v>
      </c>
      <c r="J349" s="163"/>
      <c r="K349" s="130"/>
      <c r="L349" s="163">
        <f t="shared" ref="L349:O349" si="384">IF(E349&gt;U349,0,1)</f>
        <v>0</v>
      </c>
      <c r="M349" s="163">
        <f t="shared" si="384"/>
        <v>0</v>
      </c>
      <c r="N349" s="163">
        <f t="shared" si="384"/>
        <v>0</v>
      </c>
      <c r="O349" s="163">
        <f t="shared" si="384"/>
        <v>0</v>
      </c>
      <c r="P349" s="163">
        <f t="shared" si="361"/>
        <v>0</v>
      </c>
      <c r="Q349" s="130"/>
      <c r="R349" s="130"/>
      <c r="S349" s="163">
        <f t="shared" si="362"/>
        <v>0</v>
      </c>
      <c r="T349" s="163"/>
      <c r="U349" s="163">
        <f>'計分版'!E$14</f>
        <v>0.0000000001</v>
      </c>
      <c r="V349" s="163">
        <f>'計分版'!F$14</f>
        <v>0.0000000002</v>
      </c>
      <c r="W349" s="163">
        <f>'計分版'!G$14</f>
        <v>0.0000000003</v>
      </c>
      <c r="X349" s="163">
        <f>'計分版'!H$14</f>
        <v>0.0000000004</v>
      </c>
      <c r="Y349" s="163">
        <f>'計分版'!I$14</f>
        <v>0.0000000005</v>
      </c>
      <c r="Z349" s="163">
        <f>'計分版'!J$14</f>
        <v>0</v>
      </c>
      <c r="AA349" s="163">
        <f>'計分版'!K$14</f>
        <v>0</v>
      </c>
      <c r="AB349" s="163">
        <f>'計分版'!L$14</f>
        <v>0</v>
      </c>
      <c r="AC349" s="163">
        <f>'計分版'!M$14</f>
        <v>0</v>
      </c>
      <c r="AD349" s="163">
        <f>'計分版'!N$14</f>
        <v>0</v>
      </c>
      <c r="AE349" s="163"/>
      <c r="AF349" s="163" t="s">
        <v>1065</v>
      </c>
      <c r="AG349" s="163" t="s">
        <v>166</v>
      </c>
      <c r="AH349" s="163" t="s">
        <v>1065</v>
      </c>
      <c r="AI349" s="163"/>
      <c r="AJ349" s="163"/>
      <c r="AK349" s="163"/>
      <c r="AL349" s="163"/>
      <c r="AM349" s="163"/>
      <c r="AN349" s="130"/>
      <c r="AO349" s="130"/>
      <c r="AP349" s="130"/>
      <c r="AQ349" s="130"/>
      <c r="AR349" s="130"/>
      <c r="AS349" s="130"/>
      <c r="AT349" s="130"/>
    </row>
    <row r="350" ht="13.5" customHeight="1">
      <c r="A350" s="130" t="s">
        <v>822</v>
      </c>
      <c r="B350" s="130" t="s">
        <v>823</v>
      </c>
      <c r="C350" s="130" t="s">
        <v>21</v>
      </c>
      <c r="D350" s="130"/>
      <c r="E350" s="163">
        <v>3.0</v>
      </c>
      <c r="F350" s="163">
        <v>3.0</v>
      </c>
      <c r="G350" s="163">
        <v>2.0</v>
      </c>
      <c r="H350" s="163">
        <v>2.0</v>
      </c>
      <c r="I350" s="163">
        <v>2.0</v>
      </c>
      <c r="J350" s="163"/>
      <c r="K350" s="130"/>
      <c r="L350" s="163">
        <f t="shared" ref="L350:O350" si="385">IF(E350&gt;U350,0,1)</f>
        <v>0</v>
      </c>
      <c r="M350" s="163">
        <f t="shared" si="385"/>
        <v>0</v>
      </c>
      <c r="N350" s="163">
        <f t="shared" si="385"/>
        <v>0</v>
      </c>
      <c r="O350" s="163">
        <f t="shared" si="385"/>
        <v>0</v>
      </c>
      <c r="P350" s="163">
        <f t="shared" si="361"/>
        <v>0</v>
      </c>
      <c r="Q350" s="130"/>
      <c r="R350" s="130"/>
      <c r="S350" s="163">
        <f t="shared" si="362"/>
        <v>0</v>
      </c>
      <c r="T350" s="163"/>
      <c r="U350" s="163">
        <f>'計分版'!E$14</f>
        <v>0.0000000001</v>
      </c>
      <c r="V350" s="163">
        <f>'計分版'!F$14</f>
        <v>0.0000000002</v>
      </c>
      <c r="W350" s="163">
        <f>'計分版'!G$14</f>
        <v>0.0000000003</v>
      </c>
      <c r="X350" s="163">
        <f>'計分版'!H$14</f>
        <v>0.0000000004</v>
      </c>
      <c r="Y350" s="163">
        <f>'計分版'!I$14</f>
        <v>0.0000000005</v>
      </c>
      <c r="Z350" s="163">
        <f>'計分版'!J$14</f>
        <v>0</v>
      </c>
      <c r="AA350" s="163">
        <f>'計分版'!K$14</f>
        <v>0</v>
      </c>
      <c r="AB350" s="163">
        <f>'計分版'!L$14</f>
        <v>0</v>
      </c>
      <c r="AC350" s="163">
        <f>'計分版'!M$14</f>
        <v>0</v>
      </c>
      <c r="AD350" s="163">
        <f>'計分版'!N$14</f>
        <v>0</v>
      </c>
      <c r="AE350" s="163"/>
      <c r="AF350" s="163" t="s">
        <v>1065</v>
      </c>
      <c r="AG350" s="163" t="s">
        <v>166</v>
      </c>
      <c r="AH350" s="163" t="s">
        <v>1065</v>
      </c>
      <c r="AI350" s="163"/>
      <c r="AJ350" s="163"/>
      <c r="AK350" s="163"/>
      <c r="AL350" s="163"/>
      <c r="AM350" s="163"/>
      <c r="AN350" s="130"/>
      <c r="AO350" s="130"/>
      <c r="AP350" s="130"/>
      <c r="AQ350" s="130"/>
      <c r="AR350" s="130"/>
      <c r="AS350" s="130"/>
      <c r="AT350" s="130"/>
    </row>
    <row r="351" ht="13.5" customHeight="1">
      <c r="A351" s="130" t="s">
        <v>824</v>
      </c>
      <c r="B351" s="130" t="s">
        <v>825</v>
      </c>
      <c r="C351" s="130" t="s">
        <v>21</v>
      </c>
      <c r="D351" s="130"/>
      <c r="E351" s="163">
        <v>3.0</v>
      </c>
      <c r="F351" s="163">
        <v>3.0</v>
      </c>
      <c r="G351" s="163">
        <v>2.0</v>
      </c>
      <c r="H351" s="163">
        <v>2.0</v>
      </c>
      <c r="I351" s="163">
        <v>2.0</v>
      </c>
      <c r="J351" s="163"/>
      <c r="K351" s="130"/>
      <c r="L351" s="163">
        <f t="shared" ref="L351:O351" si="386">IF(E351&gt;U351,0,1)</f>
        <v>0</v>
      </c>
      <c r="M351" s="163">
        <f t="shared" si="386"/>
        <v>0</v>
      </c>
      <c r="N351" s="163">
        <f t="shared" si="386"/>
        <v>0</v>
      </c>
      <c r="O351" s="163">
        <f t="shared" si="386"/>
        <v>0</v>
      </c>
      <c r="P351" s="163">
        <f t="shared" si="361"/>
        <v>0</v>
      </c>
      <c r="Q351" s="130"/>
      <c r="R351" s="130"/>
      <c r="S351" s="163">
        <f t="shared" si="362"/>
        <v>0</v>
      </c>
      <c r="T351" s="163"/>
      <c r="U351" s="163">
        <f>'計分版'!E$14</f>
        <v>0.0000000001</v>
      </c>
      <c r="V351" s="163">
        <f>'計分版'!F$14</f>
        <v>0.0000000002</v>
      </c>
      <c r="W351" s="163">
        <f>'計分版'!G$14</f>
        <v>0.0000000003</v>
      </c>
      <c r="X351" s="163">
        <f>'計分版'!H$14</f>
        <v>0.0000000004</v>
      </c>
      <c r="Y351" s="163">
        <f>'計分版'!I$14</f>
        <v>0.0000000005</v>
      </c>
      <c r="Z351" s="163">
        <f>'計分版'!J$14</f>
        <v>0</v>
      </c>
      <c r="AA351" s="163">
        <f>'計分版'!K$14</f>
        <v>0</v>
      </c>
      <c r="AB351" s="163">
        <f>'計分版'!L$14</f>
        <v>0</v>
      </c>
      <c r="AC351" s="163">
        <f>'計分版'!M$14</f>
        <v>0</v>
      </c>
      <c r="AD351" s="163">
        <f>'計分版'!N$14</f>
        <v>0</v>
      </c>
      <c r="AE351" s="163"/>
      <c r="AF351" s="163" t="s">
        <v>1065</v>
      </c>
      <c r="AG351" s="163" t="s">
        <v>166</v>
      </c>
      <c r="AH351" s="163" t="s">
        <v>1065</v>
      </c>
      <c r="AI351" s="163"/>
      <c r="AJ351" s="163"/>
      <c r="AK351" s="163"/>
      <c r="AL351" s="163"/>
      <c r="AM351" s="163"/>
      <c r="AN351" s="130"/>
      <c r="AO351" s="130"/>
      <c r="AP351" s="130"/>
      <c r="AQ351" s="130"/>
      <c r="AR351" s="130"/>
      <c r="AS351" s="130"/>
      <c r="AT351" s="130"/>
    </row>
    <row r="352" ht="13.5" customHeight="1">
      <c r="A352" s="130" t="s">
        <v>826</v>
      </c>
      <c r="B352" s="130" t="s">
        <v>827</v>
      </c>
      <c r="C352" s="130" t="s">
        <v>21</v>
      </c>
      <c r="D352" s="130"/>
      <c r="E352" s="163">
        <v>3.0</v>
      </c>
      <c r="F352" s="163">
        <v>3.0</v>
      </c>
      <c r="G352" s="163">
        <v>2.0</v>
      </c>
      <c r="H352" s="163">
        <v>2.0</v>
      </c>
      <c r="I352" s="163">
        <v>2.0</v>
      </c>
      <c r="J352" s="163"/>
      <c r="K352" s="130"/>
      <c r="L352" s="163">
        <f t="shared" ref="L352:O352" si="387">IF(E352&gt;U352,0,1)</f>
        <v>0</v>
      </c>
      <c r="M352" s="163">
        <f t="shared" si="387"/>
        <v>0</v>
      </c>
      <c r="N352" s="163">
        <f t="shared" si="387"/>
        <v>0</v>
      </c>
      <c r="O352" s="163">
        <f t="shared" si="387"/>
        <v>0</v>
      </c>
      <c r="P352" s="163">
        <f t="shared" si="361"/>
        <v>0</v>
      </c>
      <c r="Q352" s="130"/>
      <c r="R352" s="130"/>
      <c r="S352" s="163">
        <f t="shared" si="362"/>
        <v>0</v>
      </c>
      <c r="T352" s="163"/>
      <c r="U352" s="163">
        <f>'計分版'!E$14</f>
        <v>0.0000000001</v>
      </c>
      <c r="V352" s="163">
        <f>'計分版'!F$14</f>
        <v>0.0000000002</v>
      </c>
      <c r="W352" s="163">
        <f>'計分版'!G$14</f>
        <v>0.0000000003</v>
      </c>
      <c r="X352" s="163">
        <f>'計分版'!H$14</f>
        <v>0.0000000004</v>
      </c>
      <c r="Y352" s="163">
        <f>'計分版'!I$14</f>
        <v>0.0000000005</v>
      </c>
      <c r="Z352" s="163">
        <f>'計分版'!J$14</f>
        <v>0</v>
      </c>
      <c r="AA352" s="163">
        <f>'計分版'!K$14</f>
        <v>0</v>
      </c>
      <c r="AB352" s="163">
        <f>'計分版'!L$14</f>
        <v>0</v>
      </c>
      <c r="AC352" s="163">
        <f>'計分版'!M$14</f>
        <v>0</v>
      </c>
      <c r="AD352" s="163">
        <f>'計分版'!N$14</f>
        <v>0</v>
      </c>
      <c r="AE352" s="163"/>
      <c r="AF352" s="163" t="s">
        <v>1065</v>
      </c>
      <c r="AG352" s="163" t="s">
        <v>166</v>
      </c>
      <c r="AH352" s="163" t="s">
        <v>1065</v>
      </c>
      <c r="AI352" s="163"/>
      <c r="AJ352" s="163"/>
      <c r="AK352" s="163"/>
      <c r="AL352" s="163"/>
      <c r="AM352" s="163"/>
      <c r="AN352" s="130"/>
      <c r="AO352" s="130"/>
      <c r="AP352" s="130"/>
      <c r="AQ352" s="130"/>
      <c r="AR352" s="130"/>
      <c r="AS352" s="130"/>
      <c r="AT352" s="130"/>
    </row>
    <row r="353" ht="13.5" customHeight="1">
      <c r="A353" s="130" t="s">
        <v>828</v>
      </c>
      <c r="B353" s="130" t="s">
        <v>829</v>
      </c>
      <c r="C353" s="130" t="s">
        <v>21</v>
      </c>
      <c r="D353" s="130"/>
      <c r="E353" s="163">
        <v>3.0</v>
      </c>
      <c r="F353" s="163">
        <v>3.0</v>
      </c>
      <c r="G353" s="163">
        <v>2.0</v>
      </c>
      <c r="H353" s="163">
        <v>2.0</v>
      </c>
      <c r="I353" s="163">
        <v>2.0</v>
      </c>
      <c r="J353" s="163"/>
      <c r="K353" s="130"/>
      <c r="L353" s="163">
        <f t="shared" ref="L353:O353" si="388">IF(E353&gt;U353,0,1)</f>
        <v>0</v>
      </c>
      <c r="M353" s="163">
        <f t="shared" si="388"/>
        <v>0</v>
      </c>
      <c r="N353" s="163">
        <f t="shared" si="388"/>
        <v>0</v>
      </c>
      <c r="O353" s="163">
        <f t="shared" si="388"/>
        <v>0</v>
      </c>
      <c r="P353" s="163">
        <f t="shared" si="361"/>
        <v>0</v>
      </c>
      <c r="Q353" s="130"/>
      <c r="R353" s="130"/>
      <c r="S353" s="163">
        <f t="shared" si="362"/>
        <v>0</v>
      </c>
      <c r="T353" s="163"/>
      <c r="U353" s="163">
        <f>'計分版'!E$14</f>
        <v>0.0000000001</v>
      </c>
      <c r="V353" s="163">
        <f>'計分版'!F$14</f>
        <v>0.0000000002</v>
      </c>
      <c r="W353" s="163">
        <f>'計分版'!G$14</f>
        <v>0.0000000003</v>
      </c>
      <c r="X353" s="163">
        <f>'計分版'!H$14</f>
        <v>0.0000000004</v>
      </c>
      <c r="Y353" s="163">
        <f>'計分版'!I$14</f>
        <v>0.0000000005</v>
      </c>
      <c r="Z353" s="163">
        <f>'計分版'!J$14</f>
        <v>0</v>
      </c>
      <c r="AA353" s="163">
        <f>'計分版'!K$14</f>
        <v>0</v>
      </c>
      <c r="AB353" s="163">
        <f>'計分版'!L$14</f>
        <v>0</v>
      </c>
      <c r="AC353" s="163">
        <f>'計分版'!M$14</f>
        <v>0</v>
      </c>
      <c r="AD353" s="163">
        <f>'計分版'!N$14</f>
        <v>0</v>
      </c>
      <c r="AE353" s="163"/>
      <c r="AF353" s="163" t="s">
        <v>1065</v>
      </c>
      <c r="AG353" s="163" t="s">
        <v>166</v>
      </c>
      <c r="AH353" s="163" t="s">
        <v>1065</v>
      </c>
      <c r="AI353" s="163"/>
      <c r="AJ353" s="163"/>
      <c r="AK353" s="163"/>
      <c r="AL353" s="163"/>
      <c r="AM353" s="163"/>
      <c r="AN353" s="130"/>
      <c r="AO353" s="130"/>
      <c r="AP353" s="130"/>
      <c r="AQ353" s="130"/>
      <c r="AR353" s="130"/>
      <c r="AS353" s="130"/>
      <c r="AT353" s="130"/>
    </row>
    <row r="354" ht="13.5" customHeight="1">
      <c r="A354" s="130" t="s">
        <v>830</v>
      </c>
      <c r="B354" s="130" t="s">
        <v>831</v>
      </c>
      <c r="C354" s="130" t="s">
        <v>775</v>
      </c>
      <c r="D354" s="130"/>
      <c r="E354" s="163">
        <v>3.0</v>
      </c>
      <c r="F354" s="163">
        <v>3.0</v>
      </c>
      <c r="G354" s="163">
        <v>2.0</v>
      </c>
      <c r="H354" s="163">
        <v>2.0</v>
      </c>
      <c r="I354" s="163">
        <v>2.0</v>
      </c>
      <c r="J354" s="163"/>
      <c r="K354" s="130"/>
      <c r="L354" s="163">
        <f t="shared" ref="L354:O354" si="389">IF(E354&gt;U354,0,1)</f>
        <v>0</v>
      </c>
      <c r="M354" s="163">
        <f t="shared" si="389"/>
        <v>0</v>
      </c>
      <c r="N354" s="163">
        <f t="shared" si="389"/>
        <v>0</v>
      </c>
      <c r="O354" s="163">
        <f t="shared" si="389"/>
        <v>0</v>
      </c>
      <c r="P354" s="163">
        <f t="shared" si="361"/>
        <v>0</v>
      </c>
      <c r="Q354" s="130"/>
      <c r="R354" s="130"/>
      <c r="S354" s="163">
        <f t="shared" si="362"/>
        <v>0</v>
      </c>
      <c r="T354" s="163"/>
      <c r="U354" s="163">
        <f>'計分版'!E$14</f>
        <v>0.0000000001</v>
      </c>
      <c r="V354" s="163">
        <f>'計分版'!F$14</f>
        <v>0.0000000002</v>
      </c>
      <c r="W354" s="163">
        <f>'計分版'!G$14</f>
        <v>0.0000000003</v>
      </c>
      <c r="X354" s="163">
        <f>'計分版'!H$14</f>
        <v>0.0000000004</v>
      </c>
      <c r="Y354" s="163">
        <f>'計分版'!I$14</f>
        <v>0.0000000005</v>
      </c>
      <c r="Z354" s="163">
        <f>'計分版'!J$14</f>
        <v>0</v>
      </c>
      <c r="AA354" s="163">
        <f>'計分版'!K$14</f>
        <v>0</v>
      </c>
      <c r="AB354" s="163">
        <f>'計分版'!L$14</f>
        <v>0</v>
      </c>
      <c r="AC354" s="163">
        <f>'計分版'!M$14</f>
        <v>0</v>
      </c>
      <c r="AD354" s="163">
        <f>'計分版'!N$14</f>
        <v>0</v>
      </c>
      <c r="AE354" s="163"/>
      <c r="AF354" s="163" t="s">
        <v>1065</v>
      </c>
      <c r="AG354" s="163" t="s">
        <v>166</v>
      </c>
      <c r="AH354" s="163" t="s">
        <v>1065</v>
      </c>
      <c r="AI354" s="163"/>
      <c r="AJ354" s="163"/>
      <c r="AK354" s="163"/>
      <c r="AL354" s="163"/>
      <c r="AM354" s="163"/>
      <c r="AN354" s="130"/>
      <c r="AO354" s="130"/>
      <c r="AP354" s="130"/>
      <c r="AQ354" s="130"/>
      <c r="AR354" s="130"/>
      <c r="AS354" s="130"/>
      <c r="AT354" s="130"/>
    </row>
    <row r="355" ht="13.5" customHeight="1">
      <c r="A355" s="130" t="s">
        <v>832</v>
      </c>
      <c r="B355" s="130" t="s">
        <v>833</v>
      </c>
      <c r="C355" s="130" t="s">
        <v>775</v>
      </c>
      <c r="D355" s="130"/>
      <c r="E355" s="163">
        <v>3.0</v>
      </c>
      <c r="F355" s="163">
        <v>3.0</v>
      </c>
      <c r="G355" s="163">
        <v>2.0</v>
      </c>
      <c r="H355" s="163">
        <v>2.0</v>
      </c>
      <c r="I355" s="163">
        <v>2.0</v>
      </c>
      <c r="J355" s="163"/>
      <c r="K355" s="130"/>
      <c r="L355" s="163">
        <f t="shared" ref="L355:O355" si="390">IF(E355&gt;U355,0,1)</f>
        <v>0</v>
      </c>
      <c r="M355" s="163">
        <f t="shared" si="390"/>
        <v>0</v>
      </c>
      <c r="N355" s="163">
        <f t="shared" si="390"/>
        <v>0</v>
      </c>
      <c r="O355" s="163">
        <f t="shared" si="390"/>
        <v>0</v>
      </c>
      <c r="P355" s="163">
        <f t="shared" si="361"/>
        <v>0</v>
      </c>
      <c r="Q355" s="130"/>
      <c r="R355" s="130"/>
      <c r="S355" s="163">
        <f t="shared" si="362"/>
        <v>0</v>
      </c>
      <c r="T355" s="163"/>
      <c r="U355" s="163">
        <f>'計分版'!E$14</f>
        <v>0.0000000001</v>
      </c>
      <c r="V355" s="163">
        <f>'計分版'!F$14</f>
        <v>0.0000000002</v>
      </c>
      <c r="W355" s="163">
        <f>'計分版'!G$14</f>
        <v>0.0000000003</v>
      </c>
      <c r="X355" s="163">
        <f>'計分版'!H$14</f>
        <v>0.0000000004</v>
      </c>
      <c r="Y355" s="163">
        <f>'計分版'!I$14</f>
        <v>0.0000000005</v>
      </c>
      <c r="Z355" s="163">
        <f>'計分版'!J$14</f>
        <v>0</v>
      </c>
      <c r="AA355" s="163">
        <f>'計分版'!K$14</f>
        <v>0</v>
      </c>
      <c r="AB355" s="163">
        <f>'計分版'!L$14</f>
        <v>0</v>
      </c>
      <c r="AC355" s="163">
        <f>'計分版'!M$14</f>
        <v>0</v>
      </c>
      <c r="AD355" s="163">
        <f>'計分版'!N$14</f>
        <v>0</v>
      </c>
      <c r="AE355" s="163"/>
      <c r="AF355" s="163" t="s">
        <v>1065</v>
      </c>
      <c r="AG355" s="163" t="s">
        <v>166</v>
      </c>
      <c r="AH355" s="163" t="s">
        <v>1065</v>
      </c>
      <c r="AI355" s="163"/>
      <c r="AJ355" s="163"/>
      <c r="AK355" s="163"/>
      <c r="AL355" s="163"/>
      <c r="AM355" s="163"/>
      <c r="AN355" s="130"/>
      <c r="AO355" s="130"/>
      <c r="AP355" s="130"/>
      <c r="AQ355" s="130"/>
      <c r="AR355" s="130"/>
      <c r="AS355" s="130"/>
      <c r="AT355" s="130"/>
    </row>
    <row r="356" ht="13.5" customHeight="1">
      <c r="A356" s="130" t="s">
        <v>834</v>
      </c>
      <c r="B356" s="130" t="s">
        <v>835</v>
      </c>
      <c r="C356" s="130" t="s">
        <v>775</v>
      </c>
      <c r="D356" s="130"/>
      <c r="E356" s="163">
        <v>3.0</v>
      </c>
      <c r="F356" s="163">
        <v>3.0</v>
      </c>
      <c r="G356" s="163">
        <v>2.0</v>
      </c>
      <c r="H356" s="163">
        <v>2.0</v>
      </c>
      <c r="I356" s="163">
        <v>2.0</v>
      </c>
      <c r="J356" s="163"/>
      <c r="K356" s="130"/>
      <c r="L356" s="163">
        <f t="shared" ref="L356:O356" si="391">IF(E356&gt;U356,0,1)</f>
        <v>0</v>
      </c>
      <c r="M356" s="163">
        <f t="shared" si="391"/>
        <v>0</v>
      </c>
      <c r="N356" s="163">
        <f t="shared" si="391"/>
        <v>0</v>
      </c>
      <c r="O356" s="163">
        <f t="shared" si="391"/>
        <v>0</v>
      </c>
      <c r="P356" s="163">
        <f t="shared" si="361"/>
        <v>0</v>
      </c>
      <c r="Q356" s="130"/>
      <c r="R356" s="130"/>
      <c r="S356" s="163">
        <f t="shared" si="362"/>
        <v>0</v>
      </c>
      <c r="T356" s="163"/>
      <c r="U356" s="163">
        <f>'計分版'!E$14</f>
        <v>0.0000000001</v>
      </c>
      <c r="V356" s="163">
        <f>'計分版'!F$14</f>
        <v>0.0000000002</v>
      </c>
      <c r="W356" s="163">
        <f>'計分版'!G$14</f>
        <v>0.0000000003</v>
      </c>
      <c r="X356" s="163">
        <f>'計分版'!H$14</f>
        <v>0.0000000004</v>
      </c>
      <c r="Y356" s="163">
        <f>'計分版'!I$14</f>
        <v>0.0000000005</v>
      </c>
      <c r="Z356" s="163">
        <f>'計分版'!J$14</f>
        <v>0</v>
      </c>
      <c r="AA356" s="163">
        <f>'計分版'!K$14</f>
        <v>0</v>
      </c>
      <c r="AB356" s="163">
        <f>'計分版'!L$14</f>
        <v>0</v>
      </c>
      <c r="AC356" s="163">
        <f>'計分版'!M$14</f>
        <v>0</v>
      </c>
      <c r="AD356" s="163">
        <f>'計分版'!N$14</f>
        <v>0</v>
      </c>
      <c r="AE356" s="163"/>
      <c r="AF356" s="163" t="s">
        <v>1065</v>
      </c>
      <c r="AG356" s="163" t="s">
        <v>166</v>
      </c>
      <c r="AH356" s="163" t="s">
        <v>1065</v>
      </c>
      <c r="AI356" s="163"/>
      <c r="AJ356" s="163"/>
      <c r="AK356" s="163"/>
      <c r="AL356" s="163"/>
      <c r="AM356" s="163"/>
      <c r="AN356" s="130"/>
      <c r="AO356" s="130"/>
      <c r="AP356" s="130"/>
      <c r="AQ356" s="130"/>
      <c r="AR356" s="130"/>
      <c r="AS356" s="130"/>
      <c r="AT356" s="130"/>
    </row>
    <row r="357" ht="13.5" customHeight="1">
      <c r="A357" s="130" t="s">
        <v>836</v>
      </c>
      <c r="B357" s="130" t="s">
        <v>837</v>
      </c>
      <c r="C357" s="130" t="s">
        <v>775</v>
      </c>
      <c r="D357" s="130"/>
      <c r="E357" s="163">
        <v>3.0</v>
      </c>
      <c r="F357" s="163">
        <v>3.0</v>
      </c>
      <c r="G357" s="163">
        <v>2.0</v>
      </c>
      <c r="H357" s="163">
        <v>2.0</v>
      </c>
      <c r="I357" s="163">
        <v>2.0</v>
      </c>
      <c r="J357" s="163"/>
      <c r="K357" s="130"/>
      <c r="L357" s="163">
        <f t="shared" ref="L357:O357" si="392">IF(E357&gt;U357,0,1)</f>
        <v>0</v>
      </c>
      <c r="M357" s="163">
        <f t="shared" si="392"/>
        <v>0</v>
      </c>
      <c r="N357" s="163">
        <f t="shared" si="392"/>
        <v>0</v>
      </c>
      <c r="O357" s="163">
        <f t="shared" si="392"/>
        <v>0</v>
      </c>
      <c r="P357" s="163">
        <f>IF(I357&gt;LARGE(Y357:AD357,1),0,IF('計分版'!$T$371=0,2,1))</f>
        <v>0</v>
      </c>
      <c r="Q357" s="130"/>
      <c r="R357" s="130"/>
      <c r="S357" s="163">
        <f t="shared" si="362"/>
        <v>0</v>
      </c>
      <c r="T357" s="163"/>
      <c r="U357" s="163">
        <f>'計分版'!E$14</f>
        <v>0.0000000001</v>
      </c>
      <c r="V357" s="163">
        <f>'計分版'!F$14</f>
        <v>0.0000000002</v>
      </c>
      <c r="W357" s="163">
        <f>'計分版'!G$14</f>
        <v>0.0000000003</v>
      </c>
      <c r="X357" s="163">
        <f>'計分版'!H$14</f>
        <v>0.0000000004</v>
      </c>
      <c r="Y357" s="163">
        <f>'計分版'!I$14</f>
        <v>0.0000000005</v>
      </c>
      <c r="Z357" s="163">
        <f>'計分版'!J$14</f>
        <v>0</v>
      </c>
      <c r="AA357" s="163">
        <f>'計分版'!K$14</f>
        <v>0</v>
      </c>
      <c r="AB357" s="163">
        <f>'計分版'!L$14</f>
        <v>0</v>
      </c>
      <c r="AC357" s="163">
        <f>'計分版'!M$14</f>
        <v>0</v>
      </c>
      <c r="AD357" s="163">
        <f>'計分版'!N$14</f>
        <v>0</v>
      </c>
      <c r="AE357" s="163"/>
      <c r="AF357" s="163" t="s">
        <v>1065</v>
      </c>
      <c r="AG357" s="163" t="s">
        <v>166</v>
      </c>
      <c r="AH357" s="163" t="s">
        <v>1065</v>
      </c>
      <c r="AI357" s="163"/>
      <c r="AJ357" s="163"/>
      <c r="AK357" s="163"/>
      <c r="AL357" s="163"/>
      <c r="AM357" s="163"/>
      <c r="AN357" s="130"/>
      <c r="AO357" s="130"/>
      <c r="AP357" s="130"/>
      <c r="AQ357" s="130"/>
      <c r="AR357" s="130"/>
      <c r="AS357" s="130"/>
      <c r="AT357" s="130"/>
    </row>
    <row r="358" ht="13.5" customHeight="1">
      <c r="A358" s="130" t="s">
        <v>839</v>
      </c>
      <c r="B358" s="130" t="s">
        <v>840</v>
      </c>
      <c r="C358" s="130" t="s">
        <v>775</v>
      </c>
      <c r="D358" s="130"/>
      <c r="E358" s="163">
        <v>3.0</v>
      </c>
      <c r="F358" s="163">
        <v>3.0</v>
      </c>
      <c r="G358" s="163">
        <v>2.0</v>
      </c>
      <c r="H358" s="163">
        <v>2.0</v>
      </c>
      <c r="I358" s="163">
        <v>2.0</v>
      </c>
      <c r="J358" s="163"/>
      <c r="K358" s="130"/>
      <c r="L358" s="163">
        <f t="shared" ref="L358:O358" si="393">IF(E358&gt;U358,0,1)</f>
        <v>0</v>
      </c>
      <c r="M358" s="163">
        <f t="shared" si="393"/>
        <v>0</v>
      </c>
      <c r="N358" s="163">
        <f t="shared" si="393"/>
        <v>0</v>
      </c>
      <c r="O358" s="163">
        <f t="shared" si="393"/>
        <v>0</v>
      </c>
      <c r="P358" s="163">
        <f>IF(I358&gt;LARGE(Y358:AD358,1),0,IF('計分版'!$T$371=0,2,1))</f>
        <v>0</v>
      </c>
      <c r="Q358" s="130"/>
      <c r="R358" s="130"/>
      <c r="S358" s="163">
        <f t="shared" si="362"/>
        <v>0</v>
      </c>
      <c r="T358" s="163"/>
      <c r="U358" s="163">
        <f>'計分版'!E$14</f>
        <v>0.0000000001</v>
      </c>
      <c r="V358" s="163">
        <f>'計分版'!F$14</f>
        <v>0.0000000002</v>
      </c>
      <c r="W358" s="163">
        <f>'計分版'!G$14</f>
        <v>0.0000000003</v>
      </c>
      <c r="X358" s="163">
        <f>'計分版'!H$14</f>
        <v>0.0000000004</v>
      </c>
      <c r="Y358" s="163">
        <f>'計分版'!I$14</f>
        <v>0.0000000005</v>
      </c>
      <c r="Z358" s="163">
        <f>'計分版'!J$14</f>
        <v>0</v>
      </c>
      <c r="AA358" s="163">
        <f>'計分版'!K$14</f>
        <v>0</v>
      </c>
      <c r="AB358" s="163">
        <f>'計分版'!L$14</f>
        <v>0</v>
      </c>
      <c r="AC358" s="163">
        <f>'計分版'!M$14</f>
        <v>0</v>
      </c>
      <c r="AD358" s="163">
        <f>'計分版'!N$14</f>
        <v>0</v>
      </c>
      <c r="AE358" s="163"/>
      <c r="AF358" s="163" t="s">
        <v>1065</v>
      </c>
      <c r="AG358" s="163" t="s">
        <v>166</v>
      </c>
      <c r="AH358" s="163" t="s">
        <v>1065</v>
      </c>
      <c r="AI358" s="163"/>
      <c r="AJ358" s="163"/>
      <c r="AK358" s="163"/>
      <c r="AL358" s="163"/>
      <c r="AM358" s="163"/>
      <c r="AN358" s="130"/>
      <c r="AO358" s="130"/>
      <c r="AP358" s="130"/>
      <c r="AQ358" s="130"/>
      <c r="AR358" s="130"/>
      <c r="AS358" s="130"/>
      <c r="AT358" s="130"/>
    </row>
    <row r="359" ht="13.5" customHeight="1">
      <c r="A359" s="130" t="s">
        <v>841</v>
      </c>
      <c r="B359" s="130" t="s">
        <v>842</v>
      </c>
      <c r="C359" s="130" t="s">
        <v>775</v>
      </c>
      <c r="D359" s="130"/>
      <c r="E359" s="163">
        <v>3.0</v>
      </c>
      <c r="F359" s="163">
        <v>3.0</v>
      </c>
      <c r="G359" s="163">
        <v>2.0</v>
      </c>
      <c r="H359" s="163">
        <v>2.0</v>
      </c>
      <c r="I359" s="163">
        <v>2.0</v>
      </c>
      <c r="J359" s="163"/>
      <c r="K359" s="130"/>
      <c r="L359" s="163">
        <f t="shared" ref="L359:O359" si="394">IF(E359&gt;U359,0,1)</f>
        <v>0</v>
      </c>
      <c r="M359" s="163">
        <f t="shared" si="394"/>
        <v>0</v>
      </c>
      <c r="N359" s="163">
        <f t="shared" si="394"/>
        <v>0</v>
      </c>
      <c r="O359" s="163">
        <f t="shared" si="394"/>
        <v>0</v>
      </c>
      <c r="P359" s="163">
        <f t="shared" ref="P359:P360" si="396">IF(I359&gt;LARGE(Y359:AD359,1),0,1)</f>
        <v>0</v>
      </c>
      <c r="Q359" s="130"/>
      <c r="R359" s="130"/>
      <c r="S359" s="163">
        <f t="shared" si="362"/>
        <v>0</v>
      </c>
      <c r="T359" s="163"/>
      <c r="U359" s="163">
        <f>'計分版'!E$14</f>
        <v>0.0000000001</v>
      </c>
      <c r="V359" s="163">
        <f>'計分版'!F$14</f>
        <v>0.0000000002</v>
      </c>
      <c r="W359" s="163">
        <f>'計分版'!G$14</f>
        <v>0.0000000003</v>
      </c>
      <c r="X359" s="163">
        <f>'計分版'!H$14</f>
        <v>0.0000000004</v>
      </c>
      <c r="Y359" s="163">
        <f>'計分版'!I$14</f>
        <v>0.0000000005</v>
      </c>
      <c r="Z359" s="163">
        <f>'計分版'!J$14</f>
        <v>0</v>
      </c>
      <c r="AA359" s="163">
        <f>'計分版'!K$14</f>
        <v>0</v>
      </c>
      <c r="AB359" s="163">
        <f>'計分版'!L$14</f>
        <v>0</v>
      </c>
      <c r="AC359" s="163">
        <f>'計分版'!M$14</f>
        <v>0</v>
      </c>
      <c r="AD359" s="163">
        <f>'計分版'!N$14</f>
        <v>0</v>
      </c>
      <c r="AE359" s="163"/>
      <c r="AF359" s="163" t="s">
        <v>1065</v>
      </c>
      <c r="AG359" s="163" t="s">
        <v>166</v>
      </c>
      <c r="AH359" s="163" t="s">
        <v>1065</v>
      </c>
      <c r="AI359" s="163"/>
      <c r="AJ359" s="163"/>
      <c r="AK359" s="163"/>
      <c r="AL359" s="163"/>
      <c r="AM359" s="163"/>
      <c r="AN359" s="130"/>
      <c r="AO359" s="130"/>
      <c r="AP359" s="130"/>
      <c r="AQ359" s="130"/>
      <c r="AR359" s="130"/>
      <c r="AS359" s="130"/>
      <c r="AT359" s="130"/>
    </row>
    <row r="360" ht="13.5" customHeight="1">
      <c r="A360" s="130" t="s">
        <v>843</v>
      </c>
      <c r="B360" s="130" t="s">
        <v>844</v>
      </c>
      <c r="C360" s="130" t="s">
        <v>775</v>
      </c>
      <c r="D360" s="130"/>
      <c r="E360" s="163">
        <v>3.0</v>
      </c>
      <c r="F360" s="163">
        <v>3.0</v>
      </c>
      <c r="G360" s="163">
        <v>2.0</v>
      </c>
      <c r="H360" s="163">
        <v>2.0</v>
      </c>
      <c r="I360" s="163">
        <v>2.0</v>
      </c>
      <c r="J360" s="163"/>
      <c r="K360" s="130"/>
      <c r="L360" s="163">
        <f t="shared" ref="L360:O360" si="395">IF(E360&gt;U360,0,1)</f>
        <v>0</v>
      </c>
      <c r="M360" s="163">
        <f t="shared" si="395"/>
        <v>0</v>
      </c>
      <c r="N360" s="163">
        <f t="shared" si="395"/>
        <v>0</v>
      </c>
      <c r="O360" s="163">
        <f t="shared" si="395"/>
        <v>0</v>
      </c>
      <c r="P360" s="163">
        <f t="shared" si="396"/>
        <v>0</v>
      </c>
      <c r="Q360" s="130"/>
      <c r="R360" s="130"/>
      <c r="S360" s="163">
        <f t="shared" si="362"/>
        <v>0</v>
      </c>
      <c r="T360" s="163"/>
      <c r="U360" s="163">
        <f>'計分版'!E$14</f>
        <v>0.0000000001</v>
      </c>
      <c r="V360" s="163">
        <f>'計分版'!F$14</f>
        <v>0.0000000002</v>
      </c>
      <c r="W360" s="163">
        <f>'計分版'!G$14</f>
        <v>0.0000000003</v>
      </c>
      <c r="X360" s="163">
        <f>'計分版'!H$14</f>
        <v>0.0000000004</v>
      </c>
      <c r="Y360" s="163">
        <f>'計分版'!I$14</f>
        <v>0.0000000005</v>
      </c>
      <c r="Z360" s="163">
        <f>'計分版'!J$14</f>
        <v>0</v>
      </c>
      <c r="AA360" s="163">
        <f>'計分版'!K$14</f>
        <v>0</v>
      </c>
      <c r="AB360" s="163">
        <f>'計分版'!L$14</f>
        <v>0</v>
      </c>
      <c r="AC360" s="163">
        <f>'計分版'!M$14</f>
        <v>0</v>
      </c>
      <c r="AD360" s="163">
        <f>'計分版'!N$14</f>
        <v>0</v>
      </c>
      <c r="AE360" s="163"/>
      <c r="AF360" s="163" t="s">
        <v>1065</v>
      </c>
      <c r="AG360" s="163" t="s">
        <v>166</v>
      </c>
      <c r="AH360" s="163" t="s">
        <v>1065</v>
      </c>
      <c r="AI360" s="163"/>
      <c r="AJ360" s="163"/>
      <c r="AK360" s="163"/>
      <c r="AL360" s="163"/>
      <c r="AM360" s="163"/>
      <c r="AN360" s="130"/>
      <c r="AO360" s="130"/>
      <c r="AP360" s="130"/>
      <c r="AQ360" s="130"/>
      <c r="AR360" s="130"/>
      <c r="AS360" s="130"/>
      <c r="AT360" s="130"/>
    </row>
    <row r="361" ht="13.5" customHeight="1">
      <c r="A361" s="130"/>
      <c r="B361" s="130"/>
      <c r="C361" s="130"/>
      <c r="D361" s="130"/>
      <c r="E361" s="163"/>
      <c r="F361" s="163"/>
      <c r="G361" s="163"/>
      <c r="H361" s="163"/>
      <c r="I361" s="163"/>
      <c r="J361" s="163"/>
      <c r="K361" s="130"/>
      <c r="L361" s="130"/>
      <c r="M361" s="130"/>
      <c r="N361" s="130"/>
      <c r="O361" s="130"/>
      <c r="P361" s="130"/>
      <c r="Q361" s="130"/>
      <c r="R361" s="130"/>
      <c r="S361" s="163"/>
      <c r="T361" s="163"/>
      <c r="U361" s="163"/>
      <c r="V361" s="163"/>
      <c r="W361" s="163"/>
      <c r="X361" s="163"/>
      <c r="Y361" s="163"/>
      <c r="Z361" s="163"/>
      <c r="AA361" s="163"/>
      <c r="AB361" s="163"/>
      <c r="AC361" s="163"/>
      <c r="AD361" s="163"/>
      <c r="AE361" s="163"/>
      <c r="AF361" s="163"/>
      <c r="AG361" s="163"/>
      <c r="AH361" s="163"/>
      <c r="AI361" s="163"/>
      <c r="AJ361" s="163"/>
      <c r="AK361" s="163"/>
      <c r="AL361" s="163"/>
      <c r="AM361" s="163"/>
      <c r="AN361" s="130"/>
      <c r="AO361" s="130"/>
      <c r="AP361" s="130"/>
      <c r="AQ361" s="130"/>
      <c r="AR361" s="130"/>
      <c r="AS361" s="130"/>
      <c r="AT361" s="130"/>
    </row>
    <row r="362" ht="13.5" customHeight="1">
      <c r="A362" s="165" t="s">
        <v>845</v>
      </c>
      <c r="B362" s="130"/>
      <c r="C362" s="130"/>
      <c r="D362" s="130"/>
      <c r="E362" s="163"/>
      <c r="F362" s="163"/>
      <c r="G362" s="163"/>
      <c r="H362" s="163"/>
      <c r="I362" s="163"/>
      <c r="J362" s="163"/>
      <c r="K362" s="130"/>
      <c r="L362" s="130"/>
      <c r="M362" s="130"/>
      <c r="N362" s="130"/>
      <c r="O362" s="130"/>
      <c r="P362" s="130"/>
      <c r="Q362" s="130"/>
      <c r="R362" s="130"/>
      <c r="S362" s="163"/>
      <c r="T362" s="163"/>
      <c r="U362" s="163"/>
      <c r="V362" s="163"/>
      <c r="W362" s="163"/>
      <c r="X362" s="163"/>
      <c r="Y362" s="163"/>
      <c r="Z362" s="163"/>
      <c r="AA362" s="163"/>
      <c r="AB362" s="163"/>
      <c r="AC362" s="163"/>
      <c r="AD362" s="163"/>
      <c r="AE362" s="163"/>
      <c r="AF362" s="163"/>
      <c r="AG362" s="163"/>
      <c r="AH362" s="163"/>
      <c r="AI362" s="163"/>
      <c r="AJ362" s="163"/>
      <c r="AK362" s="163"/>
      <c r="AL362" s="163"/>
      <c r="AM362" s="163"/>
      <c r="AN362" s="130"/>
      <c r="AO362" s="130"/>
      <c r="AP362" s="130"/>
      <c r="AQ362" s="130"/>
      <c r="AR362" s="130"/>
      <c r="AS362" s="130"/>
      <c r="AT362" s="130"/>
    </row>
    <row r="363" ht="13.5" customHeight="1">
      <c r="A363" s="165" t="s">
        <v>1056</v>
      </c>
      <c r="B363" s="165" t="s">
        <v>1057</v>
      </c>
      <c r="C363" s="165" t="s">
        <v>44</v>
      </c>
      <c r="D363" s="166" t="s">
        <v>49</v>
      </c>
      <c r="E363" s="166" t="s">
        <v>1058</v>
      </c>
      <c r="F363" s="166" t="s">
        <v>1059</v>
      </c>
      <c r="G363" s="166" t="s">
        <v>1060</v>
      </c>
      <c r="H363" s="166" t="s">
        <v>1061</v>
      </c>
      <c r="I363" s="166" t="s">
        <v>218</v>
      </c>
      <c r="J363" s="166"/>
      <c r="K363" s="163"/>
      <c r="L363" s="166" t="s">
        <v>1058</v>
      </c>
      <c r="M363" s="166" t="s">
        <v>1059</v>
      </c>
      <c r="N363" s="166" t="s">
        <v>1060</v>
      </c>
      <c r="O363" s="166" t="s">
        <v>1061</v>
      </c>
      <c r="P363" s="166" t="s">
        <v>218</v>
      </c>
      <c r="Q363" s="130"/>
      <c r="R363" s="130"/>
      <c r="S363" s="163"/>
      <c r="T363" s="163"/>
      <c r="U363" s="167" t="s">
        <v>23</v>
      </c>
      <c r="V363" s="167" t="s">
        <v>26</v>
      </c>
      <c r="W363" s="167" t="s">
        <v>29</v>
      </c>
      <c r="X363" s="167" t="s">
        <v>30</v>
      </c>
      <c r="Y363" s="167" t="s">
        <v>173</v>
      </c>
      <c r="Z363" s="167" t="str">
        <f>'主頁'!$C$16</f>
        <v/>
      </c>
      <c r="AA363" s="167" t="str">
        <f>'主頁'!$C$17</f>
        <v/>
      </c>
      <c r="AB363" s="167" t="str">
        <f>'主頁'!$C$18</f>
        <v/>
      </c>
      <c r="AC363" s="167" t="str">
        <f>'主頁'!$C$19</f>
        <v/>
      </c>
      <c r="AD363" s="167" t="str">
        <f>'主頁'!$C$20</f>
        <v/>
      </c>
      <c r="AE363" s="166" t="s">
        <v>541</v>
      </c>
      <c r="AF363" s="163" t="s">
        <v>1062</v>
      </c>
      <c r="AG363" s="163" t="s">
        <v>1063</v>
      </c>
      <c r="AH363" s="163" t="s">
        <v>1064</v>
      </c>
      <c r="AI363" s="163"/>
      <c r="AJ363" s="163"/>
      <c r="AK363" s="163"/>
      <c r="AL363" s="163"/>
      <c r="AM363" s="163"/>
      <c r="AN363" s="130"/>
      <c r="AO363" s="130"/>
      <c r="AP363" s="130"/>
      <c r="AQ363" s="130"/>
      <c r="AR363" s="130"/>
      <c r="AS363" s="130"/>
      <c r="AT363" s="130"/>
    </row>
    <row r="364" ht="13.5" customHeight="1">
      <c r="A364" s="130" t="s">
        <v>846</v>
      </c>
      <c r="B364" s="170" t="s">
        <v>847</v>
      </c>
      <c r="C364" s="130"/>
      <c r="D364" s="130"/>
      <c r="E364" s="163">
        <v>3.0</v>
      </c>
      <c r="F364" s="163">
        <v>3.0</v>
      </c>
      <c r="G364" s="163">
        <v>2.0</v>
      </c>
      <c r="H364" s="163">
        <v>2.0</v>
      </c>
      <c r="I364" s="163">
        <v>2.0</v>
      </c>
      <c r="J364" s="163"/>
      <c r="K364" s="130"/>
      <c r="L364" s="163">
        <f t="shared" ref="L364:O364" si="397">IF(E364&gt;U364,0,1)</f>
        <v>0</v>
      </c>
      <c r="M364" s="163">
        <f t="shared" si="397"/>
        <v>0</v>
      </c>
      <c r="N364" s="163">
        <f t="shared" si="397"/>
        <v>0</v>
      </c>
      <c r="O364" s="163">
        <f t="shared" si="397"/>
        <v>0</v>
      </c>
      <c r="P364" s="163">
        <f>IF(I364&gt;LARGE(Z364:AC364,1),0,IF('計分版'!T377=0,2,1))</f>
        <v>0</v>
      </c>
      <c r="Q364" s="130"/>
      <c r="R364" s="130"/>
      <c r="S364" s="163">
        <f t="shared" ref="S364:S408" si="399">L364*M364*N364*O364*P364</f>
        <v>0</v>
      </c>
      <c r="T364" s="163"/>
      <c r="U364" s="163">
        <f>'計分版'!E$14</f>
        <v>0.0000000001</v>
      </c>
      <c r="V364" s="163">
        <f>'計分版'!F$14</f>
        <v>0.0000000002</v>
      </c>
      <c r="W364" s="163">
        <f>'計分版'!G$14</f>
        <v>0.0000000003</v>
      </c>
      <c r="X364" s="163">
        <f>'計分版'!H$14</f>
        <v>0.0000000004</v>
      </c>
      <c r="Y364" s="163">
        <f>'計分版'!I$14</f>
        <v>0.0000000005</v>
      </c>
      <c r="Z364" s="163">
        <f>'計分版'!J$14</f>
        <v>0</v>
      </c>
      <c r="AA364" s="163">
        <f>'計分版'!K$14</f>
        <v>0</v>
      </c>
      <c r="AB364" s="163">
        <f>'計分版'!L$14</f>
        <v>0</v>
      </c>
      <c r="AC364" s="163">
        <f>'計分版'!M$14</f>
        <v>0</v>
      </c>
      <c r="AD364" s="163">
        <f>'計分版'!N$14</f>
        <v>0</v>
      </c>
      <c r="AE364" s="163"/>
      <c r="AF364" s="163"/>
      <c r="AG364" s="163"/>
      <c r="AH364" s="163"/>
      <c r="AI364" s="163"/>
      <c r="AJ364" s="163"/>
      <c r="AK364" s="163"/>
      <c r="AL364" s="163"/>
      <c r="AM364" s="163"/>
      <c r="AN364" s="130"/>
      <c r="AO364" s="130"/>
      <c r="AP364" s="130"/>
      <c r="AQ364" s="130"/>
      <c r="AR364" s="130"/>
      <c r="AS364" s="130"/>
      <c r="AT364" s="130"/>
    </row>
    <row r="365" ht="13.5" customHeight="1">
      <c r="A365" s="130" t="s">
        <v>849</v>
      </c>
      <c r="B365" s="170" t="s">
        <v>850</v>
      </c>
      <c r="C365" s="130"/>
      <c r="D365" s="130"/>
      <c r="E365" s="163">
        <v>3.0</v>
      </c>
      <c r="F365" s="163">
        <v>3.0</v>
      </c>
      <c r="G365" s="163">
        <v>2.0</v>
      </c>
      <c r="H365" s="163">
        <v>2.0</v>
      </c>
      <c r="I365" s="163">
        <v>2.0</v>
      </c>
      <c r="J365" s="163"/>
      <c r="K365" s="130"/>
      <c r="L365" s="163">
        <f t="shared" ref="L365:O365" si="398">IF(E365&gt;U365,0,1)</f>
        <v>0</v>
      </c>
      <c r="M365" s="163">
        <f t="shared" si="398"/>
        <v>0</v>
      </c>
      <c r="N365" s="163">
        <f t="shared" si="398"/>
        <v>0</v>
      </c>
      <c r="O365" s="163">
        <f t="shared" si="398"/>
        <v>0</v>
      </c>
      <c r="P365" s="163">
        <f>IF(I365&gt;LARGE(Y365:AC365,1),0,1)</f>
        <v>0</v>
      </c>
      <c r="Q365" s="130"/>
      <c r="R365" s="130"/>
      <c r="S365" s="163">
        <f t="shared" si="399"/>
        <v>0</v>
      </c>
      <c r="T365" s="170"/>
      <c r="U365" s="163">
        <f>'計分版'!E$14</f>
        <v>0.0000000001</v>
      </c>
      <c r="V365" s="163">
        <f>'計分版'!F$14</f>
        <v>0.0000000002</v>
      </c>
      <c r="W365" s="163">
        <f>'計分版'!G$14</f>
        <v>0.0000000003</v>
      </c>
      <c r="X365" s="163">
        <f>'計分版'!H$14</f>
        <v>0.0000000004</v>
      </c>
      <c r="Y365" s="163">
        <f>'計分版'!I$14</f>
        <v>0.0000000005</v>
      </c>
      <c r="Z365" s="163">
        <f>'計分版'!J$14</f>
        <v>0</v>
      </c>
      <c r="AA365" s="163">
        <f>'計分版'!K$14</f>
        <v>0</v>
      </c>
      <c r="AB365" s="163">
        <f>'計分版'!L$14</f>
        <v>0</v>
      </c>
      <c r="AC365" s="163">
        <f>'計分版'!M$14</f>
        <v>0</v>
      </c>
      <c r="AD365" s="163">
        <f>'計分版'!N$14</f>
        <v>0</v>
      </c>
      <c r="AE365" s="163"/>
      <c r="AF365" s="163" t="s">
        <v>1065</v>
      </c>
      <c r="AG365" s="163"/>
      <c r="AH365" s="163" t="s">
        <v>1065</v>
      </c>
      <c r="AI365" s="163"/>
      <c r="AJ365" s="163"/>
      <c r="AK365" s="163"/>
      <c r="AL365" s="163"/>
      <c r="AM365" s="163"/>
      <c r="AN365" s="130"/>
      <c r="AO365" s="130"/>
      <c r="AP365" s="130"/>
      <c r="AQ365" s="130"/>
      <c r="AR365" s="130"/>
      <c r="AS365" s="130"/>
      <c r="AT365" s="130"/>
    </row>
    <row r="366" ht="13.5" customHeight="1">
      <c r="A366" s="130" t="s">
        <v>851</v>
      </c>
      <c r="B366" s="130" t="s">
        <v>852</v>
      </c>
      <c r="C366" s="130"/>
      <c r="D366" s="177"/>
      <c r="E366" s="163">
        <v>3.0</v>
      </c>
      <c r="F366" s="163">
        <v>3.0</v>
      </c>
      <c r="G366" s="163">
        <v>2.0</v>
      </c>
      <c r="H366" s="163">
        <v>2.0</v>
      </c>
      <c r="I366" s="163">
        <v>2.0</v>
      </c>
      <c r="J366" s="178"/>
      <c r="K366" s="179"/>
      <c r="L366" s="163">
        <f t="shared" ref="L366:L408" si="401">IF(E366&gt;U366,0,1)</f>
        <v>0</v>
      </c>
      <c r="M366" s="163">
        <f>IF(F366&gt;V366,0,IF(V366&lt;4,2,1))</f>
        <v>0</v>
      </c>
      <c r="N366" s="163">
        <f t="shared" ref="N366:O366" si="400">IF(G366&gt;W366,0,1)</f>
        <v>0</v>
      </c>
      <c r="O366" s="163">
        <f t="shared" si="400"/>
        <v>0</v>
      </c>
      <c r="P366" s="163">
        <f>IF(I366&gt;LARGE(Y366:AC366,1),0,IF('計分版'!T379=0,2,1))</f>
        <v>0</v>
      </c>
      <c r="Q366" s="163"/>
      <c r="R366" s="163"/>
      <c r="S366" s="163">
        <f t="shared" si="399"/>
        <v>0</v>
      </c>
      <c r="T366" s="170"/>
      <c r="U366" s="163">
        <f>'計分版'!E$14</f>
        <v>0.0000000001</v>
      </c>
      <c r="V366" s="163">
        <f>'計分版'!F$14</f>
        <v>0.0000000002</v>
      </c>
      <c r="W366" s="163">
        <f>'計分版'!G$14</f>
        <v>0.0000000003</v>
      </c>
      <c r="X366" s="163">
        <f>'計分版'!H$14</f>
        <v>0.0000000004</v>
      </c>
      <c r="Y366" s="163">
        <f>'計分版'!I$14</f>
        <v>0.0000000005</v>
      </c>
      <c r="Z366" s="163">
        <f>'計分版'!J$14</f>
        <v>0</v>
      </c>
      <c r="AA366" s="163">
        <f>'計分版'!K$14</f>
        <v>0</v>
      </c>
      <c r="AB366" s="163">
        <f>'計分版'!L$14</f>
        <v>0</v>
      </c>
      <c r="AC366" s="163">
        <f>'計分版'!M$14</f>
        <v>0</v>
      </c>
      <c r="AD366" s="163">
        <f>'計分版'!N$14</f>
        <v>0</v>
      </c>
      <c r="AE366" s="163"/>
      <c r="AF366" s="163" t="s">
        <v>1065</v>
      </c>
      <c r="AG366" s="163"/>
      <c r="AH366" s="163"/>
      <c r="AI366" s="163"/>
      <c r="AJ366" s="163"/>
      <c r="AK366" s="163"/>
      <c r="AL366" s="163"/>
      <c r="AM366" s="163"/>
      <c r="AN366" s="130"/>
      <c r="AO366" s="130"/>
      <c r="AP366" s="130"/>
      <c r="AQ366" s="130"/>
      <c r="AR366" s="130"/>
      <c r="AS366" s="130"/>
      <c r="AT366" s="130"/>
    </row>
    <row r="367" ht="13.5" customHeight="1">
      <c r="A367" s="130" t="s">
        <v>854</v>
      </c>
      <c r="B367" s="130" t="s">
        <v>855</v>
      </c>
      <c r="C367" s="130"/>
      <c r="D367" s="177"/>
      <c r="E367" s="163">
        <v>3.0</v>
      </c>
      <c r="F367" s="163">
        <v>3.0</v>
      </c>
      <c r="G367" s="163">
        <v>2.0</v>
      </c>
      <c r="H367" s="163">
        <v>2.0</v>
      </c>
      <c r="I367" s="163">
        <v>2.0</v>
      </c>
      <c r="J367" s="178"/>
      <c r="K367" s="179"/>
      <c r="L367" s="163">
        <f t="shared" si="401"/>
        <v>0</v>
      </c>
      <c r="M367" s="163">
        <f t="shared" ref="M367:O367" si="402">IF(F367&gt;V367,0,1)</f>
        <v>0</v>
      </c>
      <c r="N367" s="163">
        <f t="shared" si="402"/>
        <v>0</v>
      </c>
      <c r="O367" s="163">
        <f t="shared" si="402"/>
        <v>0</v>
      </c>
      <c r="P367" s="163">
        <f>IF(I367&gt;LARGE(Y367:AC367,1),0,1)</f>
        <v>0</v>
      </c>
      <c r="Q367" s="163"/>
      <c r="R367" s="163"/>
      <c r="S367" s="163">
        <f t="shared" si="399"/>
        <v>0</v>
      </c>
      <c r="T367" s="170"/>
      <c r="U367" s="163">
        <f>'計分版'!E$14</f>
        <v>0.0000000001</v>
      </c>
      <c r="V367" s="163">
        <f>'計分版'!F$14</f>
        <v>0.0000000002</v>
      </c>
      <c r="W367" s="163">
        <f>'計分版'!G$14</f>
        <v>0.0000000003</v>
      </c>
      <c r="X367" s="163">
        <f>'計分版'!H$14</f>
        <v>0.0000000004</v>
      </c>
      <c r="Y367" s="163">
        <f>'計分版'!I$14</f>
        <v>0.0000000005</v>
      </c>
      <c r="Z367" s="163">
        <f>'計分版'!J$14</f>
        <v>0</v>
      </c>
      <c r="AA367" s="163">
        <f>'計分版'!K$14</f>
        <v>0</v>
      </c>
      <c r="AB367" s="163">
        <f>'計分版'!L$14</f>
        <v>0</v>
      </c>
      <c r="AC367" s="163">
        <f>'計分版'!M$14</f>
        <v>0</v>
      </c>
      <c r="AD367" s="163">
        <f>'計分版'!N$14</f>
        <v>0</v>
      </c>
      <c r="AE367" s="163"/>
      <c r="AF367" s="163" t="s">
        <v>1065</v>
      </c>
      <c r="AG367" s="163"/>
      <c r="AH367" s="163"/>
      <c r="AI367" s="163"/>
      <c r="AJ367" s="163"/>
      <c r="AK367" s="163"/>
      <c r="AL367" s="163"/>
      <c r="AM367" s="163"/>
      <c r="AN367" s="130"/>
      <c r="AO367" s="130"/>
      <c r="AP367" s="130"/>
      <c r="AQ367" s="130"/>
      <c r="AR367" s="180"/>
      <c r="AS367" s="180"/>
      <c r="AT367" s="180"/>
    </row>
    <row r="368" ht="13.5" customHeight="1">
      <c r="A368" s="130" t="s">
        <v>856</v>
      </c>
      <c r="B368" s="170" t="s">
        <v>857</v>
      </c>
      <c r="C368" s="130"/>
      <c r="D368" s="130"/>
      <c r="E368" s="163">
        <v>3.0</v>
      </c>
      <c r="F368" s="163">
        <v>3.0</v>
      </c>
      <c r="G368" s="163">
        <v>2.0</v>
      </c>
      <c r="H368" s="163">
        <v>2.0</v>
      </c>
      <c r="I368" s="163">
        <v>2.0</v>
      </c>
      <c r="J368" s="163"/>
      <c r="K368" s="130"/>
      <c r="L368" s="163">
        <f t="shared" si="401"/>
        <v>0</v>
      </c>
      <c r="M368" s="163">
        <f t="shared" ref="M368:O368" si="403">IF(F368&gt;V368,0,1)</f>
        <v>0</v>
      </c>
      <c r="N368" s="163">
        <f t="shared" si="403"/>
        <v>0</v>
      </c>
      <c r="O368" s="163">
        <f t="shared" si="403"/>
        <v>0</v>
      </c>
      <c r="P368" s="163">
        <f t="shared" ref="P368:P370" si="405">IF(I368&gt;LARGE(Y368:AD368,1),0,1)</f>
        <v>0</v>
      </c>
      <c r="Q368" s="130"/>
      <c r="R368" s="130"/>
      <c r="S368" s="163">
        <f t="shared" si="399"/>
        <v>0</v>
      </c>
      <c r="T368" s="170"/>
      <c r="U368" s="163">
        <f>'計分版'!E$14</f>
        <v>0.0000000001</v>
      </c>
      <c r="V368" s="163">
        <f>'計分版'!F$14</f>
        <v>0.0000000002</v>
      </c>
      <c r="W368" s="163">
        <f>'計分版'!G$14</f>
        <v>0.0000000003</v>
      </c>
      <c r="X368" s="163">
        <f>'計分版'!H$14</f>
        <v>0.0000000004</v>
      </c>
      <c r="Y368" s="163">
        <f>'計分版'!I$14</f>
        <v>0.0000000005</v>
      </c>
      <c r="Z368" s="163">
        <f>'計分版'!J$14</f>
        <v>0</v>
      </c>
      <c r="AA368" s="163">
        <f>'計分版'!K$14</f>
        <v>0</v>
      </c>
      <c r="AB368" s="163">
        <f>'計分版'!L$14</f>
        <v>0</v>
      </c>
      <c r="AC368" s="163">
        <f>'計分版'!M$14</f>
        <v>0</v>
      </c>
      <c r="AD368" s="163">
        <f>'計分版'!N$14</f>
        <v>0</v>
      </c>
      <c r="AE368" s="163"/>
      <c r="AF368" s="163" t="s">
        <v>1065</v>
      </c>
      <c r="AG368" s="163" t="s">
        <v>166</v>
      </c>
      <c r="AH368" s="163"/>
      <c r="AI368" s="163"/>
      <c r="AJ368" s="163"/>
      <c r="AK368" s="163"/>
      <c r="AL368" s="163"/>
      <c r="AM368" s="163"/>
      <c r="AN368" s="130"/>
      <c r="AO368" s="130"/>
      <c r="AP368" s="130"/>
      <c r="AQ368" s="130"/>
      <c r="AR368" s="180"/>
      <c r="AS368" s="180"/>
      <c r="AT368" s="180"/>
    </row>
    <row r="369" ht="13.5" customHeight="1">
      <c r="A369" s="130" t="s">
        <v>858</v>
      </c>
      <c r="B369" s="170" t="s">
        <v>859</v>
      </c>
      <c r="C369" s="130"/>
      <c r="D369" s="130"/>
      <c r="E369" s="163">
        <v>3.0</v>
      </c>
      <c r="F369" s="163">
        <v>3.0</v>
      </c>
      <c r="G369" s="163">
        <v>2.0</v>
      </c>
      <c r="H369" s="163">
        <v>2.0</v>
      </c>
      <c r="I369" s="163">
        <v>2.0</v>
      </c>
      <c r="J369" s="163"/>
      <c r="K369" s="130"/>
      <c r="L369" s="163">
        <f t="shared" si="401"/>
        <v>0</v>
      </c>
      <c r="M369" s="163">
        <f t="shared" ref="M369:O369" si="404">IF(F369&gt;V369,0,1)</f>
        <v>0</v>
      </c>
      <c r="N369" s="163">
        <f t="shared" si="404"/>
        <v>0</v>
      </c>
      <c r="O369" s="163">
        <f t="shared" si="404"/>
        <v>0</v>
      </c>
      <c r="P369" s="163">
        <f t="shared" si="405"/>
        <v>0</v>
      </c>
      <c r="Q369" s="130"/>
      <c r="R369" s="130"/>
      <c r="S369" s="163">
        <f t="shared" si="399"/>
        <v>0</v>
      </c>
      <c r="T369" s="170"/>
      <c r="U369" s="163">
        <f>'計分版'!E$14</f>
        <v>0.0000000001</v>
      </c>
      <c r="V369" s="163">
        <f>'計分版'!F$14</f>
        <v>0.0000000002</v>
      </c>
      <c r="W369" s="163">
        <f>'計分版'!G$14</f>
        <v>0.0000000003</v>
      </c>
      <c r="X369" s="163">
        <f>'計分版'!H$14</f>
        <v>0.0000000004</v>
      </c>
      <c r="Y369" s="163">
        <f>'計分版'!I$14</f>
        <v>0.0000000005</v>
      </c>
      <c r="Z369" s="163">
        <f>'計分版'!J$14</f>
        <v>0</v>
      </c>
      <c r="AA369" s="163">
        <f>'計分版'!K$14</f>
        <v>0</v>
      </c>
      <c r="AB369" s="163">
        <f>'計分版'!L$14</f>
        <v>0</v>
      </c>
      <c r="AC369" s="163">
        <f>'計分版'!M$14</f>
        <v>0</v>
      </c>
      <c r="AD369" s="163">
        <f>'計分版'!N$14</f>
        <v>0</v>
      </c>
      <c r="AE369" s="163"/>
      <c r="AF369" s="163" t="s">
        <v>1065</v>
      </c>
      <c r="AG369" s="163" t="s">
        <v>166</v>
      </c>
      <c r="AH369" s="163"/>
      <c r="AI369" s="163"/>
      <c r="AJ369" s="163"/>
      <c r="AK369" s="163"/>
      <c r="AL369" s="163"/>
      <c r="AM369" s="163"/>
      <c r="AN369" s="130"/>
      <c r="AO369" s="130"/>
      <c r="AP369" s="130"/>
      <c r="AQ369" s="130"/>
      <c r="AR369" s="130"/>
      <c r="AS369" s="130"/>
      <c r="AT369" s="130"/>
    </row>
    <row r="370" ht="13.5" customHeight="1">
      <c r="A370" s="130" t="s">
        <v>860</v>
      </c>
      <c r="B370" s="170" t="s">
        <v>861</v>
      </c>
      <c r="C370" s="130"/>
      <c r="D370" s="130"/>
      <c r="E370" s="163">
        <v>3.0</v>
      </c>
      <c r="F370" s="163">
        <v>3.0</v>
      </c>
      <c r="G370" s="163">
        <v>2.0</v>
      </c>
      <c r="H370" s="163">
        <v>2.0</v>
      </c>
      <c r="I370" s="163">
        <v>2.0</v>
      </c>
      <c r="J370" s="163"/>
      <c r="K370" s="130"/>
      <c r="L370" s="163">
        <f t="shared" si="401"/>
        <v>0</v>
      </c>
      <c r="M370" s="163">
        <f t="shared" ref="M370:O370" si="406">IF(F370&gt;V370,0,1)</f>
        <v>0</v>
      </c>
      <c r="N370" s="163">
        <f t="shared" si="406"/>
        <v>0</v>
      </c>
      <c r="O370" s="163">
        <f t="shared" si="406"/>
        <v>0</v>
      </c>
      <c r="P370" s="163">
        <f t="shared" si="405"/>
        <v>0</v>
      </c>
      <c r="Q370" s="130"/>
      <c r="R370" s="130"/>
      <c r="S370" s="163">
        <f t="shared" si="399"/>
        <v>0</v>
      </c>
      <c r="T370" s="170"/>
      <c r="U370" s="163">
        <f>'計分版'!E$14</f>
        <v>0.0000000001</v>
      </c>
      <c r="V370" s="163">
        <f>'計分版'!F$14</f>
        <v>0.0000000002</v>
      </c>
      <c r="W370" s="163">
        <f>'計分版'!G$14</f>
        <v>0.0000000003</v>
      </c>
      <c r="X370" s="163">
        <f>'計分版'!H$14</f>
        <v>0.0000000004</v>
      </c>
      <c r="Y370" s="163">
        <f>'計分版'!I$14</f>
        <v>0.0000000005</v>
      </c>
      <c r="Z370" s="163">
        <f>'計分版'!J$14</f>
        <v>0</v>
      </c>
      <c r="AA370" s="163">
        <f>'計分版'!K$14</f>
        <v>0</v>
      </c>
      <c r="AB370" s="163">
        <f>'計分版'!L$14</f>
        <v>0</v>
      </c>
      <c r="AC370" s="163">
        <f>'計分版'!M$14</f>
        <v>0</v>
      </c>
      <c r="AD370" s="163">
        <f>'計分版'!N$14</f>
        <v>0</v>
      </c>
      <c r="AE370" s="163"/>
      <c r="AF370" s="163" t="s">
        <v>1065</v>
      </c>
      <c r="AG370" s="163" t="s">
        <v>166</v>
      </c>
      <c r="AH370" s="163"/>
      <c r="AI370" s="163"/>
      <c r="AJ370" s="163"/>
      <c r="AK370" s="163"/>
      <c r="AL370" s="163"/>
      <c r="AM370" s="163"/>
      <c r="AN370" s="130"/>
      <c r="AO370" s="130"/>
      <c r="AP370" s="130"/>
      <c r="AQ370" s="130"/>
      <c r="AR370" s="130"/>
      <c r="AS370" s="130"/>
      <c r="AT370" s="130"/>
    </row>
    <row r="371" ht="13.5" customHeight="1">
      <c r="A371" s="130" t="s">
        <v>862</v>
      </c>
      <c r="B371" s="170" t="s">
        <v>863</v>
      </c>
      <c r="C371" s="130"/>
      <c r="D371" s="130"/>
      <c r="E371" s="163">
        <v>3.0</v>
      </c>
      <c r="F371" s="163">
        <v>3.0</v>
      </c>
      <c r="G371" s="163">
        <v>2.0</v>
      </c>
      <c r="H371" s="163">
        <v>2.0</v>
      </c>
      <c r="I371" s="163">
        <v>2.0</v>
      </c>
      <c r="J371" s="163"/>
      <c r="K371" s="130"/>
      <c r="L371" s="163">
        <f t="shared" si="401"/>
        <v>0</v>
      </c>
      <c r="M371" s="163">
        <f t="shared" ref="M371:O371" si="407">IF(F371&gt;V371,0,1)</f>
        <v>0</v>
      </c>
      <c r="N371" s="163">
        <f t="shared" si="407"/>
        <v>0</v>
      </c>
      <c r="O371" s="163">
        <f t="shared" si="407"/>
        <v>0</v>
      </c>
      <c r="P371" s="163">
        <f t="shared" ref="P371:P377" si="409">IF(I371&gt;LARGE(Z371:AC371,1),0,1)</f>
        <v>0</v>
      </c>
      <c r="Q371" s="130"/>
      <c r="R371" s="130"/>
      <c r="S371" s="163">
        <f t="shared" si="399"/>
        <v>0</v>
      </c>
      <c r="T371" s="170"/>
      <c r="U371" s="163">
        <f>'計分版'!E$14</f>
        <v>0.0000000001</v>
      </c>
      <c r="V371" s="163">
        <f>'計分版'!F$14</f>
        <v>0.0000000002</v>
      </c>
      <c r="W371" s="163">
        <f>'計分版'!G$14</f>
        <v>0.0000000003</v>
      </c>
      <c r="X371" s="163">
        <f>'計分版'!H$14</f>
        <v>0.0000000004</v>
      </c>
      <c r="Y371" s="163">
        <f>'計分版'!I$14</f>
        <v>0.0000000005</v>
      </c>
      <c r="Z371" s="163">
        <f>'計分版'!J$14</f>
        <v>0</v>
      </c>
      <c r="AA371" s="163">
        <f>'計分版'!K$14</f>
        <v>0</v>
      </c>
      <c r="AB371" s="163">
        <f>'計分版'!L$14</f>
        <v>0</v>
      </c>
      <c r="AC371" s="163">
        <f>'計分版'!M$14</f>
        <v>0</v>
      </c>
      <c r="AD371" s="163">
        <f>'計分版'!N$14</f>
        <v>0</v>
      </c>
      <c r="AE371" s="163"/>
      <c r="AF371" s="163"/>
      <c r="AG371" s="163"/>
      <c r="AH371" s="163"/>
      <c r="AI371" s="163"/>
      <c r="AJ371" s="163"/>
      <c r="AK371" s="163"/>
      <c r="AL371" s="163"/>
      <c r="AM371" s="163"/>
      <c r="AN371" s="130"/>
      <c r="AO371" s="130"/>
      <c r="AP371" s="130"/>
      <c r="AQ371" s="130"/>
      <c r="AR371" s="130"/>
      <c r="AS371" s="130"/>
      <c r="AT371" s="130"/>
    </row>
    <row r="372" ht="13.5" customHeight="1">
      <c r="A372" s="130" t="s">
        <v>864</v>
      </c>
      <c r="B372" s="170" t="s">
        <v>865</v>
      </c>
      <c r="C372" s="130"/>
      <c r="D372" s="130"/>
      <c r="E372" s="163">
        <v>3.0</v>
      </c>
      <c r="F372" s="163">
        <v>3.0</v>
      </c>
      <c r="G372" s="163">
        <v>2.0</v>
      </c>
      <c r="H372" s="163">
        <v>2.0</v>
      </c>
      <c r="I372" s="163">
        <v>2.0</v>
      </c>
      <c r="J372" s="163"/>
      <c r="K372" s="130"/>
      <c r="L372" s="163">
        <f t="shared" si="401"/>
        <v>0</v>
      </c>
      <c r="M372" s="163">
        <f t="shared" ref="M372:O372" si="408">IF(F372&gt;V372,0,1)</f>
        <v>0</v>
      </c>
      <c r="N372" s="163">
        <f t="shared" si="408"/>
        <v>0</v>
      </c>
      <c r="O372" s="163">
        <f t="shared" si="408"/>
        <v>0</v>
      </c>
      <c r="P372" s="163">
        <f t="shared" si="409"/>
        <v>0</v>
      </c>
      <c r="Q372" s="130"/>
      <c r="R372" s="130"/>
      <c r="S372" s="163">
        <f t="shared" si="399"/>
        <v>0</v>
      </c>
      <c r="T372" s="170"/>
      <c r="U372" s="163">
        <f>'計分版'!E$14</f>
        <v>0.0000000001</v>
      </c>
      <c r="V372" s="163">
        <f>'計分版'!F$14</f>
        <v>0.0000000002</v>
      </c>
      <c r="W372" s="163">
        <f>'計分版'!G$14</f>
        <v>0.0000000003</v>
      </c>
      <c r="X372" s="163">
        <f>'計分版'!H$14</f>
        <v>0.0000000004</v>
      </c>
      <c r="Y372" s="163">
        <f>'計分版'!I$14</f>
        <v>0.0000000005</v>
      </c>
      <c r="Z372" s="163">
        <f>'計分版'!J$14</f>
        <v>0</v>
      </c>
      <c r="AA372" s="163">
        <f>'計分版'!K$14</f>
        <v>0</v>
      </c>
      <c r="AB372" s="163">
        <f>'計分版'!L$14</f>
        <v>0</v>
      </c>
      <c r="AC372" s="163">
        <f>'計分版'!M$14</f>
        <v>0</v>
      </c>
      <c r="AD372" s="163">
        <f>'計分版'!N$14</f>
        <v>0</v>
      </c>
      <c r="AE372" s="163"/>
      <c r="AF372" s="163"/>
      <c r="AG372" s="163"/>
      <c r="AH372" s="163"/>
      <c r="AI372" s="163"/>
      <c r="AJ372" s="163"/>
      <c r="AK372" s="163"/>
      <c r="AL372" s="163"/>
      <c r="AM372" s="163"/>
      <c r="AN372" s="130"/>
      <c r="AO372" s="130"/>
      <c r="AP372" s="130"/>
      <c r="AQ372" s="130"/>
      <c r="AR372" s="130"/>
      <c r="AS372" s="130"/>
      <c r="AT372" s="130"/>
    </row>
    <row r="373" ht="13.5" customHeight="1">
      <c r="A373" s="130" t="s">
        <v>866</v>
      </c>
      <c r="B373" s="170" t="s">
        <v>867</v>
      </c>
      <c r="C373" s="130"/>
      <c r="D373" s="130"/>
      <c r="E373" s="163">
        <v>3.0</v>
      </c>
      <c r="F373" s="163">
        <v>3.0</v>
      </c>
      <c r="G373" s="163">
        <v>2.0</v>
      </c>
      <c r="H373" s="163">
        <v>2.0</v>
      </c>
      <c r="I373" s="163">
        <v>2.0</v>
      </c>
      <c r="J373" s="163"/>
      <c r="K373" s="130"/>
      <c r="L373" s="163">
        <f t="shared" si="401"/>
        <v>0</v>
      </c>
      <c r="M373" s="163">
        <f t="shared" ref="M373:O373" si="410">IF(F373&gt;V373,0,1)</f>
        <v>0</v>
      </c>
      <c r="N373" s="163">
        <f t="shared" si="410"/>
        <v>0</v>
      </c>
      <c r="O373" s="163">
        <f t="shared" si="410"/>
        <v>0</v>
      </c>
      <c r="P373" s="163">
        <f t="shared" si="409"/>
        <v>0</v>
      </c>
      <c r="Q373" s="130"/>
      <c r="R373" s="130"/>
      <c r="S373" s="163">
        <f t="shared" si="399"/>
        <v>0</v>
      </c>
      <c r="T373" s="170"/>
      <c r="U373" s="163">
        <f>'計分版'!E$14</f>
        <v>0.0000000001</v>
      </c>
      <c r="V373" s="163">
        <f>'計分版'!F$14</f>
        <v>0.0000000002</v>
      </c>
      <c r="W373" s="163">
        <f>'計分版'!G$14</f>
        <v>0.0000000003</v>
      </c>
      <c r="X373" s="163">
        <f>'計分版'!H$14</f>
        <v>0.0000000004</v>
      </c>
      <c r="Y373" s="163">
        <f>'計分版'!I$14</f>
        <v>0.0000000005</v>
      </c>
      <c r="Z373" s="163">
        <f>'計分版'!J$14</f>
        <v>0</v>
      </c>
      <c r="AA373" s="163">
        <f>'計分版'!K$14</f>
        <v>0</v>
      </c>
      <c r="AB373" s="163">
        <f>'計分版'!L$14</f>
        <v>0</v>
      </c>
      <c r="AC373" s="163">
        <f>'計分版'!M$14</f>
        <v>0</v>
      </c>
      <c r="AD373" s="163">
        <f>'計分版'!N$14</f>
        <v>0</v>
      </c>
      <c r="AE373" s="163"/>
      <c r="AF373" s="163"/>
      <c r="AG373" s="163"/>
      <c r="AH373" s="163"/>
      <c r="AI373" s="163"/>
      <c r="AJ373" s="163"/>
      <c r="AK373" s="163"/>
      <c r="AL373" s="163"/>
      <c r="AM373" s="163"/>
      <c r="AN373" s="130"/>
      <c r="AO373" s="130"/>
      <c r="AP373" s="130"/>
      <c r="AQ373" s="130"/>
      <c r="AR373" s="130"/>
      <c r="AS373" s="130"/>
      <c r="AT373" s="130"/>
    </row>
    <row r="374" ht="13.5" customHeight="1">
      <c r="A374" s="130" t="s">
        <v>868</v>
      </c>
      <c r="B374" s="170" t="s">
        <v>869</v>
      </c>
      <c r="C374" s="130"/>
      <c r="D374" s="130"/>
      <c r="E374" s="163">
        <v>3.0</v>
      </c>
      <c r="F374" s="163">
        <v>3.0</v>
      </c>
      <c r="G374" s="163">
        <v>2.0</v>
      </c>
      <c r="H374" s="163">
        <v>2.0</v>
      </c>
      <c r="I374" s="163">
        <v>2.0</v>
      </c>
      <c r="J374" s="163"/>
      <c r="K374" s="130"/>
      <c r="L374" s="163">
        <f t="shared" si="401"/>
        <v>0</v>
      </c>
      <c r="M374" s="163">
        <f t="shared" ref="M374:O374" si="411">IF(F374&gt;V374,0,1)</f>
        <v>0</v>
      </c>
      <c r="N374" s="163">
        <f t="shared" si="411"/>
        <v>0</v>
      </c>
      <c r="O374" s="163">
        <f t="shared" si="411"/>
        <v>0</v>
      </c>
      <c r="P374" s="163">
        <f t="shared" si="409"/>
        <v>0</v>
      </c>
      <c r="Q374" s="130"/>
      <c r="R374" s="130"/>
      <c r="S374" s="163">
        <f t="shared" si="399"/>
        <v>0</v>
      </c>
      <c r="T374" s="170"/>
      <c r="U374" s="163">
        <f>'計分版'!E$14</f>
        <v>0.0000000001</v>
      </c>
      <c r="V374" s="163">
        <f>'計分版'!F$14</f>
        <v>0.0000000002</v>
      </c>
      <c r="W374" s="163">
        <f>'計分版'!G$14</f>
        <v>0.0000000003</v>
      </c>
      <c r="X374" s="163">
        <f>'計分版'!H$14</f>
        <v>0.0000000004</v>
      </c>
      <c r="Y374" s="163">
        <f>'計分版'!I$14</f>
        <v>0.0000000005</v>
      </c>
      <c r="Z374" s="163">
        <f>'計分版'!J$14</f>
        <v>0</v>
      </c>
      <c r="AA374" s="163">
        <f>'計分版'!K$14</f>
        <v>0</v>
      </c>
      <c r="AB374" s="163">
        <f>'計分版'!L$14</f>
        <v>0</v>
      </c>
      <c r="AC374" s="163">
        <f>'計分版'!M$14</f>
        <v>0</v>
      </c>
      <c r="AD374" s="163">
        <f>'計分版'!N$14</f>
        <v>0</v>
      </c>
      <c r="AE374" s="163"/>
      <c r="AF374" s="163"/>
      <c r="AG374" s="163"/>
      <c r="AH374" s="163"/>
      <c r="AI374" s="163"/>
      <c r="AJ374" s="163"/>
      <c r="AK374" s="163"/>
      <c r="AL374" s="163"/>
      <c r="AM374" s="163"/>
      <c r="AN374" s="130"/>
      <c r="AO374" s="130"/>
      <c r="AP374" s="130"/>
      <c r="AQ374" s="130"/>
      <c r="AR374" s="130"/>
      <c r="AS374" s="130"/>
      <c r="AT374" s="130"/>
    </row>
    <row r="375" ht="13.5" customHeight="1">
      <c r="A375" s="130" t="s">
        <v>870</v>
      </c>
      <c r="B375" s="170" t="s">
        <v>871</v>
      </c>
      <c r="C375" s="130"/>
      <c r="D375" s="130"/>
      <c r="E375" s="163">
        <v>3.0</v>
      </c>
      <c r="F375" s="163">
        <v>3.0</v>
      </c>
      <c r="G375" s="163">
        <v>2.0</v>
      </c>
      <c r="H375" s="163">
        <v>2.0</v>
      </c>
      <c r="I375" s="163">
        <v>2.0</v>
      </c>
      <c r="J375" s="163"/>
      <c r="K375" s="130"/>
      <c r="L375" s="163">
        <f t="shared" si="401"/>
        <v>0</v>
      </c>
      <c r="M375" s="163">
        <f t="shared" ref="M375:O375" si="412">IF(F375&gt;V375,0,1)</f>
        <v>0</v>
      </c>
      <c r="N375" s="163">
        <f t="shared" si="412"/>
        <v>0</v>
      </c>
      <c r="O375" s="163">
        <f t="shared" si="412"/>
        <v>0</v>
      </c>
      <c r="P375" s="163">
        <f t="shared" si="409"/>
        <v>0</v>
      </c>
      <c r="Q375" s="130"/>
      <c r="R375" s="130"/>
      <c r="S375" s="163">
        <f t="shared" si="399"/>
        <v>0</v>
      </c>
      <c r="T375" s="170"/>
      <c r="U375" s="163">
        <f>'計分版'!E$14</f>
        <v>0.0000000001</v>
      </c>
      <c r="V375" s="163">
        <f>'計分版'!F$14</f>
        <v>0.0000000002</v>
      </c>
      <c r="W375" s="163">
        <f>'計分版'!G$14</f>
        <v>0.0000000003</v>
      </c>
      <c r="X375" s="163">
        <f>'計分版'!H$14</f>
        <v>0.0000000004</v>
      </c>
      <c r="Y375" s="163">
        <f>'計分版'!I$14</f>
        <v>0.0000000005</v>
      </c>
      <c r="Z375" s="163">
        <f>'計分版'!J$14</f>
        <v>0</v>
      </c>
      <c r="AA375" s="163">
        <f>'計分版'!K$14</f>
        <v>0</v>
      </c>
      <c r="AB375" s="163">
        <f>'計分版'!L$14</f>
        <v>0</v>
      </c>
      <c r="AC375" s="163">
        <f>'計分版'!M$14</f>
        <v>0</v>
      </c>
      <c r="AD375" s="163">
        <f>'計分版'!N$14</f>
        <v>0</v>
      </c>
      <c r="AE375" s="163"/>
      <c r="AF375" s="163"/>
      <c r="AG375" s="163"/>
      <c r="AH375" s="163"/>
      <c r="AI375" s="163"/>
      <c r="AJ375" s="163"/>
      <c r="AK375" s="163"/>
      <c r="AL375" s="163"/>
      <c r="AM375" s="163"/>
      <c r="AN375" s="130"/>
      <c r="AO375" s="130"/>
      <c r="AP375" s="130"/>
      <c r="AQ375" s="130"/>
      <c r="AR375" s="130"/>
      <c r="AS375" s="130"/>
      <c r="AT375" s="130"/>
    </row>
    <row r="376" ht="13.5" customHeight="1">
      <c r="A376" s="130" t="s">
        <v>872</v>
      </c>
      <c r="B376" s="170" t="s">
        <v>873</v>
      </c>
      <c r="C376" s="130"/>
      <c r="D376" s="130"/>
      <c r="E376" s="163">
        <v>3.0</v>
      </c>
      <c r="F376" s="163">
        <v>3.0</v>
      </c>
      <c r="G376" s="163">
        <v>2.0</v>
      </c>
      <c r="H376" s="163">
        <v>2.0</v>
      </c>
      <c r="I376" s="163">
        <v>2.0</v>
      </c>
      <c r="J376" s="163"/>
      <c r="K376" s="130"/>
      <c r="L376" s="163">
        <f t="shared" si="401"/>
        <v>0</v>
      </c>
      <c r="M376" s="163">
        <f t="shared" ref="M376:O376" si="413">IF(F376&gt;V376,0,1)</f>
        <v>0</v>
      </c>
      <c r="N376" s="163">
        <f t="shared" si="413"/>
        <v>0</v>
      </c>
      <c r="O376" s="163">
        <f t="shared" si="413"/>
        <v>0</v>
      </c>
      <c r="P376" s="163">
        <f t="shared" si="409"/>
        <v>0</v>
      </c>
      <c r="Q376" s="130"/>
      <c r="R376" s="130"/>
      <c r="S376" s="163">
        <f t="shared" si="399"/>
        <v>0</v>
      </c>
      <c r="T376" s="170"/>
      <c r="U376" s="163">
        <f>'計分版'!E$14</f>
        <v>0.0000000001</v>
      </c>
      <c r="V376" s="163">
        <f>'計分版'!F$14</f>
        <v>0.0000000002</v>
      </c>
      <c r="W376" s="163">
        <f>'計分版'!G$14</f>
        <v>0.0000000003</v>
      </c>
      <c r="X376" s="163">
        <f>'計分版'!H$14</f>
        <v>0.0000000004</v>
      </c>
      <c r="Y376" s="163">
        <f>'計分版'!I$14</f>
        <v>0.0000000005</v>
      </c>
      <c r="Z376" s="163">
        <f>'計分版'!J$14</f>
        <v>0</v>
      </c>
      <c r="AA376" s="163">
        <f>'計分版'!K$14</f>
        <v>0</v>
      </c>
      <c r="AB376" s="163">
        <f>'計分版'!L$14</f>
        <v>0</v>
      </c>
      <c r="AC376" s="163">
        <f>'計分版'!M$14</f>
        <v>0</v>
      </c>
      <c r="AD376" s="163">
        <f>'計分版'!N$14</f>
        <v>0</v>
      </c>
      <c r="AE376" s="163"/>
      <c r="AF376" s="163"/>
      <c r="AG376" s="163"/>
      <c r="AH376" s="163"/>
      <c r="AI376" s="163"/>
      <c r="AJ376" s="163"/>
      <c r="AK376" s="163"/>
      <c r="AL376" s="163"/>
      <c r="AM376" s="163"/>
      <c r="AN376" s="130"/>
      <c r="AO376" s="130"/>
      <c r="AP376" s="130"/>
      <c r="AQ376" s="130"/>
      <c r="AR376" s="130"/>
      <c r="AS376" s="130"/>
      <c r="AT376" s="130"/>
    </row>
    <row r="377" ht="13.5" customHeight="1">
      <c r="A377" s="130" t="s">
        <v>874</v>
      </c>
      <c r="B377" s="170" t="s">
        <v>875</v>
      </c>
      <c r="C377" s="130"/>
      <c r="D377" s="130"/>
      <c r="E377" s="163">
        <v>3.0</v>
      </c>
      <c r="F377" s="163">
        <v>3.0</v>
      </c>
      <c r="G377" s="163">
        <v>2.0</v>
      </c>
      <c r="H377" s="163">
        <v>2.0</v>
      </c>
      <c r="I377" s="163">
        <v>2.0</v>
      </c>
      <c r="J377" s="163"/>
      <c r="K377" s="130"/>
      <c r="L377" s="163">
        <f t="shared" si="401"/>
        <v>0</v>
      </c>
      <c r="M377" s="163">
        <f t="shared" ref="M377:O377" si="414">IF(F377&gt;V377,0,1)</f>
        <v>0</v>
      </c>
      <c r="N377" s="163">
        <f t="shared" si="414"/>
        <v>0</v>
      </c>
      <c r="O377" s="163">
        <f t="shared" si="414"/>
        <v>0</v>
      </c>
      <c r="P377" s="163">
        <f t="shared" si="409"/>
        <v>0</v>
      </c>
      <c r="Q377" s="130"/>
      <c r="R377" s="130"/>
      <c r="S377" s="163">
        <f t="shared" si="399"/>
        <v>0</v>
      </c>
      <c r="T377" s="170"/>
      <c r="U377" s="163">
        <f>'計分版'!E$14</f>
        <v>0.0000000001</v>
      </c>
      <c r="V377" s="163">
        <f>'計分版'!F$14</f>
        <v>0.0000000002</v>
      </c>
      <c r="W377" s="163">
        <f>'計分版'!G$14</f>
        <v>0.0000000003</v>
      </c>
      <c r="X377" s="163">
        <f>'計分版'!H$14</f>
        <v>0.0000000004</v>
      </c>
      <c r="Y377" s="163">
        <f>'計分版'!I$14</f>
        <v>0.0000000005</v>
      </c>
      <c r="Z377" s="163">
        <f>'計分版'!J$14</f>
        <v>0</v>
      </c>
      <c r="AA377" s="163">
        <f>'計分版'!K$14</f>
        <v>0</v>
      </c>
      <c r="AB377" s="163">
        <f>'計分版'!L$14</f>
        <v>0</v>
      </c>
      <c r="AC377" s="163">
        <f>'計分版'!M$14</f>
        <v>0</v>
      </c>
      <c r="AD377" s="163">
        <f>'計分版'!N$14</f>
        <v>0</v>
      </c>
      <c r="AE377" s="163"/>
      <c r="AF377" s="163"/>
      <c r="AG377" s="163"/>
      <c r="AH377" s="163"/>
      <c r="AI377" s="163"/>
      <c r="AJ377" s="163"/>
      <c r="AK377" s="163"/>
      <c r="AL377" s="163"/>
      <c r="AM377" s="163"/>
      <c r="AN377" s="130"/>
      <c r="AO377" s="130"/>
      <c r="AP377" s="130"/>
      <c r="AQ377" s="130"/>
      <c r="AR377" s="130"/>
      <c r="AS377" s="130"/>
      <c r="AT377" s="130"/>
    </row>
    <row r="378" ht="13.5" customHeight="1">
      <c r="A378" s="130" t="s">
        <v>876</v>
      </c>
      <c r="B378" s="170" t="s">
        <v>877</v>
      </c>
      <c r="C378" s="130"/>
      <c r="D378" s="130"/>
      <c r="E378" s="163">
        <v>3.0</v>
      </c>
      <c r="F378" s="163">
        <v>3.0</v>
      </c>
      <c r="G378" s="163">
        <v>2.0</v>
      </c>
      <c r="H378" s="163">
        <v>2.0</v>
      </c>
      <c r="I378" s="163">
        <v>2.0</v>
      </c>
      <c r="J378" s="163"/>
      <c r="K378" s="130"/>
      <c r="L378" s="163">
        <f t="shared" si="401"/>
        <v>0</v>
      </c>
      <c r="M378" s="163">
        <f t="shared" ref="M378:O378" si="415">IF(F378&gt;V378,0,1)</f>
        <v>0</v>
      </c>
      <c r="N378" s="163">
        <f t="shared" si="415"/>
        <v>0</v>
      </c>
      <c r="O378" s="163">
        <f t="shared" si="415"/>
        <v>0</v>
      </c>
      <c r="P378" s="163">
        <f>IF(I378&gt;LARGE(Z378:AC378,1),0,IF('計分版'!T391=0,2,1))</f>
        <v>0</v>
      </c>
      <c r="Q378" s="130"/>
      <c r="R378" s="130"/>
      <c r="S378" s="163">
        <f t="shared" si="399"/>
        <v>0</v>
      </c>
      <c r="T378" s="170"/>
      <c r="U378" s="163">
        <f>'計分版'!E$14</f>
        <v>0.0000000001</v>
      </c>
      <c r="V378" s="163">
        <f>'計分版'!F$14</f>
        <v>0.0000000002</v>
      </c>
      <c r="W378" s="163">
        <f>'計分版'!G$14</f>
        <v>0.0000000003</v>
      </c>
      <c r="X378" s="163">
        <f>'計分版'!H$14</f>
        <v>0.0000000004</v>
      </c>
      <c r="Y378" s="163">
        <f>'計分版'!I$14</f>
        <v>0.0000000005</v>
      </c>
      <c r="Z378" s="163">
        <f>'計分版'!J$14</f>
        <v>0</v>
      </c>
      <c r="AA378" s="163">
        <f>'計分版'!K$14</f>
        <v>0</v>
      </c>
      <c r="AB378" s="163">
        <f>'計分版'!L$14</f>
        <v>0</v>
      </c>
      <c r="AC378" s="163">
        <f>'計分版'!M$14</f>
        <v>0</v>
      </c>
      <c r="AD378" s="163">
        <f>'計分版'!N$14</f>
        <v>0</v>
      </c>
      <c r="AE378" s="163"/>
      <c r="AF378" s="163"/>
      <c r="AG378" s="163"/>
      <c r="AH378" s="163"/>
      <c r="AI378" s="163"/>
      <c r="AJ378" s="163"/>
      <c r="AK378" s="163"/>
      <c r="AL378" s="163"/>
      <c r="AM378" s="163"/>
      <c r="AN378" s="130"/>
      <c r="AO378" s="130"/>
      <c r="AP378" s="130"/>
      <c r="AQ378" s="130"/>
      <c r="AR378" s="130"/>
      <c r="AS378" s="130"/>
      <c r="AT378" s="130"/>
    </row>
    <row r="379" ht="13.5" customHeight="1">
      <c r="A379" s="130" t="s">
        <v>879</v>
      </c>
      <c r="B379" s="170" t="s">
        <v>880</v>
      </c>
      <c r="C379" s="130"/>
      <c r="D379" s="130"/>
      <c r="E379" s="163">
        <v>3.0</v>
      </c>
      <c r="F379" s="163">
        <v>3.0</v>
      </c>
      <c r="G379" s="163">
        <v>2.0</v>
      </c>
      <c r="H379" s="163">
        <v>2.0</v>
      </c>
      <c r="I379" s="163">
        <v>2.0</v>
      </c>
      <c r="J379" s="163"/>
      <c r="K379" s="130"/>
      <c r="L379" s="163">
        <f t="shared" si="401"/>
        <v>0</v>
      </c>
      <c r="M379" s="163">
        <f>IF(F379&gt;V379,0,IF(V379&lt;4,2,1))</f>
        <v>0</v>
      </c>
      <c r="N379" s="163">
        <f t="shared" ref="N379:O379" si="416">IF(G379&gt;W379,0,IF(W379&lt;3,2,1))</f>
        <v>0</v>
      </c>
      <c r="O379" s="163">
        <f t="shared" si="416"/>
        <v>0</v>
      </c>
      <c r="P379" s="163">
        <f>IF('計分版'!T394=0,0,IF('計分版'!T395=0,2,1))</f>
        <v>0</v>
      </c>
      <c r="Q379" s="130"/>
      <c r="R379" s="130"/>
      <c r="S379" s="163">
        <f t="shared" si="399"/>
        <v>0</v>
      </c>
      <c r="T379" s="170"/>
      <c r="U379" s="163">
        <f>'計分版'!E$14</f>
        <v>0.0000000001</v>
      </c>
      <c r="V379" s="163">
        <f>'計分版'!F$14</f>
        <v>0.0000000002</v>
      </c>
      <c r="W379" s="163">
        <f>'計分版'!G$14</f>
        <v>0.0000000003</v>
      </c>
      <c r="X379" s="163">
        <f>'計分版'!H$14</f>
        <v>0.0000000004</v>
      </c>
      <c r="Y379" s="163">
        <f>'計分版'!I$14</f>
        <v>0.0000000005</v>
      </c>
      <c r="Z379" s="163">
        <f>'計分版'!J$14</f>
        <v>0</v>
      </c>
      <c r="AA379" s="163">
        <f>'計分版'!K$14</f>
        <v>0</v>
      </c>
      <c r="AB379" s="163">
        <f>'計分版'!L$14</f>
        <v>0</v>
      </c>
      <c r="AC379" s="163">
        <f>'計分版'!M$14</f>
        <v>0</v>
      </c>
      <c r="AD379" s="163">
        <f>'計分版'!N$14</f>
        <v>0</v>
      </c>
      <c r="AE379" s="163"/>
      <c r="AF379" s="163"/>
      <c r="AG379" s="163"/>
      <c r="AH379" s="163"/>
      <c r="AI379" s="163"/>
      <c r="AJ379" s="163"/>
      <c r="AK379" s="163"/>
      <c r="AL379" s="163"/>
      <c r="AM379" s="163"/>
      <c r="AN379" s="130"/>
      <c r="AO379" s="130"/>
      <c r="AP379" s="130"/>
      <c r="AQ379" s="130"/>
      <c r="AR379" s="130"/>
      <c r="AS379" s="130"/>
      <c r="AT379" s="130"/>
    </row>
    <row r="380" ht="13.5" customHeight="1">
      <c r="A380" s="130" t="s">
        <v>881</v>
      </c>
      <c r="B380" s="170" t="s">
        <v>882</v>
      </c>
      <c r="C380" s="130"/>
      <c r="D380" s="130"/>
      <c r="E380" s="163">
        <v>3.0</v>
      </c>
      <c r="F380" s="163">
        <v>3.0</v>
      </c>
      <c r="G380" s="163">
        <v>2.0</v>
      </c>
      <c r="H380" s="163">
        <v>2.0</v>
      </c>
      <c r="I380" s="163">
        <v>2.0</v>
      </c>
      <c r="J380" s="163"/>
      <c r="K380" s="130"/>
      <c r="L380" s="163">
        <f t="shared" si="401"/>
        <v>0</v>
      </c>
      <c r="M380" s="163">
        <f>IF(F380&gt;'計分版'!F$14,0,1)</f>
        <v>0</v>
      </c>
      <c r="N380" s="163">
        <f>IF(G380&gt;'計分版'!G$14,0,1)</f>
        <v>0</v>
      </c>
      <c r="O380" s="163">
        <f>IF(H380&gt;'計分版'!H$14,0,1)</f>
        <v>0</v>
      </c>
      <c r="P380" s="163">
        <f>IF(I380&gt;LARGE(Z380:AC380,1),0,IF('計分版'!T398=0,2,1))</f>
        <v>0</v>
      </c>
      <c r="Q380" s="130"/>
      <c r="R380" s="130"/>
      <c r="S380" s="163">
        <f t="shared" si="399"/>
        <v>0</v>
      </c>
      <c r="T380" s="170"/>
      <c r="U380" s="163">
        <f>'計分版'!E$14</f>
        <v>0.0000000001</v>
      </c>
      <c r="V380" s="163">
        <f>'計分版'!F$14</f>
        <v>0.0000000002</v>
      </c>
      <c r="W380" s="163">
        <f>'計分版'!G$14</f>
        <v>0.0000000003</v>
      </c>
      <c r="X380" s="163">
        <f>'計分版'!H$14</f>
        <v>0.0000000004</v>
      </c>
      <c r="Y380" s="163">
        <f>'計分版'!I$14</f>
        <v>0.0000000005</v>
      </c>
      <c r="Z380" s="163">
        <f>'計分版'!J$14</f>
        <v>0</v>
      </c>
      <c r="AA380" s="163">
        <f>'計分版'!K$14</f>
        <v>0</v>
      </c>
      <c r="AB380" s="163">
        <f>'計分版'!L$14</f>
        <v>0</v>
      </c>
      <c r="AC380" s="163">
        <f>'計分版'!M$14</f>
        <v>0</v>
      </c>
      <c r="AD380" s="163">
        <f>'計分版'!N$14</f>
        <v>0</v>
      </c>
      <c r="AE380" s="163"/>
      <c r="AF380" s="163"/>
      <c r="AG380" s="163"/>
      <c r="AH380" s="163"/>
      <c r="AI380" s="163"/>
      <c r="AJ380" s="163"/>
      <c r="AK380" s="163"/>
      <c r="AL380" s="163"/>
      <c r="AM380" s="163"/>
      <c r="AN380" s="130"/>
      <c r="AO380" s="130"/>
      <c r="AP380" s="130"/>
      <c r="AQ380" s="130"/>
      <c r="AR380" s="130"/>
      <c r="AS380" s="130"/>
      <c r="AT380" s="130"/>
    </row>
    <row r="381" ht="13.5" customHeight="1">
      <c r="A381" s="130" t="s">
        <v>883</v>
      </c>
      <c r="B381" s="170" t="s">
        <v>884</v>
      </c>
      <c r="C381" s="130"/>
      <c r="D381" s="130"/>
      <c r="E381" s="163">
        <v>3.0</v>
      </c>
      <c r="F381" s="163">
        <v>3.0</v>
      </c>
      <c r="G381" s="163">
        <v>2.0</v>
      </c>
      <c r="H381" s="163">
        <v>2.0</v>
      </c>
      <c r="I381" s="163">
        <v>2.0</v>
      </c>
      <c r="J381" s="163"/>
      <c r="K381" s="130"/>
      <c r="L381" s="163">
        <f t="shared" si="401"/>
        <v>0</v>
      </c>
      <c r="M381" s="163">
        <f>IF(F381&gt;'計分版'!F$14,0,1)</f>
        <v>0</v>
      </c>
      <c r="N381" s="163">
        <f>IF(G381&gt;'計分版'!G$14,0,1)</f>
        <v>0</v>
      </c>
      <c r="O381" s="163">
        <f>IF(H381&gt;'計分版'!H$14,0,1)</f>
        <v>0</v>
      </c>
      <c r="P381" s="163">
        <f>IF(I381&gt;LARGE(Z381:AC381,1),0,1)</f>
        <v>0</v>
      </c>
      <c r="Q381" s="130"/>
      <c r="R381" s="130"/>
      <c r="S381" s="163">
        <f t="shared" si="399"/>
        <v>0</v>
      </c>
      <c r="T381" s="170"/>
      <c r="U381" s="163">
        <f>'計分版'!E$14</f>
        <v>0.0000000001</v>
      </c>
      <c r="V381" s="163">
        <f>'計分版'!F$14</f>
        <v>0.0000000002</v>
      </c>
      <c r="W381" s="163">
        <f>'計分版'!G$14</f>
        <v>0.0000000003</v>
      </c>
      <c r="X381" s="163">
        <f>'計分版'!H$14</f>
        <v>0.0000000004</v>
      </c>
      <c r="Y381" s="163">
        <f>'計分版'!I$14</f>
        <v>0.0000000005</v>
      </c>
      <c r="Z381" s="163">
        <f>'計分版'!J$14</f>
        <v>0</v>
      </c>
      <c r="AA381" s="163">
        <f>'計分版'!K$14</f>
        <v>0</v>
      </c>
      <c r="AB381" s="163">
        <f>'計分版'!L$14</f>
        <v>0</v>
      </c>
      <c r="AC381" s="163">
        <f>'計分版'!M$14</f>
        <v>0</v>
      </c>
      <c r="AD381" s="163">
        <f>'計分版'!N$14</f>
        <v>0</v>
      </c>
      <c r="AE381" s="163"/>
      <c r="AF381" s="163"/>
      <c r="AG381" s="163"/>
      <c r="AH381" s="163"/>
      <c r="AI381" s="163"/>
      <c r="AJ381" s="163"/>
      <c r="AK381" s="163"/>
      <c r="AL381" s="163"/>
      <c r="AM381" s="163"/>
      <c r="AN381" s="130"/>
      <c r="AO381" s="130"/>
      <c r="AP381" s="130"/>
      <c r="AQ381" s="130"/>
      <c r="AR381" s="130"/>
      <c r="AS381" s="130"/>
      <c r="AT381" s="130"/>
    </row>
    <row r="382" ht="13.5" customHeight="1">
      <c r="A382" s="130" t="s">
        <v>886</v>
      </c>
      <c r="B382" s="170" t="s">
        <v>887</v>
      </c>
      <c r="C382" s="130"/>
      <c r="D382" s="130"/>
      <c r="E382" s="163">
        <v>3.0</v>
      </c>
      <c r="F382" s="163">
        <v>3.0</v>
      </c>
      <c r="G382" s="163">
        <v>2.0</v>
      </c>
      <c r="H382" s="163">
        <v>2.0</v>
      </c>
      <c r="I382" s="163">
        <v>2.0</v>
      </c>
      <c r="J382" s="163"/>
      <c r="K382" s="130"/>
      <c r="L382" s="163">
        <f t="shared" si="401"/>
        <v>0</v>
      </c>
      <c r="M382" s="163">
        <f t="shared" ref="M382:O382" si="417">IF(F382&gt;V382,0,1)</f>
        <v>0</v>
      </c>
      <c r="N382" s="163">
        <f t="shared" si="417"/>
        <v>0</v>
      </c>
      <c r="O382" s="163">
        <f t="shared" si="417"/>
        <v>0</v>
      </c>
      <c r="P382" s="163">
        <f t="shared" ref="P382:P396" si="419">IF(I382&gt;LARGE(Y382:AD382,1),0,1)</f>
        <v>0</v>
      </c>
      <c r="Q382" s="130"/>
      <c r="R382" s="130"/>
      <c r="S382" s="163">
        <f t="shared" si="399"/>
        <v>0</v>
      </c>
      <c r="T382" s="170"/>
      <c r="U382" s="163">
        <f>'計分版'!E$14</f>
        <v>0.0000000001</v>
      </c>
      <c r="V382" s="163">
        <f>'計分版'!F$14</f>
        <v>0.0000000002</v>
      </c>
      <c r="W382" s="163">
        <f>'計分版'!G$14</f>
        <v>0.0000000003</v>
      </c>
      <c r="X382" s="163">
        <f>'計分版'!H$14</f>
        <v>0.0000000004</v>
      </c>
      <c r="Y382" s="163">
        <f>'計分版'!I$14</f>
        <v>0.0000000005</v>
      </c>
      <c r="Z382" s="163">
        <f>'計分版'!J$14</f>
        <v>0</v>
      </c>
      <c r="AA382" s="163">
        <f>'計分版'!K$14</f>
        <v>0</v>
      </c>
      <c r="AB382" s="163">
        <f>'計分版'!L$14</f>
        <v>0</v>
      </c>
      <c r="AC382" s="163">
        <f>'計分版'!M$14</f>
        <v>0</v>
      </c>
      <c r="AD382" s="163">
        <f>'計分版'!N$14</f>
        <v>0</v>
      </c>
      <c r="AE382" s="163"/>
      <c r="AF382" s="163" t="s">
        <v>1065</v>
      </c>
      <c r="AG382" s="163" t="s">
        <v>166</v>
      </c>
      <c r="AH382" s="163" t="s">
        <v>1065</v>
      </c>
      <c r="AI382" s="163"/>
      <c r="AJ382" s="163"/>
      <c r="AK382" s="163"/>
      <c r="AL382" s="163"/>
      <c r="AM382" s="163"/>
      <c r="AN382" s="130"/>
      <c r="AO382" s="130"/>
      <c r="AP382" s="130"/>
      <c r="AQ382" s="130"/>
      <c r="AR382" s="130"/>
      <c r="AS382" s="130"/>
      <c r="AT382" s="130"/>
    </row>
    <row r="383" ht="13.5" customHeight="1">
      <c r="A383" s="130" t="s">
        <v>889</v>
      </c>
      <c r="B383" s="170" t="s">
        <v>890</v>
      </c>
      <c r="C383" s="130"/>
      <c r="D383" s="130"/>
      <c r="E383" s="163">
        <v>3.0</v>
      </c>
      <c r="F383" s="163">
        <v>3.0</v>
      </c>
      <c r="G383" s="163">
        <v>2.0</v>
      </c>
      <c r="H383" s="163">
        <v>2.0</v>
      </c>
      <c r="I383" s="163">
        <v>2.0</v>
      </c>
      <c r="J383" s="163"/>
      <c r="K383" s="130"/>
      <c r="L383" s="163">
        <f t="shared" si="401"/>
        <v>0</v>
      </c>
      <c r="M383" s="163">
        <f t="shared" ref="M383:O383" si="418">IF(F383&gt;V383,0,1)</f>
        <v>0</v>
      </c>
      <c r="N383" s="163">
        <f t="shared" si="418"/>
        <v>0</v>
      </c>
      <c r="O383" s="163">
        <f t="shared" si="418"/>
        <v>0</v>
      </c>
      <c r="P383" s="163">
        <f t="shared" si="419"/>
        <v>0</v>
      </c>
      <c r="Q383" s="130"/>
      <c r="R383" s="130"/>
      <c r="S383" s="163">
        <f t="shared" si="399"/>
        <v>0</v>
      </c>
      <c r="T383" s="170"/>
      <c r="U383" s="163">
        <f>'計分版'!E$14</f>
        <v>0.0000000001</v>
      </c>
      <c r="V383" s="163">
        <f>'計分版'!F$14</f>
        <v>0.0000000002</v>
      </c>
      <c r="W383" s="163">
        <f>'計分版'!G$14</f>
        <v>0.0000000003</v>
      </c>
      <c r="X383" s="163">
        <f>'計分版'!H$14</f>
        <v>0.0000000004</v>
      </c>
      <c r="Y383" s="163">
        <f>'計分版'!I$14</f>
        <v>0.0000000005</v>
      </c>
      <c r="Z383" s="163">
        <f>'計分版'!J$14</f>
        <v>0</v>
      </c>
      <c r="AA383" s="163">
        <f>'計分版'!K$14</f>
        <v>0</v>
      </c>
      <c r="AB383" s="163">
        <f>'計分版'!L$14</f>
        <v>0</v>
      </c>
      <c r="AC383" s="163">
        <f>'計分版'!M$14</f>
        <v>0</v>
      </c>
      <c r="AD383" s="163">
        <f>'計分版'!N$14</f>
        <v>0</v>
      </c>
      <c r="AE383" s="163"/>
      <c r="AF383" s="163" t="s">
        <v>1065</v>
      </c>
      <c r="AG383" s="163" t="s">
        <v>166</v>
      </c>
      <c r="AH383" s="163" t="s">
        <v>1065</v>
      </c>
      <c r="AI383" s="163"/>
      <c r="AJ383" s="163"/>
      <c r="AK383" s="163"/>
      <c r="AL383" s="163"/>
      <c r="AM383" s="163"/>
      <c r="AN383" s="130"/>
      <c r="AO383" s="130"/>
      <c r="AP383" s="130"/>
      <c r="AQ383" s="130"/>
      <c r="AR383" s="130"/>
      <c r="AS383" s="130"/>
      <c r="AT383" s="130"/>
    </row>
    <row r="384" ht="13.5" customHeight="1">
      <c r="A384" s="130" t="s">
        <v>891</v>
      </c>
      <c r="B384" s="170" t="s">
        <v>892</v>
      </c>
      <c r="C384" s="130"/>
      <c r="D384" s="130"/>
      <c r="E384" s="163">
        <v>3.0</v>
      </c>
      <c r="F384" s="163">
        <v>3.0</v>
      </c>
      <c r="G384" s="163">
        <v>2.0</v>
      </c>
      <c r="H384" s="163">
        <v>2.0</v>
      </c>
      <c r="I384" s="163">
        <v>2.0</v>
      </c>
      <c r="J384" s="163"/>
      <c r="K384" s="130"/>
      <c r="L384" s="163">
        <f t="shared" si="401"/>
        <v>0</v>
      </c>
      <c r="M384" s="163">
        <f t="shared" ref="M384:O384" si="420">IF(F384&gt;V384,0,1)</f>
        <v>0</v>
      </c>
      <c r="N384" s="163">
        <f t="shared" si="420"/>
        <v>0</v>
      </c>
      <c r="O384" s="163">
        <f t="shared" si="420"/>
        <v>0</v>
      </c>
      <c r="P384" s="163">
        <f t="shared" si="419"/>
        <v>0</v>
      </c>
      <c r="Q384" s="130"/>
      <c r="R384" s="130"/>
      <c r="S384" s="163">
        <f t="shared" si="399"/>
        <v>0</v>
      </c>
      <c r="T384" s="170"/>
      <c r="U384" s="163">
        <f>'計分版'!E$14</f>
        <v>0.0000000001</v>
      </c>
      <c r="V384" s="163">
        <f>'計分版'!F$14</f>
        <v>0.0000000002</v>
      </c>
      <c r="W384" s="163">
        <f>'計分版'!G$14</f>
        <v>0.0000000003</v>
      </c>
      <c r="X384" s="163">
        <f>'計分版'!H$14</f>
        <v>0.0000000004</v>
      </c>
      <c r="Y384" s="163">
        <f>'計分版'!I$14</f>
        <v>0.0000000005</v>
      </c>
      <c r="Z384" s="163">
        <f>'計分版'!J$14</f>
        <v>0</v>
      </c>
      <c r="AA384" s="163">
        <f>'計分版'!K$14</f>
        <v>0</v>
      </c>
      <c r="AB384" s="163">
        <f>'計分版'!L$14</f>
        <v>0</v>
      </c>
      <c r="AC384" s="163">
        <f>'計分版'!M$14</f>
        <v>0</v>
      </c>
      <c r="AD384" s="163">
        <f>'計分版'!N$14</f>
        <v>0</v>
      </c>
      <c r="AE384" s="163"/>
      <c r="AF384" s="163" t="s">
        <v>1065</v>
      </c>
      <c r="AG384" s="163" t="s">
        <v>166</v>
      </c>
      <c r="AH384" s="163" t="s">
        <v>1065</v>
      </c>
      <c r="AI384" s="163"/>
      <c r="AJ384" s="163"/>
      <c r="AK384" s="163"/>
      <c r="AL384" s="163"/>
      <c r="AM384" s="163"/>
      <c r="AN384" s="130"/>
      <c r="AO384" s="130"/>
      <c r="AP384" s="130"/>
      <c r="AQ384" s="130"/>
      <c r="AR384" s="130"/>
      <c r="AS384" s="130"/>
      <c r="AT384" s="130"/>
    </row>
    <row r="385" ht="13.5" customHeight="1">
      <c r="A385" s="130" t="s">
        <v>893</v>
      </c>
      <c r="B385" s="170" t="s">
        <v>894</v>
      </c>
      <c r="C385" s="130"/>
      <c r="D385" s="130"/>
      <c r="E385" s="163">
        <v>3.0</v>
      </c>
      <c r="F385" s="163">
        <v>3.0</v>
      </c>
      <c r="G385" s="163">
        <v>2.0</v>
      </c>
      <c r="H385" s="163">
        <v>2.0</v>
      </c>
      <c r="I385" s="163">
        <v>2.0</v>
      </c>
      <c r="J385" s="163"/>
      <c r="K385" s="130"/>
      <c r="L385" s="163">
        <f t="shared" si="401"/>
        <v>0</v>
      </c>
      <c r="M385" s="163">
        <f t="shared" ref="M385:O385" si="421">IF(F385&gt;V385,0,1)</f>
        <v>0</v>
      </c>
      <c r="N385" s="163">
        <f t="shared" si="421"/>
        <v>0</v>
      </c>
      <c r="O385" s="163">
        <f t="shared" si="421"/>
        <v>0</v>
      </c>
      <c r="P385" s="163">
        <f t="shared" si="419"/>
        <v>0</v>
      </c>
      <c r="Q385" s="130"/>
      <c r="R385" s="130"/>
      <c r="S385" s="163">
        <f t="shared" si="399"/>
        <v>0</v>
      </c>
      <c r="T385" s="170"/>
      <c r="U385" s="163">
        <f>'計分版'!E$14</f>
        <v>0.0000000001</v>
      </c>
      <c r="V385" s="163">
        <f>'計分版'!F$14</f>
        <v>0.0000000002</v>
      </c>
      <c r="W385" s="163">
        <f>'計分版'!G$14</f>
        <v>0.0000000003</v>
      </c>
      <c r="X385" s="163">
        <f>'計分版'!H$14</f>
        <v>0.0000000004</v>
      </c>
      <c r="Y385" s="163">
        <f>'計分版'!I$14</f>
        <v>0.0000000005</v>
      </c>
      <c r="Z385" s="163">
        <f>'計分版'!J$14</f>
        <v>0</v>
      </c>
      <c r="AA385" s="163">
        <f>'計分版'!K$14</f>
        <v>0</v>
      </c>
      <c r="AB385" s="163">
        <f>'計分版'!L$14</f>
        <v>0</v>
      </c>
      <c r="AC385" s="163">
        <f>'計分版'!M$14</f>
        <v>0</v>
      </c>
      <c r="AD385" s="163">
        <f>'計分版'!N$14</f>
        <v>0</v>
      </c>
      <c r="AE385" s="163"/>
      <c r="AF385" s="163" t="s">
        <v>1065</v>
      </c>
      <c r="AG385" s="163" t="s">
        <v>166</v>
      </c>
      <c r="AH385" s="163" t="s">
        <v>1065</v>
      </c>
      <c r="AI385" s="163"/>
      <c r="AJ385" s="163"/>
      <c r="AK385" s="163"/>
      <c r="AL385" s="163"/>
      <c r="AM385" s="163"/>
      <c r="AN385" s="130"/>
      <c r="AO385" s="130"/>
      <c r="AP385" s="130"/>
      <c r="AQ385" s="130"/>
      <c r="AR385" s="130"/>
      <c r="AS385" s="130"/>
      <c r="AT385" s="130"/>
    </row>
    <row r="386" ht="13.5" customHeight="1">
      <c r="A386" s="130" t="s">
        <v>896</v>
      </c>
      <c r="B386" s="170" t="s">
        <v>897</v>
      </c>
      <c r="C386" s="130"/>
      <c r="D386" s="130"/>
      <c r="E386" s="163">
        <v>3.0</v>
      </c>
      <c r="F386" s="163">
        <v>3.0</v>
      </c>
      <c r="G386" s="163">
        <v>2.0</v>
      </c>
      <c r="H386" s="163">
        <v>2.0</v>
      </c>
      <c r="I386" s="163">
        <v>2.0</v>
      </c>
      <c r="J386" s="163"/>
      <c r="K386" s="130"/>
      <c r="L386" s="163">
        <f t="shared" si="401"/>
        <v>0</v>
      </c>
      <c r="M386" s="163">
        <f t="shared" ref="M386:O386" si="422">IF(F386&gt;V386,0,1)</f>
        <v>0</v>
      </c>
      <c r="N386" s="163">
        <f t="shared" si="422"/>
        <v>0</v>
      </c>
      <c r="O386" s="163">
        <f t="shared" si="422"/>
        <v>0</v>
      </c>
      <c r="P386" s="163">
        <f t="shared" si="419"/>
        <v>0</v>
      </c>
      <c r="Q386" s="130"/>
      <c r="R386" s="130"/>
      <c r="S386" s="163">
        <f t="shared" si="399"/>
        <v>0</v>
      </c>
      <c r="T386" s="170"/>
      <c r="U386" s="163">
        <f>'計分版'!E$14</f>
        <v>0.0000000001</v>
      </c>
      <c r="V386" s="163">
        <f>'計分版'!F$14</f>
        <v>0.0000000002</v>
      </c>
      <c r="W386" s="163">
        <f>'計分版'!G$14</f>
        <v>0.0000000003</v>
      </c>
      <c r="X386" s="163">
        <f>'計分版'!H$14</f>
        <v>0.0000000004</v>
      </c>
      <c r="Y386" s="163">
        <f>'計分版'!I$14</f>
        <v>0.0000000005</v>
      </c>
      <c r="Z386" s="163">
        <f>'計分版'!J$14</f>
        <v>0</v>
      </c>
      <c r="AA386" s="163">
        <f>'計分版'!K$14</f>
        <v>0</v>
      </c>
      <c r="AB386" s="163">
        <f>'計分版'!L$14</f>
        <v>0</v>
      </c>
      <c r="AC386" s="163">
        <f>'計分版'!M$14</f>
        <v>0</v>
      </c>
      <c r="AD386" s="163">
        <f>'計分版'!N$14</f>
        <v>0</v>
      </c>
      <c r="AE386" s="163"/>
      <c r="AF386" s="163" t="s">
        <v>1065</v>
      </c>
      <c r="AG386" s="163" t="s">
        <v>166</v>
      </c>
      <c r="AH386" s="163" t="s">
        <v>1065</v>
      </c>
      <c r="AI386" s="163"/>
      <c r="AJ386" s="163"/>
      <c r="AK386" s="163"/>
      <c r="AL386" s="163"/>
      <c r="AM386" s="163"/>
      <c r="AN386" s="130"/>
      <c r="AO386" s="130"/>
      <c r="AP386" s="130"/>
      <c r="AQ386" s="130"/>
      <c r="AR386" s="130"/>
      <c r="AS386" s="130"/>
      <c r="AT386" s="130"/>
    </row>
    <row r="387" ht="13.5" customHeight="1">
      <c r="A387" s="130" t="s">
        <v>898</v>
      </c>
      <c r="B387" s="170" t="s">
        <v>899</v>
      </c>
      <c r="C387" s="130"/>
      <c r="D387" s="130"/>
      <c r="E387" s="163">
        <v>3.0</v>
      </c>
      <c r="F387" s="163">
        <v>3.0</v>
      </c>
      <c r="G387" s="163">
        <v>2.0</v>
      </c>
      <c r="H387" s="163">
        <v>2.0</v>
      </c>
      <c r="I387" s="163">
        <v>2.0</v>
      </c>
      <c r="J387" s="163"/>
      <c r="K387" s="130"/>
      <c r="L387" s="163">
        <f t="shared" si="401"/>
        <v>0</v>
      </c>
      <c r="M387" s="163">
        <f t="shared" ref="M387:O387" si="423">IF(F387&gt;V387,0,1)</f>
        <v>0</v>
      </c>
      <c r="N387" s="163">
        <f t="shared" si="423"/>
        <v>0</v>
      </c>
      <c r="O387" s="163">
        <f t="shared" si="423"/>
        <v>0</v>
      </c>
      <c r="P387" s="163">
        <f t="shared" si="419"/>
        <v>0</v>
      </c>
      <c r="Q387" s="130"/>
      <c r="R387" s="130"/>
      <c r="S387" s="163">
        <f t="shared" si="399"/>
        <v>0</v>
      </c>
      <c r="T387" s="170"/>
      <c r="U387" s="163">
        <f>'計分版'!E$14</f>
        <v>0.0000000001</v>
      </c>
      <c r="V387" s="163">
        <f>'計分版'!F$14</f>
        <v>0.0000000002</v>
      </c>
      <c r="W387" s="163">
        <f>'計分版'!G$14</f>
        <v>0.0000000003</v>
      </c>
      <c r="X387" s="163">
        <f>'計分版'!H$14</f>
        <v>0.0000000004</v>
      </c>
      <c r="Y387" s="163">
        <f>'計分版'!I$14</f>
        <v>0.0000000005</v>
      </c>
      <c r="Z387" s="163">
        <f>'計分版'!J$14</f>
        <v>0</v>
      </c>
      <c r="AA387" s="163">
        <f>'計分版'!K$14</f>
        <v>0</v>
      </c>
      <c r="AB387" s="163">
        <f>'計分版'!L$14</f>
        <v>0</v>
      </c>
      <c r="AC387" s="163">
        <f>'計分版'!M$14</f>
        <v>0</v>
      </c>
      <c r="AD387" s="163">
        <f>'計分版'!N$14</f>
        <v>0</v>
      </c>
      <c r="AE387" s="163"/>
      <c r="AF387" s="163" t="s">
        <v>1065</v>
      </c>
      <c r="AG387" s="163" t="s">
        <v>166</v>
      </c>
      <c r="AH387" s="163" t="s">
        <v>1065</v>
      </c>
      <c r="AI387" s="163"/>
      <c r="AJ387" s="163"/>
      <c r="AK387" s="163"/>
      <c r="AL387" s="163"/>
      <c r="AM387" s="163"/>
      <c r="AN387" s="130"/>
      <c r="AO387" s="130"/>
      <c r="AP387" s="130"/>
      <c r="AQ387" s="130"/>
      <c r="AR387" s="130"/>
      <c r="AS387" s="130"/>
      <c r="AT387" s="130"/>
    </row>
    <row r="388" ht="13.5" customHeight="1">
      <c r="A388" s="130" t="s">
        <v>900</v>
      </c>
      <c r="B388" s="170" t="s">
        <v>901</v>
      </c>
      <c r="C388" s="130"/>
      <c r="D388" s="130"/>
      <c r="E388" s="163">
        <v>3.0</v>
      </c>
      <c r="F388" s="163">
        <v>3.0</v>
      </c>
      <c r="G388" s="163">
        <v>2.0</v>
      </c>
      <c r="H388" s="163">
        <v>2.0</v>
      </c>
      <c r="I388" s="163">
        <v>2.0</v>
      </c>
      <c r="J388" s="163"/>
      <c r="K388" s="130"/>
      <c r="L388" s="163">
        <f t="shared" si="401"/>
        <v>0</v>
      </c>
      <c r="M388" s="163">
        <f t="shared" ref="M388:O388" si="424">IF(F388&gt;V388,0,1)</f>
        <v>0</v>
      </c>
      <c r="N388" s="163">
        <f t="shared" si="424"/>
        <v>0</v>
      </c>
      <c r="O388" s="163">
        <f t="shared" si="424"/>
        <v>0</v>
      </c>
      <c r="P388" s="163">
        <f t="shared" si="419"/>
        <v>0</v>
      </c>
      <c r="Q388" s="130"/>
      <c r="R388" s="130"/>
      <c r="S388" s="163">
        <f t="shared" si="399"/>
        <v>0</v>
      </c>
      <c r="T388" s="170"/>
      <c r="U388" s="163">
        <f>'計分版'!E$14</f>
        <v>0.0000000001</v>
      </c>
      <c r="V388" s="163">
        <f>'計分版'!F$14</f>
        <v>0.0000000002</v>
      </c>
      <c r="W388" s="163">
        <f>'計分版'!G$14</f>
        <v>0.0000000003</v>
      </c>
      <c r="X388" s="163">
        <f>'計分版'!H$14</f>
        <v>0.0000000004</v>
      </c>
      <c r="Y388" s="163">
        <f>'計分版'!I$14</f>
        <v>0.0000000005</v>
      </c>
      <c r="Z388" s="163">
        <f>'計分版'!J$14</f>
        <v>0</v>
      </c>
      <c r="AA388" s="163">
        <f>'計分版'!K$14</f>
        <v>0</v>
      </c>
      <c r="AB388" s="163">
        <f>'計分版'!L$14</f>
        <v>0</v>
      </c>
      <c r="AC388" s="163">
        <f>'計分版'!M$14</f>
        <v>0</v>
      </c>
      <c r="AD388" s="163">
        <f>'計分版'!N$14</f>
        <v>0</v>
      </c>
      <c r="AE388" s="163"/>
      <c r="AF388" s="163" t="s">
        <v>1065</v>
      </c>
      <c r="AG388" s="163" t="s">
        <v>166</v>
      </c>
      <c r="AH388" s="163" t="s">
        <v>1065</v>
      </c>
      <c r="AI388" s="163"/>
      <c r="AJ388" s="163"/>
      <c r="AK388" s="163"/>
      <c r="AL388" s="163"/>
      <c r="AM388" s="163"/>
      <c r="AN388" s="130"/>
      <c r="AO388" s="130"/>
      <c r="AP388" s="130"/>
      <c r="AQ388" s="130"/>
      <c r="AR388" s="130"/>
      <c r="AS388" s="130"/>
      <c r="AT388" s="130"/>
    </row>
    <row r="389" ht="13.5" customHeight="1">
      <c r="A389" s="130" t="s">
        <v>902</v>
      </c>
      <c r="B389" s="170" t="s">
        <v>903</v>
      </c>
      <c r="C389" s="130"/>
      <c r="D389" s="130"/>
      <c r="E389" s="163">
        <v>3.0</v>
      </c>
      <c r="F389" s="163">
        <v>3.0</v>
      </c>
      <c r="G389" s="163">
        <v>2.0</v>
      </c>
      <c r="H389" s="163">
        <v>2.0</v>
      </c>
      <c r="I389" s="163">
        <v>2.0</v>
      </c>
      <c r="J389" s="163"/>
      <c r="K389" s="130"/>
      <c r="L389" s="163">
        <f t="shared" si="401"/>
        <v>0</v>
      </c>
      <c r="M389" s="163">
        <f t="shared" ref="M389:O389" si="425">IF(F389&gt;V389,0,1)</f>
        <v>0</v>
      </c>
      <c r="N389" s="163">
        <f t="shared" si="425"/>
        <v>0</v>
      </c>
      <c r="O389" s="163">
        <f t="shared" si="425"/>
        <v>0</v>
      </c>
      <c r="P389" s="163">
        <f t="shared" si="419"/>
        <v>0</v>
      </c>
      <c r="Q389" s="130"/>
      <c r="R389" s="130"/>
      <c r="S389" s="163">
        <f t="shared" si="399"/>
        <v>0</v>
      </c>
      <c r="T389" s="170"/>
      <c r="U389" s="163">
        <f>'計分版'!E$14</f>
        <v>0.0000000001</v>
      </c>
      <c r="V389" s="163">
        <f>'計分版'!F$14</f>
        <v>0.0000000002</v>
      </c>
      <c r="W389" s="163">
        <f>'計分版'!G$14</f>
        <v>0.0000000003</v>
      </c>
      <c r="X389" s="163">
        <f>'計分版'!H$14</f>
        <v>0.0000000004</v>
      </c>
      <c r="Y389" s="163">
        <f>'計分版'!I$14</f>
        <v>0.0000000005</v>
      </c>
      <c r="Z389" s="163">
        <f>'計分版'!J$14</f>
        <v>0</v>
      </c>
      <c r="AA389" s="163">
        <f>'計分版'!K$14</f>
        <v>0</v>
      </c>
      <c r="AB389" s="163">
        <f>'計分版'!L$14</f>
        <v>0</v>
      </c>
      <c r="AC389" s="163">
        <f>'計分版'!M$14</f>
        <v>0</v>
      </c>
      <c r="AD389" s="163">
        <f>'計分版'!N$14</f>
        <v>0</v>
      </c>
      <c r="AE389" s="163"/>
      <c r="AF389" s="163" t="s">
        <v>1065</v>
      </c>
      <c r="AG389" s="163" t="s">
        <v>166</v>
      </c>
      <c r="AH389" s="163" t="s">
        <v>1065</v>
      </c>
      <c r="AI389" s="163"/>
      <c r="AJ389" s="163"/>
      <c r="AK389" s="163"/>
      <c r="AL389" s="163"/>
      <c r="AM389" s="163"/>
      <c r="AN389" s="130"/>
      <c r="AO389" s="130"/>
      <c r="AP389" s="130"/>
      <c r="AQ389" s="130"/>
      <c r="AR389" s="130"/>
      <c r="AS389" s="130"/>
      <c r="AT389" s="130"/>
    </row>
    <row r="390" ht="13.5" customHeight="1">
      <c r="A390" s="130" t="s">
        <v>904</v>
      </c>
      <c r="B390" s="170" t="s">
        <v>905</v>
      </c>
      <c r="C390" s="130"/>
      <c r="D390" s="130"/>
      <c r="E390" s="163">
        <v>3.0</v>
      </c>
      <c r="F390" s="163">
        <v>3.0</v>
      </c>
      <c r="G390" s="163">
        <v>2.0</v>
      </c>
      <c r="H390" s="163">
        <v>2.0</v>
      </c>
      <c r="I390" s="163">
        <v>2.0</v>
      </c>
      <c r="J390" s="163"/>
      <c r="K390" s="130"/>
      <c r="L390" s="163">
        <f t="shared" si="401"/>
        <v>0</v>
      </c>
      <c r="M390" s="163">
        <f t="shared" ref="M390:O390" si="426">IF(F390&gt;V390,0,1)</f>
        <v>0</v>
      </c>
      <c r="N390" s="163">
        <f t="shared" si="426"/>
        <v>0</v>
      </c>
      <c r="O390" s="163">
        <f t="shared" si="426"/>
        <v>0</v>
      </c>
      <c r="P390" s="163">
        <f t="shared" si="419"/>
        <v>0</v>
      </c>
      <c r="Q390" s="130"/>
      <c r="R390" s="130"/>
      <c r="S390" s="163">
        <f t="shared" si="399"/>
        <v>0</v>
      </c>
      <c r="T390" s="170"/>
      <c r="U390" s="163">
        <f>'計分版'!E$14</f>
        <v>0.0000000001</v>
      </c>
      <c r="V390" s="163">
        <f>'計分版'!F$14</f>
        <v>0.0000000002</v>
      </c>
      <c r="W390" s="163">
        <f>'計分版'!G$14</f>
        <v>0.0000000003</v>
      </c>
      <c r="X390" s="163">
        <f>'計分版'!H$14</f>
        <v>0.0000000004</v>
      </c>
      <c r="Y390" s="163">
        <f>'計分版'!I$14</f>
        <v>0.0000000005</v>
      </c>
      <c r="Z390" s="163">
        <f>'計分版'!J$14</f>
        <v>0</v>
      </c>
      <c r="AA390" s="163">
        <f>'計分版'!K$14</f>
        <v>0</v>
      </c>
      <c r="AB390" s="163">
        <f>'計分版'!L$14</f>
        <v>0</v>
      </c>
      <c r="AC390" s="163">
        <f>'計分版'!M$14</f>
        <v>0</v>
      </c>
      <c r="AD390" s="163">
        <f>'計分版'!N$14</f>
        <v>0</v>
      </c>
      <c r="AE390" s="163"/>
      <c r="AF390" s="163" t="s">
        <v>1065</v>
      </c>
      <c r="AG390" s="163" t="s">
        <v>166</v>
      </c>
      <c r="AH390" s="163" t="s">
        <v>1065</v>
      </c>
      <c r="AI390" s="163"/>
      <c r="AJ390" s="163"/>
      <c r="AK390" s="163"/>
      <c r="AL390" s="163"/>
      <c r="AM390" s="163"/>
      <c r="AN390" s="130"/>
      <c r="AO390" s="130"/>
      <c r="AP390" s="130"/>
      <c r="AQ390" s="130"/>
      <c r="AR390" s="130"/>
      <c r="AS390" s="130"/>
      <c r="AT390" s="130"/>
    </row>
    <row r="391" ht="13.5" customHeight="1">
      <c r="A391" s="130" t="s">
        <v>906</v>
      </c>
      <c r="B391" s="170" t="s">
        <v>907</v>
      </c>
      <c r="C391" s="130"/>
      <c r="D391" s="130"/>
      <c r="E391" s="163">
        <v>3.0</v>
      </c>
      <c r="F391" s="163">
        <v>3.0</v>
      </c>
      <c r="G391" s="163">
        <v>2.0</v>
      </c>
      <c r="H391" s="163">
        <v>2.0</v>
      </c>
      <c r="I391" s="163">
        <v>2.0</v>
      </c>
      <c r="J391" s="163"/>
      <c r="K391" s="130"/>
      <c r="L391" s="163">
        <f t="shared" si="401"/>
        <v>0</v>
      </c>
      <c r="M391" s="163">
        <f t="shared" ref="M391:O391" si="427">IF(F391&gt;V391,0,1)</f>
        <v>0</v>
      </c>
      <c r="N391" s="163">
        <f t="shared" si="427"/>
        <v>0</v>
      </c>
      <c r="O391" s="163">
        <f t="shared" si="427"/>
        <v>0</v>
      </c>
      <c r="P391" s="163">
        <f t="shared" si="419"/>
        <v>0</v>
      </c>
      <c r="Q391" s="130"/>
      <c r="R391" s="130"/>
      <c r="S391" s="163">
        <f t="shared" si="399"/>
        <v>0</v>
      </c>
      <c r="T391" s="170"/>
      <c r="U391" s="163">
        <f>'計分版'!E$14</f>
        <v>0.0000000001</v>
      </c>
      <c r="V391" s="163">
        <f>'計分版'!F$14</f>
        <v>0.0000000002</v>
      </c>
      <c r="W391" s="163">
        <f>'計分版'!G$14</f>
        <v>0.0000000003</v>
      </c>
      <c r="X391" s="163">
        <f>'計分版'!H$14</f>
        <v>0.0000000004</v>
      </c>
      <c r="Y391" s="163">
        <f>'計分版'!I$14</f>
        <v>0.0000000005</v>
      </c>
      <c r="Z391" s="163">
        <f>'計分版'!J$14</f>
        <v>0</v>
      </c>
      <c r="AA391" s="163">
        <f>'計分版'!K$14</f>
        <v>0</v>
      </c>
      <c r="AB391" s="163">
        <f>'計分版'!L$14</f>
        <v>0</v>
      </c>
      <c r="AC391" s="163">
        <f>'計分版'!M$14</f>
        <v>0</v>
      </c>
      <c r="AD391" s="163">
        <f>'計分版'!N$14</f>
        <v>0</v>
      </c>
      <c r="AE391" s="163"/>
      <c r="AF391" s="163" t="s">
        <v>1065</v>
      </c>
      <c r="AG391" s="163" t="s">
        <v>166</v>
      </c>
      <c r="AH391" s="163" t="s">
        <v>1065</v>
      </c>
      <c r="AI391" s="163"/>
      <c r="AJ391" s="163"/>
      <c r="AK391" s="163"/>
      <c r="AL391" s="163"/>
      <c r="AM391" s="163"/>
      <c r="AN391" s="130"/>
      <c r="AO391" s="130"/>
      <c r="AP391" s="130"/>
      <c r="AQ391" s="130"/>
      <c r="AR391" s="130"/>
      <c r="AS391" s="130"/>
      <c r="AT391" s="130"/>
    </row>
    <row r="392" ht="13.5" customHeight="1">
      <c r="A392" s="130" t="s">
        <v>908</v>
      </c>
      <c r="B392" s="170" t="s">
        <v>909</v>
      </c>
      <c r="C392" s="130"/>
      <c r="D392" s="130"/>
      <c r="E392" s="163">
        <v>3.0</v>
      </c>
      <c r="F392" s="163">
        <v>3.0</v>
      </c>
      <c r="G392" s="163">
        <v>2.0</v>
      </c>
      <c r="H392" s="163">
        <v>2.0</v>
      </c>
      <c r="I392" s="163">
        <v>2.0</v>
      </c>
      <c r="J392" s="163"/>
      <c r="K392" s="130"/>
      <c r="L392" s="163">
        <f t="shared" si="401"/>
        <v>0</v>
      </c>
      <c r="M392" s="163">
        <f t="shared" ref="M392:O392" si="428">IF(F392&gt;V392,0,1)</f>
        <v>0</v>
      </c>
      <c r="N392" s="163">
        <f t="shared" si="428"/>
        <v>0</v>
      </c>
      <c r="O392" s="163">
        <f t="shared" si="428"/>
        <v>0</v>
      </c>
      <c r="P392" s="163">
        <f t="shared" si="419"/>
        <v>0</v>
      </c>
      <c r="Q392" s="130"/>
      <c r="R392" s="130"/>
      <c r="S392" s="163">
        <f t="shared" si="399"/>
        <v>0</v>
      </c>
      <c r="T392" s="170"/>
      <c r="U392" s="163">
        <f>'計分版'!E$14</f>
        <v>0.0000000001</v>
      </c>
      <c r="V392" s="163">
        <f>'計分版'!F$14</f>
        <v>0.0000000002</v>
      </c>
      <c r="W392" s="163">
        <f>'計分版'!G$14</f>
        <v>0.0000000003</v>
      </c>
      <c r="X392" s="163">
        <f>'計分版'!H$14</f>
        <v>0.0000000004</v>
      </c>
      <c r="Y392" s="163">
        <f>'計分版'!I$14</f>
        <v>0.0000000005</v>
      </c>
      <c r="Z392" s="163">
        <f>'計分版'!J$14</f>
        <v>0</v>
      </c>
      <c r="AA392" s="163">
        <f>'計分版'!K$14</f>
        <v>0</v>
      </c>
      <c r="AB392" s="163">
        <f>'計分版'!L$14</f>
        <v>0</v>
      </c>
      <c r="AC392" s="163">
        <f>'計分版'!M$14</f>
        <v>0</v>
      </c>
      <c r="AD392" s="163">
        <f>'計分版'!N$14</f>
        <v>0</v>
      </c>
      <c r="AE392" s="163"/>
      <c r="AF392" s="163" t="s">
        <v>1065</v>
      </c>
      <c r="AG392" s="163" t="s">
        <v>166</v>
      </c>
      <c r="AH392" s="163" t="s">
        <v>1065</v>
      </c>
      <c r="AI392" s="163"/>
      <c r="AJ392" s="163"/>
      <c r="AK392" s="163"/>
      <c r="AL392" s="163"/>
      <c r="AM392" s="163"/>
      <c r="AN392" s="130"/>
      <c r="AO392" s="130"/>
      <c r="AP392" s="130"/>
      <c r="AQ392" s="130"/>
      <c r="AR392" s="130"/>
      <c r="AS392" s="130"/>
      <c r="AT392" s="130"/>
    </row>
    <row r="393" ht="13.5" customHeight="1">
      <c r="A393" s="130" t="s">
        <v>910</v>
      </c>
      <c r="B393" s="170" t="s">
        <v>911</v>
      </c>
      <c r="C393" s="130"/>
      <c r="D393" s="130"/>
      <c r="E393" s="163">
        <v>3.0</v>
      </c>
      <c r="F393" s="163">
        <v>3.0</v>
      </c>
      <c r="G393" s="163">
        <v>2.0</v>
      </c>
      <c r="H393" s="163">
        <v>2.0</v>
      </c>
      <c r="I393" s="163">
        <v>2.0</v>
      </c>
      <c r="J393" s="163"/>
      <c r="K393" s="130"/>
      <c r="L393" s="163">
        <f t="shared" si="401"/>
        <v>0</v>
      </c>
      <c r="M393" s="163">
        <f t="shared" ref="M393:O393" si="429">IF(F393&gt;V393,0,1)</f>
        <v>0</v>
      </c>
      <c r="N393" s="163">
        <f t="shared" si="429"/>
        <v>0</v>
      </c>
      <c r="O393" s="163">
        <f t="shared" si="429"/>
        <v>0</v>
      </c>
      <c r="P393" s="163">
        <f t="shared" si="419"/>
        <v>0</v>
      </c>
      <c r="Q393" s="130"/>
      <c r="R393" s="130"/>
      <c r="S393" s="163">
        <f t="shared" si="399"/>
        <v>0</v>
      </c>
      <c r="T393" s="170"/>
      <c r="U393" s="163">
        <f>'計分版'!E$14</f>
        <v>0.0000000001</v>
      </c>
      <c r="V393" s="163">
        <f>'計分版'!F$14</f>
        <v>0.0000000002</v>
      </c>
      <c r="W393" s="163">
        <f>'計分版'!G$14</f>
        <v>0.0000000003</v>
      </c>
      <c r="X393" s="163">
        <f>'計分版'!H$14</f>
        <v>0.0000000004</v>
      </c>
      <c r="Y393" s="163">
        <f>'計分版'!I$14</f>
        <v>0.0000000005</v>
      </c>
      <c r="Z393" s="163">
        <f>'計分版'!J$14</f>
        <v>0</v>
      </c>
      <c r="AA393" s="163">
        <f>'計分版'!K$14</f>
        <v>0</v>
      </c>
      <c r="AB393" s="163">
        <f>'計分版'!L$14</f>
        <v>0</v>
      </c>
      <c r="AC393" s="163">
        <f>'計分版'!M$14</f>
        <v>0</v>
      </c>
      <c r="AD393" s="163">
        <f>'計分版'!N$14</f>
        <v>0</v>
      </c>
      <c r="AE393" s="163"/>
      <c r="AF393" s="163" t="s">
        <v>1065</v>
      </c>
      <c r="AG393" s="163" t="s">
        <v>166</v>
      </c>
      <c r="AH393" s="163" t="s">
        <v>1065</v>
      </c>
      <c r="AI393" s="163"/>
      <c r="AJ393" s="163"/>
      <c r="AK393" s="163"/>
      <c r="AL393" s="163"/>
      <c r="AM393" s="163"/>
      <c r="AN393" s="130"/>
      <c r="AO393" s="130"/>
      <c r="AP393" s="130"/>
      <c r="AQ393" s="130"/>
      <c r="AR393" s="130"/>
      <c r="AS393" s="130"/>
      <c r="AT393" s="130"/>
    </row>
    <row r="394" ht="13.5" customHeight="1">
      <c r="A394" s="130" t="s">
        <v>912</v>
      </c>
      <c r="B394" s="170" t="s">
        <v>913</v>
      </c>
      <c r="C394" s="130"/>
      <c r="D394" s="130"/>
      <c r="E394" s="163">
        <v>3.0</v>
      </c>
      <c r="F394" s="163">
        <v>3.0</v>
      </c>
      <c r="G394" s="163">
        <v>2.0</v>
      </c>
      <c r="H394" s="163">
        <v>2.0</v>
      </c>
      <c r="I394" s="163">
        <v>2.0</v>
      </c>
      <c r="J394" s="163"/>
      <c r="K394" s="130"/>
      <c r="L394" s="163">
        <f t="shared" si="401"/>
        <v>0</v>
      </c>
      <c r="M394" s="163">
        <f t="shared" ref="M394:O394" si="430">IF(F394&gt;V394,0,1)</f>
        <v>0</v>
      </c>
      <c r="N394" s="163">
        <f t="shared" si="430"/>
        <v>0</v>
      </c>
      <c r="O394" s="163">
        <f t="shared" si="430"/>
        <v>0</v>
      </c>
      <c r="P394" s="163">
        <f t="shared" si="419"/>
        <v>0</v>
      </c>
      <c r="Q394" s="130"/>
      <c r="R394" s="130"/>
      <c r="S394" s="163">
        <f t="shared" si="399"/>
        <v>0</v>
      </c>
      <c r="T394" s="170"/>
      <c r="U394" s="163">
        <f>'計分版'!E$14</f>
        <v>0.0000000001</v>
      </c>
      <c r="V394" s="163">
        <f>'計分版'!F$14</f>
        <v>0.0000000002</v>
      </c>
      <c r="W394" s="163">
        <f>'計分版'!G$14</f>
        <v>0.0000000003</v>
      </c>
      <c r="X394" s="163">
        <f>'計分版'!H$14</f>
        <v>0.0000000004</v>
      </c>
      <c r="Y394" s="163">
        <f>'計分版'!I$14</f>
        <v>0.0000000005</v>
      </c>
      <c r="Z394" s="163">
        <f>'計分版'!J$14</f>
        <v>0</v>
      </c>
      <c r="AA394" s="163">
        <f>'計分版'!K$14</f>
        <v>0</v>
      </c>
      <c r="AB394" s="163">
        <f>'計分版'!L$14</f>
        <v>0</v>
      </c>
      <c r="AC394" s="163">
        <f>'計分版'!M$14</f>
        <v>0</v>
      </c>
      <c r="AD394" s="163">
        <f>'計分版'!N$14</f>
        <v>0</v>
      </c>
      <c r="AE394" s="163"/>
      <c r="AF394" s="163" t="s">
        <v>1065</v>
      </c>
      <c r="AG394" s="163" t="s">
        <v>166</v>
      </c>
      <c r="AH394" s="163" t="s">
        <v>1065</v>
      </c>
      <c r="AI394" s="163"/>
      <c r="AJ394" s="163"/>
      <c r="AK394" s="163"/>
      <c r="AL394" s="163"/>
      <c r="AM394" s="163"/>
      <c r="AN394" s="130"/>
      <c r="AO394" s="130"/>
      <c r="AP394" s="130"/>
      <c r="AQ394" s="130"/>
      <c r="AR394" s="130"/>
      <c r="AS394" s="130"/>
      <c r="AT394" s="130"/>
    </row>
    <row r="395" ht="13.5" customHeight="1">
      <c r="A395" s="130" t="s">
        <v>914</v>
      </c>
      <c r="B395" s="170" t="s">
        <v>915</v>
      </c>
      <c r="C395" s="130"/>
      <c r="D395" s="130"/>
      <c r="E395" s="163">
        <v>3.0</v>
      </c>
      <c r="F395" s="163">
        <v>3.0</v>
      </c>
      <c r="G395" s="163">
        <v>2.0</v>
      </c>
      <c r="H395" s="163">
        <v>2.0</v>
      </c>
      <c r="I395" s="163">
        <v>2.0</v>
      </c>
      <c r="J395" s="163"/>
      <c r="K395" s="130"/>
      <c r="L395" s="163">
        <f t="shared" si="401"/>
        <v>0</v>
      </c>
      <c r="M395" s="163">
        <f t="shared" ref="M395:O395" si="431">IF(F395&gt;V395,0,1)</f>
        <v>0</v>
      </c>
      <c r="N395" s="163">
        <f t="shared" si="431"/>
        <v>0</v>
      </c>
      <c r="O395" s="163">
        <f t="shared" si="431"/>
        <v>0</v>
      </c>
      <c r="P395" s="163">
        <f t="shared" si="419"/>
        <v>0</v>
      </c>
      <c r="Q395" s="130"/>
      <c r="R395" s="130"/>
      <c r="S395" s="163">
        <f t="shared" si="399"/>
        <v>0</v>
      </c>
      <c r="T395" s="170"/>
      <c r="U395" s="163">
        <f>'計分版'!E$14</f>
        <v>0.0000000001</v>
      </c>
      <c r="V395" s="163">
        <f>'計分版'!F$14</f>
        <v>0.0000000002</v>
      </c>
      <c r="W395" s="163">
        <f>'計分版'!G$14</f>
        <v>0.0000000003</v>
      </c>
      <c r="X395" s="163">
        <f>'計分版'!H$14</f>
        <v>0.0000000004</v>
      </c>
      <c r="Y395" s="163">
        <f>'計分版'!I$14</f>
        <v>0.0000000005</v>
      </c>
      <c r="Z395" s="163">
        <f>'計分版'!J$14</f>
        <v>0</v>
      </c>
      <c r="AA395" s="163">
        <f>'計分版'!K$14</f>
        <v>0</v>
      </c>
      <c r="AB395" s="163">
        <f>'計分版'!L$14</f>
        <v>0</v>
      </c>
      <c r="AC395" s="163">
        <f>'計分版'!M$14</f>
        <v>0</v>
      </c>
      <c r="AD395" s="163">
        <f>'計分版'!N$14</f>
        <v>0</v>
      </c>
      <c r="AE395" s="163"/>
      <c r="AF395" s="163" t="s">
        <v>1065</v>
      </c>
      <c r="AG395" s="163" t="s">
        <v>166</v>
      </c>
      <c r="AH395" s="163" t="s">
        <v>1065</v>
      </c>
      <c r="AI395" s="163"/>
      <c r="AJ395" s="163"/>
      <c r="AK395" s="163"/>
      <c r="AL395" s="163"/>
      <c r="AM395" s="163"/>
      <c r="AN395" s="130"/>
      <c r="AO395" s="130"/>
      <c r="AP395" s="130"/>
      <c r="AQ395" s="130"/>
      <c r="AR395" s="130"/>
      <c r="AS395" s="130"/>
      <c r="AT395" s="130"/>
    </row>
    <row r="396" ht="13.5" customHeight="1">
      <c r="A396" s="130" t="s">
        <v>916</v>
      </c>
      <c r="B396" s="170" t="s">
        <v>917</v>
      </c>
      <c r="C396" s="130"/>
      <c r="D396" s="130"/>
      <c r="E396" s="163">
        <v>3.0</v>
      </c>
      <c r="F396" s="163">
        <v>3.0</v>
      </c>
      <c r="G396" s="163">
        <v>2.0</v>
      </c>
      <c r="H396" s="163">
        <v>2.0</v>
      </c>
      <c r="I396" s="163">
        <v>2.0</v>
      </c>
      <c r="J396" s="163"/>
      <c r="K396" s="130"/>
      <c r="L396" s="163">
        <f t="shared" si="401"/>
        <v>0</v>
      </c>
      <c r="M396" s="163">
        <f t="shared" ref="M396:O396" si="432">IF(F396&gt;V396,0,1)</f>
        <v>0</v>
      </c>
      <c r="N396" s="163">
        <f t="shared" si="432"/>
        <v>0</v>
      </c>
      <c r="O396" s="163">
        <f t="shared" si="432"/>
        <v>0</v>
      </c>
      <c r="P396" s="163">
        <f t="shared" si="419"/>
        <v>0</v>
      </c>
      <c r="Q396" s="130"/>
      <c r="R396" s="130"/>
      <c r="S396" s="163">
        <f t="shared" si="399"/>
        <v>0</v>
      </c>
      <c r="T396" s="170"/>
      <c r="U396" s="163">
        <f>'計分版'!E$14</f>
        <v>0.0000000001</v>
      </c>
      <c r="V396" s="163">
        <f>'計分版'!F$14</f>
        <v>0.0000000002</v>
      </c>
      <c r="W396" s="163">
        <f>'計分版'!G$14</f>
        <v>0.0000000003</v>
      </c>
      <c r="X396" s="163">
        <f>'計分版'!H$14</f>
        <v>0.0000000004</v>
      </c>
      <c r="Y396" s="163">
        <f>'計分版'!I$14</f>
        <v>0.0000000005</v>
      </c>
      <c r="Z396" s="163">
        <f>'計分版'!J$14</f>
        <v>0</v>
      </c>
      <c r="AA396" s="163">
        <f>'計分版'!K$14</f>
        <v>0</v>
      </c>
      <c r="AB396" s="163">
        <f>'計分版'!L$14</f>
        <v>0</v>
      </c>
      <c r="AC396" s="163">
        <f>'計分版'!M$14</f>
        <v>0</v>
      </c>
      <c r="AD396" s="163">
        <f>'計分版'!N$14</f>
        <v>0</v>
      </c>
      <c r="AE396" s="163"/>
      <c r="AF396" s="163" t="s">
        <v>1065</v>
      </c>
      <c r="AG396" s="163" t="s">
        <v>166</v>
      </c>
      <c r="AH396" s="163" t="s">
        <v>1065</v>
      </c>
      <c r="AI396" s="163"/>
      <c r="AJ396" s="163"/>
      <c r="AK396" s="163"/>
      <c r="AL396" s="163"/>
      <c r="AM396" s="163"/>
      <c r="AN396" s="130"/>
      <c r="AO396" s="130"/>
      <c r="AP396" s="130"/>
      <c r="AQ396" s="130"/>
      <c r="AR396" s="130"/>
      <c r="AS396" s="130"/>
      <c r="AT396" s="130"/>
    </row>
    <row r="397" ht="13.5" customHeight="1">
      <c r="A397" s="130" t="s">
        <v>918</v>
      </c>
      <c r="B397" s="170" t="s">
        <v>919</v>
      </c>
      <c r="C397" s="130"/>
      <c r="D397" s="130"/>
      <c r="E397" s="163">
        <v>3.0</v>
      </c>
      <c r="F397" s="163">
        <v>3.0</v>
      </c>
      <c r="G397" s="163">
        <v>2.0</v>
      </c>
      <c r="H397" s="163">
        <v>2.0</v>
      </c>
      <c r="I397" s="163">
        <v>2.0</v>
      </c>
      <c r="J397" s="163"/>
      <c r="K397" s="130"/>
      <c r="L397" s="163">
        <f t="shared" si="401"/>
        <v>0</v>
      </c>
      <c r="M397" s="163">
        <f t="shared" ref="M397:O397" si="433">IF(F397&gt;V397,0,1)</f>
        <v>0</v>
      </c>
      <c r="N397" s="163">
        <f t="shared" si="433"/>
        <v>0</v>
      </c>
      <c r="O397" s="163">
        <f t="shared" si="433"/>
        <v>0</v>
      </c>
      <c r="P397" s="163">
        <f t="shared" ref="P397:P400" si="435">IF(I397&gt;LARGE(Z397:AC397,1),0,1)</f>
        <v>0</v>
      </c>
      <c r="Q397" s="130"/>
      <c r="R397" s="130"/>
      <c r="S397" s="163">
        <f t="shared" si="399"/>
        <v>0</v>
      </c>
      <c r="T397" s="170"/>
      <c r="U397" s="163">
        <f>'計分版'!E$14</f>
        <v>0.0000000001</v>
      </c>
      <c r="V397" s="163">
        <f>'計分版'!F$14</f>
        <v>0.0000000002</v>
      </c>
      <c r="W397" s="163">
        <f>'計分版'!G$14</f>
        <v>0.0000000003</v>
      </c>
      <c r="X397" s="163">
        <f>'計分版'!H$14</f>
        <v>0.0000000004</v>
      </c>
      <c r="Y397" s="163">
        <f>'計分版'!I$14</f>
        <v>0.0000000005</v>
      </c>
      <c r="Z397" s="163">
        <f>'計分版'!J$14</f>
        <v>0</v>
      </c>
      <c r="AA397" s="163">
        <f>'計分版'!K$14</f>
        <v>0</v>
      </c>
      <c r="AB397" s="163">
        <f>'計分版'!L$14</f>
        <v>0</v>
      </c>
      <c r="AC397" s="163">
        <f>'計分版'!M$14</f>
        <v>0</v>
      </c>
      <c r="AD397" s="163">
        <f>'計分版'!N$14</f>
        <v>0</v>
      </c>
      <c r="AE397" s="163"/>
      <c r="AF397" s="163"/>
      <c r="AG397" s="163"/>
      <c r="AH397" s="163" t="s">
        <v>1065</v>
      </c>
      <c r="AI397" s="163"/>
      <c r="AJ397" s="163"/>
      <c r="AK397" s="163"/>
      <c r="AL397" s="163"/>
      <c r="AM397" s="163"/>
      <c r="AN397" s="130"/>
      <c r="AO397" s="130"/>
      <c r="AP397" s="130"/>
      <c r="AQ397" s="130"/>
      <c r="AR397" s="130"/>
      <c r="AS397" s="130"/>
      <c r="AT397" s="130"/>
    </row>
    <row r="398" ht="13.5" customHeight="1">
      <c r="A398" s="130" t="s">
        <v>920</v>
      </c>
      <c r="B398" s="170" t="s">
        <v>921</v>
      </c>
      <c r="C398" s="130"/>
      <c r="D398" s="130"/>
      <c r="E398" s="163">
        <v>3.0</v>
      </c>
      <c r="F398" s="163">
        <v>3.0</v>
      </c>
      <c r="G398" s="163">
        <v>2.0</v>
      </c>
      <c r="H398" s="163">
        <v>2.0</v>
      </c>
      <c r="I398" s="163">
        <v>2.0</v>
      </c>
      <c r="J398" s="163"/>
      <c r="K398" s="130"/>
      <c r="L398" s="163">
        <f t="shared" si="401"/>
        <v>0</v>
      </c>
      <c r="M398" s="163">
        <f t="shared" ref="M398:O398" si="434">IF(F398&gt;V398,0,1)</f>
        <v>0</v>
      </c>
      <c r="N398" s="163">
        <f t="shared" si="434"/>
        <v>0</v>
      </c>
      <c r="O398" s="163">
        <f t="shared" si="434"/>
        <v>0</v>
      </c>
      <c r="P398" s="163">
        <f t="shared" si="435"/>
        <v>0</v>
      </c>
      <c r="Q398" s="130"/>
      <c r="R398" s="130"/>
      <c r="S398" s="163">
        <f t="shared" si="399"/>
        <v>0</v>
      </c>
      <c r="T398" s="170"/>
      <c r="U398" s="163">
        <f>'計分版'!E$14</f>
        <v>0.0000000001</v>
      </c>
      <c r="V398" s="163">
        <f>'計分版'!F$14</f>
        <v>0.0000000002</v>
      </c>
      <c r="W398" s="163">
        <f>'計分版'!G$14</f>
        <v>0.0000000003</v>
      </c>
      <c r="X398" s="163">
        <f>'計分版'!H$14</f>
        <v>0.0000000004</v>
      </c>
      <c r="Y398" s="163">
        <f>'計分版'!I$14</f>
        <v>0.0000000005</v>
      </c>
      <c r="Z398" s="163">
        <f>'計分版'!J$14</f>
        <v>0</v>
      </c>
      <c r="AA398" s="163">
        <f>'計分版'!K$14</f>
        <v>0</v>
      </c>
      <c r="AB398" s="163">
        <f>'計分版'!L$14</f>
        <v>0</v>
      </c>
      <c r="AC398" s="163">
        <f>'計分版'!M$14</f>
        <v>0</v>
      </c>
      <c r="AD398" s="163">
        <f>'計分版'!N$14</f>
        <v>0</v>
      </c>
      <c r="AE398" s="163"/>
      <c r="AF398" s="163"/>
      <c r="AG398" s="163"/>
      <c r="AH398" s="163" t="s">
        <v>1065</v>
      </c>
      <c r="AI398" s="163"/>
      <c r="AJ398" s="163"/>
      <c r="AK398" s="163"/>
      <c r="AL398" s="163"/>
      <c r="AM398" s="163"/>
      <c r="AN398" s="130"/>
      <c r="AO398" s="130"/>
      <c r="AP398" s="130"/>
      <c r="AQ398" s="130"/>
      <c r="AR398" s="130"/>
      <c r="AS398" s="130"/>
      <c r="AT398" s="130"/>
    </row>
    <row r="399" ht="13.5" customHeight="1">
      <c r="A399" s="130" t="s">
        <v>922</v>
      </c>
      <c r="B399" s="170" t="s">
        <v>923</v>
      </c>
      <c r="C399" s="130"/>
      <c r="D399" s="130"/>
      <c r="E399" s="163">
        <v>3.0</v>
      </c>
      <c r="F399" s="163">
        <v>3.0</v>
      </c>
      <c r="G399" s="163">
        <v>2.0</v>
      </c>
      <c r="H399" s="163">
        <v>2.0</v>
      </c>
      <c r="I399" s="163">
        <v>2.0</v>
      </c>
      <c r="J399" s="163"/>
      <c r="K399" s="130"/>
      <c r="L399" s="163">
        <f t="shared" si="401"/>
        <v>0</v>
      </c>
      <c r="M399" s="163">
        <f t="shared" ref="M399:O399" si="436">IF(F399&gt;V399,0,1)</f>
        <v>0</v>
      </c>
      <c r="N399" s="163">
        <f t="shared" si="436"/>
        <v>0</v>
      </c>
      <c r="O399" s="163">
        <f t="shared" si="436"/>
        <v>0</v>
      </c>
      <c r="P399" s="163">
        <f t="shared" si="435"/>
        <v>0</v>
      </c>
      <c r="Q399" s="130"/>
      <c r="R399" s="130"/>
      <c r="S399" s="163">
        <f t="shared" si="399"/>
        <v>0</v>
      </c>
      <c r="T399" s="170"/>
      <c r="U399" s="163">
        <f>'計分版'!E$14</f>
        <v>0.0000000001</v>
      </c>
      <c r="V399" s="163">
        <f>'計分版'!F$14</f>
        <v>0.0000000002</v>
      </c>
      <c r="W399" s="163">
        <f>'計分版'!G$14</f>
        <v>0.0000000003</v>
      </c>
      <c r="X399" s="163">
        <f>'計分版'!H$14</f>
        <v>0.0000000004</v>
      </c>
      <c r="Y399" s="163">
        <f>'計分版'!I$14</f>
        <v>0.0000000005</v>
      </c>
      <c r="Z399" s="163">
        <f>'計分版'!J$14</f>
        <v>0</v>
      </c>
      <c r="AA399" s="163">
        <f>'計分版'!K$14</f>
        <v>0</v>
      </c>
      <c r="AB399" s="163">
        <f>'計分版'!L$14</f>
        <v>0</v>
      </c>
      <c r="AC399" s="163">
        <f>'計分版'!M$14</f>
        <v>0</v>
      </c>
      <c r="AD399" s="163">
        <f>'計分版'!N$14</f>
        <v>0</v>
      </c>
      <c r="AE399" s="163"/>
      <c r="AF399" s="163"/>
      <c r="AG399" s="163"/>
      <c r="AH399" s="163" t="s">
        <v>1065</v>
      </c>
      <c r="AI399" s="163"/>
      <c r="AJ399" s="163"/>
      <c r="AK399" s="163"/>
      <c r="AL399" s="163"/>
      <c r="AM399" s="163"/>
      <c r="AN399" s="130"/>
      <c r="AO399" s="130"/>
      <c r="AP399" s="130"/>
      <c r="AQ399" s="130"/>
      <c r="AR399" s="130"/>
      <c r="AS399" s="130"/>
      <c r="AT399" s="130"/>
    </row>
    <row r="400" ht="13.5" customHeight="1">
      <c r="A400" s="130" t="s">
        <v>924</v>
      </c>
      <c r="B400" s="170" t="s">
        <v>925</v>
      </c>
      <c r="C400" s="130"/>
      <c r="D400" s="130"/>
      <c r="E400" s="163">
        <v>3.0</v>
      </c>
      <c r="F400" s="163">
        <v>3.0</v>
      </c>
      <c r="G400" s="163">
        <v>2.0</v>
      </c>
      <c r="H400" s="163">
        <v>2.0</v>
      </c>
      <c r="I400" s="163">
        <v>2.0</v>
      </c>
      <c r="J400" s="163"/>
      <c r="K400" s="130"/>
      <c r="L400" s="163">
        <f t="shared" si="401"/>
        <v>0</v>
      </c>
      <c r="M400" s="163">
        <f t="shared" ref="M400:O400" si="437">IF(F400&gt;V400,0,1)</f>
        <v>0</v>
      </c>
      <c r="N400" s="163">
        <f t="shared" si="437"/>
        <v>0</v>
      </c>
      <c r="O400" s="163">
        <f t="shared" si="437"/>
        <v>0</v>
      </c>
      <c r="P400" s="163">
        <f t="shared" si="435"/>
        <v>0</v>
      </c>
      <c r="Q400" s="130"/>
      <c r="R400" s="130"/>
      <c r="S400" s="163">
        <f t="shared" si="399"/>
        <v>0</v>
      </c>
      <c r="T400" s="170"/>
      <c r="U400" s="163">
        <f>'計分版'!E$14</f>
        <v>0.0000000001</v>
      </c>
      <c r="V400" s="163">
        <f>'計分版'!F$14</f>
        <v>0.0000000002</v>
      </c>
      <c r="W400" s="163">
        <f>'計分版'!G$14</f>
        <v>0.0000000003</v>
      </c>
      <c r="X400" s="163">
        <f>'計分版'!H$14</f>
        <v>0.0000000004</v>
      </c>
      <c r="Y400" s="163">
        <f>'計分版'!I$14</f>
        <v>0.0000000005</v>
      </c>
      <c r="Z400" s="163">
        <f>'計分版'!J$14</f>
        <v>0</v>
      </c>
      <c r="AA400" s="163">
        <f>'計分版'!K$14</f>
        <v>0</v>
      </c>
      <c r="AB400" s="163">
        <f>'計分版'!L$14</f>
        <v>0</v>
      </c>
      <c r="AC400" s="163">
        <f>'計分版'!M$14</f>
        <v>0</v>
      </c>
      <c r="AD400" s="163">
        <f>'計分版'!N$14</f>
        <v>0</v>
      </c>
      <c r="AE400" s="163"/>
      <c r="AF400" s="163"/>
      <c r="AG400" s="163"/>
      <c r="AH400" s="163" t="s">
        <v>1065</v>
      </c>
      <c r="AI400" s="163"/>
      <c r="AJ400" s="163"/>
      <c r="AK400" s="163"/>
      <c r="AL400" s="163"/>
      <c r="AM400" s="163"/>
      <c r="AN400" s="130"/>
      <c r="AO400" s="130"/>
      <c r="AP400" s="130"/>
      <c r="AQ400" s="130"/>
      <c r="AR400" s="130"/>
      <c r="AS400" s="130"/>
      <c r="AT400" s="130"/>
    </row>
    <row r="401" ht="13.5" customHeight="1">
      <c r="A401" s="130" t="s">
        <v>926</v>
      </c>
      <c r="B401" s="170" t="s">
        <v>927</v>
      </c>
      <c r="C401" s="130"/>
      <c r="D401" s="130"/>
      <c r="E401" s="163">
        <v>3.0</v>
      </c>
      <c r="F401" s="163">
        <v>3.0</v>
      </c>
      <c r="G401" s="163">
        <v>2.0</v>
      </c>
      <c r="H401" s="163">
        <v>2.0</v>
      </c>
      <c r="I401" s="163">
        <v>2.0</v>
      </c>
      <c r="J401" s="163"/>
      <c r="K401" s="130"/>
      <c r="L401" s="163">
        <f t="shared" si="401"/>
        <v>0</v>
      </c>
      <c r="M401" s="163">
        <f t="shared" ref="M401:O401" si="438">IF(F401&gt;V401,0,1)</f>
        <v>0</v>
      </c>
      <c r="N401" s="163">
        <f t="shared" si="438"/>
        <v>0</v>
      </c>
      <c r="O401" s="163">
        <f t="shared" si="438"/>
        <v>0</v>
      </c>
      <c r="P401" s="163">
        <f>IF('計分版'!T414=0,0,1)</f>
        <v>0</v>
      </c>
      <c r="Q401" s="130"/>
      <c r="R401" s="130"/>
      <c r="S401" s="163">
        <f t="shared" si="399"/>
        <v>0</v>
      </c>
      <c r="T401" s="170"/>
      <c r="U401" s="163">
        <f>'計分版'!E$14</f>
        <v>0.0000000001</v>
      </c>
      <c r="V401" s="163">
        <f>'計分版'!F$14</f>
        <v>0.0000000002</v>
      </c>
      <c r="W401" s="163">
        <f>'計分版'!G$14</f>
        <v>0.0000000003</v>
      </c>
      <c r="X401" s="163">
        <f>'計分版'!H$14</f>
        <v>0.0000000004</v>
      </c>
      <c r="Y401" s="163">
        <f>'計分版'!I$14</f>
        <v>0.0000000005</v>
      </c>
      <c r="Z401" s="163">
        <f>'計分版'!J$14</f>
        <v>0</v>
      </c>
      <c r="AA401" s="163">
        <f>'計分版'!K$14</f>
        <v>0</v>
      </c>
      <c r="AB401" s="163">
        <f>'計分版'!L$14</f>
        <v>0</v>
      </c>
      <c r="AC401" s="163">
        <f>'計分版'!M$14</f>
        <v>0</v>
      </c>
      <c r="AD401" s="163">
        <f>'計分版'!N$14</f>
        <v>0</v>
      </c>
      <c r="AE401" s="163"/>
      <c r="AF401" s="163" t="s">
        <v>1065</v>
      </c>
      <c r="AG401" s="163"/>
      <c r="AH401" s="163" t="s">
        <v>1065</v>
      </c>
      <c r="AI401" s="163"/>
      <c r="AJ401" s="163"/>
      <c r="AK401" s="163"/>
      <c r="AL401" s="163"/>
      <c r="AM401" s="163"/>
      <c r="AN401" s="130"/>
      <c r="AO401" s="130"/>
      <c r="AP401" s="130"/>
      <c r="AQ401" s="130"/>
      <c r="AR401" s="130"/>
      <c r="AS401" s="130"/>
      <c r="AT401" s="130"/>
    </row>
    <row r="402" ht="13.5" customHeight="1">
      <c r="A402" s="130" t="s">
        <v>929</v>
      </c>
      <c r="B402" s="170" t="s">
        <v>930</v>
      </c>
      <c r="C402" s="130"/>
      <c r="D402" s="130"/>
      <c r="E402" s="163">
        <v>3.0</v>
      </c>
      <c r="F402" s="163">
        <v>3.0</v>
      </c>
      <c r="G402" s="163">
        <v>2.0</v>
      </c>
      <c r="H402" s="163">
        <v>2.0</v>
      </c>
      <c r="I402" s="163">
        <v>2.0</v>
      </c>
      <c r="J402" s="163"/>
      <c r="K402" s="130"/>
      <c r="L402" s="163">
        <f t="shared" si="401"/>
        <v>0</v>
      </c>
      <c r="M402" s="163">
        <f t="shared" ref="M402:O402" si="439">IF(F402&gt;V402,0,1)</f>
        <v>0</v>
      </c>
      <c r="N402" s="163">
        <f t="shared" si="439"/>
        <v>0</v>
      </c>
      <c r="O402" s="163">
        <f t="shared" si="439"/>
        <v>0</v>
      </c>
      <c r="P402" s="163">
        <f t="shared" ref="P402:P407" si="441">IF(I402&gt;LARGE(Z402:AC402,1),0,1)</f>
        <v>0</v>
      </c>
      <c r="Q402" s="130"/>
      <c r="R402" s="130"/>
      <c r="S402" s="163">
        <f t="shared" si="399"/>
        <v>0</v>
      </c>
      <c r="T402" s="170"/>
      <c r="U402" s="163">
        <f>'計分版'!E$14</f>
        <v>0.0000000001</v>
      </c>
      <c r="V402" s="163">
        <f>'計分版'!F$14</f>
        <v>0.0000000002</v>
      </c>
      <c r="W402" s="163">
        <f>'計分版'!G$14</f>
        <v>0.0000000003</v>
      </c>
      <c r="X402" s="163">
        <f>'計分版'!H$14</f>
        <v>0.0000000004</v>
      </c>
      <c r="Y402" s="163">
        <f>'計分版'!I$14</f>
        <v>0.0000000005</v>
      </c>
      <c r="Z402" s="163">
        <f>'計分版'!J$14</f>
        <v>0</v>
      </c>
      <c r="AA402" s="163">
        <f>'計分版'!K$14</f>
        <v>0</v>
      </c>
      <c r="AB402" s="163">
        <f>'計分版'!L$14</f>
        <v>0</v>
      </c>
      <c r="AC402" s="163">
        <f>'計分版'!M$14</f>
        <v>0</v>
      </c>
      <c r="AD402" s="163">
        <f>'計分版'!N$14</f>
        <v>0</v>
      </c>
      <c r="AE402" s="163"/>
      <c r="AF402" s="163"/>
      <c r="AG402" s="163"/>
      <c r="AH402" s="163" t="s">
        <v>1065</v>
      </c>
      <c r="AI402" s="163"/>
      <c r="AJ402" s="163"/>
      <c r="AK402" s="163"/>
      <c r="AL402" s="163"/>
      <c r="AM402" s="163"/>
      <c r="AN402" s="130"/>
      <c r="AO402" s="130"/>
      <c r="AP402" s="130"/>
      <c r="AQ402" s="130"/>
      <c r="AR402" s="130"/>
      <c r="AS402" s="130"/>
      <c r="AT402" s="130"/>
    </row>
    <row r="403" ht="13.5" customHeight="1">
      <c r="A403" s="130" t="s">
        <v>931</v>
      </c>
      <c r="B403" s="170" t="s">
        <v>932</v>
      </c>
      <c r="C403" s="130"/>
      <c r="D403" s="130"/>
      <c r="E403" s="163">
        <v>3.0</v>
      </c>
      <c r="F403" s="163">
        <v>3.0</v>
      </c>
      <c r="G403" s="163">
        <v>2.0</v>
      </c>
      <c r="H403" s="163">
        <v>2.0</v>
      </c>
      <c r="I403" s="163">
        <v>2.0</v>
      </c>
      <c r="J403" s="163"/>
      <c r="K403" s="130"/>
      <c r="L403" s="163">
        <f t="shared" si="401"/>
        <v>0</v>
      </c>
      <c r="M403" s="163">
        <f t="shared" ref="M403:O403" si="440">IF(F403&gt;V403,0,1)</f>
        <v>0</v>
      </c>
      <c r="N403" s="163">
        <f t="shared" si="440"/>
        <v>0</v>
      </c>
      <c r="O403" s="163">
        <f t="shared" si="440"/>
        <v>0</v>
      </c>
      <c r="P403" s="163">
        <f t="shared" si="441"/>
        <v>0</v>
      </c>
      <c r="Q403" s="130"/>
      <c r="R403" s="130"/>
      <c r="S403" s="163">
        <f t="shared" si="399"/>
        <v>0</v>
      </c>
      <c r="T403" s="170"/>
      <c r="U403" s="163">
        <f>'計分版'!E$14</f>
        <v>0.0000000001</v>
      </c>
      <c r="V403" s="163">
        <f>'計分版'!F$14</f>
        <v>0.0000000002</v>
      </c>
      <c r="W403" s="163">
        <f>'計分版'!G$14</f>
        <v>0.0000000003</v>
      </c>
      <c r="X403" s="163">
        <f>'計分版'!H$14</f>
        <v>0.0000000004</v>
      </c>
      <c r="Y403" s="163">
        <f>'計分版'!I$14</f>
        <v>0.0000000005</v>
      </c>
      <c r="Z403" s="163">
        <f>'計分版'!J$14</f>
        <v>0</v>
      </c>
      <c r="AA403" s="163">
        <f>'計分版'!K$14</f>
        <v>0</v>
      </c>
      <c r="AB403" s="163">
        <f>'計分版'!L$14</f>
        <v>0</v>
      </c>
      <c r="AC403" s="163">
        <f>'計分版'!M$14</f>
        <v>0</v>
      </c>
      <c r="AD403" s="163">
        <f>'計分版'!N$14</f>
        <v>0</v>
      </c>
      <c r="AE403" s="163"/>
      <c r="AF403" s="163"/>
      <c r="AG403" s="163"/>
      <c r="AH403" s="163" t="s">
        <v>1065</v>
      </c>
      <c r="AI403" s="163"/>
      <c r="AJ403" s="163"/>
      <c r="AK403" s="163"/>
      <c r="AL403" s="163"/>
      <c r="AM403" s="163"/>
      <c r="AN403" s="130"/>
      <c r="AO403" s="130"/>
      <c r="AP403" s="130"/>
      <c r="AQ403" s="130"/>
      <c r="AR403" s="130"/>
      <c r="AS403" s="130"/>
      <c r="AT403" s="130"/>
    </row>
    <row r="404" ht="13.5" customHeight="1">
      <c r="A404" s="130" t="s">
        <v>933</v>
      </c>
      <c r="B404" s="170" t="s">
        <v>934</v>
      </c>
      <c r="C404" s="130"/>
      <c r="D404" s="130"/>
      <c r="E404" s="163">
        <v>3.0</v>
      </c>
      <c r="F404" s="163">
        <v>3.0</v>
      </c>
      <c r="G404" s="163">
        <v>2.0</v>
      </c>
      <c r="H404" s="163">
        <v>2.0</v>
      </c>
      <c r="I404" s="163">
        <v>2.0</v>
      </c>
      <c r="J404" s="163"/>
      <c r="K404" s="130"/>
      <c r="L404" s="163">
        <f t="shared" si="401"/>
        <v>0</v>
      </c>
      <c r="M404" s="163">
        <f t="shared" ref="M404:O404" si="442">IF(F404&gt;V404,0,1)</f>
        <v>0</v>
      </c>
      <c r="N404" s="163">
        <f t="shared" si="442"/>
        <v>0</v>
      </c>
      <c r="O404" s="163">
        <f t="shared" si="442"/>
        <v>0</v>
      </c>
      <c r="P404" s="163">
        <f t="shared" si="441"/>
        <v>0</v>
      </c>
      <c r="Q404" s="130"/>
      <c r="R404" s="130"/>
      <c r="S404" s="163">
        <f t="shared" si="399"/>
        <v>0</v>
      </c>
      <c r="T404" s="170"/>
      <c r="U404" s="163">
        <f>'計分版'!E$14</f>
        <v>0.0000000001</v>
      </c>
      <c r="V404" s="163">
        <f>'計分版'!F$14</f>
        <v>0.0000000002</v>
      </c>
      <c r="W404" s="163">
        <f>'計分版'!G$14</f>
        <v>0.0000000003</v>
      </c>
      <c r="X404" s="163">
        <f>'計分版'!H$14</f>
        <v>0.0000000004</v>
      </c>
      <c r="Y404" s="163">
        <f>'計分版'!I$14</f>
        <v>0.0000000005</v>
      </c>
      <c r="Z404" s="163">
        <f>'計分版'!J$14</f>
        <v>0</v>
      </c>
      <c r="AA404" s="163">
        <f>'計分版'!K$14</f>
        <v>0</v>
      </c>
      <c r="AB404" s="163">
        <f>'計分版'!L$14</f>
        <v>0</v>
      </c>
      <c r="AC404" s="163">
        <f>'計分版'!M$14</f>
        <v>0</v>
      </c>
      <c r="AD404" s="163">
        <f>'計分版'!N$14</f>
        <v>0</v>
      </c>
      <c r="AE404" s="163"/>
      <c r="AF404" s="163"/>
      <c r="AG404" s="163"/>
      <c r="AH404" s="163" t="s">
        <v>1065</v>
      </c>
      <c r="AI404" s="163"/>
      <c r="AJ404" s="163"/>
      <c r="AK404" s="163"/>
      <c r="AL404" s="163"/>
      <c r="AM404" s="163"/>
      <c r="AN404" s="130"/>
      <c r="AO404" s="130"/>
      <c r="AP404" s="130"/>
      <c r="AQ404" s="130"/>
      <c r="AR404" s="130"/>
      <c r="AS404" s="130"/>
      <c r="AT404" s="130"/>
    </row>
    <row r="405" ht="13.5" customHeight="1">
      <c r="A405" s="130" t="s">
        <v>935</v>
      </c>
      <c r="B405" s="170" t="s">
        <v>936</v>
      </c>
      <c r="C405" s="130"/>
      <c r="D405" s="130"/>
      <c r="E405" s="163">
        <v>3.0</v>
      </c>
      <c r="F405" s="163">
        <v>3.0</v>
      </c>
      <c r="G405" s="163">
        <v>2.0</v>
      </c>
      <c r="H405" s="163">
        <v>2.0</v>
      </c>
      <c r="I405" s="163">
        <v>2.0</v>
      </c>
      <c r="J405" s="163"/>
      <c r="K405" s="130"/>
      <c r="L405" s="163">
        <f t="shared" si="401"/>
        <v>0</v>
      </c>
      <c r="M405" s="163">
        <f t="shared" ref="M405:O405" si="443">IF(F405&gt;V405,0,1)</f>
        <v>0</v>
      </c>
      <c r="N405" s="163">
        <f t="shared" si="443"/>
        <v>0</v>
      </c>
      <c r="O405" s="163">
        <f t="shared" si="443"/>
        <v>0</v>
      </c>
      <c r="P405" s="163">
        <f t="shared" si="441"/>
        <v>0</v>
      </c>
      <c r="Q405" s="130"/>
      <c r="R405" s="130"/>
      <c r="S405" s="163">
        <f t="shared" si="399"/>
        <v>0</v>
      </c>
      <c r="T405" s="170"/>
      <c r="U405" s="163">
        <f>'計分版'!E$14</f>
        <v>0.0000000001</v>
      </c>
      <c r="V405" s="163">
        <f>'計分版'!F$14</f>
        <v>0.0000000002</v>
      </c>
      <c r="W405" s="163">
        <f>'計分版'!G$14</f>
        <v>0.0000000003</v>
      </c>
      <c r="X405" s="163">
        <f>'計分版'!H$14</f>
        <v>0.0000000004</v>
      </c>
      <c r="Y405" s="163">
        <f>'計分版'!I$14</f>
        <v>0.0000000005</v>
      </c>
      <c r="Z405" s="163">
        <f>'計分版'!J$14</f>
        <v>0</v>
      </c>
      <c r="AA405" s="163">
        <f>'計分版'!K$14</f>
        <v>0</v>
      </c>
      <c r="AB405" s="163">
        <f>'計分版'!L$14</f>
        <v>0</v>
      </c>
      <c r="AC405" s="163">
        <f>'計分版'!M$14</f>
        <v>0</v>
      </c>
      <c r="AD405" s="163">
        <f>'計分版'!N$14</f>
        <v>0</v>
      </c>
      <c r="AE405" s="163"/>
      <c r="AF405" s="163"/>
      <c r="AG405" s="163"/>
      <c r="AH405" s="163" t="s">
        <v>1065</v>
      </c>
      <c r="AI405" s="163"/>
      <c r="AJ405" s="163"/>
      <c r="AK405" s="163"/>
      <c r="AL405" s="163"/>
      <c r="AM405" s="163"/>
      <c r="AN405" s="130"/>
      <c r="AO405" s="130"/>
      <c r="AP405" s="130"/>
      <c r="AQ405" s="130"/>
      <c r="AR405" s="130"/>
      <c r="AS405" s="130"/>
      <c r="AT405" s="130"/>
    </row>
    <row r="406" ht="13.5" customHeight="1">
      <c r="A406" s="130" t="s">
        <v>937</v>
      </c>
      <c r="B406" s="130" t="s">
        <v>938</v>
      </c>
      <c r="C406" s="130"/>
      <c r="D406" s="130"/>
      <c r="E406" s="163">
        <v>3.0</v>
      </c>
      <c r="F406" s="163">
        <v>3.0</v>
      </c>
      <c r="G406" s="163">
        <v>2.0</v>
      </c>
      <c r="H406" s="163">
        <v>2.0</v>
      </c>
      <c r="I406" s="163">
        <v>2.0</v>
      </c>
      <c r="J406" s="163"/>
      <c r="K406" s="130"/>
      <c r="L406" s="163">
        <f t="shared" si="401"/>
        <v>0</v>
      </c>
      <c r="M406" s="163">
        <f t="shared" ref="M406:O406" si="444">IF(F406&gt;V406,0,1)</f>
        <v>0</v>
      </c>
      <c r="N406" s="163">
        <f t="shared" si="444"/>
        <v>0</v>
      </c>
      <c r="O406" s="163">
        <f t="shared" si="444"/>
        <v>0</v>
      </c>
      <c r="P406" s="163">
        <f t="shared" si="441"/>
        <v>0</v>
      </c>
      <c r="Q406" s="130"/>
      <c r="R406" s="130"/>
      <c r="S406" s="163">
        <f t="shared" si="399"/>
        <v>0</v>
      </c>
      <c r="T406" s="170"/>
      <c r="U406" s="163">
        <f>'計分版'!E$14</f>
        <v>0.0000000001</v>
      </c>
      <c r="V406" s="163">
        <f>'計分版'!F$14</f>
        <v>0.0000000002</v>
      </c>
      <c r="W406" s="163">
        <f>'計分版'!G$14</f>
        <v>0.0000000003</v>
      </c>
      <c r="X406" s="163">
        <f>'計分版'!H$14</f>
        <v>0.0000000004</v>
      </c>
      <c r="Y406" s="163">
        <f>'計分版'!I$14</f>
        <v>0.0000000005</v>
      </c>
      <c r="Z406" s="163">
        <f>'計分版'!J$14</f>
        <v>0</v>
      </c>
      <c r="AA406" s="163">
        <f>'計分版'!K$14</f>
        <v>0</v>
      </c>
      <c r="AB406" s="163">
        <f>'計分版'!L$14</f>
        <v>0</v>
      </c>
      <c r="AC406" s="163">
        <f>'計分版'!M$14</f>
        <v>0</v>
      </c>
      <c r="AD406" s="163">
        <f>'計分版'!N$14</f>
        <v>0</v>
      </c>
      <c r="AE406" s="163"/>
      <c r="AF406" s="163"/>
      <c r="AG406" s="163"/>
      <c r="AH406" s="163" t="s">
        <v>1065</v>
      </c>
      <c r="AI406" s="163"/>
      <c r="AJ406" s="163"/>
      <c r="AK406" s="163"/>
      <c r="AL406" s="163"/>
      <c r="AM406" s="163"/>
      <c r="AN406" s="130"/>
      <c r="AO406" s="130"/>
      <c r="AP406" s="130"/>
      <c r="AQ406" s="130"/>
      <c r="AR406" s="130"/>
      <c r="AS406" s="130"/>
      <c r="AT406" s="130"/>
    </row>
    <row r="407" ht="13.5" customHeight="1">
      <c r="A407" s="130" t="s">
        <v>939</v>
      </c>
      <c r="B407" s="130" t="s">
        <v>940</v>
      </c>
      <c r="C407" s="130"/>
      <c r="D407" s="130"/>
      <c r="E407" s="163">
        <v>3.0</v>
      </c>
      <c r="F407" s="163">
        <v>3.0</v>
      </c>
      <c r="G407" s="163">
        <v>2.0</v>
      </c>
      <c r="H407" s="163">
        <v>2.0</v>
      </c>
      <c r="I407" s="163">
        <v>2.0</v>
      </c>
      <c r="J407" s="163"/>
      <c r="K407" s="130"/>
      <c r="L407" s="163">
        <f t="shared" si="401"/>
        <v>0</v>
      </c>
      <c r="M407" s="163">
        <f t="shared" ref="M407:O407" si="445">IF(F407&gt;V407,0,1)</f>
        <v>0</v>
      </c>
      <c r="N407" s="163">
        <f t="shared" si="445"/>
        <v>0</v>
      </c>
      <c r="O407" s="163">
        <f t="shared" si="445"/>
        <v>0</v>
      </c>
      <c r="P407" s="163">
        <f t="shared" si="441"/>
        <v>0</v>
      </c>
      <c r="Q407" s="130"/>
      <c r="R407" s="130"/>
      <c r="S407" s="163">
        <f t="shared" si="399"/>
        <v>0</v>
      </c>
      <c r="T407" s="130"/>
      <c r="U407" s="163">
        <f>'計分版'!E$14</f>
        <v>0.0000000001</v>
      </c>
      <c r="V407" s="163">
        <f>'計分版'!F$14</f>
        <v>0.0000000002</v>
      </c>
      <c r="W407" s="163">
        <f>'計分版'!G$14</f>
        <v>0.0000000003</v>
      </c>
      <c r="X407" s="163">
        <f>'計分版'!H$14</f>
        <v>0.0000000004</v>
      </c>
      <c r="Y407" s="163">
        <f>'計分版'!I$14</f>
        <v>0.0000000005</v>
      </c>
      <c r="Z407" s="163">
        <f>'計分版'!J$14</f>
        <v>0</v>
      </c>
      <c r="AA407" s="163">
        <f>'計分版'!K$14</f>
        <v>0</v>
      </c>
      <c r="AB407" s="163">
        <f>'計分版'!L$14</f>
        <v>0</v>
      </c>
      <c r="AC407" s="163">
        <f>'計分版'!M$14</f>
        <v>0</v>
      </c>
      <c r="AD407" s="163">
        <f>'計分版'!N$14</f>
        <v>0</v>
      </c>
      <c r="AE407" s="163"/>
      <c r="AF407" s="163"/>
      <c r="AG407" s="163"/>
      <c r="AH407" s="163"/>
      <c r="AI407" s="163"/>
      <c r="AJ407" s="163"/>
      <c r="AK407" s="163"/>
      <c r="AL407" s="163"/>
      <c r="AM407" s="163"/>
      <c r="AN407" s="130"/>
      <c r="AO407" s="130"/>
      <c r="AP407" s="130"/>
      <c r="AQ407" s="130"/>
      <c r="AR407" s="130"/>
      <c r="AS407" s="130"/>
      <c r="AT407" s="130"/>
    </row>
    <row r="408" ht="13.5" customHeight="1">
      <c r="A408" s="130" t="s">
        <v>941</v>
      </c>
      <c r="B408" s="130" t="s">
        <v>942</v>
      </c>
      <c r="C408" s="130"/>
      <c r="D408" s="130"/>
      <c r="E408" s="163">
        <v>3.0</v>
      </c>
      <c r="F408" s="163">
        <v>3.0</v>
      </c>
      <c r="G408" s="163">
        <v>2.0</v>
      </c>
      <c r="H408" s="163">
        <v>2.0</v>
      </c>
      <c r="I408" s="163">
        <v>2.0</v>
      </c>
      <c r="J408" s="163"/>
      <c r="K408" s="130"/>
      <c r="L408" s="163">
        <f t="shared" si="401"/>
        <v>0</v>
      </c>
      <c r="M408" s="163">
        <f t="shared" ref="M408:O408" si="446">IF(F408&gt;V408,0,1)</f>
        <v>0</v>
      </c>
      <c r="N408" s="163">
        <f t="shared" si="446"/>
        <v>0</v>
      </c>
      <c r="O408" s="163">
        <f t="shared" si="446"/>
        <v>0</v>
      </c>
      <c r="P408" s="163">
        <f>IF(I408&gt;LARGE(Z408:AC408,1),0,IF('計分版'!T421=0,2,1))</f>
        <v>0</v>
      </c>
      <c r="Q408" s="130"/>
      <c r="R408" s="130"/>
      <c r="S408" s="163">
        <f t="shared" si="399"/>
        <v>0</v>
      </c>
      <c r="T408" s="130"/>
      <c r="U408" s="163">
        <f>'計分版'!E$14</f>
        <v>0.0000000001</v>
      </c>
      <c r="V408" s="163">
        <f>'計分版'!F$14</f>
        <v>0.0000000002</v>
      </c>
      <c r="W408" s="163">
        <f>'計分版'!G$14</f>
        <v>0.0000000003</v>
      </c>
      <c r="X408" s="163">
        <f>'計分版'!H$14</f>
        <v>0.0000000004</v>
      </c>
      <c r="Y408" s="163">
        <f>'計分版'!I$14</f>
        <v>0.0000000005</v>
      </c>
      <c r="Z408" s="163">
        <f>'計分版'!J$14</f>
        <v>0</v>
      </c>
      <c r="AA408" s="163">
        <f>'計分版'!K$14</f>
        <v>0</v>
      </c>
      <c r="AB408" s="163">
        <f>'計分版'!L$14</f>
        <v>0</v>
      </c>
      <c r="AC408" s="163">
        <f>'計分版'!M$14</f>
        <v>0</v>
      </c>
      <c r="AD408" s="163">
        <f>'計分版'!N$14</f>
        <v>0</v>
      </c>
      <c r="AE408" s="163"/>
      <c r="AF408" s="163"/>
      <c r="AG408" s="163"/>
      <c r="AH408" s="163"/>
      <c r="AI408" s="163"/>
      <c r="AJ408" s="163"/>
      <c r="AK408" s="163"/>
      <c r="AL408" s="163"/>
      <c r="AM408" s="163"/>
      <c r="AN408" s="130"/>
      <c r="AO408" s="130"/>
      <c r="AP408" s="130"/>
      <c r="AQ408" s="130"/>
      <c r="AR408" s="130"/>
      <c r="AS408" s="130"/>
      <c r="AT408" s="130"/>
    </row>
    <row r="409" ht="13.5" customHeight="1">
      <c r="A409" s="130"/>
      <c r="B409" s="130"/>
      <c r="C409" s="130"/>
      <c r="D409" s="130"/>
      <c r="E409" s="163"/>
      <c r="F409" s="163"/>
      <c r="G409" s="163"/>
      <c r="H409" s="163"/>
      <c r="I409" s="163"/>
      <c r="J409" s="163"/>
      <c r="K409" s="130"/>
      <c r="L409" s="130"/>
      <c r="M409" s="130"/>
      <c r="N409" s="130"/>
      <c r="O409" s="130"/>
      <c r="P409" s="130"/>
      <c r="Q409" s="130"/>
      <c r="R409" s="130"/>
      <c r="S409" s="163"/>
      <c r="T409" s="130"/>
      <c r="U409" s="163"/>
      <c r="V409" s="163"/>
      <c r="W409" s="163"/>
      <c r="X409" s="163"/>
      <c r="Y409" s="163"/>
      <c r="Z409" s="163"/>
      <c r="AA409" s="163"/>
      <c r="AB409" s="163"/>
      <c r="AC409" s="163"/>
      <c r="AD409" s="163"/>
      <c r="AE409" s="163"/>
      <c r="AF409" s="163"/>
      <c r="AG409" s="163"/>
      <c r="AH409" s="163"/>
      <c r="AI409" s="163"/>
      <c r="AJ409" s="163"/>
      <c r="AK409" s="163"/>
      <c r="AL409" s="163"/>
      <c r="AM409" s="163"/>
      <c r="AN409" s="130"/>
      <c r="AO409" s="130"/>
      <c r="AP409" s="130"/>
      <c r="AQ409" s="130"/>
      <c r="AR409" s="130"/>
      <c r="AS409" s="130"/>
      <c r="AT409" s="130"/>
    </row>
    <row r="410" ht="13.5" customHeight="1">
      <c r="A410" s="130"/>
      <c r="B410" s="130"/>
      <c r="C410" s="130"/>
      <c r="D410" s="130"/>
      <c r="E410" s="163"/>
      <c r="F410" s="163"/>
      <c r="G410" s="163"/>
      <c r="H410" s="163"/>
      <c r="I410" s="163"/>
      <c r="J410" s="163"/>
      <c r="K410" s="130"/>
      <c r="L410" s="130"/>
      <c r="M410" s="130"/>
      <c r="N410" s="130"/>
      <c r="O410" s="130"/>
      <c r="P410" s="130"/>
      <c r="Q410" s="130"/>
      <c r="R410" s="130"/>
      <c r="S410" s="163"/>
      <c r="T410" s="130"/>
      <c r="U410" s="163"/>
      <c r="V410" s="163"/>
      <c r="W410" s="163"/>
      <c r="X410" s="163"/>
      <c r="Y410" s="163"/>
      <c r="Z410" s="163"/>
      <c r="AA410" s="163"/>
      <c r="AB410" s="163"/>
      <c r="AC410" s="163"/>
      <c r="AD410" s="163"/>
      <c r="AE410" s="163"/>
      <c r="AF410" s="163"/>
      <c r="AG410" s="163"/>
      <c r="AH410" s="163"/>
      <c r="AI410" s="163"/>
      <c r="AJ410" s="163"/>
      <c r="AK410" s="163"/>
      <c r="AL410" s="163"/>
      <c r="AM410" s="163"/>
      <c r="AN410" s="130"/>
      <c r="AO410" s="130"/>
      <c r="AP410" s="130"/>
      <c r="AQ410" s="130"/>
      <c r="AR410" s="130"/>
      <c r="AS410" s="130"/>
      <c r="AT410" s="130"/>
    </row>
    <row r="411" ht="13.5" customHeight="1">
      <c r="A411" s="130"/>
      <c r="B411" s="130"/>
      <c r="C411" s="130"/>
      <c r="D411" s="130"/>
      <c r="E411" s="163"/>
      <c r="F411" s="163"/>
      <c r="G411" s="163"/>
      <c r="H411" s="163"/>
      <c r="I411" s="163"/>
      <c r="J411" s="163"/>
      <c r="K411" s="130"/>
      <c r="L411" s="130"/>
      <c r="M411" s="130"/>
      <c r="N411" s="130"/>
      <c r="O411" s="130"/>
      <c r="P411" s="130"/>
      <c r="Q411" s="130"/>
      <c r="R411" s="130"/>
      <c r="S411" s="163"/>
      <c r="T411" s="163"/>
      <c r="U411" s="163"/>
      <c r="V411" s="163"/>
      <c r="W411" s="163"/>
      <c r="X411" s="163"/>
      <c r="Y411" s="163"/>
      <c r="Z411" s="163"/>
      <c r="AA411" s="163"/>
      <c r="AB411" s="163"/>
      <c r="AC411" s="163"/>
      <c r="AD411" s="163"/>
      <c r="AE411" s="163"/>
      <c r="AF411" s="163"/>
      <c r="AG411" s="163"/>
      <c r="AH411" s="163"/>
      <c r="AI411" s="163"/>
      <c r="AJ411" s="163"/>
      <c r="AK411" s="163"/>
      <c r="AL411" s="163"/>
      <c r="AM411" s="163"/>
      <c r="AN411" s="130"/>
      <c r="AO411" s="130"/>
      <c r="AP411" s="130"/>
      <c r="AQ411" s="130"/>
      <c r="AR411" s="130"/>
      <c r="AS411" s="130"/>
      <c r="AT411" s="130"/>
    </row>
    <row r="412" ht="13.5" customHeight="1">
      <c r="A412" s="130"/>
      <c r="B412" s="130"/>
      <c r="C412" s="130"/>
      <c r="D412" s="130"/>
      <c r="E412" s="163"/>
      <c r="F412" s="163"/>
      <c r="G412" s="163"/>
      <c r="H412" s="163"/>
      <c r="I412" s="163"/>
      <c r="J412" s="163"/>
      <c r="K412" s="130"/>
      <c r="L412" s="130"/>
      <c r="M412" s="130"/>
      <c r="N412" s="130"/>
      <c r="O412" s="130"/>
      <c r="P412" s="130"/>
      <c r="Q412" s="130"/>
      <c r="R412" s="130"/>
      <c r="S412" s="163"/>
      <c r="T412" s="163"/>
      <c r="U412" s="163"/>
      <c r="V412" s="163"/>
      <c r="W412" s="163"/>
      <c r="X412" s="163"/>
      <c r="Y412" s="163"/>
      <c r="Z412" s="163"/>
      <c r="AA412" s="163"/>
      <c r="AB412" s="163"/>
      <c r="AC412" s="163"/>
      <c r="AD412" s="163"/>
      <c r="AE412" s="163"/>
      <c r="AF412" s="163"/>
      <c r="AG412" s="163"/>
      <c r="AH412" s="163"/>
      <c r="AI412" s="163"/>
      <c r="AJ412" s="163"/>
      <c r="AK412" s="163"/>
      <c r="AL412" s="163"/>
      <c r="AM412" s="163"/>
      <c r="AN412" s="130"/>
      <c r="AO412" s="130"/>
      <c r="AP412" s="130"/>
      <c r="AQ412" s="130"/>
      <c r="AR412" s="130"/>
      <c r="AS412" s="130"/>
      <c r="AT412" s="130"/>
    </row>
    <row r="413" ht="13.5" customHeight="1">
      <c r="A413" s="130"/>
      <c r="B413" s="130"/>
      <c r="C413" s="130"/>
      <c r="D413" s="130"/>
      <c r="E413" s="163"/>
      <c r="F413" s="163"/>
      <c r="G413" s="163"/>
      <c r="H413" s="163"/>
      <c r="I413" s="163"/>
      <c r="J413" s="163"/>
      <c r="K413" s="130"/>
      <c r="L413" s="130"/>
      <c r="M413" s="130"/>
      <c r="N413" s="130"/>
      <c r="O413" s="130"/>
      <c r="P413" s="130"/>
      <c r="Q413" s="130"/>
      <c r="R413" s="130"/>
      <c r="S413" s="163"/>
      <c r="T413" s="163"/>
      <c r="U413" s="163"/>
      <c r="V413" s="163"/>
      <c r="W413" s="163"/>
      <c r="X413" s="163"/>
      <c r="Y413" s="163"/>
      <c r="Z413" s="163"/>
      <c r="AA413" s="163"/>
      <c r="AB413" s="163"/>
      <c r="AC413" s="163"/>
      <c r="AD413" s="163"/>
      <c r="AE413" s="163"/>
      <c r="AF413" s="163"/>
      <c r="AG413" s="163"/>
      <c r="AH413" s="163"/>
      <c r="AI413" s="163"/>
      <c r="AJ413" s="163"/>
      <c r="AK413" s="163"/>
      <c r="AL413" s="163"/>
      <c r="AM413" s="163"/>
      <c r="AN413" s="130"/>
      <c r="AO413" s="130"/>
      <c r="AP413" s="130"/>
      <c r="AQ413" s="130"/>
      <c r="AR413" s="130"/>
      <c r="AS413" s="130"/>
      <c r="AT413" s="130"/>
    </row>
    <row r="414" ht="13.5" customHeight="1">
      <c r="A414" s="130"/>
      <c r="B414" s="130"/>
      <c r="C414" s="130"/>
      <c r="D414" s="130"/>
      <c r="E414" s="163"/>
      <c r="F414" s="163"/>
      <c r="G414" s="163"/>
      <c r="H414" s="163"/>
      <c r="I414" s="163"/>
      <c r="J414" s="163"/>
      <c r="K414" s="130"/>
      <c r="L414" s="130"/>
      <c r="M414" s="130"/>
      <c r="N414" s="130"/>
      <c r="O414" s="130"/>
      <c r="P414" s="130"/>
      <c r="Q414" s="130"/>
      <c r="R414" s="130"/>
      <c r="S414" s="163"/>
      <c r="T414" s="163"/>
      <c r="U414" s="163"/>
      <c r="V414" s="163"/>
      <c r="W414" s="163"/>
      <c r="X414" s="163"/>
      <c r="Y414" s="163"/>
      <c r="Z414" s="163"/>
      <c r="AA414" s="163"/>
      <c r="AB414" s="163"/>
      <c r="AC414" s="163"/>
      <c r="AD414" s="163"/>
      <c r="AE414" s="163"/>
      <c r="AF414" s="163"/>
      <c r="AG414" s="163"/>
      <c r="AH414" s="163"/>
      <c r="AI414" s="163"/>
      <c r="AJ414" s="163"/>
      <c r="AK414" s="163"/>
      <c r="AL414" s="163"/>
      <c r="AM414" s="163"/>
      <c r="AN414" s="130"/>
      <c r="AO414" s="130"/>
      <c r="AP414" s="130"/>
      <c r="AQ414" s="130"/>
      <c r="AR414" s="130"/>
      <c r="AS414" s="130"/>
      <c r="AT414" s="130"/>
    </row>
    <row r="415" ht="13.5" customHeight="1">
      <c r="A415" s="130"/>
      <c r="B415" s="130"/>
      <c r="C415" s="130"/>
      <c r="D415" s="130"/>
      <c r="E415" s="163"/>
      <c r="F415" s="163"/>
      <c r="G415" s="163"/>
      <c r="H415" s="163"/>
      <c r="I415" s="163"/>
      <c r="J415" s="163"/>
      <c r="K415" s="130"/>
      <c r="L415" s="130"/>
      <c r="M415" s="130"/>
      <c r="N415" s="130"/>
      <c r="O415" s="130"/>
      <c r="P415" s="130"/>
      <c r="Q415" s="130"/>
      <c r="R415" s="130"/>
      <c r="S415" s="163"/>
      <c r="T415" s="163"/>
      <c r="U415" s="163"/>
      <c r="V415" s="163"/>
      <c r="W415" s="163"/>
      <c r="X415" s="163"/>
      <c r="Y415" s="163"/>
      <c r="Z415" s="163"/>
      <c r="AA415" s="163"/>
      <c r="AB415" s="163"/>
      <c r="AC415" s="163"/>
      <c r="AD415" s="163"/>
      <c r="AE415" s="163"/>
      <c r="AF415" s="163"/>
      <c r="AG415" s="163"/>
      <c r="AH415" s="163"/>
      <c r="AI415" s="163"/>
      <c r="AJ415" s="163"/>
      <c r="AK415" s="163"/>
      <c r="AL415" s="163"/>
      <c r="AM415" s="163"/>
      <c r="AN415" s="130"/>
      <c r="AO415" s="130"/>
      <c r="AP415" s="130"/>
      <c r="AQ415" s="130"/>
      <c r="AR415" s="130"/>
      <c r="AS415" s="130"/>
      <c r="AT415" s="130"/>
    </row>
    <row r="416" ht="13.5" customHeight="1">
      <c r="A416" s="130"/>
      <c r="B416" s="130"/>
      <c r="C416" s="130"/>
      <c r="D416" s="130"/>
      <c r="E416" s="163"/>
      <c r="F416" s="163"/>
      <c r="G416" s="163"/>
      <c r="H416" s="163"/>
      <c r="I416" s="163"/>
      <c r="J416" s="163"/>
      <c r="K416" s="130"/>
      <c r="L416" s="130"/>
      <c r="M416" s="130"/>
      <c r="N416" s="130"/>
      <c r="O416" s="130"/>
      <c r="P416" s="130"/>
      <c r="Q416" s="130"/>
      <c r="R416" s="130"/>
      <c r="S416" s="163"/>
      <c r="T416" s="163"/>
      <c r="U416" s="163"/>
      <c r="V416" s="163"/>
      <c r="W416" s="163"/>
      <c r="X416" s="163"/>
      <c r="Y416" s="163"/>
      <c r="Z416" s="163"/>
      <c r="AA416" s="163"/>
      <c r="AB416" s="163"/>
      <c r="AC416" s="163"/>
      <c r="AD416" s="163"/>
      <c r="AE416" s="163"/>
      <c r="AF416" s="163"/>
      <c r="AG416" s="163"/>
      <c r="AH416" s="163"/>
      <c r="AI416" s="163"/>
      <c r="AJ416" s="163"/>
      <c r="AK416" s="163"/>
      <c r="AL416" s="163"/>
      <c r="AM416" s="163"/>
      <c r="AN416" s="130"/>
      <c r="AO416" s="130"/>
      <c r="AP416" s="130"/>
      <c r="AQ416" s="130"/>
      <c r="AR416" s="130"/>
      <c r="AS416" s="130"/>
      <c r="AT416" s="130"/>
    </row>
    <row r="417" ht="13.5" customHeight="1">
      <c r="A417" s="130"/>
      <c r="B417" s="130"/>
      <c r="C417" s="130"/>
      <c r="D417" s="130"/>
      <c r="E417" s="163"/>
      <c r="F417" s="163"/>
      <c r="G417" s="163"/>
      <c r="H417" s="163"/>
      <c r="I417" s="163"/>
      <c r="J417" s="163"/>
      <c r="K417" s="130"/>
      <c r="L417" s="130"/>
      <c r="M417" s="130"/>
      <c r="N417" s="130"/>
      <c r="O417" s="130"/>
      <c r="P417" s="130"/>
      <c r="Q417" s="130"/>
      <c r="R417" s="130"/>
      <c r="S417" s="163"/>
      <c r="T417" s="163"/>
      <c r="U417" s="163"/>
      <c r="V417" s="163"/>
      <c r="W417" s="163"/>
      <c r="X417" s="163"/>
      <c r="Y417" s="163"/>
      <c r="Z417" s="163"/>
      <c r="AA417" s="163"/>
      <c r="AB417" s="163"/>
      <c r="AC417" s="163"/>
      <c r="AD417" s="163"/>
      <c r="AE417" s="163"/>
      <c r="AF417" s="163"/>
      <c r="AG417" s="163"/>
      <c r="AH417" s="163"/>
      <c r="AI417" s="163"/>
      <c r="AJ417" s="163"/>
      <c r="AK417" s="163"/>
      <c r="AL417" s="163"/>
      <c r="AM417" s="163"/>
      <c r="AN417" s="130"/>
      <c r="AO417" s="130"/>
      <c r="AP417" s="130"/>
      <c r="AQ417" s="130"/>
      <c r="AR417" s="130"/>
      <c r="AS417" s="130"/>
      <c r="AT417" s="130"/>
    </row>
    <row r="418" ht="13.5" customHeight="1">
      <c r="A418" s="130"/>
      <c r="B418" s="130"/>
      <c r="C418" s="130"/>
      <c r="D418" s="130"/>
      <c r="E418" s="163"/>
      <c r="F418" s="163"/>
      <c r="G418" s="163"/>
      <c r="H418" s="163"/>
      <c r="I418" s="163"/>
      <c r="J418" s="163"/>
      <c r="K418" s="130"/>
      <c r="L418" s="130"/>
      <c r="M418" s="130"/>
      <c r="N418" s="130"/>
      <c r="O418" s="130"/>
      <c r="P418" s="130"/>
      <c r="Q418" s="130"/>
      <c r="R418" s="130"/>
      <c r="S418" s="163"/>
      <c r="T418" s="163"/>
      <c r="U418" s="163"/>
      <c r="V418" s="163"/>
      <c r="W418" s="163"/>
      <c r="X418" s="163"/>
      <c r="Y418" s="163"/>
      <c r="Z418" s="163"/>
      <c r="AA418" s="163"/>
      <c r="AB418" s="163"/>
      <c r="AC418" s="163"/>
      <c r="AD418" s="163"/>
      <c r="AE418" s="163"/>
      <c r="AF418" s="163"/>
      <c r="AG418" s="163"/>
      <c r="AH418" s="163"/>
      <c r="AI418" s="163"/>
      <c r="AJ418" s="163"/>
      <c r="AK418" s="163"/>
      <c r="AL418" s="163"/>
      <c r="AM418" s="163"/>
      <c r="AN418" s="130"/>
      <c r="AO418" s="130"/>
      <c r="AP418" s="130"/>
      <c r="AQ418" s="130"/>
      <c r="AR418" s="130"/>
      <c r="AS418" s="130"/>
      <c r="AT418" s="130"/>
    </row>
    <row r="419" ht="13.5" customHeight="1">
      <c r="A419" s="130"/>
      <c r="B419" s="130"/>
      <c r="C419" s="130"/>
      <c r="D419" s="130"/>
      <c r="E419" s="163"/>
      <c r="F419" s="163"/>
      <c r="G419" s="163"/>
      <c r="H419" s="163"/>
      <c r="I419" s="163"/>
      <c r="J419" s="163"/>
      <c r="K419" s="130"/>
      <c r="L419" s="130"/>
      <c r="M419" s="130"/>
      <c r="N419" s="130"/>
      <c r="O419" s="130"/>
      <c r="P419" s="130"/>
      <c r="Q419" s="130"/>
      <c r="R419" s="130"/>
      <c r="S419" s="163"/>
      <c r="T419" s="163"/>
      <c r="U419" s="163"/>
      <c r="V419" s="163"/>
      <c r="W419" s="163"/>
      <c r="X419" s="163"/>
      <c r="Y419" s="163"/>
      <c r="Z419" s="163"/>
      <c r="AA419" s="163"/>
      <c r="AB419" s="163"/>
      <c r="AC419" s="163"/>
      <c r="AD419" s="163"/>
      <c r="AE419" s="163"/>
      <c r="AF419" s="163"/>
      <c r="AG419" s="163"/>
      <c r="AH419" s="163"/>
      <c r="AI419" s="163"/>
      <c r="AJ419" s="163"/>
      <c r="AK419" s="163"/>
      <c r="AL419" s="163"/>
      <c r="AM419" s="163"/>
      <c r="AN419" s="130"/>
      <c r="AO419" s="130"/>
      <c r="AP419" s="130"/>
      <c r="AQ419" s="130"/>
      <c r="AR419" s="130"/>
      <c r="AS419" s="130"/>
      <c r="AT419" s="130"/>
    </row>
    <row r="420" ht="13.5" customHeight="1">
      <c r="A420" s="130"/>
      <c r="B420" s="130"/>
      <c r="C420" s="130"/>
      <c r="D420" s="130"/>
      <c r="E420" s="163"/>
      <c r="F420" s="163"/>
      <c r="G420" s="163"/>
      <c r="H420" s="163"/>
      <c r="I420" s="163"/>
      <c r="J420" s="163"/>
      <c r="K420" s="130"/>
      <c r="L420" s="130"/>
      <c r="M420" s="130"/>
      <c r="N420" s="130"/>
      <c r="O420" s="130"/>
      <c r="P420" s="130"/>
      <c r="Q420" s="130"/>
      <c r="R420" s="130"/>
      <c r="S420" s="163"/>
      <c r="T420" s="163"/>
      <c r="U420" s="163"/>
      <c r="V420" s="163"/>
      <c r="W420" s="163"/>
      <c r="X420" s="163"/>
      <c r="Y420" s="163"/>
      <c r="Z420" s="163"/>
      <c r="AA420" s="163"/>
      <c r="AB420" s="163"/>
      <c r="AC420" s="163"/>
      <c r="AD420" s="163"/>
      <c r="AE420" s="163"/>
      <c r="AF420" s="163"/>
      <c r="AG420" s="163"/>
      <c r="AH420" s="163"/>
      <c r="AI420" s="163"/>
      <c r="AJ420" s="163"/>
      <c r="AK420" s="163"/>
      <c r="AL420" s="163"/>
      <c r="AM420" s="163"/>
      <c r="AN420" s="130"/>
      <c r="AO420" s="130"/>
      <c r="AP420" s="130"/>
      <c r="AQ420" s="130"/>
      <c r="AR420" s="130"/>
      <c r="AS420" s="130"/>
      <c r="AT420" s="130"/>
    </row>
    <row r="421" ht="13.5" customHeight="1">
      <c r="A421" s="130"/>
      <c r="B421" s="130"/>
      <c r="C421" s="130"/>
      <c r="D421" s="130"/>
      <c r="E421" s="163"/>
      <c r="F421" s="163"/>
      <c r="G421" s="163"/>
      <c r="H421" s="163"/>
      <c r="I421" s="163"/>
      <c r="J421" s="163"/>
      <c r="K421" s="130"/>
      <c r="L421" s="130"/>
      <c r="M421" s="130"/>
      <c r="N421" s="130"/>
      <c r="O421" s="130"/>
      <c r="P421" s="130"/>
      <c r="Q421" s="130"/>
      <c r="R421" s="130"/>
      <c r="S421" s="163"/>
      <c r="T421" s="163"/>
      <c r="U421" s="163"/>
      <c r="V421" s="163"/>
      <c r="W421" s="163"/>
      <c r="X421" s="163"/>
      <c r="Y421" s="163"/>
      <c r="Z421" s="163"/>
      <c r="AA421" s="163"/>
      <c r="AB421" s="163"/>
      <c r="AC421" s="163"/>
      <c r="AD421" s="163"/>
      <c r="AE421" s="163"/>
      <c r="AF421" s="163"/>
      <c r="AG421" s="163"/>
      <c r="AH421" s="163"/>
      <c r="AI421" s="163"/>
      <c r="AJ421" s="163"/>
      <c r="AK421" s="163"/>
      <c r="AL421" s="163"/>
      <c r="AM421" s="163"/>
      <c r="AN421" s="130"/>
      <c r="AO421" s="130"/>
      <c r="AP421" s="130"/>
      <c r="AQ421" s="130"/>
      <c r="AR421" s="130"/>
      <c r="AS421" s="130"/>
      <c r="AT421" s="130"/>
    </row>
    <row r="422" ht="13.5" customHeight="1">
      <c r="A422" s="130"/>
      <c r="B422" s="130"/>
      <c r="C422" s="130"/>
      <c r="D422" s="130"/>
      <c r="E422" s="163"/>
      <c r="F422" s="163"/>
      <c r="G422" s="163"/>
      <c r="H422" s="163"/>
      <c r="I422" s="163"/>
      <c r="J422" s="163"/>
      <c r="K422" s="130"/>
      <c r="L422" s="130"/>
      <c r="M422" s="130"/>
      <c r="N422" s="130"/>
      <c r="O422" s="130"/>
      <c r="P422" s="130"/>
      <c r="Q422" s="130"/>
      <c r="R422" s="130"/>
      <c r="S422" s="163"/>
      <c r="T422" s="163"/>
      <c r="U422" s="163"/>
      <c r="V422" s="163"/>
      <c r="W422" s="163"/>
      <c r="X422" s="163"/>
      <c r="Y422" s="163"/>
      <c r="Z422" s="163"/>
      <c r="AA422" s="163"/>
      <c r="AB422" s="163"/>
      <c r="AC422" s="163"/>
      <c r="AD422" s="163"/>
      <c r="AE422" s="163"/>
      <c r="AF422" s="163"/>
      <c r="AG422" s="163"/>
      <c r="AH422" s="163"/>
      <c r="AI422" s="163"/>
      <c r="AJ422" s="163"/>
      <c r="AK422" s="163"/>
      <c r="AL422" s="163"/>
      <c r="AM422" s="163"/>
      <c r="AN422" s="130"/>
      <c r="AO422" s="130"/>
      <c r="AP422" s="130"/>
      <c r="AQ422" s="130"/>
      <c r="AR422" s="130"/>
      <c r="AS422" s="130"/>
      <c r="AT422" s="130"/>
    </row>
    <row r="423" ht="13.5" customHeight="1">
      <c r="A423" s="130"/>
      <c r="B423" s="130"/>
      <c r="C423" s="130"/>
      <c r="D423" s="130"/>
      <c r="E423" s="163"/>
      <c r="F423" s="163"/>
      <c r="G423" s="163"/>
      <c r="H423" s="163"/>
      <c r="I423" s="163"/>
      <c r="J423" s="163"/>
      <c r="K423" s="130"/>
      <c r="L423" s="130"/>
      <c r="M423" s="130"/>
      <c r="N423" s="130"/>
      <c r="O423" s="130"/>
      <c r="P423" s="130"/>
      <c r="Q423" s="130"/>
      <c r="R423" s="130"/>
      <c r="S423" s="163"/>
      <c r="T423" s="163"/>
      <c r="U423" s="163"/>
      <c r="V423" s="163"/>
      <c r="W423" s="163"/>
      <c r="X423" s="163"/>
      <c r="Y423" s="163"/>
      <c r="Z423" s="163"/>
      <c r="AA423" s="163"/>
      <c r="AB423" s="163"/>
      <c r="AC423" s="163"/>
      <c r="AD423" s="163"/>
      <c r="AE423" s="163"/>
      <c r="AF423" s="163"/>
      <c r="AG423" s="163"/>
      <c r="AH423" s="163"/>
      <c r="AI423" s="163"/>
      <c r="AJ423" s="163"/>
      <c r="AK423" s="163"/>
      <c r="AL423" s="163"/>
      <c r="AM423" s="163"/>
      <c r="AN423" s="130"/>
      <c r="AO423" s="130"/>
      <c r="AP423" s="130"/>
      <c r="AQ423" s="130"/>
      <c r="AR423" s="130"/>
      <c r="AS423" s="130"/>
      <c r="AT423" s="130"/>
    </row>
    <row r="424" ht="13.5" customHeight="1">
      <c r="A424" s="130"/>
      <c r="B424" s="130"/>
      <c r="C424" s="130"/>
      <c r="D424" s="130"/>
      <c r="E424" s="163"/>
      <c r="F424" s="163"/>
      <c r="G424" s="163"/>
      <c r="H424" s="163"/>
      <c r="I424" s="163"/>
      <c r="J424" s="163"/>
      <c r="K424" s="130"/>
      <c r="L424" s="130"/>
      <c r="M424" s="130"/>
      <c r="N424" s="130"/>
      <c r="O424" s="130"/>
      <c r="P424" s="130"/>
      <c r="Q424" s="130"/>
      <c r="R424" s="130"/>
      <c r="S424" s="163"/>
      <c r="T424" s="163"/>
      <c r="U424" s="163"/>
      <c r="V424" s="163"/>
      <c r="W424" s="163"/>
      <c r="X424" s="163"/>
      <c r="Y424" s="163"/>
      <c r="Z424" s="163"/>
      <c r="AA424" s="163"/>
      <c r="AB424" s="163"/>
      <c r="AC424" s="163"/>
      <c r="AD424" s="163"/>
      <c r="AE424" s="163"/>
      <c r="AF424" s="163"/>
      <c r="AG424" s="163"/>
      <c r="AH424" s="163"/>
      <c r="AI424" s="163"/>
      <c r="AJ424" s="163"/>
      <c r="AK424" s="163"/>
      <c r="AL424" s="163"/>
      <c r="AM424" s="163"/>
      <c r="AN424" s="130"/>
      <c r="AO424" s="130"/>
      <c r="AP424" s="130"/>
      <c r="AQ424" s="130"/>
      <c r="AR424" s="130"/>
      <c r="AS424" s="130"/>
      <c r="AT424" s="130"/>
    </row>
    <row r="425" ht="13.5" customHeight="1">
      <c r="A425" s="130"/>
      <c r="B425" s="130"/>
      <c r="C425" s="130"/>
      <c r="D425" s="130"/>
      <c r="E425" s="163"/>
      <c r="F425" s="163"/>
      <c r="G425" s="163"/>
      <c r="H425" s="163"/>
      <c r="I425" s="163"/>
      <c r="J425" s="163"/>
      <c r="K425" s="130"/>
      <c r="L425" s="130"/>
      <c r="M425" s="130"/>
      <c r="N425" s="130"/>
      <c r="O425" s="130"/>
      <c r="P425" s="130"/>
      <c r="Q425" s="130"/>
      <c r="R425" s="130"/>
      <c r="S425" s="163"/>
      <c r="T425" s="163"/>
      <c r="U425" s="163"/>
      <c r="V425" s="163"/>
      <c r="W425" s="163"/>
      <c r="X425" s="163"/>
      <c r="Y425" s="163"/>
      <c r="Z425" s="163"/>
      <c r="AA425" s="163"/>
      <c r="AB425" s="163"/>
      <c r="AC425" s="163"/>
      <c r="AD425" s="163"/>
      <c r="AE425" s="163"/>
      <c r="AF425" s="163"/>
      <c r="AG425" s="163"/>
      <c r="AH425" s="163"/>
      <c r="AI425" s="163"/>
      <c r="AJ425" s="163"/>
      <c r="AK425" s="163"/>
      <c r="AL425" s="163"/>
      <c r="AM425" s="163"/>
      <c r="AN425" s="130"/>
      <c r="AO425" s="130"/>
      <c r="AP425" s="130"/>
      <c r="AQ425" s="130"/>
      <c r="AR425" s="130"/>
      <c r="AS425" s="130"/>
      <c r="AT425" s="130"/>
    </row>
    <row r="426" ht="13.5" customHeight="1">
      <c r="A426" s="130"/>
      <c r="B426" s="130"/>
      <c r="C426" s="130"/>
      <c r="D426" s="130"/>
      <c r="E426" s="163"/>
      <c r="F426" s="163"/>
      <c r="G426" s="163"/>
      <c r="H426" s="163"/>
      <c r="I426" s="163"/>
      <c r="J426" s="163"/>
      <c r="K426" s="130"/>
      <c r="L426" s="130"/>
      <c r="M426" s="130"/>
      <c r="N426" s="130"/>
      <c r="O426" s="130"/>
      <c r="P426" s="130"/>
      <c r="Q426" s="130"/>
      <c r="R426" s="130"/>
      <c r="S426" s="163"/>
      <c r="T426" s="163"/>
      <c r="U426" s="163"/>
      <c r="V426" s="163"/>
      <c r="W426" s="163"/>
      <c r="X426" s="163"/>
      <c r="Y426" s="163"/>
      <c r="Z426" s="163"/>
      <c r="AA426" s="163"/>
      <c r="AB426" s="163"/>
      <c r="AC426" s="163"/>
      <c r="AD426" s="163"/>
      <c r="AE426" s="163"/>
      <c r="AF426" s="163"/>
      <c r="AG426" s="163"/>
      <c r="AH426" s="163"/>
      <c r="AI426" s="163"/>
      <c r="AJ426" s="163"/>
      <c r="AK426" s="163"/>
      <c r="AL426" s="163"/>
      <c r="AM426" s="163"/>
      <c r="AN426" s="130"/>
      <c r="AO426" s="130"/>
      <c r="AP426" s="130"/>
      <c r="AQ426" s="130"/>
      <c r="AR426" s="130"/>
      <c r="AS426" s="130"/>
      <c r="AT426" s="130"/>
    </row>
    <row r="427" ht="13.5" customHeight="1">
      <c r="A427" s="130"/>
      <c r="B427" s="130"/>
      <c r="C427" s="130"/>
      <c r="D427" s="130"/>
      <c r="E427" s="163"/>
      <c r="F427" s="163"/>
      <c r="G427" s="163"/>
      <c r="H427" s="163"/>
      <c r="I427" s="163"/>
      <c r="J427" s="163"/>
      <c r="K427" s="130"/>
      <c r="L427" s="130"/>
      <c r="M427" s="130"/>
      <c r="N427" s="130"/>
      <c r="O427" s="130"/>
      <c r="P427" s="130"/>
      <c r="Q427" s="130"/>
      <c r="R427" s="130"/>
      <c r="S427" s="163"/>
      <c r="T427" s="163"/>
      <c r="U427" s="163"/>
      <c r="V427" s="163"/>
      <c r="W427" s="163"/>
      <c r="X427" s="163"/>
      <c r="Y427" s="163"/>
      <c r="Z427" s="163"/>
      <c r="AA427" s="163"/>
      <c r="AB427" s="163"/>
      <c r="AC427" s="163"/>
      <c r="AD427" s="163"/>
      <c r="AE427" s="163"/>
      <c r="AF427" s="163"/>
      <c r="AG427" s="163"/>
      <c r="AH427" s="163"/>
      <c r="AI427" s="163"/>
      <c r="AJ427" s="163"/>
      <c r="AK427" s="163"/>
      <c r="AL427" s="163"/>
      <c r="AM427" s="163"/>
      <c r="AN427" s="130"/>
      <c r="AO427" s="130"/>
      <c r="AP427" s="130"/>
      <c r="AQ427" s="130"/>
      <c r="AR427" s="130"/>
      <c r="AS427" s="130"/>
      <c r="AT427" s="130"/>
    </row>
    <row r="428" ht="13.5" customHeight="1">
      <c r="A428" s="130"/>
      <c r="B428" s="130"/>
      <c r="C428" s="130"/>
      <c r="D428" s="130"/>
      <c r="E428" s="163"/>
      <c r="F428" s="163"/>
      <c r="G428" s="163"/>
      <c r="H428" s="163"/>
      <c r="I428" s="163"/>
      <c r="J428" s="163"/>
      <c r="K428" s="130"/>
      <c r="L428" s="130"/>
      <c r="M428" s="130"/>
      <c r="N428" s="130"/>
      <c r="O428" s="130"/>
      <c r="P428" s="130"/>
      <c r="Q428" s="130"/>
      <c r="R428" s="130"/>
      <c r="S428" s="163"/>
      <c r="T428" s="163"/>
      <c r="U428" s="163"/>
      <c r="V428" s="163"/>
      <c r="W428" s="163"/>
      <c r="X428" s="163"/>
      <c r="Y428" s="163"/>
      <c r="Z428" s="163"/>
      <c r="AA428" s="163"/>
      <c r="AB428" s="163"/>
      <c r="AC428" s="163"/>
      <c r="AD428" s="163"/>
      <c r="AE428" s="163"/>
      <c r="AF428" s="163"/>
      <c r="AG428" s="163"/>
      <c r="AH428" s="163"/>
      <c r="AI428" s="163"/>
      <c r="AJ428" s="163"/>
      <c r="AK428" s="163"/>
      <c r="AL428" s="163"/>
      <c r="AM428" s="163"/>
      <c r="AN428" s="130"/>
      <c r="AO428" s="130"/>
      <c r="AP428" s="130"/>
      <c r="AQ428" s="130"/>
      <c r="AR428" s="130"/>
      <c r="AS428" s="130"/>
      <c r="AT428" s="130"/>
    </row>
    <row r="429" ht="13.5" customHeight="1">
      <c r="A429" s="130"/>
      <c r="B429" s="130"/>
      <c r="C429" s="130"/>
      <c r="D429" s="130"/>
      <c r="E429" s="163"/>
      <c r="F429" s="163"/>
      <c r="G429" s="163"/>
      <c r="H429" s="163"/>
      <c r="I429" s="163"/>
      <c r="J429" s="163"/>
      <c r="K429" s="130"/>
      <c r="L429" s="130"/>
      <c r="M429" s="130"/>
      <c r="N429" s="130"/>
      <c r="O429" s="130"/>
      <c r="P429" s="130"/>
      <c r="Q429" s="130"/>
      <c r="R429" s="130"/>
      <c r="S429" s="163"/>
      <c r="T429" s="163"/>
      <c r="U429" s="163"/>
      <c r="V429" s="163"/>
      <c r="W429" s="163"/>
      <c r="X429" s="163"/>
      <c r="Y429" s="163"/>
      <c r="Z429" s="163"/>
      <c r="AA429" s="163"/>
      <c r="AB429" s="163"/>
      <c r="AC429" s="163"/>
      <c r="AD429" s="163"/>
      <c r="AE429" s="163"/>
      <c r="AF429" s="163"/>
      <c r="AG429" s="163"/>
      <c r="AH429" s="163"/>
      <c r="AI429" s="163"/>
      <c r="AJ429" s="163"/>
      <c r="AK429" s="163"/>
      <c r="AL429" s="163"/>
      <c r="AM429" s="163"/>
      <c r="AN429" s="130"/>
      <c r="AO429" s="130"/>
      <c r="AP429" s="130"/>
      <c r="AQ429" s="130"/>
      <c r="AR429" s="130"/>
      <c r="AS429" s="130"/>
      <c r="AT429" s="130"/>
    </row>
    <row r="430" ht="13.5" customHeight="1">
      <c r="A430" s="130"/>
      <c r="B430" s="130"/>
      <c r="C430" s="130"/>
      <c r="D430" s="130"/>
      <c r="E430" s="163"/>
      <c r="F430" s="163"/>
      <c r="G430" s="163"/>
      <c r="H430" s="163"/>
      <c r="I430" s="163"/>
      <c r="J430" s="163"/>
      <c r="K430" s="130"/>
      <c r="L430" s="130"/>
      <c r="M430" s="130"/>
      <c r="N430" s="130"/>
      <c r="O430" s="130"/>
      <c r="P430" s="130"/>
      <c r="Q430" s="130"/>
      <c r="R430" s="130"/>
      <c r="S430" s="163"/>
      <c r="T430" s="163"/>
      <c r="U430" s="163"/>
      <c r="V430" s="163"/>
      <c r="W430" s="163"/>
      <c r="X430" s="163"/>
      <c r="Y430" s="163"/>
      <c r="Z430" s="163"/>
      <c r="AA430" s="163"/>
      <c r="AB430" s="163"/>
      <c r="AC430" s="163"/>
      <c r="AD430" s="163"/>
      <c r="AE430" s="163"/>
      <c r="AF430" s="163"/>
      <c r="AG430" s="163"/>
      <c r="AH430" s="163"/>
      <c r="AI430" s="163"/>
      <c r="AJ430" s="163"/>
      <c r="AK430" s="163"/>
      <c r="AL430" s="163"/>
      <c r="AM430" s="163"/>
      <c r="AN430" s="130"/>
      <c r="AO430" s="130"/>
      <c r="AP430" s="130"/>
      <c r="AQ430" s="130"/>
      <c r="AR430" s="130"/>
      <c r="AS430" s="130"/>
      <c r="AT430" s="130"/>
    </row>
    <row r="431" ht="13.5" customHeight="1">
      <c r="A431" s="130"/>
      <c r="B431" s="130"/>
      <c r="C431" s="130"/>
      <c r="D431" s="130"/>
      <c r="E431" s="163"/>
      <c r="F431" s="163"/>
      <c r="G431" s="163"/>
      <c r="H431" s="163"/>
      <c r="I431" s="163"/>
      <c r="J431" s="163"/>
      <c r="K431" s="130"/>
      <c r="L431" s="130"/>
      <c r="M431" s="130"/>
      <c r="N431" s="130"/>
      <c r="O431" s="130"/>
      <c r="P431" s="130"/>
      <c r="Q431" s="130"/>
      <c r="R431" s="130"/>
      <c r="S431" s="163"/>
      <c r="T431" s="163"/>
      <c r="U431" s="163"/>
      <c r="V431" s="163"/>
      <c r="W431" s="163"/>
      <c r="X431" s="163"/>
      <c r="Y431" s="163"/>
      <c r="Z431" s="163"/>
      <c r="AA431" s="163"/>
      <c r="AB431" s="163"/>
      <c r="AC431" s="163"/>
      <c r="AD431" s="163"/>
      <c r="AE431" s="163"/>
      <c r="AF431" s="163"/>
      <c r="AG431" s="163"/>
      <c r="AH431" s="163"/>
      <c r="AI431" s="163"/>
      <c r="AJ431" s="163"/>
      <c r="AK431" s="163"/>
      <c r="AL431" s="163"/>
      <c r="AM431" s="163"/>
      <c r="AN431" s="130"/>
      <c r="AO431" s="130"/>
      <c r="AP431" s="130"/>
      <c r="AQ431" s="130"/>
      <c r="AR431" s="130"/>
      <c r="AS431" s="130"/>
      <c r="AT431" s="130"/>
    </row>
    <row r="432" ht="13.5" customHeight="1">
      <c r="A432" s="130"/>
      <c r="B432" s="130"/>
      <c r="C432" s="130"/>
      <c r="D432" s="130"/>
      <c r="E432" s="163"/>
      <c r="F432" s="163"/>
      <c r="G432" s="163"/>
      <c r="H432" s="163"/>
      <c r="I432" s="163"/>
      <c r="J432" s="163"/>
      <c r="K432" s="130"/>
      <c r="L432" s="130"/>
      <c r="M432" s="130"/>
      <c r="N432" s="130"/>
      <c r="O432" s="130"/>
      <c r="P432" s="130"/>
      <c r="Q432" s="130"/>
      <c r="R432" s="130"/>
      <c r="S432" s="163"/>
      <c r="T432" s="163"/>
      <c r="U432" s="163"/>
      <c r="V432" s="163"/>
      <c r="W432" s="163"/>
      <c r="X432" s="163"/>
      <c r="Y432" s="163"/>
      <c r="Z432" s="163"/>
      <c r="AA432" s="163"/>
      <c r="AB432" s="163"/>
      <c r="AC432" s="163"/>
      <c r="AD432" s="163"/>
      <c r="AE432" s="163"/>
      <c r="AF432" s="163"/>
      <c r="AG432" s="163"/>
      <c r="AH432" s="163"/>
      <c r="AI432" s="163"/>
      <c r="AJ432" s="163"/>
      <c r="AK432" s="163"/>
      <c r="AL432" s="163"/>
      <c r="AM432" s="163"/>
      <c r="AN432" s="130"/>
      <c r="AO432" s="130"/>
      <c r="AP432" s="130"/>
      <c r="AQ432" s="130"/>
      <c r="AR432" s="130"/>
      <c r="AS432" s="130"/>
      <c r="AT432" s="130"/>
    </row>
    <row r="433" ht="13.5" customHeight="1">
      <c r="A433" s="130"/>
      <c r="B433" s="130"/>
      <c r="C433" s="130"/>
      <c r="D433" s="130"/>
      <c r="E433" s="163"/>
      <c r="F433" s="163"/>
      <c r="G433" s="163"/>
      <c r="H433" s="163"/>
      <c r="I433" s="163"/>
      <c r="J433" s="163"/>
      <c r="K433" s="130"/>
      <c r="L433" s="130"/>
      <c r="M433" s="130"/>
      <c r="N433" s="130"/>
      <c r="O433" s="130"/>
      <c r="P433" s="130"/>
      <c r="Q433" s="130"/>
      <c r="R433" s="130"/>
      <c r="S433" s="163"/>
      <c r="T433" s="163"/>
      <c r="U433" s="163"/>
      <c r="V433" s="163"/>
      <c r="W433" s="163"/>
      <c r="X433" s="163"/>
      <c r="Y433" s="163"/>
      <c r="Z433" s="163"/>
      <c r="AA433" s="163"/>
      <c r="AB433" s="163"/>
      <c r="AC433" s="163"/>
      <c r="AD433" s="163"/>
      <c r="AE433" s="163"/>
      <c r="AF433" s="163"/>
      <c r="AG433" s="163"/>
      <c r="AH433" s="163"/>
      <c r="AI433" s="163"/>
      <c r="AJ433" s="163"/>
      <c r="AK433" s="163"/>
      <c r="AL433" s="163"/>
      <c r="AM433" s="163"/>
      <c r="AN433" s="130"/>
      <c r="AO433" s="130"/>
      <c r="AP433" s="130"/>
      <c r="AQ433" s="130"/>
      <c r="AR433" s="130"/>
      <c r="AS433" s="130"/>
      <c r="AT433" s="130"/>
    </row>
    <row r="434" ht="13.5" customHeight="1">
      <c r="A434" s="130"/>
      <c r="B434" s="130"/>
      <c r="C434" s="130"/>
      <c r="D434" s="130"/>
      <c r="E434" s="163"/>
      <c r="F434" s="163"/>
      <c r="G434" s="163"/>
      <c r="H434" s="163"/>
      <c r="I434" s="163"/>
      <c r="J434" s="163"/>
      <c r="K434" s="130"/>
      <c r="L434" s="130"/>
      <c r="M434" s="130"/>
      <c r="N434" s="130"/>
      <c r="O434" s="130"/>
      <c r="P434" s="130"/>
      <c r="Q434" s="130"/>
      <c r="R434" s="130"/>
      <c r="S434" s="163"/>
      <c r="T434" s="163"/>
      <c r="U434" s="163"/>
      <c r="V434" s="163"/>
      <c r="W434" s="163"/>
      <c r="X434" s="163"/>
      <c r="Y434" s="163"/>
      <c r="Z434" s="163"/>
      <c r="AA434" s="163"/>
      <c r="AB434" s="163"/>
      <c r="AC434" s="163"/>
      <c r="AD434" s="163"/>
      <c r="AE434" s="163"/>
      <c r="AF434" s="163"/>
      <c r="AG434" s="163"/>
      <c r="AH434" s="163"/>
      <c r="AI434" s="163"/>
      <c r="AJ434" s="163"/>
      <c r="AK434" s="163"/>
      <c r="AL434" s="163"/>
      <c r="AM434" s="163"/>
      <c r="AN434" s="130"/>
      <c r="AO434" s="130"/>
      <c r="AP434" s="130"/>
      <c r="AQ434" s="130"/>
      <c r="AR434" s="130"/>
      <c r="AS434" s="130"/>
      <c r="AT434" s="130"/>
    </row>
    <row r="435" ht="13.5" customHeight="1">
      <c r="A435" s="130"/>
      <c r="B435" s="130"/>
      <c r="C435" s="130"/>
      <c r="D435" s="130"/>
      <c r="E435" s="163"/>
      <c r="F435" s="163"/>
      <c r="G435" s="163"/>
      <c r="H435" s="163"/>
      <c r="I435" s="163"/>
      <c r="J435" s="163"/>
      <c r="K435" s="130"/>
      <c r="L435" s="130"/>
      <c r="M435" s="130"/>
      <c r="N435" s="130"/>
      <c r="O435" s="130"/>
      <c r="P435" s="130"/>
      <c r="Q435" s="130"/>
      <c r="R435" s="130"/>
      <c r="S435" s="163"/>
      <c r="T435" s="163"/>
      <c r="U435" s="163"/>
      <c r="V435" s="163"/>
      <c r="W435" s="163"/>
      <c r="X435" s="163"/>
      <c r="Y435" s="163"/>
      <c r="Z435" s="163"/>
      <c r="AA435" s="163"/>
      <c r="AB435" s="163"/>
      <c r="AC435" s="163"/>
      <c r="AD435" s="163"/>
      <c r="AE435" s="163"/>
      <c r="AF435" s="163"/>
      <c r="AG435" s="163"/>
      <c r="AH435" s="163"/>
      <c r="AI435" s="163"/>
      <c r="AJ435" s="163"/>
      <c r="AK435" s="163"/>
      <c r="AL435" s="163"/>
      <c r="AM435" s="163"/>
      <c r="AN435" s="130"/>
      <c r="AO435" s="130"/>
      <c r="AP435" s="130"/>
      <c r="AQ435" s="130"/>
      <c r="AR435" s="130"/>
      <c r="AS435" s="130"/>
      <c r="AT435" s="130"/>
    </row>
    <row r="436" ht="13.5" customHeight="1">
      <c r="A436" s="130"/>
      <c r="B436" s="130"/>
      <c r="C436" s="130"/>
      <c r="D436" s="130"/>
      <c r="E436" s="163"/>
      <c r="F436" s="163"/>
      <c r="G436" s="163"/>
      <c r="H436" s="163"/>
      <c r="I436" s="163"/>
      <c r="J436" s="163"/>
      <c r="K436" s="130"/>
      <c r="L436" s="130"/>
      <c r="M436" s="130"/>
      <c r="N436" s="130"/>
      <c r="O436" s="130"/>
      <c r="P436" s="130"/>
      <c r="Q436" s="130"/>
      <c r="R436" s="130"/>
      <c r="S436" s="163"/>
      <c r="T436" s="163"/>
      <c r="U436" s="163"/>
      <c r="V436" s="163"/>
      <c r="W436" s="163"/>
      <c r="X436" s="163"/>
      <c r="Y436" s="163"/>
      <c r="Z436" s="163"/>
      <c r="AA436" s="163"/>
      <c r="AB436" s="163"/>
      <c r="AC436" s="163"/>
      <c r="AD436" s="163"/>
      <c r="AE436" s="163"/>
      <c r="AF436" s="163"/>
      <c r="AG436" s="163"/>
      <c r="AH436" s="163"/>
      <c r="AI436" s="163"/>
      <c r="AJ436" s="163"/>
      <c r="AK436" s="163"/>
      <c r="AL436" s="163"/>
      <c r="AM436" s="163"/>
      <c r="AN436" s="130"/>
      <c r="AO436" s="130"/>
      <c r="AP436" s="130"/>
      <c r="AQ436" s="130"/>
      <c r="AR436" s="130"/>
      <c r="AS436" s="130"/>
      <c r="AT436" s="130"/>
    </row>
    <row r="437" ht="13.5" customHeight="1">
      <c r="A437" s="130"/>
      <c r="B437" s="130"/>
      <c r="C437" s="130"/>
      <c r="D437" s="130"/>
      <c r="E437" s="163"/>
      <c r="F437" s="163"/>
      <c r="G437" s="163"/>
      <c r="H437" s="163"/>
      <c r="I437" s="163"/>
      <c r="J437" s="163"/>
      <c r="K437" s="130"/>
      <c r="L437" s="130"/>
      <c r="M437" s="130"/>
      <c r="N437" s="130"/>
      <c r="O437" s="130"/>
      <c r="P437" s="130"/>
      <c r="Q437" s="130"/>
      <c r="R437" s="130"/>
      <c r="S437" s="163"/>
      <c r="T437" s="163"/>
      <c r="U437" s="163"/>
      <c r="V437" s="163"/>
      <c r="W437" s="163"/>
      <c r="X437" s="163"/>
      <c r="Y437" s="163"/>
      <c r="Z437" s="163"/>
      <c r="AA437" s="163"/>
      <c r="AB437" s="163"/>
      <c r="AC437" s="163"/>
      <c r="AD437" s="163"/>
      <c r="AE437" s="163"/>
      <c r="AF437" s="163"/>
      <c r="AG437" s="163"/>
      <c r="AH437" s="163"/>
      <c r="AI437" s="163"/>
      <c r="AJ437" s="163"/>
      <c r="AK437" s="163"/>
      <c r="AL437" s="163"/>
      <c r="AM437" s="163"/>
      <c r="AN437" s="130"/>
      <c r="AO437" s="130"/>
      <c r="AP437" s="130"/>
      <c r="AQ437" s="130"/>
      <c r="AR437" s="130"/>
      <c r="AS437" s="130"/>
      <c r="AT437" s="130"/>
    </row>
    <row r="438" ht="13.5" customHeight="1">
      <c r="A438" s="130"/>
      <c r="B438" s="130"/>
      <c r="C438" s="130"/>
      <c r="D438" s="130"/>
      <c r="E438" s="163"/>
      <c r="F438" s="163"/>
      <c r="G438" s="163"/>
      <c r="H438" s="163"/>
      <c r="I438" s="163"/>
      <c r="J438" s="163"/>
      <c r="K438" s="130"/>
      <c r="L438" s="130"/>
      <c r="M438" s="130"/>
      <c r="N438" s="130"/>
      <c r="O438" s="130"/>
      <c r="P438" s="130"/>
      <c r="Q438" s="130"/>
      <c r="R438" s="130"/>
      <c r="S438" s="163"/>
      <c r="T438" s="163"/>
      <c r="U438" s="163"/>
      <c r="V438" s="163"/>
      <c r="W438" s="163"/>
      <c r="X438" s="163"/>
      <c r="Y438" s="163"/>
      <c r="Z438" s="163"/>
      <c r="AA438" s="163"/>
      <c r="AB438" s="163"/>
      <c r="AC438" s="163"/>
      <c r="AD438" s="163"/>
      <c r="AE438" s="163"/>
      <c r="AF438" s="163"/>
      <c r="AG438" s="163"/>
      <c r="AH438" s="163"/>
      <c r="AI438" s="163"/>
      <c r="AJ438" s="163"/>
      <c r="AK438" s="163"/>
      <c r="AL438" s="163"/>
      <c r="AM438" s="163"/>
      <c r="AN438" s="130"/>
      <c r="AO438" s="130"/>
      <c r="AP438" s="130"/>
      <c r="AQ438" s="130"/>
      <c r="AR438" s="130"/>
      <c r="AS438" s="130"/>
      <c r="AT438" s="130"/>
    </row>
    <row r="439" ht="13.5" customHeight="1">
      <c r="A439" s="130"/>
      <c r="B439" s="130"/>
      <c r="C439" s="130"/>
      <c r="D439" s="130"/>
      <c r="E439" s="163"/>
      <c r="F439" s="163"/>
      <c r="G439" s="163"/>
      <c r="H439" s="163"/>
      <c r="I439" s="163"/>
      <c r="J439" s="163"/>
      <c r="K439" s="130"/>
      <c r="L439" s="130"/>
      <c r="M439" s="130"/>
      <c r="N439" s="130"/>
      <c r="O439" s="130"/>
      <c r="P439" s="130"/>
      <c r="Q439" s="130"/>
      <c r="R439" s="130"/>
      <c r="S439" s="163"/>
      <c r="T439" s="163"/>
      <c r="U439" s="163"/>
      <c r="V439" s="163"/>
      <c r="W439" s="163"/>
      <c r="X439" s="163"/>
      <c r="Y439" s="163"/>
      <c r="Z439" s="163"/>
      <c r="AA439" s="163"/>
      <c r="AB439" s="163"/>
      <c r="AC439" s="163"/>
      <c r="AD439" s="163"/>
      <c r="AE439" s="163"/>
      <c r="AF439" s="163"/>
      <c r="AG439" s="163"/>
      <c r="AH439" s="163"/>
      <c r="AI439" s="163"/>
      <c r="AJ439" s="163"/>
      <c r="AK439" s="163"/>
      <c r="AL439" s="163"/>
      <c r="AM439" s="163"/>
      <c r="AN439" s="130"/>
      <c r="AO439" s="130"/>
      <c r="AP439" s="130"/>
      <c r="AQ439" s="130"/>
      <c r="AR439" s="130"/>
      <c r="AS439" s="130"/>
      <c r="AT439" s="130"/>
    </row>
    <row r="440" ht="13.5" customHeight="1">
      <c r="A440" s="130"/>
      <c r="B440" s="130"/>
      <c r="C440" s="130"/>
      <c r="D440" s="130"/>
      <c r="E440" s="163"/>
      <c r="F440" s="163"/>
      <c r="G440" s="163"/>
      <c r="H440" s="163"/>
      <c r="I440" s="163"/>
      <c r="J440" s="163"/>
      <c r="K440" s="130"/>
      <c r="L440" s="130"/>
      <c r="M440" s="130"/>
      <c r="N440" s="130"/>
      <c r="O440" s="130"/>
      <c r="P440" s="130"/>
      <c r="Q440" s="130"/>
      <c r="R440" s="130"/>
      <c r="S440" s="163"/>
      <c r="T440" s="163"/>
      <c r="U440" s="163"/>
      <c r="V440" s="163"/>
      <c r="W440" s="163"/>
      <c r="X440" s="163"/>
      <c r="Y440" s="163"/>
      <c r="Z440" s="163"/>
      <c r="AA440" s="163"/>
      <c r="AB440" s="163"/>
      <c r="AC440" s="163"/>
      <c r="AD440" s="163"/>
      <c r="AE440" s="163"/>
      <c r="AF440" s="163"/>
      <c r="AG440" s="163"/>
      <c r="AH440" s="163"/>
      <c r="AI440" s="163"/>
      <c r="AJ440" s="163"/>
      <c r="AK440" s="163"/>
      <c r="AL440" s="163"/>
      <c r="AM440" s="163"/>
      <c r="AN440" s="130"/>
      <c r="AO440" s="130"/>
      <c r="AP440" s="130"/>
      <c r="AQ440" s="130"/>
      <c r="AR440" s="130"/>
      <c r="AS440" s="130"/>
      <c r="AT440" s="130"/>
    </row>
    <row r="441" ht="13.5" customHeight="1">
      <c r="A441" s="130"/>
      <c r="B441" s="130"/>
      <c r="C441" s="130"/>
      <c r="D441" s="130"/>
      <c r="E441" s="163"/>
      <c r="F441" s="163"/>
      <c r="G441" s="163"/>
      <c r="H441" s="163"/>
      <c r="I441" s="163"/>
      <c r="J441" s="163"/>
      <c r="K441" s="130"/>
      <c r="L441" s="130"/>
      <c r="M441" s="130"/>
      <c r="N441" s="130"/>
      <c r="O441" s="130"/>
      <c r="P441" s="130"/>
      <c r="Q441" s="130"/>
      <c r="R441" s="130"/>
      <c r="S441" s="163"/>
      <c r="T441" s="163"/>
      <c r="U441" s="163"/>
      <c r="V441" s="163"/>
      <c r="W441" s="163"/>
      <c r="X441" s="163"/>
      <c r="Y441" s="163"/>
      <c r="Z441" s="163"/>
      <c r="AA441" s="163"/>
      <c r="AB441" s="163"/>
      <c r="AC441" s="163"/>
      <c r="AD441" s="163"/>
      <c r="AE441" s="163"/>
      <c r="AF441" s="163"/>
      <c r="AG441" s="163"/>
      <c r="AH441" s="163"/>
      <c r="AI441" s="163"/>
      <c r="AJ441" s="163"/>
      <c r="AK441" s="163"/>
      <c r="AL441" s="163"/>
      <c r="AM441" s="163"/>
      <c r="AN441" s="130"/>
      <c r="AO441" s="130"/>
      <c r="AP441" s="130"/>
      <c r="AQ441" s="130"/>
      <c r="AR441" s="130"/>
      <c r="AS441" s="130"/>
      <c r="AT441" s="130"/>
    </row>
    <row r="442" ht="13.5" customHeight="1">
      <c r="A442" s="130"/>
      <c r="B442" s="130"/>
      <c r="C442" s="130"/>
      <c r="D442" s="130"/>
      <c r="E442" s="163"/>
      <c r="F442" s="163"/>
      <c r="G442" s="163"/>
      <c r="H442" s="163"/>
      <c r="I442" s="163"/>
      <c r="J442" s="163"/>
      <c r="K442" s="130"/>
      <c r="L442" s="130"/>
      <c r="M442" s="130"/>
      <c r="N442" s="130"/>
      <c r="O442" s="130"/>
      <c r="P442" s="130"/>
      <c r="Q442" s="130"/>
      <c r="R442" s="130"/>
      <c r="S442" s="163"/>
      <c r="T442" s="163"/>
      <c r="U442" s="163"/>
      <c r="V442" s="163"/>
      <c r="W442" s="163"/>
      <c r="X442" s="163"/>
      <c r="Y442" s="163"/>
      <c r="Z442" s="163"/>
      <c r="AA442" s="163"/>
      <c r="AB442" s="163"/>
      <c r="AC442" s="163"/>
      <c r="AD442" s="163"/>
      <c r="AE442" s="163"/>
      <c r="AF442" s="163"/>
      <c r="AG442" s="163"/>
      <c r="AH442" s="163"/>
      <c r="AI442" s="163"/>
      <c r="AJ442" s="163"/>
      <c r="AK442" s="163"/>
      <c r="AL442" s="163"/>
      <c r="AM442" s="163"/>
      <c r="AN442" s="130"/>
      <c r="AO442" s="130"/>
      <c r="AP442" s="130"/>
      <c r="AQ442" s="130"/>
      <c r="AR442" s="130"/>
      <c r="AS442" s="130"/>
      <c r="AT442" s="130"/>
    </row>
    <row r="443" ht="13.5" customHeight="1">
      <c r="A443" s="130"/>
      <c r="B443" s="130"/>
      <c r="C443" s="130"/>
      <c r="D443" s="130"/>
      <c r="E443" s="163"/>
      <c r="F443" s="163"/>
      <c r="G443" s="163"/>
      <c r="H443" s="163"/>
      <c r="I443" s="163"/>
      <c r="J443" s="163"/>
      <c r="K443" s="130"/>
      <c r="L443" s="130"/>
      <c r="M443" s="130"/>
      <c r="N443" s="130"/>
      <c r="O443" s="130"/>
      <c r="P443" s="130"/>
      <c r="Q443" s="130"/>
      <c r="R443" s="130"/>
      <c r="S443" s="163"/>
      <c r="T443" s="163"/>
      <c r="U443" s="163"/>
      <c r="V443" s="163"/>
      <c r="W443" s="163"/>
      <c r="X443" s="163"/>
      <c r="Y443" s="163"/>
      <c r="Z443" s="163"/>
      <c r="AA443" s="163"/>
      <c r="AB443" s="163"/>
      <c r="AC443" s="163"/>
      <c r="AD443" s="163"/>
      <c r="AE443" s="163"/>
      <c r="AF443" s="163"/>
      <c r="AG443" s="163"/>
      <c r="AH443" s="163"/>
      <c r="AI443" s="163"/>
      <c r="AJ443" s="163"/>
      <c r="AK443" s="163"/>
      <c r="AL443" s="163"/>
      <c r="AM443" s="163"/>
      <c r="AN443" s="130"/>
      <c r="AO443" s="130"/>
      <c r="AP443" s="130"/>
      <c r="AQ443" s="130"/>
      <c r="AR443" s="130"/>
      <c r="AS443" s="130"/>
      <c r="AT443" s="130"/>
    </row>
    <row r="444" ht="13.5" customHeight="1">
      <c r="A444" s="130"/>
      <c r="B444" s="130"/>
      <c r="C444" s="130"/>
      <c r="D444" s="130"/>
      <c r="E444" s="163"/>
      <c r="F444" s="163"/>
      <c r="G444" s="163"/>
      <c r="H444" s="163"/>
      <c r="I444" s="163"/>
      <c r="J444" s="163"/>
      <c r="K444" s="130"/>
      <c r="L444" s="130"/>
      <c r="M444" s="130"/>
      <c r="N444" s="130"/>
      <c r="O444" s="130"/>
      <c r="P444" s="130"/>
      <c r="Q444" s="130"/>
      <c r="R444" s="130"/>
      <c r="S444" s="163"/>
      <c r="T444" s="163"/>
      <c r="U444" s="163"/>
      <c r="V444" s="163"/>
      <c r="W444" s="163"/>
      <c r="X444" s="163"/>
      <c r="Y444" s="163"/>
      <c r="Z444" s="163"/>
      <c r="AA444" s="163"/>
      <c r="AB444" s="163"/>
      <c r="AC444" s="163"/>
      <c r="AD444" s="163"/>
      <c r="AE444" s="163"/>
      <c r="AF444" s="163"/>
      <c r="AG444" s="163"/>
      <c r="AH444" s="163"/>
      <c r="AI444" s="163"/>
      <c r="AJ444" s="163"/>
      <c r="AK444" s="163"/>
      <c r="AL444" s="163"/>
      <c r="AM444" s="163"/>
      <c r="AN444" s="130"/>
      <c r="AO444" s="130"/>
      <c r="AP444" s="130"/>
      <c r="AQ444" s="130"/>
      <c r="AR444" s="130"/>
      <c r="AS444" s="130"/>
      <c r="AT444" s="130"/>
    </row>
    <row r="445" ht="13.5" customHeight="1">
      <c r="A445" s="130"/>
      <c r="B445" s="130"/>
      <c r="C445" s="130"/>
      <c r="D445" s="130"/>
      <c r="E445" s="163"/>
      <c r="F445" s="163"/>
      <c r="G445" s="163"/>
      <c r="H445" s="163"/>
      <c r="I445" s="163"/>
      <c r="J445" s="163"/>
      <c r="K445" s="130"/>
      <c r="L445" s="130"/>
      <c r="M445" s="130"/>
      <c r="N445" s="130"/>
      <c r="O445" s="130"/>
      <c r="P445" s="130"/>
      <c r="Q445" s="130"/>
      <c r="R445" s="130"/>
      <c r="S445" s="163"/>
      <c r="T445" s="163"/>
      <c r="U445" s="163"/>
      <c r="V445" s="163"/>
      <c r="W445" s="163"/>
      <c r="X445" s="163"/>
      <c r="Y445" s="163"/>
      <c r="Z445" s="163"/>
      <c r="AA445" s="163"/>
      <c r="AB445" s="163"/>
      <c r="AC445" s="163"/>
      <c r="AD445" s="163"/>
      <c r="AE445" s="163"/>
      <c r="AF445" s="163"/>
      <c r="AG445" s="163"/>
      <c r="AH445" s="163"/>
      <c r="AI445" s="163"/>
      <c r="AJ445" s="163"/>
      <c r="AK445" s="163"/>
      <c r="AL445" s="163"/>
      <c r="AM445" s="163"/>
      <c r="AN445" s="130"/>
      <c r="AO445" s="130"/>
      <c r="AP445" s="130"/>
      <c r="AQ445" s="130"/>
      <c r="AR445" s="130"/>
      <c r="AS445" s="130"/>
      <c r="AT445" s="130"/>
    </row>
    <row r="446" ht="13.5" customHeight="1">
      <c r="A446" s="130"/>
      <c r="B446" s="130"/>
      <c r="C446" s="130"/>
      <c r="D446" s="130"/>
      <c r="E446" s="163"/>
      <c r="F446" s="163"/>
      <c r="G446" s="163"/>
      <c r="H446" s="163"/>
      <c r="I446" s="163"/>
      <c r="J446" s="163"/>
      <c r="K446" s="130"/>
      <c r="L446" s="130"/>
      <c r="M446" s="130"/>
      <c r="N446" s="130"/>
      <c r="O446" s="130"/>
      <c r="P446" s="130"/>
      <c r="Q446" s="130"/>
      <c r="R446" s="130"/>
      <c r="S446" s="163"/>
      <c r="T446" s="163"/>
      <c r="U446" s="163"/>
      <c r="V446" s="163"/>
      <c r="W446" s="163"/>
      <c r="X446" s="163"/>
      <c r="Y446" s="163"/>
      <c r="Z446" s="163"/>
      <c r="AA446" s="163"/>
      <c r="AB446" s="163"/>
      <c r="AC446" s="163"/>
      <c r="AD446" s="163"/>
      <c r="AE446" s="163"/>
      <c r="AF446" s="163"/>
      <c r="AG446" s="163"/>
      <c r="AH446" s="163"/>
      <c r="AI446" s="163"/>
      <c r="AJ446" s="163"/>
      <c r="AK446" s="163"/>
      <c r="AL446" s="163"/>
      <c r="AM446" s="163"/>
      <c r="AN446" s="130"/>
      <c r="AO446" s="130"/>
      <c r="AP446" s="130"/>
      <c r="AQ446" s="130"/>
      <c r="AR446" s="130"/>
      <c r="AS446" s="130"/>
      <c r="AT446" s="130"/>
    </row>
    <row r="447" ht="13.5" customHeight="1">
      <c r="A447" s="130"/>
      <c r="B447" s="130"/>
      <c r="C447" s="130"/>
      <c r="D447" s="130"/>
      <c r="E447" s="163"/>
      <c r="F447" s="163"/>
      <c r="G447" s="163"/>
      <c r="H447" s="163"/>
      <c r="I447" s="163"/>
      <c r="J447" s="163"/>
      <c r="K447" s="130"/>
      <c r="L447" s="130"/>
      <c r="M447" s="130"/>
      <c r="N447" s="130"/>
      <c r="O447" s="130"/>
      <c r="P447" s="130"/>
      <c r="Q447" s="130"/>
      <c r="R447" s="130"/>
      <c r="S447" s="163"/>
      <c r="T447" s="163"/>
      <c r="U447" s="163"/>
      <c r="V447" s="163"/>
      <c r="W447" s="163"/>
      <c r="X447" s="163"/>
      <c r="Y447" s="163"/>
      <c r="Z447" s="163"/>
      <c r="AA447" s="163"/>
      <c r="AB447" s="163"/>
      <c r="AC447" s="163"/>
      <c r="AD447" s="163"/>
      <c r="AE447" s="163"/>
      <c r="AF447" s="163"/>
      <c r="AG447" s="163"/>
      <c r="AH447" s="163"/>
      <c r="AI447" s="163"/>
      <c r="AJ447" s="163"/>
      <c r="AK447" s="163"/>
      <c r="AL447" s="163"/>
      <c r="AM447" s="163"/>
      <c r="AN447" s="130"/>
      <c r="AO447" s="130"/>
      <c r="AP447" s="130"/>
      <c r="AQ447" s="130"/>
      <c r="AR447" s="130"/>
      <c r="AS447" s="130"/>
      <c r="AT447" s="130"/>
    </row>
    <row r="448" ht="13.5" customHeight="1">
      <c r="A448" s="130"/>
      <c r="B448" s="130"/>
      <c r="C448" s="130"/>
      <c r="D448" s="130"/>
      <c r="E448" s="163"/>
      <c r="F448" s="163"/>
      <c r="G448" s="163"/>
      <c r="H448" s="163"/>
      <c r="I448" s="163"/>
      <c r="J448" s="163"/>
      <c r="K448" s="130"/>
      <c r="L448" s="130"/>
      <c r="M448" s="130"/>
      <c r="N448" s="130"/>
      <c r="O448" s="130"/>
      <c r="P448" s="130"/>
      <c r="Q448" s="130"/>
      <c r="R448" s="130"/>
      <c r="S448" s="163"/>
      <c r="T448" s="163"/>
      <c r="U448" s="163"/>
      <c r="V448" s="163"/>
      <c r="W448" s="163"/>
      <c r="X448" s="163"/>
      <c r="Y448" s="163"/>
      <c r="Z448" s="163"/>
      <c r="AA448" s="163"/>
      <c r="AB448" s="163"/>
      <c r="AC448" s="163"/>
      <c r="AD448" s="163"/>
      <c r="AE448" s="163"/>
      <c r="AF448" s="163"/>
      <c r="AG448" s="163"/>
      <c r="AH448" s="163"/>
      <c r="AI448" s="163"/>
      <c r="AJ448" s="163"/>
      <c r="AK448" s="163"/>
      <c r="AL448" s="163"/>
      <c r="AM448" s="163"/>
      <c r="AN448" s="130"/>
      <c r="AO448" s="130"/>
      <c r="AP448" s="130"/>
      <c r="AQ448" s="130"/>
      <c r="AR448" s="130"/>
      <c r="AS448" s="130"/>
      <c r="AT448" s="130"/>
    </row>
    <row r="449" ht="13.5" customHeight="1">
      <c r="A449" s="130"/>
      <c r="B449" s="130"/>
      <c r="C449" s="130"/>
      <c r="D449" s="130"/>
      <c r="E449" s="163"/>
      <c r="F449" s="163"/>
      <c r="G449" s="163"/>
      <c r="H449" s="163"/>
      <c r="I449" s="163"/>
      <c r="J449" s="163"/>
      <c r="K449" s="130"/>
      <c r="L449" s="130"/>
      <c r="M449" s="130"/>
      <c r="N449" s="130"/>
      <c r="O449" s="130"/>
      <c r="P449" s="130"/>
      <c r="Q449" s="130"/>
      <c r="R449" s="130"/>
      <c r="S449" s="163"/>
      <c r="T449" s="163"/>
      <c r="U449" s="163"/>
      <c r="V449" s="163"/>
      <c r="W449" s="163"/>
      <c r="X449" s="163"/>
      <c r="Y449" s="163"/>
      <c r="Z449" s="163"/>
      <c r="AA449" s="163"/>
      <c r="AB449" s="163"/>
      <c r="AC449" s="163"/>
      <c r="AD449" s="163"/>
      <c r="AE449" s="163"/>
      <c r="AF449" s="163"/>
      <c r="AG449" s="163"/>
      <c r="AH449" s="163"/>
      <c r="AI449" s="163"/>
      <c r="AJ449" s="163"/>
      <c r="AK449" s="163"/>
      <c r="AL449" s="163"/>
      <c r="AM449" s="163"/>
      <c r="AN449" s="130"/>
      <c r="AO449" s="130"/>
      <c r="AP449" s="130"/>
      <c r="AQ449" s="130"/>
      <c r="AR449" s="130"/>
      <c r="AS449" s="130"/>
      <c r="AT449" s="130"/>
    </row>
    <row r="450" ht="13.5" customHeight="1">
      <c r="A450" s="130"/>
      <c r="B450" s="130"/>
      <c r="C450" s="130"/>
      <c r="D450" s="130"/>
      <c r="E450" s="163"/>
      <c r="F450" s="163"/>
      <c r="G450" s="163"/>
      <c r="H450" s="163"/>
      <c r="I450" s="163"/>
      <c r="J450" s="163"/>
      <c r="K450" s="130"/>
      <c r="L450" s="130"/>
      <c r="M450" s="130"/>
      <c r="N450" s="130"/>
      <c r="O450" s="130"/>
      <c r="P450" s="130"/>
      <c r="Q450" s="130"/>
      <c r="R450" s="130"/>
      <c r="S450" s="163"/>
      <c r="T450" s="163"/>
      <c r="U450" s="163"/>
      <c r="V450" s="163"/>
      <c r="W450" s="163"/>
      <c r="X450" s="163"/>
      <c r="Y450" s="163"/>
      <c r="Z450" s="163"/>
      <c r="AA450" s="163"/>
      <c r="AB450" s="163"/>
      <c r="AC450" s="163"/>
      <c r="AD450" s="163"/>
      <c r="AE450" s="163"/>
      <c r="AF450" s="163"/>
      <c r="AG450" s="163"/>
      <c r="AH450" s="163"/>
      <c r="AI450" s="163"/>
      <c r="AJ450" s="163"/>
      <c r="AK450" s="163"/>
      <c r="AL450" s="163"/>
      <c r="AM450" s="163"/>
      <c r="AN450" s="130"/>
      <c r="AO450" s="130"/>
      <c r="AP450" s="130"/>
      <c r="AQ450" s="130"/>
      <c r="AR450" s="130"/>
      <c r="AS450" s="130"/>
      <c r="AT450" s="130"/>
    </row>
    <row r="451" ht="13.5" customHeight="1">
      <c r="A451" s="130"/>
      <c r="B451" s="130"/>
      <c r="C451" s="130"/>
      <c r="D451" s="130"/>
      <c r="E451" s="163"/>
      <c r="F451" s="163"/>
      <c r="G451" s="163"/>
      <c r="H451" s="163"/>
      <c r="I451" s="163"/>
      <c r="J451" s="163"/>
      <c r="K451" s="130"/>
      <c r="L451" s="130"/>
      <c r="M451" s="130"/>
      <c r="N451" s="130"/>
      <c r="O451" s="130"/>
      <c r="P451" s="130"/>
      <c r="Q451" s="130"/>
      <c r="R451" s="130"/>
      <c r="S451" s="163"/>
      <c r="T451" s="163"/>
      <c r="U451" s="163"/>
      <c r="V451" s="163"/>
      <c r="W451" s="163"/>
      <c r="X451" s="163"/>
      <c r="Y451" s="163"/>
      <c r="Z451" s="163"/>
      <c r="AA451" s="163"/>
      <c r="AB451" s="163"/>
      <c r="AC451" s="163"/>
      <c r="AD451" s="163"/>
      <c r="AE451" s="163"/>
      <c r="AF451" s="163"/>
      <c r="AG451" s="163"/>
      <c r="AH451" s="163"/>
      <c r="AI451" s="163"/>
      <c r="AJ451" s="163"/>
      <c r="AK451" s="163"/>
      <c r="AL451" s="163"/>
      <c r="AM451" s="163"/>
      <c r="AN451" s="130"/>
      <c r="AO451" s="130"/>
      <c r="AP451" s="130"/>
      <c r="AQ451" s="130"/>
      <c r="AR451" s="130"/>
      <c r="AS451" s="130"/>
      <c r="AT451" s="130"/>
    </row>
    <row r="452" ht="13.5" customHeight="1">
      <c r="A452" s="130"/>
      <c r="B452" s="130"/>
      <c r="C452" s="130"/>
      <c r="D452" s="130"/>
      <c r="E452" s="163"/>
      <c r="F452" s="163"/>
      <c r="G452" s="163"/>
      <c r="H452" s="163"/>
      <c r="I452" s="163"/>
      <c r="J452" s="163"/>
      <c r="K452" s="130"/>
      <c r="L452" s="130"/>
      <c r="M452" s="130"/>
      <c r="N452" s="130"/>
      <c r="O452" s="130"/>
      <c r="P452" s="130"/>
      <c r="Q452" s="130"/>
      <c r="R452" s="130"/>
      <c r="S452" s="163"/>
      <c r="T452" s="163"/>
      <c r="U452" s="163"/>
      <c r="V452" s="163"/>
      <c r="W452" s="163"/>
      <c r="X452" s="163"/>
      <c r="Y452" s="163"/>
      <c r="Z452" s="163"/>
      <c r="AA452" s="163"/>
      <c r="AB452" s="163"/>
      <c r="AC452" s="163"/>
      <c r="AD452" s="163"/>
      <c r="AE452" s="163"/>
      <c r="AF452" s="163"/>
      <c r="AG452" s="163"/>
      <c r="AH452" s="163"/>
      <c r="AI452" s="163"/>
      <c r="AJ452" s="163"/>
      <c r="AK452" s="163"/>
      <c r="AL452" s="163"/>
      <c r="AM452" s="163"/>
      <c r="AN452" s="130"/>
      <c r="AO452" s="130"/>
      <c r="AP452" s="130"/>
      <c r="AQ452" s="130"/>
      <c r="AR452" s="130"/>
      <c r="AS452" s="130"/>
      <c r="AT452" s="130"/>
    </row>
    <row r="453" ht="13.5" customHeight="1">
      <c r="A453" s="130"/>
      <c r="B453" s="130"/>
      <c r="C453" s="130"/>
      <c r="D453" s="130"/>
      <c r="E453" s="163"/>
      <c r="F453" s="163"/>
      <c r="G453" s="163"/>
      <c r="H453" s="163"/>
      <c r="I453" s="163"/>
      <c r="J453" s="163"/>
      <c r="K453" s="130"/>
      <c r="L453" s="130"/>
      <c r="M453" s="130"/>
      <c r="N453" s="130"/>
      <c r="O453" s="130"/>
      <c r="P453" s="130"/>
      <c r="Q453" s="130"/>
      <c r="R453" s="130"/>
      <c r="S453" s="163"/>
      <c r="T453" s="163"/>
      <c r="U453" s="163"/>
      <c r="V453" s="163"/>
      <c r="W453" s="163"/>
      <c r="X453" s="163"/>
      <c r="Y453" s="163"/>
      <c r="Z453" s="163"/>
      <c r="AA453" s="163"/>
      <c r="AB453" s="163"/>
      <c r="AC453" s="163"/>
      <c r="AD453" s="163"/>
      <c r="AE453" s="163"/>
      <c r="AF453" s="163"/>
      <c r="AG453" s="163"/>
      <c r="AH453" s="163"/>
      <c r="AI453" s="163"/>
      <c r="AJ453" s="163"/>
      <c r="AK453" s="163"/>
      <c r="AL453" s="163"/>
      <c r="AM453" s="163"/>
      <c r="AN453" s="130"/>
      <c r="AO453" s="130"/>
      <c r="AP453" s="130"/>
      <c r="AQ453" s="130"/>
      <c r="AR453" s="130"/>
      <c r="AS453" s="130"/>
      <c r="AT453" s="130"/>
    </row>
    <row r="454" ht="13.5" customHeight="1">
      <c r="A454" s="130"/>
      <c r="B454" s="130"/>
      <c r="C454" s="130"/>
      <c r="D454" s="130"/>
      <c r="E454" s="163"/>
      <c r="F454" s="163"/>
      <c r="G454" s="163"/>
      <c r="H454" s="163"/>
      <c r="I454" s="163"/>
      <c r="J454" s="163"/>
      <c r="K454" s="130"/>
      <c r="L454" s="130"/>
      <c r="M454" s="130"/>
      <c r="N454" s="130"/>
      <c r="O454" s="130"/>
      <c r="P454" s="130"/>
      <c r="Q454" s="130"/>
      <c r="R454" s="130"/>
      <c r="S454" s="163"/>
      <c r="T454" s="163"/>
      <c r="U454" s="163"/>
      <c r="V454" s="163"/>
      <c r="W454" s="163"/>
      <c r="X454" s="163"/>
      <c r="Y454" s="163"/>
      <c r="Z454" s="163"/>
      <c r="AA454" s="163"/>
      <c r="AB454" s="163"/>
      <c r="AC454" s="163"/>
      <c r="AD454" s="163"/>
      <c r="AE454" s="163"/>
      <c r="AF454" s="163"/>
      <c r="AG454" s="163"/>
      <c r="AH454" s="163"/>
      <c r="AI454" s="163"/>
      <c r="AJ454" s="163"/>
      <c r="AK454" s="163"/>
      <c r="AL454" s="163"/>
      <c r="AM454" s="163"/>
      <c r="AN454" s="130"/>
      <c r="AO454" s="130"/>
      <c r="AP454" s="130"/>
      <c r="AQ454" s="130"/>
      <c r="AR454" s="130"/>
      <c r="AS454" s="130"/>
      <c r="AT454" s="130"/>
    </row>
    <row r="455" ht="13.5" customHeight="1">
      <c r="A455" s="130"/>
      <c r="B455" s="130"/>
      <c r="C455" s="130"/>
      <c r="D455" s="130"/>
      <c r="E455" s="163"/>
      <c r="F455" s="163"/>
      <c r="G455" s="163"/>
      <c r="H455" s="163"/>
      <c r="I455" s="163"/>
      <c r="J455" s="163"/>
      <c r="K455" s="130"/>
      <c r="L455" s="130"/>
      <c r="M455" s="130"/>
      <c r="N455" s="130"/>
      <c r="O455" s="130"/>
      <c r="P455" s="130"/>
      <c r="Q455" s="130"/>
      <c r="R455" s="130"/>
      <c r="S455" s="163"/>
      <c r="T455" s="163"/>
      <c r="U455" s="163"/>
      <c r="V455" s="163"/>
      <c r="W455" s="163"/>
      <c r="X455" s="163"/>
      <c r="Y455" s="163"/>
      <c r="Z455" s="163"/>
      <c r="AA455" s="163"/>
      <c r="AB455" s="163"/>
      <c r="AC455" s="163"/>
      <c r="AD455" s="163"/>
      <c r="AE455" s="163"/>
      <c r="AF455" s="163"/>
      <c r="AG455" s="163"/>
      <c r="AH455" s="163"/>
      <c r="AI455" s="163"/>
      <c r="AJ455" s="163"/>
      <c r="AK455" s="163"/>
      <c r="AL455" s="163"/>
      <c r="AM455" s="163"/>
      <c r="AN455" s="130"/>
      <c r="AO455" s="130"/>
      <c r="AP455" s="130"/>
      <c r="AQ455" s="130"/>
      <c r="AR455" s="130"/>
      <c r="AS455" s="130"/>
      <c r="AT455" s="130"/>
    </row>
    <row r="456" ht="13.5" customHeight="1">
      <c r="A456" s="130"/>
      <c r="B456" s="130"/>
      <c r="C456" s="130"/>
      <c r="D456" s="130"/>
      <c r="E456" s="163"/>
      <c r="F456" s="163"/>
      <c r="G456" s="163"/>
      <c r="H456" s="163"/>
      <c r="I456" s="163"/>
      <c r="J456" s="163"/>
      <c r="K456" s="130"/>
      <c r="L456" s="130"/>
      <c r="M456" s="130"/>
      <c r="N456" s="130"/>
      <c r="O456" s="130"/>
      <c r="P456" s="130"/>
      <c r="Q456" s="130"/>
      <c r="R456" s="130"/>
      <c r="S456" s="163"/>
      <c r="T456" s="163"/>
      <c r="U456" s="163"/>
      <c r="V456" s="163"/>
      <c r="W456" s="163"/>
      <c r="X456" s="163"/>
      <c r="Y456" s="163"/>
      <c r="Z456" s="163"/>
      <c r="AA456" s="163"/>
      <c r="AB456" s="163"/>
      <c r="AC456" s="163"/>
      <c r="AD456" s="163"/>
      <c r="AE456" s="163"/>
      <c r="AF456" s="163"/>
      <c r="AG456" s="163"/>
      <c r="AH456" s="163"/>
      <c r="AI456" s="163"/>
      <c r="AJ456" s="163"/>
      <c r="AK456" s="163"/>
      <c r="AL456" s="163"/>
      <c r="AM456" s="163"/>
      <c r="AN456" s="130"/>
      <c r="AO456" s="130"/>
      <c r="AP456" s="130"/>
      <c r="AQ456" s="130"/>
      <c r="AR456" s="130"/>
      <c r="AS456" s="130"/>
      <c r="AT456" s="130"/>
    </row>
    <row r="457" ht="13.5" customHeight="1">
      <c r="A457" s="130"/>
      <c r="B457" s="130"/>
      <c r="C457" s="130"/>
      <c r="D457" s="130"/>
      <c r="E457" s="163"/>
      <c r="F457" s="163"/>
      <c r="G457" s="163"/>
      <c r="H457" s="163"/>
      <c r="I457" s="163"/>
      <c r="J457" s="163"/>
      <c r="K457" s="130"/>
      <c r="L457" s="130"/>
      <c r="M457" s="130"/>
      <c r="N457" s="130"/>
      <c r="O457" s="130"/>
      <c r="P457" s="130"/>
      <c r="Q457" s="130"/>
      <c r="R457" s="130"/>
      <c r="S457" s="163"/>
      <c r="T457" s="163"/>
      <c r="U457" s="163"/>
      <c r="V457" s="163"/>
      <c r="W457" s="163"/>
      <c r="X457" s="163"/>
      <c r="Y457" s="163"/>
      <c r="Z457" s="163"/>
      <c r="AA457" s="163"/>
      <c r="AB457" s="163"/>
      <c r="AC457" s="163"/>
      <c r="AD457" s="163"/>
      <c r="AE457" s="163"/>
      <c r="AF457" s="163"/>
      <c r="AG457" s="163"/>
      <c r="AH457" s="163"/>
      <c r="AI457" s="163"/>
      <c r="AJ457" s="163"/>
      <c r="AK457" s="163"/>
      <c r="AL457" s="163"/>
      <c r="AM457" s="163"/>
      <c r="AN457" s="130"/>
      <c r="AO457" s="130"/>
      <c r="AP457" s="130"/>
      <c r="AQ457" s="130"/>
      <c r="AR457" s="130"/>
      <c r="AS457" s="130"/>
      <c r="AT457" s="130"/>
    </row>
    <row r="458" ht="13.5" customHeight="1">
      <c r="A458" s="130"/>
      <c r="B458" s="130"/>
      <c r="C458" s="130"/>
      <c r="D458" s="130"/>
      <c r="E458" s="163"/>
      <c r="F458" s="163"/>
      <c r="G458" s="163"/>
      <c r="H458" s="163"/>
      <c r="I458" s="163"/>
      <c r="J458" s="163"/>
      <c r="K458" s="130"/>
      <c r="L458" s="130"/>
      <c r="M458" s="130"/>
      <c r="N458" s="130"/>
      <c r="O458" s="130"/>
      <c r="P458" s="130"/>
      <c r="Q458" s="130"/>
      <c r="R458" s="130"/>
      <c r="S458" s="163"/>
      <c r="T458" s="163"/>
      <c r="U458" s="163"/>
      <c r="V458" s="163"/>
      <c r="W458" s="163"/>
      <c r="X458" s="163"/>
      <c r="Y458" s="163"/>
      <c r="Z458" s="163"/>
      <c r="AA458" s="163"/>
      <c r="AB458" s="163"/>
      <c r="AC458" s="163"/>
      <c r="AD458" s="163"/>
      <c r="AE458" s="163"/>
      <c r="AF458" s="163"/>
      <c r="AG458" s="163"/>
      <c r="AH458" s="163"/>
      <c r="AI458" s="163"/>
      <c r="AJ458" s="163"/>
      <c r="AK458" s="163"/>
      <c r="AL458" s="163"/>
      <c r="AM458" s="163"/>
      <c r="AN458" s="130"/>
      <c r="AO458" s="130"/>
      <c r="AP458" s="130"/>
      <c r="AQ458" s="130"/>
      <c r="AR458" s="130"/>
      <c r="AS458" s="130"/>
      <c r="AT458" s="130"/>
    </row>
    <row r="459" ht="13.5" customHeight="1">
      <c r="A459" s="130"/>
      <c r="B459" s="130"/>
      <c r="C459" s="130"/>
      <c r="D459" s="130"/>
      <c r="E459" s="163"/>
      <c r="F459" s="163"/>
      <c r="G459" s="163"/>
      <c r="H459" s="163"/>
      <c r="I459" s="163"/>
      <c r="J459" s="163"/>
      <c r="K459" s="130"/>
      <c r="L459" s="130"/>
      <c r="M459" s="130"/>
      <c r="N459" s="130"/>
      <c r="O459" s="130"/>
      <c r="P459" s="130"/>
      <c r="Q459" s="130"/>
      <c r="R459" s="130"/>
      <c r="S459" s="163"/>
      <c r="T459" s="163"/>
      <c r="U459" s="163"/>
      <c r="V459" s="163"/>
      <c r="W459" s="163"/>
      <c r="X459" s="163"/>
      <c r="Y459" s="163"/>
      <c r="Z459" s="163"/>
      <c r="AA459" s="163"/>
      <c r="AB459" s="163"/>
      <c r="AC459" s="163"/>
      <c r="AD459" s="163"/>
      <c r="AE459" s="163"/>
      <c r="AF459" s="163"/>
      <c r="AG459" s="163"/>
      <c r="AH459" s="163"/>
      <c r="AI459" s="163"/>
      <c r="AJ459" s="163"/>
      <c r="AK459" s="163"/>
      <c r="AL459" s="163"/>
      <c r="AM459" s="163"/>
      <c r="AN459" s="130"/>
      <c r="AO459" s="130"/>
      <c r="AP459" s="130"/>
      <c r="AQ459" s="130"/>
      <c r="AR459" s="130"/>
      <c r="AS459" s="130"/>
      <c r="AT459" s="130"/>
    </row>
    <row r="460" ht="13.5" customHeight="1">
      <c r="A460" s="130"/>
      <c r="B460" s="130"/>
      <c r="C460" s="130"/>
      <c r="D460" s="130"/>
      <c r="E460" s="163"/>
      <c r="F460" s="163"/>
      <c r="G460" s="163"/>
      <c r="H460" s="163"/>
      <c r="I460" s="163"/>
      <c r="J460" s="163"/>
      <c r="K460" s="130"/>
      <c r="L460" s="130"/>
      <c r="M460" s="130"/>
      <c r="N460" s="130"/>
      <c r="O460" s="130"/>
      <c r="P460" s="130"/>
      <c r="Q460" s="130"/>
      <c r="R460" s="130"/>
      <c r="S460" s="163"/>
      <c r="T460" s="163"/>
      <c r="U460" s="163"/>
      <c r="V460" s="163"/>
      <c r="W460" s="163"/>
      <c r="X460" s="163"/>
      <c r="Y460" s="163"/>
      <c r="Z460" s="163"/>
      <c r="AA460" s="163"/>
      <c r="AB460" s="163"/>
      <c r="AC460" s="163"/>
      <c r="AD460" s="163"/>
      <c r="AE460" s="163"/>
      <c r="AF460" s="163"/>
      <c r="AG460" s="163"/>
      <c r="AH460" s="163"/>
      <c r="AI460" s="163"/>
      <c r="AJ460" s="163"/>
      <c r="AK460" s="163"/>
      <c r="AL460" s="163"/>
      <c r="AM460" s="163"/>
      <c r="AN460" s="130"/>
      <c r="AO460" s="130"/>
      <c r="AP460" s="130"/>
      <c r="AQ460" s="130"/>
      <c r="AR460" s="130"/>
      <c r="AS460" s="130"/>
      <c r="AT460" s="130"/>
    </row>
    <row r="461" ht="13.5" customHeight="1">
      <c r="A461" s="130"/>
      <c r="B461" s="130"/>
      <c r="C461" s="130"/>
      <c r="D461" s="130"/>
      <c r="E461" s="163"/>
      <c r="F461" s="163"/>
      <c r="G461" s="163"/>
      <c r="H461" s="163"/>
      <c r="I461" s="163"/>
      <c r="J461" s="163"/>
      <c r="K461" s="130"/>
      <c r="L461" s="130"/>
      <c r="M461" s="130"/>
      <c r="N461" s="130"/>
      <c r="O461" s="130"/>
      <c r="P461" s="130"/>
      <c r="Q461" s="130"/>
      <c r="R461" s="130"/>
      <c r="S461" s="163"/>
      <c r="T461" s="163"/>
      <c r="U461" s="163"/>
      <c r="V461" s="163"/>
      <c r="W461" s="163"/>
      <c r="X461" s="163"/>
      <c r="Y461" s="163"/>
      <c r="Z461" s="163"/>
      <c r="AA461" s="163"/>
      <c r="AB461" s="163"/>
      <c r="AC461" s="163"/>
      <c r="AD461" s="163"/>
      <c r="AE461" s="163"/>
      <c r="AF461" s="163"/>
      <c r="AG461" s="163"/>
      <c r="AH461" s="163"/>
      <c r="AI461" s="163"/>
      <c r="AJ461" s="163"/>
      <c r="AK461" s="163"/>
      <c r="AL461" s="163"/>
      <c r="AM461" s="163"/>
      <c r="AN461" s="130"/>
      <c r="AO461" s="130"/>
      <c r="AP461" s="130"/>
      <c r="AQ461" s="130"/>
      <c r="AR461" s="130"/>
      <c r="AS461" s="130"/>
      <c r="AT461" s="130"/>
    </row>
    <row r="462" ht="13.5" customHeight="1">
      <c r="A462" s="130"/>
      <c r="B462" s="130"/>
      <c r="C462" s="130"/>
      <c r="D462" s="130"/>
      <c r="E462" s="163"/>
      <c r="F462" s="163"/>
      <c r="G462" s="163"/>
      <c r="H462" s="163"/>
      <c r="I462" s="163"/>
      <c r="J462" s="163"/>
      <c r="K462" s="130"/>
      <c r="L462" s="130"/>
      <c r="M462" s="130"/>
      <c r="N462" s="130"/>
      <c r="O462" s="130"/>
      <c r="P462" s="130"/>
      <c r="Q462" s="130"/>
      <c r="R462" s="130"/>
      <c r="S462" s="163"/>
      <c r="T462" s="163"/>
      <c r="U462" s="163"/>
      <c r="V462" s="163"/>
      <c r="W462" s="163"/>
      <c r="X462" s="163"/>
      <c r="Y462" s="163"/>
      <c r="Z462" s="163"/>
      <c r="AA462" s="163"/>
      <c r="AB462" s="163"/>
      <c r="AC462" s="163"/>
      <c r="AD462" s="163"/>
      <c r="AE462" s="163"/>
      <c r="AF462" s="163"/>
      <c r="AG462" s="163"/>
      <c r="AH462" s="163"/>
      <c r="AI462" s="163"/>
      <c r="AJ462" s="163"/>
      <c r="AK462" s="163"/>
      <c r="AL462" s="163"/>
      <c r="AM462" s="163"/>
      <c r="AN462" s="130"/>
      <c r="AO462" s="130"/>
      <c r="AP462" s="130"/>
      <c r="AQ462" s="130"/>
      <c r="AR462" s="130"/>
      <c r="AS462" s="130"/>
      <c r="AT462" s="130"/>
    </row>
    <row r="463" ht="13.5" customHeight="1">
      <c r="A463" s="130"/>
      <c r="B463" s="130"/>
      <c r="C463" s="130"/>
      <c r="D463" s="130"/>
      <c r="E463" s="163"/>
      <c r="F463" s="163"/>
      <c r="G463" s="163"/>
      <c r="H463" s="163"/>
      <c r="I463" s="163"/>
      <c r="J463" s="163"/>
      <c r="K463" s="130"/>
      <c r="L463" s="130"/>
      <c r="M463" s="130"/>
      <c r="N463" s="130"/>
      <c r="O463" s="130"/>
      <c r="P463" s="130"/>
      <c r="Q463" s="130"/>
      <c r="R463" s="130"/>
      <c r="S463" s="163"/>
      <c r="T463" s="163"/>
      <c r="U463" s="163"/>
      <c r="V463" s="163"/>
      <c r="W463" s="163"/>
      <c r="X463" s="163"/>
      <c r="Y463" s="163"/>
      <c r="Z463" s="163"/>
      <c r="AA463" s="163"/>
      <c r="AB463" s="163"/>
      <c r="AC463" s="163"/>
      <c r="AD463" s="163"/>
      <c r="AE463" s="163"/>
      <c r="AF463" s="163"/>
      <c r="AG463" s="163"/>
      <c r="AH463" s="163"/>
      <c r="AI463" s="163"/>
      <c r="AJ463" s="163"/>
      <c r="AK463" s="163"/>
      <c r="AL463" s="163"/>
      <c r="AM463" s="163"/>
      <c r="AN463" s="130"/>
      <c r="AO463" s="130"/>
      <c r="AP463" s="130"/>
      <c r="AQ463" s="130"/>
      <c r="AR463" s="130"/>
      <c r="AS463" s="130"/>
      <c r="AT463" s="130"/>
    </row>
    <row r="464" ht="13.5" customHeight="1">
      <c r="A464" s="130"/>
      <c r="B464" s="130"/>
      <c r="C464" s="130"/>
      <c r="D464" s="130"/>
      <c r="E464" s="163"/>
      <c r="F464" s="163"/>
      <c r="G464" s="163"/>
      <c r="H464" s="163"/>
      <c r="I464" s="163"/>
      <c r="J464" s="163"/>
      <c r="K464" s="130"/>
      <c r="L464" s="130"/>
      <c r="M464" s="130"/>
      <c r="N464" s="130"/>
      <c r="O464" s="130"/>
      <c r="P464" s="130"/>
      <c r="Q464" s="130"/>
      <c r="R464" s="130"/>
      <c r="S464" s="163"/>
      <c r="T464" s="163"/>
      <c r="U464" s="163"/>
      <c r="V464" s="163"/>
      <c r="W464" s="163"/>
      <c r="X464" s="163"/>
      <c r="Y464" s="163"/>
      <c r="Z464" s="163"/>
      <c r="AA464" s="163"/>
      <c r="AB464" s="163"/>
      <c r="AC464" s="163"/>
      <c r="AD464" s="163"/>
      <c r="AE464" s="163"/>
      <c r="AF464" s="163"/>
      <c r="AG464" s="163"/>
      <c r="AH464" s="163"/>
      <c r="AI464" s="163"/>
      <c r="AJ464" s="163"/>
      <c r="AK464" s="163"/>
      <c r="AL464" s="163"/>
      <c r="AM464" s="163"/>
      <c r="AN464" s="130"/>
      <c r="AO464" s="130"/>
      <c r="AP464" s="130"/>
      <c r="AQ464" s="130"/>
      <c r="AR464" s="130"/>
      <c r="AS464" s="130"/>
      <c r="AT464" s="130"/>
    </row>
    <row r="465" ht="13.5" customHeight="1">
      <c r="A465" s="130"/>
      <c r="B465" s="130"/>
      <c r="C465" s="130"/>
      <c r="D465" s="130"/>
      <c r="E465" s="163"/>
      <c r="F465" s="163"/>
      <c r="G465" s="163"/>
      <c r="H465" s="163"/>
      <c r="I465" s="163"/>
      <c r="J465" s="163"/>
      <c r="K465" s="130"/>
      <c r="L465" s="130"/>
      <c r="M465" s="130"/>
      <c r="N465" s="130"/>
      <c r="O465" s="130"/>
      <c r="P465" s="130"/>
      <c r="Q465" s="130"/>
      <c r="R465" s="130"/>
      <c r="S465" s="163"/>
      <c r="T465" s="163"/>
      <c r="U465" s="163"/>
      <c r="V465" s="163"/>
      <c r="W465" s="163"/>
      <c r="X465" s="163"/>
      <c r="Y465" s="163"/>
      <c r="Z465" s="163"/>
      <c r="AA465" s="163"/>
      <c r="AB465" s="163"/>
      <c r="AC465" s="163"/>
      <c r="AD465" s="163"/>
      <c r="AE465" s="163"/>
      <c r="AF465" s="163"/>
      <c r="AG465" s="163"/>
      <c r="AH465" s="163"/>
      <c r="AI465" s="163"/>
      <c r="AJ465" s="163"/>
      <c r="AK465" s="163"/>
      <c r="AL465" s="163"/>
      <c r="AM465" s="163"/>
      <c r="AN465" s="130"/>
      <c r="AO465" s="130"/>
      <c r="AP465" s="130"/>
      <c r="AQ465" s="130"/>
      <c r="AR465" s="130"/>
      <c r="AS465" s="130"/>
      <c r="AT465" s="130"/>
    </row>
    <row r="466" ht="13.5" customHeight="1">
      <c r="A466" s="130"/>
      <c r="B466" s="130"/>
      <c r="C466" s="130"/>
      <c r="D466" s="130"/>
      <c r="E466" s="163"/>
      <c r="F466" s="163"/>
      <c r="G466" s="163"/>
      <c r="H466" s="163"/>
      <c r="I466" s="163"/>
      <c r="J466" s="163"/>
      <c r="K466" s="130"/>
      <c r="L466" s="130"/>
      <c r="M466" s="130"/>
      <c r="N466" s="130"/>
      <c r="O466" s="130"/>
      <c r="P466" s="130"/>
      <c r="Q466" s="130"/>
      <c r="R466" s="130"/>
      <c r="S466" s="163"/>
      <c r="T466" s="163"/>
      <c r="U466" s="163"/>
      <c r="V466" s="163"/>
      <c r="W466" s="163"/>
      <c r="X466" s="163"/>
      <c r="Y466" s="163"/>
      <c r="Z466" s="163"/>
      <c r="AA466" s="163"/>
      <c r="AB466" s="163"/>
      <c r="AC466" s="163"/>
      <c r="AD466" s="163"/>
      <c r="AE466" s="163"/>
      <c r="AF466" s="163"/>
      <c r="AG466" s="163"/>
      <c r="AH466" s="163"/>
      <c r="AI466" s="163"/>
      <c r="AJ466" s="163"/>
      <c r="AK466" s="163"/>
      <c r="AL466" s="163"/>
      <c r="AM466" s="163"/>
      <c r="AN466" s="130"/>
      <c r="AO466" s="130"/>
      <c r="AP466" s="130"/>
      <c r="AQ466" s="130"/>
      <c r="AR466" s="130"/>
      <c r="AS466" s="130"/>
      <c r="AT466" s="130"/>
    </row>
    <row r="467" ht="13.5" customHeight="1">
      <c r="A467" s="130"/>
      <c r="B467" s="130"/>
      <c r="C467" s="130"/>
      <c r="D467" s="130"/>
      <c r="E467" s="163"/>
      <c r="F467" s="163"/>
      <c r="G467" s="163"/>
      <c r="H467" s="163"/>
      <c r="I467" s="163"/>
      <c r="J467" s="163"/>
      <c r="K467" s="130"/>
      <c r="L467" s="130"/>
      <c r="M467" s="130"/>
      <c r="N467" s="130"/>
      <c r="O467" s="130"/>
      <c r="P467" s="130"/>
      <c r="Q467" s="130"/>
      <c r="R467" s="130"/>
      <c r="S467" s="163"/>
      <c r="T467" s="163"/>
      <c r="U467" s="163"/>
      <c r="V467" s="163"/>
      <c r="W467" s="163"/>
      <c r="X467" s="163"/>
      <c r="Y467" s="163"/>
      <c r="Z467" s="163"/>
      <c r="AA467" s="163"/>
      <c r="AB467" s="163"/>
      <c r="AC467" s="163"/>
      <c r="AD467" s="163"/>
      <c r="AE467" s="163"/>
      <c r="AF467" s="163"/>
      <c r="AG467" s="163"/>
      <c r="AH467" s="163"/>
      <c r="AI467" s="163"/>
      <c r="AJ467" s="163"/>
      <c r="AK467" s="163"/>
      <c r="AL467" s="163"/>
      <c r="AM467" s="163"/>
      <c r="AN467" s="130"/>
      <c r="AO467" s="130"/>
      <c r="AP467" s="130"/>
      <c r="AQ467" s="130"/>
      <c r="AR467" s="130"/>
      <c r="AS467" s="130"/>
      <c r="AT467" s="130"/>
    </row>
    <row r="468" ht="13.5" customHeight="1">
      <c r="A468" s="130"/>
      <c r="B468" s="130"/>
      <c r="C468" s="130"/>
      <c r="D468" s="130"/>
      <c r="E468" s="163"/>
      <c r="F468" s="163"/>
      <c r="G468" s="163"/>
      <c r="H468" s="163"/>
      <c r="I468" s="163"/>
      <c r="J468" s="163"/>
      <c r="K468" s="130"/>
      <c r="L468" s="130"/>
      <c r="M468" s="130"/>
      <c r="N468" s="130"/>
      <c r="O468" s="130"/>
      <c r="P468" s="130"/>
      <c r="Q468" s="130"/>
      <c r="R468" s="130"/>
      <c r="S468" s="163"/>
      <c r="T468" s="163"/>
      <c r="U468" s="163"/>
      <c r="V468" s="163"/>
      <c r="W468" s="163"/>
      <c r="X468" s="163"/>
      <c r="Y468" s="163"/>
      <c r="Z468" s="163"/>
      <c r="AA468" s="163"/>
      <c r="AB468" s="163"/>
      <c r="AC468" s="163"/>
      <c r="AD468" s="163"/>
      <c r="AE468" s="163"/>
      <c r="AF468" s="163"/>
      <c r="AG468" s="163"/>
      <c r="AH468" s="163"/>
      <c r="AI468" s="163"/>
      <c r="AJ468" s="163"/>
      <c r="AK468" s="163"/>
      <c r="AL468" s="163"/>
      <c r="AM468" s="163"/>
      <c r="AN468" s="130"/>
      <c r="AO468" s="130"/>
      <c r="AP468" s="130"/>
      <c r="AQ468" s="130"/>
      <c r="AR468" s="130"/>
      <c r="AS468" s="130"/>
      <c r="AT468" s="130"/>
    </row>
    <row r="469" ht="13.5" customHeight="1">
      <c r="A469" s="130"/>
      <c r="B469" s="130"/>
      <c r="C469" s="130"/>
      <c r="D469" s="130"/>
      <c r="E469" s="163"/>
      <c r="F469" s="163"/>
      <c r="G469" s="163"/>
      <c r="H469" s="163"/>
      <c r="I469" s="163"/>
      <c r="J469" s="163"/>
      <c r="K469" s="130"/>
      <c r="L469" s="130"/>
      <c r="M469" s="130"/>
      <c r="N469" s="130"/>
      <c r="O469" s="130"/>
      <c r="P469" s="130"/>
      <c r="Q469" s="130"/>
      <c r="R469" s="130"/>
      <c r="S469" s="163"/>
      <c r="T469" s="163"/>
      <c r="U469" s="163"/>
      <c r="V469" s="163"/>
      <c r="W469" s="163"/>
      <c r="X469" s="163"/>
      <c r="Y469" s="163"/>
      <c r="Z469" s="163"/>
      <c r="AA469" s="163"/>
      <c r="AB469" s="163"/>
      <c r="AC469" s="163"/>
      <c r="AD469" s="163"/>
      <c r="AE469" s="163"/>
      <c r="AF469" s="163"/>
      <c r="AG469" s="163"/>
      <c r="AH469" s="163"/>
      <c r="AI469" s="163"/>
      <c r="AJ469" s="163"/>
      <c r="AK469" s="163"/>
      <c r="AL469" s="163"/>
      <c r="AM469" s="163"/>
      <c r="AN469" s="130"/>
      <c r="AO469" s="130"/>
      <c r="AP469" s="130"/>
      <c r="AQ469" s="130"/>
      <c r="AR469" s="130"/>
      <c r="AS469" s="130"/>
      <c r="AT469" s="130"/>
    </row>
    <row r="470" ht="13.5" customHeight="1">
      <c r="A470" s="130"/>
      <c r="B470" s="130"/>
      <c r="C470" s="130"/>
      <c r="D470" s="130"/>
      <c r="E470" s="163"/>
      <c r="F470" s="163"/>
      <c r="G470" s="163"/>
      <c r="H470" s="163"/>
      <c r="I470" s="163"/>
      <c r="J470" s="163"/>
      <c r="K470" s="130"/>
      <c r="L470" s="130"/>
      <c r="M470" s="130"/>
      <c r="N470" s="130"/>
      <c r="O470" s="130"/>
      <c r="P470" s="130"/>
      <c r="Q470" s="130"/>
      <c r="R470" s="130"/>
      <c r="S470" s="163"/>
      <c r="T470" s="163"/>
      <c r="U470" s="163"/>
      <c r="V470" s="163"/>
      <c r="W470" s="163"/>
      <c r="X470" s="163"/>
      <c r="Y470" s="163"/>
      <c r="Z470" s="163"/>
      <c r="AA470" s="163"/>
      <c r="AB470" s="163"/>
      <c r="AC470" s="163"/>
      <c r="AD470" s="163"/>
      <c r="AE470" s="163"/>
      <c r="AF470" s="163"/>
      <c r="AG470" s="163"/>
      <c r="AH470" s="163"/>
      <c r="AI470" s="163"/>
      <c r="AJ470" s="163"/>
      <c r="AK470" s="163"/>
      <c r="AL470" s="163"/>
      <c r="AM470" s="163"/>
      <c r="AN470" s="130"/>
      <c r="AO470" s="130"/>
      <c r="AP470" s="130"/>
      <c r="AQ470" s="130"/>
      <c r="AR470" s="130"/>
      <c r="AS470" s="130"/>
      <c r="AT470" s="130"/>
    </row>
    <row r="471" ht="13.5" customHeight="1">
      <c r="A471" s="130"/>
      <c r="B471" s="130"/>
      <c r="C471" s="130"/>
      <c r="D471" s="130"/>
      <c r="E471" s="163"/>
      <c r="F471" s="163"/>
      <c r="G471" s="163"/>
      <c r="H471" s="163"/>
      <c r="I471" s="163"/>
      <c r="J471" s="163"/>
      <c r="K471" s="130"/>
      <c r="L471" s="130"/>
      <c r="M471" s="130"/>
      <c r="N471" s="130"/>
      <c r="O471" s="130"/>
      <c r="P471" s="130"/>
      <c r="Q471" s="130"/>
      <c r="R471" s="130"/>
      <c r="S471" s="163"/>
      <c r="T471" s="163"/>
      <c r="U471" s="163"/>
      <c r="V471" s="163"/>
      <c r="W471" s="163"/>
      <c r="X471" s="163"/>
      <c r="Y471" s="163"/>
      <c r="Z471" s="163"/>
      <c r="AA471" s="163"/>
      <c r="AB471" s="163"/>
      <c r="AC471" s="163"/>
      <c r="AD471" s="163"/>
      <c r="AE471" s="163"/>
      <c r="AF471" s="163"/>
      <c r="AG471" s="163"/>
      <c r="AH471" s="163"/>
      <c r="AI471" s="163"/>
      <c r="AJ471" s="163"/>
      <c r="AK471" s="163"/>
      <c r="AL471" s="163"/>
      <c r="AM471" s="163"/>
      <c r="AN471" s="130"/>
      <c r="AO471" s="130"/>
      <c r="AP471" s="130"/>
      <c r="AQ471" s="130"/>
      <c r="AR471" s="130"/>
      <c r="AS471" s="130"/>
      <c r="AT471" s="130"/>
    </row>
    <row r="472" ht="13.5" customHeight="1">
      <c r="A472" s="130"/>
      <c r="B472" s="130"/>
      <c r="C472" s="130"/>
      <c r="D472" s="130"/>
      <c r="E472" s="163"/>
      <c r="F472" s="163"/>
      <c r="G472" s="163"/>
      <c r="H472" s="163"/>
      <c r="I472" s="163"/>
      <c r="J472" s="163"/>
      <c r="K472" s="130"/>
      <c r="L472" s="130"/>
      <c r="M472" s="130"/>
      <c r="N472" s="130"/>
      <c r="O472" s="130"/>
      <c r="P472" s="130"/>
      <c r="Q472" s="130"/>
      <c r="R472" s="130"/>
      <c r="S472" s="163"/>
      <c r="T472" s="163"/>
      <c r="U472" s="163"/>
      <c r="V472" s="163"/>
      <c r="W472" s="163"/>
      <c r="X472" s="163"/>
      <c r="Y472" s="163"/>
      <c r="Z472" s="163"/>
      <c r="AA472" s="163"/>
      <c r="AB472" s="163"/>
      <c r="AC472" s="163"/>
      <c r="AD472" s="163"/>
      <c r="AE472" s="163"/>
      <c r="AF472" s="163"/>
      <c r="AG472" s="163"/>
      <c r="AH472" s="163"/>
      <c r="AI472" s="163"/>
      <c r="AJ472" s="163"/>
      <c r="AK472" s="163"/>
      <c r="AL472" s="163"/>
      <c r="AM472" s="163"/>
      <c r="AN472" s="130"/>
      <c r="AO472" s="130"/>
      <c r="AP472" s="130"/>
      <c r="AQ472" s="130"/>
      <c r="AR472" s="130"/>
      <c r="AS472" s="130"/>
      <c r="AT472" s="130"/>
    </row>
    <row r="473" ht="13.5" customHeight="1">
      <c r="A473" s="130"/>
      <c r="B473" s="130"/>
      <c r="C473" s="130"/>
      <c r="D473" s="130"/>
      <c r="E473" s="163"/>
      <c r="F473" s="163"/>
      <c r="G473" s="163"/>
      <c r="H473" s="163"/>
      <c r="I473" s="163"/>
      <c r="J473" s="163"/>
      <c r="K473" s="130"/>
      <c r="L473" s="130"/>
      <c r="M473" s="130"/>
      <c r="N473" s="130"/>
      <c r="O473" s="130"/>
      <c r="P473" s="130"/>
      <c r="Q473" s="130"/>
      <c r="R473" s="130"/>
      <c r="S473" s="163"/>
      <c r="T473" s="163"/>
      <c r="U473" s="163"/>
      <c r="V473" s="163"/>
      <c r="W473" s="163"/>
      <c r="X473" s="163"/>
      <c r="Y473" s="163"/>
      <c r="Z473" s="163"/>
      <c r="AA473" s="163"/>
      <c r="AB473" s="163"/>
      <c r="AC473" s="163"/>
      <c r="AD473" s="163"/>
      <c r="AE473" s="163"/>
      <c r="AF473" s="163"/>
      <c r="AG473" s="163"/>
      <c r="AH473" s="163"/>
      <c r="AI473" s="163"/>
      <c r="AJ473" s="163"/>
      <c r="AK473" s="163"/>
      <c r="AL473" s="163"/>
      <c r="AM473" s="163"/>
      <c r="AN473" s="130"/>
      <c r="AO473" s="130"/>
      <c r="AP473" s="130"/>
      <c r="AQ473" s="130"/>
      <c r="AR473" s="130"/>
      <c r="AS473" s="130"/>
      <c r="AT473" s="130"/>
    </row>
    <row r="474" ht="13.5" customHeight="1">
      <c r="A474" s="130"/>
      <c r="B474" s="130"/>
      <c r="C474" s="130"/>
      <c r="D474" s="130"/>
      <c r="E474" s="163"/>
      <c r="F474" s="163"/>
      <c r="G474" s="163"/>
      <c r="H474" s="163"/>
      <c r="I474" s="163"/>
      <c r="J474" s="163"/>
      <c r="K474" s="130"/>
      <c r="L474" s="130"/>
      <c r="M474" s="130"/>
      <c r="N474" s="130"/>
      <c r="O474" s="130"/>
      <c r="P474" s="130"/>
      <c r="Q474" s="130"/>
      <c r="R474" s="130"/>
      <c r="S474" s="163"/>
      <c r="T474" s="163"/>
      <c r="U474" s="163"/>
      <c r="V474" s="163"/>
      <c r="W474" s="163"/>
      <c r="X474" s="163"/>
      <c r="Y474" s="163"/>
      <c r="Z474" s="163"/>
      <c r="AA474" s="163"/>
      <c r="AB474" s="163"/>
      <c r="AC474" s="163"/>
      <c r="AD474" s="163"/>
      <c r="AE474" s="163"/>
      <c r="AF474" s="163"/>
      <c r="AG474" s="163"/>
      <c r="AH474" s="163"/>
      <c r="AI474" s="163"/>
      <c r="AJ474" s="163"/>
      <c r="AK474" s="163"/>
      <c r="AL474" s="163"/>
      <c r="AM474" s="163"/>
      <c r="AN474" s="130"/>
      <c r="AO474" s="130"/>
      <c r="AP474" s="130"/>
      <c r="AQ474" s="130"/>
      <c r="AR474" s="130"/>
      <c r="AS474" s="130"/>
      <c r="AT474" s="130"/>
    </row>
    <row r="475" ht="13.5" customHeight="1">
      <c r="A475" s="130"/>
      <c r="B475" s="130"/>
      <c r="C475" s="130"/>
      <c r="D475" s="130"/>
      <c r="E475" s="163"/>
      <c r="F475" s="163"/>
      <c r="G475" s="163"/>
      <c r="H475" s="163"/>
      <c r="I475" s="163"/>
      <c r="J475" s="163"/>
      <c r="K475" s="130"/>
      <c r="L475" s="130"/>
      <c r="M475" s="130"/>
      <c r="N475" s="130"/>
      <c r="O475" s="130"/>
      <c r="P475" s="130"/>
      <c r="Q475" s="130"/>
      <c r="R475" s="130"/>
      <c r="S475" s="163"/>
      <c r="T475" s="163"/>
      <c r="U475" s="163"/>
      <c r="V475" s="163"/>
      <c r="W475" s="163"/>
      <c r="X475" s="163"/>
      <c r="Y475" s="163"/>
      <c r="Z475" s="163"/>
      <c r="AA475" s="163"/>
      <c r="AB475" s="163"/>
      <c r="AC475" s="163"/>
      <c r="AD475" s="163"/>
      <c r="AE475" s="163"/>
      <c r="AF475" s="163"/>
      <c r="AG475" s="163"/>
      <c r="AH475" s="163"/>
      <c r="AI475" s="163"/>
      <c r="AJ475" s="163"/>
      <c r="AK475" s="163"/>
      <c r="AL475" s="163"/>
      <c r="AM475" s="163"/>
      <c r="AN475" s="130"/>
      <c r="AO475" s="130"/>
      <c r="AP475" s="130"/>
      <c r="AQ475" s="130"/>
      <c r="AR475" s="130"/>
      <c r="AS475" s="130"/>
      <c r="AT475" s="130"/>
    </row>
    <row r="476" ht="13.5" customHeight="1">
      <c r="A476" s="130"/>
      <c r="B476" s="130"/>
      <c r="C476" s="130"/>
      <c r="D476" s="130"/>
      <c r="E476" s="163"/>
      <c r="F476" s="163"/>
      <c r="G476" s="163"/>
      <c r="H476" s="163"/>
      <c r="I476" s="163"/>
      <c r="J476" s="163"/>
      <c r="K476" s="130"/>
      <c r="L476" s="130"/>
      <c r="M476" s="130"/>
      <c r="N476" s="130"/>
      <c r="O476" s="130"/>
      <c r="P476" s="130"/>
      <c r="Q476" s="130"/>
      <c r="R476" s="130"/>
      <c r="S476" s="163"/>
      <c r="T476" s="163"/>
      <c r="U476" s="163"/>
      <c r="V476" s="163"/>
      <c r="W476" s="163"/>
      <c r="X476" s="163"/>
      <c r="Y476" s="163"/>
      <c r="Z476" s="163"/>
      <c r="AA476" s="163"/>
      <c r="AB476" s="163"/>
      <c r="AC476" s="163"/>
      <c r="AD476" s="163"/>
      <c r="AE476" s="163"/>
      <c r="AF476" s="163"/>
      <c r="AG476" s="163"/>
      <c r="AH476" s="163"/>
      <c r="AI476" s="163"/>
      <c r="AJ476" s="163"/>
      <c r="AK476" s="163"/>
      <c r="AL476" s="163"/>
      <c r="AM476" s="163"/>
      <c r="AN476" s="130"/>
      <c r="AO476" s="130"/>
      <c r="AP476" s="130"/>
      <c r="AQ476" s="130"/>
      <c r="AR476" s="130"/>
      <c r="AS476" s="130"/>
      <c r="AT476" s="130"/>
    </row>
    <row r="477" ht="13.5" customHeight="1">
      <c r="A477" s="130"/>
      <c r="B477" s="130"/>
      <c r="C477" s="130"/>
      <c r="D477" s="130"/>
      <c r="E477" s="163"/>
      <c r="F477" s="163"/>
      <c r="G477" s="163"/>
      <c r="H477" s="163"/>
      <c r="I477" s="163"/>
      <c r="J477" s="163"/>
      <c r="K477" s="130"/>
      <c r="L477" s="130"/>
      <c r="M477" s="130"/>
      <c r="N477" s="130"/>
      <c r="O477" s="130"/>
      <c r="P477" s="130"/>
      <c r="Q477" s="130"/>
      <c r="R477" s="130"/>
      <c r="S477" s="163"/>
      <c r="T477" s="163"/>
      <c r="U477" s="163"/>
      <c r="V477" s="163"/>
      <c r="W477" s="163"/>
      <c r="X477" s="163"/>
      <c r="Y477" s="163"/>
      <c r="Z477" s="163"/>
      <c r="AA477" s="163"/>
      <c r="AB477" s="163"/>
      <c r="AC477" s="163"/>
      <c r="AD477" s="163"/>
      <c r="AE477" s="163"/>
      <c r="AF477" s="163"/>
      <c r="AG477" s="163"/>
      <c r="AH477" s="163"/>
      <c r="AI477" s="163"/>
      <c r="AJ477" s="163"/>
      <c r="AK477" s="163"/>
      <c r="AL477" s="163"/>
      <c r="AM477" s="163"/>
      <c r="AN477" s="130"/>
      <c r="AO477" s="130"/>
      <c r="AP477" s="130"/>
      <c r="AQ477" s="130"/>
      <c r="AR477" s="130"/>
      <c r="AS477" s="130"/>
      <c r="AT477" s="130"/>
    </row>
    <row r="478" ht="13.5" customHeight="1">
      <c r="A478" s="130"/>
      <c r="B478" s="130"/>
      <c r="C478" s="130"/>
      <c r="D478" s="130"/>
      <c r="E478" s="163"/>
      <c r="F478" s="163"/>
      <c r="G478" s="163"/>
      <c r="H478" s="163"/>
      <c r="I478" s="163"/>
      <c r="J478" s="163"/>
      <c r="K478" s="130"/>
      <c r="L478" s="130"/>
      <c r="M478" s="130"/>
      <c r="N478" s="130"/>
      <c r="O478" s="130"/>
      <c r="P478" s="130"/>
      <c r="Q478" s="130"/>
      <c r="R478" s="130"/>
      <c r="S478" s="163"/>
      <c r="T478" s="163"/>
      <c r="U478" s="163"/>
      <c r="V478" s="163"/>
      <c r="W478" s="163"/>
      <c r="X478" s="163"/>
      <c r="Y478" s="163"/>
      <c r="Z478" s="163"/>
      <c r="AA478" s="163"/>
      <c r="AB478" s="163"/>
      <c r="AC478" s="163"/>
      <c r="AD478" s="163"/>
      <c r="AE478" s="163"/>
      <c r="AF478" s="163"/>
      <c r="AG478" s="163"/>
      <c r="AH478" s="163"/>
      <c r="AI478" s="163"/>
      <c r="AJ478" s="163"/>
      <c r="AK478" s="163"/>
      <c r="AL478" s="163"/>
      <c r="AM478" s="163"/>
      <c r="AN478" s="130"/>
      <c r="AO478" s="130"/>
      <c r="AP478" s="130"/>
      <c r="AQ478" s="130"/>
      <c r="AR478" s="130"/>
      <c r="AS478" s="130"/>
      <c r="AT478" s="130"/>
    </row>
    <row r="479" ht="13.5" customHeight="1">
      <c r="A479" s="130"/>
      <c r="B479" s="130"/>
      <c r="C479" s="130"/>
      <c r="D479" s="130"/>
      <c r="E479" s="163"/>
      <c r="F479" s="163"/>
      <c r="G479" s="163"/>
      <c r="H479" s="163"/>
      <c r="I479" s="163"/>
      <c r="J479" s="163"/>
      <c r="K479" s="130"/>
      <c r="L479" s="130"/>
      <c r="M479" s="130"/>
      <c r="N479" s="130"/>
      <c r="O479" s="130"/>
      <c r="P479" s="130"/>
      <c r="Q479" s="130"/>
      <c r="R479" s="130"/>
      <c r="S479" s="163"/>
      <c r="T479" s="163"/>
      <c r="U479" s="163"/>
      <c r="V479" s="163"/>
      <c r="W479" s="163"/>
      <c r="X479" s="163"/>
      <c r="Y479" s="163"/>
      <c r="Z479" s="163"/>
      <c r="AA479" s="163"/>
      <c r="AB479" s="163"/>
      <c r="AC479" s="163"/>
      <c r="AD479" s="163"/>
      <c r="AE479" s="163"/>
      <c r="AF479" s="163"/>
      <c r="AG479" s="163"/>
      <c r="AH479" s="163"/>
      <c r="AI479" s="163"/>
      <c r="AJ479" s="163"/>
      <c r="AK479" s="163"/>
      <c r="AL479" s="163"/>
      <c r="AM479" s="163"/>
      <c r="AN479" s="130"/>
      <c r="AO479" s="130"/>
      <c r="AP479" s="130"/>
      <c r="AQ479" s="130"/>
      <c r="AR479" s="130"/>
      <c r="AS479" s="130"/>
      <c r="AT479" s="130"/>
    </row>
    <row r="480" ht="13.5" customHeight="1">
      <c r="A480" s="130"/>
      <c r="B480" s="130"/>
      <c r="C480" s="130"/>
      <c r="D480" s="130"/>
      <c r="E480" s="163"/>
      <c r="F480" s="163"/>
      <c r="G480" s="163"/>
      <c r="H480" s="163"/>
      <c r="I480" s="163"/>
      <c r="J480" s="163"/>
      <c r="K480" s="130"/>
      <c r="L480" s="130"/>
      <c r="M480" s="130"/>
      <c r="N480" s="130"/>
      <c r="O480" s="130"/>
      <c r="P480" s="130"/>
      <c r="Q480" s="130"/>
      <c r="R480" s="130"/>
      <c r="S480" s="163"/>
      <c r="T480" s="163"/>
      <c r="U480" s="163"/>
      <c r="V480" s="163"/>
      <c r="W480" s="163"/>
      <c r="X480" s="163"/>
      <c r="Y480" s="163"/>
      <c r="Z480" s="163"/>
      <c r="AA480" s="163"/>
      <c r="AB480" s="163"/>
      <c r="AC480" s="163"/>
      <c r="AD480" s="163"/>
      <c r="AE480" s="163"/>
      <c r="AF480" s="163"/>
      <c r="AG480" s="163"/>
      <c r="AH480" s="163"/>
      <c r="AI480" s="163"/>
      <c r="AJ480" s="163"/>
      <c r="AK480" s="163"/>
      <c r="AL480" s="163"/>
      <c r="AM480" s="163"/>
      <c r="AN480" s="130"/>
      <c r="AO480" s="130"/>
      <c r="AP480" s="130"/>
      <c r="AQ480" s="130"/>
      <c r="AR480" s="130"/>
      <c r="AS480" s="130"/>
      <c r="AT480" s="130"/>
    </row>
    <row r="481" ht="13.5" customHeight="1">
      <c r="A481" s="130"/>
      <c r="B481" s="130"/>
      <c r="C481" s="130"/>
      <c r="D481" s="130"/>
      <c r="E481" s="163"/>
      <c r="F481" s="163"/>
      <c r="G481" s="163"/>
      <c r="H481" s="163"/>
      <c r="I481" s="163"/>
      <c r="J481" s="163"/>
      <c r="K481" s="130"/>
      <c r="L481" s="130"/>
      <c r="M481" s="130"/>
      <c r="N481" s="130"/>
      <c r="O481" s="130"/>
      <c r="P481" s="130"/>
      <c r="Q481" s="130"/>
      <c r="R481" s="130"/>
      <c r="S481" s="163"/>
      <c r="T481" s="163"/>
      <c r="U481" s="163"/>
      <c r="V481" s="163"/>
      <c r="W481" s="163"/>
      <c r="X481" s="163"/>
      <c r="Y481" s="163"/>
      <c r="Z481" s="163"/>
      <c r="AA481" s="163"/>
      <c r="AB481" s="163"/>
      <c r="AC481" s="163"/>
      <c r="AD481" s="163"/>
      <c r="AE481" s="163"/>
      <c r="AF481" s="163"/>
      <c r="AG481" s="163"/>
      <c r="AH481" s="163"/>
      <c r="AI481" s="163"/>
      <c r="AJ481" s="163"/>
      <c r="AK481" s="163"/>
      <c r="AL481" s="163"/>
      <c r="AM481" s="163"/>
      <c r="AN481" s="130"/>
      <c r="AO481" s="130"/>
      <c r="AP481" s="130"/>
      <c r="AQ481" s="130"/>
      <c r="AR481" s="130"/>
      <c r="AS481" s="130"/>
      <c r="AT481" s="130"/>
    </row>
    <row r="482" ht="13.5" customHeight="1">
      <c r="A482" s="130"/>
      <c r="B482" s="130"/>
      <c r="C482" s="130"/>
      <c r="D482" s="130"/>
      <c r="E482" s="163"/>
      <c r="F482" s="163"/>
      <c r="G482" s="163"/>
      <c r="H482" s="163"/>
      <c r="I482" s="163"/>
      <c r="J482" s="163"/>
      <c r="K482" s="130"/>
      <c r="L482" s="130"/>
      <c r="M482" s="130"/>
      <c r="N482" s="130"/>
      <c r="O482" s="130"/>
      <c r="P482" s="130"/>
      <c r="Q482" s="130"/>
      <c r="R482" s="130"/>
      <c r="S482" s="163"/>
      <c r="T482" s="163"/>
      <c r="U482" s="163"/>
      <c r="V482" s="163"/>
      <c r="W482" s="163"/>
      <c r="X482" s="163"/>
      <c r="Y482" s="163"/>
      <c r="Z482" s="163"/>
      <c r="AA482" s="163"/>
      <c r="AB482" s="163"/>
      <c r="AC482" s="163"/>
      <c r="AD482" s="163"/>
      <c r="AE482" s="163"/>
      <c r="AF482" s="163"/>
      <c r="AG482" s="163"/>
      <c r="AH482" s="163"/>
      <c r="AI482" s="163"/>
      <c r="AJ482" s="163"/>
      <c r="AK482" s="163"/>
      <c r="AL482" s="163"/>
      <c r="AM482" s="163"/>
      <c r="AN482" s="130"/>
      <c r="AO482" s="130"/>
      <c r="AP482" s="130"/>
      <c r="AQ482" s="130"/>
      <c r="AR482" s="130"/>
      <c r="AS482" s="130"/>
      <c r="AT482" s="130"/>
    </row>
    <row r="483" ht="13.5" customHeight="1">
      <c r="A483" s="130"/>
      <c r="B483" s="130"/>
      <c r="C483" s="130"/>
      <c r="D483" s="130"/>
      <c r="E483" s="163"/>
      <c r="F483" s="163"/>
      <c r="G483" s="163"/>
      <c r="H483" s="163"/>
      <c r="I483" s="163"/>
      <c r="J483" s="163"/>
      <c r="K483" s="130"/>
      <c r="L483" s="130"/>
      <c r="M483" s="130"/>
      <c r="N483" s="130"/>
      <c r="O483" s="130"/>
      <c r="P483" s="130"/>
      <c r="Q483" s="130"/>
      <c r="R483" s="130"/>
      <c r="S483" s="163"/>
      <c r="T483" s="163"/>
      <c r="U483" s="163"/>
      <c r="V483" s="163"/>
      <c r="W483" s="163"/>
      <c r="X483" s="163"/>
      <c r="Y483" s="163"/>
      <c r="Z483" s="163"/>
      <c r="AA483" s="163"/>
      <c r="AB483" s="163"/>
      <c r="AC483" s="163"/>
      <c r="AD483" s="163"/>
      <c r="AE483" s="163"/>
      <c r="AF483" s="163"/>
      <c r="AG483" s="163"/>
      <c r="AH483" s="163"/>
      <c r="AI483" s="163"/>
      <c r="AJ483" s="163"/>
      <c r="AK483" s="163"/>
      <c r="AL483" s="163"/>
      <c r="AM483" s="163"/>
      <c r="AN483" s="130"/>
      <c r="AO483" s="130"/>
      <c r="AP483" s="130"/>
      <c r="AQ483" s="130"/>
      <c r="AR483" s="130"/>
      <c r="AS483" s="130"/>
      <c r="AT483" s="130"/>
    </row>
    <row r="484" ht="13.5" customHeight="1">
      <c r="A484" s="130"/>
      <c r="B484" s="130"/>
      <c r="C484" s="130"/>
      <c r="D484" s="130"/>
      <c r="E484" s="163"/>
      <c r="F484" s="163"/>
      <c r="G484" s="163"/>
      <c r="H484" s="163"/>
      <c r="I484" s="163"/>
      <c r="J484" s="163"/>
      <c r="K484" s="130"/>
      <c r="L484" s="130"/>
      <c r="M484" s="130"/>
      <c r="N484" s="130"/>
      <c r="O484" s="130"/>
      <c r="P484" s="130"/>
      <c r="Q484" s="130"/>
      <c r="R484" s="130"/>
      <c r="S484" s="163"/>
      <c r="T484" s="163"/>
      <c r="U484" s="163"/>
      <c r="V484" s="163"/>
      <c r="W484" s="163"/>
      <c r="X484" s="163"/>
      <c r="Y484" s="163"/>
      <c r="Z484" s="163"/>
      <c r="AA484" s="163"/>
      <c r="AB484" s="163"/>
      <c r="AC484" s="163"/>
      <c r="AD484" s="163"/>
      <c r="AE484" s="163"/>
      <c r="AF484" s="163"/>
      <c r="AG484" s="163"/>
      <c r="AH484" s="163"/>
      <c r="AI484" s="163"/>
      <c r="AJ484" s="163"/>
      <c r="AK484" s="163"/>
      <c r="AL484" s="163"/>
      <c r="AM484" s="163"/>
      <c r="AN484" s="130"/>
      <c r="AO484" s="130"/>
      <c r="AP484" s="130"/>
      <c r="AQ484" s="130"/>
      <c r="AR484" s="130"/>
      <c r="AS484" s="130"/>
      <c r="AT484" s="130"/>
    </row>
    <row r="485" ht="13.5" customHeight="1">
      <c r="A485" s="130"/>
      <c r="B485" s="130"/>
      <c r="C485" s="130"/>
      <c r="D485" s="130"/>
      <c r="E485" s="163"/>
      <c r="F485" s="163"/>
      <c r="G485" s="163"/>
      <c r="H485" s="163"/>
      <c r="I485" s="163"/>
      <c r="J485" s="163"/>
      <c r="K485" s="130"/>
      <c r="L485" s="130"/>
      <c r="M485" s="130"/>
      <c r="N485" s="130"/>
      <c r="O485" s="130"/>
      <c r="P485" s="130"/>
      <c r="Q485" s="130"/>
      <c r="R485" s="130"/>
      <c r="S485" s="163"/>
      <c r="T485" s="163"/>
      <c r="U485" s="163"/>
      <c r="V485" s="163"/>
      <c r="W485" s="163"/>
      <c r="X485" s="163"/>
      <c r="Y485" s="163"/>
      <c r="Z485" s="163"/>
      <c r="AA485" s="163"/>
      <c r="AB485" s="163"/>
      <c r="AC485" s="163"/>
      <c r="AD485" s="163"/>
      <c r="AE485" s="163"/>
      <c r="AF485" s="163"/>
      <c r="AG485" s="163"/>
      <c r="AH485" s="163"/>
      <c r="AI485" s="163"/>
      <c r="AJ485" s="163"/>
      <c r="AK485" s="163"/>
      <c r="AL485" s="163"/>
      <c r="AM485" s="163"/>
      <c r="AN485" s="130"/>
      <c r="AO485" s="130"/>
      <c r="AP485" s="130"/>
      <c r="AQ485" s="130"/>
      <c r="AR485" s="130"/>
      <c r="AS485" s="130"/>
      <c r="AT485" s="130"/>
    </row>
    <row r="486" ht="13.5" customHeight="1">
      <c r="A486" s="130"/>
      <c r="B486" s="130"/>
      <c r="C486" s="130"/>
      <c r="D486" s="130"/>
      <c r="E486" s="163"/>
      <c r="F486" s="163"/>
      <c r="G486" s="163"/>
      <c r="H486" s="163"/>
      <c r="I486" s="163"/>
      <c r="J486" s="163"/>
      <c r="K486" s="130"/>
      <c r="L486" s="130"/>
      <c r="M486" s="130"/>
      <c r="N486" s="130"/>
      <c r="O486" s="130"/>
      <c r="P486" s="130"/>
      <c r="Q486" s="130"/>
      <c r="R486" s="130"/>
      <c r="S486" s="163"/>
      <c r="T486" s="163"/>
      <c r="U486" s="163"/>
      <c r="V486" s="163"/>
      <c r="W486" s="163"/>
      <c r="X486" s="163"/>
      <c r="Y486" s="163"/>
      <c r="Z486" s="163"/>
      <c r="AA486" s="163"/>
      <c r="AB486" s="163"/>
      <c r="AC486" s="163"/>
      <c r="AD486" s="163"/>
      <c r="AE486" s="163"/>
      <c r="AF486" s="163"/>
      <c r="AG486" s="163"/>
      <c r="AH486" s="163"/>
      <c r="AI486" s="163"/>
      <c r="AJ486" s="163"/>
      <c r="AK486" s="163"/>
      <c r="AL486" s="163"/>
      <c r="AM486" s="163"/>
      <c r="AN486" s="130"/>
      <c r="AO486" s="130"/>
      <c r="AP486" s="130"/>
      <c r="AQ486" s="130"/>
      <c r="AR486" s="130"/>
      <c r="AS486" s="130"/>
      <c r="AT486" s="130"/>
    </row>
    <row r="487" ht="13.5" customHeight="1">
      <c r="A487" s="130"/>
      <c r="B487" s="130"/>
      <c r="C487" s="130"/>
      <c r="D487" s="130"/>
      <c r="E487" s="163"/>
      <c r="F487" s="163"/>
      <c r="G487" s="163"/>
      <c r="H487" s="163"/>
      <c r="I487" s="163"/>
      <c r="J487" s="163"/>
      <c r="K487" s="130"/>
      <c r="L487" s="130"/>
      <c r="M487" s="130"/>
      <c r="N487" s="130"/>
      <c r="O487" s="130"/>
      <c r="P487" s="130"/>
      <c r="Q487" s="130"/>
      <c r="R487" s="130"/>
      <c r="S487" s="163"/>
      <c r="T487" s="163"/>
      <c r="U487" s="163"/>
      <c r="V487" s="163"/>
      <c r="W487" s="163"/>
      <c r="X487" s="163"/>
      <c r="Y487" s="163"/>
      <c r="Z487" s="163"/>
      <c r="AA487" s="163"/>
      <c r="AB487" s="163"/>
      <c r="AC487" s="163"/>
      <c r="AD487" s="163"/>
      <c r="AE487" s="163"/>
      <c r="AF487" s="163"/>
      <c r="AG487" s="163"/>
      <c r="AH487" s="163"/>
      <c r="AI487" s="163"/>
      <c r="AJ487" s="163"/>
      <c r="AK487" s="163"/>
      <c r="AL487" s="163"/>
      <c r="AM487" s="163"/>
      <c r="AN487" s="130"/>
      <c r="AO487" s="130"/>
      <c r="AP487" s="130"/>
      <c r="AQ487" s="130"/>
      <c r="AR487" s="130"/>
      <c r="AS487" s="130"/>
      <c r="AT487" s="130"/>
    </row>
    <row r="488" ht="13.5" customHeight="1">
      <c r="A488" s="130"/>
      <c r="B488" s="130"/>
      <c r="C488" s="130"/>
      <c r="D488" s="130"/>
      <c r="E488" s="163"/>
      <c r="F488" s="163"/>
      <c r="G488" s="163"/>
      <c r="H488" s="163"/>
      <c r="I488" s="163"/>
      <c r="J488" s="163"/>
      <c r="K488" s="130"/>
      <c r="L488" s="130"/>
      <c r="M488" s="130"/>
      <c r="N488" s="130"/>
      <c r="O488" s="130"/>
      <c r="P488" s="130"/>
      <c r="Q488" s="130"/>
      <c r="R488" s="130"/>
      <c r="S488" s="163"/>
      <c r="T488" s="163"/>
      <c r="U488" s="163"/>
      <c r="V488" s="163"/>
      <c r="W488" s="163"/>
      <c r="X488" s="163"/>
      <c r="Y488" s="163"/>
      <c r="Z488" s="163"/>
      <c r="AA488" s="163"/>
      <c r="AB488" s="163"/>
      <c r="AC488" s="163"/>
      <c r="AD488" s="163"/>
      <c r="AE488" s="163"/>
      <c r="AF488" s="163"/>
      <c r="AG488" s="163"/>
      <c r="AH488" s="163"/>
      <c r="AI488" s="163"/>
      <c r="AJ488" s="163"/>
      <c r="AK488" s="163"/>
      <c r="AL488" s="163"/>
      <c r="AM488" s="163"/>
      <c r="AN488" s="130"/>
      <c r="AO488" s="130"/>
      <c r="AP488" s="130"/>
      <c r="AQ488" s="130"/>
      <c r="AR488" s="130"/>
      <c r="AS488" s="130"/>
      <c r="AT488" s="130"/>
    </row>
    <row r="489" ht="13.5" customHeight="1">
      <c r="A489" s="130"/>
      <c r="B489" s="130"/>
      <c r="C489" s="130"/>
      <c r="D489" s="130"/>
      <c r="E489" s="163"/>
      <c r="F489" s="163"/>
      <c r="G489" s="163"/>
      <c r="H489" s="163"/>
      <c r="I489" s="163"/>
      <c r="J489" s="163"/>
      <c r="K489" s="130"/>
      <c r="L489" s="130"/>
      <c r="M489" s="130"/>
      <c r="N489" s="130"/>
      <c r="O489" s="130"/>
      <c r="P489" s="130"/>
      <c r="Q489" s="130"/>
      <c r="R489" s="130"/>
      <c r="S489" s="163"/>
      <c r="T489" s="163"/>
      <c r="U489" s="163"/>
      <c r="V489" s="163"/>
      <c r="W489" s="163"/>
      <c r="X489" s="163"/>
      <c r="Y489" s="163"/>
      <c r="Z489" s="163"/>
      <c r="AA489" s="163"/>
      <c r="AB489" s="163"/>
      <c r="AC489" s="163"/>
      <c r="AD489" s="163"/>
      <c r="AE489" s="163"/>
      <c r="AF489" s="163"/>
      <c r="AG489" s="163"/>
      <c r="AH489" s="163"/>
      <c r="AI489" s="163"/>
      <c r="AJ489" s="163"/>
      <c r="AK489" s="163"/>
      <c r="AL489" s="163"/>
      <c r="AM489" s="163"/>
      <c r="AN489" s="130"/>
      <c r="AO489" s="130"/>
      <c r="AP489" s="130"/>
      <c r="AQ489" s="130"/>
      <c r="AR489" s="130"/>
      <c r="AS489" s="130"/>
      <c r="AT489" s="130"/>
    </row>
    <row r="490" ht="13.5" customHeight="1">
      <c r="A490" s="130"/>
      <c r="B490" s="130"/>
      <c r="C490" s="130"/>
      <c r="D490" s="130"/>
      <c r="E490" s="163"/>
      <c r="F490" s="163"/>
      <c r="G490" s="163"/>
      <c r="H490" s="163"/>
      <c r="I490" s="163"/>
      <c r="J490" s="163"/>
      <c r="K490" s="130"/>
      <c r="L490" s="130"/>
      <c r="M490" s="130"/>
      <c r="N490" s="130"/>
      <c r="O490" s="130"/>
      <c r="P490" s="130"/>
      <c r="Q490" s="130"/>
      <c r="R490" s="130"/>
      <c r="S490" s="163"/>
      <c r="T490" s="163"/>
      <c r="U490" s="163"/>
      <c r="V490" s="163"/>
      <c r="W490" s="163"/>
      <c r="X490" s="163"/>
      <c r="Y490" s="163"/>
      <c r="Z490" s="163"/>
      <c r="AA490" s="163"/>
      <c r="AB490" s="163"/>
      <c r="AC490" s="163"/>
      <c r="AD490" s="163"/>
      <c r="AE490" s="163"/>
      <c r="AF490" s="163"/>
      <c r="AG490" s="163"/>
      <c r="AH490" s="163"/>
      <c r="AI490" s="163"/>
      <c r="AJ490" s="163"/>
      <c r="AK490" s="163"/>
      <c r="AL490" s="163"/>
      <c r="AM490" s="163"/>
      <c r="AN490" s="130"/>
      <c r="AO490" s="130"/>
      <c r="AP490" s="130"/>
      <c r="AQ490" s="130"/>
      <c r="AR490" s="130"/>
      <c r="AS490" s="130"/>
      <c r="AT490" s="130"/>
    </row>
    <row r="491" ht="13.5" customHeight="1">
      <c r="A491" s="130"/>
      <c r="B491" s="130"/>
      <c r="C491" s="130"/>
      <c r="D491" s="130"/>
      <c r="E491" s="163"/>
      <c r="F491" s="163"/>
      <c r="G491" s="163"/>
      <c r="H491" s="163"/>
      <c r="I491" s="163"/>
      <c r="J491" s="163"/>
      <c r="K491" s="130"/>
      <c r="L491" s="130"/>
      <c r="M491" s="130"/>
      <c r="N491" s="130"/>
      <c r="O491" s="130"/>
      <c r="P491" s="130"/>
      <c r="Q491" s="130"/>
      <c r="R491" s="130"/>
      <c r="S491" s="163"/>
      <c r="T491" s="163"/>
      <c r="U491" s="163"/>
      <c r="V491" s="163"/>
      <c r="W491" s="163"/>
      <c r="X491" s="163"/>
      <c r="Y491" s="163"/>
      <c r="Z491" s="163"/>
      <c r="AA491" s="163"/>
      <c r="AB491" s="163"/>
      <c r="AC491" s="163"/>
      <c r="AD491" s="163"/>
      <c r="AE491" s="163"/>
      <c r="AF491" s="163"/>
      <c r="AG491" s="163"/>
      <c r="AH491" s="163"/>
      <c r="AI491" s="163"/>
      <c r="AJ491" s="163"/>
      <c r="AK491" s="163"/>
      <c r="AL491" s="163"/>
      <c r="AM491" s="163"/>
      <c r="AN491" s="130"/>
      <c r="AO491" s="130"/>
      <c r="AP491" s="130"/>
      <c r="AQ491" s="130"/>
      <c r="AR491" s="130"/>
      <c r="AS491" s="130"/>
      <c r="AT491" s="130"/>
    </row>
    <row r="492" ht="13.5" customHeight="1">
      <c r="A492" s="130"/>
      <c r="B492" s="130"/>
      <c r="C492" s="130"/>
      <c r="D492" s="130"/>
      <c r="E492" s="163"/>
      <c r="F492" s="163"/>
      <c r="G492" s="163"/>
      <c r="H492" s="163"/>
      <c r="I492" s="163"/>
      <c r="J492" s="163"/>
      <c r="K492" s="130"/>
      <c r="L492" s="130"/>
      <c r="M492" s="130"/>
      <c r="N492" s="130"/>
      <c r="O492" s="130"/>
      <c r="P492" s="130"/>
      <c r="Q492" s="130"/>
      <c r="R492" s="130"/>
      <c r="S492" s="163"/>
      <c r="T492" s="163"/>
      <c r="U492" s="163"/>
      <c r="V492" s="163"/>
      <c r="W492" s="163"/>
      <c r="X492" s="163"/>
      <c r="Y492" s="163"/>
      <c r="Z492" s="163"/>
      <c r="AA492" s="163"/>
      <c r="AB492" s="163"/>
      <c r="AC492" s="163"/>
      <c r="AD492" s="163"/>
      <c r="AE492" s="163"/>
      <c r="AF492" s="163"/>
      <c r="AG492" s="163"/>
      <c r="AH492" s="163"/>
      <c r="AI492" s="163"/>
      <c r="AJ492" s="163"/>
      <c r="AK492" s="163"/>
      <c r="AL492" s="163"/>
      <c r="AM492" s="163"/>
      <c r="AN492" s="130"/>
      <c r="AO492" s="130"/>
      <c r="AP492" s="130"/>
      <c r="AQ492" s="130"/>
      <c r="AR492" s="130"/>
      <c r="AS492" s="130"/>
      <c r="AT492" s="130"/>
    </row>
    <row r="493" ht="13.5" customHeight="1">
      <c r="A493" s="130"/>
      <c r="B493" s="130"/>
      <c r="C493" s="130"/>
      <c r="D493" s="130"/>
      <c r="E493" s="163"/>
      <c r="F493" s="163"/>
      <c r="G493" s="163"/>
      <c r="H493" s="163"/>
      <c r="I493" s="163"/>
      <c r="J493" s="163"/>
      <c r="K493" s="130"/>
      <c r="L493" s="130"/>
      <c r="M493" s="130"/>
      <c r="N493" s="130"/>
      <c r="O493" s="130"/>
      <c r="P493" s="130"/>
      <c r="Q493" s="130"/>
      <c r="R493" s="130"/>
      <c r="S493" s="163"/>
      <c r="T493" s="163"/>
      <c r="U493" s="163"/>
      <c r="V493" s="163"/>
      <c r="W493" s="163"/>
      <c r="X493" s="163"/>
      <c r="Y493" s="163"/>
      <c r="Z493" s="163"/>
      <c r="AA493" s="163"/>
      <c r="AB493" s="163"/>
      <c r="AC493" s="163"/>
      <c r="AD493" s="163"/>
      <c r="AE493" s="163"/>
      <c r="AF493" s="163"/>
      <c r="AG493" s="163"/>
      <c r="AH493" s="163"/>
      <c r="AI493" s="163"/>
      <c r="AJ493" s="163"/>
      <c r="AK493" s="163"/>
      <c r="AL493" s="163"/>
      <c r="AM493" s="163"/>
      <c r="AN493" s="130"/>
      <c r="AO493" s="130"/>
      <c r="AP493" s="130"/>
      <c r="AQ493" s="130"/>
      <c r="AR493" s="130"/>
      <c r="AS493" s="130"/>
      <c r="AT493" s="130"/>
    </row>
    <row r="494" ht="13.5" customHeight="1">
      <c r="A494" s="130"/>
      <c r="B494" s="130"/>
      <c r="C494" s="130"/>
      <c r="D494" s="130"/>
      <c r="E494" s="163"/>
      <c r="F494" s="163"/>
      <c r="G494" s="163"/>
      <c r="H494" s="163"/>
      <c r="I494" s="163"/>
      <c r="J494" s="163"/>
      <c r="K494" s="130"/>
      <c r="L494" s="130"/>
      <c r="M494" s="130"/>
      <c r="N494" s="130"/>
      <c r="O494" s="130"/>
      <c r="P494" s="130"/>
      <c r="Q494" s="130"/>
      <c r="R494" s="130"/>
      <c r="S494" s="163"/>
      <c r="T494" s="163"/>
      <c r="U494" s="163"/>
      <c r="V494" s="163"/>
      <c r="W494" s="163"/>
      <c r="X494" s="163"/>
      <c r="Y494" s="163"/>
      <c r="Z494" s="163"/>
      <c r="AA494" s="163"/>
      <c r="AB494" s="163"/>
      <c r="AC494" s="163"/>
      <c r="AD494" s="163"/>
      <c r="AE494" s="163"/>
      <c r="AF494" s="163"/>
      <c r="AG494" s="163"/>
      <c r="AH494" s="163"/>
      <c r="AI494" s="163"/>
      <c r="AJ494" s="163"/>
      <c r="AK494" s="163"/>
      <c r="AL494" s="163"/>
      <c r="AM494" s="163"/>
      <c r="AN494" s="130"/>
      <c r="AO494" s="130"/>
      <c r="AP494" s="130"/>
      <c r="AQ494" s="130"/>
      <c r="AR494" s="130"/>
      <c r="AS494" s="130"/>
      <c r="AT494" s="130"/>
    </row>
    <row r="495" ht="13.5" customHeight="1">
      <c r="A495" s="130"/>
      <c r="B495" s="130"/>
      <c r="C495" s="130"/>
      <c r="D495" s="130"/>
      <c r="E495" s="163"/>
      <c r="F495" s="163"/>
      <c r="G495" s="163"/>
      <c r="H495" s="163"/>
      <c r="I495" s="163"/>
      <c r="J495" s="163"/>
      <c r="K495" s="130"/>
      <c r="L495" s="130"/>
      <c r="M495" s="130"/>
      <c r="N495" s="130"/>
      <c r="O495" s="130"/>
      <c r="P495" s="130"/>
      <c r="Q495" s="130"/>
      <c r="R495" s="130"/>
      <c r="S495" s="163"/>
      <c r="T495" s="163"/>
      <c r="U495" s="163"/>
      <c r="V495" s="163"/>
      <c r="W495" s="163"/>
      <c r="X495" s="163"/>
      <c r="Y495" s="163"/>
      <c r="Z495" s="163"/>
      <c r="AA495" s="163"/>
      <c r="AB495" s="163"/>
      <c r="AC495" s="163"/>
      <c r="AD495" s="163"/>
      <c r="AE495" s="163"/>
      <c r="AF495" s="163"/>
      <c r="AG495" s="163"/>
      <c r="AH495" s="163"/>
      <c r="AI495" s="163"/>
      <c r="AJ495" s="163"/>
      <c r="AK495" s="163"/>
      <c r="AL495" s="163"/>
      <c r="AM495" s="163"/>
      <c r="AN495" s="130"/>
      <c r="AO495" s="130"/>
      <c r="AP495" s="130"/>
      <c r="AQ495" s="130"/>
      <c r="AR495" s="130"/>
      <c r="AS495" s="130"/>
      <c r="AT495" s="130"/>
    </row>
    <row r="496" ht="13.5" customHeight="1">
      <c r="A496" s="130"/>
      <c r="B496" s="130"/>
      <c r="C496" s="130"/>
      <c r="D496" s="130"/>
      <c r="E496" s="163"/>
      <c r="F496" s="163"/>
      <c r="G496" s="163"/>
      <c r="H496" s="163"/>
      <c r="I496" s="163"/>
      <c r="J496" s="163"/>
      <c r="K496" s="130"/>
      <c r="L496" s="130"/>
      <c r="M496" s="130"/>
      <c r="N496" s="130"/>
      <c r="O496" s="130"/>
      <c r="P496" s="130"/>
      <c r="Q496" s="130"/>
      <c r="R496" s="130"/>
      <c r="S496" s="163"/>
      <c r="T496" s="163"/>
      <c r="U496" s="163"/>
      <c r="V496" s="163"/>
      <c r="W496" s="163"/>
      <c r="X496" s="163"/>
      <c r="Y496" s="163"/>
      <c r="Z496" s="163"/>
      <c r="AA496" s="163"/>
      <c r="AB496" s="163"/>
      <c r="AC496" s="163"/>
      <c r="AD496" s="163"/>
      <c r="AE496" s="163"/>
      <c r="AF496" s="163"/>
      <c r="AG496" s="163"/>
      <c r="AH496" s="163"/>
      <c r="AI496" s="163"/>
      <c r="AJ496" s="163"/>
      <c r="AK496" s="163"/>
      <c r="AL496" s="163"/>
      <c r="AM496" s="163"/>
      <c r="AN496" s="130"/>
      <c r="AO496" s="130"/>
      <c r="AP496" s="130"/>
      <c r="AQ496" s="130"/>
      <c r="AR496" s="130"/>
      <c r="AS496" s="130"/>
      <c r="AT496" s="130"/>
    </row>
    <row r="497" ht="13.5" customHeight="1">
      <c r="A497" s="130"/>
      <c r="B497" s="130"/>
      <c r="C497" s="130"/>
      <c r="D497" s="130"/>
      <c r="E497" s="163"/>
      <c r="F497" s="163"/>
      <c r="G497" s="163"/>
      <c r="H497" s="163"/>
      <c r="I497" s="163"/>
      <c r="J497" s="163"/>
      <c r="K497" s="130"/>
      <c r="L497" s="130"/>
      <c r="M497" s="130"/>
      <c r="N497" s="130"/>
      <c r="O497" s="130"/>
      <c r="P497" s="130"/>
      <c r="Q497" s="130"/>
      <c r="R497" s="130"/>
      <c r="S497" s="163"/>
      <c r="T497" s="163"/>
      <c r="U497" s="163"/>
      <c r="V497" s="163"/>
      <c r="W497" s="163"/>
      <c r="X497" s="163"/>
      <c r="Y497" s="163"/>
      <c r="Z497" s="163"/>
      <c r="AA497" s="163"/>
      <c r="AB497" s="163"/>
      <c r="AC497" s="163"/>
      <c r="AD497" s="163"/>
      <c r="AE497" s="163"/>
      <c r="AF497" s="163"/>
      <c r="AG497" s="163"/>
      <c r="AH497" s="163"/>
      <c r="AI497" s="163"/>
      <c r="AJ497" s="163"/>
      <c r="AK497" s="163"/>
      <c r="AL497" s="163"/>
      <c r="AM497" s="163"/>
      <c r="AN497" s="130"/>
      <c r="AO497" s="130"/>
      <c r="AP497" s="130"/>
      <c r="AQ497" s="130"/>
      <c r="AR497" s="130"/>
      <c r="AS497" s="130"/>
      <c r="AT497" s="130"/>
    </row>
    <row r="498" ht="13.5" customHeight="1">
      <c r="A498" s="130"/>
      <c r="B498" s="130"/>
      <c r="C498" s="130"/>
      <c r="D498" s="130"/>
      <c r="E498" s="163"/>
      <c r="F498" s="163"/>
      <c r="G498" s="163"/>
      <c r="H498" s="163"/>
      <c r="I498" s="163"/>
      <c r="J498" s="163"/>
      <c r="K498" s="130"/>
      <c r="L498" s="130"/>
      <c r="M498" s="130"/>
      <c r="N498" s="130"/>
      <c r="O498" s="130"/>
      <c r="P498" s="130"/>
      <c r="Q498" s="130"/>
      <c r="R498" s="130"/>
      <c r="S498" s="163"/>
      <c r="T498" s="163"/>
      <c r="U498" s="163"/>
      <c r="V498" s="163"/>
      <c r="W498" s="163"/>
      <c r="X498" s="163"/>
      <c r="Y498" s="163"/>
      <c r="Z498" s="163"/>
      <c r="AA498" s="163"/>
      <c r="AB498" s="163"/>
      <c r="AC498" s="163"/>
      <c r="AD498" s="163"/>
      <c r="AE498" s="163"/>
      <c r="AF498" s="163"/>
      <c r="AG498" s="163"/>
      <c r="AH498" s="163"/>
      <c r="AI498" s="163"/>
      <c r="AJ498" s="163"/>
      <c r="AK498" s="163"/>
      <c r="AL498" s="163"/>
      <c r="AM498" s="163"/>
      <c r="AN498" s="130"/>
      <c r="AO498" s="130"/>
      <c r="AP498" s="130"/>
      <c r="AQ498" s="130"/>
      <c r="AR498" s="130"/>
      <c r="AS498" s="130"/>
      <c r="AT498" s="130"/>
    </row>
    <row r="499" ht="13.5" customHeight="1">
      <c r="A499" s="130"/>
      <c r="B499" s="130"/>
      <c r="C499" s="130"/>
      <c r="D499" s="130"/>
      <c r="E499" s="163"/>
      <c r="F499" s="163"/>
      <c r="G499" s="163"/>
      <c r="H499" s="163"/>
      <c r="I499" s="163"/>
      <c r="J499" s="163"/>
      <c r="K499" s="130"/>
      <c r="L499" s="130"/>
      <c r="M499" s="130"/>
      <c r="N499" s="130"/>
      <c r="O499" s="130"/>
      <c r="P499" s="130"/>
      <c r="Q499" s="130"/>
      <c r="R499" s="130"/>
      <c r="S499" s="163"/>
      <c r="T499" s="163"/>
      <c r="U499" s="163"/>
      <c r="V499" s="163"/>
      <c r="W499" s="163"/>
      <c r="X499" s="163"/>
      <c r="Y499" s="163"/>
      <c r="Z499" s="163"/>
      <c r="AA499" s="163"/>
      <c r="AB499" s="163"/>
      <c r="AC499" s="163"/>
      <c r="AD499" s="163"/>
      <c r="AE499" s="163"/>
      <c r="AF499" s="163"/>
      <c r="AG499" s="163"/>
      <c r="AH499" s="163"/>
      <c r="AI499" s="163"/>
      <c r="AJ499" s="163"/>
      <c r="AK499" s="163"/>
      <c r="AL499" s="163"/>
      <c r="AM499" s="163"/>
      <c r="AN499" s="130"/>
      <c r="AO499" s="130"/>
      <c r="AP499" s="130"/>
      <c r="AQ499" s="130"/>
      <c r="AR499" s="130"/>
      <c r="AS499" s="130"/>
      <c r="AT499" s="130"/>
    </row>
    <row r="500" ht="13.5" customHeight="1">
      <c r="A500" s="130"/>
      <c r="B500" s="130"/>
      <c r="C500" s="130"/>
      <c r="D500" s="130"/>
      <c r="E500" s="163"/>
      <c r="F500" s="163"/>
      <c r="G500" s="163"/>
      <c r="H500" s="163"/>
      <c r="I500" s="163"/>
      <c r="J500" s="163"/>
      <c r="K500" s="130"/>
      <c r="L500" s="130"/>
      <c r="M500" s="130"/>
      <c r="N500" s="130"/>
      <c r="O500" s="130"/>
      <c r="P500" s="130"/>
      <c r="Q500" s="130"/>
      <c r="R500" s="130"/>
      <c r="S500" s="163"/>
      <c r="T500" s="163"/>
      <c r="U500" s="163"/>
      <c r="V500" s="163"/>
      <c r="W500" s="163"/>
      <c r="X500" s="163"/>
      <c r="Y500" s="163"/>
      <c r="Z500" s="163"/>
      <c r="AA500" s="163"/>
      <c r="AB500" s="163"/>
      <c r="AC500" s="163"/>
      <c r="AD500" s="163"/>
      <c r="AE500" s="163"/>
      <c r="AF500" s="163"/>
      <c r="AG500" s="163"/>
      <c r="AH500" s="163"/>
      <c r="AI500" s="163"/>
      <c r="AJ500" s="163"/>
      <c r="AK500" s="163"/>
      <c r="AL500" s="163"/>
      <c r="AM500" s="163"/>
      <c r="AN500" s="130"/>
      <c r="AO500" s="130"/>
      <c r="AP500" s="130"/>
      <c r="AQ500" s="130"/>
      <c r="AR500" s="130"/>
      <c r="AS500" s="130"/>
      <c r="AT500" s="130"/>
    </row>
    <row r="501" ht="13.5" customHeight="1">
      <c r="A501" s="130"/>
      <c r="B501" s="130"/>
      <c r="C501" s="130"/>
      <c r="D501" s="130"/>
      <c r="E501" s="163"/>
      <c r="F501" s="163"/>
      <c r="G501" s="163"/>
      <c r="H501" s="163"/>
      <c r="I501" s="163"/>
      <c r="J501" s="163"/>
      <c r="K501" s="130"/>
      <c r="L501" s="130"/>
      <c r="M501" s="130"/>
      <c r="N501" s="130"/>
      <c r="O501" s="130"/>
      <c r="P501" s="130"/>
      <c r="Q501" s="130"/>
      <c r="R501" s="130"/>
      <c r="S501" s="163"/>
      <c r="T501" s="163"/>
      <c r="U501" s="163"/>
      <c r="V501" s="163"/>
      <c r="W501" s="163"/>
      <c r="X501" s="163"/>
      <c r="Y501" s="163"/>
      <c r="Z501" s="163"/>
      <c r="AA501" s="163"/>
      <c r="AB501" s="163"/>
      <c r="AC501" s="163"/>
      <c r="AD501" s="163"/>
      <c r="AE501" s="163"/>
      <c r="AF501" s="163"/>
      <c r="AG501" s="163"/>
      <c r="AH501" s="163"/>
      <c r="AI501" s="163"/>
      <c r="AJ501" s="163"/>
      <c r="AK501" s="163"/>
      <c r="AL501" s="163"/>
      <c r="AM501" s="163"/>
      <c r="AN501" s="130"/>
      <c r="AO501" s="130"/>
      <c r="AP501" s="130"/>
      <c r="AQ501" s="130"/>
      <c r="AR501" s="130"/>
      <c r="AS501" s="130"/>
      <c r="AT501" s="130"/>
    </row>
    <row r="502" ht="13.5" customHeight="1">
      <c r="A502" s="130"/>
      <c r="B502" s="130"/>
      <c r="C502" s="130"/>
      <c r="D502" s="130"/>
      <c r="E502" s="163"/>
      <c r="F502" s="163"/>
      <c r="G502" s="163"/>
      <c r="H502" s="163"/>
      <c r="I502" s="163"/>
      <c r="J502" s="163"/>
      <c r="K502" s="130"/>
      <c r="L502" s="130"/>
      <c r="M502" s="130"/>
      <c r="N502" s="130"/>
      <c r="O502" s="130"/>
      <c r="P502" s="130"/>
      <c r="Q502" s="130"/>
      <c r="R502" s="130"/>
      <c r="S502" s="163"/>
      <c r="T502" s="163"/>
      <c r="U502" s="163"/>
      <c r="V502" s="163"/>
      <c r="W502" s="163"/>
      <c r="X502" s="163"/>
      <c r="Y502" s="163"/>
      <c r="Z502" s="163"/>
      <c r="AA502" s="163"/>
      <c r="AB502" s="163"/>
      <c r="AC502" s="163"/>
      <c r="AD502" s="163"/>
      <c r="AE502" s="163"/>
      <c r="AF502" s="163"/>
      <c r="AG502" s="163"/>
      <c r="AH502" s="163"/>
      <c r="AI502" s="163"/>
      <c r="AJ502" s="163"/>
      <c r="AK502" s="163"/>
      <c r="AL502" s="163"/>
      <c r="AM502" s="163"/>
      <c r="AN502" s="130"/>
      <c r="AO502" s="130"/>
      <c r="AP502" s="130"/>
      <c r="AQ502" s="130"/>
      <c r="AR502" s="130"/>
      <c r="AS502" s="130"/>
      <c r="AT502" s="130"/>
    </row>
    <row r="503" ht="13.5" customHeight="1">
      <c r="A503" s="130"/>
      <c r="B503" s="130"/>
      <c r="C503" s="130"/>
      <c r="D503" s="130"/>
      <c r="E503" s="163"/>
      <c r="F503" s="163"/>
      <c r="G503" s="163"/>
      <c r="H503" s="163"/>
      <c r="I503" s="163"/>
      <c r="J503" s="163"/>
      <c r="K503" s="130"/>
      <c r="L503" s="130"/>
      <c r="M503" s="130"/>
      <c r="N503" s="130"/>
      <c r="O503" s="130"/>
      <c r="P503" s="130"/>
      <c r="Q503" s="130"/>
      <c r="R503" s="130"/>
      <c r="S503" s="163"/>
      <c r="T503" s="163"/>
      <c r="U503" s="163"/>
      <c r="V503" s="163"/>
      <c r="W503" s="163"/>
      <c r="X503" s="163"/>
      <c r="Y503" s="163"/>
      <c r="Z503" s="163"/>
      <c r="AA503" s="163"/>
      <c r="AB503" s="163"/>
      <c r="AC503" s="163"/>
      <c r="AD503" s="163"/>
      <c r="AE503" s="163"/>
      <c r="AF503" s="163"/>
      <c r="AG503" s="163"/>
      <c r="AH503" s="163"/>
      <c r="AI503" s="163"/>
      <c r="AJ503" s="163"/>
      <c r="AK503" s="163"/>
      <c r="AL503" s="163"/>
      <c r="AM503" s="163"/>
      <c r="AN503" s="130"/>
      <c r="AO503" s="130"/>
      <c r="AP503" s="130"/>
      <c r="AQ503" s="130"/>
      <c r="AR503" s="130"/>
      <c r="AS503" s="130"/>
      <c r="AT503" s="130"/>
    </row>
    <row r="504" ht="13.5" customHeight="1">
      <c r="A504" s="130"/>
      <c r="B504" s="130"/>
      <c r="C504" s="130"/>
      <c r="D504" s="130"/>
      <c r="E504" s="163"/>
      <c r="F504" s="163"/>
      <c r="G504" s="163"/>
      <c r="H504" s="163"/>
      <c r="I504" s="163"/>
      <c r="J504" s="163"/>
      <c r="K504" s="130"/>
      <c r="L504" s="130"/>
      <c r="M504" s="130"/>
      <c r="N504" s="130"/>
      <c r="O504" s="130"/>
      <c r="P504" s="130"/>
      <c r="Q504" s="130"/>
      <c r="R504" s="130"/>
      <c r="S504" s="163"/>
      <c r="T504" s="163"/>
      <c r="U504" s="163"/>
      <c r="V504" s="163"/>
      <c r="W504" s="163"/>
      <c r="X504" s="163"/>
      <c r="Y504" s="163"/>
      <c r="Z504" s="163"/>
      <c r="AA504" s="163"/>
      <c r="AB504" s="163"/>
      <c r="AC504" s="163"/>
      <c r="AD504" s="163"/>
      <c r="AE504" s="163"/>
      <c r="AF504" s="163"/>
      <c r="AG504" s="163"/>
      <c r="AH504" s="163"/>
      <c r="AI504" s="163"/>
      <c r="AJ504" s="163"/>
      <c r="AK504" s="163"/>
      <c r="AL504" s="163"/>
      <c r="AM504" s="163"/>
      <c r="AN504" s="130"/>
      <c r="AO504" s="130"/>
      <c r="AP504" s="130"/>
      <c r="AQ504" s="130"/>
      <c r="AR504" s="130"/>
      <c r="AS504" s="130"/>
      <c r="AT504" s="130"/>
    </row>
    <row r="505" ht="13.5" customHeight="1">
      <c r="A505" s="130"/>
      <c r="B505" s="130"/>
      <c r="C505" s="130"/>
      <c r="D505" s="130"/>
      <c r="E505" s="163"/>
      <c r="F505" s="163"/>
      <c r="G505" s="163"/>
      <c r="H505" s="163"/>
      <c r="I505" s="163"/>
      <c r="J505" s="163"/>
      <c r="K505" s="130"/>
      <c r="L505" s="130"/>
      <c r="M505" s="130"/>
      <c r="N505" s="130"/>
      <c r="O505" s="130"/>
      <c r="P505" s="130"/>
      <c r="Q505" s="130"/>
      <c r="R505" s="130"/>
      <c r="S505" s="163"/>
      <c r="T505" s="163"/>
      <c r="U505" s="163"/>
      <c r="V505" s="163"/>
      <c r="W505" s="163"/>
      <c r="X505" s="163"/>
      <c r="Y505" s="163"/>
      <c r="Z505" s="163"/>
      <c r="AA505" s="163"/>
      <c r="AB505" s="163"/>
      <c r="AC505" s="163"/>
      <c r="AD505" s="163"/>
      <c r="AE505" s="163"/>
      <c r="AF505" s="163"/>
      <c r="AG505" s="163"/>
      <c r="AH505" s="163"/>
      <c r="AI505" s="163"/>
      <c r="AJ505" s="163"/>
      <c r="AK505" s="163"/>
      <c r="AL505" s="163"/>
      <c r="AM505" s="163"/>
      <c r="AN505" s="130"/>
      <c r="AO505" s="130"/>
      <c r="AP505" s="130"/>
      <c r="AQ505" s="130"/>
      <c r="AR505" s="130"/>
      <c r="AS505" s="130"/>
      <c r="AT505" s="130"/>
    </row>
    <row r="506" ht="13.5" customHeight="1">
      <c r="A506" s="130"/>
      <c r="B506" s="130"/>
      <c r="C506" s="130"/>
      <c r="D506" s="130"/>
      <c r="E506" s="163"/>
      <c r="F506" s="163"/>
      <c r="G506" s="163"/>
      <c r="H506" s="163"/>
      <c r="I506" s="163"/>
      <c r="J506" s="163"/>
      <c r="K506" s="130"/>
      <c r="L506" s="130"/>
      <c r="M506" s="130"/>
      <c r="N506" s="130"/>
      <c r="O506" s="130"/>
      <c r="P506" s="130"/>
      <c r="Q506" s="130"/>
      <c r="R506" s="130"/>
      <c r="S506" s="163"/>
      <c r="T506" s="163"/>
      <c r="U506" s="163"/>
      <c r="V506" s="163"/>
      <c r="W506" s="163"/>
      <c r="X506" s="163"/>
      <c r="Y506" s="163"/>
      <c r="Z506" s="163"/>
      <c r="AA506" s="163"/>
      <c r="AB506" s="163"/>
      <c r="AC506" s="163"/>
      <c r="AD506" s="163"/>
      <c r="AE506" s="163"/>
      <c r="AF506" s="163"/>
      <c r="AG506" s="163"/>
      <c r="AH506" s="163"/>
      <c r="AI506" s="163"/>
      <c r="AJ506" s="163"/>
      <c r="AK506" s="163"/>
      <c r="AL506" s="163"/>
      <c r="AM506" s="163"/>
      <c r="AN506" s="130"/>
      <c r="AO506" s="130"/>
      <c r="AP506" s="130"/>
      <c r="AQ506" s="130"/>
      <c r="AR506" s="130"/>
      <c r="AS506" s="130"/>
      <c r="AT506" s="130"/>
    </row>
    <row r="507" ht="13.5" customHeight="1">
      <c r="A507" s="130"/>
      <c r="B507" s="130"/>
      <c r="C507" s="130"/>
      <c r="D507" s="130"/>
      <c r="E507" s="163"/>
      <c r="F507" s="163"/>
      <c r="G507" s="163"/>
      <c r="H507" s="163"/>
      <c r="I507" s="163"/>
      <c r="J507" s="163"/>
      <c r="K507" s="130"/>
      <c r="L507" s="130"/>
      <c r="M507" s="130"/>
      <c r="N507" s="130"/>
      <c r="O507" s="130"/>
      <c r="P507" s="130"/>
      <c r="Q507" s="130"/>
      <c r="R507" s="130"/>
      <c r="S507" s="163"/>
      <c r="T507" s="163"/>
      <c r="U507" s="163"/>
      <c r="V507" s="163"/>
      <c r="W507" s="163"/>
      <c r="X507" s="163"/>
      <c r="Y507" s="163"/>
      <c r="Z507" s="163"/>
      <c r="AA507" s="163"/>
      <c r="AB507" s="163"/>
      <c r="AC507" s="163"/>
      <c r="AD507" s="163"/>
      <c r="AE507" s="163"/>
      <c r="AF507" s="163"/>
      <c r="AG507" s="163"/>
      <c r="AH507" s="163"/>
      <c r="AI507" s="163"/>
      <c r="AJ507" s="163"/>
      <c r="AK507" s="163"/>
      <c r="AL507" s="163"/>
      <c r="AM507" s="163"/>
      <c r="AN507" s="130"/>
      <c r="AO507" s="130"/>
      <c r="AP507" s="130"/>
      <c r="AQ507" s="130"/>
      <c r="AR507" s="130"/>
      <c r="AS507" s="130"/>
      <c r="AT507" s="130"/>
    </row>
    <row r="508" ht="13.5" customHeight="1">
      <c r="A508" s="130"/>
      <c r="B508" s="130"/>
      <c r="C508" s="130"/>
      <c r="D508" s="130"/>
      <c r="E508" s="163"/>
      <c r="F508" s="163"/>
      <c r="G508" s="163"/>
      <c r="H508" s="163"/>
      <c r="I508" s="163"/>
      <c r="J508" s="163"/>
      <c r="K508" s="130"/>
      <c r="L508" s="130"/>
      <c r="M508" s="130"/>
      <c r="N508" s="130"/>
      <c r="O508" s="130"/>
      <c r="P508" s="130"/>
      <c r="Q508" s="130"/>
      <c r="R508" s="130"/>
      <c r="S508" s="163"/>
      <c r="T508" s="163"/>
      <c r="U508" s="163"/>
      <c r="V508" s="163"/>
      <c r="W508" s="163"/>
      <c r="X508" s="163"/>
      <c r="Y508" s="163"/>
      <c r="Z508" s="163"/>
      <c r="AA508" s="163"/>
      <c r="AB508" s="163"/>
      <c r="AC508" s="163"/>
      <c r="AD508" s="163"/>
      <c r="AE508" s="163"/>
      <c r="AF508" s="163"/>
      <c r="AG508" s="163"/>
      <c r="AH508" s="163"/>
      <c r="AI508" s="163"/>
      <c r="AJ508" s="163"/>
      <c r="AK508" s="163"/>
      <c r="AL508" s="163"/>
      <c r="AM508" s="163"/>
      <c r="AN508" s="130"/>
      <c r="AO508" s="130"/>
      <c r="AP508" s="130"/>
      <c r="AQ508" s="130"/>
      <c r="AR508" s="130"/>
      <c r="AS508" s="130"/>
      <c r="AT508" s="130"/>
    </row>
    <row r="509" ht="13.5" customHeight="1">
      <c r="A509" s="130"/>
      <c r="B509" s="130"/>
      <c r="C509" s="130"/>
      <c r="D509" s="130"/>
      <c r="E509" s="163"/>
      <c r="F509" s="163"/>
      <c r="G509" s="163"/>
      <c r="H509" s="163"/>
      <c r="I509" s="163"/>
      <c r="J509" s="163"/>
      <c r="K509" s="130"/>
      <c r="L509" s="130"/>
      <c r="M509" s="130"/>
      <c r="N509" s="130"/>
      <c r="O509" s="130"/>
      <c r="P509" s="130"/>
      <c r="Q509" s="130"/>
      <c r="R509" s="130"/>
      <c r="S509" s="163"/>
      <c r="T509" s="163"/>
      <c r="U509" s="163"/>
      <c r="V509" s="163"/>
      <c r="W509" s="163"/>
      <c r="X509" s="163"/>
      <c r="Y509" s="163"/>
      <c r="Z509" s="163"/>
      <c r="AA509" s="163"/>
      <c r="AB509" s="163"/>
      <c r="AC509" s="163"/>
      <c r="AD509" s="163"/>
      <c r="AE509" s="163"/>
      <c r="AF509" s="163"/>
      <c r="AG509" s="163"/>
      <c r="AH509" s="163"/>
      <c r="AI509" s="163"/>
      <c r="AJ509" s="163"/>
      <c r="AK509" s="163"/>
      <c r="AL509" s="163"/>
      <c r="AM509" s="163"/>
      <c r="AN509" s="130"/>
      <c r="AO509" s="130"/>
      <c r="AP509" s="130"/>
      <c r="AQ509" s="130"/>
      <c r="AR509" s="130"/>
      <c r="AS509" s="130"/>
      <c r="AT509" s="130"/>
    </row>
    <row r="510" ht="13.5" customHeight="1">
      <c r="A510" s="130"/>
      <c r="B510" s="130"/>
      <c r="C510" s="130"/>
      <c r="D510" s="130"/>
      <c r="E510" s="163"/>
      <c r="F510" s="163"/>
      <c r="G510" s="163"/>
      <c r="H510" s="163"/>
      <c r="I510" s="163"/>
      <c r="J510" s="163"/>
      <c r="K510" s="130"/>
      <c r="L510" s="130"/>
      <c r="M510" s="130"/>
      <c r="N510" s="130"/>
      <c r="O510" s="130"/>
      <c r="P510" s="130"/>
      <c r="Q510" s="130"/>
      <c r="R510" s="130"/>
      <c r="S510" s="163"/>
      <c r="T510" s="163"/>
      <c r="U510" s="163"/>
      <c r="V510" s="163"/>
      <c r="W510" s="163"/>
      <c r="X510" s="163"/>
      <c r="Y510" s="163"/>
      <c r="Z510" s="163"/>
      <c r="AA510" s="163"/>
      <c r="AB510" s="163"/>
      <c r="AC510" s="163"/>
      <c r="AD510" s="163"/>
      <c r="AE510" s="163"/>
      <c r="AF510" s="163"/>
      <c r="AG510" s="163"/>
      <c r="AH510" s="163"/>
      <c r="AI510" s="163"/>
      <c r="AJ510" s="163"/>
      <c r="AK510" s="163"/>
      <c r="AL510" s="163"/>
      <c r="AM510" s="163"/>
      <c r="AN510" s="130"/>
      <c r="AO510" s="130"/>
      <c r="AP510" s="130"/>
      <c r="AQ510" s="130"/>
      <c r="AR510" s="130"/>
      <c r="AS510" s="130"/>
      <c r="AT510" s="130"/>
    </row>
    <row r="511" ht="13.5" customHeight="1">
      <c r="A511" s="130"/>
      <c r="B511" s="130"/>
      <c r="C511" s="130"/>
      <c r="D511" s="130"/>
      <c r="E511" s="163"/>
      <c r="F511" s="163"/>
      <c r="G511" s="163"/>
      <c r="H511" s="163"/>
      <c r="I511" s="163"/>
      <c r="J511" s="163"/>
      <c r="K511" s="130"/>
      <c r="L511" s="130"/>
      <c r="M511" s="130"/>
      <c r="N511" s="130"/>
      <c r="O511" s="130"/>
      <c r="P511" s="130"/>
      <c r="Q511" s="130"/>
      <c r="R511" s="130"/>
      <c r="S511" s="163"/>
      <c r="T511" s="163"/>
      <c r="U511" s="163"/>
      <c r="V511" s="163"/>
      <c r="W511" s="163"/>
      <c r="X511" s="163"/>
      <c r="Y511" s="163"/>
      <c r="Z511" s="163"/>
      <c r="AA511" s="163"/>
      <c r="AB511" s="163"/>
      <c r="AC511" s="163"/>
      <c r="AD511" s="163"/>
      <c r="AE511" s="163"/>
      <c r="AF511" s="163"/>
      <c r="AG511" s="163"/>
      <c r="AH511" s="163"/>
      <c r="AI511" s="163"/>
      <c r="AJ511" s="163"/>
      <c r="AK511" s="163"/>
      <c r="AL511" s="163"/>
      <c r="AM511" s="163"/>
      <c r="AN511" s="130"/>
      <c r="AO511" s="130"/>
      <c r="AP511" s="130"/>
      <c r="AQ511" s="130"/>
      <c r="AR511" s="130"/>
      <c r="AS511" s="130"/>
      <c r="AT511" s="130"/>
    </row>
    <row r="512" ht="13.5" customHeight="1">
      <c r="A512" s="130"/>
      <c r="B512" s="130"/>
      <c r="C512" s="130"/>
      <c r="D512" s="130"/>
      <c r="E512" s="163"/>
      <c r="F512" s="163"/>
      <c r="G512" s="163"/>
      <c r="H512" s="163"/>
      <c r="I512" s="163"/>
      <c r="J512" s="163"/>
      <c r="K512" s="130"/>
      <c r="L512" s="130"/>
      <c r="M512" s="130"/>
      <c r="N512" s="130"/>
      <c r="O512" s="130"/>
      <c r="P512" s="130"/>
      <c r="Q512" s="130"/>
      <c r="R512" s="130"/>
      <c r="S512" s="163"/>
      <c r="T512" s="163"/>
      <c r="U512" s="163"/>
      <c r="V512" s="163"/>
      <c r="W512" s="163"/>
      <c r="X512" s="163"/>
      <c r="Y512" s="163"/>
      <c r="Z512" s="163"/>
      <c r="AA512" s="163"/>
      <c r="AB512" s="163"/>
      <c r="AC512" s="163"/>
      <c r="AD512" s="163"/>
      <c r="AE512" s="163"/>
      <c r="AF512" s="163"/>
      <c r="AG512" s="163"/>
      <c r="AH512" s="163"/>
      <c r="AI512" s="163"/>
      <c r="AJ512" s="163"/>
      <c r="AK512" s="163"/>
      <c r="AL512" s="163"/>
      <c r="AM512" s="163"/>
      <c r="AN512" s="130"/>
      <c r="AO512" s="130"/>
      <c r="AP512" s="130"/>
      <c r="AQ512" s="130"/>
      <c r="AR512" s="130"/>
      <c r="AS512" s="130"/>
      <c r="AT512" s="130"/>
    </row>
    <row r="513" ht="13.5" customHeight="1">
      <c r="A513" s="130"/>
      <c r="B513" s="130"/>
      <c r="C513" s="130"/>
      <c r="D513" s="130"/>
      <c r="E513" s="163"/>
      <c r="F513" s="163"/>
      <c r="G513" s="163"/>
      <c r="H513" s="163"/>
      <c r="I513" s="163"/>
      <c r="J513" s="163"/>
      <c r="K513" s="130"/>
      <c r="L513" s="130"/>
      <c r="M513" s="130"/>
      <c r="N513" s="130"/>
      <c r="O513" s="130"/>
      <c r="P513" s="130"/>
      <c r="Q513" s="130"/>
      <c r="R513" s="130"/>
      <c r="S513" s="163"/>
      <c r="T513" s="163"/>
      <c r="U513" s="163"/>
      <c r="V513" s="163"/>
      <c r="W513" s="163"/>
      <c r="X513" s="163"/>
      <c r="Y513" s="163"/>
      <c r="Z513" s="163"/>
      <c r="AA513" s="163"/>
      <c r="AB513" s="163"/>
      <c r="AC513" s="163"/>
      <c r="AD513" s="163"/>
      <c r="AE513" s="163"/>
      <c r="AF513" s="163"/>
      <c r="AG513" s="163"/>
      <c r="AH513" s="163"/>
      <c r="AI513" s="163"/>
      <c r="AJ513" s="163"/>
      <c r="AK513" s="163"/>
      <c r="AL513" s="163"/>
      <c r="AM513" s="163"/>
      <c r="AN513" s="130"/>
      <c r="AO513" s="130"/>
      <c r="AP513" s="130"/>
      <c r="AQ513" s="130"/>
      <c r="AR513" s="130"/>
      <c r="AS513" s="130"/>
      <c r="AT513" s="130"/>
    </row>
    <row r="514" ht="13.5" customHeight="1">
      <c r="A514" s="130"/>
      <c r="B514" s="130"/>
      <c r="C514" s="130"/>
      <c r="D514" s="130"/>
      <c r="E514" s="163"/>
      <c r="F514" s="163"/>
      <c r="G514" s="163"/>
      <c r="H514" s="163"/>
      <c r="I514" s="163"/>
      <c r="J514" s="163"/>
      <c r="K514" s="130"/>
      <c r="L514" s="130"/>
      <c r="M514" s="130"/>
      <c r="N514" s="130"/>
      <c r="O514" s="130"/>
      <c r="P514" s="130"/>
      <c r="Q514" s="130"/>
      <c r="R514" s="130"/>
      <c r="S514" s="163"/>
      <c r="T514" s="163"/>
      <c r="U514" s="163"/>
      <c r="V514" s="163"/>
      <c r="W514" s="163"/>
      <c r="X514" s="163"/>
      <c r="Y514" s="163"/>
      <c r="Z514" s="163"/>
      <c r="AA514" s="163"/>
      <c r="AB514" s="163"/>
      <c r="AC514" s="163"/>
      <c r="AD514" s="163"/>
      <c r="AE514" s="163"/>
      <c r="AF514" s="163"/>
      <c r="AG514" s="163"/>
      <c r="AH514" s="163"/>
      <c r="AI514" s="163"/>
      <c r="AJ514" s="163"/>
      <c r="AK514" s="163"/>
      <c r="AL514" s="163"/>
      <c r="AM514" s="163"/>
      <c r="AN514" s="130"/>
      <c r="AO514" s="130"/>
      <c r="AP514" s="130"/>
      <c r="AQ514" s="130"/>
      <c r="AR514" s="130"/>
      <c r="AS514" s="130"/>
      <c r="AT514" s="130"/>
    </row>
    <row r="515" ht="13.5" customHeight="1">
      <c r="A515" s="130"/>
      <c r="B515" s="130"/>
      <c r="C515" s="130"/>
      <c r="D515" s="130"/>
      <c r="E515" s="163"/>
      <c r="F515" s="163"/>
      <c r="G515" s="163"/>
      <c r="H515" s="163"/>
      <c r="I515" s="163"/>
      <c r="J515" s="163"/>
      <c r="K515" s="130"/>
      <c r="L515" s="130"/>
      <c r="M515" s="130"/>
      <c r="N515" s="130"/>
      <c r="O515" s="130"/>
      <c r="P515" s="130"/>
      <c r="Q515" s="130"/>
      <c r="R515" s="130"/>
      <c r="S515" s="163"/>
      <c r="T515" s="163"/>
      <c r="U515" s="163"/>
      <c r="V515" s="163"/>
      <c r="W515" s="163"/>
      <c r="X515" s="163"/>
      <c r="Y515" s="163"/>
      <c r="Z515" s="163"/>
      <c r="AA515" s="163"/>
      <c r="AB515" s="163"/>
      <c r="AC515" s="163"/>
      <c r="AD515" s="163"/>
      <c r="AE515" s="163"/>
      <c r="AF515" s="163"/>
      <c r="AG515" s="163"/>
      <c r="AH515" s="163"/>
      <c r="AI515" s="163"/>
      <c r="AJ515" s="163"/>
      <c r="AK515" s="163"/>
      <c r="AL515" s="163"/>
      <c r="AM515" s="163"/>
      <c r="AN515" s="130"/>
      <c r="AO515" s="130"/>
      <c r="AP515" s="130"/>
      <c r="AQ515" s="130"/>
      <c r="AR515" s="130"/>
      <c r="AS515" s="130"/>
      <c r="AT515" s="130"/>
    </row>
    <row r="516" ht="13.5" customHeight="1">
      <c r="A516" s="130"/>
      <c r="B516" s="130"/>
      <c r="C516" s="130"/>
      <c r="D516" s="130"/>
      <c r="E516" s="163"/>
      <c r="F516" s="163"/>
      <c r="G516" s="163"/>
      <c r="H516" s="163"/>
      <c r="I516" s="163"/>
      <c r="J516" s="163"/>
      <c r="K516" s="130"/>
      <c r="L516" s="130"/>
      <c r="M516" s="130"/>
      <c r="N516" s="130"/>
      <c r="O516" s="130"/>
      <c r="P516" s="130"/>
      <c r="Q516" s="130"/>
      <c r="R516" s="130"/>
      <c r="S516" s="163"/>
      <c r="T516" s="163"/>
      <c r="U516" s="163"/>
      <c r="V516" s="163"/>
      <c r="W516" s="163"/>
      <c r="X516" s="163"/>
      <c r="Y516" s="163"/>
      <c r="Z516" s="163"/>
      <c r="AA516" s="163"/>
      <c r="AB516" s="163"/>
      <c r="AC516" s="163"/>
      <c r="AD516" s="163"/>
      <c r="AE516" s="163"/>
      <c r="AF516" s="163"/>
      <c r="AG516" s="163"/>
      <c r="AH516" s="163"/>
      <c r="AI516" s="163"/>
      <c r="AJ516" s="163"/>
      <c r="AK516" s="163"/>
      <c r="AL516" s="163"/>
      <c r="AM516" s="163"/>
      <c r="AN516" s="130"/>
      <c r="AO516" s="130"/>
      <c r="AP516" s="130"/>
      <c r="AQ516" s="130"/>
      <c r="AR516" s="130"/>
      <c r="AS516" s="130"/>
      <c r="AT516" s="130"/>
    </row>
    <row r="517" ht="13.5" customHeight="1">
      <c r="A517" s="130"/>
      <c r="B517" s="130"/>
      <c r="C517" s="130"/>
      <c r="D517" s="130"/>
      <c r="E517" s="163"/>
      <c r="F517" s="163"/>
      <c r="G517" s="163"/>
      <c r="H517" s="163"/>
      <c r="I517" s="163"/>
      <c r="J517" s="163"/>
      <c r="K517" s="130"/>
      <c r="L517" s="130"/>
      <c r="M517" s="130"/>
      <c r="N517" s="130"/>
      <c r="O517" s="130"/>
      <c r="P517" s="130"/>
      <c r="Q517" s="130"/>
      <c r="R517" s="130"/>
      <c r="S517" s="163"/>
      <c r="T517" s="163"/>
      <c r="U517" s="163"/>
      <c r="V517" s="163"/>
      <c r="W517" s="163"/>
      <c r="X517" s="163"/>
      <c r="Y517" s="163"/>
      <c r="Z517" s="163"/>
      <c r="AA517" s="163"/>
      <c r="AB517" s="163"/>
      <c r="AC517" s="163"/>
      <c r="AD517" s="163"/>
      <c r="AE517" s="163"/>
      <c r="AF517" s="163"/>
      <c r="AG517" s="163"/>
      <c r="AH517" s="163"/>
      <c r="AI517" s="163"/>
      <c r="AJ517" s="163"/>
      <c r="AK517" s="163"/>
      <c r="AL517" s="163"/>
      <c r="AM517" s="163"/>
      <c r="AN517" s="130"/>
      <c r="AO517" s="130"/>
      <c r="AP517" s="130"/>
      <c r="AQ517" s="130"/>
      <c r="AR517" s="130"/>
      <c r="AS517" s="130"/>
      <c r="AT517" s="130"/>
    </row>
    <row r="518" ht="13.5" customHeight="1">
      <c r="A518" s="130"/>
      <c r="B518" s="130"/>
      <c r="C518" s="130"/>
      <c r="D518" s="130"/>
      <c r="E518" s="163"/>
      <c r="F518" s="163"/>
      <c r="G518" s="163"/>
      <c r="H518" s="163"/>
      <c r="I518" s="163"/>
      <c r="J518" s="163"/>
      <c r="K518" s="130"/>
      <c r="L518" s="130"/>
      <c r="M518" s="130"/>
      <c r="N518" s="130"/>
      <c r="O518" s="130"/>
      <c r="P518" s="130"/>
      <c r="Q518" s="130"/>
      <c r="R518" s="130"/>
      <c r="S518" s="163"/>
      <c r="T518" s="163"/>
      <c r="U518" s="163"/>
      <c r="V518" s="163"/>
      <c r="W518" s="163"/>
      <c r="X518" s="163"/>
      <c r="Y518" s="163"/>
      <c r="Z518" s="163"/>
      <c r="AA518" s="163"/>
      <c r="AB518" s="163"/>
      <c r="AC518" s="163"/>
      <c r="AD518" s="163"/>
      <c r="AE518" s="163"/>
      <c r="AF518" s="163"/>
      <c r="AG518" s="163"/>
      <c r="AH518" s="163"/>
      <c r="AI518" s="163"/>
      <c r="AJ518" s="163"/>
      <c r="AK518" s="163"/>
      <c r="AL518" s="163"/>
      <c r="AM518" s="163"/>
      <c r="AN518" s="130"/>
      <c r="AO518" s="130"/>
      <c r="AP518" s="130"/>
      <c r="AQ518" s="130"/>
      <c r="AR518" s="130"/>
      <c r="AS518" s="130"/>
      <c r="AT518" s="130"/>
    </row>
    <row r="519" ht="13.5" customHeight="1">
      <c r="A519" s="130"/>
      <c r="B519" s="130"/>
      <c r="C519" s="130"/>
      <c r="D519" s="130"/>
      <c r="E519" s="163"/>
      <c r="F519" s="163"/>
      <c r="G519" s="163"/>
      <c r="H519" s="163"/>
      <c r="I519" s="163"/>
      <c r="J519" s="163"/>
      <c r="K519" s="130"/>
      <c r="L519" s="130"/>
      <c r="M519" s="130"/>
      <c r="N519" s="130"/>
      <c r="O519" s="130"/>
      <c r="P519" s="130"/>
      <c r="Q519" s="130"/>
      <c r="R519" s="130"/>
      <c r="S519" s="163"/>
      <c r="T519" s="163"/>
      <c r="U519" s="163"/>
      <c r="V519" s="163"/>
      <c r="W519" s="163"/>
      <c r="X519" s="163"/>
      <c r="Y519" s="163"/>
      <c r="Z519" s="163"/>
      <c r="AA519" s="163"/>
      <c r="AB519" s="163"/>
      <c r="AC519" s="163"/>
      <c r="AD519" s="163"/>
      <c r="AE519" s="163"/>
      <c r="AF519" s="163"/>
      <c r="AG519" s="163"/>
      <c r="AH519" s="163"/>
      <c r="AI519" s="163"/>
      <c r="AJ519" s="163"/>
      <c r="AK519" s="163"/>
      <c r="AL519" s="163"/>
      <c r="AM519" s="163"/>
      <c r="AN519" s="130"/>
      <c r="AO519" s="130"/>
      <c r="AP519" s="130"/>
      <c r="AQ519" s="130"/>
      <c r="AR519" s="130"/>
      <c r="AS519" s="130"/>
      <c r="AT519" s="130"/>
    </row>
    <row r="520" ht="13.5" customHeight="1">
      <c r="A520" s="130"/>
      <c r="B520" s="130"/>
      <c r="C520" s="130"/>
      <c r="D520" s="130"/>
      <c r="E520" s="163"/>
      <c r="F520" s="163"/>
      <c r="G520" s="163"/>
      <c r="H520" s="163"/>
      <c r="I520" s="163"/>
      <c r="J520" s="163"/>
      <c r="K520" s="130"/>
      <c r="L520" s="130"/>
      <c r="M520" s="130"/>
      <c r="N520" s="130"/>
      <c r="O520" s="130"/>
      <c r="P520" s="130"/>
      <c r="Q520" s="130"/>
      <c r="R520" s="130"/>
      <c r="S520" s="163"/>
      <c r="T520" s="163"/>
      <c r="U520" s="163"/>
      <c r="V520" s="163"/>
      <c r="W520" s="163"/>
      <c r="X520" s="163"/>
      <c r="Y520" s="163"/>
      <c r="Z520" s="163"/>
      <c r="AA520" s="163"/>
      <c r="AB520" s="163"/>
      <c r="AC520" s="163"/>
      <c r="AD520" s="163"/>
      <c r="AE520" s="163"/>
      <c r="AF520" s="163"/>
      <c r="AG520" s="163"/>
      <c r="AH520" s="163"/>
      <c r="AI520" s="163"/>
      <c r="AJ520" s="163"/>
      <c r="AK520" s="163"/>
      <c r="AL520" s="163"/>
      <c r="AM520" s="163"/>
      <c r="AN520" s="130"/>
      <c r="AO520" s="130"/>
      <c r="AP520" s="130"/>
      <c r="AQ520" s="130"/>
      <c r="AR520" s="130"/>
      <c r="AS520" s="130"/>
      <c r="AT520" s="130"/>
    </row>
    <row r="521" ht="13.5" customHeight="1">
      <c r="A521" s="130"/>
      <c r="B521" s="130"/>
      <c r="C521" s="130"/>
      <c r="D521" s="130"/>
      <c r="E521" s="163"/>
      <c r="F521" s="163"/>
      <c r="G521" s="163"/>
      <c r="H521" s="163"/>
      <c r="I521" s="163"/>
      <c r="J521" s="163"/>
      <c r="K521" s="130"/>
      <c r="L521" s="130"/>
      <c r="M521" s="130"/>
      <c r="N521" s="130"/>
      <c r="O521" s="130"/>
      <c r="P521" s="130"/>
      <c r="Q521" s="130"/>
      <c r="R521" s="130"/>
      <c r="S521" s="163"/>
      <c r="T521" s="163"/>
      <c r="U521" s="163"/>
      <c r="V521" s="163"/>
      <c r="W521" s="163"/>
      <c r="X521" s="163"/>
      <c r="Y521" s="163"/>
      <c r="Z521" s="163"/>
      <c r="AA521" s="163"/>
      <c r="AB521" s="163"/>
      <c r="AC521" s="163"/>
      <c r="AD521" s="163"/>
      <c r="AE521" s="163"/>
      <c r="AF521" s="163"/>
      <c r="AG521" s="163"/>
      <c r="AH521" s="163"/>
      <c r="AI521" s="163"/>
      <c r="AJ521" s="163"/>
      <c r="AK521" s="163"/>
      <c r="AL521" s="163"/>
      <c r="AM521" s="163"/>
      <c r="AN521" s="130"/>
      <c r="AO521" s="130"/>
      <c r="AP521" s="130"/>
      <c r="AQ521" s="130"/>
      <c r="AR521" s="130"/>
      <c r="AS521" s="130"/>
      <c r="AT521" s="130"/>
    </row>
    <row r="522" ht="13.5" customHeight="1">
      <c r="A522" s="130"/>
      <c r="B522" s="130"/>
      <c r="C522" s="130"/>
      <c r="D522" s="130"/>
      <c r="E522" s="163"/>
      <c r="F522" s="163"/>
      <c r="G522" s="163"/>
      <c r="H522" s="163"/>
      <c r="I522" s="163"/>
      <c r="J522" s="163"/>
      <c r="K522" s="130"/>
      <c r="L522" s="130"/>
      <c r="M522" s="130"/>
      <c r="N522" s="130"/>
      <c r="O522" s="130"/>
      <c r="P522" s="130"/>
      <c r="Q522" s="130"/>
      <c r="R522" s="130"/>
      <c r="S522" s="163"/>
      <c r="T522" s="163"/>
      <c r="U522" s="163"/>
      <c r="V522" s="163"/>
      <c r="W522" s="163"/>
      <c r="X522" s="163"/>
      <c r="Y522" s="163"/>
      <c r="Z522" s="163"/>
      <c r="AA522" s="163"/>
      <c r="AB522" s="163"/>
      <c r="AC522" s="163"/>
      <c r="AD522" s="163"/>
      <c r="AE522" s="163"/>
      <c r="AF522" s="163"/>
      <c r="AG522" s="163"/>
      <c r="AH522" s="163"/>
      <c r="AI522" s="163"/>
      <c r="AJ522" s="163"/>
      <c r="AK522" s="163"/>
      <c r="AL522" s="163"/>
      <c r="AM522" s="163"/>
      <c r="AN522" s="130"/>
      <c r="AO522" s="130"/>
      <c r="AP522" s="130"/>
      <c r="AQ522" s="130"/>
      <c r="AR522" s="130"/>
      <c r="AS522" s="130"/>
      <c r="AT522" s="130"/>
    </row>
    <row r="523" ht="13.5" customHeight="1">
      <c r="A523" s="130"/>
      <c r="B523" s="130"/>
      <c r="C523" s="130"/>
      <c r="D523" s="130"/>
      <c r="E523" s="163"/>
      <c r="F523" s="163"/>
      <c r="G523" s="163"/>
      <c r="H523" s="163"/>
      <c r="I523" s="163"/>
      <c r="J523" s="163"/>
      <c r="K523" s="130"/>
      <c r="L523" s="130"/>
      <c r="M523" s="130"/>
      <c r="N523" s="130"/>
      <c r="O523" s="130"/>
      <c r="P523" s="130"/>
      <c r="Q523" s="130"/>
      <c r="R523" s="130"/>
      <c r="S523" s="163"/>
      <c r="T523" s="163"/>
      <c r="U523" s="163"/>
      <c r="V523" s="163"/>
      <c r="W523" s="163"/>
      <c r="X523" s="163"/>
      <c r="Y523" s="163"/>
      <c r="Z523" s="163"/>
      <c r="AA523" s="163"/>
      <c r="AB523" s="163"/>
      <c r="AC523" s="163"/>
      <c r="AD523" s="163"/>
      <c r="AE523" s="163"/>
      <c r="AF523" s="163"/>
      <c r="AG523" s="163"/>
      <c r="AH523" s="163"/>
      <c r="AI523" s="163"/>
      <c r="AJ523" s="163"/>
      <c r="AK523" s="163"/>
      <c r="AL523" s="163"/>
      <c r="AM523" s="163"/>
      <c r="AN523" s="130"/>
      <c r="AO523" s="130"/>
      <c r="AP523" s="130"/>
      <c r="AQ523" s="130"/>
      <c r="AR523" s="130"/>
      <c r="AS523" s="130"/>
      <c r="AT523" s="130"/>
    </row>
    <row r="524" ht="13.5" customHeight="1">
      <c r="A524" s="130"/>
      <c r="B524" s="130"/>
      <c r="C524" s="130"/>
      <c r="D524" s="130"/>
      <c r="E524" s="163"/>
      <c r="F524" s="163"/>
      <c r="G524" s="163"/>
      <c r="H524" s="163"/>
      <c r="I524" s="163"/>
      <c r="J524" s="163"/>
      <c r="K524" s="130"/>
      <c r="L524" s="130"/>
      <c r="M524" s="130"/>
      <c r="N524" s="130"/>
      <c r="O524" s="130"/>
      <c r="P524" s="130"/>
      <c r="Q524" s="130"/>
      <c r="R524" s="130"/>
      <c r="S524" s="163"/>
      <c r="T524" s="163"/>
      <c r="U524" s="163"/>
      <c r="V524" s="163"/>
      <c r="W524" s="163"/>
      <c r="X524" s="163"/>
      <c r="Y524" s="163"/>
      <c r="Z524" s="163"/>
      <c r="AA524" s="163"/>
      <c r="AB524" s="163"/>
      <c r="AC524" s="163"/>
      <c r="AD524" s="163"/>
      <c r="AE524" s="163"/>
      <c r="AF524" s="163"/>
      <c r="AG524" s="163"/>
      <c r="AH524" s="163"/>
      <c r="AI524" s="163"/>
      <c r="AJ524" s="163"/>
      <c r="AK524" s="163"/>
      <c r="AL524" s="163"/>
      <c r="AM524" s="163"/>
      <c r="AN524" s="130"/>
      <c r="AO524" s="130"/>
      <c r="AP524" s="130"/>
      <c r="AQ524" s="130"/>
      <c r="AR524" s="130"/>
      <c r="AS524" s="130"/>
      <c r="AT524" s="130"/>
    </row>
    <row r="525" ht="13.5" customHeight="1">
      <c r="A525" s="130"/>
      <c r="B525" s="130"/>
      <c r="C525" s="130"/>
      <c r="D525" s="130"/>
      <c r="E525" s="163"/>
      <c r="F525" s="163"/>
      <c r="G525" s="163"/>
      <c r="H525" s="163"/>
      <c r="I525" s="163"/>
      <c r="J525" s="163"/>
      <c r="K525" s="130"/>
      <c r="L525" s="130"/>
      <c r="M525" s="130"/>
      <c r="N525" s="130"/>
      <c r="O525" s="130"/>
      <c r="P525" s="130"/>
      <c r="Q525" s="130"/>
      <c r="R525" s="130"/>
      <c r="S525" s="163"/>
      <c r="T525" s="163"/>
      <c r="U525" s="163"/>
      <c r="V525" s="163"/>
      <c r="W525" s="163"/>
      <c r="X525" s="163"/>
      <c r="Y525" s="163"/>
      <c r="Z525" s="163"/>
      <c r="AA525" s="163"/>
      <c r="AB525" s="163"/>
      <c r="AC525" s="163"/>
      <c r="AD525" s="163"/>
      <c r="AE525" s="163"/>
      <c r="AF525" s="163"/>
      <c r="AG525" s="163"/>
      <c r="AH525" s="163"/>
      <c r="AI525" s="163"/>
      <c r="AJ525" s="163"/>
      <c r="AK525" s="163"/>
      <c r="AL525" s="163"/>
      <c r="AM525" s="163"/>
      <c r="AN525" s="130"/>
      <c r="AO525" s="130"/>
      <c r="AP525" s="130"/>
      <c r="AQ525" s="130"/>
      <c r="AR525" s="130"/>
      <c r="AS525" s="130"/>
      <c r="AT525" s="130"/>
    </row>
    <row r="526" ht="13.5" customHeight="1">
      <c r="A526" s="130"/>
      <c r="B526" s="130"/>
      <c r="C526" s="130"/>
      <c r="D526" s="130"/>
      <c r="E526" s="163"/>
      <c r="F526" s="163"/>
      <c r="G526" s="163"/>
      <c r="H526" s="163"/>
      <c r="I526" s="163"/>
      <c r="J526" s="163"/>
      <c r="K526" s="130"/>
      <c r="L526" s="130"/>
      <c r="M526" s="130"/>
      <c r="N526" s="130"/>
      <c r="O526" s="130"/>
      <c r="P526" s="130"/>
      <c r="Q526" s="130"/>
      <c r="R526" s="130"/>
      <c r="S526" s="163"/>
      <c r="T526" s="163"/>
      <c r="U526" s="163"/>
      <c r="V526" s="163"/>
      <c r="W526" s="163"/>
      <c r="X526" s="163"/>
      <c r="Y526" s="163"/>
      <c r="Z526" s="163"/>
      <c r="AA526" s="163"/>
      <c r="AB526" s="163"/>
      <c r="AC526" s="163"/>
      <c r="AD526" s="163"/>
      <c r="AE526" s="163"/>
      <c r="AF526" s="163"/>
      <c r="AG526" s="163"/>
      <c r="AH526" s="163"/>
      <c r="AI526" s="163"/>
      <c r="AJ526" s="163"/>
      <c r="AK526" s="163"/>
      <c r="AL526" s="163"/>
      <c r="AM526" s="163"/>
      <c r="AN526" s="130"/>
      <c r="AO526" s="130"/>
      <c r="AP526" s="130"/>
      <c r="AQ526" s="130"/>
      <c r="AR526" s="130"/>
      <c r="AS526" s="130"/>
      <c r="AT526" s="130"/>
    </row>
    <row r="527" ht="13.5" customHeight="1">
      <c r="A527" s="130"/>
      <c r="B527" s="130"/>
      <c r="C527" s="130"/>
      <c r="D527" s="130"/>
      <c r="E527" s="163"/>
      <c r="F527" s="163"/>
      <c r="G527" s="163"/>
      <c r="H527" s="163"/>
      <c r="I527" s="163"/>
      <c r="J527" s="163"/>
      <c r="K527" s="130"/>
      <c r="L527" s="130"/>
      <c r="M527" s="130"/>
      <c r="N527" s="130"/>
      <c r="O527" s="130"/>
      <c r="P527" s="130"/>
      <c r="Q527" s="130"/>
      <c r="R527" s="130"/>
      <c r="S527" s="163"/>
      <c r="T527" s="163"/>
      <c r="U527" s="163"/>
      <c r="V527" s="163"/>
      <c r="W527" s="163"/>
      <c r="X527" s="163"/>
      <c r="Y527" s="163"/>
      <c r="Z527" s="163"/>
      <c r="AA527" s="163"/>
      <c r="AB527" s="163"/>
      <c r="AC527" s="163"/>
      <c r="AD527" s="163"/>
      <c r="AE527" s="163"/>
      <c r="AF527" s="163"/>
      <c r="AG527" s="163"/>
      <c r="AH527" s="163"/>
      <c r="AI527" s="163"/>
      <c r="AJ527" s="163"/>
      <c r="AK527" s="163"/>
      <c r="AL527" s="163"/>
      <c r="AM527" s="163"/>
      <c r="AN527" s="130"/>
      <c r="AO527" s="130"/>
      <c r="AP527" s="130"/>
      <c r="AQ527" s="130"/>
      <c r="AR527" s="130"/>
      <c r="AS527" s="130"/>
      <c r="AT527" s="130"/>
    </row>
    <row r="528" ht="13.5" customHeight="1">
      <c r="A528" s="130"/>
      <c r="B528" s="130"/>
      <c r="C528" s="130"/>
      <c r="D528" s="130"/>
      <c r="E528" s="163"/>
      <c r="F528" s="163"/>
      <c r="G528" s="163"/>
      <c r="H528" s="163"/>
      <c r="I528" s="163"/>
      <c r="J528" s="163"/>
      <c r="K528" s="130"/>
      <c r="L528" s="130"/>
      <c r="M528" s="130"/>
      <c r="N528" s="130"/>
      <c r="O528" s="130"/>
      <c r="P528" s="130"/>
      <c r="Q528" s="130"/>
      <c r="R528" s="130"/>
      <c r="S528" s="163"/>
      <c r="T528" s="163"/>
      <c r="U528" s="163"/>
      <c r="V528" s="163"/>
      <c r="W528" s="163"/>
      <c r="X528" s="163"/>
      <c r="Y528" s="163"/>
      <c r="Z528" s="163"/>
      <c r="AA528" s="163"/>
      <c r="AB528" s="163"/>
      <c r="AC528" s="163"/>
      <c r="AD528" s="163"/>
      <c r="AE528" s="163"/>
      <c r="AF528" s="163"/>
      <c r="AG528" s="163"/>
      <c r="AH528" s="163"/>
      <c r="AI528" s="163"/>
      <c r="AJ528" s="163"/>
      <c r="AK528" s="163"/>
      <c r="AL528" s="163"/>
      <c r="AM528" s="163"/>
      <c r="AN528" s="130"/>
      <c r="AO528" s="130"/>
      <c r="AP528" s="130"/>
      <c r="AQ528" s="130"/>
      <c r="AR528" s="130"/>
      <c r="AS528" s="130"/>
      <c r="AT528" s="130"/>
    </row>
    <row r="529" ht="13.5" customHeight="1">
      <c r="A529" s="130"/>
      <c r="B529" s="130"/>
      <c r="C529" s="130"/>
      <c r="D529" s="130"/>
      <c r="E529" s="163"/>
      <c r="F529" s="163"/>
      <c r="G529" s="163"/>
      <c r="H529" s="163"/>
      <c r="I529" s="163"/>
      <c r="J529" s="163"/>
      <c r="K529" s="130"/>
      <c r="L529" s="130"/>
      <c r="M529" s="130"/>
      <c r="N529" s="130"/>
      <c r="O529" s="130"/>
      <c r="P529" s="130"/>
      <c r="Q529" s="130"/>
      <c r="R529" s="130"/>
      <c r="S529" s="163"/>
      <c r="T529" s="163"/>
      <c r="U529" s="163"/>
      <c r="V529" s="163"/>
      <c r="W529" s="163"/>
      <c r="X529" s="163"/>
      <c r="Y529" s="163"/>
      <c r="Z529" s="163"/>
      <c r="AA529" s="163"/>
      <c r="AB529" s="163"/>
      <c r="AC529" s="163"/>
      <c r="AD529" s="163"/>
      <c r="AE529" s="163"/>
      <c r="AF529" s="163"/>
      <c r="AG529" s="163"/>
      <c r="AH529" s="163"/>
      <c r="AI529" s="163"/>
      <c r="AJ529" s="163"/>
      <c r="AK529" s="163"/>
      <c r="AL529" s="163"/>
      <c r="AM529" s="163"/>
      <c r="AN529" s="130"/>
      <c r="AO529" s="130"/>
      <c r="AP529" s="130"/>
      <c r="AQ529" s="130"/>
      <c r="AR529" s="130"/>
      <c r="AS529" s="130"/>
      <c r="AT529" s="130"/>
    </row>
    <row r="530" ht="13.5" customHeight="1">
      <c r="A530" s="130"/>
      <c r="B530" s="130"/>
      <c r="C530" s="130"/>
      <c r="D530" s="130"/>
      <c r="E530" s="163"/>
      <c r="F530" s="163"/>
      <c r="G530" s="163"/>
      <c r="H530" s="163"/>
      <c r="I530" s="163"/>
      <c r="J530" s="163"/>
      <c r="K530" s="130"/>
      <c r="L530" s="130"/>
      <c r="M530" s="130"/>
      <c r="N530" s="130"/>
      <c r="O530" s="130"/>
      <c r="P530" s="130"/>
      <c r="Q530" s="130"/>
      <c r="R530" s="130"/>
      <c r="S530" s="163"/>
      <c r="T530" s="163"/>
      <c r="U530" s="163"/>
      <c r="V530" s="163"/>
      <c r="W530" s="163"/>
      <c r="X530" s="163"/>
      <c r="Y530" s="163"/>
      <c r="Z530" s="163"/>
      <c r="AA530" s="163"/>
      <c r="AB530" s="163"/>
      <c r="AC530" s="163"/>
      <c r="AD530" s="163"/>
      <c r="AE530" s="163"/>
      <c r="AF530" s="163"/>
      <c r="AG530" s="163"/>
      <c r="AH530" s="163"/>
      <c r="AI530" s="163"/>
      <c r="AJ530" s="163"/>
      <c r="AK530" s="163"/>
      <c r="AL530" s="163"/>
      <c r="AM530" s="163"/>
      <c r="AN530" s="130"/>
      <c r="AO530" s="130"/>
      <c r="AP530" s="130"/>
      <c r="AQ530" s="130"/>
      <c r="AR530" s="130"/>
      <c r="AS530" s="130"/>
      <c r="AT530" s="130"/>
    </row>
    <row r="531" ht="13.5" customHeight="1">
      <c r="A531" s="130"/>
      <c r="B531" s="130"/>
      <c r="C531" s="130"/>
      <c r="D531" s="130"/>
      <c r="E531" s="163"/>
      <c r="F531" s="163"/>
      <c r="G531" s="163"/>
      <c r="H531" s="163"/>
      <c r="I531" s="163"/>
      <c r="J531" s="163"/>
      <c r="K531" s="130"/>
      <c r="L531" s="130"/>
      <c r="M531" s="130"/>
      <c r="N531" s="130"/>
      <c r="O531" s="130"/>
      <c r="P531" s="130"/>
      <c r="Q531" s="130"/>
      <c r="R531" s="130"/>
      <c r="S531" s="163"/>
      <c r="T531" s="163"/>
      <c r="U531" s="163"/>
      <c r="V531" s="163"/>
      <c r="W531" s="163"/>
      <c r="X531" s="163"/>
      <c r="Y531" s="163"/>
      <c r="Z531" s="163"/>
      <c r="AA531" s="163"/>
      <c r="AB531" s="163"/>
      <c r="AC531" s="163"/>
      <c r="AD531" s="163"/>
      <c r="AE531" s="163"/>
      <c r="AF531" s="163"/>
      <c r="AG531" s="163"/>
      <c r="AH531" s="163"/>
      <c r="AI531" s="163"/>
      <c r="AJ531" s="163"/>
      <c r="AK531" s="163"/>
      <c r="AL531" s="163"/>
      <c r="AM531" s="163"/>
      <c r="AN531" s="130"/>
      <c r="AO531" s="130"/>
      <c r="AP531" s="130"/>
      <c r="AQ531" s="130"/>
      <c r="AR531" s="130"/>
      <c r="AS531" s="130"/>
      <c r="AT531" s="130"/>
    </row>
    <row r="532" ht="13.5" customHeight="1">
      <c r="A532" s="130"/>
      <c r="B532" s="130"/>
      <c r="C532" s="130"/>
      <c r="D532" s="130"/>
      <c r="E532" s="163"/>
      <c r="F532" s="163"/>
      <c r="G532" s="163"/>
      <c r="H532" s="163"/>
      <c r="I532" s="163"/>
      <c r="J532" s="163"/>
      <c r="K532" s="130"/>
      <c r="L532" s="130"/>
      <c r="M532" s="130"/>
      <c r="N532" s="130"/>
      <c r="O532" s="130"/>
      <c r="P532" s="130"/>
      <c r="Q532" s="130"/>
      <c r="R532" s="130"/>
      <c r="S532" s="163"/>
      <c r="T532" s="163"/>
      <c r="U532" s="163"/>
      <c r="V532" s="163"/>
      <c r="W532" s="163"/>
      <c r="X532" s="163"/>
      <c r="Y532" s="163"/>
      <c r="Z532" s="163"/>
      <c r="AA532" s="163"/>
      <c r="AB532" s="163"/>
      <c r="AC532" s="163"/>
      <c r="AD532" s="163"/>
      <c r="AE532" s="163"/>
      <c r="AF532" s="163"/>
      <c r="AG532" s="163"/>
      <c r="AH532" s="163"/>
      <c r="AI532" s="163"/>
      <c r="AJ532" s="163"/>
      <c r="AK532" s="163"/>
      <c r="AL532" s="163"/>
      <c r="AM532" s="163"/>
      <c r="AN532" s="130"/>
      <c r="AO532" s="130"/>
      <c r="AP532" s="130"/>
      <c r="AQ532" s="130"/>
      <c r="AR532" s="130"/>
      <c r="AS532" s="130"/>
      <c r="AT532" s="130"/>
    </row>
    <row r="533" ht="13.5" customHeight="1">
      <c r="A533" s="130"/>
      <c r="B533" s="130"/>
      <c r="C533" s="130"/>
      <c r="D533" s="130"/>
      <c r="E533" s="163"/>
      <c r="F533" s="163"/>
      <c r="G533" s="163"/>
      <c r="H533" s="163"/>
      <c r="I533" s="163"/>
      <c r="J533" s="163"/>
      <c r="K533" s="130"/>
      <c r="L533" s="130"/>
      <c r="M533" s="130"/>
      <c r="N533" s="130"/>
      <c r="O533" s="130"/>
      <c r="P533" s="130"/>
      <c r="Q533" s="130"/>
      <c r="R533" s="130"/>
      <c r="S533" s="163"/>
      <c r="T533" s="163"/>
      <c r="U533" s="163"/>
      <c r="V533" s="163"/>
      <c r="W533" s="163"/>
      <c r="X533" s="163"/>
      <c r="Y533" s="163"/>
      <c r="Z533" s="163"/>
      <c r="AA533" s="163"/>
      <c r="AB533" s="163"/>
      <c r="AC533" s="163"/>
      <c r="AD533" s="163"/>
      <c r="AE533" s="163"/>
      <c r="AF533" s="163"/>
      <c r="AG533" s="163"/>
      <c r="AH533" s="163"/>
      <c r="AI533" s="163"/>
      <c r="AJ533" s="163"/>
      <c r="AK533" s="163"/>
      <c r="AL533" s="163"/>
      <c r="AM533" s="163"/>
      <c r="AN533" s="130"/>
      <c r="AO533" s="130"/>
      <c r="AP533" s="130"/>
      <c r="AQ533" s="130"/>
      <c r="AR533" s="130"/>
      <c r="AS533" s="130"/>
      <c r="AT533" s="130"/>
    </row>
    <row r="534" ht="13.5" customHeight="1">
      <c r="A534" s="130"/>
      <c r="B534" s="130"/>
      <c r="C534" s="130"/>
      <c r="D534" s="130"/>
      <c r="E534" s="163"/>
      <c r="F534" s="163"/>
      <c r="G534" s="163"/>
      <c r="H534" s="163"/>
      <c r="I534" s="163"/>
      <c r="J534" s="163"/>
      <c r="K534" s="130"/>
      <c r="L534" s="130"/>
      <c r="M534" s="130"/>
      <c r="N534" s="130"/>
      <c r="O534" s="130"/>
      <c r="P534" s="130"/>
      <c r="Q534" s="130"/>
      <c r="R534" s="130"/>
      <c r="S534" s="163"/>
      <c r="T534" s="163"/>
      <c r="U534" s="163"/>
      <c r="V534" s="163"/>
      <c r="W534" s="163"/>
      <c r="X534" s="163"/>
      <c r="Y534" s="163"/>
      <c r="Z534" s="163"/>
      <c r="AA534" s="163"/>
      <c r="AB534" s="163"/>
      <c r="AC534" s="163"/>
      <c r="AD534" s="163"/>
      <c r="AE534" s="163"/>
      <c r="AF534" s="163"/>
      <c r="AG534" s="163"/>
      <c r="AH534" s="163"/>
      <c r="AI534" s="163"/>
      <c r="AJ534" s="163"/>
      <c r="AK534" s="163"/>
      <c r="AL534" s="163"/>
      <c r="AM534" s="163"/>
      <c r="AN534" s="130"/>
      <c r="AO534" s="130"/>
      <c r="AP534" s="130"/>
      <c r="AQ534" s="130"/>
      <c r="AR534" s="130"/>
      <c r="AS534" s="130"/>
      <c r="AT534" s="130"/>
    </row>
    <row r="535" ht="13.5" customHeight="1">
      <c r="A535" s="130"/>
      <c r="B535" s="130"/>
      <c r="C535" s="130"/>
      <c r="D535" s="130"/>
      <c r="E535" s="163"/>
      <c r="F535" s="163"/>
      <c r="G535" s="163"/>
      <c r="H535" s="163"/>
      <c r="I535" s="163"/>
      <c r="J535" s="163"/>
      <c r="K535" s="130"/>
      <c r="L535" s="130"/>
      <c r="M535" s="130"/>
      <c r="N535" s="130"/>
      <c r="O535" s="130"/>
      <c r="P535" s="130"/>
      <c r="Q535" s="130"/>
      <c r="R535" s="130"/>
      <c r="S535" s="163"/>
      <c r="T535" s="163"/>
      <c r="U535" s="163"/>
      <c r="V535" s="163"/>
      <c r="W535" s="163"/>
      <c r="X535" s="163"/>
      <c r="Y535" s="163"/>
      <c r="Z535" s="163"/>
      <c r="AA535" s="163"/>
      <c r="AB535" s="163"/>
      <c r="AC535" s="163"/>
      <c r="AD535" s="163"/>
      <c r="AE535" s="163"/>
      <c r="AF535" s="163"/>
      <c r="AG535" s="163"/>
      <c r="AH535" s="163"/>
      <c r="AI535" s="163"/>
      <c r="AJ535" s="163"/>
      <c r="AK535" s="163"/>
      <c r="AL535" s="163"/>
      <c r="AM535" s="163"/>
      <c r="AN535" s="130"/>
      <c r="AO535" s="130"/>
      <c r="AP535" s="130"/>
      <c r="AQ535" s="130"/>
      <c r="AR535" s="130"/>
      <c r="AS535" s="130"/>
      <c r="AT535" s="130"/>
    </row>
    <row r="536" ht="13.5" customHeight="1">
      <c r="A536" s="130"/>
      <c r="B536" s="130"/>
      <c r="C536" s="130"/>
      <c r="D536" s="130"/>
      <c r="E536" s="163"/>
      <c r="F536" s="163"/>
      <c r="G536" s="163"/>
      <c r="H536" s="163"/>
      <c r="I536" s="163"/>
      <c r="J536" s="163"/>
      <c r="K536" s="130"/>
      <c r="L536" s="130"/>
      <c r="M536" s="130"/>
      <c r="N536" s="130"/>
      <c r="O536" s="130"/>
      <c r="P536" s="130"/>
      <c r="Q536" s="130"/>
      <c r="R536" s="130"/>
      <c r="S536" s="163"/>
      <c r="T536" s="163"/>
      <c r="U536" s="163"/>
      <c r="V536" s="163"/>
      <c r="W536" s="163"/>
      <c r="X536" s="163"/>
      <c r="Y536" s="163"/>
      <c r="Z536" s="163"/>
      <c r="AA536" s="163"/>
      <c r="AB536" s="163"/>
      <c r="AC536" s="163"/>
      <c r="AD536" s="163"/>
      <c r="AE536" s="163"/>
      <c r="AF536" s="163"/>
      <c r="AG536" s="163"/>
      <c r="AH536" s="163"/>
      <c r="AI536" s="163"/>
      <c r="AJ536" s="163"/>
      <c r="AK536" s="163"/>
      <c r="AL536" s="163"/>
      <c r="AM536" s="163"/>
      <c r="AN536" s="130"/>
      <c r="AO536" s="130"/>
      <c r="AP536" s="130"/>
      <c r="AQ536" s="130"/>
      <c r="AR536" s="130"/>
      <c r="AS536" s="130"/>
      <c r="AT536" s="130"/>
    </row>
    <row r="537" ht="13.5" customHeight="1">
      <c r="A537" s="130"/>
      <c r="B537" s="130"/>
      <c r="C537" s="130"/>
      <c r="D537" s="130"/>
      <c r="E537" s="163"/>
      <c r="F537" s="163"/>
      <c r="G537" s="163"/>
      <c r="H537" s="163"/>
      <c r="I537" s="163"/>
      <c r="J537" s="163"/>
      <c r="K537" s="130"/>
      <c r="L537" s="130"/>
      <c r="M537" s="130"/>
      <c r="N537" s="130"/>
      <c r="O537" s="130"/>
      <c r="P537" s="130"/>
      <c r="Q537" s="130"/>
      <c r="R537" s="130"/>
      <c r="S537" s="163"/>
      <c r="T537" s="163"/>
      <c r="U537" s="163"/>
      <c r="V537" s="163"/>
      <c r="W537" s="163"/>
      <c r="X537" s="163"/>
      <c r="Y537" s="163"/>
      <c r="Z537" s="163"/>
      <c r="AA537" s="163"/>
      <c r="AB537" s="163"/>
      <c r="AC537" s="163"/>
      <c r="AD537" s="163"/>
      <c r="AE537" s="163"/>
      <c r="AF537" s="163"/>
      <c r="AG537" s="163"/>
      <c r="AH537" s="163"/>
      <c r="AI537" s="163"/>
      <c r="AJ537" s="163"/>
      <c r="AK537" s="163"/>
      <c r="AL537" s="163"/>
      <c r="AM537" s="163"/>
      <c r="AN537" s="130"/>
      <c r="AO537" s="130"/>
      <c r="AP537" s="130"/>
      <c r="AQ537" s="130"/>
      <c r="AR537" s="130"/>
      <c r="AS537" s="130"/>
      <c r="AT537" s="130"/>
    </row>
    <row r="538" ht="13.5" customHeight="1">
      <c r="A538" s="130"/>
      <c r="B538" s="130"/>
      <c r="C538" s="130"/>
      <c r="D538" s="130"/>
      <c r="E538" s="163"/>
      <c r="F538" s="163"/>
      <c r="G538" s="163"/>
      <c r="H538" s="163"/>
      <c r="I538" s="163"/>
      <c r="J538" s="163"/>
      <c r="K538" s="130"/>
      <c r="L538" s="130"/>
      <c r="M538" s="130"/>
      <c r="N538" s="130"/>
      <c r="O538" s="130"/>
      <c r="P538" s="130"/>
      <c r="Q538" s="130"/>
      <c r="R538" s="130"/>
      <c r="S538" s="163"/>
      <c r="T538" s="163"/>
      <c r="U538" s="163"/>
      <c r="V538" s="163"/>
      <c r="W538" s="163"/>
      <c r="X538" s="163"/>
      <c r="Y538" s="163"/>
      <c r="Z538" s="163"/>
      <c r="AA538" s="163"/>
      <c r="AB538" s="163"/>
      <c r="AC538" s="163"/>
      <c r="AD538" s="163"/>
      <c r="AE538" s="163"/>
      <c r="AF538" s="163"/>
      <c r="AG538" s="163"/>
      <c r="AH538" s="163"/>
      <c r="AI538" s="163"/>
      <c r="AJ538" s="163"/>
      <c r="AK538" s="163"/>
      <c r="AL538" s="163"/>
      <c r="AM538" s="163"/>
      <c r="AN538" s="130"/>
      <c r="AO538" s="130"/>
      <c r="AP538" s="130"/>
      <c r="AQ538" s="130"/>
      <c r="AR538" s="130"/>
      <c r="AS538" s="130"/>
      <c r="AT538" s="130"/>
    </row>
    <row r="539" ht="13.5" customHeight="1">
      <c r="A539" s="130"/>
      <c r="B539" s="130"/>
      <c r="C539" s="130"/>
      <c r="D539" s="130"/>
      <c r="E539" s="163"/>
      <c r="F539" s="163"/>
      <c r="G539" s="163"/>
      <c r="H539" s="163"/>
      <c r="I539" s="163"/>
      <c r="J539" s="163"/>
      <c r="K539" s="130"/>
      <c r="L539" s="130"/>
      <c r="M539" s="130"/>
      <c r="N539" s="130"/>
      <c r="O539" s="130"/>
      <c r="P539" s="130"/>
      <c r="Q539" s="130"/>
      <c r="R539" s="130"/>
      <c r="S539" s="163"/>
      <c r="T539" s="163"/>
      <c r="U539" s="163"/>
      <c r="V539" s="163"/>
      <c r="W539" s="163"/>
      <c r="X539" s="163"/>
      <c r="Y539" s="163"/>
      <c r="Z539" s="163"/>
      <c r="AA539" s="163"/>
      <c r="AB539" s="163"/>
      <c r="AC539" s="163"/>
      <c r="AD539" s="163"/>
      <c r="AE539" s="163"/>
      <c r="AF539" s="163"/>
      <c r="AG539" s="163"/>
      <c r="AH539" s="163"/>
      <c r="AI539" s="163"/>
      <c r="AJ539" s="163"/>
      <c r="AK539" s="163"/>
      <c r="AL539" s="163"/>
      <c r="AM539" s="163"/>
      <c r="AN539" s="130"/>
      <c r="AO539" s="130"/>
      <c r="AP539" s="130"/>
      <c r="AQ539" s="130"/>
      <c r="AR539" s="130"/>
      <c r="AS539" s="130"/>
      <c r="AT539" s="130"/>
    </row>
    <row r="540" ht="13.5" customHeight="1">
      <c r="A540" s="130"/>
      <c r="B540" s="130"/>
      <c r="C540" s="130"/>
      <c r="D540" s="130"/>
      <c r="E540" s="163"/>
      <c r="F540" s="163"/>
      <c r="G540" s="163"/>
      <c r="H540" s="163"/>
      <c r="I540" s="163"/>
      <c r="J540" s="163"/>
      <c r="K540" s="130"/>
      <c r="L540" s="130"/>
      <c r="M540" s="130"/>
      <c r="N540" s="130"/>
      <c r="O540" s="130"/>
      <c r="P540" s="130"/>
      <c r="Q540" s="130"/>
      <c r="R540" s="130"/>
      <c r="S540" s="163"/>
      <c r="T540" s="163"/>
      <c r="U540" s="163"/>
      <c r="V540" s="163"/>
      <c r="W540" s="163"/>
      <c r="X540" s="163"/>
      <c r="Y540" s="163"/>
      <c r="Z540" s="163"/>
      <c r="AA540" s="163"/>
      <c r="AB540" s="163"/>
      <c r="AC540" s="163"/>
      <c r="AD540" s="163"/>
      <c r="AE540" s="163"/>
      <c r="AF540" s="163"/>
      <c r="AG540" s="163"/>
      <c r="AH540" s="163"/>
      <c r="AI540" s="163"/>
      <c r="AJ540" s="163"/>
      <c r="AK540" s="163"/>
      <c r="AL540" s="163"/>
      <c r="AM540" s="163"/>
      <c r="AN540" s="130"/>
      <c r="AO540" s="130"/>
      <c r="AP540" s="130"/>
      <c r="AQ540" s="130"/>
      <c r="AR540" s="130"/>
      <c r="AS540" s="130"/>
      <c r="AT540" s="130"/>
    </row>
    <row r="541" ht="13.5" customHeight="1">
      <c r="A541" s="130"/>
      <c r="B541" s="130"/>
      <c r="C541" s="130"/>
      <c r="D541" s="130"/>
      <c r="E541" s="163"/>
      <c r="F541" s="163"/>
      <c r="G541" s="163"/>
      <c r="H541" s="163"/>
      <c r="I541" s="163"/>
      <c r="J541" s="163"/>
      <c r="K541" s="130"/>
      <c r="L541" s="130"/>
      <c r="M541" s="130"/>
      <c r="N541" s="130"/>
      <c r="O541" s="130"/>
      <c r="P541" s="130"/>
      <c r="Q541" s="130"/>
      <c r="R541" s="130"/>
      <c r="S541" s="163"/>
      <c r="T541" s="163"/>
      <c r="U541" s="163"/>
      <c r="V541" s="163"/>
      <c r="W541" s="163"/>
      <c r="X541" s="163"/>
      <c r="Y541" s="163"/>
      <c r="Z541" s="163"/>
      <c r="AA541" s="163"/>
      <c r="AB541" s="163"/>
      <c r="AC541" s="163"/>
      <c r="AD541" s="163"/>
      <c r="AE541" s="163"/>
      <c r="AF541" s="163"/>
      <c r="AG541" s="163"/>
      <c r="AH541" s="163"/>
      <c r="AI541" s="163"/>
      <c r="AJ541" s="163"/>
      <c r="AK541" s="163"/>
      <c r="AL541" s="163"/>
      <c r="AM541" s="163"/>
      <c r="AN541" s="130"/>
      <c r="AO541" s="130"/>
      <c r="AP541" s="130"/>
      <c r="AQ541" s="130"/>
      <c r="AR541" s="130"/>
      <c r="AS541" s="130"/>
      <c r="AT541" s="130"/>
    </row>
    <row r="542" ht="13.5" customHeight="1">
      <c r="A542" s="130"/>
      <c r="B542" s="130"/>
      <c r="C542" s="130"/>
      <c r="D542" s="130"/>
      <c r="E542" s="163"/>
      <c r="F542" s="163"/>
      <c r="G542" s="163"/>
      <c r="H542" s="163"/>
      <c r="I542" s="163"/>
      <c r="J542" s="163"/>
      <c r="K542" s="130"/>
      <c r="L542" s="130"/>
      <c r="M542" s="130"/>
      <c r="N542" s="130"/>
      <c r="O542" s="130"/>
      <c r="P542" s="130"/>
      <c r="Q542" s="130"/>
      <c r="R542" s="130"/>
      <c r="S542" s="163"/>
      <c r="T542" s="163"/>
      <c r="U542" s="163"/>
      <c r="V542" s="163"/>
      <c r="W542" s="163"/>
      <c r="X542" s="163"/>
      <c r="Y542" s="163"/>
      <c r="Z542" s="163"/>
      <c r="AA542" s="163"/>
      <c r="AB542" s="163"/>
      <c r="AC542" s="163"/>
      <c r="AD542" s="163"/>
      <c r="AE542" s="163"/>
      <c r="AF542" s="163"/>
      <c r="AG542" s="163"/>
      <c r="AH542" s="163"/>
      <c r="AI542" s="163"/>
      <c r="AJ542" s="163"/>
      <c r="AK542" s="163"/>
      <c r="AL542" s="163"/>
      <c r="AM542" s="163"/>
      <c r="AN542" s="130"/>
      <c r="AO542" s="130"/>
      <c r="AP542" s="130"/>
      <c r="AQ542" s="130"/>
      <c r="AR542" s="130"/>
      <c r="AS542" s="130"/>
      <c r="AT542" s="130"/>
    </row>
    <row r="543" ht="13.5" customHeight="1">
      <c r="A543" s="130"/>
      <c r="B543" s="130"/>
      <c r="C543" s="130"/>
      <c r="D543" s="130"/>
      <c r="E543" s="163"/>
      <c r="F543" s="163"/>
      <c r="G543" s="163"/>
      <c r="H543" s="163"/>
      <c r="I543" s="163"/>
      <c r="J543" s="163"/>
      <c r="K543" s="130"/>
      <c r="L543" s="130"/>
      <c r="M543" s="130"/>
      <c r="N543" s="130"/>
      <c r="O543" s="130"/>
      <c r="P543" s="130"/>
      <c r="Q543" s="130"/>
      <c r="R543" s="130"/>
      <c r="S543" s="163"/>
      <c r="T543" s="163"/>
      <c r="U543" s="163"/>
      <c r="V543" s="163"/>
      <c r="W543" s="163"/>
      <c r="X543" s="163"/>
      <c r="Y543" s="163"/>
      <c r="Z543" s="163"/>
      <c r="AA543" s="163"/>
      <c r="AB543" s="163"/>
      <c r="AC543" s="163"/>
      <c r="AD543" s="163"/>
      <c r="AE543" s="163"/>
      <c r="AF543" s="163"/>
      <c r="AG543" s="163"/>
      <c r="AH543" s="163"/>
      <c r="AI543" s="163"/>
      <c r="AJ543" s="163"/>
      <c r="AK543" s="163"/>
      <c r="AL543" s="163"/>
      <c r="AM543" s="163"/>
      <c r="AN543" s="130"/>
      <c r="AO543" s="130"/>
      <c r="AP543" s="130"/>
      <c r="AQ543" s="130"/>
      <c r="AR543" s="130"/>
      <c r="AS543" s="130"/>
      <c r="AT543" s="130"/>
    </row>
    <row r="544" ht="13.5" customHeight="1">
      <c r="A544" s="130"/>
      <c r="B544" s="130"/>
      <c r="C544" s="130"/>
      <c r="D544" s="130"/>
      <c r="E544" s="163"/>
      <c r="F544" s="163"/>
      <c r="G544" s="163"/>
      <c r="H544" s="163"/>
      <c r="I544" s="163"/>
      <c r="J544" s="163"/>
      <c r="K544" s="130"/>
      <c r="L544" s="130"/>
      <c r="M544" s="130"/>
      <c r="N544" s="130"/>
      <c r="O544" s="130"/>
      <c r="P544" s="130"/>
      <c r="Q544" s="130"/>
      <c r="R544" s="130"/>
      <c r="S544" s="163"/>
      <c r="T544" s="163"/>
      <c r="U544" s="163"/>
      <c r="V544" s="163"/>
      <c r="W544" s="163"/>
      <c r="X544" s="163"/>
      <c r="Y544" s="163"/>
      <c r="Z544" s="163"/>
      <c r="AA544" s="163"/>
      <c r="AB544" s="163"/>
      <c r="AC544" s="163"/>
      <c r="AD544" s="163"/>
      <c r="AE544" s="163"/>
      <c r="AF544" s="163"/>
      <c r="AG544" s="163"/>
      <c r="AH544" s="163"/>
      <c r="AI544" s="163"/>
      <c r="AJ544" s="163"/>
      <c r="AK544" s="163"/>
      <c r="AL544" s="163"/>
      <c r="AM544" s="163"/>
      <c r="AN544" s="130"/>
      <c r="AO544" s="130"/>
      <c r="AP544" s="130"/>
      <c r="AQ544" s="130"/>
      <c r="AR544" s="130"/>
      <c r="AS544" s="130"/>
      <c r="AT544" s="130"/>
    </row>
    <row r="545" ht="13.5" customHeight="1">
      <c r="A545" s="130"/>
      <c r="B545" s="130"/>
      <c r="C545" s="130"/>
      <c r="D545" s="130"/>
      <c r="E545" s="163"/>
      <c r="F545" s="163"/>
      <c r="G545" s="163"/>
      <c r="H545" s="163"/>
      <c r="I545" s="163"/>
      <c r="J545" s="163"/>
      <c r="K545" s="130"/>
      <c r="L545" s="130"/>
      <c r="M545" s="130"/>
      <c r="N545" s="130"/>
      <c r="O545" s="130"/>
      <c r="P545" s="130"/>
      <c r="Q545" s="130"/>
      <c r="R545" s="130"/>
      <c r="S545" s="163"/>
      <c r="T545" s="163"/>
      <c r="U545" s="163"/>
      <c r="V545" s="163"/>
      <c r="W545" s="163"/>
      <c r="X545" s="163"/>
      <c r="Y545" s="163"/>
      <c r="Z545" s="163"/>
      <c r="AA545" s="163"/>
      <c r="AB545" s="163"/>
      <c r="AC545" s="163"/>
      <c r="AD545" s="163"/>
      <c r="AE545" s="163"/>
      <c r="AF545" s="163"/>
      <c r="AG545" s="163"/>
      <c r="AH545" s="163"/>
      <c r="AI545" s="163"/>
      <c r="AJ545" s="163"/>
      <c r="AK545" s="163"/>
      <c r="AL545" s="163"/>
      <c r="AM545" s="163"/>
      <c r="AN545" s="130"/>
      <c r="AO545" s="130"/>
      <c r="AP545" s="130"/>
      <c r="AQ545" s="130"/>
      <c r="AR545" s="130"/>
      <c r="AS545" s="130"/>
      <c r="AT545" s="130"/>
    </row>
    <row r="546" ht="13.5" customHeight="1">
      <c r="A546" s="130"/>
      <c r="B546" s="130"/>
      <c r="C546" s="130"/>
      <c r="D546" s="130"/>
      <c r="E546" s="163"/>
      <c r="F546" s="163"/>
      <c r="G546" s="163"/>
      <c r="H546" s="163"/>
      <c r="I546" s="163"/>
      <c r="J546" s="163"/>
      <c r="K546" s="130"/>
      <c r="L546" s="130"/>
      <c r="M546" s="130"/>
      <c r="N546" s="130"/>
      <c r="O546" s="130"/>
      <c r="P546" s="130"/>
      <c r="Q546" s="130"/>
      <c r="R546" s="130"/>
      <c r="S546" s="163"/>
      <c r="T546" s="163"/>
      <c r="U546" s="163"/>
      <c r="V546" s="163"/>
      <c r="W546" s="163"/>
      <c r="X546" s="163"/>
      <c r="Y546" s="163"/>
      <c r="Z546" s="163"/>
      <c r="AA546" s="163"/>
      <c r="AB546" s="163"/>
      <c r="AC546" s="163"/>
      <c r="AD546" s="163"/>
      <c r="AE546" s="163"/>
      <c r="AF546" s="163"/>
      <c r="AG546" s="163"/>
      <c r="AH546" s="163"/>
      <c r="AI546" s="163"/>
      <c r="AJ546" s="163"/>
      <c r="AK546" s="163"/>
      <c r="AL546" s="163"/>
      <c r="AM546" s="163"/>
      <c r="AN546" s="130"/>
      <c r="AO546" s="130"/>
      <c r="AP546" s="130"/>
      <c r="AQ546" s="130"/>
      <c r="AR546" s="130"/>
      <c r="AS546" s="130"/>
      <c r="AT546" s="130"/>
    </row>
    <row r="547" ht="13.5" customHeight="1">
      <c r="A547" s="130"/>
      <c r="B547" s="130"/>
      <c r="C547" s="130"/>
      <c r="D547" s="130"/>
      <c r="E547" s="163"/>
      <c r="F547" s="163"/>
      <c r="G547" s="163"/>
      <c r="H547" s="163"/>
      <c r="I547" s="163"/>
      <c r="J547" s="163"/>
      <c r="K547" s="130"/>
      <c r="L547" s="130"/>
      <c r="M547" s="130"/>
      <c r="N547" s="130"/>
      <c r="O547" s="130"/>
      <c r="P547" s="130"/>
      <c r="Q547" s="130"/>
      <c r="R547" s="130"/>
      <c r="S547" s="163"/>
      <c r="T547" s="163"/>
      <c r="U547" s="163"/>
      <c r="V547" s="163"/>
      <c r="W547" s="163"/>
      <c r="X547" s="163"/>
      <c r="Y547" s="163"/>
      <c r="Z547" s="163"/>
      <c r="AA547" s="163"/>
      <c r="AB547" s="163"/>
      <c r="AC547" s="163"/>
      <c r="AD547" s="163"/>
      <c r="AE547" s="163"/>
      <c r="AF547" s="163"/>
      <c r="AG547" s="163"/>
      <c r="AH547" s="163"/>
      <c r="AI547" s="163"/>
      <c r="AJ547" s="163"/>
      <c r="AK547" s="163"/>
      <c r="AL547" s="163"/>
      <c r="AM547" s="163"/>
      <c r="AN547" s="130"/>
      <c r="AO547" s="130"/>
      <c r="AP547" s="130"/>
      <c r="AQ547" s="130"/>
      <c r="AR547" s="130"/>
      <c r="AS547" s="130"/>
      <c r="AT547" s="130"/>
    </row>
    <row r="548" ht="13.5" customHeight="1">
      <c r="A548" s="130"/>
      <c r="B548" s="130"/>
      <c r="C548" s="130"/>
      <c r="D548" s="130"/>
      <c r="E548" s="163"/>
      <c r="F548" s="163"/>
      <c r="G548" s="163"/>
      <c r="H548" s="163"/>
      <c r="I548" s="163"/>
      <c r="J548" s="163"/>
      <c r="K548" s="130"/>
      <c r="L548" s="130"/>
      <c r="M548" s="130"/>
      <c r="N548" s="130"/>
      <c r="O548" s="130"/>
      <c r="P548" s="130"/>
      <c r="Q548" s="130"/>
      <c r="R548" s="130"/>
      <c r="S548" s="163"/>
      <c r="T548" s="163"/>
      <c r="U548" s="163"/>
      <c r="V548" s="163"/>
      <c r="W548" s="163"/>
      <c r="X548" s="163"/>
      <c r="Y548" s="163"/>
      <c r="Z548" s="163"/>
      <c r="AA548" s="163"/>
      <c r="AB548" s="163"/>
      <c r="AC548" s="163"/>
      <c r="AD548" s="163"/>
      <c r="AE548" s="163"/>
      <c r="AF548" s="163"/>
      <c r="AG548" s="163"/>
      <c r="AH548" s="163"/>
      <c r="AI548" s="163"/>
      <c r="AJ548" s="163"/>
      <c r="AK548" s="163"/>
      <c r="AL548" s="163"/>
      <c r="AM548" s="163"/>
      <c r="AN548" s="130"/>
      <c r="AO548" s="130"/>
      <c r="AP548" s="130"/>
      <c r="AQ548" s="130"/>
      <c r="AR548" s="130"/>
      <c r="AS548" s="130"/>
      <c r="AT548" s="130"/>
    </row>
    <row r="549" ht="13.5" customHeight="1">
      <c r="A549" s="130"/>
      <c r="B549" s="130"/>
      <c r="C549" s="130"/>
      <c r="D549" s="130"/>
      <c r="E549" s="163"/>
      <c r="F549" s="163"/>
      <c r="G549" s="163"/>
      <c r="H549" s="163"/>
      <c r="I549" s="163"/>
      <c r="J549" s="163"/>
      <c r="K549" s="130"/>
      <c r="L549" s="130"/>
      <c r="M549" s="130"/>
      <c r="N549" s="130"/>
      <c r="O549" s="130"/>
      <c r="P549" s="130"/>
      <c r="Q549" s="130"/>
      <c r="R549" s="130"/>
      <c r="S549" s="163"/>
      <c r="T549" s="163"/>
      <c r="U549" s="163"/>
      <c r="V549" s="163"/>
      <c r="W549" s="163"/>
      <c r="X549" s="163"/>
      <c r="Y549" s="163"/>
      <c r="Z549" s="163"/>
      <c r="AA549" s="163"/>
      <c r="AB549" s="163"/>
      <c r="AC549" s="163"/>
      <c r="AD549" s="163"/>
      <c r="AE549" s="163"/>
      <c r="AF549" s="163"/>
      <c r="AG549" s="163"/>
      <c r="AH549" s="163"/>
      <c r="AI549" s="163"/>
      <c r="AJ549" s="163"/>
      <c r="AK549" s="163"/>
      <c r="AL549" s="163"/>
      <c r="AM549" s="163"/>
      <c r="AN549" s="130"/>
      <c r="AO549" s="130"/>
      <c r="AP549" s="130"/>
      <c r="AQ549" s="130"/>
      <c r="AR549" s="130"/>
      <c r="AS549" s="130"/>
      <c r="AT549" s="130"/>
    </row>
    <row r="550" ht="13.5" customHeight="1">
      <c r="A550" s="130"/>
      <c r="B550" s="130"/>
      <c r="C550" s="130"/>
      <c r="D550" s="130"/>
      <c r="E550" s="163"/>
      <c r="F550" s="163"/>
      <c r="G550" s="163"/>
      <c r="H550" s="163"/>
      <c r="I550" s="163"/>
      <c r="J550" s="163"/>
      <c r="K550" s="130"/>
      <c r="L550" s="130"/>
      <c r="M550" s="130"/>
      <c r="N550" s="130"/>
      <c r="O550" s="130"/>
      <c r="P550" s="130"/>
      <c r="Q550" s="130"/>
      <c r="R550" s="130"/>
      <c r="S550" s="163"/>
      <c r="T550" s="163"/>
      <c r="U550" s="163"/>
      <c r="V550" s="163"/>
      <c r="W550" s="163"/>
      <c r="X550" s="163"/>
      <c r="Y550" s="163"/>
      <c r="Z550" s="163"/>
      <c r="AA550" s="163"/>
      <c r="AB550" s="163"/>
      <c r="AC550" s="163"/>
      <c r="AD550" s="163"/>
      <c r="AE550" s="163"/>
      <c r="AF550" s="163"/>
      <c r="AG550" s="163"/>
      <c r="AH550" s="163"/>
      <c r="AI550" s="163"/>
      <c r="AJ550" s="163"/>
      <c r="AK550" s="163"/>
      <c r="AL550" s="163"/>
      <c r="AM550" s="163"/>
      <c r="AN550" s="130"/>
      <c r="AO550" s="130"/>
      <c r="AP550" s="130"/>
      <c r="AQ550" s="130"/>
      <c r="AR550" s="130"/>
      <c r="AS550" s="130"/>
      <c r="AT550" s="130"/>
    </row>
    <row r="551" ht="13.5" customHeight="1">
      <c r="A551" s="130"/>
      <c r="B551" s="130"/>
      <c r="C551" s="130"/>
      <c r="D551" s="130"/>
      <c r="E551" s="163"/>
      <c r="F551" s="163"/>
      <c r="G551" s="163"/>
      <c r="H551" s="163"/>
      <c r="I551" s="163"/>
      <c r="J551" s="163"/>
      <c r="K551" s="130"/>
      <c r="L551" s="130"/>
      <c r="M551" s="130"/>
      <c r="N551" s="130"/>
      <c r="O551" s="130"/>
      <c r="P551" s="130"/>
      <c r="Q551" s="130"/>
      <c r="R551" s="130"/>
      <c r="S551" s="163"/>
      <c r="T551" s="163"/>
      <c r="U551" s="163"/>
      <c r="V551" s="163"/>
      <c r="W551" s="163"/>
      <c r="X551" s="163"/>
      <c r="Y551" s="163"/>
      <c r="Z551" s="163"/>
      <c r="AA551" s="163"/>
      <c r="AB551" s="163"/>
      <c r="AC551" s="163"/>
      <c r="AD551" s="163"/>
      <c r="AE551" s="163"/>
      <c r="AF551" s="163"/>
      <c r="AG551" s="163"/>
      <c r="AH551" s="163"/>
      <c r="AI551" s="163"/>
      <c r="AJ551" s="163"/>
      <c r="AK551" s="163"/>
      <c r="AL551" s="163"/>
      <c r="AM551" s="163"/>
      <c r="AN551" s="130"/>
      <c r="AO551" s="130"/>
      <c r="AP551" s="130"/>
      <c r="AQ551" s="130"/>
      <c r="AR551" s="130"/>
      <c r="AS551" s="130"/>
      <c r="AT551" s="130"/>
    </row>
    <row r="552" ht="13.5" customHeight="1">
      <c r="A552" s="130"/>
      <c r="B552" s="130"/>
      <c r="C552" s="130"/>
      <c r="D552" s="130"/>
      <c r="E552" s="163"/>
      <c r="F552" s="163"/>
      <c r="G552" s="163"/>
      <c r="H552" s="163"/>
      <c r="I552" s="163"/>
      <c r="J552" s="163"/>
      <c r="K552" s="130"/>
      <c r="L552" s="130"/>
      <c r="M552" s="130"/>
      <c r="N552" s="130"/>
      <c r="O552" s="130"/>
      <c r="P552" s="130"/>
      <c r="Q552" s="130"/>
      <c r="R552" s="130"/>
      <c r="S552" s="163"/>
      <c r="T552" s="163"/>
      <c r="U552" s="163"/>
      <c r="V552" s="163"/>
      <c r="W552" s="163"/>
      <c r="X552" s="163"/>
      <c r="Y552" s="163"/>
      <c r="Z552" s="163"/>
      <c r="AA552" s="163"/>
      <c r="AB552" s="163"/>
      <c r="AC552" s="163"/>
      <c r="AD552" s="163"/>
      <c r="AE552" s="163"/>
      <c r="AF552" s="163"/>
      <c r="AG552" s="163"/>
      <c r="AH552" s="163"/>
      <c r="AI552" s="163"/>
      <c r="AJ552" s="163"/>
      <c r="AK552" s="163"/>
      <c r="AL552" s="163"/>
      <c r="AM552" s="163"/>
      <c r="AN552" s="130"/>
      <c r="AO552" s="130"/>
      <c r="AP552" s="130"/>
      <c r="AQ552" s="130"/>
      <c r="AR552" s="130"/>
      <c r="AS552" s="130"/>
      <c r="AT552" s="130"/>
    </row>
    <row r="553" ht="13.5" customHeight="1">
      <c r="A553" s="130"/>
      <c r="B553" s="130"/>
      <c r="C553" s="130"/>
      <c r="D553" s="130"/>
      <c r="E553" s="163"/>
      <c r="F553" s="163"/>
      <c r="G553" s="163"/>
      <c r="H553" s="163"/>
      <c r="I553" s="163"/>
      <c r="J553" s="163"/>
      <c r="K553" s="130"/>
      <c r="L553" s="130"/>
      <c r="M553" s="130"/>
      <c r="N553" s="130"/>
      <c r="O553" s="130"/>
      <c r="P553" s="130"/>
      <c r="Q553" s="130"/>
      <c r="R553" s="130"/>
      <c r="S553" s="163"/>
      <c r="T553" s="163"/>
      <c r="U553" s="163"/>
      <c r="V553" s="163"/>
      <c r="W553" s="163"/>
      <c r="X553" s="163"/>
      <c r="Y553" s="163"/>
      <c r="Z553" s="163"/>
      <c r="AA553" s="163"/>
      <c r="AB553" s="163"/>
      <c r="AC553" s="163"/>
      <c r="AD553" s="163"/>
      <c r="AE553" s="163"/>
      <c r="AF553" s="163"/>
      <c r="AG553" s="163"/>
      <c r="AH553" s="163"/>
      <c r="AI553" s="163"/>
      <c r="AJ553" s="163"/>
      <c r="AK553" s="163"/>
      <c r="AL553" s="163"/>
      <c r="AM553" s="163"/>
      <c r="AN553" s="130"/>
      <c r="AO553" s="130"/>
      <c r="AP553" s="130"/>
      <c r="AQ553" s="130"/>
      <c r="AR553" s="130"/>
      <c r="AS553" s="130"/>
      <c r="AT553" s="130"/>
    </row>
    <row r="554" ht="13.5" customHeight="1">
      <c r="A554" s="130"/>
      <c r="B554" s="130"/>
      <c r="C554" s="130"/>
      <c r="D554" s="130"/>
      <c r="E554" s="163"/>
      <c r="F554" s="163"/>
      <c r="G554" s="163"/>
      <c r="H554" s="163"/>
      <c r="I554" s="163"/>
      <c r="J554" s="163"/>
      <c r="K554" s="130"/>
      <c r="L554" s="130"/>
      <c r="M554" s="130"/>
      <c r="N554" s="130"/>
      <c r="O554" s="130"/>
      <c r="P554" s="130"/>
      <c r="Q554" s="130"/>
      <c r="R554" s="130"/>
      <c r="S554" s="163"/>
      <c r="T554" s="163"/>
      <c r="U554" s="163"/>
      <c r="V554" s="163"/>
      <c r="W554" s="163"/>
      <c r="X554" s="163"/>
      <c r="Y554" s="163"/>
      <c r="Z554" s="163"/>
      <c r="AA554" s="163"/>
      <c r="AB554" s="163"/>
      <c r="AC554" s="163"/>
      <c r="AD554" s="163"/>
      <c r="AE554" s="163"/>
      <c r="AF554" s="163"/>
      <c r="AG554" s="163"/>
      <c r="AH554" s="163"/>
      <c r="AI554" s="163"/>
      <c r="AJ554" s="163"/>
      <c r="AK554" s="163"/>
      <c r="AL554" s="163"/>
      <c r="AM554" s="163"/>
      <c r="AN554" s="130"/>
      <c r="AO554" s="130"/>
      <c r="AP554" s="130"/>
      <c r="AQ554" s="130"/>
      <c r="AR554" s="130"/>
      <c r="AS554" s="130"/>
      <c r="AT554" s="130"/>
    </row>
    <row r="555" ht="13.5" customHeight="1">
      <c r="A555" s="130"/>
      <c r="B555" s="130"/>
      <c r="C555" s="130"/>
      <c r="D555" s="130"/>
      <c r="E555" s="163"/>
      <c r="F555" s="163"/>
      <c r="G555" s="163"/>
      <c r="H555" s="163"/>
      <c r="I555" s="163"/>
      <c r="J555" s="163"/>
      <c r="K555" s="130"/>
      <c r="L555" s="130"/>
      <c r="M555" s="130"/>
      <c r="N555" s="130"/>
      <c r="O555" s="130"/>
      <c r="P555" s="130"/>
      <c r="Q555" s="130"/>
      <c r="R555" s="130"/>
      <c r="S555" s="163"/>
      <c r="T555" s="163"/>
      <c r="U555" s="163"/>
      <c r="V555" s="163"/>
      <c r="W555" s="163"/>
      <c r="X555" s="163"/>
      <c r="Y555" s="163"/>
      <c r="Z555" s="163"/>
      <c r="AA555" s="163"/>
      <c r="AB555" s="163"/>
      <c r="AC555" s="163"/>
      <c r="AD555" s="163"/>
      <c r="AE555" s="163"/>
      <c r="AF555" s="163"/>
      <c r="AG555" s="163"/>
      <c r="AH555" s="163"/>
      <c r="AI555" s="163"/>
      <c r="AJ555" s="163"/>
      <c r="AK555" s="163"/>
      <c r="AL555" s="163"/>
      <c r="AM555" s="163"/>
      <c r="AN555" s="130"/>
      <c r="AO555" s="130"/>
      <c r="AP555" s="130"/>
      <c r="AQ555" s="130"/>
      <c r="AR555" s="130"/>
      <c r="AS555" s="130"/>
      <c r="AT555" s="130"/>
    </row>
    <row r="556" ht="13.5" customHeight="1">
      <c r="A556" s="130"/>
      <c r="B556" s="130"/>
      <c r="C556" s="130"/>
      <c r="D556" s="130"/>
      <c r="E556" s="163"/>
      <c r="F556" s="163"/>
      <c r="G556" s="163"/>
      <c r="H556" s="163"/>
      <c r="I556" s="163"/>
      <c r="J556" s="163"/>
      <c r="K556" s="130"/>
      <c r="L556" s="130"/>
      <c r="M556" s="130"/>
      <c r="N556" s="130"/>
      <c r="O556" s="130"/>
      <c r="P556" s="130"/>
      <c r="Q556" s="130"/>
      <c r="R556" s="130"/>
      <c r="S556" s="163"/>
      <c r="T556" s="163"/>
      <c r="U556" s="163"/>
      <c r="V556" s="163"/>
      <c r="W556" s="163"/>
      <c r="X556" s="163"/>
      <c r="Y556" s="163"/>
      <c r="Z556" s="163"/>
      <c r="AA556" s="163"/>
      <c r="AB556" s="163"/>
      <c r="AC556" s="163"/>
      <c r="AD556" s="163"/>
      <c r="AE556" s="163"/>
      <c r="AF556" s="163"/>
      <c r="AG556" s="163"/>
      <c r="AH556" s="163"/>
      <c r="AI556" s="163"/>
      <c r="AJ556" s="163"/>
      <c r="AK556" s="163"/>
      <c r="AL556" s="163"/>
      <c r="AM556" s="163"/>
      <c r="AN556" s="130"/>
      <c r="AO556" s="130"/>
      <c r="AP556" s="130"/>
      <c r="AQ556" s="130"/>
      <c r="AR556" s="130"/>
      <c r="AS556" s="130"/>
      <c r="AT556" s="130"/>
    </row>
    <row r="557" ht="13.5" customHeight="1">
      <c r="A557" s="130"/>
      <c r="B557" s="130"/>
      <c r="C557" s="130"/>
      <c r="D557" s="130"/>
      <c r="E557" s="163"/>
      <c r="F557" s="163"/>
      <c r="G557" s="163"/>
      <c r="H557" s="163"/>
      <c r="I557" s="163"/>
      <c r="J557" s="163"/>
      <c r="K557" s="130"/>
      <c r="L557" s="130"/>
      <c r="M557" s="130"/>
      <c r="N557" s="130"/>
      <c r="O557" s="130"/>
      <c r="P557" s="130"/>
      <c r="Q557" s="130"/>
      <c r="R557" s="130"/>
      <c r="S557" s="163"/>
      <c r="T557" s="163"/>
      <c r="U557" s="163"/>
      <c r="V557" s="163"/>
      <c r="W557" s="163"/>
      <c r="X557" s="163"/>
      <c r="Y557" s="163"/>
      <c r="Z557" s="163"/>
      <c r="AA557" s="163"/>
      <c r="AB557" s="163"/>
      <c r="AC557" s="163"/>
      <c r="AD557" s="163"/>
      <c r="AE557" s="163"/>
      <c r="AF557" s="163"/>
      <c r="AG557" s="163"/>
      <c r="AH557" s="163"/>
      <c r="AI557" s="163"/>
      <c r="AJ557" s="163"/>
      <c r="AK557" s="163"/>
      <c r="AL557" s="163"/>
      <c r="AM557" s="163"/>
      <c r="AN557" s="130"/>
      <c r="AO557" s="130"/>
      <c r="AP557" s="130"/>
      <c r="AQ557" s="130"/>
      <c r="AR557" s="130"/>
      <c r="AS557" s="130"/>
      <c r="AT557" s="130"/>
    </row>
    <row r="558" ht="13.5" customHeight="1">
      <c r="A558" s="130"/>
      <c r="B558" s="130"/>
      <c r="C558" s="130"/>
      <c r="D558" s="130"/>
      <c r="E558" s="163"/>
      <c r="F558" s="163"/>
      <c r="G558" s="163"/>
      <c r="H558" s="163"/>
      <c r="I558" s="163"/>
      <c r="J558" s="163"/>
      <c r="K558" s="130"/>
      <c r="L558" s="130"/>
      <c r="M558" s="130"/>
      <c r="N558" s="130"/>
      <c r="O558" s="130"/>
      <c r="P558" s="130"/>
      <c r="Q558" s="130"/>
      <c r="R558" s="130"/>
      <c r="S558" s="163"/>
      <c r="T558" s="163"/>
      <c r="U558" s="163"/>
      <c r="V558" s="163"/>
      <c r="W558" s="163"/>
      <c r="X558" s="163"/>
      <c r="Y558" s="163"/>
      <c r="Z558" s="163"/>
      <c r="AA558" s="163"/>
      <c r="AB558" s="163"/>
      <c r="AC558" s="163"/>
      <c r="AD558" s="163"/>
      <c r="AE558" s="163"/>
      <c r="AF558" s="163"/>
      <c r="AG558" s="163"/>
      <c r="AH558" s="163"/>
      <c r="AI558" s="163"/>
      <c r="AJ558" s="163"/>
      <c r="AK558" s="163"/>
      <c r="AL558" s="163"/>
      <c r="AM558" s="163"/>
      <c r="AN558" s="130"/>
      <c r="AO558" s="130"/>
      <c r="AP558" s="130"/>
      <c r="AQ558" s="130"/>
      <c r="AR558" s="130"/>
      <c r="AS558" s="130"/>
      <c r="AT558" s="130"/>
    </row>
    <row r="559" ht="13.5" customHeight="1">
      <c r="A559" s="130"/>
      <c r="B559" s="130"/>
      <c r="C559" s="130"/>
      <c r="D559" s="130"/>
      <c r="E559" s="163"/>
      <c r="F559" s="163"/>
      <c r="G559" s="163"/>
      <c r="H559" s="163"/>
      <c r="I559" s="163"/>
      <c r="J559" s="163"/>
      <c r="K559" s="130"/>
      <c r="L559" s="130"/>
      <c r="M559" s="130"/>
      <c r="N559" s="130"/>
      <c r="O559" s="130"/>
      <c r="P559" s="130"/>
      <c r="Q559" s="130"/>
      <c r="R559" s="130"/>
      <c r="S559" s="163"/>
      <c r="T559" s="163"/>
      <c r="U559" s="163"/>
      <c r="V559" s="163"/>
      <c r="W559" s="163"/>
      <c r="X559" s="163"/>
      <c r="Y559" s="163"/>
      <c r="Z559" s="163"/>
      <c r="AA559" s="163"/>
      <c r="AB559" s="163"/>
      <c r="AC559" s="163"/>
      <c r="AD559" s="163"/>
      <c r="AE559" s="163"/>
      <c r="AF559" s="163"/>
      <c r="AG559" s="163"/>
      <c r="AH559" s="163"/>
      <c r="AI559" s="163"/>
      <c r="AJ559" s="163"/>
      <c r="AK559" s="163"/>
      <c r="AL559" s="163"/>
      <c r="AM559" s="163"/>
      <c r="AN559" s="130"/>
      <c r="AO559" s="130"/>
      <c r="AP559" s="130"/>
      <c r="AQ559" s="130"/>
      <c r="AR559" s="130"/>
      <c r="AS559" s="130"/>
      <c r="AT559" s="130"/>
    </row>
    <row r="560" ht="13.5" customHeight="1">
      <c r="A560" s="130"/>
      <c r="B560" s="130"/>
      <c r="C560" s="130"/>
      <c r="D560" s="130"/>
      <c r="E560" s="163"/>
      <c r="F560" s="163"/>
      <c r="G560" s="163"/>
      <c r="H560" s="163"/>
      <c r="I560" s="163"/>
      <c r="J560" s="163"/>
      <c r="K560" s="130"/>
      <c r="L560" s="130"/>
      <c r="M560" s="130"/>
      <c r="N560" s="130"/>
      <c r="O560" s="130"/>
      <c r="P560" s="130"/>
      <c r="Q560" s="130"/>
      <c r="R560" s="130"/>
      <c r="S560" s="163"/>
      <c r="T560" s="163"/>
      <c r="U560" s="163"/>
      <c r="V560" s="163"/>
      <c r="W560" s="163"/>
      <c r="X560" s="163"/>
      <c r="Y560" s="163"/>
      <c r="Z560" s="163"/>
      <c r="AA560" s="163"/>
      <c r="AB560" s="163"/>
      <c r="AC560" s="163"/>
      <c r="AD560" s="163"/>
      <c r="AE560" s="163"/>
      <c r="AF560" s="163"/>
      <c r="AG560" s="163"/>
      <c r="AH560" s="163"/>
      <c r="AI560" s="163"/>
      <c r="AJ560" s="163"/>
      <c r="AK560" s="163"/>
      <c r="AL560" s="163"/>
      <c r="AM560" s="163"/>
      <c r="AN560" s="130"/>
      <c r="AO560" s="130"/>
      <c r="AP560" s="130"/>
      <c r="AQ560" s="130"/>
      <c r="AR560" s="130"/>
      <c r="AS560" s="130"/>
      <c r="AT560" s="130"/>
    </row>
    <row r="561" ht="13.5" customHeight="1">
      <c r="A561" s="130"/>
      <c r="B561" s="130"/>
      <c r="C561" s="130"/>
      <c r="D561" s="130"/>
      <c r="E561" s="163"/>
      <c r="F561" s="163"/>
      <c r="G561" s="163"/>
      <c r="H561" s="163"/>
      <c r="I561" s="163"/>
      <c r="J561" s="163"/>
      <c r="K561" s="130"/>
      <c r="L561" s="130"/>
      <c r="M561" s="130"/>
      <c r="N561" s="130"/>
      <c r="O561" s="130"/>
      <c r="P561" s="130"/>
      <c r="Q561" s="130"/>
      <c r="R561" s="130"/>
      <c r="S561" s="163"/>
      <c r="T561" s="163"/>
      <c r="U561" s="163"/>
      <c r="V561" s="163"/>
      <c r="W561" s="163"/>
      <c r="X561" s="163"/>
      <c r="Y561" s="163"/>
      <c r="Z561" s="163"/>
      <c r="AA561" s="163"/>
      <c r="AB561" s="163"/>
      <c r="AC561" s="163"/>
      <c r="AD561" s="163"/>
      <c r="AE561" s="163"/>
      <c r="AF561" s="163"/>
      <c r="AG561" s="163"/>
      <c r="AH561" s="163"/>
      <c r="AI561" s="163"/>
      <c r="AJ561" s="163"/>
      <c r="AK561" s="163"/>
      <c r="AL561" s="163"/>
      <c r="AM561" s="163"/>
      <c r="AN561" s="130"/>
      <c r="AO561" s="130"/>
      <c r="AP561" s="130"/>
      <c r="AQ561" s="130"/>
      <c r="AR561" s="130"/>
      <c r="AS561" s="130"/>
      <c r="AT561" s="130"/>
    </row>
    <row r="562" ht="13.5" customHeight="1">
      <c r="A562" s="130"/>
      <c r="B562" s="130"/>
      <c r="C562" s="130"/>
      <c r="D562" s="130"/>
      <c r="E562" s="163"/>
      <c r="F562" s="163"/>
      <c r="G562" s="163"/>
      <c r="H562" s="163"/>
      <c r="I562" s="163"/>
      <c r="J562" s="163"/>
      <c r="K562" s="130"/>
      <c r="L562" s="130"/>
      <c r="M562" s="130"/>
      <c r="N562" s="130"/>
      <c r="O562" s="130"/>
      <c r="P562" s="130"/>
      <c r="Q562" s="130"/>
      <c r="R562" s="130"/>
      <c r="S562" s="163"/>
      <c r="T562" s="163"/>
      <c r="U562" s="163"/>
      <c r="V562" s="163"/>
      <c r="W562" s="163"/>
      <c r="X562" s="163"/>
      <c r="Y562" s="163"/>
      <c r="Z562" s="163"/>
      <c r="AA562" s="163"/>
      <c r="AB562" s="163"/>
      <c r="AC562" s="163"/>
      <c r="AD562" s="163"/>
      <c r="AE562" s="163"/>
      <c r="AF562" s="163"/>
      <c r="AG562" s="163"/>
      <c r="AH562" s="163"/>
      <c r="AI562" s="163"/>
      <c r="AJ562" s="163"/>
      <c r="AK562" s="163"/>
      <c r="AL562" s="163"/>
      <c r="AM562" s="163"/>
      <c r="AN562" s="130"/>
      <c r="AO562" s="130"/>
      <c r="AP562" s="130"/>
      <c r="AQ562" s="130"/>
      <c r="AR562" s="130"/>
      <c r="AS562" s="130"/>
      <c r="AT562" s="130"/>
    </row>
    <row r="563" ht="13.5" customHeight="1">
      <c r="A563" s="130"/>
      <c r="B563" s="130"/>
      <c r="C563" s="130"/>
      <c r="D563" s="130"/>
      <c r="E563" s="163"/>
      <c r="F563" s="163"/>
      <c r="G563" s="163"/>
      <c r="H563" s="163"/>
      <c r="I563" s="163"/>
      <c r="J563" s="163"/>
      <c r="K563" s="130"/>
      <c r="L563" s="130"/>
      <c r="M563" s="130"/>
      <c r="N563" s="130"/>
      <c r="O563" s="130"/>
      <c r="P563" s="130"/>
      <c r="Q563" s="130"/>
      <c r="R563" s="130"/>
      <c r="S563" s="163"/>
      <c r="T563" s="163"/>
      <c r="U563" s="163"/>
      <c r="V563" s="163"/>
      <c r="W563" s="163"/>
      <c r="X563" s="163"/>
      <c r="Y563" s="163"/>
      <c r="Z563" s="163"/>
      <c r="AA563" s="163"/>
      <c r="AB563" s="163"/>
      <c r="AC563" s="163"/>
      <c r="AD563" s="163"/>
      <c r="AE563" s="163"/>
      <c r="AF563" s="163"/>
      <c r="AG563" s="163"/>
      <c r="AH563" s="163"/>
      <c r="AI563" s="163"/>
      <c r="AJ563" s="163"/>
      <c r="AK563" s="163"/>
      <c r="AL563" s="163"/>
      <c r="AM563" s="163"/>
      <c r="AN563" s="130"/>
      <c r="AO563" s="130"/>
      <c r="AP563" s="130"/>
      <c r="AQ563" s="130"/>
      <c r="AR563" s="130"/>
      <c r="AS563" s="130"/>
      <c r="AT563" s="130"/>
    </row>
    <row r="564" ht="13.5" customHeight="1">
      <c r="A564" s="130"/>
      <c r="B564" s="130"/>
      <c r="C564" s="130"/>
      <c r="D564" s="130"/>
      <c r="E564" s="163"/>
      <c r="F564" s="163"/>
      <c r="G564" s="163"/>
      <c r="H564" s="163"/>
      <c r="I564" s="163"/>
      <c r="J564" s="163"/>
      <c r="K564" s="130"/>
      <c r="L564" s="130"/>
      <c r="M564" s="130"/>
      <c r="N564" s="130"/>
      <c r="O564" s="130"/>
      <c r="P564" s="130"/>
      <c r="Q564" s="130"/>
      <c r="R564" s="130"/>
      <c r="S564" s="163"/>
      <c r="T564" s="163"/>
      <c r="U564" s="163"/>
      <c r="V564" s="163"/>
      <c r="W564" s="163"/>
      <c r="X564" s="163"/>
      <c r="Y564" s="163"/>
      <c r="Z564" s="163"/>
      <c r="AA564" s="163"/>
      <c r="AB564" s="163"/>
      <c r="AC564" s="163"/>
      <c r="AD564" s="163"/>
      <c r="AE564" s="163"/>
      <c r="AF564" s="163"/>
      <c r="AG564" s="163"/>
      <c r="AH564" s="163"/>
      <c r="AI564" s="163"/>
      <c r="AJ564" s="163"/>
      <c r="AK564" s="163"/>
      <c r="AL564" s="163"/>
      <c r="AM564" s="163"/>
      <c r="AN564" s="130"/>
      <c r="AO564" s="130"/>
      <c r="AP564" s="130"/>
      <c r="AQ564" s="130"/>
      <c r="AR564" s="130"/>
      <c r="AS564" s="130"/>
      <c r="AT564" s="130"/>
    </row>
    <row r="565" ht="13.5" customHeight="1">
      <c r="A565" s="130"/>
      <c r="B565" s="130"/>
      <c r="C565" s="130"/>
      <c r="D565" s="130"/>
      <c r="E565" s="163"/>
      <c r="F565" s="163"/>
      <c r="G565" s="163"/>
      <c r="H565" s="163"/>
      <c r="I565" s="163"/>
      <c r="J565" s="163"/>
      <c r="K565" s="130"/>
      <c r="L565" s="130"/>
      <c r="M565" s="130"/>
      <c r="N565" s="130"/>
      <c r="O565" s="130"/>
      <c r="P565" s="130"/>
      <c r="Q565" s="130"/>
      <c r="R565" s="130"/>
      <c r="S565" s="163"/>
      <c r="T565" s="163"/>
      <c r="U565" s="163"/>
      <c r="V565" s="163"/>
      <c r="W565" s="163"/>
      <c r="X565" s="163"/>
      <c r="Y565" s="163"/>
      <c r="Z565" s="163"/>
      <c r="AA565" s="163"/>
      <c r="AB565" s="163"/>
      <c r="AC565" s="163"/>
      <c r="AD565" s="163"/>
      <c r="AE565" s="163"/>
      <c r="AF565" s="163"/>
      <c r="AG565" s="163"/>
      <c r="AH565" s="163"/>
      <c r="AI565" s="163"/>
      <c r="AJ565" s="163"/>
      <c r="AK565" s="163"/>
      <c r="AL565" s="163"/>
      <c r="AM565" s="163"/>
      <c r="AN565" s="130"/>
      <c r="AO565" s="130"/>
      <c r="AP565" s="130"/>
      <c r="AQ565" s="130"/>
      <c r="AR565" s="130"/>
      <c r="AS565" s="130"/>
      <c r="AT565" s="130"/>
    </row>
    <row r="566" ht="13.5" customHeight="1">
      <c r="A566" s="130"/>
      <c r="B566" s="130"/>
      <c r="C566" s="130"/>
      <c r="D566" s="130"/>
      <c r="E566" s="163"/>
      <c r="F566" s="163"/>
      <c r="G566" s="163"/>
      <c r="H566" s="163"/>
      <c r="I566" s="163"/>
      <c r="J566" s="163"/>
      <c r="K566" s="130"/>
      <c r="L566" s="130"/>
      <c r="M566" s="130"/>
      <c r="N566" s="130"/>
      <c r="O566" s="130"/>
      <c r="P566" s="130"/>
      <c r="Q566" s="130"/>
      <c r="R566" s="130"/>
      <c r="S566" s="163"/>
      <c r="T566" s="163"/>
      <c r="U566" s="163"/>
      <c r="V566" s="163"/>
      <c r="W566" s="163"/>
      <c r="X566" s="163"/>
      <c r="Y566" s="163"/>
      <c r="Z566" s="163"/>
      <c r="AA566" s="163"/>
      <c r="AB566" s="163"/>
      <c r="AC566" s="163"/>
      <c r="AD566" s="163"/>
      <c r="AE566" s="163"/>
      <c r="AF566" s="163"/>
      <c r="AG566" s="163"/>
      <c r="AH566" s="163"/>
      <c r="AI566" s="163"/>
      <c r="AJ566" s="163"/>
      <c r="AK566" s="163"/>
      <c r="AL566" s="163"/>
      <c r="AM566" s="163"/>
      <c r="AN566" s="130"/>
      <c r="AO566" s="130"/>
      <c r="AP566" s="130"/>
      <c r="AQ566" s="130"/>
      <c r="AR566" s="130"/>
      <c r="AS566" s="130"/>
      <c r="AT566" s="130"/>
    </row>
    <row r="567" ht="13.5" customHeight="1">
      <c r="A567" s="130"/>
      <c r="B567" s="130"/>
      <c r="C567" s="130"/>
      <c r="D567" s="130"/>
      <c r="E567" s="163"/>
      <c r="F567" s="163"/>
      <c r="G567" s="163"/>
      <c r="H567" s="163"/>
      <c r="I567" s="163"/>
      <c r="J567" s="163"/>
      <c r="K567" s="130"/>
      <c r="L567" s="130"/>
      <c r="M567" s="130"/>
      <c r="N567" s="130"/>
      <c r="O567" s="130"/>
      <c r="P567" s="130"/>
      <c r="Q567" s="130"/>
      <c r="R567" s="130"/>
      <c r="S567" s="163"/>
      <c r="T567" s="163"/>
      <c r="U567" s="163"/>
      <c r="V567" s="163"/>
      <c r="W567" s="163"/>
      <c r="X567" s="163"/>
      <c r="Y567" s="163"/>
      <c r="Z567" s="163"/>
      <c r="AA567" s="163"/>
      <c r="AB567" s="163"/>
      <c r="AC567" s="163"/>
      <c r="AD567" s="163"/>
      <c r="AE567" s="163"/>
      <c r="AF567" s="163"/>
      <c r="AG567" s="163"/>
      <c r="AH567" s="163"/>
      <c r="AI567" s="163"/>
      <c r="AJ567" s="163"/>
      <c r="AK567" s="163"/>
      <c r="AL567" s="163"/>
      <c r="AM567" s="163"/>
      <c r="AN567" s="130"/>
      <c r="AO567" s="130"/>
      <c r="AP567" s="130"/>
      <c r="AQ567" s="130"/>
      <c r="AR567" s="130"/>
      <c r="AS567" s="130"/>
      <c r="AT567" s="130"/>
    </row>
    <row r="568" ht="13.5" customHeight="1">
      <c r="A568" s="130"/>
      <c r="B568" s="130"/>
      <c r="C568" s="130"/>
      <c r="D568" s="130"/>
      <c r="E568" s="163"/>
      <c r="F568" s="163"/>
      <c r="G568" s="163"/>
      <c r="H568" s="163"/>
      <c r="I568" s="163"/>
      <c r="J568" s="163"/>
      <c r="K568" s="130"/>
      <c r="L568" s="130"/>
      <c r="M568" s="130"/>
      <c r="N568" s="130"/>
      <c r="O568" s="130"/>
      <c r="P568" s="130"/>
      <c r="Q568" s="130"/>
      <c r="R568" s="130"/>
      <c r="S568" s="163"/>
      <c r="T568" s="163"/>
      <c r="U568" s="163"/>
      <c r="V568" s="163"/>
      <c r="W568" s="163"/>
      <c r="X568" s="163"/>
      <c r="Y568" s="163"/>
      <c r="Z568" s="163"/>
      <c r="AA568" s="163"/>
      <c r="AB568" s="163"/>
      <c r="AC568" s="163"/>
      <c r="AD568" s="163"/>
      <c r="AE568" s="163"/>
      <c r="AF568" s="163"/>
      <c r="AG568" s="163"/>
      <c r="AH568" s="163"/>
      <c r="AI568" s="163"/>
      <c r="AJ568" s="163"/>
      <c r="AK568" s="163"/>
      <c r="AL568" s="163"/>
      <c r="AM568" s="163"/>
      <c r="AN568" s="130"/>
      <c r="AO568" s="130"/>
      <c r="AP568" s="130"/>
      <c r="AQ568" s="130"/>
      <c r="AR568" s="130"/>
      <c r="AS568" s="130"/>
      <c r="AT568" s="130"/>
    </row>
    <row r="569" ht="13.5" customHeight="1">
      <c r="A569" s="130"/>
      <c r="B569" s="130"/>
      <c r="C569" s="130"/>
      <c r="D569" s="130"/>
      <c r="E569" s="163"/>
      <c r="F569" s="163"/>
      <c r="G569" s="163"/>
      <c r="H569" s="163"/>
      <c r="I569" s="163"/>
      <c r="J569" s="163"/>
      <c r="K569" s="130"/>
      <c r="L569" s="130"/>
      <c r="M569" s="130"/>
      <c r="N569" s="130"/>
      <c r="O569" s="130"/>
      <c r="P569" s="130"/>
      <c r="Q569" s="130"/>
      <c r="R569" s="130"/>
      <c r="S569" s="163"/>
      <c r="T569" s="163"/>
      <c r="U569" s="163"/>
      <c r="V569" s="163"/>
      <c r="W569" s="163"/>
      <c r="X569" s="163"/>
      <c r="Y569" s="163"/>
      <c r="Z569" s="163"/>
      <c r="AA569" s="163"/>
      <c r="AB569" s="163"/>
      <c r="AC569" s="163"/>
      <c r="AD569" s="163"/>
      <c r="AE569" s="163"/>
      <c r="AF569" s="163"/>
      <c r="AG569" s="163"/>
      <c r="AH569" s="163"/>
      <c r="AI569" s="163"/>
      <c r="AJ569" s="163"/>
      <c r="AK569" s="163"/>
      <c r="AL569" s="163"/>
      <c r="AM569" s="163"/>
      <c r="AN569" s="130"/>
      <c r="AO569" s="130"/>
      <c r="AP569" s="130"/>
      <c r="AQ569" s="130"/>
      <c r="AR569" s="130"/>
      <c r="AS569" s="130"/>
      <c r="AT569" s="130"/>
    </row>
    <row r="570" ht="13.5" customHeight="1">
      <c r="A570" s="130"/>
      <c r="B570" s="130"/>
      <c r="C570" s="130"/>
      <c r="D570" s="130"/>
      <c r="E570" s="163"/>
      <c r="F570" s="163"/>
      <c r="G570" s="163"/>
      <c r="H570" s="163"/>
      <c r="I570" s="163"/>
      <c r="J570" s="163"/>
      <c r="K570" s="130"/>
      <c r="L570" s="130"/>
      <c r="M570" s="130"/>
      <c r="N570" s="130"/>
      <c r="O570" s="130"/>
      <c r="P570" s="130"/>
      <c r="Q570" s="130"/>
      <c r="R570" s="130"/>
      <c r="S570" s="163"/>
      <c r="T570" s="163"/>
      <c r="U570" s="163"/>
      <c r="V570" s="163"/>
      <c r="W570" s="163"/>
      <c r="X570" s="163"/>
      <c r="Y570" s="163"/>
      <c r="Z570" s="163"/>
      <c r="AA570" s="163"/>
      <c r="AB570" s="163"/>
      <c r="AC570" s="163"/>
      <c r="AD570" s="163"/>
      <c r="AE570" s="163"/>
      <c r="AF570" s="163"/>
      <c r="AG570" s="163"/>
      <c r="AH570" s="163"/>
      <c r="AI570" s="163"/>
      <c r="AJ570" s="163"/>
      <c r="AK570" s="163"/>
      <c r="AL570" s="163"/>
      <c r="AM570" s="163"/>
      <c r="AN570" s="130"/>
      <c r="AO570" s="130"/>
      <c r="AP570" s="130"/>
      <c r="AQ570" s="130"/>
      <c r="AR570" s="130"/>
      <c r="AS570" s="130"/>
      <c r="AT570" s="130"/>
    </row>
    <row r="571" ht="13.5" customHeight="1">
      <c r="A571" s="130"/>
      <c r="B571" s="130"/>
      <c r="C571" s="130"/>
      <c r="D571" s="130"/>
      <c r="E571" s="163"/>
      <c r="F571" s="163"/>
      <c r="G571" s="163"/>
      <c r="H571" s="163"/>
      <c r="I571" s="163"/>
      <c r="J571" s="163"/>
      <c r="K571" s="130"/>
      <c r="L571" s="130"/>
      <c r="M571" s="130"/>
      <c r="N571" s="130"/>
      <c r="O571" s="130"/>
      <c r="P571" s="130"/>
      <c r="Q571" s="130"/>
      <c r="R571" s="130"/>
      <c r="S571" s="163"/>
      <c r="T571" s="163"/>
      <c r="U571" s="163"/>
      <c r="V571" s="163"/>
      <c r="W571" s="163"/>
      <c r="X571" s="163"/>
      <c r="Y571" s="163"/>
      <c r="Z571" s="163"/>
      <c r="AA571" s="163"/>
      <c r="AB571" s="163"/>
      <c r="AC571" s="163"/>
      <c r="AD571" s="163"/>
      <c r="AE571" s="163"/>
      <c r="AF571" s="163"/>
      <c r="AG571" s="163"/>
      <c r="AH571" s="163"/>
      <c r="AI571" s="163"/>
      <c r="AJ571" s="163"/>
      <c r="AK571" s="163"/>
      <c r="AL571" s="163"/>
      <c r="AM571" s="163"/>
      <c r="AN571" s="130"/>
      <c r="AO571" s="130"/>
      <c r="AP571" s="130"/>
      <c r="AQ571" s="130"/>
      <c r="AR571" s="130"/>
      <c r="AS571" s="130"/>
      <c r="AT571" s="130"/>
    </row>
    <row r="572" ht="13.5" customHeight="1">
      <c r="A572" s="130"/>
      <c r="B572" s="130"/>
      <c r="C572" s="130"/>
      <c r="D572" s="130"/>
      <c r="E572" s="163"/>
      <c r="F572" s="163"/>
      <c r="G572" s="163"/>
      <c r="H572" s="163"/>
      <c r="I572" s="163"/>
      <c r="J572" s="163"/>
      <c r="K572" s="130"/>
      <c r="L572" s="130"/>
      <c r="M572" s="130"/>
      <c r="N572" s="130"/>
      <c r="O572" s="130"/>
      <c r="P572" s="130"/>
      <c r="Q572" s="130"/>
      <c r="R572" s="130"/>
      <c r="S572" s="163"/>
      <c r="T572" s="163"/>
      <c r="U572" s="163"/>
      <c r="V572" s="163"/>
      <c r="W572" s="163"/>
      <c r="X572" s="163"/>
      <c r="Y572" s="163"/>
      <c r="Z572" s="163"/>
      <c r="AA572" s="163"/>
      <c r="AB572" s="163"/>
      <c r="AC572" s="163"/>
      <c r="AD572" s="163"/>
      <c r="AE572" s="163"/>
      <c r="AF572" s="163"/>
      <c r="AG572" s="163"/>
      <c r="AH572" s="163"/>
      <c r="AI572" s="163"/>
      <c r="AJ572" s="163"/>
      <c r="AK572" s="163"/>
      <c r="AL572" s="163"/>
      <c r="AM572" s="163"/>
      <c r="AN572" s="130"/>
      <c r="AO572" s="130"/>
      <c r="AP572" s="130"/>
      <c r="AQ572" s="130"/>
      <c r="AR572" s="130"/>
      <c r="AS572" s="130"/>
      <c r="AT572" s="130"/>
    </row>
    <row r="573" ht="13.5" customHeight="1">
      <c r="A573" s="130"/>
      <c r="B573" s="130"/>
      <c r="C573" s="130"/>
      <c r="D573" s="130"/>
      <c r="E573" s="163"/>
      <c r="F573" s="163"/>
      <c r="G573" s="163"/>
      <c r="H573" s="163"/>
      <c r="I573" s="163"/>
      <c r="J573" s="163"/>
      <c r="K573" s="130"/>
      <c r="L573" s="130"/>
      <c r="M573" s="130"/>
      <c r="N573" s="130"/>
      <c r="O573" s="130"/>
      <c r="P573" s="130"/>
      <c r="Q573" s="130"/>
      <c r="R573" s="130"/>
      <c r="S573" s="163"/>
      <c r="T573" s="163"/>
      <c r="U573" s="163"/>
      <c r="V573" s="163"/>
      <c r="W573" s="163"/>
      <c r="X573" s="163"/>
      <c r="Y573" s="163"/>
      <c r="Z573" s="163"/>
      <c r="AA573" s="163"/>
      <c r="AB573" s="163"/>
      <c r="AC573" s="163"/>
      <c r="AD573" s="163"/>
      <c r="AE573" s="163"/>
      <c r="AF573" s="163"/>
      <c r="AG573" s="163"/>
      <c r="AH573" s="163"/>
      <c r="AI573" s="163"/>
      <c r="AJ573" s="163"/>
      <c r="AK573" s="163"/>
      <c r="AL573" s="163"/>
      <c r="AM573" s="163"/>
      <c r="AN573" s="130"/>
      <c r="AO573" s="130"/>
      <c r="AP573" s="130"/>
      <c r="AQ573" s="130"/>
      <c r="AR573" s="130"/>
      <c r="AS573" s="130"/>
      <c r="AT573" s="130"/>
    </row>
    <row r="574" ht="13.5" customHeight="1">
      <c r="A574" s="130"/>
      <c r="B574" s="130"/>
      <c r="C574" s="130"/>
      <c r="D574" s="130"/>
      <c r="E574" s="163"/>
      <c r="F574" s="163"/>
      <c r="G574" s="163"/>
      <c r="H574" s="163"/>
      <c r="I574" s="163"/>
      <c r="J574" s="163"/>
      <c r="K574" s="130"/>
      <c r="L574" s="130"/>
      <c r="M574" s="130"/>
      <c r="N574" s="130"/>
      <c r="O574" s="130"/>
      <c r="P574" s="130"/>
      <c r="Q574" s="130"/>
      <c r="R574" s="130"/>
      <c r="S574" s="163"/>
      <c r="T574" s="163"/>
      <c r="U574" s="163"/>
      <c r="V574" s="163"/>
      <c r="W574" s="163"/>
      <c r="X574" s="163"/>
      <c r="Y574" s="163"/>
      <c r="Z574" s="163"/>
      <c r="AA574" s="163"/>
      <c r="AB574" s="163"/>
      <c r="AC574" s="163"/>
      <c r="AD574" s="163"/>
      <c r="AE574" s="163"/>
      <c r="AF574" s="163"/>
      <c r="AG574" s="163"/>
      <c r="AH574" s="163"/>
      <c r="AI574" s="163"/>
      <c r="AJ574" s="163"/>
      <c r="AK574" s="163"/>
      <c r="AL574" s="163"/>
      <c r="AM574" s="163"/>
      <c r="AN574" s="130"/>
      <c r="AO574" s="130"/>
      <c r="AP574" s="130"/>
      <c r="AQ574" s="130"/>
      <c r="AR574" s="130"/>
      <c r="AS574" s="130"/>
      <c r="AT574" s="130"/>
    </row>
    <row r="575" ht="13.5" customHeight="1">
      <c r="A575" s="130"/>
      <c r="B575" s="130"/>
      <c r="C575" s="130"/>
      <c r="D575" s="130"/>
      <c r="E575" s="163"/>
      <c r="F575" s="163"/>
      <c r="G575" s="163"/>
      <c r="H575" s="163"/>
      <c r="I575" s="163"/>
      <c r="J575" s="163"/>
      <c r="K575" s="130"/>
      <c r="L575" s="130"/>
      <c r="M575" s="130"/>
      <c r="N575" s="130"/>
      <c r="O575" s="130"/>
      <c r="P575" s="130"/>
      <c r="Q575" s="130"/>
      <c r="R575" s="130"/>
      <c r="S575" s="163"/>
      <c r="T575" s="163"/>
      <c r="U575" s="163"/>
      <c r="V575" s="163"/>
      <c r="W575" s="163"/>
      <c r="X575" s="163"/>
      <c r="Y575" s="163"/>
      <c r="Z575" s="163"/>
      <c r="AA575" s="163"/>
      <c r="AB575" s="163"/>
      <c r="AC575" s="163"/>
      <c r="AD575" s="163"/>
      <c r="AE575" s="163"/>
      <c r="AF575" s="163"/>
      <c r="AG575" s="163"/>
      <c r="AH575" s="163"/>
      <c r="AI575" s="163"/>
      <c r="AJ575" s="163"/>
      <c r="AK575" s="163"/>
      <c r="AL575" s="163"/>
      <c r="AM575" s="163"/>
      <c r="AN575" s="130"/>
      <c r="AO575" s="130"/>
      <c r="AP575" s="130"/>
      <c r="AQ575" s="130"/>
      <c r="AR575" s="130"/>
      <c r="AS575" s="130"/>
      <c r="AT575" s="130"/>
    </row>
    <row r="576" ht="13.5" customHeight="1">
      <c r="A576" s="130"/>
      <c r="B576" s="130"/>
      <c r="C576" s="130"/>
      <c r="D576" s="130"/>
      <c r="E576" s="163"/>
      <c r="F576" s="163"/>
      <c r="G576" s="163"/>
      <c r="H576" s="163"/>
      <c r="I576" s="163"/>
      <c r="J576" s="163"/>
      <c r="K576" s="130"/>
      <c r="L576" s="130"/>
      <c r="M576" s="130"/>
      <c r="N576" s="130"/>
      <c r="O576" s="130"/>
      <c r="P576" s="130"/>
      <c r="Q576" s="130"/>
      <c r="R576" s="130"/>
      <c r="S576" s="163"/>
      <c r="T576" s="163"/>
      <c r="U576" s="163"/>
      <c r="V576" s="163"/>
      <c r="W576" s="163"/>
      <c r="X576" s="163"/>
      <c r="Y576" s="163"/>
      <c r="Z576" s="163"/>
      <c r="AA576" s="163"/>
      <c r="AB576" s="163"/>
      <c r="AC576" s="163"/>
      <c r="AD576" s="163"/>
      <c r="AE576" s="163"/>
      <c r="AF576" s="163"/>
      <c r="AG576" s="163"/>
      <c r="AH576" s="163"/>
      <c r="AI576" s="163"/>
      <c r="AJ576" s="163"/>
      <c r="AK576" s="163"/>
      <c r="AL576" s="163"/>
      <c r="AM576" s="163"/>
      <c r="AN576" s="130"/>
      <c r="AO576" s="130"/>
      <c r="AP576" s="130"/>
      <c r="AQ576" s="130"/>
      <c r="AR576" s="130"/>
      <c r="AS576" s="130"/>
      <c r="AT576" s="130"/>
    </row>
    <row r="577" ht="13.5" customHeight="1">
      <c r="A577" s="130"/>
      <c r="B577" s="130"/>
      <c r="C577" s="130"/>
      <c r="D577" s="130"/>
      <c r="E577" s="163"/>
      <c r="F577" s="163"/>
      <c r="G577" s="163"/>
      <c r="H577" s="163"/>
      <c r="I577" s="163"/>
      <c r="J577" s="163"/>
      <c r="K577" s="130"/>
      <c r="L577" s="130"/>
      <c r="M577" s="130"/>
      <c r="N577" s="130"/>
      <c r="O577" s="130"/>
      <c r="P577" s="130"/>
      <c r="Q577" s="130"/>
      <c r="R577" s="130"/>
      <c r="S577" s="163"/>
      <c r="T577" s="163"/>
      <c r="U577" s="163"/>
      <c r="V577" s="163"/>
      <c r="W577" s="163"/>
      <c r="X577" s="163"/>
      <c r="Y577" s="163"/>
      <c r="Z577" s="163"/>
      <c r="AA577" s="163"/>
      <c r="AB577" s="163"/>
      <c r="AC577" s="163"/>
      <c r="AD577" s="163"/>
      <c r="AE577" s="163"/>
      <c r="AF577" s="163"/>
      <c r="AG577" s="163"/>
      <c r="AH577" s="163"/>
      <c r="AI577" s="163"/>
      <c r="AJ577" s="163"/>
      <c r="AK577" s="163"/>
      <c r="AL577" s="163"/>
      <c r="AM577" s="163"/>
      <c r="AN577" s="130"/>
      <c r="AO577" s="130"/>
      <c r="AP577" s="130"/>
      <c r="AQ577" s="130"/>
      <c r="AR577" s="130"/>
      <c r="AS577" s="130"/>
      <c r="AT577" s="130"/>
    </row>
    <row r="578" ht="13.5" customHeight="1">
      <c r="A578" s="130"/>
      <c r="B578" s="130"/>
      <c r="C578" s="130"/>
      <c r="D578" s="130"/>
      <c r="E578" s="163"/>
      <c r="F578" s="163"/>
      <c r="G578" s="163"/>
      <c r="H578" s="163"/>
      <c r="I578" s="163"/>
      <c r="J578" s="163"/>
      <c r="K578" s="130"/>
      <c r="L578" s="130"/>
      <c r="M578" s="130"/>
      <c r="N578" s="130"/>
      <c r="O578" s="130"/>
      <c r="P578" s="130"/>
      <c r="Q578" s="130"/>
      <c r="R578" s="130"/>
      <c r="S578" s="163"/>
      <c r="T578" s="163"/>
      <c r="U578" s="163"/>
      <c r="V578" s="163"/>
      <c r="W578" s="163"/>
      <c r="X578" s="163"/>
      <c r="Y578" s="163"/>
      <c r="Z578" s="163"/>
      <c r="AA578" s="163"/>
      <c r="AB578" s="163"/>
      <c r="AC578" s="163"/>
      <c r="AD578" s="163"/>
      <c r="AE578" s="163"/>
      <c r="AF578" s="163"/>
      <c r="AG578" s="163"/>
      <c r="AH578" s="163"/>
      <c r="AI578" s="163"/>
      <c r="AJ578" s="163"/>
      <c r="AK578" s="163"/>
      <c r="AL578" s="163"/>
      <c r="AM578" s="163"/>
      <c r="AN578" s="130"/>
      <c r="AO578" s="130"/>
      <c r="AP578" s="130"/>
      <c r="AQ578" s="130"/>
      <c r="AR578" s="130"/>
      <c r="AS578" s="130"/>
      <c r="AT578" s="130"/>
    </row>
    <row r="579" ht="13.5" customHeight="1">
      <c r="A579" s="130"/>
      <c r="B579" s="130"/>
      <c r="C579" s="130"/>
      <c r="D579" s="130"/>
      <c r="E579" s="163"/>
      <c r="F579" s="163"/>
      <c r="G579" s="163"/>
      <c r="H579" s="163"/>
      <c r="I579" s="163"/>
      <c r="J579" s="163"/>
      <c r="K579" s="130"/>
      <c r="L579" s="130"/>
      <c r="M579" s="130"/>
      <c r="N579" s="130"/>
      <c r="O579" s="130"/>
      <c r="P579" s="130"/>
      <c r="Q579" s="130"/>
      <c r="R579" s="130"/>
      <c r="S579" s="163"/>
      <c r="T579" s="163"/>
      <c r="U579" s="163"/>
      <c r="V579" s="163"/>
      <c r="W579" s="163"/>
      <c r="X579" s="163"/>
      <c r="Y579" s="163"/>
      <c r="Z579" s="163"/>
      <c r="AA579" s="163"/>
      <c r="AB579" s="163"/>
      <c r="AC579" s="163"/>
      <c r="AD579" s="163"/>
      <c r="AE579" s="163"/>
      <c r="AF579" s="163"/>
      <c r="AG579" s="163"/>
      <c r="AH579" s="163"/>
      <c r="AI579" s="163"/>
      <c r="AJ579" s="163"/>
      <c r="AK579" s="163"/>
      <c r="AL579" s="163"/>
      <c r="AM579" s="163"/>
      <c r="AN579" s="130"/>
      <c r="AO579" s="130"/>
      <c r="AP579" s="130"/>
      <c r="AQ579" s="130"/>
      <c r="AR579" s="130"/>
      <c r="AS579" s="130"/>
      <c r="AT579" s="130"/>
    </row>
    <row r="580" ht="13.5" customHeight="1">
      <c r="A580" s="130"/>
      <c r="B580" s="130"/>
      <c r="C580" s="130"/>
      <c r="D580" s="130"/>
      <c r="E580" s="163"/>
      <c r="F580" s="163"/>
      <c r="G580" s="163"/>
      <c r="H580" s="163"/>
      <c r="I580" s="163"/>
      <c r="J580" s="163"/>
      <c r="K580" s="130"/>
      <c r="L580" s="130"/>
      <c r="M580" s="130"/>
      <c r="N580" s="130"/>
      <c r="O580" s="130"/>
      <c r="P580" s="130"/>
      <c r="Q580" s="130"/>
      <c r="R580" s="130"/>
      <c r="S580" s="163"/>
      <c r="T580" s="163"/>
      <c r="U580" s="163"/>
      <c r="V580" s="163"/>
      <c r="W580" s="163"/>
      <c r="X580" s="163"/>
      <c r="Y580" s="163"/>
      <c r="Z580" s="163"/>
      <c r="AA580" s="163"/>
      <c r="AB580" s="163"/>
      <c r="AC580" s="163"/>
      <c r="AD580" s="163"/>
      <c r="AE580" s="163"/>
      <c r="AF580" s="163"/>
      <c r="AG580" s="163"/>
      <c r="AH580" s="163"/>
      <c r="AI580" s="163"/>
      <c r="AJ580" s="163"/>
      <c r="AK580" s="163"/>
      <c r="AL580" s="163"/>
      <c r="AM580" s="163"/>
      <c r="AN580" s="130"/>
      <c r="AO580" s="130"/>
      <c r="AP580" s="130"/>
      <c r="AQ580" s="130"/>
      <c r="AR580" s="130"/>
      <c r="AS580" s="130"/>
      <c r="AT580" s="130"/>
    </row>
    <row r="581" ht="13.5" customHeight="1">
      <c r="A581" s="130"/>
      <c r="B581" s="130"/>
      <c r="C581" s="130"/>
      <c r="D581" s="130"/>
      <c r="E581" s="163"/>
      <c r="F581" s="163"/>
      <c r="G581" s="163"/>
      <c r="H581" s="163"/>
      <c r="I581" s="163"/>
      <c r="J581" s="163"/>
      <c r="K581" s="130"/>
      <c r="L581" s="130"/>
      <c r="M581" s="130"/>
      <c r="N581" s="130"/>
      <c r="O581" s="130"/>
      <c r="P581" s="130"/>
      <c r="Q581" s="130"/>
      <c r="R581" s="130"/>
      <c r="S581" s="163"/>
      <c r="T581" s="163"/>
      <c r="U581" s="163"/>
      <c r="V581" s="163"/>
      <c r="W581" s="163"/>
      <c r="X581" s="163"/>
      <c r="Y581" s="163"/>
      <c r="Z581" s="163"/>
      <c r="AA581" s="163"/>
      <c r="AB581" s="163"/>
      <c r="AC581" s="163"/>
      <c r="AD581" s="163"/>
      <c r="AE581" s="163"/>
      <c r="AF581" s="163"/>
      <c r="AG581" s="163"/>
      <c r="AH581" s="163"/>
      <c r="AI581" s="163"/>
      <c r="AJ581" s="163"/>
      <c r="AK581" s="163"/>
      <c r="AL581" s="163"/>
      <c r="AM581" s="163"/>
      <c r="AN581" s="130"/>
      <c r="AO581" s="130"/>
      <c r="AP581" s="130"/>
      <c r="AQ581" s="130"/>
      <c r="AR581" s="130"/>
      <c r="AS581" s="130"/>
      <c r="AT581" s="130"/>
    </row>
    <row r="582" ht="13.5" customHeight="1">
      <c r="A582" s="130"/>
      <c r="B582" s="130"/>
      <c r="C582" s="130"/>
      <c r="D582" s="130"/>
      <c r="E582" s="163"/>
      <c r="F582" s="163"/>
      <c r="G582" s="163"/>
      <c r="H582" s="163"/>
      <c r="I582" s="163"/>
      <c r="J582" s="163"/>
      <c r="K582" s="130"/>
      <c r="L582" s="130"/>
      <c r="M582" s="130"/>
      <c r="N582" s="130"/>
      <c r="O582" s="130"/>
      <c r="P582" s="130"/>
      <c r="Q582" s="130"/>
      <c r="R582" s="130"/>
      <c r="S582" s="163"/>
      <c r="T582" s="163"/>
      <c r="U582" s="163"/>
      <c r="V582" s="163"/>
      <c r="W582" s="163"/>
      <c r="X582" s="163"/>
      <c r="Y582" s="163"/>
      <c r="Z582" s="163"/>
      <c r="AA582" s="163"/>
      <c r="AB582" s="163"/>
      <c r="AC582" s="163"/>
      <c r="AD582" s="163"/>
      <c r="AE582" s="163"/>
      <c r="AF582" s="163"/>
      <c r="AG582" s="163"/>
      <c r="AH582" s="163"/>
      <c r="AI582" s="163"/>
      <c r="AJ582" s="163"/>
      <c r="AK582" s="163"/>
      <c r="AL582" s="163"/>
      <c r="AM582" s="163"/>
      <c r="AN582" s="130"/>
      <c r="AO582" s="130"/>
      <c r="AP582" s="130"/>
      <c r="AQ582" s="130"/>
      <c r="AR582" s="130"/>
      <c r="AS582" s="130"/>
      <c r="AT582" s="130"/>
    </row>
    <row r="583" ht="13.5" customHeight="1">
      <c r="A583" s="130"/>
      <c r="B583" s="130"/>
      <c r="C583" s="130"/>
      <c r="D583" s="130"/>
      <c r="E583" s="163"/>
      <c r="F583" s="163"/>
      <c r="G583" s="163"/>
      <c r="H583" s="163"/>
      <c r="I583" s="163"/>
      <c r="J583" s="163"/>
      <c r="K583" s="130"/>
      <c r="L583" s="130"/>
      <c r="M583" s="130"/>
      <c r="N583" s="130"/>
      <c r="O583" s="130"/>
      <c r="P583" s="130"/>
      <c r="Q583" s="130"/>
      <c r="R583" s="130"/>
      <c r="S583" s="163"/>
      <c r="T583" s="163"/>
      <c r="U583" s="163"/>
      <c r="V583" s="163"/>
      <c r="W583" s="163"/>
      <c r="X583" s="163"/>
      <c r="Y583" s="163"/>
      <c r="Z583" s="163"/>
      <c r="AA583" s="163"/>
      <c r="AB583" s="163"/>
      <c r="AC583" s="163"/>
      <c r="AD583" s="163"/>
      <c r="AE583" s="163"/>
      <c r="AF583" s="163"/>
      <c r="AG583" s="163"/>
      <c r="AH583" s="163"/>
      <c r="AI583" s="163"/>
      <c r="AJ583" s="163"/>
      <c r="AK583" s="163"/>
      <c r="AL583" s="163"/>
      <c r="AM583" s="163"/>
      <c r="AN583" s="130"/>
      <c r="AO583" s="130"/>
      <c r="AP583" s="130"/>
      <c r="AQ583" s="130"/>
      <c r="AR583" s="130"/>
      <c r="AS583" s="130"/>
      <c r="AT583" s="130"/>
    </row>
    <row r="584" ht="13.5" customHeight="1">
      <c r="A584" s="130"/>
      <c r="B584" s="130"/>
      <c r="C584" s="130"/>
      <c r="D584" s="130"/>
      <c r="E584" s="163"/>
      <c r="F584" s="163"/>
      <c r="G584" s="163"/>
      <c r="H584" s="163"/>
      <c r="I584" s="163"/>
      <c r="J584" s="163"/>
      <c r="K584" s="130"/>
      <c r="L584" s="130"/>
      <c r="M584" s="130"/>
      <c r="N584" s="130"/>
      <c r="O584" s="130"/>
      <c r="P584" s="130"/>
      <c r="Q584" s="130"/>
      <c r="R584" s="130"/>
      <c r="S584" s="163"/>
      <c r="T584" s="163"/>
      <c r="U584" s="163"/>
      <c r="V584" s="163"/>
      <c r="W584" s="163"/>
      <c r="X584" s="163"/>
      <c r="Y584" s="163"/>
      <c r="Z584" s="163"/>
      <c r="AA584" s="163"/>
      <c r="AB584" s="163"/>
      <c r="AC584" s="163"/>
      <c r="AD584" s="163"/>
      <c r="AE584" s="163"/>
      <c r="AF584" s="163"/>
      <c r="AG584" s="163"/>
      <c r="AH584" s="163"/>
      <c r="AI584" s="163"/>
      <c r="AJ584" s="163"/>
      <c r="AK584" s="163"/>
      <c r="AL584" s="163"/>
      <c r="AM584" s="163"/>
      <c r="AN584" s="130"/>
      <c r="AO584" s="130"/>
      <c r="AP584" s="130"/>
      <c r="AQ584" s="130"/>
      <c r="AR584" s="130"/>
      <c r="AS584" s="130"/>
      <c r="AT584" s="130"/>
    </row>
    <row r="585" ht="13.5" customHeight="1">
      <c r="A585" s="130"/>
      <c r="B585" s="130"/>
      <c r="C585" s="130"/>
      <c r="D585" s="130"/>
      <c r="E585" s="163"/>
      <c r="F585" s="163"/>
      <c r="G585" s="163"/>
      <c r="H585" s="163"/>
      <c r="I585" s="163"/>
      <c r="J585" s="163"/>
      <c r="K585" s="130"/>
      <c r="L585" s="130"/>
      <c r="M585" s="130"/>
      <c r="N585" s="130"/>
      <c r="O585" s="130"/>
      <c r="P585" s="130"/>
      <c r="Q585" s="130"/>
      <c r="R585" s="130"/>
      <c r="S585" s="163"/>
      <c r="T585" s="163"/>
      <c r="U585" s="163"/>
      <c r="V585" s="163"/>
      <c r="W585" s="163"/>
      <c r="X585" s="163"/>
      <c r="Y585" s="163"/>
      <c r="Z585" s="163"/>
      <c r="AA585" s="163"/>
      <c r="AB585" s="163"/>
      <c r="AC585" s="163"/>
      <c r="AD585" s="163"/>
      <c r="AE585" s="163"/>
      <c r="AF585" s="163"/>
      <c r="AG585" s="163"/>
      <c r="AH585" s="163"/>
      <c r="AI585" s="163"/>
      <c r="AJ585" s="163"/>
      <c r="AK585" s="163"/>
      <c r="AL585" s="163"/>
      <c r="AM585" s="163"/>
      <c r="AN585" s="130"/>
      <c r="AO585" s="130"/>
      <c r="AP585" s="130"/>
      <c r="AQ585" s="130"/>
      <c r="AR585" s="130"/>
      <c r="AS585" s="130"/>
      <c r="AT585" s="130"/>
    </row>
    <row r="586" ht="13.5" customHeight="1">
      <c r="A586" s="130"/>
      <c r="B586" s="130"/>
      <c r="C586" s="130"/>
      <c r="D586" s="130"/>
      <c r="E586" s="163"/>
      <c r="F586" s="163"/>
      <c r="G586" s="163"/>
      <c r="H586" s="163"/>
      <c r="I586" s="163"/>
      <c r="J586" s="163"/>
      <c r="K586" s="130"/>
      <c r="L586" s="130"/>
      <c r="M586" s="130"/>
      <c r="N586" s="130"/>
      <c r="O586" s="130"/>
      <c r="P586" s="130"/>
      <c r="Q586" s="130"/>
      <c r="R586" s="130"/>
      <c r="S586" s="163"/>
      <c r="T586" s="163"/>
      <c r="U586" s="163"/>
      <c r="V586" s="163"/>
      <c r="W586" s="163"/>
      <c r="X586" s="163"/>
      <c r="Y586" s="163"/>
      <c r="Z586" s="163"/>
      <c r="AA586" s="163"/>
      <c r="AB586" s="163"/>
      <c r="AC586" s="163"/>
      <c r="AD586" s="163"/>
      <c r="AE586" s="163"/>
      <c r="AF586" s="163"/>
      <c r="AG586" s="163"/>
      <c r="AH586" s="163"/>
      <c r="AI586" s="163"/>
      <c r="AJ586" s="163"/>
      <c r="AK586" s="163"/>
      <c r="AL586" s="163"/>
      <c r="AM586" s="163"/>
      <c r="AN586" s="130"/>
      <c r="AO586" s="130"/>
      <c r="AP586" s="130"/>
      <c r="AQ586" s="130"/>
      <c r="AR586" s="130"/>
      <c r="AS586" s="130"/>
      <c r="AT586" s="130"/>
    </row>
    <row r="587" ht="13.5" customHeight="1">
      <c r="A587" s="130"/>
      <c r="B587" s="130"/>
      <c r="C587" s="130"/>
      <c r="D587" s="130"/>
      <c r="E587" s="163"/>
      <c r="F587" s="163"/>
      <c r="G587" s="163"/>
      <c r="H587" s="163"/>
      <c r="I587" s="163"/>
      <c r="J587" s="163"/>
      <c r="K587" s="130"/>
      <c r="L587" s="130"/>
      <c r="M587" s="130"/>
      <c r="N587" s="130"/>
      <c r="O587" s="130"/>
      <c r="P587" s="130"/>
      <c r="Q587" s="130"/>
      <c r="R587" s="130"/>
      <c r="S587" s="163"/>
      <c r="T587" s="163"/>
      <c r="U587" s="163"/>
      <c r="V587" s="163"/>
      <c r="W587" s="163"/>
      <c r="X587" s="163"/>
      <c r="Y587" s="163"/>
      <c r="Z587" s="163"/>
      <c r="AA587" s="163"/>
      <c r="AB587" s="163"/>
      <c r="AC587" s="163"/>
      <c r="AD587" s="163"/>
      <c r="AE587" s="163"/>
      <c r="AF587" s="163"/>
      <c r="AG587" s="163"/>
      <c r="AH587" s="163"/>
      <c r="AI587" s="163"/>
      <c r="AJ587" s="163"/>
      <c r="AK587" s="163"/>
      <c r="AL587" s="163"/>
      <c r="AM587" s="163"/>
      <c r="AN587" s="130"/>
      <c r="AO587" s="130"/>
      <c r="AP587" s="130"/>
      <c r="AQ587" s="130"/>
      <c r="AR587" s="130"/>
      <c r="AS587" s="130"/>
      <c r="AT587" s="130"/>
    </row>
    <row r="588" ht="13.5" customHeight="1">
      <c r="A588" s="130"/>
      <c r="B588" s="130"/>
      <c r="C588" s="130"/>
      <c r="D588" s="130"/>
      <c r="E588" s="163"/>
      <c r="F588" s="163"/>
      <c r="G588" s="163"/>
      <c r="H588" s="163"/>
      <c r="I588" s="163"/>
      <c r="J588" s="163"/>
      <c r="K588" s="130"/>
      <c r="L588" s="130"/>
      <c r="M588" s="130"/>
      <c r="N588" s="130"/>
      <c r="O588" s="130"/>
      <c r="P588" s="130"/>
      <c r="Q588" s="130"/>
      <c r="R588" s="130"/>
      <c r="S588" s="163"/>
      <c r="T588" s="163"/>
      <c r="U588" s="163"/>
      <c r="V588" s="163"/>
      <c r="W588" s="163"/>
      <c r="X588" s="163"/>
      <c r="Y588" s="163"/>
      <c r="Z588" s="163"/>
      <c r="AA588" s="163"/>
      <c r="AB588" s="163"/>
      <c r="AC588" s="163"/>
      <c r="AD588" s="163"/>
      <c r="AE588" s="163"/>
      <c r="AF588" s="163"/>
      <c r="AG588" s="163"/>
      <c r="AH588" s="163"/>
      <c r="AI588" s="163"/>
      <c r="AJ588" s="163"/>
      <c r="AK588" s="163"/>
      <c r="AL588" s="163"/>
      <c r="AM588" s="163"/>
      <c r="AN588" s="130"/>
      <c r="AO588" s="130"/>
      <c r="AP588" s="130"/>
      <c r="AQ588" s="130"/>
      <c r="AR588" s="130"/>
      <c r="AS588" s="130"/>
      <c r="AT588" s="130"/>
    </row>
    <row r="589" ht="13.5" customHeight="1">
      <c r="A589" s="130"/>
      <c r="B589" s="130"/>
      <c r="C589" s="130"/>
      <c r="D589" s="130"/>
      <c r="E589" s="163"/>
      <c r="F589" s="163"/>
      <c r="G589" s="163"/>
      <c r="H589" s="163"/>
      <c r="I589" s="163"/>
      <c r="J589" s="163"/>
      <c r="K589" s="130"/>
      <c r="L589" s="130"/>
      <c r="M589" s="130"/>
      <c r="N589" s="130"/>
      <c r="O589" s="130"/>
      <c r="P589" s="130"/>
      <c r="Q589" s="130"/>
      <c r="R589" s="130"/>
      <c r="S589" s="163"/>
      <c r="T589" s="163"/>
      <c r="U589" s="163"/>
      <c r="V589" s="163"/>
      <c r="W589" s="163"/>
      <c r="X589" s="163"/>
      <c r="Y589" s="163"/>
      <c r="Z589" s="163"/>
      <c r="AA589" s="163"/>
      <c r="AB589" s="163"/>
      <c r="AC589" s="163"/>
      <c r="AD589" s="163"/>
      <c r="AE589" s="163"/>
      <c r="AF589" s="163"/>
      <c r="AG589" s="163"/>
      <c r="AH589" s="163"/>
      <c r="AI589" s="163"/>
      <c r="AJ589" s="163"/>
      <c r="AK589" s="163"/>
      <c r="AL589" s="163"/>
      <c r="AM589" s="163"/>
      <c r="AN589" s="130"/>
      <c r="AO589" s="130"/>
      <c r="AP589" s="130"/>
      <c r="AQ589" s="130"/>
      <c r="AR589" s="130"/>
      <c r="AS589" s="130"/>
      <c r="AT589" s="130"/>
    </row>
    <row r="590" ht="13.5" customHeight="1">
      <c r="A590" s="130"/>
      <c r="B590" s="130"/>
      <c r="C590" s="130"/>
      <c r="D590" s="130"/>
      <c r="E590" s="163"/>
      <c r="F590" s="163"/>
      <c r="G590" s="163"/>
      <c r="H590" s="163"/>
      <c r="I590" s="163"/>
      <c r="J590" s="163"/>
      <c r="K590" s="130"/>
      <c r="L590" s="130"/>
      <c r="M590" s="130"/>
      <c r="N590" s="130"/>
      <c r="O590" s="130"/>
      <c r="P590" s="130"/>
      <c r="Q590" s="130"/>
      <c r="R590" s="130"/>
      <c r="S590" s="163"/>
      <c r="T590" s="163"/>
      <c r="U590" s="163"/>
      <c r="V590" s="163"/>
      <c r="W590" s="163"/>
      <c r="X590" s="163"/>
      <c r="Y590" s="163"/>
      <c r="Z590" s="163"/>
      <c r="AA590" s="163"/>
      <c r="AB590" s="163"/>
      <c r="AC590" s="163"/>
      <c r="AD590" s="163"/>
      <c r="AE590" s="163"/>
      <c r="AF590" s="163"/>
      <c r="AG590" s="163"/>
      <c r="AH590" s="163"/>
      <c r="AI590" s="163"/>
      <c r="AJ590" s="163"/>
      <c r="AK590" s="163"/>
      <c r="AL590" s="163"/>
      <c r="AM590" s="163"/>
      <c r="AN590" s="130"/>
      <c r="AO590" s="130"/>
      <c r="AP590" s="130"/>
      <c r="AQ590" s="130"/>
      <c r="AR590" s="130"/>
      <c r="AS590" s="130"/>
      <c r="AT590" s="130"/>
    </row>
    <row r="591" ht="13.5" customHeight="1">
      <c r="A591" s="130"/>
      <c r="B591" s="130"/>
      <c r="C591" s="130"/>
      <c r="D591" s="130"/>
      <c r="E591" s="163"/>
      <c r="F591" s="163"/>
      <c r="G591" s="163"/>
      <c r="H591" s="163"/>
      <c r="I591" s="163"/>
      <c r="J591" s="163"/>
      <c r="K591" s="130"/>
      <c r="L591" s="130"/>
      <c r="M591" s="130"/>
      <c r="N591" s="130"/>
      <c r="O591" s="130"/>
      <c r="P591" s="130"/>
      <c r="Q591" s="130"/>
      <c r="R591" s="130"/>
      <c r="S591" s="163"/>
      <c r="T591" s="163"/>
      <c r="U591" s="163"/>
      <c r="V591" s="163"/>
      <c r="W591" s="163"/>
      <c r="X591" s="163"/>
      <c r="Y591" s="163"/>
      <c r="Z591" s="163"/>
      <c r="AA591" s="163"/>
      <c r="AB591" s="163"/>
      <c r="AC591" s="163"/>
      <c r="AD591" s="163"/>
      <c r="AE591" s="163"/>
      <c r="AF591" s="163"/>
      <c r="AG591" s="163"/>
      <c r="AH591" s="163"/>
      <c r="AI591" s="163"/>
      <c r="AJ591" s="163"/>
      <c r="AK591" s="163"/>
      <c r="AL591" s="163"/>
      <c r="AM591" s="163"/>
      <c r="AN591" s="130"/>
      <c r="AO591" s="130"/>
      <c r="AP591" s="130"/>
      <c r="AQ591" s="130"/>
      <c r="AR591" s="130"/>
      <c r="AS591" s="130"/>
      <c r="AT591" s="130"/>
    </row>
    <row r="592" ht="13.5" customHeight="1">
      <c r="A592" s="130"/>
      <c r="B592" s="130"/>
      <c r="C592" s="130"/>
      <c r="D592" s="130"/>
      <c r="E592" s="163"/>
      <c r="F592" s="163"/>
      <c r="G592" s="163"/>
      <c r="H592" s="163"/>
      <c r="I592" s="163"/>
      <c r="J592" s="163"/>
      <c r="K592" s="130"/>
      <c r="L592" s="130"/>
      <c r="M592" s="130"/>
      <c r="N592" s="130"/>
      <c r="O592" s="130"/>
      <c r="P592" s="130"/>
      <c r="Q592" s="130"/>
      <c r="R592" s="130"/>
      <c r="S592" s="163"/>
      <c r="T592" s="163"/>
      <c r="U592" s="163"/>
      <c r="V592" s="163"/>
      <c r="W592" s="163"/>
      <c r="X592" s="163"/>
      <c r="Y592" s="163"/>
      <c r="Z592" s="163"/>
      <c r="AA592" s="163"/>
      <c r="AB592" s="163"/>
      <c r="AC592" s="163"/>
      <c r="AD592" s="163"/>
      <c r="AE592" s="163"/>
      <c r="AF592" s="163"/>
      <c r="AG592" s="163"/>
      <c r="AH592" s="163"/>
      <c r="AI592" s="163"/>
      <c r="AJ592" s="163"/>
      <c r="AK592" s="163"/>
      <c r="AL592" s="163"/>
      <c r="AM592" s="163"/>
      <c r="AN592" s="130"/>
      <c r="AO592" s="130"/>
      <c r="AP592" s="130"/>
      <c r="AQ592" s="130"/>
      <c r="AR592" s="130"/>
      <c r="AS592" s="130"/>
      <c r="AT592" s="130"/>
    </row>
    <row r="593" ht="13.5" customHeight="1">
      <c r="A593" s="130"/>
      <c r="B593" s="130"/>
      <c r="C593" s="130"/>
      <c r="D593" s="130"/>
      <c r="E593" s="163"/>
      <c r="F593" s="163"/>
      <c r="G593" s="163"/>
      <c r="H593" s="163"/>
      <c r="I593" s="163"/>
      <c r="J593" s="163"/>
      <c r="K593" s="130"/>
      <c r="L593" s="130"/>
      <c r="M593" s="130"/>
      <c r="N593" s="130"/>
      <c r="O593" s="130"/>
      <c r="P593" s="130"/>
      <c r="Q593" s="130"/>
      <c r="R593" s="130"/>
      <c r="S593" s="163"/>
      <c r="T593" s="163"/>
      <c r="U593" s="163"/>
      <c r="V593" s="163"/>
      <c r="W593" s="163"/>
      <c r="X593" s="163"/>
      <c r="Y593" s="163"/>
      <c r="Z593" s="163"/>
      <c r="AA593" s="163"/>
      <c r="AB593" s="163"/>
      <c r="AC593" s="163"/>
      <c r="AD593" s="163"/>
      <c r="AE593" s="163"/>
      <c r="AF593" s="163"/>
      <c r="AG593" s="163"/>
      <c r="AH593" s="163"/>
      <c r="AI593" s="163"/>
      <c r="AJ593" s="163"/>
      <c r="AK593" s="163"/>
      <c r="AL593" s="163"/>
      <c r="AM593" s="163"/>
      <c r="AN593" s="130"/>
      <c r="AO593" s="130"/>
      <c r="AP593" s="130"/>
      <c r="AQ593" s="130"/>
      <c r="AR593" s="130"/>
      <c r="AS593" s="130"/>
      <c r="AT593" s="130"/>
    </row>
    <row r="594" ht="13.5" customHeight="1">
      <c r="A594" s="130"/>
      <c r="B594" s="130"/>
      <c r="C594" s="130"/>
      <c r="D594" s="130"/>
      <c r="E594" s="163"/>
      <c r="F594" s="163"/>
      <c r="G594" s="163"/>
      <c r="H594" s="163"/>
      <c r="I594" s="163"/>
      <c r="J594" s="163"/>
      <c r="K594" s="130"/>
      <c r="L594" s="130"/>
      <c r="M594" s="130"/>
      <c r="N594" s="130"/>
      <c r="O594" s="130"/>
      <c r="P594" s="130"/>
      <c r="Q594" s="130"/>
      <c r="R594" s="130"/>
      <c r="S594" s="163"/>
      <c r="T594" s="163"/>
      <c r="U594" s="163"/>
      <c r="V594" s="163"/>
      <c r="W594" s="163"/>
      <c r="X594" s="163"/>
      <c r="Y594" s="163"/>
      <c r="Z594" s="163"/>
      <c r="AA594" s="163"/>
      <c r="AB594" s="163"/>
      <c r="AC594" s="163"/>
      <c r="AD594" s="163"/>
      <c r="AE594" s="163"/>
      <c r="AF594" s="163"/>
      <c r="AG594" s="163"/>
      <c r="AH594" s="163"/>
      <c r="AI594" s="163"/>
      <c r="AJ594" s="163"/>
      <c r="AK594" s="163"/>
      <c r="AL594" s="163"/>
      <c r="AM594" s="163"/>
      <c r="AN594" s="130"/>
      <c r="AO594" s="130"/>
      <c r="AP594" s="130"/>
      <c r="AQ594" s="130"/>
      <c r="AR594" s="130"/>
      <c r="AS594" s="130"/>
      <c r="AT594" s="130"/>
    </row>
    <row r="595" ht="13.5" customHeight="1">
      <c r="A595" s="130"/>
      <c r="B595" s="130"/>
      <c r="C595" s="130"/>
      <c r="D595" s="130"/>
      <c r="E595" s="163"/>
      <c r="F595" s="163"/>
      <c r="G595" s="163"/>
      <c r="H595" s="163"/>
      <c r="I595" s="163"/>
      <c r="J595" s="163"/>
      <c r="K595" s="130"/>
      <c r="L595" s="130"/>
      <c r="M595" s="130"/>
      <c r="N595" s="130"/>
      <c r="O595" s="130"/>
      <c r="P595" s="130"/>
      <c r="Q595" s="130"/>
      <c r="R595" s="130"/>
      <c r="S595" s="163"/>
      <c r="T595" s="163"/>
      <c r="U595" s="163"/>
      <c r="V595" s="163"/>
      <c r="W595" s="163"/>
      <c r="X595" s="163"/>
      <c r="Y595" s="163"/>
      <c r="Z595" s="163"/>
      <c r="AA595" s="163"/>
      <c r="AB595" s="163"/>
      <c r="AC595" s="163"/>
      <c r="AD595" s="163"/>
      <c r="AE595" s="163"/>
      <c r="AF595" s="163"/>
      <c r="AG595" s="163"/>
      <c r="AH595" s="163"/>
      <c r="AI595" s="163"/>
      <c r="AJ595" s="163"/>
      <c r="AK595" s="163"/>
      <c r="AL595" s="163"/>
      <c r="AM595" s="163"/>
      <c r="AN595" s="130"/>
      <c r="AO595" s="130"/>
      <c r="AP595" s="130"/>
      <c r="AQ595" s="130"/>
      <c r="AR595" s="130"/>
      <c r="AS595" s="130"/>
      <c r="AT595" s="130"/>
    </row>
    <row r="596" ht="13.5" customHeight="1">
      <c r="A596" s="130"/>
      <c r="B596" s="130"/>
      <c r="C596" s="130"/>
      <c r="D596" s="130"/>
      <c r="E596" s="163"/>
      <c r="F596" s="163"/>
      <c r="G596" s="163"/>
      <c r="H596" s="163"/>
      <c r="I596" s="163"/>
      <c r="J596" s="163"/>
      <c r="K596" s="130"/>
      <c r="L596" s="130"/>
      <c r="M596" s="130"/>
      <c r="N596" s="130"/>
      <c r="O596" s="130"/>
      <c r="P596" s="130"/>
      <c r="Q596" s="130"/>
      <c r="R596" s="130"/>
      <c r="S596" s="163"/>
      <c r="T596" s="163"/>
      <c r="U596" s="163"/>
      <c r="V596" s="163"/>
      <c r="W596" s="163"/>
      <c r="X596" s="163"/>
      <c r="Y596" s="163"/>
      <c r="Z596" s="163"/>
      <c r="AA596" s="163"/>
      <c r="AB596" s="163"/>
      <c r="AC596" s="163"/>
      <c r="AD596" s="163"/>
      <c r="AE596" s="163"/>
      <c r="AF596" s="163"/>
      <c r="AG596" s="163"/>
      <c r="AH596" s="163"/>
      <c r="AI596" s="163"/>
      <c r="AJ596" s="163"/>
      <c r="AK596" s="163"/>
      <c r="AL596" s="163"/>
      <c r="AM596" s="163"/>
      <c r="AN596" s="130"/>
      <c r="AO596" s="130"/>
      <c r="AP596" s="130"/>
      <c r="AQ596" s="130"/>
      <c r="AR596" s="130"/>
      <c r="AS596" s="130"/>
      <c r="AT596" s="130"/>
    </row>
    <row r="597" ht="13.5" customHeight="1">
      <c r="A597" s="130"/>
      <c r="B597" s="130"/>
      <c r="C597" s="130"/>
      <c r="D597" s="130"/>
      <c r="E597" s="163"/>
      <c r="F597" s="163"/>
      <c r="G597" s="163"/>
      <c r="H597" s="163"/>
      <c r="I597" s="163"/>
      <c r="J597" s="163"/>
      <c r="K597" s="130"/>
      <c r="L597" s="130"/>
      <c r="M597" s="130"/>
      <c r="N597" s="130"/>
      <c r="O597" s="130"/>
      <c r="P597" s="130"/>
      <c r="Q597" s="130"/>
      <c r="R597" s="130"/>
      <c r="S597" s="163"/>
      <c r="T597" s="163"/>
      <c r="U597" s="163"/>
      <c r="V597" s="163"/>
      <c r="W597" s="163"/>
      <c r="X597" s="163"/>
      <c r="Y597" s="163"/>
      <c r="Z597" s="163"/>
      <c r="AA597" s="163"/>
      <c r="AB597" s="163"/>
      <c r="AC597" s="163"/>
      <c r="AD597" s="163"/>
      <c r="AE597" s="163"/>
      <c r="AF597" s="163"/>
      <c r="AG597" s="163"/>
      <c r="AH597" s="163"/>
      <c r="AI597" s="163"/>
      <c r="AJ597" s="163"/>
      <c r="AK597" s="163"/>
      <c r="AL597" s="163"/>
      <c r="AM597" s="163"/>
      <c r="AN597" s="130"/>
      <c r="AO597" s="130"/>
      <c r="AP597" s="130"/>
      <c r="AQ597" s="130"/>
      <c r="AR597" s="130"/>
      <c r="AS597" s="130"/>
      <c r="AT597" s="130"/>
    </row>
    <row r="598" ht="13.5" customHeight="1">
      <c r="A598" s="130"/>
      <c r="B598" s="130"/>
      <c r="C598" s="130"/>
      <c r="D598" s="130"/>
      <c r="E598" s="163"/>
      <c r="F598" s="163"/>
      <c r="G598" s="163"/>
      <c r="H598" s="163"/>
      <c r="I598" s="163"/>
      <c r="J598" s="163"/>
      <c r="K598" s="130"/>
      <c r="L598" s="130"/>
      <c r="M598" s="130"/>
      <c r="N598" s="130"/>
      <c r="O598" s="130"/>
      <c r="P598" s="130"/>
      <c r="Q598" s="130"/>
      <c r="R598" s="130"/>
      <c r="S598" s="163"/>
      <c r="T598" s="163"/>
      <c r="U598" s="163"/>
      <c r="V598" s="163"/>
      <c r="W598" s="163"/>
      <c r="X598" s="163"/>
      <c r="Y598" s="163"/>
      <c r="Z598" s="163"/>
      <c r="AA598" s="163"/>
      <c r="AB598" s="163"/>
      <c r="AC598" s="163"/>
      <c r="AD598" s="163"/>
      <c r="AE598" s="163"/>
      <c r="AF598" s="163"/>
      <c r="AG598" s="163"/>
      <c r="AH598" s="163"/>
      <c r="AI598" s="163"/>
      <c r="AJ598" s="163"/>
      <c r="AK598" s="163"/>
      <c r="AL598" s="163"/>
      <c r="AM598" s="163"/>
      <c r="AN598" s="130"/>
      <c r="AO598" s="130"/>
      <c r="AP598" s="130"/>
      <c r="AQ598" s="130"/>
      <c r="AR598" s="130"/>
      <c r="AS598" s="130"/>
      <c r="AT598" s="130"/>
    </row>
    <row r="599" ht="13.5" customHeight="1">
      <c r="A599" s="130"/>
      <c r="B599" s="130"/>
      <c r="C599" s="130"/>
      <c r="D599" s="130"/>
      <c r="E599" s="163"/>
      <c r="F599" s="163"/>
      <c r="G599" s="163"/>
      <c r="H599" s="163"/>
      <c r="I599" s="163"/>
      <c r="J599" s="163"/>
      <c r="K599" s="130"/>
      <c r="L599" s="130"/>
      <c r="M599" s="130"/>
      <c r="N599" s="130"/>
      <c r="O599" s="130"/>
      <c r="P599" s="130"/>
      <c r="Q599" s="130"/>
      <c r="R599" s="130"/>
      <c r="S599" s="163"/>
      <c r="T599" s="163"/>
      <c r="U599" s="163"/>
      <c r="V599" s="163"/>
      <c r="W599" s="163"/>
      <c r="X599" s="163"/>
      <c r="Y599" s="163"/>
      <c r="Z599" s="163"/>
      <c r="AA599" s="163"/>
      <c r="AB599" s="163"/>
      <c r="AC599" s="163"/>
      <c r="AD599" s="163"/>
      <c r="AE599" s="163"/>
      <c r="AF599" s="163"/>
      <c r="AG599" s="163"/>
      <c r="AH599" s="163"/>
      <c r="AI599" s="163"/>
      <c r="AJ599" s="163"/>
      <c r="AK599" s="163"/>
      <c r="AL599" s="163"/>
      <c r="AM599" s="163"/>
      <c r="AN599" s="130"/>
      <c r="AO599" s="130"/>
      <c r="AP599" s="130"/>
      <c r="AQ599" s="130"/>
      <c r="AR599" s="130"/>
      <c r="AS599" s="130"/>
      <c r="AT599" s="130"/>
    </row>
    <row r="600" ht="13.5" customHeight="1">
      <c r="A600" s="130"/>
      <c r="B600" s="130"/>
      <c r="C600" s="130"/>
      <c r="D600" s="130"/>
      <c r="E600" s="163"/>
      <c r="F600" s="163"/>
      <c r="G600" s="163"/>
      <c r="H600" s="163"/>
      <c r="I600" s="163"/>
      <c r="J600" s="163"/>
      <c r="K600" s="130"/>
      <c r="L600" s="130"/>
      <c r="M600" s="130"/>
      <c r="N600" s="130"/>
      <c r="O600" s="130"/>
      <c r="P600" s="130"/>
      <c r="Q600" s="130"/>
      <c r="R600" s="130"/>
      <c r="S600" s="163"/>
      <c r="T600" s="163"/>
      <c r="U600" s="163"/>
      <c r="V600" s="163"/>
      <c r="W600" s="163"/>
      <c r="X600" s="163"/>
      <c r="Y600" s="163"/>
      <c r="Z600" s="163"/>
      <c r="AA600" s="163"/>
      <c r="AB600" s="163"/>
      <c r="AC600" s="163"/>
      <c r="AD600" s="163"/>
      <c r="AE600" s="163"/>
      <c r="AF600" s="163"/>
      <c r="AG600" s="163"/>
      <c r="AH600" s="163"/>
      <c r="AI600" s="163"/>
      <c r="AJ600" s="163"/>
      <c r="AK600" s="163"/>
      <c r="AL600" s="163"/>
      <c r="AM600" s="163"/>
      <c r="AN600" s="130"/>
      <c r="AO600" s="130"/>
      <c r="AP600" s="130"/>
      <c r="AQ600" s="130"/>
      <c r="AR600" s="130"/>
      <c r="AS600" s="130"/>
      <c r="AT600" s="130"/>
    </row>
    <row r="601" ht="13.5" customHeight="1">
      <c r="A601" s="130"/>
      <c r="B601" s="130"/>
      <c r="C601" s="130"/>
      <c r="D601" s="130"/>
      <c r="E601" s="163"/>
      <c r="F601" s="163"/>
      <c r="G601" s="163"/>
      <c r="H601" s="163"/>
      <c r="I601" s="163"/>
      <c r="J601" s="163"/>
      <c r="K601" s="130"/>
      <c r="L601" s="130"/>
      <c r="M601" s="130"/>
      <c r="N601" s="130"/>
      <c r="O601" s="130"/>
      <c r="P601" s="130"/>
      <c r="Q601" s="130"/>
      <c r="R601" s="130"/>
      <c r="S601" s="163"/>
      <c r="T601" s="163"/>
      <c r="U601" s="163"/>
      <c r="V601" s="163"/>
      <c r="W601" s="163"/>
      <c r="X601" s="163"/>
      <c r="Y601" s="163"/>
      <c r="Z601" s="163"/>
      <c r="AA601" s="163"/>
      <c r="AB601" s="163"/>
      <c r="AC601" s="163"/>
      <c r="AD601" s="163"/>
      <c r="AE601" s="163"/>
      <c r="AF601" s="163"/>
      <c r="AG601" s="163"/>
      <c r="AH601" s="163"/>
      <c r="AI601" s="163"/>
      <c r="AJ601" s="163"/>
      <c r="AK601" s="163"/>
      <c r="AL601" s="163"/>
      <c r="AM601" s="163"/>
      <c r="AN601" s="130"/>
      <c r="AO601" s="130"/>
      <c r="AP601" s="130"/>
      <c r="AQ601" s="130"/>
      <c r="AR601" s="130"/>
      <c r="AS601" s="130"/>
      <c r="AT601" s="130"/>
    </row>
    <row r="602" ht="13.5" customHeight="1">
      <c r="A602" s="130"/>
      <c r="B602" s="130"/>
      <c r="C602" s="130"/>
      <c r="D602" s="130"/>
      <c r="E602" s="163"/>
      <c r="F602" s="163"/>
      <c r="G602" s="163"/>
      <c r="H602" s="163"/>
      <c r="I602" s="163"/>
      <c r="J602" s="163"/>
      <c r="K602" s="130"/>
      <c r="L602" s="130"/>
      <c r="M602" s="130"/>
      <c r="N602" s="130"/>
      <c r="O602" s="130"/>
      <c r="P602" s="130"/>
      <c r="Q602" s="130"/>
      <c r="R602" s="130"/>
      <c r="S602" s="163"/>
      <c r="T602" s="163"/>
      <c r="U602" s="163"/>
      <c r="V602" s="163"/>
      <c r="W602" s="163"/>
      <c r="X602" s="163"/>
      <c r="Y602" s="163"/>
      <c r="Z602" s="163"/>
      <c r="AA602" s="163"/>
      <c r="AB602" s="163"/>
      <c r="AC602" s="163"/>
      <c r="AD602" s="163"/>
      <c r="AE602" s="163"/>
      <c r="AF602" s="163"/>
      <c r="AG602" s="163"/>
      <c r="AH602" s="163"/>
      <c r="AI602" s="163"/>
      <c r="AJ602" s="163"/>
      <c r="AK602" s="163"/>
      <c r="AL602" s="163"/>
      <c r="AM602" s="163"/>
      <c r="AN602" s="130"/>
      <c r="AO602" s="130"/>
      <c r="AP602" s="130"/>
      <c r="AQ602" s="130"/>
      <c r="AR602" s="130"/>
      <c r="AS602" s="130"/>
      <c r="AT602" s="130"/>
    </row>
    <row r="603" ht="13.5" customHeight="1">
      <c r="A603" s="130"/>
      <c r="B603" s="130"/>
      <c r="C603" s="130"/>
      <c r="D603" s="130"/>
      <c r="E603" s="163"/>
      <c r="F603" s="163"/>
      <c r="G603" s="163"/>
      <c r="H603" s="163"/>
      <c r="I603" s="163"/>
      <c r="J603" s="163"/>
      <c r="K603" s="130"/>
      <c r="L603" s="130"/>
      <c r="M603" s="130"/>
      <c r="N603" s="130"/>
      <c r="O603" s="130"/>
      <c r="P603" s="130"/>
      <c r="Q603" s="130"/>
      <c r="R603" s="130"/>
      <c r="S603" s="163"/>
      <c r="T603" s="163"/>
      <c r="U603" s="163"/>
      <c r="V603" s="163"/>
      <c r="W603" s="163"/>
      <c r="X603" s="163"/>
      <c r="Y603" s="163"/>
      <c r="Z603" s="163"/>
      <c r="AA603" s="163"/>
      <c r="AB603" s="163"/>
      <c r="AC603" s="163"/>
      <c r="AD603" s="163"/>
      <c r="AE603" s="163"/>
      <c r="AF603" s="163"/>
      <c r="AG603" s="163"/>
      <c r="AH603" s="163"/>
      <c r="AI603" s="163"/>
      <c r="AJ603" s="163"/>
      <c r="AK603" s="163"/>
      <c r="AL603" s="163"/>
      <c r="AM603" s="163"/>
      <c r="AN603" s="130"/>
      <c r="AO603" s="130"/>
      <c r="AP603" s="130"/>
      <c r="AQ603" s="130"/>
      <c r="AR603" s="130"/>
      <c r="AS603" s="130"/>
      <c r="AT603" s="130"/>
    </row>
    <row r="604" ht="13.5" customHeight="1">
      <c r="A604" s="130"/>
      <c r="B604" s="130"/>
      <c r="C604" s="130"/>
      <c r="D604" s="130"/>
      <c r="E604" s="163"/>
      <c r="F604" s="163"/>
      <c r="G604" s="163"/>
      <c r="H604" s="163"/>
      <c r="I604" s="163"/>
      <c r="J604" s="163"/>
      <c r="K604" s="130"/>
      <c r="L604" s="130"/>
      <c r="M604" s="130"/>
      <c r="N604" s="130"/>
      <c r="O604" s="130"/>
      <c r="P604" s="130"/>
      <c r="Q604" s="130"/>
      <c r="R604" s="130"/>
      <c r="S604" s="163"/>
      <c r="T604" s="163"/>
      <c r="U604" s="163"/>
      <c r="V604" s="163"/>
      <c r="W604" s="163"/>
      <c r="X604" s="163"/>
      <c r="Y604" s="163"/>
      <c r="Z604" s="163"/>
      <c r="AA604" s="163"/>
      <c r="AB604" s="163"/>
      <c r="AC604" s="163"/>
      <c r="AD604" s="163"/>
      <c r="AE604" s="163"/>
      <c r="AF604" s="163"/>
      <c r="AG604" s="163"/>
      <c r="AH604" s="163"/>
      <c r="AI604" s="163"/>
      <c r="AJ604" s="163"/>
      <c r="AK604" s="163"/>
      <c r="AL604" s="163"/>
      <c r="AM604" s="163"/>
      <c r="AN604" s="130"/>
      <c r="AO604" s="130"/>
      <c r="AP604" s="130"/>
      <c r="AQ604" s="130"/>
      <c r="AR604" s="130"/>
      <c r="AS604" s="130"/>
      <c r="AT604" s="130"/>
    </row>
    <row r="605" ht="13.5" customHeight="1">
      <c r="A605" s="130"/>
      <c r="B605" s="130"/>
      <c r="C605" s="130"/>
      <c r="D605" s="130"/>
      <c r="E605" s="163"/>
      <c r="F605" s="163"/>
      <c r="G605" s="163"/>
      <c r="H605" s="163"/>
      <c r="I605" s="163"/>
      <c r="J605" s="163"/>
      <c r="K605" s="130"/>
      <c r="L605" s="130"/>
      <c r="M605" s="130"/>
      <c r="N605" s="130"/>
      <c r="O605" s="130"/>
      <c r="P605" s="130"/>
      <c r="Q605" s="130"/>
      <c r="R605" s="130"/>
      <c r="S605" s="163"/>
      <c r="T605" s="163"/>
      <c r="U605" s="163"/>
      <c r="V605" s="163"/>
      <c r="W605" s="163"/>
      <c r="X605" s="163"/>
      <c r="Y605" s="163"/>
      <c r="Z605" s="163"/>
      <c r="AA605" s="163"/>
      <c r="AB605" s="163"/>
      <c r="AC605" s="163"/>
      <c r="AD605" s="163"/>
      <c r="AE605" s="163"/>
      <c r="AF605" s="163"/>
      <c r="AG605" s="163"/>
      <c r="AH605" s="163"/>
      <c r="AI605" s="163"/>
      <c r="AJ605" s="163"/>
      <c r="AK605" s="163"/>
      <c r="AL605" s="163"/>
      <c r="AM605" s="163"/>
      <c r="AN605" s="130"/>
      <c r="AO605" s="130"/>
      <c r="AP605" s="130"/>
      <c r="AQ605" s="130"/>
      <c r="AR605" s="130"/>
      <c r="AS605" s="130"/>
      <c r="AT605" s="130"/>
    </row>
    <row r="606" ht="13.5" customHeight="1">
      <c r="A606" s="130"/>
      <c r="B606" s="130"/>
      <c r="C606" s="130"/>
      <c r="D606" s="130"/>
      <c r="E606" s="163"/>
      <c r="F606" s="163"/>
      <c r="G606" s="163"/>
      <c r="H606" s="163"/>
      <c r="I606" s="163"/>
      <c r="J606" s="163"/>
      <c r="K606" s="130"/>
      <c r="L606" s="130"/>
      <c r="M606" s="130"/>
      <c r="N606" s="130"/>
      <c r="O606" s="130"/>
      <c r="P606" s="130"/>
      <c r="Q606" s="130"/>
      <c r="R606" s="130"/>
      <c r="S606" s="163"/>
      <c r="T606" s="163"/>
      <c r="U606" s="163"/>
      <c r="V606" s="163"/>
      <c r="W606" s="163"/>
      <c r="X606" s="163"/>
      <c r="Y606" s="163"/>
      <c r="Z606" s="163"/>
      <c r="AA606" s="163"/>
      <c r="AB606" s="163"/>
      <c r="AC606" s="163"/>
      <c r="AD606" s="163"/>
      <c r="AE606" s="163"/>
      <c r="AF606" s="163"/>
      <c r="AG606" s="163"/>
      <c r="AH606" s="163"/>
      <c r="AI606" s="163"/>
      <c r="AJ606" s="163"/>
      <c r="AK606" s="163"/>
      <c r="AL606" s="163"/>
      <c r="AM606" s="163"/>
      <c r="AN606" s="130"/>
      <c r="AO606" s="130"/>
      <c r="AP606" s="130"/>
      <c r="AQ606" s="130"/>
      <c r="AR606" s="130"/>
      <c r="AS606" s="130"/>
      <c r="AT606" s="130"/>
    </row>
    <row r="607" ht="13.5" customHeight="1">
      <c r="A607" s="130"/>
      <c r="B607" s="130"/>
      <c r="C607" s="130"/>
      <c r="D607" s="130"/>
      <c r="E607" s="163"/>
      <c r="F607" s="163"/>
      <c r="G607" s="163"/>
      <c r="H607" s="163"/>
      <c r="I607" s="163"/>
      <c r="J607" s="163"/>
      <c r="K607" s="130"/>
      <c r="L607" s="130"/>
      <c r="M607" s="130"/>
      <c r="N607" s="130"/>
      <c r="O607" s="130"/>
      <c r="P607" s="130"/>
      <c r="Q607" s="130"/>
      <c r="R607" s="130"/>
      <c r="S607" s="163"/>
      <c r="T607" s="163"/>
      <c r="U607" s="163"/>
      <c r="V607" s="163"/>
      <c r="W607" s="163"/>
      <c r="X607" s="163"/>
      <c r="Y607" s="163"/>
      <c r="Z607" s="163"/>
      <c r="AA607" s="163"/>
      <c r="AB607" s="163"/>
      <c r="AC607" s="163"/>
      <c r="AD607" s="163"/>
      <c r="AE607" s="163"/>
      <c r="AF607" s="163"/>
      <c r="AG607" s="163"/>
      <c r="AH607" s="163"/>
      <c r="AI607" s="163"/>
      <c r="AJ607" s="163"/>
      <c r="AK607" s="163"/>
      <c r="AL607" s="163"/>
      <c r="AM607" s="163"/>
      <c r="AN607" s="130"/>
      <c r="AO607" s="130"/>
      <c r="AP607" s="130"/>
      <c r="AQ607" s="130"/>
      <c r="AR607" s="130"/>
      <c r="AS607" s="130"/>
      <c r="AT607" s="130"/>
    </row>
    <row r="608" ht="13.5" customHeight="1">
      <c r="A608" s="130"/>
      <c r="B608" s="130"/>
      <c r="C608" s="130"/>
      <c r="D608" s="130"/>
      <c r="E608" s="163"/>
      <c r="F608" s="163"/>
      <c r="G608" s="163"/>
      <c r="H608" s="163"/>
      <c r="I608" s="163"/>
      <c r="J608" s="163"/>
      <c r="K608" s="130"/>
      <c r="L608" s="130"/>
      <c r="M608" s="130"/>
      <c r="N608" s="130"/>
      <c r="O608" s="130"/>
      <c r="P608" s="130"/>
      <c r="Q608" s="130"/>
      <c r="R608" s="130"/>
      <c r="S608" s="163"/>
      <c r="T608" s="163"/>
      <c r="U608" s="163"/>
      <c r="V608" s="163"/>
      <c r="W608" s="163"/>
      <c r="X608" s="163"/>
      <c r="Y608" s="163"/>
      <c r="Z608" s="163"/>
      <c r="AA608" s="163"/>
      <c r="AB608" s="163"/>
      <c r="AC608" s="163"/>
      <c r="AD608" s="163"/>
      <c r="AE608" s="163"/>
      <c r="AF608" s="163"/>
      <c r="AG608" s="163"/>
      <c r="AH608" s="163"/>
      <c r="AI608" s="163"/>
      <c r="AJ608" s="163"/>
      <c r="AK608" s="163"/>
      <c r="AL608" s="163"/>
      <c r="AM608" s="163"/>
      <c r="AN608" s="130"/>
      <c r="AO608" s="130"/>
      <c r="AP608" s="130"/>
      <c r="AQ608" s="130"/>
      <c r="AR608" s="130"/>
      <c r="AS608" s="130"/>
      <c r="AT608" s="130"/>
    </row>
    <row r="609" ht="13.5" customHeight="1">
      <c r="A609" s="130"/>
      <c r="B609" s="130"/>
      <c r="C609" s="130"/>
      <c r="D609" s="130"/>
      <c r="E609" s="163"/>
      <c r="F609" s="163"/>
      <c r="G609" s="163"/>
      <c r="H609" s="163"/>
      <c r="I609" s="163"/>
      <c r="J609" s="163"/>
      <c r="K609" s="130"/>
      <c r="L609" s="130"/>
      <c r="M609" s="130"/>
      <c r="N609" s="130"/>
      <c r="O609" s="130"/>
      <c r="P609" s="130"/>
      <c r="Q609" s="130"/>
      <c r="R609" s="130"/>
      <c r="S609" s="163"/>
      <c r="T609" s="163"/>
      <c r="U609" s="163"/>
      <c r="V609" s="163"/>
      <c r="W609" s="163"/>
      <c r="X609" s="163"/>
      <c r="Y609" s="163"/>
      <c r="Z609" s="163"/>
      <c r="AA609" s="163"/>
      <c r="AB609" s="163"/>
      <c r="AC609" s="163"/>
      <c r="AD609" s="163"/>
      <c r="AE609" s="163"/>
      <c r="AF609" s="163"/>
      <c r="AG609" s="163"/>
      <c r="AH609" s="163"/>
      <c r="AI609" s="163"/>
      <c r="AJ609" s="163"/>
      <c r="AK609" s="163"/>
      <c r="AL609" s="163"/>
      <c r="AM609" s="163"/>
      <c r="AN609" s="130"/>
      <c r="AO609" s="130"/>
      <c r="AP609" s="130"/>
      <c r="AQ609" s="130"/>
      <c r="AR609" s="130"/>
      <c r="AS609" s="130"/>
      <c r="AT609" s="130"/>
    </row>
    <row r="610" ht="13.5" customHeight="1">
      <c r="A610" s="130"/>
      <c r="B610" s="130"/>
      <c r="C610" s="130"/>
      <c r="D610" s="130"/>
      <c r="E610" s="163"/>
      <c r="F610" s="163"/>
      <c r="G610" s="163"/>
      <c r="H610" s="163"/>
      <c r="I610" s="163"/>
      <c r="J610" s="163"/>
      <c r="K610" s="130"/>
      <c r="L610" s="130"/>
      <c r="M610" s="130"/>
      <c r="N610" s="130"/>
      <c r="O610" s="130"/>
      <c r="P610" s="130"/>
      <c r="Q610" s="130"/>
      <c r="R610" s="130"/>
      <c r="S610" s="163"/>
      <c r="T610" s="163"/>
      <c r="U610" s="163"/>
      <c r="V610" s="163"/>
      <c r="W610" s="163"/>
      <c r="X610" s="163"/>
      <c r="Y610" s="163"/>
      <c r="Z610" s="163"/>
      <c r="AA610" s="163"/>
      <c r="AB610" s="163"/>
      <c r="AC610" s="163"/>
      <c r="AD610" s="163"/>
      <c r="AE610" s="163"/>
      <c r="AF610" s="163"/>
      <c r="AG610" s="163"/>
      <c r="AH610" s="163"/>
      <c r="AI610" s="163"/>
      <c r="AJ610" s="163"/>
      <c r="AK610" s="163"/>
      <c r="AL610" s="163"/>
      <c r="AM610" s="163"/>
      <c r="AN610" s="130"/>
      <c r="AO610" s="130"/>
      <c r="AP610" s="130"/>
      <c r="AQ610" s="130"/>
      <c r="AR610" s="130"/>
      <c r="AS610" s="130"/>
      <c r="AT610" s="130"/>
    </row>
    <row r="611" ht="13.5" customHeight="1">
      <c r="A611" s="130"/>
      <c r="B611" s="130"/>
      <c r="C611" s="130"/>
      <c r="D611" s="130"/>
      <c r="E611" s="163"/>
      <c r="F611" s="163"/>
      <c r="G611" s="163"/>
      <c r="H611" s="163"/>
      <c r="I611" s="163"/>
      <c r="J611" s="163"/>
      <c r="K611" s="130"/>
      <c r="L611" s="130"/>
      <c r="M611" s="130"/>
      <c r="N611" s="130"/>
      <c r="O611" s="130"/>
      <c r="P611" s="130"/>
      <c r="Q611" s="130"/>
      <c r="R611" s="130"/>
      <c r="S611" s="163"/>
      <c r="T611" s="163"/>
      <c r="U611" s="163"/>
      <c r="V611" s="163"/>
      <c r="W611" s="163"/>
      <c r="X611" s="163"/>
      <c r="Y611" s="163"/>
      <c r="Z611" s="163"/>
      <c r="AA611" s="163"/>
      <c r="AB611" s="163"/>
      <c r="AC611" s="163"/>
      <c r="AD611" s="163"/>
      <c r="AE611" s="163"/>
      <c r="AF611" s="163"/>
      <c r="AG611" s="163"/>
      <c r="AH611" s="163"/>
      <c r="AI611" s="163"/>
      <c r="AJ611" s="163"/>
      <c r="AK611" s="163"/>
      <c r="AL611" s="163"/>
      <c r="AM611" s="163"/>
      <c r="AN611" s="130"/>
      <c r="AO611" s="130"/>
      <c r="AP611" s="130"/>
      <c r="AQ611" s="130"/>
      <c r="AR611" s="130"/>
      <c r="AS611" s="130"/>
      <c r="AT611" s="130"/>
    </row>
    <row r="612" ht="13.5" customHeight="1">
      <c r="A612" s="130"/>
      <c r="B612" s="130"/>
      <c r="C612" s="130"/>
      <c r="D612" s="130"/>
      <c r="E612" s="163"/>
      <c r="F612" s="163"/>
      <c r="G612" s="163"/>
      <c r="H612" s="163"/>
      <c r="I612" s="163"/>
      <c r="J612" s="163"/>
      <c r="K612" s="130"/>
      <c r="L612" s="130"/>
      <c r="M612" s="130"/>
      <c r="N612" s="130"/>
      <c r="O612" s="130"/>
      <c r="P612" s="130"/>
      <c r="Q612" s="130"/>
      <c r="R612" s="130"/>
      <c r="S612" s="163"/>
      <c r="T612" s="163"/>
      <c r="U612" s="163"/>
      <c r="V612" s="163"/>
      <c r="W612" s="163"/>
      <c r="X612" s="163"/>
      <c r="Y612" s="163"/>
      <c r="Z612" s="163"/>
      <c r="AA612" s="163"/>
      <c r="AB612" s="163"/>
      <c r="AC612" s="163"/>
      <c r="AD612" s="163"/>
      <c r="AE612" s="163"/>
      <c r="AF612" s="163"/>
      <c r="AG612" s="163"/>
      <c r="AH612" s="163"/>
      <c r="AI612" s="163"/>
      <c r="AJ612" s="163"/>
      <c r="AK612" s="163"/>
      <c r="AL612" s="163"/>
      <c r="AM612" s="163"/>
      <c r="AN612" s="130"/>
      <c r="AO612" s="130"/>
      <c r="AP612" s="130"/>
      <c r="AQ612" s="130"/>
      <c r="AR612" s="130"/>
      <c r="AS612" s="130"/>
      <c r="AT612" s="130"/>
    </row>
    <row r="613" ht="13.5" customHeight="1">
      <c r="A613" s="130"/>
      <c r="B613" s="130"/>
      <c r="C613" s="130"/>
      <c r="D613" s="130"/>
      <c r="E613" s="163"/>
      <c r="F613" s="163"/>
      <c r="G613" s="163"/>
      <c r="H613" s="163"/>
      <c r="I613" s="163"/>
      <c r="J613" s="163"/>
      <c r="K613" s="130"/>
      <c r="L613" s="130"/>
      <c r="M613" s="130"/>
      <c r="N613" s="130"/>
      <c r="O613" s="130"/>
      <c r="P613" s="130"/>
      <c r="Q613" s="130"/>
      <c r="R613" s="130"/>
      <c r="S613" s="163"/>
      <c r="T613" s="163"/>
      <c r="U613" s="163"/>
      <c r="V613" s="163"/>
      <c r="W613" s="163"/>
      <c r="X613" s="163"/>
      <c r="Y613" s="163"/>
      <c r="Z613" s="163"/>
      <c r="AA613" s="163"/>
      <c r="AB613" s="163"/>
      <c r="AC613" s="163"/>
      <c r="AD613" s="163"/>
      <c r="AE613" s="163"/>
      <c r="AF613" s="163"/>
      <c r="AG613" s="163"/>
      <c r="AH613" s="163"/>
      <c r="AI613" s="163"/>
      <c r="AJ613" s="163"/>
      <c r="AK613" s="163"/>
      <c r="AL613" s="163"/>
      <c r="AM613" s="163"/>
      <c r="AN613" s="130"/>
      <c r="AO613" s="130"/>
      <c r="AP613" s="130"/>
      <c r="AQ613" s="130"/>
      <c r="AR613" s="130"/>
      <c r="AS613" s="130"/>
      <c r="AT613" s="130"/>
    </row>
    <row r="614" ht="13.5" customHeight="1">
      <c r="A614" s="130"/>
      <c r="B614" s="130"/>
      <c r="C614" s="130"/>
      <c r="D614" s="130"/>
      <c r="E614" s="163"/>
      <c r="F614" s="163"/>
      <c r="G614" s="163"/>
      <c r="H614" s="163"/>
      <c r="I614" s="163"/>
      <c r="J614" s="163"/>
      <c r="K614" s="130"/>
      <c r="L614" s="130"/>
      <c r="M614" s="130"/>
      <c r="N614" s="130"/>
      <c r="O614" s="130"/>
      <c r="P614" s="130"/>
      <c r="Q614" s="130"/>
      <c r="R614" s="130"/>
      <c r="S614" s="163"/>
      <c r="T614" s="163"/>
      <c r="U614" s="163"/>
      <c r="V614" s="163"/>
      <c r="W614" s="163"/>
      <c r="X614" s="163"/>
      <c r="Y614" s="163"/>
      <c r="Z614" s="163"/>
      <c r="AA614" s="163"/>
      <c r="AB614" s="163"/>
      <c r="AC614" s="163"/>
      <c r="AD614" s="163"/>
      <c r="AE614" s="163"/>
      <c r="AF614" s="163"/>
      <c r="AG614" s="163"/>
      <c r="AH614" s="163"/>
      <c r="AI614" s="163"/>
      <c r="AJ614" s="163"/>
      <c r="AK614" s="163"/>
      <c r="AL614" s="163"/>
      <c r="AM614" s="163"/>
      <c r="AN614" s="130"/>
      <c r="AO614" s="130"/>
      <c r="AP614" s="130"/>
      <c r="AQ614" s="130"/>
      <c r="AR614" s="130"/>
      <c r="AS614" s="130"/>
      <c r="AT614" s="130"/>
    </row>
    <row r="615" ht="13.5" customHeight="1">
      <c r="A615" s="130"/>
      <c r="B615" s="130"/>
      <c r="C615" s="130"/>
      <c r="D615" s="130"/>
      <c r="E615" s="163"/>
      <c r="F615" s="163"/>
      <c r="G615" s="163"/>
      <c r="H615" s="163"/>
      <c r="I615" s="163"/>
      <c r="J615" s="163"/>
      <c r="K615" s="130"/>
      <c r="L615" s="130"/>
      <c r="M615" s="130"/>
      <c r="N615" s="130"/>
      <c r="O615" s="130"/>
      <c r="P615" s="130"/>
      <c r="Q615" s="130"/>
      <c r="R615" s="130"/>
      <c r="S615" s="163"/>
      <c r="T615" s="163"/>
      <c r="U615" s="163"/>
      <c r="V615" s="163"/>
      <c r="W615" s="163"/>
      <c r="X615" s="163"/>
      <c r="Y615" s="163"/>
      <c r="Z615" s="163"/>
      <c r="AA615" s="163"/>
      <c r="AB615" s="163"/>
      <c r="AC615" s="163"/>
      <c r="AD615" s="163"/>
      <c r="AE615" s="163"/>
      <c r="AF615" s="163"/>
      <c r="AG615" s="163"/>
      <c r="AH615" s="163"/>
      <c r="AI615" s="163"/>
      <c r="AJ615" s="163"/>
      <c r="AK615" s="163"/>
      <c r="AL615" s="163"/>
      <c r="AM615" s="163"/>
      <c r="AN615" s="130"/>
      <c r="AO615" s="130"/>
      <c r="AP615" s="130"/>
      <c r="AQ615" s="130"/>
      <c r="AR615" s="130"/>
      <c r="AS615" s="130"/>
      <c r="AT615" s="130"/>
    </row>
    <row r="616" ht="13.5" customHeight="1">
      <c r="A616" s="130"/>
      <c r="B616" s="130"/>
      <c r="C616" s="130"/>
      <c r="D616" s="130"/>
      <c r="E616" s="163"/>
      <c r="F616" s="163"/>
      <c r="G616" s="163"/>
      <c r="H616" s="163"/>
      <c r="I616" s="163"/>
      <c r="J616" s="163"/>
      <c r="K616" s="130"/>
      <c r="L616" s="130"/>
      <c r="M616" s="130"/>
      <c r="N616" s="130"/>
      <c r="O616" s="130"/>
      <c r="P616" s="130"/>
      <c r="Q616" s="130"/>
      <c r="R616" s="130"/>
      <c r="S616" s="163"/>
      <c r="T616" s="163"/>
      <c r="U616" s="163"/>
      <c r="V616" s="163"/>
      <c r="W616" s="163"/>
      <c r="X616" s="163"/>
      <c r="Y616" s="163"/>
      <c r="Z616" s="163"/>
      <c r="AA616" s="163"/>
      <c r="AB616" s="163"/>
      <c r="AC616" s="163"/>
      <c r="AD616" s="163"/>
      <c r="AE616" s="163"/>
      <c r="AF616" s="163"/>
      <c r="AG616" s="163"/>
      <c r="AH616" s="163"/>
      <c r="AI616" s="163"/>
      <c r="AJ616" s="163"/>
      <c r="AK616" s="163"/>
      <c r="AL616" s="163"/>
      <c r="AM616" s="163"/>
      <c r="AN616" s="130"/>
      <c r="AO616" s="130"/>
      <c r="AP616" s="130"/>
      <c r="AQ616" s="130"/>
      <c r="AR616" s="130"/>
      <c r="AS616" s="130"/>
      <c r="AT616" s="130"/>
    </row>
    <row r="617" ht="13.5" customHeight="1">
      <c r="A617" s="130"/>
      <c r="B617" s="130"/>
      <c r="C617" s="130"/>
      <c r="D617" s="130"/>
      <c r="E617" s="163"/>
      <c r="F617" s="163"/>
      <c r="G617" s="163"/>
      <c r="H617" s="163"/>
      <c r="I617" s="163"/>
      <c r="J617" s="163"/>
      <c r="K617" s="130"/>
      <c r="L617" s="130"/>
      <c r="M617" s="130"/>
      <c r="N617" s="130"/>
      <c r="O617" s="130"/>
      <c r="P617" s="130"/>
      <c r="Q617" s="130"/>
      <c r="R617" s="130"/>
      <c r="S617" s="163"/>
      <c r="T617" s="163"/>
      <c r="U617" s="163"/>
      <c r="V617" s="163"/>
      <c r="W617" s="163"/>
      <c r="X617" s="163"/>
      <c r="Y617" s="163"/>
      <c r="Z617" s="163"/>
      <c r="AA617" s="163"/>
      <c r="AB617" s="163"/>
      <c r="AC617" s="163"/>
      <c r="AD617" s="163"/>
      <c r="AE617" s="163"/>
      <c r="AF617" s="163"/>
      <c r="AG617" s="163"/>
      <c r="AH617" s="163"/>
      <c r="AI617" s="163"/>
      <c r="AJ617" s="163"/>
      <c r="AK617" s="163"/>
      <c r="AL617" s="163"/>
      <c r="AM617" s="163"/>
      <c r="AN617" s="130"/>
      <c r="AO617" s="130"/>
      <c r="AP617" s="130"/>
      <c r="AQ617" s="130"/>
      <c r="AR617" s="130"/>
      <c r="AS617" s="130"/>
      <c r="AT617" s="130"/>
    </row>
    <row r="618" ht="13.5" customHeight="1">
      <c r="A618" s="130"/>
      <c r="B618" s="130"/>
      <c r="C618" s="130"/>
      <c r="D618" s="130"/>
      <c r="E618" s="163"/>
      <c r="F618" s="163"/>
      <c r="G618" s="163"/>
      <c r="H618" s="163"/>
      <c r="I618" s="163"/>
      <c r="J618" s="163"/>
      <c r="K618" s="130"/>
      <c r="L618" s="130"/>
      <c r="M618" s="130"/>
      <c r="N618" s="130"/>
      <c r="O618" s="130"/>
      <c r="P618" s="130"/>
      <c r="Q618" s="130"/>
      <c r="R618" s="130"/>
      <c r="S618" s="163"/>
      <c r="T618" s="163"/>
      <c r="U618" s="163"/>
      <c r="V618" s="163"/>
      <c r="W618" s="163"/>
      <c r="X618" s="163"/>
      <c r="Y618" s="163"/>
      <c r="Z618" s="163"/>
      <c r="AA618" s="163"/>
      <c r="AB618" s="163"/>
      <c r="AC618" s="163"/>
      <c r="AD618" s="163"/>
      <c r="AE618" s="163"/>
      <c r="AF618" s="163"/>
      <c r="AG618" s="163"/>
      <c r="AH618" s="163"/>
      <c r="AI618" s="163"/>
      <c r="AJ618" s="163"/>
      <c r="AK618" s="163"/>
      <c r="AL618" s="163"/>
      <c r="AM618" s="163"/>
      <c r="AN618" s="130"/>
      <c r="AO618" s="130"/>
      <c r="AP618" s="130"/>
      <c r="AQ618" s="130"/>
      <c r="AR618" s="130"/>
      <c r="AS618" s="130"/>
      <c r="AT618" s="130"/>
    </row>
    <row r="619" ht="13.5" customHeight="1">
      <c r="A619" s="130"/>
      <c r="B619" s="130"/>
      <c r="C619" s="130"/>
      <c r="D619" s="130"/>
      <c r="E619" s="163"/>
      <c r="F619" s="163"/>
      <c r="G619" s="163"/>
      <c r="H619" s="163"/>
      <c r="I619" s="163"/>
      <c r="J619" s="163"/>
      <c r="K619" s="130"/>
      <c r="L619" s="130"/>
      <c r="M619" s="130"/>
      <c r="N619" s="130"/>
      <c r="O619" s="130"/>
      <c r="P619" s="130"/>
      <c r="Q619" s="130"/>
      <c r="R619" s="130"/>
      <c r="S619" s="163"/>
      <c r="T619" s="163"/>
      <c r="U619" s="163"/>
      <c r="V619" s="163"/>
      <c r="W619" s="163"/>
      <c r="X619" s="163"/>
      <c r="Y619" s="163"/>
      <c r="Z619" s="163"/>
      <c r="AA619" s="163"/>
      <c r="AB619" s="163"/>
      <c r="AC619" s="163"/>
      <c r="AD619" s="163"/>
      <c r="AE619" s="163"/>
      <c r="AF619" s="163"/>
      <c r="AG619" s="163"/>
      <c r="AH619" s="163"/>
      <c r="AI619" s="163"/>
      <c r="AJ619" s="163"/>
      <c r="AK619" s="163"/>
      <c r="AL619" s="163"/>
      <c r="AM619" s="163"/>
      <c r="AN619" s="130"/>
      <c r="AO619" s="130"/>
      <c r="AP619" s="130"/>
      <c r="AQ619" s="130"/>
      <c r="AR619" s="130"/>
      <c r="AS619" s="130"/>
      <c r="AT619" s="130"/>
    </row>
    <row r="620" ht="13.5" customHeight="1">
      <c r="A620" s="130"/>
      <c r="B620" s="130"/>
      <c r="C620" s="130"/>
      <c r="D620" s="130"/>
      <c r="E620" s="163"/>
      <c r="F620" s="163"/>
      <c r="G620" s="163"/>
      <c r="H620" s="163"/>
      <c r="I620" s="163"/>
      <c r="J620" s="163"/>
      <c r="K620" s="130"/>
      <c r="L620" s="130"/>
      <c r="M620" s="130"/>
      <c r="N620" s="130"/>
      <c r="O620" s="130"/>
      <c r="P620" s="130"/>
      <c r="Q620" s="130"/>
      <c r="R620" s="130"/>
      <c r="S620" s="163"/>
      <c r="T620" s="163"/>
      <c r="U620" s="163"/>
      <c r="V620" s="163"/>
      <c r="W620" s="163"/>
      <c r="X620" s="163"/>
      <c r="Y620" s="163"/>
      <c r="Z620" s="163"/>
      <c r="AA620" s="163"/>
      <c r="AB620" s="163"/>
      <c r="AC620" s="163"/>
      <c r="AD620" s="163"/>
      <c r="AE620" s="163"/>
      <c r="AF620" s="163"/>
      <c r="AG620" s="163"/>
      <c r="AH620" s="163"/>
      <c r="AI620" s="163"/>
      <c r="AJ620" s="163"/>
      <c r="AK620" s="163"/>
      <c r="AL620" s="163"/>
      <c r="AM620" s="163"/>
      <c r="AN620" s="130"/>
      <c r="AO620" s="130"/>
      <c r="AP620" s="130"/>
      <c r="AQ620" s="130"/>
      <c r="AR620" s="130"/>
      <c r="AS620" s="130"/>
      <c r="AT620" s="130"/>
    </row>
    <row r="621" ht="13.5" customHeight="1">
      <c r="A621" s="130"/>
      <c r="B621" s="130"/>
      <c r="C621" s="130"/>
      <c r="D621" s="130"/>
      <c r="E621" s="163"/>
      <c r="F621" s="163"/>
      <c r="G621" s="163"/>
      <c r="H621" s="163"/>
      <c r="I621" s="163"/>
      <c r="J621" s="163"/>
      <c r="K621" s="130"/>
      <c r="L621" s="130"/>
      <c r="M621" s="130"/>
      <c r="N621" s="130"/>
      <c r="O621" s="130"/>
      <c r="P621" s="130"/>
      <c r="Q621" s="130"/>
      <c r="R621" s="130"/>
      <c r="S621" s="163"/>
      <c r="T621" s="163"/>
      <c r="U621" s="163"/>
      <c r="V621" s="163"/>
      <c r="W621" s="163"/>
      <c r="X621" s="163"/>
      <c r="Y621" s="163"/>
      <c r="Z621" s="163"/>
      <c r="AA621" s="163"/>
      <c r="AB621" s="163"/>
      <c r="AC621" s="163"/>
      <c r="AD621" s="163"/>
      <c r="AE621" s="163"/>
      <c r="AF621" s="163"/>
      <c r="AG621" s="163"/>
      <c r="AH621" s="163"/>
      <c r="AI621" s="163"/>
      <c r="AJ621" s="163"/>
      <c r="AK621" s="163"/>
      <c r="AL621" s="163"/>
      <c r="AM621" s="163"/>
      <c r="AN621" s="130"/>
      <c r="AO621" s="130"/>
      <c r="AP621" s="130"/>
      <c r="AQ621" s="130"/>
      <c r="AR621" s="130"/>
      <c r="AS621" s="130"/>
      <c r="AT621" s="130"/>
    </row>
    <row r="622" ht="13.5" customHeight="1">
      <c r="A622" s="130"/>
      <c r="B622" s="130"/>
      <c r="C622" s="130"/>
      <c r="D622" s="130"/>
      <c r="E622" s="163"/>
      <c r="F622" s="163"/>
      <c r="G622" s="163"/>
      <c r="H622" s="163"/>
      <c r="I622" s="163"/>
      <c r="J622" s="163"/>
      <c r="K622" s="130"/>
      <c r="L622" s="130"/>
      <c r="M622" s="130"/>
      <c r="N622" s="130"/>
      <c r="O622" s="130"/>
      <c r="P622" s="130"/>
      <c r="Q622" s="130"/>
      <c r="R622" s="130"/>
      <c r="S622" s="163"/>
      <c r="T622" s="163"/>
      <c r="U622" s="163"/>
      <c r="V622" s="163"/>
      <c r="W622" s="163"/>
      <c r="X622" s="163"/>
      <c r="Y622" s="163"/>
      <c r="Z622" s="163"/>
      <c r="AA622" s="163"/>
      <c r="AB622" s="163"/>
      <c r="AC622" s="163"/>
      <c r="AD622" s="163"/>
      <c r="AE622" s="163"/>
      <c r="AF622" s="163"/>
      <c r="AG622" s="163"/>
      <c r="AH622" s="163"/>
      <c r="AI622" s="163"/>
      <c r="AJ622" s="163"/>
      <c r="AK622" s="163"/>
      <c r="AL622" s="163"/>
      <c r="AM622" s="163"/>
      <c r="AN622" s="130"/>
      <c r="AO622" s="130"/>
      <c r="AP622" s="130"/>
      <c r="AQ622" s="130"/>
      <c r="AR622" s="130"/>
      <c r="AS622" s="130"/>
      <c r="AT622" s="130"/>
    </row>
    <row r="623" ht="13.5" customHeight="1">
      <c r="A623" s="130"/>
      <c r="B623" s="130"/>
      <c r="C623" s="130"/>
      <c r="D623" s="130"/>
      <c r="E623" s="163"/>
      <c r="F623" s="163"/>
      <c r="G623" s="163"/>
      <c r="H623" s="163"/>
      <c r="I623" s="163"/>
      <c r="J623" s="163"/>
      <c r="K623" s="130"/>
      <c r="L623" s="130"/>
      <c r="M623" s="130"/>
      <c r="N623" s="130"/>
      <c r="O623" s="130"/>
      <c r="P623" s="130"/>
      <c r="Q623" s="130"/>
      <c r="R623" s="130"/>
      <c r="S623" s="163"/>
      <c r="T623" s="163"/>
      <c r="U623" s="163"/>
      <c r="V623" s="163"/>
      <c r="W623" s="163"/>
      <c r="X623" s="163"/>
      <c r="Y623" s="163"/>
      <c r="Z623" s="163"/>
      <c r="AA623" s="163"/>
      <c r="AB623" s="163"/>
      <c r="AC623" s="163"/>
      <c r="AD623" s="163"/>
      <c r="AE623" s="163"/>
      <c r="AF623" s="163"/>
      <c r="AG623" s="163"/>
      <c r="AH623" s="163"/>
      <c r="AI623" s="163"/>
      <c r="AJ623" s="163"/>
      <c r="AK623" s="163"/>
      <c r="AL623" s="163"/>
      <c r="AM623" s="163"/>
      <c r="AN623" s="130"/>
      <c r="AO623" s="130"/>
      <c r="AP623" s="130"/>
      <c r="AQ623" s="130"/>
      <c r="AR623" s="130"/>
      <c r="AS623" s="130"/>
      <c r="AT623" s="130"/>
    </row>
    <row r="624" ht="13.5" customHeight="1">
      <c r="A624" s="130"/>
      <c r="B624" s="130"/>
      <c r="C624" s="130"/>
      <c r="D624" s="130"/>
      <c r="E624" s="163"/>
      <c r="F624" s="163"/>
      <c r="G624" s="163"/>
      <c r="H624" s="163"/>
      <c r="I624" s="163"/>
      <c r="J624" s="163"/>
      <c r="K624" s="130"/>
      <c r="L624" s="130"/>
      <c r="M624" s="130"/>
      <c r="N624" s="130"/>
      <c r="O624" s="130"/>
      <c r="P624" s="130"/>
      <c r="Q624" s="130"/>
      <c r="R624" s="130"/>
      <c r="S624" s="163"/>
      <c r="T624" s="163"/>
      <c r="U624" s="163"/>
      <c r="V624" s="163"/>
      <c r="W624" s="163"/>
      <c r="X624" s="163"/>
      <c r="Y624" s="163"/>
      <c r="Z624" s="163"/>
      <c r="AA624" s="163"/>
      <c r="AB624" s="163"/>
      <c r="AC624" s="163"/>
      <c r="AD624" s="163"/>
      <c r="AE624" s="163"/>
      <c r="AF624" s="163"/>
      <c r="AG624" s="163"/>
      <c r="AH624" s="163"/>
      <c r="AI624" s="163"/>
      <c r="AJ624" s="163"/>
      <c r="AK624" s="163"/>
      <c r="AL624" s="163"/>
      <c r="AM624" s="163"/>
      <c r="AN624" s="130"/>
      <c r="AO624" s="130"/>
      <c r="AP624" s="130"/>
      <c r="AQ624" s="130"/>
      <c r="AR624" s="130"/>
      <c r="AS624" s="130"/>
      <c r="AT624" s="130"/>
    </row>
    <row r="625" ht="13.5" customHeight="1">
      <c r="A625" s="130"/>
      <c r="B625" s="130"/>
      <c r="C625" s="130"/>
      <c r="D625" s="130"/>
      <c r="E625" s="163"/>
      <c r="F625" s="163"/>
      <c r="G625" s="163"/>
      <c r="H625" s="163"/>
      <c r="I625" s="163"/>
      <c r="J625" s="163"/>
      <c r="K625" s="130"/>
      <c r="L625" s="130"/>
      <c r="M625" s="130"/>
      <c r="N625" s="130"/>
      <c r="O625" s="130"/>
      <c r="P625" s="130"/>
      <c r="Q625" s="130"/>
      <c r="R625" s="130"/>
      <c r="S625" s="163"/>
      <c r="T625" s="163"/>
      <c r="U625" s="163"/>
      <c r="V625" s="163"/>
      <c r="W625" s="163"/>
      <c r="X625" s="163"/>
      <c r="Y625" s="163"/>
      <c r="Z625" s="163"/>
      <c r="AA625" s="163"/>
      <c r="AB625" s="163"/>
      <c r="AC625" s="163"/>
      <c r="AD625" s="163"/>
      <c r="AE625" s="163"/>
      <c r="AF625" s="163"/>
      <c r="AG625" s="163"/>
      <c r="AH625" s="163"/>
      <c r="AI625" s="163"/>
      <c r="AJ625" s="163"/>
      <c r="AK625" s="163"/>
      <c r="AL625" s="163"/>
      <c r="AM625" s="163"/>
      <c r="AN625" s="130"/>
      <c r="AO625" s="130"/>
      <c r="AP625" s="130"/>
      <c r="AQ625" s="130"/>
      <c r="AR625" s="130"/>
      <c r="AS625" s="130"/>
      <c r="AT625" s="130"/>
    </row>
    <row r="626" ht="13.5" customHeight="1">
      <c r="A626" s="130"/>
      <c r="B626" s="130"/>
      <c r="C626" s="130"/>
      <c r="D626" s="130"/>
      <c r="E626" s="163"/>
      <c r="F626" s="163"/>
      <c r="G626" s="163"/>
      <c r="H626" s="163"/>
      <c r="I626" s="163"/>
      <c r="J626" s="163"/>
      <c r="K626" s="130"/>
      <c r="L626" s="130"/>
      <c r="M626" s="130"/>
      <c r="N626" s="130"/>
      <c r="O626" s="130"/>
      <c r="P626" s="130"/>
      <c r="Q626" s="130"/>
      <c r="R626" s="130"/>
      <c r="S626" s="163"/>
      <c r="T626" s="163"/>
      <c r="U626" s="163"/>
      <c r="V626" s="163"/>
      <c r="W626" s="163"/>
      <c r="X626" s="163"/>
      <c r="Y626" s="163"/>
      <c r="Z626" s="163"/>
      <c r="AA626" s="163"/>
      <c r="AB626" s="163"/>
      <c r="AC626" s="163"/>
      <c r="AD626" s="163"/>
      <c r="AE626" s="163"/>
      <c r="AF626" s="163"/>
      <c r="AG626" s="163"/>
      <c r="AH626" s="163"/>
      <c r="AI626" s="163"/>
      <c r="AJ626" s="163"/>
      <c r="AK626" s="163"/>
      <c r="AL626" s="163"/>
      <c r="AM626" s="163"/>
      <c r="AN626" s="130"/>
      <c r="AO626" s="130"/>
      <c r="AP626" s="130"/>
      <c r="AQ626" s="130"/>
      <c r="AR626" s="130"/>
      <c r="AS626" s="130"/>
      <c r="AT626" s="130"/>
    </row>
    <row r="627" ht="13.5" customHeight="1">
      <c r="A627" s="130"/>
      <c r="B627" s="130"/>
      <c r="C627" s="130"/>
      <c r="D627" s="130"/>
      <c r="E627" s="163"/>
      <c r="F627" s="163"/>
      <c r="G627" s="163"/>
      <c r="H627" s="163"/>
      <c r="I627" s="163"/>
      <c r="J627" s="163"/>
      <c r="K627" s="130"/>
      <c r="L627" s="130"/>
      <c r="M627" s="130"/>
      <c r="N627" s="130"/>
      <c r="O627" s="130"/>
      <c r="P627" s="130"/>
      <c r="Q627" s="130"/>
      <c r="R627" s="130"/>
      <c r="S627" s="163"/>
      <c r="T627" s="163"/>
      <c r="U627" s="163"/>
      <c r="V627" s="163"/>
      <c r="W627" s="163"/>
      <c r="X627" s="163"/>
      <c r="Y627" s="163"/>
      <c r="Z627" s="163"/>
      <c r="AA627" s="163"/>
      <c r="AB627" s="163"/>
      <c r="AC627" s="163"/>
      <c r="AD627" s="163"/>
      <c r="AE627" s="163"/>
      <c r="AF627" s="163"/>
      <c r="AG627" s="163"/>
      <c r="AH627" s="163"/>
      <c r="AI627" s="163"/>
      <c r="AJ627" s="163"/>
      <c r="AK627" s="163"/>
      <c r="AL627" s="163"/>
      <c r="AM627" s="163"/>
      <c r="AN627" s="130"/>
      <c r="AO627" s="130"/>
      <c r="AP627" s="130"/>
      <c r="AQ627" s="130"/>
      <c r="AR627" s="130"/>
      <c r="AS627" s="130"/>
      <c r="AT627" s="130"/>
    </row>
    <row r="628" ht="13.5" customHeight="1">
      <c r="A628" s="130"/>
      <c r="B628" s="130"/>
      <c r="C628" s="130"/>
      <c r="D628" s="130"/>
      <c r="E628" s="163"/>
      <c r="F628" s="163"/>
      <c r="G628" s="163"/>
      <c r="H628" s="163"/>
      <c r="I628" s="163"/>
      <c r="J628" s="163"/>
      <c r="K628" s="130"/>
      <c r="L628" s="130"/>
      <c r="M628" s="130"/>
      <c r="N628" s="130"/>
      <c r="O628" s="130"/>
      <c r="P628" s="130"/>
      <c r="Q628" s="130"/>
      <c r="R628" s="130"/>
      <c r="S628" s="163"/>
      <c r="T628" s="163"/>
      <c r="U628" s="163"/>
      <c r="V628" s="163"/>
      <c r="W628" s="163"/>
      <c r="X628" s="163"/>
      <c r="Y628" s="163"/>
      <c r="Z628" s="163"/>
      <c r="AA628" s="163"/>
      <c r="AB628" s="163"/>
      <c r="AC628" s="163"/>
      <c r="AD628" s="163"/>
      <c r="AE628" s="163"/>
      <c r="AF628" s="163"/>
      <c r="AG628" s="163"/>
      <c r="AH628" s="163"/>
      <c r="AI628" s="163"/>
      <c r="AJ628" s="163"/>
      <c r="AK628" s="163"/>
      <c r="AL628" s="163"/>
      <c r="AM628" s="163"/>
      <c r="AN628" s="130"/>
      <c r="AO628" s="130"/>
      <c r="AP628" s="130"/>
      <c r="AQ628" s="130"/>
      <c r="AR628" s="130"/>
      <c r="AS628" s="130"/>
      <c r="AT628" s="130"/>
    </row>
    <row r="629" ht="13.5" customHeight="1">
      <c r="A629" s="130"/>
      <c r="B629" s="130"/>
      <c r="C629" s="130"/>
      <c r="D629" s="130"/>
      <c r="E629" s="163"/>
      <c r="F629" s="163"/>
      <c r="G629" s="163"/>
      <c r="H629" s="163"/>
      <c r="I629" s="163"/>
      <c r="J629" s="163"/>
      <c r="K629" s="130"/>
      <c r="L629" s="130"/>
      <c r="M629" s="130"/>
      <c r="N629" s="130"/>
      <c r="O629" s="130"/>
      <c r="P629" s="130"/>
      <c r="Q629" s="130"/>
      <c r="R629" s="130"/>
      <c r="S629" s="163"/>
      <c r="T629" s="163"/>
      <c r="U629" s="163"/>
      <c r="V629" s="163"/>
      <c r="W629" s="163"/>
      <c r="X629" s="163"/>
      <c r="Y629" s="163"/>
      <c r="Z629" s="163"/>
      <c r="AA629" s="163"/>
      <c r="AB629" s="163"/>
      <c r="AC629" s="163"/>
      <c r="AD629" s="163"/>
      <c r="AE629" s="163"/>
      <c r="AF629" s="163"/>
      <c r="AG629" s="163"/>
      <c r="AH629" s="163"/>
      <c r="AI629" s="163"/>
      <c r="AJ629" s="163"/>
      <c r="AK629" s="163"/>
      <c r="AL629" s="163"/>
      <c r="AM629" s="163"/>
      <c r="AN629" s="130"/>
      <c r="AO629" s="130"/>
      <c r="AP629" s="130"/>
      <c r="AQ629" s="130"/>
      <c r="AR629" s="130"/>
      <c r="AS629" s="130"/>
      <c r="AT629" s="130"/>
    </row>
    <row r="630" ht="13.5" customHeight="1">
      <c r="A630" s="130"/>
      <c r="B630" s="130"/>
      <c r="C630" s="130"/>
      <c r="D630" s="130"/>
      <c r="E630" s="163"/>
      <c r="F630" s="163"/>
      <c r="G630" s="163"/>
      <c r="H630" s="163"/>
      <c r="I630" s="163"/>
      <c r="J630" s="163"/>
      <c r="K630" s="130"/>
      <c r="L630" s="130"/>
      <c r="M630" s="130"/>
      <c r="N630" s="130"/>
      <c r="O630" s="130"/>
      <c r="P630" s="130"/>
      <c r="Q630" s="130"/>
      <c r="R630" s="130"/>
      <c r="S630" s="163"/>
      <c r="T630" s="163"/>
      <c r="U630" s="163"/>
      <c r="V630" s="163"/>
      <c r="W630" s="163"/>
      <c r="X630" s="163"/>
      <c r="Y630" s="163"/>
      <c r="Z630" s="163"/>
      <c r="AA630" s="163"/>
      <c r="AB630" s="163"/>
      <c r="AC630" s="163"/>
      <c r="AD630" s="163"/>
      <c r="AE630" s="163"/>
      <c r="AF630" s="163"/>
      <c r="AG630" s="163"/>
      <c r="AH630" s="163"/>
      <c r="AI630" s="163"/>
      <c r="AJ630" s="163"/>
      <c r="AK630" s="163"/>
      <c r="AL630" s="163"/>
      <c r="AM630" s="163"/>
      <c r="AN630" s="130"/>
      <c r="AO630" s="130"/>
      <c r="AP630" s="130"/>
      <c r="AQ630" s="130"/>
      <c r="AR630" s="130"/>
      <c r="AS630" s="130"/>
      <c r="AT630" s="130"/>
    </row>
    <row r="631" ht="13.5" customHeight="1">
      <c r="A631" s="130"/>
      <c r="B631" s="130"/>
      <c r="C631" s="130"/>
      <c r="D631" s="130"/>
      <c r="E631" s="163"/>
      <c r="F631" s="163"/>
      <c r="G631" s="163"/>
      <c r="H631" s="163"/>
      <c r="I631" s="163"/>
      <c r="J631" s="163"/>
      <c r="K631" s="130"/>
      <c r="L631" s="130"/>
      <c r="M631" s="130"/>
      <c r="N631" s="130"/>
      <c r="O631" s="130"/>
      <c r="P631" s="130"/>
      <c r="Q631" s="130"/>
      <c r="R631" s="130"/>
      <c r="S631" s="163"/>
      <c r="T631" s="163"/>
      <c r="U631" s="163"/>
      <c r="V631" s="163"/>
      <c r="W631" s="163"/>
      <c r="X631" s="163"/>
      <c r="Y631" s="163"/>
      <c r="Z631" s="163"/>
      <c r="AA631" s="163"/>
      <c r="AB631" s="163"/>
      <c r="AC631" s="163"/>
      <c r="AD631" s="163"/>
      <c r="AE631" s="163"/>
      <c r="AF631" s="163"/>
      <c r="AG631" s="163"/>
      <c r="AH631" s="163"/>
      <c r="AI631" s="163"/>
      <c r="AJ631" s="163"/>
      <c r="AK631" s="163"/>
      <c r="AL631" s="163"/>
      <c r="AM631" s="163"/>
      <c r="AN631" s="130"/>
      <c r="AO631" s="130"/>
      <c r="AP631" s="130"/>
      <c r="AQ631" s="130"/>
      <c r="AR631" s="130"/>
      <c r="AS631" s="130"/>
      <c r="AT631" s="130"/>
    </row>
    <row r="632" ht="13.5" customHeight="1">
      <c r="A632" s="130"/>
      <c r="B632" s="130"/>
      <c r="C632" s="130"/>
      <c r="D632" s="130"/>
      <c r="E632" s="163"/>
      <c r="F632" s="163"/>
      <c r="G632" s="163"/>
      <c r="H632" s="163"/>
      <c r="I632" s="163"/>
      <c r="J632" s="163"/>
      <c r="K632" s="130"/>
      <c r="L632" s="130"/>
      <c r="M632" s="130"/>
      <c r="N632" s="130"/>
      <c r="O632" s="130"/>
      <c r="P632" s="130"/>
      <c r="Q632" s="130"/>
      <c r="R632" s="130"/>
      <c r="S632" s="163"/>
      <c r="T632" s="163"/>
      <c r="U632" s="163"/>
      <c r="V632" s="163"/>
      <c r="W632" s="163"/>
      <c r="X632" s="163"/>
      <c r="Y632" s="163"/>
      <c r="Z632" s="163"/>
      <c r="AA632" s="163"/>
      <c r="AB632" s="163"/>
      <c r="AC632" s="163"/>
      <c r="AD632" s="163"/>
      <c r="AE632" s="163"/>
      <c r="AF632" s="163"/>
      <c r="AG632" s="163"/>
      <c r="AH632" s="163"/>
      <c r="AI632" s="163"/>
      <c r="AJ632" s="163"/>
      <c r="AK632" s="163"/>
      <c r="AL632" s="163"/>
      <c r="AM632" s="163"/>
      <c r="AN632" s="130"/>
      <c r="AO632" s="130"/>
      <c r="AP632" s="130"/>
      <c r="AQ632" s="130"/>
      <c r="AR632" s="130"/>
      <c r="AS632" s="130"/>
      <c r="AT632" s="130"/>
    </row>
    <row r="633" ht="13.5" customHeight="1">
      <c r="A633" s="130"/>
      <c r="B633" s="130"/>
      <c r="C633" s="130"/>
      <c r="D633" s="130"/>
      <c r="E633" s="163"/>
      <c r="F633" s="163"/>
      <c r="G633" s="163"/>
      <c r="H633" s="163"/>
      <c r="I633" s="163"/>
      <c r="J633" s="163"/>
      <c r="K633" s="130"/>
      <c r="L633" s="130"/>
      <c r="M633" s="130"/>
      <c r="N633" s="130"/>
      <c r="O633" s="130"/>
      <c r="P633" s="130"/>
      <c r="Q633" s="130"/>
      <c r="R633" s="130"/>
      <c r="S633" s="163"/>
      <c r="T633" s="163"/>
      <c r="U633" s="163"/>
      <c r="V633" s="163"/>
      <c r="W633" s="163"/>
      <c r="X633" s="163"/>
      <c r="Y633" s="163"/>
      <c r="Z633" s="163"/>
      <c r="AA633" s="163"/>
      <c r="AB633" s="163"/>
      <c r="AC633" s="163"/>
      <c r="AD633" s="163"/>
      <c r="AE633" s="163"/>
      <c r="AF633" s="163"/>
      <c r="AG633" s="163"/>
      <c r="AH633" s="163"/>
      <c r="AI633" s="163"/>
      <c r="AJ633" s="163"/>
      <c r="AK633" s="163"/>
      <c r="AL633" s="163"/>
      <c r="AM633" s="163"/>
      <c r="AN633" s="130"/>
      <c r="AO633" s="130"/>
      <c r="AP633" s="130"/>
      <c r="AQ633" s="130"/>
      <c r="AR633" s="130"/>
      <c r="AS633" s="130"/>
      <c r="AT633" s="130"/>
    </row>
    <row r="634" ht="13.5" customHeight="1">
      <c r="A634" s="130"/>
      <c r="B634" s="130"/>
      <c r="C634" s="130"/>
      <c r="D634" s="130"/>
      <c r="E634" s="163"/>
      <c r="F634" s="163"/>
      <c r="G634" s="163"/>
      <c r="H634" s="163"/>
      <c r="I634" s="163"/>
      <c r="J634" s="163"/>
      <c r="K634" s="130"/>
      <c r="L634" s="130"/>
      <c r="M634" s="130"/>
      <c r="N634" s="130"/>
      <c r="O634" s="130"/>
      <c r="P634" s="130"/>
      <c r="Q634" s="130"/>
      <c r="R634" s="130"/>
      <c r="S634" s="163"/>
      <c r="T634" s="163"/>
      <c r="U634" s="163"/>
      <c r="V634" s="163"/>
      <c r="W634" s="163"/>
      <c r="X634" s="163"/>
      <c r="Y634" s="163"/>
      <c r="Z634" s="163"/>
      <c r="AA634" s="163"/>
      <c r="AB634" s="163"/>
      <c r="AC634" s="163"/>
      <c r="AD634" s="163"/>
      <c r="AE634" s="163"/>
      <c r="AF634" s="163"/>
      <c r="AG634" s="163"/>
      <c r="AH634" s="163"/>
      <c r="AI634" s="163"/>
      <c r="AJ634" s="163"/>
      <c r="AK634" s="163"/>
      <c r="AL634" s="163"/>
      <c r="AM634" s="163"/>
      <c r="AN634" s="130"/>
      <c r="AO634" s="130"/>
      <c r="AP634" s="130"/>
      <c r="AQ634" s="130"/>
      <c r="AR634" s="130"/>
      <c r="AS634" s="130"/>
      <c r="AT634" s="130"/>
    </row>
    <row r="635" ht="13.5" customHeight="1">
      <c r="A635" s="130"/>
      <c r="B635" s="130"/>
      <c r="C635" s="130"/>
      <c r="D635" s="130"/>
      <c r="E635" s="163"/>
      <c r="F635" s="163"/>
      <c r="G635" s="163"/>
      <c r="H635" s="163"/>
      <c r="I635" s="163"/>
      <c r="J635" s="163"/>
      <c r="K635" s="130"/>
      <c r="L635" s="130"/>
      <c r="M635" s="130"/>
      <c r="N635" s="130"/>
      <c r="O635" s="130"/>
      <c r="P635" s="130"/>
      <c r="Q635" s="130"/>
      <c r="R635" s="130"/>
      <c r="S635" s="163"/>
      <c r="T635" s="163"/>
      <c r="U635" s="163"/>
      <c r="V635" s="163"/>
      <c r="W635" s="163"/>
      <c r="X635" s="163"/>
      <c r="Y635" s="163"/>
      <c r="Z635" s="163"/>
      <c r="AA635" s="163"/>
      <c r="AB635" s="163"/>
      <c r="AC635" s="163"/>
      <c r="AD635" s="163"/>
      <c r="AE635" s="163"/>
      <c r="AF635" s="163"/>
      <c r="AG635" s="163"/>
      <c r="AH635" s="163"/>
      <c r="AI635" s="163"/>
      <c r="AJ635" s="163"/>
      <c r="AK635" s="163"/>
      <c r="AL635" s="163"/>
      <c r="AM635" s="163"/>
      <c r="AN635" s="130"/>
      <c r="AO635" s="130"/>
      <c r="AP635" s="130"/>
      <c r="AQ635" s="130"/>
      <c r="AR635" s="130"/>
      <c r="AS635" s="130"/>
      <c r="AT635" s="130"/>
    </row>
    <row r="636" ht="13.5" customHeight="1">
      <c r="A636" s="130"/>
      <c r="B636" s="130"/>
      <c r="C636" s="130"/>
      <c r="D636" s="130"/>
      <c r="E636" s="163"/>
      <c r="F636" s="163"/>
      <c r="G636" s="163"/>
      <c r="H636" s="163"/>
      <c r="I636" s="163"/>
      <c r="J636" s="163"/>
      <c r="K636" s="130"/>
      <c r="L636" s="130"/>
      <c r="M636" s="130"/>
      <c r="N636" s="130"/>
      <c r="O636" s="130"/>
      <c r="P636" s="130"/>
      <c r="Q636" s="130"/>
      <c r="R636" s="130"/>
      <c r="S636" s="163"/>
      <c r="T636" s="163"/>
      <c r="U636" s="163"/>
      <c r="V636" s="163"/>
      <c r="W636" s="163"/>
      <c r="X636" s="163"/>
      <c r="Y636" s="163"/>
      <c r="Z636" s="163"/>
      <c r="AA636" s="163"/>
      <c r="AB636" s="163"/>
      <c r="AC636" s="163"/>
      <c r="AD636" s="163"/>
      <c r="AE636" s="163"/>
      <c r="AF636" s="163"/>
      <c r="AG636" s="163"/>
      <c r="AH636" s="163"/>
      <c r="AI636" s="163"/>
      <c r="AJ636" s="163"/>
      <c r="AK636" s="163"/>
      <c r="AL636" s="163"/>
      <c r="AM636" s="163"/>
      <c r="AN636" s="130"/>
      <c r="AO636" s="130"/>
      <c r="AP636" s="130"/>
      <c r="AQ636" s="130"/>
      <c r="AR636" s="130"/>
      <c r="AS636" s="130"/>
      <c r="AT636" s="130"/>
    </row>
    <row r="637" ht="13.5" customHeight="1">
      <c r="A637" s="130"/>
      <c r="B637" s="130"/>
      <c r="C637" s="130"/>
      <c r="D637" s="130"/>
      <c r="E637" s="163"/>
      <c r="F637" s="163"/>
      <c r="G637" s="163"/>
      <c r="H637" s="163"/>
      <c r="I637" s="163"/>
      <c r="J637" s="163"/>
      <c r="K637" s="130"/>
      <c r="L637" s="130"/>
      <c r="M637" s="130"/>
      <c r="N637" s="130"/>
      <c r="O637" s="130"/>
      <c r="P637" s="130"/>
      <c r="Q637" s="130"/>
      <c r="R637" s="130"/>
      <c r="S637" s="163"/>
      <c r="T637" s="163"/>
      <c r="U637" s="163"/>
      <c r="V637" s="163"/>
      <c r="W637" s="163"/>
      <c r="X637" s="163"/>
      <c r="Y637" s="163"/>
      <c r="Z637" s="163"/>
      <c r="AA637" s="163"/>
      <c r="AB637" s="163"/>
      <c r="AC637" s="163"/>
      <c r="AD637" s="163"/>
      <c r="AE637" s="163"/>
      <c r="AF637" s="163"/>
      <c r="AG637" s="163"/>
      <c r="AH637" s="163"/>
      <c r="AI637" s="163"/>
      <c r="AJ637" s="163"/>
      <c r="AK637" s="163"/>
      <c r="AL637" s="163"/>
      <c r="AM637" s="163"/>
      <c r="AN637" s="130"/>
      <c r="AO637" s="130"/>
      <c r="AP637" s="130"/>
      <c r="AQ637" s="130"/>
      <c r="AR637" s="130"/>
      <c r="AS637" s="130"/>
      <c r="AT637" s="130"/>
    </row>
    <row r="638" ht="13.5" customHeight="1">
      <c r="A638" s="130"/>
      <c r="B638" s="130"/>
      <c r="C638" s="130"/>
      <c r="D638" s="130"/>
      <c r="E638" s="163"/>
      <c r="F638" s="163"/>
      <c r="G638" s="163"/>
      <c r="H638" s="163"/>
      <c r="I638" s="163"/>
      <c r="J638" s="163"/>
      <c r="K638" s="130"/>
      <c r="L638" s="130"/>
      <c r="M638" s="130"/>
      <c r="N638" s="130"/>
      <c r="O638" s="130"/>
      <c r="P638" s="130"/>
      <c r="Q638" s="130"/>
      <c r="R638" s="130"/>
      <c r="S638" s="163"/>
      <c r="T638" s="163"/>
      <c r="U638" s="163"/>
      <c r="V638" s="163"/>
      <c r="W638" s="163"/>
      <c r="X638" s="163"/>
      <c r="Y638" s="163"/>
      <c r="Z638" s="163"/>
      <c r="AA638" s="163"/>
      <c r="AB638" s="163"/>
      <c r="AC638" s="163"/>
      <c r="AD638" s="163"/>
      <c r="AE638" s="163"/>
      <c r="AF638" s="163"/>
      <c r="AG638" s="163"/>
      <c r="AH638" s="163"/>
      <c r="AI638" s="163"/>
      <c r="AJ638" s="163"/>
      <c r="AK638" s="163"/>
      <c r="AL638" s="163"/>
      <c r="AM638" s="163"/>
      <c r="AN638" s="130"/>
      <c r="AO638" s="130"/>
      <c r="AP638" s="130"/>
      <c r="AQ638" s="130"/>
      <c r="AR638" s="130"/>
      <c r="AS638" s="130"/>
      <c r="AT638" s="130"/>
    </row>
    <row r="639" ht="13.5" customHeight="1">
      <c r="A639" s="130"/>
      <c r="B639" s="130"/>
      <c r="C639" s="130"/>
      <c r="D639" s="130"/>
      <c r="E639" s="163"/>
      <c r="F639" s="163"/>
      <c r="G639" s="163"/>
      <c r="H639" s="163"/>
      <c r="I639" s="163"/>
      <c r="J639" s="163"/>
      <c r="K639" s="130"/>
      <c r="L639" s="130"/>
      <c r="M639" s="130"/>
      <c r="N639" s="130"/>
      <c r="O639" s="130"/>
      <c r="P639" s="130"/>
      <c r="Q639" s="130"/>
      <c r="R639" s="130"/>
      <c r="S639" s="163"/>
      <c r="T639" s="163"/>
      <c r="U639" s="163"/>
      <c r="V639" s="163"/>
      <c r="W639" s="163"/>
      <c r="X639" s="163"/>
      <c r="Y639" s="163"/>
      <c r="Z639" s="163"/>
      <c r="AA639" s="163"/>
      <c r="AB639" s="163"/>
      <c r="AC639" s="163"/>
      <c r="AD639" s="163"/>
      <c r="AE639" s="163"/>
      <c r="AF639" s="163"/>
      <c r="AG639" s="163"/>
      <c r="AH639" s="163"/>
      <c r="AI639" s="163"/>
      <c r="AJ639" s="163"/>
      <c r="AK639" s="163"/>
      <c r="AL639" s="163"/>
      <c r="AM639" s="163"/>
      <c r="AN639" s="130"/>
      <c r="AO639" s="130"/>
      <c r="AP639" s="130"/>
      <c r="AQ639" s="130"/>
      <c r="AR639" s="130"/>
      <c r="AS639" s="130"/>
      <c r="AT639" s="130"/>
    </row>
    <row r="640" ht="13.5" customHeight="1">
      <c r="A640" s="130"/>
      <c r="B640" s="130"/>
      <c r="C640" s="130"/>
      <c r="D640" s="130"/>
      <c r="E640" s="163"/>
      <c r="F640" s="163"/>
      <c r="G640" s="163"/>
      <c r="H640" s="163"/>
      <c r="I640" s="163"/>
      <c r="J640" s="163"/>
      <c r="K640" s="130"/>
      <c r="L640" s="130"/>
      <c r="M640" s="130"/>
      <c r="N640" s="130"/>
      <c r="O640" s="130"/>
      <c r="P640" s="130"/>
      <c r="Q640" s="130"/>
      <c r="R640" s="130"/>
      <c r="S640" s="163"/>
      <c r="T640" s="163"/>
      <c r="U640" s="163"/>
      <c r="V640" s="163"/>
      <c r="W640" s="163"/>
      <c r="X640" s="163"/>
      <c r="Y640" s="163"/>
      <c r="Z640" s="163"/>
      <c r="AA640" s="163"/>
      <c r="AB640" s="163"/>
      <c r="AC640" s="163"/>
      <c r="AD640" s="163"/>
      <c r="AE640" s="163"/>
      <c r="AF640" s="163"/>
      <c r="AG640" s="163"/>
      <c r="AH640" s="163"/>
      <c r="AI640" s="163"/>
      <c r="AJ640" s="163"/>
      <c r="AK640" s="163"/>
      <c r="AL640" s="163"/>
      <c r="AM640" s="163"/>
      <c r="AN640" s="130"/>
      <c r="AO640" s="130"/>
      <c r="AP640" s="130"/>
      <c r="AQ640" s="130"/>
      <c r="AR640" s="130"/>
      <c r="AS640" s="130"/>
      <c r="AT640" s="130"/>
    </row>
    <row r="641" ht="13.5" customHeight="1">
      <c r="A641" s="130"/>
      <c r="B641" s="130"/>
      <c r="C641" s="130"/>
      <c r="D641" s="130"/>
      <c r="E641" s="163"/>
      <c r="F641" s="163"/>
      <c r="G641" s="163"/>
      <c r="H641" s="163"/>
      <c r="I641" s="163"/>
      <c r="J641" s="163"/>
      <c r="K641" s="130"/>
      <c r="L641" s="130"/>
      <c r="M641" s="130"/>
      <c r="N641" s="130"/>
      <c r="O641" s="130"/>
      <c r="P641" s="130"/>
      <c r="Q641" s="130"/>
      <c r="R641" s="130"/>
      <c r="S641" s="163"/>
      <c r="T641" s="163"/>
      <c r="U641" s="163"/>
      <c r="V641" s="163"/>
      <c r="W641" s="163"/>
      <c r="X641" s="163"/>
      <c r="Y641" s="163"/>
      <c r="Z641" s="163"/>
      <c r="AA641" s="163"/>
      <c r="AB641" s="163"/>
      <c r="AC641" s="163"/>
      <c r="AD641" s="163"/>
      <c r="AE641" s="163"/>
      <c r="AF641" s="163"/>
      <c r="AG641" s="163"/>
      <c r="AH641" s="163"/>
      <c r="AI641" s="163"/>
      <c r="AJ641" s="163"/>
      <c r="AK641" s="163"/>
      <c r="AL641" s="163"/>
      <c r="AM641" s="163"/>
      <c r="AN641" s="130"/>
      <c r="AO641" s="130"/>
      <c r="AP641" s="130"/>
      <c r="AQ641" s="130"/>
      <c r="AR641" s="130"/>
      <c r="AS641" s="130"/>
      <c r="AT641" s="130"/>
    </row>
    <row r="642" ht="13.5" customHeight="1">
      <c r="A642" s="130"/>
      <c r="B642" s="130"/>
      <c r="C642" s="130"/>
      <c r="D642" s="130"/>
      <c r="E642" s="163"/>
      <c r="F642" s="163"/>
      <c r="G642" s="163"/>
      <c r="H642" s="163"/>
      <c r="I642" s="163"/>
      <c r="J642" s="163"/>
      <c r="K642" s="130"/>
      <c r="L642" s="130"/>
      <c r="M642" s="130"/>
      <c r="N642" s="130"/>
      <c r="O642" s="130"/>
      <c r="P642" s="130"/>
      <c r="Q642" s="130"/>
      <c r="R642" s="130"/>
      <c r="S642" s="163"/>
      <c r="T642" s="163"/>
      <c r="U642" s="163"/>
      <c r="V642" s="163"/>
      <c r="W642" s="163"/>
      <c r="X642" s="163"/>
      <c r="Y642" s="163"/>
      <c r="Z642" s="163"/>
      <c r="AA642" s="163"/>
      <c r="AB642" s="163"/>
      <c r="AC642" s="163"/>
      <c r="AD642" s="163"/>
      <c r="AE642" s="163"/>
      <c r="AF642" s="163"/>
      <c r="AG642" s="163"/>
      <c r="AH642" s="163"/>
      <c r="AI642" s="163"/>
      <c r="AJ642" s="163"/>
      <c r="AK642" s="163"/>
      <c r="AL642" s="163"/>
      <c r="AM642" s="163"/>
      <c r="AN642" s="130"/>
      <c r="AO642" s="130"/>
      <c r="AP642" s="130"/>
      <c r="AQ642" s="130"/>
      <c r="AR642" s="130"/>
      <c r="AS642" s="130"/>
      <c r="AT642" s="130"/>
    </row>
    <row r="643" ht="13.5" customHeight="1">
      <c r="A643" s="130"/>
      <c r="B643" s="130"/>
      <c r="C643" s="130"/>
      <c r="D643" s="130"/>
      <c r="E643" s="163"/>
      <c r="F643" s="163"/>
      <c r="G643" s="163"/>
      <c r="H643" s="163"/>
      <c r="I643" s="163"/>
      <c r="J643" s="163"/>
      <c r="K643" s="130"/>
      <c r="L643" s="130"/>
      <c r="M643" s="130"/>
      <c r="N643" s="130"/>
      <c r="O643" s="130"/>
      <c r="P643" s="130"/>
      <c r="Q643" s="130"/>
      <c r="R643" s="130"/>
      <c r="S643" s="163"/>
      <c r="T643" s="163"/>
      <c r="U643" s="163"/>
      <c r="V643" s="163"/>
      <c r="W643" s="163"/>
      <c r="X643" s="163"/>
      <c r="Y643" s="163"/>
      <c r="Z643" s="163"/>
      <c r="AA643" s="163"/>
      <c r="AB643" s="163"/>
      <c r="AC643" s="163"/>
      <c r="AD643" s="163"/>
      <c r="AE643" s="163"/>
      <c r="AF643" s="163"/>
      <c r="AG643" s="163"/>
      <c r="AH643" s="163"/>
      <c r="AI643" s="163"/>
      <c r="AJ643" s="163"/>
      <c r="AK643" s="163"/>
      <c r="AL643" s="163"/>
      <c r="AM643" s="163"/>
      <c r="AN643" s="130"/>
      <c r="AO643" s="130"/>
      <c r="AP643" s="130"/>
      <c r="AQ643" s="130"/>
      <c r="AR643" s="130"/>
      <c r="AS643" s="130"/>
      <c r="AT643" s="130"/>
    </row>
    <row r="644" ht="13.5" customHeight="1">
      <c r="A644" s="130"/>
      <c r="B644" s="130"/>
      <c r="C644" s="130"/>
      <c r="D644" s="130"/>
      <c r="E644" s="163"/>
      <c r="F644" s="163"/>
      <c r="G644" s="163"/>
      <c r="H644" s="163"/>
      <c r="I644" s="163"/>
      <c r="J644" s="163"/>
      <c r="K644" s="130"/>
      <c r="L644" s="130"/>
      <c r="M644" s="130"/>
      <c r="N644" s="130"/>
      <c r="O644" s="130"/>
      <c r="P644" s="130"/>
      <c r="Q644" s="130"/>
      <c r="R644" s="130"/>
      <c r="S644" s="163"/>
      <c r="T644" s="163"/>
      <c r="U644" s="163"/>
      <c r="V644" s="163"/>
      <c r="W644" s="163"/>
      <c r="X644" s="163"/>
      <c r="Y644" s="163"/>
      <c r="Z644" s="163"/>
      <c r="AA644" s="163"/>
      <c r="AB644" s="163"/>
      <c r="AC644" s="163"/>
      <c r="AD644" s="163"/>
      <c r="AE644" s="163"/>
      <c r="AF644" s="163"/>
      <c r="AG644" s="163"/>
      <c r="AH644" s="163"/>
      <c r="AI644" s="163"/>
      <c r="AJ644" s="163"/>
      <c r="AK644" s="163"/>
      <c r="AL644" s="163"/>
      <c r="AM644" s="163"/>
      <c r="AN644" s="130"/>
      <c r="AO644" s="130"/>
      <c r="AP644" s="130"/>
      <c r="AQ644" s="130"/>
      <c r="AR644" s="130"/>
      <c r="AS644" s="130"/>
      <c r="AT644" s="130"/>
    </row>
    <row r="645" ht="13.5" customHeight="1">
      <c r="A645" s="130"/>
      <c r="B645" s="130"/>
      <c r="C645" s="130"/>
      <c r="D645" s="130"/>
      <c r="E645" s="163"/>
      <c r="F645" s="163"/>
      <c r="G645" s="163"/>
      <c r="H645" s="163"/>
      <c r="I645" s="163"/>
      <c r="J645" s="163"/>
      <c r="K645" s="130"/>
      <c r="L645" s="130"/>
      <c r="M645" s="130"/>
      <c r="N645" s="130"/>
      <c r="O645" s="130"/>
      <c r="P645" s="130"/>
      <c r="Q645" s="130"/>
      <c r="R645" s="130"/>
      <c r="S645" s="163"/>
      <c r="T645" s="163"/>
      <c r="U645" s="163"/>
      <c r="V645" s="163"/>
      <c r="W645" s="163"/>
      <c r="X645" s="163"/>
      <c r="Y645" s="163"/>
      <c r="Z645" s="163"/>
      <c r="AA645" s="163"/>
      <c r="AB645" s="163"/>
      <c r="AC645" s="163"/>
      <c r="AD645" s="163"/>
      <c r="AE645" s="163"/>
      <c r="AF645" s="163"/>
      <c r="AG645" s="163"/>
      <c r="AH645" s="163"/>
      <c r="AI645" s="163"/>
      <c r="AJ645" s="163"/>
      <c r="AK645" s="163"/>
      <c r="AL645" s="163"/>
      <c r="AM645" s="163"/>
      <c r="AN645" s="130"/>
      <c r="AO645" s="130"/>
      <c r="AP645" s="130"/>
      <c r="AQ645" s="130"/>
      <c r="AR645" s="130"/>
      <c r="AS645" s="130"/>
      <c r="AT645" s="130"/>
    </row>
    <row r="646" ht="13.5" customHeight="1">
      <c r="A646" s="130"/>
      <c r="B646" s="130"/>
      <c r="C646" s="130"/>
      <c r="D646" s="130"/>
      <c r="E646" s="163"/>
      <c r="F646" s="163"/>
      <c r="G646" s="163"/>
      <c r="H646" s="163"/>
      <c r="I646" s="163"/>
      <c r="J646" s="163"/>
      <c r="K646" s="130"/>
      <c r="L646" s="130"/>
      <c r="M646" s="130"/>
      <c r="N646" s="130"/>
      <c r="O646" s="130"/>
      <c r="P646" s="130"/>
      <c r="Q646" s="130"/>
      <c r="R646" s="130"/>
      <c r="S646" s="163"/>
      <c r="T646" s="163"/>
      <c r="U646" s="163"/>
      <c r="V646" s="163"/>
      <c r="W646" s="163"/>
      <c r="X646" s="163"/>
      <c r="Y646" s="163"/>
      <c r="Z646" s="163"/>
      <c r="AA646" s="163"/>
      <c r="AB646" s="163"/>
      <c r="AC646" s="163"/>
      <c r="AD646" s="163"/>
      <c r="AE646" s="163"/>
      <c r="AF646" s="163"/>
      <c r="AG646" s="163"/>
      <c r="AH646" s="163"/>
      <c r="AI646" s="163"/>
      <c r="AJ646" s="163"/>
      <c r="AK646" s="163"/>
      <c r="AL646" s="163"/>
      <c r="AM646" s="163"/>
      <c r="AN646" s="130"/>
      <c r="AO646" s="130"/>
      <c r="AP646" s="130"/>
      <c r="AQ646" s="130"/>
      <c r="AR646" s="130"/>
      <c r="AS646" s="130"/>
      <c r="AT646" s="130"/>
    </row>
    <row r="647" ht="13.5" customHeight="1">
      <c r="A647" s="130"/>
      <c r="B647" s="130"/>
      <c r="C647" s="130"/>
      <c r="D647" s="130"/>
      <c r="E647" s="163"/>
      <c r="F647" s="163"/>
      <c r="G647" s="163"/>
      <c r="H647" s="163"/>
      <c r="I647" s="163"/>
      <c r="J647" s="163"/>
      <c r="K647" s="130"/>
      <c r="L647" s="130"/>
      <c r="M647" s="130"/>
      <c r="N647" s="130"/>
      <c r="O647" s="130"/>
      <c r="P647" s="130"/>
      <c r="Q647" s="130"/>
      <c r="R647" s="130"/>
      <c r="S647" s="163"/>
      <c r="T647" s="163"/>
      <c r="U647" s="163"/>
      <c r="V647" s="163"/>
      <c r="W647" s="163"/>
      <c r="X647" s="163"/>
      <c r="Y647" s="163"/>
      <c r="Z647" s="163"/>
      <c r="AA647" s="163"/>
      <c r="AB647" s="163"/>
      <c r="AC647" s="163"/>
      <c r="AD647" s="163"/>
      <c r="AE647" s="163"/>
      <c r="AF647" s="163"/>
      <c r="AG647" s="163"/>
      <c r="AH647" s="163"/>
      <c r="AI647" s="163"/>
      <c r="AJ647" s="163"/>
      <c r="AK647" s="163"/>
      <c r="AL647" s="163"/>
      <c r="AM647" s="163"/>
      <c r="AN647" s="130"/>
      <c r="AO647" s="130"/>
      <c r="AP647" s="130"/>
      <c r="AQ647" s="130"/>
      <c r="AR647" s="130"/>
      <c r="AS647" s="130"/>
      <c r="AT647" s="130"/>
    </row>
    <row r="648" ht="13.5" customHeight="1">
      <c r="A648" s="130"/>
      <c r="B648" s="130"/>
      <c r="C648" s="130"/>
      <c r="D648" s="130"/>
      <c r="E648" s="163"/>
      <c r="F648" s="163"/>
      <c r="G648" s="163"/>
      <c r="H648" s="163"/>
      <c r="I648" s="163"/>
      <c r="J648" s="163"/>
      <c r="K648" s="130"/>
      <c r="L648" s="130"/>
      <c r="M648" s="130"/>
      <c r="N648" s="130"/>
      <c r="O648" s="130"/>
      <c r="P648" s="130"/>
      <c r="Q648" s="130"/>
      <c r="R648" s="130"/>
      <c r="S648" s="163"/>
      <c r="T648" s="163"/>
      <c r="U648" s="163"/>
      <c r="V648" s="163"/>
      <c r="W648" s="163"/>
      <c r="X648" s="163"/>
      <c r="Y648" s="163"/>
      <c r="Z648" s="163"/>
      <c r="AA648" s="163"/>
      <c r="AB648" s="163"/>
      <c r="AC648" s="163"/>
      <c r="AD648" s="163"/>
      <c r="AE648" s="163"/>
      <c r="AF648" s="163"/>
      <c r="AG648" s="163"/>
      <c r="AH648" s="163"/>
      <c r="AI648" s="163"/>
      <c r="AJ648" s="163"/>
      <c r="AK648" s="163"/>
      <c r="AL648" s="163"/>
      <c r="AM648" s="163"/>
      <c r="AN648" s="130"/>
      <c r="AO648" s="130"/>
      <c r="AP648" s="130"/>
      <c r="AQ648" s="130"/>
      <c r="AR648" s="130"/>
      <c r="AS648" s="130"/>
      <c r="AT648" s="130"/>
    </row>
    <row r="649" ht="13.5" customHeight="1">
      <c r="A649" s="130"/>
      <c r="B649" s="130"/>
      <c r="C649" s="130"/>
      <c r="D649" s="130"/>
      <c r="E649" s="163"/>
      <c r="F649" s="163"/>
      <c r="G649" s="163"/>
      <c r="H649" s="163"/>
      <c r="I649" s="163"/>
      <c r="J649" s="163"/>
      <c r="K649" s="130"/>
      <c r="L649" s="130"/>
      <c r="M649" s="130"/>
      <c r="N649" s="130"/>
      <c r="O649" s="130"/>
      <c r="P649" s="130"/>
      <c r="Q649" s="130"/>
      <c r="R649" s="130"/>
      <c r="S649" s="163"/>
      <c r="T649" s="163"/>
      <c r="U649" s="163"/>
      <c r="V649" s="163"/>
      <c r="W649" s="163"/>
      <c r="X649" s="163"/>
      <c r="Y649" s="163"/>
      <c r="Z649" s="163"/>
      <c r="AA649" s="163"/>
      <c r="AB649" s="163"/>
      <c r="AC649" s="163"/>
      <c r="AD649" s="163"/>
      <c r="AE649" s="163"/>
      <c r="AF649" s="163"/>
      <c r="AG649" s="163"/>
      <c r="AH649" s="163"/>
      <c r="AI649" s="163"/>
      <c r="AJ649" s="163"/>
      <c r="AK649" s="163"/>
      <c r="AL649" s="163"/>
      <c r="AM649" s="163"/>
      <c r="AN649" s="130"/>
      <c r="AO649" s="130"/>
      <c r="AP649" s="130"/>
      <c r="AQ649" s="130"/>
      <c r="AR649" s="130"/>
      <c r="AS649" s="130"/>
      <c r="AT649" s="130"/>
    </row>
    <row r="650" ht="13.5" customHeight="1">
      <c r="A650" s="130"/>
      <c r="B650" s="130"/>
      <c r="C650" s="130"/>
      <c r="D650" s="130"/>
      <c r="E650" s="163"/>
      <c r="F650" s="163"/>
      <c r="G650" s="163"/>
      <c r="H650" s="163"/>
      <c r="I650" s="163"/>
      <c r="J650" s="163"/>
      <c r="K650" s="130"/>
      <c r="L650" s="130"/>
      <c r="M650" s="130"/>
      <c r="N650" s="130"/>
      <c r="O650" s="130"/>
      <c r="P650" s="130"/>
      <c r="Q650" s="130"/>
      <c r="R650" s="130"/>
      <c r="S650" s="163"/>
      <c r="T650" s="163"/>
      <c r="U650" s="163"/>
      <c r="V650" s="163"/>
      <c r="W650" s="163"/>
      <c r="X650" s="163"/>
      <c r="Y650" s="163"/>
      <c r="Z650" s="163"/>
      <c r="AA650" s="163"/>
      <c r="AB650" s="163"/>
      <c r="AC650" s="163"/>
      <c r="AD650" s="163"/>
      <c r="AE650" s="163"/>
      <c r="AF650" s="163"/>
      <c r="AG650" s="163"/>
      <c r="AH650" s="163"/>
      <c r="AI650" s="163"/>
      <c r="AJ650" s="163"/>
      <c r="AK650" s="163"/>
      <c r="AL650" s="163"/>
      <c r="AM650" s="163"/>
      <c r="AN650" s="130"/>
      <c r="AO650" s="130"/>
      <c r="AP650" s="130"/>
      <c r="AQ650" s="130"/>
      <c r="AR650" s="130"/>
      <c r="AS650" s="130"/>
      <c r="AT650" s="130"/>
    </row>
    <row r="651" ht="13.5" customHeight="1">
      <c r="A651" s="130"/>
      <c r="B651" s="130"/>
      <c r="C651" s="130"/>
      <c r="D651" s="130"/>
      <c r="E651" s="163"/>
      <c r="F651" s="163"/>
      <c r="G651" s="163"/>
      <c r="H651" s="163"/>
      <c r="I651" s="163"/>
      <c r="J651" s="163"/>
      <c r="K651" s="130"/>
      <c r="L651" s="130"/>
      <c r="M651" s="130"/>
      <c r="N651" s="130"/>
      <c r="O651" s="130"/>
      <c r="P651" s="130"/>
      <c r="Q651" s="130"/>
      <c r="R651" s="130"/>
      <c r="S651" s="163"/>
      <c r="T651" s="163"/>
      <c r="U651" s="163"/>
      <c r="V651" s="163"/>
      <c r="W651" s="163"/>
      <c r="X651" s="163"/>
      <c r="Y651" s="163"/>
      <c r="Z651" s="163"/>
      <c r="AA651" s="163"/>
      <c r="AB651" s="163"/>
      <c r="AC651" s="163"/>
      <c r="AD651" s="163"/>
      <c r="AE651" s="163"/>
      <c r="AF651" s="163"/>
      <c r="AG651" s="163"/>
      <c r="AH651" s="163"/>
      <c r="AI651" s="163"/>
      <c r="AJ651" s="163"/>
      <c r="AK651" s="163"/>
      <c r="AL651" s="163"/>
      <c r="AM651" s="163"/>
      <c r="AN651" s="130"/>
      <c r="AO651" s="130"/>
      <c r="AP651" s="130"/>
      <c r="AQ651" s="130"/>
      <c r="AR651" s="130"/>
      <c r="AS651" s="130"/>
      <c r="AT651" s="130"/>
    </row>
    <row r="652" ht="13.5" customHeight="1">
      <c r="A652" s="130"/>
      <c r="B652" s="130"/>
      <c r="C652" s="130"/>
      <c r="D652" s="130"/>
      <c r="E652" s="163"/>
      <c r="F652" s="163"/>
      <c r="G652" s="163"/>
      <c r="H652" s="163"/>
      <c r="I652" s="163"/>
      <c r="J652" s="163"/>
      <c r="K652" s="130"/>
      <c r="L652" s="130"/>
      <c r="M652" s="130"/>
      <c r="N652" s="130"/>
      <c r="O652" s="130"/>
      <c r="P652" s="130"/>
      <c r="Q652" s="130"/>
      <c r="R652" s="130"/>
      <c r="S652" s="163"/>
      <c r="T652" s="163"/>
      <c r="U652" s="163"/>
      <c r="V652" s="163"/>
      <c r="W652" s="163"/>
      <c r="X652" s="163"/>
      <c r="Y652" s="163"/>
      <c r="Z652" s="163"/>
      <c r="AA652" s="163"/>
      <c r="AB652" s="163"/>
      <c r="AC652" s="163"/>
      <c r="AD652" s="163"/>
      <c r="AE652" s="163"/>
      <c r="AF652" s="163"/>
      <c r="AG652" s="163"/>
      <c r="AH652" s="163"/>
      <c r="AI652" s="163"/>
      <c r="AJ652" s="163"/>
      <c r="AK652" s="163"/>
      <c r="AL652" s="163"/>
      <c r="AM652" s="163"/>
      <c r="AN652" s="130"/>
      <c r="AO652" s="130"/>
      <c r="AP652" s="130"/>
      <c r="AQ652" s="130"/>
      <c r="AR652" s="130"/>
      <c r="AS652" s="130"/>
      <c r="AT652" s="130"/>
    </row>
    <row r="653" ht="13.5" customHeight="1">
      <c r="A653" s="130"/>
      <c r="B653" s="130"/>
      <c r="C653" s="130"/>
      <c r="D653" s="130"/>
      <c r="E653" s="163"/>
      <c r="F653" s="163"/>
      <c r="G653" s="163"/>
      <c r="H653" s="163"/>
      <c r="I653" s="163"/>
      <c r="J653" s="163"/>
      <c r="K653" s="130"/>
      <c r="L653" s="130"/>
      <c r="M653" s="130"/>
      <c r="N653" s="130"/>
      <c r="O653" s="130"/>
      <c r="P653" s="130"/>
      <c r="Q653" s="130"/>
      <c r="R653" s="130"/>
      <c r="S653" s="163"/>
      <c r="T653" s="163"/>
      <c r="U653" s="163"/>
      <c r="V653" s="163"/>
      <c r="W653" s="163"/>
      <c r="X653" s="163"/>
      <c r="Y653" s="163"/>
      <c r="Z653" s="163"/>
      <c r="AA653" s="163"/>
      <c r="AB653" s="163"/>
      <c r="AC653" s="163"/>
      <c r="AD653" s="163"/>
      <c r="AE653" s="163"/>
      <c r="AF653" s="163"/>
      <c r="AG653" s="163"/>
      <c r="AH653" s="163"/>
      <c r="AI653" s="163"/>
      <c r="AJ653" s="163"/>
      <c r="AK653" s="163"/>
      <c r="AL653" s="163"/>
      <c r="AM653" s="163"/>
      <c r="AN653" s="130"/>
      <c r="AO653" s="130"/>
      <c r="AP653" s="130"/>
      <c r="AQ653" s="130"/>
      <c r="AR653" s="130"/>
      <c r="AS653" s="130"/>
      <c r="AT653" s="130"/>
    </row>
    <row r="654" ht="13.5" customHeight="1">
      <c r="A654" s="130"/>
      <c r="B654" s="130"/>
      <c r="C654" s="130"/>
      <c r="D654" s="130"/>
      <c r="E654" s="163"/>
      <c r="F654" s="163"/>
      <c r="G654" s="163"/>
      <c r="H654" s="163"/>
      <c r="I654" s="163"/>
      <c r="J654" s="163"/>
      <c r="K654" s="130"/>
      <c r="L654" s="130"/>
      <c r="M654" s="130"/>
      <c r="N654" s="130"/>
      <c r="O654" s="130"/>
      <c r="P654" s="130"/>
      <c r="Q654" s="130"/>
      <c r="R654" s="130"/>
      <c r="S654" s="163"/>
      <c r="T654" s="163"/>
      <c r="U654" s="163"/>
      <c r="V654" s="163"/>
      <c r="W654" s="163"/>
      <c r="X654" s="163"/>
      <c r="Y654" s="163"/>
      <c r="Z654" s="163"/>
      <c r="AA654" s="163"/>
      <c r="AB654" s="163"/>
      <c r="AC654" s="163"/>
      <c r="AD654" s="163"/>
      <c r="AE654" s="163"/>
      <c r="AF654" s="163"/>
      <c r="AG654" s="163"/>
      <c r="AH654" s="163"/>
      <c r="AI654" s="163"/>
      <c r="AJ654" s="163"/>
      <c r="AK654" s="163"/>
      <c r="AL654" s="163"/>
      <c r="AM654" s="163"/>
      <c r="AN654" s="130"/>
      <c r="AO654" s="130"/>
      <c r="AP654" s="130"/>
      <c r="AQ654" s="130"/>
      <c r="AR654" s="130"/>
      <c r="AS654" s="130"/>
      <c r="AT654" s="130"/>
    </row>
    <row r="655" ht="13.5" customHeight="1">
      <c r="A655" s="130"/>
      <c r="B655" s="130"/>
      <c r="C655" s="130"/>
      <c r="D655" s="130"/>
      <c r="E655" s="163"/>
      <c r="F655" s="163"/>
      <c r="G655" s="163"/>
      <c r="H655" s="163"/>
      <c r="I655" s="163"/>
      <c r="J655" s="163"/>
      <c r="K655" s="130"/>
      <c r="L655" s="130"/>
      <c r="M655" s="130"/>
      <c r="N655" s="130"/>
      <c r="O655" s="130"/>
      <c r="P655" s="130"/>
      <c r="Q655" s="130"/>
      <c r="R655" s="130"/>
      <c r="S655" s="163"/>
      <c r="T655" s="163"/>
      <c r="U655" s="163"/>
      <c r="V655" s="163"/>
      <c r="W655" s="163"/>
      <c r="X655" s="163"/>
      <c r="Y655" s="163"/>
      <c r="Z655" s="163"/>
      <c r="AA655" s="163"/>
      <c r="AB655" s="163"/>
      <c r="AC655" s="163"/>
      <c r="AD655" s="163"/>
      <c r="AE655" s="163"/>
      <c r="AF655" s="163"/>
      <c r="AG655" s="163"/>
      <c r="AH655" s="163"/>
      <c r="AI655" s="163"/>
      <c r="AJ655" s="163"/>
      <c r="AK655" s="163"/>
      <c r="AL655" s="163"/>
      <c r="AM655" s="163"/>
      <c r="AN655" s="130"/>
      <c r="AO655" s="130"/>
      <c r="AP655" s="130"/>
      <c r="AQ655" s="130"/>
      <c r="AR655" s="130"/>
      <c r="AS655" s="130"/>
      <c r="AT655" s="130"/>
    </row>
    <row r="656" ht="13.5" customHeight="1">
      <c r="A656" s="130"/>
      <c r="B656" s="130"/>
      <c r="C656" s="130"/>
      <c r="D656" s="130"/>
      <c r="E656" s="163"/>
      <c r="F656" s="163"/>
      <c r="G656" s="163"/>
      <c r="H656" s="163"/>
      <c r="I656" s="163"/>
      <c r="J656" s="163"/>
      <c r="K656" s="130"/>
      <c r="L656" s="130"/>
      <c r="M656" s="130"/>
      <c r="N656" s="130"/>
      <c r="O656" s="130"/>
      <c r="P656" s="130"/>
      <c r="Q656" s="130"/>
      <c r="R656" s="130"/>
      <c r="S656" s="163"/>
      <c r="T656" s="163"/>
      <c r="U656" s="163"/>
      <c r="V656" s="163"/>
      <c r="W656" s="163"/>
      <c r="X656" s="163"/>
      <c r="Y656" s="163"/>
      <c r="Z656" s="163"/>
      <c r="AA656" s="163"/>
      <c r="AB656" s="163"/>
      <c r="AC656" s="163"/>
      <c r="AD656" s="163"/>
      <c r="AE656" s="163"/>
      <c r="AF656" s="163"/>
      <c r="AG656" s="163"/>
      <c r="AH656" s="163"/>
      <c r="AI656" s="163"/>
      <c r="AJ656" s="163"/>
      <c r="AK656" s="163"/>
      <c r="AL656" s="163"/>
      <c r="AM656" s="163"/>
      <c r="AN656" s="130"/>
      <c r="AO656" s="130"/>
      <c r="AP656" s="130"/>
      <c r="AQ656" s="130"/>
      <c r="AR656" s="130"/>
      <c r="AS656" s="130"/>
      <c r="AT656" s="130"/>
    </row>
    <row r="657" ht="13.5" customHeight="1">
      <c r="A657" s="130"/>
      <c r="B657" s="130"/>
      <c r="C657" s="130"/>
      <c r="D657" s="130"/>
      <c r="E657" s="163"/>
      <c r="F657" s="163"/>
      <c r="G657" s="163"/>
      <c r="H657" s="163"/>
      <c r="I657" s="163"/>
      <c r="J657" s="163"/>
      <c r="K657" s="130"/>
      <c r="L657" s="130"/>
      <c r="M657" s="130"/>
      <c r="N657" s="130"/>
      <c r="O657" s="130"/>
      <c r="P657" s="130"/>
      <c r="Q657" s="130"/>
      <c r="R657" s="130"/>
      <c r="S657" s="163"/>
      <c r="T657" s="163"/>
      <c r="U657" s="163"/>
      <c r="V657" s="163"/>
      <c r="W657" s="163"/>
      <c r="X657" s="163"/>
      <c r="Y657" s="163"/>
      <c r="Z657" s="163"/>
      <c r="AA657" s="163"/>
      <c r="AB657" s="163"/>
      <c r="AC657" s="163"/>
      <c r="AD657" s="163"/>
      <c r="AE657" s="163"/>
      <c r="AF657" s="163"/>
      <c r="AG657" s="163"/>
      <c r="AH657" s="163"/>
      <c r="AI657" s="163"/>
      <c r="AJ657" s="163"/>
      <c r="AK657" s="163"/>
      <c r="AL657" s="163"/>
      <c r="AM657" s="163"/>
      <c r="AN657" s="130"/>
      <c r="AO657" s="130"/>
      <c r="AP657" s="130"/>
      <c r="AQ657" s="130"/>
      <c r="AR657" s="130"/>
      <c r="AS657" s="130"/>
      <c r="AT657" s="130"/>
    </row>
    <row r="658" ht="13.5" customHeight="1">
      <c r="A658" s="130"/>
      <c r="B658" s="130"/>
      <c r="C658" s="130"/>
      <c r="D658" s="130"/>
      <c r="E658" s="163"/>
      <c r="F658" s="163"/>
      <c r="G658" s="163"/>
      <c r="H658" s="163"/>
      <c r="I658" s="163"/>
      <c r="J658" s="163"/>
      <c r="K658" s="130"/>
      <c r="L658" s="130"/>
      <c r="M658" s="130"/>
      <c r="N658" s="130"/>
      <c r="O658" s="130"/>
      <c r="P658" s="130"/>
      <c r="Q658" s="130"/>
      <c r="R658" s="130"/>
      <c r="S658" s="163"/>
      <c r="T658" s="163"/>
      <c r="U658" s="163"/>
      <c r="V658" s="163"/>
      <c r="W658" s="163"/>
      <c r="X658" s="163"/>
      <c r="Y658" s="163"/>
      <c r="Z658" s="163"/>
      <c r="AA658" s="163"/>
      <c r="AB658" s="163"/>
      <c r="AC658" s="163"/>
      <c r="AD658" s="163"/>
      <c r="AE658" s="163"/>
      <c r="AF658" s="163"/>
      <c r="AG658" s="163"/>
      <c r="AH658" s="163"/>
      <c r="AI658" s="163"/>
      <c r="AJ658" s="163"/>
      <c r="AK658" s="163"/>
      <c r="AL658" s="163"/>
      <c r="AM658" s="163"/>
      <c r="AN658" s="130"/>
      <c r="AO658" s="130"/>
      <c r="AP658" s="130"/>
      <c r="AQ658" s="130"/>
      <c r="AR658" s="130"/>
      <c r="AS658" s="130"/>
      <c r="AT658" s="130"/>
    </row>
    <row r="659" ht="13.5" customHeight="1">
      <c r="A659" s="130"/>
      <c r="B659" s="130"/>
      <c r="C659" s="130"/>
      <c r="D659" s="130"/>
      <c r="E659" s="163"/>
      <c r="F659" s="163"/>
      <c r="G659" s="163"/>
      <c r="H659" s="163"/>
      <c r="I659" s="163"/>
      <c r="J659" s="163"/>
      <c r="K659" s="130"/>
      <c r="L659" s="130"/>
      <c r="M659" s="130"/>
      <c r="N659" s="130"/>
      <c r="O659" s="130"/>
      <c r="P659" s="130"/>
      <c r="Q659" s="130"/>
      <c r="R659" s="130"/>
      <c r="S659" s="163"/>
      <c r="T659" s="163"/>
      <c r="U659" s="163"/>
      <c r="V659" s="163"/>
      <c r="W659" s="163"/>
      <c r="X659" s="163"/>
      <c r="Y659" s="163"/>
      <c r="Z659" s="163"/>
      <c r="AA659" s="163"/>
      <c r="AB659" s="163"/>
      <c r="AC659" s="163"/>
      <c r="AD659" s="163"/>
      <c r="AE659" s="163"/>
      <c r="AF659" s="163"/>
      <c r="AG659" s="163"/>
      <c r="AH659" s="163"/>
      <c r="AI659" s="163"/>
      <c r="AJ659" s="163"/>
      <c r="AK659" s="163"/>
      <c r="AL659" s="163"/>
      <c r="AM659" s="163"/>
      <c r="AN659" s="130"/>
      <c r="AO659" s="130"/>
      <c r="AP659" s="130"/>
      <c r="AQ659" s="130"/>
      <c r="AR659" s="130"/>
      <c r="AS659" s="130"/>
      <c r="AT659" s="130"/>
    </row>
    <row r="660" ht="13.5" customHeight="1">
      <c r="A660" s="130"/>
      <c r="B660" s="130"/>
      <c r="C660" s="130"/>
      <c r="D660" s="130"/>
      <c r="E660" s="163"/>
      <c r="F660" s="163"/>
      <c r="G660" s="163"/>
      <c r="H660" s="163"/>
      <c r="I660" s="163"/>
      <c r="J660" s="163"/>
      <c r="K660" s="130"/>
      <c r="L660" s="130"/>
      <c r="M660" s="130"/>
      <c r="N660" s="130"/>
      <c r="O660" s="130"/>
      <c r="P660" s="130"/>
      <c r="Q660" s="130"/>
      <c r="R660" s="130"/>
      <c r="S660" s="163"/>
      <c r="T660" s="163"/>
      <c r="U660" s="163"/>
      <c r="V660" s="163"/>
      <c r="W660" s="163"/>
      <c r="X660" s="163"/>
      <c r="Y660" s="163"/>
      <c r="Z660" s="163"/>
      <c r="AA660" s="163"/>
      <c r="AB660" s="163"/>
      <c r="AC660" s="163"/>
      <c r="AD660" s="163"/>
      <c r="AE660" s="163"/>
      <c r="AF660" s="163"/>
      <c r="AG660" s="163"/>
      <c r="AH660" s="163"/>
      <c r="AI660" s="163"/>
      <c r="AJ660" s="163"/>
      <c r="AK660" s="163"/>
      <c r="AL660" s="163"/>
      <c r="AM660" s="163"/>
      <c r="AN660" s="130"/>
      <c r="AO660" s="130"/>
      <c r="AP660" s="130"/>
      <c r="AQ660" s="130"/>
      <c r="AR660" s="130"/>
      <c r="AS660" s="130"/>
      <c r="AT660" s="130"/>
    </row>
    <row r="661" ht="13.5" customHeight="1">
      <c r="A661" s="130"/>
      <c r="B661" s="130"/>
      <c r="C661" s="130"/>
      <c r="D661" s="130"/>
      <c r="E661" s="163"/>
      <c r="F661" s="163"/>
      <c r="G661" s="163"/>
      <c r="H661" s="163"/>
      <c r="I661" s="163"/>
      <c r="J661" s="163"/>
      <c r="K661" s="130"/>
      <c r="L661" s="130"/>
      <c r="M661" s="130"/>
      <c r="N661" s="130"/>
      <c r="O661" s="130"/>
      <c r="P661" s="130"/>
      <c r="Q661" s="130"/>
      <c r="R661" s="130"/>
      <c r="S661" s="163"/>
      <c r="T661" s="163"/>
      <c r="U661" s="163"/>
      <c r="V661" s="163"/>
      <c r="W661" s="163"/>
      <c r="X661" s="163"/>
      <c r="Y661" s="163"/>
      <c r="Z661" s="163"/>
      <c r="AA661" s="163"/>
      <c r="AB661" s="163"/>
      <c r="AC661" s="163"/>
      <c r="AD661" s="163"/>
      <c r="AE661" s="163"/>
      <c r="AF661" s="163"/>
      <c r="AG661" s="163"/>
      <c r="AH661" s="163"/>
      <c r="AI661" s="163"/>
      <c r="AJ661" s="163"/>
      <c r="AK661" s="163"/>
      <c r="AL661" s="163"/>
      <c r="AM661" s="163"/>
      <c r="AN661" s="130"/>
      <c r="AO661" s="130"/>
      <c r="AP661" s="130"/>
      <c r="AQ661" s="130"/>
      <c r="AR661" s="130"/>
      <c r="AS661" s="130"/>
      <c r="AT661" s="130"/>
    </row>
    <row r="662" ht="13.5" customHeight="1">
      <c r="A662" s="130"/>
      <c r="B662" s="130"/>
      <c r="C662" s="130"/>
      <c r="D662" s="130"/>
      <c r="E662" s="163"/>
      <c r="F662" s="163"/>
      <c r="G662" s="163"/>
      <c r="H662" s="163"/>
      <c r="I662" s="163"/>
      <c r="J662" s="163"/>
      <c r="K662" s="130"/>
      <c r="L662" s="130"/>
      <c r="M662" s="130"/>
      <c r="N662" s="130"/>
      <c r="O662" s="130"/>
      <c r="P662" s="130"/>
      <c r="Q662" s="130"/>
      <c r="R662" s="130"/>
      <c r="S662" s="163"/>
      <c r="T662" s="163"/>
      <c r="U662" s="163"/>
      <c r="V662" s="163"/>
      <c r="W662" s="163"/>
      <c r="X662" s="163"/>
      <c r="Y662" s="163"/>
      <c r="Z662" s="163"/>
      <c r="AA662" s="163"/>
      <c r="AB662" s="163"/>
      <c r="AC662" s="163"/>
      <c r="AD662" s="163"/>
      <c r="AE662" s="163"/>
      <c r="AF662" s="163"/>
      <c r="AG662" s="163"/>
      <c r="AH662" s="163"/>
      <c r="AI662" s="163"/>
      <c r="AJ662" s="163"/>
      <c r="AK662" s="163"/>
      <c r="AL662" s="163"/>
      <c r="AM662" s="163"/>
      <c r="AN662" s="130"/>
      <c r="AO662" s="130"/>
      <c r="AP662" s="130"/>
      <c r="AQ662" s="130"/>
      <c r="AR662" s="130"/>
      <c r="AS662" s="130"/>
      <c r="AT662" s="130"/>
    </row>
    <row r="663" ht="13.5" customHeight="1">
      <c r="A663" s="130"/>
      <c r="B663" s="130"/>
      <c r="C663" s="130"/>
      <c r="D663" s="130"/>
      <c r="E663" s="163"/>
      <c r="F663" s="163"/>
      <c r="G663" s="163"/>
      <c r="H663" s="163"/>
      <c r="I663" s="163"/>
      <c r="J663" s="163"/>
      <c r="K663" s="130"/>
      <c r="L663" s="130"/>
      <c r="M663" s="130"/>
      <c r="N663" s="130"/>
      <c r="O663" s="130"/>
      <c r="P663" s="130"/>
      <c r="Q663" s="130"/>
      <c r="R663" s="130"/>
      <c r="S663" s="163"/>
      <c r="T663" s="163"/>
      <c r="U663" s="163"/>
      <c r="V663" s="163"/>
      <c r="W663" s="163"/>
      <c r="X663" s="163"/>
      <c r="Y663" s="163"/>
      <c r="Z663" s="163"/>
      <c r="AA663" s="163"/>
      <c r="AB663" s="163"/>
      <c r="AC663" s="163"/>
      <c r="AD663" s="163"/>
      <c r="AE663" s="163"/>
      <c r="AF663" s="163"/>
      <c r="AG663" s="163"/>
      <c r="AH663" s="163"/>
      <c r="AI663" s="163"/>
      <c r="AJ663" s="163"/>
      <c r="AK663" s="163"/>
      <c r="AL663" s="163"/>
      <c r="AM663" s="163"/>
      <c r="AN663" s="130"/>
      <c r="AO663" s="130"/>
      <c r="AP663" s="130"/>
      <c r="AQ663" s="130"/>
      <c r="AR663" s="130"/>
      <c r="AS663" s="130"/>
      <c r="AT663" s="130"/>
    </row>
    <row r="664" ht="13.5" customHeight="1">
      <c r="A664" s="130"/>
      <c r="B664" s="130"/>
      <c r="C664" s="130"/>
      <c r="D664" s="130"/>
      <c r="E664" s="163"/>
      <c r="F664" s="163"/>
      <c r="G664" s="163"/>
      <c r="H664" s="163"/>
      <c r="I664" s="163"/>
      <c r="J664" s="163"/>
      <c r="K664" s="130"/>
      <c r="L664" s="130"/>
      <c r="M664" s="130"/>
      <c r="N664" s="130"/>
      <c r="O664" s="130"/>
      <c r="P664" s="130"/>
      <c r="Q664" s="130"/>
      <c r="R664" s="130"/>
      <c r="S664" s="163"/>
      <c r="T664" s="163"/>
      <c r="U664" s="163"/>
      <c r="V664" s="163"/>
      <c r="W664" s="163"/>
      <c r="X664" s="163"/>
      <c r="Y664" s="163"/>
      <c r="Z664" s="163"/>
      <c r="AA664" s="163"/>
      <c r="AB664" s="163"/>
      <c r="AC664" s="163"/>
      <c r="AD664" s="163"/>
      <c r="AE664" s="163"/>
      <c r="AF664" s="163"/>
      <c r="AG664" s="163"/>
      <c r="AH664" s="163"/>
      <c r="AI664" s="163"/>
      <c r="AJ664" s="163"/>
      <c r="AK664" s="163"/>
      <c r="AL664" s="163"/>
      <c r="AM664" s="163"/>
      <c r="AN664" s="130"/>
      <c r="AO664" s="130"/>
      <c r="AP664" s="130"/>
      <c r="AQ664" s="130"/>
      <c r="AR664" s="130"/>
      <c r="AS664" s="130"/>
      <c r="AT664" s="130"/>
    </row>
    <row r="665" ht="13.5" customHeight="1">
      <c r="A665" s="130"/>
      <c r="B665" s="130"/>
      <c r="C665" s="130"/>
      <c r="D665" s="130"/>
      <c r="E665" s="163"/>
      <c r="F665" s="163"/>
      <c r="G665" s="163"/>
      <c r="H665" s="163"/>
      <c r="I665" s="163"/>
      <c r="J665" s="163"/>
      <c r="K665" s="130"/>
      <c r="L665" s="130"/>
      <c r="M665" s="130"/>
      <c r="N665" s="130"/>
      <c r="O665" s="130"/>
      <c r="P665" s="130"/>
      <c r="Q665" s="130"/>
      <c r="R665" s="130"/>
      <c r="S665" s="163"/>
      <c r="T665" s="163"/>
      <c r="U665" s="163"/>
      <c r="V665" s="163"/>
      <c r="W665" s="163"/>
      <c r="X665" s="163"/>
      <c r="Y665" s="163"/>
      <c r="Z665" s="163"/>
      <c r="AA665" s="163"/>
      <c r="AB665" s="163"/>
      <c r="AC665" s="163"/>
      <c r="AD665" s="163"/>
      <c r="AE665" s="163"/>
      <c r="AF665" s="163"/>
      <c r="AG665" s="163"/>
      <c r="AH665" s="163"/>
      <c r="AI665" s="163"/>
      <c r="AJ665" s="163"/>
      <c r="AK665" s="163"/>
      <c r="AL665" s="163"/>
      <c r="AM665" s="163"/>
      <c r="AN665" s="130"/>
      <c r="AO665" s="130"/>
      <c r="AP665" s="130"/>
      <c r="AQ665" s="130"/>
      <c r="AR665" s="130"/>
      <c r="AS665" s="130"/>
      <c r="AT665" s="130"/>
    </row>
    <row r="666" ht="13.5" customHeight="1">
      <c r="A666" s="130"/>
      <c r="B666" s="130"/>
      <c r="C666" s="130"/>
      <c r="D666" s="130"/>
      <c r="E666" s="163"/>
      <c r="F666" s="163"/>
      <c r="G666" s="163"/>
      <c r="H666" s="163"/>
      <c r="I666" s="163"/>
      <c r="J666" s="163"/>
      <c r="K666" s="130"/>
      <c r="L666" s="130"/>
      <c r="M666" s="130"/>
      <c r="N666" s="130"/>
      <c r="O666" s="130"/>
      <c r="P666" s="130"/>
      <c r="Q666" s="130"/>
      <c r="R666" s="130"/>
      <c r="S666" s="163"/>
      <c r="T666" s="163"/>
      <c r="U666" s="163"/>
      <c r="V666" s="163"/>
      <c r="W666" s="163"/>
      <c r="X666" s="163"/>
      <c r="Y666" s="163"/>
      <c r="Z666" s="163"/>
      <c r="AA666" s="163"/>
      <c r="AB666" s="163"/>
      <c r="AC666" s="163"/>
      <c r="AD666" s="163"/>
      <c r="AE666" s="163"/>
      <c r="AF666" s="163"/>
      <c r="AG666" s="163"/>
      <c r="AH666" s="163"/>
      <c r="AI666" s="163"/>
      <c r="AJ666" s="163"/>
      <c r="AK666" s="163"/>
      <c r="AL666" s="163"/>
      <c r="AM666" s="163"/>
      <c r="AN666" s="130"/>
      <c r="AO666" s="130"/>
      <c r="AP666" s="130"/>
      <c r="AQ666" s="130"/>
      <c r="AR666" s="130"/>
      <c r="AS666" s="130"/>
      <c r="AT666" s="130"/>
    </row>
    <row r="667" ht="13.5" customHeight="1">
      <c r="A667" s="130"/>
      <c r="B667" s="130"/>
      <c r="C667" s="130"/>
      <c r="D667" s="130"/>
      <c r="E667" s="163"/>
      <c r="F667" s="163"/>
      <c r="G667" s="163"/>
      <c r="H667" s="163"/>
      <c r="I667" s="163"/>
      <c r="J667" s="163"/>
      <c r="K667" s="130"/>
      <c r="L667" s="130"/>
      <c r="M667" s="130"/>
      <c r="N667" s="130"/>
      <c r="O667" s="130"/>
      <c r="P667" s="130"/>
      <c r="Q667" s="130"/>
      <c r="R667" s="130"/>
      <c r="S667" s="163"/>
      <c r="T667" s="163"/>
      <c r="U667" s="163"/>
      <c r="V667" s="163"/>
      <c r="W667" s="163"/>
      <c r="X667" s="163"/>
      <c r="Y667" s="163"/>
      <c r="Z667" s="163"/>
      <c r="AA667" s="163"/>
      <c r="AB667" s="163"/>
      <c r="AC667" s="163"/>
      <c r="AD667" s="163"/>
      <c r="AE667" s="163"/>
      <c r="AF667" s="163"/>
      <c r="AG667" s="163"/>
      <c r="AH667" s="163"/>
      <c r="AI667" s="163"/>
      <c r="AJ667" s="163"/>
      <c r="AK667" s="163"/>
      <c r="AL667" s="163"/>
      <c r="AM667" s="163"/>
      <c r="AN667" s="130"/>
      <c r="AO667" s="130"/>
      <c r="AP667" s="130"/>
      <c r="AQ667" s="130"/>
      <c r="AR667" s="130"/>
      <c r="AS667" s="130"/>
      <c r="AT667" s="130"/>
    </row>
    <row r="668" ht="13.5" customHeight="1">
      <c r="A668" s="130"/>
      <c r="B668" s="130"/>
      <c r="C668" s="130"/>
      <c r="D668" s="130"/>
      <c r="E668" s="163"/>
      <c r="F668" s="163"/>
      <c r="G668" s="163"/>
      <c r="H668" s="163"/>
      <c r="I668" s="163"/>
      <c r="J668" s="163"/>
      <c r="K668" s="130"/>
      <c r="L668" s="130"/>
      <c r="M668" s="130"/>
      <c r="N668" s="130"/>
      <c r="O668" s="130"/>
      <c r="P668" s="130"/>
      <c r="Q668" s="130"/>
      <c r="R668" s="130"/>
      <c r="S668" s="163"/>
      <c r="T668" s="163"/>
      <c r="U668" s="163"/>
      <c r="V668" s="163"/>
      <c r="W668" s="163"/>
      <c r="X668" s="163"/>
      <c r="Y668" s="163"/>
      <c r="Z668" s="163"/>
      <c r="AA668" s="163"/>
      <c r="AB668" s="163"/>
      <c r="AC668" s="163"/>
      <c r="AD668" s="163"/>
      <c r="AE668" s="163"/>
      <c r="AF668" s="163"/>
      <c r="AG668" s="163"/>
      <c r="AH668" s="163"/>
      <c r="AI668" s="163"/>
      <c r="AJ668" s="163"/>
      <c r="AK668" s="163"/>
      <c r="AL668" s="163"/>
      <c r="AM668" s="163"/>
      <c r="AN668" s="130"/>
      <c r="AO668" s="130"/>
      <c r="AP668" s="130"/>
      <c r="AQ668" s="130"/>
      <c r="AR668" s="130"/>
      <c r="AS668" s="130"/>
      <c r="AT668" s="130"/>
    </row>
    <row r="669" ht="13.5" customHeight="1">
      <c r="A669" s="130"/>
      <c r="B669" s="130"/>
      <c r="C669" s="130"/>
      <c r="D669" s="130"/>
      <c r="E669" s="163"/>
      <c r="F669" s="163"/>
      <c r="G669" s="163"/>
      <c r="H669" s="163"/>
      <c r="I669" s="163"/>
      <c r="J669" s="163"/>
      <c r="K669" s="130"/>
      <c r="L669" s="130"/>
      <c r="M669" s="130"/>
      <c r="N669" s="130"/>
      <c r="O669" s="130"/>
      <c r="P669" s="130"/>
      <c r="Q669" s="130"/>
      <c r="R669" s="130"/>
      <c r="S669" s="163"/>
      <c r="T669" s="163"/>
      <c r="U669" s="163"/>
      <c r="V669" s="163"/>
      <c r="W669" s="163"/>
      <c r="X669" s="163"/>
      <c r="Y669" s="163"/>
      <c r="Z669" s="163"/>
      <c r="AA669" s="163"/>
      <c r="AB669" s="163"/>
      <c r="AC669" s="163"/>
      <c r="AD669" s="163"/>
      <c r="AE669" s="163"/>
      <c r="AF669" s="163"/>
      <c r="AG669" s="163"/>
      <c r="AH669" s="163"/>
      <c r="AI669" s="163"/>
      <c r="AJ669" s="163"/>
      <c r="AK669" s="163"/>
      <c r="AL669" s="163"/>
      <c r="AM669" s="163"/>
      <c r="AN669" s="130"/>
      <c r="AO669" s="130"/>
      <c r="AP669" s="130"/>
      <c r="AQ669" s="130"/>
      <c r="AR669" s="130"/>
      <c r="AS669" s="130"/>
      <c r="AT669" s="130"/>
    </row>
    <row r="670" ht="13.5" customHeight="1">
      <c r="A670" s="130"/>
      <c r="B670" s="130"/>
      <c r="C670" s="130"/>
      <c r="D670" s="130"/>
      <c r="E670" s="163"/>
      <c r="F670" s="163"/>
      <c r="G670" s="163"/>
      <c r="H670" s="163"/>
      <c r="I670" s="163"/>
      <c r="J670" s="163"/>
      <c r="K670" s="130"/>
      <c r="L670" s="130"/>
      <c r="M670" s="130"/>
      <c r="N670" s="130"/>
      <c r="O670" s="130"/>
      <c r="P670" s="130"/>
      <c r="Q670" s="130"/>
      <c r="R670" s="130"/>
      <c r="S670" s="163"/>
      <c r="T670" s="163"/>
      <c r="U670" s="163"/>
      <c r="V670" s="163"/>
      <c r="W670" s="163"/>
      <c r="X670" s="163"/>
      <c r="Y670" s="163"/>
      <c r="Z670" s="163"/>
      <c r="AA670" s="163"/>
      <c r="AB670" s="163"/>
      <c r="AC670" s="163"/>
      <c r="AD670" s="163"/>
      <c r="AE670" s="163"/>
      <c r="AF670" s="163"/>
      <c r="AG670" s="163"/>
      <c r="AH670" s="163"/>
      <c r="AI670" s="163"/>
      <c r="AJ670" s="163"/>
      <c r="AK670" s="163"/>
      <c r="AL670" s="163"/>
      <c r="AM670" s="163"/>
      <c r="AN670" s="130"/>
      <c r="AO670" s="130"/>
      <c r="AP670" s="130"/>
      <c r="AQ670" s="130"/>
      <c r="AR670" s="130"/>
      <c r="AS670" s="130"/>
      <c r="AT670" s="130"/>
    </row>
    <row r="671" ht="13.5" customHeight="1">
      <c r="A671" s="130"/>
      <c r="B671" s="130"/>
      <c r="C671" s="130"/>
      <c r="D671" s="130"/>
      <c r="E671" s="163"/>
      <c r="F671" s="163"/>
      <c r="G671" s="163"/>
      <c r="H671" s="163"/>
      <c r="I671" s="163"/>
      <c r="J671" s="163"/>
      <c r="K671" s="130"/>
      <c r="L671" s="130"/>
      <c r="M671" s="130"/>
      <c r="N671" s="130"/>
      <c r="O671" s="130"/>
      <c r="P671" s="130"/>
      <c r="Q671" s="130"/>
      <c r="R671" s="130"/>
      <c r="S671" s="163"/>
      <c r="T671" s="163"/>
      <c r="U671" s="163"/>
      <c r="V671" s="163"/>
      <c r="W671" s="163"/>
      <c r="X671" s="163"/>
      <c r="Y671" s="163"/>
      <c r="Z671" s="163"/>
      <c r="AA671" s="163"/>
      <c r="AB671" s="163"/>
      <c r="AC671" s="163"/>
      <c r="AD671" s="163"/>
      <c r="AE671" s="163"/>
      <c r="AF671" s="163"/>
      <c r="AG671" s="163"/>
      <c r="AH671" s="163"/>
      <c r="AI671" s="163"/>
      <c r="AJ671" s="163"/>
      <c r="AK671" s="163"/>
      <c r="AL671" s="163"/>
      <c r="AM671" s="163"/>
      <c r="AN671" s="130"/>
      <c r="AO671" s="130"/>
      <c r="AP671" s="130"/>
      <c r="AQ671" s="130"/>
      <c r="AR671" s="130"/>
      <c r="AS671" s="130"/>
      <c r="AT671" s="130"/>
    </row>
    <row r="672" ht="13.5" customHeight="1">
      <c r="A672" s="130"/>
      <c r="B672" s="130"/>
      <c r="C672" s="130"/>
      <c r="D672" s="130"/>
      <c r="E672" s="163"/>
      <c r="F672" s="163"/>
      <c r="G672" s="163"/>
      <c r="H672" s="163"/>
      <c r="I672" s="163"/>
      <c r="J672" s="163"/>
      <c r="K672" s="130"/>
      <c r="L672" s="130"/>
      <c r="M672" s="130"/>
      <c r="N672" s="130"/>
      <c r="O672" s="130"/>
      <c r="P672" s="130"/>
      <c r="Q672" s="130"/>
      <c r="R672" s="130"/>
      <c r="S672" s="163"/>
      <c r="T672" s="163"/>
      <c r="U672" s="163"/>
      <c r="V672" s="163"/>
      <c r="W672" s="163"/>
      <c r="X672" s="163"/>
      <c r="Y672" s="163"/>
      <c r="Z672" s="163"/>
      <c r="AA672" s="163"/>
      <c r="AB672" s="163"/>
      <c r="AC672" s="163"/>
      <c r="AD672" s="163"/>
      <c r="AE672" s="163"/>
      <c r="AF672" s="163"/>
      <c r="AG672" s="163"/>
      <c r="AH672" s="163"/>
      <c r="AI672" s="163"/>
      <c r="AJ672" s="163"/>
      <c r="AK672" s="163"/>
      <c r="AL672" s="163"/>
      <c r="AM672" s="163"/>
      <c r="AN672" s="130"/>
      <c r="AO672" s="130"/>
      <c r="AP672" s="130"/>
      <c r="AQ672" s="130"/>
      <c r="AR672" s="130"/>
      <c r="AS672" s="130"/>
      <c r="AT672" s="130"/>
    </row>
    <row r="673" ht="13.5" customHeight="1">
      <c r="A673" s="130"/>
      <c r="B673" s="130"/>
      <c r="C673" s="130"/>
      <c r="D673" s="130"/>
      <c r="E673" s="163"/>
      <c r="F673" s="163"/>
      <c r="G673" s="163"/>
      <c r="H673" s="163"/>
      <c r="I673" s="163"/>
      <c r="J673" s="163"/>
      <c r="K673" s="130"/>
      <c r="L673" s="130"/>
      <c r="M673" s="130"/>
      <c r="N673" s="130"/>
      <c r="O673" s="130"/>
      <c r="P673" s="130"/>
      <c r="Q673" s="130"/>
      <c r="R673" s="130"/>
      <c r="S673" s="163"/>
      <c r="T673" s="163"/>
      <c r="U673" s="163"/>
      <c r="V673" s="163"/>
      <c r="W673" s="163"/>
      <c r="X673" s="163"/>
      <c r="Y673" s="163"/>
      <c r="Z673" s="163"/>
      <c r="AA673" s="163"/>
      <c r="AB673" s="163"/>
      <c r="AC673" s="163"/>
      <c r="AD673" s="163"/>
      <c r="AE673" s="163"/>
      <c r="AF673" s="163"/>
      <c r="AG673" s="163"/>
      <c r="AH673" s="163"/>
      <c r="AI673" s="163"/>
      <c r="AJ673" s="163"/>
      <c r="AK673" s="163"/>
      <c r="AL673" s="163"/>
      <c r="AM673" s="163"/>
      <c r="AN673" s="130"/>
      <c r="AO673" s="130"/>
      <c r="AP673" s="130"/>
      <c r="AQ673" s="130"/>
      <c r="AR673" s="130"/>
      <c r="AS673" s="130"/>
      <c r="AT673" s="130"/>
    </row>
    <row r="674" ht="13.5" customHeight="1">
      <c r="A674" s="130"/>
      <c r="B674" s="130"/>
      <c r="C674" s="130"/>
      <c r="D674" s="130"/>
      <c r="E674" s="163"/>
      <c r="F674" s="163"/>
      <c r="G674" s="163"/>
      <c r="H674" s="163"/>
      <c r="I674" s="163"/>
      <c r="J674" s="163"/>
      <c r="K674" s="130"/>
      <c r="L674" s="130"/>
      <c r="M674" s="130"/>
      <c r="N674" s="130"/>
      <c r="O674" s="130"/>
      <c r="P674" s="130"/>
      <c r="Q674" s="130"/>
      <c r="R674" s="130"/>
      <c r="S674" s="163"/>
      <c r="T674" s="163"/>
      <c r="U674" s="163"/>
      <c r="V674" s="163"/>
      <c r="W674" s="163"/>
      <c r="X674" s="163"/>
      <c r="Y674" s="163"/>
      <c r="Z674" s="163"/>
      <c r="AA674" s="163"/>
      <c r="AB674" s="163"/>
      <c r="AC674" s="163"/>
      <c r="AD674" s="163"/>
      <c r="AE674" s="163"/>
      <c r="AF674" s="163"/>
      <c r="AG674" s="163"/>
      <c r="AH674" s="163"/>
      <c r="AI674" s="163"/>
      <c r="AJ674" s="163"/>
      <c r="AK674" s="163"/>
      <c r="AL674" s="163"/>
      <c r="AM674" s="163"/>
      <c r="AN674" s="130"/>
      <c r="AO674" s="130"/>
      <c r="AP674" s="130"/>
      <c r="AQ674" s="130"/>
      <c r="AR674" s="130"/>
      <c r="AS674" s="130"/>
      <c r="AT674" s="130"/>
    </row>
    <row r="675" ht="13.5" customHeight="1">
      <c r="A675" s="130"/>
      <c r="B675" s="130"/>
      <c r="C675" s="130"/>
      <c r="D675" s="130"/>
      <c r="E675" s="163"/>
      <c r="F675" s="163"/>
      <c r="G675" s="163"/>
      <c r="H675" s="163"/>
      <c r="I675" s="163"/>
      <c r="J675" s="163"/>
      <c r="K675" s="130"/>
      <c r="L675" s="130"/>
      <c r="M675" s="130"/>
      <c r="N675" s="130"/>
      <c r="O675" s="130"/>
      <c r="P675" s="130"/>
      <c r="Q675" s="130"/>
      <c r="R675" s="130"/>
      <c r="S675" s="163"/>
      <c r="T675" s="163"/>
      <c r="U675" s="163"/>
      <c r="V675" s="163"/>
      <c r="W675" s="163"/>
      <c r="X675" s="163"/>
      <c r="Y675" s="163"/>
      <c r="Z675" s="163"/>
      <c r="AA675" s="163"/>
      <c r="AB675" s="163"/>
      <c r="AC675" s="163"/>
      <c r="AD675" s="163"/>
      <c r="AE675" s="163"/>
      <c r="AF675" s="163"/>
      <c r="AG675" s="163"/>
      <c r="AH675" s="163"/>
      <c r="AI675" s="163"/>
      <c r="AJ675" s="163"/>
      <c r="AK675" s="163"/>
      <c r="AL675" s="163"/>
      <c r="AM675" s="163"/>
      <c r="AN675" s="130"/>
      <c r="AO675" s="130"/>
      <c r="AP675" s="130"/>
      <c r="AQ675" s="130"/>
      <c r="AR675" s="130"/>
      <c r="AS675" s="130"/>
      <c r="AT675" s="130"/>
    </row>
    <row r="676" ht="13.5" customHeight="1">
      <c r="A676" s="130"/>
      <c r="B676" s="130"/>
      <c r="C676" s="130"/>
      <c r="D676" s="130"/>
      <c r="E676" s="163"/>
      <c r="F676" s="163"/>
      <c r="G676" s="163"/>
      <c r="H676" s="163"/>
      <c r="I676" s="163"/>
      <c r="J676" s="163"/>
      <c r="K676" s="130"/>
      <c r="L676" s="130"/>
      <c r="M676" s="130"/>
      <c r="N676" s="130"/>
      <c r="O676" s="130"/>
      <c r="P676" s="130"/>
      <c r="Q676" s="130"/>
      <c r="R676" s="130"/>
      <c r="S676" s="163"/>
      <c r="T676" s="163"/>
      <c r="U676" s="163"/>
      <c r="V676" s="163"/>
      <c r="W676" s="163"/>
      <c r="X676" s="163"/>
      <c r="Y676" s="163"/>
      <c r="Z676" s="163"/>
      <c r="AA676" s="163"/>
      <c r="AB676" s="163"/>
      <c r="AC676" s="163"/>
      <c r="AD676" s="163"/>
      <c r="AE676" s="163"/>
      <c r="AF676" s="163"/>
      <c r="AG676" s="163"/>
      <c r="AH676" s="163"/>
      <c r="AI676" s="163"/>
      <c r="AJ676" s="163"/>
      <c r="AK676" s="163"/>
      <c r="AL676" s="163"/>
      <c r="AM676" s="163"/>
      <c r="AN676" s="130"/>
      <c r="AO676" s="130"/>
      <c r="AP676" s="130"/>
      <c r="AQ676" s="130"/>
      <c r="AR676" s="130"/>
      <c r="AS676" s="130"/>
      <c r="AT676" s="130"/>
    </row>
    <row r="677" ht="13.5" customHeight="1">
      <c r="A677" s="130"/>
      <c r="B677" s="130"/>
      <c r="C677" s="130"/>
      <c r="D677" s="130"/>
      <c r="E677" s="163"/>
      <c r="F677" s="163"/>
      <c r="G677" s="163"/>
      <c r="H677" s="163"/>
      <c r="I677" s="163"/>
      <c r="J677" s="163"/>
      <c r="K677" s="130"/>
      <c r="L677" s="130"/>
      <c r="M677" s="130"/>
      <c r="N677" s="130"/>
      <c r="O677" s="130"/>
      <c r="P677" s="130"/>
      <c r="Q677" s="130"/>
      <c r="R677" s="130"/>
      <c r="S677" s="163"/>
      <c r="T677" s="163"/>
      <c r="U677" s="163"/>
      <c r="V677" s="163"/>
      <c r="W677" s="163"/>
      <c r="X677" s="163"/>
      <c r="Y677" s="163"/>
      <c r="Z677" s="163"/>
      <c r="AA677" s="163"/>
      <c r="AB677" s="163"/>
      <c r="AC677" s="163"/>
      <c r="AD677" s="163"/>
      <c r="AE677" s="163"/>
      <c r="AF677" s="163"/>
      <c r="AG677" s="163"/>
      <c r="AH677" s="163"/>
      <c r="AI677" s="163"/>
      <c r="AJ677" s="163"/>
      <c r="AK677" s="163"/>
      <c r="AL677" s="163"/>
      <c r="AM677" s="163"/>
      <c r="AN677" s="130"/>
      <c r="AO677" s="130"/>
      <c r="AP677" s="130"/>
      <c r="AQ677" s="130"/>
      <c r="AR677" s="130"/>
      <c r="AS677" s="130"/>
      <c r="AT677" s="130"/>
    </row>
    <row r="678" ht="13.5" customHeight="1">
      <c r="A678" s="130"/>
      <c r="B678" s="130"/>
      <c r="C678" s="130"/>
      <c r="D678" s="130"/>
      <c r="E678" s="163"/>
      <c r="F678" s="163"/>
      <c r="G678" s="163"/>
      <c r="H678" s="163"/>
      <c r="I678" s="163"/>
      <c r="J678" s="163"/>
      <c r="K678" s="130"/>
      <c r="L678" s="130"/>
      <c r="M678" s="130"/>
      <c r="N678" s="130"/>
      <c r="O678" s="130"/>
      <c r="P678" s="130"/>
      <c r="Q678" s="130"/>
      <c r="R678" s="130"/>
      <c r="S678" s="163"/>
      <c r="T678" s="163"/>
      <c r="U678" s="163"/>
      <c r="V678" s="163"/>
      <c r="W678" s="163"/>
      <c r="X678" s="163"/>
      <c r="Y678" s="163"/>
      <c r="Z678" s="163"/>
      <c r="AA678" s="163"/>
      <c r="AB678" s="163"/>
      <c r="AC678" s="163"/>
      <c r="AD678" s="163"/>
      <c r="AE678" s="163"/>
      <c r="AF678" s="163"/>
      <c r="AG678" s="163"/>
      <c r="AH678" s="163"/>
      <c r="AI678" s="163"/>
      <c r="AJ678" s="163"/>
      <c r="AK678" s="163"/>
      <c r="AL678" s="163"/>
      <c r="AM678" s="163"/>
      <c r="AN678" s="130"/>
      <c r="AO678" s="130"/>
      <c r="AP678" s="130"/>
      <c r="AQ678" s="130"/>
      <c r="AR678" s="130"/>
      <c r="AS678" s="130"/>
      <c r="AT678" s="130"/>
    </row>
    <row r="679" ht="13.5" customHeight="1">
      <c r="A679" s="130"/>
      <c r="B679" s="130"/>
      <c r="C679" s="130"/>
      <c r="D679" s="130"/>
      <c r="E679" s="163"/>
      <c r="F679" s="163"/>
      <c r="G679" s="163"/>
      <c r="H679" s="163"/>
      <c r="I679" s="163"/>
      <c r="J679" s="163"/>
      <c r="K679" s="130"/>
      <c r="L679" s="130"/>
      <c r="M679" s="130"/>
      <c r="N679" s="130"/>
      <c r="O679" s="130"/>
      <c r="P679" s="130"/>
      <c r="Q679" s="130"/>
      <c r="R679" s="130"/>
      <c r="S679" s="163"/>
      <c r="T679" s="163"/>
      <c r="U679" s="163"/>
      <c r="V679" s="163"/>
      <c r="W679" s="163"/>
      <c r="X679" s="163"/>
      <c r="Y679" s="163"/>
      <c r="Z679" s="163"/>
      <c r="AA679" s="163"/>
      <c r="AB679" s="163"/>
      <c r="AC679" s="163"/>
      <c r="AD679" s="163"/>
      <c r="AE679" s="163"/>
      <c r="AF679" s="163"/>
      <c r="AG679" s="163"/>
      <c r="AH679" s="163"/>
      <c r="AI679" s="163"/>
      <c r="AJ679" s="163"/>
      <c r="AK679" s="163"/>
      <c r="AL679" s="163"/>
      <c r="AM679" s="163"/>
      <c r="AN679" s="130"/>
      <c r="AO679" s="130"/>
      <c r="AP679" s="130"/>
      <c r="AQ679" s="130"/>
      <c r="AR679" s="130"/>
      <c r="AS679" s="130"/>
      <c r="AT679" s="130"/>
    </row>
    <row r="680" ht="13.5" customHeight="1">
      <c r="A680" s="130"/>
      <c r="B680" s="130"/>
      <c r="C680" s="130"/>
      <c r="D680" s="130"/>
      <c r="E680" s="163"/>
      <c r="F680" s="163"/>
      <c r="G680" s="163"/>
      <c r="H680" s="163"/>
      <c r="I680" s="163"/>
      <c r="J680" s="163"/>
      <c r="K680" s="130"/>
      <c r="L680" s="130"/>
      <c r="M680" s="130"/>
      <c r="N680" s="130"/>
      <c r="O680" s="130"/>
      <c r="P680" s="130"/>
      <c r="Q680" s="130"/>
      <c r="R680" s="130"/>
      <c r="S680" s="163"/>
      <c r="T680" s="163"/>
      <c r="U680" s="163"/>
      <c r="V680" s="163"/>
      <c r="W680" s="163"/>
      <c r="X680" s="163"/>
      <c r="Y680" s="163"/>
      <c r="Z680" s="163"/>
      <c r="AA680" s="163"/>
      <c r="AB680" s="163"/>
      <c r="AC680" s="163"/>
      <c r="AD680" s="163"/>
      <c r="AE680" s="163"/>
      <c r="AF680" s="163"/>
      <c r="AG680" s="163"/>
      <c r="AH680" s="163"/>
      <c r="AI680" s="163"/>
      <c r="AJ680" s="163"/>
      <c r="AK680" s="163"/>
      <c r="AL680" s="163"/>
      <c r="AM680" s="163"/>
      <c r="AN680" s="130"/>
      <c r="AO680" s="130"/>
      <c r="AP680" s="130"/>
      <c r="AQ680" s="130"/>
      <c r="AR680" s="130"/>
      <c r="AS680" s="130"/>
      <c r="AT680" s="130"/>
    </row>
    <row r="681" ht="13.5" customHeight="1">
      <c r="A681" s="130"/>
      <c r="B681" s="130"/>
      <c r="C681" s="130"/>
      <c r="D681" s="130"/>
      <c r="E681" s="163"/>
      <c r="F681" s="163"/>
      <c r="G681" s="163"/>
      <c r="H681" s="163"/>
      <c r="I681" s="163"/>
      <c r="J681" s="163"/>
      <c r="K681" s="130"/>
      <c r="L681" s="130"/>
      <c r="M681" s="130"/>
      <c r="N681" s="130"/>
      <c r="O681" s="130"/>
      <c r="P681" s="130"/>
      <c r="Q681" s="130"/>
      <c r="R681" s="130"/>
      <c r="S681" s="163"/>
      <c r="T681" s="163"/>
      <c r="U681" s="163"/>
      <c r="V681" s="163"/>
      <c r="W681" s="163"/>
      <c r="X681" s="163"/>
      <c r="Y681" s="163"/>
      <c r="Z681" s="163"/>
      <c r="AA681" s="163"/>
      <c r="AB681" s="163"/>
      <c r="AC681" s="163"/>
      <c r="AD681" s="163"/>
      <c r="AE681" s="163"/>
      <c r="AF681" s="163"/>
      <c r="AG681" s="163"/>
      <c r="AH681" s="163"/>
      <c r="AI681" s="163"/>
      <c r="AJ681" s="163"/>
      <c r="AK681" s="163"/>
      <c r="AL681" s="163"/>
      <c r="AM681" s="163"/>
      <c r="AN681" s="130"/>
      <c r="AO681" s="130"/>
      <c r="AP681" s="130"/>
      <c r="AQ681" s="130"/>
      <c r="AR681" s="130"/>
      <c r="AS681" s="130"/>
      <c r="AT681" s="130"/>
    </row>
    <row r="682" ht="13.5" customHeight="1">
      <c r="A682" s="130"/>
      <c r="B682" s="130"/>
      <c r="C682" s="130"/>
      <c r="D682" s="130"/>
      <c r="E682" s="163"/>
      <c r="F682" s="163"/>
      <c r="G682" s="163"/>
      <c r="H682" s="163"/>
      <c r="I682" s="163"/>
      <c r="J682" s="163"/>
      <c r="K682" s="130"/>
      <c r="L682" s="130"/>
      <c r="M682" s="130"/>
      <c r="N682" s="130"/>
      <c r="O682" s="130"/>
      <c r="P682" s="130"/>
      <c r="Q682" s="130"/>
      <c r="R682" s="130"/>
      <c r="S682" s="163"/>
      <c r="T682" s="163"/>
      <c r="U682" s="163"/>
      <c r="V682" s="163"/>
      <c r="W682" s="163"/>
      <c r="X682" s="163"/>
      <c r="Y682" s="163"/>
      <c r="Z682" s="163"/>
      <c r="AA682" s="163"/>
      <c r="AB682" s="163"/>
      <c r="AC682" s="163"/>
      <c r="AD682" s="163"/>
      <c r="AE682" s="163"/>
      <c r="AF682" s="163"/>
      <c r="AG682" s="163"/>
      <c r="AH682" s="163"/>
      <c r="AI682" s="163"/>
      <c r="AJ682" s="163"/>
      <c r="AK682" s="163"/>
      <c r="AL682" s="163"/>
      <c r="AM682" s="163"/>
      <c r="AN682" s="130"/>
      <c r="AO682" s="130"/>
      <c r="AP682" s="130"/>
      <c r="AQ682" s="130"/>
      <c r="AR682" s="130"/>
      <c r="AS682" s="130"/>
      <c r="AT682" s="130"/>
    </row>
    <row r="683" ht="13.5" customHeight="1">
      <c r="A683" s="130"/>
      <c r="B683" s="130"/>
      <c r="C683" s="130"/>
      <c r="D683" s="130"/>
      <c r="E683" s="163"/>
      <c r="F683" s="163"/>
      <c r="G683" s="163"/>
      <c r="H683" s="163"/>
      <c r="I683" s="163"/>
      <c r="J683" s="163"/>
      <c r="K683" s="130"/>
      <c r="L683" s="130"/>
      <c r="M683" s="130"/>
      <c r="N683" s="130"/>
      <c r="O683" s="130"/>
      <c r="P683" s="130"/>
      <c r="Q683" s="130"/>
      <c r="R683" s="130"/>
      <c r="S683" s="163"/>
      <c r="T683" s="163"/>
      <c r="U683" s="163"/>
      <c r="V683" s="163"/>
      <c r="W683" s="163"/>
      <c r="X683" s="163"/>
      <c r="Y683" s="163"/>
      <c r="Z683" s="163"/>
      <c r="AA683" s="163"/>
      <c r="AB683" s="163"/>
      <c r="AC683" s="163"/>
      <c r="AD683" s="163"/>
      <c r="AE683" s="163"/>
      <c r="AF683" s="163"/>
      <c r="AG683" s="163"/>
      <c r="AH683" s="163"/>
      <c r="AI683" s="163"/>
      <c r="AJ683" s="163"/>
      <c r="AK683" s="163"/>
      <c r="AL683" s="163"/>
      <c r="AM683" s="163"/>
      <c r="AN683" s="130"/>
      <c r="AO683" s="130"/>
      <c r="AP683" s="130"/>
      <c r="AQ683" s="130"/>
      <c r="AR683" s="130"/>
      <c r="AS683" s="130"/>
      <c r="AT683" s="130"/>
    </row>
    <row r="684" ht="13.5" customHeight="1">
      <c r="A684" s="130"/>
      <c r="B684" s="130"/>
      <c r="C684" s="130"/>
      <c r="D684" s="130"/>
      <c r="E684" s="163"/>
      <c r="F684" s="163"/>
      <c r="G684" s="163"/>
      <c r="H684" s="163"/>
      <c r="I684" s="163"/>
      <c r="J684" s="163"/>
      <c r="K684" s="130"/>
      <c r="L684" s="130"/>
      <c r="M684" s="130"/>
      <c r="N684" s="130"/>
      <c r="O684" s="130"/>
      <c r="P684" s="130"/>
      <c r="Q684" s="130"/>
      <c r="R684" s="130"/>
      <c r="S684" s="163"/>
      <c r="T684" s="163"/>
      <c r="U684" s="163"/>
      <c r="V684" s="163"/>
      <c r="W684" s="163"/>
      <c r="X684" s="163"/>
      <c r="Y684" s="163"/>
      <c r="Z684" s="163"/>
      <c r="AA684" s="163"/>
      <c r="AB684" s="163"/>
      <c r="AC684" s="163"/>
      <c r="AD684" s="163"/>
      <c r="AE684" s="163"/>
      <c r="AF684" s="163"/>
      <c r="AG684" s="163"/>
      <c r="AH684" s="163"/>
      <c r="AI684" s="163"/>
      <c r="AJ684" s="163"/>
      <c r="AK684" s="163"/>
      <c r="AL684" s="163"/>
      <c r="AM684" s="163"/>
      <c r="AN684" s="130"/>
      <c r="AO684" s="130"/>
      <c r="AP684" s="130"/>
      <c r="AQ684" s="130"/>
      <c r="AR684" s="130"/>
      <c r="AS684" s="130"/>
      <c r="AT684" s="130"/>
    </row>
    <row r="685" ht="13.5" customHeight="1">
      <c r="A685" s="130"/>
      <c r="B685" s="130"/>
      <c r="C685" s="130"/>
      <c r="D685" s="130"/>
      <c r="E685" s="163"/>
      <c r="F685" s="163"/>
      <c r="G685" s="163"/>
      <c r="H685" s="163"/>
      <c r="I685" s="163"/>
      <c r="J685" s="163"/>
      <c r="K685" s="130"/>
      <c r="L685" s="130"/>
      <c r="M685" s="130"/>
      <c r="N685" s="130"/>
      <c r="O685" s="130"/>
      <c r="P685" s="130"/>
      <c r="Q685" s="130"/>
      <c r="R685" s="130"/>
      <c r="S685" s="163"/>
      <c r="T685" s="163"/>
      <c r="U685" s="163"/>
      <c r="V685" s="163"/>
      <c r="W685" s="163"/>
      <c r="X685" s="163"/>
      <c r="Y685" s="163"/>
      <c r="Z685" s="163"/>
      <c r="AA685" s="163"/>
      <c r="AB685" s="163"/>
      <c r="AC685" s="163"/>
      <c r="AD685" s="163"/>
      <c r="AE685" s="163"/>
      <c r="AF685" s="163"/>
      <c r="AG685" s="163"/>
      <c r="AH685" s="163"/>
      <c r="AI685" s="163"/>
      <c r="AJ685" s="163"/>
      <c r="AK685" s="163"/>
      <c r="AL685" s="163"/>
      <c r="AM685" s="163"/>
      <c r="AN685" s="130"/>
      <c r="AO685" s="130"/>
      <c r="AP685" s="130"/>
      <c r="AQ685" s="130"/>
      <c r="AR685" s="130"/>
      <c r="AS685" s="130"/>
      <c r="AT685" s="130"/>
    </row>
    <row r="686" ht="13.5" customHeight="1">
      <c r="A686" s="130"/>
      <c r="B686" s="130"/>
      <c r="C686" s="130"/>
      <c r="D686" s="130"/>
      <c r="E686" s="163"/>
      <c r="F686" s="163"/>
      <c r="G686" s="163"/>
      <c r="H686" s="163"/>
      <c r="I686" s="163"/>
      <c r="J686" s="163"/>
      <c r="K686" s="130"/>
      <c r="L686" s="130"/>
      <c r="M686" s="130"/>
      <c r="N686" s="130"/>
      <c r="O686" s="130"/>
      <c r="P686" s="130"/>
      <c r="Q686" s="130"/>
      <c r="R686" s="130"/>
      <c r="S686" s="163"/>
      <c r="T686" s="163"/>
      <c r="U686" s="163"/>
      <c r="V686" s="163"/>
      <c r="W686" s="163"/>
      <c r="X686" s="163"/>
      <c r="Y686" s="163"/>
      <c r="Z686" s="163"/>
      <c r="AA686" s="163"/>
      <c r="AB686" s="163"/>
      <c r="AC686" s="163"/>
      <c r="AD686" s="163"/>
      <c r="AE686" s="163"/>
      <c r="AF686" s="163"/>
      <c r="AG686" s="163"/>
      <c r="AH686" s="163"/>
      <c r="AI686" s="163"/>
      <c r="AJ686" s="163"/>
      <c r="AK686" s="163"/>
      <c r="AL686" s="163"/>
      <c r="AM686" s="163"/>
      <c r="AN686" s="130"/>
      <c r="AO686" s="130"/>
      <c r="AP686" s="130"/>
      <c r="AQ686" s="130"/>
      <c r="AR686" s="130"/>
      <c r="AS686" s="130"/>
      <c r="AT686" s="130"/>
    </row>
    <row r="687" ht="13.5" customHeight="1">
      <c r="A687" s="130"/>
      <c r="B687" s="130"/>
      <c r="C687" s="130"/>
      <c r="D687" s="130"/>
      <c r="E687" s="163"/>
      <c r="F687" s="163"/>
      <c r="G687" s="163"/>
      <c r="H687" s="163"/>
      <c r="I687" s="163"/>
      <c r="J687" s="163"/>
      <c r="K687" s="130"/>
      <c r="L687" s="130"/>
      <c r="M687" s="130"/>
      <c r="N687" s="130"/>
      <c r="O687" s="130"/>
      <c r="P687" s="130"/>
      <c r="Q687" s="130"/>
      <c r="R687" s="130"/>
      <c r="S687" s="163"/>
      <c r="T687" s="163"/>
      <c r="U687" s="163"/>
      <c r="V687" s="163"/>
      <c r="W687" s="163"/>
      <c r="X687" s="163"/>
      <c r="Y687" s="163"/>
      <c r="Z687" s="163"/>
      <c r="AA687" s="163"/>
      <c r="AB687" s="163"/>
      <c r="AC687" s="163"/>
      <c r="AD687" s="163"/>
      <c r="AE687" s="163"/>
      <c r="AF687" s="163"/>
      <c r="AG687" s="163"/>
      <c r="AH687" s="163"/>
      <c r="AI687" s="163"/>
      <c r="AJ687" s="163"/>
      <c r="AK687" s="163"/>
      <c r="AL687" s="163"/>
      <c r="AM687" s="163"/>
      <c r="AN687" s="130"/>
      <c r="AO687" s="130"/>
      <c r="AP687" s="130"/>
      <c r="AQ687" s="130"/>
      <c r="AR687" s="130"/>
      <c r="AS687" s="130"/>
      <c r="AT687" s="130"/>
    </row>
    <row r="688" ht="13.5" customHeight="1">
      <c r="A688" s="130"/>
      <c r="B688" s="130"/>
      <c r="C688" s="130"/>
      <c r="D688" s="130"/>
      <c r="E688" s="163"/>
      <c r="F688" s="163"/>
      <c r="G688" s="163"/>
      <c r="H688" s="163"/>
      <c r="I688" s="163"/>
      <c r="J688" s="163"/>
      <c r="K688" s="130"/>
      <c r="L688" s="130"/>
      <c r="M688" s="130"/>
      <c r="N688" s="130"/>
      <c r="O688" s="130"/>
      <c r="P688" s="130"/>
      <c r="Q688" s="130"/>
      <c r="R688" s="130"/>
      <c r="S688" s="163"/>
      <c r="T688" s="163"/>
      <c r="U688" s="163"/>
      <c r="V688" s="163"/>
      <c r="W688" s="163"/>
      <c r="X688" s="163"/>
      <c r="Y688" s="163"/>
      <c r="Z688" s="163"/>
      <c r="AA688" s="163"/>
      <c r="AB688" s="163"/>
      <c r="AC688" s="163"/>
      <c r="AD688" s="163"/>
      <c r="AE688" s="163"/>
      <c r="AF688" s="163"/>
      <c r="AG688" s="163"/>
      <c r="AH688" s="163"/>
      <c r="AI688" s="163"/>
      <c r="AJ688" s="163"/>
      <c r="AK688" s="163"/>
      <c r="AL688" s="163"/>
      <c r="AM688" s="163"/>
      <c r="AN688" s="130"/>
      <c r="AO688" s="130"/>
      <c r="AP688" s="130"/>
      <c r="AQ688" s="130"/>
      <c r="AR688" s="130"/>
      <c r="AS688" s="130"/>
      <c r="AT688" s="130"/>
    </row>
    <row r="689" ht="13.5" customHeight="1">
      <c r="A689" s="130"/>
      <c r="B689" s="130"/>
      <c r="C689" s="130"/>
      <c r="D689" s="130"/>
      <c r="E689" s="163"/>
      <c r="F689" s="163"/>
      <c r="G689" s="163"/>
      <c r="H689" s="163"/>
      <c r="I689" s="163"/>
      <c r="J689" s="163"/>
      <c r="K689" s="130"/>
      <c r="L689" s="130"/>
      <c r="M689" s="130"/>
      <c r="N689" s="130"/>
      <c r="O689" s="130"/>
      <c r="P689" s="130"/>
      <c r="Q689" s="130"/>
      <c r="R689" s="130"/>
      <c r="S689" s="163"/>
      <c r="T689" s="163"/>
      <c r="U689" s="163"/>
      <c r="V689" s="163"/>
      <c r="W689" s="163"/>
      <c r="X689" s="163"/>
      <c r="Y689" s="163"/>
      <c r="Z689" s="163"/>
      <c r="AA689" s="163"/>
      <c r="AB689" s="163"/>
      <c r="AC689" s="163"/>
      <c r="AD689" s="163"/>
      <c r="AE689" s="163"/>
      <c r="AF689" s="163"/>
      <c r="AG689" s="163"/>
      <c r="AH689" s="163"/>
      <c r="AI689" s="163"/>
      <c r="AJ689" s="163"/>
      <c r="AK689" s="163"/>
      <c r="AL689" s="163"/>
      <c r="AM689" s="163"/>
      <c r="AN689" s="130"/>
      <c r="AO689" s="130"/>
      <c r="AP689" s="130"/>
      <c r="AQ689" s="130"/>
      <c r="AR689" s="130"/>
      <c r="AS689" s="130"/>
      <c r="AT689" s="130"/>
    </row>
    <row r="690" ht="13.5" customHeight="1">
      <c r="A690" s="130"/>
      <c r="B690" s="130"/>
      <c r="C690" s="130"/>
      <c r="D690" s="130"/>
      <c r="E690" s="163"/>
      <c r="F690" s="163"/>
      <c r="G690" s="163"/>
      <c r="H690" s="163"/>
      <c r="I690" s="163"/>
      <c r="J690" s="163"/>
      <c r="K690" s="130"/>
      <c r="L690" s="130"/>
      <c r="M690" s="130"/>
      <c r="N690" s="130"/>
      <c r="O690" s="130"/>
      <c r="P690" s="130"/>
      <c r="Q690" s="130"/>
      <c r="R690" s="130"/>
      <c r="S690" s="163"/>
      <c r="T690" s="163"/>
      <c r="U690" s="163"/>
      <c r="V690" s="163"/>
      <c r="W690" s="163"/>
      <c r="X690" s="163"/>
      <c r="Y690" s="163"/>
      <c r="Z690" s="163"/>
      <c r="AA690" s="163"/>
      <c r="AB690" s="163"/>
      <c r="AC690" s="163"/>
      <c r="AD690" s="163"/>
      <c r="AE690" s="163"/>
      <c r="AF690" s="163"/>
      <c r="AG690" s="163"/>
      <c r="AH690" s="163"/>
      <c r="AI690" s="163"/>
      <c r="AJ690" s="163"/>
      <c r="AK690" s="163"/>
      <c r="AL690" s="163"/>
      <c r="AM690" s="163"/>
      <c r="AN690" s="130"/>
      <c r="AO690" s="130"/>
      <c r="AP690" s="130"/>
      <c r="AQ690" s="130"/>
      <c r="AR690" s="130"/>
      <c r="AS690" s="130"/>
      <c r="AT690" s="130"/>
    </row>
    <row r="691" ht="13.5" customHeight="1">
      <c r="A691" s="130"/>
      <c r="B691" s="130"/>
      <c r="C691" s="130"/>
      <c r="D691" s="130"/>
      <c r="E691" s="163"/>
      <c r="F691" s="163"/>
      <c r="G691" s="163"/>
      <c r="H691" s="163"/>
      <c r="I691" s="163"/>
      <c r="J691" s="163"/>
      <c r="K691" s="130"/>
      <c r="L691" s="130"/>
      <c r="M691" s="130"/>
      <c r="N691" s="130"/>
      <c r="O691" s="130"/>
      <c r="P691" s="130"/>
      <c r="Q691" s="130"/>
      <c r="R691" s="130"/>
      <c r="S691" s="163"/>
      <c r="T691" s="163"/>
      <c r="U691" s="163"/>
      <c r="V691" s="163"/>
      <c r="W691" s="163"/>
      <c r="X691" s="163"/>
      <c r="Y691" s="163"/>
      <c r="Z691" s="163"/>
      <c r="AA691" s="163"/>
      <c r="AB691" s="163"/>
      <c r="AC691" s="163"/>
      <c r="AD691" s="163"/>
      <c r="AE691" s="163"/>
      <c r="AF691" s="163"/>
      <c r="AG691" s="163"/>
      <c r="AH691" s="163"/>
      <c r="AI691" s="163"/>
      <c r="AJ691" s="163"/>
      <c r="AK691" s="163"/>
      <c r="AL691" s="163"/>
      <c r="AM691" s="163"/>
      <c r="AN691" s="130"/>
      <c r="AO691" s="130"/>
      <c r="AP691" s="130"/>
      <c r="AQ691" s="130"/>
      <c r="AR691" s="130"/>
      <c r="AS691" s="130"/>
      <c r="AT691" s="130"/>
    </row>
    <row r="692" ht="13.5" customHeight="1">
      <c r="A692" s="130"/>
      <c r="B692" s="130"/>
      <c r="C692" s="130"/>
      <c r="D692" s="130"/>
      <c r="E692" s="163"/>
      <c r="F692" s="163"/>
      <c r="G692" s="163"/>
      <c r="H692" s="163"/>
      <c r="I692" s="163"/>
      <c r="J692" s="163"/>
      <c r="K692" s="130"/>
      <c r="L692" s="130"/>
      <c r="M692" s="130"/>
      <c r="N692" s="130"/>
      <c r="O692" s="130"/>
      <c r="P692" s="130"/>
      <c r="Q692" s="130"/>
      <c r="R692" s="130"/>
      <c r="S692" s="163"/>
      <c r="T692" s="163"/>
      <c r="U692" s="163"/>
      <c r="V692" s="163"/>
      <c r="W692" s="163"/>
      <c r="X692" s="163"/>
      <c r="Y692" s="163"/>
      <c r="Z692" s="163"/>
      <c r="AA692" s="163"/>
      <c r="AB692" s="163"/>
      <c r="AC692" s="163"/>
      <c r="AD692" s="163"/>
      <c r="AE692" s="163"/>
      <c r="AF692" s="163"/>
      <c r="AG692" s="163"/>
      <c r="AH692" s="163"/>
      <c r="AI692" s="163"/>
      <c r="AJ692" s="163"/>
      <c r="AK692" s="163"/>
      <c r="AL692" s="163"/>
      <c r="AM692" s="163"/>
      <c r="AN692" s="130"/>
      <c r="AO692" s="130"/>
      <c r="AP692" s="130"/>
      <c r="AQ692" s="130"/>
      <c r="AR692" s="130"/>
      <c r="AS692" s="130"/>
      <c r="AT692" s="130"/>
    </row>
    <row r="693" ht="13.5" customHeight="1">
      <c r="A693" s="130"/>
      <c r="B693" s="130"/>
      <c r="C693" s="130"/>
      <c r="D693" s="130"/>
      <c r="E693" s="163"/>
      <c r="F693" s="163"/>
      <c r="G693" s="163"/>
      <c r="H693" s="163"/>
      <c r="I693" s="163"/>
      <c r="J693" s="163"/>
      <c r="K693" s="130"/>
      <c r="L693" s="130"/>
      <c r="M693" s="130"/>
      <c r="N693" s="130"/>
      <c r="O693" s="130"/>
      <c r="P693" s="130"/>
      <c r="Q693" s="130"/>
      <c r="R693" s="130"/>
      <c r="S693" s="163"/>
      <c r="T693" s="163"/>
      <c r="U693" s="163"/>
      <c r="V693" s="163"/>
      <c r="W693" s="163"/>
      <c r="X693" s="163"/>
      <c r="Y693" s="163"/>
      <c r="Z693" s="163"/>
      <c r="AA693" s="163"/>
      <c r="AB693" s="163"/>
      <c r="AC693" s="163"/>
      <c r="AD693" s="163"/>
      <c r="AE693" s="163"/>
      <c r="AF693" s="163"/>
      <c r="AG693" s="163"/>
      <c r="AH693" s="163"/>
      <c r="AI693" s="163"/>
      <c r="AJ693" s="163"/>
      <c r="AK693" s="163"/>
      <c r="AL693" s="163"/>
      <c r="AM693" s="163"/>
      <c r="AN693" s="130"/>
      <c r="AO693" s="130"/>
      <c r="AP693" s="130"/>
      <c r="AQ693" s="130"/>
      <c r="AR693" s="130"/>
      <c r="AS693" s="130"/>
      <c r="AT693" s="130"/>
    </row>
    <row r="694" ht="13.5" customHeight="1">
      <c r="A694" s="130"/>
      <c r="B694" s="130"/>
      <c r="C694" s="130"/>
      <c r="D694" s="130"/>
      <c r="E694" s="163"/>
      <c r="F694" s="163"/>
      <c r="G694" s="163"/>
      <c r="H694" s="163"/>
      <c r="I694" s="163"/>
      <c r="J694" s="163"/>
      <c r="K694" s="130"/>
      <c r="L694" s="130"/>
      <c r="M694" s="130"/>
      <c r="N694" s="130"/>
      <c r="O694" s="130"/>
      <c r="P694" s="130"/>
      <c r="Q694" s="130"/>
      <c r="R694" s="130"/>
      <c r="S694" s="163"/>
      <c r="T694" s="163"/>
      <c r="U694" s="163"/>
      <c r="V694" s="163"/>
      <c r="W694" s="163"/>
      <c r="X694" s="163"/>
      <c r="Y694" s="163"/>
      <c r="Z694" s="163"/>
      <c r="AA694" s="163"/>
      <c r="AB694" s="163"/>
      <c r="AC694" s="163"/>
      <c r="AD694" s="163"/>
      <c r="AE694" s="163"/>
      <c r="AF694" s="163"/>
      <c r="AG694" s="163"/>
      <c r="AH694" s="163"/>
      <c r="AI694" s="163"/>
      <c r="AJ694" s="163"/>
      <c r="AK694" s="163"/>
      <c r="AL694" s="163"/>
      <c r="AM694" s="163"/>
      <c r="AN694" s="130"/>
      <c r="AO694" s="130"/>
      <c r="AP694" s="130"/>
      <c r="AQ694" s="130"/>
      <c r="AR694" s="130"/>
      <c r="AS694" s="130"/>
      <c r="AT694" s="130"/>
    </row>
    <row r="695" ht="13.5" customHeight="1">
      <c r="A695" s="130"/>
      <c r="B695" s="130"/>
      <c r="C695" s="130"/>
      <c r="D695" s="130"/>
      <c r="E695" s="163"/>
      <c r="F695" s="163"/>
      <c r="G695" s="163"/>
      <c r="H695" s="163"/>
      <c r="I695" s="163"/>
      <c r="J695" s="163"/>
      <c r="K695" s="130"/>
      <c r="L695" s="130"/>
      <c r="M695" s="130"/>
      <c r="N695" s="130"/>
      <c r="O695" s="130"/>
      <c r="P695" s="130"/>
      <c r="Q695" s="130"/>
      <c r="R695" s="130"/>
      <c r="S695" s="163"/>
      <c r="T695" s="163"/>
      <c r="U695" s="163"/>
      <c r="V695" s="163"/>
      <c r="W695" s="163"/>
      <c r="X695" s="163"/>
      <c r="Y695" s="163"/>
      <c r="Z695" s="163"/>
      <c r="AA695" s="163"/>
      <c r="AB695" s="163"/>
      <c r="AC695" s="163"/>
      <c r="AD695" s="163"/>
      <c r="AE695" s="163"/>
      <c r="AF695" s="163"/>
      <c r="AG695" s="163"/>
      <c r="AH695" s="163"/>
      <c r="AI695" s="163"/>
      <c r="AJ695" s="163"/>
      <c r="AK695" s="163"/>
      <c r="AL695" s="163"/>
      <c r="AM695" s="163"/>
      <c r="AN695" s="130"/>
      <c r="AO695" s="130"/>
      <c r="AP695" s="130"/>
      <c r="AQ695" s="130"/>
      <c r="AR695" s="130"/>
      <c r="AS695" s="130"/>
      <c r="AT695" s="130"/>
    </row>
    <row r="696" ht="13.5" customHeight="1">
      <c r="A696" s="130"/>
      <c r="B696" s="130"/>
      <c r="C696" s="130"/>
      <c r="D696" s="130"/>
      <c r="E696" s="163"/>
      <c r="F696" s="163"/>
      <c r="G696" s="163"/>
      <c r="H696" s="163"/>
      <c r="I696" s="163"/>
      <c r="J696" s="163"/>
      <c r="K696" s="130"/>
      <c r="L696" s="130"/>
      <c r="M696" s="130"/>
      <c r="N696" s="130"/>
      <c r="O696" s="130"/>
      <c r="P696" s="130"/>
      <c r="Q696" s="130"/>
      <c r="R696" s="130"/>
      <c r="S696" s="163"/>
      <c r="T696" s="163"/>
      <c r="U696" s="163"/>
      <c r="V696" s="163"/>
      <c r="W696" s="163"/>
      <c r="X696" s="163"/>
      <c r="Y696" s="163"/>
      <c r="Z696" s="163"/>
      <c r="AA696" s="163"/>
      <c r="AB696" s="163"/>
      <c r="AC696" s="163"/>
      <c r="AD696" s="163"/>
      <c r="AE696" s="163"/>
      <c r="AF696" s="163"/>
      <c r="AG696" s="163"/>
      <c r="AH696" s="163"/>
      <c r="AI696" s="163"/>
      <c r="AJ696" s="163"/>
      <c r="AK696" s="163"/>
      <c r="AL696" s="163"/>
      <c r="AM696" s="163"/>
      <c r="AN696" s="130"/>
      <c r="AO696" s="130"/>
      <c r="AP696" s="130"/>
      <c r="AQ696" s="130"/>
      <c r="AR696" s="130"/>
      <c r="AS696" s="130"/>
      <c r="AT696" s="130"/>
    </row>
    <row r="697" ht="13.5" customHeight="1">
      <c r="A697" s="130"/>
      <c r="B697" s="130"/>
      <c r="C697" s="130"/>
      <c r="D697" s="130"/>
      <c r="E697" s="163"/>
      <c r="F697" s="163"/>
      <c r="G697" s="163"/>
      <c r="H697" s="163"/>
      <c r="I697" s="163"/>
      <c r="J697" s="163"/>
      <c r="K697" s="130"/>
      <c r="L697" s="130"/>
      <c r="M697" s="130"/>
      <c r="N697" s="130"/>
      <c r="O697" s="130"/>
      <c r="P697" s="130"/>
      <c r="Q697" s="130"/>
      <c r="R697" s="130"/>
      <c r="S697" s="163"/>
      <c r="T697" s="163"/>
      <c r="U697" s="163"/>
      <c r="V697" s="163"/>
      <c r="W697" s="163"/>
      <c r="X697" s="163"/>
      <c r="Y697" s="163"/>
      <c r="Z697" s="163"/>
      <c r="AA697" s="163"/>
      <c r="AB697" s="163"/>
      <c r="AC697" s="163"/>
      <c r="AD697" s="163"/>
      <c r="AE697" s="163"/>
      <c r="AF697" s="163"/>
      <c r="AG697" s="163"/>
      <c r="AH697" s="163"/>
      <c r="AI697" s="163"/>
      <c r="AJ697" s="163"/>
      <c r="AK697" s="163"/>
      <c r="AL697" s="163"/>
      <c r="AM697" s="163"/>
      <c r="AN697" s="130"/>
      <c r="AO697" s="130"/>
      <c r="AP697" s="130"/>
      <c r="AQ697" s="130"/>
      <c r="AR697" s="130"/>
      <c r="AS697" s="130"/>
      <c r="AT697" s="130"/>
    </row>
    <row r="698" ht="13.5" customHeight="1">
      <c r="A698" s="130"/>
      <c r="B698" s="130"/>
      <c r="C698" s="130"/>
      <c r="D698" s="130"/>
      <c r="E698" s="163"/>
      <c r="F698" s="163"/>
      <c r="G698" s="163"/>
      <c r="H698" s="163"/>
      <c r="I698" s="163"/>
      <c r="J698" s="163"/>
      <c r="K698" s="130"/>
      <c r="L698" s="130"/>
      <c r="M698" s="130"/>
      <c r="N698" s="130"/>
      <c r="O698" s="130"/>
      <c r="P698" s="130"/>
      <c r="Q698" s="130"/>
      <c r="R698" s="130"/>
      <c r="S698" s="163"/>
      <c r="T698" s="163"/>
      <c r="U698" s="163"/>
      <c r="V698" s="163"/>
      <c r="W698" s="163"/>
      <c r="X698" s="163"/>
      <c r="Y698" s="163"/>
      <c r="Z698" s="163"/>
      <c r="AA698" s="163"/>
      <c r="AB698" s="163"/>
      <c r="AC698" s="163"/>
      <c r="AD698" s="163"/>
      <c r="AE698" s="163"/>
      <c r="AF698" s="163"/>
      <c r="AG698" s="163"/>
      <c r="AH698" s="163"/>
      <c r="AI698" s="163"/>
      <c r="AJ698" s="163"/>
      <c r="AK698" s="163"/>
      <c r="AL698" s="163"/>
      <c r="AM698" s="163"/>
      <c r="AN698" s="130"/>
      <c r="AO698" s="130"/>
      <c r="AP698" s="130"/>
      <c r="AQ698" s="130"/>
      <c r="AR698" s="130"/>
      <c r="AS698" s="130"/>
      <c r="AT698" s="130"/>
    </row>
    <row r="699" ht="13.5" customHeight="1">
      <c r="A699" s="130"/>
      <c r="B699" s="130"/>
      <c r="C699" s="130"/>
      <c r="D699" s="130"/>
      <c r="E699" s="163"/>
      <c r="F699" s="163"/>
      <c r="G699" s="163"/>
      <c r="H699" s="163"/>
      <c r="I699" s="163"/>
      <c r="J699" s="163"/>
      <c r="K699" s="130"/>
      <c r="L699" s="130"/>
      <c r="M699" s="130"/>
      <c r="N699" s="130"/>
      <c r="O699" s="130"/>
      <c r="P699" s="130"/>
      <c r="Q699" s="130"/>
      <c r="R699" s="130"/>
      <c r="S699" s="163"/>
      <c r="T699" s="163"/>
      <c r="U699" s="163"/>
      <c r="V699" s="163"/>
      <c r="W699" s="163"/>
      <c r="X699" s="163"/>
      <c r="Y699" s="163"/>
      <c r="Z699" s="163"/>
      <c r="AA699" s="163"/>
      <c r="AB699" s="163"/>
      <c r="AC699" s="163"/>
      <c r="AD699" s="163"/>
      <c r="AE699" s="163"/>
      <c r="AF699" s="163"/>
      <c r="AG699" s="163"/>
      <c r="AH699" s="163"/>
      <c r="AI699" s="163"/>
      <c r="AJ699" s="163"/>
      <c r="AK699" s="163"/>
      <c r="AL699" s="163"/>
      <c r="AM699" s="163"/>
      <c r="AN699" s="130"/>
      <c r="AO699" s="130"/>
      <c r="AP699" s="130"/>
      <c r="AQ699" s="130"/>
      <c r="AR699" s="130"/>
      <c r="AS699" s="130"/>
      <c r="AT699" s="130"/>
    </row>
    <row r="700" ht="13.5" customHeight="1">
      <c r="A700" s="130"/>
      <c r="B700" s="130"/>
      <c r="C700" s="130"/>
      <c r="D700" s="130"/>
      <c r="E700" s="163"/>
      <c r="F700" s="163"/>
      <c r="G700" s="163"/>
      <c r="H700" s="163"/>
      <c r="I700" s="163"/>
      <c r="J700" s="163"/>
      <c r="K700" s="130"/>
      <c r="L700" s="130"/>
      <c r="M700" s="130"/>
      <c r="N700" s="130"/>
      <c r="O700" s="130"/>
      <c r="P700" s="130"/>
      <c r="Q700" s="130"/>
      <c r="R700" s="130"/>
      <c r="S700" s="163"/>
      <c r="T700" s="163"/>
      <c r="U700" s="163"/>
      <c r="V700" s="163"/>
      <c r="W700" s="163"/>
      <c r="X700" s="163"/>
      <c r="Y700" s="163"/>
      <c r="Z700" s="163"/>
      <c r="AA700" s="163"/>
      <c r="AB700" s="163"/>
      <c r="AC700" s="163"/>
      <c r="AD700" s="163"/>
      <c r="AE700" s="163"/>
      <c r="AF700" s="163"/>
      <c r="AG700" s="163"/>
      <c r="AH700" s="163"/>
      <c r="AI700" s="163"/>
      <c r="AJ700" s="163"/>
      <c r="AK700" s="163"/>
      <c r="AL700" s="163"/>
      <c r="AM700" s="163"/>
      <c r="AN700" s="130"/>
      <c r="AO700" s="130"/>
      <c r="AP700" s="130"/>
      <c r="AQ700" s="130"/>
      <c r="AR700" s="130"/>
      <c r="AS700" s="130"/>
      <c r="AT700" s="130"/>
    </row>
    <row r="701" ht="13.5" customHeight="1">
      <c r="A701" s="130"/>
      <c r="B701" s="130"/>
      <c r="C701" s="130"/>
      <c r="D701" s="130"/>
      <c r="E701" s="163"/>
      <c r="F701" s="163"/>
      <c r="G701" s="163"/>
      <c r="H701" s="163"/>
      <c r="I701" s="163"/>
      <c r="J701" s="163"/>
      <c r="K701" s="130"/>
      <c r="L701" s="130"/>
      <c r="M701" s="130"/>
      <c r="N701" s="130"/>
      <c r="O701" s="130"/>
      <c r="P701" s="130"/>
      <c r="Q701" s="130"/>
      <c r="R701" s="130"/>
      <c r="S701" s="163"/>
      <c r="T701" s="163"/>
      <c r="U701" s="163"/>
      <c r="V701" s="163"/>
      <c r="W701" s="163"/>
      <c r="X701" s="163"/>
      <c r="Y701" s="163"/>
      <c r="Z701" s="163"/>
      <c r="AA701" s="163"/>
      <c r="AB701" s="163"/>
      <c r="AC701" s="163"/>
      <c r="AD701" s="163"/>
      <c r="AE701" s="163"/>
      <c r="AF701" s="163"/>
      <c r="AG701" s="163"/>
      <c r="AH701" s="163"/>
      <c r="AI701" s="163"/>
      <c r="AJ701" s="163"/>
      <c r="AK701" s="163"/>
      <c r="AL701" s="163"/>
      <c r="AM701" s="163"/>
      <c r="AN701" s="130"/>
      <c r="AO701" s="130"/>
      <c r="AP701" s="130"/>
      <c r="AQ701" s="130"/>
      <c r="AR701" s="130"/>
      <c r="AS701" s="130"/>
      <c r="AT701" s="130"/>
    </row>
    <row r="702" ht="13.5" customHeight="1">
      <c r="A702" s="130"/>
      <c r="B702" s="130"/>
      <c r="C702" s="130"/>
      <c r="D702" s="130"/>
      <c r="E702" s="163"/>
      <c r="F702" s="163"/>
      <c r="G702" s="163"/>
      <c r="H702" s="163"/>
      <c r="I702" s="163"/>
      <c r="J702" s="163"/>
      <c r="K702" s="130"/>
      <c r="L702" s="130"/>
      <c r="M702" s="130"/>
      <c r="N702" s="130"/>
      <c r="O702" s="130"/>
      <c r="P702" s="130"/>
      <c r="Q702" s="130"/>
      <c r="R702" s="130"/>
      <c r="S702" s="163"/>
      <c r="T702" s="163"/>
      <c r="U702" s="163"/>
      <c r="V702" s="163"/>
      <c r="W702" s="163"/>
      <c r="X702" s="163"/>
      <c r="Y702" s="163"/>
      <c r="Z702" s="163"/>
      <c r="AA702" s="163"/>
      <c r="AB702" s="163"/>
      <c r="AC702" s="163"/>
      <c r="AD702" s="163"/>
      <c r="AE702" s="163"/>
      <c r="AF702" s="163"/>
      <c r="AG702" s="163"/>
      <c r="AH702" s="163"/>
      <c r="AI702" s="163"/>
      <c r="AJ702" s="163"/>
      <c r="AK702" s="163"/>
      <c r="AL702" s="163"/>
      <c r="AM702" s="163"/>
      <c r="AN702" s="130"/>
      <c r="AO702" s="130"/>
      <c r="AP702" s="130"/>
      <c r="AQ702" s="130"/>
      <c r="AR702" s="130"/>
      <c r="AS702" s="130"/>
      <c r="AT702" s="130"/>
    </row>
    <row r="703" ht="13.5" customHeight="1">
      <c r="A703" s="130"/>
      <c r="B703" s="130"/>
      <c r="C703" s="130"/>
      <c r="D703" s="130"/>
      <c r="E703" s="163"/>
      <c r="F703" s="163"/>
      <c r="G703" s="163"/>
      <c r="H703" s="163"/>
      <c r="I703" s="163"/>
      <c r="J703" s="163"/>
      <c r="K703" s="130"/>
      <c r="L703" s="130"/>
      <c r="M703" s="130"/>
      <c r="N703" s="130"/>
      <c r="O703" s="130"/>
      <c r="P703" s="130"/>
      <c r="Q703" s="130"/>
      <c r="R703" s="130"/>
      <c r="S703" s="163"/>
      <c r="T703" s="163"/>
      <c r="U703" s="163"/>
      <c r="V703" s="163"/>
      <c r="W703" s="163"/>
      <c r="X703" s="163"/>
      <c r="Y703" s="163"/>
      <c r="Z703" s="163"/>
      <c r="AA703" s="163"/>
      <c r="AB703" s="163"/>
      <c r="AC703" s="163"/>
      <c r="AD703" s="163"/>
      <c r="AE703" s="163"/>
      <c r="AF703" s="163"/>
      <c r="AG703" s="163"/>
      <c r="AH703" s="163"/>
      <c r="AI703" s="163"/>
      <c r="AJ703" s="163"/>
      <c r="AK703" s="163"/>
      <c r="AL703" s="163"/>
      <c r="AM703" s="163"/>
      <c r="AN703" s="130"/>
      <c r="AO703" s="130"/>
      <c r="AP703" s="130"/>
      <c r="AQ703" s="130"/>
      <c r="AR703" s="130"/>
      <c r="AS703" s="130"/>
      <c r="AT703" s="130"/>
    </row>
    <row r="704" ht="13.5" customHeight="1">
      <c r="A704" s="130"/>
      <c r="B704" s="130"/>
      <c r="C704" s="130"/>
      <c r="D704" s="130"/>
      <c r="E704" s="163"/>
      <c r="F704" s="163"/>
      <c r="G704" s="163"/>
      <c r="H704" s="163"/>
      <c r="I704" s="163"/>
      <c r="J704" s="163"/>
      <c r="K704" s="130"/>
      <c r="L704" s="130"/>
      <c r="M704" s="130"/>
      <c r="N704" s="130"/>
      <c r="O704" s="130"/>
      <c r="P704" s="130"/>
      <c r="Q704" s="130"/>
      <c r="R704" s="130"/>
      <c r="S704" s="163"/>
      <c r="T704" s="163"/>
      <c r="U704" s="163"/>
      <c r="V704" s="163"/>
      <c r="W704" s="163"/>
      <c r="X704" s="163"/>
      <c r="Y704" s="163"/>
      <c r="Z704" s="163"/>
      <c r="AA704" s="163"/>
      <c r="AB704" s="163"/>
      <c r="AC704" s="163"/>
      <c r="AD704" s="163"/>
      <c r="AE704" s="163"/>
      <c r="AF704" s="163"/>
      <c r="AG704" s="163"/>
      <c r="AH704" s="163"/>
      <c r="AI704" s="163"/>
      <c r="AJ704" s="163"/>
      <c r="AK704" s="163"/>
      <c r="AL704" s="163"/>
      <c r="AM704" s="163"/>
      <c r="AN704" s="130"/>
      <c r="AO704" s="130"/>
      <c r="AP704" s="130"/>
      <c r="AQ704" s="130"/>
      <c r="AR704" s="130"/>
      <c r="AS704" s="130"/>
      <c r="AT704" s="130"/>
    </row>
    <row r="705" ht="13.5" customHeight="1">
      <c r="A705" s="130"/>
      <c r="B705" s="130"/>
      <c r="C705" s="130"/>
      <c r="D705" s="130"/>
      <c r="E705" s="163"/>
      <c r="F705" s="163"/>
      <c r="G705" s="163"/>
      <c r="H705" s="163"/>
      <c r="I705" s="163"/>
      <c r="J705" s="163"/>
      <c r="K705" s="130"/>
      <c r="L705" s="130"/>
      <c r="M705" s="130"/>
      <c r="N705" s="130"/>
      <c r="O705" s="130"/>
      <c r="P705" s="130"/>
      <c r="Q705" s="130"/>
      <c r="R705" s="130"/>
      <c r="S705" s="163"/>
      <c r="T705" s="163"/>
      <c r="U705" s="163"/>
      <c r="V705" s="163"/>
      <c r="W705" s="163"/>
      <c r="X705" s="163"/>
      <c r="Y705" s="163"/>
      <c r="Z705" s="163"/>
      <c r="AA705" s="163"/>
      <c r="AB705" s="163"/>
      <c r="AC705" s="163"/>
      <c r="AD705" s="163"/>
      <c r="AE705" s="163"/>
      <c r="AF705" s="163"/>
      <c r="AG705" s="163"/>
      <c r="AH705" s="163"/>
      <c r="AI705" s="163"/>
      <c r="AJ705" s="163"/>
      <c r="AK705" s="163"/>
      <c r="AL705" s="163"/>
      <c r="AM705" s="163"/>
      <c r="AN705" s="130"/>
      <c r="AO705" s="130"/>
      <c r="AP705" s="130"/>
      <c r="AQ705" s="130"/>
      <c r="AR705" s="130"/>
      <c r="AS705" s="130"/>
      <c r="AT705" s="130"/>
    </row>
    <row r="706" ht="13.5" customHeight="1">
      <c r="A706" s="130"/>
      <c r="B706" s="130"/>
      <c r="C706" s="130"/>
      <c r="D706" s="130"/>
      <c r="E706" s="163"/>
      <c r="F706" s="163"/>
      <c r="G706" s="163"/>
      <c r="H706" s="163"/>
      <c r="I706" s="163"/>
      <c r="J706" s="163"/>
      <c r="K706" s="130"/>
      <c r="L706" s="130"/>
      <c r="M706" s="130"/>
      <c r="N706" s="130"/>
      <c r="O706" s="130"/>
      <c r="P706" s="130"/>
      <c r="Q706" s="130"/>
      <c r="R706" s="130"/>
      <c r="S706" s="163"/>
      <c r="T706" s="163"/>
      <c r="U706" s="163"/>
      <c r="V706" s="163"/>
      <c r="W706" s="163"/>
      <c r="X706" s="163"/>
      <c r="Y706" s="163"/>
      <c r="Z706" s="163"/>
      <c r="AA706" s="163"/>
      <c r="AB706" s="163"/>
      <c r="AC706" s="163"/>
      <c r="AD706" s="163"/>
      <c r="AE706" s="163"/>
      <c r="AF706" s="163"/>
      <c r="AG706" s="163"/>
      <c r="AH706" s="163"/>
      <c r="AI706" s="163"/>
      <c r="AJ706" s="163"/>
      <c r="AK706" s="163"/>
      <c r="AL706" s="163"/>
      <c r="AM706" s="163"/>
      <c r="AN706" s="130"/>
      <c r="AO706" s="130"/>
      <c r="AP706" s="130"/>
      <c r="AQ706" s="130"/>
      <c r="AR706" s="130"/>
      <c r="AS706" s="130"/>
      <c r="AT706" s="130"/>
    </row>
    <row r="707" ht="13.5" customHeight="1">
      <c r="A707" s="130"/>
      <c r="B707" s="130"/>
      <c r="C707" s="130"/>
      <c r="D707" s="130"/>
      <c r="E707" s="163"/>
      <c r="F707" s="163"/>
      <c r="G707" s="163"/>
      <c r="H707" s="163"/>
      <c r="I707" s="163"/>
      <c r="J707" s="163"/>
      <c r="K707" s="130"/>
      <c r="L707" s="130"/>
      <c r="M707" s="130"/>
      <c r="N707" s="130"/>
      <c r="O707" s="130"/>
      <c r="P707" s="130"/>
      <c r="Q707" s="130"/>
      <c r="R707" s="130"/>
      <c r="S707" s="163"/>
      <c r="T707" s="163"/>
      <c r="U707" s="163"/>
      <c r="V707" s="163"/>
      <c r="W707" s="163"/>
      <c r="X707" s="163"/>
      <c r="Y707" s="163"/>
      <c r="Z707" s="163"/>
      <c r="AA707" s="163"/>
      <c r="AB707" s="163"/>
      <c r="AC707" s="163"/>
      <c r="AD707" s="163"/>
      <c r="AE707" s="163"/>
      <c r="AF707" s="163"/>
      <c r="AG707" s="163"/>
      <c r="AH707" s="163"/>
      <c r="AI707" s="163"/>
      <c r="AJ707" s="163"/>
      <c r="AK707" s="163"/>
      <c r="AL707" s="163"/>
      <c r="AM707" s="163"/>
      <c r="AN707" s="130"/>
      <c r="AO707" s="130"/>
      <c r="AP707" s="130"/>
      <c r="AQ707" s="130"/>
      <c r="AR707" s="130"/>
      <c r="AS707" s="130"/>
      <c r="AT707" s="130"/>
    </row>
    <row r="708" ht="13.5" customHeight="1">
      <c r="A708" s="130"/>
      <c r="B708" s="130"/>
      <c r="C708" s="130"/>
      <c r="D708" s="130"/>
      <c r="E708" s="163"/>
      <c r="F708" s="163"/>
      <c r="G708" s="163"/>
      <c r="H708" s="163"/>
      <c r="I708" s="163"/>
      <c r="J708" s="163"/>
      <c r="K708" s="130"/>
      <c r="L708" s="130"/>
      <c r="M708" s="130"/>
      <c r="N708" s="130"/>
      <c r="O708" s="130"/>
      <c r="P708" s="130"/>
      <c r="Q708" s="130"/>
      <c r="R708" s="130"/>
      <c r="S708" s="163"/>
      <c r="T708" s="163"/>
      <c r="U708" s="163"/>
      <c r="V708" s="163"/>
      <c r="W708" s="163"/>
      <c r="X708" s="163"/>
      <c r="Y708" s="163"/>
      <c r="Z708" s="163"/>
      <c r="AA708" s="163"/>
      <c r="AB708" s="163"/>
      <c r="AC708" s="163"/>
      <c r="AD708" s="163"/>
      <c r="AE708" s="163"/>
      <c r="AF708" s="163"/>
      <c r="AG708" s="163"/>
      <c r="AH708" s="163"/>
      <c r="AI708" s="163"/>
      <c r="AJ708" s="163"/>
      <c r="AK708" s="163"/>
      <c r="AL708" s="163"/>
      <c r="AM708" s="163"/>
      <c r="AN708" s="130"/>
      <c r="AO708" s="130"/>
      <c r="AP708" s="130"/>
      <c r="AQ708" s="130"/>
      <c r="AR708" s="130"/>
      <c r="AS708" s="130"/>
      <c r="AT708" s="130"/>
    </row>
    <row r="709" ht="13.5" customHeight="1">
      <c r="A709" s="130"/>
      <c r="B709" s="130"/>
      <c r="C709" s="130"/>
      <c r="D709" s="130"/>
      <c r="E709" s="163"/>
      <c r="F709" s="163"/>
      <c r="G709" s="163"/>
      <c r="H709" s="163"/>
      <c r="I709" s="163"/>
      <c r="J709" s="163"/>
      <c r="K709" s="130"/>
      <c r="L709" s="130"/>
      <c r="M709" s="130"/>
      <c r="N709" s="130"/>
      <c r="O709" s="130"/>
      <c r="P709" s="130"/>
      <c r="Q709" s="130"/>
      <c r="R709" s="130"/>
      <c r="S709" s="163"/>
      <c r="T709" s="163"/>
      <c r="U709" s="163"/>
      <c r="V709" s="163"/>
      <c r="W709" s="163"/>
      <c r="X709" s="163"/>
      <c r="Y709" s="163"/>
      <c r="Z709" s="163"/>
      <c r="AA709" s="163"/>
      <c r="AB709" s="163"/>
      <c r="AC709" s="163"/>
      <c r="AD709" s="163"/>
      <c r="AE709" s="163"/>
      <c r="AF709" s="163"/>
      <c r="AG709" s="163"/>
      <c r="AH709" s="163"/>
      <c r="AI709" s="163"/>
      <c r="AJ709" s="163"/>
      <c r="AK709" s="163"/>
      <c r="AL709" s="163"/>
      <c r="AM709" s="163"/>
      <c r="AN709" s="130"/>
      <c r="AO709" s="130"/>
      <c r="AP709" s="130"/>
      <c r="AQ709" s="130"/>
      <c r="AR709" s="130"/>
      <c r="AS709" s="130"/>
      <c r="AT709" s="130"/>
    </row>
    <row r="710" ht="13.5" customHeight="1">
      <c r="A710" s="130"/>
      <c r="B710" s="130"/>
      <c r="C710" s="130"/>
      <c r="D710" s="130"/>
      <c r="E710" s="163"/>
      <c r="F710" s="163"/>
      <c r="G710" s="163"/>
      <c r="H710" s="163"/>
      <c r="I710" s="163"/>
      <c r="J710" s="163"/>
      <c r="K710" s="130"/>
      <c r="L710" s="130"/>
      <c r="M710" s="130"/>
      <c r="N710" s="130"/>
      <c r="O710" s="130"/>
      <c r="P710" s="130"/>
      <c r="Q710" s="130"/>
      <c r="R710" s="130"/>
      <c r="S710" s="163"/>
      <c r="T710" s="163"/>
      <c r="U710" s="163"/>
      <c r="V710" s="163"/>
      <c r="W710" s="163"/>
      <c r="X710" s="163"/>
      <c r="Y710" s="163"/>
      <c r="Z710" s="163"/>
      <c r="AA710" s="163"/>
      <c r="AB710" s="163"/>
      <c r="AC710" s="163"/>
      <c r="AD710" s="163"/>
      <c r="AE710" s="163"/>
      <c r="AF710" s="163"/>
      <c r="AG710" s="163"/>
      <c r="AH710" s="163"/>
      <c r="AI710" s="163"/>
      <c r="AJ710" s="163"/>
      <c r="AK710" s="163"/>
      <c r="AL710" s="163"/>
      <c r="AM710" s="163"/>
      <c r="AN710" s="130"/>
      <c r="AO710" s="130"/>
      <c r="AP710" s="130"/>
      <c r="AQ710" s="130"/>
      <c r="AR710" s="130"/>
      <c r="AS710" s="130"/>
      <c r="AT710" s="130"/>
    </row>
    <row r="711" ht="13.5" customHeight="1">
      <c r="A711" s="130"/>
      <c r="B711" s="130"/>
      <c r="C711" s="130"/>
      <c r="D711" s="130"/>
      <c r="E711" s="163"/>
      <c r="F711" s="163"/>
      <c r="G711" s="163"/>
      <c r="H711" s="163"/>
      <c r="I711" s="163"/>
      <c r="J711" s="163"/>
      <c r="K711" s="130"/>
      <c r="L711" s="130"/>
      <c r="M711" s="130"/>
      <c r="N711" s="130"/>
      <c r="O711" s="130"/>
      <c r="P711" s="130"/>
      <c r="Q711" s="130"/>
      <c r="R711" s="130"/>
      <c r="S711" s="163"/>
      <c r="T711" s="163"/>
      <c r="U711" s="163"/>
      <c r="V711" s="163"/>
      <c r="W711" s="163"/>
      <c r="X711" s="163"/>
      <c r="Y711" s="163"/>
      <c r="Z711" s="163"/>
      <c r="AA711" s="163"/>
      <c r="AB711" s="163"/>
      <c r="AC711" s="163"/>
      <c r="AD711" s="163"/>
      <c r="AE711" s="163"/>
      <c r="AF711" s="163"/>
      <c r="AG711" s="163"/>
      <c r="AH711" s="163"/>
      <c r="AI711" s="163"/>
      <c r="AJ711" s="163"/>
      <c r="AK711" s="163"/>
      <c r="AL711" s="163"/>
      <c r="AM711" s="163"/>
      <c r="AN711" s="130"/>
      <c r="AO711" s="130"/>
      <c r="AP711" s="130"/>
      <c r="AQ711" s="130"/>
      <c r="AR711" s="130"/>
      <c r="AS711" s="130"/>
      <c r="AT711" s="130"/>
    </row>
    <row r="712" ht="13.5" customHeight="1">
      <c r="A712" s="130"/>
      <c r="B712" s="130"/>
      <c r="C712" s="130"/>
      <c r="D712" s="130"/>
      <c r="E712" s="163"/>
      <c r="F712" s="163"/>
      <c r="G712" s="163"/>
      <c r="H712" s="163"/>
      <c r="I712" s="163"/>
      <c r="J712" s="163"/>
      <c r="K712" s="130"/>
      <c r="L712" s="130"/>
      <c r="M712" s="130"/>
      <c r="N712" s="130"/>
      <c r="O712" s="130"/>
      <c r="P712" s="130"/>
      <c r="Q712" s="130"/>
      <c r="R712" s="130"/>
      <c r="S712" s="163"/>
      <c r="T712" s="163"/>
      <c r="U712" s="163"/>
      <c r="V712" s="163"/>
      <c r="W712" s="163"/>
      <c r="X712" s="163"/>
      <c r="Y712" s="163"/>
      <c r="Z712" s="163"/>
      <c r="AA712" s="163"/>
      <c r="AB712" s="163"/>
      <c r="AC712" s="163"/>
      <c r="AD712" s="163"/>
      <c r="AE712" s="163"/>
      <c r="AF712" s="163"/>
      <c r="AG712" s="163"/>
      <c r="AH712" s="163"/>
      <c r="AI712" s="163"/>
      <c r="AJ712" s="163"/>
      <c r="AK712" s="163"/>
      <c r="AL712" s="163"/>
      <c r="AM712" s="163"/>
      <c r="AN712" s="130"/>
      <c r="AO712" s="130"/>
      <c r="AP712" s="130"/>
      <c r="AQ712" s="130"/>
      <c r="AR712" s="130"/>
      <c r="AS712" s="130"/>
      <c r="AT712" s="130"/>
    </row>
    <row r="713" ht="13.5" customHeight="1">
      <c r="A713" s="130"/>
      <c r="B713" s="130"/>
      <c r="C713" s="130"/>
      <c r="D713" s="130"/>
      <c r="E713" s="163"/>
      <c r="F713" s="163"/>
      <c r="G713" s="163"/>
      <c r="H713" s="163"/>
      <c r="I713" s="163"/>
      <c r="J713" s="163"/>
      <c r="K713" s="130"/>
      <c r="L713" s="130"/>
      <c r="M713" s="130"/>
      <c r="N713" s="130"/>
      <c r="O713" s="130"/>
      <c r="P713" s="130"/>
      <c r="Q713" s="130"/>
      <c r="R713" s="130"/>
      <c r="S713" s="163"/>
      <c r="T713" s="163"/>
      <c r="U713" s="163"/>
      <c r="V713" s="163"/>
      <c r="W713" s="163"/>
      <c r="X713" s="163"/>
      <c r="Y713" s="163"/>
      <c r="Z713" s="163"/>
      <c r="AA713" s="163"/>
      <c r="AB713" s="163"/>
      <c r="AC713" s="163"/>
      <c r="AD713" s="163"/>
      <c r="AE713" s="163"/>
      <c r="AF713" s="163"/>
      <c r="AG713" s="163"/>
      <c r="AH713" s="163"/>
      <c r="AI713" s="163"/>
      <c r="AJ713" s="163"/>
      <c r="AK713" s="163"/>
      <c r="AL713" s="163"/>
      <c r="AM713" s="163"/>
      <c r="AN713" s="130"/>
      <c r="AO713" s="130"/>
      <c r="AP713" s="130"/>
      <c r="AQ713" s="130"/>
      <c r="AR713" s="130"/>
      <c r="AS713" s="130"/>
      <c r="AT713" s="130"/>
    </row>
    <row r="714" ht="13.5" customHeight="1">
      <c r="A714" s="130"/>
      <c r="B714" s="130"/>
      <c r="C714" s="130"/>
      <c r="D714" s="130"/>
      <c r="E714" s="163"/>
      <c r="F714" s="163"/>
      <c r="G714" s="163"/>
      <c r="H714" s="163"/>
      <c r="I714" s="163"/>
      <c r="J714" s="163"/>
      <c r="K714" s="130"/>
      <c r="L714" s="130"/>
      <c r="M714" s="130"/>
      <c r="N714" s="130"/>
      <c r="O714" s="130"/>
      <c r="P714" s="130"/>
      <c r="Q714" s="130"/>
      <c r="R714" s="130"/>
      <c r="S714" s="163"/>
      <c r="T714" s="163"/>
      <c r="U714" s="163"/>
      <c r="V714" s="163"/>
      <c r="W714" s="163"/>
      <c r="X714" s="163"/>
      <c r="Y714" s="163"/>
      <c r="Z714" s="163"/>
      <c r="AA714" s="163"/>
      <c r="AB714" s="163"/>
      <c r="AC714" s="163"/>
      <c r="AD714" s="163"/>
      <c r="AE714" s="163"/>
      <c r="AF714" s="163"/>
      <c r="AG714" s="163"/>
      <c r="AH714" s="163"/>
      <c r="AI714" s="163"/>
      <c r="AJ714" s="163"/>
      <c r="AK714" s="163"/>
      <c r="AL714" s="163"/>
      <c r="AM714" s="163"/>
      <c r="AN714" s="130"/>
      <c r="AO714" s="130"/>
      <c r="AP714" s="130"/>
      <c r="AQ714" s="130"/>
      <c r="AR714" s="130"/>
      <c r="AS714" s="130"/>
      <c r="AT714" s="130"/>
    </row>
    <row r="715" ht="13.5" customHeight="1">
      <c r="A715" s="130"/>
      <c r="B715" s="130"/>
      <c r="C715" s="130"/>
      <c r="D715" s="130"/>
      <c r="E715" s="163"/>
      <c r="F715" s="163"/>
      <c r="G715" s="163"/>
      <c r="H715" s="163"/>
      <c r="I715" s="163"/>
      <c r="J715" s="163"/>
      <c r="K715" s="130"/>
      <c r="L715" s="130"/>
      <c r="M715" s="130"/>
      <c r="N715" s="130"/>
      <c r="O715" s="130"/>
      <c r="P715" s="130"/>
      <c r="Q715" s="130"/>
      <c r="R715" s="130"/>
      <c r="S715" s="163"/>
      <c r="T715" s="163"/>
      <c r="U715" s="163"/>
      <c r="V715" s="163"/>
      <c r="W715" s="163"/>
      <c r="X715" s="163"/>
      <c r="Y715" s="163"/>
      <c r="Z715" s="163"/>
      <c r="AA715" s="163"/>
      <c r="AB715" s="163"/>
      <c r="AC715" s="163"/>
      <c r="AD715" s="163"/>
      <c r="AE715" s="163"/>
      <c r="AF715" s="163"/>
      <c r="AG715" s="163"/>
      <c r="AH715" s="163"/>
      <c r="AI715" s="163"/>
      <c r="AJ715" s="163"/>
      <c r="AK715" s="163"/>
      <c r="AL715" s="163"/>
      <c r="AM715" s="163"/>
      <c r="AN715" s="130"/>
      <c r="AO715" s="130"/>
      <c r="AP715" s="130"/>
      <c r="AQ715" s="130"/>
      <c r="AR715" s="130"/>
      <c r="AS715" s="130"/>
      <c r="AT715" s="130"/>
    </row>
    <row r="716" ht="13.5" customHeight="1">
      <c r="A716" s="130"/>
      <c r="B716" s="130"/>
      <c r="C716" s="130"/>
      <c r="D716" s="130"/>
      <c r="E716" s="163"/>
      <c r="F716" s="163"/>
      <c r="G716" s="163"/>
      <c r="H716" s="163"/>
      <c r="I716" s="163"/>
      <c r="J716" s="163"/>
      <c r="K716" s="130"/>
      <c r="L716" s="130"/>
      <c r="M716" s="130"/>
      <c r="N716" s="130"/>
      <c r="O716" s="130"/>
      <c r="P716" s="130"/>
      <c r="Q716" s="130"/>
      <c r="R716" s="130"/>
      <c r="S716" s="163"/>
      <c r="T716" s="163"/>
      <c r="U716" s="163"/>
      <c r="V716" s="163"/>
      <c r="W716" s="163"/>
      <c r="X716" s="163"/>
      <c r="Y716" s="163"/>
      <c r="Z716" s="163"/>
      <c r="AA716" s="163"/>
      <c r="AB716" s="163"/>
      <c r="AC716" s="163"/>
      <c r="AD716" s="163"/>
      <c r="AE716" s="163"/>
      <c r="AF716" s="163"/>
      <c r="AG716" s="163"/>
      <c r="AH716" s="163"/>
      <c r="AI716" s="163"/>
      <c r="AJ716" s="163"/>
      <c r="AK716" s="163"/>
      <c r="AL716" s="163"/>
      <c r="AM716" s="163"/>
      <c r="AN716" s="130"/>
      <c r="AO716" s="130"/>
      <c r="AP716" s="130"/>
      <c r="AQ716" s="130"/>
      <c r="AR716" s="130"/>
      <c r="AS716" s="130"/>
      <c r="AT716" s="130"/>
    </row>
    <row r="717" ht="13.5" customHeight="1">
      <c r="A717" s="130"/>
      <c r="B717" s="130"/>
      <c r="C717" s="130"/>
      <c r="D717" s="130"/>
      <c r="E717" s="163"/>
      <c r="F717" s="163"/>
      <c r="G717" s="163"/>
      <c r="H717" s="163"/>
      <c r="I717" s="163"/>
      <c r="J717" s="163"/>
      <c r="K717" s="130"/>
      <c r="L717" s="130"/>
      <c r="M717" s="130"/>
      <c r="N717" s="130"/>
      <c r="O717" s="130"/>
      <c r="P717" s="130"/>
      <c r="Q717" s="130"/>
      <c r="R717" s="130"/>
      <c r="S717" s="163"/>
      <c r="T717" s="163"/>
      <c r="U717" s="163"/>
      <c r="V717" s="163"/>
      <c r="W717" s="163"/>
      <c r="X717" s="163"/>
      <c r="Y717" s="163"/>
      <c r="Z717" s="163"/>
      <c r="AA717" s="163"/>
      <c r="AB717" s="163"/>
      <c r="AC717" s="163"/>
      <c r="AD717" s="163"/>
      <c r="AE717" s="163"/>
      <c r="AF717" s="163"/>
      <c r="AG717" s="163"/>
      <c r="AH717" s="163"/>
      <c r="AI717" s="163"/>
      <c r="AJ717" s="163"/>
      <c r="AK717" s="163"/>
      <c r="AL717" s="163"/>
      <c r="AM717" s="163"/>
      <c r="AN717" s="130"/>
      <c r="AO717" s="130"/>
      <c r="AP717" s="130"/>
      <c r="AQ717" s="130"/>
      <c r="AR717" s="130"/>
      <c r="AS717" s="130"/>
      <c r="AT717" s="130"/>
    </row>
    <row r="718" ht="13.5" customHeight="1">
      <c r="A718" s="130"/>
      <c r="B718" s="130"/>
      <c r="C718" s="130"/>
      <c r="D718" s="130"/>
      <c r="E718" s="163"/>
      <c r="F718" s="163"/>
      <c r="G718" s="163"/>
      <c r="H718" s="163"/>
      <c r="I718" s="163"/>
      <c r="J718" s="163"/>
      <c r="K718" s="130"/>
      <c r="L718" s="130"/>
      <c r="M718" s="130"/>
      <c r="N718" s="130"/>
      <c r="O718" s="130"/>
      <c r="P718" s="130"/>
      <c r="Q718" s="130"/>
      <c r="R718" s="130"/>
      <c r="S718" s="163"/>
      <c r="T718" s="163"/>
      <c r="U718" s="163"/>
      <c r="V718" s="163"/>
      <c r="W718" s="163"/>
      <c r="X718" s="163"/>
      <c r="Y718" s="163"/>
      <c r="Z718" s="163"/>
      <c r="AA718" s="163"/>
      <c r="AB718" s="163"/>
      <c r="AC718" s="163"/>
      <c r="AD718" s="163"/>
      <c r="AE718" s="163"/>
      <c r="AF718" s="163"/>
      <c r="AG718" s="163"/>
      <c r="AH718" s="163"/>
      <c r="AI718" s="163"/>
      <c r="AJ718" s="163"/>
      <c r="AK718" s="163"/>
      <c r="AL718" s="163"/>
      <c r="AM718" s="163"/>
      <c r="AN718" s="130"/>
      <c r="AO718" s="130"/>
      <c r="AP718" s="130"/>
      <c r="AQ718" s="130"/>
      <c r="AR718" s="130"/>
      <c r="AS718" s="130"/>
      <c r="AT718" s="130"/>
    </row>
    <row r="719" ht="13.5" customHeight="1">
      <c r="A719" s="130"/>
      <c r="B719" s="130"/>
      <c r="C719" s="130"/>
      <c r="D719" s="130"/>
      <c r="E719" s="163"/>
      <c r="F719" s="163"/>
      <c r="G719" s="163"/>
      <c r="H719" s="163"/>
      <c r="I719" s="163"/>
      <c r="J719" s="163"/>
      <c r="K719" s="130"/>
      <c r="L719" s="130"/>
      <c r="M719" s="130"/>
      <c r="N719" s="130"/>
      <c r="O719" s="130"/>
      <c r="P719" s="130"/>
      <c r="Q719" s="130"/>
      <c r="R719" s="130"/>
      <c r="S719" s="163"/>
      <c r="T719" s="163"/>
      <c r="U719" s="163"/>
      <c r="V719" s="163"/>
      <c r="W719" s="163"/>
      <c r="X719" s="163"/>
      <c r="Y719" s="163"/>
      <c r="Z719" s="163"/>
      <c r="AA719" s="163"/>
      <c r="AB719" s="163"/>
      <c r="AC719" s="163"/>
      <c r="AD719" s="163"/>
      <c r="AE719" s="163"/>
      <c r="AF719" s="163"/>
      <c r="AG719" s="163"/>
      <c r="AH719" s="163"/>
      <c r="AI719" s="163"/>
      <c r="AJ719" s="163"/>
      <c r="AK719" s="163"/>
      <c r="AL719" s="163"/>
      <c r="AM719" s="163"/>
      <c r="AN719" s="130"/>
      <c r="AO719" s="130"/>
      <c r="AP719" s="130"/>
      <c r="AQ719" s="130"/>
      <c r="AR719" s="130"/>
      <c r="AS719" s="130"/>
      <c r="AT719" s="130"/>
    </row>
    <row r="720" ht="13.5" customHeight="1">
      <c r="A720" s="130"/>
      <c r="B720" s="130"/>
      <c r="C720" s="130"/>
      <c r="D720" s="130"/>
      <c r="E720" s="163"/>
      <c r="F720" s="163"/>
      <c r="G720" s="163"/>
      <c r="H720" s="163"/>
      <c r="I720" s="163"/>
      <c r="J720" s="163"/>
      <c r="K720" s="130"/>
      <c r="L720" s="130"/>
      <c r="M720" s="130"/>
      <c r="N720" s="130"/>
      <c r="O720" s="130"/>
      <c r="P720" s="130"/>
      <c r="Q720" s="130"/>
      <c r="R720" s="130"/>
      <c r="S720" s="163"/>
      <c r="T720" s="163"/>
      <c r="U720" s="163"/>
      <c r="V720" s="163"/>
      <c r="W720" s="163"/>
      <c r="X720" s="163"/>
      <c r="Y720" s="163"/>
      <c r="Z720" s="163"/>
      <c r="AA720" s="163"/>
      <c r="AB720" s="163"/>
      <c r="AC720" s="163"/>
      <c r="AD720" s="163"/>
      <c r="AE720" s="163"/>
      <c r="AF720" s="163"/>
      <c r="AG720" s="163"/>
      <c r="AH720" s="163"/>
      <c r="AI720" s="163"/>
      <c r="AJ720" s="163"/>
      <c r="AK720" s="163"/>
      <c r="AL720" s="163"/>
      <c r="AM720" s="163"/>
      <c r="AN720" s="130"/>
      <c r="AO720" s="130"/>
      <c r="AP720" s="130"/>
      <c r="AQ720" s="130"/>
      <c r="AR720" s="130"/>
      <c r="AS720" s="130"/>
      <c r="AT720" s="130"/>
    </row>
    <row r="721" ht="13.5" customHeight="1">
      <c r="A721" s="130"/>
      <c r="B721" s="130"/>
      <c r="C721" s="130"/>
      <c r="D721" s="130"/>
      <c r="E721" s="163"/>
      <c r="F721" s="163"/>
      <c r="G721" s="163"/>
      <c r="H721" s="163"/>
      <c r="I721" s="163"/>
      <c r="J721" s="163"/>
      <c r="K721" s="130"/>
      <c r="L721" s="130"/>
      <c r="M721" s="130"/>
      <c r="N721" s="130"/>
      <c r="O721" s="130"/>
      <c r="P721" s="130"/>
      <c r="Q721" s="130"/>
      <c r="R721" s="130"/>
      <c r="S721" s="163"/>
      <c r="T721" s="163"/>
      <c r="U721" s="163"/>
      <c r="V721" s="163"/>
      <c r="W721" s="163"/>
      <c r="X721" s="163"/>
      <c r="Y721" s="163"/>
      <c r="Z721" s="163"/>
      <c r="AA721" s="163"/>
      <c r="AB721" s="163"/>
      <c r="AC721" s="163"/>
      <c r="AD721" s="163"/>
      <c r="AE721" s="163"/>
      <c r="AF721" s="163"/>
      <c r="AG721" s="163"/>
      <c r="AH721" s="163"/>
      <c r="AI721" s="163"/>
      <c r="AJ721" s="163"/>
      <c r="AK721" s="163"/>
      <c r="AL721" s="163"/>
      <c r="AM721" s="163"/>
      <c r="AN721" s="130"/>
      <c r="AO721" s="130"/>
      <c r="AP721" s="130"/>
      <c r="AQ721" s="130"/>
      <c r="AR721" s="130"/>
      <c r="AS721" s="130"/>
      <c r="AT721" s="130"/>
    </row>
    <row r="722" ht="13.5" customHeight="1">
      <c r="A722" s="130"/>
      <c r="B722" s="130"/>
      <c r="C722" s="130"/>
      <c r="D722" s="130"/>
      <c r="E722" s="163"/>
      <c r="F722" s="163"/>
      <c r="G722" s="163"/>
      <c r="H722" s="163"/>
      <c r="I722" s="163"/>
      <c r="J722" s="163"/>
      <c r="K722" s="130"/>
      <c r="L722" s="130"/>
      <c r="M722" s="130"/>
      <c r="N722" s="130"/>
      <c r="O722" s="130"/>
      <c r="P722" s="130"/>
      <c r="Q722" s="130"/>
      <c r="R722" s="130"/>
      <c r="S722" s="163"/>
      <c r="T722" s="163"/>
      <c r="U722" s="163"/>
      <c r="V722" s="163"/>
      <c r="W722" s="163"/>
      <c r="X722" s="163"/>
      <c r="Y722" s="163"/>
      <c r="Z722" s="163"/>
      <c r="AA722" s="163"/>
      <c r="AB722" s="163"/>
      <c r="AC722" s="163"/>
      <c r="AD722" s="163"/>
      <c r="AE722" s="163"/>
      <c r="AF722" s="163"/>
      <c r="AG722" s="163"/>
      <c r="AH722" s="163"/>
      <c r="AI722" s="163"/>
      <c r="AJ722" s="163"/>
      <c r="AK722" s="163"/>
      <c r="AL722" s="163"/>
      <c r="AM722" s="163"/>
      <c r="AN722" s="130"/>
      <c r="AO722" s="130"/>
      <c r="AP722" s="130"/>
      <c r="AQ722" s="130"/>
      <c r="AR722" s="130"/>
      <c r="AS722" s="130"/>
      <c r="AT722" s="130"/>
    </row>
    <row r="723" ht="13.5" customHeight="1">
      <c r="A723" s="130"/>
      <c r="B723" s="130"/>
      <c r="C723" s="130"/>
      <c r="D723" s="130"/>
      <c r="E723" s="163"/>
      <c r="F723" s="163"/>
      <c r="G723" s="163"/>
      <c r="H723" s="163"/>
      <c r="I723" s="163"/>
      <c r="J723" s="163"/>
      <c r="K723" s="130"/>
      <c r="L723" s="130"/>
      <c r="M723" s="130"/>
      <c r="N723" s="130"/>
      <c r="O723" s="130"/>
      <c r="P723" s="130"/>
      <c r="Q723" s="130"/>
      <c r="R723" s="130"/>
      <c r="S723" s="163"/>
      <c r="T723" s="163"/>
      <c r="U723" s="163"/>
      <c r="V723" s="163"/>
      <c r="W723" s="163"/>
      <c r="X723" s="163"/>
      <c r="Y723" s="163"/>
      <c r="Z723" s="163"/>
      <c r="AA723" s="163"/>
      <c r="AB723" s="163"/>
      <c r="AC723" s="163"/>
      <c r="AD723" s="163"/>
      <c r="AE723" s="163"/>
      <c r="AF723" s="163"/>
      <c r="AG723" s="163"/>
      <c r="AH723" s="163"/>
      <c r="AI723" s="163"/>
      <c r="AJ723" s="163"/>
      <c r="AK723" s="163"/>
      <c r="AL723" s="163"/>
      <c r="AM723" s="163"/>
      <c r="AN723" s="130"/>
      <c r="AO723" s="130"/>
      <c r="AP723" s="130"/>
      <c r="AQ723" s="130"/>
      <c r="AR723" s="130"/>
      <c r="AS723" s="130"/>
      <c r="AT723" s="130"/>
    </row>
    <row r="724" ht="13.5" customHeight="1">
      <c r="A724" s="130"/>
      <c r="B724" s="130"/>
      <c r="C724" s="130"/>
      <c r="D724" s="130"/>
      <c r="E724" s="163"/>
      <c r="F724" s="163"/>
      <c r="G724" s="163"/>
      <c r="H724" s="163"/>
      <c r="I724" s="163"/>
      <c r="J724" s="163"/>
      <c r="K724" s="130"/>
      <c r="L724" s="130"/>
      <c r="M724" s="130"/>
      <c r="N724" s="130"/>
      <c r="O724" s="130"/>
      <c r="P724" s="130"/>
      <c r="Q724" s="130"/>
      <c r="R724" s="130"/>
      <c r="S724" s="163"/>
      <c r="T724" s="163"/>
      <c r="U724" s="163"/>
      <c r="V724" s="163"/>
      <c r="W724" s="163"/>
      <c r="X724" s="163"/>
      <c r="Y724" s="163"/>
      <c r="Z724" s="163"/>
      <c r="AA724" s="163"/>
      <c r="AB724" s="163"/>
      <c r="AC724" s="163"/>
      <c r="AD724" s="163"/>
      <c r="AE724" s="163"/>
      <c r="AF724" s="163"/>
      <c r="AG724" s="163"/>
      <c r="AH724" s="163"/>
      <c r="AI724" s="163"/>
      <c r="AJ724" s="163"/>
      <c r="AK724" s="163"/>
      <c r="AL724" s="163"/>
      <c r="AM724" s="163"/>
      <c r="AN724" s="130"/>
      <c r="AO724" s="130"/>
      <c r="AP724" s="130"/>
      <c r="AQ724" s="130"/>
      <c r="AR724" s="130"/>
      <c r="AS724" s="130"/>
      <c r="AT724" s="130"/>
    </row>
    <row r="725" ht="13.5" customHeight="1">
      <c r="A725" s="130"/>
      <c r="B725" s="130"/>
      <c r="C725" s="130"/>
      <c r="D725" s="130"/>
      <c r="E725" s="163"/>
      <c r="F725" s="163"/>
      <c r="G725" s="163"/>
      <c r="H725" s="163"/>
      <c r="I725" s="163"/>
      <c r="J725" s="163"/>
      <c r="K725" s="130"/>
      <c r="L725" s="130"/>
      <c r="M725" s="130"/>
      <c r="N725" s="130"/>
      <c r="O725" s="130"/>
      <c r="P725" s="130"/>
      <c r="Q725" s="130"/>
      <c r="R725" s="130"/>
      <c r="S725" s="163"/>
      <c r="T725" s="163"/>
      <c r="U725" s="163"/>
      <c r="V725" s="163"/>
      <c r="W725" s="163"/>
      <c r="X725" s="163"/>
      <c r="Y725" s="163"/>
      <c r="Z725" s="163"/>
      <c r="AA725" s="163"/>
      <c r="AB725" s="163"/>
      <c r="AC725" s="163"/>
      <c r="AD725" s="163"/>
      <c r="AE725" s="163"/>
      <c r="AF725" s="163"/>
      <c r="AG725" s="163"/>
      <c r="AH725" s="163"/>
      <c r="AI725" s="163"/>
      <c r="AJ725" s="163"/>
      <c r="AK725" s="163"/>
      <c r="AL725" s="163"/>
      <c r="AM725" s="163"/>
      <c r="AN725" s="130"/>
      <c r="AO725" s="130"/>
      <c r="AP725" s="130"/>
      <c r="AQ725" s="130"/>
      <c r="AR725" s="130"/>
      <c r="AS725" s="130"/>
      <c r="AT725" s="130"/>
    </row>
    <row r="726" ht="13.5" customHeight="1">
      <c r="A726" s="130"/>
      <c r="B726" s="130"/>
      <c r="C726" s="130"/>
      <c r="D726" s="130"/>
      <c r="E726" s="163"/>
      <c r="F726" s="163"/>
      <c r="G726" s="163"/>
      <c r="H726" s="163"/>
      <c r="I726" s="163"/>
      <c r="J726" s="163"/>
      <c r="K726" s="130"/>
      <c r="L726" s="130"/>
      <c r="M726" s="130"/>
      <c r="N726" s="130"/>
      <c r="O726" s="130"/>
      <c r="P726" s="130"/>
      <c r="Q726" s="130"/>
      <c r="R726" s="130"/>
      <c r="S726" s="163"/>
      <c r="T726" s="163"/>
      <c r="U726" s="163"/>
      <c r="V726" s="163"/>
      <c r="W726" s="163"/>
      <c r="X726" s="163"/>
      <c r="Y726" s="163"/>
      <c r="Z726" s="163"/>
      <c r="AA726" s="163"/>
      <c r="AB726" s="163"/>
      <c r="AC726" s="163"/>
      <c r="AD726" s="163"/>
      <c r="AE726" s="163"/>
      <c r="AF726" s="163"/>
      <c r="AG726" s="163"/>
      <c r="AH726" s="163"/>
      <c r="AI726" s="163"/>
      <c r="AJ726" s="163"/>
      <c r="AK726" s="163"/>
      <c r="AL726" s="163"/>
      <c r="AM726" s="163"/>
      <c r="AN726" s="130"/>
      <c r="AO726" s="130"/>
      <c r="AP726" s="130"/>
      <c r="AQ726" s="130"/>
      <c r="AR726" s="130"/>
      <c r="AS726" s="130"/>
      <c r="AT726" s="130"/>
    </row>
    <row r="727" ht="13.5" customHeight="1">
      <c r="A727" s="130"/>
      <c r="B727" s="130"/>
      <c r="C727" s="130"/>
      <c r="D727" s="130"/>
      <c r="E727" s="163"/>
      <c r="F727" s="163"/>
      <c r="G727" s="163"/>
      <c r="H727" s="163"/>
      <c r="I727" s="163"/>
      <c r="J727" s="163"/>
      <c r="K727" s="130"/>
      <c r="L727" s="130"/>
      <c r="M727" s="130"/>
      <c r="N727" s="130"/>
      <c r="O727" s="130"/>
      <c r="P727" s="130"/>
      <c r="Q727" s="130"/>
      <c r="R727" s="130"/>
      <c r="S727" s="163"/>
      <c r="T727" s="163"/>
      <c r="U727" s="163"/>
      <c r="V727" s="163"/>
      <c r="W727" s="163"/>
      <c r="X727" s="163"/>
      <c r="Y727" s="163"/>
      <c r="Z727" s="163"/>
      <c r="AA727" s="163"/>
      <c r="AB727" s="163"/>
      <c r="AC727" s="163"/>
      <c r="AD727" s="163"/>
      <c r="AE727" s="163"/>
      <c r="AF727" s="163"/>
      <c r="AG727" s="163"/>
      <c r="AH727" s="163"/>
      <c r="AI727" s="163"/>
      <c r="AJ727" s="163"/>
      <c r="AK727" s="163"/>
      <c r="AL727" s="163"/>
      <c r="AM727" s="163"/>
      <c r="AN727" s="130"/>
      <c r="AO727" s="130"/>
      <c r="AP727" s="130"/>
      <c r="AQ727" s="130"/>
      <c r="AR727" s="130"/>
      <c r="AS727" s="130"/>
      <c r="AT727" s="130"/>
    </row>
    <row r="728" ht="13.5" customHeight="1">
      <c r="A728" s="130"/>
      <c r="B728" s="130"/>
      <c r="C728" s="130"/>
      <c r="D728" s="130"/>
      <c r="E728" s="163"/>
      <c r="F728" s="163"/>
      <c r="G728" s="163"/>
      <c r="H728" s="163"/>
      <c r="I728" s="163"/>
      <c r="J728" s="163"/>
      <c r="K728" s="130"/>
      <c r="L728" s="130"/>
      <c r="M728" s="130"/>
      <c r="N728" s="130"/>
      <c r="O728" s="130"/>
      <c r="P728" s="130"/>
      <c r="Q728" s="130"/>
      <c r="R728" s="130"/>
      <c r="S728" s="163"/>
      <c r="T728" s="163"/>
      <c r="U728" s="163"/>
      <c r="V728" s="163"/>
      <c r="W728" s="163"/>
      <c r="X728" s="163"/>
      <c r="Y728" s="163"/>
      <c r="Z728" s="163"/>
      <c r="AA728" s="163"/>
      <c r="AB728" s="163"/>
      <c r="AC728" s="163"/>
      <c r="AD728" s="163"/>
      <c r="AE728" s="163"/>
      <c r="AF728" s="163"/>
      <c r="AG728" s="163"/>
      <c r="AH728" s="163"/>
      <c r="AI728" s="163"/>
      <c r="AJ728" s="163"/>
      <c r="AK728" s="163"/>
      <c r="AL728" s="163"/>
      <c r="AM728" s="163"/>
      <c r="AN728" s="130"/>
      <c r="AO728" s="130"/>
      <c r="AP728" s="130"/>
      <c r="AQ728" s="130"/>
      <c r="AR728" s="130"/>
      <c r="AS728" s="130"/>
      <c r="AT728" s="130"/>
    </row>
    <row r="729" ht="13.5" customHeight="1">
      <c r="A729" s="130"/>
      <c r="B729" s="130"/>
      <c r="C729" s="130"/>
      <c r="D729" s="130"/>
      <c r="E729" s="163"/>
      <c r="F729" s="163"/>
      <c r="G729" s="163"/>
      <c r="H729" s="163"/>
      <c r="I729" s="163"/>
      <c r="J729" s="163"/>
      <c r="K729" s="130"/>
      <c r="L729" s="130"/>
      <c r="M729" s="130"/>
      <c r="N729" s="130"/>
      <c r="O729" s="130"/>
      <c r="P729" s="130"/>
      <c r="Q729" s="130"/>
      <c r="R729" s="130"/>
      <c r="S729" s="163"/>
      <c r="T729" s="163"/>
      <c r="U729" s="163"/>
      <c r="V729" s="163"/>
      <c r="W729" s="163"/>
      <c r="X729" s="163"/>
      <c r="Y729" s="163"/>
      <c r="Z729" s="163"/>
      <c r="AA729" s="163"/>
      <c r="AB729" s="163"/>
      <c r="AC729" s="163"/>
      <c r="AD729" s="163"/>
      <c r="AE729" s="163"/>
      <c r="AF729" s="163"/>
      <c r="AG729" s="163"/>
      <c r="AH729" s="163"/>
      <c r="AI729" s="163"/>
      <c r="AJ729" s="163"/>
      <c r="AK729" s="163"/>
      <c r="AL729" s="163"/>
      <c r="AM729" s="163"/>
      <c r="AN729" s="130"/>
      <c r="AO729" s="130"/>
      <c r="AP729" s="130"/>
      <c r="AQ729" s="130"/>
      <c r="AR729" s="130"/>
      <c r="AS729" s="130"/>
      <c r="AT729" s="130"/>
    </row>
    <row r="730" ht="13.5" customHeight="1">
      <c r="A730" s="130"/>
      <c r="B730" s="130"/>
      <c r="C730" s="130"/>
      <c r="D730" s="130"/>
      <c r="E730" s="163"/>
      <c r="F730" s="163"/>
      <c r="G730" s="163"/>
      <c r="H730" s="163"/>
      <c r="I730" s="163"/>
      <c r="J730" s="163"/>
      <c r="K730" s="130"/>
      <c r="L730" s="130"/>
      <c r="M730" s="130"/>
      <c r="N730" s="130"/>
      <c r="O730" s="130"/>
      <c r="P730" s="130"/>
      <c r="Q730" s="130"/>
      <c r="R730" s="130"/>
      <c r="S730" s="163"/>
      <c r="T730" s="163"/>
      <c r="U730" s="163"/>
      <c r="V730" s="163"/>
      <c r="W730" s="163"/>
      <c r="X730" s="163"/>
      <c r="Y730" s="163"/>
      <c r="Z730" s="163"/>
      <c r="AA730" s="163"/>
      <c r="AB730" s="163"/>
      <c r="AC730" s="163"/>
      <c r="AD730" s="163"/>
      <c r="AE730" s="163"/>
      <c r="AF730" s="163"/>
      <c r="AG730" s="163"/>
      <c r="AH730" s="163"/>
      <c r="AI730" s="163"/>
      <c r="AJ730" s="163"/>
      <c r="AK730" s="163"/>
      <c r="AL730" s="163"/>
      <c r="AM730" s="163"/>
      <c r="AN730" s="130"/>
      <c r="AO730" s="130"/>
      <c r="AP730" s="130"/>
      <c r="AQ730" s="130"/>
      <c r="AR730" s="130"/>
      <c r="AS730" s="130"/>
      <c r="AT730" s="130"/>
    </row>
    <row r="731" ht="13.5" customHeight="1">
      <c r="A731" s="130"/>
      <c r="B731" s="130"/>
      <c r="C731" s="130"/>
      <c r="D731" s="130"/>
      <c r="E731" s="163"/>
      <c r="F731" s="163"/>
      <c r="G731" s="163"/>
      <c r="H731" s="163"/>
      <c r="I731" s="163"/>
      <c r="J731" s="163"/>
      <c r="K731" s="130"/>
      <c r="L731" s="130"/>
      <c r="M731" s="130"/>
      <c r="N731" s="130"/>
      <c r="O731" s="130"/>
      <c r="P731" s="130"/>
      <c r="Q731" s="130"/>
      <c r="R731" s="130"/>
      <c r="S731" s="163"/>
      <c r="T731" s="163"/>
      <c r="U731" s="163"/>
      <c r="V731" s="163"/>
      <c r="W731" s="163"/>
      <c r="X731" s="163"/>
      <c r="Y731" s="163"/>
      <c r="Z731" s="163"/>
      <c r="AA731" s="163"/>
      <c r="AB731" s="163"/>
      <c r="AC731" s="163"/>
      <c r="AD731" s="163"/>
      <c r="AE731" s="163"/>
      <c r="AF731" s="163"/>
      <c r="AG731" s="163"/>
      <c r="AH731" s="163"/>
      <c r="AI731" s="163"/>
      <c r="AJ731" s="163"/>
      <c r="AK731" s="163"/>
      <c r="AL731" s="163"/>
      <c r="AM731" s="163"/>
      <c r="AN731" s="130"/>
      <c r="AO731" s="130"/>
      <c r="AP731" s="130"/>
      <c r="AQ731" s="130"/>
      <c r="AR731" s="130"/>
      <c r="AS731" s="130"/>
      <c r="AT731" s="130"/>
    </row>
    <row r="732" ht="13.5" customHeight="1">
      <c r="A732" s="130"/>
      <c r="B732" s="130"/>
      <c r="C732" s="130"/>
      <c r="D732" s="130"/>
      <c r="E732" s="163"/>
      <c r="F732" s="163"/>
      <c r="G732" s="163"/>
      <c r="H732" s="163"/>
      <c r="I732" s="163"/>
      <c r="J732" s="163"/>
      <c r="K732" s="130"/>
      <c r="L732" s="130"/>
      <c r="M732" s="130"/>
      <c r="N732" s="130"/>
      <c r="O732" s="130"/>
      <c r="P732" s="130"/>
      <c r="Q732" s="130"/>
      <c r="R732" s="130"/>
      <c r="S732" s="163"/>
      <c r="T732" s="163"/>
      <c r="U732" s="163"/>
      <c r="V732" s="163"/>
      <c r="W732" s="163"/>
      <c r="X732" s="163"/>
      <c r="Y732" s="163"/>
      <c r="Z732" s="163"/>
      <c r="AA732" s="163"/>
      <c r="AB732" s="163"/>
      <c r="AC732" s="163"/>
      <c r="AD732" s="163"/>
      <c r="AE732" s="163"/>
      <c r="AF732" s="163"/>
      <c r="AG732" s="163"/>
      <c r="AH732" s="163"/>
      <c r="AI732" s="163"/>
      <c r="AJ732" s="163"/>
      <c r="AK732" s="163"/>
      <c r="AL732" s="163"/>
      <c r="AM732" s="163"/>
      <c r="AN732" s="130"/>
      <c r="AO732" s="130"/>
      <c r="AP732" s="130"/>
      <c r="AQ732" s="130"/>
      <c r="AR732" s="130"/>
      <c r="AS732" s="130"/>
      <c r="AT732" s="130"/>
    </row>
    <row r="733" ht="13.5" customHeight="1">
      <c r="A733" s="130"/>
      <c r="B733" s="130"/>
      <c r="C733" s="130"/>
      <c r="D733" s="130"/>
      <c r="E733" s="163"/>
      <c r="F733" s="163"/>
      <c r="G733" s="163"/>
      <c r="H733" s="163"/>
      <c r="I733" s="163"/>
      <c r="J733" s="163"/>
      <c r="K733" s="130"/>
      <c r="L733" s="130"/>
      <c r="M733" s="130"/>
      <c r="N733" s="130"/>
      <c r="O733" s="130"/>
      <c r="P733" s="130"/>
      <c r="Q733" s="130"/>
      <c r="R733" s="130"/>
      <c r="S733" s="163"/>
      <c r="T733" s="163"/>
      <c r="U733" s="163"/>
      <c r="V733" s="163"/>
      <c r="W733" s="163"/>
      <c r="X733" s="163"/>
      <c r="Y733" s="163"/>
      <c r="Z733" s="163"/>
      <c r="AA733" s="163"/>
      <c r="AB733" s="163"/>
      <c r="AC733" s="163"/>
      <c r="AD733" s="163"/>
      <c r="AE733" s="163"/>
      <c r="AF733" s="163"/>
      <c r="AG733" s="163"/>
      <c r="AH733" s="163"/>
      <c r="AI733" s="163"/>
      <c r="AJ733" s="163"/>
      <c r="AK733" s="163"/>
      <c r="AL733" s="163"/>
      <c r="AM733" s="163"/>
      <c r="AN733" s="130"/>
      <c r="AO733" s="130"/>
      <c r="AP733" s="130"/>
      <c r="AQ733" s="130"/>
      <c r="AR733" s="130"/>
      <c r="AS733" s="130"/>
      <c r="AT733" s="130"/>
    </row>
    <row r="734" ht="13.5" customHeight="1">
      <c r="A734" s="130"/>
      <c r="B734" s="130"/>
      <c r="C734" s="130"/>
      <c r="D734" s="130"/>
      <c r="E734" s="163"/>
      <c r="F734" s="163"/>
      <c r="G734" s="163"/>
      <c r="H734" s="163"/>
      <c r="I734" s="163"/>
      <c r="J734" s="163"/>
      <c r="K734" s="130"/>
      <c r="L734" s="130"/>
      <c r="M734" s="130"/>
      <c r="N734" s="130"/>
      <c r="O734" s="130"/>
      <c r="P734" s="130"/>
      <c r="Q734" s="130"/>
      <c r="R734" s="130"/>
      <c r="S734" s="163"/>
      <c r="T734" s="163"/>
      <c r="U734" s="163"/>
      <c r="V734" s="163"/>
      <c r="W734" s="163"/>
      <c r="X734" s="163"/>
      <c r="Y734" s="163"/>
      <c r="Z734" s="163"/>
      <c r="AA734" s="163"/>
      <c r="AB734" s="163"/>
      <c r="AC734" s="163"/>
      <c r="AD734" s="163"/>
      <c r="AE734" s="163"/>
      <c r="AF734" s="163"/>
      <c r="AG734" s="163"/>
      <c r="AH734" s="163"/>
      <c r="AI734" s="163"/>
      <c r="AJ734" s="163"/>
      <c r="AK734" s="163"/>
      <c r="AL734" s="163"/>
      <c r="AM734" s="163"/>
      <c r="AN734" s="130"/>
      <c r="AO734" s="130"/>
      <c r="AP734" s="130"/>
      <c r="AQ734" s="130"/>
      <c r="AR734" s="130"/>
      <c r="AS734" s="130"/>
      <c r="AT734" s="130"/>
    </row>
    <row r="735" ht="13.5" customHeight="1">
      <c r="A735" s="130"/>
      <c r="B735" s="130"/>
      <c r="C735" s="130"/>
      <c r="D735" s="130"/>
      <c r="E735" s="163"/>
      <c r="F735" s="163"/>
      <c r="G735" s="163"/>
      <c r="H735" s="163"/>
      <c r="I735" s="163"/>
      <c r="J735" s="163"/>
      <c r="K735" s="130"/>
      <c r="L735" s="130"/>
      <c r="M735" s="130"/>
      <c r="N735" s="130"/>
      <c r="O735" s="130"/>
      <c r="P735" s="130"/>
      <c r="Q735" s="130"/>
      <c r="R735" s="130"/>
      <c r="S735" s="163"/>
      <c r="T735" s="163"/>
      <c r="U735" s="163"/>
      <c r="V735" s="163"/>
      <c r="W735" s="163"/>
      <c r="X735" s="163"/>
      <c r="Y735" s="163"/>
      <c r="Z735" s="163"/>
      <c r="AA735" s="163"/>
      <c r="AB735" s="163"/>
      <c r="AC735" s="163"/>
      <c r="AD735" s="163"/>
      <c r="AE735" s="163"/>
      <c r="AF735" s="163"/>
      <c r="AG735" s="163"/>
      <c r="AH735" s="163"/>
      <c r="AI735" s="163"/>
      <c r="AJ735" s="163"/>
      <c r="AK735" s="163"/>
      <c r="AL735" s="163"/>
      <c r="AM735" s="163"/>
      <c r="AN735" s="130"/>
      <c r="AO735" s="130"/>
      <c r="AP735" s="130"/>
      <c r="AQ735" s="130"/>
      <c r="AR735" s="130"/>
      <c r="AS735" s="130"/>
      <c r="AT735" s="130"/>
    </row>
    <row r="736" ht="13.5" customHeight="1">
      <c r="A736" s="130"/>
      <c r="B736" s="130"/>
      <c r="C736" s="130"/>
      <c r="D736" s="130"/>
      <c r="E736" s="163"/>
      <c r="F736" s="163"/>
      <c r="G736" s="163"/>
      <c r="H736" s="163"/>
      <c r="I736" s="163"/>
      <c r="J736" s="163"/>
      <c r="K736" s="130"/>
      <c r="L736" s="130"/>
      <c r="M736" s="130"/>
      <c r="N736" s="130"/>
      <c r="O736" s="130"/>
      <c r="P736" s="130"/>
      <c r="Q736" s="130"/>
      <c r="R736" s="130"/>
      <c r="S736" s="163"/>
      <c r="T736" s="163"/>
      <c r="U736" s="163"/>
      <c r="V736" s="163"/>
      <c r="W736" s="163"/>
      <c r="X736" s="163"/>
      <c r="Y736" s="163"/>
      <c r="Z736" s="163"/>
      <c r="AA736" s="163"/>
      <c r="AB736" s="163"/>
      <c r="AC736" s="163"/>
      <c r="AD736" s="163"/>
      <c r="AE736" s="163"/>
      <c r="AF736" s="163"/>
      <c r="AG736" s="163"/>
      <c r="AH736" s="163"/>
      <c r="AI736" s="163"/>
      <c r="AJ736" s="163"/>
      <c r="AK736" s="163"/>
      <c r="AL736" s="163"/>
      <c r="AM736" s="163"/>
      <c r="AN736" s="130"/>
      <c r="AO736" s="130"/>
      <c r="AP736" s="130"/>
      <c r="AQ736" s="130"/>
      <c r="AR736" s="130"/>
      <c r="AS736" s="130"/>
      <c r="AT736" s="130"/>
    </row>
    <row r="737" ht="13.5" customHeight="1">
      <c r="A737" s="130"/>
      <c r="B737" s="130"/>
      <c r="C737" s="130"/>
      <c r="D737" s="130"/>
      <c r="E737" s="163"/>
      <c r="F737" s="163"/>
      <c r="G737" s="163"/>
      <c r="H737" s="163"/>
      <c r="I737" s="163"/>
      <c r="J737" s="163"/>
      <c r="K737" s="130"/>
      <c r="L737" s="130"/>
      <c r="M737" s="130"/>
      <c r="N737" s="130"/>
      <c r="O737" s="130"/>
      <c r="P737" s="130"/>
      <c r="Q737" s="130"/>
      <c r="R737" s="130"/>
      <c r="S737" s="163"/>
      <c r="T737" s="163"/>
      <c r="U737" s="163"/>
      <c r="V737" s="163"/>
      <c r="W737" s="163"/>
      <c r="X737" s="163"/>
      <c r="Y737" s="163"/>
      <c r="Z737" s="163"/>
      <c r="AA737" s="163"/>
      <c r="AB737" s="163"/>
      <c r="AC737" s="163"/>
      <c r="AD737" s="163"/>
      <c r="AE737" s="163"/>
      <c r="AF737" s="163"/>
      <c r="AG737" s="163"/>
      <c r="AH737" s="163"/>
      <c r="AI737" s="163"/>
      <c r="AJ737" s="163"/>
      <c r="AK737" s="163"/>
      <c r="AL737" s="163"/>
      <c r="AM737" s="163"/>
      <c r="AN737" s="130"/>
      <c r="AO737" s="130"/>
      <c r="AP737" s="130"/>
      <c r="AQ737" s="130"/>
      <c r="AR737" s="130"/>
      <c r="AS737" s="130"/>
      <c r="AT737" s="130"/>
    </row>
    <row r="738" ht="13.5" customHeight="1">
      <c r="A738" s="130"/>
      <c r="B738" s="130"/>
      <c r="C738" s="130"/>
      <c r="D738" s="130"/>
      <c r="E738" s="163"/>
      <c r="F738" s="163"/>
      <c r="G738" s="163"/>
      <c r="H738" s="163"/>
      <c r="I738" s="163"/>
      <c r="J738" s="163"/>
      <c r="K738" s="130"/>
      <c r="L738" s="130"/>
      <c r="M738" s="130"/>
      <c r="N738" s="130"/>
      <c r="O738" s="130"/>
      <c r="P738" s="130"/>
      <c r="Q738" s="130"/>
      <c r="R738" s="130"/>
      <c r="S738" s="163"/>
      <c r="T738" s="163"/>
      <c r="U738" s="163"/>
      <c r="V738" s="163"/>
      <c r="W738" s="163"/>
      <c r="X738" s="163"/>
      <c r="Y738" s="163"/>
      <c r="Z738" s="163"/>
      <c r="AA738" s="163"/>
      <c r="AB738" s="163"/>
      <c r="AC738" s="163"/>
      <c r="AD738" s="163"/>
      <c r="AE738" s="163"/>
      <c r="AF738" s="163"/>
      <c r="AG738" s="163"/>
      <c r="AH738" s="163"/>
      <c r="AI738" s="163"/>
      <c r="AJ738" s="163"/>
      <c r="AK738" s="163"/>
      <c r="AL738" s="163"/>
      <c r="AM738" s="163"/>
      <c r="AN738" s="130"/>
      <c r="AO738" s="130"/>
      <c r="AP738" s="130"/>
      <c r="AQ738" s="130"/>
      <c r="AR738" s="130"/>
      <c r="AS738" s="130"/>
      <c r="AT738" s="130"/>
    </row>
    <row r="739" ht="13.5" customHeight="1">
      <c r="A739" s="130"/>
      <c r="B739" s="130"/>
      <c r="C739" s="130"/>
      <c r="D739" s="130"/>
      <c r="E739" s="163"/>
      <c r="F739" s="163"/>
      <c r="G739" s="163"/>
      <c r="H739" s="163"/>
      <c r="I739" s="163"/>
      <c r="J739" s="163"/>
      <c r="K739" s="130"/>
      <c r="L739" s="130"/>
      <c r="M739" s="130"/>
      <c r="N739" s="130"/>
      <c r="O739" s="130"/>
      <c r="P739" s="130"/>
      <c r="Q739" s="130"/>
      <c r="R739" s="130"/>
      <c r="S739" s="163"/>
      <c r="T739" s="163"/>
      <c r="U739" s="163"/>
      <c r="V739" s="163"/>
      <c r="W739" s="163"/>
      <c r="X739" s="163"/>
      <c r="Y739" s="163"/>
      <c r="Z739" s="163"/>
      <c r="AA739" s="163"/>
      <c r="AB739" s="163"/>
      <c r="AC739" s="163"/>
      <c r="AD739" s="163"/>
      <c r="AE739" s="163"/>
      <c r="AF739" s="163"/>
      <c r="AG739" s="163"/>
      <c r="AH739" s="163"/>
      <c r="AI739" s="163"/>
      <c r="AJ739" s="163"/>
      <c r="AK739" s="163"/>
      <c r="AL739" s="163"/>
      <c r="AM739" s="163"/>
      <c r="AN739" s="130"/>
      <c r="AO739" s="130"/>
      <c r="AP739" s="130"/>
      <c r="AQ739" s="130"/>
      <c r="AR739" s="130"/>
      <c r="AS739" s="130"/>
      <c r="AT739" s="130"/>
    </row>
    <row r="740" ht="13.5" customHeight="1">
      <c r="A740" s="130"/>
      <c r="B740" s="130"/>
      <c r="C740" s="130"/>
      <c r="D740" s="130"/>
      <c r="E740" s="163"/>
      <c r="F740" s="163"/>
      <c r="G740" s="163"/>
      <c r="H740" s="163"/>
      <c r="I740" s="163"/>
      <c r="J740" s="163"/>
      <c r="K740" s="130"/>
      <c r="L740" s="130"/>
      <c r="M740" s="130"/>
      <c r="N740" s="130"/>
      <c r="O740" s="130"/>
      <c r="P740" s="130"/>
      <c r="Q740" s="130"/>
      <c r="R740" s="130"/>
      <c r="S740" s="163"/>
      <c r="T740" s="163"/>
      <c r="U740" s="163"/>
      <c r="V740" s="163"/>
      <c r="W740" s="163"/>
      <c r="X740" s="163"/>
      <c r="Y740" s="163"/>
      <c r="Z740" s="163"/>
      <c r="AA740" s="163"/>
      <c r="AB740" s="163"/>
      <c r="AC740" s="163"/>
      <c r="AD740" s="163"/>
      <c r="AE740" s="163"/>
      <c r="AF740" s="163"/>
      <c r="AG740" s="163"/>
      <c r="AH740" s="163"/>
      <c r="AI740" s="163"/>
      <c r="AJ740" s="163"/>
      <c r="AK740" s="163"/>
      <c r="AL740" s="163"/>
      <c r="AM740" s="163"/>
      <c r="AN740" s="130"/>
      <c r="AO740" s="130"/>
      <c r="AP740" s="130"/>
      <c r="AQ740" s="130"/>
      <c r="AR740" s="130"/>
      <c r="AS740" s="130"/>
      <c r="AT740" s="130"/>
    </row>
    <row r="741" ht="13.5" customHeight="1">
      <c r="A741" s="130"/>
      <c r="B741" s="130"/>
      <c r="C741" s="130"/>
      <c r="D741" s="130"/>
      <c r="E741" s="163"/>
      <c r="F741" s="163"/>
      <c r="G741" s="163"/>
      <c r="H741" s="163"/>
      <c r="I741" s="163"/>
      <c r="J741" s="163"/>
      <c r="K741" s="130"/>
      <c r="L741" s="130"/>
      <c r="M741" s="130"/>
      <c r="N741" s="130"/>
      <c r="O741" s="130"/>
      <c r="P741" s="130"/>
      <c r="Q741" s="130"/>
      <c r="R741" s="130"/>
      <c r="S741" s="163"/>
      <c r="T741" s="163"/>
      <c r="U741" s="163"/>
      <c r="V741" s="163"/>
      <c r="W741" s="163"/>
      <c r="X741" s="163"/>
      <c r="Y741" s="163"/>
      <c r="Z741" s="163"/>
      <c r="AA741" s="163"/>
      <c r="AB741" s="163"/>
      <c r="AC741" s="163"/>
      <c r="AD741" s="163"/>
      <c r="AE741" s="163"/>
      <c r="AF741" s="163"/>
      <c r="AG741" s="163"/>
      <c r="AH741" s="163"/>
      <c r="AI741" s="163"/>
      <c r="AJ741" s="163"/>
      <c r="AK741" s="163"/>
      <c r="AL741" s="163"/>
      <c r="AM741" s="163"/>
      <c r="AN741" s="130"/>
      <c r="AO741" s="130"/>
      <c r="AP741" s="130"/>
      <c r="AQ741" s="130"/>
      <c r="AR741" s="130"/>
      <c r="AS741" s="130"/>
      <c r="AT741" s="130"/>
    </row>
    <row r="742" ht="13.5" customHeight="1">
      <c r="A742" s="130"/>
      <c r="B742" s="130"/>
      <c r="C742" s="130"/>
      <c r="D742" s="130"/>
      <c r="E742" s="163"/>
      <c r="F742" s="163"/>
      <c r="G742" s="163"/>
      <c r="H742" s="163"/>
      <c r="I742" s="163"/>
      <c r="J742" s="163"/>
      <c r="K742" s="130"/>
      <c r="L742" s="130"/>
      <c r="M742" s="130"/>
      <c r="N742" s="130"/>
      <c r="O742" s="130"/>
      <c r="P742" s="130"/>
      <c r="Q742" s="130"/>
      <c r="R742" s="130"/>
      <c r="S742" s="163"/>
      <c r="T742" s="163"/>
      <c r="U742" s="163"/>
      <c r="V742" s="163"/>
      <c r="W742" s="163"/>
      <c r="X742" s="163"/>
      <c r="Y742" s="163"/>
      <c r="Z742" s="163"/>
      <c r="AA742" s="163"/>
      <c r="AB742" s="163"/>
      <c r="AC742" s="163"/>
      <c r="AD742" s="163"/>
      <c r="AE742" s="163"/>
      <c r="AF742" s="163"/>
      <c r="AG742" s="163"/>
      <c r="AH742" s="163"/>
      <c r="AI742" s="163"/>
      <c r="AJ742" s="163"/>
      <c r="AK742" s="163"/>
      <c r="AL742" s="163"/>
      <c r="AM742" s="163"/>
      <c r="AN742" s="130"/>
      <c r="AO742" s="130"/>
      <c r="AP742" s="130"/>
      <c r="AQ742" s="130"/>
      <c r="AR742" s="130"/>
      <c r="AS742" s="130"/>
      <c r="AT742" s="130"/>
    </row>
    <row r="743" ht="13.5" customHeight="1">
      <c r="A743" s="130"/>
      <c r="B743" s="130"/>
      <c r="C743" s="130"/>
      <c r="D743" s="130"/>
      <c r="E743" s="163"/>
      <c r="F743" s="163"/>
      <c r="G743" s="163"/>
      <c r="H743" s="163"/>
      <c r="I743" s="163"/>
      <c r="J743" s="163"/>
      <c r="K743" s="130"/>
      <c r="L743" s="130"/>
      <c r="M743" s="130"/>
      <c r="N743" s="130"/>
      <c r="O743" s="130"/>
      <c r="P743" s="130"/>
      <c r="Q743" s="130"/>
      <c r="R743" s="130"/>
      <c r="S743" s="163"/>
      <c r="T743" s="163"/>
      <c r="U743" s="163"/>
      <c r="V743" s="163"/>
      <c r="W743" s="163"/>
      <c r="X743" s="163"/>
      <c r="Y743" s="163"/>
      <c r="Z743" s="163"/>
      <c r="AA743" s="163"/>
      <c r="AB743" s="163"/>
      <c r="AC743" s="163"/>
      <c r="AD743" s="163"/>
      <c r="AE743" s="163"/>
      <c r="AF743" s="163"/>
      <c r="AG743" s="163"/>
      <c r="AH743" s="163"/>
      <c r="AI743" s="163"/>
      <c r="AJ743" s="163"/>
      <c r="AK743" s="163"/>
      <c r="AL743" s="163"/>
      <c r="AM743" s="163"/>
      <c r="AN743" s="130"/>
      <c r="AO743" s="130"/>
      <c r="AP743" s="130"/>
      <c r="AQ743" s="130"/>
      <c r="AR743" s="130"/>
      <c r="AS743" s="130"/>
      <c r="AT743" s="130"/>
    </row>
    <row r="744" ht="13.5" customHeight="1">
      <c r="A744" s="130"/>
      <c r="B744" s="130"/>
      <c r="C744" s="130"/>
      <c r="D744" s="130"/>
      <c r="E744" s="163"/>
      <c r="F744" s="163"/>
      <c r="G744" s="163"/>
      <c r="H744" s="163"/>
      <c r="I744" s="163"/>
      <c r="J744" s="163"/>
      <c r="K744" s="130"/>
      <c r="L744" s="130"/>
      <c r="M744" s="130"/>
      <c r="N744" s="130"/>
      <c r="O744" s="130"/>
      <c r="P744" s="130"/>
      <c r="Q744" s="130"/>
      <c r="R744" s="130"/>
      <c r="S744" s="163"/>
      <c r="T744" s="163"/>
      <c r="U744" s="163"/>
      <c r="V744" s="163"/>
      <c r="W744" s="163"/>
      <c r="X744" s="163"/>
      <c r="Y744" s="163"/>
      <c r="Z744" s="163"/>
      <c r="AA744" s="163"/>
      <c r="AB744" s="163"/>
      <c r="AC744" s="163"/>
      <c r="AD744" s="163"/>
      <c r="AE744" s="163"/>
      <c r="AF744" s="163"/>
      <c r="AG744" s="163"/>
      <c r="AH744" s="163"/>
      <c r="AI744" s="163"/>
      <c r="AJ744" s="163"/>
      <c r="AK744" s="163"/>
      <c r="AL744" s="163"/>
      <c r="AM744" s="163"/>
      <c r="AN744" s="130"/>
      <c r="AO744" s="130"/>
      <c r="AP744" s="130"/>
      <c r="AQ744" s="130"/>
      <c r="AR744" s="130"/>
      <c r="AS744" s="130"/>
      <c r="AT744" s="130"/>
    </row>
    <row r="745" ht="13.5" customHeight="1">
      <c r="A745" s="130"/>
      <c r="B745" s="130"/>
      <c r="C745" s="130"/>
      <c r="D745" s="130"/>
      <c r="E745" s="163"/>
      <c r="F745" s="163"/>
      <c r="G745" s="163"/>
      <c r="H745" s="163"/>
      <c r="I745" s="163"/>
      <c r="J745" s="163"/>
      <c r="K745" s="130"/>
      <c r="L745" s="130"/>
      <c r="M745" s="130"/>
      <c r="N745" s="130"/>
      <c r="O745" s="130"/>
      <c r="P745" s="130"/>
      <c r="Q745" s="130"/>
      <c r="R745" s="130"/>
      <c r="S745" s="163"/>
      <c r="T745" s="163"/>
      <c r="U745" s="163"/>
      <c r="V745" s="163"/>
      <c r="W745" s="163"/>
      <c r="X745" s="163"/>
      <c r="Y745" s="163"/>
      <c r="Z745" s="163"/>
      <c r="AA745" s="163"/>
      <c r="AB745" s="163"/>
      <c r="AC745" s="163"/>
      <c r="AD745" s="163"/>
      <c r="AE745" s="163"/>
      <c r="AF745" s="163"/>
      <c r="AG745" s="163"/>
      <c r="AH745" s="163"/>
      <c r="AI745" s="163"/>
      <c r="AJ745" s="163"/>
      <c r="AK745" s="163"/>
      <c r="AL745" s="163"/>
      <c r="AM745" s="163"/>
      <c r="AN745" s="130"/>
      <c r="AO745" s="130"/>
      <c r="AP745" s="130"/>
      <c r="AQ745" s="130"/>
      <c r="AR745" s="130"/>
      <c r="AS745" s="130"/>
      <c r="AT745" s="130"/>
    </row>
    <row r="746" ht="13.5" customHeight="1">
      <c r="A746" s="130"/>
      <c r="B746" s="130"/>
      <c r="C746" s="130"/>
      <c r="D746" s="130"/>
      <c r="E746" s="163"/>
      <c r="F746" s="163"/>
      <c r="G746" s="163"/>
      <c r="H746" s="163"/>
      <c r="I746" s="163"/>
      <c r="J746" s="163"/>
      <c r="K746" s="130"/>
      <c r="L746" s="130"/>
      <c r="M746" s="130"/>
      <c r="N746" s="130"/>
      <c r="O746" s="130"/>
      <c r="P746" s="130"/>
      <c r="Q746" s="130"/>
      <c r="R746" s="130"/>
      <c r="S746" s="163"/>
      <c r="T746" s="163"/>
      <c r="U746" s="163"/>
      <c r="V746" s="163"/>
      <c r="W746" s="163"/>
      <c r="X746" s="163"/>
      <c r="Y746" s="163"/>
      <c r="Z746" s="163"/>
      <c r="AA746" s="163"/>
      <c r="AB746" s="163"/>
      <c r="AC746" s="163"/>
      <c r="AD746" s="163"/>
      <c r="AE746" s="163"/>
      <c r="AF746" s="163"/>
      <c r="AG746" s="163"/>
      <c r="AH746" s="163"/>
      <c r="AI746" s="163"/>
      <c r="AJ746" s="163"/>
      <c r="AK746" s="163"/>
      <c r="AL746" s="163"/>
      <c r="AM746" s="163"/>
      <c r="AN746" s="130"/>
      <c r="AO746" s="130"/>
      <c r="AP746" s="130"/>
      <c r="AQ746" s="130"/>
      <c r="AR746" s="130"/>
      <c r="AS746" s="130"/>
      <c r="AT746" s="130"/>
    </row>
    <row r="747" ht="13.5" customHeight="1">
      <c r="A747" s="130"/>
      <c r="B747" s="130"/>
      <c r="C747" s="130"/>
      <c r="D747" s="130"/>
      <c r="E747" s="163"/>
      <c r="F747" s="163"/>
      <c r="G747" s="163"/>
      <c r="H747" s="163"/>
      <c r="I747" s="163"/>
      <c r="J747" s="163"/>
      <c r="K747" s="130"/>
      <c r="L747" s="130"/>
      <c r="M747" s="130"/>
      <c r="N747" s="130"/>
      <c r="O747" s="130"/>
      <c r="P747" s="130"/>
      <c r="Q747" s="130"/>
      <c r="R747" s="130"/>
      <c r="S747" s="163"/>
      <c r="T747" s="163"/>
      <c r="U747" s="163"/>
      <c r="V747" s="163"/>
      <c r="W747" s="163"/>
      <c r="X747" s="163"/>
      <c r="Y747" s="163"/>
      <c r="Z747" s="163"/>
      <c r="AA747" s="163"/>
      <c r="AB747" s="163"/>
      <c r="AC747" s="163"/>
      <c r="AD747" s="163"/>
      <c r="AE747" s="163"/>
      <c r="AF747" s="163"/>
      <c r="AG747" s="163"/>
      <c r="AH747" s="163"/>
      <c r="AI747" s="163"/>
      <c r="AJ747" s="163"/>
      <c r="AK747" s="163"/>
      <c r="AL747" s="163"/>
      <c r="AM747" s="163"/>
      <c r="AN747" s="130"/>
      <c r="AO747" s="130"/>
      <c r="AP747" s="130"/>
      <c r="AQ747" s="130"/>
      <c r="AR747" s="130"/>
      <c r="AS747" s="130"/>
      <c r="AT747" s="130"/>
    </row>
    <row r="748" ht="13.5" customHeight="1">
      <c r="A748" s="130"/>
      <c r="B748" s="130"/>
      <c r="C748" s="130"/>
      <c r="D748" s="130"/>
      <c r="E748" s="163"/>
      <c r="F748" s="163"/>
      <c r="G748" s="163"/>
      <c r="H748" s="163"/>
      <c r="I748" s="163"/>
      <c r="J748" s="163"/>
      <c r="K748" s="130"/>
      <c r="L748" s="130"/>
      <c r="M748" s="130"/>
      <c r="N748" s="130"/>
      <c r="O748" s="130"/>
      <c r="P748" s="130"/>
      <c r="Q748" s="130"/>
      <c r="R748" s="130"/>
      <c r="S748" s="163"/>
      <c r="T748" s="163"/>
      <c r="U748" s="163"/>
      <c r="V748" s="163"/>
      <c r="W748" s="163"/>
      <c r="X748" s="163"/>
      <c r="Y748" s="163"/>
      <c r="Z748" s="163"/>
      <c r="AA748" s="163"/>
      <c r="AB748" s="163"/>
      <c r="AC748" s="163"/>
      <c r="AD748" s="163"/>
      <c r="AE748" s="163"/>
      <c r="AF748" s="163"/>
      <c r="AG748" s="163"/>
      <c r="AH748" s="163"/>
      <c r="AI748" s="163"/>
      <c r="AJ748" s="163"/>
      <c r="AK748" s="163"/>
      <c r="AL748" s="163"/>
      <c r="AM748" s="163"/>
      <c r="AN748" s="130"/>
      <c r="AO748" s="130"/>
      <c r="AP748" s="130"/>
      <c r="AQ748" s="130"/>
      <c r="AR748" s="130"/>
      <c r="AS748" s="130"/>
      <c r="AT748" s="130"/>
    </row>
    <row r="749" ht="13.5" customHeight="1">
      <c r="A749" s="130"/>
      <c r="B749" s="130"/>
      <c r="C749" s="130"/>
      <c r="D749" s="130"/>
      <c r="E749" s="163"/>
      <c r="F749" s="163"/>
      <c r="G749" s="163"/>
      <c r="H749" s="163"/>
      <c r="I749" s="163"/>
      <c r="J749" s="163"/>
      <c r="K749" s="130"/>
      <c r="L749" s="130"/>
      <c r="M749" s="130"/>
      <c r="N749" s="130"/>
      <c r="O749" s="130"/>
      <c r="P749" s="130"/>
      <c r="Q749" s="130"/>
      <c r="R749" s="130"/>
      <c r="S749" s="163"/>
      <c r="T749" s="163"/>
      <c r="U749" s="163"/>
      <c r="V749" s="163"/>
      <c r="W749" s="163"/>
      <c r="X749" s="163"/>
      <c r="Y749" s="163"/>
      <c r="Z749" s="163"/>
      <c r="AA749" s="163"/>
      <c r="AB749" s="163"/>
      <c r="AC749" s="163"/>
      <c r="AD749" s="163"/>
      <c r="AE749" s="163"/>
      <c r="AF749" s="163"/>
      <c r="AG749" s="163"/>
      <c r="AH749" s="163"/>
      <c r="AI749" s="163"/>
      <c r="AJ749" s="163"/>
      <c r="AK749" s="163"/>
      <c r="AL749" s="163"/>
      <c r="AM749" s="163"/>
      <c r="AN749" s="130"/>
      <c r="AO749" s="130"/>
      <c r="AP749" s="130"/>
      <c r="AQ749" s="130"/>
      <c r="AR749" s="130"/>
      <c r="AS749" s="130"/>
      <c r="AT749" s="130"/>
    </row>
    <row r="750" ht="13.5" customHeight="1">
      <c r="A750" s="130"/>
      <c r="B750" s="130"/>
      <c r="C750" s="130"/>
      <c r="D750" s="130"/>
      <c r="E750" s="163"/>
      <c r="F750" s="163"/>
      <c r="G750" s="163"/>
      <c r="H750" s="163"/>
      <c r="I750" s="163"/>
      <c r="J750" s="163"/>
      <c r="K750" s="130"/>
      <c r="L750" s="130"/>
      <c r="M750" s="130"/>
      <c r="N750" s="130"/>
      <c r="O750" s="130"/>
      <c r="P750" s="130"/>
      <c r="Q750" s="130"/>
      <c r="R750" s="130"/>
      <c r="S750" s="163"/>
      <c r="T750" s="163"/>
      <c r="U750" s="163"/>
      <c r="V750" s="163"/>
      <c r="W750" s="163"/>
      <c r="X750" s="163"/>
      <c r="Y750" s="163"/>
      <c r="Z750" s="163"/>
      <c r="AA750" s="163"/>
      <c r="AB750" s="163"/>
      <c r="AC750" s="163"/>
      <c r="AD750" s="163"/>
      <c r="AE750" s="163"/>
      <c r="AF750" s="163"/>
      <c r="AG750" s="163"/>
      <c r="AH750" s="163"/>
      <c r="AI750" s="163"/>
      <c r="AJ750" s="163"/>
      <c r="AK750" s="163"/>
      <c r="AL750" s="163"/>
      <c r="AM750" s="163"/>
      <c r="AN750" s="130"/>
      <c r="AO750" s="130"/>
      <c r="AP750" s="130"/>
      <c r="AQ750" s="130"/>
      <c r="AR750" s="130"/>
      <c r="AS750" s="130"/>
      <c r="AT750" s="130"/>
    </row>
    <row r="751" ht="13.5" customHeight="1">
      <c r="A751" s="130"/>
      <c r="B751" s="130"/>
      <c r="C751" s="130"/>
      <c r="D751" s="130"/>
      <c r="E751" s="163"/>
      <c r="F751" s="163"/>
      <c r="G751" s="163"/>
      <c r="H751" s="163"/>
      <c r="I751" s="163"/>
      <c r="J751" s="163"/>
      <c r="K751" s="130"/>
      <c r="L751" s="130"/>
      <c r="M751" s="130"/>
      <c r="N751" s="130"/>
      <c r="O751" s="130"/>
      <c r="P751" s="130"/>
      <c r="Q751" s="130"/>
      <c r="R751" s="130"/>
      <c r="S751" s="163"/>
      <c r="T751" s="163"/>
      <c r="U751" s="163"/>
      <c r="V751" s="163"/>
      <c r="W751" s="163"/>
      <c r="X751" s="163"/>
      <c r="Y751" s="163"/>
      <c r="Z751" s="163"/>
      <c r="AA751" s="163"/>
      <c r="AB751" s="163"/>
      <c r="AC751" s="163"/>
      <c r="AD751" s="163"/>
      <c r="AE751" s="163"/>
      <c r="AF751" s="163"/>
      <c r="AG751" s="163"/>
      <c r="AH751" s="163"/>
      <c r="AI751" s="163"/>
      <c r="AJ751" s="163"/>
      <c r="AK751" s="163"/>
      <c r="AL751" s="163"/>
      <c r="AM751" s="163"/>
      <c r="AN751" s="130"/>
      <c r="AO751" s="130"/>
      <c r="AP751" s="130"/>
      <c r="AQ751" s="130"/>
      <c r="AR751" s="130"/>
      <c r="AS751" s="130"/>
      <c r="AT751" s="130"/>
    </row>
    <row r="752" ht="13.5" customHeight="1">
      <c r="A752" s="130"/>
      <c r="B752" s="130"/>
      <c r="C752" s="130"/>
      <c r="D752" s="130"/>
      <c r="E752" s="163"/>
      <c r="F752" s="163"/>
      <c r="G752" s="163"/>
      <c r="H752" s="163"/>
      <c r="I752" s="163"/>
      <c r="J752" s="163"/>
      <c r="K752" s="130"/>
      <c r="L752" s="130"/>
      <c r="M752" s="130"/>
      <c r="N752" s="130"/>
      <c r="O752" s="130"/>
      <c r="P752" s="130"/>
      <c r="Q752" s="130"/>
      <c r="R752" s="130"/>
      <c r="S752" s="163"/>
      <c r="T752" s="163"/>
      <c r="U752" s="163"/>
      <c r="V752" s="163"/>
      <c r="W752" s="163"/>
      <c r="X752" s="163"/>
      <c r="Y752" s="163"/>
      <c r="Z752" s="163"/>
      <c r="AA752" s="163"/>
      <c r="AB752" s="163"/>
      <c r="AC752" s="163"/>
      <c r="AD752" s="163"/>
      <c r="AE752" s="163"/>
      <c r="AF752" s="163"/>
      <c r="AG752" s="163"/>
      <c r="AH752" s="163"/>
      <c r="AI752" s="163"/>
      <c r="AJ752" s="163"/>
      <c r="AK752" s="163"/>
      <c r="AL752" s="163"/>
      <c r="AM752" s="163"/>
      <c r="AN752" s="130"/>
      <c r="AO752" s="130"/>
      <c r="AP752" s="130"/>
      <c r="AQ752" s="130"/>
      <c r="AR752" s="130"/>
      <c r="AS752" s="130"/>
      <c r="AT752" s="130"/>
    </row>
    <row r="753" ht="13.5" customHeight="1">
      <c r="A753" s="130"/>
      <c r="B753" s="130"/>
      <c r="C753" s="130"/>
      <c r="D753" s="130"/>
      <c r="E753" s="163"/>
      <c r="F753" s="163"/>
      <c r="G753" s="163"/>
      <c r="H753" s="163"/>
      <c r="I753" s="163"/>
      <c r="J753" s="163"/>
      <c r="K753" s="130"/>
      <c r="L753" s="130"/>
      <c r="M753" s="130"/>
      <c r="N753" s="130"/>
      <c r="O753" s="130"/>
      <c r="P753" s="130"/>
      <c r="Q753" s="130"/>
      <c r="R753" s="130"/>
      <c r="S753" s="163"/>
      <c r="T753" s="163"/>
      <c r="U753" s="163"/>
      <c r="V753" s="163"/>
      <c r="W753" s="163"/>
      <c r="X753" s="163"/>
      <c r="Y753" s="163"/>
      <c r="Z753" s="163"/>
      <c r="AA753" s="163"/>
      <c r="AB753" s="163"/>
      <c r="AC753" s="163"/>
      <c r="AD753" s="163"/>
      <c r="AE753" s="163"/>
      <c r="AF753" s="163"/>
      <c r="AG753" s="163"/>
      <c r="AH753" s="163"/>
      <c r="AI753" s="163"/>
      <c r="AJ753" s="163"/>
      <c r="AK753" s="163"/>
      <c r="AL753" s="163"/>
      <c r="AM753" s="163"/>
      <c r="AN753" s="130"/>
      <c r="AO753" s="130"/>
      <c r="AP753" s="130"/>
      <c r="AQ753" s="130"/>
      <c r="AR753" s="130"/>
      <c r="AS753" s="130"/>
      <c r="AT753" s="130"/>
    </row>
    <row r="754" ht="13.5" customHeight="1">
      <c r="A754" s="130"/>
      <c r="B754" s="130"/>
      <c r="C754" s="130"/>
      <c r="D754" s="130"/>
      <c r="E754" s="163"/>
      <c r="F754" s="163"/>
      <c r="G754" s="163"/>
      <c r="H754" s="163"/>
      <c r="I754" s="163"/>
      <c r="J754" s="163"/>
      <c r="K754" s="130"/>
      <c r="L754" s="130"/>
      <c r="M754" s="130"/>
      <c r="N754" s="130"/>
      <c r="O754" s="130"/>
      <c r="P754" s="130"/>
      <c r="Q754" s="130"/>
      <c r="R754" s="130"/>
      <c r="S754" s="163"/>
      <c r="T754" s="163"/>
      <c r="U754" s="163"/>
      <c r="V754" s="163"/>
      <c r="W754" s="163"/>
      <c r="X754" s="163"/>
      <c r="Y754" s="163"/>
      <c r="Z754" s="163"/>
      <c r="AA754" s="163"/>
      <c r="AB754" s="163"/>
      <c r="AC754" s="163"/>
      <c r="AD754" s="163"/>
      <c r="AE754" s="163"/>
      <c r="AF754" s="163"/>
      <c r="AG754" s="163"/>
      <c r="AH754" s="163"/>
      <c r="AI754" s="163"/>
      <c r="AJ754" s="163"/>
      <c r="AK754" s="163"/>
      <c r="AL754" s="163"/>
      <c r="AM754" s="163"/>
      <c r="AN754" s="130"/>
      <c r="AO754" s="130"/>
      <c r="AP754" s="130"/>
      <c r="AQ754" s="130"/>
      <c r="AR754" s="130"/>
      <c r="AS754" s="130"/>
      <c r="AT754" s="130"/>
    </row>
    <row r="755" ht="13.5" customHeight="1">
      <c r="A755" s="130"/>
      <c r="B755" s="130"/>
      <c r="C755" s="130"/>
      <c r="D755" s="130"/>
      <c r="E755" s="163"/>
      <c r="F755" s="163"/>
      <c r="G755" s="163"/>
      <c r="H755" s="163"/>
      <c r="I755" s="163"/>
      <c r="J755" s="163"/>
      <c r="K755" s="130"/>
      <c r="L755" s="130"/>
      <c r="M755" s="130"/>
      <c r="N755" s="130"/>
      <c r="O755" s="130"/>
      <c r="P755" s="130"/>
      <c r="Q755" s="130"/>
      <c r="R755" s="130"/>
      <c r="S755" s="163"/>
      <c r="T755" s="163"/>
      <c r="U755" s="163"/>
      <c r="V755" s="163"/>
      <c r="W755" s="163"/>
      <c r="X755" s="163"/>
      <c r="Y755" s="163"/>
      <c r="Z755" s="163"/>
      <c r="AA755" s="163"/>
      <c r="AB755" s="163"/>
      <c r="AC755" s="163"/>
      <c r="AD755" s="163"/>
      <c r="AE755" s="163"/>
      <c r="AF755" s="163"/>
      <c r="AG755" s="163"/>
      <c r="AH755" s="163"/>
      <c r="AI755" s="163"/>
      <c r="AJ755" s="163"/>
      <c r="AK755" s="163"/>
      <c r="AL755" s="163"/>
      <c r="AM755" s="163"/>
      <c r="AN755" s="130"/>
      <c r="AO755" s="130"/>
      <c r="AP755" s="130"/>
      <c r="AQ755" s="130"/>
      <c r="AR755" s="130"/>
      <c r="AS755" s="130"/>
      <c r="AT755" s="130"/>
    </row>
    <row r="756" ht="13.5" customHeight="1">
      <c r="A756" s="130"/>
      <c r="B756" s="130"/>
      <c r="C756" s="130"/>
      <c r="D756" s="130"/>
      <c r="E756" s="163"/>
      <c r="F756" s="163"/>
      <c r="G756" s="163"/>
      <c r="H756" s="163"/>
      <c r="I756" s="163"/>
      <c r="J756" s="163"/>
      <c r="K756" s="130"/>
      <c r="L756" s="130"/>
      <c r="M756" s="130"/>
      <c r="N756" s="130"/>
      <c r="O756" s="130"/>
      <c r="P756" s="130"/>
      <c r="Q756" s="130"/>
      <c r="R756" s="130"/>
      <c r="S756" s="163"/>
      <c r="T756" s="163"/>
      <c r="U756" s="163"/>
      <c r="V756" s="163"/>
      <c r="W756" s="163"/>
      <c r="X756" s="163"/>
      <c r="Y756" s="163"/>
      <c r="Z756" s="163"/>
      <c r="AA756" s="163"/>
      <c r="AB756" s="163"/>
      <c r="AC756" s="163"/>
      <c r="AD756" s="163"/>
      <c r="AE756" s="163"/>
      <c r="AF756" s="163"/>
      <c r="AG756" s="163"/>
      <c r="AH756" s="163"/>
      <c r="AI756" s="163"/>
      <c r="AJ756" s="163"/>
      <c r="AK756" s="163"/>
      <c r="AL756" s="163"/>
      <c r="AM756" s="163"/>
      <c r="AN756" s="130"/>
      <c r="AO756" s="130"/>
      <c r="AP756" s="130"/>
      <c r="AQ756" s="130"/>
      <c r="AR756" s="130"/>
      <c r="AS756" s="130"/>
      <c r="AT756" s="130"/>
    </row>
    <row r="757" ht="13.5" customHeight="1">
      <c r="A757" s="130"/>
      <c r="B757" s="130"/>
      <c r="C757" s="130"/>
      <c r="D757" s="130"/>
      <c r="E757" s="163"/>
      <c r="F757" s="163"/>
      <c r="G757" s="163"/>
      <c r="H757" s="163"/>
      <c r="I757" s="163"/>
      <c r="J757" s="163"/>
      <c r="K757" s="130"/>
      <c r="L757" s="130"/>
      <c r="M757" s="130"/>
      <c r="N757" s="130"/>
      <c r="O757" s="130"/>
      <c r="P757" s="130"/>
      <c r="Q757" s="130"/>
      <c r="R757" s="130"/>
      <c r="S757" s="163"/>
      <c r="T757" s="163"/>
      <c r="U757" s="163"/>
      <c r="V757" s="163"/>
      <c r="W757" s="163"/>
      <c r="X757" s="163"/>
      <c r="Y757" s="163"/>
      <c r="Z757" s="163"/>
      <c r="AA757" s="163"/>
      <c r="AB757" s="163"/>
      <c r="AC757" s="163"/>
      <c r="AD757" s="163"/>
      <c r="AE757" s="163"/>
      <c r="AF757" s="163"/>
      <c r="AG757" s="163"/>
      <c r="AH757" s="163"/>
      <c r="AI757" s="163"/>
      <c r="AJ757" s="163"/>
      <c r="AK757" s="163"/>
      <c r="AL757" s="163"/>
      <c r="AM757" s="163"/>
      <c r="AN757" s="130"/>
      <c r="AO757" s="130"/>
      <c r="AP757" s="130"/>
      <c r="AQ757" s="130"/>
      <c r="AR757" s="130"/>
      <c r="AS757" s="130"/>
      <c r="AT757" s="130"/>
    </row>
    <row r="758" ht="13.5" customHeight="1">
      <c r="A758" s="130"/>
      <c r="B758" s="130"/>
      <c r="C758" s="130"/>
      <c r="D758" s="130"/>
      <c r="E758" s="163"/>
      <c r="F758" s="163"/>
      <c r="G758" s="163"/>
      <c r="H758" s="163"/>
      <c r="I758" s="163"/>
      <c r="J758" s="163"/>
      <c r="K758" s="130"/>
      <c r="L758" s="130"/>
      <c r="M758" s="130"/>
      <c r="N758" s="130"/>
      <c r="O758" s="130"/>
      <c r="P758" s="130"/>
      <c r="Q758" s="130"/>
      <c r="R758" s="130"/>
      <c r="S758" s="163"/>
      <c r="T758" s="163"/>
      <c r="U758" s="163"/>
      <c r="V758" s="163"/>
      <c r="W758" s="163"/>
      <c r="X758" s="163"/>
      <c r="Y758" s="163"/>
      <c r="Z758" s="163"/>
      <c r="AA758" s="163"/>
      <c r="AB758" s="163"/>
      <c r="AC758" s="163"/>
      <c r="AD758" s="163"/>
      <c r="AE758" s="163"/>
      <c r="AF758" s="163"/>
      <c r="AG758" s="163"/>
      <c r="AH758" s="163"/>
      <c r="AI758" s="163"/>
      <c r="AJ758" s="163"/>
      <c r="AK758" s="163"/>
      <c r="AL758" s="163"/>
      <c r="AM758" s="163"/>
      <c r="AN758" s="130"/>
      <c r="AO758" s="130"/>
      <c r="AP758" s="130"/>
      <c r="AQ758" s="130"/>
      <c r="AR758" s="130"/>
      <c r="AS758" s="130"/>
      <c r="AT758" s="130"/>
    </row>
    <row r="759" ht="13.5" customHeight="1">
      <c r="A759" s="130"/>
      <c r="B759" s="130"/>
      <c r="C759" s="130"/>
      <c r="D759" s="130"/>
      <c r="E759" s="163"/>
      <c r="F759" s="163"/>
      <c r="G759" s="163"/>
      <c r="H759" s="163"/>
      <c r="I759" s="163"/>
      <c r="J759" s="163"/>
      <c r="K759" s="130"/>
      <c r="L759" s="130"/>
      <c r="M759" s="130"/>
      <c r="N759" s="130"/>
      <c r="O759" s="130"/>
      <c r="P759" s="130"/>
      <c r="Q759" s="130"/>
      <c r="R759" s="130"/>
      <c r="S759" s="163"/>
      <c r="T759" s="163"/>
      <c r="U759" s="163"/>
      <c r="V759" s="163"/>
      <c r="W759" s="163"/>
      <c r="X759" s="163"/>
      <c r="Y759" s="163"/>
      <c r="Z759" s="163"/>
      <c r="AA759" s="163"/>
      <c r="AB759" s="163"/>
      <c r="AC759" s="163"/>
      <c r="AD759" s="163"/>
      <c r="AE759" s="163"/>
      <c r="AF759" s="163"/>
      <c r="AG759" s="163"/>
      <c r="AH759" s="163"/>
      <c r="AI759" s="163"/>
      <c r="AJ759" s="163"/>
      <c r="AK759" s="163"/>
      <c r="AL759" s="163"/>
      <c r="AM759" s="163"/>
      <c r="AN759" s="130"/>
      <c r="AO759" s="130"/>
      <c r="AP759" s="130"/>
      <c r="AQ759" s="130"/>
      <c r="AR759" s="130"/>
      <c r="AS759" s="130"/>
      <c r="AT759" s="130"/>
    </row>
    <row r="760" ht="13.5" customHeight="1">
      <c r="A760" s="130"/>
      <c r="B760" s="130"/>
      <c r="C760" s="130"/>
      <c r="D760" s="130"/>
      <c r="E760" s="163"/>
      <c r="F760" s="163"/>
      <c r="G760" s="163"/>
      <c r="H760" s="163"/>
      <c r="I760" s="163"/>
      <c r="J760" s="163"/>
      <c r="K760" s="130"/>
      <c r="L760" s="130"/>
      <c r="M760" s="130"/>
      <c r="N760" s="130"/>
      <c r="O760" s="130"/>
      <c r="P760" s="130"/>
      <c r="Q760" s="130"/>
      <c r="R760" s="130"/>
      <c r="S760" s="163"/>
      <c r="T760" s="163"/>
      <c r="U760" s="163"/>
      <c r="V760" s="163"/>
      <c r="W760" s="163"/>
      <c r="X760" s="163"/>
      <c r="Y760" s="163"/>
      <c r="Z760" s="163"/>
      <c r="AA760" s="163"/>
      <c r="AB760" s="163"/>
      <c r="AC760" s="163"/>
      <c r="AD760" s="163"/>
      <c r="AE760" s="163"/>
      <c r="AF760" s="163"/>
      <c r="AG760" s="163"/>
      <c r="AH760" s="163"/>
      <c r="AI760" s="163"/>
      <c r="AJ760" s="163"/>
      <c r="AK760" s="163"/>
      <c r="AL760" s="163"/>
      <c r="AM760" s="163"/>
      <c r="AN760" s="130"/>
      <c r="AO760" s="130"/>
      <c r="AP760" s="130"/>
      <c r="AQ760" s="130"/>
      <c r="AR760" s="130"/>
      <c r="AS760" s="130"/>
      <c r="AT760" s="130"/>
    </row>
    <row r="761" ht="13.5" customHeight="1">
      <c r="A761" s="130"/>
      <c r="B761" s="130"/>
      <c r="C761" s="130"/>
      <c r="D761" s="130"/>
      <c r="E761" s="163"/>
      <c r="F761" s="163"/>
      <c r="G761" s="163"/>
      <c r="H761" s="163"/>
      <c r="I761" s="163"/>
      <c r="J761" s="163"/>
      <c r="K761" s="130"/>
      <c r="L761" s="130"/>
      <c r="M761" s="130"/>
      <c r="N761" s="130"/>
      <c r="O761" s="130"/>
      <c r="P761" s="130"/>
      <c r="Q761" s="130"/>
      <c r="R761" s="130"/>
      <c r="S761" s="163"/>
      <c r="T761" s="163"/>
      <c r="U761" s="163"/>
      <c r="V761" s="163"/>
      <c r="W761" s="163"/>
      <c r="X761" s="163"/>
      <c r="Y761" s="163"/>
      <c r="Z761" s="163"/>
      <c r="AA761" s="163"/>
      <c r="AB761" s="163"/>
      <c r="AC761" s="163"/>
      <c r="AD761" s="163"/>
      <c r="AE761" s="163"/>
      <c r="AF761" s="163"/>
      <c r="AG761" s="163"/>
      <c r="AH761" s="163"/>
      <c r="AI761" s="163"/>
      <c r="AJ761" s="163"/>
      <c r="AK761" s="163"/>
      <c r="AL761" s="163"/>
      <c r="AM761" s="163"/>
      <c r="AN761" s="130"/>
      <c r="AO761" s="130"/>
      <c r="AP761" s="130"/>
      <c r="AQ761" s="130"/>
      <c r="AR761" s="130"/>
      <c r="AS761" s="130"/>
      <c r="AT761" s="130"/>
    </row>
    <row r="762" ht="13.5" customHeight="1">
      <c r="A762" s="130"/>
      <c r="B762" s="130"/>
      <c r="C762" s="130"/>
      <c r="D762" s="130"/>
      <c r="E762" s="163"/>
      <c r="F762" s="163"/>
      <c r="G762" s="163"/>
      <c r="H762" s="163"/>
      <c r="I762" s="163"/>
      <c r="J762" s="163"/>
      <c r="K762" s="130"/>
      <c r="L762" s="130"/>
      <c r="M762" s="130"/>
      <c r="N762" s="130"/>
      <c r="O762" s="130"/>
      <c r="P762" s="130"/>
      <c r="Q762" s="130"/>
      <c r="R762" s="130"/>
      <c r="S762" s="163"/>
      <c r="T762" s="163"/>
      <c r="U762" s="163"/>
      <c r="V762" s="163"/>
      <c r="W762" s="163"/>
      <c r="X762" s="163"/>
      <c r="Y762" s="163"/>
      <c r="Z762" s="163"/>
      <c r="AA762" s="163"/>
      <c r="AB762" s="163"/>
      <c r="AC762" s="163"/>
      <c r="AD762" s="163"/>
      <c r="AE762" s="163"/>
      <c r="AF762" s="163"/>
      <c r="AG762" s="163"/>
      <c r="AH762" s="163"/>
      <c r="AI762" s="163"/>
      <c r="AJ762" s="163"/>
      <c r="AK762" s="163"/>
      <c r="AL762" s="163"/>
      <c r="AM762" s="163"/>
      <c r="AN762" s="130"/>
      <c r="AO762" s="130"/>
      <c r="AP762" s="130"/>
      <c r="AQ762" s="130"/>
      <c r="AR762" s="130"/>
      <c r="AS762" s="130"/>
      <c r="AT762" s="130"/>
    </row>
    <row r="763" ht="13.5" customHeight="1">
      <c r="A763" s="130"/>
      <c r="B763" s="130"/>
      <c r="C763" s="130"/>
      <c r="D763" s="130"/>
      <c r="E763" s="163"/>
      <c r="F763" s="163"/>
      <c r="G763" s="163"/>
      <c r="H763" s="163"/>
      <c r="I763" s="163"/>
      <c r="J763" s="163"/>
      <c r="K763" s="130"/>
      <c r="L763" s="130"/>
      <c r="M763" s="130"/>
      <c r="N763" s="130"/>
      <c r="O763" s="130"/>
      <c r="P763" s="130"/>
      <c r="Q763" s="130"/>
      <c r="R763" s="130"/>
      <c r="S763" s="163"/>
      <c r="T763" s="163"/>
      <c r="U763" s="163"/>
      <c r="V763" s="163"/>
      <c r="W763" s="163"/>
      <c r="X763" s="163"/>
      <c r="Y763" s="163"/>
      <c r="Z763" s="163"/>
      <c r="AA763" s="163"/>
      <c r="AB763" s="163"/>
      <c r="AC763" s="163"/>
      <c r="AD763" s="163"/>
      <c r="AE763" s="163"/>
      <c r="AF763" s="163"/>
      <c r="AG763" s="163"/>
      <c r="AH763" s="163"/>
      <c r="AI763" s="163"/>
      <c r="AJ763" s="163"/>
      <c r="AK763" s="163"/>
      <c r="AL763" s="163"/>
      <c r="AM763" s="163"/>
      <c r="AN763" s="130"/>
      <c r="AO763" s="130"/>
      <c r="AP763" s="130"/>
      <c r="AQ763" s="130"/>
      <c r="AR763" s="130"/>
      <c r="AS763" s="130"/>
      <c r="AT763" s="130"/>
    </row>
    <row r="764" ht="13.5" customHeight="1">
      <c r="A764" s="130"/>
      <c r="B764" s="130"/>
      <c r="C764" s="130"/>
      <c r="D764" s="130"/>
      <c r="E764" s="163"/>
      <c r="F764" s="163"/>
      <c r="G764" s="163"/>
      <c r="H764" s="163"/>
      <c r="I764" s="163"/>
      <c r="J764" s="163"/>
      <c r="K764" s="130"/>
      <c r="L764" s="130"/>
      <c r="M764" s="130"/>
      <c r="N764" s="130"/>
      <c r="O764" s="130"/>
      <c r="P764" s="130"/>
      <c r="Q764" s="130"/>
      <c r="R764" s="130"/>
      <c r="S764" s="163"/>
      <c r="T764" s="163"/>
      <c r="U764" s="163"/>
      <c r="V764" s="163"/>
      <c r="W764" s="163"/>
      <c r="X764" s="163"/>
      <c r="Y764" s="163"/>
      <c r="Z764" s="163"/>
      <c r="AA764" s="163"/>
      <c r="AB764" s="163"/>
      <c r="AC764" s="163"/>
      <c r="AD764" s="163"/>
      <c r="AE764" s="163"/>
      <c r="AF764" s="163"/>
      <c r="AG764" s="163"/>
      <c r="AH764" s="163"/>
      <c r="AI764" s="163"/>
      <c r="AJ764" s="163"/>
      <c r="AK764" s="163"/>
      <c r="AL764" s="163"/>
      <c r="AM764" s="163"/>
      <c r="AN764" s="130"/>
      <c r="AO764" s="130"/>
      <c r="AP764" s="130"/>
      <c r="AQ764" s="130"/>
      <c r="AR764" s="130"/>
      <c r="AS764" s="130"/>
      <c r="AT764" s="130"/>
    </row>
    <row r="765" ht="13.5" customHeight="1">
      <c r="A765" s="130"/>
      <c r="B765" s="130"/>
      <c r="C765" s="130"/>
      <c r="D765" s="130"/>
      <c r="E765" s="163"/>
      <c r="F765" s="163"/>
      <c r="G765" s="163"/>
      <c r="H765" s="163"/>
      <c r="I765" s="163"/>
      <c r="J765" s="163"/>
      <c r="K765" s="130"/>
      <c r="L765" s="130"/>
      <c r="M765" s="130"/>
      <c r="N765" s="130"/>
      <c r="O765" s="130"/>
      <c r="P765" s="130"/>
      <c r="Q765" s="130"/>
      <c r="R765" s="130"/>
      <c r="S765" s="163"/>
      <c r="T765" s="163"/>
      <c r="U765" s="163"/>
      <c r="V765" s="163"/>
      <c r="W765" s="163"/>
      <c r="X765" s="163"/>
      <c r="Y765" s="163"/>
      <c r="Z765" s="163"/>
      <c r="AA765" s="163"/>
      <c r="AB765" s="163"/>
      <c r="AC765" s="163"/>
      <c r="AD765" s="163"/>
      <c r="AE765" s="163"/>
      <c r="AF765" s="163"/>
      <c r="AG765" s="163"/>
      <c r="AH765" s="163"/>
      <c r="AI765" s="163"/>
      <c r="AJ765" s="163"/>
      <c r="AK765" s="163"/>
      <c r="AL765" s="163"/>
      <c r="AM765" s="163"/>
      <c r="AN765" s="130"/>
      <c r="AO765" s="130"/>
      <c r="AP765" s="130"/>
      <c r="AQ765" s="130"/>
      <c r="AR765" s="130"/>
      <c r="AS765" s="130"/>
      <c r="AT765" s="130"/>
    </row>
    <row r="766" ht="13.5" customHeight="1">
      <c r="A766" s="130"/>
      <c r="B766" s="130"/>
      <c r="C766" s="130"/>
      <c r="D766" s="130"/>
      <c r="E766" s="163"/>
      <c r="F766" s="163"/>
      <c r="G766" s="163"/>
      <c r="H766" s="163"/>
      <c r="I766" s="163"/>
      <c r="J766" s="163"/>
      <c r="K766" s="130"/>
      <c r="L766" s="130"/>
      <c r="M766" s="130"/>
      <c r="N766" s="130"/>
      <c r="O766" s="130"/>
      <c r="P766" s="130"/>
      <c r="Q766" s="130"/>
      <c r="R766" s="130"/>
      <c r="S766" s="163"/>
      <c r="T766" s="163"/>
      <c r="U766" s="163"/>
      <c r="V766" s="163"/>
      <c r="W766" s="163"/>
      <c r="X766" s="163"/>
      <c r="Y766" s="163"/>
      <c r="Z766" s="163"/>
      <c r="AA766" s="163"/>
      <c r="AB766" s="163"/>
      <c r="AC766" s="163"/>
      <c r="AD766" s="163"/>
      <c r="AE766" s="163"/>
      <c r="AF766" s="163"/>
      <c r="AG766" s="163"/>
      <c r="AH766" s="163"/>
      <c r="AI766" s="163"/>
      <c r="AJ766" s="163"/>
      <c r="AK766" s="163"/>
      <c r="AL766" s="163"/>
      <c r="AM766" s="163"/>
      <c r="AN766" s="130"/>
      <c r="AO766" s="130"/>
      <c r="AP766" s="130"/>
      <c r="AQ766" s="130"/>
      <c r="AR766" s="130"/>
      <c r="AS766" s="130"/>
      <c r="AT766" s="130"/>
    </row>
    <row r="767" ht="13.5" customHeight="1">
      <c r="A767" s="130"/>
      <c r="B767" s="130"/>
      <c r="C767" s="130"/>
      <c r="D767" s="130"/>
      <c r="E767" s="163"/>
      <c r="F767" s="163"/>
      <c r="G767" s="163"/>
      <c r="H767" s="163"/>
      <c r="I767" s="163"/>
      <c r="J767" s="163"/>
      <c r="K767" s="130"/>
      <c r="L767" s="130"/>
      <c r="M767" s="130"/>
      <c r="N767" s="130"/>
      <c r="O767" s="130"/>
      <c r="P767" s="130"/>
      <c r="Q767" s="130"/>
      <c r="R767" s="130"/>
      <c r="S767" s="163"/>
      <c r="T767" s="163"/>
      <c r="U767" s="163"/>
      <c r="V767" s="163"/>
      <c r="W767" s="163"/>
      <c r="X767" s="163"/>
      <c r="Y767" s="163"/>
      <c r="Z767" s="163"/>
      <c r="AA767" s="163"/>
      <c r="AB767" s="163"/>
      <c r="AC767" s="163"/>
      <c r="AD767" s="163"/>
      <c r="AE767" s="163"/>
      <c r="AF767" s="163"/>
      <c r="AG767" s="163"/>
      <c r="AH767" s="163"/>
      <c r="AI767" s="163"/>
      <c r="AJ767" s="163"/>
      <c r="AK767" s="163"/>
      <c r="AL767" s="163"/>
      <c r="AM767" s="163"/>
      <c r="AN767" s="130"/>
      <c r="AO767" s="130"/>
      <c r="AP767" s="130"/>
      <c r="AQ767" s="130"/>
      <c r="AR767" s="130"/>
      <c r="AS767" s="130"/>
      <c r="AT767" s="130"/>
    </row>
    <row r="768" ht="13.5" customHeight="1">
      <c r="A768" s="130"/>
      <c r="B768" s="130"/>
      <c r="C768" s="130"/>
      <c r="D768" s="130"/>
      <c r="E768" s="163"/>
      <c r="F768" s="163"/>
      <c r="G768" s="163"/>
      <c r="H768" s="163"/>
      <c r="I768" s="163"/>
      <c r="J768" s="163"/>
      <c r="K768" s="130"/>
      <c r="L768" s="130"/>
      <c r="M768" s="130"/>
      <c r="N768" s="130"/>
      <c r="O768" s="130"/>
      <c r="P768" s="130"/>
      <c r="Q768" s="130"/>
      <c r="R768" s="130"/>
      <c r="S768" s="163"/>
      <c r="T768" s="163"/>
      <c r="U768" s="163"/>
      <c r="V768" s="163"/>
      <c r="W768" s="163"/>
      <c r="X768" s="163"/>
      <c r="Y768" s="163"/>
      <c r="Z768" s="163"/>
      <c r="AA768" s="163"/>
      <c r="AB768" s="163"/>
      <c r="AC768" s="163"/>
      <c r="AD768" s="163"/>
      <c r="AE768" s="163"/>
      <c r="AF768" s="163"/>
      <c r="AG768" s="163"/>
      <c r="AH768" s="163"/>
      <c r="AI768" s="163"/>
      <c r="AJ768" s="163"/>
      <c r="AK768" s="163"/>
      <c r="AL768" s="163"/>
      <c r="AM768" s="163"/>
      <c r="AN768" s="130"/>
      <c r="AO768" s="130"/>
      <c r="AP768" s="130"/>
      <c r="AQ768" s="130"/>
      <c r="AR768" s="130"/>
      <c r="AS768" s="130"/>
      <c r="AT768" s="130"/>
    </row>
    <row r="769" ht="13.5" customHeight="1">
      <c r="A769" s="130"/>
      <c r="B769" s="130"/>
      <c r="C769" s="130"/>
      <c r="D769" s="130"/>
      <c r="E769" s="163"/>
      <c r="F769" s="163"/>
      <c r="G769" s="163"/>
      <c r="H769" s="163"/>
      <c r="I769" s="163"/>
      <c r="J769" s="163"/>
      <c r="K769" s="130"/>
      <c r="L769" s="130"/>
      <c r="M769" s="130"/>
      <c r="N769" s="130"/>
      <c r="O769" s="130"/>
      <c r="P769" s="130"/>
      <c r="Q769" s="130"/>
      <c r="R769" s="130"/>
      <c r="S769" s="163"/>
      <c r="T769" s="163"/>
      <c r="U769" s="163"/>
      <c r="V769" s="163"/>
      <c r="W769" s="163"/>
      <c r="X769" s="163"/>
      <c r="Y769" s="163"/>
      <c r="Z769" s="163"/>
      <c r="AA769" s="163"/>
      <c r="AB769" s="163"/>
      <c r="AC769" s="163"/>
      <c r="AD769" s="163"/>
      <c r="AE769" s="163"/>
      <c r="AF769" s="163"/>
      <c r="AG769" s="163"/>
      <c r="AH769" s="163"/>
      <c r="AI769" s="163"/>
      <c r="AJ769" s="163"/>
      <c r="AK769" s="163"/>
      <c r="AL769" s="163"/>
      <c r="AM769" s="163"/>
      <c r="AN769" s="130"/>
      <c r="AO769" s="130"/>
      <c r="AP769" s="130"/>
      <c r="AQ769" s="130"/>
      <c r="AR769" s="130"/>
      <c r="AS769" s="130"/>
      <c r="AT769" s="130"/>
    </row>
    <row r="770" ht="13.5" customHeight="1">
      <c r="A770" s="130"/>
      <c r="B770" s="130"/>
      <c r="C770" s="130"/>
      <c r="D770" s="130"/>
      <c r="E770" s="163"/>
      <c r="F770" s="163"/>
      <c r="G770" s="163"/>
      <c r="H770" s="163"/>
      <c r="I770" s="163"/>
      <c r="J770" s="163"/>
      <c r="K770" s="130"/>
      <c r="L770" s="130"/>
      <c r="M770" s="130"/>
      <c r="N770" s="130"/>
      <c r="O770" s="130"/>
      <c r="P770" s="130"/>
      <c r="Q770" s="130"/>
      <c r="R770" s="130"/>
      <c r="S770" s="163"/>
      <c r="T770" s="163"/>
      <c r="U770" s="163"/>
      <c r="V770" s="163"/>
      <c r="W770" s="163"/>
      <c r="X770" s="163"/>
      <c r="Y770" s="163"/>
      <c r="Z770" s="163"/>
      <c r="AA770" s="163"/>
      <c r="AB770" s="163"/>
      <c r="AC770" s="163"/>
      <c r="AD770" s="163"/>
      <c r="AE770" s="163"/>
      <c r="AF770" s="163"/>
      <c r="AG770" s="163"/>
      <c r="AH770" s="163"/>
      <c r="AI770" s="163"/>
      <c r="AJ770" s="163"/>
      <c r="AK770" s="163"/>
      <c r="AL770" s="163"/>
      <c r="AM770" s="163"/>
      <c r="AN770" s="130"/>
      <c r="AO770" s="130"/>
      <c r="AP770" s="130"/>
      <c r="AQ770" s="130"/>
      <c r="AR770" s="130"/>
      <c r="AS770" s="130"/>
      <c r="AT770" s="130"/>
    </row>
    <row r="771" ht="13.5" customHeight="1">
      <c r="A771" s="130"/>
      <c r="B771" s="130"/>
      <c r="C771" s="130"/>
      <c r="D771" s="130"/>
      <c r="E771" s="163"/>
      <c r="F771" s="163"/>
      <c r="G771" s="163"/>
      <c r="H771" s="163"/>
      <c r="I771" s="163"/>
      <c r="J771" s="163"/>
      <c r="K771" s="130"/>
      <c r="L771" s="130"/>
      <c r="M771" s="130"/>
      <c r="N771" s="130"/>
      <c r="O771" s="130"/>
      <c r="P771" s="130"/>
      <c r="Q771" s="130"/>
      <c r="R771" s="130"/>
      <c r="S771" s="163"/>
      <c r="T771" s="163"/>
      <c r="U771" s="163"/>
      <c r="V771" s="163"/>
      <c r="W771" s="163"/>
      <c r="X771" s="163"/>
      <c r="Y771" s="163"/>
      <c r="Z771" s="163"/>
      <c r="AA771" s="163"/>
      <c r="AB771" s="163"/>
      <c r="AC771" s="163"/>
      <c r="AD771" s="163"/>
      <c r="AE771" s="163"/>
      <c r="AF771" s="163"/>
      <c r="AG771" s="163"/>
      <c r="AH771" s="163"/>
      <c r="AI771" s="163"/>
      <c r="AJ771" s="163"/>
      <c r="AK771" s="163"/>
      <c r="AL771" s="163"/>
      <c r="AM771" s="163"/>
      <c r="AN771" s="130"/>
      <c r="AO771" s="130"/>
      <c r="AP771" s="130"/>
      <c r="AQ771" s="130"/>
      <c r="AR771" s="130"/>
      <c r="AS771" s="130"/>
      <c r="AT771" s="130"/>
    </row>
    <row r="772" ht="13.5" customHeight="1">
      <c r="A772" s="130"/>
      <c r="B772" s="130"/>
      <c r="C772" s="130"/>
      <c r="D772" s="130"/>
      <c r="E772" s="163"/>
      <c r="F772" s="163"/>
      <c r="G772" s="163"/>
      <c r="H772" s="163"/>
      <c r="I772" s="163"/>
      <c r="J772" s="163"/>
      <c r="K772" s="130"/>
      <c r="L772" s="130"/>
      <c r="M772" s="130"/>
      <c r="N772" s="130"/>
      <c r="O772" s="130"/>
      <c r="P772" s="130"/>
      <c r="Q772" s="130"/>
      <c r="R772" s="130"/>
      <c r="S772" s="163"/>
      <c r="T772" s="163"/>
      <c r="U772" s="163"/>
      <c r="V772" s="163"/>
      <c r="W772" s="163"/>
      <c r="X772" s="163"/>
      <c r="Y772" s="163"/>
      <c r="Z772" s="163"/>
      <c r="AA772" s="163"/>
      <c r="AB772" s="163"/>
      <c r="AC772" s="163"/>
      <c r="AD772" s="163"/>
      <c r="AE772" s="163"/>
      <c r="AF772" s="163"/>
      <c r="AG772" s="163"/>
      <c r="AH772" s="163"/>
      <c r="AI772" s="163"/>
      <c r="AJ772" s="163"/>
      <c r="AK772" s="163"/>
      <c r="AL772" s="163"/>
      <c r="AM772" s="163"/>
      <c r="AN772" s="130"/>
      <c r="AO772" s="130"/>
      <c r="AP772" s="130"/>
      <c r="AQ772" s="130"/>
      <c r="AR772" s="130"/>
      <c r="AS772" s="130"/>
      <c r="AT772" s="130"/>
    </row>
    <row r="773" ht="13.5" customHeight="1">
      <c r="A773" s="130"/>
      <c r="B773" s="130"/>
      <c r="C773" s="130"/>
      <c r="D773" s="130"/>
      <c r="E773" s="163"/>
      <c r="F773" s="163"/>
      <c r="G773" s="163"/>
      <c r="H773" s="163"/>
      <c r="I773" s="163"/>
      <c r="J773" s="163"/>
      <c r="K773" s="130"/>
      <c r="L773" s="130"/>
      <c r="M773" s="130"/>
      <c r="N773" s="130"/>
      <c r="O773" s="130"/>
      <c r="P773" s="130"/>
      <c r="Q773" s="130"/>
      <c r="R773" s="130"/>
      <c r="S773" s="163"/>
      <c r="T773" s="163"/>
      <c r="U773" s="163"/>
      <c r="V773" s="163"/>
      <c r="W773" s="163"/>
      <c r="X773" s="163"/>
      <c r="Y773" s="163"/>
      <c r="Z773" s="163"/>
      <c r="AA773" s="163"/>
      <c r="AB773" s="163"/>
      <c r="AC773" s="163"/>
      <c r="AD773" s="163"/>
      <c r="AE773" s="163"/>
      <c r="AF773" s="163"/>
      <c r="AG773" s="163"/>
      <c r="AH773" s="163"/>
      <c r="AI773" s="163"/>
      <c r="AJ773" s="163"/>
      <c r="AK773" s="163"/>
      <c r="AL773" s="163"/>
      <c r="AM773" s="163"/>
      <c r="AN773" s="130"/>
      <c r="AO773" s="130"/>
      <c r="AP773" s="130"/>
      <c r="AQ773" s="130"/>
      <c r="AR773" s="130"/>
      <c r="AS773" s="130"/>
      <c r="AT773" s="130"/>
    </row>
    <row r="774" ht="13.5" customHeight="1">
      <c r="A774" s="130"/>
      <c r="B774" s="130"/>
      <c r="C774" s="130"/>
      <c r="D774" s="130"/>
      <c r="E774" s="163"/>
      <c r="F774" s="163"/>
      <c r="G774" s="163"/>
      <c r="H774" s="163"/>
      <c r="I774" s="163"/>
      <c r="J774" s="163"/>
      <c r="K774" s="130"/>
      <c r="L774" s="130"/>
      <c r="M774" s="130"/>
      <c r="N774" s="130"/>
      <c r="O774" s="130"/>
      <c r="P774" s="130"/>
      <c r="Q774" s="130"/>
      <c r="R774" s="130"/>
      <c r="S774" s="163"/>
      <c r="T774" s="163"/>
      <c r="U774" s="163"/>
      <c r="V774" s="163"/>
      <c r="W774" s="163"/>
      <c r="X774" s="163"/>
      <c r="Y774" s="163"/>
      <c r="Z774" s="163"/>
      <c r="AA774" s="163"/>
      <c r="AB774" s="163"/>
      <c r="AC774" s="163"/>
      <c r="AD774" s="163"/>
      <c r="AE774" s="163"/>
      <c r="AF774" s="163"/>
      <c r="AG774" s="163"/>
      <c r="AH774" s="163"/>
      <c r="AI774" s="163"/>
      <c r="AJ774" s="163"/>
      <c r="AK774" s="163"/>
      <c r="AL774" s="163"/>
      <c r="AM774" s="163"/>
      <c r="AN774" s="130"/>
      <c r="AO774" s="130"/>
      <c r="AP774" s="130"/>
      <c r="AQ774" s="130"/>
      <c r="AR774" s="130"/>
      <c r="AS774" s="130"/>
      <c r="AT774" s="130"/>
    </row>
    <row r="775" ht="13.5" customHeight="1">
      <c r="A775" s="130"/>
      <c r="B775" s="130"/>
      <c r="C775" s="130"/>
      <c r="D775" s="130"/>
      <c r="E775" s="163"/>
      <c r="F775" s="163"/>
      <c r="G775" s="163"/>
      <c r="H775" s="163"/>
      <c r="I775" s="163"/>
      <c r="J775" s="163"/>
      <c r="K775" s="130"/>
      <c r="L775" s="130"/>
      <c r="M775" s="130"/>
      <c r="N775" s="130"/>
      <c r="O775" s="130"/>
      <c r="P775" s="130"/>
      <c r="Q775" s="130"/>
      <c r="R775" s="130"/>
      <c r="S775" s="163"/>
      <c r="T775" s="163"/>
      <c r="U775" s="163"/>
      <c r="V775" s="163"/>
      <c r="W775" s="163"/>
      <c r="X775" s="163"/>
      <c r="Y775" s="163"/>
      <c r="Z775" s="163"/>
      <c r="AA775" s="163"/>
      <c r="AB775" s="163"/>
      <c r="AC775" s="163"/>
      <c r="AD775" s="163"/>
      <c r="AE775" s="163"/>
      <c r="AF775" s="163"/>
      <c r="AG775" s="163"/>
      <c r="AH775" s="163"/>
      <c r="AI775" s="163"/>
      <c r="AJ775" s="163"/>
      <c r="AK775" s="163"/>
      <c r="AL775" s="163"/>
      <c r="AM775" s="163"/>
      <c r="AN775" s="130"/>
      <c r="AO775" s="130"/>
      <c r="AP775" s="130"/>
      <c r="AQ775" s="130"/>
      <c r="AR775" s="130"/>
      <c r="AS775" s="130"/>
      <c r="AT775" s="130"/>
    </row>
    <row r="776" ht="13.5" customHeight="1">
      <c r="A776" s="130"/>
      <c r="B776" s="130"/>
      <c r="C776" s="130"/>
      <c r="D776" s="130"/>
      <c r="E776" s="163"/>
      <c r="F776" s="163"/>
      <c r="G776" s="163"/>
      <c r="H776" s="163"/>
      <c r="I776" s="163"/>
      <c r="J776" s="163"/>
      <c r="K776" s="130"/>
      <c r="L776" s="130"/>
      <c r="M776" s="130"/>
      <c r="N776" s="130"/>
      <c r="O776" s="130"/>
      <c r="P776" s="130"/>
      <c r="Q776" s="130"/>
      <c r="R776" s="130"/>
      <c r="S776" s="163"/>
      <c r="T776" s="163"/>
      <c r="U776" s="163"/>
      <c r="V776" s="163"/>
      <c r="W776" s="163"/>
      <c r="X776" s="163"/>
      <c r="Y776" s="163"/>
      <c r="Z776" s="163"/>
      <c r="AA776" s="163"/>
      <c r="AB776" s="163"/>
      <c r="AC776" s="163"/>
      <c r="AD776" s="163"/>
      <c r="AE776" s="163"/>
      <c r="AF776" s="163"/>
      <c r="AG776" s="163"/>
      <c r="AH776" s="163"/>
      <c r="AI776" s="163"/>
      <c r="AJ776" s="163"/>
      <c r="AK776" s="163"/>
      <c r="AL776" s="163"/>
      <c r="AM776" s="163"/>
      <c r="AN776" s="130"/>
      <c r="AO776" s="130"/>
      <c r="AP776" s="130"/>
      <c r="AQ776" s="130"/>
      <c r="AR776" s="130"/>
      <c r="AS776" s="130"/>
      <c r="AT776" s="130"/>
    </row>
    <row r="777" ht="13.5" customHeight="1">
      <c r="A777" s="130"/>
      <c r="B777" s="130"/>
      <c r="C777" s="130"/>
      <c r="D777" s="130"/>
      <c r="E777" s="163"/>
      <c r="F777" s="163"/>
      <c r="G777" s="163"/>
      <c r="H777" s="163"/>
      <c r="I777" s="163"/>
      <c r="J777" s="163"/>
      <c r="K777" s="130"/>
      <c r="L777" s="130"/>
      <c r="M777" s="130"/>
      <c r="N777" s="130"/>
      <c r="O777" s="130"/>
      <c r="P777" s="130"/>
      <c r="Q777" s="130"/>
      <c r="R777" s="130"/>
      <c r="S777" s="163"/>
      <c r="T777" s="163"/>
      <c r="U777" s="163"/>
      <c r="V777" s="163"/>
      <c r="W777" s="163"/>
      <c r="X777" s="163"/>
      <c r="Y777" s="163"/>
      <c r="Z777" s="163"/>
      <c r="AA777" s="163"/>
      <c r="AB777" s="163"/>
      <c r="AC777" s="163"/>
      <c r="AD777" s="163"/>
      <c r="AE777" s="163"/>
      <c r="AF777" s="163"/>
      <c r="AG777" s="163"/>
      <c r="AH777" s="163"/>
      <c r="AI777" s="163"/>
      <c r="AJ777" s="163"/>
      <c r="AK777" s="163"/>
      <c r="AL777" s="163"/>
      <c r="AM777" s="163"/>
      <c r="AN777" s="130"/>
      <c r="AO777" s="130"/>
      <c r="AP777" s="130"/>
      <c r="AQ777" s="130"/>
      <c r="AR777" s="130"/>
      <c r="AS777" s="130"/>
      <c r="AT777" s="130"/>
    </row>
    <row r="778" ht="13.5" customHeight="1">
      <c r="A778" s="130"/>
      <c r="B778" s="130"/>
      <c r="C778" s="130"/>
      <c r="D778" s="130"/>
      <c r="E778" s="163"/>
      <c r="F778" s="163"/>
      <c r="G778" s="163"/>
      <c r="H778" s="163"/>
      <c r="I778" s="163"/>
      <c r="J778" s="163"/>
      <c r="K778" s="130"/>
      <c r="L778" s="130"/>
      <c r="M778" s="130"/>
      <c r="N778" s="130"/>
      <c r="O778" s="130"/>
      <c r="P778" s="130"/>
      <c r="Q778" s="130"/>
      <c r="R778" s="130"/>
      <c r="S778" s="163"/>
      <c r="T778" s="163"/>
      <c r="U778" s="163"/>
      <c r="V778" s="163"/>
      <c r="W778" s="163"/>
      <c r="X778" s="163"/>
      <c r="Y778" s="163"/>
      <c r="Z778" s="163"/>
      <c r="AA778" s="163"/>
      <c r="AB778" s="163"/>
      <c r="AC778" s="163"/>
      <c r="AD778" s="163"/>
      <c r="AE778" s="163"/>
      <c r="AF778" s="163"/>
      <c r="AG778" s="163"/>
      <c r="AH778" s="163"/>
      <c r="AI778" s="163"/>
      <c r="AJ778" s="163"/>
      <c r="AK778" s="163"/>
      <c r="AL778" s="163"/>
      <c r="AM778" s="163"/>
      <c r="AN778" s="130"/>
      <c r="AO778" s="130"/>
      <c r="AP778" s="130"/>
      <c r="AQ778" s="130"/>
      <c r="AR778" s="130"/>
      <c r="AS778" s="130"/>
      <c r="AT778" s="130"/>
    </row>
    <row r="779" ht="13.5" customHeight="1">
      <c r="A779" s="130"/>
      <c r="B779" s="130"/>
      <c r="C779" s="130"/>
      <c r="D779" s="130"/>
      <c r="E779" s="163"/>
      <c r="F779" s="163"/>
      <c r="G779" s="163"/>
      <c r="H779" s="163"/>
      <c r="I779" s="163"/>
      <c r="J779" s="163"/>
      <c r="K779" s="130"/>
      <c r="L779" s="130"/>
      <c r="M779" s="130"/>
      <c r="N779" s="130"/>
      <c r="O779" s="130"/>
      <c r="P779" s="130"/>
      <c r="Q779" s="130"/>
      <c r="R779" s="130"/>
      <c r="S779" s="163"/>
      <c r="T779" s="163"/>
      <c r="U779" s="163"/>
      <c r="V779" s="163"/>
      <c r="W779" s="163"/>
      <c r="X779" s="163"/>
      <c r="Y779" s="163"/>
      <c r="Z779" s="163"/>
      <c r="AA779" s="163"/>
      <c r="AB779" s="163"/>
      <c r="AC779" s="163"/>
      <c r="AD779" s="163"/>
      <c r="AE779" s="163"/>
      <c r="AF779" s="163"/>
      <c r="AG779" s="163"/>
      <c r="AH779" s="163"/>
      <c r="AI779" s="163"/>
      <c r="AJ779" s="163"/>
      <c r="AK779" s="163"/>
      <c r="AL779" s="163"/>
      <c r="AM779" s="163"/>
      <c r="AN779" s="130"/>
      <c r="AO779" s="130"/>
      <c r="AP779" s="130"/>
      <c r="AQ779" s="130"/>
      <c r="AR779" s="130"/>
      <c r="AS779" s="130"/>
      <c r="AT779" s="130"/>
    </row>
    <row r="780" ht="13.5" customHeight="1">
      <c r="A780" s="130"/>
      <c r="B780" s="130"/>
      <c r="C780" s="130"/>
      <c r="D780" s="130"/>
      <c r="E780" s="163"/>
      <c r="F780" s="163"/>
      <c r="G780" s="163"/>
      <c r="H780" s="163"/>
      <c r="I780" s="163"/>
      <c r="J780" s="163"/>
      <c r="K780" s="130"/>
      <c r="L780" s="130"/>
      <c r="M780" s="130"/>
      <c r="N780" s="130"/>
      <c r="O780" s="130"/>
      <c r="P780" s="130"/>
      <c r="Q780" s="130"/>
      <c r="R780" s="130"/>
      <c r="S780" s="163"/>
      <c r="T780" s="163"/>
      <c r="U780" s="163"/>
      <c r="V780" s="163"/>
      <c r="W780" s="163"/>
      <c r="X780" s="163"/>
      <c r="Y780" s="163"/>
      <c r="Z780" s="163"/>
      <c r="AA780" s="163"/>
      <c r="AB780" s="163"/>
      <c r="AC780" s="163"/>
      <c r="AD780" s="163"/>
      <c r="AE780" s="163"/>
      <c r="AF780" s="163"/>
      <c r="AG780" s="163"/>
      <c r="AH780" s="163"/>
      <c r="AI780" s="163"/>
      <c r="AJ780" s="163"/>
      <c r="AK780" s="163"/>
      <c r="AL780" s="163"/>
      <c r="AM780" s="163"/>
      <c r="AN780" s="130"/>
      <c r="AO780" s="130"/>
      <c r="AP780" s="130"/>
      <c r="AQ780" s="130"/>
      <c r="AR780" s="130"/>
      <c r="AS780" s="130"/>
      <c r="AT780" s="130"/>
    </row>
    <row r="781" ht="13.5" customHeight="1">
      <c r="A781" s="130"/>
      <c r="B781" s="130"/>
      <c r="C781" s="130"/>
      <c r="D781" s="130"/>
      <c r="E781" s="163"/>
      <c r="F781" s="163"/>
      <c r="G781" s="163"/>
      <c r="H781" s="163"/>
      <c r="I781" s="163"/>
      <c r="J781" s="163"/>
      <c r="K781" s="130"/>
      <c r="L781" s="130"/>
      <c r="M781" s="130"/>
      <c r="N781" s="130"/>
      <c r="O781" s="130"/>
      <c r="P781" s="130"/>
      <c r="Q781" s="130"/>
      <c r="R781" s="130"/>
      <c r="S781" s="163"/>
      <c r="T781" s="163"/>
      <c r="U781" s="163"/>
      <c r="V781" s="163"/>
      <c r="W781" s="163"/>
      <c r="X781" s="163"/>
      <c r="Y781" s="163"/>
      <c r="Z781" s="163"/>
      <c r="AA781" s="163"/>
      <c r="AB781" s="163"/>
      <c r="AC781" s="163"/>
      <c r="AD781" s="163"/>
      <c r="AE781" s="163"/>
      <c r="AF781" s="163"/>
      <c r="AG781" s="163"/>
      <c r="AH781" s="163"/>
      <c r="AI781" s="163"/>
      <c r="AJ781" s="163"/>
      <c r="AK781" s="163"/>
      <c r="AL781" s="163"/>
      <c r="AM781" s="163"/>
      <c r="AN781" s="130"/>
      <c r="AO781" s="130"/>
      <c r="AP781" s="130"/>
      <c r="AQ781" s="130"/>
      <c r="AR781" s="130"/>
      <c r="AS781" s="130"/>
      <c r="AT781" s="130"/>
    </row>
    <row r="782" ht="13.5" customHeight="1">
      <c r="A782" s="130"/>
      <c r="B782" s="130"/>
      <c r="C782" s="130"/>
      <c r="D782" s="130"/>
      <c r="E782" s="163"/>
      <c r="F782" s="163"/>
      <c r="G782" s="163"/>
      <c r="H782" s="163"/>
      <c r="I782" s="163"/>
      <c r="J782" s="163"/>
      <c r="K782" s="130"/>
      <c r="L782" s="130"/>
      <c r="M782" s="130"/>
      <c r="N782" s="130"/>
      <c r="O782" s="130"/>
      <c r="P782" s="130"/>
      <c r="Q782" s="130"/>
      <c r="R782" s="130"/>
      <c r="S782" s="163"/>
      <c r="T782" s="163"/>
      <c r="U782" s="163"/>
      <c r="V782" s="163"/>
      <c r="W782" s="163"/>
      <c r="X782" s="163"/>
      <c r="Y782" s="163"/>
      <c r="Z782" s="163"/>
      <c r="AA782" s="163"/>
      <c r="AB782" s="163"/>
      <c r="AC782" s="163"/>
      <c r="AD782" s="163"/>
      <c r="AE782" s="163"/>
      <c r="AF782" s="163"/>
      <c r="AG782" s="163"/>
      <c r="AH782" s="163"/>
      <c r="AI782" s="163"/>
      <c r="AJ782" s="163"/>
      <c r="AK782" s="163"/>
      <c r="AL782" s="163"/>
      <c r="AM782" s="163"/>
      <c r="AN782" s="130"/>
      <c r="AO782" s="130"/>
      <c r="AP782" s="130"/>
      <c r="AQ782" s="130"/>
      <c r="AR782" s="130"/>
      <c r="AS782" s="130"/>
      <c r="AT782" s="130"/>
    </row>
    <row r="783" ht="13.5" customHeight="1">
      <c r="A783" s="130"/>
      <c r="B783" s="130"/>
      <c r="C783" s="130"/>
      <c r="D783" s="130"/>
      <c r="E783" s="163"/>
      <c r="F783" s="163"/>
      <c r="G783" s="163"/>
      <c r="H783" s="163"/>
      <c r="I783" s="163"/>
      <c r="J783" s="163"/>
      <c r="K783" s="130"/>
      <c r="L783" s="130"/>
      <c r="M783" s="130"/>
      <c r="N783" s="130"/>
      <c r="O783" s="130"/>
      <c r="P783" s="130"/>
      <c r="Q783" s="130"/>
      <c r="R783" s="130"/>
      <c r="S783" s="163"/>
      <c r="T783" s="163"/>
      <c r="U783" s="163"/>
      <c r="V783" s="163"/>
      <c r="W783" s="163"/>
      <c r="X783" s="163"/>
      <c r="Y783" s="163"/>
      <c r="Z783" s="163"/>
      <c r="AA783" s="163"/>
      <c r="AB783" s="163"/>
      <c r="AC783" s="163"/>
      <c r="AD783" s="163"/>
      <c r="AE783" s="163"/>
      <c r="AF783" s="163"/>
      <c r="AG783" s="163"/>
      <c r="AH783" s="163"/>
      <c r="AI783" s="163"/>
      <c r="AJ783" s="163"/>
      <c r="AK783" s="163"/>
      <c r="AL783" s="163"/>
      <c r="AM783" s="163"/>
      <c r="AN783" s="130"/>
      <c r="AO783" s="130"/>
      <c r="AP783" s="130"/>
      <c r="AQ783" s="130"/>
      <c r="AR783" s="130"/>
      <c r="AS783" s="130"/>
      <c r="AT783" s="130"/>
    </row>
    <row r="784" ht="13.5" customHeight="1">
      <c r="A784" s="130"/>
      <c r="B784" s="130"/>
      <c r="C784" s="130"/>
      <c r="D784" s="130"/>
      <c r="E784" s="163"/>
      <c r="F784" s="163"/>
      <c r="G784" s="163"/>
      <c r="H784" s="163"/>
      <c r="I784" s="163"/>
      <c r="J784" s="163"/>
      <c r="K784" s="130"/>
      <c r="L784" s="130"/>
      <c r="M784" s="130"/>
      <c r="N784" s="130"/>
      <c r="O784" s="130"/>
      <c r="P784" s="130"/>
      <c r="Q784" s="130"/>
      <c r="R784" s="130"/>
      <c r="S784" s="163"/>
      <c r="T784" s="163"/>
      <c r="U784" s="163"/>
      <c r="V784" s="163"/>
      <c r="W784" s="163"/>
      <c r="X784" s="163"/>
      <c r="Y784" s="163"/>
      <c r="Z784" s="163"/>
      <c r="AA784" s="163"/>
      <c r="AB784" s="163"/>
      <c r="AC784" s="163"/>
      <c r="AD784" s="163"/>
      <c r="AE784" s="163"/>
      <c r="AF784" s="163"/>
      <c r="AG784" s="163"/>
      <c r="AH784" s="163"/>
      <c r="AI784" s="163"/>
      <c r="AJ784" s="163"/>
      <c r="AK784" s="163"/>
      <c r="AL784" s="163"/>
      <c r="AM784" s="163"/>
      <c r="AN784" s="130"/>
      <c r="AO784" s="130"/>
      <c r="AP784" s="130"/>
      <c r="AQ784" s="130"/>
      <c r="AR784" s="130"/>
      <c r="AS784" s="130"/>
      <c r="AT784" s="130"/>
    </row>
    <row r="785" ht="13.5" customHeight="1">
      <c r="A785" s="130"/>
      <c r="B785" s="130"/>
      <c r="C785" s="130"/>
      <c r="D785" s="130"/>
      <c r="E785" s="163"/>
      <c r="F785" s="163"/>
      <c r="G785" s="163"/>
      <c r="H785" s="163"/>
      <c r="I785" s="163"/>
      <c r="J785" s="163"/>
      <c r="K785" s="130"/>
      <c r="L785" s="130"/>
      <c r="M785" s="130"/>
      <c r="N785" s="130"/>
      <c r="O785" s="130"/>
      <c r="P785" s="130"/>
      <c r="Q785" s="130"/>
      <c r="R785" s="130"/>
      <c r="S785" s="163"/>
      <c r="T785" s="163"/>
      <c r="U785" s="163"/>
      <c r="V785" s="163"/>
      <c r="W785" s="163"/>
      <c r="X785" s="163"/>
      <c r="Y785" s="163"/>
      <c r="Z785" s="163"/>
      <c r="AA785" s="163"/>
      <c r="AB785" s="163"/>
      <c r="AC785" s="163"/>
      <c r="AD785" s="163"/>
      <c r="AE785" s="163"/>
      <c r="AF785" s="163"/>
      <c r="AG785" s="163"/>
      <c r="AH785" s="163"/>
      <c r="AI785" s="163"/>
      <c r="AJ785" s="163"/>
      <c r="AK785" s="163"/>
      <c r="AL785" s="163"/>
      <c r="AM785" s="163"/>
      <c r="AN785" s="130"/>
      <c r="AO785" s="130"/>
      <c r="AP785" s="130"/>
      <c r="AQ785" s="130"/>
      <c r="AR785" s="130"/>
      <c r="AS785" s="130"/>
      <c r="AT785" s="130"/>
    </row>
    <row r="786" ht="13.5" customHeight="1">
      <c r="A786" s="130"/>
      <c r="B786" s="130"/>
      <c r="C786" s="130"/>
      <c r="D786" s="130"/>
      <c r="E786" s="163"/>
      <c r="F786" s="163"/>
      <c r="G786" s="163"/>
      <c r="H786" s="163"/>
      <c r="I786" s="163"/>
      <c r="J786" s="163"/>
      <c r="K786" s="130"/>
      <c r="L786" s="130"/>
      <c r="M786" s="130"/>
      <c r="N786" s="130"/>
      <c r="O786" s="130"/>
      <c r="P786" s="130"/>
      <c r="Q786" s="130"/>
      <c r="R786" s="130"/>
      <c r="S786" s="163"/>
      <c r="T786" s="163"/>
      <c r="U786" s="163"/>
      <c r="V786" s="163"/>
      <c r="W786" s="163"/>
      <c r="X786" s="163"/>
      <c r="Y786" s="163"/>
      <c r="Z786" s="163"/>
      <c r="AA786" s="163"/>
      <c r="AB786" s="163"/>
      <c r="AC786" s="163"/>
      <c r="AD786" s="163"/>
      <c r="AE786" s="163"/>
      <c r="AF786" s="163"/>
      <c r="AG786" s="163"/>
      <c r="AH786" s="163"/>
      <c r="AI786" s="163"/>
      <c r="AJ786" s="163"/>
      <c r="AK786" s="163"/>
      <c r="AL786" s="163"/>
      <c r="AM786" s="163"/>
      <c r="AN786" s="130"/>
      <c r="AO786" s="130"/>
      <c r="AP786" s="130"/>
      <c r="AQ786" s="130"/>
      <c r="AR786" s="130"/>
      <c r="AS786" s="130"/>
      <c r="AT786" s="130"/>
    </row>
    <row r="787" ht="13.5" customHeight="1">
      <c r="A787" s="130"/>
      <c r="B787" s="130"/>
      <c r="C787" s="130"/>
      <c r="D787" s="130"/>
      <c r="E787" s="163"/>
      <c r="F787" s="163"/>
      <c r="G787" s="163"/>
      <c r="H787" s="163"/>
      <c r="I787" s="163"/>
      <c r="J787" s="163"/>
      <c r="K787" s="130"/>
      <c r="L787" s="130"/>
      <c r="M787" s="130"/>
      <c r="N787" s="130"/>
      <c r="O787" s="130"/>
      <c r="P787" s="130"/>
      <c r="Q787" s="130"/>
      <c r="R787" s="130"/>
      <c r="S787" s="163"/>
      <c r="T787" s="163"/>
      <c r="U787" s="163"/>
      <c r="V787" s="163"/>
      <c r="W787" s="163"/>
      <c r="X787" s="163"/>
      <c r="Y787" s="163"/>
      <c r="Z787" s="163"/>
      <c r="AA787" s="163"/>
      <c r="AB787" s="163"/>
      <c r="AC787" s="163"/>
      <c r="AD787" s="163"/>
      <c r="AE787" s="163"/>
      <c r="AF787" s="163"/>
      <c r="AG787" s="163"/>
      <c r="AH787" s="163"/>
      <c r="AI787" s="163"/>
      <c r="AJ787" s="163"/>
      <c r="AK787" s="163"/>
      <c r="AL787" s="163"/>
      <c r="AM787" s="163"/>
      <c r="AN787" s="130"/>
      <c r="AO787" s="130"/>
      <c r="AP787" s="130"/>
      <c r="AQ787" s="130"/>
      <c r="AR787" s="130"/>
      <c r="AS787" s="130"/>
      <c r="AT787" s="130"/>
    </row>
    <row r="788" ht="13.5" customHeight="1">
      <c r="A788" s="130"/>
      <c r="B788" s="130"/>
      <c r="C788" s="130"/>
      <c r="D788" s="130"/>
      <c r="E788" s="163"/>
      <c r="F788" s="163"/>
      <c r="G788" s="163"/>
      <c r="H788" s="163"/>
      <c r="I788" s="163"/>
      <c r="J788" s="163"/>
      <c r="K788" s="130"/>
      <c r="L788" s="130"/>
      <c r="M788" s="130"/>
      <c r="N788" s="130"/>
      <c r="O788" s="130"/>
      <c r="P788" s="130"/>
      <c r="Q788" s="130"/>
      <c r="R788" s="130"/>
      <c r="S788" s="163"/>
      <c r="T788" s="163"/>
      <c r="U788" s="163"/>
      <c r="V788" s="163"/>
      <c r="W788" s="163"/>
      <c r="X788" s="163"/>
      <c r="Y788" s="163"/>
      <c r="Z788" s="163"/>
      <c r="AA788" s="163"/>
      <c r="AB788" s="163"/>
      <c r="AC788" s="163"/>
      <c r="AD788" s="163"/>
      <c r="AE788" s="163"/>
      <c r="AF788" s="163"/>
      <c r="AG788" s="163"/>
      <c r="AH788" s="163"/>
      <c r="AI788" s="163"/>
      <c r="AJ788" s="163"/>
      <c r="AK788" s="163"/>
      <c r="AL788" s="163"/>
      <c r="AM788" s="163"/>
      <c r="AN788" s="130"/>
      <c r="AO788" s="130"/>
      <c r="AP788" s="130"/>
      <c r="AQ788" s="130"/>
      <c r="AR788" s="130"/>
      <c r="AS788" s="130"/>
      <c r="AT788" s="130"/>
    </row>
    <row r="789" ht="13.5" customHeight="1">
      <c r="A789" s="130"/>
      <c r="B789" s="130"/>
      <c r="C789" s="130"/>
      <c r="D789" s="130"/>
      <c r="E789" s="163"/>
      <c r="F789" s="163"/>
      <c r="G789" s="163"/>
      <c r="H789" s="163"/>
      <c r="I789" s="163"/>
      <c r="J789" s="163"/>
      <c r="K789" s="130"/>
      <c r="L789" s="130"/>
      <c r="M789" s="130"/>
      <c r="N789" s="130"/>
      <c r="O789" s="130"/>
      <c r="P789" s="130"/>
      <c r="Q789" s="130"/>
      <c r="R789" s="130"/>
      <c r="S789" s="163"/>
      <c r="T789" s="163"/>
      <c r="U789" s="163"/>
      <c r="V789" s="163"/>
      <c r="W789" s="163"/>
      <c r="X789" s="163"/>
      <c r="Y789" s="163"/>
      <c r="Z789" s="163"/>
      <c r="AA789" s="163"/>
      <c r="AB789" s="163"/>
      <c r="AC789" s="163"/>
      <c r="AD789" s="163"/>
      <c r="AE789" s="163"/>
      <c r="AF789" s="163"/>
      <c r="AG789" s="163"/>
      <c r="AH789" s="163"/>
      <c r="AI789" s="163"/>
      <c r="AJ789" s="163"/>
      <c r="AK789" s="163"/>
      <c r="AL789" s="163"/>
      <c r="AM789" s="163"/>
      <c r="AN789" s="130"/>
      <c r="AO789" s="130"/>
      <c r="AP789" s="130"/>
      <c r="AQ789" s="130"/>
      <c r="AR789" s="130"/>
      <c r="AS789" s="130"/>
      <c r="AT789" s="130"/>
    </row>
    <row r="790" ht="13.5" customHeight="1">
      <c r="A790" s="130"/>
      <c r="B790" s="130"/>
      <c r="C790" s="130"/>
      <c r="D790" s="130"/>
      <c r="E790" s="163"/>
      <c r="F790" s="163"/>
      <c r="G790" s="163"/>
      <c r="H790" s="163"/>
      <c r="I790" s="163"/>
      <c r="J790" s="163"/>
      <c r="K790" s="130"/>
      <c r="L790" s="130"/>
      <c r="M790" s="130"/>
      <c r="N790" s="130"/>
      <c r="O790" s="130"/>
      <c r="P790" s="130"/>
      <c r="Q790" s="130"/>
      <c r="R790" s="130"/>
      <c r="S790" s="163"/>
      <c r="T790" s="163"/>
      <c r="U790" s="163"/>
      <c r="V790" s="163"/>
      <c r="W790" s="163"/>
      <c r="X790" s="163"/>
      <c r="Y790" s="163"/>
      <c r="Z790" s="163"/>
      <c r="AA790" s="163"/>
      <c r="AB790" s="163"/>
      <c r="AC790" s="163"/>
      <c r="AD790" s="163"/>
      <c r="AE790" s="163"/>
      <c r="AF790" s="163"/>
      <c r="AG790" s="163"/>
      <c r="AH790" s="163"/>
      <c r="AI790" s="163"/>
      <c r="AJ790" s="163"/>
      <c r="AK790" s="163"/>
      <c r="AL790" s="163"/>
      <c r="AM790" s="163"/>
      <c r="AN790" s="130"/>
      <c r="AO790" s="130"/>
      <c r="AP790" s="130"/>
      <c r="AQ790" s="130"/>
      <c r="AR790" s="130"/>
      <c r="AS790" s="130"/>
      <c r="AT790" s="130"/>
    </row>
    <row r="791" ht="13.5" customHeight="1">
      <c r="A791" s="130"/>
      <c r="B791" s="130"/>
      <c r="C791" s="130"/>
      <c r="D791" s="130"/>
      <c r="E791" s="163"/>
      <c r="F791" s="163"/>
      <c r="G791" s="163"/>
      <c r="H791" s="163"/>
      <c r="I791" s="163"/>
      <c r="J791" s="163"/>
      <c r="K791" s="130"/>
      <c r="L791" s="130"/>
      <c r="M791" s="130"/>
      <c r="N791" s="130"/>
      <c r="O791" s="130"/>
      <c r="P791" s="130"/>
      <c r="Q791" s="130"/>
      <c r="R791" s="130"/>
      <c r="S791" s="163"/>
      <c r="T791" s="163"/>
      <c r="U791" s="163"/>
      <c r="V791" s="163"/>
      <c r="W791" s="163"/>
      <c r="X791" s="163"/>
      <c r="Y791" s="163"/>
      <c r="Z791" s="163"/>
      <c r="AA791" s="163"/>
      <c r="AB791" s="163"/>
      <c r="AC791" s="163"/>
      <c r="AD791" s="163"/>
      <c r="AE791" s="163"/>
      <c r="AF791" s="163"/>
      <c r="AG791" s="163"/>
      <c r="AH791" s="163"/>
      <c r="AI791" s="163"/>
      <c r="AJ791" s="163"/>
      <c r="AK791" s="163"/>
      <c r="AL791" s="163"/>
      <c r="AM791" s="163"/>
      <c r="AN791" s="130"/>
      <c r="AO791" s="130"/>
      <c r="AP791" s="130"/>
      <c r="AQ791" s="130"/>
      <c r="AR791" s="130"/>
      <c r="AS791" s="130"/>
      <c r="AT791" s="130"/>
    </row>
    <row r="792" ht="13.5" customHeight="1">
      <c r="A792" s="130"/>
      <c r="B792" s="130"/>
      <c r="C792" s="130"/>
      <c r="D792" s="130"/>
      <c r="E792" s="163"/>
      <c r="F792" s="163"/>
      <c r="G792" s="163"/>
      <c r="H792" s="163"/>
      <c r="I792" s="163"/>
      <c r="J792" s="163"/>
      <c r="K792" s="130"/>
      <c r="L792" s="130"/>
      <c r="M792" s="130"/>
      <c r="N792" s="130"/>
      <c r="O792" s="130"/>
      <c r="P792" s="130"/>
      <c r="Q792" s="130"/>
      <c r="R792" s="130"/>
      <c r="S792" s="163"/>
      <c r="T792" s="163"/>
      <c r="U792" s="163"/>
      <c r="V792" s="163"/>
      <c r="W792" s="163"/>
      <c r="X792" s="163"/>
      <c r="Y792" s="163"/>
      <c r="Z792" s="163"/>
      <c r="AA792" s="163"/>
      <c r="AB792" s="163"/>
      <c r="AC792" s="163"/>
      <c r="AD792" s="163"/>
      <c r="AE792" s="163"/>
      <c r="AF792" s="163"/>
      <c r="AG792" s="163"/>
      <c r="AH792" s="163"/>
      <c r="AI792" s="163"/>
      <c r="AJ792" s="163"/>
      <c r="AK792" s="163"/>
      <c r="AL792" s="163"/>
      <c r="AM792" s="163"/>
      <c r="AN792" s="130"/>
      <c r="AO792" s="130"/>
      <c r="AP792" s="130"/>
      <c r="AQ792" s="130"/>
      <c r="AR792" s="130"/>
      <c r="AS792" s="130"/>
      <c r="AT792" s="130"/>
    </row>
    <row r="793" ht="13.5" customHeight="1">
      <c r="A793" s="130"/>
      <c r="B793" s="130"/>
      <c r="C793" s="130"/>
      <c r="D793" s="130"/>
      <c r="E793" s="163"/>
      <c r="F793" s="163"/>
      <c r="G793" s="163"/>
      <c r="H793" s="163"/>
      <c r="I793" s="163"/>
      <c r="J793" s="163"/>
      <c r="K793" s="130"/>
      <c r="L793" s="130"/>
      <c r="M793" s="130"/>
      <c r="N793" s="130"/>
      <c r="O793" s="130"/>
      <c r="P793" s="130"/>
      <c r="Q793" s="130"/>
      <c r="R793" s="130"/>
      <c r="S793" s="163"/>
      <c r="T793" s="163"/>
      <c r="U793" s="163"/>
      <c r="V793" s="163"/>
      <c r="W793" s="163"/>
      <c r="X793" s="163"/>
      <c r="Y793" s="163"/>
      <c r="Z793" s="163"/>
      <c r="AA793" s="163"/>
      <c r="AB793" s="163"/>
      <c r="AC793" s="163"/>
      <c r="AD793" s="163"/>
      <c r="AE793" s="163"/>
      <c r="AF793" s="163"/>
      <c r="AG793" s="163"/>
      <c r="AH793" s="163"/>
      <c r="AI793" s="163"/>
      <c r="AJ793" s="163"/>
      <c r="AK793" s="163"/>
      <c r="AL793" s="163"/>
      <c r="AM793" s="163"/>
      <c r="AN793" s="130"/>
      <c r="AO793" s="130"/>
      <c r="AP793" s="130"/>
      <c r="AQ793" s="130"/>
      <c r="AR793" s="130"/>
      <c r="AS793" s="130"/>
      <c r="AT793" s="130"/>
    </row>
    <row r="794" ht="13.5" customHeight="1">
      <c r="A794" s="130"/>
      <c r="B794" s="130"/>
      <c r="C794" s="130"/>
      <c r="D794" s="130"/>
      <c r="E794" s="163"/>
      <c r="F794" s="163"/>
      <c r="G794" s="163"/>
      <c r="H794" s="163"/>
      <c r="I794" s="163"/>
      <c r="J794" s="163"/>
      <c r="K794" s="130"/>
      <c r="L794" s="130"/>
      <c r="M794" s="130"/>
      <c r="N794" s="130"/>
      <c r="O794" s="130"/>
      <c r="P794" s="130"/>
      <c r="Q794" s="130"/>
      <c r="R794" s="130"/>
      <c r="S794" s="163"/>
      <c r="T794" s="163"/>
      <c r="U794" s="163"/>
      <c r="V794" s="163"/>
      <c r="W794" s="163"/>
      <c r="X794" s="163"/>
      <c r="Y794" s="163"/>
      <c r="Z794" s="163"/>
      <c r="AA794" s="163"/>
      <c r="AB794" s="163"/>
      <c r="AC794" s="163"/>
      <c r="AD794" s="163"/>
      <c r="AE794" s="163"/>
      <c r="AF794" s="163"/>
      <c r="AG794" s="163"/>
      <c r="AH794" s="163"/>
      <c r="AI794" s="163"/>
      <c r="AJ794" s="163"/>
      <c r="AK794" s="163"/>
      <c r="AL794" s="163"/>
      <c r="AM794" s="163"/>
      <c r="AN794" s="130"/>
      <c r="AO794" s="130"/>
      <c r="AP794" s="130"/>
      <c r="AQ794" s="130"/>
      <c r="AR794" s="130"/>
      <c r="AS794" s="130"/>
      <c r="AT794" s="130"/>
    </row>
    <row r="795" ht="13.5" customHeight="1">
      <c r="A795" s="130"/>
      <c r="B795" s="130"/>
      <c r="C795" s="130"/>
      <c r="D795" s="130"/>
      <c r="E795" s="163"/>
      <c r="F795" s="163"/>
      <c r="G795" s="163"/>
      <c r="H795" s="163"/>
      <c r="I795" s="163"/>
      <c r="J795" s="163"/>
      <c r="K795" s="130"/>
      <c r="L795" s="130"/>
      <c r="M795" s="130"/>
      <c r="N795" s="130"/>
      <c r="O795" s="130"/>
      <c r="P795" s="130"/>
      <c r="Q795" s="130"/>
      <c r="R795" s="130"/>
      <c r="S795" s="163"/>
      <c r="T795" s="163"/>
      <c r="U795" s="163"/>
      <c r="V795" s="163"/>
      <c r="W795" s="163"/>
      <c r="X795" s="163"/>
      <c r="Y795" s="163"/>
      <c r="Z795" s="163"/>
      <c r="AA795" s="163"/>
      <c r="AB795" s="163"/>
      <c r="AC795" s="163"/>
      <c r="AD795" s="163"/>
      <c r="AE795" s="163"/>
      <c r="AF795" s="163"/>
      <c r="AG795" s="163"/>
      <c r="AH795" s="163"/>
      <c r="AI795" s="163"/>
      <c r="AJ795" s="163"/>
      <c r="AK795" s="163"/>
      <c r="AL795" s="163"/>
      <c r="AM795" s="163"/>
      <c r="AN795" s="130"/>
      <c r="AO795" s="130"/>
      <c r="AP795" s="130"/>
      <c r="AQ795" s="130"/>
      <c r="AR795" s="130"/>
      <c r="AS795" s="130"/>
      <c r="AT795" s="130"/>
    </row>
    <row r="796" ht="13.5" customHeight="1">
      <c r="A796" s="130"/>
      <c r="B796" s="130"/>
      <c r="C796" s="130"/>
      <c r="D796" s="130"/>
      <c r="E796" s="163"/>
      <c r="F796" s="163"/>
      <c r="G796" s="163"/>
      <c r="H796" s="163"/>
      <c r="I796" s="163"/>
      <c r="J796" s="163"/>
      <c r="K796" s="130"/>
      <c r="L796" s="130"/>
      <c r="M796" s="130"/>
      <c r="N796" s="130"/>
      <c r="O796" s="130"/>
      <c r="P796" s="130"/>
      <c r="Q796" s="130"/>
      <c r="R796" s="130"/>
      <c r="S796" s="163"/>
      <c r="T796" s="163"/>
      <c r="U796" s="163"/>
      <c r="V796" s="163"/>
      <c r="W796" s="163"/>
      <c r="X796" s="163"/>
      <c r="Y796" s="163"/>
      <c r="Z796" s="163"/>
      <c r="AA796" s="163"/>
      <c r="AB796" s="163"/>
      <c r="AC796" s="163"/>
      <c r="AD796" s="163"/>
      <c r="AE796" s="163"/>
      <c r="AF796" s="163"/>
      <c r="AG796" s="163"/>
      <c r="AH796" s="163"/>
      <c r="AI796" s="163"/>
      <c r="AJ796" s="163"/>
      <c r="AK796" s="163"/>
      <c r="AL796" s="163"/>
      <c r="AM796" s="163"/>
      <c r="AN796" s="130"/>
      <c r="AO796" s="130"/>
      <c r="AP796" s="130"/>
      <c r="AQ796" s="130"/>
      <c r="AR796" s="130"/>
      <c r="AS796" s="130"/>
      <c r="AT796" s="130"/>
    </row>
    <row r="797" ht="13.5" customHeight="1">
      <c r="A797" s="130"/>
      <c r="B797" s="130"/>
      <c r="C797" s="130"/>
      <c r="D797" s="130"/>
      <c r="E797" s="163"/>
      <c r="F797" s="163"/>
      <c r="G797" s="163"/>
      <c r="H797" s="163"/>
      <c r="I797" s="163"/>
      <c r="J797" s="163"/>
      <c r="K797" s="130"/>
      <c r="L797" s="130"/>
      <c r="M797" s="130"/>
      <c r="N797" s="130"/>
      <c r="O797" s="130"/>
      <c r="P797" s="130"/>
      <c r="Q797" s="130"/>
      <c r="R797" s="130"/>
      <c r="S797" s="163"/>
      <c r="T797" s="163"/>
      <c r="U797" s="163"/>
      <c r="V797" s="163"/>
      <c r="W797" s="163"/>
      <c r="X797" s="163"/>
      <c r="Y797" s="163"/>
      <c r="Z797" s="163"/>
      <c r="AA797" s="163"/>
      <c r="AB797" s="163"/>
      <c r="AC797" s="163"/>
      <c r="AD797" s="163"/>
      <c r="AE797" s="163"/>
      <c r="AF797" s="163"/>
      <c r="AG797" s="163"/>
      <c r="AH797" s="163"/>
      <c r="AI797" s="163"/>
      <c r="AJ797" s="163"/>
      <c r="AK797" s="163"/>
      <c r="AL797" s="163"/>
      <c r="AM797" s="163"/>
      <c r="AN797" s="130"/>
      <c r="AO797" s="130"/>
      <c r="AP797" s="130"/>
      <c r="AQ797" s="130"/>
      <c r="AR797" s="130"/>
      <c r="AS797" s="130"/>
      <c r="AT797" s="130"/>
    </row>
    <row r="798" ht="13.5" customHeight="1">
      <c r="A798" s="130"/>
      <c r="B798" s="130"/>
      <c r="C798" s="130"/>
      <c r="D798" s="130"/>
      <c r="E798" s="163"/>
      <c r="F798" s="163"/>
      <c r="G798" s="163"/>
      <c r="H798" s="163"/>
      <c r="I798" s="163"/>
      <c r="J798" s="163"/>
      <c r="K798" s="130"/>
      <c r="L798" s="130"/>
      <c r="M798" s="130"/>
      <c r="N798" s="130"/>
      <c r="O798" s="130"/>
      <c r="P798" s="130"/>
      <c r="Q798" s="130"/>
      <c r="R798" s="130"/>
      <c r="S798" s="163"/>
      <c r="T798" s="163"/>
      <c r="U798" s="163"/>
      <c r="V798" s="163"/>
      <c r="W798" s="163"/>
      <c r="X798" s="163"/>
      <c r="Y798" s="163"/>
      <c r="Z798" s="163"/>
      <c r="AA798" s="163"/>
      <c r="AB798" s="163"/>
      <c r="AC798" s="163"/>
      <c r="AD798" s="163"/>
      <c r="AE798" s="163"/>
      <c r="AF798" s="163"/>
      <c r="AG798" s="163"/>
      <c r="AH798" s="163"/>
      <c r="AI798" s="163"/>
      <c r="AJ798" s="163"/>
      <c r="AK798" s="163"/>
      <c r="AL798" s="163"/>
      <c r="AM798" s="163"/>
      <c r="AN798" s="130"/>
      <c r="AO798" s="130"/>
      <c r="AP798" s="130"/>
      <c r="AQ798" s="130"/>
      <c r="AR798" s="130"/>
      <c r="AS798" s="130"/>
      <c r="AT798" s="130"/>
    </row>
    <row r="799" ht="13.5" customHeight="1">
      <c r="A799" s="130"/>
      <c r="B799" s="130"/>
      <c r="C799" s="130"/>
      <c r="D799" s="130"/>
      <c r="E799" s="163"/>
      <c r="F799" s="163"/>
      <c r="G799" s="163"/>
      <c r="H799" s="163"/>
      <c r="I799" s="163"/>
      <c r="J799" s="163"/>
      <c r="K799" s="130"/>
      <c r="L799" s="130"/>
      <c r="M799" s="130"/>
      <c r="N799" s="130"/>
      <c r="O799" s="130"/>
      <c r="P799" s="130"/>
      <c r="Q799" s="130"/>
      <c r="R799" s="130"/>
      <c r="S799" s="163"/>
      <c r="T799" s="163"/>
      <c r="U799" s="163"/>
      <c r="V799" s="163"/>
      <c r="W799" s="163"/>
      <c r="X799" s="163"/>
      <c r="Y799" s="163"/>
      <c r="Z799" s="163"/>
      <c r="AA799" s="163"/>
      <c r="AB799" s="163"/>
      <c r="AC799" s="163"/>
      <c r="AD799" s="163"/>
      <c r="AE799" s="163"/>
      <c r="AF799" s="163"/>
      <c r="AG799" s="163"/>
      <c r="AH799" s="163"/>
      <c r="AI799" s="163"/>
      <c r="AJ799" s="163"/>
      <c r="AK799" s="163"/>
      <c r="AL799" s="163"/>
      <c r="AM799" s="163"/>
      <c r="AN799" s="130"/>
      <c r="AO799" s="130"/>
      <c r="AP799" s="130"/>
      <c r="AQ799" s="130"/>
      <c r="AR799" s="130"/>
      <c r="AS799" s="130"/>
      <c r="AT799" s="130"/>
    </row>
    <row r="800" ht="13.5" customHeight="1">
      <c r="A800" s="130"/>
      <c r="B800" s="130"/>
      <c r="C800" s="130"/>
      <c r="D800" s="130"/>
      <c r="E800" s="163"/>
      <c r="F800" s="163"/>
      <c r="G800" s="163"/>
      <c r="H800" s="163"/>
      <c r="I800" s="163"/>
      <c r="J800" s="163"/>
      <c r="K800" s="130"/>
      <c r="L800" s="130"/>
      <c r="M800" s="130"/>
      <c r="N800" s="130"/>
      <c r="O800" s="130"/>
      <c r="P800" s="130"/>
      <c r="Q800" s="130"/>
      <c r="R800" s="130"/>
      <c r="S800" s="163"/>
      <c r="T800" s="163"/>
      <c r="U800" s="163"/>
      <c r="V800" s="163"/>
      <c r="W800" s="163"/>
      <c r="X800" s="163"/>
      <c r="Y800" s="163"/>
      <c r="Z800" s="163"/>
      <c r="AA800" s="163"/>
      <c r="AB800" s="163"/>
      <c r="AC800" s="163"/>
      <c r="AD800" s="163"/>
      <c r="AE800" s="163"/>
      <c r="AF800" s="163"/>
      <c r="AG800" s="163"/>
      <c r="AH800" s="163"/>
      <c r="AI800" s="163"/>
      <c r="AJ800" s="163"/>
      <c r="AK800" s="163"/>
      <c r="AL800" s="163"/>
      <c r="AM800" s="163"/>
      <c r="AN800" s="130"/>
      <c r="AO800" s="130"/>
      <c r="AP800" s="130"/>
      <c r="AQ800" s="130"/>
      <c r="AR800" s="130"/>
      <c r="AS800" s="130"/>
      <c r="AT800" s="130"/>
    </row>
    <row r="801" ht="13.5" customHeight="1">
      <c r="A801" s="130"/>
      <c r="B801" s="130"/>
      <c r="C801" s="130"/>
      <c r="D801" s="130"/>
      <c r="E801" s="163"/>
      <c r="F801" s="163"/>
      <c r="G801" s="163"/>
      <c r="H801" s="163"/>
      <c r="I801" s="163"/>
      <c r="J801" s="163"/>
      <c r="K801" s="130"/>
      <c r="L801" s="130"/>
      <c r="M801" s="130"/>
      <c r="N801" s="130"/>
      <c r="O801" s="130"/>
      <c r="P801" s="130"/>
      <c r="Q801" s="130"/>
      <c r="R801" s="130"/>
      <c r="S801" s="163"/>
      <c r="T801" s="163"/>
      <c r="U801" s="163"/>
      <c r="V801" s="163"/>
      <c r="W801" s="163"/>
      <c r="X801" s="163"/>
      <c r="Y801" s="163"/>
      <c r="Z801" s="163"/>
      <c r="AA801" s="163"/>
      <c r="AB801" s="163"/>
      <c r="AC801" s="163"/>
      <c r="AD801" s="163"/>
      <c r="AE801" s="163"/>
      <c r="AF801" s="163"/>
      <c r="AG801" s="163"/>
      <c r="AH801" s="163"/>
      <c r="AI801" s="163"/>
      <c r="AJ801" s="163"/>
      <c r="AK801" s="163"/>
      <c r="AL801" s="163"/>
      <c r="AM801" s="163"/>
      <c r="AN801" s="130"/>
      <c r="AO801" s="130"/>
      <c r="AP801" s="130"/>
      <c r="AQ801" s="130"/>
      <c r="AR801" s="130"/>
      <c r="AS801" s="130"/>
      <c r="AT801" s="130"/>
    </row>
    <row r="802" ht="13.5" customHeight="1">
      <c r="A802" s="130"/>
      <c r="B802" s="130"/>
      <c r="C802" s="130"/>
      <c r="D802" s="130"/>
      <c r="E802" s="163"/>
      <c r="F802" s="163"/>
      <c r="G802" s="163"/>
      <c r="H802" s="163"/>
      <c r="I802" s="163"/>
      <c r="J802" s="163"/>
      <c r="K802" s="130"/>
      <c r="L802" s="130"/>
      <c r="M802" s="130"/>
      <c r="N802" s="130"/>
      <c r="O802" s="130"/>
      <c r="P802" s="130"/>
      <c r="Q802" s="130"/>
      <c r="R802" s="130"/>
      <c r="S802" s="163"/>
      <c r="T802" s="163"/>
      <c r="U802" s="163"/>
      <c r="V802" s="163"/>
      <c r="W802" s="163"/>
      <c r="X802" s="163"/>
      <c r="Y802" s="163"/>
      <c r="Z802" s="163"/>
      <c r="AA802" s="163"/>
      <c r="AB802" s="163"/>
      <c r="AC802" s="163"/>
      <c r="AD802" s="163"/>
      <c r="AE802" s="163"/>
      <c r="AF802" s="163"/>
      <c r="AG802" s="163"/>
      <c r="AH802" s="163"/>
      <c r="AI802" s="163"/>
      <c r="AJ802" s="163"/>
      <c r="AK802" s="163"/>
      <c r="AL802" s="163"/>
      <c r="AM802" s="163"/>
      <c r="AN802" s="130"/>
      <c r="AO802" s="130"/>
      <c r="AP802" s="130"/>
      <c r="AQ802" s="130"/>
      <c r="AR802" s="130"/>
      <c r="AS802" s="130"/>
      <c r="AT802" s="130"/>
    </row>
    <row r="803" ht="13.5" customHeight="1">
      <c r="A803" s="130"/>
      <c r="B803" s="130"/>
      <c r="C803" s="130"/>
      <c r="D803" s="130"/>
      <c r="E803" s="163"/>
      <c r="F803" s="163"/>
      <c r="G803" s="163"/>
      <c r="H803" s="163"/>
      <c r="I803" s="163"/>
      <c r="J803" s="163"/>
      <c r="K803" s="130"/>
      <c r="L803" s="130"/>
      <c r="M803" s="130"/>
      <c r="N803" s="130"/>
      <c r="O803" s="130"/>
      <c r="P803" s="130"/>
      <c r="Q803" s="130"/>
      <c r="R803" s="130"/>
      <c r="S803" s="163"/>
      <c r="T803" s="163"/>
      <c r="U803" s="163"/>
      <c r="V803" s="163"/>
      <c r="W803" s="163"/>
      <c r="X803" s="163"/>
      <c r="Y803" s="163"/>
      <c r="Z803" s="163"/>
      <c r="AA803" s="163"/>
      <c r="AB803" s="163"/>
      <c r="AC803" s="163"/>
      <c r="AD803" s="163"/>
      <c r="AE803" s="163"/>
      <c r="AF803" s="163"/>
      <c r="AG803" s="163"/>
      <c r="AH803" s="163"/>
      <c r="AI803" s="163"/>
      <c r="AJ803" s="163"/>
      <c r="AK803" s="163"/>
      <c r="AL803" s="163"/>
      <c r="AM803" s="163"/>
      <c r="AN803" s="130"/>
      <c r="AO803" s="130"/>
      <c r="AP803" s="130"/>
      <c r="AQ803" s="130"/>
      <c r="AR803" s="130"/>
      <c r="AS803" s="130"/>
      <c r="AT803" s="130"/>
    </row>
    <row r="804" ht="13.5" customHeight="1">
      <c r="A804" s="130"/>
      <c r="B804" s="130"/>
      <c r="C804" s="130"/>
      <c r="D804" s="130"/>
      <c r="E804" s="163"/>
      <c r="F804" s="163"/>
      <c r="G804" s="163"/>
      <c r="H804" s="163"/>
      <c r="I804" s="163"/>
      <c r="J804" s="163"/>
      <c r="K804" s="130"/>
      <c r="L804" s="130"/>
      <c r="M804" s="130"/>
      <c r="N804" s="130"/>
      <c r="O804" s="130"/>
      <c r="P804" s="130"/>
      <c r="Q804" s="130"/>
      <c r="R804" s="130"/>
      <c r="S804" s="163"/>
      <c r="T804" s="163"/>
      <c r="U804" s="163"/>
      <c r="V804" s="163"/>
      <c r="W804" s="163"/>
      <c r="X804" s="163"/>
      <c r="Y804" s="163"/>
      <c r="Z804" s="163"/>
      <c r="AA804" s="163"/>
      <c r="AB804" s="163"/>
      <c r="AC804" s="163"/>
      <c r="AD804" s="163"/>
      <c r="AE804" s="163"/>
      <c r="AF804" s="163"/>
      <c r="AG804" s="163"/>
      <c r="AH804" s="163"/>
      <c r="AI804" s="163"/>
      <c r="AJ804" s="163"/>
      <c r="AK804" s="163"/>
      <c r="AL804" s="163"/>
      <c r="AM804" s="163"/>
      <c r="AN804" s="130"/>
      <c r="AO804" s="130"/>
      <c r="AP804" s="130"/>
      <c r="AQ804" s="130"/>
      <c r="AR804" s="130"/>
      <c r="AS804" s="130"/>
      <c r="AT804" s="130"/>
    </row>
    <row r="805" ht="13.5" customHeight="1">
      <c r="A805" s="130"/>
      <c r="B805" s="130"/>
      <c r="C805" s="130"/>
      <c r="D805" s="130"/>
      <c r="E805" s="163"/>
      <c r="F805" s="163"/>
      <c r="G805" s="163"/>
      <c r="H805" s="163"/>
      <c r="I805" s="163"/>
      <c r="J805" s="163"/>
      <c r="K805" s="130"/>
      <c r="L805" s="130"/>
      <c r="M805" s="130"/>
      <c r="N805" s="130"/>
      <c r="O805" s="130"/>
      <c r="P805" s="130"/>
      <c r="Q805" s="130"/>
      <c r="R805" s="130"/>
      <c r="S805" s="163"/>
      <c r="T805" s="163"/>
      <c r="U805" s="163"/>
      <c r="V805" s="163"/>
      <c r="W805" s="163"/>
      <c r="X805" s="163"/>
      <c r="Y805" s="163"/>
      <c r="Z805" s="163"/>
      <c r="AA805" s="163"/>
      <c r="AB805" s="163"/>
      <c r="AC805" s="163"/>
      <c r="AD805" s="163"/>
      <c r="AE805" s="163"/>
      <c r="AF805" s="163"/>
      <c r="AG805" s="163"/>
      <c r="AH805" s="163"/>
      <c r="AI805" s="163"/>
      <c r="AJ805" s="163"/>
      <c r="AK805" s="163"/>
      <c r="AL805" s="163"/>
      <c r="AM805" s="163"/>
      <c r="AN805" s="130"/>
      <c r="AO805" s="130"/>
      <c r="AP805" s="130"/>
      <c r="AQ805" s="130"/>
      <c r="AR805" s="130"/>
      <c r="AS805" s="130"/>
      <c r="AT805" s="130"/>
    </row>
    <row r="806" ht="13.5" customHeight="1">
      <c r="A806" s="130"/>
      <c r="B806" s="130"/>
      <c r="C806" s="130"/>
      <c r="D806" s="130"/>
      <c r="E806" s="163"/>
      <c r="F806" s="163"/>
      <c r="G806" s="163"/>
      <c r="H806" s="163"/>
      <c r="I806" s="163"/>
      <c r="J806" s="163"/>
      <c r="K806" s="130"/>
      <c r="L806" s="130"/>
      <c r="M806" s="130"/>
      <c r="N806" s="130"/>
      <c r="O806" s="130"/>
      <c r="P806" s="130"/>
      <c r="Q806" s="130"/>
      <c r="R806" s="130"/>
      <c r="S806" s="163"/>
      <c r="T806" s="163"/>
      <c r="U806" s="163"/>
      <c r="V806" s="163"/>
      <c r="W806" s="163"/>
      <c r="X806" s="163"/>
      <c r="Y806" s="163"/>
      <c r="Z806" s="163"/>
      <c r="AA806" s="163"/>
      <c r="AB806" s="163"/>
      <c r="AC806" s="163"/>
      <c r="AD806" s="163"/>
      <c r="AE806" s="163"/>
      <c r="AF806" s="163"/>
      <c r="AG806" s="163"/>
      <c r="AH806" s="163"/>
      <c r="AI806" s="163"/>
      <c r="AJ806" s="163"/>
      <c r="AK806" s="163"/>
      <c r="AL806" s="163"/>
      <c r="AM806" s="163"/>
      <c r="AN806" s="130"/>
      <c r="AO806" s="130"/>
      <c r="AP806" s="130"/>
      <c r="AQ806" s="130"/>
      <c r="AR806" s="130"/>
      <c r="AS806" s="130"/>
      <c r="AT806" s="130"/>
    </row>
    <row r="807" ht="13.5" customHeight="1">
      <c r="A807" s="130"/>
      <c r="B807" s="130"/>
      <c r="C807" s="130"/>
      <c r="D807" s="130"/>
      <c r="E807" s="163"/>
      <c r="F807" s="163"/>
      <c r="G807" s="163"/>
      <c r="H807" s="163"/>
      <c r="I807" s="163"/>
      <c r="J807" s="163"/>
      <c r="K807" s="130"/>
      <c r="L807" s="130"/>
      <c r="M807" s="130"/>
      <c r="N807" s="130"/>
      <c r="O807" s="130"/>
      <c r="P807" s="130"/>
      <c r="Q807" s="130"/>
      <c r="R807" s="130"/>
      <c r="S807" s="163"/>
      <c r="T807" s="163"/>
      <c r="U807" s="163"/>
      <c r="V807" s="163"/>
      <c r="W807" s="163"/>
      <c r="X807" s="163"/>
      <c r="Y807" s="163"/>
      <c r="Z807" s="163"/>
      <c r="AA807" s="163"/>
      <c r="AB807" s="163"/>
      <c r="AC807" s="163"/>
      <c r="AD807" s="163"/>
      <c r="AE807" s="163"/>
      <c r="AF807" s="163"/>
      <c r="AG807" s="163"/>
      <c r="AH807" s="163"/>
      <c r="AI807" s="163"/>
      <c r="AJ807" s="163"/>
      <c r="AK807" s="163"/>
      <c r="AL807" s="163"/>
      <c r="AM807" s="163"/>
      <c r="AN807" s="130"/>
      <c r="AO807" s="130"/>
      <c r="AP807" s="130"/>
      <c r="AQ807" s="130"/>
      <c r="AR807" s="130"/>
      <c r="AS807" s="130"/>
      <c r="AT807" s="130"/>
    </row>
    <row r="808" ht="13.5" customHeight="1">
      <c r="A808" s="130"/>
      <c r="B808" s="130"/>
      <c r="C808" s="130"/>
      <c r="D808" s="130"/>
      <c r="E808" s="163"/>
      <c r="F808" s="163"/>
      <c r="G808" s="163"/>
      <c r="H808" s="163"/>
      <c r="I808" s="163"/>
      <c r="J808" s="163"/>
      <c r="K808" s="130"/>
      <c r="L808" s="130"/>
      <c r="M808" s="130"/>
      <c r="N808" s="130"/>
      <c r="O808" s="130"/>
      <c r="P808" s="130"/>
      <c r="Q808" s="130"/>
      <c r="R808" s="130"/>
      <c r="S808" s="163"/>
      <c r="T808" s="163"/>
      <c r="U808" s="163"/>
      <c r="V808" s="163"/>
      <c r="W808" s="163"/>
      <c r="X808" s="163"/>
      <c r="Y808" s="163"/>
      <c r="Z808" s="163"/>
      <c r="AA808" s="163"/>
      <c r="AB808" s="163"/>
      <c r="AC808" s="163"/>
      <c r="AD808" s="163"/>
      <c r="AE808" s="163"/>
      <c r="AF808" s="163"/>
      <c r="AG808" s="163"/>
      <c r="AH808" s="163"/>
      <c r="AI808" s="163"/>
      <c r="AJ808" s="163"/>
      <c r="AK808" s="163"/>
      <c r="AL808" s="163"/>
      <c r="AM808" s="163"/>
      <c r="AN808" s="130"/>
      <c r="AO808" s="130"/>
      <c r="AP808" s="130"/>
      <c r="AQ808" s="130"/>
      <c r="AR808" s="130"/>
      <c r="AS808" s="130"/>
      <c r="AT808" s="130"/>
    </row>
    <row r="809" ht="13.5" customHeight="1">
      <c r="A809" s="130"/>
      <c r="B809" s="130"/>
      <c r="C809" s="130"/>
      <c r="D809" s="130"/>
      <c r="E809" s="163"/>
      <c r="F809" s="163"/>
      <c r="G809" s="163"/>
      <c r="H809" s="163"/>
      <c r="I809" s="163"/>
      <c r="J809" s="163"/>
      <c r="K809" s="130"/>
      <c r="L809" s="130"/>
      <c r="M809" s="130"/>
      <c r="N809" s="130"/>
      <c r="O809" s="130"/>
      <c r="P809" s="130"/>
      <c r="Q809" s="130"/>
      <c r="R809" s="130"/>
      <c r="S809" s="163"/>
      <c r="T809" s="163"/>
      <c r="U809" s="163"/>
      <c r="V809" s="163"/>
      <c r="W809" s="163"/>
      <c r="X809" s="163"/>
      <c r="Y809" s="163"/>
      <c r="Z809" s="163"/>
      <c r="AA809" s="163"/>
      <c r="AB809" s="163"/>
      <c r="AC809" s="163"/>
      <c r="AD809" s="163"/>
      <c r="AE809" s="163"/>
      <c r="AF809" s="163"/>
      <c r="AG809" s="163"/>
      <c r="AH809" s="163"/>
      <c r="AI809" s="163"/>
      <c r="AJ809" s="163"/>
      <c r="AK809" s="163"/>
      <c r="AL809" s="163"/>
      <c r="AM809" s="163"/>
      <c r="AN809" s="130"/>
      <c r="AO809" s="130"/>
      <c r="AP809" s="130"/>
      <c r="AQ809" s="130"/>
      <c r="AR809" s="130"/>
      <c r="AS809" s="130"/>
      <c r="AT809" s="130"/>
    </row>
    <row r="810" ht="13.5" customHeight="1">
      <c r="A810" s="130"/>
      <c r="B810" s="130"/>
      <c r="C810" s="130"/>
      <c r="D810" s="130"/>
      <c r="E810" s="163"/>
      <c r="F810" s="163"/>
      <c r="G810" s="163"/>
      <c r="H810" s="163"/>
      <c r="I810" s="163"/>
      <c r="J810" s="163"/>
      <c r="K810" s="130"/>
      <c r="L810" s="130"/>
      <c r="M810" s="130"/>
      <c r="N810" s="130"/>
      <c r="O810" s="130"/>
      <c r="P810" s="130"/>
      <c r="Q810" s="130"/>
      <c r="R810" s="130"/>
      <c r="S810" s="163"/>
      <c r="T810" s="163"/>
      <c r="U810" s="163"/>
      <c r="V810" s="163"/>
      <c r="W810" s="163"/>
      <c r="X810" s="163"/>
      <c r="Y810" s="163"/>
      <c r="Z810" s="163"/>
      <c r="AA810" s="163"/>
      <c r="AB810" s="163"/>
      <c r="AC810" s="163"/>
      <c r="AD810" s="163"/>
      <c r="AE810" s="163"/>
      <c r="AF810" s="163"/>
      <c r="AG810" s="163"/>
      <c r="AH810" s="163"/>
      <c r="AI810" s="163"/>
      <c r="AJ810" s="163"/>
      <c r="AK810" s="163"/>
      <c r="AL810" s="163"/>
      <c r="AM810" s="163"/>
      <c r="AN810" s="130"/>
      <c r="AO810" s="130"/>
      <c r="AP810" s="130"/>
      <c r="AQ810" s="130"/>
      <c r="AR810" s="130"/>
      <c r="AS810" s="130"/>
      <c r="AT810" s="130"/>
    </row>
    <row r="811" ht="13.5" customHeight="1">
      <c r="A811" s="130"/>
      <c r="B811" s="130"/>
      <c r="C811" s="130"/>
      <c r="D811" s="130"/>
      <c r="E811" s="163"/>
      <c r="F811" s="163"/>
      <c r="G811" s="163"/>
      <c r="H811" s="163"/>
      <c r="I811" s="163"/>
      <c r="J811" s="163"/>
      <c r="K811" s="130"/>
      <c r="L811" s="130"/>
      <c r="M811" s="130"/>
      <c r="N811" s="130"/>
      <c r="O811" s="130"/>
      <c r="P811" s="130"/>
      <c r="Q811" s="130"/>
      <c r="R811" s="130"/>
      <c r="S811" s="163"/>
      <c r="T811" s="163"/>
      <c r="U811" s="163"/>
      <c r="V811" s="163"/>
      <c r="W811" s="163"/>
      <c r="X811" s="163"/>
      <c r="Y811" s="163"/>
      <c r="Z811" s="163"/>
      <c r="AA811" s="163"/>
      <c r="AB811" s="163"/>
      <c r="AC811" s="163"/>
      <c r="AD811" s="163"/>
      <c r="AE811" s="163"/>
      <c r="AF811" s="163"/>
      <c r="AG811" s="163"/>
      <c r="AH811" s="163"/>
      <c r="AI811" s="163"/>
      <c r="AJ811" s="163"/>
      <c r="AK811" s="163"/>
      <c r="AL811" s="163"/>
      <c r="AM811" s="163"/>
      <c r="AN811" s="130"/>
      <c r="AO811" s="130"/>
      <c r="AP811" s="130"/>
      <c r="AQ811" s="130"/>
      <c r="AR811" s="130"/>
      <c r="AS811" s="130"/>
      <c r="AT811" s="130"/>
    </row>
    <row r="812" ht="13.5" customHeight="1">
      <c r="A812" s="130"/>
      <c r="B812" s="130"/>
      <c r="C812" s="130"/>
      <c r="D812" s="130"/>
      <c r="E812" s="163"/>
      <c r="F812" s="163"/>
      <c r="G812" s="163"/>
      <c r="H812" s="163"/>
      <c r="I812" s="163"/>
      <c r="J812" s="163"/>
      <c r="K812" s="130"/>
      <c r="L812" s="130"/>
      <c r="M812" s="130"/>
      <c r="N812" s="130"/>
      <c r="O812" s="130"/>
      <c r="P812" s="130"/>
      <c r="Q812" s="130"/>
      <c r="R812" s="130"/>
      <c r="S812" s="163"/>
      <c r="T812" s="163"/>
      <c r="U812" s="163"/>
      <c r="V812" s="163"/>
      <c r="W812" s="163"/>
      <c r="X812" s="163"/>
      <c r="Y812" s="163"/>
      <c r="Z812" s="163"/>
      <c r="AA812" s="163"/>
      <c r="AB812" s="163"/>
      <c r="AC812" s="163"/>
      <c r="AD812" s="163"/>
      <c r="AE812" s="163"/>
      <c r="AF812" s="163"/>
      <c r="AG812" s="163"/>
      <c r="AH812" s="163"/>
      <c r="AI812" s="163"/>
      <c r="AJ812" s="163"/>
      <c r="AK812" s="163"/>
      <c r="AL812" s="163"/>
      <c r="AM812" s="163"/>
      <c r="AN812" s="130"/>
      <c r="AO812" s="130"/>
      <c r="AP812" s="130"/>
      <c r="AQ812" s="130"/>
      <c r="AR812" s="130"/>
      <c r="AS812" s="130"/>
      <c r="AT812" s="130"/>
    </row>
    <row r="813" ht="13.5" customHeight="1">
      <c r="A813" s="130"/>
      <c r="B813" s="130"/>
      <c r="C813" s="130"/>
      <c r="D813" s="130"/>
      <c r="E813" s="163"/>
      <c r="F813" s="163"/>
      <c r="G813" s="163"/>
      <c r="H813" s="163"/>
      <c r="I813" s="163"/>
      <c r="J813" s="163"/>
      <c r="K813" s="130"/>
      <c r="L813" s="130"/>
      <c r="M813" s="130"/>
      <c r="N813" s="130"/>
      <c r="O813" s="130"/>
      <c r="P813" s="130"/>
      <c r="Q813" s="130"/>
      <c r="R813" s="130"/>
      <c r="S813" s="163"/>
      <c r="T813" s="163"/>
      <c r="U813" s="163"/>
      <c r="V813" s="163"/>
      <c r="W813" s="163"/>
      <c r="X813" s="163"/>
      <c r="Y813" s="163"/>
      <c r="Z813" s="163"/>
      <c r="AA813" s="163"/>
      <c r="AB813" s="163"/>
      <c r="AC813" s="163"/>
      <c r="AD813" s="163"/>
      <c r="AE813" s="163"/>
      <c r="AF813" s="163"/>
      <c r="AG813" s="163"/>
      <c r="AH813" s="163"/>
      <c r="AI813" s="163"/>
      <c r="AJ813" s="163"/>
      <c r="AK813" s="163"/>
      <c r="AL813" s="163"/>
      <c r="AM813" s="163"/>
      <c r="AN813" s="130"/>
      <c r="AO813" s="130"/>
      <c r="AP813" s="130"/>
      <c r="AQ813" s="130"/>
      <c r="AR813" s="130"/>
      <c r="AS813" s="130"/>
      <c r="AT813" s="130"/>
    </row>
    <row r="814" ht="13.5" customHeight="1">
      <c r="A814" s="130"/>
      <c r="B814" s="130"/>
      <c r="C814" s="130"/>
      <c r="D814" s="130"/>
      <c r="E814" s="163"/>
      <c r="F814" s="163"/>
      <c r="G814" s="163"/>
      <c r="H814" s="163"/>
      <c r="I814" s="163"/>
      <c r="J814" s="163"/>
      <c r="K814" s="130"/>
      <c r="L814" s="130"/>
      <c r="M814" s="130"/>
      <c r="N814" s="130"/>
      <c r="O814" s="130"/>
      <c r="P814" s="130"/>
      <c r="Q814" s="130"/>
      <c r="R814" s="130"/>
      <c r="S814" s="163"/>
      <c r="T814" s="163"/>
      <c r="U814" s="163"/>
      <c r="V814" s="163"/>
      <c r="W814" s="163"/>
      <c r="X814" s="163"/>
      <c r="Y814" s="163"/>
      <c r="Z814" s="163"/>
      <c r="AA814" s="163"/>
      <c r="AB814" s="163"/>
      <c r="AC814" s="163"/>
      <c r="AD814" s="163"/>
      <c r="AE814" s="163"/>
      <c r="AF814" s="163"/>
      <c r="AG814" s="163"/>
      <c r="AH814" s="163"/>
      <c r="AI814" s="163"/>
      <c r="AJ814" s="163"/>
      <c r="AK814" s="163"/>
      <c r="AL814" s="163"/>
      <c r="AM814" s="163"/>
      <c r="AN814" s="130"/>
      <c r="AO814" s="130"/>
      <c r="AP814" s="130"/>
      <c r="AQ814" s="130"/>
      <c r="AR814" s="130"/>
      <c r="AS814" s="130"/>
      <c r="AT814" s="130"/>
    </row>
    <row r="815" ht="13.5" customHeight="1">
      <c r="A815" s="130"/>
      <c r="B815" s="130"/>
      <c r="C815" s="130"/>
      <c r="D815" s="130"/>
      <c r="E815" s="163"/>
      <c r="F815" s="163"/>
      <c r="G815" s="163"/>
      <c r="H815" s="163"/>
      <c r="I815" s="163"/>
      <c r="J815" s="163"/>
      <c r="K815" s="130"/>
      <c r="L815" s="130"/>
      <c r="M815" s="130"/>
      <c r="N815" s="130"/>
      <c r="O815" s="130"/>
      <c r="P815" s="130"/>
      <c r="Q815" s="130"/>
      <c r="R815" s="130"/>
      <c r="S815" s="163"/>
      <c r="T815" s="163"/>
      <c r="U815" s="163"/>
      <c r="V815" s="163"/>
      <c r="W815" s="163"/>
      <c r="X815" s="163"/>
      <c r="Y815" s="163"/>
      <c r="Z815" s="163"/>
      <c r="AA815" s="163"/>
      <c r="AB815" s="163"/>
      <c r="AC815" s="163"/>
      <c r="AD815" s="163"/>
      <c r="AE815" s="163"/>
      <c r="AF815" s="163"/>
      <c r="AG815" s="163"/>
      <c r="AH815" s="163"/>
      <c r="AI815" s="163"/>
      <c r="AJ815" s="163"/>
      <c r="AK815" s="163"/>
      <c r="AL815" s="163"/>
      <c r="AM815" s="163"/>
      <c r="AN815" s="130"/>
      <c r="AO815" s="130"/>
      <c r="AP815" s="130"/>
      <c r="AQ815" s="130"/>
      <c r="AR815" s="130"/>
      <c r="AS815" s="130"/>
      <c r="AT815" s="130"/>
    </row>
    <row r="816" ht="13.5" customHeight="1">
      <c r="A816" s="130"/>
      <c r="B816" s="130"/>
      <c r="C816" s="130"/>
      <c r="D816" s="130"/>
      <c r="E816" s="163"/>
      <c r="F816" s="163"/>
      <c r="G816" s="163"/>
      <c r="H816" s="163"/>
      <c r="I816" s="163"/>
      <c r="J816" s="163"/>
      <c r="K816" s="130"/>
      <c r="L816" s="130"/>
      <c r="M816" s="130"/>
      <c r="N816" s="130"/>
      <c r="O816" s="130"/>
      <c r="P816" s="130"/>
      <c r="Q816" s="130"/>
      <c r="R816" s="130"/>
      <c r="S816" s="163"/>
      <c r="T816" s="163"/>
      <c r="U816" s="163"/>
      <c r="V816" s="163"/>
      <c r="W816" s="163"/>
      <c r="X816" s="163"/>
      <c r="Y816" s="163"/>
      <c r="Z816" s="163"/>
      <c r="AA816" s="163"/>
      <c r="AB816" s="163"/>
      <c r="AC816" s="163"/>
      <c r="AD816" s="163"/>
      <c r="AE816" s="163"/>
      <c r="AF816" s="163"/>
      <c r="AG816" s="163"/>
      <c r="AH816" s="163"/>
      <c r="AI816" s="163"/>
      <c r="AJ816" s="163"/>
      <c r="AK816" s="163"/>
      <c r="AL816" s="163"/>
      <c r="AM816" s="163"/>
      <c r="AN816" s="130"/>
      <c r="AO816" s="130"/>
      <c r="AP816" s="130"/>
      <c r="AQ816" s="130"/>
      <c r="AR816" s="130"/>
      <c r="AS816" s="130"/>
      <c r="AT816" s="130"/>
    </row>
    <row r="817" ht="13.5" customHeight="1">
      <c r="A817" s="130"/>
      <c r="B817" s="130"/>
      <c r="C817" s="130"/>
      <c r="D817" s="130"/>
      <c r="E817" s="163"/>
      <c r="F817" s="163"/>
      <c r="G817" s="163"/>
      <c r="H817" s="163"/>
      <c r="I817" s="163"/>
      <c r="J817" s="163"/>
      <c r="K817" s="130"/>
      <c r="L817" s="130"/>
      <c r="M817" s="130"/>
      <c r="N817" s="130"/>
      <c r="O817" s="130"/>
      <c r="P817" s="130"/>
      <c r="Q817" s="130"/>
      <c r="R817" s="130"/>
      <c r="S817" s="163"/>
      <c r="T817" s="163"/>
      <c r="U817" s="163"/>
      <c r="V817" s="163"/>
      <c r="W817" s="163"/>
      <c r="X817" s="163"/>
      <c r="Y817" s="163"/>
      <c r="Z817" s="163"/>
      <c r="AA817" s="163"/>
      <c r="AB817" s="163"/>
      <c r="AC817" s="163"/>
      <c r="AD817" s="163"/>
      <c r="AE817" s="163"/>
      <c r="AF817" s="163"/>
      <c r="AG817" s="163"/>
      <c r="AH817" s="163"/>
      <c r="AI817" s="163"/>
      <c r="AJ817" s="163"/>
      <c r="AK817" s="163"/>
      <c r="AL817" s="163"/>
      <c r="AM817" s="163"/>
      <c r="AN817" s="130"/>
      <c r="AO817" s="130"/>
      <c r="AP817" s="130"/>
      <c r="AQ817" s="130"/>
      <c r="AR817" s="130"/>
      <c r="AS817" s="130"/>
      <c r="AT817" s="130"/>
    </row>
    <row r="818" ht="13.5" customHeight="1">
      <c r="A818" s="130"/>
      <c r="B818" s="130"/>
      <c r="C818" s="130"/>
      <c r="D818" s="130"/>
      <c r="E818" s="163"/>
      <c r="F818" s="163"/>
      <c r="G818" s="163"/>
      <c r="H818" s="163"/>
      <c r="I818" s="163"/>
      <c r="J818" s="163"/>
      <c r="K818" s="130"/>
      <c r="L818" s="130"/>
      <c r="M818" s="130"/>
      <c r="N818" s="130"/>
      <c r="O818" s="130"/>
      <c r="P818" s="130"/>
      <c r="Q818" s="130"/>
      <c r="R818" s="130"/>
      <c r="S818" s="163"/>
      <c r="T818" s="163"/>
      <c r="U818" s="163"/>
      <c r="V818" s="163"/>
      <c r="W818" s="163"/>
      <c r="X818" s="163"/>
      <c r="Y818" s="163"/>
      <c r="Z818" s="163"/>
      <c r="AA818" s="163"/>
      <c r="AB818" s="163"/>
      <c r="AC818" s="163"/>
      <c r="AD818" s="163"/>
      <c r="AE818" s="163"/>
      <c r="AF818" s="163"/>
      <c r="AG818" s="163"/>
      <c r="AH818" s="163"/>
      <c r="AI818" s="163"/>
      <c r="AJ818" s="163"/>
      <c r="AK818" s="163"/>
      <c r="AL818" s="163"/>
      <c r="AM818" s="163"/>
      <c r="AN818" s="130"/>
      <c r="AO818" s="130"/>
      <c r="AP818" s="130"/>
      <c r="AQ818" s="130"/>
      <c r="AR818" s="130"/>
      <c r="AS818" s="130"/>
      <c r="AT818" s="130"/>
    </row>
    <row r="819" ht="13.5" customHeight="1">
      <c r="A819" s="130"/>
      <c r="B819" s="130"/>
      <c r="C819" s="130"/>
      <c r="D819" s="130"/>
      <c r="E819" s="163"/>
      <c r="F819" s="163"/>
      <c r="G819" s="163"/>
      <c r="H819" s="163"/>
      <c r="I819" s="163"/>
      <c r="J819" s="163"/>
      <c r="K819" s="130"/>
      <c r="L819" s="130"/>
      <c r="M819" s="130"/>
      <c r="N819" s="130"/>
      <c r="O819" s="130"/>
      <c r="P819" s="130"/>
      <c r="Q819" s="130"/>
      <c r="R819" s="130"/>
      <c r="S819" s="163"/>
      <c r="T819" s="163"/>
      <c r="U819" s="163"/>
      <c r="V819" s="163"/>
      <c r="W819" s="163"/>
      <c r="X819" s="163"/>
      <c r="Y819" s="163"/>
      <c r="Z819" s="163"/>
      <c r="AA819" s="163"/>
      <c r="AB819" s="163"/>
      <c r="AC819" s="163"/>
      <c r="AD819" s="163"/>
      <c r="AE819" s="163"/>
      <c r="AF819" s="163"/>
      <c r="AG819" s="163"/>
      <c r="AH819" s="163"/>
      <c r="AI819" s="163"/>
      <c r="AJ819" s="163"/>
      <c r="AK819" s="163"/>
      <c r="AL819" s="163"/>
      <c r="AM819" s="163"/>
      <c r="AN819" s="130"/>
      <c r="AO819" s="130"/>
      <c r="AP819" s="130"/>
      <c r="AQ819" s="130"/>
      <c r="AR819" s="130"/>
      <c r="AS819" s="130"/>
      <c r="AT819" s="130"/>
    </row>
    <row r="820" ht="13.5" customHeight="1">
      <c r="A820" s="130"/>
      <c r="B820" s="130"/>
      <c r="C820" s="130"/>
      <c r="D820" s="130"/>
      <c r="E820" s="163"/>
      <c r="F820" s="163"/>
      <c r="G820" s="163"/>
      <c r="H820" s="163"/>
      <c r="I820" s="163"/>
      <c r="J820" s="163"/>
      <c r="K820" s="130"/>
      <c r="L820" s="130"/>
      <c r="M820" s="130"/>
      <c r="N820" s="130"/>
      <c r="O820" s="130"/>
      <c r="P820" s="130"/>
      <c r="Q820" s="130"/>
      <c r="R820" s="130"/>
      <c r="S820" s="163"/>
      <c r="T820" s="163"/>
      <c r="U820" s="163"/>
      <c r="V820" s="163"/>
      <c r="W820" s="163"/>
      <c r="X820" s="163"/>
      <c r="Y820" s="163"/>
      <c r="Z820" s="163"/>
      <c r="AA820" s="163"/>
      <c r="AB820" s="163"/>
      <c r="AC820" s="163"/>
      <c r="AD820" s="163"/>
      <c r="AE820" s="163"/>
      <c r="AF820" s="163"/>
      <c r="AG820" s="163"/>
      <c r="AH820" s="163"/>
      <c r="AI820" s="163"/>
      <c r="AJ820" s="163"/>
      <c r="AK820" s="163"/>
      <c r="AL820" s="163"/>
      <c r="AM820" s="163"/>
      <c r="AN820" s="130"/>
      <c r="AO820" s="130"/>
      <c r="AP820" s="130"/>
      <c r="AQ820" s="130"/>
      <c r="AR820" s="130"/>
      <c r="AS820" s="130"/>
      <c r="AT820" s="130"/>
    </row>
    <row r="821" ht="13.5" customHeight="1">
      <c r="A821" s="130"/>
      <c r="B821" s="130"/>
      <c r="C821" s="130"/>
      <c r="D821" s="130"/>
      <c r="E821" s="163"/>
      <c r="F821" s="163"/>
      <c r="G821" s="163"/>
      <c r="H821" s="163"/>
      <c r="I821" s="163"/>
      <c r="J821" s="163"/>
      <c r="K821" s="130"/>
      <c r="L821" s="130"/>
      <c r="M821" s="130"/>
      <c r="N821" s="130"/>
      <c r="O821" s="130"/>
      <c r="P821" s="130"/>
      <c r="Q821" s="130"/>
      <c r="R821" s="130"/>
      <c r="S821" s="163"/>
      <c r="T821" s="163"/>
      <c r="U821" s="163"/>
      <c r="V821" s="163"/>
      <c r="W821" s="163"/>
      <c r="X821" s="163"/>
      <c r="Y821" s="163"/>
      <c r="Z821" s="163"/>
      <c r="AA821" s="163"/>
      <c r="AB821" s="163"/>
      <c r="AC821" s="163"/>
      <c r="AD821" s="163"/>
      <c r="AE821" s="163"/>
      <c r="AF821" s="163"/>
      <c r="AG821" s="163"/>
      <c r="AH821" s="163"/>
      <c r="AI821" s="163"/>
      <c r="AJ821" s="163"/>
      <c r="AK821" s="163"/>
      <c r="AL821" s="163"/>
      <c r="AM821" s="163"/>
      <c r="AN821" s="130"/>
      <c r="AO821" s="130"/>
      <c r="AP821" s="130"/>
      <c r="AQ821" s="130"/>
      <c r="AR821" s="130"/>
      <c r="AS821" s="130"/>
      <c r="AT821" s="130"/>
    </row>
    <row r="822" ht="13.5" customHeight="1">
      <c r="A822" s="130"/>
      <c r="B822" s="130"/>
      <c r="C822" s="130"/>
      <c r="D822" s="130"/>
      <c r="E822" s="163"/>
      <c r="F822" s="163"/>
      <c r="G822" s="163"/>
      <c r="H822" s="163"/>
      <c r="I822" s="163"/>
      <c r="J822" s="163"/>
      <c r="K822" s="130"/>
      <c r="L822" s="130"/>
      <c r="M822" s="130"/>
      <c r="N822" s="130"/>
      <c r="O822" s="130"/>
      <c r="P822" s="130"/>
      <c r="Q822" s="130"/>
      <c r="R822" s="130"/>
      <c r="S822" s="163"/>
      <c r="T822" s="163"/>
      <c r="U822" s="163"/>
      <c r="V822" s="163"/>
      <c r="W822" s="163"/>
      <c r="X822" s="163"/>
      <c r="Y822" s="163"/>
      <c r="Z822" s="163"/>
      <c r="AA822" s="163"/>
      <c r="AB822" s="163"/>
      <c r="AC822" s="163"/>
      <c r="AD822" s="163"/>
      <c r="AE822" s="163"/>
      <c r="AF822" s="163"/>
      <c r="AG822" s="163"/>
      <c r="AH822" s="163"/>
      <c r="AI822" s="163"/>
      <c r="AJ822" s="163"/>
      <c r="AK822" s="163"/>
      <c r="AL822" s="163"/>
      <c r="AM822" s="163"/>
      <c r="AN822" s="130"/>
      <c r="AO822" s="130"/>
      <c r="AP822" s="130"/>
      <c r="AQ822" s="130"/>
      <c r="AR822" s="130"/>
      <c r="AS822" s="130"/>
      <c r="AT822" s="130"/>
    </row>
    <row r="823" ht="13.5" customHeight="1">
      <c r="A823" s="130"/>
      <c r="B823" s="130"/>
      <c r="C823" s="130"/>
      <c r="D823" s="130"/>
      <c r="E823" s="163"/>
      <c r="F823" s="163"/>
      <c r="G823" s="163"/>
      <c r="H823" s="163"/>
      <c r="I823" s="163"/>
      <c r="J823" s="163"/>
      <c r="K823" s="130"/>
      <c r="L823" s="130"/>
      <c r="M823" s="130"/>
      <c r="N823" s="130"/>
      <c r="O823" s="130"/>
      <c r="P823" s="130"/>
      <c r="Q823" s="130"/>
      <c r="R823" s="130"/>
      <c r="S823" s="163"/>
      <c r="T823" s="163"/>
      <c r="U823" s="163"/>
      <c r="V823" s="163"/>
      <c r="W823" s="163"/>
      <c r="X823" s="163"/>
      <c r="Y823" s="163"/>
      <c r="Z823" s="163"/>
      <c r="AA823" s="163"/>
      <c r="AB823" s="163"/>
      <c r="AC823" s="163"/>
      <c r="AD823" s="163"/>
      <c r="AE823" s="163"/>
      <c r="AF823" s="163"/>
      <c r="AG823" s="163"/>
      <c r="AH823" s="163"/>
      <c r="AI823" s="163"/>
      <c r="AJ823" s="163"/>
      <c r="AK823" s="163"/>
      <c r="AL823" s="163"/>
      <c r="AM823" s="163"/>
      <c r="AN823" s="130"/>
      <c r="AO823" s="130"/>
      <c r="AP823" s="130"/>
      <c r="AQ823" s="130"/>
      <c r="AR823" s="130"/>
      <c r="AS823" s="130"/>
      <c r="AT823" s="130"/>
    </row>
    <row r="824" ht="13.5" customHeight="1">
      <c r="A824" s="130"/>
      <c r="B824" s="130"/>
      <c r="C824" s="130"/>
      <c r="D824" s="130"/>
      <c r="E824" s="163"/>
      <c r="F824" s="163"/>
      <c r="G824" s="163"/>
      <c r="H824" s="163"/>
      <c r="I824" s="163"/>
      <c r="J824" s="163"/>
      <c r="K824" s="130"/>
      <c r="L824" s="130"/>
      <c r="M824" s="130"/>
      <c r="N824" s="130"/>
      <c r="O824" s="130"/>
      <c r="P824" s="130"/>
      <c r="Q824" s="130"/>
      <c r="R824" s="130"/>
      <c r="S824" s="163"/>
      <c r="T824" s="163"/>
      <c r="U824" s="163"/>
      <c r="V824" s="163"/>
      <c r="W824" s="163"/>
      <c r="X824" s="163"/>
      <c r="Y824" s="163"/>
      <c r="Z824" s="163"/>
      <c r="AA824" s="163"/>
      <c r="AB824" s="163"/>
      <c r="AC824" s="163"/>
      <c r="AD824" s="163"/>
      <c r="AE824" s="163"/>
      <c r="AF824" s="163"/>
      <c r="AG824" s="163"/>
      <c r="AH824" s="163"/>
      <c r="AI824" s="163"/>
      <c r="AJ824" s="163"/>
      <c r="AK824" s="163"/>
      <c r="AL824" s="163"/>
      <c r="AM824" s="163"/>
      <c r="AN824" s="130"/>
      <c r="AO824" s="130"/>
      <c r="AP824" s="130"/>
      <c r="AQ824" s="130"/>
      <c r="AR824" s="130"/>
      <c r="AS824" s="130"/>
      <c r="AT824" s="130"/>
    </row>
    <row r="825" ht="13.5" customHeight="1">
      <c r="A825" s="130"/>
      <c r="B825" s="130"/>
      <c r="C825" s="130"/>
      <c r="D825" s="130"/>
      <c r="E825" s="163"/>
      <c r="F825" s="163"/>
      <c r="G825" s="163"/>
      <c r="H825" s="163"/>
      <c r="I825" s="163"/>
      <c r="J825" s="163"/>
      <c r="K825" s="130"/>
      <c r="L825" s="130"/>
      <c r="M825" s="130"/>
      <c r="N825" s="130"/>
      <c r="O825" s="130"/>
      <c r="P825" s="130"/>
      <c r="Q825" s="130"/>
      <c r="R825" s="130"/>
      <c r="S825" s="163"/>
      <c r="T825" s="163"/>
      <c r="U825" s="163"/>
      <c r="V825" s="163"/>
      <c r="W825" s="163"/>
      <c r="X825" s="163"/>
      <c r="Y825" s="163"/>
      <c r="Z825" s="163"/>
      <c r="AA825" s="163"/>
      <c r="AB825" s="163"/>
      <c r="AC825" s="163"/>
      <c r="AD825" s="163"/>
      <c r="AE825" s="163"/>
      <c r="AF825" s="163"/>
      <c r="AG825" s="163"/>
      <c r="AH825" s="163"/>
      <c r="AI825" s="163"/>
      <c r="AJ825" s="163"/>
      <c r="AK825" s="163"/>
      <c r="AL825" s="163"/>
      <c r="AM825" s="163"/>
      <c r="AN825" s="130"/>
      <c r="AO825" s="130"/>
      <c r="AP825" s="130"/>
      <c r="AQ825" s="130"/>
      <c r="AR825" s="130"/>
      <c r="AS825" s="130"/>
      <c r="AT825" s="130"/>
    </row>
    <row r="826" ht="13.5" customHeight="1">
      <c r="A826" s="130"/>
      <c r="B826" s="130"/>
      <c r="C826" s="130"/>
      <c r="D826" s="130"/>
      <c r="E826" s="163"/>
      <c r="F826" s="163"/>
      <c r="G826" s="163"/>
      <c r="H826" s="163"/>
      <c r="I826" s="163"/>
      <c r="J826" s="163"/>
      <c r="K826" s="130"/>
      <c r="L826" s="130"/>
      <c r="M826" s="130"/>
      <c r="N826" s="130"/>
      <c r="O826" s="130"/>
      <c r="P826" s="130"/>
      <c r="Q826" s="130"/>
      <c r="R826" s="130"/>
      <c r="S826" s="163"/>
      <c r="T826" s="163"/>
      <c r="U826" s="163"/>
      <c r="V826" s="163"/>
      <c r="W826" s="163"/>
      <c r="X826" s="163"/>
      <c r="Y826" s="163"/>
      <c r="Z826" s="163"/>
      <c r="AA826" s="163"/>
      <c r="AB826" s="163"/>
      <c r="AC826" s="163"/>
      <c r="AD826" s="163"/>
      <c r="AE826" s="163"/>
      <c r="AF826" s="163"/>
      <c r="AG826" s="163"/>
      <c r="AH826" s="163"/>
      <c r="AI826" s="163"/>
      <c r="AJ826" s="163"/>
      <c r="AK826" s="163"/>
      <c r="AL826" s="163"/>
      <c r="AM826" s="163"/>
      <c r="AN826" s="130"/>
      <c r="AO826" s="130"/>
      <c r="AP826" s="130"/>
      <c r="AQ826" s="130"/>
      <c r="AR826" s="130"/>
      <c r="AS826" s="130"/>
      <c r="AT826" s="130"/>
    </row>
    <row r="827" ht="13.5" customHeight="1">
      <c r="A827" s="130"/>
      <c r="B827" s="130"/>
      <c r="C827" s="130"/>
      <c r="D827" s="130"/>
      <c r="E827" s="163"/>
      <c r="F827" s="163"/>
      <c r="G827" s="163"/>
      <c r="H827" s="163"/>
      <c r="I827" s="163"/>
      <c r="J827" s="163"/>
      <c r="K827" s="130"/>
      <c r="L827" s="130"/>
      <c r="M827" s="130"/>
      <c r="N827" s="130"/>
      <c r="O827" s="130"/>
      <c r="P827" s="130"/>
      <c r="Q827" s="130"/>
      <c r="R827" s="130"/>
      <c r="S827" s="163"/>
      <c r="T827" s="163"/>
      <c r="U827" s="163"/>
      <c r="V827" s="163"/>
      <c r="W827" s="163"/>
      <c r="X827" s="163"/>
      <c r="Y827" s="163"/>
      <c r="Z827" s="163"/>
      <c r="AA827" s="163"/>
      <c r="AB827" s="163"/>
      <c r="AC827" s="163"/>
      <c r="AD827" s="163"/>
      <c r="AE827" s="163"/>
      <c r="AF827" s="163"/>
      <c r="AG827" s="163"/>
      <c r="AH827" s="163"/>
      <c r="AI827" s="163"/>
      <c r="AJ827" s="163"/>
      <c r="AK827" s="163"/>
      <c r="AL827" s="163"/>
      <c r="AM827" s="163"/>
      <c r="AN827" s="130"/>
      <c r="AO827" s="130"/>
      <c r="AP827" s="130"/>
      <c r="AQ827" s="130"/>
      <c r="AR827" s="130"/>
      <c r="AS827" s="130"/>
      <c r="AT827" s="130"/>
    </row>
    <row r="828" ht="13.5" customHeight="1">
      <c r="A828" s="130"/>
      <c r="B828" s="130"/>
      <c r="C828" s="130"/>
      <c r="D828" s="130"/>
      <c r="E828" s="163"/>
      <c r="F828" s="163"/>
      <c r="G828" s="163"/>
      <c r="H828" s="163"/>
      <c r="I828" s="163"/>
      <c r="J828" s="163"/>
      <c r="K828" s="130"/>
      <c r="L828" s="130"/>
      <c r="M828" s="130"/>
      <c r="N828" s="130"/>
      <c r="O828" s="130"/>
      <c r="P828" s="130"/>
      <c r="Q828" s="130"/>
      <c r="R828" s="130"/>
      <c r="S828" s="163"/>
      <c r="T828" s="163"/>
      <c r="U828" s="163"/>
      <c r="V828" s="163"/>
      <c r="W828" s="163"/>
      <c r="X828" s="163"/>
      <c r="Y828" s="163"/>
      <c r="Z828" s="163"/>
      <c r="AA828" s="163"/>
      <c r="AB828" s="163"/>
      <c r="AC828" s="163"/>
      <c r="AD828" s="163"/>
      <c r="AE828" s="163"/>
      <c r="AF828" s="163"/>
      <c r="AG828" s="163"/>
      <c r="AH828" s="163"/>
      <c r="AI828" s="163"/>
      <c r="AJ828" s="163"/>
      <c r="AK828" s="163"/>
      <c r="AL828" s="163"/>
      <c r="AM828" s="163"/>
      <c r="AN828" s="130"/>
      <c r="AO828" s="130"/>
      <c r="AP828" s="130"/>
      <c r="AQ828" s="130"/>
      <c r="AR828" s="130"/>
      <c r="AS828" s="130"/>
      <c r="AT828" s="130"/>
    </row>
    <row r="829" ht="13.5" customHeight="1">
      <c r="A829" s="130"/>
      <c r="B829" s="130"/>
      <c r="C829" s="130"/>
      <c r="D829" s="130"/>
      <c r="E829" s="163"/>
      <c r="F829" s="163"/>
      <c r="G829" s="163"/>
      <c r="H829" s="163"/>
      <c r="I829" s="163"/>
      <c r="J829" s="163"/>
      <c r="K829" s="130"/>
      <c r="L829" s="130"/>
      <c r="M829" s="130"/>
      <c r="N829" s="130"/>
      <c r="O829" s="130"/>
      <c r="P829" s="130"/>
      <c r="Q829" s="130"/>
      <c r="R829" s="130"/>
      <c r="S829" s="163"/>
      <c r="T829" s="163"/>
      <c r="U829" s="163"/>
      <c r="V829" s="163"/>
      <c r="W829" s="163"/>
      <c r="X829" s="163"/>
      <c r="Y829" s="163"/>
      <c r="Z829" s="163"/>
      <c r="AA829" s="163"/>
      <c r="AB829" s="163"/>
      <c r="AC829" s="163"/>
      <c r="AD829" s="163"/>
      <c r="AE829" s="163"/>
      <c r="AF829" s="163"/>
      <c r="AG829" s="163"/>
      <c r="AH829" s="163"/>
      <c r="AI829" s="163"/>
      <c r="AJ829" s="163"/>
      <c r="AK829" s="163"/>
      <c r="AL829" s="163"/>
      <c r="AM829" s="163"/>
      <c r="AN829" s="130"/>
      <c r="AO829" s="130"/>
      <c r="AP829" s="130"/>
      <c r="AQ829" s="130"/>
      <c r="AR829" s="130"/>
      <c r="AS829" s="130"/>
      <c r="AT829" s="130"/>
    </row>
    <row r="830" ht="13.5" customHeight="1">
      <c r="A830" s="130"/>
      <c r="B830" s="130"/>
      <c r="C830" s="130"/>
      <c r="D830" s="130"/>
      <c r="E830" s="163"/>
      <c r="F830" s="163"/>
      <c r="G830" s="163"/>
      <c r="H830" s="163"/>
      <c r="I830" s="163"/>
      <c r="J830" s="163"/>
      <c r="K830" s="130"/>
      <c r="L830" s="130"/>
      <c r="M830" s="130"/>
      <c r="N830" s="130"/>
      <c r="O830" s="130"/>
      <c r="P830" s="130"/>
      <c r="Q830" s="130"/>
      <c r="R830" s="130"/>
      <c r="S830" s="163"/>
      <c r="T830" s="163"/>
      <c r="U830" s="163"/>
      <c r="V830" s="163"/>
      <c r="W830" s="163"/>
      <c r="X830" s="163"/>
      <c r="Y830" s="163"/>
      <c r="Z830" s="163"/>
      <c r="AA830" s="163"/>
      <c r="AB830" s="163"/>
      <c r="AC830" s="163"/>
      <c r="AD830" s="163"/>
      <c r="AE830" s="163"/>
      <c r="AF830" s="163"/>
      <c r="AG830" s="163"/>
      <c r="AH830" s="163"/>
      <c r="AI830" s="163"/>
      <c r="AJ830" s="163"/>
      <c r="AK830" s="163"/>
      <c r="AL830" s="163"/>
      <c r="AM830" s="163"/>
      <c r="AN830" s="130"/>
      <c r="AO830" s="130"/>
      <c r="AP830" s="130"/>
      <c r="AQ830" s="130"/>
      <c r="AR830" s="130"/>
      <c r="AS830" s="130"/>
      <c r="AT830" s="130"/>
    </row>
    <row r="831" ht="13.5" customHeight="1">
      <c r="A831" s="130"/>
      <c r="B831" s="130"/>
      <c r="C831" s="130"/>
      <c r="D831" s="130"/>
      <c r="E831" s="163"/>
      <c r="F831" s="163"/>
      <c r="G831" s="163"/>
      <c r="H831" s="163"/>
      <c r="I831" s="163"/>
      <c r="J831" s="163"/>
      <c r="K831" s="130"/>
      <c r="L831" s="130"/>
      <c r="M831" s="130"/>
      <c r="N831" s="130"/>
      <c r="O831" s="130"/>
      <c r="P831" s="130"/>
      <c r="Q831" s="130"/>
      <c r="R831" s="130"/>
      <c r="S831" s="163"/>
      <c r="T831" s="163"/>
      <c r="U831" s="163"/>
      <c r="V831" s="163"/>
      <c r="W831" s="163"/>
      <c r="X831" s="163"/>
      <c r="Y831" s="163"/>
      <c r="Z831" s="163"/>
      <c r="AA831" s="163"/>
      <c r="AB831" s="163"/>
      <c r="AC831" s="163"/>
      <c r="AD831" s="163"/>
      <c r="AE831" s="163"/>
      <c r="AF831" s="163"/>
      <c r="AG831" s="163"/>
      <c r="AH831" s="163"/>
      <c r="AI831" s="163"/>
      <c r="AJ831" s="163"/>
      <c r="AK831" s="163"/>
      <c r="AL831" s="163"/>
      <c r="AM831" s="163"/>
      <c r="AN831" s="130"/>
      <c r="AO831" s="130"/>
      <c r="AP831" s="130"/>
      <c r="AQ831" s="130"/>
      <c r="AR831" s="130"/>
      <c r="AS831" s="130"/>
      <c r="AT831" s="130"/>
    </row>
    <row r="832" ht="13.5" customHeight="1">
      <c r="A832" s="130"/>
      <c r="B832" s="130"/>
      <c r="C832" s="130"/>
      <c r="D832" s="130"/>
      <c r="E832" s="163"/>
      <c r="F832" s="163"/>
      <c r="G832" s="163"/>
      <c r="H832" s="163"/>
      <c r="I832" s="163"/>
      <c r="J832" s="163"/>
      <c r="K832" s="130"/>
      <c r="L832" s="130"/>
      <c r="M832" s="130"/>
      <c r="N832" s="130"/>
      <c r="O832" s="130"/>
      <c r="P832" s="130"/>
      <c r="Q832" s="130"/>
      <c r="R832" s="130"/>
      <c r="S832" s="163"/>
      <c r="T832" s="163"/>
      <c r="U832" s="163"/>
      <c r="V832" s="163"/>
      <c r="W832" s="163"/>
      <c r="X832" s="163"/>
      <c r="Y832" s="163"/>
      <c r="Z832" s="163"/>
      <c r="AA832" s="163"/>
      <c r="AB832" s="163"/>
      <c r="AC832" s="163"/>
      <c r="AD832" s="163"/>
      <c r="AE832" s="163"/>
      <c r="AF832" s="163"/>
      <c r="AG832" s="163"/>
      <c r="AH832" s="163"/>
      <c r="AI832" s="163"/>
      <c r="AJ832" s="163"/>
      <c r="AK832" s="163"/>
      <c r="AL832" s="163"/>
      <c r="AM832" s="163"/>
      <c r="AN832" s="130"/>
      <c r="AO832" s="130"/>
      <c r="AP832" s="130"/>
      <c r="AQ832" s="130"/>
      <c r="AR832" s="130"/>
      <c r="AS832" s="130"/>
      <c r="AT832" s="130"/>
    </row>
    <row r="833" ht="13.5" customHeight="1">
      <c r="A833" s="130"/>
      <c r="B833" s="130"/>
      <c r="C833" s="130"/>
      <c r="D833" s="130"/>
      <c r="E833" s="163"/>
      <c r="F833" s="163"/>
      <c r="G833" s="163"/>
      <c r="H833" s="163"/>
      <c r="I833" s="163"/>
      <c r="J833" s="163"/>
      <c r="K833" s="130"/>
      <c r="L833" s="130"/>
      <c r="M833" s="130"/>
      <c r="N833" s="130"/>
      <c r="O833" s="130"/>
      <c r="P833" s="130"/>
      <c r="Q833" s="130"/>
      <c r="R833" s="130"/>
      <c r="S833" s="163"/>
      <c r="T833" s="163"/>
      <c r="U833" s="163"/>
      <c r="V833" s="163"/>
      <c r="W833" s="163"/>
      <c r="X833" s="163"/>
      <c r="Y833" s="163"/>
      <c r="Z833" s="163"/>
      <c r="AA833" s="163"/>
      <c r="AB833" s="163"/>
      <c r="AC833" s="163"/>
      <c r="AD833" s="163"/>
      <c r="AE833" s="163"/>
      <c r="AF833" s="163"/>
      <c r="AG833" s="163"/>
      <c r="AH833" s="163"/>
      <c r="AI833" s="163"/>
      <c r="AJ833" s="163"/>
      <c r="AK833" s="163"/>
      <c r="AL833" s="163"/>
      <c r="AM833" s="163"/>
      <c r="AN833" s="130"/>
      <c r="AO833" s="130"/>
      <c r="AP833" s="130"/>
      <c r="AQ833" s="130"/>
      <c r="AR833" s="130"/>
      <c r="AS833" s="130"/>
      <c r="AT833" s="130"/>
    </row>
    <row r="834" ht="13.5" customHeight="1">
      <c r="A834" s="130"/>
      <c r="B834" s="130"/>
      <c r="C834" s="130"/>
      <c r="D834" s="130"/>
      <c r="E834" s="163"/>
      <c r="F834" s="163"/>
      <c r="G834" s="163"/>
      <c r="H834" s="163"/>
      <c r="I834" s="163"/>
      <c r="J834" s="163"/>
      <c r="K834" s="130"/>
      <c r="L834" s="130"/>
      <c r="M834" s="130"/>
      <c r="N834" s="130"/>
      <c r="O834" s="130"/>
      <c r="P834" s="130"/>
      <c r="Q834" s="130"/>
      <c r="R834" s="130"/>
      <c r="S834" s="163"/>
      <c r="T834" s="163"/>
      <c r="U834" s="163"/>
      <c r="V834" s="163"/>
      <c r="W834" s="163"/>
      <c r="X834" s="163"/>
      <c r="Y834" s="163"/>
      <c r="Z834" s="163"/>
      <c r="AA834" s="163"/>
      <c r="AB834" s="163"/>
      <c r="AC834" s="163"/>
      <c r="AD834" s="163"/>
      <c r="AE834" s="163"/>
      <c r="AF834" s="163"/>
      <c r="AG834" s="163"/>
      <c r="AH834" s="163"/>
      <c r="AI834" s="163"/>
      <c r="AJ834" s="163"/>
      <c r="AK834" s="163"/>
      <c r="AL834" s="163"/>
      <c r="AM834" s="163"/>
      <c r="AN834" s="130"/>
      <c r="AO834" s="130"/>
      <c r="AP834" s="130"/>
      <c r="AQ834" s="130"/>
      <c r="AR834" s="130"/>
      <c r="AS834" s="130"/>
      <c r="AT834" s="130"/>
    </row>
    <row r="835" ht="13.5" customHeight="1">
      <c r="A835" s="130"/>
      <c r="B835" s="130"/>
      <c r="C835" s="130"/>
      <c r="D835" s="130"/>
      <c r="E835" s="163"/>
      <c r="F835" s="163"/>
      <c r="G835" s="163"/>
      <c r="H835" s="163"/>
      <c r="I835" s="163"/>
      <c r="J835" s="163"/>
      <c r="K835" s="130"/>
      <c r="L835" s="130"/>
      <c r="M835" s="130"/>
      <c r="N835" s="130"/>
      <c r="O835" s="130"/>
      <c r="P835" s="130"/>
      <c r="Q835" s="130"/>
      <c r="R835" s="130"/>
      <c r="S835" s="163"/>
      <c r="T835" s="163"/>
      <c r="U835" s="163"/>
      <c r="V835" s="163"/>
      <c r="W835" s="163"/>
      <c r="X835" s="163"/>
      <c r="Y835" s="163"/>
      <c r="Z835" s="163"/>
      <c r="AA835" s="163"/>
      <c r="AB835" s="163"/>
      <c r="AC835" s="163"/>
      <c r="AD835" s="163"/>
      <c r="AE835" s="163"/>
      <c r="AF835" s="163"/>
      <c r="AG835" s="163"/>
      <c r="AH835" s="163"/>
      <c r="AI835" s="163"/>
      <c r="AJ835" s="163"/>
      <c r="AK835" s="163"/>
      <c r="AL835" s="163"/>
      <c r="AM835" s="163"/>
      <c r="AN835" s="130"/>
      <c r="AO835" s="130"/>
      <c r="AP835" s="130"/>
      <c r="AQ835" s="130"/>
      <c r="AR835" s="130"/>
      <c r="AS835" s="130"/>
      <c r="AT835" s="130"/>
    </row>
    <row r="836" ht="13.5" customHeight="1">
      <c r="A836" s="130"/>
      <c r="B836" s="130"/>
      <c r="C836" s="130"/>
      <c r="D836" s="130"/>
      <c r="E836" s="163"/>
      <c r="F836" s="163"/>
      <c r="G836" s="163"/>
      <c r="H836" s="163"/>
      <c r="I836" s="163"/>
      <c r="J836" s="163"/>
      <c r="K836" s="130"/>
      <c r="L836" s="130"/>
      <c r="M836" s="130"/>
      <c r="N836" s="130"/>
      <c r="O836" s="130"/>
      <c r="P836" s="130"/>
      <c r="Q836" s="130"/>
      <c r="R836" s="130"/>
      <c r="S836" s="163"/>
      <c r="T836" s="163"/>
      <c r="U836" s="163"/>
      <c r="V836" s="163"/>
      <c r="W836" s="163"/>
      <c r="X836" s="163"/>
      <c r="Y836" s="163"/>
      <c r="Z836" s="163"/>
      <c r="AA836" s="163"/>
      <c r="AB836" s="163"/>
      <c r="AC836" s="163"/>
      <c r="AD836" s="163"/>
      <c r="AE836" s="163"/>
      <c r="AF836" s="163"/>
      <c r="AG836" s="163"/>
      <c r="AH836" s="163"/>
      <c r="AI836" s="163"/>
      <c r="AJ836" s="163"/>
      <c r="AK836" s="163"/>
      <c r="AL836" s="163"/>
      <c r="AM836" s="163"/>
      <c r="AN836" s="130"/>
      <c r="AO836" s="130"/>
      <c r="AP836" s="130"/>
      <c r="AQ836" s="130"/>
      <c r="AR836" s="130"/>
      <c r="AS836" s="130"/>
      <c r="AT836" s="130"/>
    </row>
    <row r="837" ht="13.5" customHeight="1">
      <c r="A837" s="130"/>
      <c r="B837" s="130"/>
      <c r="C837" s="130"/>
      <c r="D837" s="130"/>
      <c r="E837" s="163"/>
      <c r="F837" s="163"/>
      <c r="G837" s="163"/>
      <c r="H837" s="163"/>
      <c r="I837" s="163"/>
      <c r="J837" s="163"/>
      <c r="K837" s="130"/>
      <c r="L837" s="130"/>
      <c r="M837" s="130"/>
      <c r="N837" s="130"/>
      <c r="O837" s="130"/>
      <c r="P837" s="130"/>
      <c r="Q837" s="130"/>
      <c r="R837" s="130"/>
      <c r="S837" s="163"/>
      <c r="T837" s="163"/>
      <c r="U837" s="163"/>
      <c r="V837" s="163"/>
      <c r="W837" s="163"/>
      <c r="X837" s="163"/>
      <c r="Y837" s="163"/>
      <c r="Z837" s="163"/>
      <c r="AA837" s="163"/>
      <c r="AB837" s="163"/>
      <c r="AC837" s="163"/>
      <c r="AD837" s="163"/>
      <c r="AE837" s="163"/>
      <c r="AF837" s="163"/>
      <c r="AG837" s="163"/>
      <c r="AH837" s="163"/>
      <c r="AI837" s="163"/>
      <c r="AJ837" s="163"/>
      <c r="AK837" s="163"/>
      <c r="AL837" s="163"/>
      <c r="AM837" s="163"/>
      <c r="AN837" s="130"/>
      <c r="AO837" s="130"/>
      <c r="AP837" s="130"/>
      <c r="AQ837" s="130"/>
      <c r="AR837" s="130"/>
      <c r="AS837" s="130"/>
      <c r="AT837" s="130"/>
    </row>
    <row r="838" ht="13.5" customHeight="1">
      <c r="A838" s="130"/>
      <c r="B838" s="130"/>
      <c r="C838" s="130"/>
      <c r="D838" s="130"/>
      <c r="E838" s="163"/>
      <c r="F838" s="163"/>
      <c r="G838" s="163"/>
      <c r="H838" s="163"/>
      <c r="I838" s="163"/>
      <c r="J838" s="163"/>
      <c r="K838" s="130"/>
      <c r="L838" s="130"/>
      <c r="M838" s="130"/>
      <c r="N838" s="130"/>
      <c r="O838" s="130"/>
      <c r="P838" s="130"/>
      <c r="Q838" s="130"/>
      <c r="R838" s="130"/>
      <c r="S838" s="163"/>
      <c r="T838" s="163"/>
      <c r="U838" s="163"/>
      <c r="V838" s="163"/>
      <c r="W838" s="163"/>
      <c r="X838" s="163"/>
      <c r="Y838" s="163"/>
      <c r="Z838" s="163"/>
      <c r="AA838" s="163"/>
      <c r="AB838" s="163"/>
      <c r="AC838" s="163"/>
      <c r="AD838" s="163"/>
      <c r="AE838" s="163"/>
      <c r="AF838" s="163"/>
      <c r="AG838" s="163"/>
      <c r="AH838" s="163"/>
      <c r="AI838" s="163"/>
      <c r="AJ838" s="163"/>
      <c r="AK838" s="163"/>
      <c r="AL838" s="163"/>
      <c r="AM838" s="163"/>
      <c r="AN838" s="130"/>
      <c r="AO838" s="130"/>
      <c r="AP838" s="130"/>
      <c r="AQ838" s="130"/>
      <c r="AR838" s="130"/>
      <c r="AS838" s="130"/>
      <c r="AT838" s="130"/>
    </row>
    <row r="839" ht="13.5" customHeight="1">
      <c r="A839" s="130"/>
      <c r="B839" s="130"/>
      <c r="C839" s="130"/>
      <c r="D839" s="130"/>
      <c r="E839" s="163"/>
      <c r="F839" s="163"/>
      <c r="G839" s="163"/>
      <c r="H839" s="163"/>
      <c r="I839" s="163"/>
      <c r="J839" s="163"/>
      <c r="K839" s="130"/>
      <c r="L839" s="130"/>
      <c r="M839" s="130"/>
      <c r="N839" s="130"/>
      <c r="O839" s="130"/>
      <c r="P839" s="130"/>
      <c r="Q839" s="130"/>
      <c r="R839" s="130"/>
      <c r="S839" s="163"/>
      <c r="T839" s="163"/>
      <c r="U839" s="163"/>
      <c r="V839" s="163"/>
      <c r="W839" s="163"/>
      <c r="X839" s="163"/>
      <c r="Y839" s="163"/>
      <c r="Z839" s="163"/>
      <c r="AA839" s="163"/>
      <c r="AB839" s="163"/>
      <c r="AC839" s="163"/>
      <c r="AD839" s="163"/>
      <c r="AE839" s="163"/>
      <c r="AF839" s="163"/>
      <c r="AG839" s="163"/>
      <c r="AH839" s="163"/>
      <c r="AI839" s="163"/>
      <c r="AJ839" s="163"/>
      <c r="AK839" s="163"/>
      <c r="AL839" s="163"/>
      <c r="AM839" s="163"/>
      <c r="AN839" s="130"/>
      <c r="AO839" s="130"/>
      <c r="AP839" s="130"/>
      <c r="AQ839" s="130"/>
      <c r="AR839" s="130"/>
      <c r="AS839" s="130"/>
      <c r="AT839" s="130"/>
    </row>
    <row r="840" ht="13.5" customHeight="1">
      <c r="A840" s="130"/>
      <c r="B840" s="130"/>
      <c r="C840" s="130"/>
      <c r="D840" s="130"/>
      <c r="E840" s="163"/>
      <c r="F840" s="163"/>
      <c r="G840" s="163"/>
      <c r="H840" s="163"/>
      <c r="I840" s="163"/>
      <c r="J840" s="163"/>
      <c r="K840" s="130"/>
      <c r="L840" s="130"/>
      <c r="M840" s="130"/>
      <c r="N840" s="130"/>
      <c r="O840" s="130"/>
      <c r="P840" s="130"/>
      <c r="Q840" s="130"/>
      <c r="R840" s="130"/>
      <c r="S840" s="163"/>
      <c r="T840" s="163"/>
      <c r="U840" s="163"/>
      <c r="V840" s="163"/>
      <c r="W840" s="163"/>
      <c r="X840" s="163"/>
      <c r="Y840" s="163"/>
      <c r="Z840" s="163"/>
      <c r="AA840" s="163"/>
      <c r="AB840" s="163"/>
      <c r="AC840" s="163"/>
      <c r="AD840" s="163"/>
      <c r="AE840" s="163"/>
      <c r="AF840" s="163"/>
      <c r="AG840" s="163"/>
      <c r="AH840" s="163"/>
      <c r="AI840" s="163"/>
      <c r="AJ840" s="163"/>
      <c r="AK840" s="163"/>
      <c r="AL840" s="163"/>
      <c r="AM840" s="163"/>
      <c r="AN840" s="130"/>
      <c r="AO840" s="130"/>
      <c r="AP840" s="130"/>
      <c r="AQ840" s="130"/>
      <c r="AR840" s="130"/>
      <c r="AS840" s="130"/>
      <c r="AT840" s="130"/>
    </row>
    <row r="841" ht="13.5" customHeight="1">
      <c r="A841" s="130"/>
      <c r="B841" s="130"/>
      <c r="C841" s="130"/>
      <c r="D841" s="130"/>
      <c r="E841" s="163"/>
      <c r="F841" s="163"/>
      <c r="G841" s="163"/>
      <c r="H841" s="163"/>
      <c r="I841" s="163"/>
      <c r="J841" s="163"/>
      <c r="K841" s="130"/>
      <c r="L841" s="130"/>
      <c r="M841" s="130"/>
      <c r="N841" s="130"/>
      <c r="O841" s="130"/>
      <c r="P841" s="130"/>
      <c r="Q841" s="130"/>
      <c r="R841" s="130"/>
      <c r="S841" s="163"/>
      <c r="T841" s="163"/>
      <c r="U841" s="163"/>
      <c r="V841" s="163"/>
      <c r="W841" s="163"/>
      <c r="X841" s="163"/>
      <c r="Y841" s="163"/>
      <c r="Z841" s="163"/>
      <c r="AA841" s="163"/>
      <c r="AB841" s="163"/>
      <c r="AC841" s="163"/>
      <c r="AD841" s="163"/>
      <c r="AE841" s="163"/>
      <c r="AF841" s="163"/>
      <c r="AG841" s="163"/>
      <c r="AH841" s="163"/>
      <c r="AI841" s="163"/>
      <c r="AJ841" s="163"/>
      <c r="AK841" s="163"/>
      <c r="AL841" s="163"/>
      <c r="AM841" s="163"/>
      <c r="AN841" s="130"/>
      <c r="AO841" s="130"/>
      <c r="AP841" s="130"/>
      <c r="AQ841" s="130"/>
      <c r="AR841" s="130"/>
      <c r="AS841" s="130"/>
      <c r="AT841" s="130"/>
    </row>
    <row r="842" ht="13.5" customHeight="1">
      <c r="A842" s="130"/>
      <c r="B842" s="130"/>
      <c r="C842" s="130"/>
      <c r="D842" s="130"/>
      <c r="E842" s="163"/>
      <c r="F842" s="163"/>
      <c r="G842" s="163"/>
      <c r="H842" s="163"/>
      <c r="I842" s="163"/>
      <c r="J842" s="163"/>
      <c r="K842" s="130"/>
      <c r="L842" s="130"/>
      <c r="M842" s="130"/>
      <c r="N842" s="130"/>
      <c r="O842" s="130"/>
      <c r="P842" s="130"/>
      <c r="Q842" s="130"/>
      <c r="R842" s="130"/>
      <c r="S842" s="163"/>
      <c r="T842" s="163"/>
      <c r="U842" s="163"/>
      <c r="V842" s="163"/>
      <c r="W842" s="163"/>
      <c r="X842" s="163"/>
      <c r="Y842" s="163"/>
      <c r="Z842" s="163"/>
      <c r="AA842" s="163"/>
      <c r="AB842" s="163"/>
      <c r="AC842" s="163"/>
      <c r="AD842" s="163"/>
      <c r="AE842" s="163"/>
      <c r="AF842" s="163"/>
      <c r="AG842" s="163"/>
      <c r="AH842" s="163"/>
      <c r="AI842" s="163"/>
      <c r="AJ842" s="163"/>
      <c r="AK842" s="163"/>
      <c r="AL842" s="163"/>
      <c r="AM842" s="163"/>
      <c r="AN842" s="130"/>
      <c r="AO842" s="130"/>
      <c r="AP842" s="130"/>
      <c r="AQ842" s="130"/>
      <c r="AR842" s="130"/>
      <c r="AS842" s="130"/>
      <c r="AT842" s="130"/>
    </row>
    <row r="843" ht="13.5" customHeight="1">
      <c r="A843" s="130"/>
      <c r="B843" s="130"/>
      <c r="C843" s="130"/>
      <c r="D843" s="130"/>
      <c r="E843" s="163"/>
      <c r="F843" s="163"/>
      <c r="G843" s="163"/>
      <c r="H843" s="163"/>
      <c r="I843" s="163"/>
      <c r="J843" s="163"/>
      <c r="K843" s="130"/>
      <c r="L843" s="130"/>
      <c r="M843" s="130"/>
      <c r="N843" s="130"/>
      <c r="O843" s="130"/>
      <c r="P843" s="130"/>
      <c r="Q843" s="130"/>
      <c r="R843" s="130"/>
      <c r="S843" s="163"/>
      <c r="T843" s="163"/>
      <c r="U843" s="163"/>
      <c r="V843" s="163"/>
      <c r="W843" s="163"/>
      <c r="X843" s="163"/>
      <c r="Y843" s="163"/>
      <c r="Z843" s="163"/>
      <c r="AA843" s="163"/>
      <c r="AB843" s="163"/>
      <c r="AC843" s="163"/>
      <c r="AD843" s="163"/>
      <c r="AE843" s="163"/>
      <c r="AF843" s="163"/>
      <c r="AG843" s="163"/>
      <c r="AH843" s="163"/>
      <c r="AI843" s="163"/>
      <c r="AJ843" s="163"/>
      <c r="AK843" s="163"/>
      <c r="AL843" s="163"/>
      <c r="AM843" s="163"/>
      <c r="AN843" s="130"/>
      <c r="AO843" s="130"/>
      <c r="AP843" s="130"/>
      <c r="AQ843" s="130"/>
      <c r="AR843" s="130"/>
      <c r="AS843" s="130"/>
      <c r="AT843" s="130"/>
    </row>
    <row r="844" ht="13.5" customHeight="1">
      <c r="A844" s="130"/>
      <c r="B844" s="130"/>
      <c r="C844" s="130"/>
      <c r="D844" s="130"/>
      <c r="E844" s="163"/>
      <c r="F844" s="163"/>
      <c r="G844" s="163"/>
      <c r="H844" s="163"/>
      <c r="I844" s="163"/>
      <c r="J844" s="163"/>
      <c r="K844" s="130"/>
      <c r="L844" s="130"/>
      <c r="M844" s="130"/>
      <c r="N844" s="130"/>
      <c r="O844" s="130"/>
      <c r="P844" s="130"/>
      <c r="Q844" s="130"/>
      <c r="R844" s="130"/>
      <c r="S844" s="163"/>
      <c r="T844" s="163"/>
      <c r="U844" s="163"/>
      <c r="V844" s="163"/>
      <c r="W844" s="163"/>
      <c r="X844" s="163"/>
      <c r="Y844" s="163"/>
      <c r="Z844" s="163"/>
      <c r="AA844" s="163"/>
      <c r="AB844" s="163"/>
      <c r="AC844" s="163"/>
      <c r="AD844" s="163"/>
      <c r="AE844" s="163"/>
      <c r="AF844" s="163"/>
      <c r="AG844" s="163"/>
      <c r="AH844" s="163"/>
      <c r="AI844" s="163"/>
      <c r="AJ844" s="163"/>
      <c r="AK844" s="163"/>
      <c r="AL844" s="163"/>
      <c r="AM844" s="163"/>
      <c r="AN844" s="130"/>
      <c r="AO844" s="130"/>
      <c r="AP844" s="130"/>
      <c r="AQ844" s="130"/>
      <c r="AR844" s="130"/>
      <c r="AS844" s="130"/>
      <c r="AT844" s="130"/>
    </row>
    <row r="845" ht="13.5" customHeight="1">
      <c r="A845" s="130"/>
      <c r="B845" s="130"/>
      <c r="C845" s="130"/>
      <c r="D845" s="130"/>
      <c r="E845" s="163"/>
      <c r="F845" s="163"/>
      <c r="G845" s="163"/>
      <c r="H845" s="163"/>
      <c r="I845" s="163"/>
      <c r="J845" s="163"/>
      <c r="K845" s="130"/>
      <c r="L845" s="130"/>
      <c r="M845" s="130"/>
      <c r="N845" s="130"/>
      <c r="O845" s="130"/>
      <c r="P845" s="130"/>
      <c r="Q845" s="130"/>
      <c r="R845" s="130"/>
      <c r="S845" s="163"/>
      <c r="T845" s="163"/>
      <c r="U845" s="163"/>
      <c r="V845" s="163"/>
      <c r="W845" s="163"/>
      <c r="X845" s="163"/>
      <c r="Y845" s="163"/>
      <c r="Z845" s="163"/>
      <c r="AA845" s="163"/>
      <c r="AB845" s="163"/>
      <c r="AC845" s="163"/>
      <c r="AD845" s="163"/>
      <c r="AE845" s="163"/>
      <c r="AF845" s="163"/>
      <c r="AG845" s="163"/>
      <c r="AH845" s="163"/>
      <c r="AI845" s="163"/>
      <c r="AJ845" s="163"/>
      <c r="AK845" s="163"/>
      <c r="AL845" s="163"/>
      <c r="AM845" s="163"/>
      <c r="AN845" s="130"/>
      <c r="AO845" s="130"/>
      <c r="AP845" s="130"/>
      <c r="AQ845" s="130"/>
      <c r="AR845" s="130"/>
      <c r="AS845" s="130"/>
      <c r="AT845" s="130"/>
    </row>
    <row r="846" ht="13.5" customHeight="1">
      <c r="A846" s="130"/>
      <c r="B846" s="130"/>
      <c r="C846" s="130"/>
      <c r="D846" s="130"/>
      <c r="E846" s="163"/>
      <c r="F846" s="163"/>
      <c r="G846" s="163"/>
      <c r="H846" s="163"/>
      <c r="I846" s="163"/>
      <c r="J846" s="163"/>
      <c r="K846" s="130"/>
      <c r="L846" s="130"/>
      <c r="M846" s="130"/>
      <c r="N846" s="130"/>
      <c r="O846" s="130"/>
      <c r="P846" s="130"/>
      <c r="Q846" s="130"/>
      <c r="R846" s="130"/>
      <c r="S846" s="163"/>
      <c r="T846" s="163"/>
      <c r="U846" s="163"/>
      <c r="V846" s="163"/>
      <c r="W846" s="163"/>
      <c r="X846" s="163"/>
      <c r="Y846" s="163"/>
      <c r="Z846" s="163"/>
      <c r="AA846" s="163"/>
      <c r="AB846" s="163"/>
      <c r="AC846" s="163"/>
      <c r="AD846" s="163"/>
      <c r="AE846" s="163"/>
      <c r="AF846" s="163"/>
      <c r="AG846" s="163"/>
      <c r="AH846" s="163"/>
      <c r="AI846" s="163"/>
      <c r="AJ846" s="163"/>
      <c r="AK846" s="163"/>
      <c r="AL846" s="163"/>
      <c r="AM846" s="163"/>
      <c r="AN846" s="130"/>
      <c r="AO846" s="130"/>
      <c r="AP846" s="130"/>
      <c r="AQ846" s="130"/>
      <c r="AR846" s="130"/>
      <c r="AS846" s="130"/>
      <c r="AT846" s="130"/>
    </row>
    <row r="847" ht="13.5" customHeight="1">
      <c r="A847" s="130"/>
      <c r="B847" s="130"/>
      <c r="C847" s="130"/>
      <c r="D847" s="130"/>
      <c r="E847" s="163"/>
      <c r="F847" s="163"/>
      <c r="G847" s="163"/>
      <c r="H847" s="163"/>
      <c r="I847" s="163"/>
      <c r="J847" s="163"/>
      <c r="K847" s="130"/>
      <c r="L847" s="130"/>
      <c r="M847" s="130"/>
      <c r="N847" s="130"/>
      <c r="O847" s="130"/>
      <c r="P847" s="130"/>
      <c r="Q847" s="130"/>
      <c r="R847" s="130"/>
      <c r="S847" s="163"/>
      <c r="T847" s="163"/>
      <c r="U847" s="163"/>
      <c r="V847" s="163"/>
      <c r="W847" s="163"/>
      <c r="X847" s="163"/>
      <c r="Y847" s="163"/>
      <c r="Z847" s="163"/>
      <c r="AA847" s="163"/>
      <c r="AB847" s="163"/>
      <c r="AC847" s="163"/>
      <c r="AD847" s="163"/>
      <c r="AE847" s="163"/>
      <c r="AF847" s="163"/>
      <c r="AG847" s="163"/>
      <c r="AH847" s="163"/>
      <c r="AI847" s="163"/>
      <c r="AJ847" s="163"/>
      <c r="AK847" s="163"/>
      <c r="AL847" s="163"/>
      <c r="AM847" s="163"/>
      <c r="AN847" s="130"/>
      <c r="AO847" s="130"/>
      <c r="AP847" s="130"/>
      <c r="AQ847" s="130"/>
      <c r="AR847" s="130"/>
      <c r="AS847" s="130"/>
      <c r="AT847" s="130"/>
    </row>
    <row r="848" ht="13.5" customHeight="1">
      <c r="A848" s="130"/>
      <c r="B848" s="130"/>
      <c r="C848" s="130"/>
      <c r="D848" s="130"/>
      <c r="E848" s="163"/>
      <c r="F848" s="163"/>
      <c r="G848" s="163"/>
      <c r="H848" s="163"/>
      <c r="I848" s="163"/>
      <c r="J848" s="163"/>
      <c r="K848" s="130"/>
      <c r="L848" s="130"/>
      <c r="M848" s="130"/>
      <c r="N848" s="130"/>
      <c r="O848" s="130"/>
      <c r="P848" s="130"/>
      <c r="Q848" s="130"/>
      <c r="R848" s="130"/>
      <c r="S848" s="163"/>
      <c r="T848" s="163"/>
      <c r="U848" s="163"/>
      <c r="V848" s="163"/>
      <c r="W848" s="163"/>
      <c r="X848" s="163"/>
      <c r="Y848" s="163"/>
      <c r="Z848" s="163"/>
      <c r="AA848" s="163"/>
      <c r="AB848" s="163"/>
      <c r="AC848" s="163"/>
      <c r="AD848" s="163"/>
      <c r="AE848" s="163"/>
      <c r="AF848" s="163"/>
      <c r="AG848" s="163"/>
      <c r="AH848" s="163"/>
      <c r="AI848" s="163"/>
      <c r="AJ848" s="163"/>
      <c r="AK848" s="163"/>
      <c r="AL848" s="163"/>
      <c r="AM848" s="163"/>
      <c r="AN848" s="130"/>
      <c r="AO848" s="130"/>
      <c r="AP848" s="130"/>
      <c r="AQ848" s="130"/>
      <c r="AR848" s="130"/>
      <c r="AS848" s="130"/>
      <c r="AT848" s="130"/>
    </row>
    <row r="849" ht="13.5" customHeight="1">
      <c r="A849" s="130"/>
      <c r="B849" s="130"/>
      <c r="C849" s="130"/>
      <c r="D849" s="130"/>
      <c r="E849" s="163"/>
      <c r="F849" s="163"/>
      <c r="G849" s="163"/>
      <c r="H849" s="163"/>
      <c r="I849" s="163"/>
      <c r="J849" s="163"/>
      <c r="K849" s="130"/>
      <c r="L849" s="130"/>
      <c r="M849" s="130"/>
      <c r="N849" s="130"/>
      <c r="O849" s="130"/>
      <c r="P849" s="130"/>
      <c r="Q849" s="130"/>
      <c r="R849" s="130"/>
      <c r="S849" s="163"/>
      <c r="T849" s="163"/>
      <c r="U849" s="163"/>
      <c r="V849" s="163"/>
      <c r="W849" s="163"/>
      <c r="X849" s="163"/>
      <c r="Y849" s="163"/>
      <c r="Z849" s="163"/>
      <c r="AA849" s="163"/>
      <c r="AB849" s="163"/>
      <c r="AC849" s="163"/>
      <c r="AD849" s="163"/>
      <c r="AE849" s="163"/>
      <c r="AF849" s="163"/>
      <c r="AG849" s="163"/>
      <c r="AH849" s="163"/>
      <c r="AI849" s="163"/>
      <c r="AJ849" s="163"/>
      <c r="AK849" s="163"/>
      <c r="AL849" s="163"/>
      <c r="AM849" s="163"/>
      <c r="AN849" s="130"/>
      <c r="AO849" s="130"/>
      <c r="AP849" s="130"/>
      <c r="AQ849" s="130"/>
      <c r="AR849" s="130"/>
      <c r="AS849" s="130"/>
      <c r="AT849" s="130"/>
    </row>
    <row r="850" ht="13.5" customHeight="1">
      <c r="A850" s="130"/>
      <c r="B850" s="130"/>
      <c r="C850" s="130"/>
      <c r="D850" s="130"/>
      <c r="E850" s="163"/>
      <c r="F850" s="163"/>
      <c r="G850" s="163"/>
      <c r="H850" s="163"/>
      <c r="I850" s="163"/>
      <c r="J850" s="163"/>
      <c r="K850" s="130"/>
      <c r="L850" s="130"/>
      <c r="M850" s="130"/>
      <c r="N850" s="130"/>
      <c r="O850" s="130"/>
      <c r="P850" s="130"/>
      <c r="Q850" s="130"/>
      <c r="R850" s="130"/>
      <c r="S850" s="163"/>
      <c r="T850" s="163"/>
      <c r="U850" s="163"/>
      <c r="V850" s="163"/>
      <c r="W850" s="163"/>
      <c r="X850" s="163"/>
      <c r="Y850" s="163"/>
      <c r="Z850" s="163"/>
      <c r="AA850" s="163"/>
      <c r="AB850" s="163"/>
      <c r="AC850" s="163"/>
      <c r="AD850" s="163"/>
      <c r="AE850" s="163"/>
      <c r="AF850" s="163"/>
      <c r="AG850" s="163"/>
      <c r="AH850" s="163"/>
      <c r="AI850" s="163"/>
      <c r="AJ850" s="163"/>
      <c r="AK850" s="163"/>
      <c r="AL850" s="163"/>
      <c r="AM850" s="163"/>
      <c r="AN850" s="130"/>
      <c r="AO850" s="130"/>
      <c r="AP850" s="130"/>
      <c r="AQ850" s="130"/>
      <c r="AR850" s="130"/>
      <c r="AS850" s="130"/>
      <c r="AT850" s="130"/>
    </row>
    <row r="851" ht="13.5" customHeight="1">
      <c r="A851" s="130"/>
      <c r="B851" s="130"/>
      <c r="C851" s="130"/>
      <c r="D851" s="130"/>
      <c r="E851" s="163"/>
      <c r="F851" s="163"/>
      <c r="G851" s="163"/>
      <c r="H851" s="163"/>
      <c r="I851" s="163"/>
      <c r="J851" s="163"/>
      <c r="K851" s="130"/>
      <c r="L851" s="130"/>
      <c r="M851" s="130"/>
      <c r="N851" s="130"/>
      <c r="O851" s="130"/>
      <c r="P851" s="130"/>
      <c r="Q851" s="130"/>
      <c r="R851" s="130"/>
      <c r="S851" s="163"/>
      <c r="T851" s="163"/>
      <c r="U851" s="163"/>
      <c r="V851" s="163"/>
      <c r="W851" s="163"/>
      <c r="X851" s="163"/>
      <c r="Y851" s="163"/>
      <c r="Z851" s="163"/>
      <c r="AA851" s="163"/>
      <c r="AB851" s="163"/>
      <c r="AC851" s="163"/>
      <c r="AD851" s="163"/>
      <c r="AE851" s="163"/>
      <c r="AF851" s="163"/>
      <c r="AG851" s="163"/>
      <c r="AH851" s="163"/>
      <c r="AI851" s="163"/>
      <c r="AJ851" s="163"/>
      <c r="AK851" s="163"/>
      <c r="AL851" s="163"/>
      <c r="AM851" s="163"/>
      <c r="AN851" s="130"/>
      <c r="AO851" s="130"/>
      <c r="AP851" s="130"/>
      <c r="AQ851" s="130"/>
      <c r="AR851" s="130"/>
      <c r="AS851" s="130"/>
      <c r="AT851" s="130"/>
    </row>
    <row r="852" ht="13.5" customHeight="1">
      <c r="A852" s="130"/>
      <c r="B852" s="130"/>
      <c r="C852" s="130"/>
      <c r="D852" s="130"/>
      <c r="E852" s="163"/>
      <c r="F852" s="163"/>
      <c r="G852" s="163"/>
      <c r="H852" s="163"/>
      <c r="I852" s="163"/>
      <c r="J852" s="163"/>
      <c r="K852" s="130"/>
      <c r="L852" s="130"/>
      <c r="M852" s="130"/>
      <c r="N852" s="130"/>
      <c r="O852" s="130"/>
      <c r="P852" s="130"/>
      <c r="Q852" s="130"/>
      <c r="R852" s="130"/>
      <c r="S852" s="163"/>
      <c r="T852" s="163"/>
      <c r="U852" s="163"/>
      <c r="V852" s="163"/>
      <c r="W852" s="163"/>
      <c r="X852" s="163"/>
      <c r="Y852" s="163"/>
      <c r="Z852" s="163"/>
      <c r="AA852" s="163"/>
      <c r="AB852" s="163"/>
      <c r="AC852" s="163"/>
      <c r="AD852" s="163"/>
      <c r="AE852" s="163"/>
      <c r="AF852" s="163"/>
      <c r="AG852" s="163"/>
      <c r="AH852" s="163"/>
      <c r="AI852" s="163"/>
      <c r="AJ852" s="163"/>
      <c r="AK852" s="163"/>
      <c r="AL852" s="163"/>
      <c r="AM852" s="163"/>
      <c r="AN852" s="130"/>
      <c r="AO852" s="130"/>
      <c r="AP852" s="130"/>
      <c r="AQ852" s="130"/>
      <c r="AR852" s="130"/>
      <c r="AS852" s="130"/>
      <c r="AT852" s="130"/>
    </row>
    <row r="853" ht="13.5" customHeight="1">
      <c r="A853" s="130"/>
      <c r="B853" s="130"/>
      <c r="C853" s="130"/>
      <c r="D853" s="130"/>
      <c r="E853" s="163"/>
      <c r="F853" s="163"/>
      <c r="G853" s="163"/>
      <c r="H853" s="163"/>
      <c r="I853" s="163"/>
      <c r="J853" s="163"/>
      <c r="K853" s="130"/>
      <c r="L853" s="130"/>
      <c r="M853" s="130"/>
      <c r="N853" s="130"/>
      <c r="O853" s="130"/>
      <c r="P853" s="130"/>
      <c r="Q853" s="130"/>
      <c r="R853" s="130"/>
      <c r="S853" s="163"/>
      <c r="T853" s="163"/>
      <c r="U853" s="163"/>
      <c r="V853" s="163"/>
      <c r="W853" s="163"/>
      <c r="X853" s="163"/>
      <c r="Y853" s="163"/>
      <c r="Z853" s="163"/>
      <c r="AA853" s="163"/>
      <c r="AB853" s="163"/>
      <c r="AC853" s="163"/>
      <c r="AD853" s="163"/>
      <c r="AE853" s="163"/>
      <c r="AF853" s="163"/>
      <c r="AG853" s="163"/>
      <c r="AH853" s="163"/>
      <c r="AI853" s="163"/>
      <c r="AJ853" s="163"/>
      <c r="AK853" s="163"/>
      <c r="AL853" s="163"/>
      <c r="AM853" s="163"/>
      <c r="AN853" s="130"/>
      <c r="AO853" s="130"/>
      <c r="AP853" s="130"/>
      <c r="AQ853" s="130"/>
      <c r="AR853" s="130"/>
      <c r="AS853" s="130"/>
      <c r="AT853" s="130"/>
    </row>
    <row r="854" ht="13.5" customHeight="1">
      <c r="A854" s="130"/>
      <c r="B854" s="130"/>
      <c r="C854" s="130"/>
      <c r="D854" s="130"/>
      <c r="E854" s="163"/>
      <c r="F854" s="163"/>
      <c r="G854" s="163"/>
      <c r="H854" s="163"/>
      <c r="I854" s="163"/>
      <c r="J854" s="163"/>
      <c r="K854" s="130"/>
      <c r="L854" s="130"/>
      <c r="M854" s="130"/>
      <c r="N854" s="130"/>
      <c r="O854" s="130"/>
      <c r="P854" s="130"/>
      <c r="Q854" s="130"/>
      <c r="R854" s="130"/>
      <c r="S854" s="163"/>
      <c r="T854" s="163"/>
      <c r="U854" s="163"/>
      <c r="V854" s="163"/>
      <c r="W854" s="163"/>
      <c r="X854" s="163"/>
      <c r="Y854" s="163"/>
      <c r="Z854" s="163"/>
      <c r="AA854" s="163"/>
      <c r="AB854" s="163"/>
      <c r="AC854" s="163"/>
      <c r="AD854" s="163"/>
      <c r="AE854" s="163"/>
      <c r="AF854" s="163"/>
      <c r="AG854" s="163"/>
      <c r="AH854" s="163"/>
      <c r="AI854" s="163"/>
      <c r="AJ854" s="163"/>
      <c r="AK854" s="163"/>
      <c r="AL854" s="163"/>
      <c r="AM854" s="163"/>
      <c r="AN854" s="130"/>
      <c r="AO854" s="130"/>
      <c r="AP854" s="130"/>
      <c r="AQ854" s="130"/>
      <c r="AR854" s="130"/>
      <c r="AS854" s="130"/>
      <c r="AT854" s="130"/>
    </row>
    <row r="855" ht="13.5" customHeight="1">
      <c r="A855" s="130"/>
      <c r="B855" s="130"/>
      <c r="C855" s="130"/>
      <c r="D855" s="130"/>
      <c r="E855" s="163"/>
      <c r="F855" s="163"/>
      <c r="G855" s="163"/>
      <c r="H855" s="163"/>
      <c r="I855" s="163"/>
      <c r="J855" s="163"/>
      <c r="K855" s="130"/>
      <c r="L855" s="130"/>
      <c r="M855" s="130"/>
      <c r="N855" s="130"/>
      <c r="O855" s="130"/>
      <c r="P855" s="130"/>
      <c r="Q855" s="130"/>
      <c r="R855" s="130"/>
      <c r="S855" s="163"/>
      <c r="T855" s="163"/>
      <c r="U855" s="163"/>
      <c r="V855" s="163"/>
      <c r="W855" s="163"/>
      <c r="X855" s="163"/>
      <c r="Y855" s="163"/>
      <c r="Z855" s="163"/>
      <c r="AA855" s="163"/>
      <c r="AB855" s="163"/>
      <c r="AC855" s="163"/>
      <c r="AD855" s="163"/>
      <c r="AE855" s="163"/>
      <c r="AF855" s="163"/>
      <c r="AG855" s="163"/>
      <c r="AH855" s="163"/>
      <c r="AI855" s="163"/>
      <c r="AJ855" s="163"/>
      <c r="AK855" s="163"/>
      <c r="AL855" s="163"/>
      <c r="AM855" s="163"/>
      <c r="AN855" s="130"/>
      <c r="AO855" s="130"/>
      <c r="AP855" s="130"/>
      <c r="AQ855" s="130"/>
      <c r="AR855" s="130"/>
      <c r="AS855" s="130"/>
      <c r="AT855" s="130"/>
    </row>
    <row r="856" ht="13.5" customHeight="1">
      <c r="A856" s="130"/>
      <c r="B856" s="130"/>
      <c r="C856" s="130"/>
      <c r="D856" s="130"/>
      <c r="E856" s="163"/>
      <c r="F856" s="163"/>
      <c r="G856" s="163"/>
      <c r="H856" s="163"/>
      <c r="I856" s="163"/>
      <c r="J856" s="163"/>
      <c r="K856" s="130"/>
      <c r="L856" s="130"/>
      <c r="M856" s="130"/>
      <c r="N856" s="130"/>
      <c r="O856" s="130"/>
      <c r="P856" s="130"/>
      <c r="Q856" s="130"/>
      <c r="R856" s="130"/>
      <c r="S856" s="163"/>
      <c r="T856" s="163"/>
      <c r="U856" s="163"/>
      <c r="V856" s="163"/>
      <c r="W856" s="163"/>
      <c r="X856" s="163"/>
      <c r="Y856" s="163"/>
      <c r="Z856" s="163"/>
      <c r="AA856" s="163"/>
      <c r="AB856" s="163"/>
      <c r="AC856" s="163"/>
      <c r="AD856" s="163"/>
      <c r="AE856" s="163"/>
      <c r="AF856" s="163"/>
      <c r="AG856" s="163"/>
      <c r="AH856" s="163"/>
      <c r="AI856" s="163"/>
      <c r="AJ856" s="163"/>
      <c r="AK856" s="163"/>
      <c r="AL856" s="163"/>
      <c r="AM856" s="163"/>
      <c r="AN856" s="130"/>
      <c r="AO856" s="130"/>
      <c r="AP856" s="130"/>
      <c r="AQ856" s="130"/>
      <c r="AR856" s="130"/>
      <c r="AS856" s="130"/>
      <c r="AT856" s="130"/>
    </row>
    <row r="857" ht="13.5" customHeight="1">
      <c r="A857" s="130"/>
      <c r="B857" s="130"/>
      <c r="C857" s="130"/>
      <c r="D857" s="130"/>
      <c r="E857" s="163"/>
      <c r="F857" s="163"/>
      <c r="G857" s="163"/>
      <c r="H857" s="163"/>
      <c r="I857" s="163"/>
      <c r="J857" s="163"/>
      <c r="K857" s="130"/>
      <c r="L857" s="130"/>
      <c r="M857" s="130"/>
      <c r="N857" s="130"/>
      <c r="O857" s="130"/>
      <c r="P857" s="130"/>
      <c r="Q857" s="130"/>
      <c r="R857" s="130"/>
      <c r="S857" s="163"/>
      <c r="T857" s="163"/>
      <c r="U857" s="163"/>
      <c r="V857" s="163"/>
      <c r="W857" s="163"/>
      <c r="X857" s="163"/>
      <c r="Y857" s="163"/>
      <c r="Z857" s="163"/>
      <c r="AA857" s="163"/>
      <c r="AB857" s="163"/>
      <c r="AC857" s="163"/>
      <c r="AD857" s="163"/>
      <c r="AE857" s="163"/>
      <c r="AF857" s="163"/>
      <c r="AG857" s="163"/>
      <c r="AH857" s="163"/>
      <c r="AI857" s="163"/>
      <c r="AJ857" s="163"/>
      <c r="AK857" s="163"/>
      <c r="AL857" s="163"/>
      <c r="AM857" s="163"/>
      <c r="AN857" s="130"/>
      <c r="AO857" s="130"/>
      <c r="AP857" s="130"/>
      <c r="AQ857" s="130"/>
      <c r="AR857" s="130"/>
      <c r="AS857" s="130"/>
      <c r="AT857" s="130"/>
    </row>
    <row r="858" ht="13.5" customHeight="1">
      <c r="A858" s="130"/>
      <c r="B858" s="130"/>
      <c r="C858" s="130"/>
      <c r="D858" s="130"/>
      <c r="E858" s="163"/>
      <c r="F858" s="163"/>
      <c r="G858" s="163"/>
      <c r="H858" s="163"/>
      <c r="I858" s="163"/>
      <c r="J858" s="163"/>
      <c r="K858" s="130"/>
      <c r="L858" s="130"/>
      <c r="M858" s="130"/>
      <c r="N858" s="130"/>
      <c r="O858" s="130"/>
      <c r="P858" s="130"/>
      <c r="Q858" s="130"/>
      <c r="R858" s="130"/>
      <c r="S858" s="163"/>
      <c r="T858" s="163"/>
      <c r="U858" s="163"/>
      <c r="V858" s="163"/>
      <c r="W858" s="163"/>
      <c r="X858" s="163"/>
      <c r="Y858" s="163"/>
      <c r="Z858" s="163"/>
      <c r="AA858" s="163"/>
      <c r="AB858" s="163"/>
      <c r="AC858" s="163"/>
      <c r="AD858" s="163"/>
      <c r="AE858" s="163"/>
      <c r="AF858" s="163"/>
      <c r="AG858" s="163"/>
      <c r="AH858" s="163"/>
      <c r="AI858" s="163"/>
      <c r="AJ858" s="163"/>
      <c r="AK858" s="163"/>
      <c r="AL858" s="163"/>
      <c r="AM858" s="163"/>
      <c r="AN858" s="130"/>
      <c r="AO858" s="130"/>
      <c r="AP858" s="130"/>
      <c r="AQ858" s="130"/>
      <c r="AR858" s="130"/>
      <c r="AS858" s="130"/>
      <c r="AT858" s="130"/>
    </row>
    <row r="859" ht="13.5" customHeight="1">
      <c r="A859" s="130"/>
      <c r="B859" s="130"/>
      <c r="C859" s="130"/>
      <c r="D859" s="130"/>
      <c r="E859" s="163"/>
      <c r="F859" s="163"/>
      <c r="G859" s="163"/>
      <c r="H859" s="163"/>
      <c r="I859" s="163"/>
      <c r="J859" s="163"/>
      <c r="K859" s="130"/>
      <c r="L859" s="130"/>
      <c r="M859" s="130"/>
      <c r="N859" s="130"/>
      <c r="O859" s="130"/>
      <c r="P859" s="130"/>
      <c r="Q859" s="130"/>
      <c r="R859" s="130"/>
      <c r="S859" s="163"/>
      <c r="T859" s="163"/>
      <c r="U859" s="163"/>
      <c r="V859" s="163"/>
      <c r="W859" s="163"/>
      <c r="X859" s="163"/>
      <c r="Y859" s="163"/>
      <c r="Z859" s="163"/>
      <c r="AA859" s="163"/>
      <c r="AB859" s="163"/>
      <c r="AC859" s="163"/>
      <c r="AD859" s="163"/>
      <c r="AE859" s="163"/>
      <c r="AF859" s="163"/>
      <c r="AG859" s="163"/>
      <c r="AH859" s="163"/>
      <c r="AI859" s="163"/>
      <c r="AJ859" s="163"/>
      <c r="AK859" s="163"/>
      <c r="AL859" s="163"/>
      <c r="AM859" s="163"/>
      <c r="AN859" s="130"/>
      <c r="AO859" s="130"/>
      <c r="AP859" s="130"/>
      <c r="AQ859" s="130"/>
      <c r="AR859" s="130"/>
      <c r="AS859" s="130"/>
      <c r="AT859" s="130"/>
    </row>
    <row r="860" ht="13.5" customHeight="1">
      <c r="A860" s="130"/>
      <c r="B860" s="130"/>
      <c r="C860" s="130"/>
      <c r="D860" s="130"/>
      <c r="E860" s="163"/>
      <c r="F860" s="163"/>
      <c r="G860" s="163"/>
      <c r="H860" s="163"/>
      <c r="I860" s="163"/>
      <c r="J860" s="163"/>
      <c r="K860" s="130"/>
      <c r="L860" s="130"/>
      <c r="M860" s="130"/>
      <c r="N860" s="130"/>
      <c r="O860" s="130"/>
      <c r="P860" s="130"/>
      <c r="Q860" s="130"/>
      <c r="R860" s="130"/>
      <c r="S860" s="163"/>
      <c r="T860" s="163"/>
      <c r="U860" s="163"/>
      <c r="V860" s="163"/>
      <c r="W860" s="163"/>
      <c r="X860" s="163"/>
      <c r="Y860" s="163"/>
      <c r="Z860" s="163"/>
      <c r="AA860" s="163"/>
      <c r="AB860" s="163"/>
      <c r="AC860" s="163"/>
      <c r="AD860" s="163"/>
      <c r="AE860" s="163"/>
      <c r="AF860" s="163"/>
      <c r="AG860" s="163"/>
      <c r="AH860" s="163"/>
      <c r="AI860" s="163"/>
      <c r="AJ860" s="163"/>
      <c r="AK860" s="163"/>
      <c r="AL860" s="163"/>
      <c r="AM860" s="163"/>
      <c r="AN860" s="130"/>
      <c r="AO860" s="130"/>
      <c r="AP860" s="130"/>
      <c r="AQ860" s="130"/>
      <c r="AR860" s="130"/>
      <c r="AS860" s="130"/>
      <c r="AT860" s="130"/>
    </row>
    <row r="861" ht="13.5" customHeight="1">
      <c r="A861" s="130"/>
      <c r="B861" s="130"/>
      <c r="C861" s="130"/>
      <c r="D861" s="130"/>
      <c r="E861" s="163"/>
      <c r="F861" s="163"/>
      <c r="G861" s="163"/>
      <c r="H861" s="163"/>
      <c r="I861" s="163"/>
      <c r="J861" s="163"/>
      <c r="K861" s="130"/>
      <c r="L861" s="130"/>
      <c r="M861" s="130"/>
      <c r="N861" s="130"/>
      <c r="O861" s="130"/>
      <c r="P861" s="130"/>
      <c r="Q861" s="130"/>
      <c r="R861" s="130"/>
      <c r="S861" s="163"/>
      <c r="T861" s="163"/>
      <c r="U861" s="163"/>
      <c r="V861" s="163"/>
      <c r="W861" s="163"/>
      <c r="X861" s="163"/>
      <c r="Y861" s="163"/>
      <c r="Z861" s="163"/>
      <c r="AA861" s="163"/>
      <c r="AB861" s="163"/>
      <c r="AC861" s="163"/>
      <c r="AD861" s="163"/>
      <c r="AE861" s="163"/>
      <c r="AF861" s="163"/>
      <c r="AG861" s="163"/>
      <c r="AH861" s="163"/>
      <c r="AI861" s="163"/>
      <c r="AJ861" s="163"/>
      <c r="AK861" s="163"/>
      <c r="AL861" s="163"/>
      <c r="AM861" s="163"/>
      <c r="AN861" s="130"/>
      <c r="AO861" s="130"/>
      <c r="AP861" s="130"/>
      <c r="AQ861" s="130"/>
      <c r="AR861" s="130"/>
      <c r="AS861" s="130"/>
      <c r="AT861" s="130"/>
    </row>
    <row r="862" ht="13.5" customHeight="1">
      <c r="A862" s="130"/>
      <c r="B862" s="130"/>
      <c r="C862" s="130"/>
      <c r="D862" s="130"/>
      <c r="E862" s="163"/>
      <c r="F862" s="163"/>
      <c r="G862" s="163"/>
      <c r="H862" s="163"/>
      <c r="I862" s="163"/>
      <c r="J862" s="163"/>
      <c r="K862" s="130"/>
      <c r="L862" s="130"/>
      <c r="M862" s="130"/>
      <c r="N862" s="130"/>
      <c r="O862" s="130"/>
      <c r="P862" s="130"/>
      <c r="Q862" s="130"/>
      <c r="R862" s="130"/>
      <c r="S862" s="163"/>
      <c r="T862" s="163"/>
      <c r="U862" s="163"/>
      <c r="V862" s="163"/>
      <c r="W862" s="163"/>
      <c r="X862" s="163"/>
      <c r="Y862" s="163"/>
      <c r="Z862" s="163"/>
      <c r="AA862" s="163"/>
      <c r="AB862" s="163"/>
      <c r="AC862" s="163"/>
      <c r="AD862" s="163"/>
      <c r="AE862" s="163"/>
      <c r="AF862" s="163"/>
      <c r="AG862" s="163"/>
      <c r="AH862" s="163"/>
      <c r="AI862" s="163"/>
      <c r="AJ862" s="163"/>
      <c r="AK862" s="163"/>
      <c r="AL862" s="163"/>
      <c r="AM862" s="163"/>
      <c r="AN862" s="130"/>
      <c r="AO862" s="130"/>
      <c r="AP862" s="130"/>
      <c r="AQ862" s="130"/>
      <c r="AR862" s="130"/>
      <c r="AS862" s="130"/>
      <c r="AT862" s="130"/>
    </row>
    <row r="863" ht="13.5" customHeight="1">
      <c r="A863" s="130"/>
      <c r="B863" s="130"/>
      <c r="C863" s="130"/>
      <c r="D863" s="130"/>
      <c r="E863" s="163"/>
      <c r="F863" s="163"/>
      <c r="G863" s="163"/>
      <c r="H863" s="163"/>
      <c r="I863" s="163"/>
      <c r="J863" s="163"/>
      <c r="K863" s="130"/>
      <c r="L863" s="130"/>
      <c r="M863" s="130"/>
      <c r="N863" s="130"/>
      <c r="O863" s="130"/>
      <c r="P863" s="130"/>
      <c r="Q863" s="130"/>
      <c r="R863" s="130"/>
      <c r="S863" s="163"/>
      <c r="T863" s="163"/>
      <c r="U863" s="163"/>
      <c r="V863" s="163"/>
      <c r="W863" s="163"/>
      <c r="X863" s="163"/>
      <c r="Y863" s="163"/>
      <c r="Z863" s="163"/>
      <c r="AA863" s="163"/>
      <c r="AB863" s="163"/>
      <c r="AC863" s="163"/>
      <c r="AD863" s="163"/>
      <c r="AE863" s="163"/>
      <c r="AF863" s="163"/>
      <c r="AG863" s="163"/>
      <c r="AH863" s="163"/>
      <c r="AI863" s="163"/>
      <c r="AJ863" s="163"/>
      <c r="AK863" s="163"/>
      <c r="AL863" s="163"/>
      <c r="AM863" s="163"/>
      <c r="AN863" s="130"/>
      <c r="AO863" s="130"/>
      <c r="AP863" s="130"/>
      <c r="AQ863" s="130"/>
      <c r="AR863" s="130"/>
      <c r="AS863" s="130"/>
      <c r="AT863" s="130"/>
    </row>
    <row r="864" ht="13.5" customHeight="1">
      <c r="A864" s="130"/>
      <c r="B864" s="130"/>
      <c r="C864" s="130"/>
      <c r="D864" s="130"/>
      <c r="E864" s="163"/>
      <c r="F864" s="163"/>
      <c r="G864" s="163"/>
      <c r="H864" s="163"/>
      <c r="I864" s="163"/>
      <c r="J864" s="163"/>
      <c r="K864" s="130"/>
      <c r="L864" s="130"/>
      <c r="M864" s="130"/>
      <c r="N864" s="130"/>
      <c r="O864" s="130"/>
      <c r="P864" s="130"/>
      <c r="Q864" s="130"/>
      <c r="R864" s="130"/>
      <c r="S864" s="163"/>
      <c r="T864" s="163"/>
      <c r="U864" s="163"/>
      <c r="V864" s="163"/>
      <c r="W864" s="163"/>
      <c r="X864" s="163"/>
      <c r="Y864" s="163"/>
      <c r="Z864" s="163"/>
      <c r="AA864" s="163"/>
      <c r="AB864" s="163"/>
      <c r="AC864" s="163"/>
      <c r="AD864" s="163"/>
      <c r="AE864" s="163"/>
      <c r="AF864" s="163"/>
      <c r="AG864" s="163"/>
      <c r="AH864" s="163"/>
      <c r="AI864" s="163"/>
      <c r="AJ864" s="163"/>
      <c r="AK864" s="163"/>
      <c r="AL864" s="163"/>
      <c r="AM864" s="163"/>
      <c r="AN864" s="130"/>
      <c r="AO864" s="130"/>
      <c r="AP864" s="130"/>
      <c r="AQ864" s="130"/>
      <c r="AR864" s="130"/>
      <c r="AS864" s="130"/>
      <c r="AT864" s="130"/>
    </row>
    <row r="865" ht="13.5" customHeight="1">
      <c r="A865" s="130"/>
      <c r="B865" s="130"/>
      <c r="C865" s="130"/>
      <c r="D865" s="130"/>
      <c r="E865" s="163"/>
      <c r="F865" s="163"/>
      <c r="G865" s="163"/>
      <c r="H865" s="163"/>
      <c r="I865" s="163"/>
      <c r="J865" s="163"/>
      <c r="K865" s="130"/>
      <c r="L865" s="130"/>
      <c r="M865" s="130"/>
      <c r="N865" s="130"/>
      <c r="O865" s="130"/>
      <c r="P865" s="130"/>
      <c r="Q865" s="130"/>
      <c r="R865" s="130"/>
      <c r="S865" s="163"/>
      <c r="T865" s="163"/>
      <c r="U865" s="163"/>
      <c r="V865" s="163"/>
      <c r="W865" s="163"/>
      <c r="X865" s="163"/>
      <c r="Y865" s="163"/>
      <c r="Z865" s="163"/>
      <c r="AA865" s="163"/>
      <c r="AB865" s="163"/>
      <c r="AC865" s="163"/>
      <c r="AD865" s="163"/>
      <c r="AE865" s="163"/>
      <c r="AF865" s="163"/>
      <c r="AG865" s="163"/>
      <c r="AH865" s="163"/>
      <c r="AI865" s="163"/>
      <c r="AJ865" s="163"/>
      <c r="AK865" s="163"/>
      <c r="AL865" s="163"/>
      <c r="AM865" s="163"/>
      <c r="AN865" s="130"/>
      <c r="AO865" s="130"/>
      <c r="AP865" s="130"/>
      <c r="AQ865" s="130"/>
      <c r="AR865" s="130"/>
      <c r="AS865" s="130"/>
      <c r="AT865" s="130"/>
    </row>
    <row r="866" ht="13.5" customHeight="1">
      <c r="A866" s="130"/>
      <c r="B866" s="130"/>
      <c r="C866" s="130"/>
      <c r="D866" s="130"/>
      <c r="E866" s="163"/>
      <c r="F866" s="163"/>
      <c r="G866" s="163"/>
      <c r="H866" s="163"/>
      <c r="I866" s="163"/>
      <c r="J866" s="163"/>
      <c r="K866" s="130"/>
      <c r="L866" s="130"/>
      <c r="M866" s="130"/>
      <c r="N866" s="130"/>
      <c r="O866" s="130"/>
      <c r="P866" s="130"/>
      <c r="Q866" s="130"/>
      <c r="R866" s="130"/>
      <c r="S866" s="163"/>
      <c r="T866" s="163"/>
      <c r="U866" s="163"/>
      <c r="V866" s="163"/>
      <c r="W866" s="163"/>
      <c r="X866" s="163"/>
      <c r="Y866" s="163"/>
      <c r="Z866" s="163"/>
      <c r="AA866" s="163"/>
      <c r="AB866" s="163"/>
      <c r="AC866" s="163"/>
      <c r="AD866" s="163"/>
      <c r="AE866" s="163"/>
      <c r="AF866" s="163"/>
      <c r="AG866" s="163"/>
      <c r="AH866" s="163"/>
      <c r="AI866" s="163"/>
      <c r="AJ866" s="163"/>
      <c r="AK866" s="163"/>
      <c r="AL866" s="163"/>
      <c r="AM866" s="163"/>
      <c r="AN866" s="130"/>
      <c r="AO866" s="130"/>
      <c r="AP866" s="130"/>
      <c r="AQ866" s="130"/>
      <c r="AR866" s="130"/>
      <c r="AS866" s="130"/>
      <c r="AT866" s="130"/>
    </row>
    <row r="867" ht="13.5" customHeight="1">
      <c r="A867" s="130"/>
      <c r="B867" s="130"/>
      <c r="C867" s="130"/>
      <c r="D867" s="130"/>
      <c r="E867" s="163"/>
      <c r="F867" s="163"/>
      <c r="G867" s="163"/>
      <c r="H867" s="163"/>
      <c r="I867" s="163"/>
      <c r="J867" s="163"/>
      <c r="K867" s="130"/>
      <c r="L867" s="130"/>
      <c r="M867" s="130"/>
      <c r="N867" s="130"/>
      <c r="O867" s="130"/>
      <c r="P867" s="130"/>
      <c r="Q867" s="130"/>
      <c r="R867" s="130"/>
      <c r="S867" s="163"/>
      <c r="T867" s="163"/>
      <c r="U867" s="163"/>
      <c r="V867" s="163"/>
      <c r="W867" s="163"/>
      <c r="X867" s="163"/>
      <c r="Y867" s="163"/>
      <c r="Z867" s="163"/>
      <c r="AA867" s="163"/>
      <c r="AB867" s="163"/>
      <c r="AC867" s="163"/>
      <c r="AD867" s="163"/>
      <c r="AE867" s="163"/>
      <c r="AF867" s="163"/>
      <c r="AG867" s="163"/>
      <c r="AH867" s="163"/>
      <c r="AI867" s="163"/>
      <c r="AJ867" s="163"/>
      <c r="AK867" s="163"/>
      <c r="AL867" s="163"/>
      <c r="AM867" s="163"/>
      <c r="AN867" s="130"/>
      <c r="AO867" s="130"/>
      <c r="AP867" s="130"/>
      <c r="AQ867" s="130"/>
      <c r="AR867" s="130"/>
      <c r="AS867" s="130"/>
      <c r="AT867" s="130"/>
    </row>
    <row r="868" ht="13.5" customHeight="1">
      <c r="A868" s="130"/>
      <c r="B868" s="130"/>
      <c r="C868" s="130"/>
      <c r="D868" s="130"/>
      <c r="E868" s="163"/>
      <c r="F868" s="163"/>
      <c r="G868" s="163"/>
      <c r="H868" s="163"/>
      <c r="I868" s="163"/>
      <c r="J868" s="163"/>
      <c r="K868" s="130"/>
      <c r="L868" s="130"/>
      <c r="M868" s="130"/>
      <c r="N868" s="130"/>
      <c r="O868" s="130"/>
      <c r="P868" s="130"/>
      <c r="Q868" s="130"/>
      <c r="R868" s="130"/>
      <c r="S868" s="163"/>
      <c r="T868" s="163"/>
      <c r="U868" s="163"/>
      <c r="V868" s="163"/>
      <c r="W868" s="163"/>
      <c r="X868" s="163"/>
      <c r="Y868" s="163"/>
      <c r="Z868" s="163"/>
      <c r="AA868" s="163"/>
      <c r="AB868" s="163"/>
      <c r="AC868" s="163"/>
      <c r="AD868" s="163"/>
      <c r="AE868" s="163"/>
      <c r="AF868" s="163"/>
      <c r="AG868" s="163"/>
      <c r="AH868" s="163"/>
      <c r="AI868" s="163"/>
      <c r="AJ868" s="163"/>
      <c r="AK868" s="163"/>
      <c r="AL868" s="163"/>
      <c r="AM868" s="163"/>
      <c r="AN868" s="130"/>
      <c r="AO868" s="130"/>
      <c r="AP868" s="130"/>
      <c r="AQ868" s="130"/>
      <c r="AR868" s="130"/>
      <c r="AS868" s="130"/>
      <c r="AT868" s="130"/>
    </row>
    <row r="869" ht="13.5" customHeight="1">
      <c r="A869" s="130"/>
      <c r="B869" s="130"/>
      <c r="C869" s="130"/>
      <c r="D869" s="130"/>
      <c r="E869" s="163"/>
      <c r="F869" s="163"/>
      <c r="G869" s="163"/>
      <c r="H869" s="163"/>
      <c r="I869" s="163"/>
      <c r="J869" s="163"/>
      <c r="K869" s="130"/>
      <c r="L869" s="130"/>
      <c r="M869" s="130"/>
      <c r="N869" s="130"/>
      <c r="O869" s="130"/>
      <c r="P869" s="130"/>
      <c r="Q869" s="130"/>
      <c r="R869" s="130"/>
      <c r="S869" s="163"/>
      <c r="T869" s="163"/>
      <c r="U869" s="163"/>
      <c r="V869" s="163"/>
      <c r="W869" s="163"/>
      <c r="X869" s="163"/>
      <c r="Y869" s="163"/>
      <c r="Z869" s="163"/>
      <c r="AA869" s="163"/>
      <c r="AB869" s="163"/>
      <c r="AC869" s="163"/>
      <c r="AD869" s="163"/>
      <c r="AE869" s="163"/>
      <c r="AF869" s="163"/>
      <c r="AG869" s="163"/>
      <c r="AH869" s="163"/>
      <c r="AI869" s="163"/>
      <c r="AJ869" s="163"/>
      <c r="AK869" s="163"/>
      <c r="AL869" s="163"/>
      <c r="AM869" s="163"/>
      <c r="AN869" s="130"/>
      <c r="AO869" s="130"/>
      <c r="AP869" s="130"/>
      <c r="AQ869" s="130"/>
      <c r="AR869" s="130"/>
      <c r="AS869" s="130"/>
      <c r="AT869" s="130"/>
    </row>
    <row r="870" ht="13.5" customHeight="1">
      <c r="A870" s="130"/>
      <c r="B870" s="130"/>
      <c r="C870" s="130"/>
      <c r="D870" s="130"/>
      <c r="E870" s="163"/>
      <c r="F870" s="163"/>
      <c r="G870" s="163"/>
      <c r="H870" s="163"/>
      <c r="I870" s="163"/>
      <c r="J870" s="163"/>
      <c r="K870" s="130"/>
      <c r="L870" s="130"/>
      <c r="M870" s="130"/>
      <c r="N870" s="130"/>
      <c r="O870" s="130"/>
      <c r="P870" s="130"/>
      <c r="Q870" s="130"/>
      <c r="R870" s="130"/>
      <c r="S870" s="163"/>
      <c r="T870" s="163"/>
      <c r="U870" s="163"/>
      <c r="V870" s="163"/>
      <c r="W870" s="163"/>
      <c r="X870" s="163"/>
      <c r="Y870" s="163"/>
      <c r="Z870" s="163"/>
      <c r="AA870" s="163"/>
      <c r="AB870" s="163"/>
      <c r="AC870" s="163"/>
      <c r="AD870" s="163"/>
      <c r="AE870" s="163"/>
      <c r="AF870" s="163"/>
      <c r="AG870" s="163"/>
      <c r="AH870" s="163"/>
      <c r="AI870" s="163"/>
      <c r="AJ870" s="163"/>
      <c r="AK870" s="163"/>
      <c r="AL870" s="163"/>
      <c r="AM870" s="163"/>
      <c r="AN870" s="130"/>
      <c r="AO870" s="130"/>
      <c r="AP870" s="130"/>
      <c r="AQ870" s="130"/>
      <c r="AR870" s="130"/>
      <c r="AS870" s="130"/>
      <c r="AT870" s="130"/>
    </row>
    <row r="871" ht="13.5" customHeight="1">
      <c r="A871" s="130"/>
      <c r="B871" s="130"/>
      <c r="C871" s="130"/>
      <c r="D871" s="130"/>
      <c r="E871" s="163"/>
      <c r="F871" s="163"/>
      <c r="G871" s="163"/>
      <c r="H871" s="163"/>
      <c r="I871" s="163"/>
      <c r="J871" s="163"/>
      <c r="K871" s="130"/>
      <c r="L871" s="130"/>
      <c r="M871" s="130"/>
      <c r="N871" s="130"/>
      <c r="O871" s="130"/>
      <c r="P871" s="130"/>
      <c r="Q871" s="130"/>
      <c r="R871" s="130"/>
      <c r="S871" s="163"/>
      <c r="T871" s="163"/>
      <c r="U871" s="163"/>
      <c r="V871" s="163"/>
      <c r="W871" s="163"/>
      <c r="X871" s="163"/>
      <c r="Y871" s="163"/>
      <c r="Z871" s="163"/>
      <c r="AA871" s="163"/>
      <c r="AB871" s="163"/>
      <c r="AC871" s="163"/>
      <c r="AD871" s="163"/>
      <c r="AE871" s="163"/>
      <c r="AF871" s="163"/>
      <c r="AG871" s="163"/>
      <c r="AH871" s="163"/>
      <c r="AI871" s="163"/>
      <c r="AJ871" s="163"/>
      <c r="AK871" s="163"/>
      <c r="AL871" s="163"/>
      <c r="AM871" s="163"/>
      <c r="AN871" s="130"/>
      <c r="AO871" s="130"/>
      <c r="AP871" s="130"/>
      <c r="AQ871" s="130"/>
      <c r="AR871" s="130"/>
      <c r="AS871" s="130"/>
      <c r="AT871" s="130"/>
    </row>
    <row r="872" ht="13.5" customHeight="1">
      <c r="A872" s="130"/>
      <c r="B872" s="130"/>
      <c r="C872" s="130"/>
      <c r="D872" s="130"/>
      <c r="E872" s="163"/>
      <c r="F872" s="163"/>
      <c r="G872" s="163"/>
      <c r="H872" s="163"/>
      <c r="I872" s="163"/>
      <c r="J872" s="163"/>
      <c r="K872" s="130"/>
      <c r="L872" s="130"/>
      <c r="M872" s="130"/>
      <c r="N872" s="130"/>
      <c r="O872" s="130"/>
      <c r="P872" s="130"/>
      <c r="Q872" s="130"/>
      <c r="R872" s="130"/>
      <c r="S872" s="163"/>
      <c r="T872" s="163"/>
      <c r="U872" s="163"/>
      <c r="V872" s="163"/>
      <c r="W872" s="163"/>
      <c r="X872" s="163"/>
      <c r="Y872" s="163"/>
      <c r="Z872" s="163"/>
      <c r="AA872" s="163"/>
      <c r="AB872" s="163"/>
      <c r="AC872" s="163"/>
      <c r="AD872" s="163"/>
      <c r="AE872" s="163"/>
      <c r="AF872" s="163"/>
      <c r="AG872" s="163"/>
      <c r="AH872" s="163"/>
      <c r="AI872" s="163"/>
      <c r="AJ872" s="163"/>
      <c r="AK872" s="163"/>
      <c r="AL872" s="163"/>
      <c r="AM872" s="163"/>
      <c r="AN872" s="130"/>
      <c r="AO872" s="130"/>
      <c r="AP872" s="130"/>
      <c r="AQ872" s="130"/>
      <c r="AR872" s="130"/>
      <c r="AS872" s="130"/>
      <c r="AT872" s="130"/>
    </row>
    <row r="873" ht="13.5" customHeight="1">
      <c r="A873" s="130"/>
      <c r="B873" s="130"/>
      <c r="C873" s="130"/>
      <c r="D873" s="130"/>
      <c r="E873" s="163"/>
      <c r="F873" s="163"/>
      <c r="G873" s="163"/>
      <c r="H873" s="163"/>
      <c r="I873" s="163"/>
      <c r="J873" s="163"/>
      <c r="K873" s="130"/>
      <c r="L873" s="130"/>
      <c r="M873" s="130"/>
      <c r="N873" s="130"/>
      <c r="O873" s="130"/>
      <c r="P873" s="130"/>
      <c r="Q873" s="130"/>
      <c r="R873" s="130"/>
      <c r="S873" s="163"/>
      <c r="T873" s="163"/>
      <c r="U873" s="163"/>
      <c r="V873" s="163"/>
      <c r="W873" s="163"/>
      <c r="X873" s="163"/>
      <c r="Y873" s="163"/>
      <c r="Z873" s="163"/>
      <c r="AA873" s="163"/>
      <c r="AB873" s="163"/>
      <c r="AC873" s="163"/>
      <c r="AD873" s="163"/>
      <c r="AE873" s="163"/>
      <c r="AF873" s="163"/>
      <c r="AG873" s="163"/>
      <c r="AH873" s="163"/>
      <c r="AI873" s="163"/>
      <c r="AJ873" s="163"/>
      <c r="AK873" s="163"/>
      <c r="AL873" s="163"/>
      <c r="AM873" s="163"/>
      <c r="AN873" s="130"/>
      <c r="AO873" s="130"/>
      <c r="AP873" s="130"/>
      <c r="AQ873" s="130"/>
      <c r="AR873" s="130"/>
      <c r="AS873" s="130"/>
      <c r="AT873" s="130"/>
    </row>
    <row r="874" ht="13.5" customHeight="1">
      <c r="A874" s="130"/>
      <c r="B874" s="130"/>
      <c r="C874" s="130"/>
      <c r="D874" s="130"/>
      <c r="E874" s="163"/>
      <c r="F874" s="163"/>
      <c r="G874" s="163"/>
      <c r="H874" s="163"/>
      <c r="I874" s="163"/>
      <c r="J874" s="163"/>
      <c r="K874" s="130"/>
      <c r="L874" s="130"/>
      <c r="M874" s="130"/>
      <c r="N874" s="130"/>
      <c r="O874" s="130"/>
      <c r="P874" s="130"/>
      <c r="Q874" s="130"/>
      <c r="R874" s="130"/>
      <c r="S874" s="163"/>
      <c r="T874" s="163"/>
      <c r="U874" s="163"/>
      <c r="V874" s="163"/>
      <c r="W874" s="163"/>
      <c r="X874" s="163"/>
      <c r="Y874" s="163"/>
      <c r="Z874" s="163"/>
      <c r="AA874" s="163"/>
      <c r="AB874" s="163"/>
      <c r="AC874" s="163"/>
      <c r="AD874" s="163"/>
      <c r="AE874" s="163"/>
      <c r="AF874" s="163"/>
      <c r="AG874" s="163"/>
      <c r="AH874" s="163"/>
      <c r="AI874" s="163"/>
      <c r="AJ874" s="163"/>
      <c r="AK874" s="163"/>
      <c r="AL874" s="163"/>
      <c r="AM874" s="163"/>
      <c r="AN874" s="130"/>
      <c r="AO874" s="130"/>
      <c r="AP874" s="130"/>
      <c r="AQ874" s="130"/>
      <c r="AR874" s="130"/>
      <c r="AS874" s="130"/>
      <c r="AT874" s="130"/>
    </row>
    <row r="875" ht="13.5" customHeight="1">
      <c r="A875" s="130"/>
      <c r="B875" s="130"/>
      <c r="C875" s="130"/>
      <c r="D875" s="130"/>
      <c r="E875" s="163"/>
      <c r="F875" s="163"/>
      <c r="G875" s="163"/>
      <c r="H875" s="163"/>
      <c r="I875" s="163"/>
      <c r="J875" s="163"/>
      <c r="K875" s="130"/>
      <c r="L875" s="130"/>
      <c r="M875" s="130"/>
      <c r="N875" s="130"/>
      <c r="O875" s="130"/>
      <c r="P875" s="130"/>
      <c r="Q875" s="130"/>
      <c r="R875" s="130"/>
      <c r="S875" s="163"/>
      <c r="T875" s="163"/>
      <c r="U875" s="163"/>
      <c r="V875" s="163"/>
      <c r="W875" s="163"/>
      <c r="X875" s="163"/>
      <c r="Y875" s="163"/>
      <c r="Z875" s="163"/>
      <c r="AA875" s="163"/>
      <c r="AB875" s="163"/>
      <c r="AC875" s="163"/>
      <c r="AD875" s="163"/>
      <c r="AE875" s="163"/>
      <c r="AF875" s="163"/>
      <c r="AG875" s="163"/>
      <c r="AH875" s="163"/>
      <c r="AI875" s="163"/>
      <c r="AJ875" s="163"/>
      <c r="AK875" s="163"/>
      <c r="AL875" s="163"/>
      <c r="AM875" s="163"/>
      <c r="AN875" s="130"/>
      <c r="AO875" s="130"/>
      <c r="AP875" s="130"/>
      <c r="AQ875" s="130"/>
      <c r="AR875" s="130"/>
      <c r="AS875" s="130"/>
      <c r="AT875" s="130"/>
    </row>
    <row r="876" ht="13.5" customHeight="1">
      <c r="A876" s="130"/>
      <c r="B876" s="130"/>
      <c r="C876" s="130"/>
      <c r="D876" s="130"/>
      <c r="E876" s="163"/>
      <c r="F876" s="163"/>
      <c r="G876" s="163"/>
      <c r="H876" s="163"/>
      <c r="I876" s="163"/>
      <c r="J876" s="163"/>
      <c r="K876" s="130"/>
      <c r="L876" s="130"/>
      <c r="M876" s="130"/>
      <c r="N876" s="130"/>
      <c r="O876" s="130"/>
      <c r="P876" s="130"/>
      <c r="Q876" s="130"/>
      <c r="R876" s="130"/>
      <c r="S876" s="163"/>
      <c r="T876" s="163"/>
      <c r="U876" s="163"/>
      <c r="V876" s="163"/>
      <c r="W876" s="163"/>
      <c r="X876" s="163"/>
      <c r="Y876" s="163"/>
      <c r="Z876" s="163"/>
      <c r="AA876" s="163"/>
      <c r="AB876" s="163"/>
      <c r="AC876" s="163"/>
      <c r="AD876" s="163"/>
      <c r="AE876" s="163"/>
      <c r="AF876" s="163"/>
      <c r="AG876" s="163"/>
      <c r="AH876" s="163"/>
      <c r="AI876" s="163"/>
      <c r="AJ876" s="163"/>
      <c r="AK876" s="163"/>
      <c r="AL876" s="163"/>
      <c r="AM876" s="163"/>
      <c r="AN876" s="130"/>
      <c r="AO876" s="130"/>
      <c r="AP876" s="130"/>
      <c r="AQ876" s="130"/>
      <c r="AR876" s="130"/>
      <c r="AS876" s="130"/>
      <c r="AT876" s="130"/>
    </row>
    <row r="877" ht="13.5" customHeight="1">
      <c r="A877" s="130"/>
      <c r="B877" s="130"/>
      <c r="C877" s="130"/>
      <c r="D877" s="130"/>
      <c r="E877" s="163"/>
      <c r="F877" s="163"/>
      <c r="G877" s="163"/>
      <c r="H877" s="163"/>
      <c r="I877" s="163"/>
      <c r="J877" s="163"/>
      <c r="K877" s="130"/>
      <c r="L877" s="130"/>
      <c r="M877" s="130"/>
      <c r="N877" s="130"/>
      <c r="O877" s="130"/>
      <c r="P877" s="130"/>
      <c r="Q877" s="130"/>
      <c r="R877" s="130"/>
      <c r="S877" s="163"/>
      <c r="T877" s="163"/>
      <c r="U877" s="163"/>
      <c r="V877" s="163"/>
      <c r="W877" s="163"/>
      <c r="X877" s="163"/>
      <c r="Y877" s="163"/>
      <c r="Z877" s="163"/>
      <c r="AA877" s="163"/>
      <c r="AB877" s="163"/>
      <c r="AC877" s="163"/>
      <c r="AD877" s="163"/>
      <c r="AE877" s="163"/>
      <c r="AF877" s="163"/>
      <c r="AG877" s="163"/>
      <c r="AH877" s="163"/>
      <c r="AI877" s="163"/>
      <c r="AJ877" s="163"/>
      <c r="AK877" s="163"/>
      <c r="AL877" s="163"/>
      <c r="AM877" s="163"/>
      <c r="AN877" s="130"/>
      <c r="AO877" s="130"/>
      <c r="AP877" s="130"/>
      <c r="AQ877" s="130"/>
      <c r="AR877" s="130"/>
      <c r="AS877" s="130"/>
      <c r="AT877" s="130"/>
    </row>
    <row r="878" ht="13.5" customHeight="1">
      <c r="A878" s="130"/>
      <c r="B878" s="130"/>
      <c r="C878" s="130"/>
      <c r="D878" s="130"/>
      <c r="E878" s="163"/>
      <c r="F878" s="163"/>
      <c r="G878" s="163"/>
      <c r="H878" s="163"/>
      <c r="I878" s="163"/>
      <c r="J878" s="163"/>
      <c r="K878" s="130"/>
      <c r="L878" s="130"/>
      <c r="M878" s="130"/>
      <c r="N878" s="130"/>
      <c r="O878" s="130"/>
      <c r="P878" s="130"/>
      <c r="Q878" s="130"/>
      <c r="R878" s="130"/>
      <c r="S878" s="163"/>
      <c r="T878" s="163"/>
      <c r="U878" s="163"/>
      <c r="V878" s="163"/>
      <c r="W878" s="163"/>
      <c r="X878" s="163"/>
      <c r="Y878" s="163"/>
      <c r="Z878" s="163"/>
      <c r="AA878" s="163"/>
      <c r="AB878" s="163"/>
      <c r="AC878" s="163"/>
      <c r="AD878" s="163"/>
      <c r="AE878" s="163"/>
      <c r="AF878" s="163"/>
      <c r="AG878" s="163"/>
      <c r="AH878" s="163"/>
      <c r="AI878" s="163"/>
      <c r="AJ878" s="163"/>
      <c r="AK878" s="163"/>
      <c r="AL878" s="163"/>
      <c r="AM878" s="163"/>
      <c r="AN878" s="130"/>
      <c r="AO878" s="130"/>
      <c r="AP878" s="130"/>
      <c r="AQ878" s="130"/>
      <c r="AR878" s="130"/>
      <c r="AS878" s="130"/>
      <c r="AT878" s="130"/>
    </row>
    <row r="879" ht="13.5" customHeight="1">
      <c r="A879" s="130"/>
      <c r="B879" s="130"/>
      <c r="C879" s="130"/>
      <c r="D879" s="130"/>
      <c r="E879" s="163"/>
      <c r="F879" s="163"/>
      <c r="G879" s="163"/>
      <c r="H879" s="163"/>
      <c r="I879" s="163"/>
      <c r="J879" s="163"/>
      <c r="K879" s="130"/>
      <c r="L879" s="130"/>
      <c r="M879" s="130"/>
      <c r="N879" s="130"/>
      <c r="O879" s="130"/>
      <c r="P879" s="130"/>
      <c r="Q879" s="130"/>
      <c r="R879" s="130"/>
      <c r="S879" s="163"/>
      <c r="T879" s="163"/>
      <c r="U879" s="163"/>
      <c r="V879" s="163"/>
      <c r="W879" s="163"/>
      <c r="X879" s="163"/>
      <c r="Y879" s="163"/>
      <c r="Z879" s="163"/>
      <c r="AA879" s="163"/>
      <c r="AB879" s="163"/>
      <c r="AC879" s="163"/>
      <c r="AD879" s="163"/>
      <c r="AE879" s="163"/>
      <c r="AF879" s="163"/>
      <c r="AG879" s="163"/>
      <c r="AH879" s="163"/>
      <c r="AI879" s="163"/>
      <c r="AJ879" s="163"/>
      <c r="AK879" s="163"/>
      <c r="AL879" s="163"/>
      <c r="AM879" s="163"/>
      <c r="AN879" s="130"/>
      <c r="AO879" s="130"/>
      <c r="AP879" s="130"/>
      <c r="AQ879" s="130"/>
      <c r="AR879" s="130"/>
      <c r="AS879" s="130"/>
      <c r="AT879" s="130"/>
    </row>
    <row r="880" ht="13.5" customHeight="1">
      <c r="A880" s="130"/>
      <c r="B880" s="130"/>
      <c r="C880" s="130"/>
      <c r="D880" s="130"/>
      <c r="E880" s="163"/>
      <c r="F880" s="163"/>
      <c r="G880" s="163"/>
      <c r="H880" s="163"/>
      <c r="I880" s="163"/>
      <c r="J880" s="163"/>
      <c r="K880" s="130"/>
      <c r="L880" s="130"/>
      <c r="M880" s="130"/>
      <c r="N880" s="130"/>
      <c r="O880" s="130"/>
      <c r="P880" s="130"/>
      <c r="Q880" s="130"/>
      <c r="R880" s="130"/>
      <c r="S880" s="163"/>
      <c r="T880" s="163"/>
      <c r="U880" s="163"/>
      <c r="V880" s="163"/>
      <c r="W880" s="163"/>
      <c r="X880" s="163"/>
      <c r="Y880" s="163"/>
      <c r="Z880" s="163"/>
      <c r="AA880" s="163"/>
      <c r="AB880" s="163"/>
      <c r="AC880" s="163"/>
      <c r="AD880" s="163"/>
      <c r="AE880" s="163"/>
      <c r="AF880" s="163"/>
      <c r="AG880" s="163"/>
      <c r="AH880" s="163"/>
      <c r="AI880" s="163"/>
      <c r="AJ880" s="163"/>
      <c r="AK880" s="163"/>
      <c r="AL880" s="163"/>
      <c r="AM880" s="163"/>
      <c r="AN880" s="130"/>
      <c r="AO880" s="130"/>
      <c r="AP880" s="130"/>
      <c r="AQ880" s="130"/>
      <c r="AR880" s="130"/>
      <c r="AS880" s="130"/>
      <c r="AT880" s="130"/>
    </row>
    <row r="881" ht="13.5" customHeight="1">
      <c r="A881" s="130"/>
      <c r="B881" s="130"/>
      <c r="C881" s="130"/>
      <c r="D881" s="130"/>
      <c r="E881" s="163"/>
      <c r="F881" s="163"/>
      <c r="G881" s="163"/>
      <c r="H881" s="163"/>
      <c r="I881" s="163"/>
      <c r="J881" s="163"/>
      <c r="K881" s="130"/>
      <c r="L881" s="130"/>
      <c r="M881" s="130"/>
      <c r="N881" s="130"/>
      <c r="O881" s="130"/>
      <c r="P881" s="130"/>
      <c r="Q881" s="130"/>
      <c r="R881" s="130"/>
      <c r="S881" s="163"/>
      <c r="T881" s="163"/>
      <c r="U881" s="163"/>
      <c r="V881" s="163"/>
      <c r="W881" s="163"/>
      <c r="X881" s="163"/>
      <c r="Y881" s="163"/>
      <c r="Z881" s="163"/>
      <c r="AA881" s="163"/>
      <c r="AB881" s="163"/>
      <c r="AC881" s="163"/>
      <c r="AD881" s="163"/>
      <c r="AE881" s="163"/>
      <c r="AF881" s="163"/>
      <c r="AG881" s="163"/>
      <c r="AH881" s="163"/>
      <c r="AI881" s="163"/>
      <c r="AJ881" s="163"/>
      <c r="AK881" s="163"/>
      <c r="AL881" s="163"/>
      <c r="AM881" s="163"/>
      <c r="AN881" s="130"/>
      <c r="AO881" s="130"/>
      <c r="AP881" s="130"/>
      <c r="AQ881" s="130"/>
      <c r="AR881" s="130"/>
      <c r="AS881" s="130"/>
      <c r="AT881" s="130"/>
    </row>
    <row r="882" ht="13.5" customHeight="1">
      <c r="A882" s="130"/>
      <c r="B882" s="130"/>
      <c r="C882" s="130"/>
      <c r="D882" s="130"/>
      <c r="E882" s="163"/>
      <c r="F882" s="163"/>
      <c r="G882" s="163"/>
      <c r="H882" s="163"/>
      <c r="I882" s="163"/>
      <c r="J882" s="163"/>
      <c r="K882" s="130"/>
      <c r="L882" s="130"/>
      <c r="M882" s="130"/>
      <c r="N882" s="130"/>
      <c r="O882" s="130"/>
      <c r="P882" s="130"/>
      <c r="Q882" s="130"/>
      <c r="R882" s="130"/>
      <c r="S882" s="163"/>
      <c r="T882" s="163"/>
      <c r="U882" s="163"/>
      <c r="V882" s="163"/>
      <c r="W882" s="163"/>
      <c r="X882" s="163"/>
      <c r="Y882" s="163"/>
      <c r="Z882" s="163"/>
      <c r="AA882" s="163"/>
      <c r="AB882" s="163"/>
      <c r="AC882" s="163"/>
      <c r="AD882" s="163"/>
      <c r="AE882" s="163"/>
      <c r="AF882" s="163"/>
      <c r="AG882" s="163"/>
      <c r="AH882" s="163"/>
      <c r="AI882" s="163"/>
      <c r="AJ882" s="163"/>
      <c r="AK882" s="163"/>
      <c r="AL882" s="163"/>
      <c r="AM882" s="163"/>
      <c r="AN882" s="130"/>
      <c r="AO882" s="130"/>
      <c r="AP882" s="130"/>
      <c r="AQ882" s="130"/>
      <c r="AR882" s="130"/>
      <c r="AS882" s="130"/>
      <c r="AT882" s="130"/>
    </row>
    <row r="883" ht="13.5" customHeight="1">
      <c r="A883" s="130"/>
      <c r="B883" s="130"/>
      <c r="C883" s="130"/>
      <c r="D883" s="130"/>
      <c r="E883" s="163"/>
      <c r="F883" s="163"/>
      <c r="G883" s="163"/>
      <c r="H883" s="163"/>
      <c r="I883" s="163"/>
      <c r="J883" s="163"/>
      <c r="K883" s="130"/>
      <c r="L883" s="130"/>
      <c r="M883" s="130"/>
      <c r="N883" s="130"/>
      <c r="O883" s="130"/>
      <c r="P883" s="130"/>
      <c r="Q883" s="130"/>
      <c r="R883" s="130"/>
      <c r="S883" s="163"/>
      <c r="T883" s="163"/>
      <c r="U883" s="163"/>
      <c r="V883" s="163"/>
      <c r="W883" s="163"/>
      <c r="X883" s="163"/>
      <c r="Y883" s="163"/>
      <c r="Z883" s="163"/>
      <c r="AA883" s="163"/>
      <c r="AB883" s="163"/>
      <c r="AC883" s="163"/>
      <c r="AD883" s="163"/>
      <c r="AE883" s="163"/>
      <c r="AF883" s="163"/>
      <c r="AG883" s="163"/>
      <c r="AH883" s="163"/>
      <c r="AI883" s="163"/>
      <c r="AJ883" s="163"/>
      <c r="AK883" s="163"/>
      <c r="AL883" s="163"/>
      <c r="AM883" s="163"/>
      <c r="AN883" s="130"/>
      <c r="AO883" s="130"/>
      <c r="AP883" s="130"/>
      <c r="AQ883" s="130"/>
      <c r="AR883" s="130"/>
      <c r="AS883" s="130"/>
      <c r="AT883" s="130"/>
    </row>
    <row r="884" ht="13.5" customHeight="1">
      <c r="A884" s="130"/>
      <c r="B884" s="130"/>
      <c r="C884" s="130"/>
      <c r="D884" s="130"/>
      <c r="E884" s="163"/>
      <c r="F884" s="163"/>
      <c r="G884" s="163"/>
      <c r="H884" s="163"/>
      <c r="I884" s="163"/>
      <c r="J884" s="163"/>
      <c r="K884" s="130"/>
      <c r="L884" s="130"/>
      <c r="M884" s="130"/>
      <c r="N884" s="130"/>
      <c r="O884" s="130"/>
      <c r="P884" s="130"/>
      <c r="Q884" s="130"/>
      <c r="R884" s="130"/>
      <c r="S884" s="163"/>
      <c r="T884" s="163"/>
      <c r="U884" s="163"/>
      <c r="V884" s="163"/>
      <c r="W884" s="163"/>
      <c r="X884" s="163"/>
      <c r="Y884" s="163"/>
      <c r="Z884" s="163"/>
      <c r="AA884" s="163"/>
      <c r="AB884" s="163"/>
      <c r="AC884" s="163"/>
      <c r="AD884" s="163"/>
      <c r="AE884" s="163"/>
      <c r="AF884" s="163"/>
      <c r="AG884" s="163"/>
      <c r="AH884" s="163"/>
      <c r="AI884" s="163"/>
      <c r="AJ884" s="163"/>
      <c r="AK884" s="163"/>
      <c r="AL884" s="163"/>
      <c r="AM884" s="163"/>
      <c r="AN884" s="130"/>
      <c r="AO884" s="130"/>
      <c r="AP884" s="130"/>
      <c r="AQ884" s="130"/>
      <c r="AR884" s="130"/>
      <c r="AS884" s="130"/>
      <c r="AT884" s="130"/>
    </row>
    <row r="885" ht="13.5" customHeight="1">
      <c r="A885" s="130"/>
      <c r="B885" s="130"/>
      <c r="C885" s="130"/>
      <c r="D885" s="130"/>
      <c r="E885" s="163"/>
      <c r="F885" s="163"/>
      <c r="G885" s="163"/>
      <c r="H885" s="163"/>
      <c r="I885" s="163"/>
      <c r="J885" s="163"/>
      <c r="K885" s="130"/>
      <c r="L885" s="130"/>
      <c r="M885" s="130"/>
      <c r="N885" s="130"/>
      <c r="O885" s="130"/>
      <c r="P885" s="130"/>
      <c r="Q885" s="130"/>
      <c r="R885" s="130"/>
      <c r="S885" s="163"/>
      <c r="T885" s="163"/>
      <c r="U885" s="163"/>
      <c r="V885" s="163"/>
      <c r="W885" s="163"/>
      <c r="X885" s="163"/>
      <c r="Y885" s="163"/>
      <c r="Z885" s="163"/>
      <c r="AA885" s="163"/>
      <c r="AB885" s="163"/>
      <c r="AC885" s="163"/>
      <c r="AD885" s="163"/>
      <c r="AE885" s="163"/>
      <c r="AF885" s="163"/>
      <c r="AG885" s="163"/>
      <c r="AH885" s="163"/>
      <c r="AI885" s="163"/>
      <c r="AJ885" s="163"/>
      <c r="AK885" s="163"/>
      <c r="AL885" s="163"/>
      <c r="AM885" s="163"/>
      <c r="AN885" s="130"/>
      <c r="AO885" s="130"/>
      <c r="AP885" s="130"/>
      <c r="AQ885" s="130"/>
      <c r="AR885" s="130"/>
      <c r="AS885" s="130"/>
      <c r="AT885" s="130"/>
    </row>
    <row r="886" ht="13.5" customHeight="1">
      <c r="A886" s="130"/>
      <c r="B886" s="130"/>
      <c r="C886" s="130"/>
      <c r="D886" s="130"/>
      <c r="E886" s="163"/>
      <c r="F886" s="163"/>
      <c r="G886" s="163"/>
      <c r="H886" s="163"/>
      <c r="I886" s="163"/>
      <c r="J886" s="163"/>
      <c r="K886" s="130"/>
      <c r="L886" s="130"/>
      <c r="M886" s="130"/>
      <c r="N886" s="130"/>
      <c r="O886" s="130"/>
      <c r="P886" s="130"/>
      <c r="Q886" s="130"/>
      <c r="R886" s="130"/>
      <c r="S886" s="163"/>
      <c r="T886" s="163"/>
      <c r="U886" s="163"/>
      <c r="V886" s="163"/>
      <c r="W886" s="163"/>
      <c r="X886" s="163"/>
      <c r="Y886" s="163"/>
      <c r="Z886" s="163"/>
      <c r="AA886" s="163"/>
      <c r="AB886" s="163"/>
      <c r="AC886" s="163"/>
      <c r="AD886" s="163"/>
      <c r="AE886" s="163"/>
      <c r="AF886" s="163"/>
      <c r="AG886" s="163"/>
      <c r="AH886" s="163"/>
      <c r="AI886" s="163"/>
      <c r="AJ886" s="163"/>
      <c r="AK886" s="163"/>
      <c r="AL886" s="163"/>
      <c r="AM886" s="163"/>
      <c r="AN886" s="130"/>
      <c r="AO886" s="130"/>
      <c r="AP886" s="130"/>
      <c r="AQ886" s="130"/>
      <c r="AR886" s="130"/>
      <c r="AS886" s="130"/>
      <c r="AT886" s="130"/>
    </row>
    <row r="887" ht="13.5" customHeight="1">
      <c r="A887" s="130"/>
      <c r="B887" s="130"/>
      <c r="C887" s="130"/>
      <c r="D887" s="130"/>
      <c r="E887" s="163"/>
      <c r="F887" s="163"/>
      <c r="G887" s="163"/>
      <c r="H887" s="163"/>
      <c r="I887" s="163"/>
      <c r="J887" s="163"/>
      <c r="K887" s="130"/>
      <c r="L887" s="130"/>
      <c r="M887" s="130"/>
      <c r="N887" s="130"/>
      <c r="O887" s="130"/>
      <c r="P887" s="130"/>
      <c r="Q887" s="130"/>
      <c r="R887" s="130"/>
      <c r="S887" s="163"/>
      <c r="T887" s="163"/>
      <c r="U887" s="163"/>
      <c r="V887" s="163"/>
      <c r="W887" s="163"/>
      <c r="X887" s="163"/>
      <c r="Y887" s="163"/>
      <c r="Z887" s="163"/>
      <c r="AA887" s="163"/>
      <c r="AB887" s="163"/>
      <c r="AC887" s="163"/>
      <c r="AD887" s="163"/>
      <c r="AE887" s="163"/>
      <c r="AF887" s="163"/>
      <c r="AG887" s="163"/>
      <c r="AH887" s="163"/>
      <c r="AI887" s="163"/>
      <c r="AJ887" s="163"/>
      <c r="AK887" s="163"/>
      <c r="AL887" s="163"/>
      <c r="AM887" s="163"/>
      <c r="AN887" s="130"/>
      <c r="AO887" s="130"/>
      <c r="AP887" s="130"/>
      <c r="AQ887" s="130"/>
      <c r="AR887" s="130"/>
      <c r="AS887" s="130"/>
      <c r="AT887" s="130"/>
    </row>
    <row r="888" ht="13.5" customHeight="1">
      <c r="A888" s="130"/>
      <c r="B888" s="130"/>
      <c r="C888" s="130"/>
      <c r="D888" s="130"/>
      <c r="E888" s="163"/>
      <c r="F888" s="163"/>
      <c r="G888" s="163"/>
      <c r="H888" s="163"/>
      <c r="I888" s="163"/>
      <c r="J888" s="163"/>
      <c r="K888" s="130"/>
      <c r="L888" s="130"/>
      <c r="M888" s="130"/>
      <c r="N888" s="130"/>
      <c r="O888" s="130"/>
      <c r="P888" s="130"/>
      <c r="Q888" s="130"/>
      <c r="R888" s="130"/>
      <c r="S888" s="163"/>
      <c r="T888" s="163"/>
      <c r="U888" s="163"/>
      <c r="V888" s="163"/>
      <c r="W888" s="163"/>
      <c r="X888" s="163"/>
      <c r="Y888" s="163"/>
      <c r="Z888" s="163"/>
      <c r="AA888" s="163"/>
      <c r="AB888" s="163"/>
      <c r="AC888" s="163"/>
      <c r="AD888" s="163"/>
      <c r="AE888" s="163"/>
      <c r="AF888" s="163"/>
      <c r="AG888" s="163"/>
      <c r="AH888" s="163"/>
      <c r="AI888" s="163"/>
      <c r="AJ888" s="163"/>
      <c r="AK888" s="163"/>
      <c r="AL888" s="163"/>
      <c r="AM888" s="163"/>
      <c r="AN888" s="130"/>
      <c r="AO888" s="130"/>
      <c r="AP888" s="130"/>
      <c r="AQ888" s="130"/>
      <c r="AR888" s="130"/>
      <c r="AS888" s="130"/>
      <c r="AT888" s="130"/>
    </row>
    <row r="889" ht="13.5" customHeight="1">
      <c r="A889" s="130"/>
      <c r="B889" s="130"/>
      <c r="C889" s="130"/>
      <c r="D889" s="130"/>
      <c r="E889" s="163"/>
      <c r="F889" s="163"/>
      <c r="G889" s="163"/>
      <c r="H889" s="163"/>
      <c r="I889" s="163"/>
      <c r="J889" s="163"/>
      <c r="K889" s="130"/>
      <c r="L889" s="130"/>
      <c r="M889" s="130"/>
      <c r="N889" s="130"/>
      <c r="O889" s="130"/>
      <c r="P889" s="130"/>
      <c r="Q889" s="130"/>
      <c r="R889" s="130"/>
      <c r="S889" s="163"/>
      <c r="T889" s="163"/>
      <c r="U889" s="163"/>
      <c r="V889" s="163"/>
      <c r="W889" s="163"/>
      <c r="X889" s="163"/>
      <c r="Y889" s="163"/>
      <c r="Z889" s="163"/>
      <c r="AA889" s="163"/>
      <c r="AB889" s="163"/>
      <c r="AC889" s="163"/>
      <c r="AD889" s="163"/>
      <c r="AE889" s="163"/>
      <c r="AF889" s="163"/>
      <c r="AG889" s="163"/>
      <c r="AH889" s="163"/>
      <c r="AI889" s="163"/>
      <c r="AJ889" s="163"/>
      <c r="AK889" s="163"/>
      <c r="AL889" s="163"/>
      <c r="AM889" s="163"/>
      <c r="AN889" s="130"/>
      <c r="AO889" s="130"/>
      <c r="AP889" s="130"/>
      <c r="AQ889" s="130"/>
      <c r="AR889" s="130"/>
      <c r="AS889" s="130"/>
      <c r="AT889" s="130"/>
    </row>
    <row r="890" ht="13.5" customHeight="1">
      <c r="A890" s="130"/>
      <c r="B890" s="130"/>
      <c r="C890" s="130"/>
      <c r="D890" s="130"/>
      <c r="E890" s="163"/>
      <c r="F890" s="163"/>
      <c r="G890" s="163"/>
      <c r="H890" s="163"/>
      <c r="I890" s="163"/>
      <c r="J890" s="163"/>
      <c r="K890" s="130"/>
      <c r="L890" s="130"/>
      <c r="M890" s="130"/>
      <c r="N890" s="130"/>
      <c r="O890" s="130"/>
      <c r="P890" s="130"/>
      <c r="Q890" s="130"/>
      <c r="R890" s="130"/>
      <c r="S890" s="163"/>
      <c r="T890" s="163"/>
      <c r="U890" s="163"/>
      <c r="V890" s="163"/>
      <c r="W890" s="163"/>
      <c r="X890" s="163"/>
      <c r="Y890" s="163"/>
      <c r="Z890" s="163"/>
      <c r="AA890" s="163"/>
      <c r="AB890" s="163"/>
      <c r="AC890" s="163"/>
      <c r="AD890" s="163"/>
      <c r="AE890" s="163"/>
      <c r="AF890" s="163"/>
      <c r="AG890" s="163"/>
      <c r="AH890" s="163"/>
      <c r="AI890" s="163"/>
      <c r="AJ890" s="163"/>
      <c r="AK890" s="163"/>
      <c r="AL890" s="163"/>
      <c r="AM890" s="163"/>
      <c r="AN890" s="130"/>
      <c r="AO890" s="130"/>
      <c r="AP890" s="130"/>
      <c r="AQ890" s="130"/>
      <c r="AR890" s="130"/>
      <c r="AS890" s="130"/>
      <c r="AT890" s="130"/>
    </row>
    <row r="891" ht="13.5" customHeight="1">
      <c r="A891" s="130"/>
      <c r="B891" s="130"/>
      <c r="C891" s="130"/>
      <c r="D891" s="130"/>
      <c r="E891" s="163"/>
      <c r="F891" s="163"/>
      <c r="G891" s="163"/>
      <c r="H891" s="163"/>
      <c r="I891" s="163"/>
      <c r="J891" s="163"/>
      <c r="K891" s="130"/>
      <c r="L891" s="130"/>
      <c r="M891" s="130"/>
      <c r="N891" s="130"/>
      <c r="O891" s="130"/>
      <c r="P891" s="130"/>
      <c r="Q891" s="130"/>
      <c r="R891" s="130"/>
      <c r="S891" s="163"/>
      <c r="T891" s="163"/>
      <c r="U891" s="163"/>
      <c r="V891" s="163"/>
      <c r="W891" s="163"/>
      <c r="X891" s="163"/>
      <c r="Y891" s="163"/>
      <c r="Z891" s="163"/>
      <c r="AA891" s="163"/>
      <c r="AB891" s="163"/>
      <c r="AC891" s="163"/>
      <c r="AD891" s="163"/>
      <c r="AE891" s="163"/>
      <c r="AF891" s="163"/>
      <c r="AG891" s="163"/>
      <c r="AH891" s="163"/>
      <c r="AI891" s="163"/>
      <c r="AJ891" s="163"/>
      <c r="AK891" s="163"/>
      <c r="AL891" s="163"/>
      <c r="AM891" s="163"/>
      <c r="AN891" s="130"/>
      <c r="AO891" s="130"/>
      <c r="AP891" s="130"/>
      <c r="AQ891" s="130"/>
      <c r="AR891" s="130"/>
      <c r="AS891" s="130"/>
      <c r="AT891" s="130"/>
    </row>
    <row r="892" ht="13.5" customHeight="1">
      <c r="A892" s="130"/>
      <c r="B892" s="130"/>
      <c r="C892" s="130"/>
      <c r="D892" s="130"/>
      <c r="E892" s="163"/>
      <c r="F892" s="163"/>
      <c r="G892" s="163"/>
      <c r="H892" s="163"/>
      <c r="I892" s="163"/>
      <c r="J892" s="163"/>
      <c r="K892" s="130"/>
      <c r="L892" s="130"/>
      <c r="M892" s="130"/>
      <c r="N892" s="130"/>
      <c r="O892" s="130"/>
      <c r="P892" s="130"/>
      <c r="Q892" s="130"/>
      <c r="R892" s="130"/>
      <c r="S892" s="163"/>
      <c r="T892" s="163"/>
      <c r="U892" s="163"/>
      <c r="V892" s="163"/>
      <c r="W892" s="163"/>
      <c r="X892" s="163"/>
      <c r="Y892" s="163"/>
      <c r="Z892" s="163"/>
      <c r="AA892" s="163"/>
      <c r="AB892" s="163"/>
      <c r="AC892" s="163"/>
      <c r="AD892" s="163"/>
      <c r="AE892" s="163"/>
      <c r="AF892" s="163"/>
      <c r="AG892" s="163"/>
      <c r="AH892" s="163"/>
      <c r="AI892" s="163"/>
      <c r="AJ892" s="163"/>
      <c r="AK892" s="163"/>
      <c r="AL892" s="163"/>
      <c r="AM892" s="163"/>
      <c r="AN892" s="130"/>
      <c r="AO892" s="130"/>
      <c r="AP892" s="130"/>
      <c r="AQ892" s="130"/>
      <c r="AR892" s="130"/>
      <c r="AS892" s="130"/>
      <c r="AT892" s="130"/>
    </row>
    <row r="893" ht="13.5" customHeight="1">
      <c r="A893" s="130"/>
      <c r="B893" s="130"/>
      <c r="C893" s="130"/>
      <c r="D893" s="130"/>
      <c r="E893" s="163"/>
      <c r="F893" s="163"/>
      <c r="G893" s="163"/>
      <c r="H893" s="163"/>
      <c r="I893" s="163"/>
      <c r="J893" s="163"/>
      <c r="K893" s="130"/>
      <c r="L893" s="130"/>
      <c r="M893" s="130"/>
      <c r="N893" s="130"/>
      <c r="O893" s="130"/>
      <c r="P893" s="130"/>
      <c r="Q893" s="130"/>
      <c r="R893" s="130"/>
      <c r="S893" s="163"/>
      <c r="T893" s="163"/>
      <c r="U893" s="163"/>
      <c r="V893" s="163"/>
      <c r="W893" s="163"/>
      <c r="X893" s="163"/>
      <c r="Y893" s="163"/>
      <c r="Z893" s="163"/>
      <c r="AA893" s="163"/>
      <c r="AB893" s="163"/>
      <c r="AC893" s="163"/>
      <c r="AD893" s="163"/>
      <c r="AE893" s="163"/>
      <c r="AF893" s="163"/>
      <c r="AG893" s="163"/>
      <c r="AH893" s="163"/>
      <c r="AI893" s="163"/>
      <c r="AJ893" s="163"/>
      <c r="AK893" s="163"/>
      <c r="AL893" s="163"/>
      <c r="AM893" s="163"/>
      <c r="AN893" s="130"/>
      <c r="AO893" s="130"/>
      <c r="AP893" s="130"/>
      <c r="AQ893" s="130"/>
      <c r="AR893" s="130"/>
      <c r="AS893" s="130"/>
      <c r="AT893" s="130"/>
    </row>
    <row r="894" ht="13.5" customHeight="1">
      <c r="A894" s="130"/>
      <c r="B894" s="130"/>
      <c r="C894" s="130"/>
      <c r="D894" s="130"/>
      <c r="E894" s="163"/>
      <c r="F894" s="163"/>
      <c r="G894" s="163"/>
      <c r="H894" s="163"/>
      <c r="I894" s="163"/>
      <c r="J894" s="163"/>
      <c r="K894" s="130"/>
      <c r="L894" s="130"/>
      <c r="M894" s="130"/>
      <c r="N894" s="130"/>
      <c r="O894" s="130"/>
      <c r="P894" s="130"/>
      <c r="Q894" s="130"/>
      <c r="R894" s="130"/>
      <c r="S894" s="163"/>
      <c r="T894" s="163"/>
      <c r="U894" s="163"/>
      <c r="V894" s="163"/>
      <c r="W894" s="163"/>
      <c r="X894" s="163"/>
      <c r="Y894" s="163"/>
      <c r="Z894" s="163"/>
      <c r="AA894" s="163"/>
      <c r="AB894" s="163"/>
      <c r="AC894" s="163"/>
      <c r="AD894" s="163"/>
      <c r="AE894" s="163"/>
      <c r="AF894" s="163"/>
      <c r="AG894" s="163"/>
      <c r="AH894" s="163"/>
      <c r="AI894" s="163"/>
      <c r="AJ894" s="163"/>
      <c r="AK894" s="163"/>
      <c r="AL894" s="163"/>
      <c r="AM894" s="163"/>
      <c r="AN894" s="130"/>
      <c r="AO894" s="130"/>
      <c r="AP894" s="130"/>
      <c r="AQ894" s="130"/>
      <c r="AR894" s="130"/>
      <c r="AS894" s="130"/>
      <c r="AT894" s="130"/>
    </row>
    <row r="895" ht="13.5" customHeight="1">
      <c r="A895" s="130"/>
      <c r="B895" s="130"/>
      <c r="C895" s="130"/>
      <c r="D895" s="130"/>
      <c r="E895" s="163"/>
      <c r="F895" s="163"/>
      <c r="G895" s="163"/>
      <c r="H895" s="163"/>
      <c r="I895" s="163"/>
      <c r="J895" s="163"/>
      <c r="K895" s="130"/>
      <c r="L895" s="130"/>
      <c r="M895" s="130"/>
      <c r="N895" s="130"/>
      <c r="O895" s="130"/>
      <c r="P895" s="130"/>
      <c r="Q895" s="130"/>
      <c r="R895" s="130"/>
      <c r="S895" s="163"/>
      <c r="T895" s="163"/>
      <c r="U895" s="163"/>
      <c r="V895" s="163"/>
      <c r="W895" s="163"/>
      <c r="X895" s="163"/>
      <c r="Y895" s="163"/>
      <c r="Z895" s="163"/>
      <c r="AA895" s="163"/>
      <c r="AB895" s="163"/>
      <c r="AC895" s="163"/>
      <c r="AD895" s="163"/>
      <c r="AE895" s="163"/>
      <c r="AF895" s="163"/>
      <c r="AG895" s="163"/>
      <c r="AH895" s="163"/>
      <c r="AI895" s="163"/>
      <c r="AJ895" s="163"/>
      <c r="AK895" s="163"/>
      <c r="AL895" s="163"/>
      <c r="AM895" s="163"/>
      <c r="AN895" s="130"/>
      <c r="AO895" s="130"/>
      <c r="AP895" s="130"/>
      <c r="AQ895" s="130"/>
      <c r="AR895" s="130"/>
      <c r="AS895" s="130"/>
      <c r="AT895" s="130"/>
    </row>
    <row r="896" ht="13.5" customHeight="1">
      <c r="A896" s="130"/>
      <c r="B896" s="130"/>
      <c r="C896" s="130"/>
      <c r="D896" s="130"/>
      <c r="E896" s="163"/>
      <c r="F896" s="163"/>
      <c r="G896" s="163"/>
      <c r="H896" s="163"/>
      <c r="I896" s="163"/>
      <c r="J896" s="163"/>
      <c r="K896" s="130"/>
      <c r="L896" s="130"/>
      <c r="M896" s="130"/>
      <c r="N896" s="130"/>
      <c r="O896" s="130"/>
      <c r="P896" s="130"/>
      <c r="Q896" s="130"/>
      <c r="R896" s="130"/>
      <c r="S896" s="163"/>
      <c r="T896" s="163"/>
      <c r="U896" s="163"/>
      <c r="V896" s="163"/>
      <c r="W896" s="163"/>
      <c r="X896" s="163"/>
      <c r="Y896" s="163"/>
      <c r="Z896" s="163"/>
      <c r="AA896" s="163"/>
      <c r="AB896" s="163"/>
      <c r="AC896" s="163"/>
      <c r="AD896" s="163"/>
      <c r="AE896" s="163"/>
      <c r="AF896" s="163"/>
      <c r="AG896" s="163"/>
      <c r="AH896" s="163"/>
      <c r="AI896" s="163"/>
      <c r="AJ896" s="163"/>
      <c r="AK896" s="163"/>
      <c r="AL896" s="163"/>
      <c r="AM896" s="163"/>
      <c r="AN896" s="130"/>
      <c r="AO896" s="130"/>
      <c r="AP896" s="130"/>
      <c r="AQ896" s="130"/>
      <c r="AR896" s="130"/>
      <c r="AS896" s="130"/>
      <c r="AT896" s="130"/>
    </row>
    <row r="897" ht="13.5" customHeight="1">
      <c r="A897" s="130"/>
      <c r="B897" s="130"/>
      <c r="C897" s="130"/>
      <c r="D897" s="130"/>
      <c r="E897" s="163"/>
      <c r="F897" s="163"/>
      <c r="G897" s="163"/>
      <c r="H897" s="163"/>
      <c r="I897" s="163"/>
      <c r="J897" s="163"/>
      <c r="K897" s="130"/>
      <c r="L897" s="130"/>
      <c r="M897" s="130"/>
      <c r="N897" s="130"/>
      <c r="O897" s="130"/>
      <c r="P897" s="130"/>
      <c r="Q897" s="130"/>
      <c r="R897" s="130"/>
      <c r="S897" s="163"/>
      <c r="T897" s="163"/>
      <c r="U897" s="163"/>
      <c r="V897" s="163"/>
      <c r="W897" s="163"/>
      <c r="X897" s="163"/>
      <c r="Y897" s="163"/>
      <c r="Z897" s="163"/>
      <c r="AA897" s="163"/>
      <c r="AB897" s="163"/>
      <c r="AC897" s="163"/>
      <c r="AD897" s="163"/>
      <c r="AE897" s="163"/>
      <c r="AF897" s="163"/>
      <c r="AG897" s="163"/>
      <c r="AH897" s="163"/>
      <c r="AI897" s="163"/>
      <c r="AJ897" s="163"/>
      <c r="AK897" s="163"/>
      <c r="AL897" s="163"/>
      <c r="AM897" s="163"/>
      <c r="AN897" s="130"/>
      <c r="AO897" s="130"/>
      <c r="AP897" s="130"/>
      <c r="AQ897" s="130"/>
      <c r="AR897" s="130"/>
      <c r="AS897" s="130"/>
      <c r="AT897" s="130"/>
    </row>
    <row r="898" ht="13.5" customHeight="1">
      <c r="A898" s="130"/>
      <c r="B898" s="130"/>
      <c r="C898" s="130"/>
      <c r="D898" s="130"/>
      <c r="E898" s="163"/>
      <c r="F898" s="163"/>
      <c r="G898" s="163"/>
      <c r="H898" s="163"/>
      <c r="I898" s="163"/>
      <c r="J898" s="163"/>
      <c r="K898" s="130"/>
      <c r="L898" s="130"/>
      <c r="M898" s="130"/>
      <c r="N898" s="130"/>
      <c r="O898" s="130"/>
      <c r="P898" s="130"/>
      <c r="Q898" s="130"/>
      <c r="R898" s="130"/>
      <c r="S898" s="163"/>
      <c r="T898" s="163"/>
      <c r="U898" s="163"/>
      <c r="V898" s="163"/>
      <c r="W898" s="163"/>
      <c r="X898" s="163"/>
      <c r="Y898" s="163"/>
      <c r="Z898" s="163"/>
      <c r="AA898" s="163"/>
      <c r="AB898" s="163"/>
      <c r="AC898" s="163"/>
      <c r="AD898" s="163"/>
      <c r="AE898" s="163"/>
      <c r="AF898" s="163"/>
      <c r="AG898" s="163"/>
      <c r="AH898" s="163"/>
      <c r="AI898" s="163"/>
      <c r="AJ898" s="163"/>
      <c r="AK898" s="163"/>
      <c r="AL898" s="163"/>
      <c r="AM898" s="163"/>
      <c r="AN898" s="130"/>
      <c r="AO898" s="130"/>
      <c r="AP898" s="130"/>
      <c r="AQ898" s="130"/>
      <c r="AR898" s="130"/>
      <c r="AS898" s="130"/>
      <c r="AT898" s="130"/>
    </row>
    <row r="899" ht="13.5" customHeight="1">
      <c r="A899" s="130"/>
      <c r="B899" s="130"/>
      <c r="C899" s="130"/>
      <c r="D899" s="130"/>
      <c r="E899" s="163"/>
      <c r="F899" s="163"/>
      <c r="G899" s="163"/>
      <c r="H899" s="163"/>
      <c r="I899" s="163"/>
      <c r="J899" s="163"/>
      <c r="K899" s="130"/>
      <c r="L899" s="130"/>
      <c r="M899" s="130"/>
      <c r="N899" s="130"/>
      <c r="O899" s="130"/>
      <c r="P899" s="130"/>
      <c r="Q899" s="130"/>
      <c r="R899" s="130"/>
      <c r="S899" s="163"/>
      <c r="T899" s="163"/>
      <c r="U899" s="163"/>
      <c r="V899" s="163"/>
      <c r="W899" s="163"/>
      <c r="X899" s="163"/>
      <c r="Y899" s="163"/>
      <c r="Z899" s="163"/>
      <c r="AA899" s="163"/>
      <c r="AB899" s="163"/>
      <c r="AC899" s="163"/>
      <c r="AD899" s="163"/>
      <c r="AE899" s="163"/>
      <c r="AF899" s="163"/>
      <c r="AG899" s="163"/>
      <c r="AH899" s="163"/>
      <c r="AI899" s="163"/>
      <c r="AJ899" s="163"/>
      <c r="AK899" s="163"/>
      <c r="AL899" s="163"/>
      <c r="AM899" s="163"/>
      <c r="AN899" s="130"/>
      <c r="AO899" s="130"/>
      <c r="AP899" s="130"/>
      <c r="AQ899" s="130"/>
      <c r="AR899" s="130"/>
      <c r="AS899" s="130"/>
      <c r="AT899" s="130"/>
    </row>
    <row r="900" ht="13.5" customHeight="1">
      <c r="A900" s="130"/>
      <c r="B900" s="130"/>
      <c r="C900" s="130"/>
      <c r="D900" s="130"/>
      <c r="E900" s="163"/>
      <c r="F900" s="163"/>
      <c r="G900" s="163"/>
      <c r="H900" s="163"/>
      <c r="I900" s="163"/>
      <c r="J900" s="163"/>
      <c r="K900" s="130"/>
      <c r="L900" s="130"/>
      <c r="M900" s="130"/>
      <c r="N900" s="130"/>
      <c r="O900" s="130"/>
      <c r="P900" s="130"/>
      <c r="Q900" s="130"/>
      <c r="R900" s="130"/>
      <c r="S900" s="163"/>
      <c r="T900" s="163"/>
      <c r="U900" s="163"/>
      <c r="V900" s="163"/>
      <c r="W900" s="163"/>
      <c r="X900" s="163"/>
      <c r="Y900" s="163"/>
      <c r="Z900" s="163"/>
      <c r="AA900" s="163"/>
      <c r="AB900" s="163"/>
      <c r="AC900" s="163"/>
      <c r="AD900" s="163"/>
      <c r="AE900" s="163"/>
      <c r="AF900" s="163"/>
      <c r="AG900" s="163"/>
      <c r="AH900" s="163"/>
      <c r="AI900" s="163"/>
      <c r="AJ900" s="163"/>
      <c r="AK900" s="163"/>
      <c r="AL900" s="163"/>
      <c r="AM900" s="163"/>
      <c r="AN900" s="130"/>
      <c r="AO900" s="130"/>
      <c r="AP900" s="130"/>
      <c r="AQ900" s="130"/>
      <c r="AR900" s="130"/>
      <c r="AS900" s="130"/>
      <c r="AT900" s="130"/>
    </row>
    <row r="901" ht="13.5" customHeight="1">
      <c r="A901" s="130"/>
      <c r="B901" s="130"/>
      <c r="C901" s="130"/>
      <c r="D901" s="130"/>
      <c r="E901" s="163"/>
      <c r="F901" s="163"/>
      <c r="G901" s="163"/>
      <c r="H901" s="163"/>
      <c r="I901" s="163"/>
      <c r="J901" s="163"/>
      <c r="K901" s="130"/>
      <c r="L901" s="130"/>
      <c r="M901" s="130"/>
      <c r="N901" s="130"/>
      <c r="O901" s="130"/>
      <c r="P901" s="130"/>
      <c r="Q901" s="130"/>
      <c r="R901" s="130"/>
      <c r="S901" s="163"/>
      <c r="T901" s="163"/>
      <c r="U901" s="163"/>
      <c r="V901" s="163"/>
      <c r="W901" s="163"/>
      <c r="X901" s="163"/>
      <c r="Y901" s="163"/>
      <c r="Z901" s="163"/>
      <c r="AA901" s="163"/>
      <c r="AB901" s="163"/>
      <c r="AC901" s="163"/>
      <c r="AD901" s="163"/>
      <c r="AE901" s="163"/>
      <c r="AF901" s="163"/>
      <c r="AG901" s="163"/>
      <c r="AH901" s="163"/>
      <c r="AI901" s="163"/>
      <c r="AJ901" s="163"/>
      <c r="AK901" s="163"/>
      <c r="AL901" s="163"/>
      <c r="AM901" s="163"/>
      <c r="AN901" s="130"/>
      <c r="AO901" s="130"/>
      <c r="AP901" s="130"/>
      <c r="AQ901" s="130"/>
      <c r="AR901" s="130"/>
      <c r="AS901" s="130"/>
      <c r="AT901" s="130"/>
    </row>
    <row r="902" ht="13.5" customHeight="1">
      <c r="A902" s="130"/>
      <c r="B902" s="130"/>
      <c r="C902" s="130"/>
      <c r="D902" s="130"/>
      <c r="E902" s="163"/>
      <c r="F902" s="163"/>
      <c r="G902" s="163"/>
      <c r="H902" s="163"/>
      <c r="I902" s="163"/>
      <c r="J902" s="163"/>
      <c r="K902" s="130"/>
      <c r="L902" s="130"/>
      <c r="M902" s="130"/>
      <c r="N902" s="130"/>
      <c r="O902" s="130"/>
      <c r="P902" s="130"/>
      <c r="Q902" s="130"/>
      <c r="R902" s="130"/>
      <c r="S902" s="163"/>
      <c r="T902" s="163"/>
      <c r="U902" s="163"/>
      <c r="V902" s="163"/>
      <c r="W902" s="163"/>
      <c r="X902" s="163"/>
      <c r="Y902" s="163"/>
      <c r="Z902" s="163"/>
      <c r="AA902" s="163"/>
      <c r="AB902" s="163"/>
      <c r="AC902" s="163"/>
      <c r="AD902" s="163"/>
      <c r="AE902" s="163"/>
      <c r="AF902" s="163"/>
      <c r="AG902" s="163"/>
      <c r="AH902" s="163"/>
      <c r="AI902" s="163"/>
      <c r="AJ902" s="163"/>
      <c r="AK902" s="163"/>
      <c r="AL902" s="163"/>
      <c r="AM902" s="163"/>
      <c r="AN902" s="130"/>
      <c r="AO902" s="130"/>
      <c r="AP902" s="130"/>
      <c r="AQ902" s="130"/>
      <c r="AR902" s="130"/>
      <c r="AS902" s="130"/>
      <c r="AT902" s="130"/>
    </row>
    <row r="903" ht="13.5" customHeight="1">
      <c r="A903" s="130"/>
      <c r="B903" s="130"/>
      <c r="C903" s="130"/>
      <c r="D903" s="130"/>
      <c r="E903" s="163"/>
      <c r="F903" s="163"/>
      <c r="G903" s="163"/>
      <c r="H903" s="163"/>
      <c r="I903" s="163"/>
      <c r="J903" s="163"/>
      <c r="K903" s="130"/>
      <c r="L903" s="130"/>
      <c r="M903" s="130"/>
      <c r="N903" s="130"/>
      <c r="O903" s="130"/>
      <c r="P903" s="130"/>
      <c r="Q903" s="130"/>
      <c r="R903" s="130"/>
      <c r="S903" s="163"/>
      <c r="T903" s="163"/>
      <c r="U903" s="163"/>
      <c r="V903" s="163"/>
      <c r="W903" s="163"/>
      <c r="X903" s="163"/>
      <c r="Y903" s="163"/>
      <c r="Z903" s="163"/>
      <c r="AA903" s="163"/>
      <c r="AB903" s="163"/>
      <c r="AC903" s="163"/>
      <c r="AD903" s="163"/>
      <c r="AE903" s="163"/>
      <c r="AF903" s="163"/>
      <c r="AG903" s="163"/>
      <c r="AH903" s="163"/>
      <c r="AI903" s="163"/>
      <c r="AJ903" s="163"/>
      <c r="AK903" s="163"/>
      <c r="AL903" s="163"/>
      <c r="AM903" s="163"/>
      <c r="AN903" s="130"/>
      <c r="AO903" s="130"/>
      <c r="AP903" s="130"/>
      <c r="AQ903" s="130"/>
      <c r="AR903" s="130"/>
      <c r="AS903" s="130"/>
      <c r="AT903" s="130"/>
    </row>
    <row r="904" ht="13.5" customHeight="1">
      <c r="A904" s="130"/>
      <c r="B904" s="130"/>
      <c r="C904" s="130"/>
      <c r="D904" s="130"/>
      <c r="E904" s="163"/>
      <c r="F904" s="163"/>
      <c r="G904" s="163"/>
      <c r="H904" s="163"/>
      <c r="I904" s="163"/>
      <c r="J904" s="163"/>
      <c r="K904" s="130"/>
      <c r="L904" s="130"/>
      <c r="M904" s="130"/>
      <c r="N904" s="130"/>
      <c r="O904" s="130"/>
      <c r="P904" s="130"/>
      <c r="Q904" s="130"/>
      <c r="R904" s="130"/>
      <c r="S904" s="163"/>
      <c r="T904" s="163"/>
      <c r="U904" s="163"/>
      <c r="V904" s="163"/>
      <c r="W904" s="163"/>
      <c r="X904" s="163"/>
      <c r="Y904" s="163"/>
      <c r="Z904" s="163"/>
      <c r="AA904" s="163"/>
      <c r="AB904" s="163"/>
      <c r="AC904" s="163"/>
      <c r="AD904" s="163"/>
      <c r="AE904" s="163"/>
      <c r="AF904" s="163"/>
      <c r="AG904" s="163"/>
      <c r="AH904" s="163"/>
      <c r="AI904" s="163"/>
      <c r="AJ904" s="163"/>
      <c r="AK904" s="163"/>
      <c r="AL904" s="163"/>
      <c r="AM904" s="163"/>
      <c r="AN904" s="130"/>
      <c r="AO904" s="130"/>
      <c r="AP904" s="130"/>
      <c r="AQ904" s="130"/>
      <c r="AR904" s="130"/>
      <c r="AS904" s="130"/>
      <c r="AT904" s="130"/>
    </row>
    <row r="905" ht="13.5" customHeight="1">
      <c r="A905" s="130"/>
      <c r="B905" s="130"/>
      <c r="C905" s="130"/>
      <c r="D905" s="130"/>
      <c r="E905" s="163"/>
      <c r="F905" s="163"/>
      <c r="G905" s="163"/>
      <c r="H905" s="163"/>
      <c r="I905" s="163"/>
      <c r="J905" s="163"/>
      <c r="K905" s="130"/>
      <c r="L905" s="130"/>
      <c r="M905" s="130"/>
      <c r="N905" s="130"/>
      <c r="O905" s="130"/>
      <c r="P905" s="130"/>
      <c r="Q905" s="130"/>
      <c r="R905" s="130"/>
      <c r="S905" s="163"/>
      <c r="T905" s="163"/>
      <c r="U905" s="163"/>
      <c r="V905" s="163"/>
      <c r="W905" s="163"/>
      <c r="X905" s="163"/>
      <c r="Y905" s="163"/>
      <c r="Z905" s="163"/>
      <c r="AA905" s="163"/>
      <c r="AB905" s="163"/>
      <c r="AC905" s="163"/>
      <c r="AD905" s="163"/>
      <c r="AE905" s="163"/>
      <c r="AF905" s="163"/>
      <c r="AG905" s="163"/>
      <c r="AH905" s="163"/>
      <c r="AI905" s="163"/>
      <c r="AJ905" s="163"/>
      <c r="AK905" s="163"/>
      <c r="AL905" s="163"/>
      <c r="AM905" s="163"/>
      <c r="AN905" s="130"/>
      <c r="AO905" s="130"/>
      <c r="AP905" s="130"/>
      <c r="AQ905" s="130"/>
      <c r="AR905" s="130"/>
      <c r="AS905" s="130"/>
      <c r="AT905" s="130"/>
    </row>
    <row r="906" ht="13.5" customHeight="1">
      <c r="A906" s="130"/>
      <c r="B906" s="130"/>
      <c r="C906" s="130"/>
      <c r="D906" s="130"/>
      <c r="E906" s="163"/>
      <c r="F906" s="163"/>
      <c r="G906" s="163"/>
      <c r="H906" s="163"/>
      <c r="I906" s="163"/>
      <c r="J906" s="163"/>
      <c r="K906" s="130"/>
      <c r="L906" s="130"/>
      <c r="M906" s="130"/>
      <c r="N906" s="130"/>
      <c r="O906" s="130"/>
      <c r="P906" s="130"/>
      <c r="Q906" s="130"/>
      <c r="R906" s="130"/>
      <c r="S906" s="163"/>
      <c r="T906" s="163"/>
      <c r="U906" s="163"/>
      <c r="V906" s="163"/>
      <c r="W906" s="163"/>
      <c r="X906" s="163"/>
      <c r="Y906" s="163"/>
      <c r="Z906" s="163"/>
      <c r="AA906" s="163"/>
      <c r="AB906" s="163"/>
      <c r="AC906" s="163"/>
      <c r="AD906" s="163"/>
      <c r="AE906" s="163"/>
      <c r="AF906" s="163"/>
      <c r="AG906" s="163"/>
      <c r="AH906" s="163"/>
      <c r="AI906" s="163"/>
      <c r="AJ906" s="163"/>
      <c r="AK906" s="163"/>
      <c r="AL906" s="163"/>
      <c r="AM906" s="163"/>
      <c r="AN906" s="130"/>
      <c r="AO906" s="130"/>
      <c r="AP906" s="130"/>
      <c r="AQ906" s="130"/>
      <c r="AR906" s="130"/>
      <c r="AS906" s="130"/>
      <c r="AT906" s="130"/>
    </row>
    <row r="907" ht="13.5" customHeight="1">
      <c r="A907" s="130"/>
      <c r="B907" s="130"/>
      <c r="C907" s="130"/>
      <c r="D907" s="130"/>
      <c r="E907" s="163"/>
      <c r="F907" s="163"/>
      <c r="G907" s="163"/>
      <c r="H907" s="163"/>
      <c r="I907" s="163"/>
      <c r="J907" s="163"/>
      <c r="K907" s="130"/>
      <c r="L907" s="130"/>
      <c r="M907" s="130"/>
      <c r="N907" s="130"/>
      <c r="O907" s="130"/>
      <c r="P907" s="130"/>
      <c r="Q907" s="130"/>
      <c r="R907" s="130"/>
      <c r="S907" s="163"/>
      <c r="T907" s="163"/>
      <c r="U907" s="163"/>
      <c r="V907" s="163"/>
      <c r="W907" s="163"/>
      <c r="X907" s="163"/>
      <c r="Y907" s="163"/>
      <c r="Z907" s="163"/>
      <c r="AA907" s="163"/>
      <c r="AB907" s="163"/>
      <c r="AC907" s="163"/>
      <c r="AD907" s="163"/>
      <c r="AE907" s="163"/>
      <c r="AF907" s="163"/>
      <c r="AG907" s="163"/>
      <c r="AH907" s="163"/>
      <c r="AI907" s="163"/>
      <c r="AJ907" s="163"/>
      <c r="AK907" s="163"/>
      <c r="AL907" s="163"/>
      <c r="AM907" s="163"/>
      <c r="AN907" s="130"/>
      <c r="AO907" s="130"/>
      <c r="AP907" s="130"/>
      <c r="AQ907" s="130"/>
      <c r="AR907" s="130"/>
      <c r="AS907" s="130"/>
      <c r="AT907" s="130"/>
    </row>
    <row r="908" ht="13.5" customHeight="1">
      <c r="A908" s="130"/>
      <c r="B908" s="130"/>
      <c r="C908" s="130"/>
      <c r="D908" s="130"/>
      <c r="E908" s="163"/>
      <c r="F908" s="163"/>
      <c r="G908" s="163"/>
      <c r="H908" s="163"/>
      <c r="I908" s="163"/>
      <c r="J908" s="163"/>
      <c r="K908" s="130"/>
      <c r="L908" s="130"/>
      <c r="M908" s="130"/>
      <c r="N908" s="130"/>
      <c r="O908" s="130"/>
      <c r="P908" s="130"/>
      <c r="Q908" s="130"/>
      <c r="R908" s="130"/>
      <c r="S908" s="163"/>
      <c r="T908" s="163"/>
      <c r="U908" s="163"/>
      <c r="V908" s="163"/>
      <c r="W908" s="163"/>
      <c r="X908" s="163"/>
      <c r="Y908" s="163"/>
      <c r="Z908" s="163"/>
      <c r="AA908" s="163"/>
      <c r="AB908" s="163"/>
      <c r="AC908" s="163"/>
      <c r="AD908" s="163"/>
      <c r="AE908" s="163"/>
      <c r="AF908" s="163"/>
      <c r="AG908" s="163"/>
      <c r="AH908" s="163"/>
      <c r="AI908" s="163"/>
      <c r="AJ908" s="163"/>
      <c r="AK908" s="163"/>
      <c r="AL908" s="163"/>
      <c r="AM908" s="163"/>
      <c r="AN908" s="130"/>
      <c r="AO908" s="130"/>
      <c r="AP908" s="130"/>
      <c r="AQ908" s="130"/>
      <c r="AR908" s="130"/>
      <c r="AS908" s="130"/>
      <c r="AT908" s="130"/>
    </row>
    <row r="909" ht="13.5" customHeight="1">
      <c r="A909" s="130"/>
      <c r="B909" s="130"/>
      <c r="C909" s="130"/>
      <c r="D909" s="130"/>
      <c r="E909" s="163"/>
      <c r="F909" s="163"/>
      <c r="G909" s="163"/>
      <c r="H909" s="163"/>
      <c r="I909" s="163"/>
      <c r="J909" s="163"/>
      <c r="K909" s="130"/>
      <c r="L909" s="130"/>
      <c r="M909" s="130"/>
      <c r="N909" s="130"/>
      <c r="O909" s="130"/>
      <c r="P909" s="130"/>
      <c r="Q909" s="130"/>
      <c r="R909" s="130"/>
      <c r="S909" s="163"/>
      <c r="T909" s="163"/>
      <c r="U909" s="163"/>
      <c r="V909" s="163"/>
      <c r="W909" s="163"/>
      <c r="X909" s="163"/>
      <c r="Y909" s="163"/>
      <c r="Z909" s="163"/>
      <c r="AA909" s="163"/>
      <c r="AB909" s="163"/>
      <c r="AC909" s="163"/>
      <c r="AD909" s="163"/>
      <c r="AE909" s="163"/>
      <c r="AF909" s="163"/>
      <c r="AG909" s="163"/>
      <c r="AH909" s="163"/>
      <c r="AI909" s="163"/>
      <c r="AJ909" s="163"/>
      <c r="AK909" s="163"/>
      <c r="AL909" s="163"/>
      <c r="AM909" s="163"/>
      <c r="AN909" s="130"/>
      <c r="AO909" s="130"/>
      <c r="AP909" s="130"/>
      <c r="AQ909" s="130"/>
      <c r="AR909" s="130"/>
      <c r="AS909" s="130"/>
      <c r="AT909" s="130"/>
    </row>
    <row r="910" ht="13.5" customHeight="1">
      <c r="A910" s="130"/>
      <c r="B910" s="130"/>
      <c r="C910" s="130"/>
      <c r="D910" s="130"/>
      <c r="E910" s="163"/>
      <c r="F910" s="163"/>
      <c r="G910" s="163"/>
      <c r="H910" s="163"/>
      <c r="I910" s="163"/>
      <c r="J910" s="163"/>
      <c r="K910" s="130"/>
      <c r="L910" s="130"/>
      <c r="M910" s="130"/>
      <c r="N910" s="130"/>
      <c r="O910" s="130"/>
      <c r="P910" s="130"/>
      <c r="Q910" s="130"/>
      <c r="R910" s="130"/>
      <c r="S910" s="163"/>
      <c r="T910" s="163"/>
      <c r="U910" s="163"/>
      <c r="V910" s="163"/>
      <c r="W910" s="163"/>
      <c r="X910" s="163"/>
      <c r="Y910" s="163"/>
      <c r="Z910" s="163"/>
      <c r="AA910" s="163"/>
      <c r="AB910" s="163"/>
      <c r="AC910" s="163"/>
      <c r="AD910" s="163"/>
      <c r="AE910" s="163"/>
      <c r="AF910" s="163"/>
      <c r="AG910" s="163"/>
      <c r="AH910" s="163"/>
      <c r="AI910" s="163"/>
      <c r="AJ910" s="163"/>
      <c r="AK910" s="163"/>
      <c r="AL910" s="163"/>
      <c r="AM910" s="163"/>
      <c r="AN910" s="130"/>
      <c r="AO910" s="130"/>
      <c r="AP910" s="130"/>
      <c r="AQ910" s="130"/>
      <c r="AR910" s="130"/>
      <c r="AS910" s="130"/>
      <c r="AT910" s="130"/>
    </row>
    <row r="911" ht="13.5" customHeight="1">
      <c r="A911" s="130"/>
      <c r="B911" s="130"/>
      <c r="C911" s="130"/>
      <c r="D911" s="130"/>
      <c r="E911" s="163"/>
      <c r="F911" s="163"/>
      <c r="G911" s="163"/>
      <c r="H911" s="163"/>
      <c r="I911" s="163"/>
      <c r="J911" s="163"/>
      <c r="K911" s="130"/>
      <c r="L911" s="130"/>
      <c r="M911" s="130"/>
      <c r="N911" s="130"/>
      <c r="O911" s="130"/>
      <c r="P911" s="130"/>
      <c r="Q911" s="130"/>
      <c r="R911" s="130"/>
      <c r="S911" s="163"/>
      <c r="T911" s="163"/>
      <c r="U911" s="163"/>
      <c r="V911" s="163"/>
      <c r="W911" s="163"/>
      <c r="X911" s="163"/>
      <c r="Y911" s="163"/>
      <c r="Z911" s="163"/>
      <c r="AA911" s="163"/>
      <c r="AB911" s="163"/>
      <c r="AC911" s="163"/>
      <c r="AD911" s="163"/>
      <c r="AE911" s="163"/>
      <c r="AF911" s="163"/>
      <c r="AG911" s="163"/>
      <c r="AH911" s="163"/>
      <c r="AI911" s="163"/>
      <c r="AJ911" s="163"/>
      <c r="AK911" s="163"/>
      <c r="AL911" s="163"/>
      <c r="AM911" s="163"/>
      <c r="AN911" s="130"/>
      <c r="AO911" s="130"/>
      <c r="AP911" s="130"/>
      <c r="AQ911" s="130"/>
      <c r="AR911" s="130"/>
      <c r="AS911" s="130"/>
      <c r="AT911" s="130"/>
    </row>
    <row r="912" ht="13.5" customHeight="1">
      <c r="A912" s="130"/>
      <c r="B912" s="130"/>
      <c r="C912" s="130"/>
      <c r="D912" s="130"/>
      <c r="E912" s="163"/>
      <c r="F912" s="163"/>
      <c r="G912" s="163"/>
      <c r="H912" s="163"/>
      <c r="I912" s="163"/>
      <c r="J912" s="163"/>
      <c r="K912" s="130"/>
      <c r="L912" s="130"/>
      <c r="M912" s="130"/>
      <c r="N912" s="130"/>
      <c r="O912" s="130"/>
      <c r="P912" s="130"/>
      <c r="Q912" s="130"/>
      <c r="R912" s="130"/>
      <c r="S912" s="163"/>
      <c r="T912" s="163"/>
      <c r="U912" s="163"/>
      <c r="V912" s="163"/>
      <c r="W912" s="163"/>
      <c r="X912" s="163"/>
      <c r="Y912" s="163"/>
      <c r="Z912" s="163"/>
      <c r="AA912" s="163"/>
      <c r="AB912" s="163"/>
      <c r="AC912" s="163"/>
      <c r="AD912" s="163"/>
      <c r="AE912" s="163"/>
      <c r="AF912" s="163"/>
      <c r="AG912" s="163"/>
      <c r="AH912" s="163"/>
      <c r="AI912" s="163"/>
      <c r="AJ912" s="163"/>
      <c r="AK912" s="163"/>
      <c r="AL912" s="163"/>
      <c r="AM912" s="163"/>
      <c r="AN912" s="130"/>
      <c r="AO912" s="130"/>
      <c r="AP912" s="130"/>
      <c r="AQ912" s="130"/>
      <c r="AR912" s="130"/>
      <c r="AS912" s="130"/>
      <c r="AT912" s="130"/>
    </row>
    <row r="913" ht="13.5" customHeight="1">
      <c r="A913" s="130"/>
      <c r="B913" s="130"/>
      <c r="C913" s="130"/>
      <c r="D913" s="130"/>
      <c r="E913" s="163"/>
      <c r="F913" s="163"/>
      <c r="G913" s="163"/>
      <c r="H913" s="163"/>
      <c r="I913" s="163"/>
      <c r="J913" s="163"/>
      <c r="K913" s="130"/>
      <c r="L913" s="130"/>
      <c r="M913" s="130"/>
      <c r="N913" s="130"/>
      <c r="O913" s="130"/>
      <c r="P913" s="130"/>
      <c r="Q913" s="130"/>
      <c r="R913" s="130"/>
      <c r="S913" s="163"/>
      <c r="T913" s="163"/>
      <c r="U913" s="163"/>
      <c r="V913" s="163"/>
      <c r="W913" s="163"/>
      <c r="X913" s="163"/>
      <c r="Y913" s="163"/>
      <c r="Z913" s="163"/>
      <c r="AA913" s="163"/>
      <c r="AB913" s="163"/>
      <c r="AC913" s="163"/>
      <c r="AD913" s="163"/>
      <c r="AE913" s="163"/>
      <c r="AF913" s="163"/>
      <c r="AG913" s="163"/>
      <c r="AH913" s="163"/>
      <c r="AI913" s="163"/>
      <c r="AJ913" s="163"/>
      <c r="AK913" s="163"/>
      <c r="AL913" s="163"/>
      <c r="AM913" s="163"/>
      <c r="AN913" s="130"/>
      <c r="AO913" s="130"/>
      <c r="AP913" s="130"/>
      <c r="AQ913" s="130"/>
      <c r="AR913" s="130"/>
      <c r="AS913" s="130"/>
      <c r="AT913" s="130"/>
    </row>
    <row r="914" ht="13.5" customHeight="1">
      <c r="A914" s="130"/>
      <c r="B914" s="130"/>
      <c r="C914" s="130"/>
      <c r="D914" s="130"/>
      <c r="E914" s="163"/>
      <c r="F914" s="163"/>
      <c r="G914" s="163"/>
      <c r="H914" s="163"/>
      <c r="I914" s="163"/>
      <c r="J914" s="163"/>
      <c r="K914" s="130"/>
      <c r="L914" s="130"/>
      <c r="M914" s="130"/>
      <c r="N914" s="130"/>
      <c r="O914" s="130"/>
      <c r="P914" s="130"/>
      <c r="Q914" s="130"/>
      <c r="R914" s="130"/>
      <c r="S914" s="163"/>
      <c r="T914" s="163"/>
      <c r="U914" s="163"/>
      <c r="V914" s="163"/>
      <c r="W914" s="163"/>
      <c r="X914" s="163"/>
      <c r="Y914" s="163"/>
      <c r="Z914" s="163"/>
      <c r="AA914" s="163"/>
      <c r="AB914" s="163"/>
      <c r="AC914" s="163"/>
      <c r="AD914" s="163"/>
      <c r="AE914" s="163"/>
      <c r="AF914" s="163"/>
      <c r="AG914" s="163"/>
      <c r="AH914" s="163"/>
      <c r="AI914" s="163"/>
      <c r="AJ914" s="163"/>
      <c r="AK914" s="163"/>
      <c r="AL914" s="163"/>
      <c r="AM914" s="163"/>
      <c r="AN914" s="130"/>
      <c r="AO914" s="130"/>
      <c r="AP914" s="130"/>
      <c r="AQ914" s="130"/>
      <c r="AR914" s="130"/>
      <c r="AS914" s="130"/>
      <c r="AT914" s="130"/>
    </row>
    <row r="915" ht="13.5" customHeight="1">
      <c r="A915" s="130"/>
      <c r="B915" s="130"/>
      <c r="C915" s="130"/>
      <c r="D915" s="130"/>
      <c r="E915" s="163"/>
      <c r="F915" s="163"/>
      <c r="G915" s="163"/>
      <c r="H915" s="163"/>
      <c r="I915" s="163"/>
      <c r="J915" s="163"/>
      <c r="K915" s="130"/>
      <c r="L915" s="130"/>
      <c r="M915" s="130"/>
      <c r="N915" s="130"/>
      <c r="O915" s="130"/>
      <c r="P915" s="130"/>
      <c r="Q915" s="130"/>
      <c r="R915" s="130"/>
      <c r="S915" s="163"/>
      <c r="T915" s="163"/>
      <c r="U915" s="163"/>
      <c r="V915" s="163"/>
      <c r="W915" s="163"/>
      <c r="X915" s="163"/>
      <c r="Y915" s="163"/>
      <c r="Z915" s="163"/>
      <c r="AA915" s="163"/>
      <c r="AB915" s="163"/>
      <c r="AC915" s="163"/>
      <c r="AD915" s="163"/>
      <c r="AE915" s="163"/>
      <c r="AF915" s="163"/>
      <c r="AG915" s="163"/>
      <c r="AH915" s="163"/>
      <c r="AI915" s="163"/>
      <c r="AJ915" s="163"/>
      <c r="AK915" s="163"/>
      <c r="AL915" s="163"/>
      <c r="AM915" s="163"/>
      <c r="AN915" s="130"/>
      <c r="AO915" s="130"/>
      <c r="AP915" s="130"/>
      <c r="AQ915" s="130"/>
      <c r="AR915" s="130"/>
      <c r="AS915" s="130"/>
      <c r="AT915" s="130"/>
    </row>
    <row r="916" ht="13.5" customHeight="1">
      <c r="A916" s="130"/>
      <c r="B916" s="130"/>
      <c r="C916" s="130"/>
      <c r="D916" s="130"/>
      <c r="E916" s="163"/>
      <c r="F916" s="163"/>
      <c r="G916" s="163"/>
      <c r="H916" s="163"/>
      <c r="I916" s="163"/>
      <c r="J916" s="163"/>
      <c r="K916" s="130"/>
      <c r="L916" s="130"/>
      <c r="M916" s="130"/>
      <c r="N916" s="130"/>
      <c r="O916" s="130"/>
      <c r="P916" s="130"/>
      <c r="Q916" s="130"/>
      <c r="R916" s="130"/>
      <c r="S916" s="163"/>
      <c r="T916" s="163"/>
      <c r="U916" s="163"/>
      <c r="V916" s="163"/>
      <c r="W916" s="163"/>
      <c r="X916" s="163"/>
      <c r="Y916" s="163"/>
      <c r="Z916" s="163"/>
      <c r="AA916" s="163"/>
      <c r="AB916" s="163"/>
      <c r="AC916" s="163"/>
      <c r="AD916" s="163"/>
      <c r="AE916" s="163"/>
      <c r="AF916" s="163"/>
      <c r="AG916" s="163"/>
      <c r="AH916" s="163"/>
      <c r="AI916" s="163"/>
      <c r="AJ916" s="163"/>
      <c r="AK916" s="163"/>
      <c r="AL916" s="163"/>
      <c r="AM916" s="163"/>
      <c r="AN916" s="130"/>
      <c r="AO916" s="130"/>
      <c r="AP916" s="130"/>
      <c r="AQ916" s="130"/>
      <c r="AR916" s="130"/>
      <c r="AS916" s="130"/>
      <c r="AT916" s="130"/>
    </row>
    <row r="917" ht="13.5" customHeight="1">
      <c r="A917" s="130"/>
      <c r="B917" s="130"/>
      <c r="C917" s="130"/>
      <c r="D917" s="130"/>
      <c r="E917" s="163"/>
      <c r="F917" s="163"/>
      <c r="G917" s="163"/>
      <c r="H917" s="163"/>
      <c r="I917" s="163"/>
      <c r="J917" s="163"/>
      <c r="K917" s="130"/>
      <c r="L917" s="130"/>
      <c r="M917" s="130"/>
      <c r="N917" s="130"/>
      <c r="O917" s="130"/>
      <c r="P917" s="130"/>
      <c r="Q917" s="130"/>
      <c r="R917" s="130"/>
      <c r="S917" s="163"/>
      <c r="T917" s="163"/>
      <c r="U917" s="163"/>
      <c r="V917" s="163"/>
      <c r="W917" s="163"/>
      <c r="X917" s="163"/>
      <c r="Y917" s="163"/>
      <c r="Z917" s="163"/>
      <c r="AA917" s="163"/>
      <c r="AB917" s="163"/>
      <c r="AC917" s="163"/>
      <c r="AD917" s="163"/>
      <c r="AE917" s="163"/>
      <c r="AF917" s="163"/>
      <c r="AG917" s="163"/>
      <c r="AH917" s="163"/>
      <c r="AI917" s="163"/>
      <c r="AJ917" s="163"/>
      <c r="AK917" s="163"/>
      <c r="AL917" s="163"/>
      <c r="AM917" s="163"/>
      <c r="AN917" s="130"/>
      <c r="AO917" s="130"/>
      <c r="AP917" s="130"/>
      <c r="AQ917" s="130"/>
      <c r="AR917" s="130"/>
      <c r="AS917" s="130"/>
      <c r="AT917" s="130"/>
    </row>
    <row r="918" ht="13.5" customHeight="1">
      <c r="A918" s="130"/>
      <c r="B918" s="130"/>
      <c r="C918" s="130"/>
      <c r="D918" s="130"/>
      <c r="E918" s="163"/>
      <c r="F918" s="163"/>
      <c r="G918" s="163"/>
      <c r="H918" s="163"/>
      <c r="I918" s="163"/>
      <c r="J918" s="163"/>
      <c r="K918" s="130"/>
      <c r="L918" s="130"/>
      <c r="M918" s="130"/>
      <c r="N918" s="130"/>
      <c r="O918" s="130"/>
      <c r="P918" s="130"/>
      <c r="Q918" s="130"/>
      <c r="R918" s="130"/>
      <c r="S918" s="163"/>
      <c r="T918" s="163"/>
      <c r="U918" s="163"/>
      <c r="V918" s="163"/>
      <c r="W918" s="163"/>
      <c r="X918" s="163"/>
      <c r="Y918" s="163"/>
      <c r="Z918" s="163"/>
      <c r="AA918" s="163"/>
      <c r="AB918" s="163"/>
      <c r="AC918" s="163"/>
      <c r="AD918" s="163"/>
      <c r="AE918" s="163"/>
      <c r="AF918" s="163"/>
      <c r="AG918" s="163"/>
      <c r="AH918" s="163"/>
      <c r="AI918" s="163"/>
      <c r="AJ918" s="163"/>
      <c r="AK918" s="163"/>
      <c r="AL918" s="163"/>
      <c r="AM918" s="163"/>
      <c r="AN918" s="130"/>
      <c r="AO918" s="130"/>
      <c r="AP918" s="130"/>
      <c r="AQ918" s="130"/>
      <c r="AR918" s="130"/>
      <c r="AS918" s="130"/>
      <c r="AT918" s="130"/>
    </row>
    <row r="919" ht="13.5" customHeight="1">
      <c r="A919" s="130"/>
      <c r="B919" s="130"/>
      <c r="C919" s="130"/>
      <c r="D919" s="130"/>
      <c r="E919" s="163"/>
      <c r="F919" s="163"/>
      <c r="G919" s="163"/>
      <c r="H919" s="163"/>
      <c r="I919" s="163"/>
      <c r="J919" s="163"/>
      <c r="K919" s="130"/>
      <c r="L919" s="130"/>
      <c r="M919" s="130"/>
      <c r="N919" s="130"/>
      <c r="O919" s="130"/>
      <c r="P919" s="130"/>
      <c r="Q919" s="130"/>
      <c r="R919" s="130"/>
      <c r="S919" s="163"/>
      <c r="T919" s="163"/>
      <c r="U919" s="163"/>
      <c r="V919" s="163"/>
      <c r="W919" s="163"/>
      <c r="X919" s="163"/>
      <c r="Y919" s="163"/>
      <c r="Z919" s="163"/>
      <c r="AA919" s="163"/>
      <c r="AB919" s="163"/>
      <c r="AC919" s="163"/>
      <c r="AD919" s="163"/>
      <c r="AE919" s="163"/>
      <c r="AF919" s="163"/>
      <c r="AG919" s="163"/>
      <c r="AH919" s="163"/>
      <c r="AI919" s="163"/>
      <c r="AJ919" s="163"/>
      <c r="AK919" s="163"/>
      <c r="AL919" s="163"/>
      <c r="AM919" s="163"/>
      <c r="AN919" s="130"/>
      <c r="AO919" s="130"/>
      <c r="AP919" s="130"/>
      <c r="AQ919" s="130"/>
      <c r="AR919" s="130"/>
      <c r="AS919" s="130"/>
      <c r="AT919" s="130"/>
    </row>
    <row r="920" ht="13.5" customHeight="1">
      <c r="A920" s="130"/>
      <c r="B920" s="130"/>
      <c r="C920" s="130"/>
      <c r="D920" s="130"/>
      <c r="E920" s="163"/>
      <c r="F920" s="163"/>
      <c r="G920" s="163"/>
      <c r="H920" s="163"/>
      <c r="I920" s="163"/>
      <c r="J920" s="163"/>
      <c r="K920" s="130"/>
      <c r="L920" s="130"/>
      <c r="M920" s="130"/>
      <c r="N920" s="130"/>
      <c r="O920" s="130"/>
      <c r="P920" s="130"/>
      <c r="Q920" s="130"/>
      <c r="R920" s="130"/>
      <c r="S920" s="163"/>
      <c r="T920" s="163"/>
      <c r="U920" s="163"/>
      <c r="V920" s="163"/>
      <c r="W920" s="163"/>
      <c r="X920" s="163"/>
      <c r="Y920" s="163"/>
      <c r="Z920" s="163"/>
      <c r="AA920" s="163"/>
      <c r="AB920" s="163"/>
      <c r="AC920" s="163"/>
      <c r="AD920" s="163"/>
      <c r="AE920" s="163"/>
      <c r="AF920" s="163"/>
      <c r="AG920" s="163"/>
      <c r="AH920" s="163"/>
      <c r="AI920" s="163"/>
      <c r="AJ920" s="163"/>
      <c r="AK920" s="163"/>
      <c r="AL920" s="163"/>
      <c r="AM920" s="163"/>
      <c r="AN920" s="130"/>
      <c r="AO920" s="130"/>
      <c r="AP920" s="130"/>
      <c r="AQ920" s="130"/>
      <c r="AR920" s="130"/>
      <c r="AS920" s="130"/>
      <c r="AT920" s="130"/>
    </row>
    <row r="921" ht="13.5" customHeight="1">
      <c r="A921" s="130"/>
      <c r="B921" s="130"/>
      <c r="C921" s="130"/>
      <c r="D921" s="130"/>
      <c r="E921" s="163"/>
      <c r="F921" s="163"/>
      <c r="G921" s="163"/>
      <c r="H921" s="163"/>
      <c r="I921" s="163"/>
      <c r="J921" s="163"/>
      <c r="K921" s="130"/>
      <c r="L921" s="130"/>
      <c r="M921" s="130"/>
      <c r="N921" s="130"/>
      <c r="O921" s="130"/>
      <c r="P921" s="130"/>
      <c r="Q921" s="130"/>
      <c r="R921" s="130"/>
      <c r="S921" s="163"/>
      <c r="T921" s="163"/>
      <c r="U921" s="163"/>
      <c r="V921" s="163"/>
      <c r="W921" s="163"/>
      <c r="X921" s="163"/>
      <c r="Y921" s="163"/>
      <c r="Z921" s="163"/>
      <c r="AA921" s="163"/>
      <c r="AB921" s="163"/>
      <c r="AC921" s="163"/>
      <c r="AD921" s="163"/>
      <c r="AE921" s="163"/>
      <c r="AF921" s="163"/>
      <c r="AG921" s="163"/>
      <c r="AH921" s="163"/>
      <c r="AI921" s="163"/>
      <c r="AJ921" s="163"/>
      <c r="AK921" s="163"/>
      <c r="AL921" s="163"/>
      <c r="AM921" s="163"/>
      <c r="AN921" s="130"/>
      <c r="AO921" s="130"/>
      <c r="AP921" s="130"/>
      <c r="AQ921" s="130"/>
      <c r="AR921" s="130"/>
      <c r="AS921" s="130"/>
      <c r="AT921" s="130"/>
    </row>
    <row r="922" ht="13.5" customHeight="1">
      <c r="A922" s="130"/>
      <c r="B922" s="130"/>
      <c r="C922" s="130"/>
      <c r="D922" s="130"/>
      <c r="E922" s="163"/>
      <c r="F922" s="163"/>
      <c r="G922" s="163"/>
      <c r="H922" s="163"/>
      <c r="I922" s="163"/>
      <c r="J922" s="163"/>
      <c r="K922" s="130"/>
      <c r="L922" s="130"/>
      <c r="M922" s="130"/>
      <c r="N922" s="130"/>
      <c r="O922" s="130"/>
      <c r="P922" s="130"/>
      <c r="Q922" s="130"/>
      <c r="R922" s="130"/>
      <c r="S922" s="163"/>
      <c r="T922" s="163"/>
      <c r="U922" s="163"/>
      <c r="V922" s="163"/>
      <c r="W922" s="163"/>
      <c r="X922" s="163"/>
      <c r="Y922" s="163"/>
      <c r="Z922" s="163"/>
      <c r="AA922" s="163"/>
      <c r="AB922" s="163"/>
      <c r="AC922" s="163"/>
      <c r="AD922" s="163"/>
      <c r="AE922" s="163"/>
      <c r="AF922" s="163"/>
      <c r="AG922" s="163"/>
      <c r="AH922" s="163"/>
      <c r="AI922" s="163"/>
      <c r="AJ922" s="163"/>
      <c r="AK922" s="163"/>
      <c r="AL922" s="163"/>
      <c r="AM922" s="163"/>
      <c r="AN922" s="130"/>
      <c r="AO922" s="130"/>
      <c r="AP922" s="130"/>
      <c r="AQ922" s="130"/>
      <c r="AR922" s="130"/>
      <c r="AS922" s="130"/>
      <c r="AT922" s="130"/>
    </row>
    <row r="923" ht="13.5" customHeight="1">
      <c r="A923" s="130"/>
      <c r="B923" s="130"/>
      <c r="C923" s="130"/>
      <c r="D923" s="130"/>
      <c r="E923" s="163"/>
      <c r="F923" s="163"/>
      <c r="G923" s="163"/>
      <c r="H923" s="163"/>
      <c r="I923" s="163"/>
      <c r="J923" s="163"/>
      <c r="K923" s="130"/>
      <c r="L923" s="130"/>
      <c r="M923" s="130"/>
      <c r="N923" s="130"/>
      <c r="O923" s="130"/>
      <c r="P923" s="130"/>
      <c r="Q923" s="130"/>
      <c r="R923" s="130"/>
      <c r="S923" s="163"/>
      <c r="T923" s="163"/>
      <c r="U923" s="163"/>
      <c r="V923" s="163"/>
      <c r="W923" s="163"/>
      <c r="X923" s="163"/>
      <c r="Y923" s="163"/>
      <c r="Z923" s="163"/>
      <c r="AA923" s="163"/>
      <c r="AB923" s="163"/>
      <c r="AC923" s="163"/>
      <c r="AD923" s="163"/>
      <c r="AE923" s="163"/>
      <c r="AF923" s="163"/>
      <c r="AG923" s="163"/>
      <c r="AH923" s="163"/>
      <c r="AI923" s="163"/>
      <c r="AJ923" s="163"/>
      <c r="AK923" s="163"/>
      <c r="AL923" s="163"/>
      <c r="AM923" s="163"/>
      <c r="AN923" s="130"/>
      <c r="AO923" s="130"/>
      <c r="AP923" s="130"/>
      <c r="AQ923" s="130"/>
      <c r="AR923" s="130"/>
      <c r="AS923" s="130"/>
      <c r="AT923" s="130"/>
    </row>
    <row r="924" ht="13.5" customHeight="1">
      <c r="A924" s="130"/>
      <c r="B924" s="130"/>
      <c r="C924" s="130"/>
      <c r="D924" s="130"/>
      <c r="E924" s="163"/>
      <c r="F924" s="163"/>
      <c r="G924" s="163"/>
      <c r="H924" s="163"/>
      <c r="I924" s="163"/>
      <c r="J924" s="163"/>
      <c r="K924" s="130"/>
      <c r="L924" s="130"/>
      <c r="M924" s="130"/>
      <c r="N924" s="130"/>
      <c r="O924" s="130"/>
      <c r="P924" s="130"/>
      <c r="Q924" s="130"/>
      <c r="R924" s="130"/>
      <c r="S924" s="163"/>
      <c r="T924" s="163"/>
      <c r="U924" s="163"/>
      <c r="V924" s="163"/>
      <c r="W924" s="163"/>
      <c r="X924" s="163"/>
      <c r="Y924" s="163"/>
      <c r="Z924" s="163"/>
      <c r="AA924" s="163"/>
      <c r="AB924" s="163"/>
      <c r="AC924" s="163"/>
      <c r="AD924" s="163"/>
      <c r="AE924" s="163"/>
      <c r="AF924" s="163"/>
      <c r="AG924" s="163"/>
      <c r="AH924" s="163"/>
      <c r="AI924" s="163"/>
      <c r="AJ924" s="163"/>
      <c r="AK924" s="163"/>
      <c r="AL924" s="163"/>
      <c r="AM924" s="163"/>
      <c r="AN924" s="130"/>
      <c r="AO924" s="130"/>
      <c r="AP924" s="130"/>
      <c r="AQ924" s="130"/>
      <c r="AR924" s="130"/>
      <c r="AS924" s="130"/>
      <c r="AT924" s="130"/>
    </row>
    <row r="925" ht="13.5" customHeight="1">
      <c r="A925" s="130"/>
      <c r="B925" s="130"/>
      <c r="C925" s="130"/>
      <c r="D925" s="130"/>
      <c r="E925" s="163"/>
      <c r="F925" s="163"/>
      <c r="G925" s="163"/>
      <c r="H925" s="163"/>
      <c r="I925" s="163"/>
      <c r="J925" s="163"/>
      <c r="K925" s="130"/>
      <c r="L925" s="130"/>
      <c r="M925" s="130"/>
      <c r="N925" s="130"/>
      <c r="O925" s="130"/>
      <c r="P925" s="130"/>
      <c r="Q925" s="130"/>
      <c r="R925" s="130"/>
      <c r="S925" s="163"/>
      <c r="T925" s="163"/>
      <c r="U925" s="163"/>
      <c r="V925" s="163"/>
      <c r="W925" s="163"/>
      <c r="X925" s="163"/>
      <c r="Y925" s="163"/>
      <c r="Z925" s="163"/>
      <c r="AA925" s="163"/>
      <c r="AB925" s="163"/>
      <c r="AC925" s="163"/>
      <c r="AD925" s="163"/>
      <c r="AE925" s="163"/>
      <c r="AF925" s="163"/>
      <c r="AG925" s="163"/>
      <c r="AH925" s="163"/>
      <c r="AI925" s="163"/>
      <c r="AJ925" s="163"/>
      <c r="AK925" s="163"/>
      <c r="AL925" s="163"/>
      <c r="AM925" s="163"/>
      <c r="AN925" s="130"/>
      <c r="AO925" s="130"/>
      <c r="AP925" s="130"/>
      <c r="AQ925" s="130"/>
      <c r="AR925" s="130"/>
      <c r="AS925" s="130"/>
      <c r="AT925" s="130"/>
    </row>
    <row r="926" ht="13.5" customHeight="1">
      <c r="A926" s="130"/>
      <c r="B926" s="130"/>
      <c r="C926" s="130"/>
      <c r="D926" s="130"/>
      <c r="E926" s="163"/>
      <c r="F926" s="163"/>
      <c r="G926" s="163"/>
      <c r="H926" s="163"/>
      <c r="I926" s="163"/>
      <c r="J926" s="163"/>
      <c r="K926" s="130"/>
      <c r="L926" s="130"/>
      <c r="M926" s="130"/>
      <c r="N926" s="130"/>
      <c r="O926" s="130"/>
      <c r="P926" s="130"/>
      <c r="Q926" s="130"/>
      <c r="R926" s="130"/>
      <c r="S926" s="163"/>
      <c r="T926" s="163"/>
      <c r="U926" s="163"/>
      <c r="V926" s="163"/>
      <c r="W926" s="163"/>
      <c r="X926" s="163"/>
      <c r="Y926" s="163"/>
      <c r="Z926" s="163"/>
      <c r="AA926" s="163"/>
      <c r="AB926" s="163"/>
      <c r="AC926" s="163"/>
      <c r="AD926" s="163"/>
      <c r="AE926" s="163"/>
      <c r="AF926" s="163"/>
      <c r="AG926" s="163"/>
      <c r="AH926" s="163"/>
      <c r="AI926" s="163"/>
      <c r="AJ926" s="163"/>
      <c r="AK926" s="163"/>
      <c r="AL926" s="163"/>
      <c r="AM926" s="163"/>
      <c r="AN926" s="130"/>
      <c r="AO926" s="130"/>
      <c r="AP926" s="130"/>
      <c r="AQ926" s="130"/>
      <c r="AR926" s="130"/>
      <c r="AS926" s="130"/>
      <c r="AT926" s="130"/>
    </row>
    <row r="927" ht="13.5" customHeight="1">
      <c r="A927" s="130"/>
      <c r="B927" s="130"/>
      <c r="C927" s="130"/>
      <c r="D927" s="130"/>
      <c r="E927" s="163"/>
      <c r="F927" s="163"/>
      <c r="G927" s="163"/>
      <c r="H927" s="163"/>
      <c r="I927" s="163"/>
      <c r="J927" s="163"/>
      <c r="K927" s="130"/>
      <c r="L927" s="130"/>
      <c r="M927" s="130"/>
      <c r="N927" s="130"/>
      <c r="O927" s="130"/>
      <c r="P927" s="130"/>
      <c r="Q927" s="130"/>
      <c r="R927" s="130"/>
      <c r="S927" s="163"/>
      <c r="T927" s="163"/>
      <c r="U927" s="163"/>
      <c r="V927" s="163"/>
      <c r="W927" s="163"/>
      <c r="X927" s="163"/>
      <c r="Y927" s="163"/>
      <c r="Z927" s="163"/>
      <c r="AA927" s="163"/>
      <c r="AB927" s="163"/>
      <c r="AC927" s="163"/>
      <c r="AD927" s="163"/>
      <c r="AE927" s="163"/>
      <c r="AF927" s="163"/>
      <c r="AG927" s="163"/>
      <c r="AH927" s="163"/>
      <c r="AI927" s="163"/>
      <c r="AJ927" s="163"/>
      <c r="AK927" s="163"/>
      <c r="AL927" s="163"/>
      <c r="AM927" s="163"/>
      <c r="AN927" s="130"/>
      <c r="AO927" s="130"/>
      <c r="AP927" s="130"/>
      <c r="AQ927" s="130"/>
      <c r="AR927" s="130"/>
      <c r="AS927" s="130"/>
      <c r="AT927" s="130"/>
    </row>
    <row r="928" ht="13.5" customHeight="1">
      <c r="A928" s="130"/>
      <c r="B928" s="130"/>
      <c r="C928" s="130"/>
      <c r="D928" s="130"/>
      <c r="E928" s="163"/>
      <c r="F928" s="163"/>
      <c r="G928" s="163"/>
      <c r="H928" s="163"/>
      <c r="I928" s="163"/>
      <c r="J928" s="163"/>
      <c r="K928" s="130"/>
      <c r="L928" s="130"/>
      <c r="M928" s="130"/>
      <c r="N928" s="130"/>
      <c r="O928" s="130"/>
      <c r="P928" s="130"/>
      <c r="Q928" s="130"/>
      <c r="R928" s="130"/>
      <c r="S928" s="163"/>
      <c r="T928" s="163"/>
      <c r="U928" s="163"/>
      <c r="V928" s="163"/>
      <c r="W928" s="163"/>
      <c r="X928" s="163"/>
      <c r="Y928" s="163"/>
      <c r="Z928" s="163"/>
      <c r="AA928" s="163"/>
      <c r="AB928" s="163"/>
      <c r="AC928" s="163"/>
      <c r="AD928" s="163"/>
      <c r="AE928" s="163"/>
      <c r="AF928" s="163"/>
      <c r="AG928" s="163"/>
      <c r="AH928" s="163"/>
      <c r="AI928" s="163"/>
      <c r="AJ928" s="163"/>
      <c r="AK928" s="163"/>
      <c r="AL928" s="163"/>
      <c r="AM928" s="163"/>
      <c r="AN928" s="130"/>
      <c r="AO928" s="130"/>
      <c r="AP928" s="130"/>
      <c r="AQ928" s="130"/>
      <c r="AR928" s="130"/>
      <c r="AS928" s="130"/>
      <c r="AT928" s="130"/>
    </row>
    <row r="929" ht="13.5" customHeight="1">
      <c r="A929" s="130"/>
      <c r="B929" s="130"/>
      <c r="C929" s="130"/>
      <c r="D929" s="130"/>
      <c r="E929" s="163"/>
      <c r="F929" s="163"/>
      <c r="G929" s="163"/>
      <c r="H929" s="163"/>
      <c r="I929" s="163"/>
      <c r="J929" s="163"/>
      <c r="K929" s="130"/>
      <c r="L929" s="130"/>
      <c r="M929" s="130"/>
      <c r="N929" s="130"/>
      <c r="O929" s="130"/>
      <c r="P929" s="130"/>
      <c r="Q929" s="130"/>
      <c r="R929" s="130"/>
      <c r="S929" s="163"/>
      <c r="T929" s="163"/>
      <c r="U929" s="163"/>
      <c r="V929" s="163"/>
      <c r="W929" s="163"/>
      <c r="X929" s="163"/>
      <c r="Y929" s="163"/>
      <c r="Z929" s="163"/>
      <c r="AA929" s="163"/>
      <c r="AB929" s="163"/>
      <c r="AC929" s="163"/>
      <c r="AD929" s="163"/>
      <c r="AE929" s="163"/>
      <c r="AF929" s="163"/>
      <c r="AG929" s="163"/>
      <c r="AH929" s="163"/>
      <c r="AI929" s="163"/>
      <c r="AJ929" s="163"/>
      <c r="AK929" s="163"/>
      <c r="AL929" s="163"/>
      <c r="AM929" s="163"/>
      <c r="AN929" s="130"/>
      <c r="AO929" s="130"/>
      <c r="AP929" s="130"/>
      <c r="AQ929" s="130"/>
      <c r="AR929" s="130"/>
      <c r="AS929" s="130"/>
      <c r="AT929" s="130"/>
    </row>
    <row r="930" ht="13.5" customHeight="1">
      <c r="A930" s="130"/>
      <c r="B930" s="130"/>
      <c r="C930" s="130"/>
      <c r="D930" s="130"/>
      <c r="E930" s="163"/>
      <c r="F930" s="163"/>
      <c r="G930" s="163"/>
      <c r="H930" s="163"/>
      <c r="I930" s="163"/>
      <c r="J930" s="163"/>
      <c r="K930" s="130"/>
      <c r="L930" s="130"/>
      <c r="M930" s="130"/>
      <c r="N930" s="130"/>
      <c r="O930" s="130"/>
      <c r="P930" s="130"/>
      <c r="Q930" s="130"/>
      <c r="R930" s="130"/>
      <c r="S930" s="163"/>
      <c r="T930" s="163"/>
      <c r="U930" s="163"/>
      <c r="V930" s="163"/>
      <c r="W930" s="163"/>
      <c r="X930" s="163"/>
      <c r="Y930" s="163"/>
      <c r="Z930" s="163"/>
      <c r="AA930" s="163"/>
      <c r="AB930" s="163"/>
      <c r="AC930" s="163"/>
      <c r="AD930" s="163"/>
      <c r="AE930" s="163"/>
      <c r="AF930" s="163"/>
      <c r="AG930" s="163"/>
      <c r="AH930" s="163"/>
      <c r="AI930" s="163"/>
      <c r="AJ930" s="163"/>
      <c r="AK930" s="163"/>
      <c r="AL930" s="163"/>
      <c r="AM930" s="163"/>
      <c r="AN930" s="130"/>
      <c r="AO930" s="130"/>
      <c r="AP930" s="130"/>
      <c r="AQ930" s="130"/>
      <c r="AR930" s="130"/>
      <c r="AS930" s="130"/>
      <c r="AT930" s="130"/>
    </row>
    <row r="931" ht="13.5" customHeight="1">
      <c r="A931" s="130"/>
      <c r="B931" s="130"/>
      <c r="C931" s="130"/>
      <c r="D931" s="130"/>
      <c r="E931" s="163"/>
      <c r="F931" s="163"/>
      <c r="G931" s="163"/>
      <c r="H931" s="163"/>
      <c r="I931" s="163"/>
      <c r="J931" s="163"/>
      <c r="K931" s="130"/>
      <c r="L931" s="130"/>
      <c r="M931" s="130"/>
      <c r="N931" s="130"/>
      <c r="O931" s="130"/>
      <c r="P931" s="130"/>
      <c r="Q931" s="130"/>
      <c r="R931" s="130"/>
      <c r="S931" s="163"/>
      <c r="T931" s="163"/>
      <c r="U931" s="163"/>
      <c r="V931" s="163"/>
      <c r="W931" s="163"/>
      <c r="X931" s="163"/>
      <c r="Y931" s="163"/>
      <c r="Z931" s="163"/>
      <c r="AA931" s="163"/>
      <c r="AB931" s="163"/>
      <c r="AC931" s="163"/>
      <c r="AD931" s="163"/>
      <c r="AE931" s="163"/>
      <c r="AF931" s="163"/>
      <c r="AG931" s="163"/>
      <c r="AH931" s="163"/>
      <c r="AI931" s="163"/>
      <c r="AJ931" s="163"/>
      <c r="AK931" s="163"/>
      <c r="AL931" s="163"/>
      <c r="AM931" s="163"/>
      <c r="AN931" s="130"/>
      <c r="AO931" s="130"/>
      <c r="AP931" s="130"/>
      <c r="AQ931" s="130"/>
      <c r="AR931" s="130"/>
      <c r="AS931" s="130"/>
      <c r="AT931" s="130"/>
    </row>
    <row r="932" ht="13.5" customHeight="1">
      <c r="A932" s="130"/>
      <c r="B932" s="130"/>
      <c r="C932" s="130"/>
      <c r="D932" s="130"/>
      <c r="E932" s="163"/>
      <c r="F932" s="163"/>
      <c r="G932" s="163"/>
      <c r="H932" s="163"/>
      <c r="I932" s="163"/>
      <c r="J932" s="163"/>
      <c r="K932" s="130"/>
      <c r="L932" s="130"/>
      <c r="M932" s="130"/>
      <c r="N932" s="130"/>
      <c r="O932" s="130"/>
      <c r="P932" s="130"/>
      <c r="Q932" s="130"/>
      <c r="R932" s="130"/>
      <c r="S932" s="163"/>
      <c r="T932" s="163"/>
      <c r="U932" s="163"/>
      <c r="V932" s="163"/>
      <c r="W932" s="163"/>
      <c r="X932" s="163"/>
      <c r="Y932" s="163"/>
      <c r="Z932" s="163"/>
      <c r="AA932" s="163"/>
      <c r="AB932" s="163"/>
      <c r="AC932" s="163"/>
      <c r="AD932" s="163"/>
      <c r="AE932" s="163"/>
      <c r="AF932" s="163"/>
      <c r="AG932" s="163"/>
      <c r="AH932" s="163"/>
      <c r="AI932" s="163"/>
      <c r="AJ932" s="163"/>
      <c r="AK932" s="163"/>
      <c r="AL932" s="163"/>
      <c r="AM932" s="163"/>
      <c r="AN932" s="130"/>
      <c r="AO932" s="130"/>
      <c r="AP932" s="130"/>
      <c r="AQ932" s="130"/>
      <c r="AR932" s="130"/>
      <c r="AS932" s="130"/>
      <c r="AT932" s="130"/>
    </row>
    <row r="933" ht="13.5" customHeight="1">
      <c r="A933" s="130"/>
      <c r="B933" s="130"/>
      <c r="C933" s="130"/>
      <c r="D933" s="130"/>
      <c r="E933" s="163"/>
      <c r="F933" s="163"/>
      <c r="G933" s="163"/>
      <c r="H933" s="163"/>
      <c r="I933" s="163"/>
      <c r="J933" s="163"/>
      <c r="K933" s="130"/>
      <c r="L933" s="130"/>
      <c r="M933" s="130"/>
      <c r="N933" s="130"/>
      <c r="O933" s="130"/>
      <c r="P933" s="130"/>
      <c r="Q933" s="130"/>
      <c r="R933" s="130"/>
      <c r="S933" s="163"/>
      <c r="T933" s="163"/>
      <c r="U933" s="163"/>
      <c r="V933" s="163"/>
      <c r="W933" s="163"/>
      <c r="X933" s="163"/>
      <c r="Y933" s="163"/>
      <c r="Z933" s="163"/>
      <c r="AA933" s="163"/>
      <c r="AB933" s="163"/>
      <c r="AC933" s="163"/>
      <c r="AD933" s="163"/>
      <c r="AE933" s="163"/>
      <c r="AF933" s="163"/>
      <c r="AG933" s="163"/>
      <c r="AH933" s="163"/>
      <c r="AI933" s="163"/>
      <c r="AJ933" s="163"/>
      <c r="AK933" s="163"/>
      <c r="AL933" s="163"/>
      <c r="AM933" s="163"/>
      <c r="AN933" s="130"/>
      <c r="AO933" s="130"/>
      <c r="AP933" s="130"/>
      <c r="AQ933" s="130"/>
      <c r="AR933" s="130"/>
      <c r="AS933" s="130"/>
      <c r="AT933" s="130"/>
    </row>
    <row r="934" ht="13.5" customHeight="1">
      <c r="A934" s="130"/>
      <c r="B934" s="130"/>
      <c r="C934" s="130"/>
      <c r="D934" s="130"/>
      <c r="E934" s="163"/>
      <c r="F934" s="163"/>
      <c r="G934" s="163"/>
      <c r="H934" s="163"/>
      <c r="I934" s="163"/>
      <c r="J934" s="163"/>
      <c r="K934" s="130"/>
      <c r="L934" s="130"/>
      <c r="M934" s="130"/>
      <c r="N934" s="130"/>
      <c r="O934" s="130"/>
      <c r="P934" s="130"/>
      <c r="Q934" s="130"/>
      <c r="R934" s="130"/>
      <c r="S934" s="163"/>
      <c r="T934" s="163"/>
      <c r="U934" s="163"/>
      <c r="V934" s="163"/>
      <c r="W934" s="163"/>
      <c r="X934" s="163"/>
      <c r="Y934" s="163"/>
      <c r="Z934" s="163"/>
      <c r="AA934" s="163"/>
      <c r="AB934" s="163"/>
      <c r="AC934" s="163"/>
      <c r="AD934" s="163"/>
      <c r="AE934" s="163"/>
      <c r="AF934" s="163"/>
      <c r="AG934" s="163"/>
      <c r="AH934" s="163"/>
      <c r="AI934" s="163"/>
      <c r="AJ934" s="163"/>
      <c r="AK934" s="163"/>
      <c r="AL934" s="163"/>
      <c r="AM934" s="163"/>
      <c r="AN934" s="130"/>
      <c r="AO934" s="130"/>
      <c r="AP934" s="130"/>
      <c r="AQ934" s="130"/>
      <c r="AR934" s="130"/>
      <c r="AS934" s="130"/>
      <c r="AT934" s="130"/>
    </row>
    <row r="935" ht="13.5" customHeight="1">
      <c r="A935" s="130"/>
      <c r="B935" s="130"/>
      <c r="C935" s="130"/>
      <c r="D935" s="130"/>
      <c r="E935" s="163"/>
      <c r="F935" s="163"/>
      <c r="G935" s="163"/>
      <c r="H935" s="163"/>
      <c r="I935" s="163"/>
      <c r="J935" s="163"/>
      <c r="K935" s="130"/>
      <c r="L935" s="130"/>
      <c r="M935" s="130"/>
      <c r="N935" s="130"/>
      <c r="O935" s="130"/>
      <c r="P935" s="130"/>
      <c r="Q935" s="130"/>
      <c r="R935" s="130"/>
      <c r="S935" s="163"/>
      <c r="T935" s="163"/>
      <c r="U935" s="163"/>
      <c r="V935" s="163"/>
      <c r="W935" s="163"/>
      <c r="X935" s="163"/>
      <c r="Y935" s="163"/>
      <c r="Z935" s="163"/>
      <c r="AA935" s="163"/>
      <c r="AB935" s="163"/>
      <c r="AC935" s="163"/>
      <c r="AD935" s="163"/>
      <c r="AE935" s="163"/>
      <c r="AF935" s="163"/>
      <c r="AG935" s="163"/>
      <c r="AH935" s="163"/>
      <c r="AI935" s="163"/>
      <c r="AJ935" s="163"/>
      <c r="AK935" s="163"/>
      <c r="AL935" s="163"/>
      <c r="AM935" s="163"/>
      <c r="AN935" s="130"/>
      <c r="AO935" s="130"/>
      <c r="AP935" s="130"/>
      <c r="AQ935" s="130"/>
      <c r="AR935" s="130"/>
      <c r="AS935" s="130"/>
      <c r="AT935" s="130"/>
    </row>
    <row r="936" ht="13.5" customHeight="1">
      <c r="A936" s="130"/>
      <c r="B936" s="130"/>
      <c r="C936" s="130"/>
      <c r="D936" s="130"/>
      <c r="E936" s="163"/>
      <c r="F936" s="163"/>
      <c r="G936" s="163"/>
      <c r="H936" s="163"/>
      <c r="I936" s="163"/>
      <c r="J936" s="163"/>
      <c r="K936" s="130"/>
      <c r="L936" s="130"/>
      <c r="M936" s="130"/>
      <c r="N936" s="130"/>
      <c r="O936" s="130"/>
      <c r="P936" s="130"/>
      <c r="Q936" s="130"/>
      <c r="R936" s="130"/>
      <c r="S936" s="163"/>
      <c r="T936" s="163"/>
      <c r="U936" s="163"/>
      <c r="V936" s="163"/>
      <c r="W936" s="163"/>
      <c r="X936" s="163"/>
      <c r="Y936" s="163"/>
      <c r="Z936" s="163"/>
      <c r="AA936" s="163"/>
      <c r="AB936" s="163"/>
      <c r="AC936" s="163"/>
      <c r="AD936" s="163"/>
      <c r="AE936" s="163"/>
      <c r="AF936" s="163"/>
      <c r="AG936" s="163"/>
      <c r="AH936" s="163"/>
      <c r="AI936" s="163"/>
      <c r="AJ936" s="163"/>
      <c r="AK936" s="163"/>
      <c r="AL936" s="163"/>
      <c r="AM936" s="163"/>
      <c r="AN936" s="130"/>
      <c r="AO936" s="130"/>
      <c r="AP936" s="130"/>
      <c r="AQ936" s="130"/>
      <c r="AR936" s="130"/>
      <c r="AS936" s="130"/>
      <c r="AT936" s="130"/>
    </row>
    <row r="937" ht="13.5" customHeight="1">
      <c r="A937" s="130"/>
      <c r="B937" s="130"/>
      <c r="C937" s="130"/>
      <c r="D937" s="130"/>
      <c r="E937" s="163"/>
      <c r="F937" s="163"/>
      <c r="G937" s="163"/>
      <c r="H937" s="163"/>
      <c r="I937" s="163"/>
      <c r="J937" s="163"/>
      <c r="K937" s="130"/>
      <c r="L937" s="130"/>
      <c r="M937" s="130"/>
      <c r="N937" s="130"/>
      <c r="O937" s="130"/>
      <c r="P937" s="130"/>
      <c r="Q937" s="130"/>
      <c r="R937" s="130"/>
      <c r="S937" s="163"/>
      <c r="T937" s="163"/>
      <c r="U937" s="163"/>
      <c r="V937" s="163"/>
      <c r="W937" s="163"/>
      <c r="X937" s="163"/>
      <c r="Y937" s="163"/>
      <c r="Z937" s="163"/>
      <c r="AA937" s="163"/>
      <c r="AB937" s="163"/>
      <c r="AC937" s="163"/>
      <c r="AD937" s="163"/>
      <c r="AE937" s="163"/>
      <c r="AF937" s="163"/>
      <c r="AG937" s="163"/>
      <c r="AH937" s="163"/>
      <c r="AI937" s="163"/>
      <c r="AJ937" s="163"/>
      <c r="AK937" s="163"/>
      <c r="AL937" s="163"/>
      <c r="AM937" s="163"/>
      <c r="AN937" s="130"/>
      <c r="AO937" s="130"/>
      <c r="AP937" s="130"/>
      <c r="AQ937" s="130"/>
      <c r="AR937" s="130"/>
      <c r="AS937" s="130"/>
      <c r="AT937" s="130"/>
    </row>
    <row r="938" ht="13.5" customHeight="1">
      <c r="A938" s="130"/>
      <c r="B938" s="130"/>
      <c r="C938" s="130"/>
      <c r="D938" s="130"/>
      <c r="E938" s="163"/>
      <c r="F938" s="163"/>
      <c r="G938" s="163"/>
      <c r="H938" s="163"/>
      <c r="I938" s="163"/>
      <c r="J938" s="163"/>
      <c r="K938" s="130"/>
      <c r="L938" s="130"/>
      <c r="M938" s="130"/>
      <c r="N938" s="130"/>
      <c r="O938" s="130"/>
      <c r="P938" s="130"/>
      <c r="Q938" s="130"/>
      <c r="R938" s="130"/>
      <c r="S938" s="163"/>
      <c r="T938" s="163"/>
      <c r="U938" s="163"/>
      <c r="V938" s="163"/>
      <c r="W938" s="163"/>
      <c r="X938" s="163"/>
      <c r="Y938" s="163"/>
      <c r="Z938" s="163"/>
      <c r="AA938" s="163"/>
      <c r="AB938" s="163"/>
      <c r="AC938" s="163"/>
      <c r="AD938" s="163"/>
      <c r="AE938" s="163"/>
      <c r="AF938" s="163"/>
      <c r="AG938" s="163"/>
      <c r="AH938" s="163"/>
      <c r="AI938" s="163"/>
      <c r="AJ938" s="163"/>
      <c r="AK938" s="163"/>
      <c r="AL938" s="163"/>
      <c r="AM938" s="163"/>
      <c r="AN938" s="130"/>
      <c r="AO938" s="130"/>
      <c r="AP938" s="130"/>
      <c r="AQ938" s="130"/>
      <c r="AR938" s="130"/>
      <c r="AS938" s="130"/>
      <c r="AT938" s="130"/>
    </row>
    <row r="939" ht="13.5" customHeight="1">
      <c r="A939" s="130"/>
      <c r="B939" s="130"/>
      <c r="C939" s="130"/>
      <c r="D939" s="130"/>
      <c r="E939" s="163"/>
      <c r="F939" s="163"/>
      <c r="G939" s="163"/>
      <c r="H939" s="163"/>
      <c r="I939" s="163"/>
      <c r="J939" s="163"/>
      <c r="K939" s="130"/>
      <c r="L939" s="130"/>
      <c r="M939" s="130"/>
      <c r="N939" s="130"/>
      <c r="O939" s="130"/>
      <c r="P939" s="130"/>
      <c r="Q939" s="130"/>
      <c r="R939" s="130"/>
      <c r="S939" s="163"/>
      <c r="T939" s="163"/>
      <c r="U939" s="163"/>
      <c r="V939" s="163"/>
      <c r="W939" s="163"/>
      <c r="X939" s="163"/>
      <c r="Y939" s="163"/>
      <c r="Z939" s="163"/>
      <c r="AA939" s="163"/>
      <c r="AB939" s="163"/>
      <c r="AC939" s="163"/>
      <c r="AD939" s="163"/>
      <c r="AE939" s="163"/>
      <c r="AF939" s="163"/>
      <c r="AG939" s="163"/>
      <c r="AH939" s="163"/>
      <c r="AI939" s="163"/>
      <c r="AJ939" s="163"/>
      <c r="AK939" s="163"/>
      <c r="AL939" s="163"/>
      <c r="AM939" s="163"/>
      <c r="AN939" s="130"/>
      <c r="AO939" s="130"/>
      <c r="AP939" s="130"/>
      <c r="AQ939" s="130"/>
      <c r="AR939" s="130"/>
      <c r="AS939" s="130"/>
      <c r="AT939" s="130"/>
    </row>
    <row r="940" ht="13.5" customHeight="1">
      <c r="A940" s="130"/>
      <c r="B940" s="130"/>
      <c r="C940" s="130"/>
      <c r="D940" s="130"/>
      <c r="E940" s="163"/>
      <c r="F940" s="163"/>
      <c r="G940" s="163"/>
      <c r="H940" s="163"/>
      <c r="I940" s="163"/>
      <c r="J940" s="163"/>
      <c r="K940" s="130"/>
      <c r="L940" s="130"/>
      <c r="M940" s="130"/>
      <c r="N940" s="130"/>
      <c r="O940" s="130"/>
      <c r="P940" s="130"/>
      <c r="Q940" s="130"/>
      <c r="R940" s="130"/>
      <c r="S940" s="163"/>
      <c r="T940" s="163"/>
      <c r="U940" s="163"/>
      <c r="V940" s="163"/>
      <c r="W940" s="163"/>
      <c r="X940" s="163"/>
      <c r="Y940" s="163"/>
      <c r="Z940" s="163"/>
      <c r="AA940" s="163"/>
      <c r="AB940" s="163"/>
      <c r="AC940" s="163"/>
      <c r="AD940" s="163"/>
      <c r="AE940" s="163"/>
      <c r="AF940" s="163"/>
      <c r="AG940" s="163"/>
      <c r="AH940" s="163"/>
      <c r="AI940" s="163"/>
      <c r="AJ940" s="163"/>
      <c r="AK940" s="163"/>
      <c r="AL940" s="163"/>
      <c r="AM940" s="163"/>
      <c r="AN940" s="130"/>
      <c r="AO940" s="130"/>
      <c r="AP940" s="130"/>
      <c r="AQ940" s="130"/>
      <c r="AR940" s="130"/>
      <c r="AS940" s="130"/>
      <c r="AT940" s="130"/>
    </row>
    <row r="941" ht="13.5" customHeight="1">
      <c r="A941" s="130"/>
      <c r="B941" s="130"/>
      <c r="C941" s="130"/>
      <c r="D941" s="130"/>
      <c r="E941" s="163"/>
      <c r="F941" s="163"/>
      <c r="G941" s="163"/>
      <c r="H941" s="163"/>
      <c r="I941" s="163"/>
      <c r="J941" s="163"/>
      <c r="K941" s="130"/>
      <c r="L941" s="130"/>
      <c r="M941" s="130"/>
      <c r="N941" s="130"/>
      <c r="O941" s="130"/>
      <c r="P941" s="130"/>
      <c r="Q941" s="130"/>
      <c r="R941" s="130"/>
      <c r="S941" s="163"/>
      <c r="T941" s="163"/>
      <c r="U941" s="163"/>
      <c r="V941" s="163"/>
      <c r="W941" s="163"/>
      <c r="X941" s="163"/>
      <c r="Y941" s="163"/>
      <c r="Z941" s="163"/>
      <c r="AA941" s="163"/>
      <c r="AB941" s="163"/>
      <c r="AC941" s="163"/>
      <c r="AD941" s="163"/>
      <c r="AE941" s="163"/>
      <c r="AF941" s="163"/>
      <c r="AG941" s="163"/>
      <c r="AH941" s="163"/>
      <c r="AI941" s="163"/>
      <c r="AJ941" s="163"/>
      <c r="AK941" s="163"/>
      <c r="AL941" s="163"/>
      <c r="AM941" s="163"/>
      <c r="AN941" s="130"/>
      <c r="AO941" s="130"/>
      <c r="AP941" s="130"/>
      <c r="AQ941" s="130"/>
      <c r="AR941" s="130"/>
      <c r="AS941" s="130"/>
      <c r="AT941" s="130"/>
    </row>
    <row r="942" ht="13.5" customHeight="1">
      <c r="A942" s="130"/>
      <c r="B942" s="130"/>
      <c r="C942" s="130"/>
      <c r="D942" s="130"/>
      <c r="E942" s="163"/>
      <c r="F942" s="163"/>
      <c r="G942" s="163"/>
      <c r="H942" s="163"/>
      <c r="I942" s="163"/>
      <c r="J942" s="163"/>
      <c r="K942" s="130"/>
      <c r="L942" s="130"/>
      <c r="M942" s="130"/>
      <c r="N942" s="130"/>
      <c r="O942" s="130"/>
      <c r="P942" s="130"/>
      <c r="Q942" s="130"/>
      <c r="R942" s="130"/>
      <c r="S942" s="163"/>
      <c r="T942" s="163"/>
      <c r="U942" s="163"/>
      <c r="V942" s="163"/>
      <c r="W942" s="163"/>
      <c r="X942" s="163"/>
      <c r="Y942" s="163"/>
      <c r="Z942" s="163"/>
      <c r="AA942" s="163"/>
      <c r="AB942" s="163"/>
      <c r="AC942" s="163"/>
      <c r="AD942" s="163"/>
      <c r="AE942" s="163"/>
      <c r="AF942" s="163"/>
      <c r="AG942" s="163"/>
      <c r="AH942" s="163"/>
      <c r="AI942" s="163"/>
      <c r="AJ942" s="163"/>
      <c r="AK942" s="163"/>
      <c r="AL942" s="163"/>
      <c r="AM942" s="163"/>
      <c r="AN942" s="130"/>
      <c r="AO942" s="130"/>
      <c r="AP942" s="130"/>
      <c r="AQ942" s="130"/>
      <c r="AR942" s="130"/>
      <c r="AS942" s="130"/>
      <c r="AT942" s="130"/>
    </row>
    <row r="943" ht="13.5" customHeight="1">
      <c r="A943" s="130"/>
      <c r="B943" s="130"/>
      <c r="C943" s="130"/>
      <c r="D943" s="130"/>
      <c r="E943" s="163"/>
      <c r="F943" s="163"/>
      <c r="G943" s="163"/>
      <c r="H943" s="163"/>
      <c r="I943" s="163"/>
      <c r="J943" s="163"/>
      <c r="K943" s="130"/>
      <c r="L943" s="130"/>
      <c r="M943" s="130"/>
      <c r="N943" s="130"/>
      <c r="O943" s="130"/>
      <c r="P943" s="130"/>
      <c r="Q943" s="130"/>
      <c r="R943" s="130"/>
      <c r="S943" s="163"/>
      <c r="T943" s="163"/>
      <c r="U943" s="163"/>
      <c r="V943" s="163"/>
      <c r="W943" s="163"/>
      <c r="X943" s="163"/>
      <c r="Y943" s="163"/>
      <c r="Z943" s="163"/>
      <c r="AA943" s="163"/>
      <c r="AB943" s="163"/>
      <c r="AC943" s="163"/>
      <c r="AD943" s="163"/>
      <c r="AE943" s="163"/>
      <c r="AF943" s="163"/>
      <c r="AG943" s="163"/>
      <c r="AH943" s="163"/>
      <c r="AI943" s="163"/>
      <c r="AJ943" s="163"/>
      <c r="AK943" s="163"/>
      <c r="AL943" s="163"/>
      <c r="AM943" s="163"/>
      <c r="AN943" s="130"/>
      <c r="AO943" s="130"/>
      <c r="AP943" s="130"/>
      <c r="AQ943" s="130"/>
      <c r="AR943" s="130"/>
      <c r="AS943" s="130"/>
      <c r="AT943" s="130"/>
    </row>
    <row r="944" ht="13.5" customHeight="1">
      <c r="A944" s="130"/>
      <c r="B944" s="130"/>
      <c r="C944" s="130"/>
      <c r="D944" s="130"/>
      <c r="E944" s="163"/>
      <c r="F944" s="163"/>
      <c r="G944" s="163"/>
      <c r="H944" s="163"/>
      <c r="I944" s="163"/>
      <c r="J944" s="163"/>
      <c r="K944" s="130"/>
      <c r="L944" s="130"/>
      <c r="M944" s="130"/>
      <c r="N944" s="130"/>
      <c r="O944" s="130"/>
      <c r="P944" s="130"/>
      <c r="Q944" s="130"/>
      <c r="R944" s="130"/>
      <c r="S944" s="163"/>
      <c r="T944" s="163"/>
      <c r="U944" s="163"/>
      <c r="V944" s="163"/>
      <c r="W944" s="163"/>
      <c r="X944" s="163"/>
      <c r="Y944" s="163"/>
      <c r="Z944" s="163"/>
      <c r="AA944" s="163"/>
      <c r="AB944" s="163"/>
      <c r="AC944" s="163"/>
      <c r="AD944" s="163"/>
      <c r="AE944" s="163"/>
      <c r="AF944" s="163"/>
      <c r="AG944" s="163"/>
      <c r="AH944" s="163"/>
      <c r="AI944" s="163"/>
      <c r="AJ944" s="163"/>
      <c r="AK944" s="163"/>
      <c r="AL944" s="163"/>
      <c r="AM944" s="163"/>
      <c r="AN944" s="130"/>
      <c r="AO944" s="130"/>
      <c r="AP944" s="130"/>
      <c r="AQ944" s="130"/>
      <c r="AR944" s="130"/>
      <c r="AS944" s="130"/>
      <c r="AT944" s="130"/>
    </row>
    <row r="945" ht="13.5" customHeight="1">
      <c r="A945" s="130"/>
      <c r="B945" s="130"/>
      <c r="C945" s="130"/>
      <c r="D945" s="130"/>
      <c r="E945" s="163"/>
      <c r="F945" s="163"/>
      <c r="G945" s="163"/>
      <c r="H945" s="163"/>
      <c r="I945" s="163"/>
      <c r="J945" s="163"/>
      <c r="K945" s="130"/>
      <c r="L945" s="130"/>
      <c r="M945" s="130"/>
      <c r="N945" s="130"/>
      <c r="O945" s="130"/>
      <c r="P945" s="130"/>
      <c r="Q945" s="130"/>
      <c r="R945" s="130"/>
      <c r="S945" s="163"/>
      <c r="T945" s="163"/>
      <c r="U945" s="163"/>
      <c r="V945" s="163"/>
      <c r="W945" s="163"/>
      <c r="X945" s="163"/>
      <c r="Y945" s="163"/>
      <c r="Z945" s="163"/>
      <c r="AA945" s="163"/>
      <c r="AB945" s="163"/>
      <c r="AC945" s="163"/>
      <c r="AD945" s="163"/>
      <c r="AE945" s="163"/>
      <c r="AF945" s="163"/>
      <c r="AG945" s="163"/>
      <c r="AH945" s="163"/>
      <c r="AI945" s="163"/>
      <c r="AJ945" s="163"/>
      <c r="AK945" s="163"/>
      <c r="AL945" s="163"/>
      <c r="AM945" s="163"/>
      <c r="AN945" s="130"/>
      <c r="AO945" s="130"/>
      <c r="AP945" s="130"/>
      <c r="AQ945" s="130"/>
      <c r="AR945" s="130"/>
      <c r="AS945" s="130"/>
      <c r="AT945" s="130"/>
    </row>
    <row r="946" ht="13.5" customHeight="1">
      <c r="A946" s="130"/>
      <c r="B946" s="130"/>
      <c r="C946" s="130"/>
      <c r="D946" s="130"/>
      <c r="E946" s="163"/>
      <c r="F946" s="163"/>
      <c r="G946" s="163"/>
      <c r="H946" s="163"/>
      <c r="I946" s="163"/>
      <c r="J946" s="163"/>
      <c r="K946" s="130"/>
      <c r="L946" s="130"/>
      <c r="M946" s="130"/>
      <c r="N946" s="130"/>
      <c r="O946" s="130"/>
      <c r="P946" s="130"/>
      <c r="Q946" s="130"/>
      <c r="R946" s="130"/>
      <c r="S946" s="163"/>
      <c r="T946" s="163"/>
      <c r="U946" s="163"/>
      <c r="V946" s="163"/>
      <c r="W946" s="163"/>
      <c r="X946" s="163"/>
      <c r="Y946" s="163"/>
      <c r="Z946" s="163"/>
      <c r="AA946" s="163"/>
      <c r="AB946" s="163"/>
      <c r="AC946" s="163"/>
      <c r="AD946" s="163"/>
      <c r="AE946" s="163"/>
      <c r="AF946" s="163"/>
      <c r="AG946" s="163"/>
      <c r="AH946" s="163"/>
      <c r="AI946" s="163"/>
      <c r="AJ946" s="163"/>
      <c r="AK946" s="163"/>
      <c r="AL946" s="163"/>
      <c r="AM946" s="163"/>
      <c r="AN946" s="130"/>
      <c r="AO946" s="130"/>
      <c r="AP946" s="130"/>
      <c r="AQ946" s="130"/>
      <c r="AR946" s="130"/>
      <c r="AS946" s="130"/>
      <c r="AT946" s="130"/>
    </row>
    <row r="947" ht="13.5" customHeight="1">
      <c r="A947" s="130"/>
      <c r="B947" s="130"/>
      <c r="C947" s="130"/>
      <c r="D947" s="130"/>
      <c r="E947" s="163"/>
      <c r="F947" s="163"/>
      <c r="G947" s="163"/>
      <c r="H947" s="163"/>
      <c r="I947" s="163"/>
      <c r="J947" s="163"/>
      <c r="K947" s="130"/>
      <c r="L947" s="130"/>
      <c r="M947" s="130"/>
      <c r="N947" s="130"/>
      <c r="O947" s="130"/>
      <c r="P947" s="130"/>
      <c r="Q947" s="130"/>
      <c r="R947" s="130"/>
      <c r="S947" s="163"/>
      <c r="T947" s="163"/>
      <c r="U947" s="163"/>
      <c r="V947" s="163"/>
      <c r="W947" s="163"/>
      <c r="X947" s="163"/>
      <c r="Y947" s="163"/>
      <c r="Z947" s="163"/>
      <c r="AA947" s="163"/>
      <c r="AB947" s="163"/>
      <c r="AC947" s="163"/>
      <c r="AD947" s="163"/>
      <c r="AE947" s="163"/>
      <c r="AF947" s="163"/>
      <c r="AG947" s="163"/>
      <c r="AH947" s="163"/>
      <c r="AI947" s="163"/>
      <c r="AJ947" s="163"/>
      <c r="AK947" s="163"/>
      <c r="AL947" s="163"/>
      <c r="AM947" s="163"/>
      <c r="AN947" s="130"/>
      <c r="AO947" s="130"/>
      <c r="AP947" s="130"/>
      <c r="AQ947" s="130"/>
      <c r="AR947" s="130"/>
      <c r="AS947" s="130"/>
      <c r="AT947" s="130"/>
    </row>
    <row r="948" ht="13.5" customHeight="1">
      <c r="A948" s="130"/>
      <c r="B948" s="130"/>
      <c r="C948" s="130"/>
      <c r="D948" s="130"/>
      <c r="E948" s="163"/>
      <c r="F948" s="163"/>
      <c r="G948" s="163"/>
      <c r="H948" s="163"/>
      <c r="I948" s="163"/>
      <c r="J948" s="163"/>
      <c r="K948" s="130"/>
      <c r="L948" s="130"/>
      <c r="M948" s="130"/>
      <c r="N948" s="130"/>
      <c r="O948" s="130"/>
      <c r="P948" s="130"/>
      <c r="Q948" s="130"/>
      <c r="R948" s="130"/>
      <c r="S948" s="163"/>
      <c r="T948" s="163"/>
      <c r="U948" s="163"/>
      <c r="V948" s="163"/>
      <c r="W948" s="163"/>
      <c r="X948" s="163"/>
      <c r="Y948" s="163"/>
      <c r="Z948" s="163"/>
      <c r="AA948" s="163"/>
      <c r="AB948" s="163"/>
      <c r="AC948" s="163"/>
      <c r="AD948" s="163"/>
      <c r="AE948" s="163"/>
      <c r="AF948" s="163"/>
      <c r="AG948" s="163"/>
      <c r="AH948" s="163"/>
      <c r="AI948" s="163"/>
      <c r="AJ948" s="163"/>
      <c r="AK948" s="163"/>
      <c r="AL948" s="163"/>
      <c r="AM948" s="163"/>
      <c r="AN948" s="130"/>
      <c r="AO948" s="130"/>
      <c r="AP948" s="130"/>
      <c r="AQ948" s="130"/>
      <c r="AR948" s="130"/>
      <c r="AS948" s="130"/>
      <c r="AT948" s="130"/>
    </row>
    <row r="949" ht="13.5" customHeight="1">
      <c r="A949" s="130"/>
      <c r="B949" s="130"/>
      <c r="C949" s="130"/>
      <c r="D949" s="130"/>
      <c r="E949" s="163"/>
      <c r="F949" s="163"/>
      <c r="G949" s="163"/>
      <c r="H949" s="163"/>
      <c r="I949" s="163"/>
      <c r="J949" s="163"/>
      <c r="K949" s="130"/>
      <c r="L949" s="130"/>
      <c r="M949" s="130"/>
      <c r="N949" s="130"/>
      <c r="O949" s="130"/>
      <c r="P949" s="130"/>
      <c r="Q949" s="130"/>
      <c r="R949" s="130"/>
      <c r="S949" s="163"/>
      <c r="T949" s="163"/>
      <c r="U949" s="163"/>
      <c r="V949" s="163"/>
      <c r="W949" s="163"/>
      <c r="X949" s="163"/>
      <c r="Y949" s="163"/>
      <c r="Z949" s="163"/>
      <c r="AA949" s="163"/>
      <c r="AB949" s="163"/>
      <c r="AC949" s="163"/>
      <c r="AD949" s="163"/>
      <c r="AE949" s="163"/>
      <c r="AF949" s="163"/>
      <c r="AG949" s="163"/>
      <c r="AH949" s="163"/>
      <c r="AI949" s="163"/>
      <c r="AJ949" s="163"/>
      <c r="AK949" s="163"/>
      <c r="AL949" s="163"/>
      <c r="AM949" s="163"/>
      <c r="AN949" s="130"/>
      <c r="AO949" s="130"/>
      <c r="AP949" s="130"/>
      <c r="AQ949" s="130"/>
      <c r="AR949" s="130"/>
      <c r="AS949" s="130"/>
      <c r="AT949" s="130"/>
    </row>
    <row r="950" ht="13.5" customHeight="1">
      <c r="A950" s="130"/>
      <c r="B950" s="130"/>
      <c r="C950" s="130"/>
      <c r="D950" s="130"/>
      <c r="E950" s="163"/>
      <c r="F950" s="163"/>
      <c r="G950" s="163"/>
      <c r="H950" s="163"/>
      <c r="I950" s="163"/>
      <c r="J950" s="163"/>
      <c r="K950" s="130"/>
      <c r="L950" s="130"/>
      <c r="M950" s="130"/>
      <c r="N950" s="130"/>
      <c r="O950" s="130"/>
      <c r="P950" s="130"/>
      <c r="Q950" s="130"/>
      <c r="R950" s="130"/>
      <c r="S950" s="163"/>
      <c r="T950" s="163"/>
      <c r="U950" s="163"/>
      <c r="V950" s="163"/>
      <c r="W950" s="163"/>
      <c r="X950" s="163"/>
      <c r="Y950" s="163"/>
      <c r="Z950" s="163"/>
      <c r="AA950" s="163"/>
      <c r="AB950" s="163"/>
      <c r="AC950" s="163"/>
      <c r="AD950" s="163"/>
      <c r="AE950" s="163"/>
      <c r="AF950" s="163"/>
      <c r="AG950" s="163"/>
      <c r="AH950" s="163"/>
      <c r="AI950" s="163"/>
      <c r="AJ950" s="163"/>
      <c r="AK950" s="163"/>
      <c r="AL950" s="163"/>
      <c r="AM950" s="163"/>
      <c r="AN950" s="130"/>
      <c r="AO950" s="130"/>
      <c r="AP950" s="130"/>
      <c r="AQ950" s="130"/>
      <c r="AR950" s="130"/>
      <c r="AS950" s="130"/>
      <c r="AT950" s="130"/>
    </row>
    <row r="951" ht="13.5" customHeight="1">
      <c r="A951" s="130"/>
      <c r="B951" s="130"/>
      <c r="C951" s="130"/>
      <c r="D951" s="130"/>
      <c r="E951" s="163"/>
      <c r="F951" s="163"/>
      <c r="G951" s="163"/>
      <c r="H951" s="163"/>
      <c r="I951" s="163"/>
      <c r="J951" s="163"/>
      <c r="K951" s="130"/>
      <c r="L951" s="130"/>
      <c r="M951" s="130"/>
      <c r="N951" s="130"/>
      <c r="O951" s="130"/>
      <c r="P951" s="130"/>
      <c r="Q951" s="130"/>
      <c r="R951" s="130"/>
      <c r="S951" s="163"/>
      <c r="T951" s="163"/>
      <c r="U951" s="163"/>
      <c r="V951" s="163"/>
      <c r="W951" s="163"/>
      <c r="X951" s="163"/>
      <c r="Y951" s="163"/>
      <c r="Z951" s="163"/>
      <c r="AA951" s="163"/>
      <c r="AB951" s="163"/>
      <c r="AC951" s="163"/>
      <c r="AD951" s="163"/>
      <c r="AE951" s="163"/>
      <c r="AF951" s="163"/>
      <c r="AG951" s="163"/>
      <c r="AH951" s="163"/>
      <c r="AI951" s="163"/>
      <c r="AJ951" s="163"/>
      <c r="AK951" s="163"/>
      <c r="AL951" s="163"/>
      <c r="AM951" s="163"/>
      <c r="AN951" s="130"/>
      <c r="AO951" s="130"/>
      <c r="AP951" s="130"/>
      <c r="AQ951" s="130"/>
      <c r="AR951" s="130"/>
      <c r="AS951" s="130"/>
      <c r="AT951" s="130"/>
    </row>
    <row r="952" ht="13.5" customHeight="1">
      <c r="A952" s="130"/>
      <c r="B952" s="130"/>
      <c r="C952" s="130"/>
      <c r="D952" s="130"/>
      <c r="E952" s="163"/>
      <c r="F952" s="163"/>
      <c r="G952" s="163"/>
      <c r="H952" s="163"/>
      <c r="I952" s="163"/>
      <c r="J952" s="163"/>
      <c r="K952" s="130"/>
      <c r="L952" s="130"/>
      <c r="M952" s="130"/>
      <c r="N952" s="130"/>
      <c r="O952" s="130"/>
      <c r="P952" s="130"/>
      <c r="Q952" s="130"/>
      <c r="R952" s="130"/>
      <c r="S952" s="163"/>
      <c r="T952" s="163"/>
      <c r="U952" s="163"/>
      <c r="V952" s="163"/>
      <c r="W952" s="163"/>
      <c r="X952" s="163"/>
      <c r="Y952" s="163"/>
      <c r="Z952" s="163"/>
      <c r="AA952" s="163"/>
      <c r="AB952" s="163"/>
      <c r="AC952" s="163"/>
      <c r="AD952" s="163"/>
      <c r="AE952" s="163"/>
      <c r="AF952" s="163"/>
      <c r="AG952" s="163"/>
      <c r="AH952" s="163"/>
      <c r="AI952" s="163"/>
      <c r="AJ952" s="163"/>
      <c r="AK952" s="163"/>
      <c r="AL952" s="163"/>
      <c r="AM952" s="163"/>
      <c r="AN952" s="130"/>
      <c r="AO952" s="130"/>
      <c r="AP952" s="130"/>
      <c r="AQ952" s="130"/>
      <c r="AR952" s="130"/>
      <c r="AS952" s="130"/>
      <c r="AT952" s="130"/>
    </row>
    <row r="953" ht="13.5" customHeight="1">
      <c r="A953" s="130"/>
      <c r="B953" s="130"/>
      <c r="C953" s="130"/>
      <c r="D953" s="130"/>
      <c r="E953" s="163"/>
      <c r="F953" s="163"/>
      <c r="G953" s="163"/>
      <c r="H953" s="163"/>
      <c r="I953" s="163"/>
      <c r="J953" s="163"/>
      <c r="K953" s="130"/>
      <c r="L953" s="130"/>
      <c r="M953" s="130"/>
      <c r="N953" s="130"/>
      <c r="O953" s="130"/>
      <c r="P953" s="130"/>
      <c r="Q953" s="130"/>
      <c r="R953" s="130"/>
      <c r="S953" s="163"/>
      <c r="T953" s="163"/>
      <c r="U953" s="163"/>
      <c r="V953" s="163"/>
      <c r="W953" s="163"/>
      <c r="X953" s="163"/>
      <c r="Y953" s="163"/>
      <c r="Z953" s="163"/>
      <c r="AA953" s="163"/>
      <c r="AB953" s="163"/>
      <c r="AC953" s="163"/>
      <c r="AD953" s="163"/>
      <c r="AE953" s="163"/>
      <c r="AF953" s="163"/>
      <c r="AG953" s="163"/>
      <c r="AH953" s="163"/>
      <c r="AI953" s="163"/>
      <c r="AJ953" s="163"/>
      <c r="AK953" s="163"/>
      <c r="AL953" s="163"/>
      <c r="AM953" s="163"/>
      <c r="AN953" s="130"/>
      <c r="AO953" s="130"/>
      <c r="AP953" s="130"/>
      <c r="AQ953" s="130"/>
      <c r="AR953" s="130"/>
      <c r="AS953" s="130"/>
      <c r="AT953" s="130"/>
    </row>
    <row r="954" ht="13.5" customHeight="1">
      <c r="A954" s="130"/>
      <c r="B954" s="130"/>
      <c r="C954" s="130"/>
      <c r="D954" s="130"/>
      <c r="E954" s="163"/>
      <c r="F954" s="163"/>
      <c r="G954" s="163"/>
      <c r="H954" s="163"/>
      <c r="I954" s="163"/>
      <c r="J954" s="163"/>
      <c r="K954" s="130"/>
      <c r="L954" s="130"/>
      <c r="M954" s="130"/>
      <c r="N954" s="130"/>
      <c r="O954" s="130"/>
      <c r="P954" s="130"/>
      <c r="Q954" s="130"/>
      <c r="R954" s="130"/>
      <c r="S954" s="163"/>
      <c r="T954" s="163"/>
      <c r="U954" s="163"/>
      <c r="V954" s="163"/>
      <c r="W954" s="163"/>
      <c r="X954" s="163"/>
      <c r="Y954" s="163"/>
      <c r="Z954" s="163"/>
      <c r="AA954" s="163"/>
      <c r="AB954" s="163"/>
      <c r="AC954" s="163"/>
      <c r="AD954" s="163"/>
      <c r="AE954" s="163"/>
      <c r="AF954" s="163"/>
      <c r="AG954" s="163"/>
      <c r="AH954" s="163"/>
      <c r="AI954" s="163"/>
      <c r="AJ954" s="163"/>
      <c r="AK954" s="163"/>
      <c r="AL954" s="163"/>
      <c r="AM954" s="163"/>
      <c r="AN954" s="130"/>
      <c r="AO954" s="130"/>
      <c r="AP954" s="130"/>
      <c r="AQ954" s="130"/>
      <c r="AR954" s="130"/>
      <c r="AS954" s="130"/>
      <c r="AT954" s="130"/>
    </row>
    <row r="955" ht="13.5" customHeight="1">
      <c r="A955" s="130"/>
      <c r="B955" s="130"/>
      <c r="C955" s="130"/>
      <c r="D955" s="130"/>
      <c r="E955" s="163"/>
      <c r="F955" s="163"/>
      <c r="G955" s="163"/>
      <c r="H955" s="163"/>
      <c r="I955" s="163"/>
      <c r="J955" s="163"/>
      <c r="K955" s="130"/>
      <c r="L955" s="130"/>
      <c r="M955" s="130"/>
      <c r="N955" s="130"/>
      <c r="O955" s="130"/>
      <c r="P955" s="130"/>
      <c r="Q955" s="130"/>
      <c r="R955" s="130"/>
      <c r="S955" s="163"/>
      <c r="T955" s="163"/>
      <c r="U955" s="163"/>
      <c r="V955" s="163"/>
      <c r="W955" s="163"/>
      <c r="X955" s="163"/>
      <c r="Y955" s="163"/>
      <c r="Z955" s="163"/>
      <c r="AA955" s="163"/>
      <c r="AB955" s="163"/>
      <c r="AC955" s="163"/>
      <c r="AD955" s="163"/>
      <c r="AE955" s="163"/>
      <c r="AF955" s="163"/>
      <c r="AG955" s="163"/>
      <c r="AH955" s="163"/>
      <c r="AI955" s="163"/>
      <c r="AJ955" s="163"/>
      <c r="AK955" s="163"/>
      <c r="AL955" s="163"/>
      <c r="AM955" s="163"/>
      <c r="AN955" s="130"/>
      <c r="AO955" s="130"/>
      <c r="AP955" s="130"/>
      <c r="AQ955" s="130"/>
      <c r="AR955" s="130"/>
      <c r="AS955" s="130"/>
      <c r="AT955" s="130"/>
    </row>
    <row r="956" ht="13.5" customHeight="1">
      <c r="A956" s="130"/>
      <c r="B956" s="130"/>
      <c r="C956" s="130"/>
      <c r="D956" s="130"/>
      <c r="E956" s="163"/>
      <c r="F956" s="163"/>
      <c r="G956" s="163"/>
      <c r="H956" s="163"/>
      <c r="I956" s="163"/>
      <c r="J956" s="163"/>
      <c r="K956" s="130"/>
      <c r="L956" s="130"/>
      <c r="M956" s="130"/>
      <c r="N956" s="130"/>
      <c r="O956" s="130"/>
      <c r="P956" s="130"/>
      <c r="Q956" s="130"/>
      <c r="R956" s="130"/>
      <c r="S956" s="163"/>
      <c r="T956" s="163"/>
      <c r="U956" s="163"/>
      <c r="V956" s="163"/>
      <c r="W956" s="163"/>
      <c r="X956" s="163"/>
      <c r="Y956" s="163"/>
      <c r="Z956" s="163"/>
      <c r="AA956" s="163"/>
      <c r="AB956" s="163"/>
      <c r="AC956" s="163"/>
      <c r="AD956" s="163"/>
      <c r="AE956" s="163"/>
      <c r="AF956" s="163"/>
      <c r="AG956" s="163"/>
      <c r="AH956" s="163"/>
      <c r="AI956" s="163"/>
      <c r="AJ956" s="163"/>
      <c r="AK956" s="163"/>
      <c r="AL956" s="163"/>
      <c r="AM956" s="163"/>
      <c r="AN956" s="130"/>
      <c r="AO956" s="130"/>
      <c r="AP956" s="130"/>
      <c r="AQ956" s="130"/>
      <c r="AR956" s="130"/>
      <c r="AS956" s="130"/>
      <c r="AT956" s="130"/>
    </row>
    <row r="957" ht="13.5" customHeight="1">
      <c r="A957" s="130"/>
      <c r="B957" s="130"/>
      <c r="C957" s="130"/>
      <c r="D957" s="130"/>
      <c r="E957" s="163"/>
      <c r="F957" s="163"/>
      <c r="G957" s="163"/>
      <c r="H957" s="163"/>
      <c r="I957" s="163"/>
      <c r="J957" s="163"/>
      <c r="K957" s="130"/>
      <c r="L957" s="130"/>
      <c r="M957" s="130"/>
      <c r="N957" s="130"/>
      <c r="O957" s="130"/>
      <c r="P957" s="130"/>
      <c r="Q957" s="130"/>
      <c r="R957" s="130"/>
      <c r="S957" s="163"/>
      <c r="T957" s="163"/>
      <c r="U957" s="163"/>
      <c r="V957" s="163"/>
      <c r="W957" s="163"/>
      <c r="X957" s="163"/>
      <c r="Y957" s="163"/>
      <c r="Z957" s="163"/>
      <c r="AA957" s="163"/>
      <c r="AB957" s="163"/>
      <c r="AC957" s="163"/>
      <c r="AD957" s="163"/>
      <c r="AE957" s="163"/>
      <c r="AF957" s="163"/>
      <c r="AG957" s="163"/>
      <c r="AH957" s="163"/>
      <c r="AI957" s="163"/>
      <c r="AJ957" s="163"/>
      <c r="AK957" s="163"/>
      <c r="AL957" s="163"/>
      <c r="AM957" s="163"/>
      <c r="AN957" s="130"/>
      <c r="AO957" s="130"/>
      <c r="AP957" s="130"/>
      <c r="AQ957" s="130"/>
      <c r="AR957" s="130"/>
      <c r="AS957" s="130"/>
      <c r="AT957" s="130"/>
    </row>
    <row r="958" ht="13.5" customHeight="1">
      <c r="A958" s="130"/>
      <c r="B958" s="130"/>
      <c r="C958" s="130"/>
      <c r="D958" s="130"/>
      <c r="E958" s="163"/>
      <c r="F958" s="163"/>
      <c r="G958" s="163"/>
      <c r="H958" s="163"/>
      <c r="I958" s="163"/>
      <c r="J958" s="163"/>
      <c r="K958" s="130"/>
      <c r="L958" s="130"/>
      <c r="M958" s="130"/>
      <c r="N958" s="130"/>
      <c r="O958" s="130"/>
      <c r="P958" s="130"/>
      <c r="Q958" s="130"/>
      <c r="R958" s="130"/>
      <c r="S958" s="163"/>
      <c r="T958" s="163"/>
      <c r="U958" s="163"/>
      <c r="V958" s="163"/>
      <c r="W958" s="163"/>
      <c r="X958" s="163"/>
      <c r="Y958" s="163"/>
      <c r="Z958" s="163"/>
      <c r="AA958" s="163"/>
      <c r="AB958" s="163"/>
      <c r="AC958" s="163"/>
      <c r="AD958" s="163"/>
      <c r="AE958" s="163"/>
      <c r="AF958" s="163"/>
      <c r="AG958" s="163"/>
      <c r="AH958" s="163"/>
      <c r="AI958" s="163"/>
      <c r="AJ958" s="163"/>
      <c r="AK958" s="163"/>
      <c r="AL958" s="163"/>
      <c r="AM958" s="163"/>
      <c r="AN958" s="130"/>
      <c r="AO958" s="130"/>
      <c r="AP958" s="130"/>
      <c r="AQ958" s="130"/>
      <c r="AR958" s="130"/>
      <c r="AS958" s="130"/>
      <c r="AT958" s="130"/>
    </row>
    <row r="959" ht="13.5" customHeight="1">
      <c r="A959" s="130"/>
      <c r="B959" s="130"/>
      <c r="C959" s="130"/>
      <c r="D959" s="130"/>
      <c r="E959" s="163"/>
      <c r="F959" s="163"/>
      <c r="G959" s="163"/>
      <c r="H959" s="163"/>
      <c r="I959" s="163"/>
      <c r="J959" s="163"/>
      <c r="K959" s="130"/>
      <c r="L959" s="130"/>
      <c r="M959" s="130"/>
      <c r="N959" s="130"/>
      <c r="O959" s="130"/>
      <c r="P959" s="130"/>
      <c r="Q959" s="130"/>
      <c r="R959" s="130"/>
      <c r="S959" s="163"/>
      <c r="T959" s="163"/>
      <c r="U959" s="163"/>
      <c r="V959" s="163"/>
      <c r="W959" s="163"/>
      <c r="X959" s="163"/>
      <c r="Y959" s="163"/>
      <c r="Z959" s="163"/>
      <c r="AA959" s="163"/>
      <c r="AB959" s="163"/>
      <c r="AC959" s="163"/>
      <c r="AD959" s="163"/>
      <c r="AE959" s="163"/>
      <c r="AF959" s="163"/>
      <c r="AG959" s="163"/>
      <c r="AH959" s="163"/>
      <c r="AI959" s="163"/>
      <c r="AJ959" s="163"/>
      <c r="AK959" s="163"/>
      <c r="AL959" s="163"/>
      <c r="AM959" s="163"/>
      <c r="AN959" s="130"/>
      <c r="AO959" s="130"/>
      <c r="AP959" s="130"/>
      <c r="AQ959" s="130"/>
      <c r="AR959" s="130"/>
      <c r="AS959" s="130"/>
      <c r="AT959" s="130"/>
    </row>
    <row r="960" ht="13.5" customHeight="1">
      <c r="A960" s="130"/>
      <c r="B960" s="130"/>
      <c r="C960" s="130"/>
      <c r="D960" s="130"/>
      <c r="E960" s="163"/>
      <c r="F960" s="163"/>
      <c r="G960" s="163"/>
      <c r="H960" s="163"/>
      <c r="I960" s="163"/>
      <c r="J960" s="163"/>
      <c r="K960" s="130"/>
      <c r="L960" s="130"/>
      <c r="M960" s="130"/>
      <c r="N960" s="130"/>
      <c r="O960" s="130"/>
      <c r="P960" s="130"/>
      <c r="Q960" s="130"/>
      <c r="R960" s="130"/>
      <c r="S960" s="163"/>
      <c r="T960" s="163"/>
      <c r="U960" s="163"/>
      <c r="V960" s="163"/>
      <c r="W960" s="163"/>
      <c r="X960" s="163"/>
      <c r="Y960" s="163"/>
      <c r="Z960" s="163"/>
      <c r="AA960" s="163"/>
      <c r="AB960" s="163"/>
      <c r="AC960" s="163"/>
      <c r="AD960" s="163"/>
      <c r="AE960" s="163"/>
      <c r="AF960" s="163"/>
      <c r="AG960" s="163"/>
      <c r="AH960" s="163"/>
      <c r="AI960" s="163"/>
      <c r="AJ960" s="163"/>
      <c r="AK960" s="163"/>
      <c r="AL960" s="163"/>
      <c r="AM960" s="163"/>
      <c r="AN960" s="130"/>
      <c r="AO960" s="130"/>
      <c r="AP960" s="130"/>
      <c r="AQ960" s="130"/>
      <c r="AR960" s="130"/>
      <c r="AS960" s="130"/>
      <c r="AT960" s="130"/>
    </row>
    <row r="961" ht="13.5" customHeight="1">
      <c r="A961" s="130"/>
      <c r="B961" s="130"/>
      <c r="C961" s="130"/>
      <c r="D961" s="130"/>
      <c r="E961" s="163"/>
      <c r="F961" s="163"/>
      <c r="G961" s="163"/>
      <c r="H961" s="163"/>
      <c r="I961" s="163"/>
      <c r="J961" s="163"/>
      <c r="K961" s="130"/>
      <c r="L961" s="130"/>
      <c r="M961" s="130"/>
      <c r="N961" s="130"/>
      <c r="O961" s="130"/>
      <c r="P961" s="130"/>
      <c r="Q961" s="130"/>
      <c r="R961" s="130"/>
      <c r="S961" s="163"/>
      <c r="T961" s="163"/>
      <c r="U961" s="163"/>
      <c r="V961" s="163"/>
      <c r="W961" s="163"/>
      <c r="X961" s="163"/>
      <c r="Y961" s="163"/>
      <c r="Z961" s="163"/>
      <c r="AA961" s="163"/>
      <c r="AB961" s="163"/>
      <c r="AC961" s="163"/>
      <c r="AD961" s="163"/>
      <c r="AE961" s="163"/>
      <c r="AF961" s="163"/>
      <c r="AG961" s="163"/>
      <c r="AH961" s="163"/>
      <c r="AI961" s="163"/>
      <c r="AJ961" s="163"/>
      <c r="AK961" s="163"/>
      <c r="AL961" s="163"/>
      <c r="AM961" s="163"/>
      <c r="AN961" s="130"/>
      <c r="AO961" s="130"/>
      <c r="AP961" s="130"/>
      <c r="AQ961" s="130"/>
      <c r="AR961" s="130"/>
      <c r="AS961" s="130"/>
      <c r="AT961" s="130"/>
    </row>
    <row r="962" ht="13.5" customHeight="1">
      <c r="A962" s="130"/>
      <c r="B962" s="130"/>
      <c r="C962" s="130"/>
      <c r="D962" s="130"/>
      <c r="E962" s="163"/>
      <c r="F962" s="163"/>
      <c r="G962" s="163"/>
      <c r="H962" s="163"/>
      <c r="I962" s="163"/>
      <c r="J962" s="163"/>
      <c r="K962" s="130"/>
      <c r="L962" s="130"/>
      <c r="M962" s="130"/>
      <c r="N962" s="130"/>
      <c r="O962" s="130"/>
      <c r="P962" s="130"/>
      <c r="Q962" s="130"/>
      <c r="R962" s="130"/>
      <c r="S962" s="163"/>
      <c r="T962" s="163"/>
      <c r="U962" s="163"/>
      <c r="V962" s="163"/>
      <c r="W962" s="163"/>
      <c r="X962" s="163"/>
      <c r="Y962" s="163"/>
      <c r="Z962" s="163"/>
      <c r="AA962" s="163"/>
      <c r="AB962" s="163"/>
      <c r="AC962" s="163"/>
      <c r="AD962" s="163"/>
      <c r="AE962" s="163"/>
      <c r="AF962" s="163"/>
      <c r="AG962" s="163"/>
      <c r="AH962" s="163"/>
      <c r="AI962" s="163"/>
      <c r="AJ962" s="163"/>
      <c r="AK962" s="163"/>
      <c r="AL962" s="163"/>
      <c r="AM962" s="163"/>
      <c r="AN962" s="130"/>
      <c r="AO962" s="130"/>
      <c r="AP962" s="130"/>
      <c r="AQ962" s="130"/>
      <c r="AR962" s="130"/>
      <c r="AS962" s="130"/>
      <c r="AT962" s="130"/>
    </row>
    <row r="963" ht="13.5" customHeight="1">
      <c r="A963" s="130"/>
      <c r="B963" s="130"/>
      <c r="C963" s="130"/>
      <c r="D963" s="130"/>
      <c r="E963" s="163"/>
      <c r="F963" s="163"/>
      <c r="G963" s="163"/>
      <c r="H963" s="163"/>
      <c r="I963" s="163"/>
      <c r="J963" s="163"/>
      <c r="K963" s="130"/>
      <c r="L963" s="130"/>
      <c r="M963" s="130"/>
      <c r="N963" s="130"/>
      <c r="O963" s="130"/>
      <c r="P963" s="130"/>
      <c r="Q963" s="130"/>
      <c r="R963" s="130"/>
      <c r="S963" s="163"/>
      <c r="T963" s="163"/>
      <c r="U963" s="163"/>
      <c r="V963" s="163"/>
      <c r="W963" s="163"/>
      <c r="X963" s="163"/>
      <c r="Y963" s="163"/>
      <c r="Z963" s="163"/>
      <c r="AA963" s="163"/>
      <c r="AB963" s="163"/>
      <c r="AC963" s="163"/>
      <c r="AD963" s="163"/>
      <c r="AE963" s="163"/>
      <c r="AF963" s="163"/>
      <c r="AG963" s="163"/>
      <c r="AH963" s="163"/>
      <c r="AI963" s="163"/>
      <c r="AJ963" s="163"/>
      <c r="AK963" s="163"/>
      <c r="AL963" s="163"/>
      <c r="AM963" s="163"/>
      <c r="AN963" s="130"/>
      <c r="AO963" s="130"/>
      <c r="AP963" s="130"/>
      <c r="AQ963" s="130"/>
      <c r="AR963" s="130"/>
      <c r="AS963" s="130"/>
      <c r="AT963" s="130"/>
    </row>
    <row r="964" ht="13.5" customHeight="1">
      <c r="A964" s="130"/>
      <c r="B964" s="130"/>
      <c r="C964" s="130"/>
      <c r="D964" s="130"/>
      <c r="E964" s="163"/>
      <c r="F964" s="163"/>
      <c r="G964" s="163"/>
      <c r="H964" s="163"/>
      <c r="I964" s="163"/>
      <c r="J964" s="163"/>
      <c r="K964" s="130"/>
      <c r="L964" s="130"/>
      <c r="M964" s="130"/>
      <c r="N964" s="130"/>
      <c r="O964" s="130"/>
      <c r="P964" s="130"/>
      <c r="Q964" s="130"/>
      <c r="R964" s="130"/>
      <c r="S964" s="163"/>
      <c r="T964" s="163"/>
      <c r="U964" s="163"/>
      <c r="V964" s="163"/>
      <c r="W964" s="163"/>
      <c r="X964" s="163"/>
      <c r="Y964" s="163"/>
      <c r="Z964" s="163"/>
      <c r="AA964" s="163"/>
      <c r="AB964" s="163"/>
      <c r="AC964" s="163"/>
      <c r="AD964" s="163"/>
      <c r="AE964" s="163"/>
      <c r="AF964" s="163"/>
      <c r="AG964" s="163"/>
      <c r="AH964" s="163"/>
      <c r="AI964" s="163"/>
      <c r="AJ964" s="163"/>
      <c r="AK964" s="163"/>
      <c r="AL964" s="163"/>
      <c r="AM964" s="163"/>
      <c r="AN964" s="130"/>
      <c r="AO964" s="130"/>
      <c r="AP964" s="130"/>
      <c r="AQ964" s="130"/>
      <c r="AR964" s="130"/>
      <c r="AS964" s="130"/>
      <c r="AT964" s="130"/>
    </row>
    <row r="965" ht="13.5" customHeight="1">
      <c r="A965" s="130"/>
      <c r="B965" s="130"/>
      <c r="C965" s="130"/>
      <c r="D965" s="130"/>
      <c r="E965" s="163"/>
      <c r="F965" s="163"/>
      <c r="G965" s="163"/>
      <c r="H965" s="163"/>
      <c r="I965" s="163"/>
      <c r="J965" s="163"/>
      <c r="K965" s="130"/>
      <c r="L965" s="130"/>
      <c r="M965" s="130"/>
      <c r="N965" s="130"/>
      <c r="O965" s="130"/>
      <c r="P965" s="130"/>
      <c r="Q965" s="130"/>
      <c r="R965" s="130"/>
      <c r="S965" s="163"/>
      <c r="T965" s="163"/>
      <c r="U965" s="163"/>
      <c r="V965" s="163"/>
      <c r="W965" s="163"/>
      <c r="X965" s="163"/>
      <c r="Y965" s="163"/>
      <c r="Z965" s="163"/>
      <c r="AA965" s="163"/>
      <c r="AB965" s="163"/>
      <c r="AC965" s="163"/>
      <c r="AD965" s="163"/>
      <c r="AE965" s="163"/>
      <c r="AF965" s="163"/>
      <c r="AG965" s="163"/>
      <c r="AH965" s="163"/>
      <c r="AI965" s="163"/>
      <c r="AJ965" s="163"/>
      <c r="AK965" s="163"/>
      <c r="AL965" s="163"/>
      <c r="AM965" s="163"/>
      <c r="AN965" s="130"/>
      <c r="AO965" s="130"/>
      <c r="AP965" s="130"/>
      <c r="AQ965" s="130"/>
      <c r="AR965" s="130"/>
      <c r="AS965" s="130"/>
      <c r="AT965" s="130"/>
    </row>
    <row r="966" ht="13.5" customHeight="1">
      <c r="A966" s="130"/>
      <c r="B966" s="130"/>
      <c r="C966" s="130"/>
      <c r="D966" s="130"/>
      <c r="E966" s="163"/>
      <c r="F966" s="163"/>
      <c r="G966" s="163"/>
      <c r="H966" s="163"/>
      <c r="I966" s="163"/>
      <c r="J966" s="163"/>
      <c r="K966" s="130"/>
      <c r="L966" s="130"/>
      <c r="M966" s="130"/>
      <c r="N966" s="130"/>
      <c r="O966" s="130"/>
      <c r="P966" s="130"/>
      <c r="Q966" s="130"/>
      <c r="R966" s="130"/>
      <c r="S966" s="163"/>
      <c r="T966" s="163"/>
      <c r="U966" s="163"/>
      <c r="V966" s="163"/>
      <c r="W966" s="163"/>
      <c r="X966" s="163"/>
      <c r="Y966" s="163"/>
      <c r="Z966" s="163"/>
      <c r="AA966" s="163"/>
      <c r="AB966" s="163"/>
      <c r="AC966" s="163"/>
      <c r="AD966" s="163"/>
      <c r="AE966" s="163"/>
      <c r="AF966" s="163"/>
      <c r="AG966" s="163"/>
      <c r="AH966" s="163"/>
      <c r="AI966" s="163"/>
      <c r="AJ966" s="163"/>
      <c r="AK966" s="163"/>
      <c r="AL966" s="163"/>
      <c r="AM966" s="163"/>
      <c r="AN966" s="130"/>
      <c r="AO966" s="130"/>
      <c r="AP966" s="130"/>
      <c r="AQ966" s="130"/>
      <c r="AR966" s="130"/>
      <c r="AS966" s="130"/>
      <c r="AT966" s="130"/>
    </row>
    <row r="967" ht="13.5" customHeight="1">
      <c r="A967" s="130"/>
      <c r="B967" s="130"/>
      <c r="C967" s="130"/>
      <c r="D967" s="130"/>
      <c r="E967" s="163"/>
      <c r="F967" s="163"/>
      <c r="G967" s="163"/>
      <c r="H967" s="163"/>
      <c r="I967" s="163"/>
      <c r="J967" s="163"/>
      <c r="K967" s="130"/>
      <c r="L967" s="130"/>
      <c r="M967" s="130"/>
      <c r="N967" s="130"/>
      <c r="O967" s="130"/>
      <c r="P967" s="130"/>
      <c r="Q967" s="130"/>
      <c r="R967" s="130"/>
      <c r="S967" s="163"/>
      <c r="T967" s="163"/>
      <c r="U967" s="163"/>
      <c r="V967" s="163"/>
      <c r="W967" s="163"/>
      <c r="X967" s="163"/>
      <c r="Y967" s="163"/>
      <c r="Z967" s="163"/>
      <c r="AA967" s="163"/>
      <c r="AB967" s="163"/>
      <c r="AC967" s="163"/>
      <c r="AD967" s="163"/>
      <c r="AE967" s="163"/>
      <c r="AF967" s="163"/>
      <c r="AG967" s="163"/>
      <c r="AH967" s="163"/>
      <c r="AI967" s="163"/>
      <c r="AJ967" s="163"/>
      <c r="AK967" s="163"/>
      <c r="AL967" s="163"/>
      <c r="AM967" s="163"/>
      <c r="AN967" s="130"/>
      <c r="AO967" s="130"/>
      <c r="AP967" s="130"/>
      <c r="AQ967" s="130"/>
      <c r="AR967" s="130"/>
      <c r="AS967" s="130"/>
      <c r="AT967" s="130"/>
    </row>
    <row r="968" ht="13.5" customHeight="1">
      <c r="A968" s="130"/>
      <c r="B968" s="130"/>
      <c r="C968" s="130"/>
      <c r="D968" s="130"/>
      <c r="E968" s="163"/>
      <c r="F968" s="163"/>
      <c r="G968" s="163"/>
      <c r="H968" s="163"/>
      <c r="I968" s="163"/>
      <c r="J968" s="163"/>
      <c r="K968" s="130"/>
      <c r="L968" s="130"/>
      <c r="M968" s="130"/>
      <c r="N968" s="130"/>
      <c r="O968" s="130"/>
      <c r="P968" s="130"/>
      <c r="Q968" s="130"/>
      <c r="R968" s="130"/>
      <c r="S968" s="163"/>
      <c r="T968" s="163"/>
      <c r="U968" s="163"/>
      <c r="V968" s="163"/>
      <c r="W968" s="163"/>
      <c r="X968" s="163"/>
      <c r="Y968" s="163"/>
      <c r="Z968" s="163"/>
      <c r="AA968" s="163"/>
      <c r="AB968" s="163"/>
      <c r="AC968" s="163"/>
      <c r="AD968" s="163"/>
      <c r="AE968" s="163"/>
      <c r="AF968" s="163"/>
      <c r="AG968" s="163"/>
      <c r="AH968" s="163"/>
      <c r="AI968" s="163"/>
      <c r="AJ968" s="163"/>
      <c r="AK968" s="163"/>
      <c r="AL968" s="163"/>
      <c r="AM968" s="163"/>
      <c r="AN968" s="130"/>
      <c r="AO968" s="130"/>
      <c r="AP968" s="130"/>
      <c r="AQ968" s="130"/>
      <c r="AR968" s="130"/>
      <c r="AS968" s="130"/>
      <c r="AT968" s="130"/>
    </row>
    <row r="969" ht="13.5" customHeight="1">
      <c r="A969" s="130"/>
      <c r="B969" s="130"/>
      <c r="C969" s="130"/>
      <c r="D969" s="130"/>
      <c r="E969" s="163"/>
      <c r="F969" s="163"/>
      <c r="G969" s="163"/>
      <c r="H969" s="163"/>
      <c r="I969" s="163"/>
      <c r="J969" s="163"/>
      <c r="K969" s="130"/>
      <c r="L969" s="130"/>
      <c r="M969" s="130"/>
      <c r="N969" s="130"/>
      <c r="O969" s="130"/>
      <c r="P969" s="130"/>
      <c r="Q969" s="130"/>
      <c r="R969" s="130"/>
      <c r="S969" s="163"/>
      <c r="T969" s="163"/>
      <c r="U969" s="163"/>
      <c r="V969" s="163"/>
      <c r="W969" s="163"/>
      <c r="X969" s="163"/>
      <c r="Y969" s="163"/>
      <c r="Z969" s="163"/>
      <c r="AA969" s="163"/>
      <c r="AB969" s="163"/>
      <c r="AC969" s="163"/>
      <c r="AD969" s="163"/>
      <c r="AE969" s="163"/>
      <c r="AF969" s="163"/>
      <c r="AG969" s="163"/>
      <c r="AH969" s="163"/>
      <c r="AI969" s="163"/>
      <c r="AJ969" s="163"/>
      <c r="AK969" s="163"/>
      <c r="AL969" s="163"/>
      <c r="AM969" s="163"/>
      <c r="AN969" s="130"/>
      <c r="AO969" s="130"/>
      <c r="AP969" s="130"/>
      <c r="AQ969" s="130"/>
      <c r="AR969" s="130"/>
      <c r="AS969" s="130"/>
      <c r="AT969" s="130"/>
    </row>
    <row r="970" ht="13.5" customHeight="1">
      <c r="A970" s="130"/>
      <c r="B970" s="130"/>
      <c r="C970" s="130"/>
      <c r="D970" s="130"/>
      <c r="E970" s="163"/>
      <c r="F970" s="163"/>
      <c r="G970" s="163"/>
      <c r="H970" s="163"/>
      <c r="I970" s="163"/>
      <c r="J970" s="163"/>
      <c r="K970" s="130"/>
      <c r="L970" s="130"/>
      <c r="M970" s="130"/>
      <c r="N970" s="130"/>
      <c r="O970" s="130"/>
      <c r="P970" s="130"/>
      <c r="Q970" s="130"/>
      <c r="R970" s="130"/>
      <c r="S970" s="163"/>
      <c r="T970" s="163"/>
      <c r="U970" s="163"/>
      <c r="V970" s="163"/>
      <c r="W970" s="163"/>
      <c r="X970" s="163"/>
      <c r="Y970" s="163"/>
      <c r="Z970" s="163"/>
      <c r="AA970" s="163"/>
      <c r="AB970" s="163"/>
      <c r="AC970" s="163"/>
      <c r="AD970" s="163"/>
      <c r="AE970" s="163"/>
      <c r="AF970" s="163"/>
      <c r="AG970" s="163"/>
      <c r="AH970" s="163"/>
      <c r="AI970" s="163"/>
      <c r="AJ970" s="163"/>
      <c r="AK970" s="163"/>
      <c r="AL970" s="163"/>
      <c r="AM970" s="163"/>
      <c r="AN970" s="130"/>
      <c r="AO970" s="130"/>
      <c r="AP970" s="130"/>
      <c r="AQ970" s="130"/>
      <c r="AR970" s="130"/>
      <c r="AS970" s="130"/>
      <c r="AT970" s="130"/>
    </row>
    <row r="971" ht="13.5" customHeight="1">
      <c r="A971" s="130"/>
      <c r="B971" s="130"/>
      <c r="C971" s="130"/>
      <c r="D971" s="130"/>
      <c r="E971" s="163"/>
      <c r="F971" s="163"/>
      <c r="G971" s="163"/>
      <c r="H971" s="163"/>
      <c r="I971" s="163"/>
      <c r="J971" s="163"/>
      <c r="K971" s="130"/>
      <c r="L971" s="130"/>
      <c r="M971" s="130"/>
      <c r="N971" s="130"/>
      <c r="O971" s="130"/>
      <c r="P971" s="130"/>
      <c r="Q971" s="130"/>
      <c r="R971" s="130"/>
      <c r="S971" s="163"/>
      <c r="T971" s="163"/>
      <c r="U971" s="163"/>
      <c r="V971" s="163"/>
      <c r="W971" s="163"/>
      <c r="X971" s="163"/>
      <c r="Y971" s="163"/>
      <c r="Z971" s="163"/>
      <c r="AA971" s="163"/>
      <c r="AB971" s="163"/>
      <c r="AC971" s="163"/>
      <c r="AD971" s="163"/>
      <c r="AE971" s="163"/>
      <c r="AF971" s="163"/>
      <c r="AG971" s="163"/>
      <c r="AH971" s="163"/>
      <c r="AI971" s="163"/>
      <c r="AJ971" s="163"/>
      <c r="AK971" s="163"/>
      <c r="AL971" s="163"/>
      <c r="AM971" s="163"/>
      <c r="AN971" s="130"/>
      <c r="AO971" s="130"/>
      <c r="AP971" s="130"/>
      <c r="AQ971" s="130"/>
      <c r="AR971" s="130"/>
      <c r="AS971" s="130"/>
      <c r="AT971" s="130"/>
    </row>
    <row r="972" ht="13.5" customHeight="1">
      <c r="A972" s="130"/>
      <c r="B972" s="130"/>
      <c r="C972" s="130"/>
      <c r="D972" s="130"/>
      <c r="E972" s="163"/>
      <c r="F972" s="163"/>
      <c r="G972" s="163"/>
      <c r="H972" s="163"/>
      <c r="I972" s="163"/>
      <c r="J972" s="163"/>
      <c r="K972" s="130"/>
      <c r="L972" s="130"/>
      <c r="M972" s="130"/>
      <c r="N972" s="130"/>
      <c r="O972" s="130"/>
      <c r="P972" s="130"/>
      <c r="Q972" s="130"/>
      <c r="R972" s="130"/>
      <c r="S972" s="163"/>
      <c r="T972" s="163"/>
      <c r="U972" s="163"/>
      <c r="V972" s="163"/>
      <c r="W972" s="163"/>
      <c r="X972" s="163"/>
      <c r="Y972" s="163"/>
      <c r="Z972" s="163"/>
      <c r="AA972" s="163"/>
      <c r="AB972" s="163"/>
      <c r="AC972" s="163"/>
      <c r="AD972" s="163"/>
      <c r="AE972" s="163"/>
      <c r="AF972" s="163"/>
      <c r="AG972" s="163"/>
      <c r="AH972" s="163"/>
      <c r="AI972" s="163"/>
      <c r="AJ972" s="163"/>
      <c r="AK972" s="163"/>
      <c r="AL972" s="163"/>
      <c r="AM972" s="163"/>
      <c r="AN972" s="130"/>
      <c r="AO972" s="130"/>
      <c r="AP972" s="130"/>
      <c r="AQ972" s="130"/>
      <c r="AR972" s="130"/>
      <c r="AS972" s="130"/>
      <c r="AT972" s="130"/>
    </row>
    <row r="973" ht="13.5" customHeight="1">
      <c r="A973" s="130"/>
      <c r="B973" s="130"/>
      <c r="C973" s="130"/>
      <c r="D973" s="130"/>
      <c r="E973" s="163"/>
      <c r="F973" s="163"/>
      <c r="G973" s="163"/>
      <c r="H973" s="163"/>
      <c r="I973" s="163"/>
      <c r="J973" s="163"/>
      <c r="K973" s="130"/>
      <c r="L973" s="130"/>
      <c r="M973" s="130"/>
      <c r="N973" s="130"/>
      <c r="O973" s="130"/>
      <c r="P973" s="130"/>
      <c r="Q973" s="130"/>
      <c r="R973" s="130"/>
      <c r="S973" s="163"/>
      <c r="T973" s="163"/>
      <c r="U973" s="163"/>
      <c r="V973" s="163"/>
      <c r="W973" s="163"/>
      <c r="X973" s="163"/>
      <c r="Y973" s="163"/>
      <c r="Z973" s="163"/>
      <c r="AA973" s="163"/>
      <c r="AB973" s="163"/>
      <c r="AC973" s="163"/>
      <c r="AD973" s="163"/>
      <c r="AE973" s="163"/>
      <c r="AF973" s="163"/>
      <c r="AG973" s="163"/>
      <c r="AH973" s="163"/>
      <c r="AI973" s="163"/>
      <c r="AJ973" s="163"/>
      <c r="AK973" s="163"/>
      <c r="AL973" s="163"/>
      <c r="AM973" s="163"/>
      <c r="AN973" s="130"/>
      <c r="AO973" s="130"/>
      <c r="AP973" s="130"/>
      <c r="AQ973" s="130"/>
      <c r="AR973" s="130"/>
      <c r="AS973" s="130"/>
      <c r="AT973" s="130"/>
    </row>
    <row r="974" ht="13.5" customHeight="1">
      <c r="A974" s="130"/>
      <c r="B974" s="130"/>
      <c r="C974" s="130"/>
      <c r="D974" s="130"/>
      <c r="E974" s="163"/>
      <c r="F974" s="163"/>
      <c r="G974" s="163"/>
      <c r="H974" s="163"/>
      <c r="I974" s="163"/>
      <c r="J974" s="163"/>
      <c r="K974" s="130"/>
      <c r="L974" s="130"/>
      <c r="M974" s="130"/>
      <c r="N974" s="130"/>
      <c r="O974" s="130"/>
      <c r="P974" s="130"/>
      <c r="Q974" s="130"/>
      <c r="R974" s="130"/>
      <c r="S974" s="163"/>
      <c r="T974" s="163"/>
      <c r="U974" s="163"/>
      <c r="V974" s="163"/>
      <c r="W974" s="163"/>
      <c r="X974" s="163"/>
      <c r="Y974" s="163"/>
      <c r="Z974" s="163"/>
      <c r="AA974" s="163"/>
      <c r="AB974" s="163"/>
      <c r="AC974" s="163"/>
      <c r="AD974" s="163"/>
      <c r="AE974" s="163"/>
      <c r="AF974" s="163"/>
      <c r="AG974" s="163"/>
      <c r="AH974" s="163"/>
      <c r="AI974" s="163"/>
      <c r="AJ974" s="163"/>
      <c r="AK974" s="163"/>
      <c r="AL974" s="163"/>
      <c r="AM974" s="163"/>
      <c r="AN974" s="130"/>
      <c r="AO974" s="130"/>
      <c r="AP974" s="130"/>
      <c r="AQ974" s="130"/>
      <c r="AR974" s="130"/>
      <c r="AS974" s="130"/>
      <c r="AT974" s="130"/>
    </row>
    <row r="975" ht="13.5" customHeight="1">
      <c r="A975" s="130"/>
      <c r="B975" s="130"/>
      <c r="C975" s="130"/>
      <c r="D975" s="130"/>
      <c r="E975" s="163"/>
      <c r="F975" s="163"/>
      <c r="G975" s="163"/>
      <c r="H975" s="163"/>
      <c r="I975" s="163"/>
      <c r="J975" s="163"/>
      <c r="K975" s="130"/>
      <c r="L975" s="130"/>
      <c r="M975" s="130"/>
      <c r="N975" s="130"/>
      <c r="O975" s="130"/>
      <c r="P975" s="130"/>
      <c r="Q975" s="130"/>
      <c r="R975" s="130"/>
      <c r="S975" s="163"/>
      <c r="T975" s="163"/>
      <c r="U975" s="163"/>
      <c r="V975" s="163"/>
      <c r="W975" s="163"/>
      <c r="X975" s="163"/>
      <c r="Y975" s="163"/>
      <c r="Z975" s="163"/>
      <c r="AA975" s="163"/>
      <c r="AB975" s="163"/>
      <c r="AC975" s="163"/>
      <c r="AD975" s="163"/>
      <c r="AE975" s="163"/>
      <c r="AF975" s="163"/>
      <c r="AG975" s="163"/>
      <c r="AH975" s="163"/>
      <c r="AI975" s="163"/>
      <c r="AJ975" s="163"/>
      <c r="AK975" s="163"/>
      <c r="AL975" s="163"/>
      <c r="AM975" s="163"/>
      <c r="AN975" s="130"/>
      <c r="AO975" s="130"/>
      <c r="AP975" s="130"/>
      <c r="AQ975" s="130"/>
      <c r="AR975" s="130"/>
      <c r="AS975" s="130"/>
      <c r="AT975" s="130"/>
    </row>
    <row r="976" ht="13.5" customHeight="1">
      <c r="A976" s="130"/>
      <c r="B976" s="130"/>
      <c r="C976" s="130"/>
      <c r="D976" s="130"/>
      <c r="E976" s="163"/>
      <c r="F976" s="163"/>
      <c r="G976" s="163"/>
      <c r="H976" s="163"/>
      <c r="I976" s="163"/>
      <c r="J976" s="163"/>
      <c r="K976" s="130"/>
      <c r="L976" s="130"/>
      <c r="M976" s="130"/>
      <c r="N976" s="130"/>
      <c r="O976" s="130"/>
      <c r="P976" s="130"/>
      <c r="Q976" s="130"/>
      <c r="R976" s="130"/>
      <c r="S976" s="163"/>
      <c r="T976" s="163"/>
      <c r="U976" s="163"/>
      <c r="V976" s="163"/>
      <c r="W976" s="163"/>
      <c r="X976" s="163"/>
      <c r="Y976" s="163"/>
      <c r="Z976" s="163"/>
      <c r="AA976" s="163"/>
      <c r="AB976" s="163"/>
      <c r="AC976" s="163"/>
      <c r="AD976" s="163"/>
      <c r="AE976" s="163"/>
      <c r="AF976" s="163"/>
      <c r="AG976" s="163"/>
      <c r="AH976" s="163"/>
      <c r="AI976" s="163"/>
      <c r="AJ976" s="163"/>
      <c r="AK976" s="163"/>
      <c r="AL976" s="163"/>
      <c r="AM976" s="163"/>
      <c r="AN976" s="130"/>
      <c r="AO976" s="130"/>
      <c r="AP976" s="130"/>
      <c r="AQ976" s="130"/>
      <c r="AR976" s="130"/>
      <c r="AS976" s="130"/>
      <c r="AT976" s="130"/>
    </row>
    <row r="977" ht="13.5" customHeight="1">
      <c r="A977" s="130"/>
      <c r="B977" s="130"/>
      <c r="C977" s="130"/>
      <c r="D977" s="130"/>
      <c r="E977" s="163"/>
      <c r="F977" s="163"/>
      <c r="G977" s="163"/>
      <c r="H977" s="163"/>
      <c r="I977" s="163"/>
      <c r="J977" s="163"/>
      <c r="K977" s="130"/>
      <c r="L977" s="130"/>
      <c r="M977" s="130"/>
      <c r="N977" s="130"/>
      <c r="O977" s="130"/>
      <c r="P977" s="130"/>
      <c r="Q977" s="130"/>
      <c r="R977" s="130"/>
      <c r="S977" s="163"/>
      <c r="T977" s="163"/>
      <c r="U977" s="163"/>
      <c r="V977" s="163"/>
      <c r="W977" s="163"/>
      <c r="X977" s="163"/>
      <c r="Y977" s="163"/>
      <c r="Z977" s="163"/>
      <c r="AA977" s="163"/>
      <c r="AB977" s="163"/>
      <c r="AC977" s="163"/>
      <c r="AD977" s="163"/>
      <c r="AE977" s="163"/>
      <c r="AF977" s="163"/>
      <c r="AG977" s="163"/>
      <c r="AH977" s="163"/>
      <c r="AI977" s="163"/>
      <c r="AJ977" s="163"/>
      <c r="AK977" s="163"/>
      <c r="AL977" s="163"/>
      <c r="AM977" s="163"/>
      <c r="AN977" s="130"/>
      <c r="AO977" s="130"/>
      <c r="AP977" s="130"/>
      <c r="AQ977" s="130"/>
      <c r="AR977" s="130"/>
      <c r="AS977" s="130"/>
      <c r="AT977" s="130"/>
    </row>
    <row r="978" ht="13.5" customHeight="1">
      <c r="A978" s="130"/>
      <c r="B978" s="130"/>
      <c r="C978" s="130"/>
      <c r="D978" s="130"/>
      <c r="E978" s="163"/>
      <c r="F978" s="163"/>
      <c r="G978" s="163"/>
      <c r="H978" s="163"/>
      <c r="I978" s="163"/>
      <c r="J978" s="163"/>
      <c r="K978" s="130"/>
      <c r="L978" s="130"/>
      <c r="M978" s="130"/>
      <c r="N978" s="130"/>
      <c r="O978" s="130"/>
      <c r="P978" s="130"/>
      <c r="Q978" s="130"/>
      <c r="R978" s="130"/>
      <c r="S978" s="163"/>
      <c r="T978" s="163"/>
      <c r="U978" s="163"/>
      <c r="V978" s="163"/>
      <c r="W978" s="163"/>
      <c r="X978" s="163"/>
      <c r="Y978" s="163"/>
      <c r="Z978" s="163"/>
      <c r="AA978" s="163"/>
      <c r="AB978" s="163"/>
      <c r="AC978" s="163"/>
      <c r="AD978" s="163"/>
      <c r="AE978" s="163"/>
      <c r="AF978" s="163"/>
      <c r="AG978" s="163"/>
      <c r="AH978" s="163"/>
      <c r="AI978" s="163"/>
      <c r="AJ978" s="163"/>
      <c r="AK978" s="163"/>
      <c r="AL978" s="163"/>
      <c r="AM978" s="163"/>
      <c r="AN978" s="130"/>
      <c r="AO978" s="130"/>
      <c r="AP978" s="130"/>
      <c r="AQ978" s="130"/>
      <c r="AR978" s="130"/>
      <c r="AS978" s="130"/>
      <c r="AT978" s="130"/>
    </row>
    <row r="979" ht="13.5" customHeight="1">
      <c r="A979" s="130"/>
      <c r="B979" s="130"/>
      <c r="C979" s="130"/>
      <c r="D979" s="130"/>
      <c r="E979" s="163"/>
      <c r="F979" s="163"/>
      <c r="G979" s="163"/>
      <c r="H979" s="163"/>
      <c r="I979" s="163"/>
      <c r="J979" s="163"/>
      <c r="K979" s="130"/>
      <c r="L979" s="130"/>
      <c r="M979" s="130"/>
      <c r="N979" s="130"/>
      <c r="O979" s="130"/>
      <c r="P979" s="130"/>
      <c r="Q979" s="130"/>
      <c r="R979" s="130"/>
      <c r="S979" s="163"/>
      <c r="T979" s="163"/>
      <c r="U979" s="163"/>
      <c r="V979" s="163"/>
      <c r="W979" s="163"/>
      <c r="X979" s="163"/>
      <c r="Y979" s="163"/>
      <c r="Z979" s="163"/>
      <c r="AA979" s="163"/>
      <c r="AB979" s="163"/>
      <c r="AC979" s="163"/>
      <c r="AD979" s="163"/>
      <c r="AE979" s="163"/>
      <c r="AF979" s="163"/>
      <c r="AG979" s="163"/>
      <c r="AH979" s="163"/>
      <c r="AI979" s="163"/>
      <c r="AJ979" s="163"/>
      <c r="AK979" s="163"/>
      <c r="AL979" s="163"/>
      <c r="AM979" s="163"/>
      <c r="AN979" s="130"/>
      <c r="AO979" s="130"/>
      <c r="AP979" s="130"/>
      <c r="AQ979" s="130"/>
      <c r="AR979" s="130"/>
      <c r="AS979" s="130"/>
      <c r="AT979" s="130"/>
    </row>
    <row r="980" ht="13.5" customHeight="1">
      <c r="A980" s="130"/>
      <c r="B980" s="130"/>
      <c r="C980" s="130"/>
      <c r="D980" s="130"/>
      <c r="E980" s="163"/>
      <c r="F980" s="163"/>
      <c r="G980" s="163"/>
      <c r="H980" s="163"/>
      <c r="I980" s="163"/>
      <c r="J980" s="163"/>
      <c r="K980" s="130"/>
      <c r="L980" s="130"/>
      <c r="M980" s="130"/>
      <c r="N980" s="130"/>
      <c r="O980" s="130"/>
      <c r="P980" s="130"/>
      <c r="Q980" s="130"/>
      <c r="R980" s="130"/>
      <c r="S980" s="163"/>
      <c r="T980" s="163"/>
      <c r="U980" s="163"/>
      <c r="V980" s="163"/>
      <c r="W980" s="163"/>
      <c r="X980" s="163"/>
      <c r="Y980" s="163"/>
      <c r="Z980" s="163"/>
      <c r="AA980" s="163"/>
      <c r="AB980" s="163"/>
      <c r="AC980" s="163"/>
      <c r="AD980" s="163"/>
      <c r="AE980" s="163"/>
      <c r="AF980" s="163"/>
      <c r="AG980" s="163"/>
      <c r="AH980" s="163"/>
      <c r="AI980" s="163"/>
      <c r="AJ980" s="163"/>
      <c r="AK980" s="163"/>
      <c r="AL980" s="163"/>
      <c r="AM980" s="163"/>
      <c r="AN980" s="130"/>
      <c r="AO980" s="130"/>
      <c r="AP980" s="130"/>
      <c r="AQ980" s="130"/>
      <c r="AR980" s="130"/>
      <c r="AS980" s="130"/>
      <c r="AT980" s="130"/>
    </row>
    <row r="981" ht="13.5" customHeight="1">
      <c r="A981" s="130"/>
      <c r="B981" s="130"/>
      <c r="C981" s="130"/>
      <c r="D981" s="130"/>
      <c r="E981" s="163"/>
      <c r="F981" s="163"/>
      <c r="G981" s="163"/>
      <c r="H981" s="163"/>
      <c r="I981" s="163"/>
      <c r="J981" s="163"/>
      <c r="K981" s="130"/>
      <c r="L981" s="130"/>
      <c r="M981" s="130"/>
      <c r="N981" s="130"/>
      <c r="O981" s="130"/>
      <c r="P981" s="130"/>
      <c r="Q981" s="130"/>
      <c r="R981" s="130"/>
      <c r="S981" s="163"/>
      <c r="T981" s="163"/>
      <c r="U981" s="163"/>
      <c r="V981" s="163"/>
      <c r="W981" s="163"/>
      <c r="X981" s="163"/>
      <c r="Y981" s="163"/>
      <c r="Z981" s="163"/>
      <c r="AA981" s="163"/>
      <c r="AB981" s="163"/>
      <c r="AC981" s="163"/>
      <c r="AD981" s="163"/>
      <c r="AE981" s="163"/>
      <c r="AF981" s="163"/>
      <c r="AG981" s="163"/>
      <c r="AH981" s="163"/>
      <c r="AI981" s="163"/>
      <c r="AJ981" s="163"/>
      <c r="AK981" s="163"/>
      <c r="AL981" s="163"/>
      <c r="AM981" s="163"/>
      <c r="AN981" s="130"/>
      <c r="AO981" s="130"/>
      <c r="AP981" s="130"/>
      <c r="AQ981" s="130"/>
      <c r="AR981" s="130"/>
      <c r="AS981" s="130"/>
      <c r="AT981" s="130"/>
    </row>
    <row r="982" ht="13.5" customHeight="1">
      <c r="A982" s="130"/>
      <c r="B982" s="130"/>
      <c r="C982" s="130"/>
      <c r="D982" s="130"/>
      <c r="E982" s="163"/>
      <c r="F982" s="163"/>
      <c r="G982" s="163"/>
      <c r="H982" s="163"/>
      <c r="I982" s="163"/>
      <c r="J982" s="163"/>
      <c r="K982" s="130"/>
      <c r="L982" s="130"/>
      <c r="M982" s="130"/>
      <c r="N982" s="130"/>
      <c r="O982" s="130"/>
      <c r="P982" s="130"/>
      <c r="Q982" s="130"/>
      <c r="R982" s="130"/>
      <c r="S982" s="163"/>
      <c r="T982" s="163"/>
      <c r="U982" s="163"/>
      <c r="V982" s="163"/>
      <c r="W982" s="163"/>
      <c r="X982" s="163"/>
      <c r="Y982" s="163"/>
      <c r="Z982" s="163"/>
      <c r="AA982" s="163"/>
      <c r="AB982" s="163"/>
      <c r="AC982" s="163"/>
      <c r="AD982" s="163"/>
      <c r="AE982" s="163"/>
      <c r="AF982" s="163"/>
      <c r="AG982" s="163"/>
      <c r="AH982" s="163"/>
      <c r="AI982" s="163"/>
      <c r="AJ982" s="163"/>
      <c r="AK982" s="163"/>
      <c r="AL982" s="163"/>
      <c r="AM982" s="163"/>
      <c r="AN982" s="130"/>
      <c r="AO982" s="130"/>
      <c r="AP982" s="130"/>
      <c r="AQ982" s="130"/>
      <c r="AR982" s="130"/>
      <c r="AS982" s="130"/>
      <c r="AT982" s="130"/>
    </row>
    <row r="983" ht="13.5" customHeight="1">
      <c r="A983" s="130"/>
      <c r="B983" s="130"/>
      <c r="C983" s="130"/>
      <c r="D983" s="130"/>
      <c r="E983" s="163"/>
      <c r="F983" s="163"/>
      <c r="G983" s="163"/>
      <c r="H983" s="163"/>
      <c r="I983" s="163"/>
      <c r="J983" s="163"/>
      <c r="K983" s="130"/>
      <c r="L983" s="130"/>
      <c r="M983" s="130"/>
      <c r="N983" s="130"/>
      <c r="O983" s="130"/>
      <c r="P983" s="130"/>
      <c r="Q983" s="130"/>
      <c r="R983" s="130"/>
      <c r="S983" s="163"/>
      <c r="T983" s="163"/>
      <c r="U983" s="163"/>
      <c r="V983" s="163"/>
      <c r="W983" s="163"/>
      <c r="X983" s="163"/>
      <c r="Y983" s="163"/>
      <c r="Z983" s="163"/>
      <c r="AA983" s="163"/>
      <c r="AB983" s="163"/>
      <c r="AC983" s="163"/>
      <c r="AD983" s="163"/>
      <c r="AE983" s="163"/>
      <c r="AF983" s="163"/>
      <c r="AG983" s="163"/>
      <c r="AH983" s="163"/>
      <c r="AI983" s="163"/>
      <c r="AJ983" s="163"/>
      <c r="AK983" s="163"/>
      <c r="AL983" s="163"/>
      <c r="AM983" s="163"/>
      <c r="AN983" s="130"/>
      <c r="AO983" s="130"/>
      <c r="AP983" s="130"/>
      <c r="AQ983" s="130"/>
      <c r="AR983" s="130"/>
      <c r="AS983" s="130"/>
      <c r="AT983" s="130"/>
    </row>
    <row r="984" ht="13.5" customHeight="1">
      <c r="A984" s="130"/>
      <c r="B984" s="130"/>
      <c r="C984" s="130"/>
      <c r="D984" s="130"/>
      <c r="E984" s="163"/>
      <c r="F984" s="163"/>
      <c r="G984" s="163"/>
      <c r="H984" s="163"/>
      <c r="I984" s="163"/>
      <c r="J984" s="163"/>
      <c r="K984" s="130"/>
      <c r="L984" s="130"/>
      <c r="M984" s="130"/>
      <c r="N984" s="130"/>
      <c r="O984" s="130"/>
      <c r="P984" s="130"/>
      <c r="Q984" s="130"/>
      <c r="R984" s="130"/>
      <c r="S984" s="163"/>
      <c r="T984" s="163"/>
      <c r="U984" s="163"/>
      <c r="V984" s="163"/>
      <c r="W984" s="163"/>
      <c r="X984" s="163"/>
      <c r="Y984" s="163"/>
      <c r="Z984" s="163"/>
      <c r="AA984" s="163"/>
      <c r="AB984" s="163"/>
      <c r="AC984" s="163"/>
      <c r="AD984" s="163"/>
      <c r="AE984" s="163"/>
      <c r="AF984" s="163"/>
      <c r="AG984" s="163"/>
      <c r="AH984" s="163"/>
      <c r="AI984" s="163"/>
      <c r="AJ984" s="163"/>
      <c r="AK984" s="163"/>
      <c r="AL984" s="163"/>
      <c r="AM984" s="163"/>
      <c r="AN984" s="130"/>
      <c r="AO984" s="130"/>
      <c r="AP984" s="130"/>
      <c r="AQ984" s="130"/>
      <c r="AR984" s="130"/>
      <c r="AS984" s="130"/>
      <c r="AT984" s="130"/>
    </row>
    <row r="985" ht="13.5" customHeight="1">
      <c r="A985" s="130"/>
      <c r="B985" s="130"/>
      <c r="C985" s="130"/>
      <c r="D985" s="130"/>
      <c r="E985" s="163"/>
      <c r="F985" s="163"/>
      <c r="G985" s="163"/>
      <c r="H985" s="163"/>
      <c r="I985" s="163"/>
      <c r="J985" s="163"/>
      <c r="K985" s="130"/>
      <c r="L985" s="130"/>
      <c r="M985" s="130"/>
      <c r="N985" s="130"/>
      <c r="O985" s="130"/>
      <c r="P985" s="130"/>
      <c r="Q985" s="130"/>
      <c r="R985" s="130"/>
      <c r="S985" s="163"/>
      <c r="T985" s="163"/>
      <c r="U985" s="163"/>
      <c r="V985" s="163"/>
      <c r="W985" s="163"/>
      <c r="X985" s="163"/>
      <c r="Y985" s="163"/>
      <c r="Z985" s="163"/>
      <c r="AA985" s="163"/>
      <c r="AB985" s="163"/>
      <c r="AC985" s="163"/>
      <c r="AD985" s="163"/>
      <c r="AE985" s="163"/>
      <c r="AF985" s="163"/>
      <c r="AG985" s="163"/>
      <c r="AH985" s="163"/>
      <c r="AI985" s="163"/>
      <c r="AJ985" s="163"/>
      <c r="AK985" s="163"/>
      <c r="AL985" s="163"/>
      <c r="AM985" s="163"/>
      <c r="AN985" s="130"/>
      <c r="AO985" s="130"/>
      <c r="AP985" s="130"/>
      <c r="AQ985" s="130"/>
      <c r="AR985" s="130"/>
      <c r="AS985" s="130"/>
      <c r="AT985" s="130"/>
    </row>
    <row r="986" ht="13.5" customHeight="1">
      <c r="A986" s="130"/>
      <c r="B986" s="130"/>
      <c r="C986" s="130"/>
      <c r="D986" s="130"/>
      <c r="E986" s="163"/>
      <c r="F986" s="163"/>
      <c r="G986" s="163"/>
      <c r="H986" s="163"/>
      <c r="I986" s="163"/>
      <c r="J986" s="163"/>
      <c r="K986" s="130"/>
      <c r="L986" s="130"/>
      <c r="M986" s="130"/>
      <c r="N986" s="130"/>
      <c r="O986" s="130"/>
      <c r="P986" s="130"/>
      <c r="Q986" s="130"/>
      <c r="R986" s="130"/>
      <c r="S986" s="163"/>
      <c r="T986" s="163"/>
      <c r="U986" s="163"/>
      <c r="V986" s="163"/>
      <c r="W986" s="163"/>
      <c r="X986" s="163"/>
      <c r="Y986" s="163"/>
      <c r="Z986" s="163"/>
      <c r="AA986" s="163"/>
      <c r="AB986" s="163"/>
      <c r="AC986" s="163"/>
      <c r="AD986" s="163"/>
      <c r="AE986" s="163"/>
      <c r="AF986" s="163"/>
      <c r="AG986" s="163"/>
      <c r="AH986" s="163"/>
      <c r="AI986" s="163"/>
      <c r="AJ986" s="163"/>
      <c r="AK986" s="163"/>
      <c r="AL986" s="163"/>
      <c r="AM986" s="163"/>
      <c r="AN986" s="130"/>
      <c r="AO986" s="130"/>
      <c r="AP986" s="130"/>
      <c r="AQ986" s="130"/>
      <c r="AR986" s="130"/>
      <c r="AS986" s="130"/>
      <c r="AT986" s="130"/>
    </row>
    <row r="987" ht="13.5" customHeight="1">
      <c r="A987" s="130"/>
      <c r="B987" s="130"/>
      <c r="C987" s="130"/>
      <c r="D987" s="130"/>
      <c r="E987" s="163"/>
      <c r="F987" s="163"/>
      <c r="G987" s="163"/>
      <c r="H987" s="163"/>
      <c r="I987" s="163"/>
      <c r="J987" s="163"/>
      <c r="K987" s="130"/>
      <c r="L987" s="130"/>
      <c r="M987" s="130"/>
      <c r="N987" s="130"/>
      <c r="O987" s="130"/>
      <c r="P987" s="130"/>
      <c r="Q987" s="130"/>
      <c r="R987" s="130"/>
      <c r="S987" s="163"/>
      <c r="T987" s="163"/>
      <c r="U987" s="163"/>
      <c r="V987" s="163"/>
      <c r="W987" s="163"/>
      <c r="X987" s="163"/>
      <c r="Y987" s="163"/>
      <c r="Z987" s="163"/>
      <c r="AA987" s="163"/>
      <c r="AB987" s="163"/>
      <c r="AC987" s="163"/>
      <c r="AD987" s="163"/>
      <c r="AE987" s="163"/>
      <c r="AF987" s="163"/>
      <c r="AG987" s="163"/>
      <c r="AH987" s="163"/>
      <c r="AI987" s="163"/>
      <c r="AJ987" s="163"/>
      <c r="AK987" s="163"/>
      <c r="AL987" s="163"/>
      <c r="AM987" s="163"/>
      <c r="AN987" s="130"/>
      <c r="AO987" s="130"/>
      <c r="AP987" s="130"/>
      <c r="AQ987" s="130"/>
      <c r="AR987" s="130"/>
      <c r="AS987" s="130"/>
      <c r="AT987" s="130"/>
    </row>
    <row r="988" ht="13.5" customHeight="1">
      <c r="A988" s="130"/>
      <c r="B988" s="130"/>
      <c r="C988" s="130"/>
      <c r="D988" s="130"/>
      <c r="E988" s="163"/>
      <c r="F988" s="163"/>
      <c r="G988" s="163"/>
      <c r="H988" s="163"/>
      <c r="I988" s="163"/>
      <c r="J988" s="163"/>
      <c r="K988" s="130"/>
      <c r="L988" s="130"/>
      <c r="M988" s="130"/>
      <c r="N988" s="130"/>
      <c r="O988" s="130"/>
      <c r="P988" s="130"/>
      <c r="Q988" s="130"/>
      <c r="R988" s="130"/>
      <c r="S988" s="163"/>
      <c r="T988" s="163"/>
      <c r="U988" s="163"/>
      <c r="V988" s="163"/>
      <c r="W988" s="163"/>
      <c r="X988" s="163"/>
      <c r="Y988" s="163"/>
      <c r="Z988" s="163"/>
      <c r="AA988" s="163"/>
      <c r="AB988" s="163"/>
      <c r="AC988" s="163"/>
      <c r="AD988" s="163"/>
      <c r="AE988" s="163"/>
      <c r="AF988" s="163"/>
      <c r="AG988" s="163"/>
      <c r="AH988" s="163"/>
      <c r="AI988" s="163"/>
      <c r="AJ988" s="163"/>
      <c r="AK988" s="163"/>
      <c r="AL988" s="163"/>
      <c r="AM988" s="163"/>
      <c r="AN988" s="130"/>
      <c r="AO988" s="130"/>
      <c r="AP988" s="130"/>
      <c r="AQ988" s="130"/>
      <c r="AR988" s="130"/>
      <c r="AS988" s="130"/>
      <c r="AT988" s="130"/>
    </row>
    <row r="989" ht="13.5" customHeight="1">
      <c r="A989" s="130"/>
      <c r="B989" s="130"/>
      <c r="C989" s="130"/>
      <c r="D989" s="130"/>
      <c r="E989" s="163"/>
      <c r="F989" s="163"/>
      <c r="G989" s="163"/>
      <c r="H989" s="163"/>
      <c r="I989" s="163"/>
      <c r="J989" s="163"/>
      <c r="K989" s="130"/>
      <c r="L989" s="130"/>
      <c r="M989" s="130"/>
      <c r="N989" s="130"/>
      <c r="O989" s="130"/>
      <c r="P989" s="130"/>
      <c r="Q989" s="130"/>
      <c r="R989" s="130"/>
      <c r="S989" s="163"/>
      <c r="T989" s="163"/>
      <c r="U989" s="163"/>
      <c r="V989" s="163"/>
      <c r="W989" s="163"/>
      <c r="X989" s="163"/>
      <c r="Y989" s="163"/>
      <c r="Z989" s="163"/>
      <c r="AA989" s="163"/>
      <c r="AB989" s="163"/>
      <c r="AC989" s="163"/>
      <c r="AD989" s="163"/>
      <c r="AE989" s="163"/>
      <c r="AF989" s="163"/>
      <c r="AG989" s="163"/>
      <c r="AH989" s="163"/>
      <c r="AI989" s="163"/>
      <c r="AJ989" s="163"/>
      <c r="AK989" s="163"/>
      <c r="AL989" s="163"/>
      <c r="AM989" s="163"/>
      <c r="AN989" s="130"/>
      <c r="AO989" s="130"/>
      <c r="AP989" s="130"/>
      <c r="AQ989" s="130"/>
      <c r="AR989" s="130"/>
      <c r="AS989" s="130"/>
      <c r="AT989" s="130"/>
    </row>
    <row r="990" ht="13.5" customHeight="1">
      <c r="A990" s="130"/>
      <c r="B990" s="130"/>
      <c r="C990" s="130"/>
      <c r="D990" s="130"/>
      <c r="E990" s="163"/>
      <c r="F990" s="163"/>
      <c r="G990" s="163"/>
      <c r="H990" s="163"/>
      <c r="I990" s="163"/>
      <c r="J990" s="163"/>
      <c r="K990" s="130"/>
      <c r="L990" s="130"/>
      <c r="M990" s="130"/>
      <c r="N990" s="130"/>
      <c r="O990" s="130"/>
      <c r="P990" s="130"/>
      <c r="Q990" s="130"/>
      <c r="R990" s="130"/>
      <c r="S990" s="163"/>
      <c r="T990" s="163"/>
      <c r="U990" s="163"/>
      <c r="V990" s="163"/>
      <c r="W990" s="163"/>
      <c r="X990" s="163"/>
      <c r="Y990" s="163"/>
      <c r="Z990" s="163"/>
      <c r="AA990" s="163"/>
      <c r="AB990" s="163"/>
      <c r="AC990" s="163"/>
      <c r="AD990" s="163"/>
      <c r="AE990" s="163"/>
      <c r="AF990" s="163"/>
      <c r="AG990" s="163"/>
      <c r="AH990" s="163"/>
      <c r="AI990" s="163"/>
      <c r="AJ990" s="163"/>
      <c r="AK990" s="163"/>
      <c r="AL990" s="163"/>
      <c r="AM990" s="163"/>
      <c r="AN990" s="130"/>
      <c r="AO990" s="130"/>
      <c r="AP990" s="130"/>
      <c r="AQ990" s="130"/>
      <c r="AR990" s="130"/>
      <c r="AS990" s="130"/>
      <c r="AT990" s="130"/>
    </row>
    <row r="991" ht="13.5" customHeight="1">
      <c r="A991" s="130"/>
      <c r="B991" s="130"/>
      <c r="C991" s="130"/>
      <c r="D991" s="130"/>
      <c r="E991" s="163"/>
      <c r="F991" s="163"/>
      <c r="G991" s="163"/>
      <c r="H991" s="163"/>
      <c r="I991" s="163"/>
      <c r="J991" s="163"/>
      <c r="K991" s="130"/>
      <c r="L991" s="130"/>
      <c r="M991" s="130"/>
      <c r="N991" s="130"/>
      <c r="O991" s="130"/>
      <c r="P991" s="130"/>
      <c r="Q991" s="130"/>
      <c r="R991" s="130"/>
      <c r="S991" s="163"/>
      <c r="T991" s="163"/>
      <c r="U991" s="163"/>
      <c r="V991" s="163"/>
      <c r="W991" s="163"/>
      <c r="X991" s="163"/>
      <c r="Y991" s="163"/>
      <c r="Z991" s="163"/>
      <c r="AA991" s="163"/>
      <c r="AB991" s="163"/>
      <c r="AC991" s="163"/>
      <c r="AD991" s="163"/>
      <c r="AE991" s="163"/>
      <c r="AF991" s="163"/>
      <c r="AG991" s="163"/>
      <c r="AH991" s="163"/>
      <c r="AI991" s="163"/>
      <c r="AJ991" s="163"/>
      <c r="AK991" s="163"/>
      <c r="AL991" s="163"/>
      <c r="AM991" s="163"/>
      <c r="AN991" s="130"/>
      <c r="AO991" s="130"/>
      <c r="AP991" s="130"/>
      <c r="AQ991" s="130"/>
      <c r="AR991" s="130"/>
      <c r="AS991" s="130"/>
      <c r="AT991" s="130"/>
    </row>
    <row r="992" ht="13.5" customHeight="1">
      <c r="A992" s="130"/>
      <c r="B992" s="130"/>
      <c r="C992" s="130"/>
      <c r="D992" s="130"/>
      <c r="E992" s="163"/>
      <c r="F992" s="163"/>
      <c r="G992" s="163"/>
      <c r="H992" s="163"/>
      <c r="I992" s="163"/>
      <c r="J992" s="163"/>
      <c r="K992" s="130"/>
      <c r="L992" s="130"/>
      <c r="M992" s="130"/>
      <c r="N992" s="130"/>
      <c r="O992" s="130"/>
      <c r="P992" s="130"/>
      <c r="Q992" s="130"/>
      <c r="R992" s="130"/>
      <c r="S992" s="163"/>
      <c r="T992" s="163"/>
      <c r="U992" s="163"/>
      <c r="V992" s="163"/>
      <c r="W992" s="163"/>
      <c r="X992" s="163"/>
      <c r="Y992" s="163"/>
      <c r="Z992" s="163"/>
      <c r="AA992" s="163"/>
      <c r="AB992" s="163"/>
      <c r="AC992" s="163"/>
      <c r="AD992" s="163"/>
      <c r="AE992" s="163"/>
      <c r="AF992" s="163"/>
      <c r="AG992" s="163"/>
      <c r="AH992" s="163"/>
      <c r="AI992" s="163"/>
      <c r="AJ992" s="163"/>
      <c r="AK992" s="163"/>
      <c r="AL992" s="163"/>
      <c r="AM992" s="163"/>
      <c r="AN992" s="130"/>
      <c r="AO992" s="130"/>
      <c r="AP992" s="130"/>
      <c r="AQ992" s="130"/>
      <c r="AR992" s="130"/>
      <c r="AS992" s="130"/>
      <c r="AT992" s="130"/>
    </row>
    <row r="993" ht="13.5" customHeight="1">
      <c r="A993" s="130"/>
      <c r="B993" s="130"/>
      <c r="C993" s="130"/>
      <c r="D993" s="130"/>
      <c r="E993" s="163"/>
      <c r="F993" s="163"/>
      <c r="G993" s="163"/>
      <c r="H993" s="163"/>
      <c r="I993" s="163"/>
      <c r="J993" s="163"/>
      <c r="K993" s="130"/>
      <c r="L993" s="130"/>
      <c r="M993" s="130"/>
      <c r="N993" s="130"/>
      <c r="O993" s="130"/>
      <c r="P993" s="130"/>
      <c r="Q993" s="130"/>
      <c r="R993" s="130"/>
      <c r="S993" s="163"/>
      <c r="T993" s="163"/>
      <c r="U993" s="163"/>
      <c r="V993" s="163"/>
      <c r="W993" s="163"/>
      <c r="X993" s="163"/>
      <c r="Y993" s="163"/>
      <c r="Z993" s="163"/>
      <c r="AA993" s="163"/>
      <c r="AB993" s="163"/>
      <c r="AC993" s="163"/>
      <c r="AD993" s="163"/>
      <c r="AE993" s="163"/>
      <c r="AF993" s="163"/>
      <c r="AG993" s="163"/>
      <c r="AH993" s="163"/>
      <c r="AI993" s="163"/>
      <c r="AJ993" s="163"/>
      <c r="AK993" s="163"/>
      <c r="AL993" s="163"/>
      <c r="AM993" s="163"/>
      <c r="AN993" s="130"/>
      <c r="AO993" s="130"/>
      <c r="AP993" s="130"/>
      <c r="AQ993" s="130"/>
      <c r="AR993" s="130"/>
      <c r="AS993" s="130"/>
      <c r="AT993" s="130"/>
    </row>
    <row r="994" ht="13.5" customHeight="1">
      <c r="A994" s="130"/>
      <c r="B994" s="130"/>
      <c r="C994" s="130"/>
      <c r="D994" s="130"/>
      <c r="E994" s="163"/>
      <c r="F994" s="163"/>
      <c r="G994" s="163"/>
      <c r="H994" s="163"/>
      <c r="I994" s="163"/>
      <c r="J994" s="163"/>
      <c r="K994" s="130"/>
      <c r="L994" s="130"/>
      <c r="M994" s="130"/>
      <c r="N994" s="130"/>
      <c r="O994" s="130"/>
      <c r="P994" s="130"/>
      <c r="Q994" s="130"/>
      <c r="R994" s="130"/>
      <c r="S994" s="163"/>
      <c r="T994" s="163"/>
      <c r="U994" s="163"/>
      <c r="V994" s="163"/>
      <c r="W994" s="163"/>
      <c r="X994" s="163"/>
      <c r="Y994" s="163"/>
      <c r="Z994" s="163"/>
      <c r="AA994" s="163"/>
      <c r="AB994" s="163"/>
      <c r="AC994" s="163"/>
      <c r="AD994" s="163"/>
      <c r="AE994" s="163"/>
      <c r="AF994" s="163"/>
      <c r="AG994" s="163"/>
      <c r="AH994" s="163"/>
      <c r="AI994" s="163"/>
      <c r="AJ994" s="163"/>
      <c r="AK994" s="163"/>
      <c r="AL994" s="163"/>
      <c r="AM994" s="163"/>
      <c r="AN994" s="130"/>
      <c r="AO994" s="130"/>
      <c r="AP994" s="130"/>
      <c r="AQ994" s="130"/>
      <c r="AR994" s="130"/>
      <c r="AS994" s="130"/>
      <c r="AT994" s="130"/>
    </row>
    <row r="995" ht="13.5" customHeight="1">
      <c r="A995" s="130"/>
      <c r="B995" s="130"/>
      <c r="C995" s="130"/>
      <c r="D995" s="130"/>
      <c r="E995" s="163"/>
      <c r="F995" s="163"/>
      <c r="G995" s="163"/>
      <c r="H995" s="163"/>
      <c r="I995" s="163"/>
      <c r="J995" s="163"/>
      <c r="K995" s="130"/>
      <c r="L995" s="130"/>
      <c r="M995" s="130"/>
      <c r="N995" s="130"/>
      <c r="O995" s="130"/>
      <c r="P995" s="130"/>
      <c r="Q995" s="130"/>
      <c r="R995" s="130"/>
      <c r="S995" s="163"/>
      <c r="T995" s="163"/>
      <c r="U995" s="163"/>
      <c r="V995" s="163"/>
      <c r="W995" s="163"/>
      <c r="X995" s="163"/>
      <c r="Y995" s="163"/>
      <c r="Z995" s="163"/>
      <c r="AA995" s="163"/>
      <c r="AB995" s="163"/>
      <c r="AC995" s="163"/>
      <c r="AD995" s="163"/>
      <c r="AE995" s="163"/>
      <c r="AF995" s="163"/>
      <c r="AG995" s="163"/>
      <c r="AH995" s="163"/>
      <c r="AI995" s="163"/>
      <c r="AJ995" s="163"/>
      <c r="AK995" s="163"/>
      <c r="AL995" s="163"/>
      <c r="AM995" s="163"/>
      <c r="AN995" s="130"/>
      <c r="AO995" s="130"/>
      <c r="AP995" s="130"/>
      <c r="AQ995" s="130"/>
      <c r="AR995" s="130"/>
      <c r="AS995" s="130"/>
      <c r="AT995" s="130"/>
    </row>
    <row r="996" ht="13.5" customHeight="1">
      <c r="A996" s="130"/>
      <c r="B996" s="130"/>
      <c r="C996" s="130"/>
      <c r="D996" s="130"/>
      <c r="E996" s="163"/>
      <c r="F996" s="163"/>
      <c r="G996" s="163"/>
      <c r="H996" s="163"/>
      <c r="I996" s="163"/>
      <c r="J996" s="163"/>
      <c r="K996" s="130"/>
      <c r="L996" s="130"/>
      <c r="M996" s="130"/>
      <c r="N996" s="130"/>
      <c r="O996" s="130"/>
      <c r="P996" s="130"/>
      <c r="Q996" s="130"/>
      <c r="R996" s="130"/>
      <c r="S996" s="163"/>
      <c r="T996" s="163"/>
      <c r="U996" s="163"/>
      <c r="V996" s="163"/>
      <c r="W996" s="163"/>
      <c r="X996" s="163"/>
      <c r="Y996" s="163"/>
      <c r="Z996" s="163"/>
      <c r="AA996" s="163"/>
      <c r="AB996" s="163"/>
      <c r="AC996" s="163"/>
      <c r="AD996" s="163"/>
      <c r="AE996" s="163"/>
      <c r="AF996" s="163"/>
      <c r="AG996" s="163"/>
      <c r="AH996" s="163"/>
      <c r="AI996" s="163"/>
      <c r="AJ996" s="163"/>
      <c r="AK996" s="163"/>
      <c r="AL996" s="163"/>
      <c r="AM996" s="163"/>
      <c r="AN996" s="130"/>
      <c r="AO996" s="130"/>
      <c r="AP996" s="130"/>
      <c r="AQ996" s="130"/>
      <c r="AR996" s="130"/>
      <c r="AS996" s="130"/>
      <c r="AT996" s="130"/>
    </row>
    <row r="997" ht="13.5" customHeight="1">
      <c r="A997" s="130"/>
      <c r="B997" s="130"/>
      <c r="C997" s="130"/>
      <c r="D997" s="130"/>
      <c r="E997" s="163"/>
      <c r="F997" s="163"/>
      <c r="G997" s="163"/>
      <c r="H997" s="163"/>
      <c r="I997" s="163"/>
      <c r="J997" s="163"/>
      <c r="K997" s="130"/>
      <c r="L997" s="130"/>
      <c r="M997" s="130"/>
      <c r="N997" s="130"/>
      <c r="O997" s="130"/>
      <c r="P997" s="130"/>
      <c r="Q997" s="130"/>
      <c r="R997" s="130"/>
      <c r="S997" s="163"/>
      <c r="T997" s="163"/>
      <c r="U997" s="163"/>
      <c r="V997" s="163"/>
      <c r="W997" s="163"/>
      <c r="X997" s="163"/>
      <c r="Y997" s="163"/>
      <c r="Z997" s="163"/>
      <c r="AA997" s="163"/>
      <c r="AB997" s="163"/>
      <c r="AC997" s="163"/>
      <c r="AD997" s="163"/>
      <c r="AE997" s="163"/>
      <c r="AF997" s="163"/>
      <c r="AG997" s="163"/>
      <c r="AH997" s="163"/>
      <c r="AI997" s="163"/>
      <c r="AJ997" s="163"/>
      <c r="AK997" s="163"/>
      <c r="AL997" s="163"/>
      <c r="AM997" s="163"/>
      <c r="AN997" s="130"/>
      <c r="AO997" s="130"/>
      <c r="AP997" s="130"/>
      <c r="AQ997" s="130"/>
      <c r="AR997" s="130"/>
      <c r="AS997" s="130"/>
      <c r="AT997" s="130"/>
    </row>
    <row r="998" ht="13.5" customHeight="1">
      <c r="A998" s="130"/>
      <c r="B998" s="130"/>
      <c r="C998" s="130"/>
      <c r="D998" s="130"/>
      <c r="E998" s="163"/>
      <c r="F998" s="163"/>
      <c r="G998" s="163"/>
      <c r="H998" s="163"/>
      <c r="I998" s="163"/>
      <c r="J998" s="163"/>
      <c r="K998" s="130"/>
      <c r="L998" s="130"/>
      <c r="M998" s="130"/>
      <c r="N998" s="130"/>
      <c r="O998" s="130"/>
      <c r="P998" s="130"/>
      <c r="Q998" s="130"/>
      <c r="R998" s="130"/>
      <c r="S998" s="163"/>
      <c r="T998" s="163"/>
      <c r="U998" s="163"/>
      <c r="V998" s="163"/>
      <c r="W998" s="163"/>
      <c r="X998" s="163"/>
      <c r="Y998" s="163"/>
      <c r="Z998" s="163"/>
      <c r="AA998" s="163"/>
      <c r="AB998" s="163"/>
      <c r="AC998" s="163"/>
      <c r="AD998" s="163"/>
      <c r="AE998" s="163"/>
      <c r="AF998" s="163"/>
      <c r="AG998" s="163"/>
      <c r="AH998" s="163"/>
      <c r="AI998" s="163"/>
      <c r="AJ998" s="163"/>
      <c r="AK998" s="163"/>
      <c r="AL998" s="163"/>
      <c r="AM998" s="163"/>
      <c r="AN998" s="130"/>
      <c r="AO998" s="130"/>
      <c r="AP998" s="130"/>
      <c r="AQ998" s="130"/>
      <c r="AR998" s="130"/>
      <c r="AS998" s="130"/>
      <c r="AT998" s="130"/>
    </row>
    <row r="999" ht="13.5" customHeight="1">
      <c r="A999" s="130"/>
      <c r="B999" s="130"/>
      <c r="C999" s="130"/>
      <c r="D999" s="130"/>
      <c r="E999" s="163"/>
      <c r="F999" s="163"/>
      <c r="G999" s="163"/>
      <c r="H999" s="163"/>
      <c r="I999" s="163"/>
      <c r="J999" s="163"/>
      <c r="K999" s="130"/>
      <c r="L999" s="130"/>
      <c r="M999" s="130"/>
      <c r="N999" s="130"/>
      <c r="O999" s="130"/>
      <c r="P999" s="130"/>
      <c r="Q999" s="130"/>
      <c r="R999" s="130"/>
      <c r="S999" s="163"/>
      <c r="T999" s="163"/>
      <c r="U999" s="163"/>
      <c r="V999" s="163"/>
      <c r="W999" s="163"/>
      <c r="X999" s="163"/>
      <c r="Y999" s="163"/>
      <c r="Z999" s="163"/>
      <c r="AA999" s="163"/>
      <c r="AB999" s="163"/>
      <c r="AC999" s="163"/>
      <c r="AD999" s="163"/>
      <c r="AE999" s="163"/>
      <c r="AF999" s="163"/>
      <c r="AG999" s="163"/>
      <c r="AH999" s="163"/>
      <c r="AI999" s="163"/>
      <c r="AJ999" s="163"/>
      <c r="AK999" s="163"/>
      <c r="AL999" s="163"/>
      <c r="AM999" s="163"/>
      <c r="AN999" s="130"/>
      <c r="AO999" s="130"/>
      <c r="AP999" s="130"/>
      <c r="AQ999" s="130"/>
      <c r="AR999" s="130"/>
      <c r="AS999" s="130"/>
      <c r="AT999" s="130"/>
    </row>
    <row r="1000" ht="13.5" customHeight="1">
      <c r="A1000" s="130"/>
      <c r="B1000" s="130"/>
      <c r="C1000" s="130"/>
      <c r="D1000" s="130"/>
      <c r="E1000" s="163"/>
      <c r="F1000" s="163"/>
      <c r="G1000" s="163"/>
      <c r="H1000" s="163"/>
      <c r="I1000" s="163"/>
      <c r="J1000" s="163"/>
      <c r="K1000" s="130"/>
      <c r="L1000" s="130"/>
      <c r="M1000" s="130"/>
      <c r="N1000" s="130"/>
      <c r="O1000" s="130"/>
      <c r="P1000" s="130"/>
      <c r="Q1000" s="130"/>
      <c r="R1000" s="130"/>
      <c r="S1000" s="163"/>
      <c r="T1000" s="163"/>
      <c r="U1000" s="163"/>
      <c r="V1000" s="163"/>
      <c r="W1000" s="163"/>
      <c r="X1000" s="163"/>
      <c r="Y1000" s="163"/>
      <c r="Z1000" s="163"/>
      <c r="AA1000" s="163"/>
      <c r="AB1000" s="163"/>
      <c r="AC1000" s="163"/>
      <c r="AD1000" s="163"/>
      <c r="AE1000" s="163"/>
      <c r="AF1000" s="163"/>
      <c r="AG1000" s="163"/>
      <c r="AH1000" s="163"/>
      <c r="AI1000" s="163"/>
      <c r="AJ1000" s="163"/>
      <c r="AK1000" s="163"/>
      <c r="AL1000" s="163"/>
      <c r="AM1000" s="163"/>
      <c r="AN1000" s="130"/>
      <c r="AO1000" s="130"/>
      <c r="AP1000" s="130"/>
      <c r="AQ1000" s="130"/>
      <c r="AR1000" s="130"/>
      <c r="AS1000" s="130"/>
      <c r="AT1000" s="130"/>
    </row>
  </sheetData>
  <mergeCells count="2">
    <mergeCell ref="D158:D159"/>
    <mergeCell ref="D182:D183"/>
  </mergeCells>
  <conditionalFormatting sqref="E3:J408">
    <cfRule type="expression" dxfId="4" priority="1">
      <formula>L3=0</formula>
    </cfRule>
  </conditionalFormatting>
  <conditionalFormatting sqref="E3:J408">
    <cfRule type="expression" dxfId="21" priority="2">
      <formula>L3=2</formula>
    </cfRule>
  </conditionalFormatting>
  <conditionalFormatting sqref="E3:J408">
    <cfRule type="expression" dxfId="22" priority="3">
      <formula>L3=1</formula>
    </cfRule>
  </conditionalFormatting>
  <conditionalFormatting sqref="L3:Q408 S3:S408">
    <cfRule type="cellIs" dxfId="4" priority="4" operator="equal">
      <formula>0</formula>
    </cfRule>
  </conditionalFormatting>
  <conditionalFormatting sqref="L3:Q408 S3:S408">
    <cfRule type="cellIs" dxfId="21" priority="5" operator="equal">
      <formula>2</formula>
    </cfRule>
  </conditionalFormatting>
  <conditionalFormatting sqref="L3:Q408 S3:S408">
    <cfRule type="cellIs" dxfId="22" priority="6" operator="equal">
      <formula>1</formula>
    </cfRule>
  </conditionalFormatting>
  <printOptions/>
  <pageMargins bottom="0.75" footer="0.0" header="0.0" left="0.7" right="0.7" top="0.75"/>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8" width="7.78"/>
    <col customWidth="1" min="9" max="10" width="7.67"/>
    <col customWidth="1" min="11" max="11" width="4.89"/>
    <col customWidth="1" min="12" max="12" width="4.67"/>
    <col customWidth="1" min="13" max="13" width="9.78"/>
    <col customWidth="1" min="14" max="25" width="2.22"/>
    <col customWidth="1" min="26" max="26" width="8.89"/>
    <col customWidth="1" min="27" max="32" width="6.33"/>
    <col customWidth="1" min="33" max="33" width="8.89"/>
    <col customWidth="1" min="34" max="39" width="6.33"/>
    <col customWidth="1" min="40" max="40" width="3.11"/>
    <col customWidth="1" min="41" max="41" width="8.11"/>
    <col customWidth="1" hidden="1" min="42" max="54" width="8.89"/>
    <col customWidth="1" hidden="1" min="55" max="55" width="4.33"/>
    <col customWidth="1" hidden="1" min="56" max="56" width="9.44"/>
  </cols>
  <sheetData>
    <row r="1" ht="18.0" customHeight="1">
      <c r="A1" s="181" t="s">
        <v>1056</v>
      </c>
      <c r="B1" s="181" t="s">
        <v>1066</v>
      </c>
      <c r="C1" s="182" t="s">
        <v>1057</v>
      </c>
      <c r="D1" s="181"/>
      <c r="E1" s="183" t="s">
        <v>44</v>
      </c>
      <c r="F1" s="183" t="s">
        <v>46</v>
      </c>
      <c r="G1" s="183" t="s">
        <v>47</v>
      </c>
      <c r="H1" s="183" t="s">
        <v>48</v>
      </c>
      <c r="I1" s="184" t="s">
        <v>157</v>
      </c>
      <c r="J1" s="185"/>
      <c r="K1" s="183" t="s">
        <v>49</v>
      </c>
      <c r="L1" s="183" t="s">
        <v>955</v>
      </c>
      <c r="M1" s="183" t="s">
        <v>1067</v>
      </c>
      <c r="N1" s="183" t="s">
        <v>1058</v>
      </c>
      <c r="O1" s="183" t="s">
        <v>1059</v>
      </c>
      <c r="P1" s="183" t="s">
        <v>1060</v>
      </c>
      <c r="Q1" s="183" t="s">
        <v>1061</v>
      </c>
      <c r="R1" s="183" t="s">
        <v>218</v>
      </c>
      <c r="S1" s="183" t="s">
        <v>219</v>
      </c>
      <c r="T1" s="183" t="s">
        <v>1058</v>
      </c>
      <c r="U1" s="183" t="s">
        <v>1059</v>
      </c>
      <c r="V1" s="183" t="s">
        <v>1060</v>
      </c>
      <c r="W1" s="183" t="s">
        <v>1061</v>
      </c>
      <c r="X1" s="183" t="s">
        <v>218</v>
      </c>
      <c r="Y1" s="183" t="s">
        <v>219</v>
      </c>
      <c r="Z1" s="183" t="s">
        <v>50</v>
      </c>
      <c r="AA1" s="183" t="s">
        <v>1068</v>
      </c>
      <c r="AB1" s="183" t="s">
        <v>39</v>
      </c>
      <c r="AC1" s="183" t="s">
        <v>1069</v>
      </c>
      <c r="AD1" s="183" t="s">
        <v>1070</v>
      </c>
      <c r="AE1" s="183" t="s">
        <v>1071</v>
      </c>
      <c r="AF1" s="183" t="s">
        <v>1072</v>
      </c>
      <c r="AG1" s="183" t="s">
        <v>1073</v>
      </c>
      <c r="AH1" s="183" t="s">
        <v>1068</v>
      </c>
      <c r="AI1" s="183" t="s">
        <v>39</v>
      </c>
      <c r="AJ1" s="183" t="s">
        <v>1069</v>
      </c>
      <c r="AK1" s="183" t="s">
        <v>1070</v>
      </c>
      <c r="AL1" s="183" t="s">
        <v>1071</v>
      </c>
      <c r="AM1" s="183" t="s">
        <v>1072</v>
      </c>
      <c r="AN1" s="183"/>
      <c r="AO1" s="183"/>
      <c r="AP1" s="130"/>
      <c r="AQ1" s="130"/>
      <c r="AR1" s="130"/>
      <c r="AS1" s="130"/>
      <c r="AT1" s="130"/>
      <c r="AU1" s="130"/>
      <c r="AV1" s="130"/>
      <c r="AW1" s="130"/>
      <c r="AX1" s="130"/>
      <c r="AY1" s="130"/>
      <c r="AZ1" s="130"/>
      <c r="BA1" s="130"/>
      <c r="BB1" s="130"/>
      <c r="BC1" s="130"/>
      <c r="BD1" s="130"/>
    </row>
    <row r="2" ht="18.0" customHeight="1">
      <c r="A2" s="186" t="s">
        <v>1074</v>
      </c>
      <c r="B2" s="186" t="s">
        <v>1051</v>
      </c>
      <c r="C2" s="187" t="s">
        <v>1075</v>
      </c>
      <c r="D2" s="186" t="s">
        <v>1076</v>
      </c>
      <c r="E2" s="188" t="s">
        <v>191</v>
      </c>
      <c r="F2" s="189">
        <v>27.0</v>
      </c>
      <c r="G2" s="189">
        <v>26.0</v>
      </c>
      <c r="H2" s="190">
        <f>'計分版'!D25</f>
        <v>0.00000000285</v>
      </c>
      <c r="I2" s="191">
        <f t="shared" ref="I2:I36" si="1">IF(I$1="差距(Median)",H2-F2,IF(I$1="差距(LQ)",H2-G2))</f>
        <v>-27</v>
      </c>
      <c r="J2" s="192">
        <f t="shared" ref="J2:J36" si="2">IF(I$1="差距(Median)",(H2-F2)/H2,IF(I$1="差距(LQ)",(H2-G2)/H2))</f>
        <v>-9473684210</v>
      </c>
      <c r="K2" s="193">
        <v>10.0</v>
      </c>
      <c r="L2" s="194">
        <f>'入學要求'!S3</f>
        <v>0</v>
      </c>
      <c r="M2" s="188" t="s">
        <v>1077</v>
      </c>
      <c r="N2" s="188">
        <v>3.0</v>
      </c>
      <c r="O2" s="188">
        <v>3.0</v>
      </c>
      <c r="P2" s="188">
        <v>4.0</v>
      </c>
      <c r="Q2" s="188">
        <v>2.0</v>
      </c>
      <c r="R2" s="188">
        <v>3.0</v>
      </c>
      <c r="S2" s="188">
        <v>3.0</v>
      </c>
      <c r="T2" s="195">
        <f>'入學要求'!L3</f>
        <v>0</v>
      </c>
      <c r="U2" s="195">
        <f>'入學要求'!M3</f>
        <v>0</v>
      </c>
      <c r="V2" s="195">
        <f>'入學要求'!N3</f>
        <v>0</v>
      </c>
      <c r="W2" s="195">
        <f>'入學要求'!O3</f>
        <v>0</v>
      </c>
      <c r="X2" s="195">
        <f>'入學要求'!P3</f>
        <v>0</v>
      </c>
      <c r="Y2" s="195">
        <f>'入學要求'!Q3</f>
        <v>0</v>
      </c>
      <c r="Z2" s="196" t="s">
        <v>38</v>
      </c>
      <c r="AA2" s="193">
        <f>IF($Z$2="2018年",'Offer Statistics'!H2,IF($Z$2="2019年",'Offer Statistics'!H53,IF($Z$2="2020年",'Offer Statistics'!H104)))</f>
        <v>9</v>
      </c>
      <c r="AB2" s="197">
        <f>IF($Z$2="2018年",'Offer Statistics'!C2,IF($Z$2="2019年",'Offer Statistics'!C53,IF($Z$2="2020年",'Offer Statistics'!C104)))</f>
        <v>7</v>
      </c>
      <c r="AC2" s="197">
        <f>IF($Z$2="2018年",'Offer Statistics'!D2,IF($Z$2="2019年",'Offer Statistics'!D53,IF($Z$2="2020年",'Offer Statistics'!D104)))</f>
        <v>0</v>
      </c>
      <c r="AD2" s="197">
        <f>IF($Z$2="2018年",'Offer Statistics'!E2,IF($Z$2="2019年",'Offer Statistics'!E53,IF($Z$2="2020年",'Offer Statistics'!E104)))</f>
        <v>1</v>
      </c>
      <c r="AE2" s="197">
        <f>IF($Z$2="2018年",'Offer Statistics'!F2,IF($Z$2="2019年",'Offer Statistics'!F53,IF($Z$2="2020年",'Offer Statistics'!F104)))</f>
        <v>1</v>
      </c>
      <c r="AF2" s="197">
        <f>IF($Z$2="2018年",'Offer Statistics'!G2,IF($Z$2="2019年",'Offer Statistics'!G53,IF($Z$2="2020年",'Offer Statistics'!G104)))</f>
        <v>0</v>
      </c>
      <c r="AG2" s="196" t="str">
        <f>Z2</f>
        <v>2020年</v>
      </c>
      <c r="AH2" s="193">
        <f>IF($AG$2="2018年",'Offer Statistics'!P2,IF($AG$2="2019年",'Offer Statistics'!P53,IF($AG$2="2020年",'Offer Statistics'!P104)))</f>
        <v>1129</v>
      </c>
      <c r="AI2" s="197">
        <f>IF($AG$2="2018年",'Offer Statistics'!K2,IF($AG$2="2019年",'Offer Statistics'!K53,IF($AG$2="2020年",'Offer Statistics'!K104)))</f>
        <v>113</v>
      </c>
      <c r="AJ2" s="197">
        <f>IF($AG$2="2018年",'Offer Statistics'!L2,IF($AG$2="2019年",'Offer Statistics'!L53,IF($AG$2="2020年",'Offer Statistics'!L104)))</f>
        <v>145</v>
      </c>
      <c r="AK2" s="197">
        <f>IF($AG$2="2018年",'Offer Statistics'!M2,IF($AG$2="2019年",'Offer Statistics'!M53,IF($AG$2="2020年",'Offer Statistics'!M104)))</f>
        <v>248</v>
      </c>
      <c r="AL2" s="197">
        <f>IF($AG$2="2018年",'Offer Statistics'!N2,IF($AG$2="2019年",'Offer Statistics'!N53,IF($AG$2="2020年",'Offer Statistics'!N104)))</f>
        <v>334</v>
      </c>
      <c r="AM2" s="197">
        <f>IF($AG$2="2018年",'Offer Statistics'!O2,IF($AG$2="2019年",'Offer Statistics'!O53,IF($AG$2="2020年",'Offer Statistics'!O104)))</f>
        <v>289</v>
      </c>
      <c r="AN2" s="188"/>
      <c r="AO2" s="188" t="str">
        <f t="shared" ref="AO2:AO51" si="3">A2</f>
        <v>JS1000</v>
      </c>
      <c r="AP2" s="186"/>
      <c r="AQ2" s="186"/>
      <c r="AR2" s="186"/>
      <c r="AS2" s="186"/>
      <c r="AT2" s="186"/>
      <c r="AU2" s="186"/>
      <c r="AV2" s="186"/>
      <c r="AW2" s="186"/>
      <c r="AX2" s="186"/>
      <c r="AY2" s="186"/>
      <c r="AZ2" s="186"/>
      <c r="BA2" s="186"/>
      <c r="BB2" s="186"/>
      <c r="BC2" s="186"/>
      <c r="BD2" s="186"/>
    </row>
    <row r="3" ht="18.0" customHeight="1">
      <c r="A3" s="142" t="s">
        <v>1078</v>
      </c>
      <c r="B3" s="142" t="s">
        <v>1051</v>
      </c>
      <c r="C3" s="198" t="s">
        <v>1079</v>
      </c>
      <c r="D3" s="142" t="s">
        <v>1080</v>
      </c>
      <c r="E3" s="131" t="s">
        <v>191</v>
      </c>
      <c r="F3" s="199">
        <v>28.0</v>
      </c>
      <c r="G3" s="199">
        <v>27.0</v>
      </c>
      <c r="H3" s="200">
        <f>'計分版'!D26</f>
        <v>0.00000000285</v>
      </c>
      <c r="I3" s="201">
        <f t="shared" si="1"/>
        <v>-28</v>
      </c>
      <c r="J3" s="202">
        <f t="shared" si="2"/>
        <v>-9824561403</v>
      </c>
      <c r="K3" s="132">
        <v>10.0</v>
      </c>
      <c r="L3" s="203">
        <f>'入學要求'!S4</f>
        <v>0</v>
      </c>
      <c r="M3" s="131" t="s">
        <v>1077</v>
      </c>
      <c r="N3" s="131">
        <v>3.0</v>
      </c>
      <c r="O3" s="131">
        <v>3.0</v>
      </c>
      <c r="P3" s="131">
        <v>3.0</v>
      </c>
      <c r="Q3" s="131">
        <v>2.0</v>
      </c>
      <c r="R3" s="131">
        <v>3.0</v>
      </c>
      <c r="S3" s="131">
        <v>3.0</v>
      </c>
      <c r="T3" s="204">
        <f>'入學要求'!L4</f>
        <v>0</v>
      </c>
      <c r="U3" s="204">
        <f>'入學要求'!M4</f>
        <v>0</v>
      </c>
      <c r="V3" s="204">
        <f>'入學要求'!N4</f>
        <v>0</v>
      </c>
      <c r="W3" s="204">
        <f>'入學要求'!O4</f>
        <v>0</v>
      </c>
      <c r="X3" s="204">
        <f>'入學要求'!P4</f>
        <v>0</v>
      </c>
      <c r="Y3" s="204">
        <f>'入學要求'!Q4</f>
        <v>0</v>
      </c>
      <c r="Z3" s="205"/>
      <c r="AA3" s="132">
        <f>IF($Z$2="2018年",'Offer Statistics'!H3,IF($Z$2="2019年",'Offer Statistics'!H54,IF($Z$2="2020年",'Offer Statistics'!H105)))</f>
        <v>8</v>
      </c>
      <c r="AB3" s="206">
        <f>IF($Z$2="2018年",'Offer Statistics'!C3,IF($Z$2="2019年",'Offer Statistics'!C54,IF($Z$2="2020年",'Offer Statistics'!C105)))</f>
        <v>8</v>
      </c>
      <c r="AC3" s="206">
        <f>IF($Z$2="2018年",'Offer Statistics'!D3,IF($Z$2="2019年",'Offer Statistics'!D54,IF($Z$2="2020年",'Offer Statistics'!D105)))</f>
        <v>0</v>
      </c>
      <c r="AD3" s="206">
        <f>IF($Z$2="2018年",'Offer Statistics'!E3,IF($Z$2="2019年",'Offer Statistics'!E54,IF($Z$2="2020年",'Offer Statistics'!E105)))</f>
        <v>0</v>
      </c>
      <c r="AE3" s="206">
        <f>IF($Z$2="2018年",'Offer Statistics'!F3,IF($Z$2="2019年",'Offer Statistics'!F54,IF($Z$2="2020年",'Offer Statistics'!F105)))</f>
        <v>0</v>
      </c>
      <c r="AF3" s="206">
        <f>IF($Z$2="2018年",'Offer Statistics'!G3,IF($Z$2="2019年",'Offer Statistics'!G54,IF($Z$2="2020年",'Offer Statistics'!G105)))</f>
        <v>0</v>
      </c>
      <c r="AG3" s="205"/>
      <c r="AH3" s="132">
        <f>IF($AG$2="2018年",'Offer Statistics'!P3,IF($AG$2="2019年",'Offer Statistics'!P54,IF($AG$2="2020年",'Offer Statistics'!P105)))</f>
        <v>2016</v>
      </c>
      <c r="AI3" s="206">
        <f>IF($AG$2="2018年",'Offer Statistics'!K3,IF($AG$2="2019年",'Offer Statistics'!K54,IF($AG$2="2020年",'Offer Statistics'!K105)))</f>
        <v>158</v>
      </c>
      <c r="AJ3" s="206">
        <f>IF($AG$2="2018年",'Offer Statistics'!L3,IF($AG$2="2019年",'Offer Statistics'!L54,IF($AG$2="2020年",'Offer Statistics'!L105)))</f>
        <v>322</v>
      </c>
      <c r="AK3" s="206">
        <f>IF($AG$2="2018年",'Offer Statistics'!M3,IF($AG$2="2019年",'Offer Statistics'!M54,IF($AG$2="2020年",'Offer Statistics'!M105)))</f>
        <v>438</v>
      </c>
      <c r="AL3" s="206">
        <f>IF($AG$2="2018年",'Offer Statistics'!N3,IF($AG$2="2019年",'Offer Statistics'!N54,IF($AG$2="2020年",'Offer Statistics'!N105)))</f>
        <v>608</v>
      </c>
      <c r="AM3" s="206">
        <f>IF($AG$2="2018年",'Offer Statistics'!O3,IF($AG$2="2019年",'Offer Statistics'!O54,IF($AG$2="2020年",'Offer Statistics'!O105)))</f>
        <v>490</v>
      </c>
      <c r="AN3" s="131"/>
      <c r="AO3" s="131" t="str">
        <f t="shared" si="3"/>
        <v>JS1001</v>
      </c>
      <c r="AP3" s="130"/>
      <c r="AQ3" s="130"/>
      <c r="AR3" s="130"/>
      <c r="AS3" s="130"/>
      <c r="AT3" s="130"/>
      <c r="AU3" s="130"/>
      <c r="AV3" s="130"/>
      <c r="AW3" s="130"/>
      <c r="AX3" s="130"/>
      <c r="AY3" s="130"/>
      <c r="AZ3" s="130"/>
      <c r="BA3" s="130"/>
      <c r="BB3" s="130"/>
      <c r="BC3" s="130"/>
      <c r="BD3" s="130"/>
    </row>
    <row r="4" ht="18.0" customHeight="1">
      <c r="A4" s="186" t="s">
        <v>1081</v>
      </c>
      <c r="B4" s="186" t="s">
        <v>1051</v>
      </c>
      <c r="C4" s="187" t="s">
        <v>1082</v>
      </c>
      <c r="D4" s="186" t="s">
        <v>1083</v>
      </c>
      <c r="E4" s="207" t="s">
        <v>191</v>
      </c>
      <c r="F4" s="189">
        <v>24.0</v>
      </c>
      <c r="G4" s="189">
        <v>24.0</v>
      </c>
      <c r="H4" s="190">
        <f>'計分版'!D27</f>
        <v>0.00000000285</v>
      </c>
      <c r="I4" s="191">
        <f t="shared" si="1"/>
        <v>-24</v>
      </c>
      <c r="J4" s="192">
        <f t="shared" si="2"/>
        <v>-8421052631</v>
      </c>
      <c r="K4" s="193">
        <v>141.0</v>
      </c>
      <c r="L4" s="208">
        <f>'入學要求'!S5</f>
        <v>0</v>
      </c>
      <c r="M4" s="188" t="s">
        <v>1077</v>
      </c>
      <c r="N4" s="188">
        <v>3.0</v>
      </c>
      <c r="O4" s="188">
        <v>3.0</v>
      </c>
      <c r="P4" s="188">
        <v>3.0</v>
      </c>
      <c r="Q4" s="188">
        <v>2.0</v>
      </c>
      <c r="R4" s="188">
        <v>3.0</v>
      </c>
      <c r="S4" s="188">
        <v>3.0</v>
      </c>
      <c r="T4" s="195">
        <f>'入學要求'!L5</f>
        <v>0</v>
      </c>
      <c r="U4" s="195">
        <f>'入學要求'!M5</f>
        <v>0</v>
      </c>
      <c r="V4" s="195">
        <f>'入學要求'!N5</f>
        <v>0</v>
      </c>
      <c r="W4" s="195">
        <f>'入學要求'!O5</f>
        <v>0</v>
      </c>
      <c r="X4" s="195">
        <f>'入學要求'!P5</f>
        <v>0</v>
      </c>
      <c r="Y4" s="195">
        <f>'入學要求'!Q5</f>
        <v>0</v>
      </c>
      <c r="Z4" s="205"/>
      <c r="AA4" s="193">
        <f>IF($Z$2="2018年",'Offer Statistics'!H4,IF($Z$2="2019年",'Offer Statistics'!H55,IF($Z$2="2020年",'Offer Statistics'!H106)))</f>
        <v>129</v>
      </c>
      <c r="AB4" s="197">
        <f>IF($Z$2="2018年",'Offer Statistics'!C4,IF($Z$2="2019年",'Offer Statistics'!C55,IF($Z$2="2020年",'Offer Statistics'!C106)))</f>
        <v>126</v>
      </c>
      <c r="AC4" s="197">
        <f>IF($Z$2="2018年",'Offer Statistics'!D4,IF($Z$2="2019年",'Offer Statistics'!D55,IF($Z$2="2020年",'Offer Statistics'!D106)))</f>
        <v>3</v>
      </c>
      <c r="AD4" s="197">
        <f>IF($Z$2="2018年",'Offer Statistics'!E4,IF($Z$2="2019年",'Offer Statistics'!E55,IF($Z$2="2020年",'Offer Statistics'!E106)))</f>
        <v>0</v>
      </c>
      <c r="AE4" s="197">
        <f>IF($Z$2="2018年",'Offer Statistics'!F4,IF($Z$2="2019年",'Offer Statistics'!F55,IF($Z$2="2020年",'Offer Statistics'!F106)))</f>
        <v>0</v>
      </c>
      <c r="AF4" s="197">
        <f>IF($Z$2="2018年",'Offer Statistics'!G4,IF($Z$2="2019年",'Offer Statistics'!G55,IF($Z$2="2020年",'Offer Statistics'!G106)))</f>
        <v>0</v>
      </c>
      <c r="AG4" s="205"/>
      <c r="AH4" s="193">
        <f>IF($AG$2="2018年",'Offer Statistics'!P4,IF($AG$2="2019年",'Offer Statistics'!P55,IF($AG$2="2020年",'Offer Statistics'!P106)))</f>
        <v>3691</v>
      </c>
      <c r="AI4" s="197">
        <f>IF($AG$2="2018年",'Offer Statistics'!K4,IF($AG$2="2019年",'Offer Statistics'!K55,IF($AG$2="2020年",'Offer Statistics'!K106)))</f>
        <v>721</v>
      </c>
      <c r="AJ4" s="197">
        <f>IF($AG$2="2018年",'Offer Statistics'!L4,IF($AG$2="2019年",'Offer Statistics'!L55,IF($AG$2="2020年",'Offer Statistics'!L106)))</f>
        <v>750</v>
      </c>
      <c r="AK4" s="197">
        <f>IF($AG$2="2018年",'Offer Statistics'!M4,IF($AG$2="2019年",'Offer Statistics'!M55,IF($AG$2="2020年",'Offer Statistics'!M106)))</f>
        <v>769</v>
      </c>
      <c r="AL4" s="197">
        <f>IF($AG$2="2018年",'Offer Statistics'!N4,IF($AG$2="2019年",'Offer Statistics'!N55,IF($AG$2="2020年",'Offer Statistics'!N106)))</f>
        <v>856</v>
      </c>
      <c r="AM4" s="197">
        <f>IF($AG$2="2018年",'Offer Statistics'!O4,IF($AG$2="2019年",'Offer Statistics'!O55,IF($AG$2="2020年",'Offer Statistics'!O106)))</f>
        <v>595</v>
      </c>
      <c r="AN4" s="188"/>
      <c r="AO4" s="188" t="str">
        <f t="shared" si="3"/>
        <v>JS1002</v>
      </c>
      <c r="AP4" s="186"/>
      <c r="AQ4" s="186"/>
      <c r="AR4" s="186"/>
      <c r="AS4" s="186"/>
      <c r="AT4" s="186"/>
      <c r="AU4" s="186"/>
      <c r="AV4" s="186"/>
      <c r="AW4" s="186"/>
      <c r="AX4" s="186"/>
      <c r="AY4" s="186"/>
      <c r="AZ4" s="186"/>
      <c r="BA4" s="186"/>
      <c r="BB4" s="186"/>
      <c r="BC4" s="186"/>
      <c r="BD4" s="186"/>
    </row>
    <row r="5" ht="18.0" customHeight="1">
      <c r="A5" s="142" t="s">
        <v>1084</v>
      </c>
      <c r="B5" s="142" t="s">
        <v>1051</v>
      </c>
      <c r="C5" s="198" t="s">
        <v>1085</v>
      </c>
      <c r="D5" s="142" t="s">
        <v>1086</v>
      </c>
      <c r="E5" s="209" t="s">
        <v>191</v>
      </c>
      <c r="F5" s="199">
        <v>24.0</v>
      </c>
      <c r="G5" s="199">
        <v>24.0</v>
      </c>
      <c r="H5" s="200">
        <f>'計分版'!D28</f>
        <v>0.00000000285</v>
      </c>
      <c r="I5" s="201">
        <f t="shared" si="1"/>
        <v>-24</v>
      </c>
      <c r="J5" s="202">
        <f t="shared" si="2"/>
        <v>-8421052631</v>
      </c>
      <c r="K5" s="132">
        <v>71.0</v>
      </c>
      <c r="L5" s="203">
        <f>'入學要求'!S6</f>
        <v>0</v>
      </c>
      <c r="M5" s="131" t="s">
        <v>1077</v>
      </c>
      <c r="N5" s="131">
        <v>3.0</v>
      </c>
      <c r="O5" s="131">
        <v>3.0</v>
      </c>
      <c r="P5" s="131">
        <v>3.0</v>
      </c>
      <c r="Q5" s="131">
        <v>2.0</v>
      </c>
      <c r="R5" s="131">
        <v>3.0</v>
      </c>
      <c r="S5" s="131">
        <v>3.0</v>
      </c>
      <c r="T5" s="204">
        <f>'入學要求'!L6</f>
        <v>0</v>
      </c>
      <c r="U5" s="204">
        <f>'入學要求'!M6</f>
        <v>0</v>
      </c>
      <c r="V5" s="204">
        <f>'入學要求'!N6</f>
        <v>0</v>
      </c>
      <c r="W5" s="204">
        <f>'入學要求'!O6</f>
        <v>0</v>
      </c>
      <c r="X5" s="204">
        <f>'入學要求'!P6</f>
        <v>0</v>
      </c>
      <c r="Y5" s="204">
        <f>'入學要求'!Q6</f>
        <v>0</v>
      </c>
      <c r="Z5" s="205"/>
      <c r="AA5" s="132">
        <f>IF($Z$2="2018年",'Offer Statistics'!H5,IF($Z$2="2019年",'Offer Statistics'!H56,IF($Z$2="2020年",'Offer Statistics'!H107)))</f>
        <v>56</v>
      </c>
      <c r="AB5" s="206">
        <f>IF($Z$2="2018年",'Offer Statistics'!C5,IF($Z$2="2019年",'Offer Statistics'!C56,IF($Z$2="2020年",'Offer Statistics'!C107)))</f>
        <v>52</v>
      </c>
      <c r="AC5" s="206">
        <f>IF($Z$2="2018年",'Offer Statistics'!D5,IF($Z$2="2019年",'Offer Statistics'!D56,IF($Z$2="2020年",'Offer Statistics'!D107)))</f>
        <v>3</v>
      </c>
      <c r="AD5" s="206">
        <f>IF($Z$2="2018年",'Offer Statistics'!E5,IF($Z$2="2019年",'Offer Statistics'!E56,IF($Z$2="2020年",'Offer Statistics'!E107)))</f>
        <v>0</v>
      </c>
      <c r="AE5" s="206">
        <f>IF($Z$2="2018年",'Offer Statistics'!F5,IF($Z$2="2019年",'Offer Statistics'!F56,IF($Z$2="2020年",'Offer Statistics'!F107)))</f>
        <v>1</v>
      </c>
      <c r="AF5" s="206">
        <f>IF($Z$2="2018年",'Offer Statistics'!G5,IF($Z$2="2019年",'Offer Statistics'!G56,IF($Z$2="2020年",'Offer Statistics'!G107)))</f>
        <v>0</v>
      </c>
      <c r="AG5" s="205"/>
      <c r="AH5" s="132">
        <f>IF($AG$2="2018年",'Offer Statistics'!P5,IF($AG$2="2019年",'Offer Statistics'!P56,IF($AG$2="2020年",'Offer Statistics'!P107)))</f>
        <v>5284</v>
      </c>
      <c r="AI5" s="206">
        <f>IF($AG$2="2018年",'Offer Statistics'!K5,IF($AG$2="2019年",'Offer Statistics'!K56,IF($AG$2="2020年",'Offer Statistics'!K107)))</f>
        <v>615</v>
      </c>
      <c r="AJ5" s="206">
        <f>IF($AG$2="2018年",'Offer Statistics'!L5,IF($AG$2="2019年",'Offer Statistics'!L56,IF($AG$2="2020年",'Offer Statistics'!L107)))</f>
        <v>838</v>
      </c>
      <c r="AK5" s="206">
        <f>IF($AG$2="2018年",'Offer Statistics'!M5,IF($AG$2="2019年",'Offer Statistics'!M56,IF($AG$2="2020年",'Offer Statistics'!M107)))</f>
        <v>1298</v>
      </c>
      <c r="AL5" s="206">
        <f>IF($AG$2="2018年",'Offer Statistics'!N5,IF($AG$2="2019年",'Offer Statistics'!N56,IF($AG$2="2020年",'Offer Statistics'!N107)))</f>
        <v>1577</v>
      </c>
      <c r="AM5" s="206">
        <f>IF($AG$2="2018年",'Offer Statistics'!O5,IF($AG$2="2019年",'Offer Statistics'!O56,IF($AG$2="2020年",'Offer Statistics'!O107)))</f>
        <v>956</v>
      </c>
      <c r="AN5" s="131"/>
      <c r="AO5" s="131" t="str">
        <f t="shared" si="3"/>
        <v>JS1005</v>
      </c>
      <c r="AP5" s="130"/>
      <c r="AQ5" s="130"/>
      <c r="AR5" s="130"/>
      <c r="AS5" s="130"/>
      <c r="AT5" s="130"/>
      <c r="AU5" s="130"/>
      <c r="AV5" s="130"/>
      <c r="AW5" s="130"/>
      <c r="AX5" s="130"/>
      <c r="AY5" s="130"/>
      <c r="AZ5" s="130"/>
      <c r="BA5" s="130"/>
      <c r="BB5" s="130"/>
      <c r="BC5" s="130"/>
      <c r="BD5" s="130"/>
    </row>
    <row r="6" ht="18.0" customHeight="1">
      <c r="A6" s="186" t="s">
        <v>1087</v>
      </c>
      <c r="B6" s="186" t="s">
        <v>1051</v>
      </c>
      <c r="C6" s="187" t="s">
        <v>1088</v>
      </c>
      <c r="D6" s="186" t="s">
        <v>1089</v>
      </c>
      <c r="E6" s="193" t="s">
        <v>191</v>
      </c>
      <c r="F6" s="189">
        <v>27.0</v>
      </c>
      <c r="G6" s="189">
        <v>26.0</v>
      </c>
      <c r="H6" s="190">
        <f>'計分版'!D29</f>
        <v>0.00000000295</v>
      </c>
      <c r="I6" s="191">
        <f t="shared" si="1"/>
        <v>-27</v>
      </c>
      <c r="J6" s="192">
        <f t="shared" si="2"/>
        <v>-9152542372</v>
      </c>
      <c r="K6" s="193">
        <v>83.0</v>
      </c>
      <c r="L6" s="208">
        <f>'入學要求'!S7</f>
        <v>0</v>
      </c>
      <c r="M6" s="188" t="s">
        <v>1077</v>
      </c>
      <c r="N6" s="188">
        <v>3.0</v>
      </c>
      <c r="O6" s="188">
        <v>3.0</v>
      </c>
      <c r="P6" s="188">
        <v>3.0</v>
      </c>
      <c r="Q6" s="188">
        <v>2.0</v>
      </c>
      <c r="R6" s="188">
        <v>3.0</v>
      </c>
      <c r="S6" s="188">
        <v>3.0</v>
      </c>
      <c r="T6" s="195">
        <f>'入學要求'!L7</f>
        <v>0</v>
      </c>
      <c r="U6" s="195">
        <f>'入學要求'!M7</f>
        <v>0</v>
      </c>
      <c r="V6" s="195">
        <f>'入學要求'!N7</f>
        <v>0</v>
      </c>
      <c r="W6" s="195">
        <f>'入學要求'!O7</f>
        <v>0</v>
      </c>
      <c r="X6" s="195">
        <f>'入學要求'!P7</f>
        <v>0</v>
      </c>
      <c r="Y6" s="195">
        <f>'入學要求'!Q7</f>
        <v>0</v>
      </c>
      <c r="Z6" s="205"/>
      <c r="AA6" s="193">
        <f>IF($Z$2="2018年",'Offer Statistics'!H6,IF($Z$2="2019年",'Offer Statistics'!H57,IF($Z$2="2020年",'Offer Statistics'!H108)))</f>
        <v>55</v>
      </c>
      <c r="AB6" s="197">
        <f>IF($Z$2="2018年",'Offer Statistics'!C6,IF($Z$2="2019年",'Offer Statistics'!C57,IF($Z$2="2020年",'Offer Statistics'!C108)))</f>
        <v>53</v>
      </c>
      <c r="AC6" s="197">
        <f>IF($Z$2="2018年",'Offer Statistics'!D6,IF($Z$2="2019年",'Offer Statistics'!D57,IF($Z$2="2020年",'Offer Statistics'!D108)))</f>
        <v>2</v>
      </c>
      <c r="AD6" s="197">
        <f>IF($Z$2="2018年",'Offer Statistics'!E6,IF($Z$2="2019年",'Offer Statistics'!E57,IF($Z$2="2020年",'Offer Statistics'!E108)))</f>
        <v>0</v>
      </c>
      <c r="AE6" s="197">
        <f>IF($Z$2="2018年",'Offer Statistics'!F6,IF($Z$2="2019年",'Offer Statistics'!F57,IF($Z$2="2020年",'Offer Statistics'!F108)))</f>
        <v>0</v>
      </c>
      <c r="AF6" s="197">
        <f>IF($Z$2="2018年",'Offer Statistics'!G6,IF($Z$2="2019年",'Offer Statistics'!G57,IF($Z$2="2020年",'Offer Statistics'!G108)))</f>
        <v>0</v>
      </c>
      <c r="AG6" s="205"/>
      <c r="AH6" s="193">
        <f>IF($AG$2="2018年",'Offer Statistics'!P6,IF($AG$2="2019年",'Offer Statistics'!P57,IF($AG$2="2020年",'Offer Statistics'!P108)))</f>
        <v>4603</v>
      </c>
      <c r="AI6" s="197">
        <f>IF($AG$2="2018年",'Offer Statistics'!K6,IF($AG$2="2019年",'Offer Statistics'!K57,IF($AG$2="2020年",'Offer Statistics'!K108)))</f>
        <v>617</v>
      </c>
      <c r="AJ6" s="197">
        <f>IF($AG$2="2018年",'Offer Statistics'!L6,IF($AG$2="2019年",'Offer Statistics'!L57,IF($AG$2="2020年",'Offer Statistics'!L108)))</f>
        <v>736</v>
      </c>
      <c r="AK6" s="197">
        <f>IF($AG$2="2018年",'Offer Statistics'!M6,IF($AG$2="2019年",'Offer Statistics'!M57,IF($AG$2="2020年",'Offer Statistics'!M108)))</f>
        <v>1120</v>
      </c>
      <c r="AL6" s="197">
        <f>IF($AG$2="2018年",'Offer Statistics'!N6,IF($AG$2="2019年",'Offer Statistics'!N57,IF($AG$2="2020年",'Offer Statistics'!N108)))</f>
        <v>1271</v>
      </c>
      <c r="AM6" s="197">
        <f>IF($AG$2="2018年",'Offer Statistics'!O6,IF($AG$2="2019年",'Offer Statistics'!O57,IF($AG$2="2020年",'Offer Statistics'!O108)))</f>
        <v>859</v>
      </c>
      <c r="AN6" s="188"/>
      <c r="AO6" s="188" t="str">
        <f t="shared" si="3"/>
        <v>JS1007</v>
      </c>
      <c r="AP6" s="186"/>
      <c r="AQ6" s="186"/>
      <c r="AR6" s="186"/>
      <c r="AS6" s="186"/>
      <c r="AT6" s="186"/>
      <c r="AU6" s="186"/>
      <c r="AV6" s="186"/>
      <c r="AW6" s="186"/>
      <c r="AX6" s="186"/>
      <c r="AY6" s="186"/>
      <c r="AZ6" s="186"/>
      <c r="BA6" s="186"/>
      <c r="BB6" s="186"/>
      <c r="BC6" s="186"/>
      <c r="BD6" s="186"/>
    </row>
    <row r="7" ht="18.0" customHeight="1">
      <c r="A7" s="142" t="s">
        <v>1090</v>
      </c>
      <c r="B7" s="142" t="s">
        <v>1051</v>
      </c>
      <c r="C7" s="198" t="s">
        <v>1091</v>
      </c>
      <c r="D7" s="142" t="s">
        <v>1092</v>
      </c>
      <c r="E7" s="131" t="s">
        <v>191</v>
      </c>
      <c r="F7" s="199">
        <v>24.0</v>
      </c>
      <c r="G7" s="199">
        <v>24.0</v>
      </c>
      <c r="H7" s="200">
        <f>'計分版'!D30</f>
        <v>0.00000000285</v>
      </c>
      <c r="I7" s="201">
        <f t="shared" si="1"/>
        <v>-24</v>
      </c>
      <c r="J7" s="202">
        <f t="shared" si="2"/>
        <v>-8421052631</v>
      </c>
      <c r="K7" s="132">
        <v>19.0</v>
      </c>
      <c r="L7" s="203">
        <f>'入學要求'!S8</f>
        <v>0</v>
      </c>
      <c r="M7" s="210" t="s">
        <v>541</v>
      </c>
      <c r="N7" s="131">
        <v>3.0</v>
      </c>
      <c r="O7" s="131">
        <v>3.0</v>
      </c>
      <c r="P7" s="131">
        <v>3.0</v>
      </c>
      <c r="Q7" s="131">
        <v>2.0</v>
      </c>
      <c r="R7" s="131">
        <v>3.0</v>
      </c>
      <c r="S7" s="131">
        <v>3.0</v>
      </c>
      <c r="T7" s="204">
        <f>'入學要求'!L8</f>
        <v>0</v>
      </c>
      <c r="U7" s="204">
        <f>'入學要求'!M8</f>
        <v>0</v>
      </c>
      <c r="V7" s="204">
        <f>'入學要求'!N8</f>
        <v>0</v>
      </c>
      <c r="W7" s="204">
        <f>'入學要求'!O8</f>
        <v>0</v>
      </c>
      <c r="X7" s="204">
        <f>'入學要求'!P8</f>
        <v>0</v>
      </c>
      <c r="Y7" s="204">
        <f>'入學要求'!Q8</f>
        <v>0</v>
      </c>
      <c r="Z7" s="205"/>
      <c r="AA7" s="132">
        <f>IF($Z$2="2018年",'Offer Statistics'!H7,IF($Z$2="2019年",'Offer Statistics'!H58,IF($Z$2="2020年",'Offer Statistics'!H109)))</f>
        <v>74</v>
      </c>
      <c r="AB7" s="206">
        <f>IF($Z$2="2018年",'Offer Statistics'!C7,IF($Z$2="2019年",'Offer Statistics'!C58,IF($Z$2="2020年",'Offer Statistics'!C109)))</f>
        <v>72</v>
      </c>
      <c r="AC7" s="206">
        <f>IF($Z$2="2018年",'Offer Statistics'!D7,IF($Z$2="2019年",'Offer Statistics'!D58,IF($Z$2="2020年",'Offer Statistics'!D109)))</f>
        <v>2</v>
      </c>
      <c r="AD7" s="206">
        <f>IF($Z$2="2018年",'Offer Statistics'!E7,IF($Z$2="2019年",'Offer Statistics'!E58,IF($Z$2="2020年",'Offer Statistics'!E109)))</f>
        <v>0</v>
      </c>
      <c r="AE7" s="206">
        <f>IF($Z$2="2018年",'Offer Statistics'!F7,IF($Z$2="2019年",'Offer Statistics'!F58,IF($Z$2="2020年",'Offer Statistics'!F109)))</f>
        <v>0</v>
      </c>
      <c r="AF7" s="206">
        <f>IF($Z$2="2018年",'Offer Statistics'!G7,IF($Z$2="2019年",'Offer Statistics'!G58,IF($Z$2="2020年",'Offer Statistics'!G109)))</f>
        <v>0</v>
      </c>
      <c r="AG7" s="205"/>
      <c r="AH7" s="132">
        <f>IF($AG$2="2018年",'Offer Statistics'!P7,IF($AG$2="2019年",'Offer Statistics'!P58,IF($AG$2="2020年",'Offer Statistics'!P109)))</f>
        <v>3646</v>
      </c>
      <c r="AI7" s="206">
        <f>IF($AG$2="2018年",'Offer Statistics'!K7,IF($AG$2="2019年",'Offer Statistics'!K58,IF($AG$2="2020年",'Offer Statistics'!K109)))</f>
        <v>769</v>
      </c>
      <c r="AJ7" s="206">
        <f>IF($AG$2="2018年",'Offer Statistics'!L7,IF($AG$2="2019年",'Offer Statistics'!L58,IF($AG$2="2020年",'Offer Statistics'!L109)))</f>
        <v>677</v>
      </c>
      <c r="AK7" s="206">
        <f>IF($AG$2="2018年",'Offer Statistics'!M7,IF($AG$2="2019年",'Offer Statistics'!M58,IF($AG$2="2020年",'Offer Statistics'!M109)))</f>
        <v>756</v>
      </c>
      <c r="AL7" s="206">
        <f>IF($AG$2="2018年",'Offer Statistics'!N7,IF($AG$2="2019年",'Offer Statistics'!N58,IF($AG$2="2020年",'Offer Statistics'!N109)))</f>
        <v>878</v>
      </c>
      <c r="AM7" s="206">
        <f>IF($AG$2="2018年",'Offer Statistics'!O7,IF($AG$2="2019年",'Offer Statistics'!O58,IF($AG$2="2020年",'Offer Statistics'!O109)))</f>
        <v>566</v>
      </c>
      <c r="AN7" s="131"/>
      <c r="AO7" s="131" t="str">
        <f t="shared" si="3"/>
        <v>JS1012</v>
      </c>
      <c r="AP7" s="130"/>
      <c r="AQ7" s="130"/>
      <c r="AR7" s="130"/>
      <c r="AS7" s="130"/>
      <c r="AT7" s="130"/>
      <c r="AU7" s="130"/>
      <c r="AV7" s="130"/>
      <c r="AW7" s="130"/>
      <c r="AX7" s="130"/>
      <c r="AY7" s="130"/>
      <c r="AZ7" s="130"/>
      <c r="BA7" s="130"/>
      <c r="BB7" s="130"/>
      <c r="BC7" s="130"/>
      <c r="BD7" s="130"/>
    </row>
    <row r="8" ht="18.0" customHeight="1">
      <c r="A8" s="186" t="s">
        <v>1093</v>
      </c>
      <c r="B8" s="186" t="s">
        <v>1051</v>
      </c>
      <c r="C8" s="187" t="s">
        <v>1094</v>
      </c>
      <c r="D8" s="186" t="s">
        <v>1095</v>
      </c>
      <c r="E8" s="188" t="s">
        <v>191</v>
      </c>
      <c r="F8" s="189">
        <v>23.0</v>
      </c>
      <c r="G8" s="189">
        <v>23.0</v>
      </c>
      <c r="H8" s="190">
        <f>'計分版'!D31</f>
        <v>0.00000000285</v>
      </c>
      <c r="I8" s="191">
        <f t="shared" si="1"/>
        <v>-23</v>
      </c>
      <c r="J8" s="192">
        <f t="shared" si="2"/>
        <v>-8070175438</v>
      </c>
      <c r="K8" s="193">
        <v>36.0</v>
      </c>
      <c r="L8" s="208">
        <f>'入學要求'!S9</f>
        <v>0</v>
      </c>
      <c r="M8" s="205"/>
      <c r="N8" s="188">
        <v>3.0</v>
      </c>
      <c r="O8" s="188">
        <v>3.0</v>
      </c>
      <c r="P8" s="188">
        <v>3.0</v>
      </c>
      <c r="Q8" s="188">
        <v>2.0</v>
      </c>
      <c r="R8" s="188">
        <v>3.0</v>
      </c>
      <c r="S8" s="188">
        <v>3.0</v>
      </c>
      <c r="T8" s="195">
        <f>'入學要求'!L9</f>
        <v>0</v>
      </c>
      <c r="U8" s="195">
        <f>'入學要求'!M9</f>
        <v>0</v>
      </c>
      <c r="V8" s="195">
        <f>'入學要求'!N9</f>
        <v>0</v>
      </c>
      <c r="W8" s="195">
        <f>'入學要求'!O9</f>
        <v>0</v>
      </c>
      <c r="X8" s="195">
        <f>'入學要求'!P9</f>
        <v>0</v>
      </c>
      <c r="Y8" s="195">
        <f>'入學要求'!Q9</f>
        <v>0</v>
      </c>
      <c r="Z8" s="205"/>
      <c r="AA8" s="193">
        <f>IF($Z$2="2018年",'Offer Statistics'!H8,IF($Z$2="2019年",'Offer Statistics'!H59,IF($Z$2="2020年",'Offer Statistics'!H110)))</f>
        <v>18</v>
      </c>
      <c r="AB8" s="197">
        <f>IF($Z$2="2018年",'Offer Statistics'!C8,IF($Z$2="2019年",'Offer Statistics'!C59,IF($Z$2="2020年",'Offer Statistics'!C110)))</f>
        <v>15</v>
      </c>
      <c r="AC8" s="197">
        <f>IF($Z$2="2018年",'Offer Statistics'!D8,IF($Z$2="2019年",'Offer Statistics'!D59,IF($Z$2="2020年",'Offer Statistics'!D110)))</f>
        <v>2</v>
      </c>
      <c r="AD8" s="197">
        <f>IF($Z$2="2018年",'Offer Statistics'!E8,IF($Z$2="2019年",'Offer Statistics'!E59,IF($Z$2="2020年",'Offer Statistics'!E110)))</f>
        <v>1</v>
      </c>
      <c r="AE8" s="197">
        <f>IF($Z$2="2018年",'Offer Statistics'!F8,IF($Z$2="2019年",'Offer Statistics'!F59,IF($Z$2="2020年",'Offer Statistics'!F110)))</f>
        <v>0</v>
      </c>
      <c r="AF8" s="197">
        <f>IF($Z$2="2018年",'Offer Statistics'!G8,IF($Z$2="2019年",'Offer Statistics'!G59,IF($Z$2="2020年",'Offer Statistics'!G110)))</f>
        <v>0</v>
      </c>
      <c r="AG8" s="205"/>
      <c r="AH8" s="193">
        <f>IF($AG$2="2018年",'Offer Statistics'!P8,IF($AG$2="2019年",'Offer Statistics'!P59,IF($AG$2="2020年",'Offer Statistics'!P110)))</f>
        <v>1952</v>
      </c>
      <c r="AI8" s="197">
        <f>IF($AG$2="2018年",'Offer Statistics'!K8,IF($AG$2="2019年",'Offer Statistics'!K59,IF($AG$2="2020年",'Offer Statistics'!K110)))</f>
        <v>146</v>
      </c>
      <c r="AJ8" s="197">
        <f>IF($AG$2="2018年",'Offer Statistics'!L8,IF($AG$2="2019年",'Offer Statistics'!L59,IF($AG$2="2020年",'Offer Statistics'!L110)))</f>
        <v>250</v>
      </c>
      <c r="AK8" s="197">
        <f>IF($AG$2="2018年",'Offer Statistics'!M8,IF($AG$2="2019年",'Offer Statistics'!M59,IF($AG$2="2020年",'Offer Statistics'!M110)))</f>
        <v>495</v>
      </c>
      <c r="AL8" s="197">
        <f>IF($AG$2="2018年",'Offer Statistics'!N8,IF($AG$2="2019年",'Offer Statistics'!N59,IF($AG$2="2020年",'Offer Statistics'!N110)))</f>
        <v>598</v>
      </c>
      <c r="AM8" s="197">
        <f>IF($AG$2="2018年",'Offer Statistics'!O8,IF($AG$2="2019年",'Offer Statistics'!O59,IF($AG$2="2020年",'Offer Statistics'!O110)))</f>
        <v>463</v>
      </c>
      <c r="AN8" s="188"/>
      <c r="AO8" s="188" t="str">
        <f t="shared" si="3"/>
        <v>JS1013</v>
      </c>
      <c r="AP8" s="186"/>
      <c r="AQ8" s="186"/>
      <c r="AR8" s="186"/>
      <c r="AS8" s="186"/>
      <c r="AT8" s="186"/>
      <c r="AU8" s="186"/>
      <c r="AV8" s="186"/>
      <c r="AW8" s="186"/>
      <c r="AX8" s="186"/>
      <c r="AY8" s="186"/>
      <c r="AZ8" s="186"/>
      <c r="BA8" s="186"/>
      <c r="BB8" s="186"/>
      <c r="BC8" s="186"/>
      <c r="BD8" s="186"/>
    </row>
    <row r="9" ht="18.0" customHeight="1">
      <c r="A9" s="142" t="s">
        <v>1096</v>
      </c>
      <c r="B9" s="142" t="s">
        <v>1051</v>
      </c>
      <c r="C9" s="198" t="s">
        <v>1097</v>
      </c>
      <c r="D9" s="142" t="s">
        <v>1098</v>
      </c>
      <c r="E9" s="131" t="s">
        <v>191</v>
      </c>
      <c r="F9" s="199">
        <v>23.0</v>
      </c>
      <c r="G9" s="199">
        <v>22.0</v>
      </c>
      <c r="H9" s="200">
        <f>'計分版'!D32</f>
        <v>0.00000000285</v>
      </c>
      <c r="I9" s="201">
        <f t="shared" si="1"/>
        <v>-23</v>
      </c>
      <c r="J9" s="202">
        <f t="shared" si="2"/>
        <v>-8070175438</v>
      </c>
      <c r="K9" s="132">
        <v>109.0</v>
      </c>
      <c r="L9" s="203">
        <f>'入學要求'!S10</f>
        <v>0</v>
      </c>
      <c r="M9" s="205"/>
      <c r="N9" s="131">
        <v>3.0</v>
      </c>
      <c r="O9" s="131">
        <v>3.0</v>
      </c>
      <c r="P9" s="131">
        <v>3.0</v>
      </c>
      <c r="Q9" s="131">
        <v>2.0</v>
      </c>
      <c r="R9" s="131">
        <v>3.0</v>
      </c>
      <c r="S9" s="131">
        <v>3.0</v>
      </c>
      <c r="T9" s="204">
        <f>'入學要求'!L10</f>
        <v>0</v>
      </c>
      <c r="U9" s="204">
        <f>'入學要求'!M10</f>
        <v>0</v>
      </c>
      <c r="V9" s="204">
        <f>'入學要求'!N10</f>
        <v>0</v>
      </c>
      <c r="W9" s="204">
        <f>'入學要求'!O10</f>
        <v>0</v>
      </c>
      <c r="X9" s="204">
        <f>'入學要求'!P10</f>
        <v>0</v>
      </c>
      <c r="Y9" s="204">
        <f>'入學要求'!Q10</f>
        <v>0</v>
      </c>
      <c r="Z9" s="205"/>
      <c r="AA9" s="132">
        <f>IF($Z$2="2018年",'Offer Statistics'!H9,IF($Z$2="2019年",'Offer Statistics'!H60,IF($Z$2="2020年",'Offer Statistics'!H111)))</f>
        <v>56</v>
      </c>
      <c r="AB9" s="206">
        <f>IF($Z$2="2018年",'Offer Statistics'!C9,IF($Z$2="2019年",'Offer Statistics'!C60,IF($Z$2="2020年",'Offer Statistics'!C111)))</f>
        <v>42</v>
      </c>
      <c r="AC9" s="206">
        <f>IF($Z$2="2018年",'Offer Statistics'!D9,IF($Z$2="2019年",'Offer Statistics'!D60,IF($Z$2="2020年",'Offer Statistics'!D111)))</f>
        <v>6</v>
      </c>
      <c r="AD9" s="206">
        <f>IF($Z$2="2018年",'Offer Statistics'!E9,IF($Z$2="2019年",'Offer Statistics'!E60,IF($Z$2="2020年",'Offer Statistics'!E111)))</f>
        <v>6</v>
      </c>
      <c r="AE9" s="206">
        <f>IF($Z$2="2018年",'Offer Statistics'!F9,IF($Z$2="2019年",'Offer Statistics'!F60,IF($Z$2="2020年",'Offer Statistics'!F111)))</f>
        <v>2</v>
      </c>
      <c r="AF9" s="206">
        <f>IF($Z$2="2018年",'Offer Statistics'!G9,IF($Z$2="2019年",'Offer Statistics'!G60,IF($Z$2="2020年",'Offer Statistics'!G111)))</f>
        <v>0</v>
      </c>
      <c r="AG9" s="205"/>
      <c r="AH9" s="132">
        <f>IF($AG$2="2018年",'Offer Statistics'!P9,IF($AG$2="2019年",'Offer Statistics'!P60,IF($AG$2="2020年",'Offer Statistics'!P111)))</f>
        <v>2004</v>
      </c>
      <c r="AI9" s="206">
        <f>IF($AG$2="2018年",'Offer Statistics'!K9,IF($AG$2="2019年",'Offer Statistics'!K60,IF($AG$2="2020年",'Offer Statistics'!K111)))</f>
        <v>190</v>
      </c>
      <c r="AJ9" s="206">
        <f>IF($AG$2="2018年",'Offer Statistics'!L9,IF($AG$2="2019年",'Offer Statistics'!L60,IF($AG$2="2020年",'Offer Statistics'!L111)))</f>
        <v>305</v>
      </c>
      <c r="AK9" s="206">
        <f>IF($AG$2="2018年",'Offer Statistics'!M9,IF($AG$2="2019年",'Offer Statistics'!M60,IF($AG$2="2020年",'Offer Statistics'!M111)))</f>
        <v>482</v>
      </c>
      <c r="AL9" s="206">
        <f>IF($AG$2="2018年",'Offer Statistics'!N9,IF($AG$2="2019年",'Offer Statistics'!N60,IF($AG$2="2020年",'Offer Statistics'!N111)))</f>
        <v>594</v>
      </c>
      <c r="AM9" s="206">
        <f>IF($AG$2="2018年",'Offer Statistics'!O9,IF($AG$2="2019年",'Offer Statistics'!O60,IF($AG$2="2020年",'Offer Statistics'!O111)))</f>
        <v>433</v>
      </c>
      <c r="AN9" s="131"/>
      <c r="AO9" s="131" t="str">
        <f t="shared" si="3"/>
        <v>JS1014</v>
      </c>
      <c r="AP9" s="130"/>
      <c r="AQ9" s="130"/>
      <c r="AR9" s="130"/>
      <c r="AS9" s="130"/>
      <c r="AT9" s="130"/>
      <c r="AU9" s="130"/>
      <c r="AV9" s="130"/>
      <c r="AW9" s="130"/>
      <c r="AX9" s="130"/>
      <c r="AY9" s="130"/>
      <c r="AZ9" s="130"/>
      <c r="BA9" s="130"/>
      <c r="BB9" s="130"/>
      <c r="BC9" s="130"/>
      <c r="BD9" s="130"/>
    </row>
    <row r="10" ht="18.0" customHeight="1">
      <c r="A10" s="186" t="s">
        <v>1099</v>
      </c>
      <c r="B10" s="186" t="s">
        <v>1051</v>
      </c>
      <c r="C10" s="187" t="s">
        <v>1100</v>
      </c>
      <c r="D10" s="186" t="s">
        <v>1101</v>
      </c>
      <c r="E10" s="188" t="s">
        <v>191</v>
      </c>
      <c r="F10" s="189">
        <v>24.0</v>
      </c>
      <c r="G10" s="189">
        <v>24.0</v>
      </c>
      <c r="H10" s="190">
        <f>'計分版'!D33</f>
        <v>0.00000000285</v>
      </c>
      <c r="I10" s="191">
        <f t="shared" si="1"/>
        <v>-24</v>
      </c>
      <c r="J10" s="192">
        <f t="shared" si="2"/>
        <v>-8421052631</v>
      </c>
      <c r="K10" s="193">
        <v>69.0</v>
      </c>
      <c r="L10" s="208">
        <f>'入學要求'!S11</f>
        <v>0</v>
      </c>
      <c r="M10" s="210" t="s">
        <v>1077</v>
      </c>
      <c r="N10" s="188">
        <v>3.0</v>
      </c>
      <c r="O10" s="188">
        <v>3.0</v>
      </c>
      <c r="P10" s="188">
        <v>3.0</v>
      </c>
      <c r="Q10" s="188">
        <v>2.0</v>
      </c>
      <c r="R10" s="188">
        <v>3.0</v>
      </c>
      <c r="S10" s="188">
        <v>3.0</v>
      </c>
      <c r="T10" s="195">
        <f>'入學要求'!L11</f>
        <v>0</v>
      </c>
      <c r="U10" s="195">
        <f>'入學要求'!M11</f>
        <v>0</v>
      </c>
      <c r="V10" s="195">
        <f>'入學要求'!N11</f>
        <v>0</v>
      </c>
      <c r="W10" s="195">
        <f>'入學要求'!O11</f>
        <v>0</v>
      </c>
      <c r="X10" s="195">
        <f>'入學要求'!P11</f>
        <v>0</v>
      </c>
      <c r="Y10" s="195">
        <f>'入學要求'!Q11</f>
        <v>0</v>
      </c>
      <c r="Z10" s="205"/>
      <c r="AA10" s="193">
        <f>IF($Z$2="2018年",'Offer Statistics'!H10,IF($Z$2="2019年",'Offer Statistics'!H61,IF($Z$2="2020年",'Offer Statistics'!H112)))</f>
        <v>41</v>
      </c>
      <c r="AB10" s="197">
        <f>IF($Z$2="2018年",'Offer Statistics'!C10,IF($Z$2="2019年",'Offer Statistics'!C61,IF($Z$2="2020年",'Offer Statistics'!C112)))</f>
        <v>39</v>
      </c>
      <c r="AC10" s="197">
        <f>IF($Z$2="2018年",'Offer Statistics'!D10,IF($Z$2="2019年",'Offer Statistics'!D61,IF($Z$2="2020年",'Offer Statistics'!D112)))</f>
        <v>2</v>
      </c>
      <c r="AD10" s="197">
        <f>IF($Z$2="2018年",'Offer Statistics'!E10,IF($Z$2="2019年",'Offer Statistics'!E61,IF($Z$2="2020年",'Offer Statistics'!E112)))</f>
        <v>0</v>
      </c>
      <c r="AE10" s="197">
        <f>IF($Z$2="2018年",'Offer Statistics'!F10,IF($Z$2="2019年",'Offer Statistics'!F61,IF($Z$2="2020年",'Offer Statistics'!F112)))</f>
        <v>0</v>
      </c>
      <c r="AF10" s="197">
        <f>IF($Z$2="2018年",'Offer Statistics'!G10,IF($Z$2="2019年",'Offer Statistics'!G61,IF($Z$2="2020年",'Offer Statistics'!G112)))</f>
        <v>0</v>
      </c>
      <c r="AG10" s="205"/>
      <c r="AH10" s="193">
        <f>IF($AG$2="2018年",'Offer Statistics'!P10,IF($AG$2="2019年",'Offer Statistics'!P61,IF($AG$2="2020年",'Offer Statistics'!P112)))</f>
        <v>1725</v>
      </c>
      <c r="AI10" s="197">
        <f>IF($AG$2="2018年",'Offer Statistics'!K10,IF($AG$2="2019年",'Offer Statistics'!K61,IF($AG$2="2020年",'Offer Statistics'!K112)))</f>
        <v>306</v>
      </c>
      <c r="AJ10" s="197">
        <f>IF($AG$2="2018年",'Offer Statistics'!L10,IF($AG$2="2019年",'Offer Statistics'!L61,IF($AG$2="2020年",'Offer Statistics'!L112)))</f>
        <v>275</v>
      </c>
      <c r="AK10" s="197">
        <f>IF($AG$2="2018年",'Offer Statistics'!M10,IF($AG$2="2019年",'Offer Statistics'!M61,IF($AG$2="2020年",'Offer Statistics'!M112)))</f>
        <v>356</v>
      </c>
      <c r="AL10" s="197">
        <f>IF($AG$2="2018年",'Offer Statistics'!N10,IF($AG$2="2019年",'Offer Statistics'!N61,IF($AG$2="2020年",'Offer Statistics'!N112)))</f>
        <v>442</v>
      </c>
      <c r="AM10" s="197">
        <f>IF($AG$2="2018年",'Offer Statistics'!O10,IF($AG$2="2019年",'Offer Statistics'!O61,IF($AG$2="2020年",'Offer Statistics'!O112)))</f>
        <v>346</v>
      </c>
      <c r="AN10" s="188"/>
      <c r="AO10" s="188" t="str">
        <f t="shared" si="3"/>
        <v>JS1017</v>
      </c>
      <c r="AP10" s="186"/>
      <c r="AQ10" s="186"/>
      <c r="AR10" s="186"/>
      <c r="AS10" s="186"/>
      <c r="AT10" s="186"/>
      <c r="AU10" s="186"/>
      <c r="AV10" s="186"/>
      <c r="AW10" s="186"/>
      <c r="AX10" s="186"/>
      <c r="AY10" s="186"/>
      <c r="AZ10" s="186"/>
      <c r="BA10" s="186"/>
      <c r="BB10" s="186"/>
      <c r="BC10" s="186"/>
      <c r="BD10" s="186"/>
    </row>
    <row r="11" ht="18.0" customHeight="1">
      <c r="A11" s="142" t="s">
        <v>1102</v>
      </c>
      <c r="B11" s="142" t="s">
        <v>1051</v>
      </c>
      <c r="C11" s="198" t="s">
        <v>1103</v>
      </c>
      <c r="D11" s="142" t="s">
        <v>1104</v>
      </c>
      <c r="E11" s="131" t="s">
        <v>191</v>
      </c>
      <c r="F11" s="199">
        <v>26.0</v>
      </c>
      <c r="G11" s="199">
        <v>25.0</v>
      </c>
      <c r="H11" s="200">
        <f>'計分版'!D34</f>
        <v>0.00000000285</v>
      </c>
      <c r="I11" s="201">
        <f t="shared" si="1"/>
        <v>-26</v>
      </c>
      <c r="J11" s="202">
        <f t="shared" si="2"/>
        <v>-9122807017</v>
      </c>
      <c r="K11" s="132">
        <v>10.0</v>
      </c>
      <c r="L11" s="203">
        <f>'入學要求'!S12</f>
        <v>0</v>
      </c>
      <c r="M11" s="205"/>
      <c r="N11" s="131">
        <v>3.0</v>
      </c>
      <c r="O11" s="131">
        <v>3.0</v>
      </c>
      <c r="P11" s="131">
        <v>3.0</v>
      </c>
      <c r="Q11" s="131">
        <v>2.0</v>
      </c>
      <c r="R11" s="131">
        <v>3.0</v>
      </c>
      <c r="S11" s="131">
        <v>3.0</v>
      </c>
      <c r="T11" s="204">
        <f>'入學要求'!L12</f>
        <v>0</v>
      </c>
      <c r="U11" s="204">
        <f>'入學要求'!M12</f>
        <v>0</v>
      </c>
      <c r="V11" s="204">
        <f>'入學要求'!N12</f>
        <v>0</v>
      </c>
      <c r="W11" s="204">
        <f>'入學要求'!O12</f>
        <v>0</v>
      </c>
      <c r="X11" s="204">
        <f>'入學要求'!P12</f>
        <v>0</v>
      </c>
      <c r="Y11" s="204">
        <f>'入學要求'!Q12</f>
        <v>0</v>
      </c>
      <c r="Z11" s="205"/>
      <c r="AA11" s="132">
        <f>IF($Z$2="2018年",'Offer Statistics'!H11,IF($Z$2="2019年",'Offer Statistics'!H62,IF($Z$2="2020年",'Offer Statistics'!H113)))</f>
        <v>11</v>
      </c>
      <c r="AB11" s="206">
        <f>IF($Z$2="2018年",'Offer Statistics'!C11,IF($Z$2="2019年",'Offer Statistics'!C62,IF($Z$2="2020年",'Offer Statistics'!C113)))</f>
        <v>11</v>
      </c>
      <c r="AC11" s="206">
        <f>IF($Z$2="2018年",'Offer Statistics'!D11,IF($Z$2="2019年",'Offer Statistics'!D62,IF($Z$2="2020年",'Offer Statistics'!D113)))</f>
        <v>0</v>
      </c>
      <c r="AD11" s="206">
        <f>IF($Z$2="2018年",'Offer Statistics'!E11,IF($Z$2="2019年",'Offer Statistics'!E62,IF($Z$2="2020年",'Offer Statistics'!E113)))</f>
        <v>0</v>
      </c>
      <c r="AE11" s="206">
        <f>IF($Z$2="2018年",'Offer Statistics'!F11,IF($Z$2="2019年",'Offer Statistics'!F62,IF($Z$2="2020年",'Offer Statistics'!F113)))</f>
        <v>0</v>
      </c>
      <c r="AF11" s="206">
        <f>IF($Z$2="2018年",'Offer Statistics'!G11,IF($Z$2="2019年",'Offer Statistics'!G62,IF($Z$2="2020年",'Offer Statistics'!G113)))</f>
        <v>0</v>
      </c>
      <c r="AG11" s="205"/>
      <c r="AH11" s="132">
        <f>IF($AG$2="2018年",'Offer Statistics'!P11,IF($AG$2="2019年",'Offer Statistics'!P62,IF($AG$2="2020年",'Offer Statistics'!P113)))</f>
        <v>969</v>
      </c>
      <c r="AI11" s="206">
        <f>IF($AG$2="2018年",'Offer Statistics'!K11,IF($AG$2="2019年",'Offer Statistics'!K62,IF($AG$2="2020年",'Offer Statistics'!K113)))</f>
        <v>91</v>
      </c>
      <c r="AJ11" s="206">
        <f>IF($AG$2="2018年",'Offer Statistics'!L11,IF($AG$2="2019年",'Offer Statistics'!L62,IF($AG$2="2020年",'Offer Statistics'!L113)))</f>
        <v>109</v>
      </c>
      <c r="AK11" s="206">
        <f>IF($AG$2="2018年",'Offer Statistics'!M11,IF($AG$2="2019年",'Offer Statistics'!M62,IF($AG$2="2020年",'Offer Statistics'!M113)))</f>
        <v>193</v>
      </c>
      <c r="AL11" s="206">
        <f>IF($AG$2="2018年",'Offer Statistics'!N11,IF($AG$2="2019年",'Offer Statistics'!N62,IF($AG$2="2020年",'Offer Statistics'!N113)))</f>
        <v>318</v>
      </c>
      <c r="AM11" s="206">
        <f>IF($AG$2="2018年",'Offer Statistics'!O11,IF($AG$2="2019年",'Offer Statistics'!O62,IF($AG$2="2020年",'Offer Statistics'!O113)))</f>
        <v>258</v>
      </c>
      <c r="AN11" s="131"/>
      <c r="AO11" s="131" t="str">
        <f t="shared" si="3"/>
        <v>JS1018</v>
      </c>
      <c r="AP11" s="130"/>
      <c r="AQ11" s="130"/>
      <c r="AR11" s="130"/>
      <c r="AS11" s="130"/>
      <c r="AT11" s="130"/>
      <c r="AU11" s="130"/>
      <c r="AV11" s="130"/>
      <c r="AW11" s="130"/>
      <c r="AX11" s="130"/>
      <c r="AY11" s="130"/>
      <c r="AZ11" s="130"/>
      <c r="BA11" s="130"/>
      <c r="BB11" s="130"/>
      <c r="BC11" s="130"/>
      <c r="BD11" s="130"/>
    </row>
    <row r="12" ht="18.0" customHeight="1">
      <c r="A12" s="186" t="s">
        <v>1105</v>
      </c>
      <c r="B12" s="186" t="s">
        <v>1051</v>
      </c>
      <c r="C12" s="187" t="s">
        <v>1106</v>
      </c>
      <c r="D12" s="186" t="s">
        <v>1107</v>
      </c>
      <c r="E12" s="188" t="s">
        <v>191</v>
      </c>
      <c r="F12" s="189">
        <v>23.0</v>
      </c>
      <c r="G12" s="189">
        <v>22.0</v>
      </c>
      <c r="H12" s="190">
        <f>'計分版'!D35</f>
        <v>0.00000000285</v>
      </c>
      <c r="I12" s="191">
        <f t="shared" si="1"/>
        <v>-23</v>
      </c>
      <c r="J12" s="192">
        <f t="shared" si="2"/>
        <v>-8070175438</v>
      </c>
      <c r="K12" s="193">
        <v>10.0</v>
      </c>
      <c r="L12" s="208">
        <f>'入學要求'!S13</f>
        <v>0</v>
      </c>
      <c r="M12" s="205"/>
      <c r="N12" s="188">
        <v>3.0</v>
      </c>
      <c r="O12" s="188">
        <v>3.0</v>
      </c>
      <c r="P12" s="188">
        <v>3.0</v>
      </c>
      <c r="Q12" s="188">
        <v>2.0</v>
      </c>
      <c r="R12" s="188">
        <v>3.0</v>
      </c>
      <c r="S12" s="188">
        <v>3.0</v>
      </c>
      <c r="T12" s="195">
        <f>'入學要求'!L13</f>
        <v>0</v>
      </c>
      <c r="U12" s="195">
        <f>'入學要求'!M13</f>
        <v>0</v>
      </c>
      <c r="V12" s="195">
        <f>'入學要求'!N13</f>
        <v>0</v>
      </c>
      <c r="W12" s="195">
        <f>'入學要求'!O13</f>
        <v>0</v>
      </c>
      <c r="X12" s="195">
        <f>'入學要求'!P13</f>
        <v>0</v>
      </c>
      <c r="Y12" s="195">
        <f>'入學要求'!Q13</f>
        <v>0</v>
      </c>
      <c r="Z12" s="205"/>
      <c r="AA12" s="193">
        <f>IF($Z$2="2018年",'Offer Statistics'!H12,IF($Z$2="2019年",'Offer Statistics'!H63,IF($Z$2="2020年",'Offer Statistics'!H114)))</f>
        <v>20</v>
      </c>
      <c r="AB12" s="197">
        <f>IF($Z$2="2018年",'Offer Statistics'!C12,IF($Z$2="2019年",'Offer Statistics'!C63,IF($Z$2="2020年",'Offer Statistics'!C114)))</f>
        <v>11</v>
      </c>
      <c r="AC12" s="197">
        <f>IF($Z$2="2018年",'Offer Statistics'!D12,IF($Z$2="2019年",'Offer Statistics'!D63,IF($Z$2="2020年",'Offer Statistics'!D114)))</f>
        <v>3</v>
      </c>
      <c r="AD12" s="197">
        <f>IF($Z$2="2018年",'Offer Statistics'!E12,IF($Z$2="2019年",'Offer Statistics'!E63,IF($Z$2="2020年",'Offer Statistics'!E114)))</f>
        <v>2</v>
      </c>
      <c r="AE12" s="197">
        <f>IF($Z$2="2018年",'Offer Statistics'!F12,IF($Z$2="2019年",'Offer Statistics'!F63,IF($Z$2="2020年",'Offer Statistics'!F114)))</f>
        <v>2</v>
      </c>
      <c r="AF12" s="197">
        <f>IF($Z$2="2018年",'Offer Statistics'!G12,IF($Z$2="2019年",'Offer Statistics'!G63,IF($Z$2="2020年",'Offer Statistics'!G114)))</f>
        <v>2</v>
      </c>
      <c r="AG12" s="205"/>
      <c r="AH12" s="193">
        <f>IF($AG$2="2018年",'Offer Statistics'!P12,IF($AG$2="2019年",'Offer Statistics'!P63,IF($AG$2="2020年",'Offer Statistics'!P114)))</f>
        <v>1030</v>
      </c>
      <c r="AI12" s="197">
        <f>IF($AG$2="2018年",'Offer Statistics'!K12,IF($AG$2="2019年",'Offer Statistics'!K63,IF($AG$2="2020年",'Offer Statistics'!K114)))</f>
        <v>80</v>
      </c>
      <c r="AJ12" s="197">
        <f>IF($AG$2="2018年",'Offer Statistics'!L12,IF($AG$2="2019年",'Offer Statistics'!L63,IF($AG$2="2020年",'Offer Statistics'!L114)))</f>
        <v>112</v>
      </c>
      <c r="AK12" s="197">
        <f>IF($AG$2="2018年",'Offer Statistics'!M12,IF($AG$2="2019年",'Offer Statistics'!M63,IF($AG$2="2020年",'Offer Statistics'!M114)))</f>
        <v>236</v>
      </c>
      <c r="AL12" s="197">
        <f>IF($AG$2="2018年",'Offer Statistics'!N12,IF($AG$2="2019年",'Offer Statistics'!N63,IF($AG$2="2020年",'Offer Statistics'!N114)))</f>
        <v>309</v>
      </c>
      <c r="AM12" s="197">
        <f>IF($AG$2="2018年",'Offer Statistics'!O12,IF($AG$2="2019年",'Offer Statistics'!O63,IF($AG$2="2020年",'Offer Statistics'!O114)))</f>
        <v>293</v>
      </c>
      <c r="AN12" s="188"/>
      <c r="AO12" s="188" t="str">
        <f t="shared" si="3"/>
        <v>JS1019</v>
      </c>
      <c r="AP12" s="186"/>
      <c r="AQ12" s="186"/>
      <c r="AR12" s="186"/>
      <c r="AS12" s="186"/>
      <c r="AT12" s="186"/>
      <c r="AU12" s="186"/>
      <c r="AV12" s="186"/>
      <c r="AW12" s="186"/>
      <c r="AX12" s="186"/>
      <c r="AY12" s="186"/>
      <c r="AZ12" s="186"/>
      <c r="BA12" s="186"/>
      <c r="BB12" s="186"/>
      <c r="BC12" s="186"/>
      <c r="BD12" s="186"/>
    </row>
    <row r="13" ht="18.0" customHeight="1">
      <c r="A13" s="142" t="s">
        <v>1108</v>
      </c>
      <c r="B13" s="142" t="s">
        <v>1051</v>
      </c>
      <c r="C13" s="198" t="s">
        <v>1109</v>
      </c>
      <c r="D13" s="142" t="s">
        <v>1110</v>
      </c>
      <c r="E13" s="131" t="s">
        <v>191</v>
      </c>
      <c r="F13" s="199">
        <v>24.0</v>
      </c>
      <c r="G13" s="199">
        <v>24.0</v>
      </c>
      <c r="H13" s="200">
        <f>'計分版'!D36</f>
        <v>0.00000000285</v>
      </c>
      <c r="I13" s="201">
        <f t="shared" si="1"/>
        <v>-24</v>
      </c>
      <c r="J13" s="202">
        <f t="shared" si="2"/>
        <v>-8421052631</v>
      </c>
      <c r="K13" s="132">
        <v>46.0</v>
      </c>
      <c r="L13" s="203">
        <f>'入學要求'!S14</f>
        <v>0</v>
      </c>
      <c r="M13" s="210" t="s">
        <v>1077</v>
      </c>
      <c r="N13" s="131">
        <v>3.0</v>
      </c>
      <c r="O13" s="131">
        <v>3.0</v>
      </c>
      <c r="P13" s="131">
        <v>3.0</v>
      </c>
      <c r="Q13" s="131">
        <v>2.0</v>
      </c>
      <c r="R13" s="131">
        <v>3.0</v>
      </c>
      <c r="S13" s="131">
        <v>3.0</v>
      </c>
      <c r="T13" s="204">
        <f>'入學要求'!L14</f>
        <v>0</v>
      </c>
      <c r="U13" s="204">
        <f>'入學要求'!M14</f>
        <v>0</v>
      </c>
      <c r="V13" s="204">
        <f>'入學要求'!N14</f>
        <v>0</v>
      </c>
      <c r="W13" s="204">
        <f>'入學要求'!O14</f>
        <v>0</v>
      </c>
      <c r="X13" s="204">
        <f>'入學要求'!P14</f>
        <v>0</v>
      </c>
      <c r="Y13" s="204">
        <f>'入學要求'!Q14</f>
        <v>0</v>
      </c>
      <c r="Z13" s="205"/>
      <c r="AA13" s="132">
        <f>IF($Z$2="2018年",'Offer Statistics'!H13,IF($Z$2="2019年",'Offer Statistics'!H64,IF($Z$2="2020年",'Offer Statistics'!H115)))</f>
        <v>35</v>
      </c>
      <c r="AB13" s="206">
        <f>IF($Z$2="2018年",'Offer Statistics'!C13,IF($Z$2="2019年",'Offer Statistics'!C64,IF($Z$2="2020年",'Offer Statistics'!C115)))</f>
        <v>32</v>
      </c>
      <c r="AC13" s="206">
        <f>IF($Z$2="2018年",'Offer Statistics'!D13,IF($Z$2="2019年",'Offer Statistics'!D64,IF($Z$2="2020年",'Offer Statistics'!D115)))</f>
        <v>3</v>
      </c>
      <c r="AD13" s="206">
        <f>IF($Z$2="2018年",'Offer Statistics'!E13,IF($Z$2="2019年",'Offer Statistics'!E64,IF($Z$2="2020年",'Offer Statistics'!E115)))</f>
        <v>0</v>
      </c>
      <c r="AE13" s="206">
        <f>IF($Z$2="2018年",'Offer Statistics'!F13,IF($Z$2="2019年",'Offer Statistics'!F64,IF($Z$2="2020年",'Offer Statistics'!F115)))</f>
        <v>0</v>
      </c>
      <c r="AF13" s="206">
        <f>IF($Z$2="2018年",'Offer Statistics'!G13,IF($Z$2="2019年",'Offer Statistics'!G64,IF($Z$2="2020年",'Offer Statistics'!G115)))</f>
        <v>0</v>
      </c>
      <c r="AG13" s="205"/>
      <c r="AH13" s="132">
        <f>IF($AG$2="2018年",'Offer Statistics'!P13,IF($AG$2="2019年",'Offer Statistics'!P64,IF($AG$2="2020年",'Offer Statistics'!P115)))</f>
        <v>1710</v>
      </c>
      <c r="AI13" s="206">
        <f>IF($AG$2="2018年",'Offer Statistics'!K13,IF($AG$2="2019年",'Offer Statistics'!K64,IF($AG$2="2020年",'Offer Statistics'!K115)))</f>
        <v>191</v>
      </c>
      <c r="AJ13" s="206">
        <f>IF($AG$2="2018年",'Offer Statistics'!L13,IF($AG$2="2019年",'Offer Statistics'!L64,IF($AG$2="2020年",'Offer Statistics'!L115)))</f>
        <v>289</v>
      </c>
      <c r="AK13" s="206">
        <f>IF($AG$2="2018年",'Offer Statistics'!M13,IF($AG$2="2019年",'Offer Statistics'!M64,IF($AG$2="2020年",'Offer Statistics'!M115)))</f>
        <v>369</v>
      </c>
      <c r="AL13" s="206">
        <f>IF($AG$2="2018年",'Offer Statistics'!N13,IF($AG$2="2019年",'Offer Statistics'!N64,IF($AG$2="2020年",'Offer Statistics'!N115)))</f>
        <v>487</v>
      </c>
      <c r="AM13" s="206">
        <f>IF($AG$2="2018年",'Offer Statistics'!O13,IF($AG$2="2019年",'Offer Statistics'!O64,IF($AG$2="2020年",'Offer Statistics'!O115)))</f>
        <v>374</v>
      </c>
      <c r="AN13" s="131"/>
      <c r="AO13" s="131" t="str">
        <f t="shared" si="3"/>
        <v>JS1025</v>
      </c>
      <c r="AP13" s="130"/>
      <c r="AQ13" s="130"/>
      <c r="AR13" s="130"/>
      <c r="AS13" s="130"/>
      <c r="AT13" s="130"/>
      <c r="AU13" s="130"/>
      <c r="AV13" s="130"/>
      <c r="AW13" s="130"/>
      <c r="AX13" s="130"/>
      <c r="AY13" s="130"/>
      <c r="AZ13" s="130"/>
      <c r="BA13" s="130"/>
      <c r="BB13" s="130"/>
      <c r="BC13" s="130"/>
      <c r="BD13" s="130"/>
    </row>
    <row r="14" ht="18.0" customHeight="1">
      <c r="A14" s="186" t="s">
        <v>1111</v>
      </c>
      <c r="B14" s="186" t="s">
        <v>1051</v>
      </c>
      <c r="C14" s="187" t="s">
        <v>1112</v>
      </c>
      <c r="D14" s="186" t="s">
        <v>1113</v>
      </c>
      <c r="E14" s="188" t="s">
        <v>191</v>
      </c>
      <c r="F14" s="189">
        <v>23.0</v>
      </c>
      <c r="G14" s="189">
        <v>23.0</v>
      </c>
      <c r="H14" s="190">
        <f>'計分版'!D37</f>
        <v>0.00000000285</v>
      </c>
      <c r="I14" s="191">
        <f t="shared" si="1"/>
        <v>-23</v>
      </c>
      <c r="J14" s="192">
        <f t="shared" si="2"/>
        <v>-8070175438</v>
      </c>
      <c r="K14" s="193">
        <v>16.0</v>
      </c>
      <c r="L14" s="208">
        <f>'入學要求'!S15</f>
        <v>0</v>
      </c>
      <c r="M14" s="205"/>
      <c r="N14" s="188">
        <v>3.0</v>
      </c>
      <c r="O14" s="188">
        <v>3.0</v>
      </c>
      <c r="P14" s="188">
        <v>3.0</v>
      </c>
      <c r="Q14" s="188">
        <v>2.0</v>
      </c>
      <c r="R14" s="188">
        <v>3.0</v>
      </c>
      <c r="S14" s="188">
        <v>3.0</v>
      </c>
      <c r="T14" s="195">
        <f>'入學要求'!L15</f>
        <v>0</v>
      </c>
      <c r="U14" s="195">
        <f>'入學要求'!M15</f>
        <v>0</v>
      </c>
      <c r="V14" s="195">
        <f>'入學要求'!N15</f>
        <v>0</v>
      </c>
      <c r="W14" s="195">
        <f>'入學要求'!O15</f>
        <v>0</v>
      </c>
      <c r="X14" s="195">
        <f>'入學要求'!P15</f>
        <v>0</v>
      </c>
      <c r="Y14" s="195">
        <f>'入學要求'!Q15</f>
        <v>0</v>
      </c>
      <c r="Z14" s="205"/>
      <c r="AA14" s="193">
        <f>IF($Z$2="2018年",'Offer Statistics'!H14,IF($Z$2="2019年",'Offer Statistics'!H65,IF($Z$2="2020年",'Offer Statistics'!H116)))</f>
        <v>16</v>
      </c>
      <c r="AB14" s="197">
        <f>IF($Z$2="2018年",'Offer Statistics'!C14,IF($Z$2="2019年",'Offer Statistics'!C65,IF($Z$2="2020年",'Offer Statistics'!C116)))</f>
        <v>15</v>
      </c>
      <c r="AC14" s="197">
        <f>IF($Z$2="2018年",'Offer Statistics'!D14,IF($Z$2="2019年",'Offer Statistics'!D65,IF($Z$2="2020年",'Offer Statistics'!D116)))</f>
        <v>1</v>
      </c>
      <c r="AD14" s="197">
        <f>IF($Z$2="2018年",'Offer Statistics'!E14,IF($Z$2="2019年",'Offer Statistics'!E65,IF($Z$2="2020年",'Offer Statistics'!E116)))</f>
        <v>0</v>
      </c>
      <c r="AE14" s="197">
        <f>IF($Z$2="2018年",'Offer Statistics'!F14,IF($Z$2="2019年",'Offer Statistics'!F65,IF($Z$2="2020年",'Offer Statistics'!F116)))</f>
        <v>0</v>
      </c>
      <c r="AF14" s="197">
        <f>IF($Z$2="2018年",'Offer Statistics'!G14,IF($Z$2="2019年",'Offer Statistics'!G65,IF($Z$2="2020年",'Offer Statistics'!G116)))</f>
        <v>0</v>
      </c>
      <c r="AG14" s="205"/>
      <c r="AH14" s="193">
        <f>IF($AG$2="2018年",'Offer Statistics'!P14,IF($AG$2="2019年",'Offer Statistics'!P65,IF($AG$2="2020年",'Offer Statistics'!P116)))</f>
        <v>1151</v>
      </c>
      <c r="AI14" s="197">
        <f>IF($AG$2="2018年",'Offer Statistics'!K14,IF($AG$2="2019年",'Offer Statistics'!K65,IF($AG$2="2020年",'Offer Statistics'!K116)))</f>
        <v>83</v>
      </c>
      <c r="AJ14" s="197">
        <f>IF($AG$2="2018年",'Offer Statistics'!L14,IF($AG$2="2019年",'Offer Statistics'!L65,IF($AG$2="2020年",'Offer Statistics'!L116)))</f>
        <v>118</v>
      </c>
      <c r="AK14" s="197">
        <f>IF($AG$2="2018年",'Offer Statistics'!M14,IF($AG$2="2019年",'Offer Statistics'!M65,IF($AG$2="2020年",'Offer Statistics'!M116)))</f>
        <v>274</v>
      </c>
      <c r="AL14" s="197">
        <f>IF($AG$2="2018年",'Offer Statistics'!N14,IF($AG$2="2019年",'Offer Statistics'!N65,IF($AG$2="2020年",'Offer Statistics'!N116)))</f>
        <v>352</v>
      </c>
      <c r="AM14" s="197">
        <f>IF($AG$2="2018年",'Offer Statistics'!O14,IF($AG$2="2019年",'Offer Statistics'!O65,IF($AG$2="2020年",'Offer Statistics'!O116)))</f>
        <v>324</v>
      </c>
      <c r="AN14" s="188"/>
      <c r="AO14" s="188" t="str">
        <f t="shared" si="3"/>
        <v>JS1026</v>
      </c>
      <c r="AP14" s="186"/>
      <c r="AQ14" s="186"/>
      <c r="AR14" s="186"/>
      <c r="AS14" s="186"/>
      <c r="AT14" s="186"/>
      <c r="AU14" s="186"/>
      <c r="AV14" s="186"/>
      <c r="AW14" s="186"/>
      <c r="AX14" s="186"/>
      <c r="AY14" s="186"/>
      <c r="AZ14" s="186"/>
      <c r="BA14" s="186"/>
      <c r="BB14" s="186"/>
      <c r="BC14" s="186"/>
      <c r="BD14" s="186"/>
    </row>
    <row r="15" ht="18.0" customHeight="1">
      <c r="A15" s="142" t="s">
        <v>1114</v>
      </c>
      <c r="B15" s="142" t="s">
        <v>1051</v>
      </c>
      <c r="C15" s="198" t="s">
        <v>1115</v>
      </c>
      <c r="D15" s="142" t="s">
        <v>1116</v>
      </c>
      <c r="E15" s="131" t="s">
        <v>191</v>
      </c>
      <c r="F15" s="199">
        <v>23.0</v>
      </c>
      <c r="G15" s="199">
        <v>22.0</v>
      </c>
      <c r="H15" s="200">
        <f>'計分版'!D38</f>
        <v>0.00000000285</v>
      </c>
      <c r="I15" s="201">
        <f t="shared" si="1"/>
        <v>-23</v>
      </c>
      <c r="J15" s="202">
        <f t="shared" si="2"/>
        <v>-8070175438</v>
      </c>
      <c r="K15" s="132">
        <v>16.0</v>
      </c>
      <c r="L15" s="203">
        <f>'入學要求'!S16</f>
        <v>0</v>
      </c>
      <c r="M15" s="205"/>
      <c r="N15" s="131">
        <v>3.0</v>
      </c>
      <c r="O15" s="131">
        <v>3.0</v>
      </c>
      <c r="P15" s="131">
        <v>3.0</v>
      </c>
      <c r="Q15" s="131">
        <v>2.0</v>
      </c>
      <c r="R15" s="131">
        <v>3.0</v>
      </c>
      <c r="S15" s="131">
        <v>3.0</v>
      </c>
      <c r="T15" s="204">
        <f>'入學要求'!L16</f>
        <v>0</v>
      </c>
      <c r="U15" s="204">
        <f>'入學要求'!M16</f>
        <v>0</v>
      </c>
      <c r="V15" s="204">
        <f>'入學要求'!N16</f>
        <v>0</v>
      </c>
      <c r="W15" s="204">
        <f>'入學要求'!O16</f>
        <v>0</v>
      </c>
      <c r="X15" s="204">
        <f>'入學要求'!P16</f>
        <v>0</v>
      </c>
      <c r="Y15" s="204">
        <f>'入學要求'!Q16</f>
        <v>0</v>
      </c>
      <c r="Z15" s="205"/>
      <c r="AA15" s="132">
        <f>IF($Z$2="2018年",'Offer Statistics'!H15,IF($Z$2="2019年",'Offer Statistics'!H66,IF($Z$2="2020年",'Offer Statistics'!H117)))</f>
        <v>16</v>
      </c>
      <c r="AB15" s="206">
        <f>IF($Z$2="2018年",'Offer Statistics'!C15,IF($Z$2="2019年",'Offer Statistics'!C66,IF($Z$2="2020年",'Offer Statistics'!C117)))</f>
        <v>11</v>
      </c>
      <c r="AC15" s="206">
        <f>IF($Z$2="2018年",'Offer Statistics'!D15,IF($Z$2="2019年",'Offer Statistics'!D66,IF($Z$2="2020年",'Offer Statistics'!D117)))</f>
        <v>3</v>
      </c>
      <c r="AD15" s="206">
        <f>IF($Z$2="2018年",'Offer Statistics'!E15,IF($Z$2="2019年",'Offer Statistics'!E66,IF($Z$2="2020年",'Offer Statistics'!E117)))</f>
        <v>1</v>
      </c>
      <c r="AE15" s="206">
        <f>IF($Z$2="2018年",'Offer Statistics'!F15,IF($Z$2="2019年",'Offer Statistics'!F66,IF($Z$2="2020年",'Offer Statistics'!F117)))</f>
        <v>1</v>
      </c>
      <c r="AF15" s="206">
        <f>IF($Z$2="2018年",'Offer Statistics'!G15,IF($Z$2="2019年",'Offer Statistics'!G66,IF($Z$2="2020年",'Offer Statistics'!G117)))</f>
        <v>0</v>
      </c>
      <c r="AG15" s="205"/>
      <c r="AH15" s="132">
        <f>IF($AG$2="2018年",'Offer Statistics'!P15,IF($AG$2="2019年",'Offer Statistics'!P66,IF($AG$2="2020年",'Offer Statistics'!P117)))</f>
        <v>1641</v>
      </c>
      <c r="AI15" s="206">
        <f>IF($AG$2="2018年",'Offer Statistics'!K15,IF($AG$2="2019年",'Offer Statistics'!K66,IF($AG$2="2020年",'Offer Statistics'!K117)))</f>
        <v>102</v>
      </c>
      <c r="AJ15" s="206">
        <f>IF($AG$2="2018年",'Offer Statistics'!L15,IF($AG$2="2019年",'Offer Statistics'!L66,IF($AG$2="2020年",'Offer Statistics'!L117)))</f>
        <v>189</v>
      </c>
      <c r="AK15" s="206">
        <f>IF($AG$2="2018年",'Offer Statistics'!M15,IF($AG$2="2019年",'Offer Statistics'!M66,IF($AG$2="2020年",'Offer Statistics'!M117)))</f>
        <v>381</v>
      </c>
      <c r="AL15" s="206">
        <f>IF($AG$2="2018年",'Offer Statistics'!N15,IF($AG$2="2019年",'Offer Statistics'!N66,IF($AG$2="2020年",'Offer Statistics'!N117)))</f>
        <v>564</v>
      </c>
      <c r="AM15" s="206">
        <f>IF($AG$2="2018年",'Offer Statistics'!O15,IF($AG$2="2019年",'Offer Statistics'!O66,IF($AG$2="2020年",'Offer Statistics'!O117)))</f>
        <v>405</v>
      </c>
      <c r="AN15" s="131"/>
      <c r="AO15" s="131" t="str">
        <f t="shared" si="3"/>
        <v>JS1027</v>
      </c>
      <c r="AP15" s="130"/>
      <c r="AQ15" s="130"/>
      <c r="AR15" s="130"/>
      <c r="AS15" s="130"/>
      <c r="AT15" s="130"/>
      <c r="AU15" s="130"/>
      <c r="AV15" s="130"/>
      <c r="AW15" s="130"/>
      <c r="AX15" s="130"/>
      <c r="AY15" s="130"/>
      <c r="AZ15" s="130"/>
      <c r="BA15" s="130"/>
      <c r="BB15" s="130"/>
      <c r="BC15" s="130"/>
      <c r="BD15" s="130"/>
    </row>
    <row r="16" ht="18.0" customHeight="1">
      <c r="A16" s="186" t="s">
        <v>1117</v>
      </c>
      <c r="B16" s="186" t="s">
        <v>1118</v>
      </c>
      <c r="C16" s="187" t="s">
        <v>1119</v>
      </c>
      <c r="D16" s="186" t="s">
        <v>1120</v>
      </c>
      <c r="E16" s="193" t="s">
        <v>191</v>
      </c>
      <c r="F16" s="189">
        <v>29.0</v>
      </c>
      <c r="G16" s="189">
        <v>28.0</v>
      </c>
      <c r="H16" s="190">
        <f>'計分版'!D39</f>
        <v>0.00000000305</v>
      </c>
      <c r="I16" s="191">
        <f t="shared" si="1"/>
        <v>-29</v>
      </c>
      <c r="J16" s="192">
        <f t="shared" si="2"/>
        <v>-9508196720</v>
      </c>
      <c r="K16" s="193">
        <v>29.0</v>
      </c>
      <c r="L16" s="208">
        <f>'入學要求'!S17</f>
        <v>0</v>
      </c>
      <c r="M16" s="210" t="s">
        <v>541</v>
      </c>
      <c r="N16" s="188">
        <v>3.0</v>
      </c>
      <c r="O16" s="188">
        <v>3.0</v>
      </c>
      <c r="P16" s="188">
        <v>2.0</v>
      </c>
      <c r="Q16" s="188">
        <v>2.0</v>
      </c>
      <c r="R16" s="188">
        <v>3.0</v>
      </c>
      <c r="S16" s="188">
        <v>3.0</v>
      </c>
      <c r="T16" s="195">
        <f>'入學要求'!L17</f>
        <v>0</v>
      </c>
      <c r="U16" s="195">
        <f>'入學要求'!M17</f>
        <v>0</v>
      </c>
      <c r="V16" s="195">
        <f>'入學要求'!N17</f>
        <v>0</v>
      </c>
      <c r="W16" s="195">
        <f>'入學要求'!O17</f>
        <v>0</v>
      </c>
      <c r="X16" s="195">
        <f>'入學要求'!P17</f>
        <v>0</v>
      </c>
      <c r="Y16" s="195">
        <f>'入學要求'!Q17</f>
        <v>0</v>
      </c>
      <c r="Z16" s="205"/>
      <c r="AA16" s="193">
        <f>IF($Z$2="2018年",'Offer Statistics'!H16,IF($Z$2="2019年",'Offer Statistics'!H67,IF($Z$2="2020年",'Offer Statistics'!H118)))</f>
        <v>27</v>
      </c>
      <c r="AB16" s="197">
        <f>IF($Z$2="2018年",'Offer Statistics'!C16,IF($Z$2="2019年",'Offer Statistics'!C67,IF($Z$2="2020年",'Offer Statistics'!C118)))</f>
        <v>27</v>
      </c>
      <c r="AC16" s="197">
        <f>IF($Z$2="2018年",'Offer Statistics'!D16,IF($Z$2="2019年",'Offer Statistics'!D67,IF($Z$2="2020年",'Offer Statistics'!D118)))</f>
        <v>0</v>
      </c>
      <c r="AD16" s="197">
        <f>IF($Z$2="2018年",'Offer Statistics'!E16,IF($Z$2="2019年",'Offer Statistics'!E67,IF($Z$2="2020年",'Offer Statistics'!E118)))</f>
        <v>0</v>
      </c>
      <c r="AE16" s="197">
        <f>IF($Z$2="2018年",'Offer Statistics'!F16,IF($Z$2="2019年",'Offer Statistics'!F67,IF($Z$2="2020年",'Offer Statistics'!F118)))</f>
        <v>0</v>
      </c>
      <c r="AF16" s="197">
        <f>IF($Z$2="2018年",'Offer Statistics'!G16,IF($Z$2="2019年",'Offer Statistics'!G67,IF($Z$2="2020年",'Offer Statistics'!G118)))</f>
        <v>0</v>
      </c>
      <c r="AG16" s="205"/>
      <c r="AH16" s="193">
        <f>IF($AG$2="2018年",'Offer Statistics'!P16,IF($AG$2="2019年",'Offer Statistics'!P67,IF($AG$2="2020年",'Offer Statistics'!P118)))</f>
        <v>2741</v>
      </c>
      <c r="AI16" s="197">
        <f>IF($AG$2="2018年",'Offer Statistics'!K16,IF($AG$2="2019年",'Offer Statistics'!K67,IF($AG$2="2020年",'Offer Statistics'!K118)))</f>
        <v>444</v>
      </c>
      <c r="AJ16" s="197">
        <f>IF($AG$2="2018年",'Offer Statistics'!L16,IF($AG$2="2019年",'Offer Statistics'!L67,IF($AG$2="2020年",'Offer Statistics'!L118)))</f>
        <v>458</v>
      </c>
      <c r="AK16" s="197">
        <f>IF($AG$2="2018年",'Offer Statistics'!M16,IF($AG$2="2019年",'Offer Statistics'!M67,IF($AG$2="2020年",'Offer Statistics'!M118)))</f>
        <v>620</v>
      </c>
      <c r="AL16" s="197">
        <f>IF($AG$2="2018年",'Offer Statistics'!N16,IF($AG$2="2019年",'Offer Statistics'!N67,IF($AG$2="2020年",'Offer Statistics'!N118)))</f>
        <v>714</v>
      </c>
      <c r="AM16" s="197">
        <f>IF($AG$2="2018年",'Offer Statistics'!O16,IF($AG$2="2019年",'Offer Statistics'!O67,IF($AG$2="2020年",'Offer Statistics'!O118)))</f>
        <v>505</v>
      </c>
      <c r="AN16" s="188"/>
      <c r="AO16" s="188" t="str">
        <f t="shared" si="3"/>
        <v>JS1041</v>
      </c>
      <c r="AP16" s="186"/>
      <c r="AQ16" s="186"/>
      <c r="AR16" s="186"/>
      <c r="AS16" s="186"/>
      <c r="AT16" s="186"/>
      <c r="AU16" s="186"/>
      <c r="AV16" s="186"/>
      <c r="AW16" s="186"/>
      <c r="AX16" s="186"/>
      <c r="AY16" s="186"/>
      <c r="AZ16" s="186"/>
      <c r="BA16" s="186"/>
      <c r="BB16" s="186"/>
      <c r="BC16" s="186"/>
      <c r="BD16" s="186"/>
    </row>
    <row r="17" ht="18.0" customHeight="1">
      <c r="A17" s="142" t="s">
        <v>1121</v>
      </c>
      <c r="B17" s="142" t="s">
        <v>1118</v>
      </c>
      <c r="C17" s="198" t="s">
        <v>1122</v>
      </c>
      <c r="D17" s="142" t="s">
        <v>1123</v>
      </c>
      <c r="E17" s="132" t="s">
        <v>191</v>
      </c>
      <c r="F17" s="199">
        <v>30.0</v>
      </c>
      <c r="G17" s="199">
        <v>29.0</v>
      </c>
      <c r="H17" s="200">
        <f>'計分版'!D40</f>
        <v>0.00000000305</v>
      </c>
      <c r="I17" s="201">
        <f t="shared" si="1"/>
        <v>-30</v>
      </c>
      <c r="J17" s="202">
        <f t="shared" si="2"/>
        <v>-9836065573</v>
      </c>
      <c r="K17" s="132">
        <v>23.0</v>
      </c>
      <c r="L17" s="203">
        <f>'入學要求'!S18</f>
        <v>0</v>
      </c>
      <c r="M17" s="205"/>
      <c r="N17" s="131">
        <v>3.0</v>
      </c>
      <c r="O17" s="131">
        <v>3.0</v>
      </c>
      <c r="P17" s="131">
        <v>2.0</v>
      </c>
      <c r="Q17" s="131">
        <v>2.0</v>
      </c>
      <c r="R17" s="131">
        <v>3.0</v>
      </c>
      <c r="S17" s="131">
        <v>3.0</v>
      </c>
      <c r="T17" s="204">
        <f>'入學要求'!L18</f>
        <v>0</v>
      </c>
      <c r="U17" s="204">
        <f>'入學要求'!M18</f>
        <v>0</v>
      </c>
      <c r="V17" s="204">
        <f>'入學要求'!N18</f>
        <v>0</v>
      </c>
      <c r="W17" s="204">
        <f>'入學要求'!O18</f>
        <v>0</v>
      </c>
      <c r="X17" s="204">
        <f>'入學要求'!P18</f>
        <v>0</v>
      </c>
      <c r="Y17" s="204">
        <f>'入學要求'!Q18</f>
        <v>0</v>
      </c>
      <c r="Z17" s="205"/>
      <c r="AA17" s="132">
        <f>IF($Z$2="2018年",'Offer Statistics'!H17,IF($Z$2="2019年",'Offer Statistics'!H68,IF($Z$2="2020年",'Offer Statistics'!H119)))</f>
        <v>21</v>
      </c>
      <c r="AB17" s="206">
        <f>IF($Z$2="2018年",'Offer Statistics'!C17,IF($Z$2="2019年",'Offer Statistics'!C68,IF($Z$2="2020年",'Offer Statistics'!C119)))</f>
        <v>21</v>
      </c>
      <c r="AC17" s="206">
        <f>IF($Z$2="2018年",'Offer Statistics'!D17,IF($Z$2="2019年",'Offer Statistics'!D68,IF($Z$2="2020年",'Offer Statistics'!D119)))</f>
        <v>0</v>
      </c>
      <c r="AD17" s="206">
        <f>IF($Z$2="2018年",'Offer Statistics'!E17,IF($Z$2="2019年",'Offer Statistics'!E68,IF($Z$2="2020年",'Offer Statistics'!E119)))</f>
        <v>0</v>
      </c>
      <c r="AE17" s="206">
        <f>IF($Z$2="2018年",'Offer Statistics'!F17,IF($Z$2="2019年",'Offer Statistics'!F68,IF($Z$2="2020年",'Offer Statistics'!F119)))</f>
        <v>0</v>
      </c>
      <c r="AF17" s="206">
        <f>IF($Z$2="2018年",'Offer Statistics'!G17,IF($Z$2="2019年",'Offer Statistics'!G68,IF($Z$2="2020年",'Offer Statistics'!G119)))</f>
        <v>0</v>
      </c>
      <c r="AG17" s="205"/>
      <c r="AH17" s="132">
        <f>IF($AG$2="2018年",'Offer Statistics'!P17,IF($AG$2="2019年",'Offer Statistics'!P68,IF($AG$2="2020年",'Offer Statistics'!P119)))</f>
        <v>2470</v>
      </c>
      <c r="AI17" s="206">
        <f>IF($AG$2="2018年",'Offer Statistics'!K17,IF($AG$2="2019年",'Offer Statistics'!K68,IF($AG$2="2020年",'Offer Statistics'!K119)))</f>
        <v>263</v>
      </c>
      <c r="AJ17" s="206">
        <f>IF($AG$2="2018年",'Offer Statistics'!L17,IF($AG$2="2019年",'Offer Statistics'!L68,IF($AG$2="2020年",'Offer Statistics'!L119)))</f>
        <v>386</v>
      </c>
      <c r="AK17" s="206">
        <f>IF($AG$2="2018年",'Offer Statistics'!M17,IF($AG$2="2019年",'Offer Statistics'!M68,IF($AG$2="2020年",'Offer Statistics'!M119)))</f>
        <v>596</v>
      </c>
      <c r="AL17" s="206">
        <f>IF($AG$2="2018年",'Offer Statistics'!N17,IF($AG$2="2019年",'Offer Statistics'!N68,IF($AG$2="2020年",'Offer Statistics'!N119)))</f>
        <v>684</v>
      </c>
      <c r="AM17" s="206">
        <f>IF($AG$2="2018年",'Offer Statistics'!O17,IF($AG$2="2019年",'Offer Statistics'!O68,IF($AG$2="2020年",'Offer Statistics'!O119)))</f>
        <v>541</v>
      </c>
      <c r="AN17" s="131"/>
      <c r="AO17" s="131" t="str">
        <f t="shared" si="3"/>
        <v>JS1042</v>
      </c>
      <c r="AP17" s="130"/>
      <c r="AQ17" s="130"/>
      <c r="AR17" s="130"/>
      <c r="AS17" s="130"/>
      <c r="AT17" s="130"/>
      <c r="AU17" s="130"/>
      <c r="AV17" s="130"/>
      <c r="AW17" s="130"/>
      <c r="AX17" s="130"/>
      <c r="AY17" s="130"/>
      <c r="AZ17" s="130"/>
      <c r="BA17" s="130"/>
      <c r="BB17" s="130"/>
      <c r="BC17" s="130"/>
      <c r="BD17" s="130"/>
    </row>
    <row r="18" ht="18.0" customHeight="1">
      <c r="A18" s="186" t="s">
        <v>1124</v>
      </c>
      <c r="B18" s="186" t="s">
        <v>1118</v>
      </c>
      <c r="C18" s="187" t="s">
        <v>1125</v>
      </c>
      <c r="D18" s="186" t="s">
        <v>1126</v>
      </c>
      <c r="E18" s="193" t="s">
        <v>191</v>
      </c>
      <c r="F18" s="189">
        <v>29.0</v>
      </c>
      <c r="G18" s="189">
        <v>28.5</v>
      </c>
      <c r="H18" s="190">
        <f>'計分版'!D41</f>
        <v>0.0000000032</v>
      </c>
      <c r="I18" s="191">
        <f t="shared" si="1"/>
        <v>-29</v>
      </c>
      <c r="J18" s="192">
        <f t="shared" si="2"/>
        <v>-9062499999</v>
      </c>
      <c r="K18" s="193">
        <v>28.0</v>
      </c>
      <c r="L18" s="208">
        <f>'入學要求'!S19</f>
        <v>0</v>
      </c>
      <c r="M18" s="205"/>
      <c r="N18" s="188">
        <v>3.0</v>
      </c>
      <c r="O18" s="188">
        <v>3.0</v>
      </c>
      <c r="P18" s="188">
        <v>2.0</v>
      </c>
      <c r="Q18" s="188">
        <v>2.0</v>
      </c>
      <c r="R18" s="188">
        <v>3.0</v>
      </c>
      <c r="S18" s="188">
        <v>3.0</v>
      </c>
      <c r="T18" s="195">
        <f>'入學要求'!L19</f>
        <v>0</v>
      </c>
      <c r="U18" s="195">
        <f>'入學要求'!M19</f>
        <v>0</v>
      </c>
      <c r="V18" s="195">
        <f>'入學要求'!N19</f>
        <v>0</v>
      </c>
      <c r="W18" s="195">
        <f>'入學要求'!O19</f>
        <v>0</v>
      </c>
      <c r="X18" s="195">
        <f>'入學要求'!P19</f>
        <v>0</v>
      </c>
      <c r="Y18" s="195">
        <f>'入學要求'!Q19</f>
        <v>0</v>
      </c>
      <c r="Z18" s="205"/>
      <c r="AA18" s="193">
        <f>IF($Z$2="2018年",'Offer Statistics'!H18,IF($Z$2="2019年",'Offer Statistics'!H69,IF($Z$2="2020年",'Offer Statistics'!H120)))</f>
        <v>26</v>
      </c>
      <c r="AB18" s="197">
        <f>IF($Z$2="2018年",'Offer Statistics'!C18,IF($Z$2="2019年",'Offer Statistics'!C69,IF($Z$2="2020年",'Offer Statistics'!C120)))</f>
        <v>26</v>
      </c>
      <c r="AC18" s="197">
        <f>IF($Z$2="2018年",'Offer Statistics'!D18,IF($Z$2="2019年",'Offer Statistics'!D69,IF($Z$2="2020年",'Offer Statistics'!D120)))</f>
        <v>0</v>
      </c>
      <c r="AD18" s="197">
        <f>IF($Z$2="2018年",'Offer Statistics'!E18,IF($Z$2="2019年",'Offer Statistics'!E69,IF($Z$2="2020年",'Offer Statistics'!E120)))</f>
        <v>0</v>
      </c>
      <c r="AE18" s="197">
        <f>IF($Z$2="2018年",'Offer Statistics'!F18,IF($Z$2="2019年",'Offer Statistics'!F69,IF($Z$2="2020年",'Offer Statistics'!F120)))</f>
        <v>0</v>
      </c>
      <c r="AF18" s="197">
        <f>IF($Z$2="2018年",'Offer Statistics'!G18,IF($Z$2="2019年",'Offer Statistics'!G69,IF($Z$2="2020年",'Offer Statistics'!G120)))</f>
        <v>0</v>
      </c>
      <c r="AG18" s="205"/>
      <c r="AH18" s="193">
        <f>IF($AG$2="2018年",'Offer Statistics'!P18,IF($AG$2="2019年",'Offer Statistics'!P69,IF($AG$2="2020年",'Offer Statistics'!P120)))</f>
        <v>2063</v>
      </c>
      <c r="AI18" s="197">
        <f>IF($AG$2="2018年",'Offer Statistics'!K18,IF($AG$2="2019年",'Offer Statistics'!K69,IF($AG$2="2020年",'Offer Statistics'!K120)))</f>
        <v>255</v>
      </c>
      <c r="AJ18" s="197">
        <f>IF($AG$2="2018年",'Offer Statistics'!L18,IF($AG$2="2019年",'Offer Statistics'!L69,IF($AG$2="2020年",'Offer Statistics'!L120)))</f>
        <v>311</v>
      </c>
      <c r="AK18" s="197">
        <f>IF($AG$2="2018年",'Offer Statistics'!M18,IF($AG$2="2019年",'Offer Statistics'!M69,IF($AG$2="2020年",'Offer Statistics'!M120)))</f>
        <v>479</v>
      </c>
      <c r="AL18" s="197">
        <f>IF($AG$2="2018年",'Offer Statistics'!N18,IF($AG$2="2019年",'Offer Statistics'!N69,IF($AG$2="2020年",'Offer Statistics'!N120)))</f>
        <v>584</v>
      </c>
      <c r="AM18" s="197">
        <f>IF($AG$2="2018年",'Offer Statistics'!O18,IF($AG$2="2019年",'Offer Statistics'!O69,IF($AG$2="2020年",'Offer Statistics'!O120)))</f>
        <v>434</v>
      </c>
      <c r="AN18" s="188"/>
      <c r="AO18" s="188" t="str">
        <f t="shared" si="3"/>
        <v>JS1043</v>
      </c>
      <c r="AP18" s="186"/>
      <c r="AQ18" s="186"/>
      <c r="AR18" s="186"/>
      <c r="AS18" s="186"/>
      <c r="AT18" s="186"/>
      <c r="AU18" s="186"/>
      <c r="AV18" s="186"/>
      <c r="AW18" s="186"/>
      <c r="AX18" s="186"/>
      <c r="AY18" s="186"/>
      <c r="AZ18" s="186"/>
      <c r="BA18" s="186"/>
      <c r="BB18" s="186"/>
      <c r="BC18" s="186"/>
      <c r="BD18" s="186"/>
    </row>
    <row r="19" ht="18.0" customHeight="1">
      <c r="A19" s="142" t="s">
        <v>1127</v>
      </c>
      <c r="B19" s="142" t="s">
        <v>1118</v>
      </c>
      <c r="C19" s="198" t="s">
        <v>1128</v>
      </c>
      <c r="D19" s="142" t="s">
        <v>1129</v>
      </c>
      <c r="E19" s="134" t="s">
        <v>191</v>
      </c>
      <c r="F19" s="199">
        <v>27.0</v>
      </c>
      <c r="G19" s="199">
        <v>27.0</v>
      </c>
      <c r="H19" s="200">
        <f>'計分版'!D42</f>
        <v>0.00000000305</v>
      </c>
      <c r="I19" s="201">
        <f t="shared" si="1"/>
        <v>-27</v>
      </c>
      <c r="J19" s="202">
        <f t="shared" si="2"/>
        <v>-8852459015</v>
      </c>
      <c r="K19" s="132">
        <v>21.0</v>
      </c>
      <c r="L19" s="203">
        <f>'入學要求'!S20</f>
        <v>0</v>
      </c>
      <c r="M19" s="205"/>
      <c r="N19" s="131">
        <v>3.0</v>
      </c>
      <c r="O19" s="131">
        <v>3.0</v>
      </c>
      <c r="P19" s="131">
        <v>2.0</v>
      </c>
      <c r="Q19" s="131">
        <v>2.0</v>
      </c>
      <c r="R19" s="131">
        <v>3.0</v>
      </c>
      <c r="S19" s="131">
        <v>3.0</v>
      </c>
      <c r="T19" s="204">
        <f>'入學要求'!L20</f>
        <v>0</v>
      </c>
      <c r="U19" s="204">
        <f>'入學要求'!M20</f>
        <v>0</v>
      </c>
      <c r="V19" s="204">
        <f>'入學要求'!N20</f>
        <v>0</v>
      </c>
      <c r="W19" s="204">
        <f>'入學要求'!O20</f>
        <v>0</v>
      </c>
      <c r="X19" s="204">
        <f>'入學要求'!P20</f>
        <v>0</v>
      </c>
      <c r="Y19" s="204">
        <f>'入學要求'!Q20</f>
        <v>0</v>
      </c>
      <c r="Z19" s="205"/>
      <c r="AA19" s="132">
        <f>IF($Z$2="2018年",'Offer Statistics'!H19,IF($Z$2="2019年",'Offer Statistics'!H70,IF($Z$2="2020年",'Offer Statistics'!H121)))</f>
        <v>18</v>
      </c>
      <c r="AB19" s="206">
        <f>IF($Z$2="2018年",'Offer Statistics'!C19,IF($Z$2="2019年",'Offer Statistics'!C70,IF($Z$2="2020年",'Offer Statistics'!C121)))</f>
        <v>18</v>
      </c>
      <c r="AC19" s="206">
        <f>IF($Z$2="2018年",'Offer Statistics'!D19,IF($Z$2="2019年",'Offer Statistics'!D70,IF($Z$2="2020年",'Offer Statistics'!D121)))</f>
        <v>0</v>
      </c>
      <c r="AD19" s="206">
        <f>IF($Z$2="2018年",'Offer Statistics'!E19,IF($Z$2="2019年",'Offer Statistics'!E70,IF($Z$2="2020年",'Offer Statistics'!E121)))</f>
        <v>0</v>
      </c>
      <c r="AE19" s="206">
        <f>IF($Z$2="2018年",'Offer Statistics'!F19,IF($Z$2="2019年",'Offer Statistics'!F70,IF($Z$2="2020年",'Offer Statistics'!F121)))</f>
        <v>0</v>
      </c>
      <c r="AF19" s="206">
        <f>IF($Z$2="2018年",'Offer Statistics'!G19,IF($Z$2="2019年",'Offer Statistics'!G70,IF($Z$2="2020年",'Offer Statistics'!G121)))</f>
        <v>0</v>
      </c>
      <c r="AG19" s="205"/>
      <c r="AH19" s="132">
        <f>IF($AG$2="2018年",'Offer Statistics'!P19,IF($AG$2="2019年",'Offer Statistics'!P70,IF($AG$2="2020年",'Offer Statistics'!P121)))</f>
        <v>1510</v>
      </c>
      <c r="AI19" s="206">
        <f>IF($AG$2="2018年",'Offer Statistics'!K19,IF($AG$2="2019年",'Offer Statistics'!K70,IF($AG$2="2020年",'Offer Statistics'!K121)))</f>
        <v>169</v>
      </c>
      <c r="AJ19" s="206">
        <f>IF($AG$2="2018年",'Offer Statistics'!L19,IF($AG$2="2019年",'Offer Statistics'!L70,IF($AG$2="2020年",'Offer Statistics'!L121)))</f>
        <v>219</v>
      </c>
      <c r="AK19" s="206">
        <f>IF($AG$2="2018年",'Offer Statistics'!M19,IF($AG$2="2019年",'Offer Statistics'!M70,IF($AG$2="2020年",'Offer Statistics'!M121)))</f>
        <v>348</v>
      </c>
      <c r="AL19" s="206">
        <f>IF($AG$2="2018年",'Offer Statistics'!N19,IF($AG$2="2019年",'Offer Statistics'!N70,IF($AG$2="2020年",'Offer Statistics'!N121)))</f>
        <v>440</v>
      </c>
      <c r="AM19" s="206">
        <f>IF($AG$2="2018年",'Offer Statistics'!O19,IF($AG$2="2019年",'Offer Statistics'!O70,IF($AG$2="2020年",'Offer Statistics'!O121)))</f>
        <v>334</v>
      </c>
      <c r="AN19" s="131"/>
      <c r="AO19" s="131" t="str">
        <f t="shared" si="3"/>
        <v>JS1044</v>
      </c>
      <c r="AP19" s="130"/>
      <c r="AQ19" s="130"/>
      <c r="AR19" s="130"/>
      <c r="AS19" s="130"/>
      <c r="AT19" s="130"/>
      <c r="AU19" s="130"/>
      <c r="AV19" s="130"/>
      <c r="AW19" s="130"/>
      <c r="AX19" s="130"/>
      <c r="AY19" s="130"/>
      <c r="AZ19" s="130"/>
      <c r="BA19" s="130"/>
      <c r="BB19" s="130"/>
      <c r="BC19" s="130"/>
      <c r="BD19" s="130"/>
    </row>
    <row r="20" ht="18.0" customHeight="1">
      <c r="A20" s="186" t="s">
        <v>408</v>
      </c>
      <c r="B20" s="186" t="s">
        <v>1130</v>
      </c>
      <c r="C20" s="187" t="s">
        <v>1131</v>
      </c>
      <c r="D20" s="186" t="s">
        <v>1132</v>
      </c>
      <c r="E20" s="211" t="s">
        <v>191</v>
      </c>
      <c r="F20" s="189">
        <v>37.0</v>
      </c>
      <c r="G20" s="189">
        <v>36.0</v>
      </c>
      <c r="H20" s="190">
        <f>'計分版'!D43</f>
        <v>0.0000000059</v>
      </c>
      <c r="I20" s="191">
        <f t="shared" si="1"/>
        <v>-36.99999999</v>
      </c>
      <c r="J20" s="192">
        <f t="shared" si="2"/>
        <v>-6271186440</v>
      </c>
      <c r="K20" s="193">
        <v>72.0</v>
      </c>
      <c r="L20" s="208">
        <f>'入學要求'!S21</f>
        <v>0</v>
      </c>
      <c r="M20" s="188" t="s">
        <v>1077</v>
      </c>
      <c r="N20" s="188">
        <v>3.0</v>
      </c>
      <c r="O20" s="188">
        <v>3.0</v>
      </c>
      <c r="P20" s="188">
        <v>2.0</v>
      </c>
      <c r="Q20" s="188">
        <v>2.0</v>
      </c>
      <c r="R20" s="188">
        <v>3.0</v>
      </c>
      <c r="S20" s="188">
        <v>3.0</v>
      </c>
      <c r="T20" s="195">
        <f>'入學要求'!L21</f>
        <v>0</v>
      </c>
      <c r="U20" s="195">
        <f>'入學要求'!M21</f>
        <v>0</v>
      </c>
      <c r="V20" s="195">
        <f>'入學要求'!N21</f>
        <v>0</v>
      </c>
      <c r="W20" s="195">
        <f>'入學要求'!O21</f>
        <v>0</v>
      </c>
      <c r="X20" s="195">
        <f>'入學要求'!P21</f>
        <v>0</v>
      </c>
      <c r="Y20" s="195">
        <f>'入學要求'!Q21</f>
        <v>0</v>
      </c>
      <c r="Z20" s="205"/>
      <c r="AA20" s="193">
        <f>IF($Z$2="2018年",'Offer Statistics'!H20,IF($Z$2="2019年",'Offer Statistics'!H71,IF($Z$2="2020年",'Offer Statistics'!H122)))</f>
        <v>39</v>
      </c>
      <c r="AB20" s="197">
        <f>IF($Z$2="2018年",'Offer Statistics'!C20,IF($Z$2="2019年",'Offer Statistics'!C71,IF($Z$2="2020年",'Offer Statistics'!C122)))</f>
        <v>34</v>
      </c>
      <c r="AC20" s="197">
        <f>IF($Z$2="2018年",'Offer Statistics'!D20,IF($Z$2="2019年",'Offer Statistics'!D71,IF($Z$2="2020年",'Offer Statistics'!D122)))</f>
        <v>2</v>
      </c>
      <c r="AD20" s="197">
        <f>IF($Z$2="2018年",'Offer Statistics'!E20,IF($Z$2="2019年",'Offer Statistics'!E71,IF($Z$2="2020年",'Offer Statistics'!E122)))</f>
        <v>3</v>
      </c>
      <c r="AE20" s="197">
        <f>IF($Z$2="2018年",'Offer Statistics'!F20,IF($Z$2="2019年",'Offer Statistics'!F71,IF($Z$2="2020年",'Offer Statistics'!F122)))</f>
        <v>0</v>
      </c>
      <c r="AF20" s="197">
        <f>IF($Z$2="2018年",'Offer Statistics'!G20,IF($Z$2="2019年",'Offer Statistics'!G71,IF($Z$2="2020年",'Offer Statistics'!G122)))</f>
        <v>0</v>
      </c>
      <c r="AG20" s="205"/>
      <c r="AH20" s="193">
        <f>IF($AG$2="2018年",'Offer Statistics'!P20,IF($AG$2="2019年",'Offer Statistics'!P71,IF($AG$2="2020年",'Offer Statistics'!P122)))</f>
        <v>1571</v>
      </c>
      <c r="AI20" s="197">
        <f>IF($AG$2="2018年",'Offer Statistics'!K20,IF($AG$2="2019年",'Offer Statistics'!K71,IF($AG$2="2020年",'Offer Statistics'!K122)))</f>
        <v>202</v>
      </c>
      <c r="AJ20" s="197">
        <f>IF($AG$2="2018年",'Offer Statistics'!L20,IF($AG$2="2019年",'Offer Statistics'!L71,IF($AG$2="2020年",'Offer Statistics'!L122)))</f>
        <v>269</v>
      </c>
      <c r="AK20" s="197">
        <f>IF($AG$2="2018年",'Offer Statistics'!M20,IF($AG$2="2019年",'Offer Statistics'!M71,IF($AG$2="2020年",'Offer Statistics'!M122)))</f>
        <v>329</v>
      </c>
      <c r="AL20" s="197">
        <f>IF($AG$2="2018年",'Offer Statistics'!N20,IF($AG$2="2019年",'Offer Statistics'!N71,IF($AG$2="2020年",'Offer Statistics'!N122)))</f>
        <v>442</v>
      </c>
      <c r="AM20" s="197">
        <f>IF($AG$2="2018年",'Offer Statistics'!O20,IF($AG$2="2019年",'Offer Statistics'!O71,IF($AG$2="2020年",'Offer Statistics'!O122)))</f>
        <v>329</v>
      </c>
      <c r="AN20" s="188"/>
      <c r="AO20" s="188" t="str">
        <f t="shared" si="3"/>
        <v>JS1051</v>
      </c>
      <c r="AP20" s="186"/>
      <c r="AQ20" s="186"/>
      <c r="AR20" s="186"/>
      <c r="AS20" s="186"/>
      <c r="AT20" s="186"/>
      <c r="AU20" s="186"/>
      <c r="AV20" s="186"/>
      <c r="AW20" s="186"/>
      <c r="AX20" s="186"/>
      <c r="AY20" s="186"/>
      <c r="AZ20" s="186"/>
      <c r="BA20" s="186"/>
      <c r="BB20" s="186"/>
      <c r="BC20" s="186"/>
      <c r="BD20" s="186"/>
    </row>
    <row r="21" ht="18.0" customHeight="1">
      <c r="A21" s="142" t="s">
        <v>1133</v>
      </c>
      <c r="B21" s="142" t="s">
        <v>1012</v>
      </c>
      <c r="C21" s="198" t="s">
        <v>1134</v>
      </c>
      <c r="D21" s="142" t="s">
        <v>1135</v>
      </c>
      <c r="E21" s="209" t="s">
        <v>191</v>
      </c>
      <c r="F21" s="199">
        <v>28.0</v>
      </c>
      <c r="G21" s="199">
        <v>26.0</v>
      </c>
      <c r="H21" s="200">
        <f>'計分版'!D44</f>
        <v>0.00000000285</v>
      </c>
      <c r="I21" s="201">
        <f t="shared" si="1"/>
        <v>-28</v>
      </c>
      <c r="J21" s="202">
        <f t="shared" si="2"/>
        <v>-9824561403</v>
      </c>
      <c r="K21" s="132">
        <v>60.0</v>
      </c>
      <c r="L21" s="203">
        <f>'入學要求'!S22</f>
        <v>0</v>
      </c>
      <c r="M21" s="131" t="s">
        <v>1077</v>
      </c>
      <c r="N21" s="131">
        <v>3.0</v>
      </c>
      <c r="O21" s="131">
        <v>5.0</v>
      </c>
      <c r="P21" s="131">
        <v>2.0</v>
      </c>
      <c r="Q21" s="131">
        <v>2.0</v>
      </c>
      <c r="R21" s="131">
        <v>3.0</v>
      </c>
      <c r="S21" s="131">
        <v>3.0</v>
      </c>
      <c r="T21" s="204">
        <f>'入學要求'!L22</f>
        <v>0</v>
      </c>
      <c r="U21" s="204">
        <f>'入學要求'!M22</f>
        <v>0</v>
      </c>
      <c r="V21" s="204">
        <f>'入學要求'!N22</f>
        <v>0</v>
      </c>
      <c r="W21" s="204">
        <f>'入學要求'!O22</f>
        <v>0</v>
      </c>
      <c r="X21" s="204">
        <f>'入學要求'!P22</f>
        <v>0</v>
      </c>
      <c r="Y21" s="204">
        <f>'入學要求'!Q22</f>
        <v>0</v>
      </c>
      <c r="Z21" s="205"/>
      <c r="AA21" s="132">
        <f>IF($Z$2="2018年",'Offer Statistics'!H21,IF($Z$2="2019年",'Offer Statistics'!H72,IF($Z$2="2020年",'Offer Statistics'!H123)))</f>
        <v>25</v>
      </c>
      <c r="AB21" s="206">
        <f>IF($Z$2="2018年",'Offer Statistics'!C21,IF($Z$2="2019年",'Offer Statistics'!C72,IF($Z$2="2020年",'Offer Statistics'!C123)))</f>
        <v>23</v>
      </c>
      <c r="AC21" s="206">
        <f>IF($Z$2="2018年",'Offer Statistics'!D21,IF($Z$2="2019年",'Offer Statistics'!D72,IF($Z$2="2020年",'Offer Statistics'!D123)))</f>
        <v>0</v>
      </c>
      <c r="AD21" s="206">
        <f>IF($Z$2="2018年",'Offer Statistics'!E21,IF($Z$2="2019年",'Offer Statistics'!E72,IF($Z$2="2020年",'Offer Statistics'!E123)))</f>
        <v>1</v>
      </c>
      <c r="AE21" s="206">
        <f>IF($Z$2="2018年",'Offer Statistics'!F21,IF($Z$2="2019年",'Offer Statistics'!F72,IF($Z$2="2020年",'Offer Statistics'!F123)))</f>
        <v>1</v>
      </c>
      <c r="AF21" s="206">
        <f>IF($Z$2="2018年",'Offer Statistics'!G21,IF($Z$2="2019年",'Offer Statistics'!G72,IF($Z$2="2020年",'Offer Statistics'!G123)))</f>
        <v>0</v>
      </c>
      <c r="AG21" s="205"/>
      <c r="AH21" s="132">
        <f>IF($AG$2="2018年",'Offer Statistics'!P21,IF($AG$2="2019年",'Offer Statistics'!P72,IF($AG$2="2020年",'Offer Statistics'!P123)))</f>
        <v>786</v>
      </c>
      <c r="AI21" s="206">
        <f>IF($AG$2="2018年",'Offer Statistics'!K21,IF($AG$2="2019年",'Offer Statistics'!K72,IF($AG$2="2020年",'Offer Statistics'!K123)))</f>
        <v>102</v>
      </c>
      <c r="AJ21" s="206">
        <f>IF($AG$2="2018年",'Offer Statistics'!L21,IF($AG$2="2019年",'Offer Statistics'!L72,IF($AG$2="2020年",'Offer Statistics'!L123)))</f>
        <v>128</v>
      </c>
      <c r="AK21" s="206">
        <f>IF($AG$2="2018年",'Offer Statistics'!M21,IF($AG$2="2019年",'Offer Statistics'!M72,IF($AG$2="2020年",'Offer Statistics'!M123)))</f>
        <v>131</v>
      </c>
      <c r="AL21" s="206">
        <f>IF($AG$2="2018年",'Offer Statistics'!N21,IF($AG$2="2019年",'Offer Statistics'!N72,IF($AG$2="2020年",'Offer Statistics'!N123)))</f>
        <v>209</v>
      </c>
      <c r="AM21" s="206">
        <f>IF($AG$2="2018年",'Offer Statistics'!O21,IF($AG$2="2019年",'Offer Statistics'!O72,IF($AG$2="2020年",'Offer Statistics'!O123)))</f>
        <v>216</v>
      </c>
      <c r="AN21" s="131"/>
      <c r="AO21" s="131" t="str">
        <f t="shared" si="3"/>
        <v>JS1061</v>
      </c>
      <c r="AP21" s="130"/>
      <c r="AQ21" s="130"/>
      <c r="AR21" s="130"/>
      <c r="AS21" s="130"/>
      <c r="AT21" s="130"/>
      <c r="AU21" s="130"/>
      <c r="AV21" s="130"/>
      <c r="AW21" s="130"/>
      <c r="AX21" s="130"/>
      <c r="AY21" s="130"/>
      <c r="AZ21" s="130"/>
      <c r="BA21" s="130"/>
      <c r="BB21" s="130"/>
      <c r="BC21" s="130"/>
      <c r="BD21" s="130"/>
    </row>
    <row r="22" ht="18.0" customHeight="1">
      <c r="A22" s="186" t="s">
        <v>1136</v>
      </c>
      <c r="B22" s="186" t="s">
        <v>1137</v>
      </c>
      <c r="C22" s="187" t="s">
        <v>1138</v>
      </c>
      <c r="D22" s="186" t="s">
        <v>1139</v>
      </c>
      <c r="E22" s="193" t="s">
        <v>191</v>
      </c>
      <c r="F22" s="189">
        <v>32.0</v>
      </c>
      <c r="G22" s="189">
        <v>32.0</v>
      </c>
      <c r="H22" s="190">
        <f>'計分版'!D45</f>
        <v>0.00000000335</v>
      </c>
      <c r="I22" s="191">
        <f t="shared" si="1"/>
        <v>-32</v>
      </c>
      <c r="J22" s="192">
        <f t="shared" si="2"/>
        <v>-9552238805</v>
      </c>
      <c r="K22" s="193">
        <v>20.0</v>
      </c>
      <c r="L22" s="208">
        <f>'入學要求'!S23</f>
        <v>0</v>
      </c>
      <c r="M22" s="210" t="s">
        <v>1077</v>
      </c>
      <c r="N22" s="188">
        <v>3.0</v>
      </c>
      <c r="O22" s="188">
        <v>3.0</v>
      </c>
      <c r="P22" s="188">
        <v>3.0</v>
      </c>
      <c r="Q22" s="188">
        <v>2.0</v>
      </c>
      <c r="R22" s="188">
        <v>3.0</v>
      </c>
      <c r="S22" s="188">
        <v>3.0</v>
      </c>
      <c r="T22" s="195">
        <f>'入學要求'!L23</f>
        <v>0</v>
      </c>
      <c r="U22" s="195">
        <f>'入學要求'!M23</f>
        <v>0</v>
      </c>
      <c r="V22" s="195">
        <f>'入學要求'!N23</f>
        <v>0</v>
      </c>
      <c r="W22" s="195">
        <f>'入學要求'!O23</f>
        <v>0</v>
      </c>
      <c r="X22" s="195">
        <f>'入學要求'!P23</f>
        <v>0</v>
      </c>
      <c r="Y22" s="195">
        <f>'入學要求'!Q23</f>
        <v>0</v>
      </c>
      <c r="Z22" s="205"/>
      <c r="AA22" s="193">
        <f>IF($Z$2="2018年",'Offer Statistics'!H22,IF($Z$2="2019年",'Offer Statistics'!H73,IF($Z$2="2020年",'Offer Statistics'!H124)))</f>
        <v>17</v>
      </c>
      <c r="AB22" s="197">
        <f>IF($Z$2="2018年",'Offer Statistics'!C22,IF($Z$2="2019年",'Offer Statistics'!C73,IF($Z$2="2020年",'Offer Statistics'!C124)))</f>
        <v>16</v>
      </c>
      <c r="AC22" s="197">
        <f>IF($Z$2="2018年",'Offer Statistics'!D22,IF($Z$2="2019年",'Offer Statistics'!D73,IF($Z$2="2020年",'Offer Statistics'!D124)))</f>
        <v>0</v>
      </c>
      <c r="AD22" s="197">
        <f>IF($Z$2="2018年",'Offer Statistics'!E22,IF($Z$2="2019年",'Offer Statistics'!E73,IF($Z$2="2020年",'Offer Statistics'!E124)))</f>
        <v>0</v>
      </c>
      <c r="AE22" s="197">
        <f>IF($Z$2="2018年",'Offer Statistics'!F22,IF($Z$2="2019年",'Offer Statistics'!F73,IF($Z$2="2020年",'Offer Statistics'!F124)))</f>
        <v>1</v>
      </c>
      <c r="AF22" s="197">
        <f>IF($Z$2="2018年",'Offer Statistics'!G22,IF($Z$2="2019年",'Offer Statistics'!G73,IF($Z$2="2020年",'Offer Statistics'!G124)))</f>
        <v>0</v>
      </c>
      <c r="AG22" s="205"/>
      <c r="AH22" s="193">
        <f>IF($AG$2="2018年",'Offer Statistics'!P22,IF($AG$2="2019年",'Offer Statistics'!P73,IF($AG$2="2020年",'Offer Statistics'!P124)))</f>
        <v>1508</v>
      </c>
      <c r="AI22" s="197">
        <f>IF($AG$2="2018年",'Offer Statistics'!K22,IF($AG$2="2019年",'Offer Statistics'!K73,IF($AG$2="2020年",'Offer Statistics'!K124)))</f>
        <v>151</v>
      </c>
      <c r="AJ22" s="197">
        <f>IF($AG$2="2018年",'Offer Statistics'!L22,IF($AG$2="2019年",'Offer Statistics'!L73,IF($AG$2="2020年",'Offer Statistics'!L124)))</f>
        <v>290</v>
      </c>
      <c r="AK22" s="197">
        <f>IF($AG$2="2018年",'Offer Statistics'!M22,IF($AG$2="2019年",'Offer Statistics'!M73,IF($AG$2="2020年",'Offer Statistics'!M124)))</f>
        <v>366</v>
      </c>
      <c r="AL22" s="197">
        <f>IF($AG$2="2018年",'Offer Statistics'!N22,IF($AG$2="2019年",'Offer Statistics'!N73,IF($AG$2="2020年",'Offer Statistics'!N124)))</f>
        <v>409</v>
      </c>
      <c r="AM22" s="197">
        <f>IF($AG$2="2018年",'Offer Statistics'!O22,IF($AG$2="2019年",'Offer Statistics'!O73,IF($AG$2="2020年",'Offer Statistics'!O124)))</f>
        <v>292</v>
      </c>
      <c r="AN22" s="188"/>
      <c r="AO22" s="188" t="str">
        <f t="shared" si="3"/>
        <v>JS1071</v>
      </c>
      <c r="AP22" s="186"/>
      <c r="AQ22" s="186"/>
      <c r="AR22" s="186"/>
      <c r="AS22" s="186"/>
      <c r="AT22" s="186"/>
      <c r="AU22" s="186"/>
      <c r="AV22" s="186"/>
      <c r="AW22" s="186"/>
      <c r="AX22" s="186"/>
      <c r="AY22" s="186"/>
      <c r="AZ22" s="186"/>
      <c r="BA22" s="186"/>
      <c r="BB22" s="186"/>
      <c r="BC22" s="186"/>
      <c r="BD22" s="186"/>
    </row>
    <row r="23" ht="18.0" customHeight="1">
      <c r="A23" s="142" t="s">
        <v>1140</v>
      </c>
      <c r="B23" s="142" t="s">
        <v>1137</v>
      </c>
      <c r="C23" s="198" t="s">
        <v>1141</v>
      </c>
      <c r="D23" s="142" t="s">
        <v>1142</v>
      </c>
      <c r="E23" s="132" t="s">
        <v>191</v>
      </c>
      <c r="F23" s="131">
        <v>32.0</v>
      </c>
      <c r="G23" s="212">
        <v>31.0</v>
      </c>
      <c r="H23" s="200">
        <f>'計分版'!D46</f>
        <v>0.00000000335</v>
      </c>
      <c r="I23" s="201">
        <f t="shared" si="1"/>
        <v>-32</v>
      </c>
      <c r="J23" s="202">
        <f t="shared" si="2"/>
        <v>-9552238805</v>
      </c>
      <c r="K23" s="132">
        <v>30.0</v>
      </c>
      <c r="L23" s="203">
        <f>'入學要求'!S24</f>
        <v>0</v>
      </c>
      <c r="M23" s="205"/>
      <c r="N23" s="131">
        <v>3.0</v>
      </c>
      <c r="O23" s="131">
        <v>3.0</v>
      </c>
      <c r="P23" s="131">
        <v>3.0</v>
      </c>
      <c r="Q23" s="131">
        <v>2.0</v>
      </c>
      <c r="R23" s="131">
        <v>3.0</v>
      </c>
      <c r="S23" s="131">
        <v>3.0</v>
      </c>
      <c r="T23" s="204">
        <f>'入學要求'!L24</f>
        <v>0</v>
      </c>
      <c r="U23" s="204">
        <f>'入學要求'!M24</f>
        <v>0</v>
      </c>
      <c r="V23" s="204">
        <f>'入學要求'!N24</f>
        <v>0</v>
      </c>
      <c r="W23" s="204">
        <f>'入學要求'!O24</f>
        <v>0</v>
      </c>
      <c r="X23" s="204">
        <f>'入學要求'!P24</f>
        <v>0</v>
      </c>
      <c r="Y23" s="204">
        <f>'入學要求'!Q24</f>
        <v>0</v>
      </c>
      <c r="Z23" s="205"/>
      <c r="AA23" s="132">
        <f>IF($Z$2="2018年",'Offer Statistics'!H23,IF($Z$2="2019年",'Offer Statistics'!H74,IF($Z$2="2020年",'Offer Statistics'!H125)))</f>
        <v>22</v>
      </c>
      <c r="AB23" s="206">
        <f>IF($Z$2="2018年",'Offer Statistics'!C23,IF($Z$2="2019年",'Offer Statistics'!C74,IF($Z$2="2020年",'Offer Statistics'!C125)))</f>
        <v>21</v>
      </c>
      <c r="AC23" s="206">
        <f>IF($Z$2="2018年",'Offer Statistics'!D23,IF($Z$2="2019年",'Offer Statistics'!D74,IF($Z$2="2020年",'Offer Statistics'!D125)))</f>
        <v>1</v>
      </c>
      <c r="AD23" s="206">
        <f>IF($Z$2="2018年",'Offer Statistics'!E23,IF($Z$2="2019年",'Offer Statistics'!E74,IF($Z$2="2020年",'Offer Statistics'!E125)))</f>
        <v>0</v>
      </c>
      <c r="AE23" s="206">
        <f>IF($Z$2="2018年",'Offer Statistics'!F23,IF($Z$2="2019年",'Offer Statistics'!F74,IF($Z$2="2020年",'Offer Statistics'!F125)))</f>
        <v>0</v>
      </c>
      <c r="AF23" s="206">
        <f>IF($Z$2="2018年",'Offer Statistics'!G23,IF($Z$2="2019年",'Offer Statistics'!G74,IF($Z$2="2020年",'Offer Statistics'!G125)))</f>
        <v>0</v>
      </c>
      <c r="AG23" s="205"/>
      <c r="AH23" s="132">
        <f>IF($AG$2="2018年",'Offer Statistics'!P23,IF($AG$2="2019年",'Offer Statistics'!P74,IF($AG$2="2020年",'Offer Statistics'!P125)))</f>
        <v>1670</v>
      </c>
      <c r="AI23" s="206">
        <f>IF($AG$2="2018年",'Offer Statistics'!K23,IF($AG$2="2019年",'Offer Statistics'!K74,IF($AG$2="2020年",'Offer Statistics'!K125)))</f>
        <v>222</v>
      </c>
      <c r="AJ23" s="206">
        <f>IF($AG$2="2018年",'Offer Statistics'!L23,IF($AG$2="2019年",'Offer Statistics'!L74,IF($AG$2="2020年",'Offer Statistics'!L125)))</f>
        <v>330</v>
      </c>
      <c r="AK23" s="206">
        <f>IF($AG$2="2018年",'Offer Statistics'!M23,IF($AG$2="2019年",'Offer Statistics'!M74,IF($AG$2="2020年",'Offer Statistics'!M125)))</f>
        <v>371</v>
      </c>
      <c r="AL23" s="206">
        <f>IF($AG$2="2018年",'Offer Statistics'!N23,IF($AG$2="2019年",'Offer Statistics'!N74,IF($AG$2="2020年",'Offer Statistics'!N125)))</f>
        <v>390</v>
      </c>
      <c r="AM23" s="206">
        <f>IF($AG$2="2018年",'Offer Statistics'!O23,IF($AG$2="2019年",'Offer Statistics'!O74,IF($AG$2="2020年",'Offer Statistics'!O125)))</f>
        <v>357</v>
      </c>
      <c r="AN23" s="131"/>
      <c r="AO23" s="131" t="str">
        <f t="shared" si="3"/>
        <v>JS1072</v>
      </c>
      <c r="AP23" s="130"/>
      <c r="AQ23" s="130"/>
      <c r="AR23" s="130"/>
      <c r="AS23" s="130"/>
      <c r="AT23" s="130"/>
      <c r="AU23" s="130"/>
      <c r="AV23" s="130"/>
      <c r="AW23" s="130"/>
      <c r="AX23" s="130"/>
      <c r="AY23" s="130"/>
      <c r="AZ23" s="130"/>
      <c r="BA23" s="130"/>
      <c r="BB23" s="130"/>
      <c r="BC23" s="130"/>
      <c r="BD23" s="130"/>
    </row>
    <row r="24" ht="18.0" customHeight="1">
      <c r="A24" s="186" t="s">
        <v>1143</v>
      </c>
      <c r="B24" s="186" t="s">
        <v>1137</v>
      </c>
      <c r="C24" s="187" t="s">
        <v>1144</v>
      </c>
      <c r="D24" s="186" t="s">
        <v>1145</v>
      </c>
      <c r="E24" s="193" t="s">
        <v>191</v>
      </c>
      <c r="F24" s="189">
        <v>31.0</v>
      </c>
      <c r="G24" s="189">
        <v>31.0</v>
      </c>
      <c r="H24" s="190">
        <f>'計分版'!D47</f>
        <v>0.00000000335</v>
      </c>
      <c r="I24" s="191">
        <f t="shared" si="1"/>
        <v>-31</v>
      </c>
      <c r="J24" s="192">
        <f t="shared" si="2"/>
        <v>-9253731342</v>
      </c>
      <c r="K24" s="193">
        <v>20.0</v>
      </c>
      <c r="L24" s="208">
        <f>'入學要求'!S25</f>
        <v>0</v>
      </c>
      <c r="M24" s="205"/>
      <c r="N24" s="188">
        <v>3.0</v>
      </c>
      <c r="O24" s="188">
        <v>3.0</v>
      </c>
      <c r="P24" s="188">
        <v>3.0</v>
      </c>
      <c r="Q24" s="188">
        <v>2.0</v>
      </c>
      <c r="R24" s="188">
        <v>3.0</v>
      </c>
      <c r="S24" s="188">
        <v>3.0</v>
      </c>
      <c r="T24" s="195">
        <f>'入學要求'!L25</f>
        <v>0</v>
      </c>
      <c r="U24" s="195">
        <f>'入學要求'!M25</f>
        <v>0</v>
      </c>
      <c r="V24" s="195">
        <f>'入學要求'!N25</f>
        <v>0</v>
      </c>
      <c r="W24" s="195">
        <f>'入學要求'!O25</f>
        <v>0</v>
      </c>
      <c r="X24" s="195">
        <f>'入學要求'!P25</f>
        <v>0</v>
      </c>
      <c r="Y24" s="195">
        <f>'入學要求'!Q25</f>
        <v>0</v>
      </c>
      <c r="Z24" s="205"/>
      <c r="AA24" s="193">
        <f>IF($Z$2="2018年",'Offer Statistics'!H24,IF($Z$2="2019年",'Offer Statistics'!H75,IF($Z$2="2020年",'Offer Statistics'!H126)))</f>
        <v>20</v>
      </c>
      <c r="AB24" s="197">
        <f>IF($Z$2="2018年",'Offer Statistics'!C24,IF($Z$2="2019年",'Offer Statistics'!C75,IF($Z$2="2020年",'Offer Statistics'!C126)))</f>
        <v>16</v>
      </c>
      <c r="AC24" s="197">
        <f>IF($Z$2="2018年",'Offer Statistics'!D24,IF($Z$2="2019年",'Offer Statistics'!D75,IF($Z$2="2020年",'Offer Statistics'!D126)))</f>
        <v>4</v>
      </c>
      <c r="AD24" s="197">
        <f>IF($Z$2="2018年",'Offer Statistics'!E24,IF($Z$2="2019年",'Offer Statistics'!E75,IF($Z$2="2020年",'Offer Statistics'!E126)))</f>
        <v>0</v>
      </c>
      <c r="AE24" s="197">
        <f>IF($Z$2="2018年",'Offer Statistics'!F24,IF($Z$2="2019年",'Offer Statistics'!F75,IF($Z$2="2020年",'Offer Statistics'!F126)))</f>
        <v>0</v>
      </c>
      <c r="AF24" s="197">
        <f>IF($Z$2="2018年",'Offer Statistics'!G24,IF($Z$2="2019年",'Offer Statistics'!G75,IF($Z$2="2020年",'Offer Statistics'!G126)))</f>
        <v>0</v>
      </c>
      <c r="AG24" s="205"/>
      <c r="AH24" s="193">
        <f>IF($AG$2="2018年",'Offer Statistics'!P24,IF($AG$2="2019年",'Offer Statistics'!P75,IF($AG$2="2020年",'Offer Statistics'!P126)))</f>
        <v>1527</v>
      </c>
      <c r="AI24" s="197">
        <f>IF($AG$2="2018年",'Offer Statistics'!K24,IF($AG$2="2019年",'Offer Statistics'!K75,IF($AG$2="2020年",'Offer Statistics'!K126)))</f>
        <v>215</v>
      </c>
      <c r="AJ24" s="197">
        <f>IF($AG$2="2018年",'Offer Statistics'!L24,IF($AG$2="2019年",'Offer Statistics'!L75,IF($AG$2="2020年",'Offer Statistics'!L126)))</f>
        <v>260</v>
      </c>
      <c r="AK24" s="197">
        <f>IF($AG$2="2018年",'Offer Statistics'!M24,IF($AG$2="2019年",'Offer Statistics'!M75,IF($AG$2="2020年",'Offer Statistics'!M126)))</f>
        <v>334</v>
      </c>
      <c r="AL24" s="197">
        <f>IF($AG$2="2018年",'Offer Statistics'!N24,IF($AG$2="2019年",'Offer Statistics'!N75,IF($AG$2="2020年",'Offer Statistics'!N126)))</f>
        <v>414</v>
      </c>
      <c r="AM24" s="197">
        <f>IF($AG$2="2018年",'Offer Statistics'!O24,IF($AG$2="2019年",'Offer Statistics'!O75,IF($AG$2="2020年",'Offer Statistics'!O126)))</f>
        <v>304</v>
      </c>
      <c r="AN24" s="188"/>
      <c r="AO24" s="188" t="str">
        <f t="shared" si="3"/>
        <v>JS1073</v>
      </c>
      <c r="AP24" s="186"/>
      <c r="AQ24" s="186"/>
      <c r="AR24" s="186"/>
      <c r="AS24" s="186"/>
      <c r="AT24" s="186"/>
      <c r="AU24" s="186"/>
      <c r="AV24" s="186"/>
      <c r="AW24" s="186"/>
      <c r="AX24" s="186"/>
      <c r="AY24" s="186"/>
      <c r="AZ24" s="186"/>
      <c r="BA24" s="186"/>
      <c r="BB24" s="186"/>
      <c r="BC24" s="186"/>
      <c r="BD24" s="186"/>
    </row>
    <row r="25" ht="18.0" customHeight="1">
      <c r="A25" s="142" t="s">
        <v>1146</v>
      </c>
      <c r="B25" s="142" t="s">
        <v>1147</v>
      </c>
      <c r="C25" s="198" t="s">
        <v>1148</v>
      </c>
      <c r="D25" s="142" t="s">
        <v>1149</v>
      </c>
      <c r="E25" s="132" t="s">
        <v>213</v>
      </c>
      <c r="F25" s="199">
        <v>17.0</v>
      </c>
      <c r="G25" s="199">
        <v>15.0</v>
      </c>
      <c r="H25" s="200">
        <f>'計分版'!D48</f>
        <v>0.00000000315</v>
      </c>
      <c r="I25" s="201">
        <f t="shared" si="1"/>
        <v>-17</v>
      </c>
      <c r="J25" s="202">
        <f t="shared" si="2"/>
        <v>-5396825396</v>
      </c>
      <c r="K25" s="132">
        <v>340.0</v>
      </c>
      <c r="L25" s="203">
        <f>'入學要求'!S26</f>
        <v>0</v>
      </c>
      <c r="M25" s="131" t="s">
        <v>541</v>
      </c>
      <c r="N25" s="131">
        <v>2.0</v>
      </c>
      <c r="O25" s="131">
        <v>2.0</v>
      </c>
      <c r="P25" s="131">
        <v>2.0</v>
      </c>
      <c r="Q25" s="131">
        <v>2.0</v>
      </c>
      <c r="R25" s="131">
        <v>2.0</v>
      </c>
      <c r="S25" s="131"/>
      <c r="T25" s="204">
        <f>'入學要求'!L26</f>
        <v>0</v>
      </c>
      <c r="U25" s="204">
        <f>'入學要求'!M26</f>
        <v>0</v>
      </c>
      <c r="V25" s="204">
        <f>'入學要求'!N26</f>
        <v>0</v>
      </c>
      <c r="W25" s="204">
        <f>'入學要求'!O26</f>
        <v>0</v>
      </c>
      <c r="X25" s="204">
        <f>'入學要求'!P26</f>
        <v>0</v>
      </c>
      <c r="Y25" s="204"/>
      <c r="Z25" s="205"/>
      <c r="AA25" s="132">
        <f>IF($Z$2="2018年",'Offer Statistics'!H25,IF($Z$2="2019年",'Offer Statistics'!H76,IF($Z$2="2020年",'Offer Statistics'!H127)))</f>
        <v>682</v>
      </c>
      <c r="AB25" s="206">
        <f>IF($Z$2="2018年",'Offer Statistics'!C25,IF($Z$2="2019年",'Offer Statistics'!C76,IF($Z$2="2020年",'Offer Statistics'!C127)))</f>
        <v>333</v>
      </c>
      <c r="AC25" s="206">
        <f>IF($Z$2="2018年",'Offer Statistics'!D25,IF($Z$2="2019年",'Offer Statistics'!D76,IF($Z$2="2020年",'Offer Statistics'!D127)))</f>
        <v>95</v>
      </c>
      <c r="AD25" s="206">
        <f>IF($Z$2="2018年",'Offer Statistics'!E25,IF($Z$2="2019年",'Offer Statistics'!E76,IF($Z$2="2020年",'Offer Statistics'!E127)))</f>
        <v>65</v>
      </c>
      <c r="AE25" s="206">
        <f>IF($Z$2="2018年",'Offer Statistics'!F25,IF($Z$2="2019年",'Offer Statistics'!F76,IF($Z$2="2020年",'Offer Statistics'!F127)))</f>
        <v>78</v>
      </c>
      <c r="AF25" s="206">
        <f>IF($Z$2="2018年",'Offer Statistics'!G25,IF($Z$2="2019年",'Offer Statistics'!G76,IF($Z$2="2020年",'Offer Statistics'!G127)))</f>
        <v>111</v>
      </c>
      <c r="AG25" s="205"/>
      <c r="AH25" s="132">
        <f>IF($AG$2="2018年",'Offer Statistics'!P25,IF($AG$2="2019年",'Offer Statistics'!P76,IF($AG$2="2020年",'Offer Statistics'!P127)))</f>
        <v>3153</v>
      </c>
      <c r="AI25" s="206">
        <f>IF($AG$2="2018年",'Offer Statistics'!K25,IF($AG$2="2019年",'Offer Statistics'!K76,IF($AG$2="2020年",'Offer Statistics'!K127)))</f>
        <v>811</v>
      </c>
      <c r="AJ25" s="206">
        <f>IF($AG$2="2018年",'Offer Statistics'!L25,IF($AG$2="2019年",'Offer Statistics'!L76,IF($AG$2="2020年",'Offer Statistics'!L127)))</f>
        <v>604</v>
      </c>
      <c r="AK25" s="206">
        <f>IF($AG$2="2018年",'Offer Statistics'!M25,IF($AG$2="2019年",'Offer Statistics'!M76,IF($AG$2="2020年",'Offer Statistics'!M127)))</f>
        <v>498</v>
      </c>
      <c r="AL25" s="206">
        <f>IF($AG$2="2018年",'Offer Statistics'!N25,IF($AG$2="2019年",'Offer Statistics'!N76,IF($AG$2="2020年",'Offer Statistics'!N127)))</f>
        <v>558</v>
      </c>
      <c r="AM25" s="206">
        <f>IF($AG$2="2018年",'Offer Statistics'!O25,IF($AG$2="2019年",'Offer Statistics'!O76,IF($AG$2="2020年",'Offer Statistics'!O127)))</f>
        <v>682</v>
      </c>
      <c r="AN25" s="131"/>
      <c r="AO25" s="131" t="str">
        <f t="shared" si="3"/>
        <v>JS1091</v>
      </c>
      <c r="AP25" s="130"/>
      <c r="AQ25" s="130"/>
      <c r="AR25" s="130"/>
      <c r="AS25" s="130"/>
      <c r="AT25" s="130"/>
      <c r="AU25" s="130"/>
      <c r="AV25" s="130"/>
      <c r="AW25" s="130"/>
      <c r="AX25" s="130"/>
      <c r="AY25" s="130"/>
      <c r="AZ25" s="130"/>
      <c r="BA25" s="130"/>
      <c r="BB25" s="130"/>
      <c r="BC25" s="130"/>
      <c r="BD25" s="130"/>
    </row>
    <row r="26" ht="18.0" customHeight="1">
      <c r="A26" s="186" t="s">
        <v>1150</v>
      </c>
      <c r="B26" s="186" t="s">
        <v>1147</v>
      </c>
      <c r="C26" s="187" t="s">
        <v>1151</v>
      </c>
      <c r="D26" s="186" t="s">
        <v>1152</v>
      </c>
      <c r="E26" s="193" t="s">
        <v>213</v>
      </c>
      <c r="F26" s="189">
        <v>19.0</v>
      </c>
      <c r="G26" s="189">
        <v>18.0</v>
      </c>
      <c r="H26" s="190">
        <f>'計分版'!D49</f>
        <v>0.00000000315</v>
      </c>
      <c r="I26" s="191">
        <f t="shared" si="1"/>
        <v>-19</v>
      </c>
      <c r="J26" s="192">
        <f t="shared" si="2"/>
        <v>-6031746031</v>
      </c>
      <c r="K26" s="193">
        <v>92.0</v>
      </c>
      <c r="L26" s="208">
        <f>'入學要求'!S27</f>
        <v>0</v>
      </c>
      <c r="M26" s="188" t="s">
        <v>541</v>
      </c>
      <c r="N26" s="188">
        <v>2.0</v>
      </c>
      <c r="O26" s="188">
        <v>2.0</v>
      </c>
      <c r="P26" s="188">
        <v>2.0</v>
      </c>
      <c r="Q26" s="188">
        <v>2.0</v>
      </c>
      <c r="R26" s="188">
        <v>2.0</v>
      </c>
      <c r="S26" s="188"/>
      <c r="T26" s="195">
        <f>'入學要求'!L27</f>
        <v>0</v>
      </c>
      <c r="U26" s="195">
        <f>'入學要求'!M27</f>
        <v>0</v>
      </c>
      <c r="V26" s="195">
        <f>'入學要求'!N27</f>
        <v>0</v>
      </c>
      <c r="W26" s="195">
        <f>'入學要求'!O27</f>
        <v>0</v>
      </c>
      <c r="X26" s="195">
        <f>'入學要求'!P27</f>
        <v>0</v>
      </c>
      <c r="Y26" s="195"/>
      <c r="Z26" s="205"/>
      <c r="AA26" s="193">
        <f>IF($Z$2="2018年",'Offer Statistics'!H26,IF($Z$2="2019年",'Offer Statistics'!H77,IF($Z$2="2020年",'Offer Statistics'!H128)))</f>
        <v>281</v>
      </c>
      <c r="AB26" s="197">
        <f>IF($Z$2="2018年",'Offer Statistics'!C26,IF($Z$2="2019年",'Offer Statistics'!C77,IF($Z$2="2020年",'Offer Statistics'!C128)))</f>
        <v>152</v>
      </c>
      <c r="AC26" s="197">
        <f>IF($Z$2="2018年",'Offer Statistics'!D26,IF($Z$2="2019年",'Offer Statistics'!D77,IF($Z$2="2020年",'Offer Statistics'!D128)))</f>
        <v>40</v>
      </c>
      <c r="AD26" s="197">
        <f>IF($Z$2="2018年",'Offer Statistics'!E26,IF($Z$2="2019年",'Offer Statistics'!E77,IF($Z$2="2020年",'Offer Statistics'!E128)))</f>
        <v>27</v>
      </c>
      <c r="AE26" s="197">
        <f>IF($Z$2="2018年",'Offer Statistics'!F26,IF($Z$2="2019年",'Offer Statistics'!F77,IF($Z$2="2020年",'Offer Statistics'!F128)))</f>
        <v>25</v>
      </c>
      <c r="AF26" s="197">
        <f>IF($Z$2="2018年",'Offer Statistics'!G26,IF($Z$2="2019年",'Offer Statistics'!G77,IF($Z$2="2020年",'Offer Statistics'!G128)))</f>
        <v>37</v>
      </c>
      <c r="AG26" s="205"/>
      <c r="AH26" s="193">
        <f>IF($AG$2="2018年",'Offer Statistics'!P26,IF($AG$2="2019年",'Offer Statistics'!P77,IF($AG$2="2020年",'Offer Statistics'!P128)))</f>
        <v>2950</v>
      </c>
      <c r="AI26" s="197">
        <f>IF($AG$2="2018年",'Offer Statistics'!K26,IF($AG$2="2019年",'Offer Statistics'!K77,IF($AG$2="2020年",'Offer Statistics'!K128)))</f>
        <v>690</v>
      </c>
      <c r="AJ26" s="197">
        <f>IF($AG$2="2018年",'Offer Statistics'!L26,IF($AG$2="2019年",'Offer Statistics'!L77,IF($AG$2="2020年",'Offer Statistics'!L128)))</f>
        <v>566</v>
      </c>
      <c r="AK26" s="197">
        <f>IF($AG$2="2018年",'Offer Statistics'!M26,IF($AG$2="2019年",'Offer Statistics'!M77,IF($AG$2="2020年",'Offer Statistics'!M128)))</f>
        <v>448</v>
      </c>
      <c r="AL26" s="197">
        <f>IF($AG$2="2018年",'Offer Statistics'!N26,IF($AG$2="2019年",'Offer Statistics'!N77,IF($AG$2="2020年",'Offer Statistics'!N128)))</f>
        <v>548</v>
      </c>
      <c r="AM26" s="197">
        <f>IF($AG$2="2018年",'Offer Statistics'!O26,IF($AG$2="2019年",'Offer Statistics'!O77,IF($AG$2="2020年",'Offer Statistics'!O128)))</f>
        <v>698</v>
      </c>
      <c r="AN26" s="188"/>
      <c r="AO26" s="188" t="str">
        <f t="shared" si="3"/>
        <v>JS1093</v>
      </c>
      <c r="AP26" s="186"/>
      <c r="AQ26" s="186"/>
      <c r="AR26" s="186"/>
      <c r="AS26" s="186"/>
      <c r="AT26" s="186"/>
      <c r="AU26" s="186"/>
      <c r="AV26" s="186"/>
      <c r="AW26" s="186"/>
      <c r="AX26" s="186"/>
      <c r="AY26" s="186"/>
      <c r="AZ26" s="186"/>
      <c r="BA26" s="186"/>
      <c r="BB26" s="186"/>
      <c r="BC26" s="186"/>
      <c r="BD26" s="186"/>
    </row>
    <row r="27" ht="18.0" customHeight="1">
      <c r="A27" s="142" t="s">
        <v>1153</v>
      </c>
      <c r="B27" s="142" t="s">
        <v>1154</v>
      </c>
      <c r="C27" s="198" t="s">
        <v>1155</v>
      </c>
      <c r="D27" s="142" t="s">
        <v>1156</v>
      </c>
      <c r="E27" s="135" t="s">
        <v>191</v>
      </c>
      <c r="F27" s="199">
        <v>24.0</v>
      </c>
      <c r="G27" s="199">
        <v>24.0</v>
      </c>
      <c r="H27" s="200">
        <f>'計分版'!D50</f>
        <v>0.00000000285</v>
      </c>
      <c r="I27" s="201">
        <f t="shared" si="1"/>
        <v>-24</v>
      </c>
      <c r="J27" s="202">
        <f t="shared" si="2"/>
        <v>-8421052631</v>
      </c>
      <c r="K27" s="132">
        <v>17.0</v>
      </c>
      <c r="L27" s="203">
        <f>'入學要求'!S28</f>
        <v>0</v>
      </c>
      <c r="M27" s="131" t="s">
        <v>541</v>
      </c>
      <c r="N27" s="131">
        <v>3.0</v>
      </c>
      <c r="O27" s="131">
        <v>3.0</v>
      </c>
      <c r="P27" s="131">
        <v>2.0</v>
      </c>
      <c r="Q27" s="131">
        <v>2.0</v>
      </c>
      <c r="R27" s="131">
        <v>3.0</v>
      </c>
      <c r="S27" s="131">
        <v>3.0</v>
      </c>
      <c r="T27" s="204">
        <f>'入學要求'!L28</f>
        <v>0</v>
      </c>
      <c r="U27" s="204">
        <f>'入學要求'!M28</f>
        <v>0</v>
      </c>
      <c r="V27" s="204">
        <f>'入學要求'!N28</f>
        <v>0</v>
      </c>
      <c r="W27" s="204">
        <f>'入學要求'!O28</f>
        <v>0</v>
      </c>
      <c r="X27" s="204">
        <f>'入學要求'!P28</f>
        <v>0</v>
      </c>
      <c r="Y27" s="204">
        <f>'入學要求'!Q28</f>
        <v>0</v>
      </c>
      <c r="Z27" s="205"/>
      <c r="AA27" s="132">
        <f>IF($Z$2="2018年",'Offer Statistics'!H27,IF($Z$2="2019年",'Offer Statistics'!H78,IF($Z$2="2020年",'Offer Statistics'!H129)))</f>
        <v>17</v>
      </c>
      <c r="AB27" s="206">
        <f>IF($Z$2="2018年",'Offer Statistics'!C27,IF($Z$2="2019年",'Offer Statistics'!C78,IF($Z$2="2020年",'Offer Statistics'!C129)))</f>
        <v>16</v>
      </c>
      <c r="AC27" s="206">
        <f>IF($Z$2="2018年",'Offer Statistics'!D27,IF($Z$2="2019年",'Offer Statistics'!D78,IF($Z$2="2020年",'Offer Statistics'!D129)))</f>
        <v>0</v>
      </c>
      <c r="AD27" s="206">
        <f>IF($Z$2="2018年",'Offer Statistics'!E27,IF($Z$2="2019年",'Offer Statistics'!E78,IF($Z$2="2020年",'Offer Statistics'!E129)))</f>
        <v>0</v>
      </c>
      <c r="AE27" s="206">
        <f>IF($Z$2="2018年",'Offer Statistics'!F27,IF($Z$2="2019年",'Offer Statistics'!F78,IF($Z$2="2020年",'Offer Statistics'!F129)))</f>
        <v>1</v>
      </c>
      <c r="AF27" s="206">
        <f>IF($Z$2="2018年",'Offer Statistics'!G27,IF($Z$2="2019年",'Offer Statistics'!G78,IF($Z$2="2020年",'Offer Statistics'!G129)))</f>
        <v>0</v>
      </c>
      <c r="AG27" s="205"/>
      <c r="AH27" s="132">
        <f>IF($AG$2="2018年",'Offer Statistics'!P27,IF($AG$2="2019年",'Offer Statistics'!P78,IF($AG$2="2020年",'Offer Statistics'!P129)))</f>
        <v>1706</v>
      </c>
      <c r="AI27" s="206">
        <f>IF($AG$2="2018年",'Offer Statistics'!K27,IF($AG$2="2019年",'Offer Statistics'!K78,IF($AG$2="2020年",'Offer Statistics'!K129)))</f>
        <v>103</v>
      </c>
      <c r="AJ27" s="206">
        <f>IF($AG$2="2018年",'Offer Statistics'!L27,IF($AG$2="2019年",'Offer Statistics'!L78,IF($AG$2="2020年",'Offer Statistics'!L129)))</f>
        <v>188</v>
      </c>
      <c r="AK27" s="206">
        <f>IF($AG$2="2018年",'Offer Statistics'!M27,IF($AG$2="2019年",'Offer Statistics'!M78,IF($AG$2="2020年",'Offer Statistics'!M129)))</f>
        <v>392</v>
      </c>
      <c r="AL27" s="206">
        <f>IF($AG$2="2018年",'Offer Statistics'!N27,IF($AG$2="2019年",'Offer Statistics'!N78,IF($AG$2="2020年",'Offer Statistics'!N129)))</f>
        <v>574</v>
      </c>
      <c r="AM27" s="206">
        <f>IF($AG$2="2018年",'Offer Statistics'!O27,IF($AG$2="2019年",'Offer Statistics'!O78,IF($AG$2="2020年",'Offer Statistics'!O129)))</f>
        <v>449</v>
      </c>
      <c r="AN27" s="131"/>
      <c r="AO27" s="131" t="str">
        <f t="shared" si="3"/>
        <v>JS1102</v>
      </c>
      <c r="AP27" s="130"/>
      <c r="AQ27" s="130"/>
      <c r="AR27" s="130"/>
      <c r="AS27" s="130"/>
      <c r="AT27" s="130"/>
      <c r="AU27" s="130"/>
      <c r="AV27" s="130"/>
      <c r="AW27" s="130"/>
      <c r="AX27" s="130"/>
      <c r="AY27" s="130"/>
      <c r="AZ27" s="130"/>
      <c r="BA27" s="130"/>
      <c r="BB27" s="130"/>
      <c r="BC27" s="130"/>
      <c r="BD27" s="130"/>
    </row>
    <row r="28" ht="18.0" customHeight="1">
      <c r="A28" s="186" t="s">
        <v>1157</v>
      </c>
      <c r="B28" s="186" t="s">
        <v>1154</v>
      </c>
      <c r="C28" s="187" t="s">
        <v>1158</v>
      </c>
      <c r="D28" s="186" t="s">
        <v>1159</v>
      </c>
      <c r="E28" s="193" t="s">
        <v>191</v>
      </c>
      <c r="F28" s="189">
        <v>36.5</v>
      </c>
      <c r="G28" s="189">
        <v>35.0</v>
      </c>
      <c r="H28" s="190">
        <f>'計分版'!D51</f>
        <v>0.00000000335</v>
      </c>
      <c r="I28" s="191">
        <f t="shared" si="1"/>
        <v>-36.5</v>
      </c>
      <c r="J28" s="192">
        <f t="shared" si="2"/>
        <v>-10895522387</v>
      </c>
      <c r="K28" s="193">
        <v>45.0</v>
      </c>
      <c r="L28" s="208">
        <f>'入學要求'!S29</f>
        <v>0</v>
      </c>
      <c r="M28" s="188" t="s">
        <v>541</v>
      </c>
      <c r="N28" s="188">
        <v>3.0</v>
      </c>
      <c r="O28" s="188">
        <v>3.0</v>
      </c>
      <c r="P28" s="188">
        <v>2.0</v>
      </c>
      <c r="Q28" s="188">
        <v>2.0</v>
      </c>
      <c r="R28" s="188">
        <v>3.0</v>
      </c>
      <c r="S28" s="188">
        <v>3.0</v>
      </c>
      <c r="T28" s="195">
        <f>'入學要求'!L29</f>
        <v>0</v>
      </c>
      <c r="U28" s="195">
        <f>'入學要求'!M29</f>
        <v>0</v>
      </c>
      <c r="V28" s="195">
        <f>'入學要求'!N29</f>
        <v>0</v>
      </c>
      <c r="W28" s="195">
        <f>'入學要求'!O29</f>
        <v>0</v>
      </c>
      <c r="X28" s="195">
        <f>'入學要求'!P29</f>
        <v>0</v>
      </c>
      <c r="Y28" s="195">
        <f>'入學要求'!Q29</f>
        <v>0</v>
      </c>
      <c r="Z28" s="205"/>
      <c r="AA28" s="193">
        <f>IF($Z$2="2018年",'Offer Statistics'!H28,IF($Z$2="2019年",'Offer Statistics'!H79,IF($Z$2="2020年",'Offer Statistics'!H130)))</f>
        <v>43</v>
      </c>
      <c r="AB28" s="197">
        <f>IF($Z$2="2018年",'Offer Statistics'!C28,IF($Z$2="2019年",'Offer Statistics'!C79,IF($Z$2="2020年",'Offer Statistics'!C130)))</f>
        <v>32</v>
      </c>
      <c r="AC28" s="197">
        <f>IF($Z$2="2018年",'Offer Statistics'!D28,IF($Z$2="2019年",'Offer Statistics'!D79,IF($Z$2="2020年",'Offer Statistics'!D130)))</f>
        <v>6</v>
      </c>
      <c r="AD28" s="197">
        <f>IF($Z$2="2018年",'Offer Statistics'!E28,IF($Z$2="2019年",'Offer Statistics'!E79,IF($Z$2="2020年",'Offer Statistics'!E130)))</f>
        <v>3</v>
      </c>
      <c r="AE28" s="197">
        <f>IF($Z$2="2018年",'Offer Statistics'!F28,IF($Z$2="2019年",'Offer Statistics'!F79,IF($Z$2="2020年",'Offer Statistics'!F130)))</f>
        <v>1</v>
      </c>
      <c r="AF28" s="197">
        <f>IF($Z$2="2018年",'Offer Statistics'!G28,IF($Z$2="2019年",'Offer Statistics'!G79,IF($Z$2="2020年",'Offer Statistics'!G130)))</f>
        <v>1</v>
      </c>
      <c r="AG28" s="205"/>
      <c r="AH28" s="193">
        <f>IF($AG$2="2018年",'Offer Statistics'!P28,IF($AG$2="2019年",'Offer Statistics'!P79,IF($AG$2="2020年",'Offer Statistics'!P130)))</f>
        <v>2538</v>
      </c>
      <c r="AI28" s="197">
        <f>IF($AG$2="2018年",'Offer Statistics'!K28,IF($AG$2="2019年",'Offer Statistics'!K79,IF($AG$2="2020年",'Offer Statistics'!K130)))</f>
        <v>397</v>
      </c>
      <c r="AJ28" s="197">
        <f>IF($AG$2="2018年",'Offer Statistics'!L28,IF($AG$2="2019年",'Offer Statistics'!L79,IF($AG$2="2020年",'Offer Statistics'!L130)))</f>
        <v>454</v>
      </c>
      <c r="AK28" s="197">
        <f>IF($AG$2="2018年",'Offer Statistics'!M28,IF($AG$2="2019年",'Offer Statistics'!M79,IF($AG$2="2020年",'Offer Statistics'!M130)))</f>
        <v>569</v>
      </c>
      <c r="AL28" s="197">
        <f>IF($AG$2="2018年",'Offer Statistics'!N28,IF($AG$2="2019年",'Offer Statistics'!N79,IF($AG$2="2020年",'Offer Statistics'!N130)))</f>
        <v>640</v>
      </c>
      <c r="AM28" s="197">
        <f>IF($AG$2="2018年",'Offer Statistics'!O28,IF($AG$2="2019年",'Offer Statistics'!O79,IF($AG$2="2020年",'Offer Statistics'!O130)))</f>
        <v>478</v>
      </c>
      <c r="AN28" s="188"/>
      <c r="AO28" s="188" t="str">
        <f t="shared" si="3"/>
        <v>JS1103</v>
      </c>
      <c r="AP28" s="186"/>
      <c r="AQ28" s="186"/>
      <c r="AR28" s="186"/>
      <c r="AS28" s="186"/>
      <c r="AT28" s="186"/>
      <c r="AU28" s="186"/>
      <c r="AV28" s="186"/>
      <c r="AW28" s="186"/>
      <c r="AX28" s="186"/>
      <c r="AY28" s="186"/>
      <c r="AZ28" s="186"/>
      <c r="BA28" s="186"/>
      <c r="BB28" s="186"/>
      <c r="BC28" s="186"/>
      <c r="BD28" s="186"/>
    </row>
    <row r="29" ht="18.0" customHeight="1">
      <c r="A29" s="142" t="s">
        <v>1160</v>
      </c>
      <c r="B29" s="142" t="s">
        <v>1154</v>
      </c>
      <c r="C29" s="198" t="s">
        <v>1161</v>
      </c>
      <c r="D29" s="142" t="s">
        <v>1162</v>
      </c>
      <c r="E29" s="134" t="s">
        <v>191</v>
      </c>
      <c r="F29" s="199">
        <v>33.5</v>
      </c>
      <c r="G29" s="199">
        <v>33.5</v>
      </c>
      <c r="H29" s="200">
        <f>'計分版'!D52</f>
        <v>0.00000000335</v>
      </c>
      <c r="I29" s="201">
        <f t="shared" si="1"/>
        <v>-33.5</v>
      </c>
      <c r="J29" s="202">
        <f t="shared" si="2"/>
        <v>-9999999999</v>
      </c>
      <c r="K29" s="132">
        <v>26.0</v>
      </c>
      <c r="L29" s="203">
        <f>'入學要求'!S30</f>
        <v>0</v>
      </c>
      <c r="M29" s="131" t="s">
        <v>1077</v>
      </c>
      <c r="N29" s="131">
        <v>3.0</v>
      </c>
      <c r="O29" s="131">
        <v>3.0</v>
      </c>
      <c r="P29" s="131">
        <v>2.0</v>
      </c>
      <c r="Q29" s="131">
        <v>2.0</v>
      </c>
      <c r="R29" s="131">
        <v>3.0</v>
      </c>
      <c r="S29" s="131">
        <v>3.0</v>
      </c>
      <c r="T29" s="204">
        <f>'入學要求'!L30</f>
        <v>0</v>
      </c>
      <c r="U29" s="204">
        <f>'入學要求'!M30</f>
        <v>0</v>
      </c>
      <c r="V29" s="204">
        <f>'入學要求'!N30</f>
        <v>0</v>
      </c>
      <c r="W29" s="204">
        <f>'入學要求'!O30</f>
        <v>0</v>
      </c>
      <c r="X29" s="204">
        <f>'入學要求'!P30</f>
        <v>0</v>
      </c>
      <c r="Y29" s="204">
        <f>'入學要求'!Q30</f>
        <v>0</v>
      </c>
      <c r="Z29" s="205"/>
      <c r="AA29" s="132">
        <f>IF($Z$2="2018年",'Offer Statistics'!H29,IF($Z$2="2019年",'Offer Statistics'!H80,IF($Z$2="2020年",'Offer Statistics'!H131)))</f>
        <v>21</v>
      </c>
      <c r="AB29" s="206">
        <f>IF($Z$2="2018年",'Offer Statistics'!C29,IF($Z$2="2019年",'Offer Statistics'!C80,IF($Z$2="2020年",'Offer Statistics'!C131)))</f>
        <v>20</v>
      </c>
      <c r="AC29" s="206">
        <f>IF($Z$2="2018年",'Offer Statistics'!D29,IF($Z$2="2019年",'Offer Statistics'!D80,IF($Z$2="2020年",'Offer Statistics'!D131)))</f>
        <v>1</v>
      </c>
      <c r="AD29" s="206">
        <f>IF($Z$2="2018年",'Offer Statistics'!E29,IF($Z$2="2019年",'Offer Statistics'!E80,IF($Z$2="2020年",'Offer Statistics'!E131)))</f>
        <v>0</v>
      </c>
      <c r="AE29" s="206">
        <f>IF($Z$2="2018年",'Offer Statistics'!F29,IF($Z$2="2019年",'Offer Statistics'!F80,IF($Z$2="2020年",'Offer Statistics'!F131)))</f>
        <v>0</v>
      </c>
      <c r="AF29" s="206">
        <f>IF($Z$2="2018年",'Offer Statistics'!G29,IF($Z$2="2019年",'Offer Statistics'!G80,IF($Z$2="2020年",'Offer Statistics'!G131)))</f>
        <v>0</v>
      </c>
      <c r="AG29" s="205"/>
      <c r="AH29" s="132">
        <f>IF($AG$2="2018年",'Offer Statistics'!P29,IF($AG$2="2019年",'Offer Statistics'!P80,IF($AG$2="2020年",'Offer Statistics'!P131)))</f>
        <v>1330</v>
      </c>
      <c r="AI29" s="206">
        <f>IF($AG$2="2018年",'Offer Statistics'!K29,IF($AG$2="2019年",'Offer Statistics'!K80,IF($AG$2="2020年",'Offer Statistics'!K131)))</f>
        <v>162</v>
      </c>
      <c r="AJ29" s="206">
        <f>IF($AG$2="2018年",'Offer Statistics'!L29,IF($AG$2="2019年",'Offer Statistics'!L80,IF($AG$2="2020年",'Offer Statistics'!L131)))</f>
        <v>218</v>
      </c>
      <c r="AK29" s="206">
        <f>IF($AG$2="2018年",'Offer Statistics'!M29,IF($AG$2="2019年",'Offer Statistics'!M80,IF($AG$2="2020年",'Offer Statistics'!M131)))</f>
        <v>305</v>
      </c>
      <c r="AL29" s="206">
        <f>IF($AG$2="2018年",'Offer Statistics'!N29,IF($AG$2="2019年",'Offer Statistics'!N80,IF($AG$2="2020年",'Offer Statistics'!N131)))</f>
        <v>382</v>
      </c>
      <c r="AM29" s="206">
        <f>IF($AG$2="2018年",'Offer Statistics'!O29,IF($AG$2="2019年",'Offer Statistics'!O80,IF($AG$2="2020年",'Offer Statistics'!O131)))</f>
        <v>263</v>
      </c>
      <c r="AN29" s="131"/>
      <c r="AO29" s="131" t="str">
        <f t="shared" si="3"/>
        <v>JS1104</v>
      </c>
      <c r="AP29" s="130"/>
      <c r="AQ29" s="130"/>
      <c r="AR29" s="130"/>
      <c r="AS29" s="130"/>
      <c r="AT29" s="130"/>
      <c r="AU29" s="130"/>
      <c r="AV29" s="130"/>
      <c r="AW29" s="130"/>
      <c r="AX29" s="130"/>
      <c r="AY29" s="130"/>
      <c r="AZ29" s="130"/>
      <c r="BA29" s="130"/>
      <c r="BB29" s="130"/>
      <c r="BC29" s="130"/>
      <c r="BD29" s="130"/>
    </row>
    <row r="30" ht="18.0" customHeight="1">
      <c r="A30" s="186" t="s">
        <v>1163</v>
      </c>
      <c r="B30" s="186" t="s">
        <v>1154</v>
      </c>
      <c r="C30" s="187" t="s">
        <v>1164</v>
      </c>
      <c r="D30" s="186" t="s">
        <v>1165</v>
      </c>
      <c r="E30" s="193" t="s">
        <v>191</v>
      </c>
      <c r="F30" s="189">
        <v>30.0</v>
      </c>
      <c r="G30" s="189">
        <v>28.5</v>
      </c>
      <c r="H30" s="190">
        <f>'計分版'!D53</f>
        <v>0.0000000031</v>
      </c>
      <c r="I30" s="191">
        <f t="shared" si="1"/>
        <v>-30</v>
      </c>
      <c r="J30" s="192">
        <f t="shared" si="2"/>
        <v>-9677419354</v>
      </c>
      <c r="K30" s="193">
        <v>39.0</v>
      </c>
      <c r="L30" s="208">
        <f>'入學要求'!S31</f>
        <v>0</v>
      </c>
      <c r="M30" s="207" t="s">
        <v>1166</v>
      </c>
      <c r="N30" s="188">
        <v>3.0</v>
      </c>
      <c r="O30" s="188">
        <v>3.0</v>
      </c>
      <c r="P30" s="188">
        <v>2.0</v>
      </c>
      <c r="Q30" s="188">
        <v>2.0</v>
      </c>
      <c r="R30" s="188">
        <v>3.0</v>
      </c>
      <c r="S30" s="188">
        <v>3.0</v>
      </c>
      <c r="T30" s="195">
        <f>'入學要求'!L31</f>
        <v>0</v>
      </c>
      <c r="U30" s="195">
        <f>'入學要求'!M31</f>
        <v>0</v>
      </c>
      <c r="V30" s="195">
        <f>'入學要求'!N31</f>
        <v>0</v>
      </c>
      <c r="W30" s="195">
        <f>'入學要求'!O31</f>
        <v>0</v>
      </c>
      <c r="X30" s="195">
        <f>'入學要求'!P31</f>
        <v>0</v>
      </c>
      <c r="Y30" s="195">
        <f>'入學要求'!Q31</f>
        <v>0</v>
      </c>
      <c r="Z30" s="205"/>
      <c r="AA30" s="193">
        <f>IF($Z$2="2018年",'Offer Statistics'!H30,IF($Z$2="2019年",'Offer Statistics'!H81,IF($Z$2="2020年",'Offer Statistics'!H132)))</f>
        <v>37</v>
      </c>
      <c r="AB30" s="197">
        <f>IF($Z$2="2018年",'Offer Statistics'!C30,IF($Z$2="2019年",'Offer Statistics'!C81,IF($Z$2="2020年",'Offer Statistics'!C132)))</f>
        <v>28</v>
      </c>
      <c r="AC30" s="197">
        <f>IF($Z$2="2018年",'Offer Statistics'!D30,IF($Z$2="2019年",'Offer Statistics'!D81,IF($Z$2="2020年",'Offer Statistics'!D132)))</f>
        <v>1</v>
      </c>
      <c r="AD30" s="197">
        <f>IF($Z$2="2018年",'Offer Statistics'!E30,IF($Z$2="2019年",'Offer Statistics'!E81,IF($Z$2="2020年",'Offer Statistics'!E132)))</f>
        <v>2</v>
      </c>
      <c r="AE30" s="197">
        <f>IF($Z$2="2018年",'Offer Statistics'!F30,IF($Z$2="2019年",'Offer Statistics'!F81,IF($Z$2="2020年",'Offer Statistics'!F132)))</f>
        <v>4</v>
      </c>
      <c r="AF30" s="197">
        <f>IF($Z$2="2018年",'Offer Statistics'!G30,IF($Z$2="2019年",'Offer Statistics'!G81,IF($Z$2="2020年",'Offer Statistics'!G132)))</f>
        <v>2</v>
      </c>
      <c r="AG30" s="205"/>
      <c r="AH30" s="193">
        <f>IF($AG$2="2018年",'Offer Statistics'!P30,IF($AG$2="2019年",'Offer Statistics'!P81,IF($AG$2="2020年",'Offer Statistics'!P132)))</f>
        <v>1942</v>
      </c>
      <c r="AI30" s="197">
        <f>IF($AG$2="2018年",'Offer Statistics'!K30,IF($AG$2="2019年",'Offer Statistics'!K81,IF($AG$2="2020年",'Offer Statistics'!K132)))</f>
        <v>172</v>
      </c>
      <c r="AJ30" s="197">
        <f>IF($AG$2="2018年",'Offer Statistics'!L30,IF($AG$2="2019年",'Offer Statistics'!L81,IF($AG$2="2020年",'Offer Statistics'!L132)))</f>
        <v>296</v>
      </c>
      <c r="AK30" s="197">
        <f>IF($AG$2="2018年",'Offer Statistics'!M30,IF($AG$2="2019年",'Offer Statistics'!M81,IF($AG$2="2020年",'Offer Statistics'!M132)))</f>
        <v>440</v>
      </c>
      <c r="AL30" s="197">
        <f>IF($AG$2="2018年",'Offer Statistics'!N30,IF($AG$2="2019年",'Offer Statistics'!N81,IF($AG$2="2020年",'Offer Statistics'!N132)))</f>
        <v>581</v>
      </c>
      <c r="AM30" s="197">
        <f>IF($AG$2="2018年",'Offer Statistics'!O30,IF($AG$2="2019年",'Offer Statistics'!O81,IF($AG$2="2020年",'Offer Statistics'!O132)))</f>
        <v>453</v>
      </c>
      <c r="AN30" s="188"/>
      <c r="AO30" s="188" t="str">
        <f t="shared" si="3"/>
        <v>JS1105</v>
      </c>
      <c r="AP30" s="186"/>
      <c r="AQ30" s="186"/>
      <c r="AR30" s="186"/>
      <c r="AS30" s="186"/>
      <c r="AT30" s="186"/>
      <c r="AU30" s="186"/>
      <c r="AV30" s="186"/>
      <c r="AW30" s="186"/>
      <c r="AX30" s="186"/>
      <c r="AY30" s="186"/>
      <c r="AZ30" s="186"/>
      <c r="BA30" s="186"/>
      <c r="BB30" s="186"/>
      <c r="BC30" s="186"/>
      <c r="BD30" s="186"/>
    </row>
    <row r="31" ht="18.0" customHeight="1">
      <c r="A31" s="142" t="s">
        <v>1167</v>
      </c>
      <c r="B31" s="142" t="s">
        <v>1154</v>
      </c>
      <c r="C31" s="198" t="s">
        <v>1168</v>
      </c>
      <c r="D31" s="142" t="s">
        <v>1169</v>
      </c>
      <c r="E31" s="134" t="s">
        <v>191</v>
      </c>
      <c r="F31" s="199">
        <v>23.0</v>
      </c>
      <c r="G31" s="199">
        <v>22.25</v>
      </c>
      <c r="H31" s="200">
        <f>'計分版'!D54</f>
        <v>0.00000000395</v>
      </c>
      <c r="I31" s="201">
        <f t="shared" si="1"/>
        <v>-23</v>
      </c>
      <c r="J31" s="202">
        <f t="shared" si="2"/>
        <v>-5822784809</v>
      </c>
      <c r="K31" s="132">
        <v>49.0</v>
      </c>
      <c r="L31" s="203">
        <f>'入學要求'!S32</f>
        <v>0</v>
      </c>
      <c r="M31" s="131" t="s">
        <v>541</v>
      </c>
      <c r="N31" s="131">
        <v>3.0</v>
      </c>
      <c r="O31" s="131">
        <v>3.0</v>
      </c>
      <c r="P31" s="131">
        <v>2.0</v>
      </c>
      <c r="Q31" s="131">
        <v>2.0</v>
      </c>
      <c r="R31" s="131">
        <v>3.0</v>
      </c>
      <c r="S31" s="131">
        <v>3.0</v>
      </c>
      <c r="T31" s="204">
        <f>'入學要求'!L32</f>
        <v>0</v>
      </c>
      <c r="U31" s="204">
        <f>'入學要求'!M32</f>
        <v>0</v>
      </c>
      <c r="V31" s="204">
        <f>'入學要求'!N32</f>
        <v>0</v>
      </c>
      <c r="W31" s="204">
        <f>'入學要求'!O32</f>
        <v>0</v>
      </c>
      <c r="X31" s="204">
        <f>'入學要求'!P32</f>
        <v>0</v>
      </c>
      <c r="Y31" s="204">
        <f>'入學要求'!Q32</f>
        <v>0</v>
      </c>
      <c r="Z31" s="205"/>
      <c r="AA31" s="132">
        <f>IF($Z$2="2018年",'Offer Statistics'!H31,IF($Z$2="2019年",'Offer Statistics'!H82,IF($Z$2="2020年",'Offer Statistics'!H133)))</f>
        <v>43</v>
      </c>
      <c r="AB31" s="206">
        <f>IF($Z$2="2018年",'Offer Statistics'!C31,IF($Z$2="2019年",'Offer Statistics'!C82,IF($Z$2="2020年",'Offer Statistics'!C133)))</f>
        <v>40</v>
      </c>
      <c r="AC31" s="206">
        <f>IF($Z$2="2018年",'Offer Statistics'!D31,IF($Z$2="2019年",'Offer Statistics'!D82,IF($Z$2="2020年",'Offer Statistics'!D133)))</f>
        <v>1</v>
      </c>
      <c r="AD31" s="206">
        <f>IF($Z$2="2018年",'Offer Statistics'!E31,IF($Z$2="2019年",'Offer Statistics'!E82,IF($Z$2="2020年",'Offer Statistics'!E133)))</f>
        <v>0</v>
      </c>
      <c r="AE31" s="206">
        <f>IF($Z$2="2018年",'Offer Statistics'!F31,IF($Z$2="2019年",'Offer Statistics'!F82,IF($Z$2="2020年",'Offer Statistics'!F133)))</f>
        <v>2</v>
      </c>
      <c r="AF31" s="206">
        <f>IF($Z$2="2018年",'Offer Statistics'!G31,IF($Z$2="2019年",'Offer Statistics'!G82,IF($Z$2="2020年",'Offer Statistics'!G133)))</f>
        <v>0</v>
      </c>
      <c r="AG31" s="205"/>
      <c r="AH31" s="132">
        <f>IF($AG$2="2018年",'Offer Statistics'!P31,IF($AG$2="2019年",'Offer Statistics'!P82,IF($AG$2="2020年",'Offer Statistics'!P133)))</f>
        <v>4576</v>
      </c>
      <c r="AI31" s="206">
        <f>IF($AG$2="2018年",'Offer Statistics'!K31,IF($AG$2="2019年",'Offer Statistics'!K82,IF($AG$2="2020年",'Offer Statistics'!K133)))</f>
        <v>700</v>
      </c>
      <c r="AJ31" s="206">
        <f>IF($AG$2="2018年",'Offer Statistics'!L31,IF($AG$2="2019年",'Offer Statistics'!L82,IF($AG$2="2020年",'Offer Statistics'!L133)))</f>
        <v>685</v>
      </c>
      <c r="AK31" s="206">
        <f>IF($AG$2="2018年",'Offer Statistics'!M31,IF($AG$2="2019年",'Offer Statistics'!M82,IF($AG$2="2020年",'Offer Statistics'!M133)))</f>
        <v>1037</v>
      </c>
      <c r="AL31" s="206">
        <f>IF($AG$2="2018年",'Offer Statistics'!N31,IF($AG$2="2019年",'Offer Statistics'!N82,IF($AG$2="2020年",'Offer Statistics'!N133)))</f>
        <v>1219</v>
      </c>
      <c r="AM31" s="206">
        <f>IF($AG$2="2018年",'Offer Statistics'!O31,IF($AG$2="2019年",'Offer Statistics'!O82,IF($AG$2="2020年",'Offer Statistics'!O133)))</f>
        <v>935</v>
      </c>
      <c r="AN31" s="131"/>
      <c r="AO31" s="131" t="str">
        <f t="shared" si="3"/>
        <v>JS1106</v>
      </c>
      <c r="AP31" s="130"/>
      <c r="AQ31" s="130"/>
      <c r="AR31" s="130"/>
      <c r="AS31" s="130"/>
      <c r="AT31" s="130"/>
      <c r="AU31" s="130"/>
      <c r="AV31" s="130"/>
      <c r="AW31" s="130"/>
      <c r="AX31" s="130"/>
      <c r="AY31" s="130"/>
      <c r="AZ31" s="130"/>
      <c r="BA31" s="130"/>
      <c r="BB31" s="130"/>
      <c r="BC31" s="130"/>
      <c r="BD31" s="130"/>
    </row>
    <row r="32" ht="18.0" customHeight="1">
      <c r="A32" s="186" t="s">
        <v>1170</v>
      </c>
      <c r="B32" s="186" t="s">
        <v>1154</v>
      </c>
      <c r="C32" s="187" t="s">
        <v>1171</v>
      </c>
      <c r="D32" s="186" t="s">
        <v>1172</v>
      </c>
      <c r="E32" s="211" t="s">
        <v>191</v>
      </c>
      <c r="F32" s="189">
        <v>30.0</v>
      </c>
      <c r="G32" s="189">
        <v>29.0</v>
      </c>
      <c r="H32" s="190">
        <f>'計分版'!D55</f>
        <v>0.00000000325</v>
      </c>
      <c r="I32" s="191">
        <f t="shared" si="1"/>
        <v>-30</v>
      </c>
      <c r="J32" s="192">
        <f t="shared" si="2"/>
        <v>-9230769230</v>
      </c>
      <c r="K32" s="193">
        <v>72.0</v>
      </c>
      <c r="L32" s="208">
        <f>'入學要求'!S33</f>
        <v>0</v>
      </c>
      <c r="M32" s="188" t="s">
        <v>541</v>
      </c>
      <c r="N32" s="188">
        <v>3.0</v>
      </c>
      <c r="O32" s="188">
        <v>3.0</v>
      </c>
      <c r="P32" s="188">
        <v>2.0</v>
      </c>
      <c r="Q32" s="188">
        <v>2.0</v>
      </c>
      <c r="R32" s="188">
        <v>3.0</v>
      </c>
      <c r="S32" s="188">
        <v>3.0</v>
      </c>
      <c r="T32" s="195">
        <f>'入學要求'!L33</f>
        <v>0</v>
      </c>
      <c r="U32" s="195">
        <f>'入學要求'!M33</f>
        <v>0</v>
      </c>
      <c r="V32" s="195">
        <f>'入學要求'!N33</f>
        <v>0</v>
      </c>
      <c r="W32" s="195">
        <f>'入學要求'!O33</f>
        <v>0</v>
      </c>
      <c r="X32" s="195">
        <f>'入學要求'!P33</f>
        <v>0</v>
      </c>
      <c r="Y32" s="195">
        <f>'入學要求'!Q33</f>
        <v>0</v>
      </c>
      <c r="Z32" s="205"/>
      <c r="AA32" s="193">
        <f>IF($Z$2="2018年",'Offer Statistics'!H32,IF($Z$2="2019年",'Offer Statistics'!H83,IF($Z$2="2020年",'Offer Statistics'!H134)))</f>
        <v>65</v>
      </c>
      <c r="AB32" s="197">
        <f>IF($Z$2="2018年",'Offer Statistics'!C32,IF($Z$2="2019年",'Offer Statistics'!C83,IF($Z$2="2020年",'Offer Statistics'!C134)))</f>
        <v>58</v>
      </c>
      <c r="AC32" s="197">
        <f>IF($Z$2="2018年",'Offer Statistics'!D32,IF($Z$2="2019年",'Offer Statistics'!D83,IF($Z$2="2020年",'Offer Statistics'!D134)))</f>
        <v>7</v>
      </c>
      <c r="AD32" s="197">
        <f>IF($Z$2="2018年",'Offer Statistics'!E32,IF($Z$2="2019年",'Offer Statistics'!E83,IF($Z$2="2020年",'Offer Statistics'!E134)))</f>
        <v>0</v>
      </c>
      <c r="AE32" s="197">
        <f>IF($Z$2="2018年",'Offer Statistics'!F32,IF($Z$2="2019年",'Offer Statistics'!F83,IF($Z$2="2020年",'Offer Statistics'!F134)))</f>
        <v>0</v>
      </c>
      <c r="AF32" s="197">
        <f>IF($Z$2="2018年",'Offer Statistics'!G32,IF($Z$2="2019年",'Offer Statistics'!G83,IF($Z$2="2020年",'Offer Statistics'!G134)))</f>
        <v>0</v>
      </c>
      <c r="AG32" s="205"/>
      <c r="AH32" s="193">
        <f>IF($AG$2="2018年",'Offer Statistics'!P32,IF($AG$2="2019年",'Offer Statistics'!P83,IF($AG$2="2020年",'Offer Statistics'!P134)))</f>
        <v>2162</v>
      </c>
      <c r="AI32" s="197">
        <f>IF($AG$2="2018年",'Offer Statistics'!K32,IF($AG$2="2019年",'Offer Statistics'!K83,IF($AG$2="2020年",'Offer Statistics'!K134)))</f>
        <v>258</v>
      </c>
      <c r="AJ32" s="197">
        <f>IF($AG$2="2018年",'Offer Statistics'!L32,IF($AG$2="2019年",'Offer Statistics'!L83,IF($AG$2="2020年",'Offer Statistics'!L134)))</f>
        <v>328</v>
      </c>
      <c r="AK32" s="197">
        <f>IF($AG$2="2018年",'Offer Statistics'!M32,IF($AG$2="2019年",'Offer Statistics'!M83,IF($AG$2="2020年",'Offer Statistics'!M134)))</f>
        <v>479</v>
      </c>
      <c r="AL32" s="197">
        <f>IF($AG$2="2018年",'Offer Statistics'!N32,IF($AG$2="2019年",'Offer Statistics'!N83,IF($AG$2="2020年",'Offer Statistics'!N134)))</f>
        <v>617</v>
      </c>
      <c r="AM32" s="197">
        <f>IF($AG$2="2018年",'Offer Statistics'!O32,IF($AG$2="2019年",'Offer Statistics'!O83,IF($AG$2="2020年",'Offer Statistics'!O134)))</f>
        <v>480</v>
      </c>
      <c r="AN32" s="188"/>
      <c r="AO32" s="188" t="str">
        <f t="shared" si="3"/>
        <v>JS1108</v>
      </c>
      <c r="AP32" s="186"/>
      <c r="AQ32" s="186"/>
      <c r="AR32" s="186"/>
      <c r="AS32" s="186"/>
      <c r="AT32" s="186"/>
      <c r="AU32" s="186"/>
      <c r="AV32" s="186"/>
      <c r="AW32" s="186"/>
      <c r="AX32" s="186"/>
      <c r="AY32" s="186"/>
      <c r="AZ32" s="186"/>
      <c r="BA32" s="186"/>
      <c r="BB32" s="186"/>
      <c r="BC32" s="186"/>
      <c r="BD32" s="186"/>
    </row>
    <row r="33" ht="18.0" customHeight="1">
      <c r="A33" s="142" t="s">
        <v>1173</v>
      </c>
      <c r="B33" s="142" t="s">
        <v>1154</v>
      </c>
      <c r="C33" s="198" t="s">
        <v>1174</v>
      </c>
      <c r="D33" s="142" t="s">
        <v>1175</v>
      </c>
      <c r="E33" s="132" t="s">
        <v>191</v>
      </c>
      <c r="F33" s="199">
        <v>30.0</v>
      </c>
      <c r="G33" s="199">
        <v>30.0</v>
      </c>
      <c r="H33" s="200">
        <f>'計分版'!D56</f>
        <v>0.00000000305</v>
      </c>
      <c r="I33" s="201">
        <f t="shared" si="1"/>
        <v>-30</v>
      </c>
      <c r="J33" s="202">
        <f t="shared" si="2"/>
        <v>-9836065573</v>
      </c>
      <c r="K33" s="132">
        <v>18.0</v>
      </c>
      <c r="L33" s="203">
        <f>'入學要求'!S34</f>
        <v>0</v>
      </c>
      <c r="M33" s="210" t="s">
        <v>541</v>
      </c>
      <c r="N33" s="131">
        <v>3.0</v>
      </c>
      <c r="O33" s="131">
        <v>3.0</v>
      </c>
      <c r="P33" s="131">
        <v>2.0</v>
      </c>
      <c r="Q33" s="131">
        <v>2.0</v>
      </c>
      <c r="R33" s="131">
        <v>3.0</v>
      </c>
      <c r="S33" s="131">
        <v>3.0</v>
      </c>
      <c r="T33" s="204">
        <f>'入學要求'!L34</f>
        <v>0</v>
      </c>
      <c r="U33" s="204">
        <f>'入學要求'!M34</f>
        <v>0</v>
      </c>
      <c r="V33" s="204">
        <f>'入學要求'!N34</f>
        <v>0</v>
      </c>
      <c r="W33" s="204">
        <f>'入學要求'!O34</f>
        <v>0</v>
      </c>
      <c r="X33" s="204">
        <f>'入學要求'!P34</f>
        <v>0</v>
      </c>
      <c r="Y33" s="204">
        <f>'入學要求'!Q34</f>
        <v>0</v>
      </c>
      <c r="Z33" s="205"/>
      <c r="AA33" s="132">
        <f>IF($Z$2="2018年",'Offer Statistics'!H33,IF($Z$2="2019年",'Offer Statistics'!H84,IF($Z$2="2020年",'Offer Statistics'!H135)))</f>
        <v>20</v>
      </c>
      <c r="AB33" s="206">
        <f>IF($Z$2="2018年",'Offer Statistics'!C33,IF($Z$2="2019年",'Offer Statistics'!C84,IF($Z$2="2020年",'Offer Statistics'!C135)))</f>
        <v>18</v>
      </c>
      <c r="AC33" s="206">
        <f>IF($Z$2="2018年",'Offer Statistics'!D33,IF($Z$2="2019年",'Offer Statistics'!D84,IF($Z$2="2020年",'Offer Statistics'!D135)))</f>
        <v>2</v>
      </c>
      <c r="AD33" s="206">
        <f>IF($Z$2="2018年",'Offer Statistics'!E33,IF($Z$2="2019年",'Offer Statistics'!E84,IF($Z$2="2020年",'Offer Statistics'!E135)))</f>
        <v>0</v>
      </c>
      <c r="AE33" s="206">
        <f>IF($Z$2="2018年",'Offer Statistics'!F33,IF($Z$2="2019年",'Offer Statistics'!F84,IF($Z$2="2020年",'Offer Statistics'!F135)))</f>
        <v>0</v>
      </c>
      <c r="AF33" s="206">
        <f>IF($Z$2="2018年",'Offer Statistics'!G33,IF($Z$2="2019年",'Offer Statistics'!G84,IF($Z$2="2020年",'Offer Statistics'!G135)))</f>
        <v>0</v>
      </c>
      <c r="AG33" s="205"/>
      <c r="AH33" s="132">
        <f>IF($AG$2="2018年",'Offer Statistics'!P33,IF($AG$2="2019年",'Offer Statistics'!P84,IF($AG$2="2020年",'Offer Statistics'!P135)))</f>
        <v>4601</v>
      </c>
      <c r="AI33" s="206">
        <f>IF($AG$2="2018年",'Offer Statistics'!K33,IF($AG$2="2019年",'Offer Statistics'!K84,IF($AG$2="2020年",'Offer Statistics'!K135)))</f>
        <v>462</v>
      </c>
      <c r="AJ33" s="206">
        <f>IF($AG$2="2018年",'Offer Statistics'!L33,IF($AG$2="2019年",'Offer Statistics'!L84,IF($AG$2="2020年",'Offer Statistics'!L135)))</f>
        <v>646</v>
      </c>
      <c r="AK33" s="206">
        <f>IF($AG$2="2018年",'Offer Statistics'!M33,IF($AG$2="2019年",'Offer Statistics'!M84,IF($AG$2="2020年",'Offer Statistics'!M135)))</f>
        <v>1034</v>
      </c>
      <c r="AL33" s="206">
        <f>IF($AG$2="2018年",'Offer Statistics'!N33,IF($AG$2="2019年",'Offer Statistics'!N84,IF($AG$2="2020年",'Offer Statistics'!N135)))</f>
        <v>1414</v>
      </c>
      <c r="AM33" s="206">
        <f>IF($AG$2="2018年",'Offer Statistics'!O33,IF($AG$2="2019年",'Offer Statistics'!O84,IF($AG$2="2020年",'Offer Statistics'!O135)))</f>
        <v>1045</v>
      </c>
      <c r="AN33" s="131"/>
      <c r="AO33" s="131" t="str">
        <f t="shared" si="3"/>
        <v>JS1110</v>
      </c>
      <c r="AP33" s="130"/>
      <c r="AQ33" s="130"/>
      <c r="AR33" s="130"/>
      <c r="AS33" s="130"/>
      <c r="AT33" s="130"/>
      <c r="AU33" s="130"/>
      <c r="AV33" s="130"/>
      <c r="AW33" s="130"/>
      <c r="AX33" s="130"/>
      <c r="AY33" s="130"/>
      <c r="AZ33" s="130"/>
      <c r="BA33" s="130"/>
      <c r="BB33" s="130"/>
      <c r="BC33" s="130"/>
      <c r="BD33" s="130"/>
    </row>
    <row r="34" ht="18.0" customHeight="1">
      <c r="A34" s="186" t="s">
        <v>1176</v>
      </c>
      <c r="B34" s="186" t="s">
        <v>1154</v>
      </c>
      <c r="C34" s="187" t="s">
        <v>1177</v>
      </c>
      <c r="D34" s="186" t="s">
        <v>1178</v>
      </c>
      <c r="E34" s="193" t="s">
        <v>191</v>
      </c>
      <c r="F34" s="189">
        <v>28.0</v>
      </c>
      <c r="G34" s="189">
        <v>28.0</v>
      </c>
      <c r="H34" s="190">
        <f>'計分版'!D57</f>
        <v>0.00000000305</v>
      </c>
      <c r="I34" s="191">
        <f t="shared" si="1"/>
        <v>-28</v>
      </c>
      <c r="J34" s="192">
        <f t="shared" si="2"/>
        <v>-9180327868</v>
      </c>
      <c r="K34" s="193">
        <v>24.0</v>
      </c>
      <c r="L34" s="208">
        <f>'入學要求'!S35</f>
        <v>0</v>
      </c>
      <c r="M34" s="205"/>
      <c r="N34" s="188">
        <v>3.0</v>
      </c>
      <c r="O34" s="188">
        <v>3.0</v>
      </c>
      <c r="P34" s="188">
        <v>2.0</v>
      </c>
      <c r="Q34" s="188">
        <v>2.0</v>
      </c>
      <c r="R34" s="188">
        <v>3.0</v>
      </c>
      <c r="S34" s="188">
        <v>3.0</v>
      </c>
      <c r="T34" s="195">
        <f>'入學要求'!L35</f>
        <v>0</v>
      </c>
      <c r="U34" s="195">
        <f>'入學要求'!M35</f>
        <v>0</v>
      </c>
      <c r="V34" s="195">
        <f>'入學要求'!N35</f>
        <v>0</v>
      </c>
      <c r="W34" s="195">
        <f>'入學要求'!O35</f>
        <v>0</v>
      </c>
      <c r="X34" s="195">
        <f>'入學要求'!P35</f>
        <v>0</v>
      </c>
      <c r="Y34" s="195">
        <f>'入學要求'!Q35</f>
        <v>0</v>
      </c>
      <c r="Z34" s="205"/>
      <c r="AA34" s="193">
        <f>IF($Z$2="2018年",'Offer Statistics'!H34,IF($Z$2="2019年",'Offer Statistics'!H85,IF($Z$2="2020年",'Offer Statistics'!H136)))</f>
        <v>25</v>
      </c>
      <c r="AB34" s="197">
        <f>IF($Z$2="2018年",'Offer Statistics'!C34,IF($Z$2="2019年",'Offer Statistics'!C85,IF($Z$2="2020年",'Offer Statistics'!C136)))</f>
        <v>20</v>
      </c>
      <c r="AC34" s="197">
        <f>IF($Z$2="2018年",'Offer Statistics'!D34,IF($Z$2="2019年",'Offer Statistics'!D85,IF($Z$2="2020年",'Offer Statistics'!D136)))</f>
        <v>2</v>
      </c>
      <c r="AD34" s="197">
        <f>IF($Z$2="2018年",'Offer Statistics'!E34,IF($Z$2="2019年",'Offer Statistics'!E85,IF($Z$2="2020年",'Offer Statistics'!E136)))</f>
        <v>2</v>
      </c>
      <c r="AE34" s="197">
        <f>IF($Z$2="2018年",'Offer Statistics'!F34,IF($Z$2="2019年",'Offer Statistics'!F85,IF($Z$2="2020年",'Offer Statistics'!F136)))</f>
        <v>0</v>
      </c>
      <c r="AF34" s="197">
        <f>IF($Z$2="2018年",'Offer Statistics'!G34,IF($Z$2="2019年",'Offer Statistics'!G85,IF($Z$2="2020年",'Offer Statistics'!G136)))</f>
        <v>1</v>
      </c>
      <c r="AG34" s="205"/>
      <c r="AH34" s="193">
        <f>IF($AG$2="2018年",'Offer Statistics'!P34,IF($AG$2="2019年",'Offer Statistics'!P85,IF($AG$2="2020年",'Offer Statistics'!P136)))</f>
        <v>3698</v>
      </c>
      <c r="AI34" s="197">
        <f>IF($AG$2="2018年",'Offer Statistics'!K34,IF($AG$2="2019年",'Offer Statistics'!K85,IF($AG$2="2020年",'Offer Statistics'!K136)))</f>
        <v>314</v>
      </c>
      <c r="AJ34" s="197">
        <f>IF($AG$2="2018年",'Offer Statistics'!L34,IF($AG$2="2019年",'Offer Statistics'!L85,IF($AG$2="2020年",'Offer Statistics'!L136)))</f>
        <v>456</v>
      </c>
      <c r="AK34" s="197">
        <f>IF($AG$2="2018年",'Offer Statistics'!M34,IF($AG$2="2019年",'Offer Statistics'!M85,IF($AG$2="2020年",'Offer Statistics'!M136)))</f>
        <v>892</v>
      </c>
      <c r="AL34" s="197">
        <f>IF($AG$2="2018年",'Offer Statistics'!N34,IF($AG$2="2019年",'Offer Statistics'!N85,IF($AG$2="2020年",'Offer Statistics'!N136)))</f>
        <v>1169</v>
      </c>
      <c r="AM34" s="197">
        <f>IF($AG$2="2018年",'Offer Statistics'!O34,IF($AG$2="2019年",'Offer Statistics'!O85,IF($AG$2="2020年",'Offer Statistics'!O136)))</f>
        <v>867</v>
      </c>
      <c r="AN34" s="188"/>
      <c r="AO34" s="188" t="str">
        <f t="shared" si="3"/>
        <v>JS1111</v>
      </c>
      <c r="AP34" s="186"/>
      <c r="AQ34" s="186"/>
      <c r="AR34" s="186"/>
      <c r="AS34" s="186"/>
      <c r="AT34" s="186"/>
      <c r="AU34" s="186"/>
      <c r="AV34" s="186"/>
      <c r="AW34" s="186"/>
      <c r="AX34" s="186"/>
      <c r="AY34" s="186"/>
      <c r="AZ34" s="186"/>
      <c r="BA34" s="186"/>
      <c r="BB34" s="186"/>
      <c r="BC34" s="186"/>
      <c r="BD34" s="186"/>
    </row>
    <row r="35" ht="18.0" customHeight="1">
      <c r="A35" s="142" t="s">
        <v>1179</v>
      </c>
      <c r="B35" s="142" t="s">
        <v>1154</v>
      </c>
      <c r="C35" s="198" t="s">
        <v>1180</v>
      </c>
      <c r="D35" s="142" t="s">
        <v>1181</v>
      </c>
      <c r="E35" s="132" t="s">
        <v>191</v>
      </c>
      <c r="F35" s="199">
        <v>29.0</v>
      </c>
      <c r="G35" s="199">
        <v>29.0</v>
      </c>
      <c r="H35" s="200">
        <f>'計分版'!D58</f>
        <v>0.00000000305</v>
      </c>
      <c r="I35" s="201">
        <f t="shared" si="1"/>
        <v>-29</v>
      </c>
      <c r="J35" s="202">
        <f t="shared" si="2"/>
        <v>-9508196720</v>
      </c>
      <c r="K35" s="132">
        <v>17.0</v>
      </c>
      <c r="L35" s="203">
        <f>'入學要求'!S36</f>
        <v>0</v>
      </c>
      <c r="M35" s="205"/>
      <c r="N35" s="131">
        <v>3.0</v>
      </c>
      <c r="O35" s="131">
        <v>3.0</v>
      </c>
      <c r="P35" s="213">
        <v>2.0</v>
      </c>
      <c r="Q35" s="131">
        <v>2.0</v>
      </c>
      <c r="R35" s="131">
        <v>3.0</v>
      </c>
      <c r="S35" s="131">
        <v>3.0</v>
      </c>
      <c r="T35" s="204">
        <f>'入學要求'!L36</f>
        <v>0</v>
      </c>
      <c r="U35" s="204">
        <f>'入學要求'!M36</f>
        <v>0</v>
      </c>
      <c r="V35" s="204">
        <f>'入學要求'!N36</f>
        <v>0</v>
      </c>
      <c r="W35" s="204">
        <f>'入學要求'!O36</f>
        <v>0</v>
      </c>
      <c r="X35" s="204">
        <f>'入學要求'!P36</f>
        <v>0</v>
      </c>
      <c r="Y35" s="204">
        <f>'入學要求'!Q36</f>
        <v>0</v>
      </c>
      <c r="Z35" s="205"/>
      <c r="AA35" s="132">
        <f>IF($Z$2="2018年",'Offer Statistics'!H35,IF($Z$2="2019年",'Offer Statistics'!H86,IF($Z$2="2020年",'Offer Statistics'!H137)))</f>
        <v>18</v>
      </c>
      <c r="AB35" s="206">
        <f>IF($Z$2="2018年",'Offer Statistics'!C35,IF($Z$2="2019年",'Offer Statistics'!C86,IF($Z$2="2020年",'Offer Statistics'!C137)))</f>
        <v>18</v>
      </c>
      <c r="AC35" s="206">
        <f>IF($Z$2="2018年",'Offer Statistics'!D35,IF($Z$2="2019年",'Offer Statistics'!D86,IF($Z$2="2020年",'Offer Statistics'!D137)))</f>
        <v>0</v>
      </c>
      <c r="AD35" s="206">
        <f>IF($Z$2="2018年",'Offer Statistics'!E35,IF($Z$2="2019年",'Offer Statistics'!E86,IF($Z$2="2020年",'Offer Statistics'!E137)))</f>
        <v>0</v>
      </c>
      <c r="AE35" s="206">
        <f>IF($Z$2="2018年",'Offer Statistics'!F35,IF($Z$2="2019年",'Offer Statistics'!F86,IF($Z$2="2020年",'Offer Statistics'!F137)))</f>
        <v>0</v>
      </c>
      <c r="AF35" s="206">
        <f>IF($Z$2="2018年",'Offer Statistics'!G35,IF($Z$2="2019年",'Offer Statistics'!G86,IF($Z$2="2020年",'Offer Statistics'!G137)))</f>
        <v>0</v>
      </c>
      <c r="AG35" s="205"/>
      <c r="AH35" s="132">
        <f>IF($AG$2="2018年",'Offer Statistics'!P35,IF($AG$2="2019年",'Offer Statistics'!P86,IF($AG$2="2020年",'Offer Statistics'!P137)))</f>
        <v>4334</v>
      </c>
      <c r="AI35" s="206">
        <f>IF($AG$2="2018年",'Offer Statistics'!K35,IF($AG$2="2019年",'Offer Statistics'!K86,IF($AG$2="2020年",'Offer Statistics'!K137)))</f>
        <v>359</v>
      </c>
      <c r="AJ35" s="206">
        <f>IF($AG$2="2018年",'Offer Statistics'!L35,IF($AG$2="2019年",'Offer Statistics'!L86,IF($AG$2="2020年",'Offer Statistics'!L137)))</f>
        <v>526</v>
      </c>
      <c r="AK35" s="206">
        <f>IF($AG$2="2018年",'Offer Statistics'!M35,IF($AG$2="2019年",'Offer Statistics'!M86,IF($AG$2="2020年",'Offer Statistics'!M137)))</f>
        <v>1011</v>
      </c>
      <c r="AL35" s="206">
        <f>IF($AG$2="2018年",'Offer Statistics'!N35,IF($AG$2="2019年",'Offer Statistics'!N86,IF($AG$2="2020年",'Offer Statistics'!N137)))</f>
        <v>1336</v>
      </c>
      <c r="AM35" s="206">
        <f>IF($AG$2="2018年",'Offer Statistics'!O35,IF($AG$2="2019年",'Offer Statistics'!O86,IF($AG$2="2020年",'Offer Statistics'!O137)))</f>
        <v>1102</v>
      </c>
      <c r="AN35" s="131"/>
      <c r="AO35" s="131" t="str">
        <f t="shared" si="3"/>
        <v>JS1112</v>
      </c>
      <c r="AP35" s="130"/>
      <c r="AQ35" s="130"/>
      <c r="AR35" s="130"/>
      <c r="AS35" s="130"/>
      <c r="AT35" s="130"/>
      <c r="AU35" s="130"/>
      <c r="AV35" s="130"/>
      <c r="AW35" s="130"/>
      <c r="AX35" s="130"/>
      <c r="AY35" s="130"/>
      <c r="AZ35" s="130"/>
      <c r="BA35" s="130"/>
      <c r="BB35" s="130"/>
      <c r="BC35" s="130"/>
      <c r="BD35" s="130"/>
    </row>
    <row r="36" ht="18.0" customHeight="1">
      <c r="A36" s="186" t="s">
        <v>1182</v>
      </c>
      <c r="B36" s="186" t="s">
        <v>1154</v>
      </c>
      <c r="C36" s="187" t="s">
        <v>1183</v>
      </c>
      <c r="D36" s="186" t="s">
        <v>1184</v>
      </c>
      <c r="E36" s="193" t="s">
        <v>191</v>
      </c>
      <c r="F36" s="189">
        <v>28.0</v>
      </c>
      <c r="G36" s="189">
        <v>28.0</v>
      </c>
      <c r="H36" s="190">
        <f>'計分版'!D59</f>
        <v>0.00000000305</v>
      </c>
      <c r="I36" s="191">
        <f t="shared" si="1"/>
        <v>-28</v>
      </c>
      <c r="J36" s="192">
        <f t="shared" si="2"/>
        <v>-9180327868</v>
      </c>
      <c r="K36" s="193">
        <v>42.0</v>
      </c>
      <c r="L36" s="208">
        <f>'入學要求'!S37</f>
        <v>0</v>
      </c>
      <c r="M36" s="207" t="s">
        <v>1166</v>
      </c>
      <c r="N36" s="188">
        <v>3.0</v>
      </c>
      <c r="O36" s="188">
        <v>3.0</v>
      </c>
      <c r="P36" s="188">
        <v>2.0</v>
      </c>
      <c r="Q36" s="188">
        <v>2.0</v>
      </c>
      <c r="R36" s="188">
        <v>3.0</v>
      </c>
      <c r="S36" s="188">
        <v>3.0</v>
      </c>
      <c r="T36" s="195">
        <f>'入學要求'!L37</f>
        <v>0</v>
      </c>
      <c r="U36" s="195">
        <f>'入學要求'!M37</f>
        <v>0</v>
      </c>
      <c r="V36" s="195">
        <f>'入學要求'!N37</f>
        <v>0</v>
      </c>
      <c r="W36" s="195">
        <f>'入學要求'!O37</f>
        <v>0</v>
      </c>
      <c r="X36" s="195">
        <f>'入學要求'!P37</f>
        <v>0</v>
      </c>
      <c r="Y36" s="195">
        <f>'入學要求'!Q37</f>
        <v>0</v>
      </c>
      <c r="Z36" s="205"/>
      <c r="AA36" s="193">
        <f>IF($Z$2="2018年",'Offer Statistics'!H36,IF($Z$2="2019年",'Offer Statistics'!H87,IF($Z$2="2020年",'Offer Statistics'!H138)))</f>
        <v>45</v>
      </c>
      <c r="AB36" s="197">
        <f>IF($Z$2="2018年",'Offer Statistics'!C36,IF($Z$2="2019年",'Offer Statistics'!C87,IF($Z$2="2020年",'Offer Statistics'!C138)))</f>
        <v>45</v>
      </c>
      <c r="AC36" s="197">
        <f>IF($Z$2="2018年",'Offer Statistics'!D36,IF($Z$2="2019年",'Offer Statistics'!D87,IF($Z$2="2020年",'Offer Statistics'!D138)))</f>
        <v>0</v>
      </c>
      <c r="AD36" s="197">
        <f>IF($Z$2="2018年",'Offer Statistics'!E36,IF($Z$2="2019年",'Offer Statistics'!E87,IF($Z$2="2020年",'Offer Statistics'!E138)))</f>
        <v>0</v>
      </c>
      <c r="AE36" s="197">
        <f>IF($Z$2="2018年",'Offer Statistics'!F36,IF($Z$2="2019年",'Offer Statistics'!F87,IF($Z$2="2020年",'Offer Statistics'!F138)))</f>
        <v>0</v>
      </c>
      <c r="AF36" s="197">
        <f>IF($Z$2="2018年",'Offer Statistics'!G36,IF($Z$2="2019年",'Offer Statistics'!G87,IF($Z$2="2020年",'Offer Statistics'!G138)))</f>
        <v>0</v>
      </c>
      <c r="AG36" s="205"/>
      <c r="AH36" s="193">
        <f>IF($AG$2="2018年",'Offer Statistics'!P36,IF($AG$2="2019年",'Offer Statistics'!P87,IF($AG$2="2020年",'Offer Statistics'!P138)))</f>
        <v>4197</v>
      </c>
      <c r="AI36" s="197">
        <f>IF($AG$2="2018年",'Offer Statistics'!K36,IF($AG$2="2019年",'Offer Statistics'!K87,IF($AG$2="2020年",'Offer Statistics'!K138)))</f>
        <v>606</v>
      </c>
      <c r="AJ36" s="197">
        <f>IF($AG$2="2018年",'Offer Statistics'!L36,IF($AG$2="2019年",'Offer Statistics'!L87,IF($AG$2="2020年",'Offer Statistics'!L138)))</f>
        <v>608</v>
      </c>
      <c r="AK36" s="197">
        <f>IF($AG$2="2018年",'Offer Statistics'!M36,IF($AG$2="2019年",'Offer Statistics'!M87,IF($AG$2="2020年",'Offer Statistics'!M138)))</f>
        <v>926</v>
      </c>
      <c r="AL36" s="197">
        <f>IF($AG$2="2018年",'Offer Statistics'!N36,IF($AG$2="2019年",'Offer Statistics'!N87,IF($AG$2="2020年",'Offer Statistics'!N138)))</f>
        <v>1161</v>
      </c>
      <c r="AM36" s="197">
        <f>IF($AG$2="2018年",'Offer Statistics'!O36,IF($AG$2="2019年",'Offer Statistics'!O87,IF($AG$2="2020年",'Offer Statistics'!O138)))</f>
        <v>896</v>
      </c>
      <c r="AN36" s="188"/>
      <c r="AO36" s="188" t="str">
        <f t="shared" si="3"/>
        <v>JS1113</v>
      </c>
      <c r="AP36" s="186"/>
      <c r="AQ36" s="186"/>
      <c r="AR36" s="186"/>
      <c r="AS36" s="186"/>
      <c r="AT36" s="186"/>
      <c r="AU36" s="186"/>
      <c r="AV36" s="186"/>
      <c r="AW36" s="186"/>
      <c r="AX36" s="186"/>
      <c r="AY36" s="186"/>
      <c r="AZ36" s="186"/>
      <c r="BA36" s="186"/>
      <c r="BB36" s="186"/>
      <c r="BC36" s="186"/>
      <c r="BD36" s="186"/>
    </row>
    <row r="37" ht="18.0" customHeight="1">
      <c r="A37" s="142" t="s">
        <v>1185</v>
      </c>
      <c r="B37" s="142" t="s">
        <v>1026</v>
      </c>
      <c r="C37" s="198" t="s">
        <v>1186</v>
      </c>
      <c r="D37" s="214" t="s">
        <v>1187</v>
      </c>
      <c r="E37" s="134" t="s">
        <v>21</v>
      </c>
      <c r="F37" s="199" t="s">
        <v>541</v>
      </c>
      <c r="G37" s="199" t="s">
        <v>541</v>
      </c>
      <c r="H37" s="200">
        <f>'計分版'!D60</f>
        <v>0.0000000044</v>
      </c>
      <c r="I37" s="215" t="s">
        <v>541</v>
      </c>
      <c r="J37" s="215" t="s">
        <v>541</v>
      </c>
      <c r="K37" s="132">
        <v>18.0</v>
      </c>
      <c r="L37" s="203">
        <f>'入學要求'!S38</f>
        <v>0</v>
      </c>
      <c r="M37" s="131" t="s">
        <v>1188</v>
      </c>
      <c r="N37" s="131">
        <v>3.0</v>
      </c>
      <c r="O37" s="131">
        <v>3.0</v>
      </c>
      <c r="P37" s="131">
        <v>2.0</v>
      </c>
      <c r="Q37" s="131">
        <v>2.0</v>
      </c>
      <c r="R37" s="131">
        <v>3.0</v>
      </c>
      <c r="S37" s="131">
        <v>3.0</v>
      </c>
      <c r="T37" s="204">
        <f>'入學要求'!L38</f>
        <v>0</v>
      </c>
      <c r="U37" s="204">
        <f>'入學要求'!M38</f>
        <v>0</v>
      </c>
      <c r="V37" s="204">
        <f>'入學要求'!N38</f>
        <v>0</v>
      </c>
      <c r="W37" s="204">
        <f>'入學要求'!O38</f>
        <v>0</v>
      </c>
      <c r="X37" s="204">
        <f>'入學要求'!P38</f>
        <v>0</v>
      </c>
      <c r="Y37" s="204">
        <f>'入學要求'!Q38</f>
        <v>0</v>
      </c>
      <c r="Z37" s="205"/>
      <c r="AA37" s="132" t="str">
        <f>IF($Z$2="2018年",'Offer Statistics'!H37,IF($Z$2="2019年",'Offer Statistics'!H88,IF($Z$2="2020年",'Offer Statistics'!H139)))</f>
        <v>/</v>
      </c>
      <c r="AB37" s="206" t="str">
        <f>IF($Z$2="2018年",'Offer Statistics'!C37,IF($Z$2="2019年",'Offer Statistics'!C88,IF($Z$2="2020年",'Offer Statistics'!C139)))</f>
        <v>/</v>
      </c>
      <c r="AC37" s="206" t="str">
        <f>IF($Z$2="2018年",'Offer Statistics'!D37,IF($Z$2="2019年",'Offer Statistics'!D88,IF($Z$2="2020年",'Offer Statistics'!D139)))</f>
        <v>/</v>
      </c>
      <c r="AD37" s="206" t="str">
        <f>IF($Z$2="2018年",'Offer Statistics'!E37,IF($Z$2="2019年",'Offer Statistics'!E88,IF($Z$2="2020年",'Offer Statistics'!E139)))</f>
        <v>/</v>
      </c>
      <c r="AE37" s="206" t="str">
        <f>IF($Z$2="2018年",'Offer Statistics'!F37,IF($Z$2="2019年",'Offer Statistics'!F88,IF($Z$2="2020年",'Offer Statistics'!F139)))</f>
        <v>/</v>
      </c>
      <c r="AF37" s="206" t="str">
        <f>IF($Z$2="2018年",'Offer Statistics'!G37,IF($Z$2="2019年",'Offer Statistics'!G88,IF($Z$2="2020年",'Offer Statistics'!G139)))</f>
        <v>/</v>
      </c>
      <c r="AG37" s="205"/>
      <c r="AH37" s="132" t="str">
        <f>IF($AG$2="2018年",'Offer Statistics'!P37,IF($AG$2="2019年",'Offer Statistics'!P88,IF($AG$2="2020年",'Offer Statistics'!P139)))</f>
        <v>/</v>
      </c>
      <c r="AI37" s="206" t="str">
        <f>IF($AG$2="2018年",'Offer Statistics'!K37,IF($AG$2="2019年",'Offer Statistics'!K88,IF($AG$2="2020年",'Offer Statistics'!K139)))</f>
        <v>/</v>
      </c>
      <c r="AJ37" s="206" t="str">
        <f>IF($AG$2="2018年",'Offer Statistics'!L37,IF($AG$2="2019年",'Offer Statistics'!L88,IF($AG$2="2020年",'Offer Statistics'!L139)))</f>
        <v>/</v>
      </c>
      <c r="AK37" s="206" t="str">
        <f>IF($AG$2="2018年",'Offer Statistics'!M37,IF($AG$2="2019年",'Offer Statistics'!M88,IF($AG$2="2020年",'Offer Statistics'!M139)))</f>
        <v>/</v>
      </c>
      <c r="AL37" s="206" t="str">
        <f>IF($AG$2="2018年",'Offer Statistics'!N37,IF($AG$2="2019年",'Offer Statistics'!N88,IF($AG$2="2020年",'Offer Statistics'!N139)))</f>
        <v>/</v>
      </c>
      <c r="AM37" s="206" t="str">
        <f>IF($AG$2="2018年",'Offer Statistics'!O37,IF($AG$2="2019年",'Offer Statistics'!O88,IF($AG$2="2020年",'Offer Statistics'!O139)))</f>
        <v>/</v>
      </c>
      <c r="AN37" s="131"/>
      <c r="AO37" s="131" t="str">
        <f t="shared" si="3"/>
        <v>JS1200</v>
      </c>
      <c r="AP37" s="130"/>
      <c r="AQ37" s="130"/>
      <c r="AR37" s="130"/>
      <c r="AS37" s="130"/>
      <c r="AT37" s="130"/>
      <c r="AU37" s="130"/>
      <c r="AV37" s="130"/>
      <c r="AW37" s="130"/>
      <c r="AX37" s="130"/>
      <c r="AY37" s="130"/>
      <c r="AZ37" s="130"/>
      <c r="BA37" s="130"/>
      <c r="BB37" s="130"/>
      <c r="BC37" s="130"/>
      <c r="BD37" s="130"/>
    </row>
    <row r="38" ht="18.0" customHeight="1">
      <c r="A38" s="186" t="s">
        <v>1189</v>
      </c>
      <c r="B38" s="186" t="s">
        <v>1147</v>
      </c>
      <c r="C38" s="187" t="s">
        <v>1190</v>
      </c>
      <c r="D38" s="186" t="s">
        <v>1191</v>
      </c>
      <c r="E38" s="211" t="s">
        <v>24</v>
      </c>
      <c r="F38" s="189" t="s">
        <v>541</v>
      </c>
      <c r="G38" s="189" t="s">
        <v>541</v>
      </c>
      <c r="H38" s="190">
        <f>'計分版'!D61</f>
        <v>0.000000005</v>
      </c>
      <c r="I38" s="216" t="s">
        <v>541</v>
      </c>
      <c r="J38" s="216" t="s">
        <v>541</v>
      </c>
      <c r="K38" s="193">
        <v>112.0</v>
      </c>
      <c r="L38" s="208">
        <f>'入學要求'!S39</f>
        <v>0</v>
      </c>
      <c r="M38" s="188" t="s">
        <v>541</v>
      </c>
      <c r="N38" s="188">
        <v>3.0</v>
      </c>
      <c r="O38" s="188">
        <v>3.0</v>
      </c>
      <c r="P38" s="188">
        <v>2.0</v>
      </c>
      <c r="Q38" s="188">
        <v>2.0</v>
      </c>
      <c r="R38" s="188">
        <v>3.0</v>
      </c>
      <c r="S38" s="188">
        <v>3.0</v>
      </c>
      <c r="T38" s="195">
        <f>'入學要求'!L39</f>
        <v>0</v>
      </c>
      <c r="U38" s="195">
        <f>'入學要求'!M39</f>
        <v>0</v>
      </c>
      <c r="V38" s="195">
        <f>'入學要求'!N39</f>
        <v>0</v>
      </c>
      <c r="W38" s="195">
        <f>'入學要求'!O39</f>
        <v>0</v>
      </c>
      <c r="X38" s="195">
        <f>'入學要求'!P39</f>
        <v>0</v>
      </c>
      <c r="Y38" s="195">
        <f>'入學要求'!Q39</f>
        <v>0</v>
      </c>
      <c r="Z38" s="205"/>
      <c r="AA38" s="193" t="str">
        <f>IF($Z$2="2018年",'Offer Statistics'!H38,IF($Z$2="2019年",'Offer Statistics'!H89,IF($Z$2="2020年",'Offer Statistics'!H140)))</f>
        <v>/</v>
      </c>
      <c r="AB38" s="197" t="str">
        <f>IF($Z$2="2018年",'Offer Statistics'!C38,IF($Z$2="2019年",'Offer Statistics'!C89,IF($Z$2="2020年",'Offer Statistics'!C140)))</f>
        <v>/</v>
      </c>
      <c r="AC38" s="197" t="str">
        <f>IF($Z$2="2018年",'Offer Statistics'!D38,IF($Z$2="2019年",'Offer Statistics'!D89,IF($Z$2="2020年",'Offer Statistics'!D140)))</f>
        <v>/</v>
      </c>
      <c r="AD38" s="197" t="str">
        <f>IF($Z$2="2018年",'Offer Statistics'!E38,IF($Z$2="2019年",'Offer Statistics'!E89,IF($Z$2="2020年",'Offer Statistics'!E140)))</f>
        <v>/</v>
      </c>
      <c r="AE38" s="197" t="str">
        <f>IF($Z$2="2018年",'Offer Statistics'!F38,IF($Z$2="2019年",'Offer Statistics'!F89,IF($Z$2="2020年",'Offer Statistics'!F140)))</f>
        <v>/</v>
      </c>
      <c r="AF38" s="197" t="str">
        <f>IF($Z$2="2018年",'Offer Statistics'!G38,IF($Z$2="2019年",'Offer Statistics'!G89,IF($Z$2="2020年",'Offer Statistics'!G140)))</f>
        <v>/</v>
      </c>
      <c r="AG38" s="205"/>
      <c r="AH38" s="193" t="str">
        <f>IF($AG$2="2018年",'Offer Statistics'!P38,IF($AG$2="2019年",'Offer Statistics'!P89,IF($AG$2="2020年",'Offer Statistics'!P140)))</f>
        <v>/</v>
      </c>
      <c r="AI38" s="197" t="str">
        <f>IF($AG$2="2018年",'Offer Statistics'!K38,IF($AG$2="2019年",'Offer Statistics'!K89,IF($AG$2="2020年",'Offer Statistics'!K140)))</f>
        <v>/</v>
      </c>
      <c r="AJ38" s="197" t="str">
        <f>IF($AG$2="2018年",'Offer Statistics'!L38,IF($AG$2="2019年",'Offer Statistics'!L89,IF($AG$2="2020年",'Offer Statistics'!L140)))</f>
        <v>/</v>
      </c>
      <c r="AK38" s="197" t="str">
        <f>IF($AG$2="2018年",'Offer Statistics'!M38,IF($AG$2="2019年",'Offer Statistics'!M89,IF($AG$2="2020年",'Offer Statistics'!M140)))</f>
        <v>/</v>
      </c>
      <c r="AL38" s="197" t="str">
        <f>IF($AG$2="2018年",'Offer Statistics'!N38,IF($AG$2="2019年",'Offer Statistics'!N89,IF($AG$2="2020年",'Offer Statistics'!N140)))</f>
        <v>/</v>
      </c>
      <c r="AM38" s="197" t="str">
        <f>IF($AG$2="2018年",'Offer Statistics'!O38,IF($AG$2="2019年",'Offer Statistics'!O89,IF($AG$2="2020年",'Offer Statistics'!O140)))</f>
        <v>/</v>
      </c>
      <c r="AN38" s="188"/>
      <c r="AO38" s="188" t="str">
        <f t="shared" si="3"/>
        <v>JS1201</v>
      </c>
      <c r="AP38" s="186"/>
      <c r="AQ38" s="186"/>
      <c r="AR38" s="186"/>
      <c r="AS38" s="186"/>
      <c r="AT38" s="186"/>
      <c r="AU38" s="186"/>
      <c r="AV38" s="186"/>
      <c r="AW38" s="186"/>
      <c r="AX38" s="186"/>
      <c r="AY38" s="186"/>
      <c r="AZ38" s="186"/>
      <c r="BA38" s="186"/>
      <c r="BB38" s="186"/>
      <c r="BC38" s="186"/>
      <c r="BD38" s="186"/>
    </row>
    <row r="39" ht="18.0" customHeight="1">
      <c r="A39" s="142" t="s">
        <v>203</v>
      </c>
      <c r="B39" s="142" t="s">
        <v>1026</v>
      </c>
      <c r="C39" s="198" t="s">
        <v>1192</v>
      </c>
      <c r="D39" s="142" t="s">
        <v>1193</v>
      </c>
      <c r="E39" s="134" t="s">
        <v>191</v>
      </c>
      <c r="F39" s="199">
        <v>32.0</v>
      </c>
      <c r="G39" s="199">
        <v>30.0</v>
      </c>
      <c r="H39" s="200">
        <f>'計分版'!D62</f>
        <v>0.0000000032</v>
      </c>
      <c r="I39" s="201">
        <f t="shared" ref="I39:I46" si="4">IF(I$1="差距(Median)",H39-F39,IF(I$1="差距(LQ)",H39-G39))</f>
        <v>-32</v>
      </c>
      <c r="J39" s="202">
        <f t="shared" ref="J39:J46" si="5">IF(I$1="差距(Median)",(H39-F39)/H39,IF(I$1="差距(LQ)",(H39-G39)/H39))</f>
        <v>-9999999999</v>
      </c>
      <c r="K39" s="132">
        <v>42.0</v>
      </c>
      <c r="L39" s="203">
        <f>'入學要求'!S40</f>
        <v>0</v>
      </c>
      <c r="M39" s="135" t="s">
        <v>1166</v>
      </c>
      <c r="N39" s="131">
        <v>3.0</v>
      </c>
      <c r="O39" s="131">
        <v>3.0</v>
      </c>
      <c r="P39" s="131">
        <v>2.0</v>
      </c>
      <c r="Q39" s="131">
        <v>2.0</v>
      </c>
      <c r="R39" s="131">
        <v>3.0</v>
      </c>
      <c r="S39" s="131">
        <v>3.0</v>
      </c>
      <c r="T39" s="204">
        <f>'入學要求'!L40</f>
        <v>0</v>
      </c>
      <c r="U39" s="204">
        <f>'入學要求'!M40</f>
        <v>0</v>
      </c>
      <c r="V39" s="204">
        <f>'入學要求'!N40</f>
        <v>0</v>
      </c>
      <c r="W39" s="204">
        <f>'入學要求'!O40</f>
        <v>0</v>
      </c>
      <c r="X39" s="204">
        <f>'入學要求'!P40</f>
        <v>0</v>
      </c>
      <c r="Y39" s="204">
        <f>'入學要求'!Q40</f>
        <v>0</v>
      </c>
      <c r="Z39" s="205"/>
      <c r="AA39" s="132">
        <f>IF($Z$2="2018年",'Offer Statistics'!H39,IF($Z$2="2019年",'Offer Statistics'!H90,IF($Z$2="2020年",'Offer Statistics'!H141)))</f>
        <v>47</v>
      </c>
      <c r="AB39" s="206">
        <f>IF($Z$2="2018年",'Offer Statistics'!C39,IF($Z$2="2019年",'Offer Statistics'!C90,IF($Z$2="2020年",'Offer Statistics'!C141)))</f>
        <v>40</v>
      </c>
      <c r="AC39" s="206">
        <f>IF($Z$2="2018年",'Offer Statistics'!D39,IF($Z$2="2019年",'Offer Statistics'!D90,IF($Z$2="2020年",'Offer Statistics'!D141)))</f>
        <v>4</v>
      </c>
      <c r="AD39" s="206">
        <f>IF($Z$2="2018年",'Offer Statistics'!E39,IF($Z$2="2019年",'Offer Statistics'!E90,IF($Z$2="2020年",'Offer Statistics'!E141)))</f>
        <v>3</v>
      </c>
      <c r="AE39" s="206">
        <f>IF($Z$2="2018年",'Offer Statistics'!F39,IF($Z$2="2019年",'Offer Statistics'!F90,IF($Z$2="2020年",'Offer Statistics'!F141)))</f>
        <v>0</v>
      </c>
      <c r="AF39" s="206">
        <f>IF($Z$2="2018年",'Offer Statistics'!G39,IF($Z$2="2019年",'Offer Statistics'!G90,IF($Z$2="2020年",'Offer Statistics'!G141)))</f>
        <v>0</v>
      </c>
      <c r="AG39" s="205"/>
      <c r="AH39" s="132">
        <f>IF($AG$2="2018年",'Offer Statistics'!P39,IF($AG$2="2019年",'Offer Statistics'!P90,IF($AG$2="2020年",'Offer Statistics'!P141)))</f>
        <v>1847</v>
      </c>
      <c r="AI39" s="206">
        <f>IF($AG$2="2018年",'Offer Statistics'!K39,IF($AG$2="2019年",'Offer Statistics'!K90,IF($AG$2="2020年",'Offer Statistics'!K141)))</f>
        <v>224</v>
      </c>
      <c r="AJ39" s="206">
        <f>IF($AG$2="2018年",'Offer Statistics'!L39,IF($AG$2="2019年",'Offer Statistics'!L90,IF($AG$2="2020年",'Offer Statistics'!L141)))</f>
        <v>346</v>
      </c>
      <c r="AK39" s="206">
        <f>IF($AG$2="2018年",'Offer Statistics'!M39,IF($AG$2="2019年",'Offer Statistics'!M90,IF($AG$2="2020年",'Offer Statistics'!M141)))</f>
        <v>448</v>
      </c>
      <c r="AL39" s="206">
        <f>IF($AG$2="2018年",'Offer Statistics'!N39,IF($AG$2="2019年",'Offer Statistics'!N90,IF($AG$2="2020年",'Offer Statistics'!N141)))</f>
        <v>497</v>
      </c>
      <c r="AM39" s="206">
        <f>IF($AG$2="2018年",'Offer Statistics'!O39,IF($AG$2="2019年",'Offer Statistics'!O90,IF($AG$2="2020年",'Offer Statistics'!O141)))</f>
        <v>332</v>
      </c>
      <c r="AN39" s="131"/>
      <c r="AO39" s="131" t="str">
        <f t="shared" si="3"/>
        <v>JS1202</v>
      </c>
      <c r="AP39" s="130"/>
      <c r="AQ39" s="130"/>
      <c r="AR39" s="130"/>
      <c r="AS39" s="130"/>
      <c r="AT39" s="130"/>
      <c r="AU39" s="130"/>
      <c r="AV39" s="130"/>
      <c r="AW39" s="130"/>
      <c r="AX39" s="130"/>
      <c r="AY39" s="130"/>
      <c r="AZ39" s="130"/>
      <c r="BA39" s="130"/>
      <c r="BB39" s="130"/>
      <c r="BC39" s="130"/>
      <c r="BD39" s="130"/>
    </row>
    <row r="40" ht="18.0" customHeight="1">
      <c r="A40" s="186" t="s">
        <v>1194</v>
      </c>
      <c r="B40" s="186" t="s">
        <v>1147</v>
      </c>
      <c r="C40" s="187" t="s">
        <v>1195</v>
      </c>
      <c r="D40" s="186" t="s">
        <v>1196</v>
      </c>
      <c r="E40" s="211" t="s">
        <v>191</v>
      </c>
      <c r="F40" s="189">
        <v>27.0</v>
      </c>
      <c r="G40" s="189">
        <v>26.0</v>
      </c>
      <c r="H40" s="190">
        <f>'計分版'!D63</f>
        <v>0.00000000305</v>
      </c>
      <c r="I40" s="191">
        <f t="shared" si="4"/>
        <v>-27</v>
      </c>
      <c r="J40" s="192">
        <f t="shared" si="5"/>
        <v>-8852459015</v>
      </c>
      <c r="K40" s="193">
        <v>103.0</v>
      </c>
      <c r="L40" s="208">
        <f>'入學要求'!S41</f>
        <v>0</v>
      </c>
      <c r="M40" s="207" t="s">
        <v>1166</v>
      </c>
      <c r="N40" s="188">
        <v>3.0</v>
      </c>
      <c r="O40" s="188">
        <v>3.0</v>
      </c>
      <c r="P40" s="188">
        <v>3.0</v>
      </c>
      <c r="Q40" s="188">
        <v>2.0</v>
      </c>
      <c r="R40" s="188">
        <v>3.0</v>
      </c>
      <c r="S40" s="188">
        <v>3.0</v>
      </c>
      <c r="T40" s="195">
        <f>'入學要求'!L41</f>
        <v>0</v>
      </c>
      <c r="U40" s="195">
        <f>'入學要求'!M41</f>
        <v>0</v>
      </c>
      <c r="V40" s="195">
        <f>'入學要求'!N41</f>
        <v>0</v>
      </c>
      <c r="W40" s="195">
        <f>'入學要求'!O41</f>
        <v>0</v>
      </c>
      <c r="X40" s="195">
        <f>'入學要求'!P41</f>
        <v>0</v>
      </c>
      <c r="Y40" s="195">
        <f>'入學要求'!Q41</f>
        <v>0</v>
      </c>
      <c r="Z40" s="205"/>
      <c r="AA40" s="193">
        <f>IF($Z$2="2018年",'Offer Statistics'!H40,IF($Z$2="2019年",'Offer Statistics'!H91,IF($Z$2="2020年",'Offer Statistics'!H142)))</f>
        <v>81</v>
      </c>
      <c r="AB40" s="197">
        <f>IF($Z$2="2018年",'Offer Statistics'!C40,IF($Z$2="2019年",'Offer Statistics'!C91,IF($Z$2="2020年",'Offer Statistics'!C142)))</f>
        <v>81</v>
      </c>
      <c r="AC40" s="197">
        <f>IF($Z$2="2018年",'Offer Statistics'!D40,IF($Z$2="2019年",'Offer Statistics'!D91,IF($Z$2="2020年",'Offer Statistics'!D142)))</f>
        <v>0</v>
      </c>
      <c r="AD40" s="197">
        <f>IF($Z$2="2018年",'Offer Statistics'!E40,IF($Z$2="2019年",'Offer Statistics'!E91,IF($Z$2="2020年",'Offer Statistics'!E142)))</f>
        <v>0</v>
      </c>
      <c r="AE40" s="197">
        <f>IF($Z$2="2018年",'Offer Statistics'!F40,IF($Z$2="2019年",'Offer Statistics'!F91,IF($Z$2="2020年",'Offer Statistics'!F142)))</f>
        <v>0</v>
      </c>
      <c r="AF40" s="197">
        <f>IF($Z$2="2018年",'Offer Statistics'!G40,IF($Z$2="2019年",'Offer Statistics'!G91,IF($Z$2="2020年",'Offer Statistics'!G142)))</f>
        <v>0</v>
      </c>
      <c r="AG40" s="205"/>
      <c r="AH40" s="193">
        <f>IF($AG$2="2018年",'Offer Statistics'!P40,IF($AG$2="2019年",'Offer Statistics'!P91,IF($AG$2="2020年",'Offer Statistics'!P142)))</f>
        <v>2554</v>
      </c>
      <c r="AI40" s="197">
        <f>IF($AG$2="2018年",'Offer Statistics'!K40,IF($AG$2="2019年",'Offer Statistics'!K91,IF($AG$2="2020年",'Offer Statistics'!K142)))</f>
        <v>627</v>
      </c>
      <c r="AJ40" s="197">
        <f>IF($AG$2="2018年",'Offer Statistics'!L40,IF($AG$2="2019年",'Offer Statistics'!L91,IF($AG$2="2020年",'Offer Statistics'!L142)))</f>
        <v>559</v>
      </c>
      <c r="AK40" s="197">
        <f>IF($AG$2="2018年",'Offer Statistics'!M40,IF($AG$2="2019年",'Offer Statistics'!M91,IF($AG$2="2020年",'Offer Statistics'!M142)))</f>
        <v>509</v>
      </c>
      <c r="AL40" s="197">
        <f>IF($AG$2="2018年",'Offer Statistics'!N40,IF($AG$2="2019年",'Offer Statistics'!N91,IF($AG$2="2020年",'Offer Statistics'!N142)))</f>
        <v>509</v>
      </c>
      <c r="AM40" s="197">
        <f>IF($AG$2="2018年",'Offer Statistics'!O40,IF($AG$2="2019年",'Offer Statistics'!O91,IF($AG$2="2020年",'Offer Statistics'!O142)))</f>
        <v>350</v>
      </c>
      <c r="AN40" s="188"/>
      <c r="AO40" s="188" t="str">
        <f t="shared" si="3"/>
        <v>JS1204</v>
      </c>
      <c r="AP40" s="186"/>
      <c r="AQ40" s="186"/>
      <c r="AR40" s="186"/>
      <c r="AS40" s="186"/>
      <c r="AT40" s="186"/>
      <c r="AU40" s="186"/>
      <c r="AV40" s="186"/>
      <c r="AW40" s="186"/>
      <c r="AX40" s="186"/>
      <c r="AY40" s="186"/>
      <c r="AZ40" s="186"/>
      <c r="BA40" s="186"/>
      <c r="BB40" s="186"/>
      <c r="BC40" s="186"/>
      <c r="BD40" s="186"/>
    </row>
    <row r="41" ht="18.0" customHeight="1">
      <c r="A41" s="142" t="s">
        <v>1197</v>
      </c>
      <c r="B41" s="142" t="s">
        <v>1147</v>
      </c>
      <c r="C41" s="198" t="s">
        <v>1198</v>
      </c>
      <c r="D41" s="142" t="s">
        <v>1199</v>
      </c>
      <c r="E41" s="134" t="s">
        <v>191</v>
      </c>
      <c r="F41" s="199">
        <v>35.0</v>
      </c>
      <c r="G41" s="199">
        <v>33.5</v>
      </c>
      <c r="H41" s="200">
        <f>'計分版'!D64</f>
        <v>0.00000000345</v>
      </c>
      <c r="I41" s="201">
        <f t="shared" si="4"/>
        <v>-35</v>
      </c>
      <c r="J41" s="202">
        <f t="shared" si="5"/>
        <v>-10144927535</v>
      </c>
      <c r="K41" s="132">
        <v>163.0</v>
      </c>
      <c r="L41" s="203">
        <f>'入學要求'!S42</f>
        <v>0</v>
      </c>
      <c r="M41" s="131" t="s">
        <v>541</v>
      </c>
      <c r="N41" s="131">
        <v>3.0</v>
      </c>
      <c r="O41" s="131">
        <v>3.0</v>
      </c>
      <c r="P41" s="131">
        <v>3.0</v>
      </c>
      <c r="Q41" s="131">
        <v>2.0</v>
      </c>
      <c r="R41" s="131">
        <v>3.0</v>
      </c>
      <c r="S41" s="131">
        <v>3.0</v>
      </c>
      <c r="T41" s="204">
        <f>'入學要求'!L42</f>
        <v>0</v>
      </c>
      <c r="U41" s="204">
        <f>'入學要求'!M42</f>
        <v>0</v>
      </c>
      <c r="V41" s="204">
        <f>'入學要求'!N42</f>
        <v>0</v>
      </c>
      <c r="W41" s="204">
        <f>'入學要求'!O42</f>
        <v>0</v>
      </c>
      <c r="X41" s="204">
        <f>'入學要求'!P42</f>
        <v>0</v>
      </c>
      <c r="Y41" s="204">
        <f>'入學要求'!Q42</f>
        <v>0</v>
      </c>
      <c r="Z41" s="205"/>
      <c r="AA41" s="132">
        <f>IF($Z$2="2018年",'Offer Statistics'!H41,IF($Z$2="2019年",'Offer Statistics'!H92,IF($Z$2="2020年",'Offer Statistics'!H143)))</f>
        <v>99</v>
      </c>
      <c r="AB41" s="206">
        <f>IF($Z$2="2018年",'Offer Statistics'!C41,IF($Z$2="2019年",'Offer Statistics'!C92,IF($Z$2="2020年",'Offer Statistics'!C143)))</f>
        <v>90</v>
      </c>
      <c r="AC41" s="206">
        <f>IF($Z$2="2018年",'Offer Statistics'!D41,IF($Z$2="2019年",'Offer Statistics'!D92,IF($Z$2="2020年",'Offer Statistics'!D143)))</f>
        <v>5</v>
      </c>
      <c r="AD41" s="206">
        <f>IF($Z$2="2018年",'Offer Statistics'!E41,IF($Z$2="2019年",'Offer Statistics'!E92,IF($Z$2="2020年",'Offer Statistics'!E143)))</f>
        <v>4</v>
      </c>
      <c r="AE41" s="206">
        <f>IF($Z$2="2018年",'Offer Statistics'!F41,IF($Z$2="2019年",'Offer Statistics'!F92,IF($Z$2="2020年",'Offer Statistics'!F143)))</f>
        <v>0</v>
      </c>
      <c r="AF41" s="206">
        <f>IF($Z$2="2018年",'Offer Statistics'!G41,IF($Z$2="2019年",'Offer Statistics'!G92,IF($Z$2="2020年",'Offer Statistics'!G143)))</f>
        <v>0</v>
      </c>
      <c r="AG41" s="205"/>
      <c r="AH41" s="132">
        <f>IF($AG$2="2018年",'Offer Statistics'!P41,IF($AG$2="2019年",'Offer Statistics'!P92,IF($AG$2="2020年",'Offer Statistics'!P143)))</f>
        <v>2550</v>
      </c>
      <c r="AI41" s="206">
        <f>IF($AG$2="2018年",'Offer Statistics'!K41,IF($AG$2="2019年",'Offer Statistics'!K92,IF($AG$2="2020年",'Offer Statistics'!K143)))</f>
        <v>579</v>
      </c>
      <c r="AJ41" s="206">
        <f>IF($AG$2="2018年",'Offer Statistics'!L41,IF($AG$2="2019年",'Offer Statistics'!L92,IF($AG$2="2020年",'Offer Statistics'!L143)))</f>
        <v>501</v>
      </c>
      <c r="AK41" s="206">
        <f>IF($AG$2="2018年",'Offer Statistics'!M41,IF($AG$2="2019年",'Offer Statistics'!M92,IF($AG$2="2020年",'Offer Statistics'!M143)))</f>
        <v>531</v>
      </c>
      <c r="AL41" s="206">
        <f>IF($AG$2="2018年",'Offer Statistics'!N41,IF($AG$2="2019年",'Offer Statistics'!N92,IF($AG$2="2020年",'Offer Statistics'!N143)))</f>
        <v>584</v>
      </c>
      <c r="AM41" s="206">
        <f>IF($AG$2="2018年",'Offer Statistics'!O41,IF($AG$2="2019年",'Offer Statistics'!O92,IF($AG$2="2020年",'Offer Statistics'!O143)))</f>
        <v>355</v>
      </c>
      <c r="AN41" s="131"/>
      <c r="AO41" s="131" t="str">
        <f t="shared" si="3"/>
        <v>JS1205</v>
      </c>
      <c r="AP41" s="130"/>
      <c r="AQ41" s="130"/>
      <c r="AR41" s="130"/>
      <c r="AS41" s="130"/>
      <c r="AT41" s="130"/>
      <c r="AU41" s="130"/>
      <c r="AV41" s="130"/>
      <c r="AW41" s="130"/>
      <c r="AX41" s="130"/>
      <c r="AY41" s="130"/>
      <c r="AZ41" s="130"/>
      <c r="BA41" s="130"/>
      <c r="BB41" s="130"/>
      <c r="BC41" s="130"/>
      <c r="BD41" s="130"/>
    </row>
    <row r="42" ht="18.0" customHeight="1">
      <c r="A42" s="186" t="s">
        <v>201</v>
      </c>
      <c r="B42" s="186" t="s">
        <v>1026</v>
      </c>
      <c r="C42" s="187" t="s">
        <v>1200</v>
      </c>
      <c r="D42" s="186" t="s">
        <v>1126</v>
      </c>
      <c r="E42" s="211" t="s">
        <v>191</v>
      </c>
      <c r="F42" s="189">
        <v>36.5</v>
      </c>
      <c r="G42" s="189">
        <v>36.5</v>
      </c>
      <c r="H42" s="190">
        <f>'計分版'!D65</f>
        <v>0.0000000036</v>
      </c>
      <c r="I42" s="191">
        <f t="shared" si="4"/>
        <v>-36.5</v>
      </c>
      <c r="J42" s="192">
        <f t="shared" si="5"/>
        <v>-10138888888</v>
      </c>
      <c r="K42" s="193">
        <v>36.0</v>
      </c>
      <c r="L42" s="208">
        <f>'入學要求'!S43</f>
        <v>0</v>
      </c>
      <c r="M42" s="188" t="s">
        <v>1077</v>
      </c>
      <c r="N42" s="188">
        <v>3.0</v>
      </c>
      <c r="O42" s="188">
        <v>3.0</v>
      </c>
      <c r="P42" s="188">
        <v>3.0</v>
      </c>
      <c r="Q42" s="188">
        <v>2.0</v>
      </c>
      <c r="R42" s="188">
        <v>3.0</v>
      </c>
      <c r="S42" s="188">
        <v>3.0</v>
      </c>
      <c r="T42" s="195">
        <f>'入學要求'!L43</f>
        <v>0</v>
      </c>
      <c r="U42" s="195">
        <f>'入學要求'!M43</f>
        <v>0</v>
      </c>
      <c r="V42" s="195">
        <f>'入學要求'!N43</f>
        <v>0</v>
      </c>
      <c r="W42" s="195">
        <f>'入學要求'!O43</f>
        <v>0</v>
      </c>
      <c r="X42" s="195">
        <f>'入學要求'!P43</f>
        <v>0</v>
      </c>
      <c r="Y42" s="195">
        <f>'入學要求'!Q43</f>
        <v>0</v>
      </c>
      <c r="Z42" s="205"/>
      <c r="AA42" s="193">
        <f>IF($Z$2="2018年",'Offer Statistics'!H42,IF($Z$2="2019年",'Offer Statistics'!H93,IF($Z$2="2020年",'Offer Statistics'!H144)))</f>
        <v>35</v>
      </c>
      <c r="AB42" s="197">
        <f>IF($Z$2="2018年",'Offer Statistics'!C42,IF($Z$2="2019年",'Offer Statistics'!C93,IF($Z$2="2020年",'Offer Statistics'!C144)))</f>
        <v>33</v>
      </c>
      <c r="AC42" s="197">
        <f>IF($Z$2="2018年",'Offer Statistics'!D42,IF($Z$2="2019年",'Offer Statistics'!D93,IF($Z$2="2020年",'Offer Statistics'!D144)))</f>
        <v>2</v>
      </c>
      <c r="AD42" s="197">
        <f>IF($Z$2="2018年",'Offer Statistics'!E42,IF($Z$2="2019年",'Offer Statistics'!E93,IF($Z$2="2020年",'Offer Statistics'!E144)))</f>
        <v>0</v>
      </c>
      <c r="AE42" s="197">
        <f>IF($Z$2="2018年",'Offer Statistics'!F42,IF($Z$2="2019年",'Offer Statistics'!F93,IF($Z$2="2020年",'Offer Statistics'!F144)))</f>
        <v>0</v>
      </c>
      <c r="AF42" s="197">
        <f>IF($Z$2="2018年",'Offer Statistics'!G42,IF($Z$2="2019年",'Offer Statistics'!G93,IF($Z$2="2020年",'Offer Statistics'!G144)))</f>
        <v>0</v>
      </c>
      <c r="AG42" s="205"/>
      <c r="AH42" s="193">
        <f>IF($AG$2="2018年",'Offer Statistics'!P42,IF($AG$2="2019年",'Offer Statistics'!P93,IF($AG$2="2020年",'Offer Statistics'!P144)))</f>
        <v>1337</v>
      </c>
      <c r="AI42" s="197">
        <f>IF($AG$2="2018年",'Offer Statistics'!K42,IF($AG$2="2019年",'Offer Statistics'!K93,IF($AG$2="2020年",'Offer Statistics'!K144)))</f>
        <v>214</v>
      </c>
      <c r="AJ42" s="197">
        <f>IF($AG$2="2018年",'Offer Statistics'!L42,IF($AG$2="2019年",'Offer Statistics'!L93,IF($AG$2="2020年",'Offer Statistics'!L144)))</f>
        <v>224</v>
      </c>
      <c r="AK42" s="197">
        <f>IF($AG$2="2018年",'Offer Statistics'!M42,IF($AG$2="2019年",'Offer Statistics'!M93,IF($AG$2="2020年",'Offer Statistics'!M144)))</f>
        <v>291</v>
      </c>
      <c r="AL42" s="197">
        <f>IF($AG$2="2018年",'Offer Statistics'!N42,IF($AG$2="2019年",'Offer Statistics'!N93,IF($AG$2="2020年",'Offer Statistics'!N144)))</f>
        <v>360</v>
      </c>
      <c r="AM42" s="197">
        <f>IF($AG$2="2018年",'Offer Statistics'!O42,IF($AG$2="2019年",'Offer Statistics'!O93,IF($AG$2="2020年",'Offer Statistics'!O144)))</f>
        <v>248</v>
      </c>
      <c r="AN42" s="188"/>
      <c r="AO42" s="188" t="str">
        <f t="shared" si="3"/>
        <v>JS1206</v>
      </c>
      <c r="AP42" s="186"/>
      <c r="AQ42" s="186"/>
      <c r="AR42" s="186"/>
      <c r="AS42" s="186"/>
      <c r="AT42" s="186"/>
      <c r="AU42" s="186"/>
      <c r="AV42" s="186"/>
      <c r="AW42" s="186"/>
      <c r="AX42" s="186"/>
      <c r="AY42" s="186"/>
      <c r="AZ42" s="186"/>
      <c r="BA42" s="186"/>
      <c r="BB42" s="186"/>
      <c r="BC42" s="186"/>
      <c r="BD42" s="186"/>
    </row>
    <row r="43" ht="18.0" customHeight="1">
      <c r="A43" s="142" t="s">
        <v>1201</v>
      </c>
      <c r="B43" s="142" t="s">
        <v>1147</v>
      </c>
      <c r="C43" s="198" t="s">
        <v>1202</v>
      </c>
      <c r="D43" s="142" t="s">
        <v>1203</v>
      </c>
      <c r="E43" s="134" t="s">
        <v>191</v>
      </c>
      <c r="F43" s="199">
        <v>33.0</v>
      </c>
      <c r="G43" s="199">
        <v>32.0</v>
      </c>
      <c r="H43" s="200">
        <f>'計分版'!D66</f>
        <v>0.00000000335</v>
      </c>
      <c r="I43" s="201">
        <f t="shared" si="4"/>
        <v>-33</v>
      </c>
      <c r="J43" s="202">
        <f t="shared" si="5"/>
        <v>-9850746268</v>
      </c>
      <c r="K43" s="132">
        <v>90.0</v>
      </c>
      <c r="L43" s="203">
        <f>'入學要求'!S44</f>
        <v>0</v>
      </c>
      <c r="M43" s="131" t="s">
        <v>541</v>
      </c>
      <c r="N43" s="131">
        <v>3.0</v>
      </c>
      <c r="O43" s="131">
        <v>3.0</v>
      </c>
      <c r="P43" s="131">
        <v>3.0</v>
      </c>
      <c r="Q43" s="131">
        <v>2.0</v>
      </c>
      <c r="R43" s="131">
        <v>3.0</v>
      </c>
      <c r="S43" s="131">
        <v>3.0</v>
      </c>
      <c r="T43" s="204">
        <f>'入學要求'!L44</f>
        <v>0</v>
      </c>
      <c r="U43" s="204">
        <f>'入學要求'!M44</f>
        <v>0</v>
      </c>
      <c r="V43" s="204">
        <f>'入學要求'!N44</f>
        <v>0</v>
      </c>
      <c r="W43" s="204">
        <f>'入學要求'!O44</f>
        <v>0</v>
      </c>
      <c r="X43" s="204">
        <f>'入學要求'!P44</f>
        <v>0</v>
      </c>
      <c r="Y43" s="204">
        <f>'入學要求'!Q44</f>
        <v>0</v>
      </c>
      <c r="Z43" s="205"/>
      <c r="AA43" s="132">
        <f>IF($Z$2="2018年",'Offer Statistics'!H43,IF($Z$2="2019年",'Offer Statistics'!H94,IF($Z$2="2020年",'Offer Statistics'!H145)))</f>
        <v>66</v>
      </c>
      <c r="AB43" s="206">
        <f>IF($Z$2="2018年",'Offer Statistics'!C43,IF($Z$2="2019年",'Offer Statistics'!C94,IF($Z$2="2020年",'Offer Statistics'!C145)))</f>
        <v>63</v>
      </c>
      <c r="AC43" s="206">
        <f>IF($Z$2="2018年",'Offer Statistics'!D43,IF($Z$2="2019年",'Offer Statistics'!D94,IF($Z$2="2020年",'Offer Statistics'!D145)))</f>
        <v>1</v>
      </c>
      <c r="AD43" s="206">
        <f>IF($Z$2="2018年",'Offer Statistics'!E43,IF($Z$2="2019年",'Offer Statistics'!E94,IF($Z$2="2020年",'Offer Statistics'!E145)))</f>
        <v>1</v>
      </c>
      <c r="AE43" s="206">
        <f>IF($Z$2="2018年",'Offer Statistics'!F43,IF($Z$2="2019年",'Offer Statistics'!F94,IF($Z$2="2020年",'Offer Statistics'!F145)))</f>
        <v>0</v>
      </c>
      <c r="AF43" s="206">
        <f>IF($Z$2="2018年",'Offer Statistics'!G43,IF($Z$2="2019年",'Offer Statistics'!G94,IF($Z$2="2020年",'Offer Statistics'!G145)))</f>
        <v>1</v>
      </c>
      <c r="AG43" s="205"/>
      <c r="AH43" s="132">
        <f>IF($AG$2="2018年",'Offer Statistics'!P43,IF($AG$2="2019年",'Offer Statistics'!P94,IF($AG$2="2020年",'Offer Statistics'!P145)))</f>
        <v>2061</v>
      </c>
      <c r="AI43" s="206">
        <f>IF($AG$2="2018年",'Offer Statistics'!K43,IF($AG$2="2019年",'Offer Statistics'!K94,IF($AG$2="2020年",'Offer Statistics'!K145)))</f>
        <v>466</v>
      </c>
      <c r="AJ43" s="206">
        <f>IF($AG$2="2018年",'Offer Statistics'!L43,IF($AG$2="2019年",'Offer Statistics'!L94,IF($AG$2="2020年",'Offer Statistics'!L145)))</f>
        <v>370</v>
      </c>
      <c r="AK43" s="206">
        <f>IF($AG$2="2018年",'Offer Statistics'!M43,IF($AG$2="2019年",'Offer Statistics'!M94,IF($AG$2="2020年",'Offer Statistics'!M145)))</f>
        <v>408</v>
      </c>
      <c r="AL43" s="206">
        <f>IF($AG$2="2018年",'Offer Statistics'!N43,IF($AG$2="2019年",'Offer Statistics'!N94,IF($AG$2="2020年",'Offer Statistics'!N145)))</f>
        <v>469</v>
      </c>
      <c r="AM43" s="206">
        <f>IF($AG$2="2018年",'Offer Statistics'!O43,IF($AG$2="2019年",'Offer Statistics'!O94,IF($AG$2="2020年",'Offer Statistics'!O145)))</f>
        <v>348</v>
      </c>
      <c r="AN43" s="131"/>
      <c r="AO43" s="131" t="str">
        <f t="shared" si="3"/>
        <v>JS1207</v>
      </c>
      <c r="AP43" s="130"/>
      <c r="AQ43" s="130"/>
      <c r="AR43" s="130"/>
      <c r="AS43" s="130"/>
      <c r="AT43" s="130"/>
      <c r="AU43" s="130"/>
      <c r="AV43" s="130"/>
      <c r="AW43" s="130"/>
      <c r="AX43" s="130"/>
      <c r="AY43" s="130"/>
      <c r="AZ43" s="130"/>
      <c r="BA43" s="130"/>
      <c r="BB43" s="130"/>
      <c r="BC43" s="130"/>
      <c r="BD43" s="130"/>
    </row>
    <row r="44" ht="18.0" customHeight="1">
      <c r="A44" s="186" t="s">
        <v>1204</v>
      </c>
      <c r="B44" s="186" t="s">
        <v>1026</v>
      </c>
      <c r="C44" s="187" t="s">
        <v>1205</v>
      </c>
      <c r="D44" s="186" t="s">
        <v>1206</v>
      </c>
      <c r="E44" s="211" t="s">
        <v>191</v>
      </c>
      <c r="F44" s="189">
        <v>31.0</v>
      </c>
      <c r="G44" s="189">
        <v>28.75</v>
      </c>
      <c r="H44" s="190">
        <f>'計分版'!D67</f>
        <v>0.000000003125</v>
      </c>
      <c r="I44" s="191">
        <f t="shared" si="4"/>
        <v>-31</v>
      </c>
      <c r="J44" s="192">
        <f t="shared" si="5"/>
        <v>-9919999999</v>
      </c>
      <c r="K44" s="193">
        <v>30.0</v>
      </c>
      <c r="L44" s="208">
        <f>'入學要求'!S45</f>
        <v>0</v>
      </c>
      <c r="M44" s="188" t="s">
        <v>1077</v>
      </c>
      <c r="N44" s="188">
        <v>3.0</v>
      </c>
      <c r="O44" s="188">
        <v>3.0</v>
      </c>
      <c r="P44" s="188">
        <v>3.0</v>
      </c>
      <c r="Q44" s="188">
        <v>2.0</v>
      </c>
      <c r="R44" s="188">
        <v>3.0</v>
      </c>
      <c r="S44" s="188">
        <v>3.0</v>
      </c>
      <c r="T44" s="195">
        <f>'入學要求'!L45</f>
        <v>0</v>
      </c>
      <c r="U44" s="195">
        <f>'入學要求'!M45</f>
        <v>0</v>
      </c>
      <c r="V44" s="195">
        <f>'入學要求'!N45</f>
        <v>0</v>
      </c>
      <c r="W44" s="195">
        <f>'入學要求'!O45</f>
        <v>0</v>
      </c>
      <c r="X44" s="195">
        <f>'入學要求'!P45</f>
        <v>0</v>
      </c>
      <c r="Y44" s="195">
        <f>'入學要求'!Q45</f>
        <v>0</v>
      </c>
      <c r="Z44" s="205"/>
      <c r="AA44" s="193">
        <f>IF($Z$2="2018年",'Offer Statistics'!H44,IF($Z$2="2019年",'Offer Statistics'!H95,IF($Z$2="2020年",'Offer Statistics'!H146)))</f>
        <v>13</v>
      </c>
      <c r="AB44" s="197">
        <f>IF($Z$2="2018年",'Offer Statistics'!C44,IF($Z$2="2019年",'Offer Statistics'!C95,IF($Z$2="2020年",'Offer Statistics'!C146)))</f>
        <v>8</v>
      </c>
      <c r="AC44" s="197">
        <f>IF($Z$2="2018年",'Offer Statistics'!D44,IF($Z$2="2019年",'Offer Statistics'!D95,IF($Z$2="2020年",'Offer Statistics'!D146)))</f>
        <v>3</v>
      </c>
      <c r="AD44" s="197">
        <f>IF($Z$2="2018年",'Offer Statistics'!E44,IF($Z$2="2019年",'Offer Statistics'!E95,IF($Z$2="2020年",'Offer Statistics'!E146)))</f>
        <v>1</v>
      </c>
      <c r="AE44" s="197">
        <f>IF($Z$2="2018年",'Offer Statistics'!F44,IF($Z$2="2019年",'Offer Statistics'!F95,IF($Z$2="2020年",'Offer Statistics'!F146)))</f>
        <v>0</v>
      </c>
      <c r="AF44" s="197">
        <f>IF($Z$2="2018年",'Offer Statistics'!G44,IF($Z$2="2019年",'Offer Statistics'!G95,IF($Z$2="2020年",'Offer Statistics'!G146)))</f>
        <v>1</v>
      </c>
      <c r="AG44" s="205"/>
      <c r="AH44" s="193">
        <f>IF($AG$2="2018年",'Offer Statistics'!P44,IF($AG$2="2019年",'Offer Statistics'!P95,IF($AG$2="2020年",'Offer Statistics'!P146)))</f>
        <v>1304</v>
      </c>
      <c r="AI44" s="197">
        <f>IF($AG$2="2018年",'Offer Statistics'!K44,IF($AG$2="2019年",'Offer Statistics'!K95,IF($AG$2="2020年",'Offer Statistics'!K146)))</f>
        <v>121</v>
      </c>
      <c r="AJ44" s="197">
        <f>IF($AG$2="2018年",'Offer Statistics'!L44,IF($AG$2="2019年",'Offer Statistics'!L95,IF($AG$2="2020年",'Offer Statistics'!L146)))</f>
        <v>225</v>
      </c>
      <c r="AK44" s="197">
        <f>IF($AG$2="2018年",'Offer Statistics'!M44,IF($AG$2="2019年",'Offer Statistics'!M95,IF($AG$2="2020年",'Offer Statistics'!M146)))</f>
        <v>273</v>
      </c>
      <c r="AL44" s="197">
        <f>IF($AG$2="2018年",'Offer Statistics'!N44,IF($AG$2="2019年",'Offer Statistics'!N95,IF($AG$2="2020年",'Offer Statistics'!N146)))</f>
        <v>374</v>
      </c>
      <c r="AM44" s="197">
        <f>IF($AG$2="2018年",'Offer Statistics'!O44,IF($AG$2="2019年",'Offer Statistics'!O95,IF($AG$2="2020年",'Offer Statistics'!O146)))</f>
        <v>311</v>
      </c>
      <c r="AN44" s="188"/>
      <c r="AO44" s="188" t="str">
        <f t="shared" si="3"/>
        <v>JS1208</v>
      </c>
      <c r="AP44" s="186"/>
      <c r="AQ44" s="186"/>
      <c r="AR44" s="186"/>
      <c r="AS44" s="186"/>
      <c r="AT44" s="186"/>
      <c r="AU44" s="186"/>
      <c r="AV44" s="186"/>
      <c r="AW44" s="186"/>
      <c r="AX44" s="186"/>
      <c r="AY44" s="186"/>
      <c r="AZ44" s="186"/>
      <c r="BA44" s="186"/>
      <c r="BB44" s="186"/>
      <c r="BC44" s="186"/>
      <c r="BD44" s="186"/>
    </row>
    <row r="45" ht="18.0" customHeight="1">
      <c r="A45" s="142" t="s">
        <v>198</v>
      </c>
      <c r="B45" s="142" t="s">
        <v>1147</v>
      </c>
      <c r="C45" s="198" t="s">
        <v>1207</v>
      </c>
      <c r="D45" s="142" t="s">
        <v>1208</v>
      </c>
      <c r="E45" s="134" t="s">
        <v>191</v>
      </c>
      <c r="F45" s="199">
        <v>30.0</v>
      </c>
      <c r="G45" s="199">
        <v>29.5</v>
      </c>
      <c r="H45" s="200">
        <f>'計分版'!D68</f>
        <v>0.00000000305</v>
      </c>
      <c r="I45" s="201">
        <f t="shared" si="4"/>
        <v>-30</v>
      </c>
      <c r="J45" s="202">
        <f t="shared" si="5"/>
        <v>-9836065573</v>
      </c>
      <c r="K45" s="132">
        <v>38.0</v>
      </c>
      <c r="L45" s="203">
        <f>'入學要求'!S46</f>
        <v>0</v>
      </c>
      <c r="M45" s="131" t="s">
        <v>541</v>
      </c>
      <c r="N45" s="131">
        <v>3.0</v>
      </c>
      <c r="O45" s="131">
        <v>3.0</v>
      </c>
      <c r="P45" s="131">
        <v>2.0</v>
      </c>
      <c r="Q45" s="131">
        <v>2.0</v>
      </c>
      <c r="R45" s="131">
        <v>3.0</v>
      </c>
      <c r="S45" s="131">
        <v>3.0</v>
      </c>
      <c r="T45" s="204">
        <f>'入學要求'!L46</f>
        <v>0</v>
      </c>
      <c r="U45" s="204">
        <f>'入學要求'!M46</f>
        <v>0</v>
      </c>
      <c r="V45" s="204">
        <f>'入學要求'!N46</f>
        <v>0</v>
      </c>
      <c r="W45" s="204">
        <f>'入學要求'!O46</f>
        <v>0</v>
      </c>
      <c r="X45" s="204">
        <f>'入學要求'!P46</f>
        <v>0</v>
      </c>
      <c r="Y45" s="204">
        <f>'入學要求'!Q46</f>
        <v>0</v>
      </c>
      <c r="Z45" s="205"/>
      <c r="AA45" s="132">
        <f>IF($Z$2="2018年",'Offer Statistics'!H45,IF($Z$2="2019年",'Offer Statistics'!H96,IF($Z$2="2020年",'Offer Statistics'!H147)))</f>
        <v>12</v>
      </c>
      <c r="AB45" s="206">
        <f>IF($Z$2="2018年",'Offer Statistics'!C45,IF($Z$2="2019年",'Offer Statistics'!C96,IF($Z$2="2020年",'Offer Statistics'!C147)))</f>
        <v>11</v>
      </c>
      <c r="AC45" s="206">
        <f>IF($Z$2="2018年",'Offer Statistics'!D45,IF($Z$2="2019年",'Offer Statistics'!D96,IF($Z$2="2020年",'Offer Statistics'!D147)))</f>
        <v>1</v>
      </c>
      <c r="AD45" s="206">
        <f>IF($Z$2="2018年",'Offer Statistics'!E45,IF($Z$2="2019年",'Offer Statistics'!E96,IF($Z$2="2020年",'Offer Statistics'!E147)))</f>
        <v>0</v>
      </c>
      <c r="AE45" s="206">
        <f>IF($Z$2="2018年",'Offer Statistics'!F45,IF($Z$2="2019年",'Offer Statistics'!F96,IF($Z$2="2020年",'Offer Statistics'!F147)))</f>
        <v>0</v>
      </c>
      <c r="AF45" s="206">
        <f>IF($Z$2="2018年",'Offer Statistics'!G45,IF($Z$2="2019年",'Offer Statistics'!G96,IF($Z$2="2020年",'Offer Statistics'!G147)))</f>
        <v>0</v>
      </c>
      <c r="AG45" s="205"/>
      <c r="AH45" s="132">
        <f>IF($AG$2="2018年",'Offer Statistics'!P45,IF($AG$2="2019年",'Offer Statistics'!P96,IF($AG$2="2020年",'Offer Statistics'!P147)))</f>
        <v>1107</v>
      </c>
      <c r="AI45" s="206">
        <f>IF($AG$2="2018年",'Offer Statistics'!K45,IF($AG$2="2019年",'Offer Statistics'!K96,IF($AG$2="2020年",'Offer Statistics'!K147)))</f>
        <v>97</v>
      </c>
      <c r="AJ45" s="206">
        <f>IF($AG$2="2018年",'Offer Statistics'!L45,IF($AG$2="2019年",'Offer Statistics'!L96,IF($AG$2="2020年",'Offer Statistics'!L147)))</f>
        <v>153</v>
      </c>
      <c r="AK45" s="206">
        <f>IF($AG$2="2018年",'Offer Statistics'!M45,IF($AG$2="2019年",'Offer Statistics'!M96,IF($AG$2="2020年",'Offer Statistics'!M147)))</f>
        <v>241</v>
      </c>
      <c r="AL45" s="206">
        <f>IF($AG$2="2018年",'Offer Statistics'!N45,IF($AG$2="2019年",'Offer Statistics'!N96,IF($AG$2="2020年",'Offer Statistics'!N147)))</f>
        <v>355</v>
      </c>
      <c r="AM45" s="206">
        <f>IF($AG$2="2018年",'Offer Statistics'!O45,IF($AG$2="2019年",'Offer Statistics'!O96,IF($AG$2="2020年",'Offer Statistics'!O147)))</f>
        <v>261</v>
      </c>
      <c r="AN45" s="131"/>
      <c r="AO45" s="131" t="str">
        <f t="shared" si="3"/>
        <v>JS1210</v>
      </c>
      <c r="AP45" s="130"/>
      <c r="AQ45" s="130"/>
      <c r="AR45" s="130"/>
      <c r="AS45" s="130"/>
      <c r="AT45" s="130"/>
      <c r="AU45" s="130"/>
      <c r="AV45" s="130"/>
      <c r="AW45" s="130"/>
      <c r="AX45" s="130"/>
      <c r="AY45" s="130"/>
      <c r="AZ45" s="130"/>
      <c r="BA45" s="130"/>
      <c r="BB45" s="130"/>
      <c r="BC45" s="130"/>
      <c r="BD45" s="130"/>
    </row>
    <row r="46" ht="18.0" customHeight="1">
      <c r="A46" s="186" t="s">
        <v>1209</v>
      </c>
      <c r="B46" s="186" t="s">
        <v>1147</v>
      </c>
      <c r="C46" s="187" t="s">
        <v>1210</v>
      </c>
      <c r="D46" s="186" t="s">
        <v>1211</v>
      </c>
      <c r="E46" s="211" t="s">
        <v>191</v>
      </c>
      <c r="F46" s="217">
        <v>38.0</v>
      </c>
      <c r="G46" s="217">
        <v>37.0</v>
      </c>
      <c r="H46" s="190">
        <f>'計分版'!D69</f>
        <v>0.00000000335</v>
      </c>
      <c r="I46" s="191">
        <f t="shared" si="4"/>
        <v>-38</v>
      </c>
      <c r="J46" s="192">
        <f t="shared" si="5"/>
        <v>-11343283581</v>
      </c>
      <c r="K46" s="193">
        <v>50.0</v>
      </c>
      <c r="L46" s="208">
        <f>'入學要求'!S47</f>
        <v>0</v>
      </c>
      <c r="M46" s="188" t="s">
        <v>541</v>
      </c>
      <c r="N46" s="188">
        <v>3.0</v>
      </c>
      <c r="O46" s="188">
        <v>3.0</v>
      </c>
      <c r="P46" s="188">
        <v>3.0</v>
      </c>
      <c r="Q46" s="188">
        <v>2.0</v>
      </c>
      <c r="R46" s="188">
        <v>3.0</v>
      </c>
      <c r="S46" s="188">
        <v>3.0</v>
      </c>
      <c r="T46" s="195">
        <f>'入學要求'!L47</f>
        <v>0</v>
      </c>
      <c r="U46" s="195">
        <f>'入學要求'!M47</f>
        <v>0</v>
      </c>
      <c r="V46" s="195">
        <f>'入學要求'!N47</f>
        <v>0</v>
      </c>
      <c r="W46" s="195">
        <f>'入學要求'!O47</f>
        <v>0</v>
      </c>
      <c r="X46" s="195">
        <f>'入學要求'!P47</f>
        <v>0</v>
      </c>
      <c r="Y46" s="195">
        <f>'入學要求'!Q47</f>
        <v>0</v>
      </c>
      <c r="Z46" s="205"/>
      <c r="AA46" s="193">
        <f>IF($Z$2="2018年",'Offer Statistics'!H46,IF($Z$2="2019年",'Offer Statistics'!H97,IF($Z$2="2020年",'Offer Statistics'!H148)))</f>
        <v>55</v>
      </c>
      <c r="AB46" s="197">
        <f>IF($Z$2="2018年",'Offer Statistics'!C46,IF($Z$2="2019年",'Offer Statistics'!C97,IF($Z$2="2020年",'Offer Statistics'!C148)))</f>
        <v>47</v>
      </c>
      <c r="AC46" s="197">
        <f>IF($Z$2="2018年",'Offer Statistics'!D46,IF($Z$2="2019年",'Offer Statistics'!D97,IF($Z$2="2020年",'Offer Statistics'!D148)))</f>
        <v>5</v>
      </c>
      <c r="AD46" s="197">
        <f>IF($Z$2="2018年",'Offer Statistics'!E46,IF($Z$2="2019年",'Offer Statistics'!E97,IF($Z$2="2020年",'Offer Statistics'!E148)))</f>
        <v>2</v>
      </c>
      <c r="AE46" s="197">
        <f>IF($Z$2="2018年",'Offer Statistics'!F46,IF($Z$2="2019年",'Offer Statistics'!F97,IF($Z$2="2020年",'Offer Statistics'!F148)))</f>
        <v>1</v>
      </c>
      <c r="AF46" s="197">
        <f>IF($Z$2="2018年",'Offer Statistics'!G46,IF($Z$2="2019年",'Offer Statistics'!G97,IF($Z$2="2020年",'Offer Statistics'!G148)))</f>
        <v>0</v>
      </c>
      <c r="AG46" s="205"/>
      <c r="AH46" s="193">
        <f>IF($AG$2="2018年",'Offer Statistics'!P46,IF($AG$2="2019年",'Offer Statistics'!P97,IF($AG$2="2020年",'Offer Statistics'!P148)))</f>
        <v>2086</v>
      </c>
      <c r="AI46" s="197">
        <f>IF($AG$2="2018年",'Offer Statistics'!K46,IF($AG$2="2019年",'Offer Statistics'!K97,IF($AG$2="2020年",'Offer Statistics'!K148)))</f>
        <v>385</v>
      </c>
      <c r="AJ46" s="197">
        <f>IF($AG$2="2018年",'Offer Statistics'!L46,IF($AG$2="2019年",'Offer Statistics'!L97,IF($AG$2="2020年",'Offer Statistics'!L148)))</f>
        <v>372</v>
      </c>
      <c r="AK46" s="197">
        <f>IF($AG$2="2018年",'Offer Statistics'!M46,IF($AG$2="2019年",'Offer Statistics'!M97,IF($AG$2="2020年",'Offer Statistics'!M148)))</f>
        <v>429</v>
      </c>
      <c r="AL46" s="197">
        <f>IF($AG$2="2018年",'Offer Statistics'!N46,IF($AG$2="2019年",'Offer Statistics'!N97,IF($AG$2="2020年",'Offer Statistics'!N148)))</f>
        <v>517</v>
      </c>
      <c r="AM46" s="197">
        <f>IF($AG$2="2018年",'Offer Statistics'!O46,IF($AG$2="2019年",'Offer Statistics'!O97,IF($AG$2="2020年",'Offer Statistics'!O148)))</f>
        <v>383</v>
      </c>
      <c r="AN46" s="188"/>
      <c r="AO46" s="188" t="str">
        <f t="shared" si="3"/>
        <v>JS1211</v>
      </c>
      <c r="AP46" s="186"/>
      <c r="AQ46" s="186"/>
      <c r="AR46" s="186"/>
      <c r="AS46" s="186"/>
      <c r="AT46" s="186"/>
      <c r="AU46" s="186"/>
      <c r="AV46" s="186"/>
      <c r="AW46" s="186"/>
      <c r="AX46" s="186"/>
      <c r="AY46" s="186"/>
      <c r="AZ46" s="186"/>
      <c r="BA46" s="186"/>
      <c r="BB46" s="186"/>
      <c r="BC46" s="186"/>
      <c r="BD46" s="186"/>
    </row>
    <row r="47" ht="18.0" customHeight="1">
      <c r="A47" s="142" t="s">
        <v>208</v>
      </c>
      <c r="B47" s="142" t="s">
        <v>1147</v>
      </c>
      <c r="C47" s="198" t="s">
        <v>1212</v>
      </c>
      <c r="D47" s="142" t="s">
        <v>1213</v>
      </c>
      <c r="E47" s="134" t="s">
        <v>21</v>
      </c>
      <c r="F47" s="212" t="s">
        <v>541</v>
      </c>
      <c r="G47" s="212" t="s">
        <v>541</v>
      </c>
      <c r="H47" s="200">
        <f>'計分版'!D70</f>
        <v>0.000000004</v>
      </c>
      <c r="I47" s="215" t="s">
        <v>541</v>
      </c>
      <c r="J47" s="215" t="s">
        <v>541</v>
      </c>
      <c r="K47" s="132">
        <v>20.0</v>
      </c>
      <c r="L47" s="203">
        <f>'入學要求'!S48</f>
        <v>0</v>
      </c>
      <c r="M47" s="131" t="s">
        <v>541</v>
      </c>
      <c r="N47" s="131">
        <v>3.0</v>
      </c>
      <c r="O47" s="131">
        <v>3.0</v>
      </c>
      <c r="P47" s="131">
        <v>3.0</v>
      </c>
      <c r="Q47" s="131">
        <v>2.0</v>
      </c>
      <c r="R47" s="131">
        <v>3.0</v>
      </c>
      <c r="S47" s="131">
        <v>3.0</v>
      </c>
      <c r="T47" s="204">
        <f>'入學要求'!L48</f>
        <v>0</v>
      </c>
      <c r="U47" s="204">
        <f>'入學要求'!M48</f>
        <v>0</v>
      </c>
      <c r="V47" s="204">
        <f>'入學要求'!N48</f>
        <v>0</v>
      </c>
      <c r="W47" s="204">
        <f>'入學要求'!O48</f>
        <v>0</v>
      </c>
      <c r="X47" s="204">
        <f>'入學要求'!P48</f>
        <v>0</v>
      </c>
      <c r="Y47" s="204">
        <f>'入學要求'!Q48</f>
        <v>0</v>
      </c>
      <c r="Z47" s="205"/>
      <c r="AA47" s="132" t="str">
        <f>IF($Z$2="2018年",'Offer Statistics'!H47,IF($Z$2="2019年",'Offer Statistics'!H98,IF($Z$2="2020年",'Offer Statistics'!H149)))</f>
        <v>/</v>
      </c>
      <c r="AB47" s="206" t="str">
        <f>IF($Z$2="2018年",'Offer Statistics'!C47,IF($Z$2="2019年",'Offer Statistics'!C98,IF($Z$2="2020年",'Offer Statistics'!C149)))</f>
        <v>/</v>
      </c>
      <c r="AC47" s="206" t="str">
        <f>IF($Z$2="2018年",'Offer Statistics'!D47,IF($Z$2="2019年",'Offer Statistics'!D98,IF($Z$2="2020年",'Offer Statistics'!D149)))</f>
        <v>/</v>
      </c>
      <c r="AD47" s="206" t="str">
        <f>IF($Z$2="2018年",'Offer Statistics'!E47,IF($Z$2="2019年",'Offer Statistics'!E98,IF($Z$2="2020年",'Offer Statistics'!E149)))</f>
        <v>/</v>
      </c>
      <c r="AE47" s="206" t="str">
        <f>IF($Z$2="2018年",'Offer Statistics'!F47,IF($Z$2="2019年",'Offer Statistics'!F98,IF($Z$2="2020年",'Offer Statistics'!F149)))</f>
        <v>/</v>
      </c>
      <c r="AF47" s="206" t="str">
        <f>IF($Z$2="2018年",'Offer Statistics'!G47,IF($Z$2="2019年",'Offer Statistics'!G98,IF($Z$2="2020年",'Offer Statistics'!G149)))</f>
        <v>/</v>
      </c>
      <c r="AG47" s="205"/>
      <c r="AH47" s="132" t="str">
        <f>IF($AG$2="2018年",'Offer Statistics'!P47,IF($AG$2="2019年",'Offer Statistics'!P98,IF($AG$2="2020年",'Offer Statistics'!P149)))</f>
        <v>/</v>
      </c>
      <c r="AI47" s="206" t="str">
        <f>IF($AG$2="2018年",'Offer Statistics'!K47,IF($AG$2="2019年",'Offer Statistics'!K98,IF($AG$2="2020年",'Offer Statistics'!K149)))</f>
        <v>/</v>
      </c>
      <c r="AJ47" s="206" t="str">
        <f>IF($AG$2="2018年",'Offer Statistics'!L47,IF($AG$2="2019年",'Offer Statistics'!L98,IF($AG$2="2020年",'Offer Statistics'!L149)))</f>
        <v>/</v>
      </c>
      <c r="AK47" s="206" t="str">
        <f>IF($AG$2="2018年",'Offer Statistics'!M47,IF($AG$2="2019年",'Offer Statistics'!M98,IF($AG$2="2020年",'Offer Statistics'!M149)))</f>
        <v>/</v>
      </c>
      <c r="AL47" s="206" t="str">
        <f>IF($AG$2="2018年",'Offer Statistics'!N47,IF($AG$2="2019年",'Offer Statistics'!N98,IF($AG$2="2020年",'Offer Statistics'!N149)))</f>
        <v>/</v>
      </c>
      <c r="AM47" s="206" t="str">
        <f>IF($AG$2="2018年",'Offer Statistics'!O47,IF($AG$2="2019年",'Offer Statistics'!O98,IF($AG$2="2020年",'Offer Statistics'!O149)))</f>
        <v>/</v>
      </c>
      <c r="AN47" s="131"/>
      <c r="AO47" s="131" t="str">
        <f t="shared" si="3"/>
        <v>JS1216</v>
      </c>
      <c r="AP47" s="130"/>
      <c r="AQ47" s="130"/>
      <c r="AR47" s="130"/>
      <c r="AS47" s="130"/>
      <c r="AT47" s="130"/>
      <c r="AU47" s="130"/>
      <c r="AV47" s="130"/>
      <c r="AW47" s="130"/>
      <c r="AX47" s="130"/>
      <c r="AY47" s="130"/>
      <c r="AZ47" s="130"/>
      <c r="BA47" s="130"/>
      <c r="BB47" s="130"/>
      <c r="BC47" s="130"/>
      <c r="BD47" s="130"/>
    </row>
    <row r="48" ht="18.0" customHeight="1">
      <c r="A48" s="186" t="s">
        <v>1214</v>
      </c>
      <c r="B48" s="186" t="s">
        <v>1215</v>
      </c>
      <c r="C48" s="187" t="s">
        <v>1216</v>
      </c>
      <c r="D48" s="186" t="s">
        <v>1217</v>
      </c>
      <c r="E48" s="207" t="s">
        <v>191</v>
      </c>
      <c r="F48" s="189">
        <v>33.0</v>
      </c>
      <c r="G48" s="189">
        <v>33.0</v>
      </c>
      <c r="H48" s="190">
        <f>'計分版'!D71</f>
        <v>0.0000000027</v>
      </c>
      <c r="I48" s="191">
        <f t="shared" ref="I48:I51" si="6">IF(I$1="差距(Median)",H48-F48,IF(I$1="差距(LQ)",H48-G48))</f>
        <v>-33</v>
      </c>
      <c r="J48" s="192">
        <f t="shared" ref="J48:J51" si="7">IF(I$1="差距(Median)",(H48-F48)/H48,IF(I$1="差距(LQ)",(H48-G48)/H48))</f>
        <v>-12222222221</v>
      </c>
      <c r="K48" s="193">
        <v>30.0</v>
      </c>
      <c r="L48" s="208">
        <f>'入學要求'!S49</f>
        <v>0</v>
      </c>
      <c r="M48" s="207" t="s">
        <v>1166</v>
      </c>
      <c r="N48" s="188">
        <v>3.0</v>
      </c>
      <c r="O48" s="188">
        <v>3.0</v>
      </c>
      <c r="P48" s="188">
        <v>2.0</v>
      </c>
      <c r="Q48" s="188">
        <v>2.0</v>
      </c>
      <c r="R48" s="188">
        <v>3.0</v>
      </c>
      <c r="S48" s="188">
        <v>3.0</v>
      </c>
      <c r="T48" s="195">
        <f>'入學要求'!L49</f>
        <v>0</v>
      </c>
      <c r="U48" s="195">
        <f>'入學要求'!M49</f>
        <v>0</v>
      </c>
      <c r="V48" s="195">
        <f>'入學要求'!N49</f>
        <v>0</v>
      </c>
      <c r="W48" s="195">
        <f>'入學要求'!O49</f>
        <v>0</v>
      </c>
      <c r="X48" s="195">
        <f>'入學要求'!P49</f>
        <v>0</v>
      </c>
      <c r="Y48" s="195">
        <f>'入學要求'!Q49</f>
        <v>0</v>
      </c>
      <c r="Z48" s="205"/>
      <c r="AA48" s="193">
        <f>IF($Z$2="2018年",'Offer Statistics'!H48,IF($Z$2="2019年",'Offer Statistics'!H99,IF($Z$2="2020年",'Offer Statistics'!H150)))</f>
        <v>16</v>
      </c>
      <c r="AB48" s="197">
        <f>IF($Z$2="2018年",'Offer Statistics'!C48,IF($Z$2="2019年",'Offer Statistics'!C99,IF($Z$2="2020年",'Offer Statistics'!C150)))</f>
        <v>16</v>
      </c>
      <c r="AC48" s="197">
        <f>IF($Z$2="2018年",'Offer Statistics'!D48,IF($Z$2="2019年",'Offer Statistics'!D99,IF($Z$2="2020年",'Offer Statistics'!D150)))</f>
        <v>0</v>
      </c>
      <c r="AD48" s="197">
        <f>IF($Z$2="2018年",'Offer Statistics'!E48,IF($Z$2="2019年",'Offer Statistics'!E99,IF($Z$2="2020年",'Offer Statistics'!E150)))</f>
        <v>0</v>
      </c>
      <c r="AE48" s="197">
        <f>IF($Z$2="2018年",'Offer Statistics'!F48,IF($Z$2="2019年",'Offer Statistics'!F99,IF($Z$2="2020年",'Offer Statistics'!F150)))</f>
        <v>0</v>
      </c>
      <c r="AF48" s="197">
        <f>IF($Z$2="2018年",'Offer Statistics'!G48,IF($Z$2="2019年",'Offer Statistics'!G99,IF($Z$2="2020年",'Offer Statistics'!G150)))</f>
        <v>0</v>
      </c>
      <c r="AG48" s="205"/>
      <c r="AH48" s="193">
        <f>IF($AG$2="2018年",'Offer Statistics'!P48,IF($AG$2="2019年",'Offer Statistics'!P99,IF($AG$2="2020年",'Offer Statistics'!P150)))</f>
        <v>915</v>
      </c>
      <c r="AI48" s="197">
        <f>IF($AG$2="2018年",'Offer Statistics'!K48,IF($AG$2="2019年",'Offer Statistics'!K99,IF($AG$2="2020年",'Offer Statistics'!K150)))</f>
        <v>151</v>
      </c>
      <c r="AJ48" s="197">
        <f>IF($AG$2="2018年",'Offer Statistics'!L48,IF($AG$2="2019年",'Offer Statistics'!L99,IF($AG$2="2020年",'Offer Statistics'!L150)))</f>
        <v>109</v>
      </c>
      <c r="AK48" s="197">
        <f>IF($AG$2="2018年",'Offer Statistics'!M48,IF($AG$2="2019年",'Offer Statistics'!M99,IF($AG$2="2020年",'Offer Statistics'!M150)))</f>
        <v>147</v>
      </c>
      <c r="AL48" s="197">
        <f>IF($AG$2="2018年",'Offer Statistics'!N48,IF($AG$2="2019年",'Offer Statistics'!N99,IF($AG$2="2020年",'Offer Statistics'!N150)))</f>
        <v>220</v>
      </c>
      <c r="AM48" s="197">
        <f>IF($AG$2="2018年",'Offer Statistics'!O48,IF($AG$2="2019年",'Offer Statistics'!O99,IF($AG$2="2020年",'Offer Statistics'!O150)))</f>
        <v>288</v>
      </c>
      <c r="AN48" s="188"/>
      <c r="AO48" s="188" t="str">
        <f t="shared" si="3"/>
        <v>JS1801</v>
      </c>
      <c r="AP48" s="186"/>
      <c r="AQ48" s="186"/>
      <c r="AR48" s="186"/>
      <c r="AS48" s="186"/>
      <c r="AT48" s="186"/>
      <c r="AU48" s="186"/>
      <c r="AV48" s="186"/>
      <c r="AW48" s="186"/>
      <c r="AX48" s="186"/>
      <c r="AY48" s="186"/>
      <c r="AZ48" s="186"/>
      <c r="BA48" s="186"/>
      <c r="BB48" s="186"/>
      <c r="BC48" s="186"/>
      <c r="BD48" s="186"/>
    </row>
    <row r="49" ht="18.0" customHeight="1">
      <c r="A49" s="142" t="s">
        <v>1218</v>
      </c>
      <c r="B49" s="142" t="s">
        <v>1215</v>
      </c>
      <c r="C49" s="198" t="s">
        <v>1219</v>
      </c>
      <c r="D49" s="142" t="s">
        <v>1220</v>
      </c>
      <c r="E49" s="132" t="s">
        <v>191</v>
      </c>
      <c r="F49" s="212">
        <v>38.0</v>
      </c>
      <c r="G49" s="212">
        <v>37.5</v>
      </c>
      <c r="H49" s="200">
        <f>'計分版'!D72</f>
        <v>0.00000000305</v>
      </c>
      <c r="I49" s="201">
        <f t="shared" si="6"/>
        <v>-38</v>
      </c>
      <c r="J49" s="202">
        <f t="shared" si="7"/>
        <v>-12459016392</v>
      </c>
      <c r="K49" s="132">
        <v>25.0</v>
      </c>
      <c r="L49" s="203">
        <f>'入學要求'!S50</f>
        <v>0</v>
      </c>
      <c r="M49" s="210" t="s">
        <v>541</v>
      </c>
      <c r="N49" s="131">
        <v>3.0</v>
      </c>
      <c r="O49" s="131">
        <v>3.0</v>
      </c>
      <c r="P49" s="131">
        <v>2.0</v>
      </c>
      <c r="Q49" s="131">
        <v>2.0</v>
      </c>
      <c r="R49" s="131">
        <v>3.0</v>
      </c>
      <c r="S49" s="131">
        <v>3.0</v>
      </c>
      <c r="T49" s="204">
        <f>'入學要求'!L50</f>
        <v>0</v>
      </c>
      <c r="U49" s="204">
        <f>'入學要求'!M50</f>
        <v>0</v>
      </c>
      <c r="V49" s="204">
        <f>'入學要求'!N50</f>
        <v>0</v>
      </c>
      <c r="W49" s="204">
        <f>'入學要求'!O50</f>
        <v>0</v>
      </c>
      <c r="X49" s="204">
        <f>'入學要求'!P50</f>
        <v>0</v>
      </c>
      <c r="Y49" s="204">
        <f>'入學要求'!Q50</f>
        <v>0</v>
      </c>
      <c r="Z49" s="205"/>
      <c r="AA49" s="132">
        <f>IF($Z$2="2018年",'Offer Statistics'!H49,IF($Z$2="2019年",'Offer Statistics'!H100,IF($Z$2="2020年",'Offer Statistics'!H151)))</f>
        <v>24</v>
      </c>
      <c r="AB49" s="206">
        <f>IF($Z$2="2018年",'Offer Statistics'!C49,IF($Z$2="2019年",'Offer Statistics'!C100,IF($Z$2="2020年",'Offer Statistics'!C151)))</f>
        <v>21</v>
      </c>
      <c r="AC49" s="206">
        <f>IF($Z$2="2018年",'Offer Statistics'!D49,IF($Z$2="2019年",'Offer Statistics'!D100,IF($Z$2="2020年",'Offer Statistics'!D151)))</f>
        <v>1</v>
      </c>
      <c r="AD49" s="206">
        <f>IF($Z$2="2018年",'Offer Statistics'!E49,IF($Z$2="2019年",'Offer Statistics'!E100,IF($Z$2="2020年",'Offer Statistics'!E151)))</f>
        <v>1</v>
      </c>
      <c r="AE49" s="206">
        <f>IF($Z$2="2018年",'Offer Statistics'!F49,IF($Z$2="2019年",'Offer Statistics'!F100,IF($Z$2="2020年",'Offer Statistics'!F151)))</f>
        <v>1</v>
      </c>
      <c r="AF49" s="206">
        <f>IF($Z$2="2018年",'Offer Statistics'!G49,IF($Z$2="2019年",'Offer Statistics'!G100,IF($Z$2="2020年",'Offer Statistics'!G151)))</f>
        <v>0</v>
      </c>
      <c r="AG49" s="205"/>
      <c r="AH49" s="132">
        <f>IF($AG$2="2018年",'Offer Statistics'!P49,IF($AG$2="2019年",'Offer Statistics'!P100,IF($AG$2="2020年",'Offer Statistics'!P151)))</f>
        <v>1690</v>
      </c>
      <c r="AI49" s="206">
        <f>IF($AG$2="2018年",'Offer Statistics'!K49,IF($AG$2="2019年",'Offer Statistics'!K100,IF($AG$2="2020年",'Offer Statistics'!K151)))</f>
        <v>181</v>
      </c>
      <c r="AJ49" s="206">
        <f>IF($AG$2="2018年",'Offer Statistics'!L49,IF($AG$2="2019年",'Offer Statistics'!L100,IF($AG$2="2020年",'Offer Statistics'!L151)))</f>
        <v>267</v>
      </c>
      <c r="AK49" s="206">
        <f>IF($AG$2="2018年",'Offer Statistics'!M49,IF($AG$2="2019年",'Offer Statistics'!M100,IF($AG$2="2020年",'Offer Statistics'!M151)))</f>
        <v>384</v>
      </c>
      <c r="AL49" s="206">
        <f>IF($AG$2="2018年",'Offer Statistics'!N49,IF($AG$2="2019年",'Offer Statistics'!N100,IF($AG$2="2020年",'Offer Statistics'!N151)))</f>
        <v>513</v>
      </c>
      <c r="AM49" s="206">
        <f>IF($AG$2="2018年",'Offer Statistics'!O49,IF($AG$2="2019年",'Offer Statistics'!O100,IF($AG$2="2020年",'Offer Statistics'!O151)))</f>
        <v>345</v>
      </c>
      <c r="AN49" s="131"/>
      <c r="AO49" s="131" t="str">
        <f t="shared" si="3"/>
        <v>JS1805</v>
      </c>
      <c r="AP49" s="130"/>
      <c r="AQ49" s="130"/>
      <c r="AR49" s="130"/>
      <c r="AS49" s="130"/>
      <c r="AT49" s="130"/>
      <c r="AU49" s="130"/>
      <c r="AV49" s="130"/>
      <c r="AW49" s="130"/>
      <c r="AX49" s="130"/>
      <c r="AY49" s="130"/>
      <c r="AZ49" s="130"/>
      <c r="BA49" s="130"/>
      <c r="BB49" s="130"/>
      <c r="BC49" s="130"/>
      <c r="BD49" s="130"/>
    </row>
    <row r="50" ht="18.0" customHeight="1">
      <c r="A50" s="186" t="s">
        <v>1221</v>
      </c>
      <c r="B50" s="186" t="s">
        <v>1215</v>
      </c>
      <c r="C50" s="187" t="s">
        <v>1222</v>
      </c>
      <c r="D50" s="186" t="s">
        <v>1223</v>
      </c>
      <c r="E50" s="193" t="s">
        <v>191</v>
      </c>
      <c r="F50" s="217">
        <v>33.5</v>
      </c>
      <c r="G50" s="217">
        <v>33.0</v>
      </c>
      <c r="H50" s="190">
        <f>'計分版'!D73</f>
        <v>0.00000000305</v>
      </c>
      <c r="I50" s="191">
        <f t="shared" si="6"/>
        <v>-33.5</v>
      </c>
      <c r="J50" s="192">
        <f t="shared" si="7"/>
        <v>-10983606556</v>
      </c>
      <c r="K50" s="193">
        <v>30.0</v>
      </c>
      <c r="L50" s="208">
        <f>'入學要求'!S51</f>
        <v>0</v>
      </c>
      <c r="M50" s="205"/>
      <c r="N50" s="188">
        <v>3.0</v>
      </c>
      <c r="O50" s="188">
        <v>3.0</v>
      </c>
      <c r="P50" s="188">
        <v>2.0</v>
      </c>
      <c r="Q50" s="188">
        <v>2.0</v>
      </c>
      <c r="R50" s="188">
        <v>3.0</v>
      </c>
      <c r="S50" s="188">
        <v>3.0</v>
      </c>
      <c r="T50" s="195">
        <f>'入學要求'!L51</f>
        <v>0</v>
      </c>
      <c r="U50" s="195">
        <f>'入學要求'!M51</f>
        <v>0</v>
      </c>
      <c r="V50" s="195">
        <f>'入學要求'!N51</f>
        <v>0</v>
      </c>
      <c r="W50" s="195">
        <f>'入學要求'!O51</f>
        <v>0</v>
      </c>
      <c r="X50" s="195">
        <f>'入學要求'!P51</f>
        <v>0</v>
      </c>
      <c r="Y50" s="195">
        <f>'入學要求'!Q51</f>
        <v>0</v>
      </c>
      <c r="Z50" s="205"/>
      <c r="AA50" s="193">
        <f>IF($Z$2="2018年",'Offer Statistics'!H50,IF($Z$2="2019年",'Offer Statistics'!H101,IF($Z$2="2020年",'Offer Statistics'!H152)))</f>
        <v>22</v>
      </c>
      <c r="AB50" s="197">
        <f>IF($Z$2="2018年",'Offer Statistics'!C50,IF($Z$2="2019年",'Offer Statistics'!C101,IF($Z$2="2020年",'Offer Statistics'!C152)))</f>
        <v>10</v>
      </c>
      <c r="AC50" s="197">
        <f>IF($Z$2="2018年",'Offer Statistics'!D50,IF($Z$2="2019年",'Offer Statistics'!D101,IF($Z$2="2020年",'Offer Statistics'!D152)))</f>
        <v>7</v>
      </c>
      <c r="AD50" s="197">
        <f>IF($Z$2="2018年",'Offer Statistics'!E50,IF($Z$2="2019年",'Offer Statistics'!E101,IF($Z$2="2020年",'Offer Statistics'!E152)))</f>
        <v>3</v>
      </c>
      <c r="AE50" s="197">
        <f>IF($Z$2="2018年",'Offer Statistics'!F50,IF($Z$2="2019年",'Offer Statistics'!F101,IF($Z$2="2020年",'Offer Statistics'!F152)))</f>
        <v>2</v>
      </c>
      <c r="AF50" s="197">
        <f>IF($Z$2="2018年",'Offer Statistics'!G50,IF($Z$2="2019年",'Offer Statistics'!G101,IF($Z$2="2020年",'Offer Statistics'!G152)))</f>
        <v>0</v>
      </c>
      <c r="AG50" s="205"/>
      <c r="AH50" s="193">
        <f>IF($AG$2="2018年",'Offer Statistics'!P50,IF($AG$2="2019年",'Offer Statistics'!P101,IF($AG$2="2020年",'Offer Statistics'!P152)))</f>
        <v>1421</v>
      </c>
      <c r="AI50" s="197">
        <f>IF($AG$2="2018年",'Offer Statistics'!K50,IF($AG$2="2019年",'Offer Statistics'!K101,IF($AG$2="2020年",'Offer Statistics'!K152)))</f>
        <v>105</v>
      </c>
      <c r="AJ50" s="197">
        <f>IF($AG$2="2018年",'Offer Statistics'!L50,IF($AG$2="2019年",'Offer Statistics'!L101,IF($AG$2="2020年",'Offer Statistics'!L152)))</f>
        <v>217</v>
      </c>
      <c r="AK50" s="197">
        <f>IF($AG$2="2018年",'Offer Statistics'!M50,IF($AG$2="2019年",'Offer Statistics'!M101,IF($AG$2="2020年",'Offer Statistics'!M152)))</f>
        <v>346</v>
      </c>
      <c r="AL50" s="197">
        <f>IF($AG$2="2018年",'Offer Statistics'!N50,IF($AG$2="2019年",'Offer Statistics'!N101,IF($AG$2="2020年",'Offer Statistics'!N152)))</f>
        <v>434</v>
      </c>
      <c r="AM50" s="197">
        <f>IF($AG$2="2018年",'Offer Statistics'!O50,IF($AG$2="2019年",'Offer Statistics'!O101,IF($AG$2="2020年",'Offer Statistics'!O152)))</f>
        <v>319</v>
      </c>
      <c r="AN50" s="188"/>
      <c r="AO50" s="188" t="str">
        <f t="shared" si="3"/>
        <v>JS1806</v>
      </c>
      <c r="AP50" s="186"/>
      <c r="AQ50" s="186"/>
      <c r="AR50" s="186"/>
      <c r="AS50" s="186"/>
      <c r="AT50" s="186"/>
      <c r="AU50" s="186"/>
      <c r="AV50" s="186"/>
      <c r="AW50" s="186"/>
      <c r="AX50" s="186"/>
      <c r="AY50" s="186"/>
      <c r="AZ50" s="186"/>
      <c r="BA50" s="186"/>
      <c r="BB50" s="186"/>
      <c r="BC50" s="186"/>
      <c r="BD50" s="186"/>
    </row>
    <row r="51" ht="18.0" customHeight="1">
      <c r="A51" s="142" t="s">
        <v>1224</v>
      </c>
      <c r="B51" s="142" t="s">
        <v>1215</v>
      </c>
      <c r="C51" s="198" t="s">
        <v>1225</v>
      </c>
      <c r="D51" s="142" t="s">
        <v>1226</v>
      </c>
      <c r="E51" s="132" t="s">
        <v>191</v>
      </c>
      <c r="F51" s="199">
        <v>40.0</v>
      </c>
      <c r="G51" s="199">
        <v>39.0</v>
      </c>
      <c r="H51" s="200">
        <f>'計分版'!D74</f>
        <v>0.00000000305</v>
      </c>
      <c r="I51" s="201">
        <f t="shared" si="6"/>
        <v>-40</v>
      </c>
      <c r="J51" s="202">
        <f t="shared" si="7"/>
        <v>-13114754097</v>
      </c>
      <c r="K51" s="132">
        <v>30.0</v>
      </c>
      <c r="L51" s="218">
        <f>'入學要求'!S52</f>
        <v>0</v>
      </c>
      <c r="M51" s="205"/>
      <c r="N51" s="131">
        <v>3.0</v>
      </c>
      <c r="O51" s="131">
        <v>3.0</v>
      </c>
      <c r="P51" s="131">
        <v>3.0</v>
      </c>
      <c r="Q51" s="131">
        <v>2.0</v>
      </c>
      <c r="R51" s="131">
        <v>3.0</v>
      </c>
      <c r="S51" s="131">
        <v>3.0</v>
      </c>
      <c r="T51" s="204">
        <f>'入學要求'!L52</f>
        <v>0</v>
      </c>
      <c r="U51" s="204">
        <f>'入學要求'!M52</f>
        <v>0</v>
      </c>
      <c r="V51" s="204">
        <f>'入學要求'!N52</f>
        <v>0</v>
      </c>
      <c r="W51" s="204">
        <f>'入學要求'!O52</f>
        <v>0</v>
      </c>
      <c r="X51" s="204">
        <f>'入學要求'!P52</f>
        <v>0</v>
      </c>
      <c r="Y51" s="204">
        <f>'入學要求'!Q52</f>
        <v>0</v>
      </c>
      <c r="Z51" s="205"/>
      <c r="AA51" s="132">
        <f>IF($Z$2="2018年",'Offer Statistics'!H51,IF($Z$2="2019年",'Offer Statistics'!H102,IF($Z$2="2020年",'Offer Statistics'!H153)))</f>
        <v>25</v>
      </c>
      <c r="AB51" s="206">
        <f>IF($Z$2="2018年",'Offer Statistics'!C51,IF($Z$2="2019年",'Offer Statistics'!C102,IF($Z$2="2020年",'Offer Statistics'!C153)))</f>
        <v>24</v>
      </c>
      <c r="AC51" s="206">
        <f>IF($Z$2="2018年",'Offer Statistics'!D51,IF($Z$2="2019年",'Offer Statistics'!D102,IF($Z$2="2020年",'Offer Statistics'!D153)))</f>
        <v>0</v>
      </c>
      <c r="AD51" s="206">
        <f>IF($Z$2="2018年",'Offer Statistics'!E51,IF($Z$2="2019年",'Offer Statistics'!E102,IF($Z$2="2020年",'Offer Statistics'!E153)))</f>
        <v>1</v>
      </c>
      <c r="AE51" s="206">
        <f>IF($Z$2="2018年",'Offer Statistics'!F51,IF($Z$2="2019年",'Offer Statistics'!F102,IF($Z$2="2020年",'Offer Statistics'!F153)))</f>
        <v>0</v>
      </c>
      <c r="AF51" s="206">
        <f>IF($Z$2="2018年",'Offer Statistics'!G51,IF($Z$2="2019年",'Offer Statistics'!G102,IF($Z$2="2020年",'Offer Statistics'!G153)))</f>
        <v>0</v>
      </c>
      <c r="AG51" s="205"/>
      <c r="AH51" s="132">
        <f>IF($AG$2="2018年",'Offer Statistics'!P51,IF($AG$2="2019年",'Offer Statistics'!P102,IF($AG$2="2020年",'Offer Statistics'!P153)))</f>
        <v>1814</v>
      </c>
      <c r="AI51" s="206">
        <f>IF($AG$2="2018年",'Offer Statistics'!K51,IF($AG$2="2019年",'Offer Statistics'!K102,IF($AG$2="2020年",'Offer Statistics'!K153)))</f>
        <v>185</v>
      </c>
      <c r="AJ51" s="206">
        <f>IF($AG$2="2018年",'Offer Statistics'!L51,IF($AG$2="2019年",'Offer Statistics'!L102,IF($AG$2="2020年",'Offer Statistics'!L153)))</f>
        <v>264</v>
      </c>
      <c r="AK51" s="206">
        <f>IF($AG$2="2018年",'Offer Statistics'!M51,IF($AG$2="2019年",'Offer Statistics'!M102,IF($AG$2="2020年",'Offer Statistics'!M153)))</f>
        <v>444</v>
      </c>
      <c r="AL51" s="206">
        <f>IF($AG$2="2018年",'Offer Statistics'!N51,IF($AG$2="2019年",'Offer Statistics'!N102,IF($AG$2="2020年",'Offer Statistics'!N153)))</f>
        <v>539</v>
      </c>
      <c r="AM51" s="206">
        <f>IF($AG$2="2018年",'Offer Statistics'!O51,IF($AG$2="2019年",'Offer Statistics'!O102,IF($AG$2="2020年",'Offer Statistics'!O153)))</f>
        <v>382</v>
      </c>
      <c r="AN51" s="131"/>
      <c r="AO51" s="131" t="str">
        <f t="shared" si="3"/>
        <v>JS1807</v>
      </c>
      <c r="AP51" s="130"/>
      <c r="AQ51" s="130"/>
      <c r="AR51" s="130"/>
      <c r="AS51" s="130"/>
      <c r="AT51" s="130"/>
      <c r="AU51" s="130"/>
      <c r="AV51" s="130"/>
      <c r="AW51" s="130"/>
      <c r="AX51" s="130"/>
      <c r="AY51" s="130"/>
      <c r="AZ51" s="130"/>
      <c r="BA51" s="130"/>
      <c r="BB51" s="130"/>
      <c r="BC51" s="130"/>
      <c r="BD51" s="130"/>
    </row>
    <row r="52" ht="18.0" customHeight="1">
      <c r="A52" s="142"/>
      <c r="B52" s="142"/>
      <c r="C52" s="198"/>
      <c r="D52" s="142"/>
      <c r="E52" s="131"/>
      <c r="F52" s="142"/>
      <c r="G52" s="142"/>
      <c r="H52" s="131"/>
      <c r="I52" s="142"/>
      <c r="J52" s="142"/>
      <c r="K52" s="132"/>
      <c r="L52" s="131"/>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30"/>
      <c r="AQ52" s="130"/>
      <c r="AR52" s="130"/>
      <c r="AS52" s="130"/>
      <c r="AT52" s="130"/>
      <c r="AU52" s="130"/>
      <c r="AV52" s="130"/>
      <c r="AW52" s="130"/>
      <c r="AX52" s="130"/>
      <c r="AY52" s="130"/>
      <c r="AZ52" s="130"/>
      <c r="BA52" s="130"/>
      <c r="BB52" s="130"/>
      <c r="BC52" s="130"/>
      <c r="BD52" s="130"/>
    </row>
    <row r="53" ht="18.0" customHeight="1">
      <c r="A53" s="142" t="s">
        <v>1227</v>
      </c>
      <c r="B53" s="142"/>
      <c r="C53" s="198"/>
      <c r="D53" s="142"/>
      <c r="E53" s="131"/>
      <c r="F53" s="142"/>
      <c r="G53" s="142"/>
      <c r="H53" s="131"/>
      <c r="I53" s="142"/>
      <c r="J53" s="142"/>
      <c r="K53" s="132"/>
      <c r="L53" s="131"/>
      <c r="M53" s="142"/>
      <c r="N53" s="142"/>
      <c r="O53" s="142"/>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30"/>
      <c r="AQ53" s="130"/>
      <c r="AR53" s="130"/>
      <c r="AS53" s="130"/>
      <c r="AT53" s="130"/>
      <c r="AU53" s="130"/>
      <c r="AV53" s="130"/>
      <c r="AW53" s="130"/>
      <c r="AX53" s="130"/>
      <c r="AY53" s="130"/>
      <c r="AZ53" s="130"/>
      <c r="BA53" s="130"/>
      <c r="BB53" s="130"/>
      <c r="BC53" s="130"/>
      <c r="BD53" s="130"/>
    </row>
    <row r="54" ht="18.0" customHeight="1">
      <c r="A54" s="142" t="s">
        <v>1228</v>
      </c>
      <c r="B54" s="142"/>
      <c r="C54" s="198"/>
      <c r="D54" s="142"/>
      <c r="E54" s="131"/>
      <c r="F54" s="142"/>
      <c r="G54" s="142"/>
      <c r="H54" s="131"/>
      <c r="I54" s="142"/>
      <c r="J54" s="142"/>
      <c r="K54" s="132"/>
      <c r="L54" s="131"/>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142"/>
      <c r="AK54" s="142"/>
      <c r="AL54" s="142"/>
      <c r="AM54" s="142"/>
      <c r="AN54" s="142"/>
      <c r="AO54" s="142"/>
      <c r="AP54" s="130"/>
      <c r="AQ54" s="130"/>
      <c r="AR54" s="130"/>
      <c r="AS54" s="130"/>
      <c r="AT54" s="130"/>
      <c r="AU54" s="130"/>
      <c r="AV54" s="130"/>
      <c r="AW54" s="130"/>
      <c r="AX54" s="130"/>
      <c r="AY54" s="130"/>
      <c r="AZ54" s="130"/>
      <c r="BA54" s="130"/>
      <c r="BB54" s="130"/>
      <c r="BC54" s="130"/>
      <c r="BD54" s="130"/>
    </row>
    <row r="55" ht="18.0" customHeight="1">
      <c r="A55" s="142"/>
      <c r="B55" s="142"/>
      <c r="C55" s="198"/>
      <c r="D55" s="142"/>
      <c r="E55" s="131"/>
      <c r="F55" s="142"/>
      <c r="G55" s="142"/>
      <c r="H55" s="131"/>
      <c r="I55" s="142"/>
      <c r="J55" s="142"/>
      <c r="K55" s="132"/>
      <c r="L55" s="131"/>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c r="AM55" s="142"/>
      <c r="AN55" s="142"/>
      <c r="AO55" s="142"/>
      <c r="AP55" s="130"/>
      <c r="AQ55" s="130"/>
      <c r="AR55" s="130"/>
      <c r="AS55" s="130"/>
      <c r="AT55" s="130"/>
      <c r="AU55" s="130"/>
      <c r="AV55" s="130"/>
      <c r="AW55" s="130"/>
      <c r="AX55" s="130"/>
      <c r="AY55" s="130"/>
      <c r="AZ55" s="130"/>
      <c r="BA55" s="130"/>
      <c r="BB55" s="130"/>
      <c r="BC55" s="130"/>
      <c r="BD55" s="130"/>
    </row>
    <row r="56" ht="18.0" customHeight="1">
      <c r="A56" s="142" t="s">
        <v>1229</v>
      </c>
      <c r="B56" s="142"/>
      <c r="C56" s="142"/>
      <c r="D56" s="142"/>
      <c r="E56" s="132"/>
      <c r="F56" s="131"/>
      <c r="G56" s="131"/>
      <c r="H56" s="131"/>
      <c r="I56" s="131"/>
      <c r="J56" s="219"/>
      <c r="K56" s="198"/>
      <c r="L56" s="131"/>
      <c r="M56" s="142"/>
      <c r="N56" s="131"/>
      <c r="O56" s="131"/>
      <c r="P56" s="131"/>
      <c r="Q56" s="131"/>
      <c r="R56" s="131"/>
      <c r="S56" s="131"/>
      <c r="T56" s="142"/>
      <c r="U56" s="142"/>
      <c r="V56" s="142"/>
      <c r="W56" s="142"/>
      <c r="X56" s="142"/>
      <c r="Y56" s="142"/>
      <c r="Z56" s="131"/>
      <c r="AA56" s="131"/>
      <c r="AB56" s="131"/>
      <c r="AC56" s="131"/>
      <c r="AD56" s="131"/>
      <c r="AE56" s="131"/>
      <c r="AF56" s="131"/>
      <c r="AG56" s="131"/>
      <c r="AH56" s="131"/>
      <c r="AI56" s="131"/>
      <c r="AJ56" s="131"/>
      <c r="AK56" s="131"/>
      <c r="AL56" s="131"/>
      <c r="AM56" s="131"/>
      <c r="AN56" s="131"/>
      <c r="AO56" s="142"/>
      <c r="AP56" s="130"/>
      <c r="AQ56" s="130"/>
      <c r="AR56" s="130"/>
      <c r="AS56" s="130"/>
      <c r="AT56" s="130"/>
      <c r="AU56" s="130"/>
      <c r="AV56" s="130"/>
      <c r="AW56" s="130"/>
      <c r="AX56" s="130"/>
      <c r="AY56" s="130"/>
      <c r="AZ56" s="130"/>
      <c r="BA56" s="130"/>
      <c r="BB56" s="130"/>
      <c r="BC56" s="130"/>
      <c r="BD56" s="130"/>
    </row>
    <row r="57" ht="18.0" customHeight="1">
      <c r="A57" s="142"/>
      <c r="B57" s="142"/>
      <c r="C57" s="198"/>
      <c r="D57" s="142"/>
      <c r="E57" s="131"/>
      <c r="F57" s="142"/>
      <c r="G57" s="142"/>
      <c r="H57" s="131"/>
      <c r="I57" s="142"/>
      <c r="J57" s="142"/>
      <c r="K57" s="132"/>
      <c r="L57" s="131"/>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42"/>
      <c r="AK57" s="142"/>
      <c r="AL57" s="142"/>
      <c r="AM57" s="142"/>
      <c r="AN57" s="142"/>
      <c r="AO57" s="142"/>
      <c r="AP57" s="130"/>
      <c r="AQ57" s="130"/>
      <c r="AR57" s="130"/>
      <c r="AS57" s="130"/>
      <c r="AT57" s="130"/>
      <c r="AU57" s="130"/>
      <c r="AV57" s="130"/>
      <c r="AW57" s="130"/>
      <c r="AX57" s="130"/>
      <c r="AY57" s="130"/>
      <c r="AZ57" s="130"/>
      <c r="BA57" s="130"/>
      <c r="BB57" s="130"/>
      <c r="BC57" s="130"/>
      <c r="BD57" s="130"/>
    </row>
    <row r="58" ht="18.0" customHeight="1">
      <c r="A58" s="220" t="s">
        <v>1230</v>
      </c>
      <c r="B58" s="142"/>
      <c r="C58" s="198"/>
      <c r="D58" s="142"/>
      <c r="E58" s="131"/>
      <c r="F58" s="142"/>
      <c r="G58" s="142"/>
      <c r="H58" s="131"/>
      <c r="I58" s="142"/>
      <c r="J58" s="142"/>
      <c r="K58" s="132"/>
      <c r="L58" s="131"/>
      <c r="M58" s="142"/>
      <c r="N58" s="142"/>
      <c r="O58" s="142"/>
      <c r="P58" s="142"/>
      <c r="Q58" s="142"/>
      <c r="R58" s="142"/>
      <c r="S58" s="142"/>
      <c r="T58" s="142"/>
      <c r="U58" s="142"/>
      <c r="V58" s="142"/>
      <c r="W58" s="142"/>
      <c r="X58" s="142"/>
      <c r="Y58" s="142"/>
      <c r="Z58" s="142"/>
      <c r="AA58" s="142"/>
      <c r="AB58" s="142"/>
      <c r="AC58" s="142"/>
      <c r="AD58" s="142"/>
      <c r="AE58" s="142"/>
      <c r="AF58" s="142"/>
      <c r="AG58" s="142"/>
      <c r="AH58" s="142"/>
      <c r="AI58" s="142"/>
      <c r="AJ58" s="142"/>
      <c r="AK58" s="142"/>
      <c r="AL58" s="142"/>
      <c r="AM58" s="142"/>
      <c r="AN58" s="142"/>
      <c r="AO58" s="142"/>
      <c r="AP58" s="130"/>
      <c r="AQ58" s="130"/>
      <c r="AR58" s="130"/>
      <c r="AS58" s="130"/>
      <c r="AT58" s="130"/>
      <c r="AU58" s="130"/>
      <c r="AV58" s="130"/>
      <c r="AW58" s="130"/>
      <c r="AX58" s="130"/>
      <c r="AY58" s="130"/>
      <c r="AZ58" s="130"/>
      <c r="BA58" s="130"/>
      <c r="BB58" s="130"/>
      <c r="BC58" s="130"/>
      <c r="BD58" s="130"/>
    </row>
    <row r="59" ht="18.0" customHeight="1">
      <c r="A59" s="142" t="s">
        <v>1231</v>
      </c>
      <c r="B59" s="142"/>
      <c r="C59" s="198"/>
      <c r="D59" s="142"/>
      <c r="E59" s="131"/>
      <c r="F59" s="142"/>
      <c r="G59" s="142"/>
      <c r="H59" s="131"/>
      <c r="I59" s="142"/>
      <c r="J59" s="142"/>
      <c r="K59" s="132"/>
      <c r="L59" s="131"/>
      <c r="M59" s="142"/>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30"/>
      <c r="AQ59" s="130"/>
      <c r="AR59" s="130"/>
      <c r="AS59" s="130"/>
      <c r="AT59" s="130"/>
      <c r="AU59" s="130"/>
      <c r="AV59" s="130"/>
      <c r="AW59" s="130"/>
      <c r="AX59" s="130"/>
      <c r="AY59" s="130"/>
      <c r="AZ59" s="130"/>
      <c r="BA59" s="130"/>
      <c r="BB59" s="130"/>
      <c r="BC59" s="130"/>
      <c r="BD59" s="130"/>
    </row>
    <row r="60" ht="18.0" customHeight="1">
      <c r="A60" s="142"/>
      <c r="B60" s="142"/>
      <c r="C60" s="198"/>
      <c r="D60" s="142"/>
      <c r="E60" s="131"/>
      <c r="F60" s="142"/>
      <c r="G60" s="142"/>
      <c r="H60" s="131"/>
      <c r="I60" s="142"/>
      <c r="J60" s="142"/>
      <c r="K60" s="132"/>
      <c r="L60" s="131"/>
      <c r="M60" s="142"/>
      <c r="N60" s="142"/>
      <c r="O60" s="142"/>
      <c r="P60" s="142"/>
      <c r="Q60" s="142"/>
      <c r="R60" s="142"/>
      <c r="S60" s="142"/>
      <c r="T60" s="142"/>
      <c r="U60" s="142"/>
      <c r="V60" s="142"/>
      <c r="W60" s="142"/>
      <c r="X60" s="142"/>
      <c r="Y60" s="142"/>
      <c r="Z60" s="142"/>
      <c r="AA60" s="142"/>
      <c r="AB60" s="142"/>
      <c r="AC60" s="142"/>
      <c r="AD60" s="142"/>
      <c r="AE60" s="142"/>
      <c r="AF60" s="142"/>
      <c r="AG60" s="142"/>
      <c r="AH60" s="142"/>
      <c r="AI60" s="142"/>
      <c r="AJ60" s="142"/>
      <c r="AK60" s="142"/>
      <c r="AL60" s="142"/>
      <c r="AM60" s="142"/>
      <c r="AN60" s="142"/>
      <c r="AO60" s="142"/>
      <c r="AP60" s="130"/>
      <c r="AQ60" s="130"/>
      <c r="AR60" s="130"/>
      <c r="AS60" s="130"/>
      <c r="AT60" s="130"/>
      <c r="AU60" s="130"/>
      <c r="AV60" s="130"/>
      <c r="AW60" s="130"/>
      <c r="AX60" s="130"/>
      <c r="AY60" s="130"/>
      <c r="AZ60" s="130"/>
      <c r="BA60" s="130"/>
      <c r="BB60" s="130"/>
      <c r="BC60" s="130"/>
      <c r="BD60" s="130"/>
    </row>
    <row r="61" ht="18.0" customHeight="1">
      <c r="A61" s="220" t="s">
        <v>1232</v>
      </c>
      <c r="B61" s="142"/>
      <c r="C61" s="198"/>
      <c r="D61" s="142"/>
      <c r="E61" s="131"/>
      <c r="F61" s="142"/>
      <c r="G61" s="142"/>
      <c r="H61" s="131"/>
      <c r="I61" s="142"/>
      <c r="J61" s="142"/>
      <c r="K61" s="132"/>
      <c r="L61" s="131"/>
      <c r="M61" s="142"/>
      <c r="N61" s="142"/>
      <c r="O61" s="142"/>
      <c r="P61" s="142"/>
      <c r="Q61" s="142"/>
      <c r="R61" s="142"/>
      <c r="S61" s="142"/>
      <c r="T61" s="142"/>
      <c r="U61" s="142"/>
      <c r="V61" s="142"/>
      <c r="W61" s="142"/>
      <c r="X61" s="142"/>
      <c r="Y61" s="142"/>
      <c r="Z61" s="142"/>
      <c r="AA61" s="142"/>
      <c r="AB61" s="142"/>
      <c r="AC61" s="142"/>
      <c r="AD61" s="142"/>
      <c r="AE61" s="142"/>
      <c r="AF61" s="142"/>
      <c r="AG61" s="142"/>
      <c r="AH61" s="142"/>
      <c r="AI61" s="142"/>
      <c r="AJ61" s="142"/>
      <c r="AK61" s="142"/>
      <c r="AL61" s="142"/>
      <c r="AM61" s="142"/>
      <c r="AN61" s="142"/>
      <c r="AO61" s="142"/>
      <c r="AP61" s="130"/>
      <c r="AQ61" s="130"/>
      <c r="AR61" s="130"/>
      <c r="AS61" s="130"/>
      <c r="AT61" s="130"/>
      <c r="AU61" s="130"/>
      <c r="AV61" s="130"/>
      <c r="AW61" s="130"/>
      <c r="AX61" s="130"/>
      <c r="AY61" s="130"/>
      <c r="AZ61" s="130"/>
      <c r="BA61" s="130"/>
      <c r="BB61" s="130"/>
      <c r="BC61" s="130"/>
      <c r="BD61" s="130"/>
    </row>
    <row r="62" ht="18.0" customHeight="1">
      <c r="A62" s="221" t="s">
        <v>1233</v>
      </c>
      <c r="B62" s="142"/>
      <c r="C62" s="198"/>
      <c r="D62" s="142"/>
      <c r="E62" s="131"/>
      <c r="F62" s="142"/>
      <c r="G62" s="142"/>
      <c r="H62" s="131"/>
      <c r="I62" s="142"/>
      <c r="J62" s="142"/>
      <c r="K62" s="132"/>
      <c r="L62" s="131"/>
      <c r="M62" s="142"/>
      <c r="N62" s="142"/>
      <c r="O62" s="142"/>
      <c r="P62" s="142"/>
      <c r="Q62" s="142"/>
      <c r="R62" s="142"/>
      <c r="S62" s="142"/>
      <c r="T62" s="142"/>
      <c r="U62" s="142"/>
      <c r="V62" s="142"/>
      <c r="W62" s="142"/>
      <c r="X62" s="142"/>
      <c r="Y62" s="142"/>
      <c r="Z62" s="142"/>
      <c r="AA62" s="142"/>
      <c r="AB62" s="142"/>
      <c r="AC62" s="142"/>
      <c r="AD62" s="142"/>
      <c r="AE62" s="142"/>
      <c r="AF62" s="142"/>
      <c r="AG62" s="142"/>
      <c r="AH62" s="142"/>
      <c r="AI62" s="142"/>
      <c r="AJ62" s="142"/>
      <c r="AK62" s="142"/>
      <c r="AL62" s="142"/>
      <c r="AM62" s="142"/>
      <c r="AN62" s="142"/>
      <c r="AO62" s="142"/>
      <c r="AP62" s="130"/>
      <c r="AQ62" s="130"/>
      <c r="AR62" s="130"/>
      <c r="AS62" s="130"/>
      <c r="AT62" s="130"/>
      <c r="AU62" s="130"/>
      <c r="AV62" s="130"/>
      <c r="AW62" s="130"/>
      <c r="AX62" s="130"/>
      <c r="AY62" s="130"/>
      <c r="AZ62" s="130"/>
      <c r="BA62" s="130"/>
      <c r="BB62" s="130"/>
      <c r="BC62" s="130"/>
      <c r="BD62" s="130"/>
    </row>
    <row r="63" ht="18.0" customHeight="1">
      <c r="A63" s="221" t="s">
        <v>1234</v>
      </c>
      <c r="B63" s="142"/>
      <c r="C63" s="198"/>
      <c r="D63" s="142"/>
      <c r="E63" s="131"/>
      <c r="F63" s="142"/>
      <c r="G63" s="142"/>
      <c r="H63" s="131"/>
      <c r="I63" s="142"/>
      <c r="J63" s="142"/>
      <c r="K63" s="132"/>
      <c r="L63" s="131"/>
      <c r="M63" s="142"/>
      <c r="N63" s="142"/>
      <c r="O63" s="142"/>
      <c r="P63" s="142"/>
      <c r="Q63" s="142"/>
      <c r="R63" s="142"/>
      <c r="S63" s="142"/>
      <c r="T63" s="142"/>
      <c r="U63" s="142"/>
      <c r="V63" s="142"/>
      <c r="W63" s="142"/>
      <c r="X63" s="142"/>
      <c r="Y63" s="142"/>
      <c r="Z63" s="142"/>
      <c r="AA63" s="142"/>
      <c r="AB63" s="142"/>
      <c r="AC63" s="142"/>
      <c r="AD63" s="142"/>
      <c r="AE63" s="142"/>
      <c r="AF63" s="142"/>
      <c r="AG63" s="142"/>
      <c r="AH63" s="142"/>
      <c r="AI63" s="142"/>
      <c r="AJ63" s="142"/>
      <c r="AK63" s="142"/>
      <c r="AL63" s="142"/>
      <c r="AM63" s="142"/>
      <c r="AN63" s="142"/>
      <c r="AO63" s="142"/>
      <c r="AP63" s="130"/>
      <c r="AQ63" s="130"/>
      <c r="AR63" s="130"/>
      <c r="AS63" s="130"/>
      <c r="AT63" s="130"/>
      <c r="AU63" s="130"/>
      <c r="AV63" s="130"/>
      <c r="AW63" s="130"/>
      <c r="AX63" s="130"/>
      <c r="AY63" s="130"/>
      <c r="AZ63" s="130"/>
      <c r="BA63" s="130"/>
      <c r="BB63" s="130"/>
      <c r="BC63" s="130"/>
      <c r="BD63" s="130"/>
    </row>
    <row r="64" ht="18.0" customHeight="1">
      <c r="A64" s="221" t="s">
        <v>1235</v>
      </c>
      <c r="B64" s="142"/>
      <c r="C64" s="198"/>
      <c r="D64" s="142"/>
      <c r="E64" s="131"/>
      <c r="F64" s="142"/>
      <c r="G64" s="142"/>
      <c r="H64" s="131"/>
      <c r="I64" s="142"/>
      <c r="J64" s="142"/>
      <c r="K64" s="132"/>
      <c r="L64" s="131"/>
      <c r="M64" s="142"/>
      <c r="N64" s="142"/>
      <c r="O64" s="142"/>
      <c r="P64" s="142"/>
      <c r="Q64" s="142"/>
      <c r="R64" s="142"/>
      <c r="S64" s="142"/>
      <c r="T64" s="142"/>
      <c r="U64" s="142"/>
      <c r="V64" s="142"/>
      <c r="W64" s="142"/>
      <c r="X64" s="142"/>
      <c r="Y64" s="142"/>
      <c r="Z64" s="142"/>
      <c r="AA64" s="142"/>
      <c r="AB64" s="142"/>
      <c r="AC64" s="142"/>
      <c r="AD64" s="142"/>
      <c r="AE64" s="142"/>
      <c r="AF64" s="142"/>
      <c r="AG64" s="142"/>
      <c r="AH64" s="142"/>
      <c r="AI64" s="142"/>
      <c r="AJ64" s="142"/>
      <c r="AK64" s="142"/>
      <c r="AL64" s="142"/>
      <c r="AM64" s="142"/>
      <c r="AN64" s="142"/>
      <c r="AO64" s="142"/>
      <c r="AP64" s="130"/>
      <c r="AQ64" s="130"/>
      <c r="AR64" s="130"/>
      <c r="AS64" s="130"/>
      <c r="AT64" s="130"/>
      <c r="AU64" s="130"/>
      <c r="AV64" s="130"/>
      <c r="AW64" s="130"/>
      <c r="AX64" s="130"/>
      <c r="AY64" s="130"/>
      <c r="AZ64" s="130"/>
      <c r="BA64" s="130"/>
      <c r="BB64" s="130"/>
      <c r="BC64" s="130"/>
      <c r="BD64" s="130"/>
    </row>
    <row r="65" ht="18.0" customHeight="1">
      <c r="A65" s="221" t="s">
        <v>1236</v>
      </c>
      <c r="B65" s="142"/>
      <c r="C65" s="198"/>
      <c r="D65" s="142"/>
      <c r="E65" s="131"/>
      <c r="F65" s="142"/>
      <c r="G65" s="142"/>
      <c r="H65" s="131"/>
      <c r="I65" s="142"/>
      <c r="J65" s="142"/>
      <c r="K65" s="132"/>
      <c r="L65" s="131"/>
      <c r="M65" s="142"/>
      <c r="N65" s="142"/>
      <c r="O65" s="142"/>
      <c r="P65" s="142"/>
      <c r="Q65" s="142"/>
      <c r="R65" s="142"/>
      <c r="S65" s="142"/>
      <c r="T65" s="142"/>
      <c r="U65" s="142"/>
      <c r="V65" s="142"/>
      <c r="W65" s="142"/>
      <c r="X65" s="142"/>
      <c r="Y65" s="142"/>
      <c r="Z65" s="142"/>
      <c r="AA65" s="142"/>
      <c r="AB65" s="142"/>
      <c r="AC65" s="142"/>
      <c r="AD65" s="142"/>
      <c r="AE65" s="142"/>
      <c r="AF65" s="142"/>
      <c r="AG65" s="142"/>
      <c r="AH65" s="142"/>
      <c r="AI65" s="142"/>
      <c r="AJ65" s="142"/>
      <c r="AK65" s="142"/>
      <c r="AL65" s="142"/>
      <c r="AM65" s="142"/>
      <c r="AN65" s="142"/>
      <c r="AO65" s="142"/>
      <c r="AP65" s="130"/>
      <c r="AQ65" s="130"/>
      <c r="AR65" s="130"/>
      <c r="AS65" s="130"/>
      <c r="AT65" s="130"/>
      <c r="AU65" s="130"/>
      <c r="AV65" s="130"/>
      <c r="AW65" s="130"/>
      <c r="AX65" s="130"/>
      <c r="AY65" s="130"/>
      <c r="AZ65" s="130"/>
      <c r="BA65" s="130"/>
      <c r="BB65" s="130"/>
      <c r="BC65" s="130"/>
      <c r="BD65" s="130"/>
    </row>
    <row r="66" ht="18.0" customHeight="1">
      <c r="A66" s="221" t="s">
        <v>1237</v>
      </c>
      <c r="B66" s="142"/>
      <c r="C66" s="198"/>
      <c r="D66" s="142"/>
      <c r="E66" s="131"/>
      <c r="F66" s="142"/>
      <c r="G66" s="142"/>
      <c r="H66" s="131"/>
      <c r="I66" s="142"/>
      <c r="J66" s="142"/>
      <c r="K66" s="132"/>
      <c r="L66" s="131"/>
      <c r="M66" s="142"/>
      <c r="N66" s="142"/>
      <c r="O66" s="142"/>
      <c r="P66" s="142"/>
      <c r="Q66" s="142"/>
      <c r="R66" s="142"/>
      <c r="S66" s="142"/>
      <c r="T66" s="142"/>
      <c r="U66" s="142"/>
      <c r="V66" s="142"/>
      <c r="W66" s="142"/>
      <c r="X66" s="142"/>
      <c r="Y66" s="142"/>
      <c r="Z66" s="142"/>
      <c r="AA66" s="142"/>
      <c r="AB66" s="142"/>
      <c r="AC66" s="142"/>
      <c r="AD66" s="142"/>
      <c r="AE66" s="142"/>
      <c r="AF66" s="142"/>
      <c r="AG66" s="142"/>
      <c r="AH66" s="142"/>
      <c r="AI66" s="142"/>
      <c r="AJ66" s="142"/>
      <c r="AK66" s="142"/>
      <c r="AL66" s="142"/>
      <c r="AM66" s="142"/>
      <c r="AN66" s="142"/>
      <c r="AO66" s="142"/>
      <c r="AP66" s="130"/>
      <c r="AQ66" s="130"/>
      <c r="AR66" s="130"/>
      <c r="AS66" s="130"/>
      <c r="AT66" s="130"/>
      <c r="AU66" s="130"/>
      <c r="AV66" s="130"/>
      <c r="AW66" s="130"/>
      <c r="AX66" s="130"/>
      <c r="AY66" s="130"/>
      <c r="AZ66" s="130"/>
      <c r="BA66" s="130"/>
      <c r="BB66" s="130"/>
      <c r="BC66" s="130"/>
      <c r="BD66" s="130"/>
    </row>
    <row r="67" ht="18.0" customHeight="1">
      <c r="A67" s="142"/>
      <c r="B67" s="142"/>
      <c r="C67" s="198"/>
      <c r="D67" s="142"/>
      <c r="E67" s="131"/>
      <c r="F67" s="142"/>
      <c r="G67" s="142"/>
      <c r="H67" s="131"/>
      <c r="I67" s="142"/>
      <c r="J67" s="142"/>
      <c r="K67" s="132"/>
      <c r="L67" s="131"/>
      <c r="M67" s="142"/>
      <c r="N67" s="142"/>
      <c r="O67" s="142"/>
      <c r="P67" s="142"/>
      <c r="Q67" s="142"/>
      <c r="R67" s="142"/>
      <c r="S67" s="142"/>
      <c r="T67" s="142"/>
      <c r="U67" s="142"/>
      <c r="V67" s="142"/>
      <c r="W67" s="142"/>
      <c r="X67" s="142"/>
      <c r="Y67" s="142"/>
      <c r="Z67" s="142"/>
      <c r="AA67" s="142"/>
      <c r="AB67" s="142"/>
      <c r="AC67" s="142"/>
      <c r="AD67" s="142"/>
      <c r="AE67" s="142"/>
      <c r="AF67" s="142"/>
      <c r="AG67" s="142"/>
      <c r="AH67" s="142"/>
      <c r="AI67" s="142"/>
      <c r="AJ67" s="142"/>
      <c r="AK67" s="142"/>
      <c r="AL67" s="142"/>
      <c r="AM67" s="142"/>
      <c r="AN67" s="142"/>
      <c r="AO67" s="142"/>
      <c r="AP67" s="130"/>
      <c r="AQ67" s="130"/>
      <c r="AR67" s="130"/>
      <c r="AS67" s="130"/>
      <c r="AT67" s="130"/>
      <c r="AU67" s="130"/>
      <c r="AV67" s="130"/>
      <c r="AW67" s="130"/>
      <c r="AX67" s="130"/>
      <c r="AY67" s="130"/>
      <c r="AZ67" s="130"/>
      <c r="BA67" s="130"/>
      <c r="BB67" s="130"/>
      <c r="BC67" s="130"/>
      <c r="BD67" s="130"/>
    </row>
    <row r="68" ht="16.5" hidden="1" customHeight="1">
      <c r="A68" s="142"/>
      <c r="B68" s="142"/>
      <c r="C68" s="198"/>
      <c r="D68" s="142"/>
      <c r="E68" s="131"/>
      <c r="F68" s="142"/>
      <c r="G68" s="142"/>
      <c r="H68" s="131"/>
      <c r="I68" s="142"/>
      <c r="J68" s="142"/>
      <c r="K68" s="132"/>
      <c r="L68" s="131"/>
      <c r="M68" s="142"/>
      <c r="N68" s="142"/>
      <c r="O68" s="142"/>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2"/>
      <c r="AN68" s="142"/>
      <c r="AO68" s="142"/>
      <c r="AP68" s="130"/>
      <c r="AQ68" s="130"/>
      <c r="AR68" s="130"/>
      <c r="AS68" s="130"/>
      <c r="AT68" s="130"/>
      <c r="AU68" s="130"/>
      <c r="AV68" s="130"/>
      <c r="AW68" s="130"/>
      <c r="AX68" s="130"/>
      <c r="AY68" s="130"/>
      <c r="AZ68" s="130"/>
      <c r="BA68" s="130"/>
      <c r="BB68" s="130"/>
      <c r="BC68" s="130"/>
      <c r="BD68" s="130"/>
    </row>
    <row r="69" ht="16.5" hidden="1" customHeight="1">
      <c r="A69" s="142"/>
      <c r="B69" s="142"/>
      <c r="C69" s="198"/>
      <c r="D69" s="142"/>
      <c r="E69" s="131"/>
      <c r="F69" s="142"/>
      <c r="G69" s="142"/>
      <c r="H69" s="131"/>
      <c r="I69" s="142"/>
      <c r="J69" s="142"/>
      <c r="K69" s="132"/>
      <c r="L69" s="131"/>
      <c r="M69" s="142"/>
      <c r="N69" s="142"/>
      <c r="O69" s="142"/>
      <c r="P69" s="142"/>
      <c r="Q69" s="142"/>
      <c r="R69" s="142"/>
      <c r="S69" s="142"/>
      <c r="T69" s="142"/>
      <c r="U69" s="142"/>
      <c r="V69" s="142"/>
      <c r="W69" s="142"/>
      <c r="X69" s="142"/>
      <c r="Y69" s="142"/>
      <c r="Z69" s="142"/>
      <c r="AA69" s="142"/>
      <c r="AB69" s="142"/>
      <c r="AC69" s="142"/>
      <c r="AD69" s="142"/>
      <c r="AE69" s="142"/>
      <c r="AF69" s="142"/>
      <c r="AG69" s="142"/>
      <c r="AH69" s="142"/>
      <c r="AI69" s="142"/>
      <c r="AJ69" s="142"/>
      <c r="AK69" s="142"/>
      <c r="AL69" s="142"/>
      <c r="AM69" s="142"/>
      <c r="AN69" s="142"/>
      <c r="AO69" s="142"/>
      <c r="AP69" s="130"/>
      <c r="AQ69" s="130"/>
      <c r="AR69" s="130"/>
      <c r="AS69" s="130"/>
      <c r="AT69" s="130"/>
      <c r="AU69" s="130"/>
      <c r="AV69" s="130"/>
      <c r="AW69" s="130"/>
      <c r="AX69" s="130"/>
      <c r="AY69" s="130"/>
      <c r="AZ69" s="130"/>
      <c r="BA69" s="130"/>
      <c r="BB69" s="130"/>
      <c r="BC69" s="130"/>
      <c r="BD69" s="130"/>
    </row>
    <row r="70" ht="16.5" hidden="1" customHeight="1">
      <c r="A70" s="142"/>
      <c r="B70" s="142"/>
      <c r="C70" s="198"/>
      <c r="D70" s="142"/>
      <c r="E70" s="131"/>
      <c r="F70" s="142"/>
      <c r="G70" s="142"/>
      <c r="H70" s="131"/>
      <c r="I70" s="142"/>
      <c r="J70" s="142"/>
      <c r="K70" s="132"/>
      <c r="L70" s="131"/>
      <c r="M70" s="142"/>
      <c r="N70" s="142"/>
      <c r="O70" s="142"/>
      <c r="P70" s="142"/>
      <c r="Q70" s="142"/>
      <c r="R70" s="142"/>
      <c r="S70" s="142"/>
      <c r="T70" s="142"/>
      <c r="U70" s="142"/>
      <c r="V70" s="142"/>
      <c r="W70" s="142"/>
      <c r="X70" s="142"/>
      <c r="Y70" s="142"/>
      <c r="Z70" s="142"/>
      <c r="AA70" s="142"/>
      <c r="AB70" s="142"/>
      <c r="AC70" s="142"/>
      <c r="AD70" s="142"/>
      <c r="AE70" s="142"/>
      <c r="AF70" s="142"/>
      <c r="AG70" s="142"/>
      <c r="AH70" s="142"/>
      <c r="AI70" s="142"/>
      <c r="AJ70" s="142"/>
      <c r="AK70" s="142"/>
      <c r="AL70" s="142"/>
      <c r="AM70" s="142"/>
      <c r="AN70" s="142"/>
      <c r="AO70" s="142"/>
      <c r="AP70" s="130"/>
      <c r="AQ70" s="130"/>
      <c r="AR70" s="130"/>
      <c r="AS70" s="130"/>
      <c r="AT70" s="130"/>
      <c r="AU70" s="130"/>
      <c r="AV70" s="130"/>
      <c r="AW70" s="130"/>
      <c r="AX70" s="130"/>
      <c r="AY70" s="130"/>
      <c r="AZ70" s="130"/>
      <c r="BA70" s="130"/>
      <c r="BB70" s="130"/>
      <c r="BC70" s="130"/>
      <c r="BD70" s="130"/>
    </row>
    <row r="71" ht="16.5" hidden="1" customHeight="1">
      <c r="A71" s="142"/>
      <c r="B71" s="142"/>
      <c r="C71" s="198"/>
      <c r="D71" s="142"/>
      <c r="E71" s="131"/>
      <c r="F71" s="142"/>
      <c r="G71" s="142"/>
      <c r="H71" s="131"/>
      <c r="I71" s="142"/>
      <c r="J71" s="142"/>
      <c r="K71" s="132"/>
      <c r="L71" s="131"/>
      <c r="M71" s="142"/>
      <c r="N71" s="142"/>
      <c r="O71" s="142"/>
      <c r="P71" s="142"/>
      <c r="Q71" s="142"/>
      <c r="R71" s="142"/>
      <c r="S71" s="142"/>
      <c r="T71" s="142"/>
      <c r="U71" s="142"/>
      <c r="V71" s="142"/>
      <c r="W71" s="142"/>
      <c r="X71" s="142"/>
      <c r="Y71" s="142"/>
      <c r="Z71" s="142"/>
      <c r="AA71" s="142"/>
      <c r="AB71" s="142"/>
      <c r="AC71" s="142"/>
      <c r="AD71" s="142"/>
      <c r="AE71" s="142"/>
      <c r="AF71" s="142"/>
      <c r="AG71" s="142"/>
      <c r="AH71" s="142"/>
      <c r="AI71" s="142"/>
      <c r="AJ71" s="142"/>
      <c r="AK71" s="142"/>
      <c r="AL71" s="142"/>
      <c r="AM71" s="142"/>
      <c r="AN71" s="142"/>
      <c r="AO71" s="142"/>
      <c r="AP71" s="130"/>
      <c r="AQ71" s="130"/>
      <c r="AR71" s="130"/>
      <c r="AS71" s="130"/>
      <c r="AT71" s="130"/>
      <c r="AU71" s="130"/>
      <c r="AV71" s="130"/>
      <c r="AW71" s="130"/>
      <c r="AX71" s="130"/>
      <c r="AY71" s="130"/>
      <c r="AZ71" s="130"/>
      <c r="BA71" s="130"/>
      <c r="BB71" s="130"/>
      <c r="BC71" s="130"/>
      <c r="BD71" s="130"/>
    </row>
    <row r="72" ht="16.5" hidden="1" customHeight="1">
      <c r="A72" s="142"/>
      <c r="B72" s="142"/>
      <c r="C72" s="198"/>
      <c r="D72" s="142"/>
      <c r="E72" s="131"/>
      <c r="F72" s="142"/>
      <c r="G72" s="142"/>
      <c r="H72" s="131"/>
      <c r="I72" s="142"/>
      <c r="J72" s="142"/>
      <c r="K72" s="132"/>
      <c r="L72" s="131"/>
      <c r="M72" s="142"/>
      <c r="N72" s="142"/>
      <c r="O72" s="142"/>
      <c r="P72" s="142"/>
      <c r="Q72" s="142"/>
      <c r="R72" s="142"/>
      <c r="S72" s="142"/>
      <c r="T72" s="142"/>
      <c r="U72" s="142"/>
      <c r="V72" s="142"/>
      <c r="W72" s="142"/>
      <c r="X72" s="142"/>
      <c r="Y72" s="142"/>
      <c r="Z72" s="142"/>
      <c r="AA72" s="142"/>
      <c r="AB72" s="142"/>
      <c r="AC72" s="142"/>
      <c r="AD72" s="142"/>
      <c r="AE72" s="142"/>
      <c r="AF72" s="142"/>
      <c r="AG72" s="142"/>
      <c r="AH72" s="142"/>
      <c r="AI72" s="142"/>
      <c r="AJ72" s="142"/>
      <c r="AK72" s="142"/>
      <c r="AL72" s="142"/>
      <c r="AM72" s="142"/>
      <c r="AN72" s="142"/>
      <c r="AO72" s="142"/>
      <c r="AP72" s="130"/>
      <c r="AQ72" s="130"/>
      <c r="AR72" s="130"/>
      <c r="AS72" s="130"/>
      <c r="AT72" s="130"/>
      <c r="AU72" s="130"/>
      <c r="AV72" s="130"/>
      <c r="AW72" s="130"/>
      <c r="AX72" s="130"/>
      <c r="AY72" s="130"/>
      <c r="AZ72" s="130"/>
      <c r="BA72" s="130"/>
      <c r="BB72" s="130"/>
      <c r="BC72" s="130"/>
      <c r="BD72" s="130"/>
    </row>
    <row r="73" ht="16.5" hidden="1" customHeight="1">
      <c r="A73" s="142"/>
      <c r="B73" s="142"/>
      <c r="C73" s="198"/>
      <c r="D73" s="142"/>
      <c r="E73" s="131"/>
      <c r="F73" s="142"/>
      <c r="G73" s="142"/>
      <c r="H73" s="131"/>
      <c r="I73" s="142"/>
      <c r="J73" s="142"/>
      <c r="K73" s="132"/>
      <c r="L73" s="131"/>
      <c r="M73" s="142"/>
      <c r="N73" s="142"/>
      <c r="O73" s="142"/>
      <c r="P73" s="142"/>
      <c r="Q73" s="142"/>
      <c r="R73" s="142"/>
      <c r="S73" s="142"/>
      <c r="T73" s="142"/>
      <c r="U73" s="142"/>
      <c r="V73" s="142"/>
      <c r="W73" s="142"/>
      <c r="X73" s="142"/>
      <c r="Y73" s="142"/>
      <c r="Z73" s="142"/>
      <c r="AA73" s="142"/>
      <c r="AB73" s="142"/>
      <c r="AC73" s="142"/>
      <c r="AD73" s="142"/>
      <c r="AE73" s="142"/>
      <c r="AF73" s="142"/>
      <c r="AG73" s="142"/>
      <c r="AH73" s="142"/>
      <c r="AI73" s="142"/>
      <c r="AJ73" s="142"/>
      <c r="AK73" s="142"/>
      <c r="AL73" s="142"/>
      <c r="AM73" s="142"/>
      <c r="AN73" s="142"/>
      <c r="AO73" s="142"/>
      <c r="AP73" s="130"/>
      <c r="AQ73" s="130"/>
      <c r="AR73" s="130"/>
      <c r="AS73" s="130"/>
      <c r="AT73" s="130"/>
      <c r="AU73" s="130"/>
      <c r="AV73" s="130"/>
      <c r="AW73" s="130"/>
      <c r="AX73" s="130"/>
      <c r="AY73" s="130"/>
      <c r="AZ73" s="130"/>
      <c r="BA73" s="130"/>
      <c r="BB73" s="130"/>
      <c r="BC73" s="130"/>
      <c r="BD73" s="130"/>
    </row>
    <row r="74" ht="15.75" customHeight="1">
      <c r="A74" s="142"/>
      <c r="B74" s="142"/>
      <c r="C74" s="198"/>
      <c r="D74" s="142"/>
      <c r="E74" s="131"/>
      <c r="F74" s="142"/>
      <c r="G74" s="142"/>
      <c r="H74" s="131"/>
      <c r="I74" s="142"/>
      <c r="J74" s="142"/>
      <c r="K74" s="132"/>
      <c r="L74" s="131"/>
      <c r="M74" s="142"/>
      <c r="N74" s="142"/>
      <c r="O74" s="142"/>
      <c r="P74" s="142"/>
      <c r="Q74" s="142"/>
      <c r="R74" s="142"/>
      <c r="S74" s="142"/>
      <c r="T74" s="142"/>
      <c r="U74" s="142"/>
      <c r="V74" s="142"/>
      <c r="W74" s="142"/>
      <c r="X74" s="142"/>
      <c r="Y74" s="142"/>
      <c r="Z74" s="142"/>
      <c r="AA74" s="142"/>
      <c r="AB74" s="142"/>
      <c r="AC74" s="142"/>
      <c r="AD74" s="142"/>
      <c r="AE74" s="142"/>
      <c r="AF74" s="142"/>
      <c r="AG74" s="142"/>
      <c r="AH74" s="142"/>
      <c r="AI74" s="142"/>
      <c r="AJ74" s="142"/>
      <c r="AK74" s="142"/>
      <c r="AL74" s="142"/>
      <c r="AM74" s="142"/>
      <c r="AN74" s="142"/>
      <c r="AO74" s="142"/>
      <c r="AP74" s="130"/>
      <c r="AQ74" s="130"/>
      <c r="AR74" s="130"/>
      <c r="AS74" s="130"/>
      <c r="AT74" s="130"/>
      <c r="AU74" s="130"/>
      <c r="AV74" s="130"/>
      <c r="AW74" s="130"/>
      <c r="AX74" s="130"/>
      <c r="AY74" s="130"/>
      <c r="AZ74" s="130"/>
      <c r="BA74" s="130"/>
      <c r="BB74" s="130"/>
      <c r="BC74" s="130"/>
      <c r="BD74" s="130"/>
    </row>
    <row r="75" ht="15.75" customHeight="1">
      <c r="A75" s="142"/>
      <c r="B75" s="142"/>
      <c r="C75" s="198"/>
      <c r="D75" s="142"/>
      <c r="E75" s="131"/>
      <c r="F75" s="142"/>
      <c r="G75" s="142"/>
      <c r="H75" s="131"/>
      <c r="I75" s="142"/>
      <c r="J75" s="142"/>
      <c r="K75" s="132"/>
      <c r="L75" s="131"/>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2"/>
      <c r="AJ75" s="142"/>
      <c r="AK75" s="142"/>
      <c r="AL75" s="142"/>
      <c r="AM75" s="142"/>
      <c r="AN75" s="142"/>
      <c r="AO75" s="142"/>
      <c r="AP75" s="130"/>
      <c r="AQ75" s="130"/>
      <c r="AR75" s="130"/>
      <c r="AS75" s="130"/>
      <c r="AT75" s="130"/>
      <c r="AU75" s="130"/>
      <c r="AV75" s="130"/>
      <c r="AW75" s="130"/>
      <c r="AX75" s="130"/>
      <c r="AY75" s="130"/>
      <c r="AZ75" s="130"/>
      <c r="BA75" s="130"/>
      <c r="BB75" s="130"/>
      <c r="BC75" s="130"/>
      <c r="BD75" s="130"/>
    </row>
    <row r="76" ht="15.75" customHeight="1">
      <c r="A76" s="142"/>
      <c r="B76" s="142"/>
      <c r="C76" s="198"/>
      <c r="D76" s="142"/>
      <c r="E76" s="131"/>
      <c r="F76" s="142"/>
      <c r="G76" s="142"/>
      <c r="H76" s="131"/>
      <c r="I76" s="142"/>
      <c r="J76" s="142"/>
      <c r="K76" s="132"/>
      <c r="L76" s="131"/>
      <c r="M76" s="142"/>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30"/>
      <c r="AQ76" s="130"/>
      <c r="AR76" s="130"/>
      <c r="AS76" s="130"/>
      <c r="AT76" s="130"/>
      <c r="AU76" s="130"/>
      <c r="AV76" s="130"/>
      <c r="AW76" s="130"/>
      <c r="AX76" s="130"/>
      <c r="AY76" s="130"/>
      <c r="AZ76" s="130"/>
      <c r="BA76" s="130"/>
      <c r="BB76" s="130"/>
      <c r="BC76" s="130"/>
      <c r="BD76" s="130"/>
    </row>
    <row r="77" ht="15.75" customHeight="1">
      <c r="A77" s="142"/>
      <c r="B77" s="142"/>
      <c r="C77" s="198"/>
      <c r="D77" s="142"/>
      <c r="E77" s="131"/>
      <c r="F77" s="142"/>
      <c r="G77" s="142"/>
      <c r="H77" s="131"/>
      <c r="I77" s="142"/>
      <c r="J77" s="142"/>
      <c r="K77" s="132"/>
      <c r="L77" s="131"/>
      <c r="M77" s="142"/>
      <c r="N77" s="142"/>
      <c r="O77" s="142"/>
      <c r="P77" s="142"/>
      <c r="Q77" s="142"/>
      <c r="R77" s="142"/>
      <c r="S77" s="142"/>
      <c r="T77" s="142"/>
      <c r="U77" s="142"/>
      <c r="V77" s="142"/>
      <c r="W77" s="142"/>
      <c r="X77" s="142"/>
      <c r="Y77" s="142"/>
      <c r="Z77" s="142"/>
      <c r="AA77" s="142"/>
      <c r="AB77" s="142"/>
      <c r="AC77" s="142"/>
      <c r="AD77" s="142"/>
      <c r="AE77" s="142"/>
      <c r="AF77" s="142"/>
      <c r="AG77" s="142"/>
      <c r="AH77" s="142"/>
      <c r="AI77" s="142"/>
      <c r="AJ77" s="142"/>
      <c r="AK77" s="142"/>
      <c r="AL77" s="142"/>
      <c r="AM77" s="142"/>
      <c r="AN77" s="142"/>
      <c r="AO77" s="142"/>
      <c r="AP77" s="130"/>
      <c r="AQ77" s="130"/>
      <c r="AR77" s="130"/>
      <c r="AS77" s="130"/>
      <c r="AT77" s="130"/>
      <c r="AU77" s="130"/>
      <c r="AV77" s="130"/>
      <c r="AW77" s="130"/>
      <c r="AX77" s="130"/>
      <c r="AY77" s="130"/>
      <c r="AZ77" s="130"/>
      <c r="BA77" s="130"/>
      <c r="BB77" s="130"/>
      <c r="BC77" s="130"/>
      <c r="BD77" s="130"/>
    </row>
    <row r="78" ht="15.75" customHeight="1">
      <c r="A78" s="142"/>
      <c r="B78" s="142"/>
      <c r="C78" s="198"/>
      <c r="D78" s="142"/>
      <c r="E78" s="131"/>
      <c r="F78" s="142"/>
      <c r="G78" s="142"/>
      <c r="H78" s="131"/>
      <c r="I78" s="142"/>
      <c r="J78" s="142"/>
      <c r="K78" s="132"/>
      <c r="L78" s="131"/>
      <c r="M78" s="142"/>
      <c r="N78" s="142"/>
      <c r="O78" s="142"/>
      <c r="P78" s="142"/>
      <c r="Q78" s="142"/>
      <c r="R78" s="142"/>
      <c r="S78" s="142"/>
      <c r="T78" s="142"/>
      <c r="U78" s="142"/>
      <c r="V78" s="142"/>
      <c r="W78" s="142"/>
      <c r="X78" s="142"/>
      <c r="Y78" s="142"/>
      <c r="Z78" s="142"/>
      <c r="AA78" s="142"/>
      <c r="AB78" s="142"/>
      <c r="AC78" s="142"/>
      <c r="AD78" s="142"/>
      <c r="AE78" s="142"/>
      <c r="AF78" s="142"/>
      <c r="AG78" s="142"/>
      <c r="AH78" s="142"/>
      <c r="AI78" s="142"/>
      <c r="AJ78" s="142"/>
      <c r="AK78" s="142"/>
      <c r="AL78" s="142"/>
      <c r="AM78" s="142"/>
      <c r="AN78" s="142"/>
      <c r="AO78" s="142"/>
      <c r="AP78" s="130"/>
      <c r="AQ78" s="130"/>
      <c r="AR78" s="130"/>
      <c r="AS78" s="130"/>
      <c r="AT78" s="130"/>
      <c r="AU78" s="130"/>
      <c r="AV78" s="130"/>
      <c r="AW78" s="130"/>
      <c r="AX78" s="130"/>
      <c r="AY78" s="130"/>
      <c r="AZ78" s="130"/>
      <c r="BA78" s="130"/>
      <c r="BB78" s="130"/>
      <c r="BC78" s="130"/>
      <c r="BD78" s="130"/>
    </row>
    <row r="79" ht="15.75" customHeight="1">
      <c r="A79" s="142"/>
      <c r="B79" s="142"/>
      <c r="C79" s="198"/>
      <c r="D79" s="142"/>
      <c r="E79" s="131"/>
      <c r="F79" s="142"/>
      <c r="G79" s="142"/>
      <c r="H79" s="131"/>
      <c r="I79" s="142"/>
      <c r="J79" s="142"/>
      <c r="K79" s="132"/>
      <c r="L79" s="131"/>
      <c r="M79" s="142"/>
      <c r="N79" s="142"/>
      <c r="O79" s="142"/>
      <c r="P79" s="142"/>
      <c r="Q79" s="142"/>
      <c r="R79" s="142"/>
      <c r="S79" s="142"/>
      <c r="T79" s="142"/>
      <c r="U79" s="142"/>
      <c r="V79" s="142"/>
      <c r="W79" s="142"/>
      <c r="X79" s="142"/>
      <c r="Y79" s="142"/>
      <c r="Z79" s="142"/>
      <c r="AA79" s="142"/>
      <c r="AB79" s="142"/>
      <c r="AC79" s="142"/>
      <c r="AD79" s="142"/>
      <c r="AE79" s="142"/>
      <c r="AF79" s="142"/>
      <c r="AG79" s="142"/>
      <c r="AH79" s="142"/>
      <c r="AI79" s="142"/>
      <c r="AJ79" s="142"/>
      <c r="AK79" s="142"/>
      <c r="AL79" s="142"/>
      <c r="AM79" s="142"/>
      <c r="AN79" s="142"/>
      <c r="AO79" s="142"/>
      <c r="AP79" s="130"/>
      <c r="AQ79" s="130"/>
      <c r="AR79" s="130"/>
      <c r="AS79" s="130"/>
      <c r="AT79" s="130"/>
      <c r="AU79" s="130"/>
      <c r="AV79" s="130"/>
      <c r="AW79" s="130"/>
      <c r="AX79" s="130"/>
      <c r="AY79" s="130"/>
      <c r="AZ79" s="130"/>
      <c r="BA79" s="130"/>
      <c r="BB79" s="130"/>
      <c r="BC79" s="130"/>
      <c r="BD79" s="130"/>
    </row>
    <row r="80" ht="15.75" customHeight="1">
      <c r="A80" s="142"/>
      <c r="B80" s="142"/>
      <c r="C80" s="198"/>
      <c r="D80" s="142"/>
      <c r="E80" s="131"/>
      <c r="F80" s="142"/>
      <c r="G80" s="142"/>
      <c r="H80" s="131"/>
      <c r="I80" s="142"/>
      <c r="J80" s="142"/>
      <c r="K80" s="132"/>
      <c r="L80" s="131"/>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2"/>
      <c r="AN80" s="142"/>
      <c r="AO80" s="142"/>
      <c r="AP80" s="130"/>
      <c r="AQ80" s="130"/>
      <c r="AR80" s="130"/>
      <c r="AS80" s="130"/>
      <c r="AT80" s="130"/>
      <c r="AU80" s="130"/>
      <c r="AV80" s="130"/>
      <c r="AW80" s="130"/>
      <c r="AX80" s="130"/>
      <c r="AY80" s="130"/>
      <c r="AZ80" s="130"/>
      <c r="BA80" s="130"/>
      <c r="BB80" s="130"/>
      <c r="BC80" s="130"/>
      <c r="BD80" s="130"/>
    </row>
    <row r="81" ht="15.75" customHeight="1">
      <c r="A81" s="142"/>
      <c r="B81" s="142"/>
      <c r="C81" s="198"/>
      <c r="D81" s="142"/>
      <c r="E81" s="131"/>
      <c r="F81" s="142"/>
      <c r="G81" s="142"/>
      <c r="H81" s="131"/>
      <c r="I81" s="142"/>
      <c r="J81" s="142"/>
      <c r="K81" s="132"/>
      <c r="L81" s="131"/>
      <c r="M81" s="142"/>
      <c r="N81" s="142"/>
      <c r="O81" s="142"/>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2"/>
      <c r="AN81" s="142"/>
      <c r="AO81" s="142"/>
      <c r="AP81" s="130"/>
      <c r="AQ81" s="130"/>
      <c r="AR81" s="130"/>
      <c r="AS81" s="130"/>
      <c r="AT81" s="130"/>
      <c r="AU81" s="130"/>
      <c r="AV81" s="130"/>
      <c r="AW81" s="130"/>
      <c r="AX81" s="130"/>
      <c r="AY81" s="130"/>
      <c r="AZ81" s="130"/>
      <c r="BA81" s="130"/>
      <c r="BB81" s="130"/>
      <c r="BC81" s="130"/>
      <c r="BD81" s="130"/>
    </row>
    <row r="82" ht="15.75" customHeight="1">
      <c r="A82" s="142"/>
      <c r="B82" s="142"/>
      <c r="C82" s="198"/>
      <c r="D82" s="142"/>
      <c r="E82" s="131"/>
      <c r="F82" s="142"/>
      <c r="G82" s="142"/>
      <c r="H82" s="131"/>
      <c r="I82" s="142"/>
      <c r="J82" s="142"/>
      <c r="K82" s="132"/>
      <c r="L82" s="131"/>
      <c r="M82" s="142"/>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2"/>
      <c r="AP82" s="130"/>
      <c r="AQ82" s="130"/>
      <c r="AR82" s="130"/>
      <c r="AS82" s="130"/>
      <c r="AT82" s="130"/>
      <c r="AU82" s="130"/>
      <c r="AV82" s="130"/>
      <c r="AW82" s="130"/>
      <c r="AX82" s="130"/>
      <c r="AY82" s="130"/>
      <c r="AZ82" s="130"/>
      <c r="BA82" s="130"/>
      <c r="BB82" s="130"/>
      <c r="BC82" s="130"/>
      <c r="BD82" s="130"/>
    </row>
    <row r="83" ht="15.75" customHeight="1">
      <c r="A83" s="142"/>
      <c r="B83" s="142"/>
      <c r="C83" s="198"/>
      <c r="D83" s="142"/>
      <c r="E83" s="131"/>
      <c r="F83" s="142"/>
      <c r="G83" s="142"/>
      <c r="H83" s="131"/>
      <c r="I83" s="142"/>
      <c r="J83" s="142"/>
      <c r="K83" s="132"/>
      <c r="L83" s="131"/>
      <c r="M83" s="142"/>
      <c r="N83" s="142"/>
      <c r="O83" s="142"/>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2"/>
      <c r="AP83" s="130"/>
      <c r="AQ83" s="130"/>
      <c r="AR83" s="130"/>
      <c r="AS83" s="130"/>
      <c r="AT83" s="130"/>
      <c r="AU83" s="130"/>
      <c r="AV83" s="130"/>
      <c r="AW83" s="130"/>
      <c r="AX83" s="130"/>
      <c r="AY83" s="130"/>
      <c r="AZ83" s="130"/>
      <c r="BA83" s="130"/>
      <c r="BB83" s="130"/>
      <c r="BC83" s="130"/>
      <c r="BD83" s="130"/>
    </row>
    <row r="84" ht="15.75" customHeight="1">
      <c r="A84" s="142"/>
      <c r="B84" s="142"/>
      <c r="C84" s="198"/>
      <c r="D84" s="142"/>
      <c r="E84" s="131"/>
      <c r="F84" s="142"/>
      <c r="G84" s="142"/>
      <c r="H84" s="131"/>
      <c r="I84" s="142"/>
      <c r="J84" s="142"/>
      <c r="K84" s="132"/>
      <c r="L84" s="131"/>
      <c r="M84" s="142"/>
      <c r="N84" s="142"/>
      <c r="O84" s="142"/>
      <c r="P84" s="142"/>
      <c r="Q84" s="142"/>
      <c r="R84" s="142"/>
      <c r="S84" s="142"/>
      <c r="T84" s="142"/>
      <c r="U84" s="142"/>
      <c r="V84" s="142"/>
      <c r="W84" s="142"/>
      <c r="X84" s="142"/>
      <c r="Y84" s="142"/>
      <c r="Z84" s="142"/>
      <c r="AA84" s="142"/>
      <c r="AB84" s="142"/>
      <c r="AC84" s="142"/>
      <c r="AD84" s="142"/>
      <c r="AE84" s="142"/>
      <c r="AF84" s="142"/>
      <c r="AG84" s="142"/>
      <c r="AH84" s="142"/>
      <c r="AI84" s="142"/>
      <c r="AJ84" s="142"/>
      <c r="AK84" s="142"/>
      <c r="AL84" s="142"/>
      <c r="AM84" s="142"/>
      <c r="AN84" s="142"/>
      <c r="AO84" s="142"/>
      <c r="AP84" s="130"/>
      <c r="AQ84" s="130"/>
      <c r="AR84" s="130"/>
      <c r="AS84" s="130"/>
      <c r="AT84" s="130"/>
      <c r="AU84" s="130"/>
      <c r="AV84" s="130"/>
      <c r="AW84" s="130"/>
      <c r="AX84" s="130"/>
      <c r="AY84" s="130"/>
      <c r="AZ84" s="130"/>
      <c r="BA84" s="130"/>
      <c r="BB84" s="130"/>
      <c r="BC84" s="130"/>
      <c r="BD84" s="130"/>
    </row>
    <row r="85" ht="15.75" customHeight="1">
      <c r="A85" s="142"/>
      <c r="B85" s="142"/>
      <c r="C85" s="198"/>
      <c r="D85" s="142"/>
      <c r="E85" s="131"/>
      <c r="F85" s="142"/>
      <c r="G85" s="142"/>
      <c r="H85" s="131"/>
      <c r="I85" s="142"/>
      <c r="J85" s="142"/>
      <c r="K85" s="132"/>
      <c r="L85" s="131"/>
      <c r="M85" s="142"/>
      <c r="N85" s="142"/>
      <c r="O85" s="142"/>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2"/>
      <c r="AP85" s="130"/>
      <c r="AQ85" s="130"/>
      <c r="AR85" s="130"/>
      <c r="AS85" s="130"/>
      <c r="AT85" s="130"/>
      <c r="AU85" s="130"/>
      <c r="AV85" s="130"/>
      <c r="AW85" s="130"/>
      <c r="AX85" s="130"/>
      <c r="AY85" s="130"/>
      <c r="AZ85" s="130"/>
      <c r="BA85" s="130"/>
      <c r="BB85" s="130"/>
      <c r="BC85" s="130"/>
      <c r="BD85" s="130"/>
    </row>
    <row r="86" ht="15.75" customHeight="1">
      <c r="A86" s="142"/>
      <c r="B86" s="142"/>
      <c r="C86" s="198"/>
      <c r="D86" s="142"/>
      <c r="E86" s="131"/>
      <c r="F86" s="142"/>
      <c r="G86" s="142"/>
      <c r="H86" s="131"/>
      <c r="I86" s="142"/>
      <c r="J86" s="142"/>
      <c r="K86" s="132"/>
      <c r="L86" s="131"/>
      <c r="M86" s="142"/>
      <c r="N86" s="142"/>
      <c r="O86" s="142"/>
      <c r="P86" s="142"/>
      <c r="Q86" s="142"/>
      <c r="R86" s="142"/>
      <c r="S86" s="142"/>
      <c r="T86" s="142"/>
      <c r="U86" s="142"/>
      <c r="V86" s="142"/>
      <c r="W86" s="142"/>
      <c r="X86" s="142"/>
      <c r="Y86" s="142"/>
      <c r="Z86" s="142"/>
      <c r="AA86" s="142"/>
      <c r="AB86" s="142"/>
      <c r="AC86" s="142"/>
      <c r="AD86" s="142"/>
      <c r="AE86" s="142"/>
      <c r="AF86" s="142"/>
      <c r="AG86" s="142"/>
      <c r="AH86" s="142"/>
      <c r="AI86" s="142"/>
      <c r="AJ86" s="142"/>
      <c r="AK86" s="142"/>
      <c r="AL86" s="142"/>
      <c r="AM86" s="142"/>
      <c r="AN86" s="142"/>
      <c r="AO86" s="142"/>
      <c r="AP86" s="130"/>
      <c r="AQ86" s="130"/>
      <c r="AR86" s="130"/>
      <c r="AS86" s="130"/>
      <c r="AT86" s="130"/>
      <c r="AU86" s="130"/>
      <c r="AV86" s="130"/>
      <c r="AW86" s="130"/>
      <c r="AX86" s="130"/>
      <c r="AY86" s="130"/>
      <c r="AZ86" s="130"/>
      <c r="BA86" s="130"/>
      <c r="BB86" s="130"/>
      <c r="BC86" s="130"/>
      <c r="BD86" s="130"/>
    </row>
    <row r="87" ht="15.75" customHeight="1">
      <c r="A87" s="142"/>
      <c r="B87" s="142"/>
      <c r="C87" s="198"/>
      <c r="D87" s="142"/>
      <c r="E87" s="131"/>
      <c r="F87" s="142"/>
      <c r="G87" s="142"/>
      <c r="H87" s="131"/>
      <c r="I87" s="142"/>
      <c r="J87" s="142"/>
      <c r="K87" s="132"/>
      <c r="L87" s="131"/>
      <c r="M87" s="142"/>
      <c r="N87" s="142"/>
      <c r="O87" s="142"/>
      <c r="P87" s="142"/>
      <c r="Q87" s="142"/>
      <c r="R87" s="142"/>
      <c r="S87" s="142"/>
      <c r="T87" s="142"/>
      <c r="U87" s="142"/>
      <c r="V87" s="142"/>
      <c r="W87" s="142"/>
      <c r="X87" s="142"/>
      <c r="Y87" s="142"/>
      <c r="Z87" s="142"/>
      <c r="AA87" s="142"/>
      <c r="AB87" s="142"/>
      <c r="AC87" s="142"/>
      <c r="AD87" s="142"/>
      <c r="AE87" s="142"/>
      <c r="AF87" s="142"/>
      <c r="AG87" s="142"/>
      <c r="AH87" s="142"/>
      <c r="AI87" s="142"/>
      <c r="AJ87" s="142"/>
      <c r="AK87" s="142"/>
      <c r="AL87" s="142"/>
      <c r="AM87" s="142"/>
      <c r="AN87" s="142"/>
      <c r="AO87" s="142"/>
      <c r="AP87" s="130"/>
      <c r="AQ87" s="130"/>
      <c r="AR87" s="130"/>
      <c r="AS87" s="130"/>
      <c r="AT87" s="130"/>
      <c r="AU87" s="130"/>
      <c r="AV87" s="130"/>
      <c r="AW87" s="130"/>
      <c r="AX87" s="130"/>
      <c r="AY87" s="130"/>
      <c r="AZ87" s="130"/>
      <c r="BA87" s="130"/>
      <c r="BB87" s="130"/>
      <c r="BC87" s="130"/>
      <c r="BD87" s="130"/>
    </row>
    <row r="88" ht="15.75" customHeight="1">
      <c r="A88" s="142"/>
      <c r="B88" s="142"/>
      <c r="C88" s="198"/>
      <c r="D88" s="142"/>
      <c r="E88" s="131"/>
      <c r="F88" s="142"/>
      <c r="G88" s="142"/>
      <c r="H88" s="131"/>
      <c r="I88" s="142"/>
      <c r="J88" s="142"/>
      <c r="K88" s="132"/>
      <c r="L88" s="131"/>
      <c r="M88" s="142"/>
      <c r="N88" s="142"/>
      <c r="O88" s="142"/>
      <c r="P88" s="142"/>
      <c r="Q88" s="142"/>
      <c r="R88" s="142"/>
      <c r="S88" s="142"/>
      <c r="T88" s="142"/>
      <c r="U88" s="142"/>
      <c r="V88" s="142"/>
      <c r="W88" s="142"/>
      <c r="X88" s="142"/>
      <c r="Y88" s="142"/>
      <c r="Z88" s="142"/>
      <c r="AA88" s="142"/>
      <c r="AB88" s="142"/>
      <c r="AC88" s="142"/>
      <c r="AD88" s="142"/>
      <c r="AE88" s="142"/>
      <c r="AF88" s="142"/>
      <c r="AG88" s="142"/>
      <c r="AH88" s="142"/>
      <c r="AI88" s="142"/>
      <c r="AJ88" s="142"/>
      <c r="AK88" s="142"/>
      <c r="AL88" s="142"/>
      <c r="AM88" s="142"/>
      <c r="AN88" s="142"/>
      <c r="AO88" s="142"/>
      <c r="AP88" s="130"/>
      <c r="AQ88" s="130"/>
      <c r="AR88" s="130"/>
      <c r="AS88" s="130"/>
      <c r="AT88" s="130"/>
      <c r="AU88" s="130"/>
      <c r="AV88" s="130"/>
      <c r="AW88" s="130"/>
      <c r="AX88" s="130"/>
      <c r="AY88" s="130"/>
      <c r="AZ88" s="130"/>
      <c r="BA88" s="130"/>
      <c r="BB88" s="130"/>
      <c r="BC88" s="130"/>
      <c r="BD88" s="130"/>
    </row>
    <row r="89" ht="15.75" customHeight="1">
      <c r="A89" s="142"/>
      <c r="B89" s="142"/>
      <c r="C89" s="198"/>
      <c r="D89" s="142"/>
      <c r="E89" s="131"/>
      <c r="F89" s="142"/>
      <c r="G89" s="142"/>
      <c r="H89" s="131"/>
      <c r="I89" s="142"/>
      <c r="J89" s="142"/>
      <c r="K89" s="132"/>
      <c r="L89" s="131"/>
      <c r="M89" s="142"/>
      <c r="N89" s="142"/>
      <c r="O89" s="142"/>
      <c r="P89" s="142"/>
      <c r="Q89" s="142"/>
      <c r="R89" s="142"/>
      <c r="S89" s="142"/>
      <c r="T89" s="142"/>
      <c r="U89" s="142"/>
      <c r="V89" s="142"/>
      <c r="W89" s="142"/>
      <c r="X89" s="142"/>
      <c r="Y89" s="142"/>
      <c r="Z89" s="142"/>
      <c r="AA89" s="142"/>
      <c r="AB89" s="142"/>
      <c r="AC89" s="142"/>
      <c r="AD89" s="142"/>
      <c r="AE89" s="142"/>
      <c r="AF89" s="142"/>
      <c r="AG89" s="142"/>
      <c r="AH89" s="142"/>
      <c r="AI89" s="142"/>
      <c r="AJ89" s="142"/>
      <c r="AK89" s="142"/>
      <c r="AL89" s="142"/>
      <c r="AM89" s="142"/>
      <c r="AN89" s="142"/>
      <c r="AO89" s="142"/>
      <c r="AP89" s="130"/>
      <c r="AQ89" s="130"/>
      <c r="AR89" s="130"/>
      <c r="AS89" s="130"/>
      <c r="AT89" s="130"/>
      <c r="AU89" s="130"/>
      <c r="AV89" s="130"/>
      <c r="AW89" s="130"/>
      <c r="AX89" s="130"/>
      <c r="AY89" s="130"/>
      <c r="AZ89" s="130"/>
      <c r="BA89" s="130"/>
      <c r="BB89" s="130"/>
      <c r="BC89" s="130"/>
      <c r="BD89" s="130"/>
    </row>
    <row r="90" ht="15.75" customHeight="1">
      <c r="A90" s="142"/>
      <c r="B90" s="142"/>
      <c r="C90" s="198"/>
      <c r="D90" s="142"/>
      <c r="E90" s="131"/>
      <c r="F90" s="142"/>
      <c r="G90" s="142"/>
      <c r="H90" s="131"/>
      <c r="I90" s="142"/>
      <c r="J90" s="142"/>
      <c r="K90" s="132"/>
      <c r="L90" s="131"/>
      <c r="M90" s="142"/>
      <c r="N90" s="142"/>
      <c r="O90" s="142"/>
      <c r="P90" s="142"/>
      <c r="Q90" s="142"/>
      <c r="R90" s="142"/>
      <c r="S90" s="142"/>
      <c r="T90" s="142"/>
      <c r="U90" s="142"/>
      <c r="V90" s="142"/>
      <c r="W90" s="142"/>
      <c r="X90" s="142"/>
      <c r="Y90" s="142"/>
      <c r="Z90" s="142"/>
      <c r="AA90" s="142"/>
      <c r="AB90" s="142"/>
      <c r="AC90" s="142"/>
      <c r="AD90" s="142"/>
      <c r="AE90" s="142"/>
      <c r="AF90" s="142"/>
      <c r="AG90" s="142"/>
      <c r="AH90" s="142"/>
      <c r="AI90" s="142"/>
      <c r="AJ90" s="142"/>
      <c r="AK90" s="142"/>
      <c r="AL90" s="142"/>
      <c r="AM90" s="142"/>
      <c r="AN90" s="142"/>
      <c r="AO90" s="142"/>
      <c r="AP90" s="130"/>
      <c r="AQ90" s="130"/>
      <c r="AR90" s="130"/>
      <c r="AS90" s="130"/>
      <c r="AT90" s="130"/>
      <c r="AU90" s="130"/>
      <c r="AV90" s="130"/>
      <c r="AW90" s="130"/>
      <c r="AX90" s="130"/>
      <c r="AY90" s="130"/>
      <c r="AZ90" s="130"/>
      <c r="BA90" s="130"/>
      <c r="BB90" s="130"/>
      <c r="BC90" s="130"/>
      <c r="BD90" s="130"/>
    </row>
    <row r="91" ht="15.75" customHeight="1">
      <c r="A91" s="142"/>
      <c r="B91" s="142"/>
      <c r="C91" s="198"/>
      <c r="D91" s="142"/>
      <c r="E91" s="131"/>
      <c r="F91" s="142"/>
      <c r="G91" s="142"/>
      <c r="H91" s="131"/>
      <c r="I91" s="142"/>
      <c r="J91" s="142"/>
      <c r="K91" s="132"/>
      <c r="L91" s="131"/>
      <c r="M91" s="142"/>
      <c r="N91" s="142"/>
      <c r="O91" s="142"/>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2"/>
      <c r="AP91" s="130"/>
      <c r="AQ91" s="130"/>
      <c r="AR91" s="130"/>
      <c r="AS91" s="130"/>
      <c r="AT91" s="130"/>
      <c r="AU91" s="130"/>
      <c r="AV91" s="130"/>
      <c r="AW91" s="130"/>
      <c r="AX91" s="130"/>
      <c r="AY91" s="130"/>
      <c r="AZ91" s="130"/>
      <c r="BA91" s="130"/>
      <c r="BB91" s="130"/>
      <c r="BC91" s="130"/>
      <c r="BD91" s="130"/>
    </row>
    <row r="92" ht="15.75" customHeight="1">
      <c r="A92" s="142"/>
      <c r="B92" s="142"/>
      <c r="C92" s="198"/>
      <c r="D92" s="142"/>
      <c r="E92" s="131"/>
      <c r="F92" s="142"/>
      <c r="G92" s="142"/>
      <c r="H92" s="131"/>
      <c r="I92" s="142"/>
      <c r="J92" s="142"/>
      <c r="K92" s="132"/>
      <c r="L92" s="131"/>
      <c r="M92" s="142"/>
      <c r="N92" s="142"/>
      <c r="O92" s="142"/>
      <c r="P92" s="142"/>
      <c r="Q92" s="142"/>
      <c r="R92" s="142"/>
      <c r="S92" s="142"/>
      <c r="T92" s="142"/>
      <c r="U92" s="142"/>
      <c r="V92" s="142"/>
      <c r="W92" s="142"/>
      <c r="X92" s="142"/>
      <c r="Y92" s="142"/>
      <c r="Z92" s="142"/>
      <c r="AA92" s="142"/>
      <c r="AB92" s="142"/>
      <c r="AC92" s="142"/>
      <c r="AD92" s="142"/>
      <c r="AE92" s="142"/>
      <c r="AF92" s="142"/>
      <c r="AG92" s="142"/>
      <c r="AH92" s="142"/>
      <c r="AI92" s="142"/>
      <c r="AJ92" s="142"/>
      <c r="AK92" s="142"/>
      <c r="AL92" s="142"/>
      <c r="AM92" s="142"/>
      <c r="AN92" s="142"/>
      <c r="AO92" s="142"/>
      <c r="AP92" s="130"/>
      <c r="AQ92" s="130"/>
      <c r="AR92" s="130"/>
      <c r="AS92" s="130"/>
      <c r="AT92" s="130"/>
      <c r="AU92" s="130"/>
      <c r="AV92" s="130"/>
      <c r="AW92" s="130"/>
      <c r="AX92" s="130"/>
      <c r="AY92" s="130"/>
      <c r="AZ92" s="130"/>
      <c r="BA92" s="130"/>
      <c r="BB92" s="130"/>
      <c r="BC92" s="130"/>
      <c r="BD92" s="130"/>
    </row>
    <row r="93" ht="15.75" customHeight="1">
      <c r="A93" s="142"/>
      <c r="B93" s="142"/>
      <c r="C93" s="198"/>
      <c r="D93" s="142"/>
      <c r="E93" s="131"/>
      <c r="F93" s="142"/>
      <c r="G93" s="142"/>
      <c r="H93" s="131"/>
      <c r="I93" s="142"/>
      <c r="J93" s="142"/>
      <c r="K93" s="132"/>
      <c r="L93" s="131"/>
      <c r="M93" s="142"/>
      <c r="N93" s="142"/>
      <c r="O93" s="142"/>
      <c r="P93" s="142"/>
      <c r="Q93" s="142"/>
      <c r="R93" s="142"/>
      <c r="S93" s="142"/>
      <c r="T93" s="142"/>
      <c r="U93" s="142"/>
      <c r="V93" s="142"/>
      <c r="W93" s="142"/>
      <c r="X93" s="142"/>
      <c r="Y93" s="142"/>
      <c r="Z93" s="142"/>
      <c r="AA93" s="142"/>
      <c r="AB93" s="142"/>
      <c r="AC93" s="142"/>
      <c r="AD93" s="142"/>
      <c r="AE93" s="142"/>
      <c r="AF93" s="142"/>
      <c r="AG93" s="142"/>
      <c r="AH93" s="142"/>
      <c r="AI93" s="142"/>
      <c r="AJ93" s="142"/>
      <c r="AK93" s="142"/>
      <c r="AL93" s="142"/>
      <c r="AM93" s="142"/>
      <c r="AN93" s="142"/>
      <c r="AO93" s="142"/>
      <c r="AP93" s="130"/>
      <c r="AQ93" s="130"/>
      <c r="AR93" s="130"/>
      <c r="AS93" s="130"/>
      <c r="AT93" s="130"/>
      <c r="AU93" s="130"/>
      <c r="AV93" s="130"/>
      <c r="AW93" s="130"/>
      <c r="AX93" s="130"/>
      <c r="AY93" s="130"/>
      <c r="AZ93" s="130"/>
      <c r="BA93" s="130"/>
      <c r="BB93" s="130"/>
      <c r="BC93" s="130"/>
      <c r="BD93" s="130"/>
    </row>
    <row r="94" ht="15.75" customHeight="1">
      <c r="A94" s="142"/>
      <c r="B94" s="142"/>
      <c r="C94" s="198"/>
      <c r="D94" s="142"/>
      <c r="E94" s="131"/>
      <c r="F94" s="142"/>
      <c r="G94" s="142"/>
      <c r="H94" s="131"/>
      <c r="I94" s="142"/>
      <c r="J94" s="142"/>
      <c r="K94" s="132"/>
      <c r="L94" s="131"/>
      <c r="M94" s="142"/>
      <c r="N94" s="142"/>
      <c r="O94" s="142"/>
      <c r="P94" s="142"/>
      <c r="Q94" s="142"/>
      <c r="R94" s="142"/>
      <c r="S94" s="142"/>
      <c r="T94" s="142"/>
      <c r="U94" s="142"/>
      <c r="V94" s="142"/>
      <c r="W94" s="142"/>
      <c r="X94" s="142"/>
      <c r="Y94" s="142"/>
      <c r="Z94" s="142"/>
      <c r="AA94" s="142"/>
      <c r="AB94" s="142"/>
      <c r="AC94" s="142"/>
      <c r="AD94" s="142"/>
      <c r="AE94" s="142"/>
      <c r="AF94" s="142"/>
      <c r="AG94" s="142"/>
      <c r="AH94" s="142"/>
      <c r="AI94" s="142"/>
      <c r="AJ94" s="142"/>
      <c r="AK94" s="142"/>
      <c r="AL94" s="142"/>
      <c r="AM94" s="142"/>
      <c r="AN94" s="142"/>
      <c r="AO94" s="142"/>
      <c r="AP94" s="130"/>
      <c r="AQ94" s="130"/>
      <c r="AR94" s="130"/>
      <c r="AS94" s="130"/>
      <c r="AT94" s="130"/>
      <c r="AU94" s="130"/>
      <c r="AV94" s="130"/>
      <c r="AW94" s="130"/>
      <c r="AX94" s="130"/>
      <c r="AY94" s="130"/>
      <c r="AZ94" s="130"/>
      <c r="BA94" s="130"/>
      <c r="BB94" s="130"/>
      <c r="BC94" s="130"/>
      <c r="BD94" s="130"/>
    </row>
    <row r="95" ht="15.75" customHeight="1">
      <c r="A95" s="142"/>
      <c r="B95" s="142"/>
      <c r="C95" s="198"/>
      <c r="D95" s="142"/>
      <c r="E95" s="131"/>
      <c r="F95" s="142"/>
      <c r="G95" s="142"/>
      <c r="H95" s="131"/>
      <c r="I95" s="142"/>
      <c r="J95" s="142"/>
      <c r="K95" s="132"/>
      <c r="L95" s="131"/>
      <c r="M95" s="142"/>
      <c r="N95" s="142"/>
      <c r="O95" s="142"/>
      <c r="P95" s="142"/>
      <c r="Q95" s="142"/>
      <c r="R95" s="142"/>
      <c r="S95" s="142"/>
      <c r="T95" s="142"/>
      <c r="U95" s="142"/>
      <c r="V95" s="142"/>
      <c r="W95" s="142"/>
      <c r="X95" s="142"/>
      <c r="Y95" s="142"/>
      <c r="Z95" s="142"/>
      <c r="AA95" s="142"/>
      <c r="AB95" s="142"/>
      <c r="AC95" s="142"/>
      <c r="AD95" s="142"/>
      <c r="AE95" s="142"/>
      <c r="AF95" s="142"/>
      <c r="AG95" s="142"/>
      <c r="AH95" s="142"/>
      <c r="AI95" s="142"/>
      <c r="AJ95" s="142"/>
      <c r="AK95" s="142"/>
      <c r="AL95" s="142"/>
      <c r="AM95" s="142"/>
      <c r="AN95" s="142"/>
      <c r="AO95" s="142"/>
      <c r="AP95" s="130"/>
      <c r="AQ95" s="130"/>
      <c r="AR95" s="130"/>
      <c r="AS95" s="130"/>
      <c r="AT95" s="130"/>
      <c r="AU95" s="130"/>
      <c r="AV95" s="130"/>
      <c r="AW95" s="130"/>
      <c r="AX95" s="130"/>
      <c r="AY95" s="130"/>
      <c r="AZ95" s="130"/>
      <c r="BA95" s="130"/>
      <c r="BB95" s="130"/>
      <c r="BC95" s="130"/>
      <c r="BD95" s="130"/>
    </row>
    <row r="96" ht="15.75" customHeight="1">
      <c r="A96" s="142"/>
      <c r="B96" s="142"/>
      <c r="C96" s="198"/>
      <c r="D96" s="142"/>
      <c r="E96" s="131"/>
      <c r="F96" s="142"/>
      <c r="G96" s="142"/>
      <c r="H96" s="131"/>
      <c r="I96" s="142"/>
      <c r="J96" s="142"/>
      <c r="K96" s="132"/>
      <c r="L96" s="131"/>
      <c r="M96" s="142"/>
      <c r="N96" s="142"/>
      <c r="O96" s="142"/>
      <c r="P96" s="142"/>
      <c r="Q96" s="142"/>
      <c r="R96" s="142"/>
      <c r="S96" s="142"/>
      <c r="T96" s="142"/>
      <c r="U96" s="142"/>
      <c r="V96" s="142"/>
      <c r="W96" s="142"/>
      <c r="X96" s="142"/>
      <c r="Y96" s="142"/>
      <c r="Z96" s="142"/>
      <c r="AA96" s="142"/>
      <c r="AB96" s="142"/>
      <c r="AC96" s="142"/>
      <c r="AD96" s="142"/>
      <c r="AE96" s="142"/>
      <c r="AF96" s="142"/>
      <c r="AG96" s="142"/>
      <c r="AH96" s="142"/>
      <c r="AI96" s="142"/>
      <c r="AJ96" s="142"/>
      <c r="AK96" s="142"/>
      <c r="AL96" s="142"/>
      <c r="AM96" s="142"/>
      <c r="AN96" s="142"/>
      <c r="AO96" s="142"/>
      <c r="AP96" s="130"/>
      <c r="AQ96" s="130"/>
      <c r="AR96" s="130"/>
      <c r="AS96" s="130"/>
      <c r="AT96" s="130"/>
      <c r="AU96" s="130"/>
      <c r="AV96" s="130"/>
      <c r="AW96" s="130"/>
      <c r="AX96" s="130"/>
      <c r="AY96" s="130"/>
      <c r="AZ96" s="130"/>
      <c r="BA96" s="130"/>
      <c r="BB96" s="130"/>
      <c r="BC96" s="130"/>
      <c r="BD96" s="130"/>
    </row>
    <row r="97" ht="15.75" customHeight="1">
      <c r="A97" s="142"/>
      <c r="B97" s="142"/>
      <c r="C97" s="198"/>
      <c r="D97" s="142"/>
      <c r="E97" s="131"/>
      <c r="F97" s="142"/>
      <c r="G97" s="142"/>
      <c r="H97" s="131"/>
      <c r="I97" s="142"/>
      <c r="J97" s="142"/>
      <c r="K97" s="132"/>
      <c r="L97" s="131"/>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30"/>
      <c r="AQ97" s="130"/>
      <c r="AR97" s="130"/>
      <c r="AS97" s="130"/>
      <c r="AT97" s="130"/>
      <c r="AU97" s="130"/>
      <c r="AV97" s="130"/>
      <c r="AW97" s="130"/>
      <c r="AX97" s="130"/>
      <c r="AY97" s="130"/>
      <c r="AZ97" s="130"/>
      <c r="BA97" s="130"/>
      <c r="BB97" s="130"/>
      <c r="BC97" s="130"/>
      <c r="BD97" s="130"/>
    </row>
    <row r="98" ht="15.75" customHeight="1">
      <c r="A98" s="142"/>
      <c r="B98" s="142"/>
      <c r="C98" s="198"/>
      <c r="D98" s="142"/>
      <c r="E98" s="131"/>
      <c r="F98" s="142"/>
      <c r="G98" s="142"/>
      <c r="H98" s="131"/>
      <c r="I98" s="142"/>
      <c r="J98" s="142"/>
      <c r="K98" s="132"/>
      <c r="L98" s="131"/>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30"/>
      <c r="AQ98" s="130"/>
      <c r="AR98" s="130"/>
      <c r="AS98" s="130"/>
      <c r="AT98" s="130"/>
      <c r="AU98" s="130"/>
      <c r="AV98" s="130"/>
      <c r="AW98" s="130"/>
      <c r="AX98" s="130"/>
      <c r="AY98" s="130"/>
      <c r="AZ98" s="130"/>
      <c r="BA98" s="130"/>
      <c r="BB98" s="130"/>
      <c r="BC98" s="130"/>
      <c r="BD98" s="130"/>
    </row>
    <row r="99" ht="15.75" customHeight="1">
      <c r="A99" s="142"/>
      <c r="B99" s="142"/>
      <c r="C99" s="198"/>
      <c r="D99" s="142"/>
      <c r="E99" s="131"/>
      <c r="F99" s="142"/>
      <c r="G99" s="142"/>
      <c r="H99" s="131"/>
      <c r="I99" s="142"/>
      <c r="J99" s="142"/>
      <c r="K99" s="132"/>
      <c r="L99" s="131"/>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2"/>
      <c r="AK99" s="142"/>
      <c r="AL99" s="142"/>
      <c r="AM99" s="142"/>
      <c r="AN99" s="142"/>
      <c r="AO99" s="142"/>
      <c r="AP99" s="130"/>
      <c r="AQ99" s="130"/>
      <c r="AR99" s="130"/>
      <c r="AS99" s="130"/>
      <c r="AT99" s="130"/>
      <c r="AU99" s="130"/>
      <c r="AV99" s="130"/>
      <c r="AW99" s="130"/>
      <c r="AX99" s="130"/>
      <c r="AY99" s="130"/>
      <c r="AZ99" s="130"/>
      <c r="BA99" s="130"/>
      <c r="BB99" s="130"/>
      <c r="BC99" s="130"/>
      <c r="BD99" s="130"/>
    </row>
    <row r="100" ht="15.75" customHeight="1">
      <c r="A100" s="142"/>
      <c r="B100" s="142"/>
      <c r="C100" s="198"/>
      <c r="D100" s="142"/>
      <c r="E100" s="131"/>
      <c r="F100" s="142"/>
      <c r="G100" s="142"/>
      <c r="H100" s="131"/>
      <c r="I100" s="142"/>
      <c r="J100" s="142"/>
      <c r="K100" s="132"/>
      <c r="L100" s="131"/>
      <c r="M100" s="142"/>
      <c r="N100" s="142"/>
      <c r="O100" s="142"/>
      <c r="P100" s="142"/>
      <c r="Q100" s="142"/>
      <c r="R100" s="142"/>
      <c r="S100" s="142"/>
      <c r="T100" s="142"/>
      <c r="U100" s="142"/>
      <c r="V100" s="142"/>
      <c r="W100" s="142"/>
      <c r="X100" s="142"/>
      <c r="Y100" s="142"/>
      <c r="Z100" s="142"/>
      <c r="AA100" s="142"/>
      <c r="AB100" s="142"/>
      <c r="AC100" s="142"/>
      <c r="AD100" s="142"/>
      <c r="AE100" s="142"/>
      <c r="AF100" s="142"/>
      <c r="AG100" s="142"/>
      <c r="AH100" s="142"/>
      <c r="AI100" s="142"/>
      <c r="AJ100" s="142"/>
      <c r="AK100" s="142"/>
      <c r="AL100" s="142"/>
      <c r="AM100" s="142"/>
      <c r="AN100" s="142"/>
      <c r="AO100" s="142"/>
      <c r="AP100" s="130"/>
      <c r="AQ100" s="130"/>
      <c r="AR100" s="130"/>
      <c r="AS100" s="130"/>
      <c r="AT100" s="130"/>
      <c r="AU100" s="130"/>
      <c r="AV100" s="130"/>
      <c r="AW100" s="130"/>
      <c r="AX100" s="130"/>
      <c r="AY100" s="130"/>
      <c r="AZ100" s="130"/>
      <c r="BA100" s="130"/>
      <c r="BB100" s="130"/>
      <c r="BC100" s="130"/>
      <c r="BD100" s="130"/>
    </row>
    <row r="101" ht="15.75" customHeight="1">
      <c r="A101" s="142"/>
      <c r="B101" s="142"/>
      <c r="C101" s="198"/>
      <c r="D101" s="142"/>
      <c r="E101" s="131"/>
      <c r="F101" s="142"/>
      <c r="G101" s="142"/>
      <c r="H101" s="131"/>
      <c r="I101" s="142"/>
      <c r="J101" s="142"/>
      <c r="K101" s="132"/>
      <c r="L101" s="131"/>
      <c r="M101" s="142"/>
      <c r="N101" s="142"/>
      <c r="O101" s="142"/>
      <c r="P101" s="142"/>
      <c r="Q101" s="142"/>
      <c r="R101" s="142"/>
      <c r="S101" s="142"/>
      <c r="T101" s="142"/>
      <c r="U101" s="142"/>
      <c r="V101" s="142"/>
      <c r="W101" s="142"/>
      <c r="X101" s="142"/>
      <c r="Y101" s="142"/>
      <c r="Z101" s="142"/>
      <c r="AA101" s="142"/>
      <c r="AB101" s="142"/>
      <c r="AC101" s="142"/>
      <c r="AD101" s="142"/>
      <c r="AE101" s="142"/>
      <c r="AF101" s="142"/>
      <c r="AG101" s="142"/>
      <c r="AH101" s="142"/>
      <c r="AI101" s="142"/>
      <c r="AJ101" s="142"/>
      <c r="AK101" s="142"/>
      <c r="AL101" s="142"/>
      <c r="AM101" s="142"/>
      <c r="AN101" s="142"/>
      <c r="AO101" s="142"/>
      <c r="AP101" s="130"/>
      <c r="AQ101" s="130"/>
      <c r="AR101" s="130"/>
      <c r="AS101" s="130"/>
      <c r="AT101" s="130"/>
      <c r="AU101" s="130"/>
      <c r="AV101" s="130"/>
      <c r="AW101" s="130"/>
      <c r="AX101" s="130"/>
      <c r="AY101" s="130"/>
      <c r="AZ101" s="130"/>
      <c r="BA101" s="130"/>
      <c r="BB101" s="130"/>
      <c r="BC101" s="130"/>
      <c r="BD101" s="130"/>
    </row>
    <row r="102" ht="15.75" customHeight="1">
      <c r="A102" s="142"/>
      <c r="B102" s="142"/>
      <c r="C102" s="198"/>
      <c r="D102" s="142"/>
      <c r="E102" s="131"/>
      <c r="F102" s="142"/>
      <c r="G102" s="142"/>
      <c r="H102" s="131"/>
      <c r="I102" s="142"/>
      <c r="J102" s="142"/>
      <c r="K102" s="132"/>
      <c r="L102" s="131"/>
      <c r="M102" s="142"/>
      <c r="N102" s="142"/>
      <c r="O102" s="142"/>
      <c r="P102" s="142"/>
      <c r="Q102" s="142"/>
      <c r="R102" s="142"/>
      <c r="S102" s="142"/>
      <c r="T102" s="142"/>
      <c r="U102" s="142"/>
      <c r="V102" s="142"/>
      <c r="W102" s="142"/>
      <c r="X102" s="142"/>
      <c r="Y102" s="142"/>
      <c r="Z102" s="142"/>
      <c r="AA102" s="142"/>
      <c r="AB102" s="142"/>
      <c r="AC102" s="142"/>
      <c r="AD102" s="142"/>
      <c r="AE102" s="142"/>
      <c r="AF102" s="142"/>
      <c r="AG102" s="142"/>
      <c r="AH102" s="142"/>
      <c r="AI102" s="142"/>
      <c r="AJ102" s="142"/>
      <c r="AK102" s="142"/>
      <c r="AL102" s="142"/>
      <c r="AM102" s="142"/>
      <c r="AN102" s="142"/>
      <c r="AO102" s="142"/>
      <c r="AP102" s="130"/>
      <c r="AQ102" s="130"/>
      <c r="AR102" s="130"/>
      <c r="AS102" s="130"/>
      <c r="AT102" s="130"/>
      <c r="AU102" s="130"/>
      <c r="AV102" s="130"/>
      <c r="AW102" s="130"/>
      <c r="AX102" s="130"/>
      <c r="AY102" s="130"/>
      <c r="AZ102" s="130"/>
      <c r="BA102" s="130"/>
      <c r="BB102" s="130"/>
      <c r="BC102" s="130"/>
      <c r="BD102" s="130"/>
    </row>
    <row r="103" ht="15.75" customHeight="1">
      <c r="A103" s="142"/>
      <c r="B103" s="142"/>
      <c r="C103" s="198"/>
      <c r="D103" s="142"/>
      <c r="E103" s="131"/>
      <c r="F103" s="142"/>
      <c r="G103" s="142"/>
      <c r="H103" s="131"/>
      <c r="I103" s="142"/>
      <c r="J103" s="142"/>
      <c r="K103" s="132"/>
      <c r="L103" s="131"/>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30"/>
      <c r="AQ103" s="130"/>
      <c r="AR103" s="130"/>
      <c r="AS103" s="130"/>
      <c r="AT103" s="130"/>
      <c r="AU103" s="130"/>
      <c r="AV103" s="130"/>
      <c r="AW103" s="130"/>
      <c r="AX103" s="130"/>
      <c r="AY103" s="130"/>
      <c r="AZ103" s="130"/>
      <c r="BA103" s="130"/>
      <c r="BB103" s="130"/>
      <c r="BC103" s="130"/>
      <c r="BD103" s="130"/>
    </row>
    <row r="104" ht="15.75" customHeight="1">
      <c r="A104" s="142"/>
      <c r="B104" s="142"/>
      <c r="C104" s="198"/>
      <c r="D104" s="142"/>
      <c r="E104" s="131"/>
      <c r="F104" s="142"/>
      <c r="G104" s="142"/>
      <c r="H104" s="131"/>
      <c r="I104" s="142"/>
      <c r="J104" s="142"/>
      <c r="K104" s="132"/>
      <c r="L104" s="131"/>
      <c r="M104" s="142"/>
      <c r="N104" s="142"/>
      <c r="O104" s="142"/>
      <c r="P104" s="142"/>
      <c r="Q104" s="142"/>
      <c r="R104" s="142"/>
      <c r="S104" s="142"/>
      <c r="T104" s="142"/>
      <c r="U104" s="142"/>
      <c r="V104" s="142"/>
      <c r="W104" s="142"/>
      <c r="X104" s="142"/>
      <c r="Y104" s="142"/>
      <c r="Z104" s="142"/>
      <c r="AA104" s="142"/>
      <c r="AB104" s="142"/>
      <c r="AC104" s="142"/>
      <c r="AD104" s="142"/>
      <c r="AE104" s="142"/>
      <c r="AF104" s="142"/>
      <c r="AG104" s="142"/>
      <c r="AH104" s="142"/>
      <c r="AI104" s="142"/>
      <c r="AJ104" s="142"/>
      <c r="AK104" s="142"/>
      <c r="AL104" s="142"/>
      <c r="AM104" s="142"/>
      <c r="AN104" s="142"/>
      <c r="AO104" s="142"/>
      <c r="AP104" s="130"/>
      <c r="AQ104" s="130"/>
      <c r="AR104" s="130"/>
      <c r="AS104" s="130"/>
      <c r="AT104" s="130"/>
      <c r="AU104" s="130"/>
      <c r="AV104" s="130"/>
      <c r="AW104" s="130"/>
      <c r="AX104" s="130"/>
      <c r="AY104" s="130"/>
      <c r="AZ104" s="130"/>
      <c r="BA104" s="130"/>
      <c r="BB104" s="130"/>
      <c r="BC104" s="130"/>
      <c r="BD104" s="130"/>
    </row>
    <row r="105" ht="15.75" customHeight="1">
      <c r="A105" s="142"/>
      <c r="B105" s="142"/>
      <c r="C105" s="198"/>
      <c r="D105" s="142"/>
      <c r="E105" s="131"/>
      <c r="F105" s="142"/>
      <c r="G105" s="142"/>
      <c r="H105" s="131"/>
      <c r="I105" s="142"/>
      <c r="J105" s="142"/>
      <c r="K105" s="132"/>
      <c r="L105" s="131"/>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30"/>
      <c r="AQ105" s="130"/>
      <c r="AR105" s="130"/>
      <c r="AS105" s="130"/>
      <c r="AT105" s="130"/>
      <c r="AU105" s="130"/>
      <c r="AV105" s="130"/>
      <c r="AW105" s="130"/>
      <c r="AX105" s="130"/>
      <c r="AY105" s="130"/>
      <c r="AZ105" s="130"/>
      <c r="BA105" s="130"/>
      <c r="BB105" s="130"/>
      <c r="BC105" s="130"/>
      <c r="BD105" s="130"/>
    </row>
    <row r="106" ht="15.75" customHeight="1">
      <c r="A106" s="142"/>
      <c r="B106" s="142"/>
      <c r="C106" s="198"/>
      <c r="D106" s="142"/>
      <c r="E106" s="131"/>
      <c r="F106" s="142"/>
      <c r="G106" s="142"/>
      <c r="H106" s="131"/>
      <c r="I106" s="142"/>
      <c r="J106" s="142"/>
      <c r="K106" s="132"/>
      <c r="L106" s="131"/>
      <c r="M106" s="142"/>
      <c r="N106" s="142"/>
      <c r="O106" s="142"/>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2"/>
      <c r="AK106" s="142"/>
      <c r="AL106" s="142"/>
      <c r="AM106" s="142"/>
      <c r="AN106" s="142"/>
      <c r="AO106" s="142"/>
      <c r="AP106" s="130"/>
      <c r="AQ106" s="130"/>
      <c r="AR106" s="130"/>
      <c r="AS106" s="130"/>
      <c r="AT106" s="130"/>
      <c r="AU106" s="130"/>
      <c r="AV106" s="130"/>
      <c r="AW106" s="130"/>
      <c r="AX106" s="130"/>
      <c r="AY106" s="130"/>
      <c r="AZ106" s="130"/>
      <c r="BA106" s="130"/>
      <c r="BB106" s="130"/>
      <c r="BC106" s="130"/>
      <c r="BD106" s="130"/>
    </row>
    <row r="107" ht="15.75" customHeight="1">
      <c r="A107" s="142"/>
      <c r="B107" s="142"/>
      <c r="C107" s="198"/>
      <c r="D107" s="142"/>
      <c r="E107" s="131"/>
      <c r="F107" s="142"/>
      <c r="G107" s="142"/>
      <c r="H107" s="131"/>
      <c r="I107" s="142"/>
      <c r="J107" s="142"/>
      <c r="K107" s="132"/>
      <c r="L107" s="131"/>
      <c r="M107" s="142"/>
      <c r="N107" s="142"/>
      <c r="O107" s="142"/>
      <c r="P107" s="142"/>
      <c r="Q107" s="142"/>
      <c r="R107" s="142"/>
      <c r="S107" s="142"/>
      <c r="T107" s="142"/>
      <c r="U107" s="142"/>
      <c r="V107" s="142"/>
      <c r="W107" s="142"/>
      <c r="X107" s="142"/>
      <c r="Y107" s="142"/>
      <c r="Z107" s="142"/>
      <c r="AA107" s="142"/>
      <c r="AB107" s="142"/>
      <c r="AC107" s="142"/>
      <c r="AD107" s="142"/>
      <c r="AE107" s="142"/>
      <c r="AF107" s="142"/>
      <c r="AG107" s="142"/>
      <c r="AH107" s="142"/>
      <c r="AI107" s="142"/>
      <c r="AJ107" s="142"/>
      <c r="AK107" s="142"/>
      <c r="AL107" s="142"/>
      <c r="AM107" s="142"/>
      <c r="AN107" s="142"/>
      <c r="AO107" s="142"/>
      <c r="AP107" s="130"/>
      <c r="AQ107" s="130"/>
      <c r="AR107" s="130"/>
      <c r="AS107" s="130"/>
      <c r="AT107" s="130"/>
      <c r="AU107" s="130"/>
      <c r="AV107" s="130"/>
      <c r="AW107" s="130"/>
      <c r="AX107" s="130"/>
      <c r="AY107" s="130"/>
      <c r="AZ107" s="130"/>
      <c r="BA107" s="130"/>
      <c r="BB107" s="130"/>
      <c r="BC107" s="130"/>
      <c r="BD107" s="130"/>
    </row>
    <row r="108" ht="15.75" customHeight="1">
      <c r="A108" s="142"/>
      <c r="B108" s="142"/>
      <c r="C108" s="198"/>
      <c r="D108" s="142"/>
      <c r="E108" s="131"/>
      <c r="F108" s="142"/>
      <c r="G108" s="142"/>
      <c r="H108" s="131"/>
      <c r="I108" s="142"/>
      <c r="J108" s="142"/>
      <c r="K108" s="132"/>
      <c r="L108" s="131"/>
      <c r="M108" s="142"/>
      <c r="N108" s="142"/>
      <c r="O108" s="142"/>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30"/>
      <c r="AQ108" s="130"/>
      <c r="AR108" s="130"/>
      <c r="AS108" s="130"/>
      <c r="AT108" s="130"/>
      <c r="AU108" s="130"/>
      <c r="AV108" s="130"/>
      <c r="AW108" s="130"/>
      <c r="AX108" s="130"/>
      <c r="AY108" s="130"/>
      <c r="AZ108" s="130"/>
      <c r="BA108" s="130"/>
      <c r="BB108" s="130"/>
      <c r="BC108" s="130"/>
      <c r="BD108" s="130"/>
    </row>
    <row r="109" ht="15.75" customHeight="1">
      <c r="A109" s="142"/>
      <c r="B109" s="142"/>
      <c r="C109" s="198"/>
      <c r="D109" s="142"/>
      <c r="E109" s="131"/>
      <c r="F109" s="142"/>
      <c r="G109" s="142"/>
      <c r="H109" s="131"/>
      <c r="I109" s="142"/>
      <c r="J109" s="142"/>
      <c r="K109" s="132"/>
      <c r="L109" s="131"/>
      <c r="M109" s="142"/>
      <c r="N109" s="142"/>
      <c r="O109" s="142"/>
      <c r="P109" s="142"/>
      <c r="Q109" s="142"/>
      <c r="R109" s="142"/>
      <c r="S109" s="142"/>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30"/>
      <c r="AQ109" s="130"/>
      <c r="AR109" s="130"/>
      <c r="AS109" s="130"/>
      <c r="AT109" s="130"/>
      <c r="AU109" s="130"/>
      <c r="AV109" s="130"/>
      <c r="AW109" s="130"/>
      <c r="AX109" s="130"/>
      <c r="AY109" s="130"/>
      <c r="AZ109" s="130"/>
      <c r="BA109" s="130"/>
      <c r="BB109" s="130"/>
      <c r="BC109" s="130"/>
      <c r="BD109" s="130"/>
    </row>
    <row r="110" ht="15.75" customHeight="1">
      <c r="A110" s="142"/>
      <c r="B110" s="142"/>
      <c r="C110" s="198"/>
      <c r="D110" s="142"/>
      <c r="E110" s="131"/>
      <c r="F110" s="142"/>
      <c r="G110" s="142"/>
      <c r="H110" s="131"/>
      <c r="I110" s="142"/>
      <c r="J110" s="142"/>
      <c r="K110" s="132"/>
      <c r="L110" s="131"/>
      <c r="M110" s="142"/>
      <c r="N110" s="142"/>
      <c r="O110" s="142"/>
      <c r="P110" s="142"/>
      <c r="Q110" s="142"/>
      <c r="R110" s="142"/>
      <c r="S110" s="142"/>
      <c r="T110" s="142"/>
      <c r="U110" s="142"/>
      <c r="V110" s="142"/>
      <c r="W110" s="142"/>
      <c r="X110" s="142"/>
      <c r="Y110" s="142"/>
      <c r="Z110" s="142"/>
      <c r="AA110" s="142"/>
      <c r="AB110" s="142"/>
      <c r="AC110" s="142"/>
      <c r="AD110" s="142"/>
      <c r="AE110" s="142"/>
      <c r="AF110" s="142"/>
      <c r="AG110" s="142"/>
      <c r="AH110" s="142"/>
      <c r="AI110" s="142"/>
      <c r="AJ110" s="142"/>
      <c r="AK110" s="142"/>
      <c r="AL110" s="142"/>
      <c r="AM110" s="142"/>
      <c r="AN110" s="142"/>
      <c r="AO110" s="142"/>
      <c r="AP110" s="130"/>
      <c r="AQ110" s="130"/>
      <c r="AR110" s="130"/>
      <c r="AS110" s="130"/>
      <c r="AT110" s="130"/>
      <c r="AU110" s="130"/>
      <c r="AV110" s="130"/>
      <c r="AW110" s="130"/>
      <c r="AX110" s="130"/>
      <c r="AY110" s="130"/>
      <c r="AZ110" s="130"/>
      <c r="BA110" s="130"/>
      <c r="BB110" s="130"/>
      <c r="BC110" s="130"/>
      <c r="BD110" s="130"/>
    </row>
    <row r="111" ht="15.75" customHeight="1">
      <c r="A111" s="142"/>
      <c r="B111" s="142"/>
      <c r="C111" s="198"/>
      <c r="D111" s="142"/>
      <c r="E111" s="131"/>
      <c r="F111" s="142"/>
      <c r="G111" s="142"/>
      <c r="H111" s="131"/>
      <c r="I111" s="142"/>
      <c r="J111" s="142"/>
      <c r="K111" s="132"/>
      <c r="L111" s="131"/>
      <c r="M111" s="142"/>
      <c r="N111" s="142"/>
      <c r="O111" s="142"/>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2"/>
      <c r="AK111" s="142"/>
      <c r="AL111" s="142"/>
      <c r="AM111" s="142"/>
      <c r="AN111" s="142"/>
      <c r="AO111" s="142"/>
      <c r="AP111" s="130"/>
      <c r="AQ111" s="130"/>
      <c r="AR111" s="130"/>
      <c r="AS111" s="130"/>
      <c r="AT111" s="130"/>
      <c r="AU111" s="130"/>
      <c r="AV111" s="130"/>
      <c r="AW111" s="130"/>
      <c r="AX111" s="130"/>
      <c r="AY111" s="130"/>
      <c r="AZ111" s="130"/>
      <c r="BA111" s="130"/>
      <c r="BB111" s="130"/>
      <c r="BC111" s="130"/>
      <c r="BD111" s="130"/>
    </row>
    <row r="112" ht="15.75" customHeight="1">
      <c r="A112" s="142"/>
      <c r="B112" s="142"/>
      <c r="C112" s="198"/>
      <c r="D112" s="142"/>
      <c r="E112" s="131"/>
      <c r="F112" s="142"/>
      <c r="G112" s="142"/>
      <c r="H112" s="131"/>
      <c r="I112" s="142"/>
      <c r="J112" s="142"/>
      <c r="K112" s="132"/>
      <c r="L112" s="131"/>
      <c r="M112" s="142"/>
      <c r="N112" s="142"/>
      <c r="O112" s="142"/>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30"/>
      <c r="AQ112" s="130"/>
      <c r="AR112" s="130"/>
      <c r="AS112" s="130"/>
      <c r="AT112" s="130"/>
      <c r="AU112" s="130"/>
      <c r="AV112" s="130"/>
      <c r="AW112" s="130"/>
      <c r="AX112" s="130"/>
      <c r="AY112" s="130"/>
      <c r="AZ112" s="130"/>
      <c r="BA112" s="130"/>
      <c r="BB112" s="130"/>
      <c r="BC112" s="130"/>
      <c r="BD112" s="130"/>
    </row>
    <row r="113" ht="15.75" customHeight="1">
      <c r="A113" s="142"/>
      <c r="B113" s="142"/>
      <c r="C113" s="198"/>
      <c r="D113" s="142"/>
      <c r="E113" s="131"/>
      <c r="F113" s="142"/>
      <c r="G113" s="142"/>
      <c r="H113" s="131"/>
      <c r="I113" s="142"/>
      <c r="J113" s="142"/>
      <c r="K113" s="132"/>
      <c r="L113" s="131"/>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30"/>
      <c r="AQ113" s="130"/>
      <c r="AR113" s="130"/>
      <c r="AS113" s="130"/>
      <c r="AT113" s="130"/>
      <c r="AU113" s="130"/>
      <c r="AV113" s="130"/>
      <c r="AW113" s="130"/>
      <c r="AX113" s="130"/>
      <c r="AY113" s="130"/>
      <c r="AZ113" s="130"/>
      <c r="BA113" s="130"/>
      <c r="BB113" s="130"/>
      <c r="BC113" s="130"/>
      <c r="BD113" s="130"/>
    </row>
    <row r="114" ht="15.75" customHeight="1">
      <c r="A114" s="142"/>
      <c r="B114" s="142"/>
      <c r="C114" s="198"/>
      <c r="D114" s="142"/>
      <c r="E114" s="131"/>
      <c r="F114" s="142"/>
      <c r="G114" s="142"/>
      <c r="H114" s="131"/>
      <c r="I114" s="142"/>
      <c r="J114" s="142"/>
      <c r="K114" s="132"/>
      <c r="L114" s="131"/>
      <c r="M114" s="142"/>
      <c r="N114" s="142"/>
      <c r="O114" s="142"/>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2"/>
      <c r="AL114" s="142"/>
      <c r="AM114" s="142"/>
      <c r="AN114" s="142"/>
      <c r="AO114" s="142"/>
      <c r="AP114" s="130"/>
      <c r="AQ114" s="130"/>
      <c r="AR114" s="130"/>
      <c r="AS114" s="130"/>
      <c r="AT114" s="130"/>
      <c r="AU114" s="130"/>
      <c r="AV114" s="130"/>
      <c r="AW114" s="130"/>
      <c r="AX114" s="130"/>
      <c r="AY114" s="130"/>
      <c r="AZ114" s="130"/>
      <c r="BA114" s="130"/>
      <c r="BB114" s="130"/>
      <c r="BC114" s="130"/>
      <c r="BD114" s="130"/>
    </row>
    <row r="115" ht="15.75" customHeight="1">
      <c r="A115" s="142"/>
      <c r="B115" s="142"/>
      <c r="C115" s="198"/>
      <c r="D115" s="142"/>
      <c r="E115" s="131"/>
      <c r="F115" s="142"/>
      <c r="G115" s="142"/>
      <c r="H115" s="131"/>
      <c r="I115" s="142"/>
      <c r="J115" s="142"/>
      <c r="K115" s="132"/>
      <c r="L115" s="131"/>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30"/>
      <c r="AQ115" s="130"/>
      <c r="AR115" s="130"/>
      <c r="AS115" s="130"/>
      <c r="AT115" s="130"/>
      <c r="AU115" s="130"/>
      <c r="AV115" s="130"/>
      <c r="AW115" s="130"/>
      <c r="AX115" s="130"/>
      <c r="AY115" s="130"/>
      <c r="AZ115" s="130"/>
      <c r="BA115" s="130"/>
      <c r="BB115" s="130"/>
      <c r="BC115" s="130"/>
      <c r="BD115" s="130"/>
    </row>
    <row r="116" ht="15.75" customHeight="1">
      <c r="A116" s="142"/>
      <c r="B116" s="142"/>
      <c r="C116" s="198"/>
      <c r="D116" s="142"/>
      <c r="E116" s="131"/>
      <c r="F116" s="142"/>
      <c r="G116" s="142"/>
      <c r="H116" s="131"/>
      <c r="I116" s="142"/>
      <c r="J116" s="142"/>
      <c r="K116" s="132"/>
      <c r="L116" s="131"/>
      <c r="M116" s="142"/>
      <c r="N116" s="142"/>
      <c r="O116" s="142"/>
      <c r="P116" s="142"/>
      <c r="Q116" s="142"/>
      <c r="R116" s="142"/>
      <c r="S116" s="142"/>
      <c r="T116" s="142"/>
      <c r="U116" s="142"/>
      <c r="V116" s="142"/>
      <c r="W116" s="142"/>
      <c r="X116" s="142"/>
      <c r="Y116" s="142"/>
      <c r="Z116" s="142"/>
      <c r="AA116" s="142"/>
      <c r="AB116" s="142"/>
      <c r="AC116" s="142"/>
      <c r="AD116" s="142"/>
      <c r="AE116" s="142"/>
      <c r="AF116" s="142"/>
      <c r="AG116" s="142"/>
      <c r="AH116" s="142"/>
      <c r="AI116" s="142"/>
      <c r="AJ116" s="142"/>
      <c r="AK116" s="142"/>
      <c r="AL116" s="142"/>
      <c r="AM116" s="142"/>
      <c r="AN116" s="142"/>
      <c r="AO116" s="142"/>
      <c r="AP116" s="130"/>
      <c r="AQ116" s="130"/>
      <c r="AR116" s="130"/>
      <c r="AS116" s="130"/>
      <c r="AT116" s="130"/>
      <c r="AU116" s="130"/>
      <c r="AV116" s="130"/>
      <c r="AW116" s="130"/>
      <c r="AX116" s="130"/>
      <c r="AY116" s="130"/>
      <c r="AZ116" s="130"/>
      <c r="BA116" s="130"/>
      <c r="BB116" s="130"/>
      <c r="BC116" s="130"/>
      <c r="BD116" s="130"/>
    </row>
    <row r="117" ht="15.75" customHeight="1">
      <c r="A117" s="142"/>
      <c r="B117" s="142"/>
      <c r="C117" s="198"/>
      <c r="D117" s="142"/>
      <c r="E117" s="131"/>
      <c r="F117" s="142"/>
      <c r="G117" s="142"/>
      <c r="H117" s="131"/>
      <c r="I117" s="142"/>
      <c r="J117" s="142"/>
      <c r="K117" s="132"/>
      <c r="L117" s="131"/>
      <c r="M117" s="142"/>
      <c r="N117" s="142"/>
      <c r="O117" s="142"/>
      <c r="P117" s="142"/>
      <c r="Q117" s="142"/>
      <c r="R117" s="142"/>
      <c r="S117" s="142"/>
      <c r="T117" s="142"/>
      <c r="U117" s="142"/>
      <c r="V117" s="142"/>
      <c r="W117" s="142"/>
      <c r="X117" s="142"/>
      <c r="Y117" s="142"/>
      <c r="Z117" s="142"/>
      <c r="AA117" s="142"/>
      <c r="AB117" s="142"/>
      <c r="AC117" s="142"/>
      <c r="AD117" s="142"/>
      <c r="AE117" s="142"/>
      <c r="AF117" s="142"/>
      <c r="AG117" s="142"/>
      <c r="AH117" s="142"/>
      <c r="AI117" s="142"/>
      <c r="AJ117" s="142"/>
      <c r="AK117" s="142"/>
      <c r="AL117" s="142"/>
      <c r="AM117" s="142"/>
      <c r="AN117" s="142"/>
      <c r="AO117" s="142"/>
      <c r="AP117" s="130"/>
      <c r="AQ117" s="130"/>
      <c r="AR117" s="130"/>
      <c r="AS117" s="130"/>
      <c r="AT117" s="130"/>
      <c r="AU117" s="130"/>
      <c r="AV117" s="130"/>
      <c r="AW117" s="130"/>
      <c r="AX117" s="130"/>
      <c r="AY117" s="130"/>
      <c r="AZ117" s="130"/>
      <c r="BA117" s="130"/>
      <c r="BB117" s="130"/>
      <c r="BC117" s="130"/>
      <c r="BD117" s="130"/>
    </row>
    <row r="118" ht="15.75" customHeight="1">
      <c r="A118" s="142"/>
      <c r="B118" s="142"/>
      <c r="C118" s="198"/>
      <c r="D118" s="142"/>
      <c r="E118" s="131"/>
      <c r="F118" s="142"/>
      <c r="G118" s="142"/>
      <c r="H118" s="131"/>
      <c r="I118" s="142"/>
      <c r="J118" s="142"/>
      <c r="K118" s="132"/>
      <c r="L118" s="131"/>
      <c r="M118" s="142"/>
      <c r="N118" s="142"/>
      <c r="O118" s="142"/>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30"/>
      <c r="AQ118" s="130"/>
      <c r="AR118" s="130"/>
      <c r="AS118" s="130"/>
      <c r="AT118" s="130"/>
      <c r="AU118" s="130"/>
      <c r="AV118" s="130"/>
      <c r="AW118" s="130"/>
      <c r="AX118" s="130"/>
      <c r="AY118" s="130"/>
      <c r="AZ118" s="130"/>
      <c r="BA118" s="130"/>
      <c r="BB118" s="130"/>
      <c r="BC118" s="130"/>
      <c r="BD118" s="130"/>
    </row>
    <row r="119" ht="15.75" customHeight="1">
      <c r="A119" s="142"/>
      <c r="B119" s="142"/>
      <c r="C119" s="198"/>
      <c r="D119" s="142"/>
      <c r="E119" s="131"/>
      <c r="F119" s="142"/>
      <c r="G119" s="142"/>
      <c r="H119" s="131"/>
      <c r="I119" s="142"/>
      <c r="J119" s="142"/>
      <c r="K119" s="132"/>
      <c r="L119" s="131"/>
      <c r="M119" s="142"/>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30"/>
      <c r="AQ119" s="130"/>
      <c r="AR119" s="130"/>
      <c r="AS119" s="130"/>
      <c r="AT119" s="130"/>
      <c r="AU119" s="130"/>
      <c r="AV119" s="130"/>
      <c r="AW119" s="130"/>
      <c r="AX119" s="130"/>
      <c r="AY119" s="130"/>
      <c r="AZ119" s="130"/>
      <c r="BA119" s="130"/>
      <c r="BB119" s="130"/>
      <c r="BC119" s="130"/>
      <c r="BD119" s="130"/>
    </row>
    <row r="120" ht="15.75" customHeight="1">
      <c r="A120" s="142"/>
      <c r="B120" s="142"/>
      <c r="C120" s="198"/>
      <c r="D120" s="142"/>
      <c r="E120" s="131"/>
      <c r="F120" s="142"/>
      <c r="G120" s="142"/>
      <c r="H120" s="131"/>
      <c r="I120" s="142"/>
      <c r="J120" s="142"/>
      <c r="K120" s="132"/>
      <c r="L120" s="131"/>
      <c r="M120" s="142"/>
      <c r="N120" s="142"/>
      <c r="O120" s="142"/>
      <c r="P120" s="142"/>
      <c r="Q120" s="142"/>
      <c r="R120" s="142"/>
      <c r="S120" s="142"/>
      <c r="T120" s="142"/>
      <c r="U120" s="142"/>
      <c r="V120" s="142"/>
      <c r="W120" s="142"/>
      <c r="X120" s="142"/>
      <c r="Y120" s="142"/>
      <c r="Z120" s="142"/>
      <c r="AA120" s="142"/>
      <c r="AB120" s="142"/>
      <c r="AC120" s="142"/>
      <c r="AD120" s="142"/>
      <c r="AE120" s="142"/>
      <c r="AF120" s="142"/>
      <c r="AG120" s="142"/>
      <c r="AH120" s="142"/>
      <c r="AI120" s="142"/>
      <c r="AJ120" s="142"/>
      <c r="AK120" s="142"/>
      <c r="AL120" s="142"/>
      <c r="AM120" s="142"/>
      <c r="AN120" s="142"/>
      <c r="AO120" s="142"/>
      <c r="AP120" s="130"/>
      <c r="AQ120" s="130"/>
      <c r="AR120" s="130"/>
      <c r="AS120" s="130"/>
      <c r="AT120" s="130"/>
      <c r="AU120" s="130"/>
      <c r="AV120" s="130"/>
      <c r="AW120" s="130"/>
      <c r="AX120" s="130"/>
      <c r="AY120" s="130"/>
      <c r="AZ120" s="130"/>
      <c r="BA120" s="130"/>
      <c r="BB120" s="130"/>
      <c r="BC120" s="130"/>
      <c r="BD120" s="130"/>
    </row>
    <row r="121" ht="15.75" customHeight="1">
      <c r="A121" s="142"/>
      <c r="B121" s="142"/>
      <c r="C121" s="198"/>
      <c r="D121" s="142"/>
      <c r="E121" s="131"/>
      <c r="F121" s="142"/>
      <c r="G121" s="142"/>
      <c r="H121" s="131"/>
      <c r="I121" s="142"/>
      <c r="J121" s="142"/>
      <c r="K121" s="132"/>
      <c r="L121" s="131"/>
      <c r="M121" s="142"/>
      <c r="N121" s="142"/>
      <c r="O121" s="142"/>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2"/>
      <c r="AL121" s="142"/>
      <c r="AM121" s="142"/>
      <c r="AN121" s="142"/>
      <c r="AO121" s="142"/>
      <c r="AP121" s="130"/>
      <c r="AQ121" s="130"/>
      <c r="AR121" s="130"/>
      <c r="AS121" s="130"/>
      <c r="AT121" s="130"/>
      <c r="AU121" s="130"/>
      <c r="AV121" s="130"/>
      <c r="AW121" s="130"/>
      <c r="AX121" s="130"/>
      <c r="AY121" s="130"/>
      <c r="AZ121" s="130"/>
      <c r="BA121" s="130"/>
      <c r="BB121" s="130"/>
      <c r="BC121" s="130"/>
      <c r="BD121" s="130"/>
    </row>
    <row r="122" ht="15.75" customHeight="1">
      <c r="A122" s="142"/>
      <c r="B122" s="142"/>
      <c r="C122" s="198"/>
      <c r="D122" s="142"/>
      <c r="E122" s="131"/>
      <c r="F122" s="142"/>
      <c r="G122" s="142"/>
      <c r="H122" s="131"/>
      <c r="I122" s="142"/>
      <c r="J122" s="142"/>
      <c r="K122" s="132"/>
      <c r="L122" s="131"/>
      <c r="M122" s="142"/>
      <c r="N122" s="142"/>
      <c r="O122" s="142"/>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42"/>
      <c r="AL122" s="142"/>
      <c r="AM122" s="142"/>
      <c r="AN122" s="142"/>
      <c r="AO122" s="142"/>
      <c r="AP122" s="130"/>
      <c r="AQ122" s="130"/>
      <c r="AR122" s="130"/>
      <c r="AS122" s="130"/>
      <c r="AT122" s="130"/>
      <c r="AU122" s="130"/>
      <c r="AV122" s="130"/>
      <c r="AW122" s="130"/>
      <c r="AX122" s="130"/>
      <c r="AY122" s="130"/>
      <c r="AZ122" s="130"/>
      <c r="BA122" s="130"/>
      <c r="BB122" s="130"/>
      <c r="BC122" s="130"/>
      <c r="BD122" s="130"/>
    </row>
    <row r="123" ht="15.75" customHeight="1">
      <c r="A123" s="142"/>
      <c r="B123" s="142"/>
      <c r="C123" s="198"/>
      <c r="D123" s="142"/>
      <c r="E123" s="131"/>
      <c r="F123" s="142"/>
      <c r="G123" s="142"/>
      <c r="H123" s="131"/>
      <c r="I123" s="142"/>
      <c r="J123" s="142"/>
      <c r="K123" s="132"/>
      <c r="L123" s="131"/>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30"/>
      <c r="AQ123" s="130"/>
      <c r="AR123" s="130"/>
      <c r="AS123" s="130"/>
      <c r="AT123" s="130"/>
      <c r="AU123" s="130"/>
      <c r="AV123" s="130"/>
      <c r="AW123" s="130"/>
      <c r="AX123" s="130"/>
      <c r="AY123" s="130"/>
      <c r="AZ123" s="130"/>
      <c r="BA123" s="130"/>
      <c r="BB123" s="130"/>
      <c r="BC123" s="130"/>
      <c r="BD123" s="130"/>
    </row>
    <row r="124" ht="15.75" customHeight="1">
      <c r="A124" s="142"/>
      <c r="B124" s="142"/>
      <c r="C124" s="198"/>
      <c r="D124" s="142"/>
      <c r="E124" s="131"/>
      <c r="F124" s="142"/>
      <c r="G124" s="142"/>
      <c r="H124" s="131"/>
      <c r="I124" s="142"/>
      <c r="J124" s="142"/>
      <c r="K124" s="132"/>
      <c r="L124" s="131"/>
      <c r="M124" s="142"/>
      <c r="N124" s="142"/>
      <c r="O124" s="142"/>
      <c r="P124" s="142"/>
      <c r="Q124" s="142"/>
      <c r="R124" s="142"/>
      <c r="S124" s="142"/>
      <c r="T124" s="142"/>
      <c r="U124" s="142"/>
      <c r="V124" s="142"/>
      <c r="W124" s="142"/>
      <c r="X124" s="142"/>
      <c r="Y124" s="142"/>
      <c r="Z124" s="142"/>
      <c r="AA124" s="142"/>
      <c r="AB124" s="142"/>
      <c r="AC124" s="142"/>
      <c r="AD124" s="142"/>
      <c r="AE124" s="142"/>
      <c r="AF124" s="142"/>
      <c r="AG124" s="142"/>
      <c r="AH124" s="142"/>
      <c r="AI124" s="142"/>
      <c r="AJ124" s="142"/>
      <c r="AK124" s="142"/>
      <c r="AL124" s="142"/>
      <c r="AM124" s="142"/>
      <c r="AN124" s="142"/>
      <c r="AO124" s="142"/>
      <c r="AP124" s="130"/>
      <c r="AQ124" s="130"/>
      <c r="AR124" s="130"/>
      <c r="AS124" s="130"/>
      <c r="AT124" s="130"/>
      <c r="AU124" s="130"/>
      <c r="AV124" s="130"/>
      <c r="AW124" s="130"/>
      <c r="AX124" s="130"/>
      <c r="AY124" s="130"/>
      <c r="AZ124" s="130"/>
      <c r="BA124" s="130"/>
      <c r="BB124" s="130"/>
      <c r="BC124" s="130"/>
      <c r="BD124" s="130"/>
    </row>
    <row r="125" ht="15.75" customHeight="1">
      <c r="A125" s="142"/>
      <c r="B125" s="142"/>
      <c r="C125" s="198"/>
      <c r="D125" s="142"/>
      <c r="E125" s="131"/>
      <c r="F125" s="142"/>
      <c r="G125" s="142"/>
      <c r="H125" s="131"/>
      <c r="I125" s="142"/>
      <c r="J125" s="142"/>
      <c r="K125" s="132"/>
      <c r="L125" s="131"/>
      <c r="M125" s="142"/>
      <c r="N125" s="142"/>
      <c r="O125" s="142"/>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2"/>
      <c r="AL125" s="142"/>
      <c r="AM125" s="142"/>
      <c r="AN125" s="142"/>
      <c r="AO125" s="142"/>
      <c r="AP125" s="130"/>
      <c r="AQ125" s="130"/>
      <c r="AR125" s="130"/>
      <c r="AS125" s="130"/>
      <c r="AT125" s="130"/>
      <c r="AU125" s="130"/>
      <c r="AV125" s="130"/>
      <c r="AW125" s="130"/>
      <c r="AX125" s="130"/>
      <c r="AY125" s="130"/>
      <c r="AZ125" s="130"/>
      <c r="BA125" s="130"/>
      <c r="BB125" s="130"/>
      <c r="BC125" s="130"/>
      <c r="BD125" s="130"/>
    </row>
    <row r="126" ht="15.75" customHeight="1">
      <c r="A126" s="142"/>
      <c r="B126" s="142"/>
      <c r="C126" s="198"/>
      <c r="D126" s="142"/>
      <c r="E126" s="131"/>
      <c r="F126" s="142"/>
      <c r="G126" s="142"/>
      <c r="H126" s="131"/>
      <c r="I126" s="142"/>
      <c r="J126" s="142"/>
      <c r="K126" s="132"/>
      <c r="L126" s="131"/>
      <c r="M126" s="142"/>
      <c r="N126" s="142"/>
      <c r="O126" s="142"/>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30"/>
      <c r="AQ126" s="130"/>
      <c r="AR126" s="130"/>
      <c r="AS126" s="130"/>
      <c r="AT126" s="130"/>
      <c r="AU126" s="130"/>
      <c r="AV126" s="130"/>
      <c r="AW126" s="130"/>
      <c r="AX126" s="130"/>
      <c r="AY126" s="130"/>
      <c r="AZ126" s="130"/>
      <c r="BA126" s="130"/>
      <c r="BB126" s="130"/>
      <c r="BC126" s="130"/>
      <c r="BD126" s="130"/>
    </row>
    <row r="127" ht="15.75" customHeight="1">
      <c r="A127" s="142"/>
      <c r="B127" s="142"/>
      <c r="C127" s="198"/>
      <c r="D127" s="142"/>
      <c r="E127" s="131"/>
      <c r="F127" s="142"/>
      <c r="G127" s="142"/>
      <c r="H127" s="131"/>
      <c r="I127" s="142"/>
      <c r="J127" s="142"/>
      <c r="K127" s="132"/>
      <c r="L127" s="131"/>
      <c r="M127" s="142"/>
      <c r="N127" s="142"/>
      <c r="O127" s="142"/>
      <c r="P127" s="142"/>
      <c r="Q127" s="142"/>
      <c r="R127" s="142"/>
      <c r="S127" s="142"/>
      <c r="T127" s="142"/>
      <c r="U127" s="142"/>
      <c r="V127" s="142"/>
      <c r="W127" s="142"/>
      <c r="X127" s="142"/>
      <c r="Y127" s="142"/>
      <c r="Z127" s="142"/>
      <c r="AA127" s="142"/>
      <c r="AB127" s="142"/>
      <c r="AC127" s="142"/>
      <c r="AD127" s="142"/>
      <c r="AE127" s="142"/>
      <c r="AF127" s="142"/>
      <c r="AG127" s="142"/>
      <c r="AH127" s="142"/>
      <c r="AI127" s="142"/>
      <c r="AJ127" s="142"/>
      <c r="AK127" s="142"/>
      <c r="AL127" s="142"/>
      <c r="AM127" s="142"/>
      <c r="AN127" s="142"/>
      <c r="AO127" s="142"/>
      <c r="AP127" s="130"/>
      <c r="AQ127" s="130"/>
      <c r="AR127" s="130"/>
      <c r="AS127" s="130"/>
      <c r="AT127" s="130"/>
      <c r="AU127" s="130"/>
      <c r="AV127" s="130"/>
      <c r="AW127" s="130"/>
      <c r="AX127" s="130"/>
      <c r="AY127" s="130"/>
      <c r="AZ127" s="130"/>
      <c r="BA127" s="130"/>
      <c r="BB127" s="130"/>
      <c r="BC127" s="130"/>
      <c r="BD127" s="130"/>
    </row>
    <row r="128" ht="15.75" customHeight="1">
      <c r="A128" s="142"/>
      <c r="B128" s="142"/>
      <c r="C128" s="198"/>
      <c r="D128" s="142"/>
      <c r="E128" s="131"/>
      <c r="F128" s="142"/>
      <c r="G128" s="142"/>
      <c r="H128" s="131"/>
      <c r="I128" s="142"/>
      <c r="J128" s="142"/>
      <c r="K128" s="132"/>
      <c r="L128" s="131"/>
      <c r="M128" s="142"/>
      <c r="N128" s="142"/>
      <c r="O128" s="142"/>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2"/>
      <c r="AP128" s="130"/>
      <c r="AQ128" s="130"/>
      <c r="AR128" s="130"/>
      <c r="AS128" s="130"/>
      <c r="AT128" s="130"/>
      <c r="AU128" s="130"/>
      <c r="AV128" s="130"/>
      <c r="AW128" s="130"/>
      <c r="AX128" s="130"/>
      <c r="AY128" s="130"/>
      <c r="AZ128" s="130"/>
      <c r="BA128" s="130"/>
      <c r="BB128" s="130"/>
      <c r="BC128" s="130"/>
      <c r="BD128" s="130"/>
    </row>
    <row r="129" ht="15.75" customHeight="1">
      <c r="A129" s="142"/>
      <c r="B129" s="142"/>
      <c r="C129" s="198"/>
      <c r="D129" s="142"/>
      <c r="E129" s="131"/>
      <c r="F129" s="142"/>
      <c r="G129" s="142"/>
      <c r="H129" s="131"/>
      <c r="I129" s="142"/>
      <c r="J129" s="142"/>
      <c r="K129" s="132"/>
      <c r="L129" s="131"/>
      <c r="M129" s="142"/>
      <c r="N129" s="142"/>
      <c r="O129" s="142"/>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42"/>
      <c r="AL129" s="142"/>
      <c r="AM129" s="142"/>
      <c r="AN129" s="142"/>
      <c r="AO129" s="142"/>
      <c r="AP129" s="130"/>
      <c r="AQ129" s="130"/>
      <c r="AR129" s="130"/>
      <c r="AS129" s="130"/>
      <c r="AT129" s="130"/>
      <c r="AU129" s="130"/>
      <c r="AV129" s="130"/>
      <c r="AW129" s="130"/>
      <c r="AX129" s="130"/>
      <c r="AY129" s="130"/>
      <c r="AZ129" s="130"/>
      <c r="BA129" s="130"/>
      <c r="BB129" s="130"/>
      <c r="BC129" s="130"/>
      <c r="BD129" s="130"/>
    </row>
    <row r="130" ht="15.75" customHeight="1">
      <c r="A130" s="142"/>
      <c r="B130" s="142"/>
      <c r="C130" s="198"/>
      <c r="D130" s="142"/>
      <c r="E130" s="131"/>
      <c r="F130" s="142"/>
      <c r="G130" s="142"/>
      <c r="H130" s="131"/>
      <c r="I130" s="142"/>
      <c r="J130" s="142"/>
      <c r="K130" s="132"/>
      <c r="L130" s="131"/>
      <c r="M130" s="142"/>
      <c r="N130" s="142"/>
      <c r="O130" s="142"/>
      <c r="P130" s="142"/>
      <c r="Q130" s="142"/>
      <c r="R130" s="142"/>
      <c r="S130" s="142"/>
      <c r="T130" s="142"/>
      <c r="U130" s="142"/>
      <c r="V130" s="142"/>
      <c r="W130" s="142"/>
      <c r="X130" s="142"/>
      <c r="Y130" s="142"/>
      <c r="Z130" s="142"/>
      <c r="AA130" s="142"/>
      <c r="AB130" s="142"/>
      <c r="AC130" s="142"/>
      <c r="AD130" s="142"/>
      <c r="AE130" s="142"/>
      <c r="AF130" s="142"/>
      <c r="AG130" s="142"/>
      <c r="AH130" s="142"/>
      <c r="AI130" s="142"/>
      <c r="AJ130" s="142"/>
      <c r="AK130" s="142"/>
      <c r="AL130" s="142"/>
      <c r="AM130" s="142"/>
      <c r="AN130" s="142"/>
      <c r="AO130" s="142"/>
      <c r="AP130" s="130"/>
      <c r="AQ130" s="130"/>
      <c r="AR130" s="130"/>
      <c r="AS130" s="130"/>
      <c r="AT130" s="130"/>
      <c r="AU130" s="130"/>
      <c r="AV130" s="130"/>
      <c r="AW130" s="130"/>
      <c r="AX130" s="130"/>
      <c r="AY130" s="130"/>
      <c r="AZ130" s="130"/>
      <c r="BA130" s="130"/>
      <c r="BB130" s="130"/>
      <c r="BC130" s="130"/>
      <c r="BD130" s="130"/>
    </row>
    <row r="131" ht="15.75" customHeight="1">
      <c r="A131" s="142"/>
      <c r="B131" s="142"/>
      <c r="C131" s="198"/>
      <c r="D131" s="142"/>
      <c r="E131" s="131"/>
      <c r="F131" s="142"/>
      <c r="G131" s="142"/>
      <c r="H131" s="131"/>
      <c r="I131" s="142"/>
      <c r="J131" s="142"/>
      <c r="K131" s="132"/>
      <c r="L131" s="131"/>
      <c r="M131" s="142"/>
      <c r="N131" s="142"/>
      <c r="O131" s="142"/>
      <c r="P131" s="142"/>
      <c r="Q131" s="142"/>
      <c r="R131" s="142"/>
      <c r="S131" s="142"/>
      <c r="T131" s="142"/>
      <c r="U131" s="142"/>
      <c r="V131" s="142"/>
      <c r="W131" s="142"/>
      <c r="X131" s="142"/>
      <c r="Y131" s="142"/>
      <c r="Z131" s="142"/>
      <c r="AA131" s="142"/>
      <c r="AB131" s="142"/>
      <c r="AC131" s="142"/>
      <c r="AD131" s="142"/>
      <c r="AE131" s="142"/>
      <c r="AF131" s="142"/>
      <c r="AG131" s="142"/>
      <c r="AH131" s="142"/>
      <c r="AI131" s="142"/>
      <c r="AJ131" s="142"/>
      <c r="AK131" s="142"/>
      <c r="AL131" s="142"/>
      <c r="AM131" s="142"/>
      <c r="AN131" s="142"/>
      <c r="AO131" s="142"/>
      <c r="AP131" s="130"/>
      <c r="AQ131" s="130"/>
      <c r="AR131" s="130"/>
      <c r="AS131" s="130"/>
      <c r="AT131" s="130"/>
      <c r="AU131" s="130"/>
      <c r="AV131" s="130"/>
      <c r="AW131" s="130"/>
      <c r="AX131" s="130"/>
      <c r="AY131" s="130"/>
      <c r="AZ131" s="130"/>
      <c r="BA131" s="130"/>
      <c r="BB131" s="130"/>
      <c r="BC131" s="130"/>
      <c r="BD131" s="130"/>
    </row>
    <row r="132" ht="15.75" customHeight="1">
      <c r="A132" s="142"/>
      <c r="B132" s="142"/>
      <c r="C132" s="198"/>
      <c r="D132" s="142"/>
      <c r="E132" s="131"/>
      <c r="F132" s="142"/>
      <c r="G132" s="142"/>
      <c r="H132" s="131"/>
      <c r="I132" s="142"/>
      <c r="J132" s="142"/>
      <c r="K132" s="132"/>
      <c r="L132" s="131"/>
      <c r="M132" s="142"/>
      <c r="N132" s="142"/>
      <c r="O132" s="142"/>
      <c r="P132" s="142"/>
      <c r="Q132" s="142"/>
      <c r="R132" s="142"/>
      <c r="S132" s="142"/>
      <c r="T132" s="142"/>
      <c r="U132" s="142"/>
      <c r="V132" s="142"/>
      <c r="W132" s="142"/>
      <c r="X132" s="142"/>
      <c r="Y132" s="142"/>
      <c r="Z132" s="142"/>
      <c r="AA132" s="142"/>
      <c r="AB132" s="142"/>
      <c r="AC132" s="142"/>
      <c r="AD132" s="142"/>
      <c r="AE132" s="142"/>
      <c r="AF132" s="142"/>
      <c r="AG132" s="142"/>
      <c r="AH132" s="142"/>
      <c r="AI132" s="142"/>
      <c r="AJ132" s="142"/>
      <c r="AK132" s="142"/>
      <c r="AL132" s="142"/>
      <c r="AM132" s="142"/>
      <c r="AN132" s="142"/>
      <c r="AO132" s="142"/>
      <c r="AP132" s="130"/>
      <c r="AQ132" s="130"/>
      <c r="AR132" s="130"/>
      <c r="AS132" s="130"/>
      <c r="AT132" s="130"/>
      <c r="AU132" s="130"/>
      <c r="AV132" s="130"/>
      <c r="AW132" s="130"/>
      <c r="AX132" s="130"/>
      <c r="AY132" s="130"/>
      <c r="AZ132" s="130"/>
      <c r="BA132" s="130"/>
      <c r="BB132" s="130"/>
      <c r="BC132" s="130"/>
      <c r="BD132" s="130"/>
    </row>
    <row r="133" ht="15.75" customHeight="1">
      <c r="A133" s="142"/>
      <c r="B133" s="142"/>
      <c r="C133" s="198"/>
      <c r="D133" s="142"/>
      <c r="E133" s="131"/>
      <c r="F133" s="142"/>
      <c r="G133" s="142"/>
      <c r="H133" s="131"/>
      <c r="I133" s="142"/>
      <c r="J133" s="142"/>
      <c r="K133" s="132"/>
      <c r="L133" s="131"/>
      <c r="M133" s="142"/>
      <c r="N133" s="142"/>
      <c r="O133" s="142"/>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30"/>
      <c r="AQ133" s="130"/>
      <c r="AR133" s="130"/>
      <c r="AS133" s="130"/>
      <c r="AT133" s="130"/>
      <c r="AU133" s="130"/>
      <c r="AV133" s="130"/>
      <c r="AW133" s="130"/>
      <c r="AX133" s="130"/>
      <c r="AY133" s="130"/>
      <c r="AZ133" s="130"/>
      <c r="BA133" s="130"/>
      <c r="BB133" s="130"/>
      <c r="BC133" s="130"/>
      <c r="BD133" s="130"/>
    </row>
    <row r="134" ht="15.75" customHeight="1">
      <c r="A134" s="142"/>
      <c r="B134" s="142"/>
      <c r="C134" s="198"/>
      <c r="D134" s="142"/>
      <c r="E134" s="131"/>
      <c r="F134" s="142"/>
      <c r="G134" s="142"/>
      <c r="H134" s="131"/>
      <c r="I134" s="142"/>
      <c r="J134" s="142"/>
      <c r="K134" s="132"/>
      <c r="L134" s="131"/>
      <c r="M134" s="142"/>
      <c r="N134" s="142"/>
      <c r="O134" s="142"/>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30"/>
      <c r="AQ134" s="130"/>
      <c r="AR134" s="130"/>
      <c r="AS134" s="130"/>
      <c r="AT134" s="130"/>
      <c r="AU134" s="130"/>
      <c r="AV134" s="130"/>
      <c r="AW134" s="130"/>
      <c r="AX134" s="130"/>
      <c r="AY134" s="130"/>
      <c r="AZ134" s="130"/>
      <c r="BA134" s="130"/>
      <c r="BB134" s="130"/>
      <c r="BC134" s="130"/>
      <c r="BD134" s="130"/>
    </row>
    <row r="135" ht="15.75" customHeight="1">
      <c r="A135" s="142"/>
      <c r="B135" s="142"/>
      <c r="C135" s="198"/>
      <c r="D135" s="142"/>
      <c r="E135" s="131"/>
      <c r="F135" s="142"/>
      <c r="G135" s="142"/>
      <c r="H135" s="131"/>
      <c r="I135" s="142"/>
      <c r="J135" s="142"/>
      <c r="K135" s="132"/>
      <c r="L135" s="131"/>
      <c r="M135" s="142"/>
      <c r="N135" s="142"/>
      <c r="O135" s="142"/>
      <c r="P135" s="142"/>
      <c r="Q135" s="142"/>
      <c r="R135" s="142"/>
      <c r="S135" s="142"/>
      <c r="T135" s="142"/>
      <c r="U135" s="142"/>
      <c r="V135" s="142"/>
      <c r="W135" s="142"/>
      <c r="X135" s="142"/>
      <c r="Y135" s="142"/>
      <c r="Z135" s="142"/>
      <c r="AA135" s="142"/>
      <c r="AB135" s="142"/>
      <c r="AC135" s="142"/>
      <c r="AD135" s="142"/>
      <c r="AE135" s="142"/>
      <c r="AF135" s="142"/>
      <c r="AG135" s="142"/>
      <c r="AH135" s="142"/>
      <c r="AI135" s="142"/>
      <c r="AJ135" s="142"/>
      <c r="AK135" s="142"/>
      <c r="AL135" s="142"/>
      <c r="AM135" s="142"/>
      <c r="AN135" s="142"/>
      <c r="AO135" s="142"/>
      <c r="AP135" s="130"/>
      <c r="AQ135" s="130"/>
      <c r="AR135" s="130"/>
      <c r="AS135" s="130"/>
      <c r="AT135" s="130"/>
      <c r="AU135" s="130"/>
      <c r="AV135" s="130"/>
      <c r="AW135" s="130"/>
      <c r="AX135" s="130"/>
      <c r="AY135" s="130"/>
      <c r="AZ135" s="130"/>
      <c r="BA135" s="130"/>
      <c r="BB135" s="130"/>
      <c r="BC135" s="130"/>
      <c r="BD135" s="130"/>
    </row>
    <row r="136" ht="15.75" customHeight="1">
      <c r="A136" s="142"/>
      <c r="B136" s="142"/>
      <c r="C136" s="198"/>
      <c r="D136" s="142"/>
      <c r="E136" s="131"/>
      <c r="F136" s="142"/>
      <c r="G136" s="142"/>
      <c r="H136" s="131"/>
      <c r="I136" s="142"/>
      <c r="J136" s="142"/>
      <c r="K136" s="132"/>
      <c r="L136" s="131"/>
      <c r="M136" s="142"/>
      <c r="N136" s="142"/>
      <c r="O136" s="142"/>
      <c r="P136" s="142"/>
      <c r="Q136" s="142"/>
      <c r="R136" s="142"/>
      <c r="S136" s="142"/>
      <c r="T136" s="142"/>
      <c r="U136" s="142"/>
      <c r="V136" s="142"/>
      <c r="W136" s="142"/>
      <c r="X136" s="142"/>
      <c r="Y136" s="142"/>
      <c r="Z136" s="142"/>
      <c r="AA136" s="142"/>
      <c r="AB136" s="142"/>
      <c r="AC136" s="142"/>
      <c r="AD136" s="142"/>
      <c r="AE136" s="142"/>
      <c r="AF136" s="142"/>
      <c r="AG136" s="142"/>
      <c r="AH136" s="142"/>
      <c r="AI136" s="142"/>
      <c r="AJ136" s="142"/>
      <c r="AK136" s="142"/>
      <c r="AL136" s="142"/>
      <c r="AM136" s="142"/>
      <c r="AN136" s="142"/>
      <c r="AO136" s="142"/>
      <c r="AP136" s="130"/>
      <c r="AQ136" s="130"/>
      <c r="AR136" s="130"/>
      <c r="AS136" s="130"/>
      <c r="AT136" s="130"/>
      <c r="AU136" s="130"/>
      <c r="AV136" s="130"/>
      <c r="AW136" s="130"/>
      <c r="AX136" s="130"/>
      <c r="AY136" s="130"/>
      <c r="AZ136" s="130"/>
      <c r="BA136" s="130"/>
      <c r="BB136" s="130"/>
      <c r="BC136" s="130"/>
      <c r="BD136" s="130"/>
    </row>
    <row r="137" ht="15.75" customHeight="1">
      <c r="A137" s="142"/>
      <c r="B137" s="142"/>
      <c r="C137" s="198"/>
      <c r="D137" s="142"/>
      <c r="E137" s="131"/>
      <c r="F137" s="142"/>
      <c r="G137" s="142"/>
      <c r="H137" s="131"/>
      <c r="I137" s="142"/>
      <c r="J137" s="142"/>
      <c r="K137" s="132"/>
      <c r="L137" s="131"/>
      <c r="M137" s="142"/>
      <c r="N137" s="142"/>
      <c r="O137" s="142"/>
      <c r="P137" s="142"/>
      <c r="Q137" s="142"/>
      <c r="R137" s="142"/>
      <c r="S137" s="142"/>
      <c r="T137" s="142"/>
      <c r="U137" s="142"/>
      <c r="V137" s="142"/>
      <c r="W137" s="142"/>
      <c r="X137" s="142"/>
      <c r="Y137" s="142"/>
      <c r="Z137" s="142"/>
      <c r="AA137" s="142"/>
      <c r="AB137" s="142"/>
      <c r="AC137" s="142"/>
      <c r="AD137" s="142"/>
      <c r="AE137" s="142"/>
      <c r="AF137" s="142"/>
      <c r="AG137" s="142"/>
      <c r="AH137" s="142"/>
      <c r="AI137" s="142"/>
      <c r="AJ137" s="142"/>
      <c r="AK137" s="142"/>
      <c r="AL137" s="142"/>
      <c r="AM137" s="142"/>
      <c r="AN137" s="142"/>
      <c r="AO137" s="142"/>
      <c r="AP137" s="130"/>
      <c r="AQ137" s="130"/>
      <c r="AR137" s="130"/>
      <c r="AS137" s="130"/>
      <c r="AT137" s="130"/>
      <c r="AU137" s="130"/>
      <c r="AV137" s="130"/>
      <c r="AW137" s="130"/>
      <c r="AX137" s="130"/>
      <c r="AY137" s="130"/>
      <c r="AZ137" s="130"/>
      <c r="BA137" s="130"/>
      <c r="BB137" s="130"/>
      <c r="BC137" s="130"/>
      <c r="BD137" s="130"/>
    </row>
    <row r="138" ht="15.75" customHeight="1">
      <c r="A138" s="142"/>
      <c r="B138" s="142"/>
      <c r="C138" s="198"/>
      <c r="D138" s="142"/>
      <c r="E138" s="131"/>
      <c r="F138" s="142"/>
      <c r="G138" s="142"/>
      <c r="H138" s="131"/>
      <c r="I138" s="142"/>
      <c r="J138" s="142"/>
      <c r="K138" s="132"/>
      <c r="L138" s="131"/>
      <c r="M138" s="142"/>
      <c r="N138" s="142"/>
      <c r="O138" s="142"/>
      <c r="P138" s="142"/>
      <c r="Q138" s="142"/>
      <c r="R138" s="142"/>
      <c r="S138" s="142"/>
      <c r="T138" s="142"/>
      <c r="U138" s="142"/>
      <c r="V138" s="142"/>
      <c r="W138" s="142"/>
      <c r="X138" s="142"/>
      <c r="Y138" s="142"/>
      <c r="Z138" s="142"/>
      <c r="AA138" s="142"/>
      <c r="AB138" s="142"/>
      <c r="AC138" s="142"/>
      <c r="AD138" s="142"/>
      <c r="AE138" s="142"/>
      <c r="AF138" s="142"/>
      <c r="AG138" s="142"/>
      <c r="AH138" s="142"/>
      <c r="AI138" s="142"/>
      <c r="AJ138" s="142"/>
      <c r="AK138" s="142"/>
      <c r="AL138" s="142"/>
      <c r="AM138" s="142"/>
      <c r="AN138" s="142"/>
      <c r="AO138" s="142"/>
      <c r="AP138" s="130"/>
      <c r="AQ138" s="130"/>
      <c r="AR138" s="130"/>
      <c r="AS138" s="130"/>
      <c r="AT138" s="130"/>
      <c r="AU138" s="130"/>
      <c r="AV138" s="130"/>
      <c r="AW138" s="130"/>
      <c r="AX138" s="130"/>
      <c r="AY138" s="130"/>
      <c r="AZ138" s="130"/>
      <c r="BA138" s="130"/>
      <c r="BB138" s="130"/>
      <c r="BC138" s="130"/>
      <c r="BD138" s="130"/>
    </row>
    <row r="139" ht="15.75" customHeight="1">
      <c r="A139" s="142"/>
      <c r="B139" s="142"/>
      <c r="C139" s="198"/>
      <c r="D139" s="142"/>
      <c r="E139" s="131"/>
      <c r="F139" s="142"/>
      <c r="G139" s="142"/>
      <c r="H139" s="131"/>
      <c r="I139" s="142"/>
      <c r="J139" s="142"/>
      <c r="K139" s="132"/>
      <c r="L139" s="131"/>
      <c r="M139" s="142"/>
      <c r="N139" s="142"/>
      <c r="O139" s="142"/>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2"/>
      <c r="AL139" s="142"/>
      <c r="AM139" s="142"/>
      <c r="AN139" s="142"/>
      <c r="AO139" s="142"/>
      <c r="AP139" s="130"/>
      <c r="AQ139" s="130"/>
      <c r="AR139" s="130"/>
      <c r="AS139" s="130"/>
      <c r="AT139" s="130"/>
      <c r="AU139" s="130"/>
      <c r="AV139" s="130"/>
      <c r="AW139" s="130"/>
      <c r="AX139" s="130"/>
      <c r="AY139" s="130"/>
      <c r="AZ139" s="130"/>
      <c r="BA139" s="130"/>
      <c r="BB139" s="130"/>
      <c r="BC139" s="130"/>
      <c r="BD139" s="130"/>
    </row>
    <row r="140" ht="15.75" customHeight="1">
      <c r="A140" s="142"/>
      <c r="B140" s="142"/>
      <c r="C140" s="198"/>
      <c r="D140" s="142"/>
      <c r="E140" s="131"/>
      <c r="F140" s="142"/>
      <c r="G140" s="142"/>
      <c r="H140" s="131"/>
      <c r="I140" s="142"/>
      <c r="J140" s="142"/>
      <c r="K140" s="132"/>
      <c r="L140" s="131"/>
      <c r="M140" s="142"/>
      <c r="N140" s="142"/>
      <c r="O140" s="142"/>
      <c r="P140" s="142"/>
      <c r="Q140" s="142"/>
      <c r="R140" s="142"/>
      <c r="S140" s="142"/>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30"/>
      <c r="AQ140" s="130"/>
      <c r="AR140" s="130"/>
      <c r="AS140" s="130"/>
      <c r="AT140" s="130"/>
      <c r="AU140" s="130"/>
      <c r="AV140" s="130"/>
      <c r="AW140" s="130"/>
      <c r="AX140" s="130"/>
      <c r="AY140" s="130"/>
      <c r="AZ140" s="130"/>
      <c r="BA140" s="130"/>
      <c r="BB140" s="130"/>
      <c r="BC140" s="130"/>
      <c r="BD140" s="130"/>
    </row>
    <row r="141" ht="15.75" customHeight="1">
      <c r="A141" s="142"/>
      <c r="B141" s="142"/>
      <c r="C141" s="198"/>
      <c r="D141" s="142"/>
      <c r="E141" s="131"/>
      <c r="F141" s="142"/>
      <c r="G141" s="142"/>
      <c r="H141" s="131"/>
      <c r="I141" s="142"/>
      <c r="J141" s="142"/>
      <c r="K141" s="132"/>
      <c r="L141" s="131"/>
      <c r="M141" s="142"/>
      <c r="N141" s="142"/>
      <c r="O141" s="142"/>
      <c r="P141" s="142"/>
      <c r="Q141" s="142"/>
      <c r="R141" s="142"/>
      <c r="S141" s="142"/>
      <c r="T141" s="142"/>
      <c r="U141" s="142"/>
      <c r="V141" s="142"/>
      <c r="W141" s="142"/>
      <c r="X141" s="142"/>
      <c r="Y141" s="142"/>
      <c r="Z141" s="142"/>
      <c r="AA141" s="142"/>
      <c r="AB141" s="142"/>
      <c r="AC141" s="142"/>
      <c r="AD141" s="142"/>
      <c r="AE141" s="142"/>
      <c r="AF141" s="142"/>
      <c r="AG141" s="142"/>
      <c r="AH141" s="142"/>
      <c r="AI141" s="142"/>
      <c r="AJ141" s="142"/>
      <c r="AK141" s="142"/>
      <c r="AL141" s="142"/>
      <c r="AM141" s="142"/>
      <c r="AN141" s="142"/>
      <c r="AO141" s="142"/>
      <c r="AP141" s="130"/>
      <c r="AQ141" s="130"/>
      <c r="AR141" s="130"/>
      <c r="AS141" s="130"/>
      <c r="AT141" s="130"/>
      <c r="AU141" s="130"/>
      <c r="AV141" s="130"/>
      <c r="AW141" s="130"/>
      <c r="AX141" s="130"/>
      <c r="AY141" s="130"/>
      <c r="AZ141" s="130"/>
      <c r="BA141" s="130"/>
      <c r="BB141" s="130"/>
      <c r="BC141" s="130"/>
      <c r="BD141" s="130"/>
    </row>
    <row r="142" ht="15.75" customHeight="1">
      <c r="A142" s="142"/>
      <c r="B142" s="142"/>
      <c r="C142" s="198"/>
      <c r="D142" s="142"/>
      <c r="E142" s="131"/>
      <c r="F142" s="142"/>
      <c r="G142" s="142"/>
      <c r="H142" s="131"/>
      <c r="I142" s="142"/>
      <c r="J142" s="142"/>
      <c r="K142" s="132"/>
      <c r="L142" s="131"/>
      <c r="M142" s="142"/>
      <c r="N142" s="142"/>
      <c r="O142" s="142"/>
      <c r="P142" s="142"/>
      <c r="Q142" s="142"/>
      <c r="R142" s="142"/>
      <c r="S142" s="142"/>
      <c r="T142" s="142"/>
      <c r="U142" s="142"/>
      <c r="V142" s="142"/>
      <c r="W142" s="142"/>
      <c r="X142" s="142"/>
      <c r="Y142" s="142"/>
      <c r="Z142" s="142"/>
      <c r="AA142" s="142"/>
      <c r="AB142" s="142"/>
      <c r="AC142" s="142"/>
      <c r="AD142" s="142"/>
      <c r="AE142" s="142"/>
      <c r="AF142" s="142"/>
      <c r="AG142" s="142"/>
      <c r="AH142" s="142"/>
      <c r="AI142" s="142"/>
      <c r="AJ142" s="142"/>
      <c r="AK142" s="142"/>
      <c r="AL142" s="142"/>
      <c r="AM142" s="142"/>
      <c r="AN142" s="142"/>
      <c r="AO142" s="142"/>
      <c r="AP142" s="130"/>
      <c r="AQ142" s="130"/>
      <c r="AR142" s="130"/>
      <c r="AS142" s="130"/>
      <c r="AT142" s="130"/>
      <c r="AU142" s="130"/>
      <c r="AV142" s="130"/>
      <c r="AW142" s="130"/>
      <c r="AX142" s="130"/>
      <c r="AY142" s="130"/>
      <c r="AZ142" s="130"/>
      <c r="BA142" s="130"/>
      <c r="BB142" s="130"/>
      <c r="BC142" s="130"/>
      <c r="BD142" s="130"/>
    </row>
    <row r="143" ht="15.75" customHeight="1">
      <c r="A143" s="142"/>
      <c r="B143" s="142"/>
      <c r="C143" s="198"/>
      <c r="D143" s="142"/>
      <c r="E143" s="131"/>
      <c r="F143" s="142"/>
      <c r="G143" s="142"/>
      <c r="H143" s="131"/>
      <c r="I143" s="142"/>
      <c r="J143" s="142"/>
      <c r="K143" s="132"/>
      <c r="L143" s="131"/>
      <c r="M143" s="142"/>
      <c r="N143" s="142"/>
      <c r="O143" s="142"/>
      <c r="P143" s="142"/>
      <c r="Q143" s="142"/>
      <c r="R143" s="142"/>
      <c r="S143" s="142"/>
      <c r="T143" s="142"/>
      <c r="U143" s="142"/>
      <c r="V143" s="142"/>
      <c r="W143" s="142"/>
      <c r="X143" s="142"/>
      <c r="Y143" s="142"/>
      <c r="Z143" s="142"/>
      <c r="AA143" s="142"/>
      <c r="AB143" s="142"/>
      <c r="AC143" s="142"/>
      <c r="AD143" s="142"/>
      <c r="AE143" s="142"/>
      <c r="AF143" s="142"/>
      <c r="AG143" s="142"/>
      <c r="AH143" s="142"/>
      <c r="AI143" s="142"/>
      <c r="AJ143" s="142"/>
      <c r="AK143" s="142"/>
      <c r="AL143" s="142"/>
      <c r="AM143" s="142"/>
      <c r="AN143" s="142"/>
      <c r="AO143" s="142"/>
      <c r="AP143" s="130"/>
      <c r="AQ143" s="130"/>
      <c r="AR143" s="130"/>
      <c r="AS143" s="130"/>
      <c r="AT143" s="130"/>
      <c r="AU143" s="130"/>
      <c r="AV143" s="130"/>
      <c r="AW143" s="130"/>
      <c r="AX143" s="130"/>
      <c r="AY143" s="130"/>
      <c r="AZ143" s="130"/>
      <c r="BA143" s="130"/>
      <c r="BB143" s="130"/>
      <c r="BC143" s="130"/>
      <c r="BD143" s="130"/>
    </row>
    <row r="144" ht="15.75" customHeight="1">
      <c r="A144" s="142"/>
      <c r="B144" s="142"/>
      <c r="C144" s="198"/>
      <c r="D144" s="142"/>
      <c r="E144" s="131"/>
      <c r="F144" s="142"/>
      <c r="G144" s="142"/>
      <c r="H144" s="131"/>
      <c r="I144" s="142"/>
      <c r="J144" s="142"/>
      <c r="K144" s="132"/>
      <c r="L144" s="131"/>
      <c r="M144" s="142"/>
      <c r="N144" s="142"/>
      <c r="O144" s="142"/>
      <c r="P144" s="142"/>
      <c r="Q144" s="142"/>
      <c r="R144" s="142"/>
      <c r="S144" s="142"/>
      <c r="T144" s="142"/>
      <c r="U144" s="142"/>
      <c r="V144" s="142"/>
      <c r="W144" s="142"/>
      <c r="X144" s="142"/>
      <c r="Y144" s="142"/>
      <c r="Z144" s="142"/>
      <c r="AA144" s="142"/>
      <c r="AB144" s="142"/>
      <c r="AC144" s="142"/>
      <c r="AD144" s="142"/>
      <c r="AE144" s="142"/>
      <c r="AF144" s="142"/>
      <c r="AG144" s="142"/>
      <c r="AH144" s="142"/>
      <c r="AI144" s="142"/>
      <c r="AJ144" s="142"/>
      <c r="AK144" s="142"/>
      <c r="AL144" s="142"/>
      <c r="AM144" s="142"/>
      <c r="AN144" s="142"/>
      <c r="AO144" s="142"/>
      <c r="AP144" s="130"/>
      <c r="AQ144" s="130"/>
      <c r="AR144" s="130"/>
      <c r="AS144" s="130"/>
      <c r="AT144" s="130"/>
      <c r="AU144" s="130"/>
      <c r="AV144" s="130"/>
      <c r="AW144" s="130"/>
      <c r="AX144" s="130"/>
      <c r="AY144" s="130"/>
      <c r="AZ144" s="130"/>
      <c r="BA144" s="130"/>
      <c r="BB144" s="130"/>
      <c r="BC144" s="130"/>
      <c r="BD144" s="130"/>
    </row>
    <row r="145" ht="15.75" customHeight="1">
      <c r="A145" s="142"/>
      <c r="B145" s="142"/>
      <c r="C145" s="198"/>
      <c r="D145" s="142"/>
      <c r="E145" s="131"/>
      <c r="F145" s="142"/>
      <c r="G145" s="142"/>
      <c r="H145" s="131"/>
      <c r="I145" s="142"/>
      <c r="J145" s="142"/>
      <c r="K145" s="132"/>
      <c r="L145" s="131"/>
      <c r="M145" s="142"/>
      <c r="N145" s="142"/>
      <c r="O145" s="142"/>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2"/>
      <c r="AL145" s="142"/>
      <c r="AM145" s="142"/>
      <c r="AN145" s="142"/>
      <c r="AO145" s="142"/>
      <c r="AP145" s="130"/>
      <c r="AQ145" s="130"/>
      <c r="AR145" s="130"/>
      <c r="AS145" s="130"/>
      <c r="AT145" s="130"/>
      <c r="AU145" s="130"/>
      <c r="AV145" s="130"/>
      <c r="AW145" s="130"/>
      <c r="AX145" s="130"/>
      <c r="AY145" s="130"/>
      <c r="AZ145" s="130"/>
      <c r="BA145" s="130"/>
      <c r="BB145" s="130"/>
      <c r="BC145" s="130"/>
      <c r="BD145" s="130"/>
    </row>
    <row r="146" ht="15.75" customHeight="1">
      <c r="A146" s="142"/>
      <c r="B146" s="142"/>
      <c r="C146" s="198"/>
      <c r="D146" s="142"/>
      <c r="E146" s="131"/>
      <c r="F146" s="142"/>
      <c r="G146" s="142"/>
      <c r="H146" s="131"/>
      <c r="I146" s="142"/>
      <c r="J146" s="142"/>
      <c r="K146" s="132"/>
      <c r="L146" s="131"/>
      <c r="M146" s="142"/>
      <c r="N146" s="142"/>
      <c r="O146" s="142"/>
      <c r="P146" s="142"/>
      <c r="Q146" s="142"/>
      <c r="R146" s="142"/>
      <c r="S146" s="142"/>
      <c r="T146" s="142"/>
      <c r="U146" s="142"/>
      <c r="V146" s="142"/>
      <c r="W146" s="142"/>
      <c r="X146" s="142"/>
      <c r="Y146" s="142"/>
      <c r="Z146" s="142"/>
      <c r="AA146" s="142"/>
      <c r="AB146" s="142"/>
      <c r="AC146" s="142"/>
      <c r="AD146" s="142"/>
      <c r="AE146" s="142"/>
      <c r="AF146" s="142"/>
      <c r="AG146" s="142"/>
      <c r="AH146" s="142"/>
      <c r="AI146" s="142"/>
      <c r="AJ146" s="142"/>
      <c r="AK146" s="142"/>
      <c r="AL146" s="142"/>
      <c r="AM146" s="142"/>
      <c r="AN146" s="142"/>
      <c r="AO146" s="142"/>
      <c r="AP146" s="130"/>
      <c r="AQ146" s="130"/>
      <c r="AR146" s="130"/>
      <c r="AS146" s="130"/>
      <c r="AT146" s="130"/>
      <c r="AU146" s="130"/>
      <c r="AV146" s="130"/>
      <c r="AW146" s="130"/>
      <c r="AX146" s="130"/>
      <c r="AY146" s="130"/>
      <c r="AZ146" s="130"/>
      <c r="BA146" s="130"/>
      <c r="BB146" s="130"/>
      <c r="BC146" s="130"/>
      <c r="BD146" s="130"/>
    </row>
    <row r="147" ht="15.75" customHeight="1">
      <c r="A147" s="142"/>
      <c r="B147" s="142"/>
      <c r="C147" s="198"/>
      <c r="D147" s="142"/>
      <c r="E147" s="131"/>
      <c r="F147" s="142"/>
      <c r="G147" s="142"/>
      <c r="H147" s="131"/>
      <c r="I147" s="142"/>
      <c r="J147" s="142"/>
      <c r="K147" s="132"/>
      <c r="L147" s="131"/>
      <c r="M147" s="142"/>
      <c r="N147" s="142"/>
      <c r="O147" s="142"/>
      <c r="P147" s="142"/>
      <c r="Q147" s="142"/>
      <c r="R147" s="142"/>
      <c r="S147" s="142"/>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30"/>
      <c r="AQ147" s="130"/>
      <c r="AR147" s="130"/>
      <c r="AS147" s="130"/>
      <c r="AT147" s="130"/>
      <c r="AU147" s="130"/>
      <c r="AV147" s="130"/>
      <c r="AW147" s="130"/>
      <c r="AX147" s="130"/>
      <c r="AY147" s="130"/>
      <c r="AZ147" s="130"/>
      <c r="BA147" s="130"/>
      <c r="BB147" s="130"/>
      <c r="BC147" s="130"/>
      <c r="BD147" s="130"/>
    </row>
    <row r="148" ht="15.75" customHeight="1">
      <c r="A148" s="142"/>
      <c r="B148" s="142"/>
      <c r="C148" s="198"/>
      <c r="D148" s="142"/>
      <c r="E148" s="131"/>
      <c r="F148" s="142"/>
      <c r="G148" s="142"/>
      <c r="H148" s="131"/>
      <c r="I148" s="142"/>
      <c r="J148" s="142"/>
      <c r="K148" s="132"/>
      <c r="L148" s="131"/>
      <c r="M148" s="142"/>
      <c r="N148" s="142"/>
      <c r="O148" s="142"/>
      <c r="P148" s="142"/>
      <c r="Q148" s="142"/>
      <c r="R148" s="142"/>
      <c r="S148" s="142"/>
      <c r="T148" s="142"/>
      <c r="U148" s="142"/>
      <c r="V148" s="142"/>
      <c r="W148" s="142"/>
      <c r="X148" s="142"/>
      <c r="Y148" s="142"/>
      <c r="Z148" s="142"/>
      <c r="AA148" s="142"/>
      <c r="AB148" s="142"/>
      <c r="AC148" s="142"/>
      <c r="AD148" s="142"/>
      <c r="AE148" s="142"/>
      <c r="AF148" s="142"/>
      <c r="AG148" s="142"/>
      <c r="AH148" s="142"/>
      <c r="AI148" s="142"/>
      <c r="AJ148" s="142"/>
      <c r="AK148" s="142"/>
      <c r="AL148" s="142"/>
      <c r="AM148" s="142"/>
      <c r="AN148" s="142"/>
      <c r="AO148" s="142"/>
      <c r="AP148" s="130"/>
      <c r="AQ148" s="130"/>
      <c r="AR148" s="130"/>
      <c r="AS148" s="130"/>
      <c r="AT148" s="130"/>
      <c r="AU148" s="130"/>
      <c r="AV148" s="130"/>
      <c r="AW148" s="130"/>
      <c r="AX148" s="130"/>
      <c r="AY148" s="130"/>
      <c r="AZ148" s="130"/>
      <c r="BA148" s="130"/>
      <c r="BB148" s="130"/>
      <c r="BC148" s="130"/>
      <c r="BD148" s="130"/>
    </row>
    <row r="149" ht="15.75" customHeight="1">
      <c r="A149" s="142"/>
      <c r="B149" s="142"/>
      <c r="C149" s="198"/>
      <c r="D149" s="142"/>
      <c r="E149" s="131"/>
      <c r="F149" s="142"/>
      <c r="G149" s="142"/>
      <c r="H149" s="131"/>
      <c r="I149" s="142"/>
      <c r="J149" s="142"/>
      <c r="K149" s="132"/>
      <c r="L149" s="131"/>
      <c r="M149" s="142"/>
      <c r="N149" s="142"/>
      <c r="O149" s="142"/>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30"/>
      <c r="AQ149" s="130"/>
      <c r="AR149" s="130"/>
      <c r="AS149" s="130"/>
      <c r="AT149" s="130"/>
      <c r="AU149" s="130"/>
      <c r="AV149" s="130"/>
      <c r="AW149" s="130"/>
      <c r="AX149" s="130"/>
      <c r="AY149" s="130"/>
      <c r="AZ149" s="130"/>
      <c r="BA149" s="130"/>
      <c r="BB149" s="130"/>
      <c r="BC149" s="130"/>
      <c r="BD149" s="130"/>
    </row>
    <row r="150" ht="15.75" customHeight="1">
      <c r="A150" s="142"/>
      <c r="B150" s="142"/>
      <c r="C150" s="198"/>
      <c r="D150" s="142"/>
      <c r="E150" s="131"/>
      <c r="F150" s="142"/>
      <c r="G150" s="142"/>
      <c r="H150" s="131"/>
      <c r="I150" s="142"/>
      <c r="J150" s="142"/>
      <c r="K150" s="132"/>
      <c r="L150" s="131"/>
      <c r="M150" s="142"/>
      <c r="N150" s="142"/>
      <c r="O150" s="142"/>
      <c r="P150" s="142"/>
      <c r="Q150" s="142"/>
      <c r="R150" s="142"/>
      <c r="S150" s="142"/>
      <c r="T150" s="142"/>
      <c r="U150" s="142"/>
      <c r="V150" s="142"/>
      <c r="W150" s="142"/>
      <c r="X150" s="142"/>
      <c r="Y150" s="142"/>
      <c r="Z150" s="142"/>
      <c r="AA150" s="142"/>
      <c r="AB150" s="142"/>
      <c r="AC150" s="142"/>
      <c r="AD150" s="142"/>
      <c r="AE150" s="142"/>
      <c r="AF150" s="142"/>
      <c r="AG150" s="142"/>
      <c r="AH150" s="142"/>
      <c r="AI150" s="142"/>
      <c r="AJ150" s="142"/>
      <c r="AK150" s="142"/>
      <c r="AL150" s="142"/>
      <c r="AM150" s="142"/>
      <c r="AN150" s="142"/>
      <c r="AO150" s="142"/>
      <c r="AP150" s="130"/>
      <c r="AQ150" s="130"/>
      <c r="AR150" s="130"/>
      <c r="AS150" s="130"/>
      <c r="AT150" s="130"/>
      <c r="AU150" s="130"/>
      <c r="AV150" s="130"/>
      <c r="AW150" s="130"/>
      <c r="AX150" s="130"/>
      <c r="AY150" s="130"/>
      <c r="AZ150" s="130"/>
      <c r="BA150" s="130"/>
      <c r="BB150" s="130"/>
      <c r="BC150" s="130"/>
      <c r="BD150" s="130"/>
    </row>
    <row r="151" ht="15.75" customHeight="1">
      <c r="A151" s="142"/>
      <c r="B151" s="142"/>
      <c r="C151" s="198"/>
      <c r="D151" s="142"/>
      <c r="E151" s="131"/>
      <c r="F151" s="142"/>
      <c r="G151" s="142"/>
      <c r="H151" s="131"/>
      <c r="I151" s="142"/>
      <c r="J151" s="142"/>
      <c r="K151" s="132"/>
      <c r="L151" s="131"/>
      <c r="M151" s="142"/>
      <c r="N151" s="142"/>
      <c r="O151" s="142"/>
      <c r="P151" s="142"/>
      <c r="Q151" s="142"/>
      <c r="R151" s="142"/>
      <c r="S151" s="142"/>
      <c r="T151" s="142"/>
      <c r="U151" s="142"/>
      <c r="V151" s="142"/>
      <c r="W151" s="142"/>
      <c r="X151" s="142"/>
      <c r="Y151" s="142"/>
      <c r="Z151" s="142"/>
      <c r="AA151" s="142"/>
      <c r="AB151" s="142"/>
      <c r="AC151" s="142"/>
      <c r="AD151" s="142"/>
      <c r="AE151" s="142"/>
      <c r="AF151" s="142"/>
      <c r="AG151" s="142"/>
      <c r="AH151" s="142"/>
      <c r="AI151" s="142"/>
      <c r="AJ151" s="142"/>
      <c r="AK151" s="142"/>
      <c r="AL151" s="142"/>
      <c r="AM151" s="142"/>
      <c r="AN151" s="142"/>
      <c r="AO151" s="142"/>
      <c r="AP151" s="130"/>
      <c r="AQ151" s="130"/>
      <c r="AR151" s="130"/>
      <c r="AS151" s="130"/>
      <c r="AT151" s="130"/>
      <c r="AU151" s="130"/>
      <c r="AV151" s="130"/>
      <c r="AW151" s="130"/>
      <c r="AX151" s="130"/>
      <c r="AY151" s="130"/>
      <c r="AZ151" s="130"/>
      <c r="BA151" s="130"/>
      <c r="BB151" s="130"/>
      <c r="BC151" s="130"/>
      <c r="BD151" s="130"/>
    </row>
    <row r="152" ht="15.75" customHeight="1">
      <c r="A152" s="142"/>
      <c r="B152" s="142"/>
      <c r="C152" s="198"/>
      <c r="D152" s="142"/>
      <c r="E152" s="131"/>
      <c r="F152" s="142"/>
      <c r="G152" s="142"/>
      <c r="H152" s="131"/>
      <c r="I152" s="142"/>
      <c r="J152" s="142"/>
      <c r="K152" s="132"/>
      <c r="L152" s="131"/>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30"/>
      <c r="AQ152" s="130"/>
      <c r="AR152" s="130"/>
      <c r="AS152" s="130"/>
      <c r="AT152" s="130"/>
      <c r="AU152" s="130"/>
      <c r="AV152" s="130"/>
      <c r="AW152" s="130"/>
      <c r="AX152" s="130"/>
      <c r="AY152" s="130"/>
      <c r="AZ152" s="130"/>
      <c r="BA152" s="130"/>
      <c r="BB152" s="130"/>
      <c r="BC152" s="130"/>
      <c r="BD152" s="130"/>
    </row>
    <row r="153" ht="15.75" customHeight="1">
      <c r="A153" s="142"/>
      <c r="B153" s="142"/>
      <c r="C153" s="198"/>
      <c r="D153" s="142"/>
      <c r="E153" s="131"/>
      <c r="F153" s="142"/>
      <c r="G153" s="142"/>
      <c r="H153" s="131"/>
      <c r="I153" s="142"/>
      <c r="J153" s="142"/>
      <c r="K153" s="132"/>
      <c r="L153" s="131"/>
      <c r="M153" s="142"/>
      <c r="N153" s="142"/>
      <c r="O153" s="142"/>
      <c r="P153" s="142"/>
      <c r="Q153" s="142"/>
      <c r="R153" s="142"/>
      <c r="S153" s="142"/>
      <c r="T153" s="142"/>
      <c r="U153" s="142"/>
      <c r="V153" s="142"/>
      <c r="W153" s="142"/>
      <c r="X153" s="142"/>
      <c r="Y153" s="142"/>
      <c r="Z153" s="142"/>
      <c r="AA153" s="142"/>
      <c r="AB153" s="142"/>
      <c r="AC153" s="142"/>
      <c r="AD153" s="142"/>
      <c r="AE153" s="142"/>
      <c r="AF153" s="142"/>
      <c r="AG153" s="142"/>
      <c r="AH153" s="142"/>
      <c r="AI153" s="142"/>
      <c r="AJ153" s="142"/>
      <c r="AK153" s="142"/>
      <c r="AL153" s="142"/>
      <c r="AM153" s="142"/>
      <c r="AN153" s="142"/>
      <c r="AO153" s="142"/>
      <c r="AP153" s="130"/>
      <c r="AQ153" s="130"/>
      <c r="AR153" s="130"/>
      <c r="AS153" s="130"/>
      <c r="AT153" s="130"/>
      <c r="AU153" s="130"/>
      <c r="AV153" s="130"/>
      <c r="AW153" s="130"/>
      <c r="AX153" s="130"/>
      <c r="AY153" s="130"/>
      <c r="AZ153" s="130"/>
      <c r="BA153" s="130"/>
      <c r="BB153" s="130"/>
      <c r="BC153" s="130"/>
      <c r="BD153" s="130"/>
    </row>
    <row r="154" ht="15.75" customHeight="1">
      <c r="A154" s="142"/>
      <c r="B154" s="142"/>
      <c r="C154" s="198"/>
      <c r="D154" s="142"/>
      <c r="E154" s="131"/>
      <c r="F154" s="142"/>
      <c r="G154" s="142"/>
      <c r="H154" s="131"/>
      <c r="I154" s="142"/>
      <c r="J154" s="142"/>
      <c r="K154" s="132"/>
      <c r="L154" s="131"/>
      <c r="M154" s="142"/>
      <c r="N154" s="142"/>
      <c r="O154" s="142"/>
      <c r="P154" s="142"/>
      <c r="Q154" s="142"/>
      <c r="R154" s="142"/>
      <c r="S154" s="142"/>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30"/>
      <c r="AQ154" s="130"/>
      <c r="AR154" s="130"/>
      <c r="AS154" s="130"/>
      <c r="AT154" s="130"/>
      <c r="AU154" s="130"/>
      <c r="AV154" s="130"/>
      <c r="AW154" s="130"/>
      <c r="AX154" s="130"/>
      <c r="AY154" s="130"/>
      <c r="AZ154" s="130"/>
      <c r="BA154" s="130"/>
      <c r="BB154" s="130"/>
      <c r="BC154" s="130"/>
      <c r="BD154" s="130"/>
    </row>
    <row r="155" ht="15.75" customHeight="1">
      <c r="A155" s="142"/>
      <c r="B155" s="142"/>
      <c r="C155" s="198"/>
      <c r="D155" s="142"/>
      <c r="E155" s="131"/>
      <c r="F155" s="142"/>
      <c r="G155" s="142"/>
      <c r="H155" s="131"/>
      <c r="I155" s="142"/>
      <c r="J155" s="142"/>
      <c r="K155" s="132"/>
      <c r="L155" s="131"/>
      <c r="M155" s="142"/>
      <c r="N155" s="142"/>
      <c r="O155" s="142"/>
      <c r="P155" s="142"/>
      <c r="Q155" s="142"/>
      <c r="R155" s="142"/>
      <c r="S155" s="142"/>
      <c r="T155" s="142"/>
      <c r="U155" s="142"/>
      <c r="V155" s="142"/>
      <c r="W155" s="142"/>
      <c r="X155" s="142"/>
      <c r="Y155" s="142"/>
      <c r="Z155" s="142"/>
      <c r="AA155" s="142"/>
      <c r="AB155" s="142"/>
      <c r="AC155" s="142"/>
      <c r="AD155" s="142"/>
      <c r="AE155" s="142"/>
      <c r="AF155" s="142"/>
      <c r="AG155" s="142"/>
      <c r="AH155" s="142"/>
      <c r="AI155" s="142"/>
      <c r="AJ155" s="142"/>
      <c r="AK155" s="142"/>
      <c r="AL155" s="142"/>
      <c r="AM155" s="142"/>
      <c r="AN155" s="142"/>
      <c r="AO155" s="142"/>
      <c r="AP155" s="130"/>
      <c r="AQ155" s="130"/>
      <c r="AR155" s="130"/>
      <c r="AS155" s="130"/>
      <c r="AT155" s="130"/>
      <c r="AU155" s="130"/>
      <c r="AV155" s="130"/>
      <c r="AW155" s="130"/>
      <c r="AX155" s="130"/>
      <c r="AY155" s="130"/>
      <c r="AZ155" s="130"/>
      <c r="BA155" s="130"/>
      <c r="BB155" s="130"/>
      <c r="BC155" s="130"/>
      <c r="BD155" s="130"/>
    </row>
    <row r="156" ht="15.75" customHeight="1">
      <c r="A156" s="142"/>
      <c r="B156" s="142"/>
      <c r="C156" s="198"/>
      <c r="D156" s="142"/>
      <c r="E156" s="131"/>
      <c r="F156" s="142"/>
      <c r="G156" s="142"/>
      <c r="H156" s="131"/>
      <c r="I156" s="142"/>
      <c r="J156" s="142"/>
      <c r="K156" s="132"/>
      <c r="L156" s="131"/>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30"/>
      <c r="AQ156" s="130"/>
      <c r="AR156" s="130"/>
      <c r="AS156" s="130"/>
      <c r="AT156" s="130"/>
      <c r="AU156" s="130"/>
      <c r="AV156" s="130"/>
      <c r="AW156" s="130"/>
      <c r="AX156" s="130"/>
      <c r="AY156" s="130"/>
      <c r="AZ156" s="130"/>
      <c r="BA156" s="130"/>
      <c r="BB156" s="130"/>
      <c r="BC156" s="130"/>
      <c r="BD156" s="130"/>
    </row>
    <row r="157" ht="15.75" customHeight="1">
      <c r="A157" s="142"/>
      <c r="B157" s="142"/>
      <c r="C157" s="198"/>
      <c r="D157" s="142"/>
      <c r="E157" s="131"/>
      <c r="F157" s="142"/>
      <c r="G157" s="142"/>
      <c r="H157" s="131"/>
      <c r="I157" s="142"/>
      <c r="J157" s="142"/>
      <c r="K157" s="132"/>
      <c r="L157" s="131"/>
      <c r="M157" s="142"/>
      <c r="N157" s="142"/>
      <c r="O157" s="142"/>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30"/>
      <c r="AQ157" s="130"/>
      <c r="AR157" s="130"/>
      <c r="AS157" s="130"/>
      <c r="AT157" s="130"/>
      <c r="AU157" s="130"/>
      <c r="AV157" s="130"/>
      <c r="AW157" s="130"/>
      <c r="AX157" s="130"/>
      <c r="AY157" s="130"/>
      <c r="AZ157" s="130"/>
      <c r="BA157" s="130"/>
      <c r="BB157" s="130"/>
      <c r="BC157" s="130"/>
      <c r="BD157" s="130"/>
    </row>
    <row r="158" ht="15.75" customHeight="1">
      <c r="A158" s="142"/>
      <c r="B158" s="142"/>
      <c r="C158" s="198"/>
      <c r="D158" s="142"/>
      <c r="E158" s="131"/>
      <c r="F158" s="142"/>
      <c r="G158" s="142"/>
      <c r="H158" s="131"/>
      <c r="I158" s="142"/>
      <c r="J158" s="142"/>
      <c r="K158" s="132"/>
      <c r="L158" s="131"/>
      <c r="M158" s="142"/>
      <c r="N158" s="142"/>
      <c r="O158" s="142"/>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30"/>
      <c r="AQ158" s="130"/>
      <c r="AR158" s="130"/>
      <c r="AS158" s="130"/>
      <c r="AT158" s="130"/>
      <c r="AU158" s="130"/>
      <c r="AV158" s="130"/>
      <c r="AW158" s="130"/>
      <c r="AX158" s="130"/>
      <c r="AY158" s="130"/>
      <c r="AZ158" s="130"/>
      <c r="BA158" s="130"/>
      <c r="BB158" s="130"/>
      <c r="BC158" s="130"/>
      <c r="BD158" s="130"/>
    </row>
    <row r="159" ht="15.75" customHeight="1">
      <c r="A159" s="142"/>
      <c r="B159" s="142"/>
      <c r="C159" s="198"/>
      <c r="D159" s="142"/>
      <c r="E159" s="131"/>
      <c r="F159" s="142"/>
      <c r="G159" s="142"/>
      <c r="H159" s="131"/>
      <c r="I159" s="142"/>
      <c r="J159" s="142"/>
      <c r="K159" s="132"/>
      <c r="L159" s="131"/>
      <c r="M159" s="142"/>
      <c r="N159" s="142"/>
      <c r="O159" s="142"/>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30"/>
      <c r="AQ159" s="130"/>
      <c r="AR159" s="130"/>
      <c r="AS159" s="130"/>
      <c r="AT159" s="130"/>
      <c r="AU159" s="130"/>
      <c r="AV159" s="130"/>
      <c r="AW159" s="130"/>
      <c r="AX159" s="130"/>
      <c r="AY159" s="130"/>
      <c r="AZ159" s="130"/>
      <c r="BA159" s="130"/>
      <c r="BB159" s="130"/>
      <c r="BC159" s="130"/>
      <c r="BD159" s="130"/>
    </row>
    <row r="160" ht="15.75" customHeight="1">
      <c r="A160" s="142"/>
      <c r="B160" s="142"/>
      <c r="C160" s="198"/>
      <c r="D160" s="142"/>
      <c r="E160" s="131"/>
      <c r="F160" s="142"/>
      <c r="G160" s="142"/>
      <c r="H160" s="131"/>
      <c r="I160" s="142"/>
      <c r="J160" s="142"/>
      <c r="K160" s="132"/>
      <c r="L160" s="131"/>
      <c r="M160" s="142"/>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30"/>
      <c r="AQ160" s="130"/>
      <c r="AR160" s="130"/>
      <c r="AS160" s="130"/>
      <c r="AT160" s="130"/>
      <c r="AU160" s="130"/>
      <c r="AV160" s="130"/>
      <c r="AW160" s="130"/>
      <c r="AX160" s="130"/>
      <c r="AY160" s="130"/>
      <c r="AZ160" s="130"/>
      <c r="BA160" s="130"/>
      <c r="BB160" s="130"/>
      <c r="BC160" s="130"/>
      <c r="BD160" s="130"/>
    </row>
    <row r="161" ht="15.75" customHeight="1">
      <c r="A161" s="142"/>
      <c r="B161" s="142"/>
      <c r="C161" s="198"/>
      <c r="D161" s="142"/>
      <c r="E161" s="131"/>
      <c r="F161" s="142"/>
      <c r="G161" s="142"/>
      <c r="H161" s="131"/>
      <c r="I161" s="142"/>
      <c r="J161" s="142"/>
      <c r="K161" s="132"/>
      <c r="L161" s="131"/>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30"/>
      <c r="AQ161" s="130"/>
      <c r="AR161" s="130"/>
      <c r="AS161" s="130"/>
      <c r="AT161" s="130"/>
      <c r="AU161" s="130"/>
      <c r="AV161" s="130"/>
      <c r="AW161" s="130"/>
      <c r="AX161" s="130"/>
      <c r="AY161" s="130"/>
      <c r="AZ161" s="130"/>
      <c r="BA161" s="130"/>
      <c r="BB161" s="130"/>
      <c r="BC161" s="130"/>
      <c r="BD161" s="130"/>
    </row>
    <row r="162" ht="15.75" customHeight="1">
      <c r="A162" s="142"/>
      <c r="B162" s="142"/>
      <c r="C162" s="198"/>
      <c r="D162" s="142"/>
      <c r="E162" s="131"/>
      <c r="F162" s="142"/>
      <c r="G162" s="142"/>
      <c r="H162" s="131"/>
      <c r="I162" s="142"/>
      <c r="J162" s="142"/>
      <c r="K162" s="132"/>
      <c r="L162" s="131"/>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30"/>
      <c r="AQ162" s="130"/>
      <c r="AR162" s="130"/>
      <c r="AS162" s="130"/>
      <c r="AT162" s="130"/>
      <c r="AU162" s="130"/>
      <c r="AV162" s="130"/>
      <c r="AW162" s="130"/>
      <c r="AX162" s="130"/>
      <c r="AY162" s="130"/>
      <c r="AZ162" s="130"/>
      <c r="BA162" s="130"/>
      <c r="BB162" s="130"/>
      <c r="BC162" s="130"/>
      <c r="BD162" s="130"/>
    </row>
    <row r="163" ht="15.75" customHeight="1">
      <c r="A163" s="142"/>
      <c r="B163" s="142"/>
      <c r="C163" s="198"/>
      <c r="D163" s="142"/>
      <c r="E163" s="131"/>
      <c r="F163" s="142"/>
      <c r="G163" s="142"/>
      <c r="H163" s="131"/>
      <c r="I163" s="142"/>
      <c r="J163" s="142"/>
      <c r="K163" s="132"/>
      <c r="L163" s="131"/>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30"/>
      <c r="AQ163" s="130"/>
      <c r="AR163" s="130"/>
      <c r="AS163" s="130"/>
      <c r="AT163" s="130"/>
      <c r="AU163" s="130"/>
      <c r="AV163" s="130"/>
      <c r="AW163" s="130"/>
      <c r="AX163" s="130"/>
      <c r="AY163" s="130"/>
      <c r="AZ163" s="130"/>
      <c r="BA163" s="130"/>
      <c r="BB163" s="130"/>
      <c r="BC163" s="130"/>
      <c r="BD163" s="130"/>
    </row>
    <row r="164" ht="15.75" customHeight="1">
      <c r="A164" s="142"/>
      <c r="B164" s="142"/>
      <c r="C164" s="198"/>
      <c r="D164" s="142"/>
      <c r="E164" s="131"/>
      <c r="F164" s="142"/>
      <c r="G164" s="142"/>
      <c r="H164" s="131"/>
      <c r="I164" s="142"/>
      <c r="J164" s="142"/>
      <c r="K164" s="132"/>
      <c r="L164" s="131"/>
      <c r="M164" s="142"/>
      <c r="N164" s="142"/>
      <c r="O164" s="142"/>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30"/>
      <c r="AQ164" s="130"/>
      <c r="AR164" s="130"/>
      <c r="AS164" s="130"/>
      <c r="AT164" s="130"/>
      <c r="AU164" s="130"/>
      <c r="AV164" s="130"/>
      <c r="AW164" s="130"/>
      <c r="AX164" s="130"/>
      <c r="AY164" s="130"/>
      <c r="AZ164" s="130"/>
      <c r="BA164" s="130"/>
      <c r="BB164" s="130"/>
      <c r="BC164" s="130"/>
      <c r="BD164" s="130"/>
    </row>
    <row r="165" ht="15.75" customHeight="1">
      <c r="A165" s="142"/>
      <c r="B165" s="142"/>
      <c r="C165" s="198"/>
      <c r="D165" s="142"/>
      <c r="E165" s="131"/>
      <c r="F165" s="142"/>
      <c r="G165" s="142"/>
      <c r="H165" s="131"/>
      <c r="I165" s="142"/>
      <c r="J165" s="142"/>
      <c r="K165" s="132"/>
      <c r="L165" s="131"/>
      <c r="M165" s="142"/>
      <c r="N165" s="142"/>
      <c r="O165" s="142"/>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30"/>
      <c r="AQ165" s="130"/>
      <c r="AR165" s="130"/>
      <c r="AS165" s="130"/>
      <c r="AT165" s="130"/>
      <c r="AU165" s="130"/>
      <c r="AV165" s="130"/>
      <c r="AW165" s="130"/>
      <c r="AX165" s="130"/>
      <c r="AY165" s="130"/>
      <c r="AZ165" s="130"/>
      <c r="BA165" s="130"/>
      <c r="BB165" s="130"/>
      <c r="BC165" s="130"/>
      <c r="BD165" s="130"/>
    </row>
    <row r="166" ht="15.75" customHeight="1">
      <c r="A166" s="142"/>
      <c r="B166" s="142"/>
      <c r="C166" s="198"/>
      <c r="D166" s="142"/>
      <c r="E166" s="131"/>
      <c r="F166" s="142"/>
      <c r="G166" s="142"/>
      <c r="H166" s="131"/>
      <c r="I166" s="142"/>
      <c r="J166" s="142"/>
      <c r="K166" s="132"/>
      <c r="L166" s="131"/>
      <c r="M166" s="142"/>
      <c r="N166" s="142"/>
      <c r="O166" s="142"/>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30"/>
      <c r="AQ166" s="130"/>
      <c r="AR166" s="130"/>
      <c r="AS166" s="130"/>
      <c r="AT166" s="130"/>
      <c r="AU166" s="130"/>
      <c r="AV166" s="130"/>
      <c r="AW166" s="130"/>
      <c r="AX166" s="130"/>
      <c r="AY166" s="130"/>
      <c r="AZ166" s="130"/>
      <c r="BA166" s="130"/>
      <c r="BB166" s="130"/>
      <c r="BC166" s="130"/>
      <c r="BD166" s="130"/>
    </row>
    <row r="167" ht="15.75" customHeight="1">
      <c r="A167" s="142"/>
      <c r="B167" s="142"/>
      <c r="C167" s="198"/>
      <c r="D167" s="142"/>
      <c r="E167" s="131"/>
      <c r="F167" s="142"/>
      <c r="G167" s="142"/>
      <c r="H167" s="131"/>
      <c r="I167" s="142"/>
      <c r="J167" s="142"/>
      <c r="K167" s="132"/>
      <c r="L167" s="131"/>
      <c r="M167" s="142"/>
      <c r="N167" s="142"/>
      <c r="O167" s="142"/>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30"/>
      <c r="AQ167" s="130"/>
      <c r="AR167" s="130"/>
      <c r="AS167" s="130"/>
      <c r="AT167" s="130"/>
      <c r="AU167" s="130"/>
      <c r="AV167" s="130"/>
      <c r="AW167" s="130"/>
      <c r="AX167" s="130"/>
      <c r="AY167" s="130"/>
      <c r="AZ167" s="130"/>
      <c r="BA167" s="130"/>
      <c r="BB167" s="130"/>
      <c r="BC167" s="130"/>
      <c r="BD167" s="130"/>
    </row>
    <row r="168" ht="15.75" customHeight="1">
      <c r="A168" s="142"/>
      <c r="B168" s="142"/>
      <c r="C168" s="198"/>
      <c r="D168" s="142"/>
      <c r="E168" s="131"/>
      <c r="F168" s="142"/>
      <c r="G168" s="142"/>
      <c r="H168" s="131"/>
      <c r="I168" s="142"/>
      <c r="J168" s="142"/>
      <c r="K168" s="132"/>
      <c r="L168" s="131"/>
      <c r="M168" s="142"/>
      <c r="N168" s="142"/>
      <c r="O168" s="142"/>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30"/>
      <c r="AQ168" s="130"/>
      <c r="AR168" s="130"/>
      <c r="AS168" s="130"/>
      <c r="AT168" s="130"/>
      <c r="AU168" s="130"/>
      <c r="AV168" s="130"/>
      <c r="AW168" s="130"/>
      <c r="AX168" s="130"/>
      <c r="AY168" s="130"/>
      <c r="AZ168" s="130"/>
      <c r="BA168" s="130"/>
      <c r="BB168" s="130"/>
      <c r="BC168" s="130"/>
      <c r="BD168" s="130"/>
    </row>
    <row r="169" ht="15.75" customHeight="1">
      <c r="A169" s="142"/>
      <c r="B169" s="142"/>
      <c r="C169" s="198"/>
      <c r="D169" s="142"/>
      <c r="E169" s="131"/>
      <c r="F169" s="142"/>
      <c r="G169" s="142"/>
      <c r="H169" s="131"/>
      <c r="I169" s="142"/>
      <c r="J169" s="142"/>
      <c r="K169" s="132"/>
      <c r="L169" s="131"/>
      <c r="M169" s="142"/>
      <c r="N169" s="142"/>
      <c r="O169" s="142"/>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30"/>
      <c r="AQ169" s="130"/>
      <c r="AR169" s="130"/>
      <c r="AS169" s="130"/>
      <c r="AT169" s="130"/>
      <c r="AU169" s="130"/>
      <c r="AV169" s="130"/>
      <c r="AW169" s="130"/>
      <c r="AX169" s="130"/>
      <c r="AY169" s="130"/>
      <c r="AZ169" s="130"/>
      <c r="BA169" s="130"/>
      <c r="BB169" s="130"/>
      <c r="BC169" s="130"/>
      <c r="BD169" s="130"/>
    </row>
    <row r="170" ht="15.75" customHeight="1">
      <c r="A170" s="142"/>
      <c r="B170" s="142"/>
      <c r="C170" s="198"/>
      <c r="D170" s="142"/>
      <c r="E170" s="131"/>
      <c r="F170" s="142"/>
      <c r="G170" s="142"/>
      <c r="H170" s="131"/>
      <c r="I170" s="142"/>
      <c r="J170" s="142"/>
      <c r="K170" s="132"/>
      <c r="L170" s="131"/>
      <c r="M170" s="142"/>
      <c r="N170" s="142"/>
      <c r="O170" s="142"/>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30"/>
      <c r="AQ170" s="130"/>
      <c r="AR170" s="130"/>
      <c r="AS170" s="130"/>
      <c r="AT170" s="130"/>
      <c r="AU170" s="130"/>
      <c r="AV170" s="130"/>
      <c r="AW170" s="130"/>
      <c r="AX170" s="130"/>
      <c r="AY170" s="130"/>
      <c r="AZ170" s="130"/>
      <c r="BA170" s="130"/>
      <c r="BB170" s="130"/>
      <c r="BC170" s="130"/>
      <c r="BD170" s="130"/>
    </row>
    <row r="171" ht="15.75" customHeight="1">
      <c r="A171" s="142"/>
      <c r="B171" s="142"/>
      <c r="C171" s="198"/>
      <c r="D171" s="142"/>
      <c r="E171" s="131"/>
      <c r="F171" s="142"/>
      <c r="G171" s="142"/>
      <c r="H171" s="131"/>
      <c r="I171" s="142"/>
      <c r="J171" s="142"/>
      <c r="K171" s="132"/>
      <c r="L171" s="131"/>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30"/>
      <c r="AQ171" s="130"/>
      <c r="AR171" s="130"/>
      <c r="AS171" s="130"/>
      <c r="AT171" s="130"/>
      <c r="AU171" s="130"/>
      <c r="AV171" s="130"/>
      <c r="AW171" s="130"/>
      <c r="AX171" s="130"/>
      <c r="AY171" s="130"/>
      <c r="AZ171" s="130"/>
      <c r="BA171" s="130"/>
      <c r="BB171" s="130"/>
      <c r="BC171" s="130"/>
      <c r="BD171" s="130"/>
    </row>
    <row r="172" ht="15.75" customHeight="1">
      <c r="A172" s="142"/>
      <c r="B172" s="142"/>
      <c r="C172" s="198"/>
      <c r="D172" s="142"/>
      <c r="E172" s="131"/>
      <c r="F172" s="142"/>
      <c r="G172" s="142"/>
      <c r="H172" s="131"/>
      <c r="I172" s="142"/>
      <c r="J172" s="142"/>
      <c r="K172" s="132"/>
      <c r="L172" s="131"/>
      <c r="M172" s="142"/>
      <c r="N172" s="142"/>
      <c r="O172" s="142"/>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30"/>
      <c r="AQ172" s="130"/>
      <c r="AR172" s="130"/>
      <c r="AS172" s="130"/>
      <c r="AT172" s="130"/>
      <c r="AU172" s="130"/>
      <c r="AV172" s="130"/>
      <c r="AW172" s="130"/>
      <c r="AX172" s="130"/>
      <c r="AY172" s="130"/>
      <c r="AZ172" s="130"/>
      <c r="BA172" s="130"/>
      <c r="BB172" s="130"/>
      <c r="BC172" s="130"/>
      <c r="BD172" s="130"/>
    </row>
    <row r="173" ht="15.75" customHeight="1">
      <c r="A173" s="142"/>
      <c r="B173" s="142"/>
      <c r="C173" s="198"/>
      <c r="D173" s="142"/>
      <c r="E173" s="131"/>
      <c r="F173" s="142"/>
      <c r="G173" s="142"/>
      <c r="H173" s="131"/>
      <c r="I173" s="142"/>
      <c r="J173" s="142"/>
      <c r="K173" s="132"/>
      <c r="L173" s="131"/>
      <c r="M173" s="142"/>
      <c r="N173" s="142"/>
      <c r="O173" s="142"/>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30"/>
      <c r="AQ173" s="130"/>
      <c r="AR173" s="130"/>
      <c r="AS173" s="130"/>
      <c r="AT173" s="130"/>
      <c r="AU173" s="130"/>
      <c r="AV173" s="130"/>
      <c r="AW173" s="130"/>
      <c r="AX173" s="130"/>
      <c r="AY173" s="130"/>
      <c r="AZ173" s="130"/>
      <c r="BA173" s="130"/>
      <c r="BB173" s="130"/>
      <c r="BC173" s="130"/>
      <c r="BD173" s="130"/>
    </row>
    <row r="174" ht="15.75" customHeight="1">
      <c r="A174" s="142"/>
      <c r="B174" s="142"/>
      <c r="C174" s="198"/>
      <c r="D174" s="142"/>
      <c r="E174" s="131"/>
      <c r="F174" s="142"/>
      <c r="G174" s="142"/>
      <c r="H174" s="131"/>
      <c r="I174" s="142"/>
      <c r="J174" s="142"/>
      <c r="K174" s="132"/>
      <c r="L174" s="131"/>
      <c r="M174" s="142"/>
      <c r="N174" s="142"/>
      <c r="O174" s="142"/>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30"/>
      <c r="AQ174" s="130"/>
      <c r="AR174" s="130"/>
      <c r="AS174" s="130"/>
      <c r="AT174" s="130"/>
      <c r="AU174" s="130"/>
      <c r="AV174" s="130"/>
      <c r="AW174" s="130"/>
      <c r="AX174" s="130"/>
      <c r="AY174" s="130"/>
      <c r="AZ174" s="130"/>
      <c r="BA174" s="130"/>
      <c r="BB174" s="130"/>
      <c r="BC174" s="130"/>
      <c r="BD174" s="130"/>
    </row>
    <row r="175" ht="15.75" customHeight="1">
      <c r="A175" s="142"/>
      <c r="B175" s="142"/>
      <c r="C175" s="198"/>
      <c r="D175" s="142"/>
      <c r="E175" s="131"/>
      <c r="F175" s="142"/>
      <c r="G175" s="142"/>
      <c r="H175" s="131"/>
      <c r="I175" s="142"/>
      <c r="J175" s="142"/>
      <c r="K175" s="132"/>
      <c r="L175" s="131"/>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30"/>
      <c r="AQ175" s="130"/>
      <c r="AR175" s="130"/>
      <c r="AS175" s="130"/>
      <c r="AT175" s="130"/>
      <c r="AU175" s="130"/>
      <c r="AV175" s="130"/>
      <c r="AW175" s="130"/>
      <c r="AX175" s="130"/>
      <c r="AY175" s="130"/>
      <c r="AZ175" s="130"/>
      <c r="BA175" s="130"/>
      <c r="BB175" s="130"/>
      <c r="BC175" s="130"/>
      <c r="BD175" s="130"/>
    </row>
    <row r="176" ht="15.75" customHeight="1">
      <c r="A176" s="142"/>
      <c r="B176" s="142"/>
      <c r="C176" s="198"/>
      <c r="D176" s="142"/>
      <c r="E176" s="131"/>
      <c r="F176" s="142"/>
      <c r="G176" s="142"/>
      <c r="H176" s="131"/>
      <c r="I176" s="142"/>
      <c r="J176" s="142"/>
      <c r="K176" s="132"/>
      <c r="L176" s="131"/>
      <c r="M176" s="142"/>
      <c r="N176" s="142"/>
      <c r="O176" s="142"/>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30"/>
      <c r="AQ176" s="130"/>
      <c r="AR176" s="130"/>
      <c r="AS176" s="130"/>
      <c r="AT176" s="130"/>
      <c r="AU176" s="130"/>
      <c r="AV176" s="130"/>
      <c r="AW176" s="130"/>
      <c r="AX176" s="130"/>
      <c r="AY176" s="130"/>
      <c r="AZ176" s="130"/>
      <c r="BA176" s="130"/>
      <c r="BB176" s="130"/>
      <c r="BC176" s="130"/>
      <c r="BD176" s="130"/>
    </row>
    <row r="177" ht="15.75" customHeight="1">
      <c r="A177" s="142"/>
      <c r="B177" s="142"/>
      <c r="C177" s="198"/>
      <c r="D177" s="142"/>
      <c r="E177" s="131"/>
      <c r="F177" s="142"/>
      <c r="G177" s="142"/>
      <c r="H177" s="131"/>
      <c r="I177" s="142"/>
      <c r="J177" s="142"/>
      <c r="K177" s="132"/>
      <c r="L177" s="131"/>
      <c r="M177" s="142"/>
      <c r="N177" s="142"/>
      <c r="O177" s="142"/>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30"/>
      <c r="AQ177" s="130"/>
      <c r="AR177" s="130"/>
      <c r="AS177" s="130"/>
      <c r="AT177" s="130"/>
      <c r="AU177" s="130"/>
      <c r="AV177" s="130"/>
      <c r="AW177" s="130"/>
      <c r="AX177" s="130"/>
      <c r="AY177" s="130"/>
      <c r="AZ177" s="130"/>
      <c r="BA177" s="130"/>
      <c r="BB177" s="130"/>
      <c r="BC177" s="130"/>
      <c r="BD177" s="130"/>
    </row>
    <row r="178" ht="15.75" customHeight="1">
      <c r="A178" s="142"/>
      <c r="B178" s="142"/>
      <c r="C178" s="198"/>
      <c r="D178" s="142"/>
      <c r="E178" s="131"/>
      <c r="F178" s="142"/>
      <c r="G178" s="142"/>
      <c r="H178" s="131"/>
      <c r="I178" s="142"/>
      <c r="J178" s="142"/>
      <c r="K178" s="132"/>
      <c r="L178" s="131"/>
      <c r="M178" s="142"/>
      <c r="N178" s="142"/>
      <c r="O178" s="142"/>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30"/>
      <c r="AQ178" s="130"/>
      <c r="AR178" s="130"/>
      <c r="AS178" s="130"/>
      <c r="AT178" s="130"/>
      <c r="AU178" s="130"/>
      <c r="AV178" s="130"/>
      <c r="AW178" s="130"/>
      <c r="AX178" s="130"/>
      <c r="AY178" s="130"/>
      <c r="AZ178" s="130"/>
      <c r="BA178" s="130"/>
      <c r="BB178" s="130"/>
      <c r="BC178" s="130"/>
      <c r="BD178" s="130"/>
    </row>
    <row r="179" ht="15.75" customHeight="1">
      <c r="A179" s="142"/>
      <c r="B179" s="142"/>
      <c r="C179" s="198"/>
      <c r="D179" s="142"/>
      <c r="E179" s="131"/>
      <c r="F179" s="142"/>
      <c r="G179" s="142"/>
      <c r="H179" s="131"/>
      <c r="I179" s="142"/>
      <c r="J179" s="142"/>
      <c r="K179" s="132"/>
      <c r="L179" s="131"/>
      <c r="M179" s="142"/>
      <c r="N179" s="142"/>
      <c r="O179" s="142"/>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30"/>
      <c r="AQ179" s="130"/>
      <c r="AR179" s="130"/>
      <c r="AS179" s="130"/>
      <c r="AT179" s="130"/>
      <c r="AU179" s="130"/>
      <c r="AV179" s="130"/>
      <c r="AW179" s="130"/>
      <c r="AX179" s="130"/>
      <c r="AY179" s="130"/>
      <c r="AZ179" s="130"/>
      <c r="BA179" s="130"/>
      <c r="BB179" s="130"/>
      <c r="BC179" s="130"/>
      <c r="BD179" s="130"/>
    </row>
    <row r="180" ht="15.75" customHeight="1">
      <c r="A180" s="142"/>
      <c r="B180" s="142"/>
      <c r="C180" s="198"/>
      <c r="D180" s="142"/>
      <c r="E180" s="131"/>
      <c r="F180" s="142"/>
      <c r="G180" s="142"/>
      <c r="H180" s="131"/>
      <c r="I180" s="142"/>
      <c r="J180" s="142"/>
      <c r="K180" s="132"/>
      <c r="L180" s="131"/>
      <c r="M180" s="142"/>
      <c r="N180" s="142"/>
      <c r="O180" s="142"/>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30"/>
      <c r="AQ180" s="130"/>
      <c r="AR180" s="130"/>
      <c r="AS180" s="130"/>
      <c r="AT180" s="130"/>
      <c r="AU180" s="130"/>
      <c r="AV180" s="130"/>
      <c r="AW180" s="130"/>
      <c r="AX180" s="130"/>
      <c r="AY180" s="130"/>
      <c r="AZ180" s="130"/>
      <c r="BA180" s="130"/>
      <c r="BB180" s="130"/>
      <c r="BC180" s="130"/>
      <c r="BD180" s="130"/>
    </row>
    <row r="181" ht="15.75" customHeight="1">
      <c r="A181" s="142"/>
      <c r="B181" s="142"/>
      <c r="C181" s="198"/>
      <c r="D181" s="142"/>
      <c r="E181" s="131"/>
      <c r="F181" s="142"/>
      <c r="G181" s="142"/>
      <c r="H181" s="131"/>
      <c r="I181" s="142"/>
      <c r="J181" s="142"/>
      <c r="K181" s="132"/>
      <c r="L181" s="131"/>
      <c r="M181" s="142"/>
      <c r="N181" s="142"/>
      <c r="O181" s="142"/>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30"/>
      <c r="AQ181" s="130"/>
      <c r="AR181" s="130"/>
      <c r="AS181" s="130"/>
      <c r="AT181" s="130"/>
      <c r="AU181" s="130"/>
      <c r="AV181" s="130"/>
      <c r="AW181" s="130"/>
      <c r="AX181" s="130"/>
      <c r="AY181" s="130"/>
      <c r="AZ181" s="130"/>
      <c r="BA181" s="130"/>
      <c r="BB181" s="130"/>
      <c r="BC181" s="130"/>
      <c r="BD181" s="130"/>
    </row>
    <row r="182" ht="15.75" customHeight="1">
      <c r="A182" s="142"/>
      <c r="B182" s="142"/>
      <c r="C182" s="198"/>
      <c r="D182" s="142"/>
      <c r="E182" s="131"/>
      <c r="F182" s="142"/>
      <c r="G182" s="142"/>
      <c r="H182" s="131"/>
      <c r="I182" s="142"/>
      <c r="J182" s="142"/>
      <c r="K182" s="132"/>
      <c r="L182" s="131"/>
      <c r="M182" s="142"/>
      <c r="N182" s="142"/>
      <c r="O182" s="142"/>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30"/>
      <c r="AQ182" s="130"/>
      <c r="AR182" s="130"/>
      <c r="AS182" s="130"/>
      <c r="AT182" s="130"/>
      <c r="AU182" s="130"/>
      <c r="AV182" s="130"/>
      <c r="AW182" s="130"/>
      <c r="AX182" s="130"/>
      <c r="AY182" s="130"/>
      <c r="AZ182" s="130"/>
      <c r="BA182" s="130"/>
      <c r="BB182" s="130"/>
      <c r="BC182" s="130"/>
      <c r="BD182" s="130"/>
    </row>
    <row r="183" ht="15.75" customHeight="1">
      <c r="A183" s="142"/>
      <c r="B183" s="142"/>
      <c r="C183" s="198"/>
      <c r="D183" s="142"/>
      <c r="E183" s="131"/>
      <c r="F183" s="142"/>
      <c r="G183" s="142"/>
      <c r="H183" s="131"/>
      <c r="I183" s="142"/>
      <c r="J183" s="142"/>
      <c r="K183" s="132"/>
      <c r="L183" s="131"/>
      <c r="M183" s="142"/>
      <c r="N183" s="142"/>
      <c r="O183" s="142"/>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30"/>
      <c r="AQ183" s="130"/>
      <c r="AR183" s="130"/>
      <c r="AS183" s="130"/>
      <c r="AT183" s="130"/>
      <c r="AU183" s="130"/>
      <c r="AV183" s="130"/>
      <c r="AW183" s="130"/>
      <c r="AX183" s="130"/>
      <c r="AY183" s="130"/>
      <c r="AZ183" s="130"/>
      <c r="BA183" s="130"/>
      <c r="BB183" s="130"/>
      <c r="BC183" s="130"/>
      <c r="BD183" s="130"/>
    </row>
    <row r="184" ht="15.75" customHeight="1">
      <c r="A184" s="142"/>
      <c r="B184" s="142"/>
      <c r="C184" s="198"/>
      <c r="D184" s="142"/>
      <c r="E184" s="131"/>
      <c r="F184" s="142"/>
      <c r="G184" s="142"/>
      <c r="H184" s="131"/>
      <c r="I184" s="142"/>
      <c r="J184" s="142"/>
      <c r="K184" s="132"/>
      <c r="L184" s="131"/>
      <c r="M184" s="142"/>
      <c r="N184" s="142"/>
      <c r="O184" s="142"/>
      <c r="P184" s="142"/>
      <c r="Q184" s="142"/>
      <c r="R184" s="142"/>
      <c r="S184" s="142"/>
      <c r="T184" s="142"/>
      <c r="U184" s="142"/>
      <c r="V184" s="142"/>
      <c r="W184" s="142"/>
      <c r="X184" s="142"/>
      <c r="Y184" s="142"/>
      <c r="Z184" s="142"/>
      <c r="AA184" s="142"/>
      <c r="AB184" s="142"/>
      <c r="AC184" s="142"/>
      <c r="AD184" s="142"/>
      <c r="AE184" s="142"/>
      <c r="AF184" s="142"/>
      <c r="AG184" s="142"/>
      <c r="AH184" s="142"/>
      <c r="AI184" s="142"/>
      <c r="AJ184" s="142"/>
      <c r="AK184" s="142"/>
      <c r="AL184" s="142"/>
      <c r="AM184" s="142"/>
      <c r="AN184" s="142"/>
      <c r="AO184" s="142"/>
      <c r="AP184" s="130"/>
      <c r="AQ184" s="130"/>
      <c r="AR184" s="130"/>
      <c r="AS184" s="130"/>
      <c r="AT184" s="130"/>
      <c r="AU184" s="130"/>
      <c r="AV184" s="130"/>
      <c r="AW184" s="130"/>
      <c r="AX184" s="130"/>
      <c r="AY184" s="130"/>
      <c r="AZ184" s="130"/>
      <c r="BA184" s="130"/>
      <c r="BB184" s="130"/>
      <c r="BC184" s="130"/>
      <c r="BD184" s="130"/>
    </row>
    <row r="185" ht="15.75" customHeight="1">
      <c r="A185" s="142"/>
      <c r="B185" s="142"/>
      <c r="C185" s="198"/>
      <c r="D185" s="142"/>
      <c r="E185" s="131"/>
      <c r="F185" s="142"/>
      <c r="G185" s="142"/>
      <c r="H185" s="131"/>
      <c r="I185" s="142"/>
      <c r="J185" s="142"/>
      <c r="K185" s="132"/>
      <c r="L185" s="131"/>
      <c r="M185" s="142"/>
      <c r="N185" s="142"/>
      <c r="O185" s="142"/>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2"/>
      <c r="AP185" s="130"/>
      <c r="AQ185" s="130"/>
      <c r="AR185" s="130"/>
      <c r="AS185" s="130"/>
      <c r="AT185" s="130"/>
      <c r="AU185" s="130"/>
      <c r="AV185" s="130"/>
      <c r="AW185" s="130"/>
      <c r="AX185" s="130"/>
      <c r="AY185" s="130"/>
      <c r="AZ185" s="130"/>
      <c r="BA185" s="130"/>
      <c r="BB185" s="130"/>
      <c r="BC185" s="130"/>
      <c r="BD185" s="130"/>
    </row>
    <row r="186" ht="15.75" customHeight="1">
      <c r="A186" s="142"/>
      <c r="B186" s="142"/>
      <c r="C186" s="198"/>
      <c r="D186" s="142"/>
      <c r="E186" s="131"/>
      <c r="F186" s="142"/>
      <c r="G186" s="142"/>
      <c r="H186" s="131"/>
      <c r="I186" s="142"/>
      <c r="J186" s="142"/>
      <c r="K186" s="132"/>
      <c r="L186" s="131"/>
      <c r="M186" s="142"/>
      <c r="N186" s="142"/>
      <c r="O186" s="142"/>
      <c r="P186" s="142"/>
      <c r="Q186" s="142"/>
      <c r="R186" s="142"/>
      <c r="S186" s="142"/>
      <c r="T186" s="142"/>
      <c r="U186" s="142"/>
      <c r="V186" s="142"/>
      <c r="W186" s="142"/>
      <c r="X186" s="142"/>
      <c r="Y186" s="142"/>
      <c r="Z186" s="142"/>
      <c r="AA186" s="142"/>
      <c r="AB186" s="142"/>
      <c r="AC186" s="142"/>
      <c r="AD186" s="142"/>
      <c r="AE186" s="142"/>
      <c r="AF186" s="142"/>
      <c r="AG186" s="142"/>
      <c r="AH186" s="142"/>
      <c r="AI186" s="142"/>
      <c r="AJ186" s="142"/>
      <c r="AK186" s="142"/>
      <c r="AL186" s="142"/>
      <c r="AM186" s="142"/>
      <c r="AN186" s="142"/>
      <c r="AO186" s="142"/>
      <c r="AP186" s="130"/>
      <c r="AQ186" s="130"/>
      <c r="AR186" s="130"/>
      <c r="AS186" s="130"/>
      <c r="AT186" s="130"/>
      <c r="AU186" s="130"/>
      <c r="AV186" s="130"/>
      <c r="AW186" s="130"/>
      <c r="AX186" s="130"/>
      <c r="AY186" s="130"/>
      <c r="AZ186" s="130"/>
      <c r="BA186" s="130"/>
      <c r="BB186" s="130"/>
      <c r="BC186" s="130"/>
      <c r="BD186" s="130"/>
    </row>
    <row r="187" ht="15.75" customHeight="1">
      <c r="A187" s="142"/>
      <c r="B187" s="142"/>
      <c r="C187" s="198"/>
      <c r="D187" s="142"/>
      <c r="E187" s="131"/>
      <c r="F187" s="142"/>
      <c r="G187" s="142"/>
      <c r="H187" s="131"/>
      <c r="I187" s="142"/>
      <c r="J187" s="142"/>
      <c r="K187" s="132"/>
      <c r="L187" s="131"/>
      <c r="M187" s="142"/>
      <c r="N187" s="142"/>
      <c r="O187" s="142"/>
      <c r="P187" s="142"/>
      <c r="Q187" s="142"/>
      <c r="R187" s="142"/>
      <c r="S187" s="142"/>
      <c r="T187" s="142"/>
      <c r="U187" s="142"/>
      <c r="V187" s="142"/>
      <c r="W187" s="142"/>
      <c r="X187" s="142"/>
      <c r="Y187" s="142"/>
      <c r="Z187" s="142"/>
      <c r="AA187" s="142"/>
      <c r="AB187" s="142"/>
      <c r="AC187" s="142"/>
      <c r="AD187" s="142"/>
      <c r="AE187" s="142"/>
      <c r="AF187" s="142"/>
      <c r="AG187" s="142"/>
      <c r="AH187" s="142"/>
      <c r="AI187" s="142"/>
      <c r="AJ187" s="142"/>
      <c r="AK187" s="142"/>
      <c r="AL187" s="142"/>
      <c r="AM187" s="142"/>
      <c r="AN187" s="142"/>
      <c r="AO187" s="142"/>
      <c r="AP187" s="130"/>
      <c r="AQ187" s="130"/>
      <c r="AR187" s="130"/>
      <c r="AS187" s="130"/>
      <c r="AT187" s="130"/>
      <c r="AU187" s="130"/>
      <c r="AV187" s="130"/>
      <c r="AW187" s="130"/>
      <c r="AX187" s="130"/>
      <c r="AY187" s="130"/>
      <c r="AZ187" s="130"/>
      <c r="BA187" s="130"/>
      <c r="BB187" s="130"/>
      <c r="BC187" s="130"/>
      <c r="BD187" s="130"/>
    </row>
    <row r="188" ht="15.75" customHeight="1">
      <c r="A188" s="142"/>
      <c r="B188" s="142"/>
      <c r="C188" s="198"/>
      <c r="D188" s="142"/>
      <c r="E188" s="131"/>
      <c r="F188" s="142"/>
      <c r="G188" s="142"/>
      <c r="H188" s="131"/>
      <c r="I188" s="142"/>
      <c r="J188" s="142"/>
      <c r="K188" s="132"/>
      <c r="L188" s="131"/>
      <c r="M188" s="142"/>
      <c r="N188" s="142"/>
      <c r="O188" s="142"/>
      <c r="P188" s="142"/>
      <c r="Q188" s="142"/>
      <c r="R188" s="142"/>
      <c r="S188" s="142"/>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2"/>
      <c r="AP188" s="130"/>
      <c r="AQ188" s="130"/>
      <c r="AR188" s="130"/>
      <c r="AS188" s="130"/>
      <c r="AT188" s="130"/>
      <c r="AU188" s="130"/>
      <c r="AV188" s="130"/>
      <c r="AW188" s="130"/>
      <c r="AX188" s="130"/>
      <c r="AY188" s="130"/>
      <c r="AZ188" s="130"/>
      <c r="BA188" s="130"/>
      <c r="BB188" s="130"/>
      <c r="BC188" s="130"/>
      <c r="BD188" s="130"/>
    </row>
    <row r="189" ht="15.75" customHeight="1">
      <c r="A189" s="142"/>
      <c r="B189" s="142"/>
      <c r="C189" s="198"/>
      <c r="D189" s="142"/>
      <c r="E189" s="131"/>
      <c r="F189" s="142"/>
      <c r="G189" s="142"/>
      <c r="H189" s="131"/>
      <c r="I189" s="142"/>
      <c r="J189" s="142"/>
      <c r="K189" s="132"/>
      <c r="L189" s="131"/>
      <c r="M189" s="142"/>
      <c r="N189" s="142"/>
      <c r="O189" s="142"/>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2"/>
      <c r="AP189" s="130"/>
      <c r="AQ189" s="130"/>
      <c r="AR189" s="130"/>
      <c r="AS189" s="130"/>
      <c r="AT189" s="130"/>
      <c r="AU189" s="130"/>
      <c r="AV189" s="130"/>
      <c r="AW189" s="130"/>
      <c r="AX189" s="130"/>
      <c r="AY189" s="130"/>
      <c r="AZ189" s="130"/>
      <c r="BA189" s="130"/>
      <c r="BB189" s="130"/>
      <c r="BC189" s="130"/>
      <c r="BD189" s="130"/>
    </row>
    <row r="190" ht="15.75" customHeight="1">
      <c r="A190" s="142"/>
      <c r="B190" s="142"/>
      <c r="C190" s="198"/>
      <c r="D190" s="142"/>
      <c r="E190" s="131"/>
      <c r="F190" s="142"/>
      <c r="G190" s="142"/>
      <c r="H190" s="131"/>
      <c r="I190" s="142"/>
      <c r="J190" s="142"/>
      <c r="K190" s="132"/>
      <c r="L190" s="131"/>
      <c r="M190" s="142"/>
      <c r="N190" s="142"/>
      <c r="O190" s="142"/>
      <c r="P190" s="142"/>
      <c r="Q190" s="142"/>
      <c r="R190" s="142"/>
      <c r="S190" s="142"/>
      <c r="T190" s="142"/>
      <c r="U190" s="142"/>
      <c r="V190" s="142"/>
      <c r="W190" s="142"/>
      <c r="X190" s="142"/>
      <c r="Y190" s="142"/>
      <c r="Z190" s="142"/>
      <c r="AA190" s="142"/>
      <c r="AB190" s="142"/>
      <c r="AC190" s="142"/>
      <c r="AD190" s="142"/>
      <c r="AE190" s="142"/>
      <c r="AF190" s="142"/>
      <c r="AG190" s="142"/>
      <c r="AH190" s="142"/>
      <c r="AI190" s="142"/>
      <c r="AJ190" s="142"/>
      <c r="AK190" s="142"/>
      <c r="AL190" s="142"/>
      <c r="AM190" s="142"/>
      <c r="AN190" s="142"/>
      <c r="AO190" s="142"/>
      <c r="AP190" s="130"/>
      <c r="AQ190" s="130"/>
      <c r="AR190" s="130"/>
      <c r="AS190" s="130"/>
      <c r="AT190" s="130"/>
      <c r="AU190" s="130"/>
      <c r="AV190" s="130"/>
      <c r="AW190" s="130"/>
      <c r="AX190" s="130"/>
      <c r="AY190" s="130"/>
      <c r="AZ190" s="130"/>
      <c r="BA190" s="130"/>
      <c r="BB190" s="130"/>
      <c r="BC190" s="130"/>
      <c r="BD190" s="130"/>
    </row>
    <row r="191" ht="15.75" customHeight="1">
      <c r="A191" s="142"/>
      <c r="B191" s="142"/>
      <c r="C191" s="198"/>
      <c r="D191" s="142"/>
      <c r="E191" s="131"/>
      <c r="F191" s="142"/>
      <c r="G191" s="142"/>
      <c r="H191" s="131"/>
      <c r="I191" s="142"/>
      <c r="J191" s="142"/>
      <c r="K191" s="132"/>
      <c r="L191" s="131"/>
      <c r="M191" s="142"/>
      <c r="N191" s="142"/>
      <c r="O191" s="142"/>
      <c r="P191" s="142"/>
      <c r="Q191" s="142"/>
      <c r="R191" s="142"/>
      <c r="S191" s="142"/>
      <c r="T191" s="142"/>
      <c r="U191" s="142"/>
      <c r="V191" s="142"/>
      <c r="W191" s="142"/>
      <c r="X191" s="142"/>
      <c r="Y191" s="142"/>
      <c r="Z191" s="142"/>
      <c r="AA191" s="142"/>
      <c r="AB191" s="142"/>
      <c r="AC191" s="142"/>
      <c r="AD191" s="142"/>
      <c r="AE191" s="142"/>
      <c r="AF191" s="142"/>
      <c r="AG191" s="142"/>
      <c r="AH191" s="142"/>
      <c r="AI191" s="142"/>
      <c r="AJ191" s="142"/>
      <c r="AK191" s="142"/>
      <c r="AL191" s="142"/>
      <c r="AM191" s="142"/>
      <c r="AN191" s="142"/>
      <c r="AO191" s="142"/>
      <c r="AP191" s="130"/>
      <c r="AQ191" s="130"/>
      <c r="AR191" s="130"/>
      <c r="AS191" s="130"/>
      <c r="AT191" s="130"/>
      <c r="AU191" s="130"/>
      <c r="AV191" s="130"/>
      <c r="AW191" s="130"/>
      <c r="AX191" s="130"/>
      <c r="AY191" s="130"/>
      <c r="AZ191" s="130"/>
      <c r="BA191" s="130"/>
      <c r="BB191" s="130"/>
      <c r="BC191" s="130"/>
      <c r="BD191" s="130"/>
    </row>
    <row r="192" ht="15.75" customHeight="1">
      <c r="A192" s="142"/>
      <c r="B192" s="142"/>
      <c r="C192" s="198"/>
      <c r="D192" s="142"/>
      <c r="E192" s="131"/>
      <c r="F192" s="142"/>
      <c r="G192" s="142"/>
      <c r="H192" s="131"/>
      <c r="I192" s="142"/>
      <c r="J192" s="142"/>
      <c r="K192" s="132"/>
      <c r="L192" s="131"/>
      <c r="M192" s="142"/>
      <c r="N192" s="142"/>
      <c r="O192" s="142"/>
      <c r="P192" s="142"/>
      <c r="Q192" s="142"/>
      <c r="R192" s="142"/>
      <c r="S192" s="142"/>
      <c r="T192" s="142"/>
      <c r="U192" s="142"/>
      <c r="V192" s="142"/>
      <c r="W192" s="142"/>
      <c r="X192" s="142"/>
      <c r="Y192" s="142"/>
      <c r="Z192" s="142"/>
      <c r="AA192" s="142"/>
      <c r="AB192" s="142"/>
      <c r="AC192" s="142"/>
      <c r="AD192" s="142"/>
      <c r="AE192" s="142"/>
      <c r="AF192" s="142"/>
      <c r="AG192" s="142"/>
      <c r="AH192" s="142"/>
      <c r="AI192" s="142"/>
      <c r="AJ192" s="142"/>
      <c r="AK192" s="142"/>
      <c r="AL192" s="142"/>
      <c r="AM192" s="142"/>
      <c r="AN192" s="142"/>
      <c r="AO192" s="142"/>
      <c r="AP192" s="130"/>
      <c r="AQ192" s="130"/>
      <c r="AR192" s="130"/>
      <c r="AS192" s="130"/>
      <c r="AT192" s="130"/>
      <c r="AU192" s="130"/>
      <c r="AV192" s="130"/>
      <c r="AW192" s="130"/>
      <c r="AX192" s="130"/>
      <c r="AY192" s="130"/>
      <c r="AZ192" s="130"/>
      <c r="BA192" s="130"/>
      <c r="BB192" s="130"/>
      <c r="BC192" s="130"/>
      <c r="BD192" s="130"/>
    </row>
    <row r="193" ht="15.75" customHeight="1">
      <c r="A193" s="142"/>
      <c r="B193" s="142"/>
      <c r="C193" s="198"/>
      <c r="D193" s="142"/>
      <c r="E193" s="131"/>
      <c r="F193" s="142"/>
      <c r="G193" s="142"/>
      <c r="H193" s="131"/>
      <c r="I193" s="142"/>
      <c r="J193" s="142"/>
      <c r="K193" s="132"/>
      <c r="L193" s="131"/>
      <c r="M193" s="142"/>
      <c r="N193" s="142"/>
      <c r="O193" s="142"/>
      <c r="P193" s="142"/>
      <c r="Q193" s="142"/>
      <c r="R193" s="142"/>
      <c r="S193" s="142"/>
      <c r="T193" s="142"/>
      <c r="U193" s="142"/>
      <c r="V193" s="142"/>
      <c r="W193" s="142"/>
      <c r="X193" s="142"/>
      <c r="Y193" s="142"/>
      <c r="Z193" s="142"/>
      <c r="AA193" s="142"/>
      <c r="AB193" s="142"/>
      <c r="AC193" s="142"/>
      <c r="AD193" s="142"/>
      <c r="AE193" s="142"/>
      <c r="AF193" s="142"/>
      <c r="AG193" s="142"/>
      <c r="AH193" s="142"/>
      <c r="AI193" s="142"/>
      <c r="AJ193" s="142"/>
      <c r="AK193" s="142"/>
      <c r="AL193" s="142"/>
      <c r="AM193" s="142"/>
      <c r="AN193" s="142"/>
      <c r="AO193" s="142"/>
      <c r="AP193" s="130"/>
      <c r="AQ193" s="130"/>
      <c r="AR193" s="130"/>
      <c r="AS193" s="130"/>
      <c r="AT193" s="130"/>
      <c r="AU193" s="130"/>
      <c r="AV193" s="130"/>
      <c r="AW193" s="130"/>
      <c r="AX193" s="130"/>
      <c r="AY193" s="130"/>
      <c r="AZ193" s="130"/>
      <c r="BA193" s="130"/>
      <c r="BB193" s="130"/>
      <c r="BC193" s="130"/>
      <c r="BD193" s="130"/>
    </row>
    <row r="194" ht="15.75" customHeight="1">
      <c r="A194" s="142"/>
      <c r="B194" s="142"/>
      <c r="C194" s="198"/>
      <c r="D194" s="142"/>
      <c r="E194" s="131"/>
      <c r="F194" s="142"/>
      <c r="G194" s="142"/>
      <c r="H194" s="131"/>
      <c r="I194" s="142"/>
      <c r="J194" s="142"/>
      <c r="K194" s="132"/>
      <c r="L194" s="131"/>
      <c r="M194" s="142"/>
      <c r="N194" s="142"/>
      <c r="O194" s="142"/>
      <c r="P194" s="142"/>
      <c r="Q194" s="142"/>
      <c r="R194" s="142"/>
      <c r="S194" s="142"/>
      <c r="T194" s="142"/>
      <c r="U194" s="142"/>
      <c r="V194" s="142"/>
      <c r="W194" s="142"/>
      <c r="X194" s="142"/>
      <c r="Y194" s="142"/>
      <c r="Z194" s="142"/>
      <c r="AA194" s="142"/>
      <c r="AB194" s="142"/>
      <c r="AC194" s="142"/>
      <c r="AD194" s="142"/>
      <c r="AE194" s="142"/>
      <c r="AF194" s="142"/>
      <c r="AG194" s="142"/>
      <c r="AH194" s="142"/>
      <c r="AI194" s="142"/>
      <c r="AJ194" s="142"/>
      <c r="AK194" s="142"/>
      <c r="AL194" s="142"/>
      <c r="AM194" s="142"/>
      <c r="AN194" s="142"/>
      <c r="AO194" s="142"/>
      <c r="AP194" s="130"/>
      <c r="AQ194" s="130"/>
      <c r="AR194" s="130"/>
      <c r="AS194" s="130"/>
      <c r="AT194" s="130"/>
      <c r="AU194" s="130"/>
      <c r="AV194" s="130"/>
      <c r="AW194" s="130"/>
      <c r="AX194" s="130"/>
      <c r="AY194" s="130"/>
      <c r="AZ194" s="130"/>
      <c r="BA194" s="130"/>
      <c r="BB194" s="130"/>
      <c r="BC194" s="130"/>
      <c r="BD194" s="130"/>
    </row>
    <row r="195" ht="15.75" customHeight="1">
      <c r="A195" s="142"/>
      <c r="B195" s="142"/>
      <c r="C195" s="198"/>
      <c r="D195" s="142"/>
      <c r="E195" s="131"/>
      <c r="F195" s="142"/>
      <c r="G195" s="142"/>
      <c r="H195" s="131"/>
      <c r="I195" s="142"/>
      <c r="J195" s="142"/>
      <c r="K195" s="132"/>
      <c r="L195" s="131"/>
      <c r="M195" s="142"/>
      <c r="N195" s="142"/>
      <c r="O195" s="142"/>
      <c r="P195" s="142"/>
      <c r="Q195" s="142"/>
      <c r="R195" s="142"/>
      <c r="S195" s="142"/>
      <c r="T195" s="142"/>
      <c r="U195" s="142"/>
      <c r="V195" s="142"/>
      <c r="W195" s="142"/>
      <c r="X195" s="142"/>
      <c r="Y195" s="142"/>
      <c r="Z195" s="142"/>
      <c r="AA195" s="142"/>
      <c r="AB195" s="142"/>
      <c r="AC195" s="142"/>
      <c r="AD195" s="142"/>
      <c r="AE195" s="142"/>
      <c r="AF195" s="142"/>
      <c r="AG195" s="142"/>
      <c r="AH195" s="142"/>
      <c r="AI195" s="142"/>
      <c r="AJ195" s="142"/>
      <c r="AK195" s="142"/>
      <c r="AL195" s="142"/>
      <c r="AM195" s="142"/>
      <c r="AN195" s="142"/>
      <c r="AO195" s="142"/>
      <c r="AP195" s="130"/>
      <c r="AQ195" s="130"/>
      <c r="AR195" s="130"/>
      <c r="AS195" s="130"/>
      <c r="AT195" s="130"/>
      <c r="AU195" s="130"/>
      <c r="AV195" s="130"/>
      <c r="AW195" s="130"/>
      <c r="AX195" s="130"/>
      <c r="AY195" s="130"/>
      <c r="AZ195" s="130"/>
      <c r="BA195" s="130"/>
      <c r="BB195" s="130"/>
      <c r="BC195" s="130"/>
      <c r="BD195" s="130"/>
    </row>
    <row r="196" ht="15.75" customHeight="1">
      <c r="A196" s="142"/>
      <c r="B196" s="142"/>
      <c r="C196" s="198"/>
      <c r="D196" s="142"/>
      <c r="E196" s="131"/>
      <c r="F196" s="142"/>
      <c r="G196" s="142"/>
      <c r="H196" s="131"/>
      <c r="I196" s="142"/>
      <c r="J196" s="142"/>
      <c r="K196" s="132"/>
      <c r="L196" s="131"/>
      <c r="M196" s="142"/>
      <c r="N196" s="142"/>
      <c r="O196" s="142"/>
      <c r="P196" s="142"/>
      <c r="Q196" s="142"/>
      <c r="R196" s="142"/>
      <c r="S196" s="142"/>
      <c r="T196" s="142"/>
      <c r="U196" s="142"/>
      <c r="V196" s="142"/>
      <c r="W196" s="142"/>
      <c r="X196" s="142"/>
      <c r="Y196" s="142"/>
      <c r="Z196" s="142"/>
      <c r="AA196" s="142"/>
      <c r="AB196" s="142"/>
      <c r="AC196" s="142"/>
      <c r="AD196" s="142"/>
      <c r="AE196" s="142"/>
      <c r="AF196" s="142"/>
      <c r="AG196" s="142"/>
      <c r="AH196" s="142"/>
      <c r="AI196" s="142"/>
      <c r="AJ196" s="142"/>
      <c r="AK196" s="142"/>
      <c r="AL196" s="142"/>
      <c r="AM196" s="142"/>
      <c r="AN196" s="142"/>
      <c r="AO196" s="142"/>
      <c r="AP196" s="130"/>
      <c r="AQ196" s="130"/>
      <c r="AR196" s="130"/>
      <c r="AS196" s="130"/>
      <c r="AT196" s="130"/>
      <c r="AU196" s="130"/>
      <c r="AV196" s="130"/>
      <c r="AW196" s="130"/>
      <c r="AX196" s="130"/>
      <c r="AY196" s="130"/>
      <c r="AZ196" s="130"/>
      <c r="BA196" s="130"/>
      <c r="BB196" s="130"/>
      <c r="BC196" s="130"/>
      <c r="BD196" s="130"/>
    </row>
    <row r="197" ht="15.75" customHeight="1">
      <c r="A197" s="142"/>
      <c r="B197" s="142"/>
      <c r="C197" s="198"/>
      <c r="D197" s="142"/>
      <c r="E197" s="131"/>
      <c r="F197" s="142"/>
      <c r="G197" s="142"/>
      <c r="H197" s="131"/>
      <c r="I197" s="142"/>
      <c r="J197" s="142"/>
      <c r="K197" s="132"/>
      <c r="L197" s="131"/>
      <c r="M197" s="142"/>
      <c r="N197" s="142"/>
      <c r="O197" s="142"/>
      <c r="P197" s="142"/>
      <c r="Q197" s="142"/>
      <c r="R197" s="142"/>
      <c r="S197" s="142"/>
      <c r="T197" s="142"/>
      <c r="U197" s="142"/>
      <c r="V197" s="142"/>
      <c r="W197" s="142"/>
      <c r="X197" s="142"/>
      <c r="Y197" s="142"/>
      <c r="Z197" s="142"/>
      <c r="AA197" s="142"/>
      <c r="AB197" s="142"/>
      <c r="AC197" s="142"/>
      <c r="AD197" s="142"/>
      <c r="AE197" s="142"/>
      <c r="AF197" s="142"/>
      <c r="AG197" s="142"/>
      <c r="AH197" s="142"/>
      <c r="AI197" s="142"/>
      <c r="AJ197" s="142"/>
      <c r="AK197" s="142"/>
      <c r="AL197" s="142"/>
      <c r="AM197" s="142"/>
      <c r="AN197" s="142"/>
      <c r="AO197" s="142"/>
      <c r="AP197" s="130"/>
      <c r="AQ197" s="130"/>
      <c r="AR197" s="130"/>
      <c r="AS197" s="130"/>
      <c r="AT197" s="130"/>
      <c r="AU197" s="130"/>
      <c r="AV197" s="130"/>
      <c r="AW197" s="130"/>
      <c r="AX197" s="130"/>
      <c r="AY197" s="130"/>
      <c r="AZ197" s="130"/>
      <c r="BA197" s="130"/>
      <c r="BB197" s="130"/>
      <c r="BC197" s="130"/>
      <c r="BD197" s="130"/>
    </row>
    <row r="198" ht="15.75" customHeight="1">
      <c r="A198" s="142"/>
      <c r="B198" s="142"/>
      <c r="C198" s="198"/>
      <c r="D198" s="142"/>
      <c r="E198" s="131"/>
      <c r="F198" s="142"/>
      <c r="G198" s="142"/>
      <c r="H198" s="131"/>
      <c r="I198" s="142"/>
      <c r="J198" s="142"/>
      <c r="K198" s="132"/>
      <c r="L198" s="131"/>
      <c r="M198" s="142"/>
      <c r="N198" s="142"/>
      <c r="O198" s="142"/>
      <c r="P198" s="142"/>
      <c r="Q198" s="142"/>
      <c r="R198" s="142"/>
      <c r="S198" s="142"/>
      <c r="T198" s="142"/>
      <c r="U198" s="142"/>
      <c r="V198" s="142"/>
      <c r="W198" s="142"/>
      <c r="X198" s="142"/>
      <c r="Y198" s="142"/>
      <c r="Z198" s="142"/>
      <c r="AA198" s="142"/>
      <c r="AB198" s="142"/>
      <c r="AC198" s="142"/>
      <c r="AD198" s="142"/>
      <c r="AE198" s="142"/>
      <c r="AF198" s="142"/>
      <c r="AG198" s="142"/>
      <c r="AH198" s="142"/>
      <c r="AI198" s="142"/>
      <c r="AJ198" s="142"/>
      <c r="AK198" s="142"/>
      <c r="AL198" s="142"/>
      <c r="AM198" s="142"/>
      <c r="AN198" s="142"/>
      <c r="AO198" s="142"/>
      <c r="AP198" s="130"/>
      <c r="AQ198" s="130"/>
      <c r="AR198" s="130"/>
      <c r="AS198" s="130"/>
      <c r="AT198" s="130"/>
      <c r="AU198" s="130"/>
      <c r="AV198" s="130"/>
      <c r="AW198" s="130"/>
      <c r="AX198" s="130"/>
      <c r="AY198" s="130"/>
      <c r="AZ198" s="130"/>
      <c r="BA198" s="130"/>
      <c r="BB198" s="130"/>
      <c r="BC198" s="130"/>
      <c r="BD198" s="130"/>
    </row>
    <row r="199" ht="15.75" customHeight="1">
      <c r="A199" s="142"/>
      <c r="B199" s="142"/>
      <c r="C199" s="198"/>
      <c r="D199" s="142"/>
      <c r="E199" s="131"/>
      <c r="F199" s="142"/>
      <c r="G199" s="142"/>
      <c r="H199" s="131"/>
      <c r="I199" s="142"/>
      <c r="J199" s="142"/>
      <c r="K199" s="132"/>
      <c r="L199" s="131"/>
      <c r="M199" s="142"/>
      <c r="N199" s="142"/>
      <c r="O199" s="142"/>
      <c r="P199" s="142"/>
      <c r="Q199" s="142"/>
      <c r="R199" s="142"/>
      <c r="S199" s="142"/>
      <c r="T199" s="142"/>
      <c r="U199" s="142"/>
      <c r="V199" s="142"/>
      <c r="W199" s="142"/>
      <c r="X199" s="142"/>
      <c r="Y199" s="142"/>
      <c r="Z199" s="142"/>
      <c r="AA199" s="142"/>
      <c r="AB199" s="142"/>
      <c r="AC199" s="142"/>
      <c r="AD199" s="142"/>
      <c r="AE199" s="142"/>
      <c r="AF199" s="142"/>
      <c r="AG199" s="142"/>
      <c r="AH199" s="142"/>
      <c r="AI199" s="142"/>
      <c r="AJ199" s="142"/>
      <c r="AK199" s="142"/>
      <c r="AL199" s="142"/>
      <c r="AM199" s="142"/>
      <c r="AN199" s="142"/>
      <c r="AO199" s="142"/>
      <c r="AP199" s="130"/>
      <c r="AQ199" s="130"/>
      <c r="AR199" s="130"/>
      <c r="AS199" s="130"/>
      <c r="AT199" s="130"/>
      <c r="AU199" s="130"/>
      <c r="AV199" s="130"/>
      <c r="AW199" s="130"/>
      <c r="AX199" s="130"/>
      <c r="AY199" s="130"/>
      <c r="AZ199" s="130"/>
      <c r="BA199" s="130"/>
      <c r="BB199" s="130"/>
      <c r="BC199" s="130"/>
      <c r="BD199" s="130"/>
    </row>
    <row r="200" ht="15.75" customHeight="1">
      <c r="A200" s="142"/>
      <c r="B200" s="142"/>
      <c r="C200" s="198"/>
      <c r="D200" s="142"/>
      <c r="E200" s="131"/>
      <c r="F200" s="142"/>
      <c r="G200" s="142"/>
      <c r="H200" s="131"/>
      <c r="I200" s="142"/>
      <c r="J200" s="142"/>
      <c r="K200" s="132"/>
      <c r="L200" s="131"/>
      <c r="M200" s="142"/>
      <c r="N200" s="142"/>
      <c r="O200" s="142"/>
      <c r="P200" s="142"/>
      <c r="Q200" s="142"/>
      <c r="R200" s="142"/>
      <c r="S200" s="142"/>
      <c r="T200" s="142"/>
      <c r="U200" s="142"/>
      <c r="V200" s="142"/>
      <c r="W200" s="142"/>
      <c r="X200" s="142"/>
      <c r="Y200" s="142"/>
      <c r="Z200" s="142"/>
      <c r="AA200" s="142"/>
      <c r="AB200" s="142"/>
      <c r="AC200" s="142"/>
      <c r="AD200" s="142"/>
      <c r="AE200" s="142"/>
      <c r="AF200" s="142"/>
      <c r="AG200" s="142"/>
      <c r="AH200" s="142"/>
      <c r="AI200" s="142"/>
      <c r="AJ200" s="142"/>
      <c r="AK200" s="142"/>
      <c r="AL200" s="142"/>
      <c r="AM200" s="142"/>
      <c r="AN200" s="142"/>
      <c r="AO200" s="142"/>
      <c r="AP200" s="130"/>
      <c r="AQ200" s="130"/>
      <c r="AR200" s="130"/>
      <c r="AS200" s="130"/>
      <c r="AT200" s="130"/>
      <c r="AU200" s="130"/>
      <c r="AV200" s="130"/>
      <c r="AW200" s="130"/>
      <c r="AX200" s="130"/>
      <c r="AY200" s="130"/>
      <c r="AZ200" s="130"/>
      <c r="BA200" s="130"/>
      <c r="BB200" s="130"/>
      <c r="BC200" s="130"/>
      <c r="BD200" s="130"/>
    </row>
    <row r="201" ht="15.75" customHeight="1">
      <c r="A201" s="142"/>
      <c r="B201" s="142"/>
      <c r="C201" s="198"/>
      <c r="D201" s="142"/>
      <c r="E201" s="131"/>
      <c r="F201" s="142"/>
      <c r="G201" s="142"/>
      <c r="H201" s="131"/>
      <c r="I201" s="142"/>
      <c r="J201" s="142"/>
      <c r="K201" s="132"/>
      <c r="L201" s="131"/>
      <c r="M201" s="142"/>
      <c r="N201" s="142"/>
      <c r="O201" s="142"/>
      <c r="P201" s="142"/>
      <c r="Q201" s="142"/>
      <c r="R201" s="142"/>
      <c r="S201" s="142"/>
      <c r="T201" s="142"/>
      <c r="U201" s="142"/>
      <c r="V201" s="142"/>
      <c r="W201" s="142"/>
      <c r="X201" s="142"/>
      <c r="Y201" s="142"/>
      <c r="Z201" s="142"/>
      <c r="AA201" s="142"/>
      <c r="AB201" s="142"/>
      <c r="AC201" s="142"/>
      <c r="AD201" s="142"/>
      <c r="AE201" s="142"/>
      <c r="AF201" s="142"/>
      <c r="AG201" s="142"/>
      <c r="AH201" s="142"/>
      <c r="AI201" s="142"/>
      <c r="AJ201" s="142"/>
      <c r="AK201" s="142"/>
      <c r="AL201" s="142"/>
      <c r="AM201" s="142"/>
      <c r="AN201" s="142"/>
      <c r="AO201" s="142"/>
      <c r="AP201" s="130"/>
      <c r="AQ201" s="130"/>
      <c r="AR201" s="130"/>
      <c r="AS201" s="130"/>
      <c r="AT201" s="130"/>
      <c r="AU201" s="130"/>
      <c r="AV201" s="130"/>
      <c r="AW201" s="130"/>
      <c r="AX201" s="130"/>
      <c r="AY201" s="130"/>
      <c r="AZ201" s="130"/>
      <c r="BA201" s="130"/>
      <c r="BB201" s="130"/>
      <c r="BC201" s="130"/>
      <c r="BD201" s="130"/>
    </row>
    <row r="202" ht="15.75" customHeight="1">
      <c r="A202" s="142"/>
      <c r="B202" s="142"/>
      <c r="C202" s="198"/>
      <c r="D202" s="142"/>
      <c r="E202" s="131"/>
      <c r="F202" s="142"/>
      <c r="G202" s="142"/>
      <c r="H202" s="131"/>
      <c r="I202" s="142"/>
      <c r="J202" s="142"/>
      <c r="K202" s="132"/>
      <c r="L202" s="131"/>
      <c r="M202" s="142"/>
      <c r="N202" s="142"/>
      <c r="O202" s="142"/>
      <c r="P202" s="142"/>
      <c r="Q202" s="142"/>
      <c r="R202" s="142"/>
      <c r="S202" s="142"/>
      <c r="T202" s="142"/>
      <c r="U202" s="142"/>
      <c r="V202" s="142"/>
      <c r="W202" s="142"/>
      <c r="X202" s="142"/>
      <c r="Y202" s="142"/>
      <c r="Z202" s="142"/>
      <c r="AA202" s="142"/>
      <c r="AB202" s="142"/>
      <c r="AC202" s="142"/>
      <c r="AD202" s="142"/>
      <c r="AE202" s="142"/>
      <c r="AF202" s="142"/>
      <c r="AG202" s="142"/>
      <c r="AH202" s="142"/>
      <c r="AI202" s="142"/>
      <c r="AJ202" s="142"/>
      <c r="AK202" s="142"/>
      <c r="AL202" s="142"/>
      <c r="AM202" s="142"/>
      <c r="AN202" s="142"/>
      <c r="AO202" s="142"/>
      <c r="AP202" s="130"/>
      <c r="AQ202" s="130"/>
      <c r="AR202" s="130"/>
      <c r="AS202" s="130"/>
      <c r="AT202" s="130"/>
      <c r="AU202" s="130"/>
      <c r="AV202" s="130"/>
      <c r="AW202" s="130"/>
      <c r="AX202" s="130"/>
      <c r="AY202" s="130"/>
      <c r="AZ202" s="130"/>
      <c r="BA202" s="130"/>
      <c r="BB202" s="130"/>
      <c r="BC202" s="130"/>
      <c r="BD202" s="130"/>
    </row>
    <row r="203" ht="15.75" customHeight="1">
      <c r="A203" s="142"/>
      <c r="B203" s="142"/>
      <c r="C203" s="198"/>
      <c r="D203" s="142"/>
      <c r="E203" s="131"/>
      <c r="F203" s="142"/>
      <c r="G203" s="142"/>
      <c r="H203" s="131"/>
      <c r="I203" s="142"/>
      <c r="J203" s="142"/>
      <c r="K203" s="132"/>
      <c r="L203" s="131"/>
      <c r="M203" s="142"/>
      <c r="N203" s="142"/>
      <c r="O203" s="142"/>
      <c r="P203" s="142"/>
      <c r="Q203" s="142"/>
      <c r="R203" s="142"/>
      <c r="S203" s="142"/>
      <c r="T203" s="142"/>
      <c r="U203" s="142"/>
      <c r="V203" s="142"/>
      <c r="W203" s="142"/>
      <c r="X203" s="142"/>
      <c r="Y203" s="142"/>
      <c r="Z203" s="142"/>
      <c r="AA203" s="142"/>
      <c r="AB203" s="142"/>
      <c r="AC203" s="142"/>
      <c r="AD203" s="142"/>
      <c r="AE203" s="142"/>
      <c r="AF203" s="142"/>
      <c r="AG203" s="142"/>
      <c r="AH203" s="142"/>
      <c r="AI203" s="142"/>
      <c r="AJ203" s="142"/>
      <c r="AK203" s="142"/>
      <c r="AL203" s="142"/>
      <c r="AM203" s="142"/>
      <c r="AN203" s="142"/>
      <c r="AO203" s="142"/>
      <c r="AP203" s="130"/>
      <c r="AQ203" s="130"/>
      <c r="AR203" s="130"/>
      <c r="AS203" s="130"/>
      <c r="AT203" s="130"/>
      <c r="AU203" s="130"/>
      <c r="AV203" s="130"/>
      <c r="AW203" s="130"/>
      <c r="AX203" s="130"/>
      <c r="AY203" s="130"/>
      <c r="AZ203" s="130"/>
      <c r="BA203" s="130"/>
      <c r="BB203" s="130"/>
      <c r="BC203" s="130"/>
      <c r="BD203" s="130"/>
    </row>
    <row r="204" ht="15.75" customHeight="1">
      <c r="A204" s="142"/>
      <c r="B204" s="142"/>
      <c r="C204" s="198"/>
      <c r="D204" s="142"/>
      <c r="E204" s="131"/>
      <c r="F204" s="142"/>
      <c r="G204" s="142"/>
      <c r="H204" s="131"/>
      <c r="I204" s="142"/>
      <c r="J204" s="142"/>
      <c r="K204" s="132"/>
      <c r="L204" s="131"/>
      <c r="M204" s="142"/>
      <c r="N204" s="142"/>
      <c r="O204" s="142"/>
      <c r="P204" s="142"/>
      <c r="Q204" s="142"/>
      <c r="R204" s="142"/>
      <c r="S204" s="142"/>
      <c r="T204" s="142"/>
      <c r="U204" s="142"/>
      <c r="V204" s="142"/>
      <c r="W204" s="142"/>
      <c r="X204" s="142"/>
      <c r="Y204" s="142"/>
      <c r="Z204" s="142"/>
      <c r="AA204" s="142"/>
      <c r="AB204" s="142"/>
      <c r="AC204" s="142"/>
      <c r="AD204" s="142"/>
      <c r="AE204" s="142"/>
      <c r="AF204" s="142"/>
      <c r="AG204" s="142"/>
      <c r="AH204" s="142"/>
      <c r="AI204" s="142"/>
      <c r="AJ204" s="142"/>
      <c r="AK204" s="142"/>
      <c r="AL204" s="142"/>
      <c r="AM204" s="142"/>
      <c r="AN204" s="142"/>
      <c r="AO204" s="142"/>
      <c r="AP204" s="130"/>
      <c r="AQ204" s="130"/>
      <c r="AR204" s="130"/>
      <c r="AS204" s="130"/>
      <c r="AT204" s="130"/>
      <c r="AU204" s="130"/>
      <c r="AV204" s="130"/>
      <c r="AW204" s="130"/>
      <c r="AX204" s="130"/>
      <c r="AY204" s="130"/>
      <c r="AZ204" s="130"/>
      <c r="BA204" s="130"/>
      <c r="BB204" s="130"/>
      <c r="BC204" s="130"/>
      <c r="BD204" s="130"/>
    </row>
    <row r="205" ht="15.75" customHeight="1">
      <c r="A205" s="142"/>
      <c r="B205" s="142"/>
      <c r="C205" s="198"/>
      <c r="D205" s="142"/>
      <c r="E205" s="131"/>
      <c r="F205" s="142"/>
      <c r="G205" s="142"/>
      <c r="H205" s="131"/>
      <c r="I205" s="142"/>
      <c r="J205" s="142"/>
      <c r="K205" s="132"/>
      <c r="L205" s="131"/>
      <c r="M205" s="142"/>
      <c r="N205" s="142"/>
      <c r="O205" s="142"/>
      <c r="P205" s="142"/>
      <c r="Q205" s="142"/>
      <c r="R205" s="142"/>
      <c r="S205" s="142"/>
      <c r="T205" s="142"/>
      <c r="U205" s="142"/>
      <c r="V205" s="142"/>
      <c r="W205" s="142"/>
      <c r="X205" s="142"/>
      <c r="Y205" s="142"/>
      <c r="Z205" s="142"/>
      <c r="AA205" s="142"/>
      <c r="AB205" s="142"/>
      <c r="AC205" s="142"/>
      <c r="AD205" s="142"/>
      <c r="AE205" s="142"/>
      <c r="AF205" s="142"/>
      <c r="AG205" s="142"/>
      <c r="AH205" s="142"/>
      <c r="AI205" s="142"/>
      <c r="AJ205" s="142"/>
      <c r="AK205" s="142"/>
      <c r="AL205" s="142"/>
      <c r="AM205" s="142"/>
      <c r="AN205" s="142"/>
      <c r="AO205" s="142"/>
      <c r="AP205" s="130"/>
      <c r="AQ205" s="130"/>
      <c r="AR205" s="130"/>
      <c r="AS205" s="130"/>
      <c r="AT205" s="130"/>
      <c r="AU205" s="130"/>
      <c r="AV205" s="130"/>
      <c r="AW205" s="130"/>
      <c r="AX205" s="130"/>
      <c r="AY205" s="130"/>
      <c r="AZ205" s="130"/>
      <c r="BA205" s="130"/>
      <c r="BB205" s="130"/>
      <c r="BC205" s="130"/>
      <c r="BD205" s="130"/>
    </row>
    <row r="206" ht="15.75" customHeight="1">
      <c r="A206" s="142"/>
      <c r="B206" s="142"/>
      <c r="C206" s="198"/>
      <c r="D206" s="142"/>
      <c r="E206" s="131"/>
      <c r="F206" s="142"/>
      <c r="G206" s="142"/>
      <c r="H206" s="131"/>
      <c r="I206" s="142"/>
      <c r="J206" s="142"/>
      <c r="K206" s="132"/>
      <c r="L206" s="131"/>
      <c r="M206" s="142"/>
      <c r="N206" s="142"/>
      <c r="O206" s="142"/>
      <c r="P206" s="142"/>
      <c r="Q206" s="142"/>
      <c r="R206" s="142"/>
      <c r="S206" s="142"/>
      <c r="T206" s="142"/>
      <c r="U206" s="142"/>
      <c r="V206" s="142"/>
      <c r="W206" s="142"/>
      <c r="X206" s="142"/>
      <c r="Y206" s="142"/>
      <c r="Z206" s="142"/>
      <c r="AA206" s="142"/>
      <c r="AB206" s="142"/>
      <c r="AC206" s="142"/>
      <c r="AD206" s="142"/>
      <c r="AE206" s="142"/>
      <c r="AF206" s="142"/>
      <c r="AG206" s="142"/>
      <c r="AH206" s="142"/>
      <c r="AI206" s="142"/>
      <c r="AJ206" s="142"/>
      <c r="AK206" s="142"/>
      <c r="AL206" s="142"/>
      <c r="AM206" s="142"/>
      <c r="AN206" s="142"/>
      <c r="AO206" s="142"/>
      <c r="AP206" s="130"/>
      <c r="AQ206" s="130"/>
      <c r="AR206" s="130"/>
      <c r="AS206" s="130"/>
      <c r="AT206" s="130"/>
      <c r="AU206" s="130"/>
      <c r="AV206" s="130"/>
      <c r="AW206" s="130"/>
      <c r="AX206" s="130"/>
      <c r="AY206" s="130"/>
      <c r="AZ206" s="130"/>
      <c r="BA206" s="130"/>
      <c r="BB206" s="130"/>
      <c r="BC206" s="130"/>
      <c r="BD206" s="130"/>
    </row>
    <row r="207" ht="15.75" customHeight="1">
      <c r="A207" s="142"/>
      <c r="B207" s="142"/>
      <c r="C207" s="198"/>
      <c r="D207" s="142"/>
      <c r="E207" s="131"/>
      <c r="F207" s="142"/>
      <c r="G207" s="142"/>
      <c r="H207" s="131"/>
      <c r="I207" s="142"/>
      <c r="J207" s="142"/>
      <c r="K207" s="132"/>
      <c r="L207" s="131"/>
      <c r="M207" s="142"/>
      <c r="N207" s="142"/>
      <c r="O207" s="142"/>
      <c r="P207" s="142"/>
      <c r="Q207" s="142"/>
      <c r="R207" s="142"/>
      <c r="S207" s="142"/>
      <c r="T207" s="142"/>
      <c r="U207" s="142"/>
      <c r="V207" s="142"/>
      <c r="W207" s="142"/>
      <c r="X207" s="142"/>
      <c r="Y207" s="142"/>
      <c r="Z207" s="142"/>
      <c r="AA207" s="142"/>
      <c r="AB207" s="142"/>
      <c r="AC207" s="142"/>
      <c r="AD207" s="142"/>
      <c r="AE207" s="142"/>
      <c r="AF207" s="142"/>
      <c r="AG207" s="142"/>
      <c r="AH207" s="142"/>
      <c r="AI207" s="142"/>
      <c r="AJ207" s="142"/>
      <c r="AK207" s="142"/>
      <c r="AL207" s="142"/>
      <c r="AM207" s="142"/>
      <c r="AN207" s="142"/>
      <c r="AO207" s="142"/>
      <c r="AP207" s="130"/>
      <c r="AQ207" s="130"/>
      <c r="AR207" s="130"/>
      <c r="AS207" s="130"/>
      <c r="AT207" s="130"/>
      <c r="AU207" s="130"/>
      <c r="AV207" s="130"/>
      <c r="AW207" s="130"/>
      <c r="AX207" s="130"/>
      <c r="AY207" s="130"/>
      <c r="AZ207" s="130"/>
      <c r="BA207" s="130"/>
      <c r="BB207" s="130"/>
      <c r="BC207" s="130"/>
      <c r="BD207" s="130"/>
    </row>
    <row r="208" ht="15.75" customHeight="1">
      <c r="A208" s="142"/>
      <c r="B208" s="142"/>
      <c r="C208" s="198"/>
      <c r="D208" s="142"/>
      <c r="E208" s="131"/>
      <c r="F208" s="142"/>
      <c r="G208" s="142"/>
      <c r="H208" s="131"/>
      <c r="I208" s="142"/>
      <c r="J208" s="142"/>
      <c r="K208" s="132"/>
      <c r="L208" s="131"/>
      <c r="M208" s="142"/>
      <c r="N208" s="142"/>
      <c r="O208" s="142"/>
      <c r="P208" s="142"/>
      <c r="Q208" s="142"/>
      <c r="R208" s="142"/>
      <c r="S208" s="142"/>
      <c r="T208" s="142"/>
      <c r="U208" s="142"/>
      <c r="V208" s="142"/>
      <c r="W208" s="142"/>
      <c r="X208" s="142"/>
      <c r="Y208" s="142"/>
      <c r="Z208" s="142"/>
      <c r="AA208" s="142"/>
      <c r="AB208" s="142"/>
      <c r="AC208" s="142"/>
      <c r="AD208" s="142"/>
      <c r="AE208" s="142"/>
      <c r="AF208" s="142"/>
      <c r="AG208" s="142"/>
      <c r="AH208" s="142"/>
      <c r="AI208" s="142"/>
      <c r="AJ208" s="142"/>
      <c r="AK208" s="142"/>
      <c r="AL208" s="142"/>
      <c r="AM208" s="142"/>
      <c r="AN208" s="142"/>
      <c r="AO208" s="142"/>
      <c r="AP208" s="130"/>
      <c r="AQ208" s="130"/>
      <c r="AR208" s="130"/>
      <c r="AS208" s="130"/>
      <c r="AT208" s="130"/>
      <c r="AU208" s="130"/>
      <c r="AV208" s="130"/>
      <c r="AW208" s="130"/>
      <c r="AX208" s="130"/>
      <c r="AY208" s="130"/>
      <c r="AZ208" s="130"/>
      <c r="BA208" s="130"/>
      <c r="BB208" s="130"/>
      <c r="BC208" s="130"/>
      <c r="BD208" s="130"/>
    </row>
    <row r="209" ht="15.75" customHeight="1">
      <c r="A209" s="142"/>
      <c r="B209" s="142"/>
      <c r="C209" s="198"/>
      <c r="D209" s="142"/>
      <c r="E209" s="131"/>
      <c r="F209" s="142"/>
      <c r="G209" s="142"/>
      <c r="H209" s="131"/>
      <c r="I209" s="142"/>
      <c r="J209" s="142"/>
      <c r="K209" s="132"/>
      <c r="L209" s="131"/>
      <c r="M209" s="142"/>
      <c r="N209" s="142"/>
      <c r="O209" s="142"/>
      <c r="P209" s="142"/>
      <c r="Q209" s="142"/>
      <c r="R209" s="142"/>
      <c r="S209" s="142"/>
      <c r="T209" s="142"/>
      <c r="U209" s="142"/>
      <c r="V209" s="142"/>
      <c r="W209" s="142"/>
      <c r="X209" s="142"/>
      <c r="Y209" s="142"/>
      <c r="Z209" s="142"/>
      <c r="AA209" s="142"/>
      <c r="AB209" s="142"/>
      <c r="AC209" s="142"/>
      <c r="AD209" s="142"/>
      <c r="AE209" s="142"/>
      <c r="AF209" s="142"/>
      <c r="AG209" s="142"/>
      <c r="AH209" s="142"/>
      <c r="AI209" s="142"/>
      <c r="AJ209" s="142"/>
      <c r="AK209" s="142"/>
      <c r="AL209" s="142"/>
      <c r="AM209" s="142"/>
      <c r="AN209" s="142"/>
      <c r="AO209" s="142"/>
      <c r="AP209" s="130"/>
      <c r="AQ209" s="130"/>
      <c r="AR209" s="130"/>
      <c r="AS209" s="130"/>
      <c r="AT209" s="130"/>
      <c r="AU209" s="130"/>
      <c r="AV209" s="130"/>
      <c r="AW209" s="130"/>
      <c r="AX209" s="130"/>
      <c r="AY209" s="130"/>
      <c r="AZ209" s="130"/>
      <c r="BA209" s="130"/>
      <c r="BB209" s="130"/>
      <c r="BC209" s="130"/>
      <c r="BD209" s="130"/>
    </row>
    <row r="210" ht="15.75" customHeight="1">
      <c r="A210" s="142"/>
      <c r="B210" s="142"/>
      <c r="C210" s="198"/>
      <c r="D210" s="142"/>
      <c r="E210" s="131"/>
      <c r="F210" s="142"/>
      <c r="G210" s="142"/>
      <c r="H210" s="131"/>
      <c r="I210" s="142"/>
      <c r="J210" s="142"/>
      <c r="K210" s="132"/>
      <c r="L210" s="131"/>
      <c r="M210" s="142"/>
      <c r="N210" s="142"/>
      <c r="O210" s="142"/>
      <c r="P210" s="142"/>
      <c r="Q210" s="142"/>
      <c r="R210" s="142"/>
      <c r="S210" s="142"/>
      <c r="T210" s="142"/>
      <c r="U210" s="142"/>
      <c r="V210" s="142"/>
      <c r="W210" s="142"/>
      <c r="X210" s="142"/>
      <c r="Y210" s="142"/>
      <c r="Z210" s="142"/>
      <c r="AA210" s="142"/>
      <c r="AB210" s="142"/>
      <c r="AC210" s="142"/>
      <c r="AD210" s="142"/>
      <c r="AE210" s="142"/>
      <c r="AF210" s="142"/>
      <c r="AG210" s="142"/>
      <c r="AH210" s="142"/>
      <c r="AI210" s="142"/>
      <c r="AJ210" s="142"/>
      <c r="AK210" s="142"/>
      <c r="AL210" s="142"/>
      <c r="AM210" s="142"/>
      <c r="AN210" s="142"/>
      <c r="AO210" s="142"/>
      <c r="AP210" s="130"/>
      <c r="AQ210" s="130"/>
      <c r="AR210" s="130"/>
      <c r="AS210" s="130"/>
      <c r="AT210" s="130"/>
      <c r="AU210" s="130"/>
      <c r="AV210" s="130"/>
      <c r="AW210" s="130"/>
      <c r="AX210" s="130"/>
      <c r="AY210" s="130"/>
      <c r="AZ210" s="130"/>
      <c r="BA210" s="130"/>
      <c r="BB210" s="130"/>
      <c r="BC210" s="130"/>
      <c r="BD210" s="130"/>
    </row>
    <row r="211" ht="15.75" customHeight="1">
      <c r="A211" s="142"/>
      <c r="B211" s="142"/>
      <c r="C211" s="198"/>
      <c r="D211" s="142"/>
      <c r="E211" s="131"/>
      <c r="F211" s="142"/>
      <c r="G211" s="142"/>
      <c r="H211" s="131"/>
      <c r="I211" s="142"/>
      <c r="J211" s="142"/>
      <c r="K211" s="132"/>
      <c r="L211" s="131"/>
      <c r="M211" s="142"/>
      <c r="N211" s="142"/>
      <c r="O211" s="142"/>
      <c r="P211" s="142"/>
      <c r="Q211" s="142"/>
      <c r="R211" s="142"/>
      <c r="S211" s="142"/>
      <c r="T211" s="142"/>
      <c r="U211" s="142"/>
      <c r="V211" s="142"/>
      <c r="W211" s="142"/>
      <c r="X211" s="142"/>
      <c r="Y211" s="142"/>
      <c r="Z211" s="142"/>
      <c r="AA211" s="142"/>
      <c r="AB211" s="142"/>
      <c r="AC211" s="142"/>
      <c r="AD211" s="142"/>
      <c r="AE211" s="142"/>
      <c r="AF211" s="142"/>
      <c r="AG211" s="142"/>
      <c r="AH211" s="142"/>
      <c r="AI211" s="142"/>
      <c r="AJ211" s="142"/>
      <c r="AK211" s="142"/>
      <c r="AL211" s="142"/>
      <c r="AM211" s="142"/>
      <c r="AN211" s="142"/>
      <c r="AO211" s="142"/>
      <c r="AP211" s="130"/>
      <c r="AQ211" s="130"/>
      <c r="AR211" s="130"/>
      <c r="AS211" s="130"/>
      <c r="AT211" s="130"/>
      <c r="AU211" s="130"/>
      <c r="AV211" s="130"/>
      <c r="AW211" s="130"/>
      <c r="AX211" s="130"/>
      <c r="AY211" s="130"/>
      <c r="AZ211" s="130"/>
      <c r="BA211" s="130"/>
      <c r="BB211" s="130"/>
      <c r="BC211" s="130"/>
      <c r="BD211" s="130"/>
    </row>
    <row r="212" ht="15.75" customHeight="1">
      <c r="A212" s="142"/>
      <c r="B212" s="142"/>
      <c r="C212" s="198"/>
      <c r="D212" s="142"/>
      <c r="E212" s="131"/>
      <c r="F212" s="142"/>
      <c r="G212" s="142"/>
      <c r="H212" s="131"/>
      <c r="I212" s="142"/>
      <c r="J212" s="142"/>
      <c r="K212" s="132"/>
      <c r="L212" s="131"/>
      <c r="M212" s="142"/>
      <c r="N212" s="142"/>
      <c r="O212" s="142"/>
      <c r="P212" s="142"/>
      <c r="Q212" s="142"/>
      <c r="R212" s="142"/>
      <c r="S212" s="142"/>
      <c r="T212" s="142"/>
      <c r="U212" s="142"/>
      <c r="V212" s="142"/>
      <c r="W212" s="142"/>
      <c r="X212" s="142"/>
      <c r="Y212" s="142"/>
      <c r="Z212" s="142"/>
      <c r="AA212" s="142"/>
      <c r="AB212" s="142"/>
      <c r="AC212" s="142"/>
      <c r="AD212" s="142"/>
      <c r="AE212" s="142"/>
      <c r="AF212" s="142"/>
      <c r="AG212" s="142"/>
      <c r="AH212" s="142"/>
      <c r="AI212" s="142"/>
      <c r="AJ212" s="142"/>
      <c r="AK212" s="142"/>
      <c r="AL212" s="142"/>
      <c r="AM212" s="142"/>
      <c r="AN212" s="142"/>
      <c r="AO212" s="142"/>
      <c r="AP212" s="130"/>
      <c r="AQ212" s="130"/>
      <c r="AR212" s="130"/>
      <c r="AS212" s="130"/>
      <c r="AT212" s="130"/>
      <c r="AU212" s="130"/>
      <c r="AV212" s="130"/>
      <c r="AW212" s="130"/>
      <c r="AX212" s="130"/>
      <c r="AY212" s="130"/>
      <c r="AZ212" s="130"/>
      <c r="BA212" s="130"/>
      <c r="BB212" s="130"/>
      <c r="BC212" s="130"/>
      <c r="BD212" s="130"/>
    </row>
    <row r="213" ht="15.75" customHeight="1">
      <c r="A213" s="142"/>
      <c r="B213" s="142"/>
      <c r="C213" s="198"/>
      <c r="D213" s="142"/>
      <c r="E213" s="131"/>
      <c r="F213" s="142"/>
      <c r="G213" s="142"/>
      <c r="H213" s="131"/>
      <c r="I213" s="142"/>
      <c r="J213" s="142"/>
      <c r="K213" s="132"/>
      <c r="L213" s="131"/>
      <c r="M213" s="142"/>
      <c r="N213" s="142"/>
      <c r="O213" s="142"/>
      <c r="P213" s="142"/>
      <c r="Q213" s="142"/>
      <c r="R213" s="142"/>
      <c r="S213" s="142"/>
      <c r="T213" s="142"/>
      <c r="U213" s="142"/>
      <c r="V213" s="142"/>
      <c r="W213" s="142"/>
      <c r="X213" s="142"/>
      <c r="Y213" s="142"/>
      <c r="Z213" s="142"/>
      <c r="AA213" s="142"/>
      <c r="AB213" s="142"/>
      <c r="AC213" s="142"/>
      <c r="AD213" s="142"/>
      <c r="AE213" s="142"/>
      <c r="AF213" s="142"/>
      <c r="AG213" s="142"/>
      <c r="AH213" s="142"/>
      <c r="AI213" s="142"/>
      <c r="AJ213" s="142"/>
      <c r="AK213" s="142"/>
      <c r="AL213" s="142"/>
      <c r="AM213" s="142"/>
      <c r="AN213" s="142"/>
      <c r="AO213" s="142"/>
      <c r="AP213" s="130"/>
      <c r="AQ213" s="130"/>
      <c r="AR213" s="130"/>
      <c r="AS213" s="130"/>
      <c r="AT213" s="130"/>
      <c r="AU213" s="130"/>
      <c r="AV213" s="130"/>
      <c r="AW213" s="130"/>
      <c r="AX213" s="130"/>
      <c r="AY213" s="130"/>
      <c r="AZ213" s="130"/>
      <c r="BA213" s="130"/>
      <c r="BB213" s="130"/>
      <c r="BC213" s="130"/>
      <c r="BD213" s="130"/>
    </row>
    <row r="214" ht="15.75" customHeight="1">
      <c r="A214" s="142"/>
      <c r="B214" s="142"/>
      <c r="C214" s="198"/>
      <c r="D214" s="142"/>
      <c r="E214" s="131"/>
      <c r="F214" s="142"/>
      <c r="G214" s="142"/>
      <c r="H214" s="131"/>
      <c r="I214" s="142"/>
      <c r="J214" s="142"/>
      <c r="K214" s="132"/>
      <c r="L214" s="131"/>
      <c r="M214" s="142"/>
      <c r="N214" s="142"/>
      <c r="O214" s="142"/>
      <c r="P214" s="142"/>
      <c r="Q214" s="142"/>
      <c r="R214" s="142"/>
      <c r="S214" s="142"/>
      <c r="T214" s="142"/>
      <c r="U214" s="142"/>
      <c r="V214" s="142"/>
      <c r="W214" s="142"/>
      <c r="X214" s="142"/>
      <c r="Y214" s="142"/>
      <c r="Z214" s="142"/>
      <c r="AA214" s="142"/>
      <c r="AB214" s="142"/>
      <c r="AC214" s="142"/>
      <c r="AD214" s="142"/>
      <c r="AE214" s="142"/>
      <c r="AF214" s="142"/>
      <c r="AG214" s="142"/>
      <c r="AH214" s="142"/>
      <c r="AI214" s="142"/>
      <c r="AJ214" s="142"/>
      <c r="AK214" s="142"/>
      <c r="AL214" s="142"/>
      <c r="AM214" s="142"/>
      <c r="AN214" s="142"/>
      <c r="AO214" s="142"/>
      <c r="AP214" s="130"/>
      <c r="AQ214" s="130"/>
      <c r="AR214" s="130"/>
      <c r="AS214" s="130"/>
      <c r="AT214" s="130"/>
      <c r="AU214" s="130"/>
      <c r="AV214" s="130"/>
      <c r="AW214" s="130"/>
      <c r="AX214" s="130"/>
      <c r="AY214" s="130"/>
      <c r="AZ214" s="130"/>
      <c r="BA214" s="130"/>
      <c r="BB214" s="130"/>
      <c r="BC214" s="130"/>
      <c r="BD214" s="130"/>
    </row>
    <row r="215" ht="15.75" customHeight="1">
      <c r="A215" s="142"/>
      <c r="B215" s="142"/>
      <c r="C215" s="198"/>
      <c r="D215" s="142"/>
      <c r="E215" s="131"/>
      <c r="F215" s="142"/>
      <c r="G215" s="142"/>
      <c r="H215" s="131"/>
      <c r="I215" s="142"/>
      <c r="J215" s="142"/>
      <c r="K215" s="132"/>
      <c r="L215" s="131"/>
      <c r="M215" s="142"/>
      <c r="N215" s="142"/>
      <c r="O215" s="142"/>
      <c r="P215" s="142"/>
      <c r="Q215" s="142"/>
      <c r="R215" s="142"/>
      <c r="S215" s="142"/>
      <c r="T215" s="142"/>
      <c r="U215" s="142"/>
      <c r="V215" s="142"/>
      <c r="W215" s="142"/>
      <c r="X215" s="142"/>
      <c r="Y215" s="142"/>
      <c r="Z215" s="142"/>
      <c r="AA215" s="142"/>
      <c r="AB215" s="142"/>
      <c r="AC215" s="142"/>
      <c r="AD215" s="142"/>
      <c r="AE215" s="142"/>
      <c r="AF215" s="142"/>
      <c r="AG215" s="142"/>
      <c r="AH215" s="142"/>
      <c r="AI215" s="142"/>
      <c r="AJ215" s="142"/>
      <c r="AK215" s="142"/>
      <c r="AL215" s="142"/>
      <c r="AM215" s="142"/>
      <c r="AN215" s="142"/>
      <c r="AO215" s="142"/>
      <c r="AP215" s="130"/>
      <c r="AQ215" s="130"/>
      <c r="AR215" s="130"/>
      <c r="AS215" s="130"/>
      <c r="AT215" s="130"/>
      <c r="AU215" s="130"/>
      <c r="AV215" s="130"/>
      <c r="AW215" s="130"/>
      <c r="AX215" s="130"/>
      <c r="AY215" s="130"/>
      <c r="AZ215" s="130"/>
      <c r="BA215" s="130"/>
      <c r="BB215" s="130"/>
      <c r="BC215" s="130"/>
      <c r="BD215" s="130"/>
    </row>
    <row r="216" ht="15.75" customHeight="1">
      <c r="A216" s="142"/>
      <c r="B216" s="142"/>
      <c r="C216" s="198"/>
      <c r="D216" s="142"/>
      <c r="E216" s="131"/>
      <c r="F216" s="142"/>
      <c r="G216" s="142"/>
      <c r="H216" s="131"/>
      <c r="I216" s="142"/>
      <c r="J216" s="142"/>
      <c r="K216" s="132"/>
      <c r="L216" s="131"/>
      <c r="M216" s="142"/>
      <c r="N216" s="142"/>
      <c r="O216" s="142"/>
      <c r="P216" s="142"/>
      <c r="Q216" s="142"/>
      <c r="R216" s="142"/>
      <c r="S216" s="142"/>
      <c r="T216" s="142"/>
      <c r="U216" s="142"/>
      <c r="V216" s="142"/>
      <c r="W216" s="142"/>
      <c r="X216" s="142"/>
      <c r="Y216" s="142"/>
      <c r="Z216" s="142"/>
      <c r="AA216" s="142"/>
      <c r="AB216" s="142"/>
      <c r="AC216" s="142"/>
      <c r="AD216" s="142"/>
      <c r="AE216" s="142"/>
      <c r="AF216" s="142"/>
      <c r="AG216" s="142"/>
      <c r="AH216" s="142"/>
      <c r="AI216" s="142"/>
      <c r="AJ216" s="142"/>
      <c r="AK216" s="142"/>
      <c r="AL216" s="142"/>
      <c r="AM216" s="142"/>
      <c r="AN216" s="142"/>
      <c r="AO216" s="142"/>
      <c r="AP216" s="130"/>
      <c r="AQ216" s="130"/>
      <c r="AR216" s="130"/>
      <c r="AS216" s="130"/>
      <c r="AT216" s="130"/>
      <c r="AU216" s="130"/>
      <c r="AV216" s="130"/>
      <c r="AW216" s="130"/>
      <c r="AX216" s="130"/>
      <c r="AY216" s="130"/>
      <c r="AZ216" s="130"/>
      <c r="BA216" s="130"/>
      <c r="BB216" s="130"/>
      <c r="BC216" s="130"/>
      <c r="BD216" s="130"/>
    </row>
    <row r="217" ht="15.75" customHeight="1">
      <c r="A217" s="142"/>
      <c r="B217" s="142"/>
      <c r="C217" s="198"/>
      <c r="D217" s="142"/>
      <c r="E217" s="131"/>
      <c r="F217" s="142"/>
      <c r="G217" s="142"/>
      <c r="H217" s="131"/>
      <c r="I217" s="142"/>
      <c r="J217" s="142"/>
      <c r="K217" s="132"/>
      <c r="L217" s="131"/>
      <c r="M217" s="142"/>
      <c r="N217" s="142"/>
      <c r="O217" s="142"/>
      <c r="P217" s="142"/>
      <c r="Q217" s="142"/>
      <c r="R217" s="142"/>
      <c r="S217" s="142"/>
      <c r="T217" s="142"/>
      <c r="U217" s="142"/>
      <c r="V217" s="142"/>
      <c r="W217" s="142"/>
      <c r="X217" s="142"/>
      <c r="Y217" s="142"/>
      <c r="Z217" s="142"/>
      <c r="AA217" s="142"/>
      <c r="AB217" s="142"/>
      <c r="AC217" s="142"/>
      <c r="AD217" s="142"/>
      <c r="AE217" s="142"/>
      <c r="AF217" s="142"/>
      <c r="AG217" s="142"/>
      <c r="AH217" s="142"/>
      <c r="AI217" s="142"/>
      <c r="AJ217" s="142"/>
      <c r="AK217" s="142"/>
      <c r="AL217" s="142"/>
      <c r="AM217" s="142"/>
      <c r="AN217" s="142"/>
      <c r="AO217" s="142"/>
      <c r="AP217" s="130"/>
      <c r="AQ217" s="130"/>
      <c r="AR217" s="130"/>
      <c r="AS217" s="130"/>
      <c r="AT217" s="130"/>
      <c r="AU217" s="130"/>
      <c r="AV217" s="130"/>
      <c r="AW217" s="130"/>
      <c r="AX217" s="130"/>
      <c r="AY217" s="130"/>
      <c r="AZ217" s="130"/>
      <c r="BA217" s="130"/>
      <c r="BB217" s="130"/>
      <c r="BC217" s="130"/>
      <c r="BD217" s="130"/>
    </row>
    <row r="218" ht="15.75" customHeight="1">
      <c r="A218" s="142"/>
      <c r="B218" s="142"/>
      <c r="C218" s="198"/>
      <c r="D218" s="142"/>
      <c r="E218" s="131"/>
      <c r="F218" s="142"/>
      <c r="G218" s="142"/>
      <c r="H218" s="131"/>
      <c r="I218" s="142"/>
      <c r="J218" s="142"/>
      <c r="K218" s="132"/>
      <c r="L218" s="131"/>
      <c r="M218" s="142"/>
      <c r="N218" s="142"/>
      <c r="O218" s="142"/>
      <c r="P218" s="142"/>
      <c r="Q218" s="142"/>
      <c r="R218" s="142"/>
      <c r="S218" s="142"/>
      <c r="T218" s="142"/>
      <c r="U218" s="142"/>
      <c r="V218" s="142"/>
      <c r="W218" s="142"/>
      <c r="X218" s="142"/>
      <c r="Y218" s="142"/>
      <c r="Z218" s="142"/>
      <c r="AA218" s="142"/>
      <c r="AB218" s="142"/>
      <c r="AC218" s="142"/>
      <c r="AD218" s="142"/>
      <c r="AE218" s="142"/>
      <c r="AF218" s="142"/>
      <c r="AG218" s="142"/>
      <c r="AH218" s="142"/>
      <c r="AI218" s="142"/>
      <c r="AJ218" s="142"/>
      <c r="AK218" s="142"/>
      <c r="AL218" s="142"/>
      <c r="AM218" s="142"/>
      <c r="AN218" s="142"/>
      <c r="AO218" s="142"/>
      <c r="AP218" s="130"/>
      <c r="AQ218" s="130"/>
      <c r="AR218" s="130"/>
      <c r="AS218" s="130"/>
      <c r="AT218" s="130"/>
      <c r="AU218" s="130"/>
      <c r="AV218" s="130"/>
      <c r="AW218" s="130"/>
      <c r="AX218" s="130"/>
      <c r="AY218" s="130"/>
      <c r="AZ218" s="130"/>
      <c r="BA218" s="130"/>
      <c r="BB218" s="130"/>
      <c r="BC218" s="130"/>
      <c r="BD218" s="130"/>
    </row>
    <row r="219" ht="15.75" customHeight="1">
      <c r="A219" s="142"/>
      <c r="B219" s="142"/>
      <c r="C219" s="198"/>
      <c r="D219" s="142"/>
      <c r="E219" s="131"/>
      <c r="F219" s="142"/>
      <c r="G219" s="142"/>
      <c r="H219" s="131"/>
      <c r="I219" s="142"/>
      <c r="J219" s="142"/>
      <c r="K219" s="132"/>
      <c r="L219" s="131"/>
      <c r="M219" s="142"/>
      <c r="N219" s="142"/>
      <c r="O219" s="142"/>
      <c r="P219" s="142"/>
      <c r="Q219" s="142"/>
      <c r="R219" s="142"/>
      <c r="S219" s="142"/>
      <c r="T219" s="142"/>
      <c r="U219" s="142"/>
      <c r="V219" s="142"/>
      <c r="W219" s="142"/>
      <c r="X219" s="142"/>
      <c r="Y219" s="142"/>
      <c r="Z219" s="142"/>
      <c r="AA219" s="142"/>
      <c r="AB219" s="142"/>
      <c r="AC219" s="142"/>
      <c r="AD219" s="142"/>
      <c r="AE219" s="142"/>
      <c r="AF219" s="142"/>
      <c r="AG219" s="142"/>
      <c r="AH219" s="142"/>
      <c r="AI219" s="142"/>
      <c r="AJ219" s="142"/>
      <c r="AK219" s="142"/>
      <c r="AL219" s="142"/>
      <c r="AM219" s="142"/>
      <c r="AN219" s="142"/>
      <c r="AO219" s="142"/>
      <c r="AP219" s="130"/>
      <c r="AQ219" s="130"/>
      <c r="AR219" s="130"/>
      <c r="AS219" s="130"/>
      <c r="AT219" s="130"/>
      <c r="AU219" s="130"/>
      <c r="AV219" s="130"/>
      <c r="AW219" s="130"/>
      <c r="AX219" s="130"/>
      <c r="AY219" s="130"/>
      <c r="AZ219" s="130"/>
      <c r="BA219" s="130"/>
      <c r="BB219" s="130"/>
      <c r="BC219" s="130"/>
      <c r="BD219" s="130"/>
    </row>
    <row r="220" ht="15.75" customHeight="1">
      <c r="A220" s="142"/>
      <c r="B220" s="142"/>
      <c r="C220" s="198"/>
      <c r="D220" s="142"/>
      <c r="E220" s="131"/>
      <c r="F220" s="142"/>
      <c r="G220" s="142"/>
      <c r="H220" s="131"/>
      <c r="I220" s="142"/>
      <c r="J220" s="142"/>
      <c r="K220" s="132"/>
      <c r="L220" s="131"/>
      <c r="M220" s="142"/>
      <c r="N220" s="142"/>
      <c r="O220" s="142"/>
      <c r="P220" s="142"/>
      <c r="Q220" s="142"/>
      <c r="R220" s="142"/>
      <c r="S220" s="142"/>
      <c r="T220" s="142"/>
      <c r="U220" s="142"/>
      <c r="V220" s="142"/>
      <c r="W220" s="142"/>
      <c r="X220" s="142"/>
      <c r="Y220" s="142"/>
      <c r="Z220" s="142"/>
      <c r="AA220" s="142"/>
      <c r="AB220" s="142"/>
      <c r="AC220" s="142"/>
      <c r="AD220" s="142"/>
      <c r="AE220" s="142"/>
      <c r="AF220" s="142"/>
      <c r="AG220" s="142"/>
      <c r="AH220" s="142"/>
      <c r="AI220" s="142"/>
      <c r="AJ220" s="142"/>
      <c r="AK220" s="142"/>
      <c r="AL220" s="142"/>
      <c r="AM220" s="142"/>
      <c r="AN220" s="142"/>
      <c r="AO220" s="142"/>
      <c r="AP220" s="130"/>
      <c r="AQ220" s="130"/>
      <c r="AR220" s="130"/>
      <c r="AS220" s="130"/>
      <c r="AT220" s="130"/>
      <c r="AU220" s="130"/>
      <c r="AV220" s="130"/>
      <c r="AW220" s="130"/>
      <c r="AX220" s="130"/>
      <c r="AY220" s="130"/>
      <c r="AZ220" s="130"/>
      <c r="BA220" s="130"/>
      <c r="BB220" s="130"/>
      <c r="BC220" s="130"/>
      <c r="BD220" s="130"/>
    </row>
    <row r="221" ht="15.75" customHeight="1">
      <c r="A221" s="142"/>
      <c r="B221" s="142"/>
      <c r="C221" s="198"/>
      <c r="D221" s="142"/>
      <c r="E221" s="131"/>
      <c r="F221" s="142"/>
      <c r="G221" s="142"/>
      <c r="H221" s="131"/>
      <c r="I221" s="142"/>
      <c r="J221" s="142"/>
      <c r="K221" s="132"/>
      <c r="L221" s="131"/>
      <c r="M221" s="142"/>
      <c r="N221" s="142"/>
      <c r="O221" s="142"/>
      <c r="P221" s="142"/>
      <c r="Q221" s="142"/>
      <c r="R221" s="142"/>
      <c r="S221" s="142"/>
      <c r="T221" s="142"/>
      <c r="U221" s="142"/>
      <c r="V221" s="142"/>
      <c r="W221" s="142"/>
      <c r="X221" s="142"/>
      <c r="Y221" s="142"/>
      <c r="Z221" s="142"/>
      <c r="AA221" s="142"/>
      <c r="AB221" s="142"/>
      <c r="AC221" s="142"/>
      <c r="AD221" s="142"/>
      <c r="AE221" s="142"/>
      <c r="AF221" s="142"/>
      <c r="AG221" s="142"/>
      <c r="AH221" s="142"/>
      <c r="AI221" s="142"/>
      <c r="AJ221" s="142"/>
      <c r="AK221" s="142"/>
      <c r="AL221" s="142"/>
      <c r="AM221" s="142"/>
      <c r="AN221" s="142"/>
      <c r="AO221" s="142"/>
      <c r="AP221" s="130"/>
      <c r="AQ221" s="130"/>
      <c r="AR221" s="130"/>
      <c r="AS221" s="130"/>
      <c r="AT221" s="130"/>
      <c r="AU221" s="130"/>
      <c r="AV221" s="130"/>
      <c r="AW221" s="130"/>
      <c r="AX221" s="130"/>
      <c r="AY221" s="130"/>
      <c r="AZ221" s="130"/>
      <c r="BA221" s="130"/>
      <c r="BB221" s="130"/>
      <c r="BC221" s="130"/>
      <c r="BD221" s="130"/>
    </row>
    <row r="222" ht="15.75" customHeight="1">
      <c r="A222" s="142"/>
      <c r="B222" s="142"/>
      <c r="C222" s="198"/>
      <c r="D222" s="142"/>
      <c r="E222" s="131"/>
      <c r="F222" s="142"/>
      <c r="G222" s="142"/>
      <c r="H222" s="131"/>
      <c r="I222" s="142"/>
      <c r="J222" s="142"/>
      <c r="K222" s="132"/>
      <c r="L222" s="131"/>
      <c r="M222" s="142"/>
      <c r="N222" s="142"/>
      <c r="O222" s="142"/>
      <c r="P222" s="142"/>
      <c r="Q222" s="142"/>
      <c r="R222" s="142"/>
      <c r="S222" s="142"/>
      <c r="T222" s="142"/>
      <c r="U222" s="142"/>
      <c r="V222" s="142"/>
      <c r="W222" s="142"/>
      <c r="X222" s="142"/>
      <c r="Y222" s="142"/>
      <c r="Z222" s="142"/>
      <c r="AA222" s="142"/>
      <c r="AB222" s="142"/>
      <c r="AC222" s="142"/>
      <c r="AD222" s="142"/>
      <c r="AE222" s="142"/>
      <c r="AF222" s="142"/>
      <c r="AG222" s="142"/>
      <c r="AH222" s="142"/>
      <c r="AI222" s="142"/>
      <c r="AJ222" s="142"/>
      <c r="AK222" s="142"/>
      <c r="AL222" s="142"/>
      <c r="AM222" s="142"/>
      <c r="AN222" s="142"/>
      <c r="AO222" s="142"/>
      <c r="AP222" s="130"/>
      <c r="AQ222" s="130"/>
      <c r="AR222" s="130"/>
      <c r="AS222" s="130"/>
      <c r="AT222" s="130"/>
      <c r="AU222" s="130"/>
      <c r="AV222" s="130"/>
      <c r="AW222" s="130"/>
      <c r="AX222" s="130"/>
      <c r="AY222" s="130"/>
      <c r="AZ222" s="130"/>
      <c r="BA222" s="130"/>
      <c r="BB222" s="130"/>
      <c r="BC222" s="130"/>
      <c r="BD222" s="130"/>
    </row>
    <row r="223" ht="15.75" customHeight="1">
      <c r="A223" s="142"/>
      <c r="B223" s="142"/>
      <c r="C223" s="198"/>
      <c r="D223" s="142"/>
      <c r="E223" s="131"/>
      <c r="F223" s="142"/>
      <c r="G223" s="142"/>
      <c r="H223" s="131"/>
      <c r="I223" s="142"/>
      <c r="J223" s="142"/>
      <c r="K223" s="132"/>
      <c r="L223" s="131"/>
      <c r="M223" s="142"/>
      <c r="N223" s="142"/>
      <c r="O223" s="142"/>
      <c r="P223" s="142"/>
      <c r="Q223" s="142"/>
      <c r="R223" s="142"/>
      <c r="S223" s="142"/>
      <c r="T223" s="142"/>
      <c r="U223" s="142"/>
      <c r="V223" s="142"/>
      <c r="W223" s="142"/>
      <c r="X223" s="142"/>
      <c r="Y223" s="142"/>
      <c r="Z223" s="142"/>
      <c r="AA223" s="142"/>
      <c r="AB223" s="142"/>
      <c r="AC223" s="142"/>
      <c r="AD223" s="142"/>
      <c r="AE223" s="142"/>
      <c r="AF223" s="142"/>
      <c r="AG223" s="142"/>
      <c r="AH223" s="142"/>
      <c r="AI223" s="142"/>
      <c r="AJ223" s="142"/>
      <c r="AK223" s="142"/>
      <c r="AL223" s="142"/>
      <c r="AM223" s="142"/>
      <c r="AN223" s="142"/>
      <c r="AO223" s="142"/>
      <c r="AP223" s="130"/>
      <c r="AQ223" s="130"/>
      <c r="AR223" s="130"/>
      <c r="AS223" s="130"/>
      <c r="AT223" s="130"/>
      <c r="AU223" s="130"/>
      <c r="AV223" s="130"/>
      <c r="AW223" s="130"/>
      <c r="AX223" s="130"/>
      <c r="AY223" s="130"/>
      <c r="AZ223" s="130"/>
      <c r="BA223" s="130"/>
      <c r="BB223" s="130"/>
      <c r="BC223" s="130"/>
      <c r="BD223" s="130"/>
    </row>
    <row r="224" ht="15.75" customHeight="1">
      <c r="A224" s="142"/>
      <c r="B224" s="142"/>
      <c r="C224" s="198"/>
      <c r="D224" s="142"/>
      <c r="E224" s="131"/>
      <c r="F224" s="142"/>
      <c r="G224" s="142"/>
      <c r="H224" s="131"/>
      <c r="I224" s="142"/>
      <c r="J224" s="142"/>
      <c r="K224" s="132"/>
      <c r="L224" s="131"/>
      <c r="M224" s="142"/>
      <c r="N224" s="142"/>
      <c r="O224" s="142"/>
      <c r="P224" s="142"/>
      <c r="Q224" s="142"/>
      <c r="R224" s="142"/>
      <c r="S224" s="142"/>
      <c r="T224" s="142"/>
      <c r="U224" s="142"/>
      <c r="V224" s="142"/>
      <c r="W224" s="142"/>
      <c r="X224" s="142"/>
      <c r="Y224" s="142"/>
      <c r="Z224" s="142"/>
      <c r="AA224" s="142"/>
      <c r="AB224" s="142"/>
      <c r="AC224" s="142"/>
      <c r="AD224" s="142"/>
      <c r="AE224" s="142"/>
      <c r="AF224" s="142"/>
      <c r="AG224" s="142"/>
      <c r="AH224" s="142"/>
      <c r="AI224" s="142"/>
      <c r="AJ224" s="142"/>
      <c r="AK224" s="142"/>
      <c r="AL224" s="142"/>
      <c r="AM224" s="142"/>
      <c r="AN224" s="142"/>
      <c r="AO224" s="142"/>
      <c r="AP224" s="130"/>
      <c r="AQ224" s="130"/>
      <c r="AR224" s="130"/>
      <c r="AS224" s="130"/>
      <c r="AT224" s="130"/>
      <c r="AU224" s="130"/>
      <c r="AV224" s="130"/>
      <c r="AW224" s="130"/>
      <c r="AX224" s="130"/>
      <c r="AY224" s="130"/>
      <c r="AZ224" s="130"/>
      <c r="BA224" s="130"/>
      <c r="BB224" s="130"/>
      <c r="BC224" s="130"/>
      <c r="BD224" s="130"/>
    </row>
    <row r="225" ht="15.75" customHeight="1">
      <c r="A225" s="142"/>
      <c r="B225" s="142"/>
      <c r="C225" s="198"/>
      <c r="D225" s="142"/>
      <c r="E225" s="131"/>
      <c r="F225" s="142"/>
      <c r="G225" s="142"/>
      <c r="H225" s="131"/>
      <c r="I225" s="142"/>
      <c r="J225" s="142"/>
      <c r="K225" s="132"/>
      <c r="L225" s="131"/>
      <c r="M225" s="142"/>
      <c r="N225" s="142"/>
      <c r="O225" s="142"/>
      <c r="P225" s="142"/>
      <c r="Q225" s="142"/>
      <c r="R225" s="142"/>
      <c r="S225" s="142"/>
      <c r="T225" s="142"/>
      <c r="U225" s="142"/>
      <c r="V225" s="142"/>
      <c r="W225" s="142"/>
      <c r="X225" s="142"/>
      <c r="Y225" s="142"/>
      <c r="Z225" s="142"/>
      <c r="AA225" s="142"/>
      <c r="AB225" s="142"/>
      <c r="AC225" s="142"/>
      <c r="AD225" s="142"/>
      <c r="AE225" s="142"/>
      <c r="AF225" s="142"/>
      <c r="AG225" s="142"/>
      <c r="AH225" s="142"/>
      <c r="AI225" s="142"/>
      <c r="AJ225" s="142"/>
      <c r="AK225" s="142"/>
      <c r="AL225" s="142"/>
      <c r="AM225" s="142"/>
      <c r="AN225" s="142"/>
      <c r="AO225" s="142"/>
      <c r="AP225" s="130"/>
      <c r="AQ225" s="130"/>
      <c r="AR225" s="130"/>
      <c r="AS225" s="130"/>
      <c r="AT225" s="130"/>
      <c r="AU225" s="130"/>
      <c r="AV225" s="130"/>
      <c r="AW225" s="130"/>
      <c r="AX225" s="130"/>
      <c r="AY225" s="130"/>
      <c r="AZ225" s="130"/>
      <c r="BA225" s="130"/>
      <c r="BB225" s="130"/>
      <c r="BC225" s="130"/>
      <c r="BD225" s="130"/>
    </row>
    <row r="226" ht="15.75" customHeight="1">
      <c r="A226" s="142"/>
      <c r="B226" s="142"/>
      <c r="C226" s="198"/>
      <c r="D226" s="142"/>
      <c r="E226" s="131"/>
      <c r="F226" s="142"/>
      <c r="G226" s="142"/>
      <c r="H226" s="131"/>
      <c r="I226" s="142"/>
      <c r="J226" s="142"/>
      <c r="K226" s="132"/>
      <c r="L226" s="131"/>
      <c r="M226" s="142"/>
      <c r="N226" s="142"/>
      <c r="O226" s="142"/>
      <c r="P226" s="142"/>
      <c r="Q226" s="142"/>
      <c r="R226" s="142"/>
      <c r="S226" s="142"/>
      <c r="T226" s="142"/>
      <c r="U226" s="142"/>
      <c r="V226" s="142"/>
      <c r="W226" s="142"/>
      <c r="X226" s="142"/>
      <c r="Y226" s="142"/>
      <c r="Z226" s="142"/>
      <c r="AA226" s="142"/>
      <c r="AB226" s="142"/>
      <c r="AC226" s="142"/>
      <c r="AD226" s="142"/>
      <c r="AE226" s="142"/>
      <c r="AF226" s="142"/>
      <c r="AG226" s="142"/>
      <c r="AH226" s="142"/>
      <c r="AI226" s="142"/>
      <c r="AJ226" s="142"/>
      <c r="AK226" s="142"/>
      <c r="AL226" s="142"/>
      <c r="AM226" s="142"/>
      <c r="AN226" s="142"/>
      <c r="AO226" s="142"/>
      <c r="AP226" s="130"/>
      <c r="AQ226" s="130"/>
      <c r="AR226" s="130"/>
      <c r="AS226" s="130"/>
      <c r="AT226" s="130"/>
      <c r="AU226" s="130"/>
      <c r="AV226" s="130"/>
      <c r="AW226" s="130"/>
      <c r="AX226" s="130"/>
      <c r="AY226" s="130"/>
      <c r="AZ226" s="130"/>
      <c r="BA226" s="130"/>
      <c r="BB226" s="130"/>
      <c r="BC226" s="130"/>
      <c r="BD226" s="130"/>
    </row>
    <row r="227" ht="15.75" customHeight="1">
      <c r="A227" s="142"/>
      <c r="B227" s="142"/>
      <c r="C227" s="198"/>
      <c r="D227" s="142"/>
      <c r="E227" s="131"/>
      <c r="F227" s="142"/>
      <c r="G227" s="142"/>
      <c r="H227" s="131"/>
      <c r="I227" s="142"/>
      <c r="J227" s="142"/>
      <c r="K227" s="132"/>
      <c r="L227" s="131"/>
      <c r="M227" s="142"/>
      <c r="N227" s="142"/>
      <c r="O227" s="142"/>
      <c r="P227" s="142"/>
      <c r="Q227" s="142"/>
      <c r="R227" s="142"/>
      <c r="S227" s="142"/>
      <c r="T227" s="142"/>
      <c r="U227" s="142"/>
      <c r="V227" s="142"/>
      <c r="W227" s="142"/>
      <c r="X227" s="142"/>
      <c r="Y227" s="142"/>
      <c r="Z227" s="142"/>
      <c r="AA227" s="142"/>
      <c r="AB227" s="142"/>
      <c r="AC227" s="142"/>
      <c r="AD227" s="142"/>
      <c r="AE227" s="142"/>
      <c r="AF227" s="142"/>
      <c r="AG227" s="142"/>
      <c r="AH227" s="142"/>
      <c r="AI227" s="142"/>
      <c r="AJ227" s="142"/>
      <c r="AK227" s="142"/>
      <c r="AL227" s="142"/>
      <c r="AM227" s="142"/>
      <c r="AN227" s="142"/>
      <c r="AO227" s="142"/>
      <c r="AP227" s="130"/>
      <c r="AQ227" s="130"/>
      <c r="AR227" s="130"/>
      <c r="AS227" s="130"/>
      <c r="AT227" s="130"/>
      <c r="AU227" s="130"/>
      <c r="AV227" s="130"/>
      <c r="AW227" s="130"/>
      <c r="AX227" s="130"/>
      <c r="AY227" s="130"/>
      <c r="AZ227" s="130"/>
      <c r="BA227" s="130"/>
      <c r="BB227" s="130"/>
      <c r="BC227" s="130"/>
      <c r="BD227" s="130"/>
    </row>
    <row r="228" ht="15.75" customHeight="1">
      <c r="A228" s="142"/>
      <c r="B228" s="142"/>
      <c r="C228" s="198"/>
      <c r="D228" s="142"/>
      <c r="E228" s="131"/>
      <c r="F228" s="142"/>
      <c r="G228" s="142"/>
      <c r="H228" s="131"/>
      <c r="I228" s="142"/>
      <c r="J228" s="142"/>
      <c r="K228" s="132"/>
      <c r="L228" s="131"/>
      <c r="M228" s="142"/>
      <c r="N228" s="142"/>
      <c r="O228" s="142"/>
      <c r="P228" s="142"/>
      <c r="Q228" s="142"/>
      <c r="R228" s="142"/>
      <c r="S228" s="142"/>
      <c r="T228" s="142"/>
      <c r="U228" s="142"/>
      <c r="V228" s="142"/>
      <c r="W228" s="142"/>
      <c r="X228" s="142"/>
      <c r="Y228" s="142"/>
      <c r="Z228" s="142"/>
      <c r="AA228" s="142"/>
      <c r="AB228" s="142"/>
      <c r="AC228" s="142"/>
      <c r="AD228" s="142"/>
      <c r="AE228" s="142"/>
      <c r="AF228" s="142"/>
      <c r="AG228" s="142"/>
      <c r="AH228" s="142"/>
      <c r="AI228" s="142"/>
      <c r="AJ228" s="142"/>
      <c r="AK228" s="142"/>
      <c r="AL228" s="142"/>
      <c r="AM228" s="142"/>
      <c r="AN228" s="142"/>
      <c r="AO228" s="142"/>
      <c r="AP228" s="130"/>
      <c r="AQ228" s="130"/>
      <c r="AR228" s="130"/>
      <c r="AS228" s="130"/>
      <c r="AT228" s="130"/>
      <c r="AU228" s="130"/>
      <c r="AV228" s="130"/>
      <c r="AW228" s="130"/>
      <c r="AX228" s="130"/>
      <c r="AY228" s="130"/>
      <c r="AZ228" s="130"/>
      <c r="BA228" s="130"/>
      <c r="BB228" s="130"/>
      <c r="BC228" s="130"/>
      <c r="BD228" s="130"/>
    </row>
    <row r="229" ht="15.75" customHeight="1">
      <c r="A229" s="142"/>
      <c r="B229" s="142"/>
      <c r="C229" s="198"/>
      <c r="D229" s="142"/>
      <c r="E229" s="131"/>
      <c r="F229" s="142"/>
      <c r="G229" s="142"/>
      <c r="H229" s="131"/>
      <c r="I229" s="142"/>
      <c r="J229" s="142"/>
      <c r="K229" s="132"/>
      <c r="L229" s="131"/>
      <c r="M229" s="142"/>
      <c r="N229" s="142"/>
      <c r="O229" s="142"/>
      <c r="P229" s="142"/>
      <c r="Q229" s="142"/>
      <c r="R229" s="142"/>
      <c r="S229" s="142"/>
      <c r="T229" s="142"/>
      <c r="U229" s="142"/>
      <c r="V229" s="142"/>
      <c r="W229" s="142"/>
      <c r="X229" s="142"/>
      <c r="Y229" s="142"/>
      <c r="Z229" s="142"/>
      <c r="AA229" s="142"/>
      <c r="AB229" s="142"/>
      <c r="AC229" s="142"/>
      <c r="AD229" s="142"/>
      <c r="AE229" s="142"/>
      <c r="AF229" s="142"/>
      <c r="AG229" s="142"/>
      <c r="AH229" s="142"/>
      <c r="AI229" s="142"/>
      <c r="AJ229" s="142"/>
      <c r="AK229" s="142"/>
      <c r="AL229" s="142"/>
      <c r="AM229" s="142"/>
      <c r="AN229" s="142"/>
      <c r="AO229" s="142"/>
      <c r="AP229" s="130"/>
      <c r="AQ229" s="130"/>
      <c r="AR229" s="130"/>
      <c r="AS229" s="130"/>
      <c r="AT229" s="130"/>
      <c r="AU229" s="130"/>
      <c r="AV229" s="130"/>
      <c r="AW229" s="130"/>
      <c r="AX229" s="130"/>
      <c r="AY229" s="130"/>
      <c r="AZ229" s="130"/>
      <c r="BA229" s="130"/>
      <c r="BB229" s="130"/>
      <c r="BC229" s="130"/>
      <c r="BD229" s="130"/>
    </row>
    <row r="230" ht="15.75" customHeight="1">
      <c r="A230" s="142"/>
      <c r="B230" s="142"/>
      <c r="C230" s="198"/>
      <c r="D230" s="142"/>
      <c r="E230" s="131"/>
      <c r="F230" s="142"/>
      <c r="G230" s="142"/>
      <c r="H230" s="131"/>
      <c r="I230" s="142"/>
      <c r="J230" s="142"/>
      <c r="K230" s="132"/>
      <c r="L230" s="131"/>
      <c r="M230" s="142"/>
      <c r="N230" s="142"/>
      <c r="O230" s="142"/>
      <c r="P230" s="142"/>
      <c r="Q230" s="142"/>
      <c r="R230" s="142"/>
      <c r="S230" s="142"/>
      <c r="T230" s="142"/>
      <c r="U230" s="142"/>
      <c r="V230" s="142"/>
      <c r="W230" s="142"/>
      <c r="X230" s="142"/>
      <c r="Y230" s="142"/>
      <c r="Z230" s="142"/>
      <c r="AA230" s="142"/>
      <c r="AB230" s="142"/>
      <c r="AC230" s="142"/>
      <c r="AD230" s="142"/>
      <c r="AE230" s="142"/>
      <c r="AF230" s="142"/>
      <c r="AG230" s="142"/>
      <c r="AH230" s="142"/>
      <c r="AI230" s="142"/>
      <c r="AJ230" s="142"/>
      <c r="AK230" s="142"/>
      <c r="AL230" s="142"/>
      <c r="AM230" s="142"/>
      <c r="AN230" s="142"/>
      <c r="AO230" s="142"/>
      <c r="AP230" s="130"/>
      <c r="AQ230" s="130"/>
      <c r="AR230" s="130"/>
      <c r="AS230" s="130"/>
      <c r="AT230" s="130"/>
      <c r="AU230" s="130"/>
      <c r="AV230" s="130"/>
      <c r="AW230" s="130"/>
      <c r="AX230" s="130"/>
      <c r="AY230" s="130"/>
      <c r="AZ230" s="130"/>
      <c r="BA230" s="130"/>
      <c r="BB230" s="130"/>
      <c r="BC230" s="130"/>
      <c r="BD230" s="130"/>
    </row>
    <row r="231" ht="15.75" customHeight="1">
      <c r="A231" s="142"/>
      <c r="B231" s="142"/>
      <c r="C231" s="198"/>
      <c r="D231" s="142"/>
      <c r="E231" s="131"/>
      <c r="F231" s="142"/>
      <c r="G231" s="142"/>
      <c r="H231" s="131"/>
      <c r="I231" s="142"/>
      <c r="J231" s="142"/>
      <c r="K231" s="132"/>
      <c r="L231" s="131"/>
      <c r="M231" s="142"/>
      <c r="N231" s="142"/>
      <c r="O231" s="142"/>
      <c r="P231" s="142"/>
      <c r="Q231" s="142"/>
      <c r="R231" s="142"/>
      <c r="S231" s="142"/>
      <c r="T231" s="142"/>
      <c r="U231" s="142"/>
      <c r="V231" s="142"/>
      <c r="W231" s="142"/>
      <c r="X231" s="142"/>
      <c r="Y231" s="142"/>
      <c r="Z231" s="142"/>
      <c r="AA231" s="142"/>
      <c r="AB231" s="142"/>
      <c r="AC231" s="142"/>
      <c r="AD231" s="142"/>
      <c r="AE231" s="142"/>
      <c r="AF231" s="142"/>
      <c r="AG231" s="142"/>
      <c r="AH231" s="142"/>
      <c r="AI231" s="142"/>
      <c r="AJ231" s="142"/>
      <c r="AK231" s="142"/>
      <c r="AL231" s="142"/>
      <c r="AM231" s="142"/>
      <c r="AN231" s="142"/>
      <c r="AO231" s="142"/>
      <c r="AP231" s="130"/>
      <c r="AQ231" s="130"/>
      <c r="AR231" s="130"/>
      <c r="AS231" s="130"/>
      <c r="AT231" s="130"/>
      <c r="AU231" s="130"/>
      <c r="AV231" s="130"/>
      <c r="AW231" s="130"/>
      <c r="AX231" s="130"/>
      <c r="AY231" s="130"/>
      <c r="AZ231" s="130"/>
      <c r="BA231" s="130"/>
      <c r="BB231" s="130"/>
      <c r="BC231" s="130"/>
      <c r="BD231" s="130"/>
    </row>
    <row r="232" ht="15.75" customHeight="1">
      <c r="A232" s="142"/>
      <c r="B232" s="142"/>
      <c r="C232" s="198"/>
      <c r="D232" s="142"/>
      <c r="E232" s="131"/>
      <c r="F232" s="142"/>
      <c r="G232" s="142"/>
      <c r="H232" s="131"/>
      <c r="I232" s="142"/>
      <c r="J232" s="142"/>
      <c r="K232" s="132"/>
      <c r="L232" s="131"/>
      <c r="M232" s="142"/>
      <c r="N232" s="142"/>
      <c r="O232" s="142"/>
      <c r="P232" s="142"/>
      <c r="Q232" s="142"/>
      <c r="R232" s="142"/>
      <c r="S232" s="142"/>
      <c r="T232" s="142"/>
      <c r="U232" s="142"/>
      <c r="V232" s="142"/>
      <c r="W232" s="142"/>
      <c r="X232" s="142"/>
      <c r="Y232" s="142"/>
      <c r="Z232" s="142"/>
      <c r="AA232" s="142"/>
      <c r="AB232" s="142"/>
      <c r="AC232" s="142"/>
      <c r="AD232" s="142"/>
      <c r="AE232" s="142"/>
      <c r="AF232" s="142"/>
      <c r="AG232" s="142"/>
      <c r="AH232" s="142"/>
      <c r="AI232" s="142"/>
      <c r="AJ232" s="142"/>
      <c r="AK232" s="142"/>
      <c r="AL232" s="142"/>
      <c r="AM232" s="142"/>
      <c r="AN232" s="142"/>
      <c r="AO232" s="142"/>
      <c r="AP232" s="130"/>
      <c r="AQ232" s="130"/>
      <c r="AR232" s="130"/>
      <c r="AS232" s="130"/>
      <c r="AT232" s="130"/>
      <c r="AU232" s="130"/>
      <c r="AV232" s="130"/>
      <c r="AW232" s="130"/>
      <c r="AX232" s="130"/>
      <c r="AY232" s="130"/>
      <c r="AZ232" s="130"/>
      <c r="BA232" s="130"/>
      <c r="BB232" s="130"/>
      <c r="BC232" s="130"/>
      <c r="BD232" s="130"/>
    </row>
    <row r="233" ht="15.75" customHeight="1">
      <c r="A233" s="142"/>
      <c r="B233" s="142"/>
      <c r="C233" s="198"/>
      <c r="D233" s="142"/>
      <c r="E233" s="131"/>
      <c r="F233" s="142"/>
      <c r="G233" s="142"/>
      <c r="H233" s="131"/>
      <c r="I233" s="142"/>
      <c r="J233" s="142"/>
      <c r="K233" s="132"/>
      <c r="L233" s="131"/>
      <c r="M233" s="142"/>
      <c r="N233" s="142"/>
      <c r="O233" s="142"/>
      <c r="P233" s="142"/>
      <c r="Q233" s="142"/>
      <c r="R233" s="142"/>
      <c r="S233" s="142"/>
      <c r="T233" s="142"/>
      <c r="U233" s="142"/>
      <c r="V233" s="142"/>
      <c r="W233" s="142"/>
      <c r="X233" s="142"/>
      <c r="Y233" s="142"/>
      <c r="Z233" s="142"/>
      <c r="AA233" s="142"/>
      <c r="AB233" s="142"/>
      <c r="AC233" s="142"/>
      <c r="AD233" s="142"/>
      <c r="AE233" s="142"/>
      <c r="AF233" s="142"/>
      <c r="AG233" s="142"/>
      <c r="AH233" s="142"/>
      <c r="AI233" s="142"/>
      <c r="AJ233" s="142"/>
      <c r="AK233" s="142"/>
      <c r="AL233" s="142"/>
      <c r="AM233" s="142"/>
      <c r="AN233" s="142"/>
      <c r="AO233" s="142"/>
      <c r="AP233" s="130"/>
      <c r="AQ233" s="130"/>
      <c r="AR233" s="130"/>
      <c r="AS233" s="130"/>
      <c r="AT233" s="130"/>
      <c r="AU233" s="130"/>
      <c r="AV233" s="130"/>
      <c r="AW233" s="130"/>
      <c r="AX233" s="130"/>
      <c r="AY233" s="130"/>
      <c r="AZ233" s="130"/>
      <c r="BA233" s="130"/>
      <c r="BB233" s="130"/>
      <c r="BC233" s="130"/>
      <c r="BD233" s="130"/>
    </row>
    <row r="234" ht="15.75" customHeight="1">
      <c r="A234" s="142"/>
      <c r="B234" s="142"/>
      <c r="C234" s="198"/>
      <c r="D234" s="142"/>
      <c r="E234" s="131"/>
      <c r="F234" s="142"/>
      <c r="G234" s="142"/>
      <c r="H234" s="131"/>
      <c r="I234" s="142"/>
      <c r="J234" s="142"/>
      <c r="K234" s="132"/>
      <c r="L234" s="131"/>
      <c r="M234" s="142"/>
      <c r="N234" s="142"/>
      <c r="O234" s="142"/>
      <c r="P234" s="142"/>
      <c r="Q234" s="142"/>
      <c r="R234" s="142"/>
      <c r="S234" s="142"/>
      <c r="T234" s="142"/>
      <c r="U234" s="142"/>
      <c r="V234" s="142"/>
      <c r="W234" s="142"/>
      <c r="X234" s="142"/>
      <c r="Y234" s="142"/>
      <c r="Z234" s="142"/>
      <c r="AA234" s="142"/>
      <c r="AB234" s="142"/>
      <c r="AC234" s="142"/>
      <c r="AD234" s="142"/>
      <c r="AE234" s="142"/>
      <c r="AF234" s="142"/>
      <c r="AG234" s="142"/>
      <c r="AH234" s="142"/>
      <c r="AI234" s="142"/>
      <c r="AJ234" s="142"/>
      <c r="AK234" s="142"/>
      <c r="AL234" s="142"/>
      <c r="AM234" s="142"/>
      <c r="AN234" s="142"/>
      <c r="AO234" s="142"/>
      <c r="AP234" s="130"/>
      <c r="AQ234" s="130"/>
      <c r="AR234" s="130"/>
      <c r="AS234" s="130"/>
      <c r="AT234" s="130"/>
      <c r="AU234" s="130"/>
      <c r="AV234" s="130"/>
      <c r="AW234" s="130"/>
      <c r="AX234" s="130"/>
      <c r="AY234" s="130"/>
      <c r="AZ234" s="130"/>
      <c r="BA234" s="130"/>
      <c r="BB234" s="130"/>
      <c r="BC234" s="130"/>
      <c r="BD234" s="130"/>
    </row>
    <row r="235" ht="15.75" customHeight="1">
      <c r="A235" s="142"/>
      <c r="B235" s="142"/>
      <c r="C235" s="198"/>
      <c r="D235" s="142"/>
      <c r="E235" s="131"/>
      <c r="F235" s="142"/>
      <c r="G235" s="142"/>
      <c r="H235" s="131"/>
      <c r="I235" s="142"/>
      <c r="J235" s="142"/>
      <c r="K235" s="132"/>
      <c r="L235" s="131"/>
      <c r="M235" s="142"/>
      <c r="N235" s="142"/>
      <c r="O235" s="142"/>
      <c r="P235" s="142"/>
      <c r="Q235" s="142"/>
      <c r="R235" s="142"/>
      <c r="S235" s="142"/>
      <c r="T235" s="142"/>
      <c r="U235" s="142"/>
      <c r="V235" s="142"/>
      <c r="W235" s="142"/>
      <c r="X235" s="142"/>
      <c r="Y235" s="142"/>
      <c r="Z235" s="142"/>
      <c r="AA235" s="142"/>
      <c r="AB235" s="142"/>
      <c r="AC235" s="142"/>
      <c r="AD235" s="142"/>
      <c r="AE235" s="142"/>
      <c r="AF235" s="142"/>
      <c r="AG235" s="142"/>
      <c r="AH235" s="142"/>
      <c r="AI235" s="142"/>
      <c r="AJ235" s="142"/>
      <c r="AK235" s="142"/>
      <c r="AL235" s="142"/>
      <c r="AM235" s="142"/>
      <c r="AN235" s="142"/>
      <c r="AO235" s="142"/>
      <c r="AP235" s="130"/>
      <c r="AQ235" s="130"/>
      <c r="AR235" s="130"/>
      <c r="AS235" s="130"/>
      <c r="AT235" s="130"/>
      <c r="AU235" s="130"/>
      <c r="AV235" s="130"/>
      <c r="AW235" s="130"/>
      <c r="AX235" s="130"/>
      <c r="AY235" s="130"/>
      <c r="AZ235" s="130"/>
      <c r="BA235" s="130"/>
      <c r="BB235" s="130"/>
      <c r="BC235" s="130"/>
      <c r="BD235" s="130"/>
    </row>
    <row r="236" ht="15.75" customHeight="1">
      <c r="A236" s="142"/>
      <c r="B236" s="142"/>
      <c r="C236" s="198"/>
      <c r="D236" s="142"/>
      <c r="E236" s="131"/>
      <c r="F236" s="142"/>
      <c r="G236" s="142"/>
      <c r="H236" s="131"/>
      <c r="I236" s="142"/>
      <c r="J236" s="142"/>
      <c r="K236" s="132"/>
      <c r="L236" s="131"/>
      <c r="M236" s="142"/>
      <c r="N236" s="142"/>
      <c r="O236" s="142"/>
      <c r="P236" s="142"/>
      <c r="Q236" s="142"/>
      <c r="R236" s="142"/>
      <c r="S236" s="142"/>
      <c r="T236" s="142"/>
      <c r="U236" s="142"/>
      <c r="V236" s="142"/>
      <c r="W236" s="142"/>
      <c r="X236" s="142"/>
      <c r="Y236" s="142"/>
      <c r="Z236" s="142"/>
      <c r="AA236" s="142"/>
      <c r="AB236" s="142"/>
      <c r="AC236" s="142"/>
      <c r="AD236" s="142"/>
      <c r="AE236" s="142"/>
      <c r="AF236" s="142"/>
      <c r="AG236" s="142"/>
      <c r="AH236" s="142"/>
      <c r="AI236" s="142"/>
      <c r="AJ236" s="142"/>
      <c r="AK236" s="142"/>
      <c r="AL236" s="142"/>
      <c r="AM236" s="142"/>
      <c r="AN236" s="142"/>
      <c r="AO236" s="142"/>
      <c r="AP236" s="130"/>
      <c r="AQ236" s="130"/>
      <c r="AR236" s="130"/>
      <c r="AS236" s="130"/>
      <c r="AT236" s="130"/>
      <c r="AU236" s="130"/>
      <c r="AV236" s="130"/>
      <c r="AW236" s="130"/>
      <c r="AX236" s="130"/>
      <c r="AY236" s="130"/>
      <c r="AZ236" s="130"/>
      <c r="BA236" s="130"/>
      <c r="BB236" s="130"/>
      <c r="BC236" s="130"/>
      <c r="BD236" s="130"/>
    </row>
    <row r="237" ht="15.75" customHeight="1">
      <c r="A237" s="142"/>
      <c r="B237" s="142"/>
      <c r="C237" s="198"/>
      <c r="D237" s="142"/>
      <c r="E237" s="131"/>
      <c r="F237" s="142"/>
      <c r="G237" s="142"/>
      <c r="H237" s="131"/>
      <c r="I237" s="142"/>
      <c r="J237" s="142"/>
      <c r="K237" s="132"/>
      <c r="L237" s="131"/>
      <c r="M237" s="142"/>
      <c r="N237" s="142"/>
      <c r="O237" s="142"/>
      <c r="P237" s="142"/>
      <c r="Q237" s="142"/>
      <c r="R237" s="142"/>
      <c r="S237" s="142"/>
      <c r="T237" s="142"/>
      <c r="U237" s="142"/>
      <c r="V237" s="142"/>
      <c r="W237" s="142"/>
      <c r="X237" s="142"/>
      <c r="Y237" s="142"/>
      <c r="Z237" s="142"/>
      <c r="AA237" s="142"/>
      <c r="AB237" s="142"/>
      <c r="AC237" s="142"/>
      <c r="AD237" s="142"/>
      <c r="AE237" s="142"/>
      <c r="AF237" s="142"/>
      <c r="AG237" s="142"/>
      <c r="AH237" s="142"/>
      <c r="AI237" s="142"/>
      <c r="AJ237" s="142"/>
      <c r="AK237" s="142"/>
      <c r="AL237" s="142"/>
      <c r="AM237" s="142"/>
      <c r="AN237" s="142"/>
      <c r="AO237" s="142"/>
      <c r="AP237" s="130"/>
      <c r="AQ237" s="130"/>
      <c r="AR237" s="130"/>
      <c r="AS237" s="130"/>
      <c r="AT237" s="130"/>
      <c r="AU237" s="130"/>
      <c r="AV237" s="130"/>
      <c r="AW237" s="130"/>
      <c r="AX237" s="130"/>
      <c r="AY237" s="130"/>
      <c r="AZ237" s="130"/>
      <c r="BA237" s="130"/>
      <c r="BB237" s="130"/>
      <c r="BC237" s="130"/>
      <c r="BD237" s="130"/>
    </row>
    <row r="238" ht="15.75" customHeight="1">
      <c r="A238" s="142"/>
      <c r="B238" s="142"/>
      <c r="C238" s="198"/>
      <c r="D238" s="142"/>
      <c r="E238" s="131"/>
      <c r="F238" s="142"/>
      <c r="G238" s="142"/>
      <c r="H238" s="131"/>
      <c r="I238" s="142"/>
      <c r="J238" s="142"/>
      <c r="K238" s="132"/>
      <c r="L238" s="131"/>
      <c r="M238" s="142"/>
      <c r="N238" s="142"/>
      <c r="O238" s="142"/>
      <c r="P238" s="142"/>
      <c r="Q238" s="142"/>
      <c r="R238" s="142"/>
      <c r="S238" s="142"/>
      <c r="T238" s="142"/>
      <c r="U238" s="142"/>
      <c r="V238" s="142"/>
      <c r="W238" s="142"/>
      <c r="X238" s="142"/>
      <c r="Y238" s="142"/>
      <c r="Z238" s="142"/>
      <c r="AA238" s="142"/>
      <c r="AB238" s="142"/>
      <c r="AC238" s="142"/>
      <c r="AD238" s="142"/>
      <c r="AE238" s="142"/>
      <c r="AF238" s="142"/>
      <c r="AG238" s="142"/>
      <c r="AH238" s="142"/>
      <c r="AI238" s="142"/>
      <c r="AJ238" s="142"/>
      <c r="AK238" s="142"/>
      <c r="AL238" s="142"/>
      <c r="AM238" s="142"/>
      <c r="AN238" s="142"/>
      <c r="AO238" s="142"/>
      <c r="AP238" s="130"/>
      <c r="AQ238" s="130"/>
      <c r="AR238" s="130"/>
      <c r="AS238" s="130"/>
      <c r="AT238" s="130"/>
      <c r="AU238" s="130"/>
      <c r="AV238" s="130"/>
      <c r="AW238" s="130"/>
      <c r="AX238" s="130"/>
      <c r="AY238" s="130"/>
      <c r="AZ238" s="130"/>
      <c r="BA238" s="130"/>
      <c r="BB238" s="130"/>
      <c r="BC238" s="130"/>
      <c r="BD238" s="130"/>
    </row>
    <row r="239" ht="15.75" customHeight="1">
      <c r="A239" s="142"/>
      <c r="B239" s="142"/>
      <c r="C239" s="198"/>
      <c r="D239" s="142"/>
      <c r="E239" s="131"/>
      <c r="F239" s="142"/>
      <c r="G239" s="142"/>
      <c r="H239" s="131"/>
      <c r="I239" s="142"/>
      <c r="J239" s="142"/>
      <c r="K239" s="132"/>
      <c r="L239" s="131"/>
      <c r="M239" s="142"/>
      <c r="N239" s="142"/>
      <c r="O239" s="142"/>
      <c r="P239" s="142"/>
      <c r="Q239" s="142"/>
      <c r="R239" s="142"/>
      <c r="S239" s="142"/>
      <c r="T239" s="142"/>
      <c r="U239" s="142"/>
      <c r="V239" s="142"/>
      <c r="W239" s="142"/>
      <c r="X239" s="142"/>
      <c r="Y239" s="142"/>
      <c r="Z239" s="142"/>
      <c r="AA239" s="142"/>
      <c r="AB239" s="142"/>
      <c r="AC239" s="142"/>
      <c r="AD239" s="142"/>
      <c r="AE239" s="142"/>
      <c r="AF239" s="142"/>
      <c r="AG239" s="142"/>
      <c r="AH239" s="142"/>
      <c r="AI239" s="142"/>
      <c r="AJ239" s="142"/>
      <c r="AK239" s="142"/>
      <c r="AL239" s="142"/>
      <c r="AM239" s="142"/>
      <c r="AN239" s="142"/>
      <c r="AO239" s="142"/>
      <c r="AP239" s="130"/>
      <c r="AQ239" s="130"/>
      <c r="AR239" s="130"/>
      <c r="AS239" s="130"/>
      <c r="AT239" s="130"/>
      <c r="AU239" s="130"/>
      <c r="AV239" s="130"/>
      <c r="AW239" s="130"/>
      <c r="AX239" s="130"/>
      <c r="AY239" s="130"/>
      <c r="AZ239" s="130"/>
      <c r="BA239" s="130"/>
      <c r="BB239" s="130"/>
      <c r="BC239" s="130"/>
      <c r="BD239" s="130"/>
    </row>
    <row r="240" ht="15.75" customHeight="1">
      <c r="A240" s="142"/>
      <c r="B240" s="142"/>
      <c r="C240" s="198"/>
      <c r="D240" s="142"/>
      <c r="E240" s="131"/>
      <c r="F240" s="142"/>
      <c r="G240" s="142"/>
      <c r="H240" s="131"/>
      <c r="I240" s="142"/>
      <c r="J240" s="142"/>
      <c r="K240" s="132"/>
      <c r="L240" s="131"/>
      <c r="M240" s="142"/>
      <c r="N240" s="142"/>
      <c r="O240" s="142"/>
      <c r="P240" s="142"/>
      <c r="Q240" s="142"/>
      <c r="R240" s="142"/>
      <c r="S240" s="142"/>
      <c r="T240" s="142"/>
      <c r="U240" s="142"/>
      <c r="V240" s="142"/>
      <c r="W240" s="142"/>
      <c r="X240" s="142"/>
      <c r="Y240" s="142"/>
      <c r="Z240" s="142"/>
      <c r="AA240" s="142"/>
      <c r="AB240" s="142"/>
      <c r="AC240" s="142"/>
      <c r="AD240" s="142"/>
      <c r="AE240" s="142"/>
      <c r="AF240" s="142"/>
      <c r="AG240" s="142"/>
      <c r="AH240" s="142"/>
      <c r="AI240" s="142"/>
      <c r="AJ240" s="142"/>
      <c r="AK240" s="142"/>
      <c r="AL240" s="142"/>
      <c r="AM240" s="142"/>
      <c r="AN240" s="142"/>
      <c r="AO240" s="142"/>
      <c r="AP240" s="130"/>
      <c r="AQ240" s="130"/>
      <c r="AR240" s="130"/>
      <c r="AS240" s="130"/>
      <c r="AT240" s="130"/>
      <c r="AU240" s="130"/>
      <c r="AV240" s="130"/>
      <c r="AW240" s="130"/>
      <c r="AX240" s="130"/>
      <c r="AY240" s="130"/>
      <c r="AZ240" s="130"/>
      <c r="BA240" s="130"/>
      <c r="BB240" s="130"/>
      <c r="BC240" s="130"/>
      <c r="BD240" s="130"/>
    </row>
    <row r="241" ht="15.75" customHeight="1">
      <c r="A241" s="142"/>
      <c r="B241" s="142"/>
      <c r="C241" s="198"/>
      <c r="D241" s="142"/>
      <c r="E241" s="131"/>
      <c r="F241" s="142"/>
      <c r="G241" s="142"/>
      <c r="H241" s="131"/>
      <c r="I241" s="142"/>
      <c r="J241" s="142"/>
      <c r="K241" s="132"/>
      <c r="L241" s="131"/>
      <c r="M241" s="142"/>
      <c r="N241" s="142"/>
      <c r="O241" s="142"/>
      <c r="P241" s="142"/>
      <c r="Q241" s="142"/>
      <c r="R241" s="142"/>
      <c r="S241" s="142"/>
      <c r="T241" s="142"/>
      <c r="U241" s="142"/>
      <c r="V241" s="142"/>
      <c r="W241" s="142"/>
      <c r="X241" s="142"/>
      <c r="Y241" s="142"/>
      <c r="Z241" s="142"/>
      <c r="AA241" s="142"/>
      <c r="AB241" s="142"/>
      <c r="AC241" s="142"/>
      <c r="AD241" s="142"/>
      <c r="AE241" s="142"/>
      <c r="AF241" s="142"/>
      <c r="AG241" s="142"/>
      <c r="AH241" s="142"/>
      <c r="AI241" s="142"/>
      <c r="AJ241" s="142"/>
      <c r="AK241" s="142"/>
      <c r="AL241" s="142"/>
      <c r="AM241" s="142"/>
      <c r="AN241" s="142"/>
      <c r="AO241" s="142"/>
      <c r="AP241" s="130"/>
      <c r="AQ241" s="130"/>
      <c r="AR241" s="130"/>
      <c r="AS241" s="130"/>
      <c r="AT241" s="130"/>
      <c r="AU241" s="130"/>
      <c r="AV241" s="130"/>
      <c r="AW241" s="130"/>
      <c r="AX241" s="130"/>
      <c r="AY241" s="130"/>
      <c r="AZ241" s="130"/>
      <c r="BA241" s="130"/>
      <c r="BB241" s="130"/>
      <c r="BC241" s="130"/>
      <c r="BD241" s="130"/>
    </row>
    <row r="242" ht="15.75" customHeight="1">
      <c r="A242" s="142"/>
      <c r="B242" s="142"/>
      <c r="C242" s="198"/>
      <c r="D242" s="142"/>
      <c r="E242" s="131"/>
      <c r="F242" s="142"/>
      <c r="G242" s="142"/>
      <c r="H242" s="131"/>
      <c r="I242" s="142"/>
      <c r="J242" s="142"/>
      <c r="K242" s="132"/>
      <c r="L242" s="131"/>
      <c r="M242" s="142"/>
      <c r="N242" s="142"/>
      <c r="O242" s="142"/>
      <c r="P242" s="142"/>
      <c r="Q242" s="142"/>
      <c r="R242" s="142"/>
      <c r="S242" s="142"/>
      <c r="T242" s="142"/>
      <c r="U242" s="142"/>
      <c r="V242" s="142"/>
      <c r="W242" s="142"/>
      <c r="X242" s="142"/>
      <c r="Y242" s="142"/>
      <c r="Z242" s="142"/>
      <c r="AA242" s="142"/>
      <c r="AB242" s="142"/>
      <c r="AC242" s="142"/>
      <c r="AD242" s="142"/>
      <c r="AE242" s="142"/>
      <c r="AF242" s="142"/>
      <c r="AG242" s="142"/>
      <c r="AH242" s="142"/>
      <c r="AI242" s="142"/>
      <c r="AJ242" s="142"/>
      <c r="AK242" s="142"/>
      <c r="AL242" s="142"/>
      <c r="AM242" s="142"/>
      <c r="AN242" s="142"/>
      <c r="AO242" s="142"/>
      <c r="AP242" s="130"/>
      <c r="AQ242" s="130"/>
      <c r="AR242" s="130"/>
      <c r="AS242" s="130"/>
      <c r="AT242" s="130"/>
      <c r="AU242" s="130"/>
      <c r="AV242" s="130"/>
      <c r="AW242" s="130"/>
      <c r="AX242" s="130"/>
      <c r="AY242" s="130"/>
      <c r="AZ242" s="130"/>
      <c r="BA242" s="130"/>
      <c r="BB242" s="130"/>
      <c r="BC242" s="130"/>
      <c r="BD242" s="130"/>
    </row>
    <row r="243" ht="15.75" customHeight="1">
      <c r="A243" s="142"/>
      <c r="B243" s="142"/>
      <c r="C243" s="198"/>
      <c r="D243" s="142"/>
      <c r="E243" s="131"/>
      <c r="F243" s="142"/>
      <c r="G243" s="142"/>
      <c r="H243" s="131"/>
      <c r="I243" s="142"/>
      <c r="J243" s="142"/>
      <c r="K243" s="132"/>
      <c r="L243" s="131"/>
      <c r="M243" s="142"/>
      <c r="N243" s="142"/>
      <c r="O243" s="142"/>
      <c r="P243" s="142"/>
      <c r="Q243" s="142"/>
      <c r="R243" s="142"/>
      <c r="S243" s="142"/>
      <c r="T243" s="142"/>
      <c r="U243" s="142"/>
      <c r="V243" s="142"/>
      <c r="W243" s="142"/>
      <c r="X243" s="142"/>
      <c r="Y243" s="142"/>
      <c r="Z243" s="142"/>
      <c r="AA243" s="142"/>
      <c r="AB243" s="142"/>
      <c r="AC243" s="142"/>
      <c r="AD243" s="142"/>
      <c r="AE243" s="142"/>
      <c r="AF243" s="142"/>
      <c r="AG243" s="142"/>
      <c r="AH243" s="142"/>
      <c r="AI243" s="142"/>
      <c r="AJ243" s="142"/>
      <c r="AK243" s="142"/>
      <c r="AL243" s="142"/>
      <c r="AM243" s="142"/>
      <c r="AN243" s="142"/>
      <c r="AO243" s="142"/>
      <c r="AP243" s="130"/>
      <c r="AQ243" s="130"/>
      <c r="AR243" s="130"/>
      <c r="AS243" s="130"/>
      <c r="AT243" s="130"/>
      <c r="AU243" s="130"/>
      <c r="AV243" s="130"/>
      <c r="AW243" s="130"/>
      <c r="AX243" s="130"/>
      <c r="AY243" s="130"/>
      <c r="AZ243" s="130"/>
      <c r="BA243" s="130"/>
      <c r="BB243" s="130"/>
      <c r="BC243" s="130"/>
      <c r="BD243" s="130"/>
    </row>
    <row r="244" ht="15.75" customHeight="1">
      <c r="A244" s="142"/>
      <c r="B244" s="142"/>
      <c r="C244" s="198"/>
      <c r="D244" s="142"/>
      <c r="E244" s="131"/>
      <c r="F244" s="142"/>
      <c r="G244" s="142"/>
      <c r="H244" s="131"/>
      <c r="I244" s="142"/>
      <c r="J244" s="142"/>
      <c r="K244" s="132"/>
      <c r="L244" s="131"/>
      <c r="M244" s="142"/>
      <c r="N244" s="142"/>
      <c r="O244" s="142"/>
      <c r="P244" s="142"/>
      <c r="Q244" s="142"/>
      <c r="R244" s="142"/>
      <c r="S244" s="142"/>
      <c r="T244" s="142"/>
      <c r="U244" s="142"/>
      <c r="V244" s="142"/>
      <c r="W244" s="142"/>
      <c r="X244" s="142"/>
      <c r="Y244" s="142"/>
      <c r="Z244" s="142"/>
      <c r="AA244" s="142"/>
      <c r="AB244" s="142"/>
      <c r="AC244" s="142"/>
      <c r="AD244" s="142"/>
      <c r="AE244" s="142"/>
      <c r="AF244" s="142"/>
      <c r="AG244" s="142"/>
      <c r="AH244" s="142"/>
      <c r="AI244" s="142"/>
      <c r="AJ244" s="142"/>
      <c r="AK244" s="142"/>
      <c r="AL244" s="142"/>
      <c r="AM244" s="142"/>
      <c r="AN244" s="142"/>
      <c r="AO244" s="142"/>
      <c r="AP244" s="130"/>
      <c r="AQ244" s="130"/>
      <c r="AR244" s="130"/>
      <c r="AS244" s="130"/>
      <c r="AT244" s="130"/>
      <c r="AU244" s="130"/>
      <c r="AV244" s="130"/>
      <c r="AW244" s="130"/>
      <c r="AX244" s="130"/>
      <c r="AY244" s="130"/>
      <c r="AZ244" s="130"/>
      <c r="BA244" s="130"/>
      <c r="BB244" s="130"/>
      <c r="BC244" s="130"/>
      <c r="BD244" s="130"/>
    </row>
    <row r="245" ht="15.75" customHeight="1">
      <c r="A245" s="142"/>
      <c r="B245" s="142"/>
      <c r="C245" s="198"/>
      <c r="D245" s="142"/>
      <c r="E245" s="131"/>
      <c r="F245" s="142"/>
      <c r="G245" s="142"/>
      <c r="H245" s="131"/>
      <c r="I245" s="142"/>
      <c r="J245" s="142"/>
      <c r="K245" s="132"/>
      <c r="L245" s="131"/>
      <c r="M245" s="142"/>
      <c r="N245" s="142"/>
      <c r="O245" s="142"/>
      <c r="P245" s="142"/>
      <c r="Q245" s="142"/>
      <c r="R245" s="142"/>
      <c r="S245" s="142"/>
      <c r="T245" s="142"/>
      <c r="U245" s="142"/>
      <c r="V245" s="142"/>
      <c r="W245" s="142"/>
      <c r="X245" s="142"/>
      <c r="Y245" s="142"/>
      <c r="Z245" s="142"/>
      <c r="AA245" s="142"/>
      <c r="AB245" s="142"/>
      <c r="AC245" s="142"/>
      <c r="AD245" s="142"/>
      <c r="AE245" s="142"/>
      <c r="AF245" s="142"/>
      <c r="AG245" s="142"/>
      <c r="AH245" s="142"/>
      <c r="AI245" s="142"/>
      <c r="AJ245" s="142"/>
      <c r="AK245" s="142"/>
      <c r="AL245" s="142"/>
      <c r="AM245" s="142"/>
      <c r="AN245" s="142"/>
      <c r="AO245" s="142"/>
      <c r="AP245" s="130"/>
      <c r="AQ245" s="130"/>
      <c r="AR245" s="130"/>
      <c r="AS245" s="130"/>
      <c r="AT245" s="130"/>
      <c r="AU245" s="130"/>
      <c r="AV245" s="130"/>
      <c r="AW245" s="130"/>
      <c r="AX245" s="130"/>
      <c r="AY245" s="130"/>
      <c r="AZ245" s="130"/>
      <c r="BA245" s="130"/>
      <c r="BB245" s="130"/>
      <c r="BC245" s="130"/>
      <c r="BD245" s="130"/>
    </row>
    <row r="246" ht="15.75" customHeight="1">
      <c r="A246" s="142"/>
      <c r="B246" s="142"/>
      <c r="C246" s="198"/>
      <c r="D246" s="142"/>
      <c r="E246" s="131"/>
      <c r="F246" s="142"/>
      <c r="G246" s="142"/>
      <c r="H246" s="131"/>
      <c r="I246" s="142"/>
      <c r="J246" s="142"/>
      <c r="K246" s="132"/>
      <c r="L246" s="131"/>
      <c r="M246" s="142"/>
      <c r="N246" s="142"/>
      <c r="O246" s="142"/>
      <c r="P246" s="142"/>
      <c r="Q246" s="142"/>
      <c r="R246" s="142"/>
      <c r="S246" s="142"/>
      <c r="T246" s="142"/>
      <c r="U246" s="142"/>
      <c r="V246" s="142"/>
      <c r="W246" s="142"/>
      <c r="X246" s="142"/>
      <c r="Y246" s="142"/>
      <c r="Z246" s="142"/>
      <c r="AA246" s="142"/>
      <c r="AB246" s="142"/>
      <c r="AC246" s="142"/>
      <c r="AD246" s="142"/>
      <c r="AE246" s="142"/>
      <c r="AF246" s="142"/>
      <c r="AG246" s="142"/>
      <c r="AH246" s="142"/>
      <c r="AI246" s="142"/>
      <c r="AJ246" s="142"/>
      <c r="AK246" s="142"/>
      <c r="AL246" s="142"/>
      <c r="AM246" s="142"/>
      <c r="AN246" s="142"/>
      <c r="AO246" s="142"/>
      <c r="AP246" s="130"/>
      <c r="AQ246" s="130"/>
      <c r="AR246" s="130"/>
      <c r="AS246" s="130"/>
      <c r="AT246" s="130"/>
      <c r="AU246" s="130"/>
      <c r="AV246" s="130"/>
      <c r="AW246" s="130"/>
      <c r="AX246" s="130"/>
      <c r="AY246" s="130"/>
      <c r="AZ246" s="130"/>
      <c r="BA246" s="130"/>
      <c r="BB246" s="130"/>
      <c r="BC246" s="130"/>
      <c r="BD246" s="130"/>
    </row>
    <row r="247" ht="15.75" customHeight="1">
      <c r="A247" s="142"/>
      <c r="B247" s="142"/>
      <c r="C247" s="198"/>
      <c r="D247" s="142"/>
      <c r="E247" s="131"/>
      <c r="F247" s="142"/>
      <c r="G247" s="142"/>
      <c r="H247" s="131"/>
      <c r="I247" s="142"/>
      <c r="J247" s="142"/>
      <c r="K247" s="132"/>
      <c r="L247" s="131"/>
      <c r="M247" s="142"/>
      <c r="N247" s="142"/>
      <c r="O247" s="142"/>
      <c r="P247" s="142"/>
      <c r="Q247" s="142"/>
      <c r="R247" s="142"/>
      <c r="S247" s="142"/>
      <c r="T247" s="142"/>
      <c r="U247" s="142"/>
      <c r="V247" s="142"/>
      <c r="W247" s="142"/>
      <c r="X247" s="142"/>
      <c r="Y247" s="142"/>
      <c r="Z247" s="142"/>
      <c r="AA247" s="142"/>
      <c r="AB247" s="142"/>
      <c r="AC247" s="142"/>
      <c r="AD247" s="142"/>
      <c r="AE247" s="142"/>
      <c r="AF247" s="142"/>
      <c r="AG247" s="142"/>
      <c r="AH247" s="142"/>
      <c r="AI247" s="142"/>
      <c r="AJ247" s="142"/>
      <c r="AK247" s="142"/>
      <c r="AL247" s="142"/>
      <c r="AM247" s="142"/>
      <c r="AN247" s="142"/>
      <c r="AO247" s="142"/>
      <c r="AP247" s="130"/>
      <c r="AQ247" s="130"/>
      <c r="AR247" s="130"/>
      <c r="AS247" s="130"/>
      <c r="AT247" s="130"/>
      <c r="AU247" s="130"/>
      <c r="AV247" s="130"/>
      <c r="AW247" s="130"/>
      <c r="AX247" s="130"/>
      <c r="AY247" s="130"/>
      <c r="AZ247" s="130"/>
      <c r="BA247" s="130"/>
      <c r="BB247" s="130"/>
      <c r="BC247" s="130"/>
      <c r="BD247" s="130"/>
    </row>
    <row r="248" ht="15.75" customHeight="1">
      <c r="A248" s="142"/>
      <c r="B248" s="142"/>
      <c r="C248" s="198"/>
      <c r="D248" s="142"/>
      <c r="E248" s="131"/>
      <c r="F248" s="142"/>
      <c r="G248" s="142"/>
      <c r="H248" s="131"/>
      <c r="I248" s="142"/>
      <c r="J248" s="142"/>
      <c r="K248" s="132"/>
      <c r="L248" s="131"/>
      <c r="M248" s="142"/>
      <c r="N248" s="142"/>
      <c r="O248" s="142"/>
      <c r="P248" s="142"/>
      <c r="Q248" s="142"/>
      <c r="R248" s="142"/>
      <c r="S248" s="142"/>
      <c r="T248" s="142"/>
      <c r="U248" s="142"/>
      <c r="V248" s="142"/>
      <c r="W248" s="142"/>
      <c r="X248" s="142"/>
      <c r="Y248" s="142"/>
      <c r="Z248" s="142"/>
      <c r="AA248" s="142"/>
      <c r="AB248" s="142"/>
      <c r="AC248" s="142"/>
      <c r="AD248" s="142"/>
      <c r="AE248" s="142"/>
      <c r="AF248" s="142"/>
      <c r="AG248" s="142"/>
      <c r="AH248" s="142"/>
      <c r="AI248" s="142"/>
      <c r="AJ248" s="142"/>
      <c r="AK248" s="142"/>
      <c r="AL248" s="142"/>
      <c r="AM248" s="142"/>
      <c r="AN248" s="142"/>
      <c r="AO248" s="142"/>
      <c r="AP248" s="130"/>
      <c r="AQ248" s="130"/>
      <c r="AR248" s="130"/>
      <c r="AS248" s="130"/>
      <c r="AT248" s="130"/>
      <c r="AU248" s="130"/>
      <c r="AV248" s="130"/>
      <c r="AW248" s="130"/>
      <c r="AX248" s="130"/>
      <c r="AY248" s="130"/>
      <c r="AZ248" s="130"/>
      <c r="BA248" s="130"/>
      <c r="BB248" s="130"/>
      <c r="BC248" s="130"/>
      <c r="BD248" s="130"/>
    </row>
    <row r="249" ht="15.75" customHeight="1">
      <c r="A249" s="142"/>
      <c r="B249" s="142"/>
      <c r="C249" s="198"/>
      <c r="D249" s="142"/>
      <c r="E249" s="131"/>
      <c r="F249" s="142"/>
      <c r="G249" s="142"/>
      <c r="H249" s="131"/>
      <c r="I249" s="142"/>
      <c r="J249" s="142"/>
      <c r="K249" s="132"/>
      <c r="L249" s="131"/>
      <c r="M249" s="142"/>
      <c r="N249" s="142"/>
      <c r="O249" s="142"/>
      <c r="P249" s="142"/>
      <c r="Q249" s="142"/>
      <c r="R249" s="142"/>
      <c r="S249" s="142"/>
      <c r="T249" s="142"/>
      <c r="U249" s="142"/>
      <c r="V249" s="142"/>
      <c r="W249" s="142"/>
      <c r="X249" s="142"/>
      <c r="Y249" s="142"/>
      <c r="Z249" s="142"/>
      <c r="AA249" s="142"/>
      <c r="AB249" s="142"/>
      <c r="AC249" s="142"/>
      <c r="AD249" s="142"/>
      <c r="AE249" s="142"/>
      <c r="AF249" s="142"/>
      <c r="AG249" s="142"/>
      <c r="AH249" s="142"/>
      <c r="AI249" s="142"/>
      <c r="AJ249" s="142"/>
      <c r="AK249" s="142"/>
      <c r="AL249" s="142"/>
      <c r="AM249" s="142"/>
      <c r="AN249" s="142"/>
      <c r="AO249" s="142"/>
      <c r="AP249" s="130"/>
      <c r="AQ249" s="130"/>
      <c r="AR249" s="130"/>
      <c r="AS249" s="130"/>
      <c r="AT249" s="130"/>
      <c r="AU249" s="130"/>
      <c r="AV249" s="130"/>
      <c r="AW249" s="130"/>
      <c r="AX249" s="130"/>
      <c r="AY249" s="130"/>
      <c r="AZ249" s="130"/>
      <c r="BA249" s="130"/>
      <c r="BB249" s="130"/>
      <c r="BC249" s="130"/>
      <c r="BD249" s="130"/>
    </row>
    <row r="250" ht="15.75" customHeight="1">
      <c r="A250" s="142"/>
      <c r="B250" s="142"/>
      <c r="C250" s="198"/>
      <c r="D250" s="142"/>
      <c r="E250" s="131"/>
      <c r="F250" s="142"/>
      <c r="G250" s="142"/>
      <c r="H250" s="131"/>
      <c r="I250" s="142"/>
      <c r="J250" s="142"/>
      <c r="K250" s="132"/>
      <c r="L250" s="131"/>
      <c r="M250" s="142"/>
      <c r="N250" s="142"/>
      <c r="O250" s="142"/>
      <c r="P250" s="142"/>
      <c r="Q250" s="142"/>
      <c r="R250" s="142"/>
      <c r="S250" s="142"/>
      <c r="T250" s="142"/>
      <c r="U250" s="142"/>
      <c r="V250" s="142"/>
      <c r="W250" s="142"/>
      <c r="X250" s="142"/>
      <c r="Y250" s="142"/>
      <c r="Z250" s="142"/>
      <c r="AA250" s="142"/>
      <c r="AB250" s="142"/>
      <c r="AC250" s="142"/>
      <c r="AD250" s="142"/>
      <c r="AE250" s="142"/>
      <c r="AF250" s="142"/>
      <c r="AG250" s="142"/>
      <c r="AH250" s="142"/>
      <c r="AI250" s="142"/>
      <c r="AJ250" s="142"/>
      <c r="AK250" s="142"/>
      <c r="AL250" s="142"/>
      <c r="AM250" s="142"/>
      <c r="AN250" s="142"/>
      <c r="AO250" s="142"/>
      <c r="AP250" s="130"/>
      <c r="AQ250" s="130"/>
      <c r="AR250" s="130"/>
      <c r="AS250" s="130"/>
      <c r="AT250" s="130"/>
      <c r="AU250" s="130"/>
      <c r="AV250" s="130"/>
      <c r="AW250" s="130"/>
      <c r="AX250" s="130"/>
      <c r="AY250" s="130"/>
      <c r="AZ250" s="130"/>
      <c r="BA250" s="130"/>
      <c r="BB250" s="130"/>
      <c r="BC250" s="130"/>
      <c r="BD250" s="130"/>
    </row>
    <row r="251" ht="15.75" customHeight="1">
      <c r="A251" s="142"/>
      <c r="B251" s="142"/>
      <c r="C251" s="198"/>
      <c r="D251" s="142"/>
      <c r="E251" s="131"/>
      <c r="F251" s="142"/>
      <c r="G251" s="142"/>
      <c r="H251" s="131"/>
      <c r="I251" s="142"/>
      <c r="J251" s="142"/>
      <c r="K251" s="132"/>
      <c r="L251" s="131"/>
      <c r="M251" s="142"/>
      <c r="N251" s="142"/>
      <c r="O251" s="142"/>
      <c r="P251" s="142"/>
      <c r="Q251" s="142"/>
      <c r="R251" s="142"/>
      <c r="S251" s="142"/>
      <c r="T251" s="142"/>
      <c r="U251" s="142"/>
      <c r="V251" s="142"/>
      <c r="W251" s="142"/>
      <c r="X251" s="142"/>
      <c r="Y251" s="142"/>
      <c r="Z251" s="142"/>
      <c r="AA251" s="142"/>
      <c r="AB251" s="142"/>
      <c r="AC251" s="142"/>
      <c r="AD251" s="142"/>
      <c r="AE251" s="142"/>
      <c r="AF251" s="142"/>
      <c r="AG251" s="142"/>
      <c r="AH251" s="142"/>
      <c r="AI251" s="142"/>
      <c r="AJ251" s="142"/>
      <c r="AK251" s="142"/>
      <c r="AL251" s="142"/>
      <c r="AM251" s="142"/>
      <c r="AN251" s="142"/>
      <c r="AO251" s="142"/>
      <c r="AP251" s="130"/>
      <c r="AQ251" s="130"/>
      <c r="AR251" s="130"/>
      <c r="AS251" s="130"/>
      <c r="AT251" s="130"/>
      <c r="AU251" s="130"/>
      <c r="AV251" s="130"/>
      <c r="AW251" s="130"/>
      <c r="AX251" s="130"/>
      <c r="AY251" s="130"/>
      <c r="AZ251" s="130"/>
      <c r="BA251" s="130"/>
      <c r="BB251" s="130"/>
      <c r="BC251" s="130"/>
      <c r="BD251" s="130"/>
    </row>
    <row r="252" ht="15.75" customHeight="1">
      <c r="A252" s="142"/>
      <c r="B252" s="142"/>
      <c r="C252" s="198"/>
      <c r="D252" s="142"/>
      <c r="E252" s="131"/>
      <c r="F252" s="142"/>
      <c r="G252" s="142"/>
      <c r="H252" s="131"/>
      <c r="I252" s="142"/>
      <c r="J252" s="142"/>
      <c r="K252" s="132"/>
      <c r="L252" s="131"/>
      <c r="M252" s="142"/>
      <c r="N252" s="142"/>
      <c r="O252" s="142"/>
      <c r="P252" s="142"/>
      <c r="Q252" s="142"/>
      <c r="R252" s="142"/>
      <c r="S252" s="142"/>
      <c r="T252" s="142"/>
      <c r="U252" s="142"/>
      <c r="V252" s="142"/>
      <c r="W252" s="142"/>
      <c r="X252" s="142"/>
      <c r="Y252" s="142"/>
      <c r="Z252" s="142"/>
      <c r="AA252" s="142"/>
      <c r="AB252" s="142"/>
      <c r="AC252" s="142"/>
      <c r="AD252" s="142"/>
      <c r="AE252" s="142"/>
      <c r="AF252" s="142"/>
      <c r="AG252" s="142"/>
      <c r="AH252" s="142"/>
      <c r="AI252" s="142"/>
      <c r="AJ252" s="142"/>
      <c r="AK252" s="142"/>
      <c r="AL252" s="142"/>
      <c r="AM252" s="142"/>
      <c r="AN252" s="142"/>
      <c r="AO252" s="142"/>
      <c r="AP252" s="130"/>
      <c r="AQ252" s="130"/>
      <c r="AR252" s="130"/>
      <c r="AS252" s="130"/>
      <c r="AT252" s="130"/>
      <c r="AU252" s="130"/>
      <c r="AV252" s="130"/>
      <c r="AW252" s="130"/>
      <c r="AX252" s="130"/>
      <c r="AY252" s="130"/>
      <c r="AZ252" s="130"/>
      <c r="BA252" s="130"/>
      <c r="BB252" s="130"/>
      <c r="BC252" s="130"/>
      <c r="BD252" s="130"/>
    </row>
    <row r="253" ht="15.75" customHeight="1">
      <c r="A253" s="142"/>
      <c r="B253" s="142"/>
      <c r="C253" s="198"/>
      <c r="D253" s="142"/>
      <c r="E253" s="131"/>
      <c r="F253" s="142"/>
      <c r="G253" s="142"/>
      <c r="H253" s="131"/>
      <c r="I253" s="142"/>
      <c r="J253" s="142"/>
      <c r="K253" s="132"/>
      <c r="L253" s="131"/>
      <c r="M253" s="142"/>
      <c r="N253" s="142"/>
      <c r="O253" s="142"/>
      <c r="P253" s="142"/>
      <c r="Q253" s="142"/>
      <c r="R253" s="142"/>
      <c r="S253" s="142"/>
      <c r="T253" s="142"/>
      <c r="U253" s="142"/>
      <c r="V253" s="142"/>
      <c r="W253" s="142"/>
      <c r="X253" s="142"/>
      <c r="Y253" s="142"/>
      <c r="Z253" s="142"/>
      <c r="AA253" s="142"/>
      <c r="AB253" s="142"/>
      <c r="AC253" s="142"/>
      <c r="AD253" s="142"/>
      <c r="AE253" s="142"/>
      <c r="AF253" s="142"/>
      <c r="AG253" s="142"/>
      <c r="AH253" s="142"/>
      <c r="AI253" s="142"/>
      <c r="AJ253" s="142"/>
      <c r="AK253" s="142"/>
      <c r="AL253" s="142"/>
      <c r="AM253" s="142"/>
      <c r="AN253" s="142"/>
      <c r="AO253" s="142"/>
      <c r="AP253" s="130"/>
      <c r="AQ253" s="130"/>
      <c r="AR253" s="130"/>
      <c r="AS253" s="130"/>
      <c r="AT253" s="130"/>
      <c r="AU253" s="130"/>
      <c r="AV253" s="130"/>
      <c r="AW253" s="130"/>
      <c r="AX253" s="130"/>
      <c r="AY253" s="130"/>
      <c r="AZ253" s="130"/>
      <c r="BA253" s="130"/>
      <c r="BB253" s="130"/>
      <c r="BC253" s="130"/>
      <c r="BD253" s="130"/>
    </row>
    <row r="254" ht="15.75" customHeight="1">
      <c r="A254" s="142"/>
      <c r="B254" s="142"/>
      <c r="C254" s="198"/>
      <c r="D254" s="142"/>
      <c r="E254" s="131"/>
      <c r="F254" s="142"/>
      <c r="G254" s="142"/>
      <c r="H254" s="131"/>
      <c r="I254" s="142"/>
      <c r="J254" s="142"/>
      <c r="K254" s="132"/>
      <c r="L254" s="131"/>
      <c r="M254" s="142"/>
      <c r="N254" s="142"/>
      <c r="O254" s="142"/>
      <c r="P254" s="142"/>
      <c r="Q254" s="142"/>
      <c r="R254" s="142"/>
      <c r="S254" s="142"/>
      <c r="T254" s="142"/>
      <c r="U254" s="142"/>
      <c r="V254" s="142"/>
      <c r="W254" s="142"/>
      <c r="X254" s="142"/>
      <c r="Y254" s="142"/>
      <c r="Z254" s="142"/>
      <c r="AA254" s="142"/>
      <c r="AB254" s="142"/>
      <c r="AC254" s="142"/>
      <c r="AD254" s="142"/>
      <c r="AE254" s="142"/>
      <c r="AF254" s="142"/>
      <c r="AG254" s="142"/>
      <c r="AH254" s="142"/>
      <c r="AI254" s="142"/>
      <c r="AJ254" s="142"/>
      <c r="AK254" s="142"/>
      <c r="AL254" s="142"/>
      <c r="AM254" s="142"/>
      <c r="AN254" s="142"/>
      <c r="AO254" s="142"/>
      <c r="AP254" s="130"/>
      <c r="AQ254" s="130"/>
      <c r="AR254" s="130"/>
      <c r="AS254" s="130"/>
      <c r="AT254" s="130"/>
      <c r="AU254" s="130"/>
      <c r="AV254" s="130"/>
      <c r="AW254" s="130"/>
      <c r="AX254" s="130"/>
      <c r="AY254" s="130"/>
      <c r="AZ254" s="130"/>
      <c r="BA254" s="130"/>
      <c r="BB254" s="130"/>
      <c r="BC254" s="130"/>
      <c r="BD254" s="130"/>
    </row>
    <row r="255" ht="15.75" customHeight="1">
      <c r="A255" s="142"/>
      <c r="B255" s="142"/>
      <c r="C255" s="198"/>
      <c r="D255" s="142"/>
      <c r="E255" s="131"/>
      <c r="F255" s="142"/>
      <c r="G255" s="142"/>
      <c r="H255" s="131"/>
      <c r="I255" s="142"/>
      <c r="J255" s="142"/>
      <c r="K255" s="132"/>
      <c r="L255" s="131"/>
      <c r="M255" s="142"/>
      <c r="N255" s="142"/>
      <c r="O255" s="142"/>
      <c r="P255" s="142"/>
      <c r="Q255" s="142"/>
      <c r="R255" s="142"/>
      <c r="S255" s="142"/>
      <c r="T255" s="142"/>
      <c r="U255" s="142"/>
      <c r="V255" s="142"/>
      <c r="W255" s="142"/>
      <c r="X255" s="142"/>
      <c r="Y255" s="142"/>
      <c r="Z255" s="142"/>
      <c r="AA255" s="142"/>
      <c r="AB255" s="142"/>
      <c r="AC255" s="142"/>
      <c r="AD255" s="142"/>
      <c r="AE255" s="142"/>
      <c r="AF255" s="142"/>
      <c r="AG255" s="142"/>
      <c r="AH255" s="142"/>
      <c r="AI255" s="142"/>
      <c r="AJ255" s="142"/>
      <c r="AK255" s="142"/>
      <c r="AL255" s="142"/>
      <c r="AM255" s="142"/>
      <c r="AN255" s="142"/>
      <c r="AO255" s="142"/>
      <c r="AP255" s="130"/>
      <c r="AQ255" s="130"/>
      <c r="AR255" s="130"/>
      <c r="AS255" s="130"/>
      <c r="AT255" s="130"/>
      <c r="AU255" s="130"/>
      <c r="AV255" s="130"/>
      <c r="AW255" s="130"/>
      <c r="AX255" s="130"/>
      <c r="AY255" s="130"/>
      <c r="AZ255" s="130"/>
      <c r="BA255" s="130"/>
      <c r="BB255" s="130"/>
      <c r="BC255" s="130"/>
      <c r="BD255" s="130"/>
    </row>
    <row r="256" ht="15.75" customHeight="1">
      <c r="A256" s="142"/>
      <c r="B256" s="142"/>
      <c r="C256" s="198"/>
      <c r="D256" s="142"/>
      <c r="E256" s="131"/>
      <c r="F256" s="142"/>
      <c r="G256" s="142"/>
      <c r="H256" s="131"/>
      <c r="I256" s="142"/>
      <c r="J256" s="142"/>
      <c r="K256" s="132"/>
      <c r="L256" s="131"/>
      <c r="M256" s="142"/>
      <c r="N256" s="142"/>
      <c r="O256" s="142"/>
      <c r="P256" s="142"/>
      <c r="Q256" s="142"/>
      <c r="R256" s="142"/>
      <c r="S256" s="142"/>
      <c r="T256" s="142"/>
      <c r="U256" s="142"/>
      <c r="V256" s="142"/>
      <c r="W256" s="142"/>
      <c r="X256" s="142"/>
      <c r="Y256" s="142"/>
      <c r="Z256" s="142"/>
      <c r="AA256" s="142"/>
      <c r="AB256" s="142"/>
      <c r="AC256" s="142"/>
      <c r="AD256" s="142"/>
      <c r="AE256" s="142"/>
      <c r="AF256" s="142"/>
      <c r="AG256" s="142"/>
      <c r="AH256" s="142"/>
      <c r="AI256" s="142"/>
      <c r="AJ256" s="142"/>
      <c r="AK256" s="142"/>
      <c r="AL256" s="142"/>
      <c r="AM256" s="142"/>
      <c r="AN256" s="142"/>
      <c r="AO256" s="142"/>
      <c r="AP256" s="130"/>
      <c r="AQ256" s="130"/>
      <c r="AR256" s="130"/>
      <c r="AS256" s="130"/>
      <c r="AT256" s="130"/>
      <c r="AU256" s="130"/>
      <c r="AV256" s="130"/>
      <c r="AW256" s="130"/>
      <c r="AX256" s="130"/>
      <c r="AY256" s="130"/>
      <c r="AZ256" s="130"/>
      <c r="BA256" s="130"/>
      <c r="BB256" s="130"/>
      <c r="BC256" s="130"/>
      <c r="BD256" s="130"/>
    </row>
    <row r="257" ht="15.75" customHeight="1">
      <c r="A257" s="142"/>
      <c r="B257" s="142"/>
      <c r="C257" s="198"/>
      <c r="D257" s="142"/>
      <c r="E257" s="131"/>
      <c r="F257" s="142"/>
      <c r="G257" s="142"/>
      <c r="H257" s="131"/>
      <c r="I257" s="142"/>
      <c r="J257" s="142"/>
      <c r="K257" s="132"/>
      <c r="L257" s="131"/>
      <c r="M257" s="142"/>
      <c r="N257" s="142"/>
      <c r="O257" s="142"/>
      <c r="P257" s="142"/>
      <c r="Q257" s="142"/>
      <c r="R257" s="142"/>
      <c r="S257" s="142"/>
      <c r="T257" s="142"/>
      <c r="U257" s="142"/>
      <c r="V257" s="142"/>
      <c r="W257" s="142"/>
      <c r="X257" s="142"/>
      <c r="Y257" s="142"/>
      <c r="Z257" s="142"/>
      <c r="AA257" s="142"/>
      <c r="AB257" s="142"/>
      <c r="AC257" s="142"/>
      <c r="AD257" s="142"/>
      <c r="AE257" s="142"/>
      <c r="AF257" s="142"/>
      <c r="AG257" s="142"/>
      <c r="AH257" s="142"/>
      <c r="AI257" s="142"/>
      <c r="AJ257" s="142"/>
      <c r="AK257" s="142"/>
      <c r="AL257" s="142"/>
      <c r="AM257" s="142"/>
      <c r="AN257" s="142"/>
      <c r="AO257" s="142"/>
      <c r="AP257" s="130"/>
      <c r="AQ257" s="130"/>
      <c r="AR257" s="130"/>
      <c r="AS257" s="130"/>
      <c r="AT257" s="130"/>
      <c r="AU257" s="130"/>
      <c r="AV257" s="130"/>
      <c r="AW257" s="130"/>
      <c r="AX257" s="130"/>
      <c r="AY257" s="130"/>
      <c r="AZ257" s="130"/>
      <c r="BA257" s="130"/>
      <c r="BB257" s="130"/>
      <c r="BC257" s="130"/>
      <c r="BD257" s="130"/>
    </row>
    <row r="258" ht="15.75" customHeight="1">
      <c r="A258" s="142"/>
      <c r="B258" s="142"/>
      <c r="C258" s="198"/>
      <c r="D258" s="142"/>
      <c r="E258" s="131"/>
      <c r="F258" s="142"/>
      <c r="G258" s="142"/>
      <c r="H258" s="131"/>
      <c r="I258" s="142"/>
      <c r="J258" s="142"/>
      <c r="K258" s="132"/>
      <c r="L258" s="131"/>
      <c r="M258" s="142"/>
      <c r="N258" s="142"/>
      <c r="O258" s="142"/>
      <c r="P258" s="142"/>
      <c r="Q258" s="142"/>
      <c r="R258" s="142"/>
      <c r="S258" s="142"/>
      <c r="T258" s="142"/>
      <c r="U258" s="142"/>
      <c r="V258" s="142"/>
      <c r="W258" s="142"/>
      <c r="X258" s="142"/>
      <c r="Y258" s="142"/>
      <c r="Z258" s="142"/>
      <c r="AA258" s="142"/>
      <c r="AB258" s="142"/>
      <c r="AC258" s="142"/>
      <c r="AD258" s="142"/>
      <c r="AE258" s="142"/>
      <c r="AF258" s="142"/>
      <c r="AG258" s="142"/>
      <c r="AH258" s="142"/>
      <c r="AI258" s="142"/>
      <c r="AJ258" s="142"/>
      <c r="AK258" s="142"/>
      <c r="AL258" s="142"/>
      <c r="AM258" s="142"/>
      <c r="AN258" s="142"/>
      <c r="AO258" s="142"/>
      <c r="AP258" s="130"/>
      <c r="AQ258" s="130"/>
      <c r="AR258" s="130"/>
      <c r="AS258" s="130"/>
      <c r="AT258" s="130"/>
      <c r="AU258" s="130"/>
      <c r="AV258" s="130"/>
      <c r="AW258" s="130"/>
      <c r="AX258" s="130"/>
      <c r="AY258" s="130"/>
      <c r="AZ258" s="130"/>
      <c r="BA258" s="130"/>
      <c r="BB258" s="130"/>
      <c r="BC258" s="130"/>
      <c r="BD258" s="130"/>
    </row>
    <row r="259" ht="15.75" customHeight="1">
      <c r="A259" s="142"/>
      <c r="B259" s="142"/>
      <c r="C259" s="198"/>
      <c r="D259" s="142"/>
      <c r="E259" s="131"/>
      <c r="F259" s="142"/>
      <c r="G259" s="142"/>
      <c r="H259" s="131"/>
      <c r="I259" s="142"/>
      <c r="J259" s="142"/>
      <c r="K259" s="132"/>
      <c r="L259" s="131"/>
      <c r="M259" s="142"/>
      <c r="N259" s="142"/>
      <c r="O259" s="142"/>
      <c r="P259" s="142"/>
      <c r="Q259" s="142"/>
      <c r="R259" s="142"/>
      <c r="S259" s="142"/>
      <c r="T259" s="142"/>
      <c r="U259" s="142"/>
      <c r="V259" s="142"/>
      <c r="W259" s="142"/>
      <c r="X259" s="142"/>
      <c r="Y259" s="142"/>
      <c r="Z259" s="142"/>
      <c r="AA259" s="142"/>
      <c r="AB259" s="142"/>
      <c r="AC259" s="142"/>
      <c r="AD259" s="142"/>
      <c r="AE259" s="142"/>
      <c r="AF259" s="142"/>
      <c r="AG259" s="142"/>
      <c r="AH259" s="142"/>
      <c r="AI259" s="142"/>
      <c r="AJ259" s="142"/>
      <c r="AK259" s="142"/>
      <c r="AL259" s="142"/>
      <c r="AM259" s="142"/>
      <c r="AN259" s="142"/>
      <c r="AO259" s="142"/>
      <c r="AP259" s="130"/>
      <c r="AQ259" s="130"/>
      <c r="AR259" s="130"/>
      <c r="AS259" s="130"/>
      <c r="AT259" s="130"/>
      <c r="AU259" s="130"/>
      <c r="AV259" s="130"/>
      <c r="AW259" s="130"/>
      <c r="AX259" s="130"/>
      <c r="AY259" s="130"/>
      <c r="AZ259" s="130"/>
      <c r="BA259" s="130"/>
      <c r="BB259" s="130"/>
      <c r="BC259" s="130"/>
      <c r="BD259" s="130"/>
    </row>
    <row r="260" ht="15.75" customHeight="1">
      <c r="A260" s="142"/>
      <c r="B260" s="142"/>
      <c r="C260" s="198"/>
      <c r="D260" s="142"/>
      <c r="E260" s="131"/>
      <c r="F260" s="142"/>
      <c r="G260" s="142"/>
      <c r="H260" s="131"/>
      <c r="I260" s="142"/>
      <c r="J260" s="142"/>
      <c r="K260" s="132"/>
      <c r="L260" s="131"/>
      <c r="M260" s="142"/>
      <c r="N260" s="142"/>
      <c r="O260" s="142"/>
      <c r="P260" s="142"/>
      <c r="Q260" s="142"/>
      <c r="R260" s="142"/>
      <c r="S260" s="142"/>
      <c r="T260" s="142"/>
      <c r="U260" s="142"/>
      <c r="V260" s="142"/>
      <c r="W260" s="142"/>
      <c r="X260" s="142"/>
      <c r="Y260" s="142"/>
      <c r="Z260" s="142"/>
      <c r="AA260" s="142"/>
      <c r="AB260" s="142"/>
      <c r="AC260" s="142"/>
      <c r="AD260" s="142"/>
      <c r="AE260" s="142"/>
      <c r="AF260" s="142"/>
      <c r="AG260" s="142"/>
      <c r="AH260" s="142"/>
      <c r="AI260" s="142"/>
      <c r="AJ260" s="142"/>
      <c r="AK260" s="142"/>
      <c r="AL260" s="142"/>
      <c r="AM260" s="142"/>
      <c r="AN260" s="142"/>
      <c r="AO260" s="142"/>
      <c r="AP260" s="130"/>
      <c r="AQ260" s="130"/>
      <c r="AR260" s="130"/>
      <c r="AS260" s="130"/>
      <c r="AT260" s="130"/>
      <c r="AU260" s="130"/>
      <c r="AV260" s="130"/>
      <c r="AW260" s="130"/>
      <c r="AX260" s="130"/>
      <c r="AY260" s="130"/>
      <c r="AZ260" s="130"/>
      <c r="BA260" s="130"/>
      <c r="BB260" s="130"/>
      <c r="BC260" s="130"/>
      <c r="BD260" s="130"/>
    </row>
    <row r="261" ht="15.75" customHeight="1">
      <c r="A261" s="142"/>
      <c r="B261" s="142"/>
      <c r="C261" s="198"/>
      <c r="D261" s="142"/>
      <c r="E261" s="131"/>
      <c r="F261" s="142"/>
      <c r="G261" s="142"/>
      <c r="H261" s="131"/>
      <c r="I261" s="142"/>
      <c r="J261" s="142"/>
      <c r="K261" s="132"/>
      <c r="L261" s="131"/>
      <c r="M261" s="142"/>
      <c r="N261" s="142"/>
      <c r="O261" s="142"/>
      <c r="P261" s="142"/>
      <c r="Q261" s="142"/>
      <c r="R261" s="142"/>
      <c r="S261" s="142"/>
      <c r="T261" s="142"/>
      <c r="U261" s="142"/>
      <c r="V261" s="142"/>
      <c r="W261" s="142"/>
      <c r="X261" s="142"/>
      <c r="Y261" s="142"/>
      <c r="Z261" s="142"/>
      <c r="AA261" s="142"/>
      <c r="AB261" s="142"/>
      <c r="AC261" s="142"/>
      <c r="AD261" s="142"/>
      <c r="AE261" s="142"/>
      <c r="AF261" s="142"/>
      <c r="AG261" s="142"/>
      <c r="AH261" s="142"/>
      <c r="AI261" s="142"/>
      <c r="AJ261" s="142"/>
      <c r="AK261" s="142"/>
      <c r="AL261" s="142"/>
      <c r="AM261" s="142"/>
      <c r="AN261" s="142"/>
      <c r="AO261" s="142"/>
      <c r="AP261" s="130"/>
      <c r="AQ261" s="130"/>
      <c r="AR261" s="130"/>
      <c r="AS261" s="130"/>
      <c r="AT261" s="130"/>
      <c r="AU261" s="130"/>
      <c r="AV261" s="130"/>
      <c r="AW261" s="130"/>
      <c r="AX261" s="130"/>
      <c r="AY261" s="130"/>
      <c r="AZ261" s="130"/>
      <c r="BA261" s="130"/>
      <c r="BB261" s="130"/>
      <c r="BC261" s="130"/>
      <c r="BD261" s="130"/>
    </row>
    <row r="262" ht="15.75" customHeight="1">
      <c r="A262" s="142"/>
      <c r="B262" s="142"/>
      <c r="C262" s="198"/>
      <c r="D262" s="142"/>
      <c r="E262" s="131"/>
      <c r="F262" s="142"/>
      <c r="G262" s="142"/>
      <c r="H262" s="131"/>
      <c r="I262" s="142"/>
      <c r="J262" s="142"/>
      <c r="K262" s="132"/>
      <c r="L262" s="131"/>
      <c r="M262" s="142"/>
      <c r="N262" s="142"/>
      <c r="O262" s="142"/>
      <c r="P262" s="142"/>
      <c r="Q262" s="142"/>
      <c r="R262" s="142"/>
      <c r="S262" s="142"/>
      <c r="T262" s="142"/>
      <c r="U262" s="142"/>
      <c r="V262" s="142"/>
      <c r="W262" s="142"/>
      <c r="X262" s="142"/>
      <c r="Y262" s="142"/>
      <c r="Z262" s="142"/>
      <c r="AA262" s="142"/>
      <c r="AB262" s="142"/>
      <c r="AC262" s="142"/>
      <c r="AD262" s="142"/>
      <c r="AE262" s="142"/>
      <c r="AF262" s="142"/>
      <c r="AG262" s="142"/>
      <c r="AH262" s="142"/>
      <c r="AI262" s="142"/>
      <c r="AJ262" s="142"/>
      <c r="AK262" s="142"/>
      <c r="AL262" s="142"/>
      <c r="AM262" s="142"/>
      <c r="AN262" s="142"/>
      <c r="AO262" s="142"/>
      <c r="AP262" s="130"/>
      <c r="AQ262" s="130"/>
      <c r="AR262" s="130"/>
      <c r="AS262" s="130"/>
      <c r="AT262" s="130"/>
      <c r="AU262" s="130"/>
      <c r="AV262" s="130"/>
      <c r="AW262" s="130"/>
      <c r="AX262" s="130"/>
      <c r="AY262" s="130"/>
      <c r="AZ262" s="130"/>
      <c r="BA262" s="130"/>
      <c r="BB262" s="130"/>
      <c r="BC262" s="130"/>
      <c r="BD262" s="130"/>
    </row>
    <row r="263" ht="15.75" customHeight="1">
      <c r="A263" s="142"/>
      <c r="B263" s="142"/>
      <c r="C263" s="198"/>
      <c r="D263" s="142"/>
      <c r="E263" s="131"/>
      <c r="F263" s="142"/>
      <c r="G263" s="142"/>
      <c r="H263" s="131"/>
      <c r="I263" s="142"/>
      <c r="J263" s="142"/>
      <c r="K263" s="132"/>
      <c r="L263" s="131"/>
      <c r="M263" s="142"/>
      <c r="N263" s="142"/>
      <c r="O263" s="142"/>
      <c r="P263" s="142"/>
      <c r="Q263" s="142"/>
      <c r="R263" s="142"/>
      <c r="S263" s="142"/>
      <c r="T263" s="142"/>
      <c r="U263" s="142"/>
      <c r="V263" s="142"/>
      <c r="W263" s="142"/>
      <c r="X263" s="142"/>
      <c r="Y263" s="142"/>
      <c r="Z263" s="142"/>
      <c r="AA263" s="142"/>
      <c r="AB263" s="142"/>
      <c r="AC263" s="142"/>
      <c r="AD263" s="142"/>
      <c r="AE263" s="142"/>
      <c r="AF263" s="142"/>
      <c r="AG263" s="142"/>
      <c r="AH263" s="142"/>
      <c r="AI263" s="142"/>
      <c r="AJ263" s="142"/>
      <c r="AK263" s="142"/>
      <c r="AL263" s="142"/>
      <c r="AM263" s="142"/>
      <c r="AN263" s="142"/>
      <c r="AO263" s="142"/>
      <c r="AP263" s="130"/>
      <c r="AQ263" s="130"/>
      <c r="AR263" s="130"/>
      <c r="AS263" s="130"/>
      <c r="AT263" s="130"/>
      <c r="AU263" s="130"/>
      <c r="AV263" s="130"/>
      <c r="AW263" s="130"/>
      <c r="AX263" s="130"/>
      <c r="AY263" s="130"/>
      <c r="AZ263" s="130"/>
      <c r="BA263" s="130"/>
      <c r="BB263" s="130"/>
      <c r="BC263" s="130"/>
      <c r="BD263" s="130"/>
    </row>
    <row r="264" ht="15.75" customHeight="1">
      <c r="A264" s="142"/>
      <c r="B264" s="142"/>
      <c r="C264" s="198"/>
      <c r="D264" s="142"/>
      <c r="E264" s="131"/>
      <c r="F264" s="142"/>
      <c r="G264" s="142"/>
      <c r="H264" s="131"/>
      <c r="I264" s="142"/>
      <c r="J264" s="142"/>
      <c r="K264" s="132"/>
      <c r="L264" s="131"/>
      <c r="M264" s="142"/>
      <c r="N264" s="142"/>
      <c r="O264" s="142"/>
      <c r="P264" s="142"/>
      <c r="Q264" s="142"/>
      <c r="R264" s="142"/>
      <c r="S264" s="142"/>
      <c r="T264" s="142"/>
      <c r="U264" s="142"/>
      <c r="V264" s="142"/>
      <c r="W264" s="142"/>
      <c r="X264" s="142"/>
      <c r="Y264" s="142"/>
      <c r="Z264" s="142"/>
      <c r="AA264" s="142"/>
      <c r="AB264" s="142"/>
      <c r="AC264" s="142"/>
      <c r="AD264" s="142"/>
      <c r="AE264" s="142"/>
      <c r="AF264" s="142"/>
      <c r="AG264" s="142"/>
      <c r="AH264" s="142"/>
      <c r="AI264" s="142"/>
      <c r="AJ264" s="142"/>
      <c r="AK264" s="142"/>
      <c r="AL264" s="142"/>
      <c r="AM264" s="142"/>
      <c r="AN264" s="142"/>
      <c r="AO264" s="142"/>
      <c r="AP264" s="130"/>
      <c r="AQ264" s="130"/>
      <c r="AR264" s="130"/>
      <c r="AS264" s="130"/>
      <c r="AT264" s="130"/>
      <c r="AU264" s="130"/>
      <c r="AV264" s="130"/>
      <c r="AW264" s="130"/>
      <c r="AX264" s="130"/>
      <c r="AY264" s="130"/>
      <c r="AZ264" s="130"/>
      <c r="BA264" s="130"/>
      <c r="BB264" s="130"/>
      <c r="BC264" s="130"/>
      <c r="BD264" s="130"/>
    </row>
    <row r="265" ht="15.75" customHeight="1">
      <c r="A265" s="142"/>
      <c r="B265" s="142"/>
      <c r="C265" s="198"/>
      <c r="D265" s="142"/>
      <c r="E265" s="131"/>
      <c r="F265" s="142"/>
      <c r="G265" s="142"/>
      <c r="H265" s="131"/>
      <c r="I265" s="142"/>
      <c r="J265" s="142"/>
      <c r="K265" s="132"/>
      <c r="L265" s="131"/>
      <c r="M265" s="142"/>
      <c r="N265" s="142"/>
      <c r="O265" s="142"/>
      <c r="P265" s="142"/>
      <c r="Q265" s="142"/>
      <c r="R265" s="142"/>
      <c r="S265" s="142"/>
      <c r="T265" s="142"/>
      <c r="U265" s="142"/>
      <c r="V265" s="142"/>
      <c r="W265" s="142"/>
      <c r="X265" s="142"/>
      <c r="Y265" s="142"/>
      <c r="Z265" s="142"/>
      <c r="AA265" s="142"/>
      <c r="AB265" s="142"/>
      <c r="AC265" s="142"/>
      <c r="AD265" s="142"/>
      <c r="AE265" s="142"/>
      <c r="AF265" s="142"/>
      <c r="AG265" s="142"/>
      <c r="AH265" s="142"/>
      <c r="AI265" s="142"/>
      <c r="AJ265" s="142"/>
      <c r="AK265" s="142"/>
      <c r="AL265" s="142"/>
      <c r="AM265" s="142"/>
      <c r="AN265" s="142"/>
      <c r="AO265" s="142"/>
      <c r="AP265" s="130"/>
      <c r="AQ265" s="130"/>
      <c r="AR265" s="130"/>
      <c r="AS265" s="130"/>
      <c r="AT265" s="130"/>
      <c r="AU265" s="130"/>
      <c r="AV265" s="130"/>
      <c r="AW265" s="130"/>
      <c r="AX265" s="130"/>
      <c r="AY265" s="130"/>
      <c r="AZ265" s="130"/>
      <c r="BA265" s="130"/>
      <c r="BB265" s="130"/>
      <c r="BC265" s="130"/>
      <c r="BD265" s="130"/>
    </row>
    <row r="266" ht="15.75" customHeight="1">
      <c r="A266" s="142"/>
      <c r="B266" s="142"/>
      <c r="C266" s="198"/>
      <c r="D266" s="142"/>
      <c r="E266" s="131"/>
      <c r="F266" s="142"/>
      <c r="G266" s="142"/>
      <c r="H266" s="131"/>
      <c r="I266" s="142"/>
      <c r="J266" s="142"/>
      <c r="K266" s="132"/>
      <c r="L266" s="131"/>
      <c r="M266" s="142"/>
      <c r="N266" s="142"/>
      <c r="O266" s="142"/>
      <c r="P266" s="142"/>
      <c r="Q266" s="142"/>
      <c r="R266" s="142"/>
      <c r="S266" s="142"/>
      <c r="T266" s="142"/>
      <c r="U266" s="142"/>
      <c r="V266" s="142"/>
      <c r="W266" s="142"/>
      <c r="X266" s="142"/>
      <c r="Y266" s="142"/>
      <c r="Z266" s="142"/>
      <c r="AA266" s="142"/>
      <c r="AB266" s="142"/>
      <c r="AC266" s="142"/>
      <c r="AD266" s="142"/>
      <c r="AE266" s="142"/>
      <c r="AF266" s="142"/>
      <c r="AG266" s="142"/>
      <c r="AH266" s="142"/>
      <c r="AI266" s="142"/>
      <c r="AJ266" s="142"/>
      <c r="AK266" s="142"/>
      <c r="AL266" s="142"/>
      <c r="AM266" s="142"/>
      <c r="AN266" s="142"/>
      <c r="AO266" s="142"/>
      <c r="AP266" s="130"/>
      <c r="AQ266" s="130"/>
      <c r="AR266" s="130"/>
      <c r="AS266" s="130"/>
      <c r="AT266" s="130"/>
      <c r="AU266" s="130"/>
      <c r="AV266" s="130"/>
      <c r="AW266" s="130"/>
      <c r="AX266" s="130"/>
      <c r="AY266" s="130"/>
      <c r="AZ266" s="130"/>
      <c r="BA266" s="130"/>
      <c r="BB266" s="130"/>
      <c r="BC266" s="130"/>
      <c r="BD266" s="130"/>
    </row>
    <row r="267" ht="15.75" customHeight="1">
      <c r="A267" s="142"/>
      <c r="B267" s="142"/>
      <c r="C267" s="198"/>
      <c r="D267" s="142"/>
      <c r="E267" s="131"/>
      <c r="F267" s="142"/>
      <c r="G267" s="142"/>
      <c r="H267" s="131"/>
      <c r="I267" s="142"/>
      <c r="J267" s="142"/>
      <c r="K267" s="132"/>
      <c r="L267" s="131"/>
      <c r="M267" s="142"/>
      <c r="N267" s="142"/>
      <c r="O267" s="142"/>
      <c r="P267" s="142"/>
      <c r="Q267" s="142"/>
      <c r="R267" s="142"/>
      <c r="S267" s="142"/>
      <c r="T267" s="142"/>
      <c r="U267" s="142"/>
      <c r="V267" s="142"/>
      <c r="W267" s="142"/>
      <c r="X267" s="142"/>
      <c r="Y267" s="142"/>
      <c r="Z267" s="142"/>
      <c r="AA267" s="142"/>
      <c r="AB267" s="142"/>
      <c r="AC267" s="142"/>
      <c r="AD267" s="142"/>
      <c r="AE267" s="142"/>
      <c r="AF267" s="142"/>
      <c r="AG267" s="142"/>
      <c r="AH267" s="142"/>
      <c r="AI267" s="142"/>
      <c r="AJ267" s="142"/>
      <c r="AK267" s="142"/>
      <c r="AL267" s="142"/>
      <c r="AM267" s="142"/>
      <c r="AN267" s="142"/>
      <c r="AO267" s="142"/>
      <c r="AP267" s="130"/>
      <c r="AQ267" s="130"/>
      <c r="AR267" s="130"/>
      <c r="AS267" s="130"/>
      <c r="AT267" s="130"/>
      <c r="AU267" s="130"/>
      <c r="AV267" s="130"/>
      <c r="AW267" s="130"/>
      <c r="AX267" s="130"/>
      <c r="AY267" s="130"/>
      <c r="AZ267" s="130"/>
      <c r="BA267" s="130"/>
      <c r="BB267" s="130"/>
      <c r="BC267" s="130"/>
      <c r="BD267" s="130"/>
    </row>
    <row r="268" ht="15.75" customHeight="1">
      <c r="A268" s="142"/>
      <c r="B268" s="142"/>
      <c r="C268" s="198"/>
      <c r="D268" s="142"/>
      <c r="E268" s="131"/>
      <c r="F268" s="142"/>
      <c r="G268" s="142"/>
      <c r="H268" s="131"/>
      <c r="I268" s="142"/>
      <c r="J268" s="142"/>
      <c r="K268" s="132"/>
      <c r="L268" s="131"/>
      <c r="M268" s="142"/>
      <c r="N268" s="142"/>
      <c r="O268" s="142"/>
      <c r="P268" s="142"/>
      <c r="Q268" s="142"/>
      <c r="R268" s="142"/>
      <c r="S268" s="142"/>
      <c r="T268" s="142"/>
      <c r="U268" s="142"/>
      <c r="V268" s="142"/>
      <c r="W268" s="142"/>
      <c r="X268" s="142"/>
      <c r="Y268" s="142"/>
      <c r="Z268" s="142"/>
      <c r="AA268" s="142"/>
      <c r="AB268" s="142"/>
      <c r="AC268" s="142"/>
      <c r="AD268" s="142"/>
      <c r="AE268" s="142"/>
      <c r="AF268" s="142"/>
      <c r="AG268" s="142"/>
      <c r="AH268" s="142"/>
      <c r="AI268" s="142"/>
      <c r="AJ268" s="142"/>
      <c r="AK268" s="142"/>
      <c r="AL268" s="142"/>
      <c r="AM268" s="142"/>
      <c r="AN268" s="142"/>
      <c r="AO268" s="142"/>
      <c r="AP268" s="130"/>
      <c r="AQ268" s="130"/>
      <c r="AR268" s="130"/>
      <c r="AS268" s="130"/>
      <c r="AT268" s="130"/>
      <c r="AU268" s="130"/>
      <c r="AV268" s="130"/>
      <c r="AW268" s="130"/>
      <c r="AX268" s="130"/>
      <c r="AY268" s="130"/>
      <c r="AZ268" s="130"/>
      <c r="BA268" s="130"/>
      <c r="BB268" s="130"/>
      <c r="BC268" s="130"/>
      <c r="BD268" s="130"/>
    </row>
    <row r="269" ht="15.75" customHeight="1">
      <c r="A269" s="142"/>
      <c r="B269" s="142"/>
      <c r="C269" s="198"/>
      <c r="D269" s="142"/>
      <c r="E269" s="131"/>
      <c r="F269" s="142"/>
      <c r="G269" s="142"/>
      <c r="H269" s="131"/>
      <c r="I269" s="142"/>
      <c r="J269" s="142"/>
      <c r="K269" s="132"/>
      <c r="L269" s="131"/>
      <c r="M269" s="142"/>
      <c r="N269" s="142"/>
      <c r="O269" s="142"/>
      <c r="P269" s="142"/>
      <c r="Q269" s="142"/>
      <c r="R269" s="142"/>
      <c r="S269" s="142"/>
      <c r="T269" s="142"/>
      <c r="U269" s="142"/>
      <c r="V269" s="142"/>
      <c r="W269" s="142"/>
      <c r="X269" s="142"/>
      <c r="Y269" s="142"/>
      <c r="Z269" s="142"/>
      <c r="AA269" s="142"/>
      <c r="AB269" s="142"/>
      <c r="AC269" s="142"/>
      <c r="AD269" s="142"/>
      <c r="AE269" s="142"/>
      <c r="AF269" s="142"/>
      <c r="AG269" s="142"/>
      <c r="AH269" s="142"/>
      <c r="AI269" s="142"/>
      <c r="AJ269" s="142"/>
      <c r="AK269" s="142"/>
      <c r="AL269" s="142"/>
      <c r="AM269" s="142"/>
      <c r="AN269" s="142"/>
      <c r="AO269" s="142"/>
      <c r="AP269" s="130"/>
      <c r="AQ269" s="130"/>
      <c r="AR269" s="130"/>
      <c r="AS269" s="130"/>
      <c r="AT269" s="130"/>
      <c r="AU269" s="130"/>
      <c r="AV269" s="130"/>
      <c r="AW269" s="130"/>
      <c r="AX269" s="130"/>
      <c r="AY269" s="130"/>
      <c r="AZ269" s="130"/>
      <c r="BA269" s="130"/>
      <c r="BB269" s="130"/>
      <c r="BC269" s="130"/>
      <c r="BD269" s="130"/>
    </row>
    <row r="270" ht="15.75" customHeight="1">
      <c r="A270" s="142"/>
      <c r="B270" s="142"/>
      <c r="C270" s="198"/>
      <c r="D270" s="142"/>
      <c r="E270" s="131"/>
      <c r="F270" s="142"/>
      <c r="G270" s="142"/>
      <c r="H270" s="131"/>
      <c r="I270" s="142"/>
      <c r="J270" s="142"/>
      <c r="K270" s="132"/>
      <c r="L270" s="131"/>
      <c r="M270" s="142"/>
      <c r="N270" s="142"/>
      <c r="O270" s="142"/>
      <c r="P270" s="142"/>
      <c r="Q270" s="142"/>
      <c r="R270" s="142"/>
      <c r="S270" s="142"/>
      <c r="T270" s="142"/>
      <c r="U270" s="142"/>
      <c r="V270" s="142"/>
      <c r="W270" s="142"/>
      <c r="X270" s="142"/>
      <c r="Y270" s="142"/>
      <c r="Z270" s="142"/>
      <c r="AA270" s="142"/>
      <c r="AB270" s="142"/>
      <c r="AC270" s="142"/>
      <c r="AD270" s="142"/>
      <c r="AE270" s="142"/>
      <c r="AF270" s="142"/>
      <c r="AG270" s="142"/>
      <c r="AH270" s="142"/>
      <c r="AI270" s="142"/>
      <c r="AJ270" s="142"/>
      <c r="AK270" s="142"/>
      <c r="AL270" s="142"/>
      <c r="AM270" s="142"/>
      <c r="AN270" s="142"/>
      <c r="AO270" s="142"/>
      <c r="AP270" s="130"/>
      <c r="AQ270" s="130"/>
      <c r="AR270" s="130"/>
      <c r="AS270" s="130"/>
      <c r="AT270" s="130"/>
      <c r="AU270" s="130"/>
      <c r="AV270" s="130"/>
      <c r="AW270" s="130"/>
      <c r="AX270" s="130"/>
      <c r="AY270" s="130"/>
      <c r="AZ270" s="130"/>
      <c r="BA270" s="130"/>
      <c r="BB270" s="130"/>
      <c r="BC270" s="130"/>
      <c r="BD270" s="130"/>
    </row>
    <row r="271" ht="15.75" customHeight="1">
      <c r="A271" s="142"/>
      <c r="B271" s="142"/>
      <c r="C271" s="198"/>
      <c r="D271" s="142"/>
      <c r="E271" s="131"/>
      <c r="F271" s="142"/>
      <c r="G271" s="142"/>
      <c r="H271" s="131"/>
      <c r="I271" s="142"/>
      <c r="J271" s="142"/>
      <c r="K271" s="132"/>
      <c r="L271" s="131"/>
      <c r="M271" s="142"/>
      <c r="N271" s="142"/>
      <c r="O271" s="142"/>
      <c r="P271" s="142"/>
      <c r="Q271" s="142"/>
      <c r="R271" s="142"/>
      <c r="S271" s="142"/>
      <c r="T271" s="142"/>
      <c r="U271" s="142"/>
      <c r="V271" s="142"/>
      <c r="W271" s="142"/>
      <c r="X271" s="142"/>
      <c r="Y271" s="142"/>
      <c r="Z271" s="142"/>
      <c r="AA271" s="142"/>
      <c r="AB271" s="142"/>
      <c r="AC271" s="142"/>
      <c r="AD271" s="142"/>
      <c r="AE271" s="142"/>
      <c r="AF271" s="142"/>
      <c r="AG271" s="142"/>
      <c r="AH271" s="142"/>
      <c r="AI271" s="142"/>
      <c r="AJ271" s="142"/>
      <c r="AK271" s="142"/>
      <c r="AL271" s="142"/>
      <c r="AM271" s="142"/>
      <c r="AN271" s="142"/>
      <c r="AO271" s="142"/>
      <c r="AP271" s="130"/>
      <c r="AQ271" s="130"/>
      <c r="AR271" s="130"/>
      <c r="AS271" s="130"/>
      <c r="AT271" s="130"/>
      <c r="AU271" s="130"/>
      <c r="AV271" s="130"/>
      <c r="AW271" s="130"/>
      <c r="AX271" s="130"/>
      <c r="AY271" s="130"/>
      <c r="AZ271" s="130"/>
      <c r="BA271" s="130"/>
      <c r="BB271" s="130"/>
      <c r="BC271" s="130"/>
      <c r="BD271" s="130"/>
    </row>
    <row r="272" ht="15.75" customHeight="1">
      <c r="A272" s="142"/>
      <c r="B272" s="142"/>
      <c r="C272" s="198"/>
      <c r="D272" s="142"/>
      <c r="E272" s="131"/>
      <c r="F272" s="142"/>
      <c r="G272" s="142"/>
      <c r="H272" s="131"/>
      <c r="I272" s="142"/>
      <c r="J272" s="142"/>
      <c r="K272" s="132"/>
      <c r="L272" s="131"/>
      <c r="M272" s="142"/>
      <c r="N272" s="142"/>
      <c r="O272" s="142"/>
      <c r="P272" s="142"/>
      <c r="Q272" s="142"/>
      <c r="R272" s="142"/>
      <c r="S272" s="142"/>
      <c r="T272" s="142"/>
      <c r="U272" s="142"/>
      <c r="V272" s="142"/>
      <c r="W272" s="142"/>
      <c r="X272" s="142"/>
      <c r="Y272" s="142"/>
      <c r="Z272" s="142"/>
      <c r="AA272" s="142"/>
      <c r="AB272" s="142"/>
      <c r="AC272" s="142"/>
      <c r="AD272" s="142"/>
      <c r="AE272" s="142"/>
      <c r="AF272" s="142"/>
      <c r="AG272" s="142"/>
      <c r="AH272" s="142"/>
      <c r="AI272" s="142"/>
      <c r="AJ272" s="142"/>
      <c r="AK272" s="142"/>
      <c r="AL272" s="142"/>
      <c r="AM272" s="142"/>
      <c r="AN272" s="142"/>
      <c r="AO272" s="142"/>
      <c r="AP272" s="130"/>
      <c r="AQ272" s="130"/>
      <c r="AR272" s="130"/>
      <c r="AS272" s="130"/>
      <c r="AT272" s="130"/>
      <c r="AU272" s="130"/>
      <c r="AV272" s="130"/>
      <c r="AW272" s="130"/>
      <c r="AX272" s="130"/>
      <c r="AY272" s="130"/>
      <c r="AZ272" s="130"/>
      <c r="BA272" s="130"/>
      <c r="BB272" s="130"/>
      <c r="BC272" s="130"/>
      <c r="BD272" s="130"/>
    </row>
    <row r="273" ht="15.75" customHeight="1">
      <c r="A273" s="142"/>
      <c r="B273" s="142"/>
      <c r="C273" s="198"/>
      <c r="D273" s="142"/>
      <c r="E273" s="131"/>
      <c r="F273" s="142"/>
      <c r="G273" s="142"/>
      <c r="H273" s="131"/>
      <c r="I273" s="142"/>
      <c r="J273" s="142"/>
      <c r="K273" s="132"/>
      <c r="L273" s="131"/>
      <c r="M273" s="142"/>
      <c r="N273" s="142"/>
      <c r="O273" s="142"/>
      <c r="P273" s="142"/>
      <c r="Q273" s="142"/>
      <c r="R273" s="142"/>
      <c r="S273" s="142"/>
      <c r="T273" s="142"/>
      <c r="U273" s="142"/>
      <c r="V273" s="142"/>
      <c r="W273" s="142"/>
      <c r="X273" s="142"/>
      <c r="Y273" s="142"/>
      <c r="Z273" s="142"/>
      <c r="AA273" s="142"/>
      <c r="AB273" s="142"/>
      <c r="AC273" s="142"/>
      <c r="AD273" s="142"/>
      <c r="AE273" s="142"/>
      <c r="AF273" s="142"/>
      <c r="AG273" s="142"/>
      <c r="AH273" s="142"/>
      <c r="AI273" s="142"/>
      <c r="AJ273" s="142"/>
      <c r="AK273" s="142"/>
      <c r="AL273" s="142"/>
      <c r="AM273" s="142"/>
      <c r="AN273" s="142"/>
      <c r="AO273" s="142"/>
      <c r="AP273" s="130"/>
      <c r="AQ273" s="130"/>
      <c r="AR273" s="130"/>
      <c r="AS273" s="130"/>
      <c r="AT273" s="130"/>
      <c r="AU273" s="130"/>
      <c r="AV273" s="130"/>
      <c r="AW273" s="130"/>
      <c r="AX273" s="130"/>
      <c r="AY273" s="130"/>
      <c r="AZ273" s="130"/>
      <c r="BA273" s="130"/>
      <c r="BB273" s="130"/>
      <c r="BC273" s="130"/>
      <c r="BD273" s="130"/>
    </row>
    <row r="274" ht="15.75" customHeight="1">
      <c r="A274" s="142"/>
      <c r="B274" s="142"/>
      <c r="C274" s="198"/>
      <c r="D274" s="142"/>
      <c r="E274" s="131"/>
      <c r="F274" s="142"/>
      <c r="G274" s="142"/>
      <c r="H274" s="131"/>
      <c r="I274" s="142"/>
      <c r="J274" s="142"/>
      <c r="K274" s="132"/>
      <c r="L274" s="131"/>
      <c r="M274" s="142"/>
      <c r="N274" s="142"/>
      <c r="O274" s="142"/>
      <c r="P274" s="142"/>
      <c r="Q274" s="142"/>
      <c r="R274" s="142"/>
      <c r="S274" s="142"/>
      <c r="T274" s="142"/>
      <c r="U274" s="142"/>
      <c r="V274" s="142"/>
      <c r="W274" s="142"/>
      <c r="X274" s="142"/>
      <c r="Y274" s="142"/>
      <c r="Z274" s="142"/>
      <c r="AA274" s="142"/>
      <c r="AB274" s="142"/>
      <c r="AC274" s="142"/>
      <c r="AD274" s="142"/>
      <c r="AE274" s="142"/>
      <c r="AF274" s="142"/>
      <c r="AG274" s="142"/>
      <c r="AH274" s="142"/>
      <c r="AI274" s="142"/>
      <c r="AJ274" s="142"/>
      <c r="AK274" s="142"/>
      <c r="AL274" s="142"/>
      <c r="AM274" s="142"/>
      <c r="AN274" s="142"/>
      <c r="AO274" s="142"/>
      <c r="AP274" s="130"/>
      <c r="AQ274" s="130"/>
      <c r="AR274" s="130"/>
      <c r="AS274" s="130"/>
      <c r="AT274" s="130"/>
      <c r="AU274" s="130"/>
      <c r="AV274" s="130"/>
      <c r="AW274" s="130"/>
      <c r="AX274" s="130"/>
      <c r="AY274" s="130"/>
      <c r="AZ274" s="130"/>
      <c r="BA274" s="130"/>
      <c r="BB274" s="130"/>
      <c r="BC274" s="130"/>
      <c r="BD274" s="130"/>
    </row>
    <row r="275" ht="15.75" customHeight="1">
      <c r="A275" s="142"/>
      <c r="B275" s="142"/>
      <c r="C275" s="198"/>
      <c r="D275" s="142"/>
      <c r="E275" s="131"/>
      <c r="F275" s="142"/>
      <c r="G275" s="142"/>
      <c r="H275" s="131"/>
      <c r="I275" s="142"/>
      <c r="J275" s="142"/>
      <c r="K275" s="132"/>
      <c r="L275" s="131"/>
      <c r="M275" s="142"/>
      <c r="N275" s="142"/>
      <c r="O275" s="142"/>
      <c r="P275" s="142"/>
      <c r="Q275" s="142"/>
      <c r="R275" s="142"/>
      <c r="S275" s="142"/>
      <c r="T275" s="142"/>
      <c r="U275" s="142"/>
      <c r="V275" s="142"/>
      <c r="W275" s="142"/>
      <c r="X275" s="142"/>
      <c r="Y275" s="142"/>
      <c r="Z275" s="142"/>
      <c r="AA275" s="142"/>
      <c r="AB275" s="142"/>
      <c r="AC275" s="142"/>
      <c r="AD275" s="142"/>
      <c r="AE275" s="142"/>
      <c r="AF275" s="142"/>
      <c r="AG275" s="142"/>
      <c r="AH275" s="142"/>
      <c r="AI275" s="142"/>
      <c r="AJ275" s="142"/>
      <c r="AK275" s="142"/>
      <c r="AL275" s="142"/>
      <c r="AM275" s="142"/>
      <c r="AN275" s="142"/>
      <c r="AO275" s="142"/>
      <c r="AP275" s="130"/>
      <c r="AQ275" s="130"/>
      <c r="AR275" s="130"/>
      <c r="AS275" s="130"/>
      <c r="AT275" s="130"/>
      <c r="AU275" s="130"/>
      <c r="AV275" s="130"/>
      <c r="AW275" s="130"/>
      <c r="AX275" s="130"/>
      <c r="AY275" s="130"/>
      <c r="AZ275" s="130"/>
      <c r="BA275" s="130"/>
      <c r="BB275" s="130"/>
      <c r="BC275" s="130"/>
      <c r="BD275" s="130"/>
    </row>
    <row r="276" ht="15.75" customHeight="1">
      <c r="A276" s="142"/>
      <c r="B276" s="142"/>
      <c r="C276" s="198"/>
      <c r="D276" s="142"/>
      <c r="E276" s="131"/>
      <c r="F276" s="142"/>
      <c r="G276" s="142"/>
      <c r="H276" s="131"/>
      <c r="I276" s="142"/>
      <c r="J276" s="142"/>
      <c r="K276" s="132"/>
      <c r="L276" s="131"/>
      <c r="M276" s="142"/>
      <c r="N276" s="142"/>
      <c r="O276" s="142"/>
      <c r="P276" s="142"/>
      <c r="Q276" s="142"/>
      <c r="R276" s="142"/>
      <c r="S276" s="142"/>
      <c r="T276" s="142"/>
      <c r="U276" s="142"/>
      <c r="V276" s="142"/>
      <c r="W276" s="142"/>
      <c r="X276" s="142"/>
      <c r="Y276" s="142"/>
      <c r="Z276" s="142"/>
      <c r="AA276" s="142"/>
      <c r="AB276" s="142"/>
      <c r="AC276" s="142"/>
      <c r="AD276" s="142"/>
      <c r="AE276" s="142"/>
      <c r="AF276" s="142"/>
      <c r="AG276" s="142"/>
      <c r="AH276" s="142"/>
      <c r="AI276" s="142"/>
      <c r="AJ276" s="142"/>
      <c r="AK276" s="142"/>
      <c r="AL276" s="142"/>
      <c r="AM276" s="142"/>
      <c r="AN276" s="142"/>
      <c r="AO276" s="142"/>
      <c r="AP276" s="130"/>
      <c r="AQ276" s="130"/>
      <c r="AR276" s="130"/>
      <c r="AS276" s="130"/>
      <c r="AT276" s="130"/>
      <c r="AU276" s="130"/>
      <c r="AV276" s="130"/>
      <c r="AW276" s="130"/>
      <c r="AX276" s="130"/>
      <c r="AY276" s="130"/>
      <c r="AZ276" s="130"/>
      <c r="BA276" s="130"/>
      <c r="BB276" s="130"/>
      <c r="BC276" s="130"/>
      <c r="BD276" s="130"/>
    </row>
    <row r="277" ht="15.75" customHeight="1">
      <c r="A277" s="142"/>
      <c r="B277" s="142"/>
      <c r="C277" s="198"/>
      <c r="D277" s="142"/>
      <c r="E277" s="131"/>
      <c r="F277" s="142"/>
      <c r="G277" s="142"/>
      <c r="H277" s="131"/>
      <c r="I277" s="142"/>
      <c r="J277" s="142"/>
      <c r="K277" s="132"/>
      <c r="L277" s="131"/>
      <c r="M277" s="142"/>
      <c r="N277" s="142"/>
      <c r="O277" s="142"/>
      <c r="P277" s="142"/>
      <c r="Q277" s="142"/>
      <c r="R277" s="142"/>
      <c r="S277" s="142"/>
      <c r="T277" s="142"/>
      <c r="U277" s="142"/>
      <c r="V277" s="142"/>
      <c r="W277" s="142"/>
      <c r="X277" s="142"/>
      <c r="Y277" s="142"/>
      <c r="Z277" s="142"/>
      <c r="AA277" s="142"/>
      <c r="AB277" s="142"/>
      <c r="AC277" s="142"/>
      <c r="AD277" s="142"/>
      <c r="AE277" s="142"/>
      <c r="AF277" s="142"/>
      <c r="AG277" s="142"/>
      <c r="AH277" s="142"/>
      <c r="AI277" s="142"/>
      <c r="AJ277" s="142"/>
      <c r="AK277" s="142"/>
      <c r="AL277" s="142"/>
      <c r="AM277" s="142"/>
      <c r="AN277" s="142"/>
      <c r="AO277" s="142"/>
      <c r="AP277" s="130"/>
      <c r="AQ277" s="130"/>
      <c r="AR277" s="130"/>
      <c r="AS277" s="130"/>
      <c r="AT277" s="130"/>
      <c r="AU277" s="130"/>
      <c r="AV277" s="130"/>
      <c r="AW277" s="130"/>
      <c r="AX277" s="130"/>
      <c r="AY277" s="130"/>
      <c r="AZ277" s="130"/>
      <c r="BA277" s="130"/>
      <c r="BB277" s="130"/>
      <c r="BC277" s="130"/>
      <c r="BD277" s="130"/>
    </row>
    <row r="278" ht="15.75" customHeight="1">
      <c r="A278" s="142"/>
      <c r="B278" s="142"/>
      <c r="C278" s="198"/>
      <c r="D278" s="142"/>
      <c r="E278" s="131"/>
      <c r="F278" s="142"/>
      <c r="G278" s="142"/>
      <c r="H278" s="131"/>
      <c r="I278" s="142"/>
      <c r="J278" s="142"/>
      <c r="K278" s="132"/>
      <c r="L278" s="131"/>
      <c r="M278" s="142"/>
      <c r="N278" s="142"/>
      <c r="O278" s="142"/>
      <c r="P278" s="142"/>
      <c r="Q278" s="142"/>
      <c r="R278" s="142"/>
      <c r="S278" s="142"/>
      <c r="T278" s="142"/>
      <c r="U278" s="142"/>
      <c r="V278" s="142"/>
      <c r="W278" s="142"/>
      <c r="X278" s="142"/>
      <c r="Y278" s="142"/>
      <c r="Z278" s="142"/>
      <c r="AA278" s="142"/>
      <c r="AB278" s="142"/>
      <c r="AC278" s="142"/>
      <c r="AD278" s="142"/>
      <c r="AE278" s="142"/>
      <c r="AF278" s="142"/>
      <c r="AG278" s="142"/>
      <c r="AH278" s="142"/>
      <c r="AI278" s="142"/>
      <c r="AJ278" s="142"/>
      <c r="AK278" s="142"/>
      <c r="AL278" s="142"/>
      <c r="AM278" s="142"/>
      <c r="AN278" s="142"/>
      <c r="AO278" s="142"/>
      <c r="AP278" s="130"/>
      <c r="AQ278" s="130"/>
      <c r="AR278" s="130"/>
      <c r="AS278" s="130"/>
      <c r="AT278" s="130"/>
      <c r="AU278" s="130"/>
      <c r="AV278" s="130"/>
      <c r="AW278" s="130"/>
      <c r="AX278" s="130"/>
      <c r="AY278" s="130"/>
      <c r="AZ278" s="130"/>
      <c r="BA278" s="130"/>
      <c r="BB278" s="130"/>
      <c r="BC278" s="130"/>
      <c r="BD278" s="130"/>
    </row>
    <row r="279" ht="15.75" customHeight="1">
      <c r="A279" s="142"/>
      <c r="B279" s="142"/>
      <c r="C279" s="198"/>
      <c r="D279" s="142"/>
      <c r="E279" s="131"/>
      <c r="F279" s="142"/>
      <c r="G279" s="142"/>
      <c r="H279" s="131"/>
      <c r="I279" s="142"/>
      <c r="J279" s="142"/>
      <c r="K279" s="132"/>
      <c r="L279" s="131"/>
      <c r="M279" s="142"/>
      <c r="N279" s="142"/>
      <c r="O279" s="142"/>
      <c r="P279" s="142"/>
      <c r="Q279" s="142"/>
      <c r="R279" s="142"/>
      <c r="S279" s="142"/>
      <c r="T279" s="142"/>
      <c r="U279" s="142"/>
      <c r="V279" s="142"/>
      <c r="W279" s="142"/>
      <c r="X279" s="142"/>
      <c r="Y279" s="142"/>
      <c r="Z279" s="142"/>
      <c r="AA279" s="142"/>
      <c r="AB279" s="142"/>
      <c r="AC279" s="142"/>
      <c r="AD279" s="142"/>
      <c r="AE279" s="142"/>
      <c r="AF279" s="142"/>
      <c r="AG279" s="142"/>
      <c r="AH279" s="142"/>
      <c r="AI279" s="142"/>
      <c r="AJ279" s="142"/>
      <c r="AK279" s="142"/>
      <c r="AL279" s="142"/>
      <c r="AM279" s="142"/>
      <c r="AN279" s="142"/>
      <c r="AO279" s="142"/>
      <c r="AP279" s="130"/>
      <c r="AQ279" s="130"/>
      <c r="AR279" s="130"/>
      <c r="AS279" s="130"/>
      <c r="AT279" s="130"/>
      <c r="AU279" s="130"/>
      <c r="AV279" s="130"/>
      <c r="AW279" s="130"/>
      <c r="AX279" s="130"/>
      <c r="AY279" s="130"/>
      <c r="AZ279" s="130"/>
      <c r="BA279" s="130"/>
      <c r="BB279" s="130"/>
      <c r="BC279" s="130"/>
      <c r="BD279" s="130"/>
    </row>
    <row r="280" ht="15.75" customHeight="1">
      <c r="A280" s="142"/>
      <c r="B280" s="142"/>
      <c r="C280" s="198"/>
      <c r="D280" s="142"/>
      <c r="E280" s="131"/>
      <c r="F280" s="142"/>
      <c r="G280" s="142"/>
      <c r="H280" s="131"/>
      <c r="I280" s="142"/>
      <c r="J280" s="142"/>
      <c r="K280" s="132"/>
      <c r="L280" s="131"/>
      <c r="M280" s="142"/>
      <c r="N280" s="142"/>
      <c r="O280" s="142"/>
      <c r="P280" s="142"/>
      <c r="Q280" s="142"/>
      <c r="R280" s="142"/>
      <c r="S280" s="142"/>
      <c r="T280" s="142"/>
      <c r="U280" s="142"/>
      <c r="V280" s="142"/>
      <c r="W280" s="142"/>
      <c r="X280" s="142"/>
      <c r="Y280" s="142"/>
      <c r="Z280" s="142"/>
      <c r="AA280" s="142"/>
      <c r="AB280" s="142"/>
      <c r="AC280" s="142"/>
      <c r="AD280" s="142"/>
      <c r="AE280" s="142"/>
      <c r="AF280" s="142"/>
      <c r="AG280" s="142"/>
      <c r="AH280" s="142"/>
      <c r="AI280" s="142"/>
      <c r="AJ280" s="142"/>
      <c r="AK280" s="142"/>
      <c r="AL280" s="142"/>
      <c r="AM280" s="142"/>
      <c r="AN280" s="142"/>
      <c r="AO280" s="142"/>
      <c r="AP280" s="130"/>
      <c r="AQ280" s="130"/>
      <c r="AR280" s="130"/>
      <c r="AS280" s="130"/>
      <c r="AT280" s="130"/>
      <c r="AU280" s="130"/>
      <c r="AV280" s="130"/>
      <c r="AW280" s="130"/>
      <c r="AX280" s="130"/>
      <c r="AY280" s="130"/>
      <c r="AZ280" s="130"/>
      <c r="BA280" s="130"/>
      <c r="BB280" s="130"/>
      <c r="BC280" s="130"/>
      <c r="BD280" s="130"/>
    </row>
    <row r="281" ht="15.75" customHeight="1">
      <c r="A281" s="142"/>
      <c r="B281" s="142"/>
      <c r="C281" s="198"/>
      <c r="D281" s="142"/>
      <c r="E281" s="131"/>
      <c r="F281" s="142"/>
      <c r="G281" s="142"/>
      <c r="H281" s="131"/>
      <c r="I281" s="142"/>
      <c r="J281" s="142"/>
      <c r="K281" s="132"/>
      <c r="L281" s="131"/>
      <c r="M281" s="142"/>
      <c r="N281" s="142"/>
      <c r="O281" s="142"/>
      <c r="P281" s="142"/>
      <c r="Q281" s="142"/>
      <c r="R281" s="142"/>
      <c r="S281" s="142"/>
      <c r="T281" s="142"/>
      <c r="U281" s="142"/>
      <c r="V281" s="142"/>
      <c r="W281" s="142"/>
      <c r="X281" s="142"/>
      <c r="Y281" s="142"/>
      <c r="Z281" s="142"/>
      <c r="AA281" s="142"/>
      <c r="AB281" s="142"/>
      <c r="AC281" s="142"/>
      <c r="AD281" s="142"/>
      <c r="AE281" s="142"/>
      <c r="AF281" s="142"/>
      <c r="AG281" s="142"/>
      <c r="AH281" s="142"/>
      <c r="AI281" s="142"/>
      <c r="AJ281" s="142"/>
      <c r="AK281" s="142"/>
      <c r="AL281" s="142"/>
      <c r="AM281" s="142"/>
      <c r="AN281" s="142"/>
      <c r="AO281" s="142"/>
      <c r="AP281" s="130"/>
      <c r="AQ281" s="130"/>
      <c r="AR281" s="130"/>
      <c r="AS281" s="130"/>
      <c r="AT281" s="130"/>
      <c r="AU281" s="130"/>
      <c r="AV281" s="130"/>
      <c r="AW281" s="130"/>
      <c r="AX281" s="130"/>
      <c r="AY281" s="130"/>
      <c r="AZ281" s="130"/>
      <c r="BA281" s="130"/>
      <c r="BB281" s="130"/>
      <c r="BC281" s="130"/>
      <c r="BD281" s="130"/>
    </row>
    <row r="282" ht="15.75" customHeight="1">
      <c r="A282" s="142"/>
      <c r="B282" s="142"/>
      <c r="C282" s="198"/>
      <c r="D282" s="142"/>
      <c r="E282" s="131"/>
      <c r="F282" s="142"/>
      <c r="G282" s="142"/>
      <c r="H282" s="131"/>
      <c r="I282" s="142"/>
      <c r="J282" s="142"/>
      <c r="K282" s="132"/>
      <c r="L282" s="131"/>
      <c r="M282" s="142"/>
      <c r="N282" s="142"/>
      <c r="O282" s="142"/>
      <c r="P282" s="142"/>
      <c r="Q282" s="142"/>
      <c r="R282" s="142"/>
      <c r="S282" s="142"/>
      <c r="T282" s="142"/>
      <c r="U282" s="142"/>
      <c r="V282" s="142"/>
      <c r="W282" s="142"/>
      <c r="X282" s="142"/>
      <c r="Y282" s="142"/>
      <c r="Z282" s="142"/>
      <c r="AA282" s="142"/>
      <c r="AB282" s="142"/>
      <c r="AC282" s="142"/>
      <c r="AD282" s="142"/>
      <c r="AE282" s="142"/>
      <c r="AF282" s="142"/>
      <c r="AG282" s="142"/>
      <c r="AH282" s="142"/>
      <c r="AI282" s="142"/>
      <c r="AJ282" s="142"/>
      <c r="AK282" s="142"/>
      <c r="AL282" s="142"/>
      <c r="AM282" s="142"/>
      <c r="AN282" s="142"/>
      <c r="AO282" s="142"/>
      <c r="AP282" s="130"/>
      <c r="AQ282" s="130"/>
      <c r="AR282" s="130"/>
      <c r="AS282" s="130"/>
      <c r="AT282" s="130"/>
      <c r="AU282" s="130"/>
      <c r="AV282" s="130"/>
      <c r="AW282" s="130"/>
      <c r="AX282" s="130"/>
      <c r="AY282" s="130"/>
      <c r="AZ282" s="130"/>
      <c r="BA282" s="130"/>
      <c r="BB282" s="130"/>
      <c r="BC282" s="130"/>
      <c r="BD282" s="130"/>
    </row>
    <row r="283" ht="15.75" customHeight="1">
      <c r="A283" s="142"/>
      <c r="B283" s="142"/>
      <c r="C283" s="198"/>
      <c r="D283" s="142"/>
      <c r="E283" s="131"/>
      <c r="F283" s="142"/>
      <c r="G283" s="142"/>
      <c r="H283" s="131"/>
      <c r="I283" s="142"/>
      <c r="J283" s="142"/>
      <c r="K283" s="132"/>
      <c r="L283" s="131"/>
      <c r="M283" s="142"/>
      <c r="N283" s="142"/>
      <c r="O283" s="142"/>
      <c r="P283" s="142"/>
      <c r="Q283" s="142"/>
      <c r="R283" s="142"/>
      <c r="S283" s="142"/>
      <c r="T283" s="142"/>
      <c r="U283" s="142"/>
      <c r="V283" s="142"/>
      <c r="W283" s="142"/>
      <c r="X283" s="142"/>
      <c r="Y283" s="142"/>
      <c r="Z283" s="142"/>
      <c r="AA283" s="142"/>
      <c r="AB283" s="142"/>
      <c r="AC283" s="142"/>
      <c r="AD283" s="142"/>
      <c r="AE283" s="142"/>
      <c r="AF283" s="142"/>
      <c r="AG283" s="142"/>
      <c r="AH283" s="142"/>
      <c r="AI283" s="142"/>
      <c r="AJ283" s="142"/>
      <c r="AK283" s="142"/>
      <c r="AL283" s="142"/>
      <c r="AM283" s="142"/>
      <c r="AN283" s="142"/>
      <c r="AO283" s="142"/>
      <c r="AP283" s="130"/>
      <c r="AQ283" s="130"/>
      <c r="AR283" s="130"/>
      <c r="AS283" s="130"/>
      <c r="AT283" s="130"/>
      <c r="AU283" s="130"/>
      <c r="AV283" s="130"/>
      <c r="AW283" s="130"/>
      <c r="AX283" s="130"/>
      <c r="AY283" s="130"/>
      <c r="AZ283" s="130"/>
      <c r="BA283" s="130"/>
      <c r="BB283" s="130"/>
      <c r="BC283" s="130"/>
      <c r="BD283" s="130"/>
    </row>
    <row r="284" ht="15.75" customHeight="1">
      <c r="A284" s="142"/>
      <c r="B284" s="142"/>
      <c r="C284" s="198"/>
      <c r="D284" s="142"/>
      <c r="E284" s="131"/>
      <c r="F284" s="142"/>
      <c r="G284" s="142"/>
      <c r="H284" s="131"/>
      <c r="I284" s="142"/>
      <c r="J284" s="142"/>
      <c r="K284" s="132"/>
      <c r="L284" s="131"/>
      <c r="M284" s="142"/>
      <c r="N284" s="142"/>
      <c r="O284" s="142"/>
      <c r="P284" s="142"/>
      <c r="Q284" s="142"/>
      <c r="R284" s="142"/>
      <c r="S284" s="142"/>
      <c r="T284" s="142"/>
      <c r="U284" s="142"/>
      <c r="V284" s="142"/>
      <c r="W284" s="142"/>
      <c r="X284" s="142"/>
      <c r="Y284" s="142"/>
      <c r="Z284" s="142"/>
      <c r="AA284" s="142"/>
      <c r="AB284" s="142"/>
      <c r="AC284" s="142"/>
      <c r="AD284" s="142"/>
      <c r="AE284" s="142"/>
      <c r="AF284" s="142"/>
      <c r="AG284" s="142"/>
      <c r="AH284" s="142"/>
      <c r="AI284" s="142"/>
      <c r="AJ284" s="142"/>
      <c r="AK284" s="142"/>
      <c r="AL284" s="142"/>
      <c r="AM284" s="142"/>
      <c r="AN284" s="142"/>
      <c r="AO284" s="142"/>
      <c r="AP284" s="130"/>
      <c r="AQ284" s="130"/>
      <c r="AR284" s="130"/>
      <c r="AS284" s="130"/>
      <c r="AT284" s="130"/>
      <c r="AU284" s="130"/>
      <c r="AV284" s="130"/>
      <c r="AW284" s="130"/>
      <c r="AX284" s="130"/>
      <c r="AY284" s="130"/>
      <c r="AZ284" s="130"/>
      <c r="BA284" s="130"/>
      <c r="BB284" s="130"/>
      <c r="BC284" s="130"/>
      <c r="BD284" s="130"/>
    </row>
    <row r="285" ht="15.75" customHeight="1">
      <c r="A285" s="142"/>
      <c r="B285" s="142"/>
      <c r="C285" s="198"/>
      <c r="D285" s="142"/>
      <c r="E285" s="131"/>
      <c r="F285" s="142"/>
      <c r="G285" s="142"/>
      <c r="H285" s="131"/>
      <c r="I285" s="142"/>
      <c r="J285" s="142"/>
      <c r="K285" s="132"/>
      <c r="L285" s="131"/>
      <c r="M285" s="142"/>
      <c r="N285" s="142"/>
      <c r="O285" s="142"/>
      <c r="P285" s="142"/>
      <c r="Q285" s="142"/>
      <c r="R285" s="142"/>
      <c r="S285" s="142"/>
      <c r="T285" s="142"/>
      <c r="U285" s="142"/>
      <c r="V285" s="142"/>
      <c r="W285" s="142"/>
      <c r="X285" s="142"/>
      <c r="Y285" s="142"/>
      <c r="Z285" s="142"/>
      <c r="AA285" s="142"/>
      <c r="AB285" s="142"/>
      <c r="AC285" s="142"/>
      <c r="AD285" s="142"/>
      <c r="AE285" s="142"/>
      <c r="AF285" s="142"/>
      <c r="AG285" s="142"/>
      <c r="AH285" s="142"/>
      <c r="AI285" s="142"/>
      <c r="AJ285" s="142"/>
      <c r="AK285" s="142"/>
      <c r="AL285" s="142"/>
      <c r="AM285" s="142"/>
      <c r="AN285" s="142"/>
      <c r="AO285" s="142"/>
      <c r="AP285" s="130"/>
      <c r="AQ285" s="130"/>
      <c r="AR285" s="130"/>
      <c r="AS285" s="130"/>
      <c r="AT285" s="130"/>
      <c r="AU285" s="130"/>
      <c r="AV285" s="130"/>
      <c r="AW285" s="130"/>
      <c r="AX285" s="130"/>
      <c r="AY285" s="130"/>
      <c r="AZ285" s="130"/>
      <c r="BA285" s="130"/>
      <c r="BB285" s="130"/>
      <c r="BC285" s="130"/>
      <c r="BD285" s="130"/>
    </row>
    <row r="286" ht="15.75" customHeight="1">
      <c r="A286" s="142"/>
      <c r="B286" s="142"/>
      <c r="C286" s="198"/>
      <c r="D286" s="142"/>
      <c r="E286" s="131"/>
      <c r="F286" s="142"/>
      <c r="G286" s="142"/>
      <c r="H286" s="131"/>
      <c r="I286" s="142"/>
      <c r="J286" s="142"/>
      <c r="K286" s="132"/>
      <c r="L286" s="131"/>
      <c r="M286" s="142"/>
      <c r="N286" s="142"/>
      <c r="O286" s="142"/>
      <c r="P286" s="142"/>
      <c r="Q286" s="142"/>
      <c r="R286" s="142"/>
      <c r="S286" s="142"/>
      <c r="T286" s="142"/>
      <c r="U286" s="142"/>
      <c r="V286" s="142"/>
      <c r="W286" s="142"/>
      <c r="X286" s="142"/>
      <c r="Y286" s="142"/>
      <c r="Z286" s="142"/>
      <c r="AA286" s="142"/>
      <c r="AB286" s="142"/>
      <c r="AC286" s="142"/>
      <c r="AD286" s="142"/>
      <c r="AE286" s="142"/>
      <c r="AF286" s="142"/>
      <c r="AG286" s="142"/>
      <c r="AH286" s="142"/>
      <c r="AI286" s="142"/>
      <c r="AJ286" s="142"/>
      <c r="AK286" s="142"/>
      <c r="AL286" s="142"/>
      <c r="AM286" s="142"/>
      <c r="AN286" s="142"/>
      <c r="AO286" s="142"/>
      <c r="AP286" s="130"/>
      <c r="AQ286" s="130"/>
      <c r="AR286" s="130"/>
      <c r="AS286" s="130"/>
      <c r="AT286" s="130"/>
      <c r="AU286" s="130"/>
      <c r="AV286" s="130"/>
      <c r="AW286" s="130"/>
      <c r="AX286" s="130"/>
      <c r="AY286" s="130"/>
      <c r="AZ286" s="130"/>
      <c r="BA286" s="130"/>
      <c r="BB286" s="130"/>
      <c r="BC286" s="130"/>
      <c r="BD286" s="130"/>
    </row>
    <row r="287" ht="15.75" customHeight="1">
      <c r="A287" s="142"/>
      <c r="B287" s="142"/>
      <c r="C287" s="198"/>
      <c r="D287" s="142"/>
      <c r="E287" s="131"/>
      <c r="F287" s="142"/>
      <c r="G287" s="142"/>
      <c r="H287" s="131"/>
      <c r="I287" s="142"/>
      <c r="J287" s="142"/>
      <c r="K287" s="132"/>
      <c r="L287" s="131"/>
      <c r="M287" s="142"/>
      <c r="N287" s="142"/>
      <c r="O287" s="142"/>
      <c r="P287" s="142"/>
      <c r="Q287" s="142"/>
      <c r="R287" s="142"/>
      <c r="S287" s="142"/>
      <c r="T287" s="142"/>
      <c r="U287" s="142"/>
      <c r="V287" s="142"/>
      <c r="W287" s="142"/>
      <c r="X287" s="142"/>
      <c r="Y287" s="142"/>
      <c r="Z287" s="142"/>
      <c r="AA287" s="142"/>
      <c r="AB287" s="142"/>
      <c r="AC287" s="142"/>
      <c r="AD287" s="142"/>
      <c r="AE287" s="142"/>
      <c r="AF287" s="142"/>
      <c r="AG287" s="142"/>
      <c r="AH287" s="142"/>
      <c r="AI287" s="142"/>
      <c r="AJ287" s="142"/>
      <c r="AK287" s="142"/>
      <c r="AL287" s="142"/>
      <c r="AM287" s="142"/>
      <c r="AN287" s="142"/>
      <c r="AO287" s="142"/>
      <c r="AP287" s="130"/>
      <c r="AQ287" s="130"/>
      <c r="AR287" s="130"/>
      <c r="AS287" s="130"/>
      <c r="AT287" s="130"/>
      <c r="AU287" s="130"/>
      <c r="AV287" s="130"/>
      <c r="AW287" s="130"/>
      <c r="AX287" s="130"/>
      <c r="AY287" s="130"/>
      <c r="AZ287" s="130"/>
      <c r="BA287" s="130"/>
      <c r="BB287" s="130"/>
      <c r="BC287" s="130"/>
      <c r="BD287" s="130"/>
    </row>
    <row r="288" ht="15.75" customHeight="1">
      <c r="A288" s="142"/>
      <c r="B288" s="142"/>
      <c r="C288" s="198"/>
      <c r="D288" s="142"/>
      <c r="E288" s="131"/>
      <c r="F288" s="142"/>
      <c r="G288" s="142"/>
      <c r="H288" s="131"/>
      <c r="I288" s="142"/>
      <c r="J288" s="142"/>
      <c r="K288" s="132"/>
      <c r="L288" s="131"/>
      <c r="M288" s="142"/>
      <c r="N288" s="142"/>
      <c r="O288" s="142"/>
      <c r="P288" s="142"/>
      <c r="Q288" s="142"/>
      <c r="R288" s="142"/>
      <c r="S288" s="142"/>
      <c r="T288" s="142"/>
      <c r="U288" s="142"/>
      <c r="V288" s="142"/>
      <c r="W288" s="142"/>
      <c r="X288" s="142"/>
      <c r="Y288" s="142"/>
      <c r="Z288" s="142"/>
      <c r="AA288" s="142"/>
      <c r="AB288" s="142"/>
      <c r="AC288" s="142"/>
      <c r="AD288" s="142"/>
      <c r="AE288" s="142"/>
      <c r="AF288" s="142"/>
      <c r="AG288" s="142"/>
      <c r="AH288" s="142"/>
      <c r="AI288" s="142"/>
      <c r="AJ288" s="142"/>
      <c r="AK288" s="142"/>
      <c r="AL288" s="142"/>
      <c r="AM288" s="142"/>
      <c r="AN288" s="142"/>
      <c r="AO288" s="142"/>
      <c r="AP288" s="130"/>
      <c r="AQ288" s="130"/>
      <c r="AR288" s="130"/>
      <c r="AS288" s="130"/>
      <c r="AT288" s="130"/>
      <c r="AU288" s="130"/>
      <c r="AV288" s="130"/>
      <c r="AW288" s="130"/>
      <c r="AX288" s="130"/>
      <c r="AY288" s="130"/>
      <c r="AZ288" s="130"/>
      <c r="BA288" s="130"/>
      <c r="BB288" s="130"/>
      <c r="BC288" s="130"/>
      <c r="BD288" s="130"/>
    </row>
    <row r="289" ht="15.75" customHeight="1">
      <c r="A289" s="142"/>
      <c r="B289" s="142"/>
      <c r="C289" s="198"/>
      <c r="D289" s="142"/>
      <c r="E289" s="131"/>
      <c r="F289" s="142"/>
      <c r="G289" s="142"/>
      <c r="H289" s="131"/>
      <c r="I289" s="142"/>
      <c r="J289" s="142"/>
      <c r="K289" s="132"/>
      <c r="L289" s="131"/>
      <c r="M289" s="142"/>
      <c r="N289" s="142"/>
      <c r="O289" s="142"/>
      <c r="P289" s="142"/>
      <c r="Q289" s="142"/>
      <c r="R289" s="142"/>
      <c r="S289" s="142"/>
      <c r="T289" s="142"/>
      <c r="U289" s="142"/>
      <c r="V289" s="142"/>
      <c r="W289" s="142"/>
      <c r="X289" s="142"/>
      <c r="Y289" s="142"/>
      <c r="Z289" s="142"/>
      <c r="AA289" s="142"/>
      <c r="AB289" s="142"/>
      <c r="AC289" s="142"/>
      <c r="AD289" s="142"/>
      <c r="AE289" s="142"/>
      <c r="AF289" s="142"/>
      <c r="AG289" s="142"/>
      <c r="AH289" s="142"/>
      <c r="AI289" s="142"/>
      <c r="AJ289" s="142"/>
      <c r="AK289" s="142"/>
      <c r="AL289" s="142"/>
      <c r="AM289" s="142"/>
      <c r="AN289" s="142"/>
      <c r="AO289" s="142"/>
      <c r="AP289" s="130"/>
      <c r="AQ289" s="130"/>
      <c r="AR289" s="130"/>
      <c r="AS289" s="130"/>
      <c r="AT289" s="130"/>
      <c r="AU289" s="130"/>
      <c r="AV289" s="130"/>
      <c r="AW289" s="130"/>
      <c r="AX289" s="130"/>
      <c r="AY289" s="130"/>
      <c r="AZ289" s="130"/>
      <c r="BA289" s="130"/>
      <c r="BB289" s="130"/>
      <c r="BC289" s="130"/>
      <c r="BD289" s="130"/>
    </row>
    <row r="290" ht="15.75" customHeight="1">
      <c r="A290" s="142"/>
      <c r="B290" s="142"/>
      <c r="C290" s="198"/>
      <c r="D290" s="142"/>
      <c r="E290" s="131"/>
      <c r="F290" s="142"/>
      <c r="G290" s="142"/>
      <c r="H290" s="131"/>
      <c r="I290" s="142"/>
      <c r="J290" s="142"/>
      <c r="K290" s="132"/>
      <c r="L290" s="131"/>
      <c r="M290" s="142"/>
      <c r="N290" s="142"/>
      <c r="O290" s="142"/>
      <c r="P290" s="142"/>
      <c r="Q290" s="142"/>
      <c r="R290" s="142"/>
      <c r="S290" s="142"/>
      <c r="T290" s="142"/>
      <c r="U290" s="142"/>
      <c r="V290" s="142"/>
      <c r="W290" s="142"/>
      <c r="X290" s="142"/>
      <c r="Y290" s="142"/>
      <c r="Z290" s="142"/>
      <c r="AA290" s="142"/>
      <c r="AB290" s="142"/>
      <c r="AC290" s="142"/>
      <c r="AD290" s="142"/>
      <c r="AE290" s="142"/>
      <c r="AF290" s="142"/>
      <c r="AG290" s="142"/>
      <c r="AH290" s="142"/>
      <c r="AI290" s="142"/>
      <c r="AJ290" s="142"/>
      <c r="AK290" s="142"/>
      <c r="AL290" s="142"/>
      <c r="AM290" s="142"/>
      <c r="AN290" s="142"/>
      <c r="AO290" s="142"/>
      <c r="AP290" s="130"/>
      <c r="AQ290" s="130"/>
      <c r="AR290" s="130"/>
      <c r="AS290" s="130"/>
      <c r="AT290" s="130"/>
      <c r="AU290" s="130"/>
      <c r="AV290" s="130"/>
      <c r="AW290" s="130"/>
      <c r="AX290" s="130"/>
      <c r="AY290" s="130"/>
      <c r="AZ290" s="130"/>
      <c r="BA290" s="130"/>
      <c r="BB290" s="130"/>
      <c r="BC290" s="130"/>
      <c r="BD290" s="130"/>
    </row>
    <row r="291" ht="15.75" customHeight="1">
      <c r="A291" s="142"/>
      <c r="B291" s="142"/>
      <c r="C291" s="198"/>
      <c r="D291" s="142"/>
      <c r="E291" s="131"/>
      <c r="F291" s="142"/>
      <c r="G291" s="142"/>
      <c r="H291" s="131"/>
      <c r="I291" s="142"/>
      <c r="J291" s="142"/>
      <c r="K291" s="132"/>
      <c r="L291" s="131"/>
      <c r="M291" s="142"/>
      <c r="N291" s="142"/>
      <c r="O291" s="142"/>
      <c r="P291" s="142"/>
      <c r="Q291" s="142"/>
      <c r="R291" s="142"/>
      <c r="S291" s="142"/>
      <c r="T291" s="142"/>
      <c r="U291" s="142"/>
      <c r="V291" s="142"/>
      <c r="W291" s="142"/>
      <c r="X291" s="142"/>
      <c r="Y291" s="142"/>
      <c r="Z291" s="142"/>
      <c r="AA291" s="142"/>
      <c r="AB291" s="142"/>
      <c r="AC291" s="142"/>
      <c r="AD291" s="142"/>
      <c r="AE291" s="142"/>
      <c r="AF291" s="142"/>
      <c r="AG291" s="142"/>
      <c r="AH291" s="142"/>
      <c r="AI291" s="142"/>
      <c r="AJ291" s="142"/>
      <c r="AK291" s="142"/>
      <c r="AL291" s="142"/>
      <c r="AM291" s="142"/>
      <c r="AN291" s="142"/>
      <c r="AO291" s="142"/>
      <c r="AP291" s="130"/>
      <c r="AQ291" s="130"/>
      <c r="AR291" s="130"/>
      <c r="AS291" s="130"/>
      <c r="AT291" s="130"/>
      <c r="AU291" s="130"/>
      <c r="AV291" s="130"/>
      <c r="AW291" s="130"/>
      <c r="AX291" s="130"/>
      <c r="AY291" s="130"/>
      <c r="AZ291" s="130"/>
      <c r="BA291" s="130"/>
      <c r="BB291" s="130"/>
      <c r="BC291" s="130"/>
      <c r="BD291" s="130"/>
    </row>
    <row r="292" ht="15.75" customHeight="1">
      <c r="A292" s="142"/>
      <c r="B292" s="142"/>
      <c r="C292" s="198"/>
      <c r="D292" s="142"/>
      <c r="E292" s="131"/>
      <c r="F292" s="142"/>
      <c r="G292" s="142"/>
      <c r="H292" s="131"/>
      <c r="I292" s="142"/>
      <c r="J292" s="142"/>
      <c r="K292" s="132"/>
      <c r="L292" s="131"/>
      <c r="M292" s="142"/>
      <c r="N292" s="142"/>
      <c r="O292" s="142"/>
      <c r="P292" s="142"/>
      <c r="Q292" s="142"/>
      <c r="R292" s="142"/>
      <c r="S292" s="142"/>
      <c r="T292" s="142"/>
      <c r="U292" s="142"/>
      <c r="V292" s="142"/>
      <c r="W292" s="142"/>
      <c r="X292" s="142"/>
      <c r="Y292" s="142"/>
      <c r="Z292" s="142"/>
      <c r="AA292" s="142"/>
      <c r="AB292" s="142"/>
      <c r="AC292" s="142"/>
      <c r="AD292" s="142"/>
      <c r="AE292" s="142"/>
      <c r="AF292" s="142"/>
      <c r="AG292" s="142"/>
      <c r="AH292" s="142"/>
      <c r="AI292" s="142"/>
      <c r="AJ292" s="142"/>
      <c r="AK292" s="142"/>
      <c r="AL292" s="142"/>
      <c r="AM292" s="142"/>
      <c r="AN292" s="142"/>
      <c r="AO292" s="142"/>
      <c r="AP292" s="130"/>
      <c r="AQ292" s="130"/>
      <c r="AR292" s="130"/>
      <c r="AS292" s="130"/>
      <c r="AT292" s="130"/>
      <c r="AU292" s="130"/>
      <c r="AV292" s="130"/>
      <c r="AW292" s="130"/>
      <c r="AX292" s="130"/>
      <c r="AY292" s="130"/>
      <c r="AZ292" s="130"/>
      <c r="BA292" s="130"/>
      <c r="BB292" s="130"/>
      <c r="BC292" s="130"/>
      <c r="BD292" s="130"/>
    </row>
    <row r="293" ht="15.75" customHeight="1">
      <c r="A293" s="142"/>
      <c r="B293" s="142"/>
      <c r="C293" s="198"/>
      <c r="D293" s="142"/>
      <c r="E293" s="131"/>
      <c r="F293" s="142"/>
      <c r="G293" s="142"/>
      <c r="H293" s="131"/>
      <c r="I293" s="142"/>
      <c r="J293" s="142"/>
      <c r="K293" s="132"/>
      <c r="L293" s="131"/>
      <c r="M293" s="142"/>
      <c r="N293" s="142"/>
      <c r="O293" s="142"/>
      <c r="P293" s="142"/>
      <c r="Q293" s="142"/>
      <c r="R293" s="142"/>
      <c r="S293" s="142"/>
      <c r="T293" s="142"/>
      <c r="U293" s="142"/>
      <c r="V293" s="142"/>
      <c r="W293" s="142"/>
      <c r="X293" s="142"/>
      <c r="Y293" s="142"/>
      <c r="Z293" s="142"/>
      <c r="AA293" s="142"/>
      <c r="AB293" s="142"/>
      <c r="AC293" s="142"/>
      <c r="AD293" s="142"/>
      <c r="AE293" s="142"/>
      <c r="AF293" s="142"/>
      <c r="AG293" s="142"/>
      <c r="AH293" s="142"/>
      <c r="AI293" s="142"/>
      <c r="AJ293" s="142"/>
      <c r="AK293" s="142"/>
      <c r="AL293" s="142"/>
      <c r="AM293" s="142"/>
      <c r="AN293" s="142"/>
      <c r="AO293" s="142"/>
      <c r="AP293" s="130"/>
      <c r="AQ293" s="130"/>
      <c r="AR293" s="130"/>
      <c r="AS293" s="130"/>
      <c r="AT293" s="130"/>
      <c r="AU293" s="130"/>
      <c r="AV293" s="130"/>
      <c r="AW293" s="130"/>
      <c r="AX293" s="130"/>
      <c r="AY293" s="130"/>
      <c r="AZ293" s="130"/>
      <c r="BA293" s="130"/>
      <c r="BB293" s="130"/>
      <c r="BC293" s="130"/>
      <c r="BD293" s="130"/>
    </row>
    <row r="294" ht="15.75" customHeight="1">
      <c r="A294" s="142"/>
      <c r="B294" s="142"/>
      <c r="C294" s="198"/>
      <c r="D294" s="142"/>
      <c r="E294" s="131"/>
      <c r="F294" s="142"/>
      <c r="G294" s="142"/>
      <c r="H294" s="131"/>
      <c r="I294" s="142"/>
      <c r="J294" s="142"/>
      <c r="K294" s="132"/>
      <c r="L294" s="131"/>
      <c r="M294" s="142"/>
      <c r="N294" s="142"/>
      <c r="O294" s="142"/>
      <c r="P294" s="142"/>
      <c r="Q294" s="142"/>
      <c r="R294" s="142"/>
      <c r="S294" s="142"/>
      <c r="T294" s="142"/>
      <c r="U294" s="142"/>
      <c r="V294" s="142"/>
      <c r="W294" s="142"/>
      <c r="X294" s="142"/>
      <c r="Y294" s="142"/>
      <c r="Z294" s="142"/>
      <c r="AA294" s="142"/>
      <c r="AB294" s="142"/>
      <c r="AC294" s="142"/>
      <c r="AD294" s="142"/>
      <c r="AE294" s="142"/>
      <c r="AF294" s="142"/>
      <c r="AG294" s="142"/>
      <c r="AH294" s="142"/>
      <c r="AI294" s="142"/>
      <c r="AJ294" s="142"/>
      <c r="AK294" s="142"/>
      <c r="AL294" s="142"/>
      <c r="AM294" s="142"/>
      <c r="AN294" s="142"/>
      <c r="AO294" s="142"/>
      <c r="AP294" s="130"/>
      <c r="AQ294" s="130"/>
      <c r="AR294" s="130"/>
      <c r="AS294" s="130"/>
      <c r="AT294" s="130"/>
      <c r="AU294" s="130"/>
      <c r="AV294" s="130"/>
      <c r="AW294" s="130"/>
      <c r="AX294" s="130"/>
      <c r="AY294" s="130"/>
      <c r="AZ294" s="130"/>
      <c r="BA294" s="130"/>
      <c r="BB294" s="130"/>
      <c r="BC294" s="130"/>
      <c r="BD294" s="130"/>
    </row>
    <row r="295" ht="15.75" customHeight="1">
      <c r="A295" s="142"/>
      <c r="B295" s="142"/>
      <c r="C295" s="198"/>
      <c r="D295" s="142"/>
      <c r="E295" s="131"/>
      <c r="F295" s="142"/>
      <c r="G295" s="142"/>
      <c r="H295" s="131"/>
      <c r="I295" s="142"/>
      <c r="J295" s="142"/>
      <c r="K295" s="132"/>
      <c r="L295" s="131"/>
      <c r="M295" s="142"/>
      <c r="N295" s="142"/>
      <c r="O295" s="142"/>
      <c r="P295" s="142"/>
      <c r="Q295" s="142"/>
      <c r="R295" s="142"/>
      <c r="S295" s="142"/>
      <c r="T295" s="142"/>
      <c r="U295" s="142"/>
      <c r="V295" s="142"/>
      <c r="W295" s="142"/>
      <c r="X295" s="142"/>
      <c r="Y295" s="142"/>
      <c r="Z295" s="142"/>
      <c r="AA295" s="142"/>
      <c r="AB295" s="142"/>
      <c r="AC295" s="142"/>
      <c r="AD295" s="142"/>
      <c r="AE295" s="142"/>
      <c r="AF295" s="142"/>
      <c r="AG295" s="142"/>
      <c r="AH295" s="142"/>
      <c r="AI295" s="142"/>
      <c r="AJ295" s="142"/>
      <c r="AK295" s="142"/>
      <c r="AL295" s="142"/>
      <c r="AM295" s="142"/>
      <c r="AN295" s="142"/>
      <c r="AO295" s="142"/>
      <c r="AP295" s="130"/>
      <c r="AQ295" s="130"/>
      <c r="AR295" s="130"/>
      <c r="AS295" s="130"/>
      <c r="AT295" s="130"/>
      <c r="AU295" s="130"/>
      <c r="AV295" s="130"/>
      <c r="AW295" s="130"/>
      <c r="AX295" s="130"/>
      <c r="AY295" s="130"/>
      <c r="AZ295" s="130"/>
      <c r="BA295" s="130"/>
      <c r="BB295" s="130"/>
      <c r="BC295" s="130"/>
      <c r="BD295" s="130"/>
    </row>
    <row r="296" ht="15.75" customHeight="1">
      <c r="A296" s="142"/>
      <c r="B296" s="142"/>
      <c r="C296" s="198"/>
      <c r="D296" s="142"/>
      <c r="E296" s="131"/>
      <c r="F296" s="142"/>
      <c r="G296" s="142"/>
      <c r="H296" s="131"/>
      <c r="I296" s="142"/>
      <c r="J296" s="142"/>
      <c r="K296" s="132"/>
      <c r="L296" s="131"/>
      <c r="M296" s="142"/>
      <c r="N296" s="142"/>
      <c r="O296" s="142"/>
      <c r="P296" s="142"/>
      <c r="Q296" s="142"/>
      <c r="R296" s="142"/>
      <c r="S296" s="142"/>
      <c r="T296" s="142"/>
      <c r="U296" s="142"/>
      <c r="V296" s="142"/>
      <c r="W296" s="142"/>
      <c r="X296" s="142"/>
      <c r="Y296" s="142"/>
      <c r="Z296" s="142"/>
      <c r="AA296" s="142"/>
      <c r="AB296" s="142"/>
      <c r="AC296" s="142"/>
      <c r="AD296" s="142"/>
      <c r="AE296" s="142"/>
      <c r="AF296" s="142"/>
      <c r="AG296" s="142"/>
      <c r="AH296" s="142"/>
      <c r="AI296" s="142"/>
      <c r="AJ296" s="142"/>
      <c r="AK296" s="142"/>
      <c r="AL296" s="142"/>
      <c r="AM296" s="142"/>
      <c r="AN296" s="142"/>
      <c r="AO296" s="142"/>
      <c r="AP296" s="130"/>
      <c r="AQ296" s="130"/>
      <c r="AR296" s="130"/>
      <c r="AS296" s="130"/>
      <c r="AT296" s="130"/>
      <c r="AU296" s="130"/>
      <c r="AV296" s="130"/>
      <c r="AW296" s="130"/>
      <c r="AX296" s="130"/>
      <c r="AY296" s="130"/>
      <c r="AZ296" s="130"/>
      <c r="BA296" s="130"/>
      <c r="BB296" s="130"/>
      <c r="BC296" s="130"/>
      <c r="BD296" s="130"/>
    </row>
    <row r="297" ht="15.75" customHeight="1">
      <c r="A297" s="142"/>
      <c r="B297" s="142"/>
      <c r="C297" s="198"/>
      <c r="D297" s="142"/>
      <c r="E297" s="131"/>
      <c r="F297" s="142"/>
      <c r="G297" s="142"/>
      <c r="H297" s="131"/>
      <c r="I297" s="142"/>
      <c r="J297" s="142"/>
      <c r="K297" s="132"/>
      <c r="L297" s="131"/>
      <c r="M297" s="142"/>
      <c r="N297" s="142"/>
      <c r="O297" s="142"/>
      <c r="P297" s="142"/>
      <c r="Q297" s="142"/>
      <c r="R297" s="142"/>
      <c r="S297" s="142"/>
      <c r="T297" s="142"/>
      <c r="U297" s="142"/>
      <c r="V297" s="142"/>
      <c r="W297" s="142"/>
      <c r="X297" s="142"/>
      <c r="Y297" s="142"/>
      <c r="Z297" s="142"/>
      <c r="AA297" s="142"/>
      <c r="AB297" s="142"/>
      <c r="AC297" s="142"/>
      <c r="AD297" s="142"/>
      <c r="AE297" s="142"/>
      <c r="AF297" s="142"/>
      <c r="AG297" s="142"/>
      <c r="AH297" s="142"/>
      <c r="AI297" s="142"/>
      <c r="AJ297" s="142"/>
      <c r="AK297" s="142"/>
      <c r="AL297" s="142"/>
      <c r="AM297" s="142"/>
      <c r="AN297" s="142"/>
      <c r="AO297" s="142"/>
      <c r="AP297" s="130"/>
      <c r="AQ297" s="130"/>
      <c r="AR297" s="130"/>
      <c r="AS297" s="130"/>
      <c r="AT297" s="130"/>
      <c r="AU297" s="130"/>
      <c r="AV297" s="130"/>
      <c r="AW297" s="130"/>
      <c r="AX297" s="130"/>
      <c r="AY297" s="130"/>
      <c r="AZ297" s="130"/>
      <c r="BA297" s="130"/>
      <c r="BB297" s="130"/>
      <c r="BC297" s="130"/>
      <c r="BD297" s="130"/>
    </row>
    <row r="298" ht="15.75" customHeight="1">
      <c r="A298" s="142"/>
      <c r="B298" s="142"/>
      <c r="C298" s="198"/>
      <c r="D298" s="142"/>
      <c r="E298" s="131"/>
      <c r="F298" s="142"/>
      <c r="G298" s="142"/>
      <c r="H298" s="131"/>
      <c r="I298" s="142"/>
      <c r="J298" s="142"/>
      <c r="K298" s="132"/>
      <c r="L298" s="131"/>
      <c r="M298" s="142"/>
      <c r="N298" s="142"/>
      <c r="O298" s="142"/>
      <c r="P298" s="142"/>
      <c r="Q298" s="142"/>
      <c r="R298" s="142"/>
      <c r="S298" s="142"/>
      <c r="T298" s="142"/>
      <c r="U298" s="142"/>
      <c r="V298" s="142"/>
      <c r="W298" s="142"/>
      <c r="X298" s="142"/>
      <c r="Y298" s="142"/>
      <c r="Z298" s="142"/>
      <c r="AA298" s="142"/>
      <c r="AB298" s="142"/>
      <c r="AC298" s="142"/>
      <c r="AD298" s="142"/>
      <c r="AE298" s="142"/>
      <c r="AF298" s="142"/>
      <c r="AG298" s="142"/>
      <c r="AH298" s="142"/>
      <c r="AI298" s="142"/>
      <c r="AJ298" s="142"/>
      <c r="AK298" s="142"/>
      <c r="AL298" s="142"/>
      <c r="AM298" s="142"/>
      <c r="AN298" s="142"/>
      <c r="AO298" s="142"/>
      <c r="AP298" s="130"/>
      <c r="AQ298" s="130"/>
      <c r="AR298" s="130"/>
      <c r="AS298" s="130"/>
      <c r="AT298" s="130"/>
      <c r="AU298" s="130"/>
      <c r="AV298" s="130"/>
      <c r="AW298" s="130"/>
      <c r="AX298" s="130"/>
      <c r="AY298" s="130"/>
      <c r="AZ298" s="130"/>
      <c r="BA298" s="130"/>
      <c r="BB298" s="130"/>
      <c r="BC298" s="130"/>
      <c r="BD298" s="130"/>
    </row>
    <row r="299" ht="15.75" customHeight="1">
      <c r="A299" s="142"/>
      <c r="B299" s="142"/>
      <c r="C299" s="198"/>
      <c r="D299" s="142"/>
      <c r="E299" s="131"/>
      <c r="F299" s="142"/>
      <c r="G299" s="142"/>
      <c r="H299" s="131"/>
      <c r="I299" s="142"/>
      <c r="J299" s="142"/>
      <c r="K299" s="132"/>
      <c r="L299" s="131"/>
      <c r="M299" s="142"/>
      <c r="N299" s="142"/>
      <c r="O299" s="142"/>
      <c r="P299" s="142"/>
      <c r="Q299" s="142"/>
      <c r="R299" s="142"/>
      <c r="S299" s="142"/>
      <c r="T299" s="142"/>
      <c r="U299" s="142"/>
      <c r="V299" s="142"/>
      <c r="W299" s="142"/>
      <c r="X299" s="142"/>
      <c r="Y299" s="142"/>
      <c r="Z299" s="142"/>
      <c r="AA299" s="142"/>
      <c r="AB299" s="142"/>
      <c r="AC299" s="142"/>
      <c r="AD299" s="142"/>
      <c r="AE299" s="142"/>
      <c r="AF299" s="142"/>
      <c r="AG299" s="142"/>
      <c r="AH299" s="142"/>
      <c r="AI299" s="142"/>
      <c r="AJ299" s="142"/>
      <c r="AK299" s="142"/>
      <c r="AL299" s="142"/>
      <c r="AM299" s="142"/>
      <c r="AN299" s="142"/>
      <c r="AO299" s="142"/>
      <c r="AP299" s="130"/>
      <c r="AQ299" s="130"/>
      <c r="AR299" s="130"/>
      <c r="AS299" s="130"/>
      <c r="AT299" s="130"/>
      <c r="AU299" s="130"/>
      <c r="AV299" s="130"/>
      <c r="AW299" s="130"/>
      <c r="AX299" s="130"/>
      <c r="AY299" s="130"/>
      <c r="AZ299" s="130"/>
      <c r="BA299" s="130"/>
      <c r="BB299" s="130"/>
      <c r="BC299" s="130"/>
      <c r="BD299" s="130"/>
    </row>
    <row r="300" ht="15.75" customHeight="1">
      <c r="A300" s="142"/>
      <c r="B300" s="142"/>
      <c r="C300" s="198"/>
      <c r="D300" s="142"/>
      <c r="E300" s="131"/>
      <c r="F300" s="142"/>
      <c r="G300" s="142"/>
      <c r="H300" s="131"/>
      <c r="I300" s="142"/>
      <c r="J300" s="142"/>
      <c r="K300" s="132"/>
      <c r="L300" s="131"/>
      <c r="M300" s="142"/>
      <c r="N300" s="142"/>
      <c r="O300" s="142"/>
      <c r="P300" s="142"/>
      <c r="Q300" s="142"/>
      <c r="R300" s="142"/>
      <c r="S300" s="142"/>
      <c r="T300" s="142"/>
      <c r="U300" s="142"/>
      <c r="V300" s="142"/>
      <c r="W300" s="142"/>
      <c r="X300" s="142"/>
      <c r="Y300" s="142"/>
      <c r="Z300" s="142"/>
      <c r="AA300" s="142"/>
      <c r="AB300" s="142"/>
      <c r="AC300" s="142"/>
      <c r="AD300" s="142"/>
      <c r="AE300" s="142"/>
      <c r="AF300" s="142"/>
      <c r="AG300" s="142"/>
      <c r="AH300" s="142"/>
      <c r="AI300" s="142"/>
      <c r="AJ300" s="142"/>
      <c r="AK300" s="142"/>
      <c r="AL300" s="142"/>
      <c r="AM300" s="142"/>
      <c r="AN300" s="142"/>
      <c r="AO300" s="142"/>
      <c r="AP300" s="130"/>
      <c r="AQ300" s="130"/>
      <c r="AR300" s="130"/>
      <c r="AS300" s="130"/>
      <c r="AT300" s="130"/>
      <c r="AU300" s="130"/>
      <c r="AV300" s="130"/>
      <c r="AW300" s="130"/>
      <c r="AX300" s="130"/>
      <c r="AY300" s="130"/>
      <c r="AZ300" s="130"/>
      <c r="BA300" s="130"/>
      <c r="BB300" s="130"/>
      <c r="BC300" s="130"/>
      <c r="BD300" s="130"/>
    </row>
    <row r="301" ht="15.75" customHeight="1">
      <c r="A301" s="142"/>
      <c r="B301" s="142"/>
      <c r="C301" s="198"/>
      <c r="D301" s="142"/>
      <c r="E301" s="131"/>
      <c r="F301" s="142"/>
      <c r="G301" s="142"/>
      <c r="H301" s="131"/>
      <c r="I301" s="142"/>
      <c r="J301" s="142"/>
      <c r="K301" s="132"/>
      <c r="L301" s="131"/>
      <c r="M301" s="142"/>
      <c r="N301" s="142"/>
      <c r="O301" s="142"/>
      <c r="P301" s="142"/>
      <c r="Q301" s="142"/>
      <c r="R301" s="142"/>
      <c r="S301" s="142"/>
      <c r="T301" s="142"/>
      <c r="U301" s="142"/>
      <c r="V301" s="142"/>
      <c r="W301" s="142"/>
      <c r="X301" s="142"/>
      <c r="Y301" s="142"/>
      <c r="Z301" s="142"/>
      <c r="AA301" s="142"/>
      <c r="AB301" s="142"/>
      <c r="AC301" s="142"/>
      <c r="AD301" s="142"/>
      <c r="AE301" s="142"/>
      <c r="AF301" s="142"/>
      <c r="AG301" s="142"/>
      <c r="AH301" s="142"/>
      <c r="AI301" s="142"/>
      <c r="AJ301" s="142"/>
      <c r="AK301" s="142"/>
      <c r="AL301" s="142"/>
      <c r="AM301" s="142"/>
      <c r="AN301" s="142"/>
      <c r="AO301" s="142"/>
      <c r="AP301" s="130"/>
      <c r="AQ301" s="130"/>
      <c r="AR301" s="130"/>
      <c r="AS301" s="130"/>
      <c r="AT301" s="130"/>
      <c r="AU301" s="130"/>
      <c r="AV301" s="130"/>
      <c r="AW301" s="130"/>
      <c r="AX301" s="130"/>
      <c r="AY301" s="130"/>
      <c r="AZ301" s="130"/>
      <c r="BA301" s="130"/>
      <c r="BB301" s="130"/>
      <c r="BC301" s="130"/>
      <c r="BD301" s="130"/>
    </row>
    <row r="302" ht="15.75" customHeight="1">
      <c r="A302" s="142"/>
      <c r="B302" s="142"/>
      <c r="C302" s="198"/>
      <c r="D302" s="142"/>
      <c r="E302" s="131"/>
      <c r="F302" s="142"/>
      <c r="G302" s="142"/>
      <c r="H302" s="131"/>
      <c r="I302" s="142"/>
      <c r="J302" s="142"/>
      <c r="K302" s="132"/>
      <c r="L302" s="131"/>
      <c r="M302" s="142"/>
      <c r="N302" s="142"/>
      <c r="O302" s="142"/>
      <c r="P302" s="142"/>
      <c r="Q302" s="142"/>
      <c r="R302" s="142"/>
      <c r="S302" s="142"/>
      <c r="T302" s="142"/>
      <c r="U302" s="142"/>
      <c r="V302" s="142"/>
      <c r="W302" s="142"/>
      <c r="X302" s="142"/>
      <c r="Y302" s="142"/>
      <c r="Z302" s="142"/>
      <c r="AA302" s="142"/>
      <c r="AB302" s="142"/>
      <c r="AC302" s="142"/>
      <c r="AD302" s="142"/>
      <c r="AE302" s="142"/>
      <c r="AF302" s="142"/>
      <c r="AG302" s="142"/>
      <c r="AH302" s="142"/>
      <c r="AI302" s="142"/>
      <c r="AJ302" s="142"/>
      <c r="AK302" s="142"/>
      <c r="AL302" s="142"/>
      <c r="AM302" s="142"/>
      <c r="AN302" s="142"/>
      <c r="AO302" s="142"/>
      <c r="AP302" s="130"/>
      <c r="AQ302" s="130"/>
      <c r="AR302" s="130"/>
      <c r="AS302" s="130"/>
      <c r="AT302" s="130"/>
      <c r="AU302" s="130"/>
      <c r="AV302" s="130"/>
      <c r="AW302" s="130"/>
      <c r="AX302" s="130"/>
      <c r="AY302" s="130"/>
      <c r="AZ302" s="130"/>
      <c r="BA302" s="130"/>
      <c r="BB302" s="130"/>
      <c r="BC302" s="130"/>
      <c r="BD302" s="130"/>
    </row>
    <row r="303" ht="15.75" customHeight="1">
      <c r="A303" s="142"/>
      <c r="B303" s="142"/>
      <c r="C303" s="198"/>
      <c r="D303" s="142"/>
      <c r="E303" s="131"/>
      <c r="F303" s="142"/>
      <c r="G303" s="142"/>
      <c r="H303" s="131"/>
      <c r="I303" s="142"/>
      <c r="J303" s="142"/>
      <c r="K303" s="132"/>
      <c r="L303" s="131"/>
      <c r="M303" s="142"/>
      <c r="N303" s="142"/>
      <c r="O303" s="142"/>
      <c r="P303" s="142"/>
      <c r="Q303" s="142"/>
      <c r="R303" s="142"/>
      <c r="S303" s="142"/>
      <c r="T303" s="142"/>
      <c r="U303" s="142"/>
      <c r="V303" s="142"/>
      <c r="W303" s="142"/>
      <c r="X303" s="142"/>
      <c r="Y303" s="142"/>
      <c r="Z303" s="142"/>
      <c r="AA303" s="142"/>
      <c r="AB303" s="142"/>
      <c r="AC303" s="142"/>
      <c r="AD303" s="142"/>
      <c r="AE303" s="142"/>
      <c r="AF303" s="142"/>
      <c r="AG303" s="142"/>
      <c r="AH303" s="142"/>
      <c r="AI303" s="142"/>
      <c r="AJ303" s="142"/>
      <c r="AK303" s="142"/>
      <c r="AL303" s="142"/>
      <c r="AM303" s="142"/>
      <c r="AN303" s="142"/>
      <c r="AO303" s="142"/>
      <c r="AP303" s="130"/>
      <c r="AQ303" s="130"/>
      <c r="AR303" s="130"/>
      <c r="AS303" s="130"/>
      <c r="AT303" s="130"/>
      <c r="AU303" s="130"/>
      <c r="AV303" s="130"/>
      <c r="AW303" s="130"/>
      <c r="AX303" s="130"/>
      <c r="AY303" s="130"/>
      <c r="AZ303" s="130"/>
      <c r="BA303" s="130"/>
      <c r="BB303" s="130"/>
      <c r="BC303" s="130"/>
      <c r="BD303" s="130"/>
    </row>
    <row r="304" ht="15.75" customHeight="1">
      <c r="A304" s="142"/>
      <c r="B304" s="142"/>
      <c r="C304" s="198"/>
      <c r="D304" s="142"/>
      <c r="E304" s="131"/>
      <c r="F304" s="142"/>
      <c r="G304" s="142"/>
      <c r="H304" s="131"/>
      <c r="I304" s="142"/>
      <c r="J304" s="142"/>
      <c r="K304" s="132"/>
      <c r="L304" s="131"/>
      <c r="M304" s="142"/>
      <c r="N304" s="142"/>
      <c r="O304" s="142"/>
      <c r="P304" s="142"/>
      <c r="Q304" s="142"/>
      <c r="R304" s="142"/>
      <c r="S304" s="142"/>
      <c r="T304" s="142"/>
      <c r="U304" s="142"/>
      <c r="V304" s="142"/>
      <c r="W304" s="142"/>
      <c r="X304" s="142"/>
      <c r="Y304" s="142"/>
      <c r="Z304" s="142"/>
      <c r="AA304" s="142"/>
      <c r="AB304" s="142"/>
      <c r="AC304" s="142"/>
      <c r="AD304" s="142"/>
      <c r="AE304" s="142"/>
      <c r="AF304" s="142"/>
      <c r="AG304" s="142"/>
      <c r="AH304" s="142"/>
      <c r="AI304" s="142"/>
      <c r="AJ304" s="142"/>
      <c r="AK304" s="142"/>
      <c r="AL304" s="142"/>
      <c r="AM304" s="142"/>
      <c r="AN304" s="142"/>
      <c r="AO304" s="142"/>
      <c r="AP304" s="130"/>
      <c r="AQ304" s="130"/>
      <c r="AR304" s="130"/>
      <c r="AS304" s="130"/>
      <c r="AT304" s="130"/>
      <c r="AU304" s="130"/>
      <c r="AV304" s="130"/>
      <c r="AW304" s="130"/>
      <c r="AX304" s="130"/>
      <c r="AY304" s="130"/>
      <c r="AZ304" s="130"/>
      <c r="BA304" s="130"/>
      <c r="BB304" s="130"/>
      <c r="BC304" s="130"/>
      <c r="BD304" s="130"/>
    </row>
    <row r="305" ht="15.75" customHeight="1">
      <c r="A305" s="142"/>
      <c r="B305" s="142"/>
      <c r="C305" s="198"/>
      <c r="D305" s="142"/>
      <c r="E305" s="131"/>
      <c r="F305" s="142"/>
      <c r="G305" s="142"/>
      <c r="H305" s="131"/>
      <c r="I305" s="142"/>
      <c r="J305" s="142"/>
      <c r="K305" s="132"/>
      <c r="L305" s="131"/>
      <c r="M305" s="142"/>
      <c r="N305" s="142"/>
      <c r="O305" s="142"/>
      <c r="P305" s="142"/>
      <c r="Q305" s="142"/>
      <c r="R305" s="142"/>
      <c r="S305" s="142"/>
      <c r="T305" s="142"/>
      <c r="U305" s="142"/>
      <c r="V305" s="142"/>
      <c r="W305" s="142"/>
      <c r="X305" s="142"/>
      <c r="Y305" s="142"/>
      <c r="Z305" s="142"/>
      <c r="AA305" s="142"/>
      <c r="AB305" s="142"/>
      <c r="AC305" s="142"/>
      <c r="AD305" s="142"/>
      <c r="AE305" s="142"/>
      <c r="AF305" s="142"/>
      <c r="AG305" s="142"/>
      <c r="AH305" s="142"/>
      <c r="AI305" s="142"/>
      <c r="AJ305" s="142"/>
      <c r="AK305" s="142"/>
      <c r="AL305" s="142"/>
      <c r="AM305" s="142"/>
      <c r="AN305" s="142"/>
      <c r="AO305" s="142"/>
      <c r="AP305" s="130"/>
      <c r="AQ305" s="130"/>
      <c r="AR305" s="130"/>
      <c r="AS305" s="130"/>
      <c r="AT305" s="130"/>
      <c r="AU305" s="130"/>
      <c r="AV305" s="130"/>
      <c r="AW305" s="130"/>
      <c r="AX305" s="130"/>
      <c r="AY305" s="130"/>
      <c r="AZ305" s="130"/>
      <c r="BA305" s="130"/>
      <c r="BB305" s="130"/>
      <c r="BC305" s="130"/>
      <c r="BD305" s="130"/>
    </row>
    <row r="306" ht="15.75" customHeight="1">
      <c r="A306" s="142"/>
      <c r="B306" s="142"/>
      <c r="C306" s="198"/>
      <c r="D306" s="142"/>
      <c r="E306" s="131"/>
      <c r="F306" s="142"/>
      <c r="G306" s="142"/>
      <c r="H306" s="131"/>
      <c r="I306" s="142"/>
      <c r="J306" s="142"/>
      <c r="K306" s="132"/>
      <c r="L306" s="131"/>
      <c r="M306" s="142"/>
      <c r="N306" s="142"/>
      <c r="O306" s="142"/>
      <c r="P306" s="142"/>
      <c r="Q306" s="142"/>
      <c r="R306" s="142"/>
      <c r="S306" s="142"/>
      <c r="T306" s="142"/>
      <c r="U306" s="142"/>
      <c r="V306" s="142"/>
      <c r="W306" s="142"/>
      <c r="X306" s="142"/>
      <c r="Y306" s="142"/>
      <c r="Z306" s="142"/>
      <c r="AA306" s="142"/>
      <c r="AB306" s="142"/>
      <c r="AC306" s="142"/>
      <c r="AD306" s="142"/>
      <c r="AE306" s="142"/>
      <c r="AF306" s="142"/>
      <c r="AG306" s="142"/>
      <c r="AH306" s="142"/>
      <c r="AI306" s="142"/>
      <c r="AJ306" s="142"/>
      <c r="AK306" s="142"/>
      <c r="AL306" s="142"/>
      <c r="AM306" s="142"/>
      <c r="AN306" s="142"/>
      <c r="AO306" s="142"/>
      <c r="AP306" s="130"/>
      <c r="AQ306" s="130"/>
      <c r="AR306" s="130"/>
      <c r="AS306" s="130"/>
      <c r="AT306" s="130"/>
      <c r="AU306" s="130"/>
      <c r="AV306" s="130"/>
      <c r="AW306" s="130"/>
      <c r="AX306" s="130"/>
      <c r="AY306" s="130"/>
      <c r="AZ306" s="130"/>
      <c r="BA306" s="130"/>
      <c r="BB306" s="130"/>
      <c r="BC306" s="130"/>
      <c r="BD306" s="130"/>
    </row>
    <row r="307" ht="15.75" customHeight="1">
      <c r="A307" s="142"/>
      <c r="B307" s="142"/>
      <c r="C307" s="198"/>
      <c r="D307" s="142"/>
      <c r="E307" s="131"/>
      <c r="F307" s="142"/>
      <c r="G307" s="142"/>
      <c r="H307" s="131"/>
      <c r="I307" s="142"/>
      <c r="J307" s="142"/>
      <c r="K307" s="132"/>
      <c r="L307" s="131"/>
      <c r="M307" s="142"/>
      <c r="N307" s="142"/>
      <c r="O307" s="142"/>
      <c r="P307" s="142"/>
      <c r="Q307" s="142"/>
      <c r="R307" s="142"/>
      <c r="S307" s="142"/>
      <c r="T307" s="142"/>
      <c r="U307" s="142"/>
      <c r="V307" s="142"/>
      <c r="W307" s="142"/>
      <c r="X307" s="142"/>
      <c r="Y307" s="142"/>
      <c r="Z307" s="142"/>
      <c r="AA307" s="142"/>
      <c r="AB307" s="142"/>
      <c r="AC307" s="142"/>
      <c r="AD307" s="142"/>
      <c r="AE307" s="142"/>
      <c r="AF307" s="142"/>
      <c r="AG307" s="142"/>
      <c r="AH307" s="142"/>
      <c r="AI307" s="142"/>
      <c r="AJ307" s="142"/>
      <c r="AK307" s="142"/>
      <c r="AL307" s="142"/>
      <c r="AM307" s="142"/>
      <c r="AN307" s="142"/>
      <c r="AO307" s="142"/>
      <c r="AP307" s="130"/>
      <c r="AQ307" s="130"/>
      <c r="AR307" s="130"/>
      <c r="AS307" s="130"/>
      <c r="AT307" s="130"/>
      <c r="AU307" s="130"/>
      <c r="AV307" s="130"/>
      <c r="AW307" s="130"/>
      <c r="AX307" s="130"/>
      <c r="AY307" s="130"/>
      <c r="AZ307" s="130"/>
      <c r="BA307" s="130"/>
      <c r="BB307" s="130"/>
      <c r="BC307" s="130"/>
      <c r="BD307" s="130"/>
    </row>
    <row r="308" ht="15.75" customHeight="1">
      <c r="A308" s="142"/>
      <c r="B308" s="142"/>
      <c r="C308" s="198"/>
      <c r="D308" s="142"/>
      <c r="E308" s="131"/>
      <c r="F308" s="142"/>
      <c r="G308" s="142"/>
      <c r="H308" s="131"/>
      <c r="I308" s="142"/>
      <c r="J308" s="142"/>
      <c r="K308" s="132"/>
      <c r="L308" s="131"/>
      <c r="M308" s="142"/>
      <c r="N308" s="142"/>
      <c r="O308" s="142"/>
      <c r="P308" s="142"/>
      <c r="Q308" s="142"/>
      <c r="R308" s="142"/>
      <c r="S308" s="142"/>
      <c r="T308" s="142"/>
      <c r="U308" s="142"/>
      <c r="V308" s="142"/>
      <c r="W308" s="142"/>
      <c r="X308" s="142"/>
      <c r="Y308" s="142"/>
      <c r="Z308" s="142"/>
      <c r="AA308" s="142"/>
      <c r="AB308" s="142"/>
      <c r="AC308" s="142"/>
      <c r="AD308" s="142"/>
      <c r="AE308" s="142"/>
      <c r="AF308" s="142"/>
      <c r="AG308" s="142"/>
      <c r="AH308" s="142"/>
      <c r="AI308" s="142"/>
      <c r="AJ308" s="142"/>
      <c r="AK308" s="142"/>
      <c r="AL308" s="142"/>
      <c r="AM308" s="142"/>
      <c r="AN308" s="142"/>
      <c r="AO308" s="142"/>
      <c r="AP308" s="130"/>
      <c r="AQ308" s="130"/>
      <c r="AR308" s="130"/>
      <c r="AS308" s="130"/>
      <c r="AT308" s="130"/>
      <c r="AU308" s="130"/>
      <c r="AV308" s="130"/>
      <c r="AW308" s="130"/>
      <c r="AX308" s="130"/>
      <c r="AY308" s="130"/>
      <c r="AZ308" s="130"/>
      <c r="BA308" s="130"/>
      <c r="BB308" s="130"/>
      <c r="BC308" s="130"/>
      <c r="BD308" s="130"/>
    </row>
    <row r="309" ht="15.75" customHeight="1">
      <c r="A309" s="142"/>
      <c r="B309" s="142"/>
      <c r="C309" s="198"/>
      <c r="D309" s="142"/>
      <c r="E309" s="131"/>
      <c r="F309" s="142"/>
      <c r="G309" s="142"/>
      <c r="H309" s="131"/>
      <c r="I309" s="142"/>
      <c r="J309" s="142"/>
      <c r="K309" s="132"/>
      <c r="L309" s="131"/>
      <c r="M309" s="142"/>
      <c r="N309" s="142"/>
      <c r="O309" s="142"/>
      <c r="P309" s="142"/>
      <c r="Q309" s="142"/>
      <c r="R309" s="142"/>
      <c r="S309" s="142"/>
      <c r="T309" s="142"/>
      <c r="U309" s="142"/>
      <c r="V309" s="142"/>
      <c r="W309" s="142"/>
      <c r="X309" s="142"/>
      <c r="Y309" s="142"/>
      <c r="Z309" s="142"/>
      <c r="AA309" s="142"/>
      <c r="AB309" s="142"/>
      <c r="AC309" s="142"/>
      <c r="AD309" s="142"/>
      <c r="AE309" s="142"/>
      <c r="AF309" s="142"/>
      <c r="AG309" s="142"/>
      <c r="AH309" s="142"/>
      <c r="AI309" s="142"/>
      <c r="AJ309" s="142"/>
      <c r="AK309" s="142"/>
      <c r="AL309" s="142"/>
      <c r="AM309" s="142"/>
      <c r="AN309" s="142"/>
      <c r="AO309" s="142"/>
      <c r="AP309" s="130"/>
      <c r="AQ309" s="130"/>
      <c r="AR309" s="130"/>
      <c r="AS309" s="130"/>
      <c r="AT309" s="130"/>
      <c r="AU309" s="130"/>
      <c r="AV309" s="130"/>
      <c r="AW309" s="130"/>
      <c r="AX309" s="130"/>
      <c r="AY309" s="130"/>
      <c r="AZ309" s="130"/>
      <c r="BA309" s="130"/>
      <c r="BB309" s="130"/>
      <c r="BC309" s="130"/>
      <c r="BD309" s="130"/>
    </row>
    <row r="310" ht="15.75" customHeight="1">
      <c r="A310" s="142"/>
      <c r="B310" s="142"/>
      <c r="C310" s="198"/>
      <c r="D310" s="142"/>
      <c r="E310" s="131"/>
      <c r="F310" s="142"/>
      <c r="G310" s="142"/>
      <c r="H310" s="131"/>
      <c r="I310" s="142"/>
      <c r="J310" s="142"/>
      <c r="K310" s="132"/>
      <c r="L310" s="131"/>
      <c r="M310" s="142"/>
      <c r="N310" s="142"/>
      <c r="O310" s="142"/>
      <c r="P310" s="142"/>
      <c r="Q310" s="142"/>
      <c r="R310" s="142"/>
      <c r="S310" s="142"/>
      <c r="T310" s="142"/>
      <c r="U310" s="142"/>
      <c r="V310" s="142"/>
      <c r="W310" s="142"/>
      <c r="X310" s="142"/>
      <c r="Y310" s="142"/>
      <c r="Z310" s="142"/>
      <c r="AA310" s="142"/>
      <c r="AB310" s="142"/>
      <c r="AC310" s="142"/>
      <c r="AD310" s="142"/>
      <c r="AE310" s="142"/>
      <c r="AF310" s="142"/>
      <c r="AG310" s="142"/>
      <c r="AH310" s="142"/>
      <c r="AI310" s="142"/>
      <c r="AJ310" s="142"/>
      <c r="AK310" s="142"/>
      <c r="AL310" s="142"/>
      <c r="AM310" s="142"/>
      <c r="AN310" s="142"/>
      <c r="AO310" s="142"/>
      <c r="AP310" s="130"/>
      <c r="AQ310" s="130"/>
      <c r="AR310" s="130"/>
      <c r="AS310" s="130"/>
      <c r="AT310" s="130"/>
      <c r="AU310" s="130"/>
      <c r="AV310" s="130"/>
      <c r="AW310" s="130"/>
      <c r="AX310" s="130"/>
      <c r="AY310" s="130"/>
      <c r="AZ310" s="130"/>
      <c r="BA310" s="130"/>
      <c r="BB310" s="130"/>
      <c r="BC310" s="130"/>
      <c r="BD310" s="130"/>
    </row>
    <row r="311" ht="15.75" customHeight="1">
      <c r="A311" s="142"/>
      <c r="B311" s="142"/>
      <c r="C311" s="198"/>
      <c r="D311" s="142"/>
      <c r="E311" s="131"/>
      <c r="F311" s="142"/>
      <c r="G311" s="142"/>
      <c r="H311" s="131"/>
      <c r="I311" s="142"/>
      <c r="J311" s="142"/>
      <c r="K311" s="132"/>
      <c r="L311" s="131"/>
      <c r="M311" s="142"/>
      <c r="N311" s="142"/>
      <c r="O311" s="142"/>
      <c r="P311" s="142"/>
      <c r="Q311" s="142"/>
      <c r="R311" s="142"/>
      <c r="S311" s="142"/>
      <c r="T311" s="142"/>
      <c r="U311" s="142"/>
      <c r="V311" s="142"/>
      <c r="W311" s="142"/>
      <c r="X311" s="142"/>
      <c r="Y311" s="142"/>
      <c r="Z311" s="142"/>
      <c r="AA311" s="142"/>
      <c r="AB311" s="142"/>
      <c r="AC311" s="142"/>
      <c r="AD311" s="142"/>
      <c r="AE311" s="142"/>
      <c r="AF311" s="142"/>
      <c r="AG311" s="142"/>
      <c r="AH311" s="142"/>
      <c r="AI311" s="142"/>
      <c r="AJ311" s="142"/>
      <c r="AK311" s="142"/>
      <c r="AL311" s="142"/>
      <c r="AM311" s="142"/>
      <c r="AN311" s="142"/>
      <c r="AO311" s="142"/>
      <c r="AP311" s="130"/>
      <c r="AQ311" s="130"/>
      <c r="AR311" s="130"/>
      <c r="AS311" s="130"/>
      <c r="AT311" s="130"/>
      <c r="AU311" s="130"/>
      <c r="AV311" s="130"/>
      <c r="AW311" s="130"/>
      <c r="AX311" s="130"/>
      <c r="AY311" s="130"/>
      <c r="AZ311" s="130"/>
      <c r="BA311" s="130"/>
      <c r="BB311" s="130"/>
      <c r="BC311" s="130"/>
      <c r="BD311" s="130"/>
    </row>
    <row r="312" ht="15.75" customHeight="1">
      <c r="A312" s="142"/>
      <c r="B312" s="142"/>
      <c r="C312" s="198"/>
      <c r="D312" s="142"/>
      <c r="E312" s="131"/>
      <c r="F312" s="142"/>
      <c r="G312" s="142"/>
      <c r="H312" s="131"/>
      <c r="I312" s="142"/>
      <c r="J312" s="142"/>
      <c r="K312" s="132"/>
      <c r="L312" s="131"/>
      <c r="M312" s="142"/>
      <c r="N312" s="142"/>
      <c r="O312" s="142"/>
      <c r="P312" s="142"/>
      <c r="Q312" s="142"/>
      <c r="R312" s="142"/>
      <c r="S312" s="142"/>
      <c r="T312" s="142"/>
      <c r="U312" s="142"/>
      <c r="V312" s="142"/>
      <c r="W312" s="142"/>
      <c r="X312" s="142"/>
      <c r="Y312" s="142"/>
      <c r="Z312" s="142"/>
      <c r="AA312" s="142"/>
      <c r="AB312" s="142"/>
      <c r="AC312" s="142"/>
      <c r="AD312" s="142"/>
      <c r="AE312" s="142"/>
      <c r="AF312" s="142"/>
      <c r="AG312" s="142"/>
      <c r="AH312" s="142"/>
      <c r="AI312" s="142"/>
      <c r="AJ312" s="142"/>
      <c r="AK312" s="142"/>
      <c r="AL312" s="142"/>
      <c r="AM312" s="142"/>
      <c r="AN312" s="142"/>
      <c r="AO312" s="142"/>
      <c r="AP312" s="130"/>
      <c r="AQ312" s="130"/>
      <c r="AR312" s="130"/>
      <c r="AS312" s="130"/>
      <c r="AT312" s="130"/>
      <c r="AU312" s="130"/>
      <c r="AV312" s="130"/>
      <c r="AW312" s="130"/>
      <c r="AX312" s="130"/>
      <c r="AY312" s="130"/>
      <c r="AZ312" s="130"/>
      <c r="BA312" s="130"/>
      <c r="BB312" s="130"/>
      <c r="BC312" s="130"/>
      <c r="BD312" s="130"/>
    </row>
    <row r="313" ht="15.75" customHeight="1">
      <c r="A313" s="142"/>
      <c r="B313" s="142"/>
      <c r="C313" s="198"/>
      <c r="D313" s="142"/>
      <c r="E313" s="131"/>
      <c r="F313" s="142"/>
      <c r="G313" s="142"/>
      <c r="H313" s="131"/>
      <c r="I313" s="142"/>
      <c r="J313" s="142"/>
      <c r="K313" s="132"/>
      <c r="L313" s="131"/>
      <c r="M313" s="142"/>
      <c r="N313" s="142"/>
      <c r="O313" s="142"/>
      <c r="P313" s="142"/>
      <c r="Q313" s="142"/>
      <c r="R313" s="142"/>
      <c r="S313" s="142"/>
      <c r="T313" s="142"/>
      <c r="U313" s="142"/>
      <c r="V313" s="142"/>
      <c r="W313" s="142"/>
      <c r="X313" s="142"/>
      <c r="Y313" s="142"/>
      <c r="Z313" s="142"/>
      <c r="AA313" s="142"/>
      <c r="AB313" s="142"/>
      <c r="AC313" s="142"/>
      <c r="AD313" s="142"/>
      <c r="AE313" s="142"/>
      <c r="AF313" s="142"/>
      <c r="AG313" s="142"/>
      <c r="AH313" s="142"/>
      <c r="AI313" s="142"/>
      <c r="AJ313" s="142"/>
      <c r="AK313" s="142"/>
      <c r="AL313" s="142"/>
      <c r="AM313" s="142"/>
      <c r="AN313" s="142"/>
      <c r="AO313" s="142"/>
      <c r="AP313" s="130"/>
      <c r="AQ313" s="130"/>
      <c r="AR313" s="130"/>
      <c r="AS313" s="130"/>
      <c r="AT313" s="130"/>
      <c r="AU313" s="130"/>
      <c r="AV313" s="130"/>
      <c r="AW313" s="130"/>
      <c r="AX313" s="130"/>
      <c r="AY313" s="130"/>
      <c r="AZ313" s="130"/>
      <c r="BA313" s="130"/>
      <c r="BB313" s="130"/>
      <c r="BC313" s="130"/>
      <c r="BD313" s="130"/>
    </row>
    <row r="314" ht="15.75" customHeight="1">
      <c r="A314" s="142"/>
      <c r="B314" s="142"/>
      <c r="C314" s="198"/>
      <c r="D314" s="142"/>
      <c r="E314" s="131"/>
      <c r="F314" s="142"/>
      <c r="G314" s="142"/>
      <c r="H314" s="131"/>
      <c r="I314" s="142"/>
      <c r="J314" s="142"/>
      <c r="K314" s="132"/>
      <c r="L314" s="131"/>
      <c r="M314" s="142"/>
      <c r="N314" s="142"/>
      <c r="O314" s="142"/>
      <c r="P314" s="142"/>
      <c r="Q314" s="142"/>
      <c r="R314" s="142"/>
      <c r="S314" s="142"/>
      <c r="T314" s="142"/>
      <c r="U314" s="142"/>
      <c r="V314" s="142"/>
      <c r="W314" s="142"/>
      <c r="X314" s="142"/>
      <c r="Y314" s="142"/>
      <c r="Z314" s="142"/>
      <c r="AA314" s="142"/>
      <c r="AB314" s="142"/>
      <c r="AC314" s="142"/>
      <c r="AD314" s="142"/>
      <c r="AE314" s="142"/>
      <c r="AF314" s="142"/>
      <c r="AG314" s="142"/>
      <c r="AH314" s="142"/>
      <c r="AI314" s="142"/>
      <c r="AJ314" s="142"/>
      <c r="AK314" s="142"/>
      <c r="AL314" s="142"/>
      <c r="AM314" s="142"/>
      <c r="AN314" s="142"/>
      <c r="AO314" s="142"/>
      <c r="AP314" s="130"/>
      <c r="AQ314" s="130"/>
      <c r="AR314" s="130"/>
      <c r="AS314" s="130"/>
      <c r="AT314" s="130"/>
      <c r="AU314" s="130"/>
      <c r="AV314" s="130"/>
      <c r="AW314" s="130"/>
      <c r="AX314" s="130"/>
      <c r="AY314" s="130"/>
      <c r="AZ314" s="130"/>
      <c r="BA314" s="130"/>
      <c r="BB314" s="130"/>
      <c r="BC314" s="130"/>
      <c r="BD314" s="130"/>
    </row>
    <row r="315" ht="15.75" customHeight="1">
      <c r="A315" s="142"/>
      <c r="B315" s="142"/>
      <c r="C315" s="198"/>
      <c r="D315" s="142"/>
      <c r="E315" s="131"/>
      <c r="F315" s="142"/>
      <c r="G315" s="142"/>
      <c r="H315" s="131"/>
      <c r="I315" s="142"/>
      <c r="J315" s="142"/>
      <c r="K315" s="132"/>
      <c r="L315" s="131"/>
      <c r="M315" s="142"/>
      <c r="N315" s="142"/>
      <c r="O315" s="142"/>
      <c r="P315" s="142"/>
      <c r="Q315" s="142"/>
      <c r="R315" s="142"/>
      <c r="S315" s="142"/>
      <c r="T315" s="142"/>
      <c r="U315" s="142"/>
      <c r="V315" s="142"/>
      <c r="W315" s="142"/>
      <c r="X315" s="142"/>
      <c r="Y315" s="142"/>
      <c r="Z315" s="142"/>
      <c r="AA315" s="142"/>
      <c r="AB315" s="142"/>
      <c r="AC315" s="142"/>
      <c r="AD315" s="142"/>
      <c r="AE315" s="142"/>
      <c r="AF315" s="142"/>
      <c r="AG315" s="142"/>
      <c r="AH315" s="142"/>
      <c r="AI315" s="142"/>
      <c r="AJ315" s="142"/>
      <c r="AK315" s="142"/>
      <c r="AL315" s="142"/>
      <c r="AM315" s="142"/>
      <c r="AN315" s="142"/>
      <c r="AO315" s="142"/>
      <c r="AP315" s="130"/>
      <c r="AQ315" s="130"/>
      <c r="AR315" s="130"/>
      <c r="AS315" s="130"/>
      <c r="AT315" s="130"/>
      <c r="AU315" s="130"/>
      <c r="AV315" s="130"/>
      <c r="AW315" s="130"/>
      <c r="AX315" s="130"/>
      <c r="AY315" s="130"/>
      <c r="AZ315" s="130"/>
      <c r="BA315" s="130"/>
      <c r="BB315" s="130"/>
      <c r="BC315" s="130"/>
      <c r="BD315" s="130"/>
    </row>
    <row r="316" ht="15.75" customHeight="1">
      <c r="A316" s="142"/>
      <c r="B316" s="142"/>
      <c r="C316" s="198"/>
      <c r="D316" s="142"/>
      <c r="E316" s="131"/>
      <c r="F316" s="142"/>
      <c r="G316" s="142"/>
      <c r="H316" s="131"/>
      <c r="I316" s="142"/>
      <c r="J316" s="142"/>
      <c r="K316" s="132"/>
      <c r="L316" s="131"/>
      <c r="M316" s="142"/>
      <c r="N316" s="142"/>
      <c r="O316" s="142"/>
      <c r="P316" s="142"/>
      <c r="Q316" s="142"/>
      <c r="R316" s="142"/>
      <c r="S316" s="142"/>
      <c r="T316" s="142"/>
      <c r="U316" s="142"/>
      <c r="V316" s="142"/>
      <c r="W316" s="142"/>
      <c r="X316" s="142"/>
      <c r="Y316" s="142"/>
      <c r="Z316" s="142"/>
      <c r="AA316" s="142"/>
      <c r="AB316" s="142"/>
      <c r="AC316" s="142"/>
      <c r="AD316" s="142"/>
      <c r="AE316" s="142"/>
      <c r="AF316" s="142"/>
      <c r="AG316" s="142"/>
      <c r="AH316" s="142"/>
      <c r="AI316" s="142"/>
      <c r="AJ316" s="142"/>
      <c r="AK316" s="142"/>
      <c r="AL316" s="142"/>
      <c r="AM316" s="142"/>
      <c r="AN316" s="142"/>
      <c r="AO316" s="142"/>
      <c r="AP316" s="130"/>
      <c r="AQ316" s="130"/>
      <c r="AR316" s="130"/>
      <c r="AS316" s="130"/>
      <c r="AT316" s="130"/>
      <c r="AU316" s="130"/>
      <c r="AV316" s="130"/>
      <c r="AW316" s="130"/>
      <c r="AX316" s="130"/>
      <c r="AY316" s="130"/>
      <c r="AZ316" s="130"/>
      <c r="BA316" s="130"/>
      <c r="BB316" s="130"/>
      <c r="BC316" s="130"/>
      <c r="BD316" s="130"/>
    </row>
    <row r="317" ht="15.75" customHeight="1">
      <c r="A317" s="142"/>
      <c r="B317" s="142"/>
      <c r="C317" s="198"/>
      <c r="D317" s="142"/>
      <c r="E317" s="131"/>
      <c r="F317" s="142"/>
      <c r="G317" s="142"/>
      <c r="H317" s="131"/>
      <c r="I317" s="142"/>
      <c r="J317" s="142"/>
      <c r="K317" s="132"/>
      <c r="L317" s="131"/>
      <c r="M317" s="142"/>
      <c r="N317" s="142"/>
      <c r="O317" s="142"/>
      <c r="P317" s="142"/>
      <c r="Q317" s="142"/>
      <c r="R317" s="142"/>
      <c r="S317" s="142"/>
      <c r="T317" s="142"/>
      <c r="U317" s="142"/>
      <c r="V317" s="142"/>
      <c r="W317" s="142"/>
      <c r="X317" s="142"/>
      <c r="Y317" s="142"/>
      <c r="Z317" s="142"/>
      <c r="AA317" s="142"/>
      <c r="AB317" s="142"/>
      <c r="AC317" s="142"/>
      <c r="AD317" s="142"/>
      <c r="AE317" s="142"/>
      <c r="AF317" s="142"/>
      <c r="AG317" s="142"/>
      <c r="AH317" s="142"/>
      <c r="AI317" s="142"/>
      <c r="AJ317" s="142"/>
      <c r="AK317" s="142"/>
      <c r="AL317" s="142"/>
      <c r="AM317" s="142"/>
      <c r="AN317" s="142"/>
      <c r="AO317" s="142"/>
      <c r="AP317" s="130"/>
      <c r="AQ317" s="130"/>
      <c r="AR317" s="130"/>
      <c r="AS317" s="130"/>
      <c r="AT317" s="130"/>
      <c r="AU317" s="130"/>
      <c r="AV317" s="130"/>
      <c r="AW317" s="130"/>
      <c r="AX317" s="130"/>
      <c r="AY317" s="130"/>
      <c r="AZ317" s="130"/>
      <c r="BA317" s="130"/>
      <c r="BB317" s="130"/>
      <c r="BC317" s="130"/>
      <c r="BD317" s="130"/>
    </row>
    <row r="318" ht="15.75" customHeight="1">
      <c r="A318" s="142"/>
      <c r="B318" s="142"/>
      <c r="C318" s="198"/>
      <c r="D318" s="142"/>
      <c r="E318" s="131"/>
      <c r="F318" s="142"/>
      <c r="G318" s="142"/>
      <c r="H318" s="131"/>
      <c r="I318" s="142"/>
      <c r="J318" s="142"/>
      <c r="K318" s="132"/>
      <c r="L318" s="131"/>
      <c r="M318" s="142"/>
      <c r="N318" s="142"/>
      <c r="O318" s="142"/>
      <c r="P318" s="142"/>
      <c r="Q318" s="142"/>
      <c r="R318" s="142"/>
      <c r="S318" s="142"/>
      <c r="T318" s="142"/>
      <c r="U318" s="142"/>
      <c r="V318" s="142"/>
      <c r="W318" s="142"/>
      <c r="X318" s="142"/>
      <c r="Y318" s="142"/>
      <c r="Z318" s="142"/>
      <c r="AA318" s="142"/>
      <c r="AB318" s="142"/>
      <c r="AC318" s="142"/>
      <c r="AD318" s="142"/>
      <c r="AE318" s="142"/>
      <c r="AF318" s="142"/>
      <c r="AG318" s="142"/>
      <c r="AH318" s="142"/>
      <c r="AI318" s="142"/>
      <c r="AJ318" s="142"/>
      <c r="AK318" s="142"/>
      <c r="AL318" s="142"/>
      <c r="AM318" s="142"/>
      <c r="AN318" s="142"/>
      <c r="AO318" s="142"/>
      <c r="AP318" s="130"/>
      <c r="AQ318" s="130"/>
      <c r="AR318" s="130"/>
      <c r="AS318" s="130"/>
      <c r="AT318" s="130"/>
      <c r="AU318" s="130"/>
      <c r="AV318" s="130"/>
      <c r="AW318" s="130"/>
      <c r="AX318" s="130"/>
      <c r="AY318" s="130"/>
      <c r="AZ318" s="130"/>
      <c r="BA318" s="130"/>
      <c r="BB318" s="130"/>
      <c r="BC318" s="130"/>
      <c r="BD318" s="130"/>
    </row>
    <row r="319" ht="15.75" customHeight="1">
      <c r="A319" s="142"/>
      <c r="B319" s="142"/>
      <c r="C319" s="198"/>
      <c r="D319" s="142"/>
      <c r="E319" s="131"/>
      <c r="F319" s="142"/>
      <c r="G319" s="142"/>
      <c r="H319" s="131"/>
      <c r="I319" s="142"/>
      <c r="J319" s="142"/>
      <c r="K319" s="132"/>
      <c r="L319" s="131"/>
      <c r="M319" s="142"/>
      <c r="N319" s="142"/>
      <c r="O319" s="142"/>
      <c r="P319" s="142"/>
      <c r="Q319" s="142"/>
      <c r="R319" s="142"/>
      <c r="S319" s="142"/>
      <c r="T319" s="142"/>
      <c r="U319" s="142"/>
      <c r="V319" s="142"/>
      <c r="W319" s="142"/>
      <c r="X319" s="142"/>
      <c r="Y319" s="142"/>
      <c r="Z319" s="142"/>
      <c r="AA319" s="142"/>
      <c r="AB319" s="142"/>
      <c r="AC319" s="142"/>
      <c r="AD319" s="142"/>
      <c r="AE319" s="142"/>
      <c r="AF319" s="142"/>
      <c r="AG319" s="142"/>
      <c r="AH319" s="142"/>
      <c r="AI319" s="142"/>
      <c r="AJ319" s="142"/>
      <c r="AK319" s="142"/>
      <c r="AL319" s="142"/>
      <c r="AM319" s="142"/>
      <c r="AN319" s="142"/>
      <c r="AO319" s="142"/>
      <c r="AP319" s="130"/>
      <c r="AQ319" s="130"/>
      <c r="AR319" s="130"/>
      <c r="AS319" s="130"/>
      <c r="AT319" s="130"/>
      <c r="AU319" s="130"/>
      <c r="AV319" s="130"/>
      <c r="AW319" s="130"/>
      <c r="AX319" s="130"/>
      <c r="AY319" s="130"/>
      <c r="AZ319" s="130"/>
      <c r="BA319" s="130"/>
      <c r="BB319" s="130"/>
      <c r="BC319" s="130"/>
      <c r="BD319" s="130"/>
    </row>
    <row r="320" ht="15.75" customHeight="1">
      <c r="A320" s="142"/>
      <c r="B320" s="142"/>
      <c r="C320" s="198"/>
      <c r="D320" s="142"/>
      <c r="E320" s="131"/>
      <c r="F320" s="142"/>
      <c r="G320" s="142"/>
      <c r="H320" s="131"/>
      <c r="I320" s="142"/>
      <c r="J320" s="142"/>
      <c r="K320" s="132"/>
      <c r="L320" s="131"/>
      <c r="M320" s="142"/>
      <c r="N320" s="142"/>
      <c r="O320" s="142"/>
      <c r="P320" s="142"/>
      <c r="Q320" s="142"/>
      <c r="R320" s="142"/>
      <c r="S320" s="142"/>
      <c r="T320" s="142"/>
      <c r="U320" s="142"/>
      <c r="V320" s="142"/>
      <c r="W320" s="142"/>
      <c r="X320" s="142"/>
      <c r="Y320" s="142"/>
      <c r="Z320" s="142"/>
      <c r="AA320" s="142"/>
      <c r="AB320" s="142"/>
      <c r="AC320" s="142"/>
      <c r="AD320" s="142"/>
      <c r="AE320" s="142"/>
      <c r="AF320" s="142"/>
      <c r="AG320" s="142"/>
      <c r="AH320" s="142"/>
      <c r="AI320" s="142"/>
      <c r="AJ320" s="142"/>
      <c r="AK320" s="142"/>
      <c r="AL320" s="142"/>
      <c r="AM320" s="142"/>
      <c r="AN320" s="142"/>
      <c r="AO320" s="142"/>
      <c r="AP320" s="130"/>
      <c r="AQ320" s="130"/>
      <c r="AR320" s="130"/>
      <c r="AS320" s="130"/>
      <c r="AT320" s="130"/>
      <c r="AU320" s="130"/>
      <c r="AV320" s="130"/>
      <c r="AW320" s="130"/>
      <c r="AX320" s="130"/>
      <c r="AY320" s="130"/>
      <c r="AZ320" s="130"/>
      <c r="BA320" s="130"/>
      <c r="BB320" s="130"/>
      <c r="BC320" s="130"/>
      <c r="BD320" s="130"/>
    </row>
    <row r="321" ht="15.75" customHeight="1">
      <c r="A321" s="142"/>
      <c r="B321" s="142"/>
      <c r="C321" s="198"/>
      <c r="D321" s="142"/>
      <c r="E321" s="131"/>
      <c r="F321" s="142"/>
      <c r="G321" s="142"/>
      <c r="H321" s="131"/>
      <c r="I321" s="142"/>
      <c r="J321" s="142"/>
      <c r="K321" s="132"/>
      <c r="L321" s="131"/>
      <c r="M321" s="142"/>
      <c r="N321" s="142"/>
      <c r="O321" s="142"/>
      <c r="P321" s="142"/>
      <c r="Q321" s="142"/>
      <c r="R321" s="142"/>
      <c r="S321" s="142"/>
      <c r="T321" s="142"/>
      <c r="U321" s="142"/>
      <c r="V321" s="142"/>
      <c r="W321" s="142"/>
      <c r="X321" s="142"/>
      <c r="Y321" s="142"/>
      <c r="Z321" s="142"/>
      <c r="AA321" s="142"/>
      <c r="AB321" s="142"/>
      <c r="AC321" s="142"/>
      <c r="AD321" s="142"/>
      <c r="AE321" s="142"/>
      <c r="AF321" s="142"/>
      <c r="AG321" s="142"/>
      <c r="AH321" s="142"/>
      <c r="AI321" s="142"/>
      <c r="AJ321" s="142"/>
      <c r="AK321" s="142"/>
      <c r="AL321" s="142"/>
      <c r="AM321" s="142"/>
      <c r="AN321" s="142"/>
      <c r="AO321" s="142"/>
      <c r="AP321" s="130"/>
      <c r="AQ321" s="130"/>
      <c r="AR321" s="130"/>
      <c r="AS321" s="130"/>
      <c r="AT321" s="130"/>
      <c r="AU321" s="130"/>
      <c r="AV321" s="130"/>
      <c r="AW321" s="130"/>
      <c r="AX321" s="130"/>
      <c r="AY321" s="130"/>
      <c r="AZ321" s="130"/>
      <c r="BA321" s="130"/>
      <c r="BB321" s="130"/>
      <c r="BC321" s="130"/>
      <c r="BD321" s="130"/>
    </row>
    <row r="322" ht="15.75" customHeight="1">
      <c r="A322" s="142"/>
      <c r="B322" s="142"/>
      <c r="C322" s="198"/>
      <c r="D322" s="142"/>
      <c r="E322" s="131"/>
      <c r="F322" s="142"/>
      <c r="G322" s="142"/>
      <c r="H322" s="131"/>
      <c r="I322" s="142"/>
      <c r="J322" s="142"/>
      <c r="K322" s="132"/>
      <c r="L322" s="131"/>
      <c r="M322" s="142"/>
      <c r="N322" s="142"/>
      <c r="O322" s="142"/>
      <c r="P322" s="142"/>
      <c r="Q322" s="142"/>
      <c r="R322" s="142"/>
      <c r="S322" s="142"/>
      <c r="T322" s="142"/>
      <c r="U322" s="142"/>
      <c r="V322" s="142"/>
      <c r="W322" s="142"/>
      <c r="X322" s="142"/>
      <c r="Y322" s="142"/>
      <c r="Z322" s="142"/>
      <c r="AA322" s="142"/>
      <c r="AB322" s="142"/>
      <c r="AC322" s="142"/>
      <c r="AD322" s="142"/>
      <c r="AE322" s="142"/>
      <c r="AF322" s="142"/>
      <c r="AG322" s="142"/>
      <c r="AH322" s="142"/>
      <c r="AI322" s="142"/>
      <c r="AJ322" s="142"/>
      <c r="AK322" s="142"/>
      <c r="AL322" s="142"/>
      <c r="AM322" s="142"/>
      <c r="AN322" s="142"/>
      <c r="AO322" s="142"/>
      <c r="AP322" s="130"/>
      <c r="AQ322" s="130"/>
      <c r="AR322" s="130"/>
      <c r="AS322" s="130"/>
      <c r="AT322" s="130"/>
      <c r="AU322" s="130"/>
      <c r="AV322" s="130"/>
      <c r="AW322" s="130"/>
      <c r="AX322" s="130"/>
      <c r="AY322" s="130"/>
      <c r="AZ322" s="130"/>
      <c r="BA322" s="130"/>
      <c r="BB322" s="130"/>
      <c r="BC322" s="130"/>
      <c r="BD322" s="130"/>
    </row>
    <row r="323" ht="15.75" customHeight="1">
      <c r="A323" s="142"/>
      <c r="B323" s="142"/>
      <c r="C323" s="198"/>
      <c r="D323" s="142"/>
      <c r="E323" s="131"/>
      <c r="F323" s="142"/>
      <c r="G323" s="142"/>
      <c r="H323" s="131"/>
      <c r="I323" s="142"/>
      <c r="J323" s="142"/>
      <c r="K323" s="132"/>
      <c r="L323" s="131"/>
      <c r="M323" s="142"/>
      <c r="N323" s="142"/>
      <c r="O323" s="142"/>
      <c r="P323" s="142"/>
      <c r="Q323" s="142"/>
      <c r="R323" s="142"/>
      <c r="S323" s="142"/>
      <c r="T323" s="142"/>
      <c r="U323" s="142"/>
      <c r="V323" s="142"/>
      <c r="W323" s="142"/>
      <c r="X323" s="142"/>
      <c r="Y323" s="142"/>
      <c r="Z323" s="142"/>
      <c r="AA323" s="142"/>
      <c r="AB323" s="142"/>
      <c r="AC323" s="142"/>
      <c r="AD323" s="142"/>
      <c r="AE323" s="142"/>
      <c r="AF323" s="142"/>
      <c r="AG323" s="142"/>
      <c r="AH323" s="142"/>
      <c r="AI323" s="142"/>
      <c r="AJ323" s="142"/>
      <c r="AK323" s="142"/>
      <c r="AL323" s="142"/>
      <c r="AM323" s="142"/>
      <c r="AN323" s="142"/>
      <c r="AO323" s="142"/>
      <c r="AP323" s="130"/>
      <c r="AQ323" s="130"/>
      <c r="AR323" s="130"/>
      <c r="AS323" s="130"/>
      <c r="AT323" s="130"/>
      <c r="AU323" s="130"/>
      <c r="AV323" s="130"/>
      <c r="AW323" s="130"/>
      <c r="AX323" s="130"/>
      <c r="AY323" s="130"/>
      <c r="AZ323" s="130"/>
      <c r="BA323" s="130"/>
      <c r="BB323" s="130"/>
      <c r="BC323" s="130"/>
      <c r="BD323" s="130"/>
    </row>
    <row r="324" ht="15.75" customHeight="1">
      <c r="A324" s="142"/>
      <c r="B324" s="142"/>
      <c r="C324" s="198"/>
      <c r="D324" s="142"/>
      <c r="E324" s="131"/>
      <c r="F324" s="142"/>
      <c r="G324" s="142"/>
      <c r="H324" s="131"/>
      <c r="I324" s="142"/>
      <c r="J324" s="142"/>
      <c r="K324" s="132"/>
      <c r="L324" s="131"/>
      <c r="M324" s="142"/>
      <c r="N324" s="142"/>
      <c r="O324" s="142"/>
      <c r="P324" s="142"/>
      <c r="Q324" s="142"/>
      <c r="R324" s="142"/>
      <c r="S324" s="142"/>
      <c r="T324" s="142"/>
      <c r="U324" s="142"/>
      <c r="V324" s="142"/>
      <c r="W324" s="142"/>
      <c r="X324" s="142"/>
      <c r="Y324" s="142"/>
      <c r="Z324" s="142"/>
      <c r="AA324" s="142"/>
      <c r="AB324" s="142"/>
      <c r="AC324" s="142"/>
      <c r="AD324" s="142"/>
      <c r="AE324" s="142"/>
      <c r="AF324" s="142"/>
      <c r="AG324" s="142"/>
      <c r="AH324" s="142"/>
      <c r="AI324" s="142"/>
      <c r="AJ324" s="142"/>
      <c r="AK324" s="142"/>
      <c r="AL324" s="142"/>
      <c r="AM324" s="142"/>
      <c r="AN324" s="142"/>
      <c r="AO324" s="142"/>
      <c r="AP324" s="130"/>
      <c r="AQ324" s="130"/>
      <c r="AR324" s="130"/>
      <c r="AS324" s="130"/>
      <c r="AT324" s="130"/>
      <c r="AU324" s="130"/>
      <c r="AV324" s="130"/>
      <c r="AW324" s="130"/>
      <c r="AX324" s="130"/>
      <c r="AY324" s="130"/>
      <c r="AZ324" s="130"/>
      <c r="BA324" s="130"/>
      <c r="BB324" s="130"/>
      <c r="BC324" s="130"/>
      <c r="BD324" s="130"/>
    </row>
    <row r="325" ht="15.75" customHeight="1">
      <c r="A325" s="142"/>
      <c r="B325" s="142"/>
      <c r="C325" s="198"/>
      <c r="D325" s="142"/>
      <c r="E325" s="131"/>
      <c r="F325" s="142"/>
      <c r="G325" s="142"/>
      <c r="H325" s="131"/>
      <c r="I325" s="142"/>
      <c r="J325" s="142"/>
      <c r="K325" s="132"/>
      <c r="L325" s="131"/>
      <c r="M325" s="142"/>
      <c r="N325" s="142"/>
      <c r="O325" s="142"/>
      <c r="P325" s="142"/>
      <c r="Q325" s="142"/>
      <c r="R325" s="142"/>
      <c r="S325" s="142"/>
      <c r="T325" s="142"/>
      <c r="U325" s="142"/>
      <c r="V325" s="142"/>
      <c r="W325" s="142"/>
      <c r="X325" s="142"/>
      <c r="Y325" s="142"/>
      <c r="Z325" s="142"/>
      <c r="AA325" s="142"/>
      <c r="AB325" s="142"/>
      <c r="AC325" s="142"/>
      <c r="AD325" s="142"/>
      <c r="AE325" s="142"/>
      <c r="AF325" s="142"/>
      <c r="AG325" s="142"/>
      <c r="AH325" s="142"/>
      <c r="AI325" s="142"/>
      <c r="AJ325" s="142"/>
      <c r="AK325" s="142"/>
      <c r="AL325" s="142"/>
      <c r="AM325" s="142"/>
      <c r="AN325" s="142"/>
      <c r="AO325" s="142"/>
      <c r="AP325" s="130"/>
      <c r="AQ325" s="130"/>
      <c r="AR325" s="130"/>
      <c r="AS325" s="130"/>
      <c r="AT325" s="130"/>
      <c r="AU325" s="130"/>
      <c r="AV325" s="130"/>
      <c r="AW325" s="130"/>
      <c r="AX325" s="130"/>
      <c r="AY325" s="130"/>
      <c r="AZ325" s="130"/>
      <c r="BA325" s="130"/>
      <c r="BB325" s="130"/>
      <c r="BC325" s="130"/>
      <c r="BD325" s="130"/>
    </row>
    <row r="326" ht="15.75" customHeight="1">
      <c r="A326" s="142"/>
      <c r="B326" s="142"/>
      <c r="C326" s="198"/>
      <c r="D326" s="142"/>
      <c r="E326" s="131"/>
      <c r="F326" s="142"/>
      <c r="G326" s="142"/>
      <c r="H326" s="131"/>
      <c r="I326" s="142"/>
      <c r="J326" s="142"/>
      <c r="K326" s="132"/>
      <c r="L326" s="131"/>
      <c r="M326" s="142"/>
      <c r="N326" s="142"/>
      <c r="O326" s="142"/>
      <c r="P326" s="142"/>
      <c r="Q326" s="142"/>
      <c r="R326" s="142"/>
      <c r="S326" s="142"/>
      <c r="T326" s="142"/>
      <c r="U326" s="142"/>
      <c r="V326" s="142"/>
      <c r="W326" s="142"/>
      <c r="X326" s="142"/>
      <c r="Y326" s="142"/>
      <c r="Z326" s="142"/>
      <c r="AA326" s="142"/>
      <c r="AB326" s="142"/>
      <c r="AC326" s="142"/>
      <c r="AD326" s="142"/>
      <c r="AE326" s="142"/>
      <c r="AF326" s="142"/>
      <c r="AG326" s="142"/>
      <c r="AH326" s="142"/>
      <c r="AI326" s="142"/>
      <c r="AJ326" s="142"/>
      <c r="AK326" s="142"/>
      <c r="AL326" s="142"/>
      <c r="AM326" s="142"/>
      <c r="AN326" s="142"/>
      <c r="AO326" s="142"/>
      <c r="AP326" s="130"/>
      <c r="AQ326" s="130"/>
      <c r="AR326" s="130"/>
      <c r="AS326" s="130"/>
      <c r="AT326" s="130"/>
      <c r="AU326" s="130"/>
      <c r="AV326" s="130"/>
      <c r="AW326" s="130"/>
      <c r="AX326" s="130"/>
      <c r="AY326" s="130"/>
      <c r="AZ326" s="130"/>
      <c r="BA326" s="130"/>
      <c r="BB326" s="130"/>
      <c r="BC326" s="130"/>
      <c r="BD326" s="130"/>
    </row>
    <row r="327" ht="15.75" customHeight="1">
      <c r="A327" s="142"/>
      <c r="B327" s="142"/>
      <c r="C327" s="198"/>
      <c r="D327" s="142"/>
      <c r="E327" s="131"/>
      <c r="F327" s="142"/>
      <c r="G327" s="142"/>
      <c r="H327" s="131"/>
      <c r="I327" s="142"/>
      <c r="J327" s="142"/>
      <c r="K327" s="132"/>
      <c r="L327" s="131"/>
      <c r="M327" s="142"/>
      <c r="N327" s="142"/>
      <c r="O327" s="142"/>
      <c r="P327" s="142"/>
      <c r="Q327" s="142"/>
      <c r="R327" s="142"/>
      <c r="S327" s="142"/>
      <c r="T327" s="142"/>
      <c r="U327" s="142"/>
      <c r="V327" s="142"/>
      <c r="W327" s="142"/>
      <c r="X327" s="142"/>
      <c r="Y327" s="142"/>
      <c r="Z327" s="142"/>
      <c r="AA327" s="142"/>
      <c r="AB327" s="142"/>
      <c r="AC327" s="142"/>
      <c r="AD327" s="142"/>
      <c r="AE327" s="142"/>
      <c r="AF327" s="142"/>
      <c r="AG327" s="142"/>
      <c r="AH327" s="142"/>
      <c r="AI327" s="142"/>
      <c r="AJ327" s="142"/>
      <c r="AK327" s="142"/>
      <c r="AL327" s="142"/>
      <c r="AM327" s="142"/>
      <c r="AN327" s="142"/>
      <c r="AO327" s="142"/>
      <c r="AP327" s="130"/>
      <c r="AQ327" s="130"/>
      <c r="AR327" s="130"/>
      <c r="AS327" s="130"/>
      <c r="AT327" s="130"/>
      <c r="AU327" s="130"/>
      <c r="AV327" s="130"/>
      <c r="AW327" s="130"/>
      <c r="AX327" s="130"/>
      <c r="AY327" s="130"/>
      <c r="AZ327" s="130"/>
      <c r="BA327" s="130"/>
      <c r="BB327" s="130"/>
      <c r="BC327" s="130"/>
      <c r="BD327" s="130"/>
    </row>
    <row r="328" ht="15.75" customHeight="1">
      <c r="A328" s="142"/>
      <c r="B328" s="142"/>
      <c r="C328" s="198"/>
      <c r="D328" s="142"/>
      <c r="E328" s="131"/>
      <c r="F328" s="142"/>
      <c r="G328" s="142"/>
      <c r="H328" s="131"/>
      <c r="I328" s="142"/>
      <c r="J328" s="142"/>
      <c r="K328" s="132"/>
      <c r="L328" s="131"/>
      <c r="M328" s="142"/>
      <c r="N328" s="142"/>
      <c r="O328" s="142"/>
      <c r="P328" s="142"/>
      <c r="Q328" s="142"/>
      <c r="R328" s="142"/>
      <c r="S328" s="142"/>
      <c r="T328" s="142"/>
      <c r="U328" s="142"/>
      <c r="V328" s="142"/>
      <c r="W328" s="142"/>
      <c r="X328" s="142"/>
      <c r="Y328" s="142"/>
      <c r="Z328" s="142"/>
      <c r="AA328" s="142"/>
      <c r="AB328" s="142"/>
      <c r="AC328" s="142"/>
      <c r="AD328" s="142"/>
      <c r="AE328" s="142"/>
      <c r="AF328" s="142"/>
      <c r="AG328" s="142"/>
      <c r="AH328" s="142"/>
      <c r="AI328" s="142"/>
      <c r="AJ328" s="142"/>
      <c r="AK328" s="142"/>
      <c r="AL328" s="142"/>
      <c r="AM328" s="142"/>
      <c r="AN328" s="142"/>
      <c r="AO328" s="142"/>
      <c r="AP328" s="130"/>
      <c r="AQ328" s="130"/>
      <c r="AR328" s="130"/>
      <c r="AS328" s="130"/>
      <c r="AT328" s="130"/>
      <c r="AU328" s="130"/>
      <c r="AV328" s="130"/>
      <c r="AW328" s="130"/>
      <c r="AX328" s="130"/>
      <c r="AY328" s="130"/>
      <c r="AZ328" s="130"/>
      <c r="BA328" s="130"/>
      <c r="BB328" s="130"/>
      <c r="BC328" s="130"/>
      <c r="BD328" s="130"/>
    </row>
    <row r="329" ht="15.75" customHeight="1">
      <c r="A329" s="142"/>
      <c r="B329" s="142"/>
      <c r="C329" s="198"/>
      <c r="D329" s="142"/>
      <c r="E329" s="131"/>
      <c r="F329" s="142"/>
      <c r="G329" s="142"/>
      <c r="H329" s="131"/>
      <c r="I329" s="142"/>
      <c r="J329" s="142"/>
      <c r="K329" s="132"/>
      <c r="L329" s="131"/>
      <c r="M329" s="142"/>
      <c r="N329" s="142"/>
      <c r="O329" s="142"/>
      <c r="P329" s="142"/>
      <c r="Q329" s="142"/>
      <c r="R329" s="142"/>
      <c r="S329" s="142"/>
      <c r="T329" s="142"/>
      <c r="U329" s="142"/>
      <c r="V329" s="142"/>
      <c r="W329" s="142"/>
      <c r="X329" s="142"/>
      <c r="Y329" s="142"/>
      <c r="Z329" s="142"/>
      <c r="AA329" s="142"/>
      <c r="AB329" s="142"/>
      <c r="AC329" s="142"/>
      <c r="AD329" s="142"/>
      <c r="AE329" s="142"/>
      <c r="AF329" s="142"/>
      <c r="AG329" s="142"/>
      <c r="AH329" s="142"/>
      <c r="AI329" s="142"/>
      <c r="AJ329" s="142"/>
      <c r="AK329" s="142"/>
      <c r="AL329" s="142"/>
      <c r="AM329" s="142"/>
      <c r="AN329" s="142"/>
      <c r="AO329" s="142"/>
      <c r="AP329" s="130"/>
      <c r="AQ329" s="130"/>
      <c r="AR329" s="130"/>
      <c r="AS329" s="130"/>
      <c r="AT329" s="130"/>
      <c r="AU329" s="130"/>
      <c r="AV329" s="130"/>
      <c r="AW329" s="130"/>
      <c r="AX329" s="130"/>
      <c r="AY329" s="130"/>
      <c r="AZ329" s="130"/>
      <c r="BA329" s="130"/>
      <c r="BB329" s="130"/>
      <c r="BC329" s="130"/>
      <c r="BD329" s="130"/>
    </row>
    <row r="330" ht="15.75" customHeight="1">
      <c r="A330" s="142"/>
      <c r="B330" s="142"/>
      <c r="C330" s="198"/>
      <c r="D330" s="142"/>
      <c r="E330" s="131"/>
      <c r="F330" s="142"/>
      <c r="G330" s="142"/>
      <c r="H330" s="131"/>
      <c r="I330" s="142"/>
      <c r="J330" s="142"/>
      <c r="K330" s="132"/>
      <c r="L330" s="131"/>
      <c r="M330" s="142"/>
      <c r="N330" s="142"/>
      <c r="O330" s="142"/>
      <c r="P330" s="142"/>
      <c r="Q330" s="142"/>
      <c r="R330" s="142"/>
      <c r="S330" s="142"/>
      <c r="T330" s="142"/>
      <c r="U330" s="142"/>
      <c r="V330" s="142"/>
      <c r="W330" s="142"/>
      <c r="X330" s="142"/>
      <c r="Y330" s="142"/>
      <c r="Z330" s="142"/>
      <c r="AA330" s="142"/>
      <c r="AB330" s="142"/>
      <c r="AC330" s="142"/>
      <c r="AD330" s="142"/>
      <c r="AE330" s="142"/>
      <c r="AF330" s="142"/>
      <c r="AG330" s="142"/>
      <c r="AH330" s="142"/>
      <c r="AI330" s="142"/>
      <c r="AJ330" s="142"/>
      <c r="AK330" s="142"/>
      <c r="AL330" s="142"/>
      <c r="AM330" s="142"/>
      <c r="AN330" s="142"/>
      <c r="AO330" s="142"/>
      <c r="AP330" s="130"/>
      <c r="AQ330" s="130"/>
      <c r="AR330" s="130"/>
      <c r="AS330" s="130"/>
      <c r="AT330" s="130"/>
      <c r="AU330" s="130"/>
      <c r="AV330" s="130"/>
      <c r="AW330" s="130"/>
      <c r="AX330" s="130"/>
      <c r="AY330" s="130"/>
      <c r="AZ330" s="130"/>
      <c r="BA330" s="130"/>
      <c r="BB330" s="130"/>
      <c r="BC330" s="130"/>
      <c r="BD330" s="130"/>
    </row>
    <row r="331" ht="15.75" customHeight="1">
      <c r="A331" s="142"/>
      <c r="B331" s="142"/>
      <c r="C331" s="198"/>
      <c r="D331" s="142"/>
      <c r="E331" s="131"/>
      <c r="F331" s="142"/>
      <c r="G331" s="142"/>
      <c r="H331" s="131"/>
      <c r="I331" s="142"/>
      <c r="J331" s="142"/>
      <c r="K331" s="132"/>
      <c r="L331" s="131"/>
      <c r="M331" s="142"/>
      <c r="N331" s="142"/>
      <c r="O331" s="142"/>
      <c r="P331" s="142"/>
      <c r="Q331" s="142"/>
      <c r="R331" s="142"/>
      <c r="S331" s="142"/>
      <c r="T331" s="142"/>
      <c r="U331" s="142"/>
      <c r="V331" s="142"/>
      <c r="W331" s="142"/>
      <c r="X331" s="142"/>
      <c r="Y331" s="142"/>
      <c r="Z331" s="142"/>
      <c r="AA331" s="142"/>
      <c r="AB331" s="142"/>
      <c r="AC331" s="142"/>
      <c r="AD331" s="142"/>
      <c r="AE331" s="142"/>
      <c r="AF331" s="142"/>
      <c r="AG331" s="142"/>
      <c r="AH331" s="142"/>
      <c r="AI331" s="142"/>
      <c r="AJ331" s="142"/>
      <c r="AK331" s="142"/>
      <c r="AL331" s="142"/>
      <c r="AM331" s="142"/>
      <c r="AN331" s="142"/>
      <c r="AO331" s="142"/>
      <c r="AP331" s="130"/>
      <c r="AQ331" s="130"/>
      <c r="AR331" s="130"/>
      <c r="AS331" s="130"/>
      <c r="AT331" s="130"/>
      <c r="AU331" s="130"/>
      <c r="AV331" s="130"/>
      <c r="AW331" s="130"/>
      <c r="AX331" s="130"/>
      <c r="AY331" s="130"/>
      <c r="AZ331" s="130"/>
      <c r="BA331" s="130"/>
      <c r="BB331" s="130"/>
      <c r="BC331" s="130"/>
      <c r="BD331" s="130"/>
    </row>
    <row r="332" ht="15.75" customHeight="1">
      <c r="A332" s="142"/>
      <c r="B332" s="142"/>
      <c r="C332" s="198"/>
      <c r="D332" s="142"/>
      <c r="E332" s="131"/>
      <c r="F332" s="142"/>
      <c r="G332" s="142"/>
      <c r="H332" s="131"/>
      <c r="I332" s="142"/>
      <c r="J332" s="142"/>
      <c r="K332" s="132"/>
      <c r="L332" s="131"/>
      <c r="M332" s="142"/>
      <c r="N332" s="142"/>
      <c r="O332" s="142"/>
      <c r="P332" s="142"/>
      <c r="Q332" s="142"/>
      <c r="R332" s="142"/>
      <c r="S332" s="142"/>
      <c r="T332" s="142"/>
      <c r="U332" s="142"/>
      <c r="V332" s="142"/>
      <c r="W332" s="142"/>
      <c r="X332" s="142"/>
      <c r="Y332" s="142"/>
      <c r="Z332" s="142"/>
      <c r="AA332" s="142"/>
      <c r="AB332" s="142"/>
      <c r="AC332" s="142"/>
      <c r="AD332" s="142"/>
      <c r="AE332" s="142"/>
      <c r="AF332" s="142"/>
      <c r="AG332" s="142"/>
      <c r="AH332" s="142"/>
      <c r="AI332" s="142"/>
      <c r="AJ332" s="142"/>
      <c r="AK332" s="142"/>
      <c r="AL332" s="142"/>
      <c r="AM332" s="142"/>
      <c r="AN332" s="142"/>
      <c r="AO332" s="142"/>
      <c r="AP332" s="130"/>
      <c r="AQ332" s="130"/>
      <c r="AR332" s="130"/>
      <c r="AS332" s="130"/>
      <c r="AT332" s="130"/>
      <c r="AU332" s="130"/>
      <c r="AV332" s="130"/>
      <c r="AW332" s="130"/>
      <c r="AX332" s="130"/>
      <c r="AY332" s="130"/>
      <c r="AZ332" s="130"/>
      <c r="BA332" s="130"/>
      <c r="BB332" s="130"/>
      <c r="BC332" s="130"/>
      <c r="BD332" s="130"/>
    </row>
    <row r="333" ht="15.75" customHeight="1">
      <c r="A333" s="142"/>
      <c r="B333" s="142"/>
      <c r="C333" s="198"/>
      <c r="D333" s="142"/>
      <c r="E333" s="131"/>
      <c r="F333" s="142"/>
      <c r="G333" s="142"/>
      <c r="H333" s="131"/>
      <c r="I333" s="142"/>
      <c r="J333" s="142"/>
      <c r="K333" s="132"/>
      <c r="L333" s="131"/>
      <c r="M333" s="142"/>
      <c r="N333" s="142"/>
      <c r="O333" s="142"/>
      <c r="P333" s="142"/>
      <c r="Q333" s="142"/>
      <c r="R333" s="142"/>
      <c r="S333" s="142"/>
      <c r="T333" s="142"/>
      <c r="U333" s="142"/>
      <c r="V333" s="142"/>
      <c r="W333" s="142"/>
      <c r="X333" s="142"/>
      <c r="Y333" s="142"/>
      <c r="Z333" s="142"/>
      <c r="AA333" s="142"/>
      <c r="AB333" s="142"/>
      <c r="AC333" s="142"/>
      <c r="AD333" s="142"/>
      <c r="AE333" s="142"/>
      <c r="AF333" s="142"/>
      <c r="AG333" s="142"/>
      <c r="AH333" s="142"/>
      <c r="AI333" s="142"/>
      <c r="AJ333" s="142"/>
      <c r="AK333" s="142"/>
      <c r="AL333" s="142"/>
      <c r="AM333" s="142"/>
      <c r="AN333" s="142"/>
      <c r="AO333" s="142"/>
      <c r="AP333" s="130"/>
      <c r="AQ333" s="130"/>
      <c r="AR333" s="130"/>
      <c r="AS333" s="130"/>
      <c r="AT333" s="130"/>
      <c r="AU333" s="130"/>
      <c r="AV333" s="130"/>
      <c r="AW333" s="130"/>
      <c r="AX333" s="130"/>
      <c r="AY333" s="130"/>
      <c r="AZ333" s="130"/>
      <c r="BA333" s="130"/>
      <c r="BB333" s="130"/>
      <c r="BC333" s="130"/>
      <c r="BD333" s="130"/>
    </row>
    <row r="334" ht="15.75" customHeight="1">
      <c r="A334" s="142"/>
      <c r="B334" s="142"/>
      <c r="C334" s="198"/>
      <c r="D334" s="142"/>
      <c r="E334" s="131"/>
      <c r="F334" s="142"/>
      <c r="G334" s="142"/>
      <c r="H334" s="131"/>
      <c r="I334" s="142"/>
      <c r="J334" s="142"/>
      <c r="K334" s="132"/>
      <c r="L334" s="131"/>
      <c r="M334" s="142"/>
      <c r="N334" s="142"/>
      <c r="O334" s="142"/>
      <c r="P334" s="142"/>
      <c r="Q334" s="142"/>
      <c r="R334" s="142"/>
      <c r="S334" s="142"/>
      <c r="T334" s="142"/>
      <c r="U334" s="142"/>
      <c r="V334" s="142"/>
      <c r="W334" s="142"/>
      <c r="X334" s="142"/>
      <c r="Y334" s="142"/>
      <c r="Z334" s="142"/>
      <c r="AA334" s="142"/>
      <c r="AB334" s="142"/>
      <c r="AC334" s="142"/>
      <c r="AD334" s="142"/>
      <c r="AE334" s="142"/>
      <c r="AF334" s="142"/>
      <c r="AG334" s="142"/>
      <c r="AH334" s="142"/>
      <c r="AI334" s="142"/>
      <c r="AJ334" s="142"/>
      <c r="AK334" s="142"/>
      <c r="AL334" s="142"/>
      <c r="AM334" s="142"/>
      <c r="AN334" s="142"/>
      <c r="AO334" s="142"/>
      <c r="AP334" s="130"/>
      <c r="AQ334" s="130"/>
      <c r="AR334" s="130"/>
      <c r="AS334" s="130"/>
      <c r="AT334" s="130"/>
      <c r="AU334" s="130"/>
      <c r="AV334" s="130"/>
      <c r="AW334" s="130"/>
      <c r="AX334" s="130"/>
      <c r="AY334" s="130"/>
      <c r="AZ334" s="130"/>
      <c r="BA334" s="130"/>
      <c r="BB334" s="130"/>
      <c r="BC334" s="130"/>
      <c r="BD334" s="130"/>
    </row>
    <row r="335" ht="15.75" customHeight="1">
      <c r="A335" s="142"/>
      <c r="B335" s="142"/>
      <c r="C335" s="198"/>
      <c r="D335" s="142"/>
      <c r="E335" s="131"/>
      <c r="F335" s="142"/>
      <c r="G335" s="142"/>
      <c r="H335" s="131"/>
      <c r="I335" s="142"/>
      <c r="J335" s="142"/>
      <c r="K335" s="132"/>
      <c r="L335" s="131"/>
      <c r="M335" s="142"/>
      <c r="N335" s="142"/>
      <c r="O335" s="142"/>
      <c r="P335" s="142"/>
      <c r="Q335" s="142"/>
      <c r="R335" s="142"/>
      <c r="S335" s="142"/>
      <c r="T335" s="142"/>
      <c r="U335" s="142"/>
      <c r="V335" s="142"/>
      <c r="W335" s="142"/>
      <c r="X335" s="142"/>
      <c r="Y335" s="142"/>
      <c r="Z335" s="142"/>
      <c r="AA335" s="142"/>
      <c r="AB335" s="142"/>
      <c r="AC335" s="142"/>
      <c r="AD335" s="142"/>
      <c r="AE335" s="142"/>
      <c r="AF335" s="142"/>
      <c r="AG335" s="142"/>
      <c r="AH335" s="142"/>
      <c r="AI335" s="142"/>
      <c r="AJ335" s="142"/>
      <c r="AK335" s="142"/>
      <c r="AL335" s="142"/>
      <c r="AM335" s="142"/>
      <c r="AN335" s="142"/>
      <c r="AO335" s="142"/>
      <c r="AP335" s="130"/>
      <c r="AQ335" s="130"/>
      <c r="AR335" s="130"/>
      <c r="AS335" s="130"/>
      <c r="AT335" s="130"/>
      <c r="AU335" s="130"/>
      <c r="AV335" s="130"/>
      <c r="AW335" s="130"/>
      <c r="AX335" s="130"/>
      <c r="AY335" s="130"/>
      <c r="AZ335" s="130"/>
      <c r="BA335" s="130"/>
      <c r="BB335" s="130"/>
      <c r="BC335" s="130"/>
      <c r="BD335" s="130"/>
    </row>
    <row r="336" ht="15.75" customHeight="1">
      <c r="A336" s="142"/>
      <c r="B336" s="142"/>
      <c r="C336" s="198"/>
      <c r="D336" s="142"/>
      <c r="E336" s="131"/>
      <c r="F336" s="142"/>
      <c r="G336" s="142"/>
      <c r="H336" s="131"/>
      <c r="I336" s="142"/>
      <c r="J336" s="142"/>
      <c r="K336" s="132"/>
      <c r="L336" s="131"/>
      <c r="M336" s="142"/>
      <c r="N336" s="142"/>
      <c r="O336" s="142"/>
      <c r="P336" s="142"/>
      <c r="Q336" s="142"/>
      <c r="R336" s="142"/>
      <c r="S336" s="142"/>
      <c r="T336" s="142"/>
      <c r="U336" s="142"/>
      <c r="V336" s="142"/>
      <c r="W336" s="142"/>
      <c r="X336" s="142"/>
      <c r="Y336" s="142"/>
      <c r="Z336" s="142"/>
      <c r="AA336" s="142"/>
      <c r="AB336" s="142"/>
      <c r="AC336" s="142"/>
      <c r="AD336" s="142"/>
      <c r="AE336" s="142"/>
      <c r="AF336" s="142"/>
      <c r="AG336" s="142"/>
      <c r="AH336" s="142"/>
      <c r="AI336" s="142"/>
      <c r="AJ336" s="142"/>
      <c r="AK336" s="142"/>
      <c r="AL336" s="142"/>
      <c r="AM336" s="142"/>
      <c r="AN336" s="142"/>
      <c r="AO336" s="142"/>
      <c r="AP336" s="130"/>
      <c r="AQ336" s="130"/>
      <c r="AR336" s="130"/>
      <c r="AS336" s="130"/>
      <c r="AT336" s="130"/>
      <c r="AU336" s="130"/>
      <c r="AV336" s="130"/>
      <c r="AW336" s="130"/>
      <c r="AX336" s="130"/>
      <c r="AY336" s="130"/>
      <c r="AZ336" s="130"/>
      <c r="BA336" s="130"/>
      <c r="BB336" s="130"/>
      <c r="BC336" s="130"/>
      <c r="BD336" s="130"/>
    </row>
    <row r="337" ht="15.75" customHeight="1">
      <c r="A337" s="142"/>
      <c r="B337" s="142"/>
      <c r="C337" s="198"/>
      <c r="D337" s="142"/>
      <c r="E337" s="131"/>
      <c r="F337" s="142"/>
      <c r="G337" s="142"/>
      <c r="H337" s="131"/>
      <c r="I337" s="142"/>
      <c r="J337" s="142"/>
      <c r="K337" s="132"/>
      <c r="L337" s="131"/>
      <c r="M337" s="142"/>
      <c r="N337" s="142"/>
      <c r="O337" s="142"/>
      <c r="P337" s="142"/>
      <c r="Q337" s="142"/>
      <c r="R337" s="142"/>
      <c r="S337" s="142"/>
      <c r="T337" s="142"/>
      <c r="U337" s="142"/>
      <c r="V337" s="142"/>
      <c r="W337" s="142"/>
      <c r="X337" s="142"/>
      <c r="Y337" s="142"/>
      <c r="Z337" s="142"/>
      <c r="AA337" s="142"/>
      <c r="AB337" s="142"/>
      <c r="AC337" s="142"/>
      <c r="AD337" s="142"/>
      <c r="AE337" s="142"/>
      <c r="AF337" s="142"/>
      <c r="AG337" s="142"/>
      <c r="AH337" s="142"/>
      <c r="AI337" s="142"/>
      <c r="AJ337" s="142"/>
      <c r="AK337" s="142"/>
      <c r="AL337" s="142"/>
      <c r="AM337" s="142"/>
      <c r="AN337" s="142"/>
      <c r="AO337" s="142"/>
      <c r="AP337" s="130"/>
      <c r="AQ337" s="130"/>
      <c r="AR337" s="130"/>
      <c r="AS337" s="130"/>
      <c r="AT337" s="130"/>
      <c r="AU337" s="130"/>
      <c r="AV337" s="130"/>
      <c r="AW337" s="130"/>
      <c r="AX337" s="130"/>
      <c r="AY337" s="130"/>
      <c r="AZ337" s="130"/>
      <c r="BA337" s="130"/>
      <c r="BB337" s="130"/>
      <c r="BC337" s="130"/>
      <c r="BD337" s="130"/>
    </row>
    <row r="338" ht="15.75" customHeight="1">
      <c r="A338" s="142"/>
      <c r="B338" s="142"/>
      <c r="C338" s="198"/>
      <c r="D338" s="142"/>
      <c r="E338" s="131"/>
      <c r="F338" s="142"/>
      <c r="G338" s="142"/>
      <c r="H338" s="131"/>
      <c r="I338" s="142"/>
      <c r="J338" s="142"/>
      <c r="K338" s="132"/>
      <c r="L338" s="131"/>
      <c r="M338" s="142"/>
      <c r="N338" s="142"/>
      <c r="O338" s="142"/>
      <c r="P338" s="142"/>
      <c r="Q338" s="142"/>
      <c r="R338" s="142"/>
      <c r="S338" s="142"/>
      <c r="T338" s="142"/>
      <c r="U338" s="142"/>
      <c r="V338" s="142"/>
      <c r="W338" s="142"/>
      <c r="X338" s="142"/>
      <c r="Y338" s="142"/>
      <c r="Z338" s="142"/>
      <c r="AA338" s="142"/>
      <c r="AB338" s="142"/>
      <c r="AC338" s="142"/>
      <c r="AD338" s="142"/>
      <c r="AE338" s="142"/>
      <c r="AF338" s="142"/>
      <c r="AG338" s="142"/>
      <c r="AH338" s="142"/>
      <c r="AI338" s="142"/>
      <c r="AJ338" s="142"/>
      <c r="AK338" s="142"/>
      <c r="AL338" s="142"/>
      <c r="AM338" s="142"/>
      <c r="AN338" s="142"/>
      <c r="AO338" s="142"/>
      <c r="AP338" s="130"/>
      <c r="AQ338" s="130"/>
      <c r="AR338" s="130"/>
      <c r="AS338" s="130"/>
      <c r="AT338" s="130"/>
      <c r="AU338" s="130"/>
      <c r="AV338" s="130"/>
      <c r="AW338" s="130"/>
      <c r="AX338" s="130"/>
      <c r="AY338" s="130"/>
      <c r="AZ338" s="130"/>
      <c r="BA338" s="130"/>
      <c r="BB338" s="130"/>
      <c r="BC338" s="130"/>
      <c r="BD338" s="130"/>
    </row>
    <row r="339" ht="15.75" customHeight="1">
      <c r="A339" s="142"/>
      <c r="B339" s="142"/>
      <c r="C339" s="198"/>
      <c r="D339" s="142"/>
      <c r="E339" s="131"/>
      <c r="F339" s="142"/>
      <c r="G339" s="142"/>
      <c r="H339" s="131"/>
      <c r="I339" s="142"/>
      <c r="J339" s="142"/>
      <c r="K339" s="132"/>
      <c r="L339" s="131"/>
      <c r="M339" s="142"/>
      <c r="N339" s="142"/>
      <c r="O339" s="142"/>
      <c r="P339" s="142"/>
      <c r="Q339" s="142"/>
      <c r="R339" s="142"/>
      <c r="S339" s="142"/>
      <c r="T339" s="142"/>
      <c r="U339" s="142"/>
      <c r="V339" s="142"/>
      <c r="W339" s="142"/>
      <c r="X339" s="142"/>
      <c r="Y339" s="142"/>
      <c r="Z339" s="142"/>
      <c r="AA339" s="142"/>
      <c r="AB339" s="142"/>
      <c r="AC339" s="142"/>
      <c r="AD339" s="142"/>
      <c r="AE339" s="142"/>
      <c r="AF339" s="142"/>
      <c r="AG339" s="142"/>
      <c r="AH339" s="142"/>
      <c r="AI339" s="142"/>
      <c r="AJ339" s="142"/>
      <c r="AK339" s="142"/>
      <c r="AL339" s="142"/>
      <c r="AM339" s="142"/>
      <c r="AN339" s="142"/>
      <c r="AO339" s="142"/>
      <c r="AP339" s="130"/>
      <c r="AQ339" s="130"/>
      <c r="AR339" s="130"/>
      <c r="AS339" s="130"/>
      <c r="AT339" s="130"/>
      <c r="AU339" s="130"/>
      <c r="AV339" s="130"/>
      <c r="AW339" s="130"/>
      <c r="AX339" s="130"/>
      <c r="AY339" s="130"/>
      <c r="AZ339" s="130"/>
      <c r="BA339" s="130"/>
      <c r="BB339" s="130"/>
      <c r="BC339" s="130"/>
      <c r="BD339" s="130"/>
    </row>
    <row r="340" ht="15.75" customHeight="1">
      <c r="A340" s="142"/>
      <c r="B340" s="142"/>
      <c r="C340" s="198"/>
      <c r="D340" s="142"/>
      <c r="E340" s="131"/>
      <c r="F340" s="142"/>
      <c r="G340" s="142"/>
      <c r="H340" s="131"/>
      <c r="I340" s="142"/>
      <c r="J340" s="142"/>
      <c r="K340" s="132"/>
      <c r="L340" s="131"/>
      <c r="M340" s="142"/>
      <c r="N340" s="142"/>
      <c r="O340" s="142"/>
      <c r="P340" s="142"/>
      <c r="Q340" s="142"/>
      <c r="R340" s="142"/>
      <c r="S340" s="142"/>
      <c r="T340" s="142"/>
      <c r="U340" s="142"/>
      <c r="V340" s="142"/>
      <c r="W340" s="142"/>
      <c r="X340" s="142"/>
      <c r="Y340" s="142"/>
      <c r="Z340" s="142"/>
      <c r="AA340" s="142"/>
      <c r="AB340" s="142"/>
      <c r="AC340" s="142"/>
      <c r="AD340" s="142"/>
      <c r="AE340" s="142"/>
      <c r="AF340" s="142"/>
      <c r="AG340" s="142"/>
      <c r="AH340" s="142"/>
      <c r="AI340" s="142"/>
      <c r="AJ340" s="142"/>
      <c r="AK340" s="142"/>
      <c r="AL340" s="142"/>
      <c r="AM340" s="142"/>
      <c r="AN340" s="142"/>
      <c r="AO340" s="142"/>
      <c r="AP340" s="130"/>
      <c r="AQ340" s="130"/>
      <c r="AR340" s="130"/>
      <c r="AS340" s="130"/>
      <c r="AT340" s="130"/>
      <c r="AU340" s="130"/>
      <c r="AV340" s="130"/>
      <c r="AW340" s="130"/>
      <c r="AX340" s="130"/>
      <c r="AY340" s="130"/>
      <c r="AZ340" s="130"/>
      <c r="BA340" s="130"/>
      <c r="BB340" s="130"/>
      <c r="BC340" s="130"/>
      <c r="BD340" s="130"/>
    </row>
    <row r="341" ht="15.75" customHeight="1">
      <c r="A341" s="142"/>
      <c r="B341" s="142"/>
      <c r="C341" s="198"/>
      <c r="D341" s="142"/>
      <c r="E341" s="131"/>
      <c r="F341" s="142"/>
      <c r="G341" s="142"/>
      <c r="H341" s="131"/>
      <c r="I341" s="142"/>
      <c r="J341" s="142"/>
      <c r="K341" s="132"/>
      <c r="L341" s="131"/>
      <c r="M341" s="142"/>
      <c r="N341" s="142"/>
      <c r="O341" s="142"/>
      <c r="P341" s="142"/>
      <c r="Q341" s="142"/>
      <c r="R341" s="142"/>
      <c r="S341" s="142"/>
      <c r="T341" s="142"/>
      <c r="U341" s="142"/>
      <c r="V341" s="142"/>
      <c r="W341" s="142"/>
      <c r="X341" s="142"/>
      <c r="Y341" s="142"/>
      <c r="Z341" s="142"/>
      <c r="AA341" s="142"/>
      <c r="AB341" s="142"/>
      <c r="AC341" s="142"/>
      <c r="AD341" s="142"/>
      <c r="AE341" s="142"/>
      <c r="AF341" s="142"/>
      <c r="AG341" s="142"/>
      <c r="AH341" s="142"/>
      <c r="AI341" s="142"/>
      <c r="AJ341" s="142"/>
      <c r="AK341" s="142"/>
      <c r="AL341" s="142"/>
      <c r="AM341" s="142"/>
      <c r="AN341" s="142"/>
      <c r="AO341" s="142"/>
      <c r="AP341" s="130"/>
      <c r="AQ341" s="130"/>
      <c r="AR341" s="130"/>
      <c r="AS341" s="130"/>
      <c r="AT341" s="130"/>
      <c r="AU341" s="130"/>
      <c r="AV341" s="130"/>
      <c r="AW341" s="130"/>
      <c r="AX341" s="130"/>
      <c r="AY341" s="130"/>
      <c r="AZ341" s="130"/>
      <c r="BA341" s="130"/>
      <c r="BB341" s="130"/>
      <c r="BC341" s="130"/>
      <c r="BD341" s="130"/>
    </row>
    <row r="342" ht="15.75" customHeight="1">
      <c r="A342" s="142"/>
      <c r="B342" s="142"/>
      <c r="C342" s="198"/>
      <c r="D342" s="142"/>
      <c r="E342" s="131"/>
      <c r="F342" s="142"/>
      <c r="G342" s="142"/>
      <c r="H342" s="131"/>
      <c r="I342" s="142"/>
      <c r="J342" s="142"/>
      <c r="K342" s="132"/>
      <c r="L342" s="131"/>
      <c r="M342" s="142"/>
      <c r="N342" s="142"/>
      <c r="O342" s="142"/>
      <c r="P342" s="142"/>
      <c r="Q342" s="142"/>
      <c r="R342" s="142"/>
      <c r="S342" s="142"/>
      <c r="T342" s="142"/>
      <c r="U342" s="142"/>
      <c r="V342" s="142"/>
      <c r="W342" s="142"/>
      <c r="X342" s="142"/>
      <c r="Y342" s="142"/>
      <c r="Z342" s="142"/>
      <c r="AA342" s="142"/>
      <c r="AB342" s="142"/>
      <c r="AC342" s="142"/>
      <c r="AD342" s="142"/>
      <c r="AE342" s="142"/>
      <c r="AF342" s="142"/>
      <c r="AG342" s="142"/>
      <c r="AH342" s="142"/>
      <c r="AI342" s="142"/>
      <c r="AJ342" s="142"/>
      <c r="AK342" s="142"/>
      <c r="AL342" s="142"/>
      <c r="AM342" s="142"/>
      <c r="AN342" s="142"/>
      <c r="AO342" s="142"/>
      <c r="AP342" s="130"/>
      <c r="AQ342" s="130"/>
      <c r="AR342" s="130"/>
      <c r="AS342" s="130"/>
      <c r="AT342" s="130"/>
      <c r="AU342" s="130"/>
      <c r="AV342" s="130"/>
      <c r="AW342" s="130"/>
      <c r="AX342" s="130"/>
      <c r="AY342" s="130"/>
      <c r="AZ342" s="130"/>
      <c r="BA342" s="130"/>
      <c r="BB342" s="130"/>
      <c r="BC342" s="130"/>
      <c r="BD342" s="130"/>
    </row>
    <row r="343" ht="15.75" customHeight="1">
      <c r="A343" s="142"/>
      <c r="B343" s="142"/>
      <c r="C343" s="198"/>
      <c r="D343" s="142"/>
      <c r="E343" s="131"/>
      <c r="F343" s="142"/>
      <c r="G343" s="142"/>
      <c r="H343" s="131"/>
      <c r="I343" s="142"/>
      <c r="J343" s="142"/>
      <c r="K343" s="132"/>
      <c r="L343" s="131"/>
      <c r="M343" s="142"/>
      <c r="N343" s="142"/>
      <c r="O343" s="142"/>
      <c r="P343" s="142"/>
      <c r="Q343" s="142"/>
      <c r="R343" s="142"/>
      <c r="S343" s="142"/>
      <c r="T343" s="142"/>
      <c r="U343" s="142"/>
      <c r="V343" s="142"/>
      <c r="W343" s="142"/>
      <c r="X343" s="142"/>
      <c r="Y343" s="142"/>
      <c r="Z343" s="142"/>
      <c r="AA343" s="142"/>
      <c r="AB343" s="142"/>
      <c r="AC343" s="142"/>
      <c r="AD343" s="142"/>
      <c r="AE343" s="142"/>
      <c r="AF343" s="142"/>
      <c r="AG343" s="142"/>
      <c r="AH343" s="142"/>
      <c r="AI343" s="142"/>
      <c r="AJ343" s="142"/>
      <c r="AK343" s="142"/>
      <c r="AL343" s="142"/>
      <c r="AM343" s="142"/>
      <c r="AN343" s="142"/>
      <c r="AO343" s="142"/>
      <c r="AP343" s="130"/>
      <c r="AQ343" s="130"/>
      <c r="AR343" s="130"/>
      <c r="AS343" s="130"/>
      <c r="AT343" s="130"/>
      <c r="AU343" s="130"/>
      <c r="AV343" s="130"/>
      <c r="AW343" s="130"/>
      <c r="AX343" s="130"/>
      <c r="AY343" s="130"/>
      <c r="AZ343" s="130"/>
      <c r="BA343" s="130"/>
      <c r="BB343" s="130"/>
      <c r="BC343" s="130"/>
      <c r="BD343" s="130"/>
    </row>
    <row r="344" ht="15.75" customHeight="1">
      <c r="A344" s="142"/>
      <c r="B344" s="142"/>
      <c r="C344" s="198"/>
      <c r="D344" s="142"/>
      <c r="E344" s="131"/>
      <c r="F344" s="142"/>
      <c r="G344" s="142"/>
      <c r="H344" s="131"/>
      <c r="I344" s="142"/>
      <c r="J344" s="142"/>
      <c r="K344" s="132"/>
      <c r="L344" s="131"/>
      <c r="M344" s="142"/>
      <c r="N344" s="142"/>
      <c r="O344" s="142"/>
      <c r="P344" s="142"/>
      <c r="Q344" s="142"/>
      <c r="R344" s="142"/>
      <c r="S344" s="142"/>
      <c r="T344" s="142"/>
      <c r="U344" s="142"/>
      <c r="V344" s="142"/>
      <c r="W344" s="142"/>
      <c r="X344" s="142"/>
      <c r="Y344" s="142"/>
      <c r="Z344" s="142"/>
      <c r="AA344" s="142"/>
      <c r="AB344" s="142"/>
      <c r="AC344" s="142"/>
      <c r="AD344" s="142"/>
      <c r="AE344" s="142"/>
      <c r="AF344" s="142"/>
      <c r="AG344" s="142"/>
      <c r="AH344" s="142"/>
      <c r="AI344" s="142"/>
      <c r="AJ344" s="142"/>
      <c r="AK344" s="142"/>
      <c r="AL344" s="142"/>
      <c r="AM344" s="142"/>
      <c r="AN344" s="142"/>
      <c r="AO344" s="142"/>
      <c r="AP344" s="130"/>
      <c r="AQ344" s="130"/>
      <c r="AR344" s="130"/>
      <c r="AS344" s="130"/>
      <c r="AT344" s="130"/>
      <c r="AU344" s="130"/>
      <c r="AV344" s="130"/>
      <c r="AW344" s="130"/>
      <c r="AX344" s="130"/>
      <c r="AY344" s="130"/>
      <c r="AZ344" s="130"/>
      <c r="BA344" s="130"/>
      <c r="BB344" s="130"/>
      <c r="BC344" s="130"/>
      <c r="BD344" s="130"/>
    </row>
    <row r="345" ht="15.75" customHeight="1">
      <c r="A345" s="142"/>
      <c r="B345" s="142"/>
      <c r="C345" s="198"/>
      <c r="D345" s="142"/>
      <c r="E345" s="131"/>
      <c r="F345" s="142"/>
      <c r="G345" s="142"/>
      <c r="H345" s="131"/>
      <c r="I345" s="142"/>
      <c r="J345" s="142"/>
      <c r="K345" s="132"/>
      <c r="L345" s="131"/>
      <c r="M345" s="142"/>
      <c r="N345" s="142"/>
      <c r="O345" s="142"/>
      <c r="P345" s="142"/>
      <c r="Q345" s="142"/>
      <c r="R345" s="142"/>
      <c r="S345" s="142"/>
      <c r="T345" s="142"/>
      <c r="U345" s="142"/>
      <c r="V345" s="142"/>
      <c r="W345" s="142"/>
      <c r="X345" s="142"/>
      <c r="Y345" s="142"/>
      <c r="Z345" s="142"/>
      <c r="AA345" s="142"/>
      <c r="AB345" s="142"/>
      <c r="AC345" s="142"/>
      <c r="AD345" s="142"/>
      <c r="AE345" s="142"/>
      <c r="AF345" s="142"/>
      <c r="AG345" s="142"/>
      <c r="AH345" s="142"/>
      <c r="AI345" s="142"/>
      <c r="AJ345" s="142"/>
      <c r="AK345" s="142"/>
      <c r="AL345" s="142"/>
      <c r="AM345" s="142"/>
      <c r="AN345" s="142"/>
      <c r="AO345" s="142"/>
      <c r="AP345" s="130"/>
      <c r="AQ345" s="130"/>
      <c r="AR345" s="130"/>
      <c r="AS345" s="130"/>
      <c r="AT345" s="130"/>
      <c r="AU345" s="130"/>
      <c r="AV345" s="130"/>
      <c r="AW345" s="130"/>
      <c r="AX345" s="130"/>
      <c r="AY345" s="130"/>
      <c r="AZ345" s="130"/>
      <c r="BA345" s="130"/>
      <c r="BB345" s="130"/>
      <c r="BC345" s="130"/>
      <c r="BD345" s="130"/>
    </row>
    <row r="346" ht="15.75" customHeight="1">
      <c r="A346" s="142"/>
      <c r="B346" s="142"/>
      <c r="C346" s="198"/>
      <c r="D346" s="142"/>
      <c r="E346" s="131"/>
      <c r="F346" s="142"/>
      <c r="G346" s="142"/>
      <c r="H346" s="131"/>
      <c r="I346" s="142"/>
      <c r="J346" s="142"/>
      <c r="K346" s="132"/>
      <c r="L346" s="131"/>
      <c r="M346" s="142"/>
      <c r="N346" s="142"/>
      <c r="O346" s="142"/>
      <c r="P346" s="142"/>
      <c r="Q346" s="142"/>
      <c r="R346" s="142"/>
      <c r="S346" s="142"/>
      <c r="T346" s="142"/>
      <c r="U346" s="142"/>
      <c r="V346" s="142"/>
      <c r="W346" s="142"/>
      <c r="X346" s="142"/>
      <c r="Y346" s="142"/>
      <c r="Z346" s="142"/>
      <c r="AA346" s="142"/>
      <c r="AB346" s="142"/>
      <c r="AC346" s="142"/>
      <c r="AD346" s="142"/>
      <c r="AE346" s="142"/>
      <c r="AF346" s="142"/>
      <c r="AG346" s="142"/>
      <c r="AH346" s="142"/>
      <c r="AI346" s="142"/>
      <c r="AJ346" s="142"/>
      <c r="AK346" s="142"/>
      <c r="AL346" s="142"/>
      <c r="AM346" s="142"/>
      <c r="AN346" s="142"/>
      <c r="AO346" s="142"/>
      <c r="AP346" s="130"/>
      <c r="AQ346" s="130"/>
      <c r="AR346" s="130"/>
      <c r="AS346" s="130"/>
      <c r="AT346" s="130"/>
      <c r="AU346" s="130"/>
      <c r="AV346" s="130"/>
      <c r="AW346" s="130"/>
      <c r="AX346" s="130"/>
      <c r="AY346" s="130"/>
      <c r="AZ346" s="130"/>
      <c r="BA346" s="130"/>
      <c r="BB346" s="130"/>
      <c r="BC346" s="130"/>
      <c r="BD346" s="130"/>
    </row>
    <row r="347" ht="15.75" customHeight="1">
      <c r="A347" s="142"/>
      <c r="B347" s="142"/>
      <c r="C347" s="198"/>
      <c r="D347" s="142"/>
      <c r="E347" s="131"/>
      <c r="F347" s="142"/>
      <c r="G347" s="142"/>
      <c r="H347" s="131"/>
      <c r="I347" s="142"/>
      <c r="J347" s="142"/>
      <c r="K347" s="132"/>
      <c r="L347" s="131"/>
      <c r="M347" s="142"/>
      <c r="N347" s="142"/>
      <c r="O347" s="142"/>
      <c r="P347" s="142"/>
      <c r="Q347" s="142"/>
      <c r="R347" s="142"/>
      <c r="S347" s="142"/>
      <c r="T347" s="142"/>
      <c r="U347" s="142"/>
      <c r="V347" s="142"/>
      <c r="W347" s="142"/>
      <c r="X347" s="142"/>
      <c r="Y347" s="142"/>
      <c r="Z347" s="142"/>
      <c r="AA347" s="142"/>
      <c r="AB347" s="142"/>
      <c r="AC347" s="142"/>
      <c r="AD347" s="142"/>
      <c r="AE347" s="142"/>
      <c r="AF347" s="142"/>
      <c r="AG347" s="142"/>
      <c r="AH347" s="142"/>
      <c r="AI347" s="142"/>
      <c r="AJ347" s="142"/>
      <c r="AK347" s="142"/>
      <c r="AL347" s="142"/>
      <c r="AM347" s="142"/>
      <c r="AN347" s="142"/>
      <c r="AO347" s="142"/>
      <c r="AP347" s="130"/>
      <c r="AQ347" s="130"/>
      <c r="AR347" s="130"/>
      <c r="AS347" s="130"/>
      <c r="AT347" s="130"/>
      <c r="AU347" s="130"/>
      <c r="AV347" s="130"/>
      <c r="AW347" s="130"/>
      <c r="AX347" s="130"/>
      <c r="AY347" s="130"/>
      <c r="AZ347" s="130"/>
      <c r="BA347" s="130"/>
      <c r="BB347" s="130"/>
      <c r="BC347" s="130"/>
      <c r="BD347" s="130"/>
    </row>
    <row r="348" ht="15.75" customHeight="1">
      <c r="A348" s="142"/>
      <c r="B348" s="142"/>
      <c r="C348" s="198"/>
      <c r="D348" s="142"/>
      <c r="E348" s="131"/>
      <c r="F348" s="142"/>
      <c r="G348" s="142"/>
      <c r="H348" s="131"/>
      <c r="I348" s="142"/>
      <c r="J348" s="142"/>
      <c r="K348" s="132"/>
      <c r="L348" s="131"/>
      <c r="M348" s="142"/>
      <c r="N348" s="142"/>
      <c r="O348" s="142"/>
      <c r="P348" s="142"/>
      <c r="Q348" s="142"/>
      <c r="R348" s="142"/>
      <c r="S348" s="142"/>
      <c r="T348" s="142"/>
      <c r="U348" s="142"/>
      <c r="V348" s="142"/>
      <c r="W348" s="142"/>
      <c r="X348" s="142"/>
      <c r="Y348" s="142"/>
      <c r="Z348" s="142"/>
      <c r="AA348" s="142"/>
      <c r="AB348" s="142"/>
      <c r="AC348" s="142"/>
      <c r="AD348" s="142"/>
      <c r="AE348" s="142"/>
      <c r="AF348" s="142"/>
      <c r="AG348" s="142"/>
      <c r="AH348" s="142"/>
      <c r="AI348" s="142"/>
      <c r="AJ348" s="142"/>
      <c r="AK348" s="142"/>
      <c r="AL348" s="142"/>
      <c r="AM348" s="142"/>
      <c r="AN348" s="142"/>
      <c r="AO348" s="142"/>
      <c r="AP348" s="130"/>
      <c r="AQ348" s="130"/>
      <c r="AR348" s="130"/>
      <c r="AS348" s="130"/>
      <c r="AT348" s="130"/>
      <c r="AU348" s="130"/>
      <c r="AV348" s="130"/>
      <c r="AW348" s="130"/>
      <c r="AX348" s="130"/>
      <c r="AY348" s="130"/>
      <c r="AZ348" s="130"/>
      <c r="BA348" s="130"/>
      <c r="BB348" s="130"/>
      <c r="BC348" s="130"/>
      <c r="BD348" s="130"/>
    </row>
    <row r="349" ht="15.75" customHeight="1">
      <c r="A349" s="142"/>
      <c r="B349" s="142"/>
      <c r="C349" s="198"/>
      <c r="D349" s="142"/>
      <c r="E349" s="131"/>
      <c r="F349" s="142"/>
      <c r="G349" s="142"/>
      <c r="H349" s="131"/>
      <c r="I349" s="142"/>
      <c r="J349" s="142"/>
      <c r="K349" s="132"/>
      <c r="L349" s="131"/>
      <c r="M349" s="142"/>
      <c r="N349" s="142"/>
      <c r="O349" s="142"/>
      <c r="P349" s="142"/>
      <c r="Q349" s="142"/>
      <c r="R349" s="142"/>
      <c r="S349" s="142"/>
      <c r="T349" s="142"/>
      <c r="U349" s="142"/>
      <c r="V349" s="142"/>
      <c r="W349" s="142"/>
      <c r="X349" s="142"/>
      <c r="Y349" s="142"/>
      <c r="Z349" s="142"/>
      <c r="AA349" s="142"/>
      <c r="AB349" s="142"/>
      <c r="AC349" s="142"/>
      <c r="AD349" s="142"/>
      <c r="AE349" s="142"/>
      <c r="AF349" s="142"/>
      <c r="AG349" s="142"/>
      <c r="AH349" s="142"/>
      <c r="AI349" s="142"/>
      <c r="AJ349" s="142"/>
      <c r="AK349" s="142"/>
      <c r="AL349" s="142"/>
      <c r="AM349" s="142"/>
      <c r="AN349" s="142"/>
      <c r="AO349" s="142"/>
      <c r="AP349" s="130"/>
      <c r="AQ349" s="130"/>
      <c r="AR349" s="130"/>
      <c r="AS349" s="130"/>
      <c r="AT349" s="130"/>
      <c r="AU349" s="130"/>
      <c r="AV349" s="130"/>
      <c r="AW349" s="130"/>
      <c r="AX349" s="130"/>
      <c r="AY349" s="130"/>
      <c r="AZ349" s="130"/>
      <c r="BA349" s="130"/>
      <c r="BB349" s="130"/>
      <c r="BC349" s="130"/>
      <c r="BD349" s="130"/>
    </row>
    <row r="350" ht="15.75" customHeight="1">
      <c r="A350" s="142"/>
      <c r="B350" s="142"/>
      <c r="C350" s="198"/>
      <c r="D350" s="142"/>
      <c r="E350" s="131"/>
      <c r="F350" s="142"/>
      <c r="G350" s="142"/>
      <c r="H350" s="131"/>
      <c r="I350" s="142"/>
      <c r="J350" s="142"/>
      <c r="K350" s="132"/>
      <c r="L350" s="131"/>
      <c r="M350" s="142"/>
      <c r="N350" s="142"/>
      <c r="O350" s="142"/>
      <c r="P350" s="142"/>
      <c r="Q350" s="142"/>
      <c r="R350" s="142"/>
      <c r="S350" s="142"/>
      <c r="T350" s="142"/>
      <c r="U350" s="142"/>
      <c r="V350" s="142"/>
      <c r="W350" s="142"/>
      <c r="X350" s="142"/>
      <c r="Y350" s="142"/>
      <c r="Z350" s="142"/>
      <c r="AA350" s="142"/>
      <c r="AB350" s="142"/>
      <c r="AC350" s="142"/>
      <c r="AD350" s="142"/>
      <c r="AE350" s="142"/>
      <c r="AF350" s="142"/>
      <c r="AG350" s="142"/>
      <c r="AH350" s="142"/>
      <c r="AI350" s="142"/>
      <c r="AJ350" s="142"/>
      <c r="AK350" s="142"/>
      <c r="AL350" s="142"/>
      <c r="AM350" s="142"/>
      <c r="AN350" s="142"/>
      <c r="AO350" s="142"/>
      <c r="AP350" s="130"/>
      <c r="AQ350" s="130"/>
      <c r="AR350" s="130"/>
      <c r="AS350" s="130"/>
      <c r="AT350" s="130"/>
      <c r="AU350" s="130"/>
      <c r="AV350" s="130"/>
      <c r="AW350" s="130"/>
      <c r="AX350" s="130"/>
      <c r="AY350" s="130"/>
      <c r="AZ350" s="130"/>
      <c r="BA350" s="130"/>
      <c r="BB350" s="130"/>
      <c r="BC350" s="130"/>
      <c r="BD350" s="130"/>
    </row>
    <row r="351" ht="15.75" customHeight="1">
      <c r="A351" s="142"/>
      <c r="B351" s="142"/>
      <c r="C351" s="198"/>
      <c r="D351" s="142"/>
      <c r="E351" s="131"/>
      <c r="F351" s="142"/>
      <c r="G351" s="142"/>
      <c r="H351" s="131"/>
      <c r="I351" s="142"/>
      <c r="J351" s="142"/>
      <c r="K351" s="132"/>
      <c r="L351" s="131"/>
      <c r="M351" s="142"/>
      <c r="N351" s="142"/>
      <c r="O351" s="142"/>
      <c r="P351" s="142"/>
      <c r="Q351" s="142"/>
      <c r="R351" s="142"/>
      <c r="S351" s="142"/>
      <c r="T351" s="142"/>
      <c r="U351" s="142"/>
      <c r="V351" s="142"/>
      <c r="W351" s="142"/>
      <c r="X351" s="142"/>
      <c r="Y351" s="142"/>
      <c r="Z351" s="142"/>
      <c r="AA351" s="142"/>
      <c r="AB351" s="142"/>
      <c r="AC351" s="142"/>
      <c r="AD351" s="142"/>
      <c r="AE351" s="142"/>
      <c r="AF351" s="142"/>
      <c r="AG351" s="142"/>
      <c r="AH351" s="142"/>
      <c r="AI351" s="142"/>
      <c r="AJ351" s="142"/>
      <c r="AK351" s="142"/>
      <c r="AL351" s="142"/>
      <c r="AM351" s="142"/>
      <c r="AN351" s="142"/>
      <c r="AO351" s="142"/>
      <c r="AP351" s="130"/>
      <c r="AQ351" s="130"/>
      <c r="AR351" s="130"/>
      <c r="AS351" s="130"/>
      <c r="AT351" s="130"/>
      <c r="AU351" s="130"/>
      <c r="AV351" s="130"/>
      <c r="AW351" s="130"/>
      <c r="AX351" s="130"/>
      <c r="AY351" s="130"/>
      <c r="AZ351" s="130"/>
      <c r="BA351" s="130"/>
      <c r="BB351" s="130"/>
      <c r="BC351" s="130"/>
      <c r="BD351" s="130"/>
    </row>
    <row r="352" ht="15.75" customHeight="1">
      <c r="A352" s="142"/>
      <c r="B352" s="142"/>
      <c r="C352" s="198"/>
      <c r="D352" s="142"/>
      <c r="E352" s="131"/>
      <c r="F352" s="142"/>
      <c r="G352" s="142"/>
      <c r="H352" s="131"/>
      <c r="I352" s="142"/>
      <c r="J352" s="142"/>
      <c r="K352" s="132"/>
      <c r="L352" s="131"/>
      <c r="M352" s="142"/>
      <c r="N352" s="142"/>
      <c r="O352" s="142"/>
      <c r="P352" s="142"/>
      <c r="Q352" s="142"/>
      <c r="R352" s="142"/>
      <c r="S352" s="142"/>
      <c r="T352" s="142"/>
      <c r="U352" s="142"/>
      <c r="V352" s="142"/>
      <c r="W352" s="142"/>
      <c r="X352" s="142"/>
      <c r="Y352" s="142"/>
      <c r="Z352" s="142"/>
      <c r="AA352" s="142"/>
      <c r="AB352" s="142"/>
      <c r="AC352" s="142"/>
      <c r="AD352" s="142"/>
      <c r="AE352" s="142"/>
      <c r="AF352" s="142"/>
      <c r="AG352" s="142"/>
      <c r="AH352" s="142"/>
      <c r="AI352" s="142"/>
      <c r="AJ352" s="142"/>
      <c r="AK352" s="142"/>
      <c r="AL352" s="142"/>
      <c r="AM352" s="142"/>
      <c r="AN352" s="142"/>
      <c r="AO352" s="142"/>
      <c r="AP352" s="130"/>
      <c r="AQ352" s="130"/>
      <c r="AR352" s="130"/>
      <c r="AS352" s="130"/>
      <c r="AT352" s="130"/>
      <c r="AU352" s="130"/>
      <c r="AV352" s="130"/>
      <c r="AW352" s="130"/>
      <c r="AX352" s="130"/>
      <c r="AY352" s="130"/>
      <c r="AZ352" s="130"/>
      <c r="BA352" s="130"/>
      <c r="BB352" s="130"/>
      <c r="BC352" s="130"/>
      <c r="BD352" s="130"/>
    </row>
    <row r="353" ht="15.75" customHeight="1">
      <c r="A353" s="142"/>
      <c r="B353" s="142"/>
      <c r="C353" s="198"/>
      <c r="D353" s="142"/>
      <c r="E353" s="131"/>
      <c r="F353" s="142"/>
      <c r="G353" s="142"/>
      <c r="H353" s="131"/>
      <c r="I353" s="142"/>
      <c r="J353" s="142"/>
      <c r="K353" s="132"/>
      <c r="L353" s="131"/>
      <c r="M353" s="142"/>
      <c r="N353" s="142"/>
      <c r="O353" s="142"/>
      <c r="P353" s="142"/>
      <c r="Q353" s="142"/>
      <c r="R353" s="142"/>
      <c r="S353" s="142"/>
      <c r="T353" s="142"/>
      <c r="U353" s="142"/>
      <c r="V353" s="142"/>
      <c r="W353" s="142"/>
      <c r="X353" s="142"/>
      <c r="Y353" s="142"/>
      <c r="Z353" s="142"/>
      <c r="AA353" s="142"/>
      <c r="AB353" s="142"/>
      <c r="AC353" s="142"/>
      <c r="AD353" s="142"/>
      <c r="AE353" s="142"/>
      <c r="AF353" s="142"/>
      <c r="AG353" s="142"/>
      <c r="AH353" s="142"/>
      <c r="AI353" s="142"/>
      <c r="AJ353" s="142"/>
      <c r="AK353" s="142"/>
      <c r="AL353" s="142"/>
      <c r="AM353" s="142"/>
      <c r="AN353" s="142"/>
      <c r="AO353" s="142"/>
      <c r="AP353" s="130"/>
      <c r="AQ353" s="130"/>
      <c r="AR353" s="130"/>
      <c r="AS353" s="130"/>
      <c r="AT353" s="130"/>
      <c r="AU353" s="130"/>
      <c r="AV353" s="130"/>
      <c r="AW353" s="130"/>
      <c r="AX353" s="130"/>
      <c r="AY353" s="130"/>
      <c r="AZ353" s="130"/>
      <c r="BA353" s="130"/>
      <c r="BB353" s="130"/>
      <c r="BC353" s="130"/>
      <c r="BD353" s="130"/>
    </row>
    <row r="354" ht="15.75" customHeight="1">
      <c r="A354" s="142"/>
      <c r="B354" s="142"/>
      <c r="C354" s="198"/>
      <c r="D354" s="142"/>
      <c r="E354" s="131"/>
      <c r="F354" s="142"/>
      <c r="G354" s="142"/>
      <c r="H354" s="131"/>
      <c r="I354" s="142"/>
      <c r="J354" s="142"/>
      <c r="K354" s="132"/>
      <c r="L354" s="131"/>
      <c r="M354" s="142"/>
      <c r="N354" s="142"/>
      <c r="O354" s="142"/>
      <c r="P354" s="142"/>
      <c r="Q354" s="142"/>
      <c r="R354" s="142"/>
      <c r="S354" s="142"/>
      <c r="T354" s="142"/>
      <c r="U354" s="142"/>
      <c r="V354" s="142"/>
      <c r="W354" s="142"/>
      <c r="X354" s="142"/>
      <c r="Y354" s="142"/>
      <c r="Z354" s="142"/>
      <c r="AA354" s="142"/>
      <c r="AB354" s="142"/>
      <c r="AC354" s="142"/>
      <c r="AD354" s="142"/>
      <c r="AE354" s="142"/>
      <c r="AF354" s="142"/>
      <c r="AG354" s="142"/>
      <c r="AH354" s="142"/>
      <c r="AI354" s="142"/>
      <c r="AJ354" s="142"/>
      <c r="AK354" s="142"/>
      <c r="AL354" s="142"/>
      <c r="AM354" s="142"/>
      <c r="AN354" s="142"/>
      <c r="AO354" s="142"/>
      <c r="AP354" s="130"/>
      <c r="AQ354" s="130"/>
      <c r="AR354" s="130"/>
      <c r="AS354" s="130"/>
      <c r="AT354" s="130"/>
      <c r="AU354" s="130"/>
      <c r="AV354" s="130"/>
      <c r="AW354" s="130"/>
      <c r="AX354" s="130"/>
      <c r="AY354" s="130"/>
      <c r="AZ354" s="130"/>
      <c r="BA354" s="130"/>
      <c r="BB354" s="130"/>
      <c r="BC354" s="130"/>
      <c r="BD354" s="130"/>
    </row>
    <row r="355" ht="15.75" customHeight="1">
      <c r="A355" s="142"/>
      <c r="B355" s="142"/>
      <c r="C355" s="198"/>
      <c r="D355" s="142"/>
      <c r="E355" s="131"/>
      <c r="F355" s="142"/>
      <c r="G355" s="142"/>
      <c r="H355" s="131"/>
      <c r="I355" s="142"/>
      <c r="J355" s="142"/>
      <c r="K355" s="132"/>
      <c r="L355" s="131"/>
      <c r="M355" s="142"/>
      <c r="N355" s="142"/>
      <c r="O355" s="142"/>
      <c r="P355" s="142"/>
      <c r="Q355" s="142"/>
      <c r="R355" s="142"/>
      <c r="S355" s="142"/>
      <c r="T355" s="142"/>
      <c r="U355" s="142"/>
      <c r="V355" s="142"/>
      <c r="W355" s="142"/>
      <c r="X355" s="142"/>
      <c r="Y355" s="142"/>
      <c r="Z355" s="142"/>
      <c r="AA355" s="142"/>
      <c r="AB355" s="142"/>
      <c r="AC355" s="142"/>
      <c r="AD355" s="142"/>
      <c r="AE355" s="142"/>
      <c r="AF355" s="142"/>
      <c r="AG355" s="142"/>
      <c r="AH355" s="142"/>
      <c r="AI355" s="142"/>
      <c r="AJ355" s="142"/>
      <c r="AK355" s="142"/>
      <c r="AL355" s="142"/>
      <c r="AM355" s="142"/>
      <c r="AN355" s="142"/>
      <c r="AO355" s="142"/>
      <c r="AP355" s="130"/>
      <c r="AQ355" s="130"/>
      <c r="AR355" s="130"/>
      <c r="AS355" s="130"/>
      <c r="AT355" s="130"/>
      <c r="AU355" s="130"/>
      <c r="AV355" s="130"/>
      <c r="AW355" s="130"/>
      <c r="AX355" s="130"/>
      <c r="AY355" s="130"/>
      <c r="AZ355" s="130"/>
      <c r="BA355" s="130"/>
      <c r="BB355" s="130"/>
      <c r="BC355" s="130"/>
      <c r="BD355" s="130"/>
    </row>
    <row r="356" ht="15.75" customHeight="1">
      <c r="A356" s="142"/>
      <c r="B356" s="142"/>
      <c r="C356" s="198"/>
      <c r="D356" s="142"/>
      <c r="E356" s="131"/>
      <c r="F356" s="142"/>
      <c r="G356" s="142"/>
      <c r="H356" s="131"/>
      <c r="I356" s="142"/>
      <c r="J356" s="142"/>
      <c r="K356" s="132"/>
      <c r="L356" s="131"/>
      <c r="M356" s="142"/>
      <c r="N356" s="142"/>
      <c r="O356" s="142"/>
      <c r="P356" s="142"/>
      <c r="Q356" s="142"/>
      <c r="R356" s="142"/>
      <c r="S356" s="142"/>
      <c r="T356" s="142"/>
      <c r="U356" s="142"/>
      <c r="V356" s="142"/>
      <c r="W356" s="142"/>
      <c r="X356" s="142"/>
      <c r="Y356" s="142"/>
      <c r="Z356" s="142"/>
      <c r="AA356" s="142"/>
      <c r="AB356" s="142"/>
      <c r="AC356" s="142"/>
      <c r="AD356" s="142"/>
      <c r="AE356" s="142"/>
      <c r="AF356" s="142"/>
      <c r="AG356" s="142"/>
      <c r="AH356" s="142"/>
      <c r="AI356" s="142"/>
      <c r="AJ356" s="142"/>
      <c r="AK356" s="142"/>
      <c r="AL356" s="142"/>
      <c r="AM356" s="142"/>
      <c r="AN356" s="142"/>
      <c r="AO356" s="142"/>
      <c r="AP356" s="130"/>
      <c r="AQ356" s="130"/>
      <c r="AR356" s="130"/>
      <c r="AS356" s="130"/>
      <c r="AT356" s="130"/>
      <c r="AU356" s="130"/>
      <c r="AV356" s="130"/>
      <c r="AW356" s="130"/>
      <c r="AX356" s="130"/>
      <c r="AY356" s="130"/>
      <c r="AZ356" s="130"/>
      <c r="BA356" s="130"/>
      <c r="BB356" s="130"/>
      <c r="BC356" s="130"/>
      <c r="BD356" s="130"/>
    </row>
    <row r="357" ht="15.75" customHeight="1">
      <c r="A357" s="142"/>
      <c r="B357" s="142"/>
      <c r="C357" s="198"/>
      <c r="D357" s="142"/>
      <c r="E357" s="131"/>
      <c r="F357" s="142"/>
      <c r="G357" s="142"/>
      <c r="H357" s="131"/>
      <c r="I357" s="142"/>
      <c r="J357" s="142"/>
      <c r="K357" s="132"/>
      <c r="L357" s="131"/>
      <c r="M357" s="142"/>
      <c r="N357" s="142"/>
      <c r="O357" s="142"/>
      <c r="P357" s="142"/>
      <c r="Q357" s="142"/>
      <c r="R357" s="142"/>
      <c r="S357" s="142"/>
      <c r="T357" s="142"/>
      <c r="U357" s="142"/>
      <c r="V357" s="142"/>
      <c r="W357" s="142"/>
      <c r="X357" s="142"/>
      <c r="Y357" s="142"/>
      <c r="Z357" s="142"/>
      <c r="AA357" s="142"/>
      <c r="AB357" s="142"/>
      <c r="AC357" s="142"/>
      <c r="AD357" s="142"/>
      <c r="AE357" s="142"/>
      <c r="AF357" s="142"/>
      <c r="AG357" s="142"/>
      <c r="AH357" s="142"/>
      <c r="AI357" s="142"/>
      <c r="AJ357" s="142"/>
      <c r="AK357" s="142"/>
      <c r="AL357" s="142"/>
      <c r="AM357" s="142"/>
      <c r="AN357" s="142"/>
      <c r="AO357" s="142"/>
      <c r="AP357" s="130"/>
      <c r="AQ357" s="130"/>
      <c r="AR357" s="130"/>
      <c r="AS357" s="130"/>
      <c r="AT357" s="130"/>
      <c r="AU357" s="130"/>
      <c r="AV357" s="130"/>
      <c r="AW357" s="130"/>
      <c r="AX357" s="130"/>
      <c r="AY357" s="130"/>
      <c r="AZ357" s="130"/>
      <c r="BA357" s="130"/>
      <c r="BB357" s="130"/>
      <c r="BC357" s="130"/>
      <c r="BD357" s="130"/>
    </row>
    <row r="358" ht="15.75" customHeight="1">
      <c r="A358" s="142"/>
      <c r="B358" s="142"/>
      <c r="C358" s="198"/>
      <c r="D358" s="142"/>
      <c r="E358" s="131"/>
      <c r="F358" s="142"/>
      <c r="G358" s="142"/>
      <c r="H358" s="131"/>
      <c r="I358" s="142"/>
      <c r="J358" s="142"/>
      <c r="K358" s="132"/>
      <c r="L358" s="131"/>
      <c r="M358" s="142"/>
      <c r="N358" s="142"/>
      <c r="O358" s="142"/>
      <c r="P358" s="142"/>
      <c r="Q358" s="142"/>
      <c r="R358" s="142"/>
      <c r="S358" s="142"/>
      <c r="T358" s="142"/>
      <c r="U358" s="142"/>
      <c r="V358" s="142"/>
      <c r="W358" s="142"/>
      <c r="X358" s="142"/>
      <c r="Y358" s="142"/>
      <c r="Z358" s="142"/>
      <c r="AA358" s="142"/>
      <c r="AB358" s="142"/>
      <c r="AC358" s="142"/>
      <c r="AD358" s="142"/>
      <c r="AE358" s="142"/>
      <c r="AF358" s="142"/>
      <c r="AG358" s="142"/>
      <c r="AH358" s="142"/>
      <c r="AI358" s="142"/>
      <c r="AJ358" s="142"/>
      <c r="AK358" s="142"/>
      <c r="AL358" s="142"/>
      <c r="AM358" s="142"/>
      <c r="AN358" s="142"/>
      <c r="AO358" s="142"/>
      <c r="AP358" s="130"/>
      <c r="AQ358" s="130"/>
      <c r="AR358" s="130"/>
      <c r="AS358" s="130"/>
      <c r="AT358" s="130"/>
      <c r="AU358" s="130"/>
      <c r="AV358" s="130"/>
      <c r="AW358" s="130"/>
      <c r="AX358" s="130"/>
      <c r="AY358" s="130"/>
      <c r="AZ358" s="130"/>
      <c r="BA358" s="130"/>
      <c r="BB358" s="130"/>
      <c r="BC358" s="130"/>
      <c r="BD358" s="130"/>
    </row>
    <row r="359" ht="15.75" customHeight="1">
      <c r="A359" s="142"/>
      <c r="B359" s="142"/>
      <c r="C359" s="198"/>
      <c r="D359" s="142"/>
      <c r="E359" s="131"/>
      <c r="F359" s="142"/>
      <c r="G359" s="142"/>
      <c r="H359" s="131"/>
      <c r="I359" s="142"/>
      <c r="J359" s="142"/>
      <c r="K359" s="132"/>
      <c r="L359" s="131"/>
      <c r="M359" s="142"/>
      <c r="N359" s="142"/>
      <c r="O359" s="142"/>
      <c r="P359" s="142"/>
      <c r="Q359" s="142"/>
      <c r="R359" s="142"/>
      <c r="S359" s="142"/>
      <c r="T359" s="142"/>
      <c r="U359" s="142"/>
      <c r="V359" s="142"/>
      <c r="W359" s="142"/>
      <c r="X359" s="142"/>
      <c r="Y359" s="142"/>
      <c r="Z359" s="142"/>
      <c r="AA359" s="142"/>
      <c r="AB359" s="142"/>
      <c r="AC359" s="142"/>
      <c r="AD359" s="142"/>
      <c r="AE359" s="142"/>
      <c r="AF359" s="142"/>
      <c r="AG359" s="142"/>
      <c r="AH359" s="142"/>
      <c r="AI359" s="142"/>
      <c r="AJ359" s="142"/>
      <c r="AK359" s="142"/>
      <c r="AL359" s="142"/>
      <c r="AM359" s="142"/>
      <c r="AN359" s="142"/>
      <c r="AO359" s="142"/>
      <c r="AP359" s="130"/>
      <c r="AQ359" s="130"/>
      <c r="AR359" s="130"/>
      <c r="AS359" s="130"/>
      <c r="AT359" s="130"/>
      <c r="AU359" s="130"/>
      <c r="AV359" s="130"/>
      <c r="AW359" s="130"/>
      <c r="AX359" s="130"/>
      <c r="AY359" s="130"/>
      <c r="AZ359" s="130"/>
      <c r="BA359" s="130"/>
      <c r="BB359" s="130"/>
      <c r="BC359" s="130"/>
      <c r="BD359" s="130"/>
    </row>
    <row r="360" ht="15.75" customHeight="1">
      <c r="A360" s="142"/>
      <c r="B360" s="142"/>
      <c r="C360" s="198"/>
      <c r="D360" s="142"/>
      <c r="E360" s="131"/>
      <c r="F360" s="142"/>
      <c r="G360" s="142"/>
      <c r="H360" s="131"/>
      <c r="I360" s="142"/>
      <c r="J360" s="142"/>
      <c r="K360" s="132"/>
      <c r="L360" s="131"/>
      <c r="M360" s="142"/>
      <c r="N360" s="142"/>
      <c r="O360" s="142"/>
      <c r="P360" s="142"/>
      <c r="Q360" s="142"/>
      <c r="R360" s="142"/>
      <c r="S360" s="142"/>
      <c r="T360" s="142"/>
      <c r="U360" s="142"/>
      <c r="V360" s="142"/>
      <c r="W360" s="142"/>
      <c r="X360" s="142"/>
      <c r="Y360" s="142"/>
      <c r="Z360" s="142"/>
      <c r="AA360" s="142"/>
      <c r="AB360" s="142"/>
      <c r="AC360" s="142"/>
      <c r="AD360" s="142"/>
      <c r="AE360" s="142"/>
      <c r="AF360" s="142"/>
      <c r="AG360" s="142"/>
      <c r="AH360" s="142"/>
      <c r="AI360" s="142"/>
      <c r="AJ360" s="142"/>
      <c r="AK360" s="142"/>
      <c r="AL360" s="142"/>
      <c r="AM360" s="142"/>
      <c r="AN360" s="142"/>
      <c r="AO360" s="142"/>
      <c r="AP360" s="130"/>
      <c r="AQ360" s="130"/>
      <c r="AR360" s="130"/>
      <c r="AS360" s="130"/>
      <c r="AT360" s="130"/>
      <c r="AU360" s="130"/>
      <c r="AV360" s="130"/>
      <c r="AW360" s="130"/>
      <c r="AX360" s="130"/>
      <c r="AY360" s="130"/>
      <c r="AZ360" s="130"/>
      <c r="BA360" s="130"/>
      <c r="BB360" s="130"/>
      <c r="BC360" s="130"/>
      <c r="BD360" s="130"/>
    </row>
    <row r="361" ht="15.75" customHeight="1">
      <c r="A361" s="142"/>
      <c r="B361" s="142"/>
      <c r="C361" s="198"/>
      <c r="D361" s="142"/>
      <c r="E361" s="131"/>
      <c r="F361" s="142"/>
      <c r="G361" s="142"/>
      <c r="H361" s="131"/>
      <c r="I361" s="142"/>
      <c r="J361" s="142"/>
      <c r="K361" s="132"/>
      <c r="L361" s="131"/>
      <c r="M361" s="142"/>
      <c r="N361" s="142"/>
      <c r="O361" s="142"/>
      <c r="P361" s="142"/>
      <c r="Q361" s="142"/>
      <c r="R361" s="142"/>
      <c r="S361" s="142"/>
      <c r="T361" s="142"/>
      <c r="U361" s="142"/>
      <c r="V361" s="142"/>
      <c r="W361" s="142"/>
      <c r="X361" s="142"/>
      <c r="Y361" s="142"/>
      <c r="Z361" s="142"/>
      <c r="AA361" s="142"/>
      <c r="AB361" s="142"/>
      <c r="AC361" s="142"/>
      <c r="AD361" s="142"/>
      <c r="AE361" s="142"/>
      <c r="AF361" s="142"/>
      <c r="AG361" s="142"/>
      <c r="AH361" s="142"/>
      <c r="AI361" s="142"/>
      <c r="AJ361" s="142"/>
      <c r="AK361" s="142"/>
      <c r="AL361" s="142"/>
      <c r="AM361" s="142"/>
      <c r="AN361" s="142"/>
      <c r="AO361" s="142"/>
      <c r="AP361" s="130"/>
      <c r="AQ361" s="130"/>
      <c r="AR361" s="130"/>
      <c r="AS361" s="130"/>
      <c r="AT361" s="130"/>
      <c r="AU361" s="130"/>
      <c r="AV361" s="130"/>
      <c r="AW361" s="130"/>
      <c r="AX361" s="130"/>
      <c r="AY361" s="130"/>
      <c r="AZ361" s="130"/>
      <c r="BA361" s="130"/>
      <c r="BB361" s="130"/>
      <c r="BC361" s="130"/>
      <c r="BD361" s="130"/>
    </row>
    <row r="362" ht="15.75" customHeight="1">
      <c r="A362" s="142"/>
      <c r="B362" s="142"/>
      <c r="C362" s="198"/>
      <c r="D362" s="142"/>
      <c r="E362" s="131"/>
      <c r="F362" s="142"/>
      <c r="G362" s="142"/>
      <c r="H362" s="131"/>
      <c r="I362" s="142"/>
      <c r="J362" s="142"/>
      <c r="K362" s="132"/>
      <c r="L362" s="131"/>
      <c r="M362" s="142"/>
      <c r="N362" s="142"/>
      <c r="O362" s="142"/>
      <c r="P362" s="142"/>
      <c r="Q362" s="142"/>
      <c r="R362" s="142"/>
      <c r="S362" s="142"/>
      <c r="T362" s="142"/>
      <c r="U362" s="142"/>
      <c r="V362" s="142"/>
      <c r="W362" s="142"/>
      <c r="X362" s="142"/>
      <c r="Y362" s="142"/>
      <c r="Z362" s="142"/>
      <c r="AA362" s="142"/>
      <c r="AB362" s="142"/>
      <c r="AC362" s="142"/>
      <c r="AD362" s="142"/>
      <c r="AE362" s="142"/>
      <c r="AF362" s="142"/>
      <c r="AG362" s="142"/>
      <c r="AH362" s="142"/>
      <c r="AI362" s="142"/>
      <c r="AJ362" s="142"/>
      <c r="AK362" s="142"/>
      <c r="AL362" s="142"/>
      <c r="AM362" s="142"/>
      <c r="AN362" s="142"/>
      <c r="AO362" s="142"/>
      <c r="AP362" s="130"/>
      <c r="AQ362" s="130"/>
      <c r="AR362" s="130"/>
      <c r="AS362" s="130"/>
      <c r="AT362" s="130"/>
      <c r="AU362" s="130"/>
      <c r="AV362" s="130"/>
      <c r="AW362" s="130"/>
      <c r="AX362" s="130"/>
      <c r="AY362" s="130"/>
      <c r="AZ362" s="130"/>
      <c r="BA362" s="130"/>
      <c r="BB362" s="130"/>
      <c r="BC362" s="130"/>
      <c r="BD362" s="130"/>
    </row>
    <row r="363" ht="15.75" customHeight="1">
      <c r="A363" s="142"/>
      <c r="B363" s="142"/>
      <c r="C363" s="198"/>
      <c r="D363" s="142"/>
      <c r="E363" s="131"/>
      <c r="F363" s="142"/>
      <c r="G363" s="142"/>
      <c r="H363" s="131"/>
      <c r="I363" s="142"/>
      <c r="J363" s="142"/>
      <c r="K363" s="132"/>
      <c r="L363" s="131"/>
      <c r="M363" s="142"/>
      <c r="N363" s="142"/>
      <c r="O363" s="142"/>
      <c r="P363" s="142"/>
      <c r="Q363" s="142"/>
      <c r="R363" s="142"/>
      <c r="S363" s="142"/>
      <c r="T363" s="142"/>
      <c r="U363" s="142"/>
      <c r="V363" s="142"/>
      <c r="W363" s="142"/>
      <c r="X363" s="142"/>
      <c r="Y363" s="142"/>
      <c r="Z363" s="142"/>
      <c r="AA363" s="142"/>
      <c r="AB363" s="142"/>
      <c r="AC363" s="142"/>
      <c r="AD363" s="142"/>
      <c r="AE363" s="142"/>
      <c r="AF363" s="142"/>
      <c r="AG363" s="142"/>
      <c r="AH363" s="142"/>
      <c r="AI363" s="142"/>
      <c r="AJ363" s="142"/>
      <c r="AK363" s="142"/>
      <c r="AL363" s="142"/>
      <c r="AM363" s="142"/>
      <c r="AN363" s="142"/>
      <c r="AO363" s="142"/>
      <c r="AP363" s="130"/>
      <c r="AQ363" s="130"/>
      <c r="AR363" s="130"/>
      <c r="AS363" s="130"/>
      <c r="AT363" s="130"/>
      <c r="AU363" s="130"/>
      <c r="AV363" s="130"/>
      <c r="AW363" s="130"/>
      <c r="AX363" s="130"/>
      <c r="AY363" s="130"/>
      <c r="AZ363" s="130"/>
      <c r="BA363" s="130"/>
      <c r="BB363" s="130"/>
      <c r="BC363" s="130"/>
      <c r="BD363" s="130"/>
    </row>
    <row r="364" ht="15.75" customHeight="1">
      <c r="A364" s="142"/>
      <c r="B364" s="142"/>
      <c r="C364" s="198"/>
      <c r="D364" s="142"/>
      <c r="E364" s="131"/>
      <c r="F364" s="142"/>
      <c r="G364" s="142"/>
      <c r="H364" s="131"/>
      <c r="I364" s="142"/>
      <c r="J364" s="142"/>
      <c r="K364" s="132"/>
      <c r="L364" s="131"/>
      <c r="M364" s="142"/>
      <c r="N364" s="142"/>
      <c r="O364" s="142"/>
      <c r="P364" s="142"/>
      <c r="Q364" s="142"/>
      <c r="R364" s="142"/>
      <c r="S364" s="142"/>
      <c r="T364" s="142"/>
      <c r="U364" s="142"/>
      <c r="V364" s="142"/>
      <c r="W364" s="142"/>
      <c r="X364" s="142"/>
      <c r="Y364" s="142"/>
      <c r="Z364" s="142"/>
      <c r="AA364" s="142"/>
      <c r="AB364" s="142"/>
      <c r="AC364" s="142"/>
      <c r="AD364" s="142"/>
      <c r="AE364" s="142"/>
      <c r="AF364" s="142"/>
      <c r="AG364" s="142"/>
      <c r="AH364" s="142"/>
      <c r="AI364" s="142"/>
      <c r="AJ364" s="142"/>
      <c r="AK364" s="142"/>
      <c r="AL364" s="142"/>
      <c r="AM364" s="142"/>
      <c r="AN364" s="142"/>
      <c r="AO364" s="142"/>
      <c r="AP364" s="130"/>
      <c r="AQ364" s="130"/>
      <c r="AR364" s="130"/>
      <c r="AS364" s="130"/>
      <c r="AT364" s="130"/>
      <c r="AU364" s="130"/>
      <c r="AV364" s="130"/>
      <c r="AW364" s="130"/>
      <c r="AX364" s="130"/>
      <c r="AY364" s="130"/>
      <c r="AZ364" s="130"/>
      <c r="BA364" s="130"/>
      <c r="BB364" s="130"/>
      <c r="BC364" s="130"/>
      <c r="BD364" s="130"/>
    </row>
    <row r="365" ht="15.75" customHeight="1">
      <c r="A365" s="142"/>
      <c r="B365" s="142"/>
      <c r="C365" s="198"/>
      <c r="D365" s="142"/>
      <c r="E365" s="131"/>
      <c r="F365" s="142"/>
      <c r="G365" s="142"/>
      <c r="H365" s="131"/>
      <c r="I365" s="142"/>
      <c r="J365" s="142"/>
      <c r="K365" s="132"/>
      <c r="L365" s="131"/>
      <c r="M365" s="142"/>
      <c r="N365" s="142"/>
      <c r="O365" s="142"/>
      <c r="P365" s="142"/>
      <c r="Q365" s="142"/>
      <c r="R365" s="142"/>
      <c r="S365" s="142"/>
      <c r="T365" s="142"/>
      <c r="U365" s="142"/>
      <c r="V365" s="142"/>
      <c r="W365" s="142"/>
      <c r="X365" s="142"/>
      <c r="Y365" s="142"/>
      <c r="Z365" s="142"/>
      <c r="AA365" s="142"/>
      <c r="AB365" s="142"/>
      <c r="AC365" s="142"/>
      <c r="AD365" s="142"/>
      <c r="AE365" s="142"/>
      <c r="AF365" s="142"/>
      <c r="AG365" s="142"/>
      <c r="AH365" s="142"/>
      <c r="AI365" s="142"/>
      <c r="AJ365" s="142"/>
      <c r="AK365" s="142"/>
      <c r="AL365" s="142"/>
      <c r="AM365" s="142"/>
      <c r="AN365" s="142"/>
      <c r="AO365" s="142"/>
      <c r="AP365" s="130"/>
      <c r="AQ365" s="130"/>
      <c r="AR365" s="130"/>
      <c r="AS365" s="130"/>
      <c r="AT365" s="130"/>
      <c r="AU365" s="130"/>
      <c r="AV365" s="130"/>
      <c r="AW365" s="130"/>
      <c r="AX365" s="130"/>
      <c r="AY365" s="130"/>
      <c r="AZ365" s="130"/>
      <c r="BA365" s="130"/>
      <c r="BB365" s="130"/>
      <c r="BC365" s="130"/>
      <c r="BD365" s="130"/>
    </row>
    <row r="366" ht="15.75" customHeight="1">
      <c r="A366" s="142"/>
      <c r="B366" s="142"/>
      <c r="C366" s="198"/>
      <c r="D366" s="142"/>
      <c r="E366" s="131"/>
      <c r="F366" s="142"/>
      <c r="G366" s="142"/>
      <c r="H366" s="131"/>
      <c r="I366" s="142"/>
      <c r="J366" s="142"/>
      <c r="K366" s="132"/>
      <c r="L366" s="131"/>
      <c r="M366" s="142"/>
      <c r="N366" s="142"/>
      <c r="O366" s="142"/>
      <c r="P366" s="142"/>
      <c r="Q366" s="142"/>
      <c r="R366" s="142"/>
      <c r="S366" s="142"/>
      <c r="T366" s="142"/>
      <c r="U366" s="142"/>
      <c r="V366" s="142"/>
      <c r="W366" s="142"/>
      <c r="X366" s="142"/>
      <c r="Y366" s="142"/>
      <c r="Z366" s="142"/>
      <c r="AA366" s="142"/>
      <c r="AB366" s="142"/>
      <c r="AC366" s="142"/>
      <c r="AD366" s="142"/>
      <c r="AE366" s="142"/>
      <c r="AF366" s="142"/>
      <c r="AG366" s="142"/>
      <c r="AH366" s="142"/>
      <c r="AI366" s="142"/>
      <c r="AJ366" s="142"/>
      <c r="AK366" s="142"/>
      <c r="AL366" s="142"/>
      <c r="AM366" s="142"/>
      <c r="AN366" s="142"/>
      <c r="AO366" s="142"/>
      <c r="AP366" s="130"/>
      <c r="AQ366" s="130"/>
      <c r="AR366" s="130"/>
      <c r="AS366" s="130"/>
      <c r="AT366" s="130"/>
      <c r="AU366" s="130"/>
      <c r="AV366" s="130"/>
      <c r="AW366" s="130"/>
      <c r="AX366" s="130"/>
      <c r="AY366" s="130"/>
      <c r="AZ366" s="130"/>
      <c r="BA366" s="130"/>
      <c r="BB366" s="130"/>
      <c r="BC366" s="130"/>
      <c r="BD366" s="130"/>
    </row>
    <row r="367" ht="15.75" customHeight="1">
      <c r="A367" s="142"/>
      <c r="B367" s="142"/>
      <c r="C367" s="198"/>
      <c r="D367" s="142"/>
      <c r="E367" s="131"/>
      <c r="F367" s="142"/>
      <c r="G367" s="142"/>
      <c r="H367" s="131"/>
      <c r="I367" s="142"/>
      <c r="J367" s="142"/>
      <c r="K367" s="132"/>
      <c r="L367" s="131"/>
      <c r="M367" s="142"/>
      <c r="N367" s="142"/>
      <c r="O367" s="142"/>
      <c r="P367" s="142"/>
      <c r="Q367" s="142"/>
      <c r="R367" s="142"/>
      <c r="S367" s="142"/>
      <c r="T367" s="142"/>
      <c r="U367" s="142"/>
      <c r="V367" s="142"/>
      <c r="W367" s="142"/>
      <c r="X367" s="142"/>
      <c r="Y367" s="142"/>
      <c r="Z367" s="142"/>
      <c r="AA367" s="142"/>
      <c r="AB367" s="142"/>
      <c r="AC367" s="142"/>
      <c r="AD367" s="142"/>
      <c r="AE367" s="142"/>
      <c r="AF367" s="142"/>
      <c r="AG367" s="142"/>
      <c r="AH367" s="142"/>
      <c r="AI367" s="142"/>
      <c r="AJ367" s="142"/>
      <c r="AK367" s="142"/>
      <c r="AL367" s="142"/>
      <c r="AM367" s="142"/>
      <c r="AN367" s="142"/>
      <c r="AO367" s="142"/>
      <c r="AP367" s="130"/>
      <c r="AQ367" s="130"/>
      <c r="AR367" s="130"/>
      <c r="AS367" s="130"/>
      <c r="AT367" s="130"/>
      <c r="AU367" s="130"/>
      <c r="AV367" s="130"/>
      <c r="AW367" s="130"/>
      <c r="AX367" s="130"/>
      <c r="AY367" s="130"/>
      <c r="AZ367" s="130"/>
      <c r="BA367" s="130"/>
      <c r="BB367" s="130"/>
      <c r="BC367" s="130"/>
      <c r="BD367" s="130"/>
    </row>
    <row r="368" ht="15.75" customHeight="1">
      <c r="A368" s="142"/>
      <c r="B368" s="142"/>
      <c r="C368" s="198"/>
      <c r="D368" s="142"/>
      <c r="E368" s="131"/>
      <c r="F368" s="142"/>
      <c r="G368" s="142"/>
      <c r="H368" s="131"/>
      <c r="I368" s="142"/>
      <c r="J368" s="142"/>
      <c r="K368" s="132"/>
      <c r="L368" s="131"/>
      <c r="M368" s="142"/>
      <c r="N368" s="142"/>
      <c r="O368" s="142"/>
      <c r="P368" s="142"/>
      <c r="Q368" s="142"/>
      <c r="R368" s="142"/>
      <c r="S368" s="142"/>
      <c r="T368" s="142"/>
      <c r="U368" s="142"/>
      <c r="V368" s="142"/>
      <c r="W368" s="142"/>
      <c r="X368" s="142"/>
      <c r="Y368" s="142"/>
      <c r="Z368" s="142"/>
      <c r="AA368" s="142"/>
      <c r="AB368" s="142"/>
      <c r="AC368" s="142"/>
      <c r="AD368" s="142"/>
      <c r="AE368" s="142"/>
      <c r="AF368" s="142"/>
      <c r="AG368" s="142"/>
      <c r="AH368" s="142"/>
      <c r="AI368" s="142"/>
      <c r="AJ368" s="142"/>
      <c r="AK368" s="142"/>
      <c r="AL368" s="142"/>
      <c r="AM368" s="142"/>
      <c r="AN368" s="142"/>
      <c r="AO368" s="142"/>
      <c r="AP368" s="130"/>
      <c r="AQ368" s="130"/>
      <c r="AR368" s="130"/>
      <c r="AS368" s="130"/>
      <c r="AT368" s="130"/>
      <c r="AU368" s="130"/>
      <c r="AV368" s="130"/>
      <c r="AW368" s="130"/>
      <c r="AX368" s="130"/>
      <c r="AY368" s="130"/>
      <c r="AZ368" s="130"/>
      <c r="BA368" s="130"/>
      <c r="BB368" s="130"/>
      <c r="BC368" s="130"/>
      <c r="BD368" s="130"/>
    </row>
    <row r="369" ht="15.75" customHeight="1">
      <c r="A369" s="142"/>
      <c r="B369" s="142"/>
      <c r="C369" s="198"/>
      <c r="D369" s="142"/>
      <c r="E369" s="131"/>
      <c r="F369" s="142"/>
      <c r="G369" s="142"/>
      <c r="H369" s="131"/>
      <c r="I369" s="142"/>
      <c r="J369" s="142"/>
      <c r="K369" s="132"/>
      <c r="L369" s="131"/>
      <c r="M369" s="142"/>
      <c r="N369" s="142"/>
      <c r="O369" s="142"/>
      <c r="P369" s="142"/>
      <c r="Q369" s="142"/>
      <c r="R369" s="142"/>
      <c r="S369" s="142"/>
      <c r="T369" s="142"/>
      <c r="U369" s="142"/>
      <c r="V369" s="142"/>
      <c r="W369" s="142"/>
      <c r="X369" s="142"/>
      <c r="Y369" s="142"/>
      <c r="Z369" s="142"/>
      <c r="AA369" s="142"/>
      <c r="AB369" s="142"/>
      <c r="AC369" s="142"/>
      <c r="AD369" s="142"/>
      <c r="AE369" s="142"/>
      <c r="AF369" s="142"/>
      <c r="AG369" s="142"/>
      <c r="AH369" s="142"/>
      <c r="AI369" s="142"/>
      <c r="AJ369" s="142"/>
      <c r="AK369" s="142"/>
      <c r="AL369" s="142"/>
      <c r="AM369" s="142"/>
      <c r="AN369" s="142"/>
      <c r="AO369" s="142"/>
      <c r="AP369" s="130"/>
      <c r="AQ369" s="130"/>
      <c r="AR369" s="130"/>
      <c r="AS369" s="130"/>
      <c r="AT369" s="130"/>
      <c r="AU369" s="130"/>
      <c r="AV369" s="130"/>
      <c r="AW369" s="130"/>
      <c r="AX369" s="130"/>
      <c r="AY369" s="130"/>
      <c r="AZ369" s="130"/>
      <c r="BA369" s="130"/>
      <c r="BB369" s="130"/>
      <c r="BC369" s="130"/>
      <c r="BD369" s="130"/>
    </row>
    <row r="370" ht="15.75" customHeight="1">
      <c r="A370" s="142"/>
      <c r="B370" s="142"/>
      <c r="C370" s="198"/>
      <c r="D370" s="142"/>
      <c r="E370" s="131"/>
      <c r="F370" s="142"/>
      <c r="G370" s="142"/>
      <c r="H370" s="131"/>
      <c r="I370" s="142"/>
      <c r="J370" s="142"/>
      <c r="K370" s="132"/>
      <c r="L370" s="131"/>
      <c r="M370" s="142"/>
      <c r="N370" s="142"/>
      <c r="O370" s="142"/>
      <c r="P370" s="142"/>
      <c r="Q370" s="142"/>
      <c r="R370" s="142"/>
      <c r="S370" s="142"/>
      <c r="T370" s="142"/>
      <c r="U370" s="142"/>
      <c r="V370" s="142"/>
      <c r="W370" s="142"/>
      <c r="X370" s="142"/>
      <c r="Y370" s="142"/>
      <c r="Z370" s="142"/>
      <c r="AA370" s="142"/>
      <c r="AB370" s="142"/>
      <c r="AC370" s="142"/>
      <c r="AD370" s="142"/>
      <c r="AE370" s="142"/>
      <c r="AF370" s="142"/>
      <c r="AG370" s="142"/>
      <c r="AH370" s="142"/>
      <c r="AI370" s="142"/>
      <c r="AJ370" s="142"/>
      <c r="AK370" s="142"/>
      <c r="AL370" s="142"/>
      <c r="AM370" s="142"/>
      <c r="AN370" s="142"/>
      <c r="AO370" s="142"/>
      <c r="AP370" s="130"/>
      <c r="AQ370" s="130"/>
      <c r="AR370" s="130"/>
      <c r="AS370" s="130"/>
      <c r="AT370" s="130"/>
      <c r="AU370" s="130"/>
      <c r="AV370" s="130"/>
      <c r="AW370" s="130"/>
      <c r="AX370" s="130"/>
      <c r="AY370" s="130"/>
      <c r="AZ370" s="130"/>
      <c r="BA370" s="130"/>
      <c r="BB370" s="130"/>
      <c r="BC370" s="130"/>
      <c r="BD370" s="130"/>
    </row>
    <row r="371" ht="15.75" customHeight="1">
      <c r="A371" s="142"/>
      <c r="B371" s="142"/>
      <c r="C371" s="198"/>
      <c r="D371" s="142"/>
      <c r="E371" s="131"/>
      <c r="F371" s="142"/>
      <c r="G371" s="142"/>
      <c r="H371" s="131"/>
      <c r="I371" s="142"/>
      <c r="J371" s="142"/>
      <c r="K371" s="132"/>
      <c r="L371" s="131"/>
      <c r="M371" s="142"/>
      <c r="N371" s="142"/>
      <c r="O371" s="142"/>
      <c r="P371" s="142"/>
      <c r="Q371" s="142"/>
      <c r="R371" s="142"/>
      <c r="S371" s="142"/>
      <c r="T371" s="142"/>
      <c r="U371" s="142"/>
      <c r="V371" s="142"/>
      <c r="W371" s="142"/>
      <c r="X371" s="142"/>
      <c r="Y371" s="142"/>
      <c r="Z371" s="142"/>
      <c r="AA371" s="142"/>
      <c r="AB371" s="142"/>
      <c r="AC371" s="142"/>
      <c r="AD371" s="142"/>
      <c r="AE371" s="142"/>
      <c r="AF371" s="142"/>
      <c r="AG371" s="142"/>
      <c r="AH371" s="142"/>
      <c r="AI371" s="142"/>
      <c r="AJ371" s="142"/>
      <c r="AK371" s="142"/>
      <c r="AL371" s="142"/>
      <c r="AM371" s="142"/>
      <c r="AN371" s="142"/>
      <c r="AO371" s="142"/>
      <c r="AP371" s="130"/>
      <c r="AQ371" s="130"/>
      <c r="AR371" s="130"/>
      <c r="AS371" s="130"/>
      <c r="AT371" s="130"/>
      <c r="AU371" s="130"/>
      <c r="AV371" s="130"/>
      <c r="AW371" s="130"/>
      <c r="AX371" s="130"/>
      <c r="AY371" s="130"/>
      <c r="AZ371" s="130"/>
      <c r="BA371" s="130"/>
      <c r="BB371" s="130"/>
      <c r="BC371" s="130"/>
      <c r="BD371" s="130"/>
    </row>
    <row r="372" ht="15.75" customHeight="1">
      <c r="A372" s="142"/>
      <c r="B372" s="142"/>
      <c r="C372" s="198"/>
      <c r="D372" s="142"/>
      <c r="E372" s="131"/>
      <c r="F372" s="142"/>
      <c r="G372" s="142"/>
      <c r="H372" s="131"/>
      <c r="I372" s="142"/>
      <c r="J372" s="142"/>
      <c r="K372" s="132"/>
      <c r="L372" s="131"/>
      <c r="M372" s="142"/>
      <c r="N372" s="142"/>
      <c r="O372" s="142"/>
      <c r="P372" s="142"/>
      <c r="Q372" s="142"/>
      <c r="R372" s="142"/>
      <c r="S372" s="142"/>
      <c r="T372" s="142"/>
      <c r="U372" s="142"/>
      <c r="V372" s="142"/>
      <c r="W372" s="142"/>
      <c r="X372" s="142"/>
      <c r="Y372" s="142"/>
      <c r="Z372" s="142"/>
      <c r="AA372" s="142"/>
      <c r="AB372" s="142"/>
      <c r="AC372" s="142"/>
      <c r="AD372" s="142"/>
      <c r="AE372" s="142"/>
      <c r="AF372" s="142"/>
      <c r="AG372" s="142"/>
      <c r="AH372" s="142"/>
      <c r="AI372" s="142"/>
      <c r="AJ372" s="142"/>
      <c r="AK372" s="142"/>
      <c r="AL372" s="142"/>
      <c r="AM372" s="142"/>
      <c r="AN372" s="142"/>
      <c r="AO372" s="142"/>
      <c r="AP372" s="130"/>
      <c r="AQ372" s="130"/>
      <c r="AR372" s="130"/>
      <c r="AS372" s="130"/>
      <c r="AT372" s="130"/>
      <c r="AU372" s="130"/>
      <c r="AV372" s="130"/>
      <c r="AW372" s="130"/>
      <c r="AX372" s="130"/>
      <c r="AY372" s="130"/>
      <c r="AZ372" s="130"/>
      <c r="BA372" s="130"/>
      <c r="BB372" s="130"/>
      <c r="BC372" s="130"/>
      <c r="BD372" s="130"/>
    </row>
    <row r="373" ht="15.75" customHeight="1">
      <c r="A373" s="142"/>
      <c r="B373" s="142"/>
      <c r="C373" s="198"/>
      <c r="D373" s="142"/>
      <c r="E373" s="131"/>
      <c r="F373" s="142"/>
      <c r="G373" s="142"/>
      <c r="H373" s="131"/>
      <c r="I373" s="142"/>
      <c r="J373" s="142"/>
      <c r="K373" s="132"/>
      <c r="L373" s="131"/>
      <c r="M373" s="142"/>
      <c r="N373" s="142"/>
      <c r="O373" s="142"/>
      <c r="P373" s="142"/>
      <c r="Q373" s="142"/>
      <c r="R373" s="142"/>
      <c r="S373" s="142"/>
      <c r="T373" s="142"/>
      <c r="U373" s="142"/>
      <c r="V373" s="142"/>
      <c r="W373" s="142"/>
      <c r="X373" s="142"/>
      <c r="Y373" s="142"/>
      <c r="Z373" s="142"/>
      <c r="AA373" s="142"/>
      <c r="AB373" s="142"/>
      <c r="AC373" s="142"/>
      <c r="AD373" s="142"/>
      <c r="AE373" s="142"/>
      <c r="AF373" s="142"/>
      <c r="AG373" s="142"/>
      <c r="AH373" s="142"/>
      <c r="AI373" s="142"/>
      <c r="AJ373" s="142"/>
      <c r="AK373" s="142"/>
      <c r="AL373" s="142"/>
      <c r="AM373" s="142"/>
      <c r="AN373" s="142"/>
      <c r="AO373" s="142"/>
      <c r="AP373" s="130"/>
      <c r="AQ373" s="130"/>
      <c r="AR373" s="130"/>
      <c r="AS373" s="130"/>
      <c r="AT373" s="130"/>
      <c r="AU373" s="130"/>
      <c r="AV373" s="130"/>
      <c r="AW373" s="130"/>
      <c r="AX373" s="130"/>
      <c r="AY373" s="130"/>
      <c r="AZ373" s="130"/>
      <c r="BA373" s="130"/>
      <c r="BB373" s="130"/>
      <c r="BC373" s="130"/>
      <c r="BD373" s="130"/>
    </row>
    <row r="374" ht="15.75" customHeight="1">
      <c r="A374" s="142"/>
      <c r="B374" s="142"/>
      <c r="C374" s="198"/>
      <c r="D374" s="142"/>
      <c r="E374" s="131"/>
      <c r="F374" s="142"/>
      <c r="G374" s="142"/>
      <c r="H374" s="131"/>
      <c r="I374" s="142"/>
      <c r="J374" s="142"/>
      <c r="K374" s="132"/>
      <c r="L374" s="131"/>
      <c r="M374" s="142"/>
      <c r="N374" s="142"/>
      <c r="O374" s="142"/>
      <c r="P374" s="142"/>
      <c r="Q374" s="142"/>
      <c r="R374" s="142"/>
      <c r="S374" s="142"/>
      <c r="T374" s="142"/>
      <c r="U374" s="142"/>
      <c r="V374" s="142"/>
      <c r="W374" s="142"/>
      <c r="X374" s="142"/>
      <c r="Y374" s="142"/>
      <c r="Z374" s="142"/>
      <c r="AA374" s="142"/>
      <c r="AB374" s="142"/>
      <c r="AC374" s="142"/>
      <c r="AD374" s="142"/>
      <c r="AE374" s="142"/>
      <c r="AF374" s="142"/>
      <c r="AG374" s="142"/>
      <c r="AH374" s="142"/>
      <c r="AI374" s="142"/>
      <c r="AJ374" s="142"/>
      <c r="AK374" s="142"/>
      <c r="AL374" s="142"/>
      <c r="AM374" s="142"/>
      <c r="AN374" s="142"/>
      <c r="AO374" s="142"/>
      <c r="AP374" s="130"/>
      <c r="AQ374" s="130"/>
      <c r="AR374" s="130"/>
      <c r="AS374" s="130"/>
      <c r="AT374" s="130"/>
      <c r="AU374" s="130"/>
      <c r="AV374" s="130"/>
      <c r="AW374" s="130"/>
      <c r="AX374" s="130"/>
      <c r="AY374" s="130"/>
      <c r="AZ374" s="130"/>
      <c r="BA374" s="130"/>
      <c r="BB374" s="130"/>
      <c r="BC374" s="130"/>
      <c r="BD374" s="130"/>
    </row>
    <row r="375" ht="15.75" customHeight="1">
      <c r="A375" s="142"/>
      <c r="B375" s="142"/>
      <c r="C375" s="198"/>
      <c r="D375" s="142"/>
      <c r="E375" s="131"/>
      <c r="F375" s="142"/>
      <c r="G375" s="142"/>
      <c r="H375" s="131"/>
      <c r="I375" s="142"/>
      <c r="J375" s="142"/>
      <c r="K375" s="132"/>
      <c r="L375" s="131"/>
      <c r="M375" s="142"/>
      <c r="N375" s="142"/>
      <c r="O375" s="142"/>
      <c r="P375" s="142"/>
      <c r="Q375" s="142"/>
      <c r="R375" s="142"/>
      <c r="S375" s="142"/>
      <c r="T375" s="142"/>
      <c r="U375" s="142"/>
      <c r="V375" s="142"/>
      <c r="W375" s="142"/>
      <c r="X375" s="142"/>
      <c r="Y375" s="142"/>
      <c r="Z375" s="142"/>
      <c r="AA375" s="142"/>
      <c r="AB375" s="142"/>
      <c r="AC375" s="142"/>
      <c r="AD375" s="142"/>
      <c r="AE375" s="142"/>
      <c r="AF375" s="142"/>
      <c r="AG375" s="142"/>
      <c r="AH375" s="142"/>
      <c r="AI375" s="142"/>
      <c r="AJ375" s="142"/>
      <c r="AK375" s="142"/>
      <c r="AL375" s="142"/>
      <c r="AM375" s="142"/>
      <c r="AN375" s="142"/>
      <c r="AO375" s="142"/>
      <c r="AP375" s="130"/>
      <c r="AQ375" s="130"/>
      <c r="AR375" s="130"/>
      <c r="AS375" s="130"/>
      <c r="AT375" s="130"/>
      <c r="AU375" s="130"/>
      <c r="AV375" s="130"/>
      <c r="AW375" s="130"/>
      <c r="AX375" s="130"/>
      <c r="AY375" s="130"/>
      <c r="AZ375" s="130"/>
      <c r="BA375" s="130"/>
      <c r="BB375" s="130"/>
      <c r="BC375" s="130"/>
      <c r="BD375" s="130"/>
    </row>
    <row r="376" ht="15.75" customHeight="1">
      <c r="A376" s="142"/>
      <c r="B376" s="142"/>
      <c r="C376" s="198"/>
      <c r="D376" s="142"/>
      <c r="E376" s="131"/>
      <c r="F376" s="142"/>
      <c r="G376" s="142"/>
      <c r="H376" s="131"/>
      <c r="I376" s="142"/>
      <c r="J376" s="142"/>
      <c r="K376" s="132"/>
      <c r="L376" s="131"/>
      <c r="M376" s="142"/>
      <c r="N376" s="142"/>
      <c r="O376" s="142"/>
      <c r="P376" s="142"/>
      <c r="Q376" s="142"/>
      <c r="R376" s="142"/>
      <c r="S376" s="142"/>
      <c r="T376" s="142"/>
      <c r="U376" s="142"/>
      <c r="V376" s="142"/>
      <c r="W376" s="142"/>
      <c r="X376" s="142"/>
      <c r="Y376" s="142"/>
      <c r="Z376" s="142"/>
      <c r="AA376" s="142"/>
      <c r="AB376" s="142"/>
      <c r="AC376" s="142"/>
      <c r="AD376" s="142"/>
      <c r="AE376" s="142"/>
      <c r="AF376" s="142"/>
      <c r="AG376" s="142"/>
      <c r="AH376" s="142"/>
      <c r="AI376" s="142"/>
      <c r="AJ376" s="142"/>
      <c r="AK376" s="142"/>
      <c r="AL376" s="142"/>
      <c r="AM376" s="142"/>
      <c r="AN376" s="142"/>
      <c r="AO376" s="142"/>
      <c r="AP376" s="130"/>
      <c r="AQ376" s="130"/>
      <c r="AR376" s="130"/>
      <c r="AS376" s="130"/>
      <c r="AT376" s="130"/>
      <c r="AU376" s="130"/>
      <c r="AV376" s="130"/>
      <c r="AW376" s="130"/>
      <c r="AX376" s="130"/>
      <c r="AY376" s="130"/>
      <c r="AZ376" s="130"/>
      <c r="BA376" s="130"/>
      <c r="BB376" s="130"/>
      <c r="BC376" s="130"/>
      <c r="BD376" s="130"/>
    </row>
    <row r="377" ht="15.75" customHeight="1">
      <c r="A377" s="142"/>
      <c r="B377" s="142"/>
      <c r="C377" s="198"/>
      <c r="D377" s="142"/>
      <c r="E377" s="131"/>
      <c r="F377" s="142"/>
      <c r="G377" s="142"/>
      <c r="H377" s="131"/>
      <c r="I377" s="142"/>
      <c r="J377" s="142"/>
      <c r="K377" s="132"/>
      <c r="L377" s="131"/>
      <c r="M377" s="142"/>
      <c r="N377" s="142"/>
      <c r="O377" s="142"/>
      <c r="P377" s="142"/>
      <c r="Q377" s="142"/>
      <c r="R377" s="142"/>
      <c r="S377" s="142"/>
      <c r="T377" s="142"/>
      <c r="U377" s="142"/>
      <c r="V377" s="142"/>
      <c r="W377" s="142"/>
      <c r="X377" s="142"/>
      <c r="Y377" s="142"/>
      <c r="Z377" s="142"/>
      <c r="AA377" s="142"/>
      <c r="AB377" s="142"/>
      <c r="AC377" s="142"/>
      <c r="AD377" s="142"/>
      <c r="AE377" s="142"/>
      <c r="AF377" s="142"/>
      <c r="AG377" s="142"/>
      <c r="AH377" s="142"/>
      <c r="AI377" s="142"/>
      <c r="AJ377" s="142"/>
      <c r="AK377" s="142"/>
      <c r="AL377" s="142"/>
      <c r="AM377" s="142"/>
      <c r="AN377" s="142"/>
      <c r="AO377" s="142"/>
      <c r="AP377" s="130"/>
      <c r="AQ377" s="130"/>
      <c r="AR377" s="130"/>
      <c r="AS377" s="130"/>
      <c r="AT377" s="130"/>
      <c r="AU377" s="130"/>
      <c r="AV377" s="130"/>
      <c r="AW377" s="130"/>
      <c r="AX377" s="130"/>
      <c r="AY377" s="130"/>
      <c r="AZ377" s="130"/>
      <c r="BA377" s="130"/>
      <c r="BB377" s="130"/>
      <c r="BC377" s="130"/>
      <c r="BD377" s="130"/>
    </row>
    <row r="378" ht="15.75" customHeight="1">
      <c r="A378" s="142"/>
      <c r="B378" s="142"/>
      <c r="C378" s="198"/>
      <c r="D378" s="142"/>
      <c r="E378" s="131"/>
      <c r="F378" s="142"/>
      <c r="G378" s="142"/>
      <c r="H378" s="131"/>
      <c r="I378" s="142"/>
      <c r="J378" s="142"/>
      <c r="K378" s="132"/>
      <c r="L378" s="131"/>
      <c r="M378" s="142"/>
      <c r="N378" s="142"/>
      <c r="O378" s="142"/>
      <c r="P378" s="142"/>
      <c r="Q378" s="142"/>
      <c r="R378" s="142"/>
      <c r="S378" s="142"/>
      <c r="T378" s="142"/>
      <c r="U378" s="142"/>
      <c r="V378" s="142"/>
      <c r="W378" s="142"/>
      <c r="X378" s="142"/>
      <c r="Y378" s="142"/>
      <c r="Z378" s="142"/>
      <c r="AA378" s="142"/>
      <c r="AB378" s="142"/>
      <c r="AC378" s="142"/>
      <c r="AD378" s="142"/>
      <c r="AE378" s="142"/>
      <c r="AF378" s="142"/>
      <c r="AG378" s="142"/>
      <c r="AH378" s="142"/>
      <c r="AI378" s="142"/>
      <c r="AJ378" s="142"/>
      <c r="AK378" s="142"/>
      <c r="AL378" s="142"/>
      <c r="AM378" s="142"/>
      <c r="AN378" s="142"/>
      <c r="AO378" s="142"/>
      <c r="AP378" s="130"/>
      <c r="AQ378" s="130"/>
      <c r="AR378" s="130"/>
      <c r="AS378" s="130"/>
      <c r="AT378" s="130"/>
      <c r="AU378" s="130"/>
      <c r="AV378" s="130"/>
      <c r="AW378" s="130"/>
      <c r="AX378" s="130"/>
      <c r="AY378" s="130"/>
      <c r="AZ378" s="130"/>
      <c r="BA378" s="130"/>
      <c r="BB378" s="130"/>
      <c r="BC378" s="130"/>
      <c r="BD378" s="130"/>
    </row>
    <row r="379" ht="15.75" customHeight="1">
      <c r="A379" s="142"/>
      <c r="B379" s="142"/>
      <c r="C379" s="198"/>
      <c r="D379" s="142"/>
      <c r="E379" s="131"/>
      <c r="F379" s="142"/>
      <c r="G379" s="142"/>
      <c r="H379" s="131"/>
      <c r="I379" s="142"/>
      <c r="J379" s="142"/>
      <c r="K379" s="132"/>
      <c r="L379" s="131"/>
      <c r="M379" s="142"/>
      <c r="N379" s="142"/>
      <c r="O379" s="142"/>
      <c r="P379" s="142"/>
      <c r="Q379" s="142"/>
      <c r="R379" s="142"/>
      <c r="S379" s="142"/>
      <c r="T379" s="142"/>
      <c r="U379" s="142"/>
      <c r="V379" s="142"/>
      <c r="W379" s="142"/>
      <c r="X379" s="142"/>
      <c r="Y379" s="142"/>
      <c r="Z379" s="142"/>
      <c r="AA379" s="142"/>
      <c r="AB379" s="142"/>
      <c r="AC379" s="142"/>
      <c r="AD379" s="142"/>
      <c r="AE379" s="142"/>
      <c r="AF379" s="142"/>
      <c r="AG379" s="142"/>
      <c r="AH379" s="142"/>
      <c r="AI379" s="142"/>
      <c r="AJ379" s="142"/>
      <c r="AK379" s="142"/>
      <c r="AL379" s="142"/>
      <c r="AM379" s="142"/>
      <c r="AN379" s="142"/>
      <c r="AO379" s="142"/>
      <c r="AP379" s="130"/>
      <c r="AQ379" s="130"/>
      <c r="AR379" s="130"/>
      <c r="AS379" s="130"/>
      <c r="AT379" s="130"/>
      <c r="AU379" s="130"/>
      <c r="AV379" s="130"/>
      <c r="AW379" s="130"/>
      <c r="AX379" s="130"/>
      <c r="AY379" s="130"/>
      <c r="AZ379" s="130"/>
      <c r="BA379" s="130"/>
      <c r="BB379" s="130"/>
      <c r="BC379" s="130"/>
      <c r="BD379" s="130"/>
    </row>
    <row r="380" ht="15.75" customHeight="1">
      <c r="A380" s="142"/>
      <c r="B380" s="142"/>
      <c r="C380" s="198"/>
      <c r="D380" s="142"/>
      <c r="E380" s="131"/>
      <c r="F380" s="142"/>
      <c r="G380" s="142"/>
      <c r="H380" s="131"/>
      <c r="I380" s="142"/>
      <c r="J380" s="142"/>
      <c r="K380" s="132"/>
      <c r="L380" s="131"/>
      <c r="M380" s="142"/>
      <c r="N380" s="142"/>
      <c r="O380" s="142"/>
      <c r="P380" s="142"/>
      <c r="Q380" s="142"/>
      <c r="R380" s="142"/>
      <c r="S380" s="142"/>
      <c r="T380" s="142"/>
      <c r="U380" s="142"/>
      <c r="V380" s="142"/>
      <c r="W380" s="142"/>
      <c r="X380" s="142"/>
      <c r="Y380" s="142"/>
      <c r="Z380" s="142"/>
      <c r="AA380" s="142"/>
      <c r="AB380" s="142"/>
      <c r="AC380" s="142"/>
      <c r="AD380" s="142"/>
      <c r="AE380" s="142"/>
      <c r="AF380" s="142"/>
      <c r="AG380" s="142"/>
      <c r="AH380" s="142"/>
      <c r="AI380" s="142"/>
      <c r="AJ380" s="142"/>
      <c r="AK380" s="142"/>
      <c r="AL380" s="142"/>
      <c r="AM380" s="142"/>
      <c r="AN380" s="142"/>
      <c r="AO380" s="142"/>
      <c r="AP380" s="130"/>
      <c r="AQ380" s="130"/>
      <c r="AR380" s="130"/>
      <c r="AS380" s="130"/>
      <c r="AT380" s="130"/>
      <c r="AU380" s="130"/>
      <c r="AV380" s="130"/>
      <c r="AW380" s="130"/>
      <c r="AX380" s="130"/>
      <c r="AY380" s="130"/>
      <c r="AZ380" s="130"/>
      <c r="BA380" s="130"/>
      <c r="BB380" s="130"/>
      <c r="BC380" s="130"/>
      <c r="BD380" s="130"/>
    </row>
    <row r="381" ht="15.75" customHeight="1">
      <c r="A381" s="142"/>
      <c r="B381" s="142"/>
      <c r="C381" s="198"/>
      <c r="D381" s="142"/>
      <c r="E381" s="131"/>
      <c r="F381" s="142"/>
      <c r="G381" s="142"/>
      <c r="H381" s="131"/>
      <c r="I381" s="142"/>
      <c r="J381" s="142"/>
      <c r="K381" s="132"/>
      <c r="L381" s="131"/>
      <c r="M381" s="142"/>
      <c r="N381" s="142"/>
      <c r="O381" s="142"/>
      <c r="P381" s="142"/>
      <c r="Q381" s="142"/>
      <c r="R381" s="142"/>
      <c r="S381" s="142"/>
      <c r="T381" s="142"/>
      <c r="U381" s="142"/>
      <c r="V381" s="142"/>
      <c r="W381" s="142"/>
      <c r="X381" s="142"/>
      <c r="Y381" s="142"/>
      <c r="Z381" s="142"/>
      <c r="AA381" s="142"/>
      <c r="AB381" s="142"/>
      <c r="AC381" s="142"/>
      <c r="AD381" s="142"/>
      <c r="AE381" s="142"/>
      <c r="AF381" s="142"/>
      <c r="AG381" s="142"/>
      <c r="AH381" s="142"/>
      <c r="AI381" s="142"/>
      <c r="AJ381" s="142"/>
      <c r="AK381" s="142"/>
      <c r="AL381" s="142"/>
      <c r="AM381" s="142"/>
      <c r="AN381" s="142"/>
      <c r="AO381" s="142"/>
      <c r="AP381" s="130"/>
      <c r="AQ381" s="130"/>
      <c r="AR381" s="130"/>
      <c r="AS381" s="130"/>
      <c r="AT381" s="130"/>
      <c r="AU381" s="130"/>
      <c r="AV381" s="130"/>
      <c r="AW381" s="130"/>
      <c r="AX381" s="130"/>
      <c r="AY381" s="130"/>
      <c r="AZ381" s="130"/>
      <c r="BA381" s="130"/>
      <c r="BB381" s="130"/>
      <c r="BC381" s="130"/>
      <c r="BD381" s="130"/>
    </row>
    <row r="382" ht="15.75" customHeight="1">
      <c r="A382" s="142"/>
      <c r="B382" s="142"/>
      <c r="C382" s="198"/>
      <c r="D382" s="142"/>
      <c r="E382" s="131"/>
      <c r="F382" s="142"/>
      <c r="G382" s="142"/>
      <c r="H382" s="131"/>
      <c r="I382" s="142"/>
      <c r="J382" s="142"/>
      <c r="K382" s="132"/>
      <c r="L382" s="131"/>
      <c r="M382" s="142"/>
      <c r="N382" s="142"/>
      <c r="O382" s="142"/>
      <c r="P382" s="142"/>
      <c r="Q382" s="142"/>
      <c r="R382" s="142"/>
      <c r="S382" s="142"/>
      <c r="T382" s="142"/>
      <c r="U382" s="142"/>
      <c r="V382" s="142"/>
      <c r="W382" s="142"/>
      <c r="X382" s="142"/>
      <c r="Y382" s="142"/>
      <c r="Z382" s="142"/>
      <c r="AA382" s="142"/>
      <c r="AB382" s="142"/>
      <c r="AC382" s="142"/>
      <c r="AD382" s="142"/>
      <c r="AE382" s="142"/>
      <c r="AF382" s="142"/>
      <c r="AG382" s="142"/>
      <c r="AH382" s="142"/>
      <c r="AI382" s="142"/>
      <c r="AJ382" s="142"/>
      <c r="AK382" s="142"/>
      <c r="AL382" s="142"/>
      <c r="AM382" s="142"/>
      <c r="AN382" s="142"/>
      <c r="AO382" s="142"/>
      <c r="AP382" s="130"/>
      <c r="AQ382" s="130"/>
      <c r="AR382" s="130"/>
      <c r="AS382" s="130"/>
      <c r="AT382" s="130"/>
      <c r="AU382" s="130"/>
      <c r="AV382" s="130"/>
      <c r="AW382" s="130"/>
      <c r="AX382" s="130"/>
      <c r="AY382" s="130"/>
      <c r="AZ382" s="130"/>
      <c r="BA382" s="130"/>
      <c r="BB382" s="130"/>
      <c r="BC382" s="130"/>
      <c r="BD382" s="130"/>
    </row>
    <row r="383" ht="15.75" customHeight="1">
      <c r="A383" s="142"/>
      <c r="B383" s="142"/>
      <c r="C383" s="198"/>
      <c r="D383" s="142"/>
      <c r="E383" s="131"/>
      <c r="F383" s="142"/>
      <c r="G383" s="142"/>
      <c r="H383" s="131"/>
      <c r="I383" s="142"/>
      <c r="J383" s="142"/>
      <c r="K383" s="132"/>
      <c r="L383" s="131"/>
      <c r="M383" s="142"/>
      <c r="N383" s="142"/>
      <c r="O383" s="142"/>
      <c r="P383" s="142"/>
      <c r="Q383" s="142"/>
      <c r="R383" s="142"/>
      <c r="S383" s="142"/>
      <c r="T383" s="142"/>
      <c r="U383" s="142"/>
      <c r="V383" s="142"/>
      <c r="W383" s="142"/>
      <c r="X383" s="142"/>
      <c r="Y383" s="142"/>
      <c r="Z383" s="142"/>
      <c r="AA383" s="142"/>
      <c r="AB383" s="142"/>
      <c r="AC383" s="142"/>
      <c r="AD383" s="142"/>
      <c r="AE383" s="142"/>
      <c r="AF383" s="142"/>
      <c r="AG383" s="142"/>
      <c r="AH383" s="142"/>
      <c r="AI383" s="142"/>
      <c r="AJ383" s="142"/>
      <c r="AK383" s="142"/>
      <c r="AL383" s="142"/>
      <c r="AM383" s="142"/>
      <c r="AN383" s="142"/>
      <c r="AO383" s="142"/>
      <c r="AP383" s="130"/>
      <c r="AQ383" s="130"/>
      <c r="AR383" s="130"/>
      <c r="AS383" s="130"/>
      <c r="AT383" s="130"/>
      <c r="AU383" s="130"/>
      <c r="AV383" s="130"/>
      <c r="AW383" s="130"/>
      <c r="AX383" s="130"/>
      <c r="AY383" s="130"/>
      <c r="AZ383" s="130"/>
      <c r="BA383" s="130"/>
      <c r="BB383" s="130"/>
      <c r="BC383" s="130"/>
      <c r="BD383" s="130"/>
    </row>
    <row r="384" ht="15.75" customHeight="1">
      <c r="A384" s="142"/>
      <c r="B384" s="142"/>
      <c r="C384" s="198"/>
      <c r="D384" s="142"/>
      <c r="E384" s="131"/>
      <c r="F384" s="142"/>
      <c r="G384" s="142"/>
      <c r="H384" s="131"/>
      <c r="I384" s="142"/>
      <c r="J384" s="142"/>
      <c r="K384" s="132"/>
      <c r="L384" s="131"/>
      <c r="M384" s="142"/>
      <c r="N384" s="142"/>
      <c r="O384" s="142"/>
      <c r="P384" s="142"/>
      <c r="Q384" s="142"/>
      <c r="R384" s="142"/>
      <c r="S384" s="142"/>
      <c r="T384" s="142"/>
      <c r="U384" s="142"/>
      <c r="V384" s="142"/>
      <c r="W384" s="142"/>
      <c r="X384" s="142"/>
      <c r="Y384" s="142"/>
      <c r="Z384" s="142"/>
      <c r="AA384" s="142"/>
      <c r="AB384" s="142"/>
      <c r="AC384" s="142"/>
      <c r="AD384" s="142"/>
      <c r="AE384" s="142"/>
      <c r="AF384" s="142"/>
      <c r="AG384" s="142"/>
      <c r="AH384" s="142"/>
      <c r="AI384" s="142"/>
      <c r="AJ384" s="142"/>
      <c r="AK384" s="142"/>
      <c r="AL384" s="142"/>
      <c r="AM384" s="142"/>
      <c r="AN384" s="142"/>
      <c r="AO384" s="142"/>
      <c r="AP384" s="130"/>
      <c r="AQ384" s="130"/>
      <c r="AR384" s="130"/>
      <c r="AS384" s="130"/>
      <c r="AT384" s="130"/>
      <c r="AU384" s="130"/>
      <c r="AV384" s="130"/>
      <c r="AW384" s="130"/>
      <c r="AX384" s="130"/>
      <c r="AY384" s="130"/>
      <c r="AZ384" s="130"/>
      <c r="BA384" s="130"/>
      <c r="BB384" s="130"/>
      <c r="BC384" s="130"/>
      <c r="BD384" s="130"/>
    </row>
    <row r="385" ht="15.75" customHeight="1">
      <c r="A385" s="142"/>
      <c r="B385" s="142"/>
      <c r="C385" s="198"/>
      <c r="D385" s="142"/>
      <c r="E385" s="131"/>
      <c r="F385" s="142"/>
      <c r="G385" s="142"/>
      <c r="H385" s="131"/>
      <c r="I385" s="142"/>
      <c r="J385" s="142"/>
      <c r="K385" s="132"/>
      <c r="L385" s="131"/>
      <c r="M385" s="142"/>
      <c r="N385" s="142"/>
      <c r="O385" s="142"/>
      <c r="P385" s="142"/>
      <c r="Q385" s="142"/>
      <c r="R385" s="142"/>
      <c r="S385" s="142"/>
      <c r="T385" s="142"/>
      <c r="U385" s="142"/>
      <c r="V385" s="142"/>
      <c r="W385" s="142"/>
      <c r="X385" s="142"/>
      <c r="Y385" s="142"/>
      <c r="Z385" s="142"/>
      <c r="AA385" s="142"/>
      <c r="AB385" s="142"/>
      <c r="AC385" s="142"/>
      <c r="AD385" s="142"/>
      <c r="AE385" s="142"/>
      <c r="AF385" s="142"/>
      <c r="AG385" s="142"/>
      <c r="AH385" s="142"/>
      <c r="AI385" s="142"/>
      <c r="AJ385" s="142"/>
      <c r="AK385" s="142"/>
      <c r="AL385" s="142"/>
      <c r="AM385" s="142"/>
      <c r="AN385" s="142"/>
      <c r="AO385" s="142"/>
      <c r="AP385" s="130"/>
      <c r="AQ385" s="130"/>
      <c r="AR385" s="130"/>
      <c r="AS385" s="130"/>
      <c r="AT385" s="130"/>
      <c r="AU385" s="130"/>
      <c r="AV385" s="130"/>
      <c r="AW385" s="130"/>
      <c r="AX385" s="130"/>
      <c r="AY385" s="130"/>
      <c r="AZ385" s="130"/>
      <c r="BA385" s="130"/>
      <c r="BB385" s="130"/>
      <c r="BC385" s="130"/>
      <c r="BD385" s="130"/>
    </row>
    <row r="386" ht="15.75" customHeight="1">
      <c r="A386" s="142"/>
      <c r="B386" s="142"/>
      <c r="C386" s="198"/>
      <c r="D386" s="142"/>
      <c r="E386" s="131"/>
      <c r="F386" s="142"/>
      <c r="G386" s="142"/>
      <c r="H386" s="131"/>
      <c r="I386" s="142"/>
      <c r="J386" s="142"/>
      <c r="K386" s="132"/>
      <c r="L386" s="131"/>
      <c r="M386" s="142"/>
      <c r="N386" s="142"/>
      <c r="O386" s="142"/>
      <c r="P386" s="142"/>
      <c r="Q386" s="142"/>
      <c r="R386" s="142"/>
      <c r="S386" s="142"/>
      <c r="T386" s="142"/>
      <c r="U386" s="142"/>
      <c r="V386" s="142"/>
      <c r="W386" s="142"/>
      <c r="X386" s="142"/>
      <c r="Y386" s="142"/>
      <c r="Z386" s="142"/>
      <c r="AA386" s="142"/>
      <c r="AB386" s="142"/>
      <c r="AC386" s="142"/>
      <c r="AD386" s="142"/>
      <c r="AE386" s="142"/>
      <c r="AF386" s="142"/>
      <c r="AG386" s="142"/>
      <c r="AH386" s="142"/>
      <c r="AI386" s="142"/>
      <c r="AJ386" s="142"/>
      <c r="AK386" s="142"/>
      <c r="AL386" s="142"/>
      <c r="AM386" s="142"/>
      <c r="AN386" s="142"/>
      <c r="AO386" s="142"/>
      <c r="AP386" s="130"/>
      <c r="AQ386" s="130"/>
      <c r="AR386" s="130"/>
      <c r="AS386" s="130"/>
      <c r="AT386" s="130"/>
      <c r="AU386" s="130"/>
      <c r="AV386" s="130"/>
      <c r="AW386" s="130"/>
      <c r="AX386" s="130"/>
      <c r="AY386" s="130"/>
      <c r="AZ386" s="130"/>
      <c r="BA386" s="130"/>
      <c r="BB386" s="130"/>
      <c r="BC386" s="130"/>
      <c r="BD386" s="130"/>
    </row>
    <row r="387" ht="15.75" customHeight="1">
      <c r="A387" s="142"/>
      <c r="B387" s="142"/>
      <c r="C387" s="198"/>
      <c r="D387" s="142"/>
      <c r="E387" s="131"/>
      <c r="F387" s="142"/>
      <c r="G387" s="142"/>
      <c r="H387" s="131"/>
      <c r="I387" s="142"/>
      <c r="J387" s="142"/>
      <c r="K387" s="132"/>
      <c r="L387" s="131"/>
      <c r="M387" s="142"/>
      <c r="N387" s="142"/>
      <c r="O387" s="142"/>
      <c r="P387" s="142"/>
      <c r="Q387" s="142"/>
      <c r="R387" s="142"/>
      <c r="S387" s="142"/>
      <c r="T387" s="142"/>
      <c r="U387" s="142"/>
      <c r="V387" s="142"/>
      <c r="W387" s="142"/>
      <c r="X387" s="142"/>
      <c r="Y387" s="142"/>
      <c r="Z387" s="142"/>
      <c r="AA387" s="142"/>
      <c r="AB387" s="142"/>
      <c r="AC387" s="142"/>
      <c r="AD387" s="142"/>
      <c r="AE387" s="142"/>
      <c r="AF387" s="142"/>
      <c r="AG387" s="142"/>
      <c r="AH387" s="142"/>
      <c r="AI387" s="142"/>
      <c r="AJ387" s="142"/>
      <c r="AK387" s="142"/>
      <c r="AL387" s="142"/>
      <c r="AM387" s="142"/>
      <c r="AN387" s="142"/>
      <c r="AO387" s="142"/>
      <c r="AP387" s="130"/>
      <c r="AQ387" s="130"/>
      <c r="AR387" s="130"/>
      <c r="AS387" s="130"/>
      <c r="AT387" s="130"/>
      <c r="AU387" s="130"/>
      <c r="AV387" s="130"/>
      <c r="AW387" s="130"/>
      <c r="AX387" s="130"/>
      <c r="AY387" s="130"/>
      <c r="AZ387" s="130"/>
      <c r="BA387" s="130"/>
      <c r="BB387" s="130"/>
      <c r="BC387" s="130"/>
      <c r="BD387" s="130"/>
    </row>
    <row r="388" ht="15.75" customHeight="1">
      <c r="A388" s="142"/>
      <c r="B388" s="142"/>
      <c r="C388" s="198"/>
      <c r="D388" s="142"/>
      <c r="E388" s="131"/>
      <c r="F388" s="142"/>
      <c r="G388" s="142"/>
      <c r="H388" s="131"/>
      <c r="I388" s="142"/>
      <c r="J388" s="142"/>
      <c r="K388" s="132"/>
      <c r="L388" s="131"/>
      <c r="M388" s="142"/>
      <c r="N388" s="142"/>
      <c r="O388" s="142"/>
      <c r="P388" s="142"/>
      <c r="Q388" s="142"/>
      <c r="R388" s="142"/>
      <c r="S388" s="142"/>
      <c r="T388" s="142"/>
      <c r="U388" s="142"/>
      <c r="V388" s="142"/>
      <c r="W388" s="142"/>
      <c r="X388" s="142"/>
      <c r="Y388" s="142"/>
      <c r="Z388" s="142"/>
      <c r="AA388" s="142"/>
      <c r="AB388" s="142"/>
      <c r="AC388" s="142"/>
      <c r="AD388" s="142"/>
      <c r="AE388" s="142"/>
      <c r="AF388" s="142"/>
      <c r="AG388" s="142"/>
      <c r="AH388" s="142"/>
      <c r="AI388" s="142"/>
      <c r="AJ388" s="142"/>
      <c r="AK388" s="142"/>
      <c r="AL388" s="142"/>
      <c r="AM388" s="142"/>
      <c r="AN388" s="142"/>
      <c r="AO388" s="142"/>
      <c r="AP388" s="130"/>
      <c r="AQ388" s="130"/>
      <c r="AR388" s="130"/>
      <c r="AS388" s="130"/>
      <c r="AT388" s="130"/>
      <c r="AU388" s="130"/>
      <c r="AV388" s="130"/>
      <c r="AW388" s="130"/>
      <c r="AX388" s="130"/>
      <c r="AY388" s="130"/>
      <c r="AZ388" s="130"/>
      <c r="BA388" s="130"/>
      <c r="BB388" s="130"/>
      <c r="BC388" s="130"/>
      <c r="BD388" s="130"/>
    </row>
    <row r="389" ht="15.75" customHeight="1">
      <c r="A389" s="142"/>
      <c r="B389" s="142"/>
      <c r="C389" s="198"/>
      <c r="D389" s="142"/>
      <c r="E389" s="131"/>
      <c r="F389" s="142"/>
      <c r="G389" s="142"/>
      <c r="H389" s="131"/>
      <c r="I389" s="142"/>
      <c r="J389" s="142"/>
      <c r="K389" s="132"/>
      <c r="L389" s="131"/>
      <c r="M389" s="142"/>
      <c r="N389" s="142"/>
      <c r="O389" s="142"/>
      <c r="P389" s="142"/>
      <c r="Q389" s="142"/>
      <c r="R389" s="142"/>
      <c r="S389" s="142"/>
      <c r="T389" s="142"/>
      <c r="U389" s="142"/>
      <c r="V389" s="142"/>
      <c r="W389" s="142"/>
      <c r="X389" s="142"/>
      <c r="Y389" s="142"/>
      <c r="Z389" s="142"/>
      <c r="AA389" s="142"/>
      <c r="AB389" s="142"/>
      <c r="AC389" s="142"/>
      <c r="AD389" s="142"/>
      <c r="AE389" s="142"/>
      <c r="AF389" s="142"/>
      <c r="AG389" s="142"/>
      <c r="AH389" s="142"/>
      <c r="AI389" s="142"/>
      <c r="AJ389" s="142"/>
      <c r="AK389" s="142"/>
      <c r="AL389" s="142"/>
      <c r="AM389" s="142"/>
      <c r="AN389" s="142"/>
      <c r="AO389" s="142"/>
      <c r="AP389" s="130"/>
      <c r="AQ389" s="130"/>
      <c r="AR389" s="130"/>
      <c r="AS389" s="130"/>
      <c r="AT389" s="130"/>
      <c r="AU389" s="130"/>
      <c r="AV389" s="130"/>
      <c r="AW389" s="130"/>
      <c r="AX389" s="130"/>
      <c r="AY389" s="130"/>
      <c r="AZ389" s="130"/>
      <c r="BA389" s="130"/>
      <c r="BB389" s="130"/>
      <c r="BC389" s="130"/>
      <c r="BD389" s="130"/>
    </row>
    <row r="390" ht="15.75" customHeight="1">
      <c r="A390" s="142"/>
      <c r="B390" s="142"/>
      <c r="C390" s="198"/>
      <c r="D390" s="142"/>
      <c r="E390" s="131"/>
      <c r="F390" s="142"/>
      <c r="G390" s="142"/>
      <c r="H390" s="131"/>
      <c r="I390" s="142"/>
      <c r="J390" s="142"/>
      <c r="K390" s="132"/>
      <c r="L390" s="131"/>
      <c r="M390" s="142"/>
      <c r="N390" s="142"/>
      <c r="O390" s="142"/>
      <c r="P390" s="142"/>
      <c r="Q390" s="142"/>
      <c r="R390" s="142"/>
      <c r="S390" s="142"/>
      <c r="T390" s="142"/>
      <c r="U390" s="142"/>
      <c r="V390" s="142"/>
      <c r="W390" s="142"/>
      <c r="X390" s="142"/>
      <c r="Y390" s="142"/>
      <c r="Z390" s="142"/>
      <c r="AA390" s="142"/>
      <c r="AB390" s="142"/>
      <c r="AC390" s="142"/>
      <c r="AD390" s="142"/>
      <c r="AE390" s="142"/>
      <c r="AF390" s="142"/>
      <c r="AG390" s="142"/>
      <c r="AH390" s="142"/>
      <c r="AI390" s="142"/>
      <c r="AJ390" s="142"/>
      <c r="AK390" s="142"/>
      <c r="AL390" s="142"/>
      <c r="AM390" s="142"/>
      <c r="AN390" s="142"/>
      <c r="AO390" s="142"/>
      <c r="AP390" s="130"/>
      <c r="AQ390" s="130"/>
      <c r="AR390" s="130"/>
      <c r="AS390" s="130"/>
      <c r="AT390" s="130"/>
      <c r="AU390" s="130"/>
      <c r="AV390" s="130"/>
      <c r="AW390" s="130"/>
      <c r="AX390" s="130"/>
      <c r="AY390" s="130"/>
      <c r="AZ390" s="130"/>
      <c r="BA390" s="130"/>
      <c r="BB390" s="130"/>
      <c r="BC390" s="130"/>
      <c r="BD390" s="130"/>
    </row>
    <row r="391" ht="15.75" customHeight="1">
      <c r="A391" s="142"/>
      <c r="B391" s="142"/>
      <c r="C391" s="198"/>
      <c r="D391" s="142"/>
      <c r="E391" s="131"/>
      <c r="F391" s="142"/>
      <c r="G391" s="142"/>
      <c r="H391" s="131"/>
      <c r="I391" s="142"/>
      <c r="J391" s="142"/>
      <c r="K391" s="132"/>
      <c r="L391" s="131"/>
      <c r="M391" s="142"/>
      <c r="N391" s="142"/>
      <c r="O391" s="142"/>
      <c r="P391" s="142"/>
      <c r="Q391" s="142"/>
      <c r="R391" s="142"/>
      <c r="S391" s="142"/>
      <c r="T391" s="142"/>
      <c r="U391" s="142"/>
      <c r="V391" s="142"/>
      <c r="W391" s="142"/>
      <c r="X391" s="142"/>
      <c r="Y391" s="142"/>
      <c r="Z391" s="142"/>
      <c r="AA391" s="142"/>
      <c r="AB391" s="142"/>
      <c r="AC391" s="142"/>
      <c r="AD391" s="142"/>
      <c r="AE391" s="142"/>
      <c r="AF391" s="142"/>
      <c r="AG391" s="142"/>
      <c r="AH391" s="142"/>
      <c r="AI391" s="142"/>
      <c r="AJ391" s="142"/>
      <c r="AK391" s="142"/>
      <c r="AL391" s="142"/>
      <c r="AM391" s="142"/>
      <c r="AN391" s="142"/>
      <c r="AO391" s="142"/>
      <c r="AP391" s="130"/>
      <c r="AQ391" s="130"/>
      <c r="AR391" s="130"/>
      <c r="AS391" s="130"/>
      <c r="AT391" s="130"/>
      <c r="AU391" s="130"/>
      <c r="AV391" s="130"/>
      <c r="AW391" s="130"/>
      <c r="AX391" s="130"/>
      <c r="AY391" s="130"/>
      <c r="AZ391" s="130"/>
      <c r="BA391" s="130"/>
      <c r="BB391" s="130"/>
      <c r="BC391" s="130"/>
      <c r="BD391" s="130"/>
    </row>
    <row r="392" ht="15.75" customHeight="1">
      <c r="A392" s="142"/>
      <c r="B392" s="142"/>
      <c r="C392" s="198"/>
      <c r="D392" s="142"/>
      <c r="E392" s="131"/>
      <c r="F392" s="142"/>
      <c r="G392" s="142"/>
      <c r="H392" s="131"/>
      <c r="I392" s="142"/>
      <c r="J392" s="142"/>
      <c r="K392" s="132"/>
      <c r="L392" s="131"/>
      <c r="M392" s="142"/>
      <c r="N392" s="142"/>
      <c r="O392" s="142"/>
      <c r="P392" s="142"/>
      <c r="Q392" s="142"/>
      <c r="R392" s="142"/>
      <c r="S392" s="142"/>
      <c r="T392" s="142"/>
      <c r="U392" s="142"/>
      <c r="V392" s="142"/>
      <c r="W392" s="142"/>
      <c r="X392" s="142"/>
      <c r="Y392" s="142"/>
      <c r="Z392" s="142"/>
      <c r="AA392" s="142"/>
      <c r="AB392" s="142"/>
      <c r="AC392" s="142"/>
      <c r="AD392" s="142"/>
      <c r="AE392" s="142"/>
      <c r="AF392" s="142"/>
      <c r="AG392" s="142"/>
      <c r="AH392" s="142"/>
      <c r="AI392" s="142"/>
      <c r="AJ392" s="142"/>
      <c r="AK392" s="142"/>
      <c r="AL392" s="142"/>
      <c r="AM392" s="142"/>
      <c r="AN392" s="142"/>
      <c r="AO392" s="142"/>
      <c r="AP392" s="130"/>
      <c r="AQ392" s="130"/>
      <c r="AR392" s="130"/>
      <c r="AS392" s="130"/>
      <c r="AT392" s="130"/>
      <c r="AU392" s="130"/>
      <c r="AV392" s="130"/>
      <c r="AW392" s="130"/>
      <c r="AX392" s="130"/>
      <c r="AY392" s="130"/>
      <c r="AZ392" s="130"/>
      <c r="BA392" s="130"/>
      <c r="BB392" s="130"/>
      <c r="BC392" s="130"/>
      <c r="BD392" s="130"/>
    </row>
    <row r="393" ht="15.75" customHeight="1">
      <c r="A393" s="142"/>
      <c r="B393" s="142"/>
      <c r="C393" s="198"/>
      <c r="D393" s="142"/>
      <c r="E393" s="131"/>
      <c r="F393" s="142"/>
      <c r="G393" s="142"/>
      <c r="H393" s="131"/>
      <c r="I393" s="142"/>
      <c r="J393" s="142"/>
      <c r="K393" s="132"/>
      <c r="L393" s="131"/>
      <c r="M393" s="142"/>
      <c r="N393" s="142"/>
      <c r="O393" s="142"/>
      <c r="P393" s="142"/>
      <c r="Q393" s="142"/>
      <c r="R393" s="142"/>
      <c r="S393" s="142"/>
      <c r="T393" s="142"/>
      <c r="U393" s="142"/>
      <c r="V393" s="142"/>
      <c r="W393" s="142"/>
      <c r="X393" s="142"/>
      <c r="Y393" s="142"/>
      <c r="Z393" s="142"/>
      <c r="AA393" s="142"/>
      <c r="AB393" s="142"/>
      <c r="AC393" s="142"/>
      <c r="AD393" s="142"/>
      <c r="AE393" s="142"/>
      <c r="AF393" s="142"/>
      <c r="AG393" s="142"/>
      <c r="AH393" s="142"/>
      <c r="AI393" s="142"/>
      <c r="AJ393" s="142"/>
      <c r="AK393" s="142"/>
      <c r="AL393" s="142"/>
      <c r="AM393" s="142"/>
      <c r="AN393" s="142"/>
      <c r="AO393" s="142"/>
      <c r="AP393" s="130"/>
      <c r="AQ393" s="130"/>
      <c r="AR393" s="130"/>
      <c r="AS393" s="130"/>
      <c r="AT393" s="130"/>
      <c r="AU393" s="130"/>
      <c r="AV393" s="130"/>
      <c r="AW393" s="130"/>
      <c r="AX393" s="130"/>
      <c r="AY393" s="130"/>
      <c r="AZ393" s="130"/>
      <c r="BA393" s="130"/>
      <c r="BB393" s="130"/>
      <c r="BC393" s="130"/>
      <c r="BD393" s="130"/>
    </row>
    <row r="394" ht="15.75" customHeight="1">
      <c r="A394" s="142"/>
      <c r="B394" s="142"/>
      <c r="C394" s="198"/>
      <c r="D394" s="142"/>
      <c r="E394" s="131"/>
      <c r="F394" s="142"/>
      <c r="G394" s="142"/>
      <c r="H394" s="131"/>
      <c r="I394" s="142"/>
      <c r="J394" s="142"/>
      <c r="K394" s="132"/>
      <c r="L394" s="131"/>
      <c r="M394" s="142"/>
      <c r="N394" s="142"/>
      <c r="O394" s="142"/>
      <c r="P394" s="142"/>
      <c r="Q394" s="142"/>
      <c r="R394" s="142"/>
      <c r="S394" s="142"/>
      <c r="T394" s="142"/>
      <c r="U394" s="142"/>
      <c r="V394" s="142"/>
      <c r="W394" s="142"/>
      <c r="X394" s="142"/>
      <c r="Y394" s="142"/>
      <c r="Z394" s="142"/>
      <c r="AA394" s="142"/>
      <c r="AB394" s="142"/>
      <c r="AC394" s="142"/>
      <c r="AD394" s="142"/>
      <c r="AE394" s="142"/>
      <c r="AF394" s="142"/>
      <c r="AG394" s="142"/>
      <c r="AH394" s="142"/>
      <c r="AI394" s="142"/>
      <c r="AJ394" s="142"/>
      <c r="AK394" s="142"/>
      <c r="AL394" s="142"/>
      <c r="AM394" s="142"/>
      <c r="AN394" s="142"/>
      <c r="AO394" s="142"/>
      <c r="AP394" s="130"/>
      <c r="AQ394" s="130"/>
      <c r="AR394" s="130"/>
      <c r="AS394" s="130"/>
      <c r="AT394" s="130"/>
      <c r="AU394" s="130"/>
      <c r="AV394" s="130"/>
      <c r="AW394" s="130"/>
      <c r="AX394" s="130"/>
      <c r="AY394" s="130"/>
      <c r="AZ394" s="130"/>
      <c r="BA394" s="130"/>
      <c r="BB394" s="130"/>
      <c r="BC394" s="130"/>
      <c r="BD394" s="130"/>
    </row>
    <row r="395" ht="15.75" customHeight="1">
      <c r="A395" s="142"/>
      <c r="B395" s="142"/>
      <c r="C395" s="198"/>
      <c r="D395" s="142"/>
      <c r="E395" s="131"/>
      <c r="F395" s="142"/>
      <c r="G395" s="142"/>
      <c r="H395" s="131"/>
      <c r="I395" s="142"/>
      <c r="J395" s="142"/>
      <c r="K395" s="132"/>
      <c r="L395" s="131"/>
      <c r="M395" s="142"/>
      <c r="N395" s="142"/>
      <c r="O395" s="142"/>
      <c r="P395" s="142"/>
      <c r="Q395" s="142"/>
      <c r="R395" s="142"/>
      <c r="S395" s="142"/>
      <c r="T395" s="142"/>
      <c r="U395" s="142"/>
      <c r="V395" s="142"/>
      <c r="W395" s="142"/>
      <c r="X395" s="142"/>
      <c r="Y395" s="142"/>
      <c r="Z395" s="142"/>
      <c r="AA395" s="142"/>
      <c r="AB395" s="142"/>
      <c r="AC395" s="142"/>
      <c r="AD395" s="142"/>
      <c r="AE395" s="142"/>
      <c r="AF395" s="142"/>
      <c r="AG395" s="142"/>
      <c r="AH395" s="142"/>
      <c r="AI395" s="142"/>
      <c r="AJ395" s="142"/>
      <c r="AK395" s="142"/>
      <c r="AL395" s="142"/>
      <c r="AM395" s="142"/>
      <c r="AN395" s="142"/>
      <c r="AO395" s="142"/>
      <c r="AP395" s="130"/>
      <c r="AQ395" s="130"/>
      <c r="AR395" s="130"/>
      <c r="AS395" s="130"/>
      <c r="AT395" s="130"/>
      <c r="AU395" s="130"/>
      <c r="AV395" s="130"/>
      <c r="AW395" s="130"/>
      <c r="AX395" s="130"/>
      <c r="AY395" s="130"/>
      <c r="AZ395" s="130"/>
      <c r="BA395" s="130"/>
      <c r="BB395" s="130"/>
      <c r="BC395" s="130"/>
      <c r="BD395" s="130"/>
    </row>
    <row r="396" ht="15.75" customHeight="1">
      <c r="A396" s="142"/>
      <c r="B396" s="142"/>
      <c r="C396" s="198"/>
      <c r="D396" s="142"/>
      <c r="E396" s="131"/>
      <c r="F396" s="142"/>
      <c r="G396" s="142"/>
      <c r="H396" s="131"/>
      <c r="I396" s="142"/>
      <c r="J396" s="142"/>
      <c r="K396" s="132"/>
      <c r="L396" s="131"/>
      <c r="M396" s="142"/>
      <c r="N396" s="142"/>
      <c r="O396" s="142"/>
      <c r="P396" s="142"/>
      <c r="Q396" s="142"/>
      <c r="R396" s="142"/>
      <c r="S396" s="142"/>
      <c r="T396" s="142"/>
      <c r="U396" s="142"/>
      <c r="V396" s="142"/>
      <c r="W396" s="142"/>
      <c r="X396" s="142"/>
      <c r="Y396" s="142"/>
      <c r="Z396" s="142"/>
      <c r="AA396" s="142"/>
      <c r="AB396" s="142"/>
      <c r="AC396" s="142"/>
      <c r="AD396" s="142"/>
      <c r="AE396" s="142"/>
      <c r="AF396" s="142"/>
      <c r="AG396" s="142"/>
      <c r="AH396" s="142"/>
      <c r="AI396" s="142"/>
      <c r="AJ396" s="142"/>
      <c r="AK396" s="142"/>
      <c r="AL396" s="142"/>
      <c r="AM396" s="142"/>
      <c r="AN396" s="142"/>
      <c r="AO396" s="142"/>
      <c r="AP396" s="130"/>
      <c r="AQ396" s="130"/>
      <c r="AR396" s="130"/>
      <c r="AS396" s="130"/>
      <c r="AT396" s="130"/>
      <c r="AU396" s="130"/>
      <c r="AV396" s="130"/>
      <c r="AW396" s="130"/>
      <c r="AX396" s="130"/>
      <c r="AY396" s="130"/>
      <c r="AZ396" s="130"/>
      <c r="BA396" s="130"/>
      <c r="BB396" s="130"/>
      <c r="BC396" s="130"/>
      <c r="BD396" s="130"/>
    </row>
    <row r="397" ht="15.75" customHeight="1">
      <c r="A397" s="142"/>
      <c r="B397" s="142"/>
      <c r="C397" s="198"/>
      <c r="D397" s="142"/>
      <c r="E397" s="131"/>
      <c r="F397" s="142"/>
      <c r="G397" s="142"/>
      <c r="H397" s="131"/>
      <c r="I397" s="142"/>
      <c r="J397" s="142"/>
      <c r="K397" s="132"/>
      <c r="L397" s="131"/>
      <c r="M397" s="142"/>
      <c r="N397" s="142"/>
      <c r="O397" s="142"/>
      <c r="P397" s="142"/>
      <c r="Q397" s="142"/>
      <c r="R397" s="142"/>
      <c r="S397" s="142"/>
      <c r="T397" s="142"/>
      <c r="U397" s="142"/>
      <c r="V397" s="142"/>
      <c r="W397" s="142"/>
      <c r="X397" s="142"/>
      <c r="Y397" s="142"/>
      <c r="Z397" s="142"/>
      <c r="AA397" s="142"/>
      <c r="AB397" s="142"/>
      <c r="AC397" s="142"/>
      <c r="AD397" s="142"/>
      <c r="AE397" s="142"/>
      <c r="AF397" s="142"/>
      <c r="AG397" s="142"/>
      <c r="AH397" s="142"/>
      <c r="AI397" s="142"/>
      <c r="AJ397" s="142"/>
      <c r="AK397" s="142"/>
      <c r="AL397" s="142"/>
      <c r="AM397" s="142"/>
      <c r="AN397" s="142"/>
      <c r="AO397" s="142"/>
      <c r="AP397" s="130"/>
      <c r="AQ397" s="130"/>
      <c r="AR397" s="130"/>
      <c r="AS397" s="130"/>
      <c r="AT397" s="130"/>
      <c r="AU397" s="130"/>
      <c r="AV397" s="130"/>
      <c r="AW397" s="130"/>
      <c r="AX397" s="130"/>
      <c r="AY397" s="130"/>
      <c r="AZ397" s="130"/>
      <c r="BA397" s="130"/>
      <c r="BB397" s="130"/>
      <c r="BC397" s="130"/>
      <c r="BD397" s="130"/>
    </row>
    <row r="398" ht="15.75" customHeight="1">
      <c r="A398" s="142"/>
      <c r="B398" s="142"/>
      <c r="C398" s="198"/>
      <c r="D398" s="142"/>
      <c r="E398" s="131"/>
      <c r="F398" s="142"/>
      <c r="G398" s="142"/>
      <c r="H398" s="131"/>
      <c r="I398" s="142"/>
      <c r="J398" s="142"/>
      <c r="K398" s="132"/>
      <c r="L398" s="131"/>
      <c r="M398" s="142"/>
      <c r="N398" s="142"/>
      <c r="O398" s="142"/>
      <c r="P398" s="142"/>
      <c r="Q398" s="142"/>
      <c r="R398" s="142"/>
      <c r="S398" s="142"/>
      <c r="T398" s="142"/>
      <c r="U398" s="142"/>
      <c r="V398" s="142"/>
      <c r="W398" s="142"/>
      <c r="X398" s="142"/>
      <c r="Y398" s="142"/>
      <c r="Z398" s="142"/>
      <c r="AA398" s="142"/>
      <c r="AB398" s="142"/>
      <c r="AC398" s="142"/>
      <c r="AD398" s="142"/>
      <c r="AE398" s="142"/>
      <c r="AF398" s="142"/>
      <c r="AG398" s="142"/>
      <c r="AH398" s="142"/>
      <c r="AI398" s="142"/>
      <c r="AJ398" s="142"/>
      <c r="AK398" s="142"/>
      <c r="AL398" s="142"/>
      <c r="AM398" s="142"/>
      <c r="AN398" s="142"/>
      <c r="AO398" s="142"/>
      <c r="AP398" s="130"/>
      <c r="AQ398" s="130"/>
      <c r="AR398" s="130"/>
      <c r="AS398" s="130"/>
      <c r="AT398" s="130"/>
      <c r="AU398" s="130"/>
      <c r="AV398" s="130"/>
      <c r="AW398" s="130"/>
      <c r="AX398" s="130"/>
      <c r="AY398" s="130"/>
      <c r="AZ398" s="130"/>
      <c r="BA398" s="130"/>
      <c r="BB398" s="130"/>
      <c r="BC398" s="130"/>
      <c r="BD398" s="130"/>
    </row>
    <row r="399" ht="15.75" customHeight="1">
      <c r="A399" s="142"/>
      <c r="B399" s="142"/>
      <c r="C399" s="198"/>
      <c r="D399" s="142"/>
      <c r="E399" s="131"/>
      <c r="F399" s="142"/>
      <c r="G399" s="142"/>
      <c r="H399" s="131"/>
      <c r="I399" s="142"/>
      <c r="J399" s="142"/>
      <c r="K399" s="132"/>
      <c r="L399" s="131"/>
      <c r="M399" s="142"/>
      <c r="N399" s="142"/>
      <c r="O399" s="142"/>
      <c r="P399" s="142"/>
      <c r="Q399" s="142"/>
      <c r="R399" s="142"/>
      <c r="S399" s="142"/>
      <c r="T399" s="142"/>
      <c r="U399" s="142"/>
      <c r="V399" s="142"/>
      <c r="W399" s="142"/>
      <c r="X399" s="142"/>
      <c r="Y399" s="142"/>
      <c r="Z399" s="142"/>
      <c r="AA399" s="142"/>
      <c r="AB399" s="142"/>
      <c r="AC399" s="142"/>
      <c r="AD399" s="142"/>
      <c r="AE399" s="142"/>
      <c r="AF399" s="142"/>
      <c r="AG399" s="142"/>
      <c r="AH399" s="142"/>
      <c r="AI399" s="142"/>
      <c r="AJ399" s="142"/>
      <c r="AK399" s="142"/>
      <c r="AL399" s="142"/>
      <c r="AM399" s="142"/>
      <c r="AN399" s="142"/>
      <c r="AO399" s="142"/>
      <c r="AP399" s="130"/>
      <c r="AQ399" s="130"/>
      <c r="AR399" s="130"/>
      <c r="AS399" s="130"/>
      <c r="AT399" s="130"/>
      <c r="AU399" s="130"/>
      <c r="AV399" s="130"/>
      <c r="AW399" s="130"/>
      <c r="AX399" s="130"/>
      <c r="AY399" s="130"/>
      <c r="AZ399" s="130"/>
      <c r="BA399" s="130"/>
      <c r="BB399" s="130"/>
      <c r="BC399" s="130"/>
      <c r="BD399" s="130"/>
    </row>
    <row r="400" ht="15.75" customHeight="1">
      <c r="A400" s="142"/>
      <c r="B400" s="142"/>
      <c r="C400" s="198"/>
      <c r="D400" s="142"/>
      <c r="E400" s="131"/>
      <c r="F400" s="142"/>
      <c r="G400" s="142"/>
      <c r="H400" s="131"/>
      <c r="I400" s="142"/>
      <c r="J400" s="142"/>
      <c r="K400" s="132"/>
      <c r="L400" s="131"/>
      <c r="M400" s="142"/>
      <c r="N400" s="142"/>
      <c r="O400" s="142"/>
      <c r="P400" s="142"/>
      <c r="Q400" s="142"/>
      <c r="R400" s="142"/>
      <c r="S400" s="142"/>
      <c r="T400" s="142"/>
      <c r="U400" s="142"/>
      <c r="V400" s="142"/>
      <c r="W400" s="142"/>
      <c r="X400" s="142"/>
      <c r="Y400" s="142"/>
      <c r="Z400" s="142"/>
      <c r="AA400" s="142"/>
      <c r="AB400" s="142"/>
      <c r="AC400" s="142"/>
      <c r="AD400" s="142"/>
      <c r="AE400" s="142"/>
      <c r="AF400" s="142"/>
      <c r="AG400" s="142"/>
      <c r="AH400" s="142"/>
      <c r="AI400" s="142"/>
      <c r="AJ400" s="142"/>
      <c r="AK400" s="142"/>
      <c r="AL400" s="142"/>
      <c r="AM400" s="142"/>
      <c r="AN400" s="142"/>
      <c r="AO400" s="142"/>
      <c r="AP400" s="130"/>
      <c r="AQ400" s="130"/>
      <c r="AR400" s="130"/>
      <c r="AS400" s="130"/>
      <c r="AT400" s="130"/>
      <c r="AU400" s="130"/>
      <c r="AV400" s="130"/>
      <c r="AW400" s="130"/>
      <c r="AX400" s="130"/>
      <c r="AY400" s="130"/>
      <c r="AZ400" s="130"/>
      <c r="BA400" s="130"/>
      <c r="BB400" s="130"/>
      <c r="BC400" s="130"/>
      <c r="BD400" s="130"/>
    </row>
    <row r="401" ht="15.75" customHeight="1">
      <c r="A401" s="142"/>
      <c r="B401" s="142"/>
      <c r="C401" s="198"/>
      <c r="D401" s="142"/>
      <c r="E401" s="131"/>
      <c r="F401" s="142"/>
      <c r="G401" s="142"/>
      <c r="H401" s="131"/>
      <c r="I401" s="142"/>
      <c r="J401" s="142"/>
      <c r="K401" s="132"/>
      <c r="L401" s="131"/>
      <c r="M401" s="142"/>
      <c r="N401" s="142"/>
      <c r="O401" s="142"/>
      <c r="P401" s="142"/>
      <c r="Q401" s="142"/>
      <c r="R401" s="142"/>
      <c r="S401" s="142"/>
      <c r="T401" s="142"/>
      <c r="U401" s="142"/>
      <c r="V401" s="142"/>
      <c r="W401" s="142"/>
      <c r="X401" s="142"/>
      <c r="Y401" s="142"/>
      <c r="Z401" s="142"/>
      <c r="AA401" s="142"/>
      <c r="AB401" s="142"/>
      <c r="AC401" s="142"/>
      <c r="AD401" s="142"/>
      <c r="AE401" s="142"/>
      <c r="AF401" s="142"/>
      <c r="AG401" s="142"/>
      <c r="AH401" s="142"/>
      <c r="AI401" s="142"/>
      <c r="AJ401" s="142"/>
      <c r="AK401" s="142"/>
      <c r="AL401" s="142"/>
      <c r="AM401" s="142"/>
      <c r="AN401" s="142"/>
      <c r="AO401" s="142"/>
      <c r="AP401" s="130"/>
      <c r="AQ401" s="130"/>
      <c r="AR401" s="130"/>
      <c r="AS401" s="130"/>
      <c r="AT401" s="130"/>
      <c r="AU401" s="130"/>
      <c r="AV401" s="130"/>
      <c r="AW401" s="130"/>
      <c r="AX401" s="130"/>
      <c r="AY401" s="130"/>
      <c r="AZ401" s="130"/>
      <c r="BA401" s="130"/>
      <c r="BB401" s="130"/>
      <c r="BC401" s="130"/>
      <c r="BD401" s="130"/>
    </row>
    <row r="402" ht="15.75" customHeight="1">
      <c r="A402" s="142"/>
      <c r="B402" s="142"/>
      <c r="C402" s="198"/>
      <c r="D402" s="142"/>
      <c r="E402" s="131"/>
      <c r="F402" s="142"/>
      <c r="G402" s="142"/>
      <c r="H402" s="131"/>
      <c r="I402" s="142"/>
      <c r="J402" s="142"/>
      <c r="K402" s="132"/>
      <c r="L402" s="131"/>
      <c r="M402" s="142"/>
      <c r="N402" s="142"/>
      <c r="O402" s="142"/>
      <c r="P402" s="142"/>
      <c r="Q402" s="142"/>
      <c r="R402" s="142"/>
      <c r="S402" s="142"/>
      <c r="T402" s="142"/>
      <c r="U402" s="142"/>
      <c r="V402" s="142"/>
      <c r="W402" s="142"/>
      <c r="X402" s="142"/>
      <c r="Y402" s="142"/>
      <c r="Z402" s="142"/>
      <c r="AA402" s="142"/>
      <c r="AB402" s="142"/>
      <c r="AC402" s="142"/>
      <c r="AD402" s="142"/>
      <c r="AE402" s="142"/>
      <c r="AF402" s="142"/>
      <c r="AG402" s="142"/>
      <c r="AH402" s="142"/>
      <c r="AI402" s="142"/>
      <c r="AJ402" s="142"/>
      <c r="AK402" s="142"/>
      <c r="AL402" s="142"/>
      <c r="AM402" s="142"/>
      <c r="AN402" s="142"/>
      <c r="AO402" s="142"/>
      <c r="AP402" s="130"/>
      <c r="AQ402" s="130"/>
      <c r="AR402" s="130"/>
      <c r="AS402" s="130"/>
      <c r="AT402" s="130"/>
      <c r="AU402" s="130"/>
      <c r="AV402" s="130"/>
      <c r="AW402" s="130"/>
      <c r="AX402" s="130"/>
      <c r="AY402" s="130"/>
      <c r="AZ402" s="130"/>
      <c r="BA402" s="130"/>
      <c r="BB402" s="130"/>
      <c r="BC402" s="130"/>
      <c r="BD402" s="130"/>
    </row>
    <row r="403" ht="15.75" customHeight="1">
      <c r="A403" s="142"/>
      <c r="B403" s="142"/>
      <c r="C403" s="198"/>
      <c r="D403" s="142"/>
      <c r="E403" s="131"/>
      <c r="F403" s="142"/>
      <c r="G403" s="142"/>
      <c r="H403" s="131"/>
      <c r="I403" s="142"/>
      <c r="J403" s="142"/>
      <c r="K403" s="132"/>
      <c r="L403" s="131"/>
      <c r="M403" s="142"/>
      <c r="N403" s="142"/>
      <c r="O403" s="142"/>
      <c r="P403" s="142"/>
      <c r="Q403" s="142"/>
      <c r="R403" s="142"/>
      <c r="S403" s="142"/>
      <c r="T403" s="142"/>
      <c r="U403" s="142"/>
      <c r="V403" s="142"/>
      <c r="W403" s="142"/>
      <c r="X403" s="142"/>
      <c r="Y403" s="142"/>
      <c r="Z403" s="142"/>
      <c r="AA403" s="142"/>
      <c r="AB403" s="142"/>
      <c r="AC403" s="142"/>
      <c r="AD403" s="142"/>
      <c r="AE403" s="142"/>
      <c r="AF403" s="142"/>
      <c r="AG403" s="142"/>
      <c r="AH403" s="142"/>
      <c r="AI403" s="142"/>
      <c r="AJ403" s="142"/>
      <c r="AK403" s="142"/>
      <c r="AL403" s="142"/>
      <c r="AM403" s="142"/>
      <c r="AN403" s="142"/>
      <c r="AO403" s="142"/>
      <c r="AP403" s="130"/>
      <c r="AQ403" s="130"/>
      <c r="AR403" s="130"/>
      <c r="AS403" s="130"/>
      <c r="AT403" s="130"/>
      <c r="AU403" s="130"/>
      <c r="AV403" s="130"/>
      <c r="AW403" s="130"/>
      <c r="AX403" s="130"/>
      <c r="AY403" s="130"/>
      <c r="AZ403" s="130"/>
      <c r="BA403" s="130"/>
      <c r="BB403" s="130"/>
      <c r="BC403" s="130"/>
      <c r="BD403" s="130"/>
    </row>
    <row r="404" ht="15.75" customHeight="1">
      <c r="A404" s="142"/>
      <c r="B404" s="142"/>
      <c r="C404" s="198"/>
      <c r="D404" s="142"/>
      <c r="E404" s="131"/>
      <c r="F404" s="142"/>
      <c r="G404" s="142"/>
      <c r="H404" s="131"/>
      <c r="I404" s="142"/>
      <c r="J404" s="142"/>
      <c r="K404" s="132"/>
      <c r="L404" s="131"/>
      <c r="M404" s="142"/>
      <c r="N404" s="142"/>
      <c r="O404" s="142"/>
      <c r="P404" s="142"/>
      <c r="Q404" s="142"/>
      <c r="R404" s="142"/>
      <c r="S404" s="142"/>
      <c r="T404" s="142"/>
      <c r="U404" s="142"/>
      <c r="V404" s="142"/>
      <c r="W404" s="142"/>
      <c r="X404" s="142"/>
      <c r="Y404" s="142"/>
      <c r="Z404" s="142"/>
      <c r="AA404" s="142"/>
      <c r="AB404" s="142"/>
      <c r="AC404" s="142"/>
      <c r="AD404" s="142"/>
      <c r="AE404" s="142"/>
      <c r="AF404" s="142"/>
      <c r="AG404" s="142"/>
      <c r="AH404" s="142"/>
      <c r="AI404" s="142"/>
      <c r="AJ404" s="142"/>
      <c r="AK404" s="142"/>
      <c r="AL404" s="142"/>
      <c r="AM404" s="142"/>
      <c r="AN404" s="142"/>
      <c r="AO404" s="142"/>
      <c r="AP404" s="130"/>
      <c r="AQ404" s="130"/>
      <c r="AR404" s="130"/>
      <c r="AS404" s="130"/>
      <c r="AT404" s="130"/>
      <c r="AU404" s="130"/>
      <c r="AV404" s="130"/>
      <c r="AW404" s="130"/>
      <c r="AX404" s="130"/>
      <c r="AY404" s="130"/>
      <c r="AZ404" s="130"/>
      <c r="BA404" s="130"/>
      <c r="BB404" s="130"/>
      <c r="BC404" s="130"/>
      <c r="BD404" s="130"/>
    </row>
    <row r="405" ht="15.75" customHeight="1">
      <c r="A405" s="142"/>
      <c r="B405" s="142"/>
      <c r="C405" s="198"/>
      <c r="D405" s="142"/>
      <c r="E405" s="131"/>
      <c r="F405" s="142"/>
      <c r="G405" s="142"/>
      <c r="H405" s="131"/>
      <c r="I405" s="142"/>
      <c r="J405" s="142"/>
      <c r="K405" s="132"/>
      <c r="L405" s="131"/>
      <c r="M405" s="142"/>
      <c r="N405" s="142"/>
      <c r="O405" s="142"/>
      <c r="P405" s="142"/>
      <c r="Q405" s="142"/>
      <c r="R405" s="142"/>
      <c r="S405" s="142"/>
      <c r="T405" s="142"/>
      <c r="U405" s="142"/>
      <c r="V405" s="142"/>
      <c r="W405" s="142"/>
      <c r="X405" s="142"/>
      <c r="Y405" s="142"/>
      <c r="Z405" s="142"/>
      <c r="AA405" s="142"/>
      <c r="AB405" s="142"/>
      <c r="AC405" s="142"/>
      <c r="AD405" s="142"/>
      <c r="AE405" s="142"/>
      <c r="AF405" s="142"/>
      <c r="AG405" s="142"/>
      <c r="AH405" s="142"/>
      <c r="AI405" s="142"/>
      <c r="AJ405" s="142"/>
      <c r="AK405" s="142"/>
      <c r="AL405" s="142"/>
      <c r="AM405" s="142"/>
      <c r="AN405" s="142"/>
      <c r="AO405" s="142"/>
      <c r="AP405" s="130"/>
      <c r="AQ405" s="130"/>
      <c r="AR405" s="130"/>
      <c r="AS405" s="130"/>
      <c r="AT405" s="130"/>
      <c r="AU405" s="130"/>
      <c r="AV405" s="130"/>
      <c r="AW405" s="130"/>
      <c r="AX405" s="130"/>
      <c r="AY405" s="130"/>
      <c r="AZ405" s="130"/>
      <c r="BA405" s="130"/>
      <c r="BB405" s="130"/>
      <c r="BC405" s="130"/>
      <c r="BD405" s="130"/>
    </row>
    <row r="406" ht="15.75" customHeight="1">
      <c r="A406" s="142"/>
      <c r="B406" s="142"/>
      <c r="C406" s="198"/>
      <c r="D406" s="142"/>
      <c r="E406" s="131"/>
      <c r="F406" s="142"/>
      <c r="G406" s="142"/>
      <c r="H406" s="131"/>
      <c r="I406" s="142"/>
      <c r="J406" s="142"/>
      <c r="K406" s="132"/>
      <c r="L406" s="131"/>
      <c r="M406" s="142"/>
      <c r="N406" s="142"/>
      <c r="O406" s="142"/>
      <c r="P406" s="142"/>
      <c r="Q406" s="142"/>
      <c r="R406" s="142"/>
      <c r="S406" s="142"/>
      <c r="T406" s="142"/>
      <c r="U406" s="142"/>
      <c r="V406" s="142"/>
      <c r="W406" s="142"/>
      <c r="X406" s="142"/>
      <c r="Y406" s="142"/>
      <c r="Z406" s="142"/>
      <c r="AA406" s="142"/>
      <c r="AB406" s="142"/>
      <c r="AC406" s="142"/>
      <c r="AD406" s="142"/>
      <c r="AE406" s="142"/>
      <c r="AF406" s="142"/>
      <c r="AG406" s="142"/>
      <c r="AH406" s="142"/>
      <c r="AI406" s="142"/>
      <c r="AJ406" s="142"/>
      <c r="AK406" s="142"/>
      <c r="AL406" s="142"/>
      <c r="AM406" s="142"/>
      <c r="AN406" s="142"/>
      <c r="AO406" s="142"/>
      <c r="AP406" s="130"/>
      <c r="AQ406" s="130"/>
      <c r="AR406" s="130"/>
      <c r="AS406" s="130"/>
      <c r="AT406" s="130"/>
      <c r="AU406" s="130"/>
      <c r="AV406" s="130"/>
      <c r="AW406" s="130"/>
      <c r="AX406" s="130"/>
      <c r="AY406" s="130"/>
      <c r="AZ406" s="130"/>
      <c r="BA406" s="130"/>
      <c r="BB406" s="130"/>
      <c r="BC406" s="130"/>
      <c r="BD406" s="130"/>
    </row>
    <row r="407" ht="15.75" customHeight="1">
      <c r="A407" s="142"/>
      <c r="B407" s="142"/>
      <c r="C407" s="198"/>
      <c r="D407" s="142"/>
      <c r="E407" s="131"/>
      <c r="F407" s="142"/>
      <c r="G407" s="142"/>
      <c r="H407" s="131"/>
      <c r="I407" s="142"/>
      <c r="J407" s="142"/>
      <c r="K407" s="132"/>
      <c r="L407" s="131"/>
      <c r="M407" s="142"/>
      <c r="N407" s="142"/>
      <c r="O407" s="142"/>
      <c r="P407" s="142"/>
      <c r="Q407" s="142"/>
      <c r="R407" s="142"/>
      <c r="S407" s="142"/>
      <c r="T407" s="142"/>
      <c r="U407" s="142"/>
      <c r="V407" s="142"/>
      <c r="W407" s="142"/>
      <c r="X407" s="142"/>
      <c r="Y407" s="142"/>
      <c r="Z407" s="142"/>
      <c r="AA407" s="142"/>
      <c r="AB407" s="142"/>
      <c r="AC407" s="142"/>
      <c r="AD407" s="142"/>
      <c r="AE407" s="142"/>
      <c r="AF407" s="142"/>
      <c r="AG407" s="142"/>
      <c r="AH407" s="142"/>
      <c r="AI407" s="142"/>
      <c r="AJ407" s="142"/>
      <c r="AK407" s="142"/>
      <c r="AL407" s="142"/>
      <c r="AM407" s="142"/>
      <c r="AN407" s="142"/>
      <c r="AO407" s="142"/>
      <c r="AP407" s="130"/>
      <c r="AQ407" s="130"/>
      <c r="AR407" s="130"/>
      <c r="AS407" s="130"/>
      <c r="AT407" s="130"/>
      <c r="AU407" s="130"/>
      <c r="AV407" s="130"/>
      <c r="AW407" s="130"/>
      <c r="AX407" s="130"/>
      <c r="AY407" s="130"/>
      <c r="AZ407" s="130"/>
      <c r="BA407" s="130"/>
      <c r="BB407" s="130"/>
      <c r="BC407" s="130"/>
      <c r="BD407" s="130"/>
    </row>
    <row r="408" ht="15.75" customHeight="1">
      <c r="A408" s="142"/>
      <c r="B408" s="142"/>
      <c r="C408" s="198"/>
      <c r="D408" s="142"/>
      <c r="E408" s="131"/>
      <c r="F408" s="142"/>
      <c r="G408" s="142"/>
      <c r="H408" s="131"/>
      <c r="I408" s="142"/>
      <c r="J408" s="142"/>
      <c r="K408" s="132"/>
      <c r="L408" s="131"/>
      <c r="M408" s="142"/>
      <c r="N408" s="142"/>
      <c r="O408" s="142"/>
      <c r="P408" s="142"/>
      <c r="Q408" s="142"/>
      <c r="R408" s="142"/>
      <c r="S408" s="142"/>
      <c r="T408" s="142"/>
      <c r="U408" s="142"/>
      <c r="V408" s="142"/>
      <c r="W408" s="142"/>
      <c r="X408" s="142"/>
      <c r="Y408" s="142"/>
      <c r="Z408" s="142"/>
      <c r="AA408" s="142"/>
      <c r="AB408" s="142"/>
      <c r="AC408" s="142"/>
      <c r="AD408" s="142"/>
      <c r="AE408" s="142"/>
      <c r="AF408" s="142"/>
      <c r="AG408" s="142"/>
      <c r="AH408" s="142"/>
      <c r="AI408" s="142"/>
      <c r="AJ408" s="142"/>
      <c r="AK408" s="142"/>
      <c r="AL408" s="142"/>
      <c r="AM408" s="142"/>
      <c r="AN408" s="142"/>
      <c r="AO408" s="142"/>
      <c r="AP408" s="130"/>
      <c r="AQ408" s="130"/>
      <c r="AR408" s="130"/>
      <c r="AS408" s="130"/>
      <c r="AT408" s="130"/>
      <c r="AU408" s="130"/>
      <c r="AV408" s="130"/>
      <c r="AW408" s="130"/>
      <c r="AX408" s="130"/>
      <c r="AY408" s="130"/>
      <c r="AZ408" s="130"/>
      <c r="BA408" s="130"/>
      <c r="BB408" s="130"/>
      <c r="BC408" s="130"/>
      <c r="BD408" s="130"/>
    </row>
    <row r="409" ht="15.75" customHeight="1">
      <c r="A409" s="142"/>
      <c r="B409" s="142"/>
      <c r="C409" s="198"/>
      <c r="D409" s="142"/>
      <c r="E409" s="131"/>
      <c r="F409" s="142"/>
      <c r="G409" s="142"/>
      <c r="H409" s="131"/>
      <c r="I409" s="142"/>
      <c r="J409" s="142"/>
      <c r="K409" s="132"/>
      <c r="L409" s="131"/>
      <c r="M409" s="142"/>
      <c r="N409" s="142"/>
      <c r="O409" s="142"/>
      <c r="P409" s="142"/>
      <c r="Q409" s="142"/>
      <c r="R409" s="142"/>
      <c r="S409" s="142"/>
      <c r="T409" s="142"/>
      <c r="U409" s="142"/>
      <c r="V409" s="142"/>
      <c r="W409" s="142"/>
      <c r="X409" s="142"/>
      <c r="Y409" s="142"/>
      <c r="Z409" s="142"/>
      <c r="AA409" s="142"/>
      <c r="AB409" s="142"/>
      <c r="AC409" s="142"/>
      <c r="AD409" s="142"/>
      <c r="AE409" s="142"/>
      <c r="AF409" s="142"/>
      <c r="AG409" s="142"/>
      <c r="AH409" s="142"/>
      <c r="AI409" s="142"/>
      <c r="AJ409" s="142"/>
      <c r="AK409" s="142"/>
      <c r="AL409" s="142"/>
      <c r="AM409" s="142"/>
      <c r="AN409" s="142"/>
      <c r="AO409" s="142"/>
      <c r="AP409" s="130"/>
      <c r="AQ409" s="130"/>
      <c r="AR409" s="130"/>
      <c r="AS409" s="130"/>
      <c r="AT409" s="130"/>
      <c r="AU409" s="130"/>
      <c r="AV409" s="130"/>
      <c r="AW409" s="130"/>
      <c r="AX409" s="130"/>
      <c r="AY409" s="130"/>
      <c r="AZ409" s="130"/>
      <c r="BA409" s="130"/>
      <c r="BB409" s="130"/>
      <c r="BC409" s="130"/>
      <c r="BD409" s="130"/>
    </row>
    <row r="410" ht="15.75" customHeight="1">
      <c r="A410" s="142"/>
      <c r="B410" s="142"/>
      <c r="C410" s="198"/>
      <c r="D410" s="142"/>
      <c r="E410" s="131"/>
      <c r="F410" s="142"/>
      <c r="G410" s="142"/>
      <c r="H410" s="131"/>
      <c r="I410" s="142"/>
      <c r="J410" s="142"/>
      <c r="K410" s="132"/>
      <c r="L410" s="131"/>
      <c r="M410" s="142"/>
      <c r="N410" s="142"/>
      <c r="O410" s="142"/>
      <c r="P410" s="142"/>
      <c r="Q410" s="142"/>
      <c r="R410" s="142"/>
      <c r="S410" s="142"/>
      <c r="T410" s="142"/>
      <c r="U410" s="142"/>
      <c r="V410" s="142"/>
      <c r="W410" s="142"/>
      <c r="X410" s="142"/>
      <c r="Y410" s="142"/>
      <c r="Z410" s="142"/>
      <c r="AA410" s="142"/>
      <c r="AB410" s="142"/>
      <c r="AC410" s="142"/>
      <c r="AD410" s="142"/>
      <c r="AE410" s="142"/>
      <c r="AF410" s="142"/>
      <c r="AG410" s="142"/>
      <c r="AH410" s="142"/>
      <c r="AI410" s="142"/>
      <c r="AJ410" s="142"/>
      <c r="AK410" s="142"/>
      <c r="AL410" s="142"/>
      <c r="AM410" s="142"/>
      <c r="AN410" s="142"/>
      <c r="AO410" s="142"/>
      <c r="AP410" s="130"/>
      <c r="AQ410" s="130"/>
      <c r="AR410" s="130"/>
      <c r="AS410" s="130"/>
      <c r="AT410" s="130"/>
      <c r="AU410" s="130"/>
      <c r="AV410" s="130"/>
      <c r="AW410" s="130"/>
      <c r="AX410" s="130"/>
      <c r="AY410" s="130"/>
      <c r="AZ410" s="130"/>
      <c r="BA410" s="130"/>
      <c r="BB410" s="130"/>
      <c r="BC410" s="130"/>
      <c r="BD410" s="130"/>
    </row>
    <row r="411" ht="15.75" customHeight="1">
      <c r="A411" s="142"/>
      <c r="B411" s="142"/>
      <c r="C411" s="198"/>
      <c r="D411" s="142"/>
      <c r="E411" s="131"/>
      <c r="F411" s="142"/>
      <c r="G411" s="142"/>
      <c r="H411" s="131"/>
      <c r="I411" s="142"/>
      <c r="J411" s="142"/>
      <c r="K411" s="132"/>
      <c r="L411" s="131"/>
      <c r="M411" s="142"/>
      <c r="N411" s="142"/>
      <c r="O411" s="142"/>
      <c r="P411" s="142"/>
      <c r="Q411" s="142"/>
      <c r="R411" s="142"/>
      <c r="S411" s="142"/>
      <c r="T411" s="142"/>
      <c r="U411" s="142"/>
      <c r="V411" s="142"/>
      <c r="W411" s="142"/>
      <c r="X411" s="142"/>
      <c r="Y411" s="142"/>
      <c r="Z411" s="142"/>
      <c r="AA411" s="142"/>
      <c r="AB411" s="142"/>
      <c r="AC411" s="142"/>
      <c r="AD411" s="142"/>
      <c r="AE411" s="142"/>
      <c r="AF411" s="142"/>
      <c r="AG411" s="142"/>
      <c r="AH411" s="142"/>
      <c r="AI411" s="142"/>
      <c r="AJ411" s="142"/>
      <c r="AK411" s="142"/>
      <c r="AL411" s="142"/>
      <c r="AM411" s="142"/>
      <c r="AN411" s="142"/>
      <c r="AO411" s="142"/>
      <c r="AP411" s="130"/>
      <c r="AQ411" s="130"/>
      <c r="AR411" s="130"/>
      <c r="AS411" s="130"/>
      <c r="AT411" s="130"/>
      <c r="AU411" s="130"/>
      <c r="AV411" s="130"/>
      <c r="AW411" s="130"/>
      <c r="AX411" s="130"/>
      <c r="AY411" s="130"/>
      <c r="AZ411" s="130"/>
      <c r="BA411" s="130"/>
      <c r="BB411" s="130"/>
      <c r="BC411" s="130"/>
      <c r="BD411" s="130"/>
    </row>
    <row r="412" ht="15.75" customHeight="1">
      <c r="A412" s="142"/>
      <c r="B412" s="142"/>
      <c r="C412" s="198"/>
      <c r="D412" s="142"/>
      <c r="E412" s="131"/>
      <c r="F412" s="142"/>
      <c r="G412" s="142"/>
      <c r="H412" s="131"/>
      <c r="I412" s="142"/>
      <c r="J412" s="142"/>
      <c r="K412" s="132"/>
      <c r="L412" s="131"/>
      <c r="M412" s="142"/>
      <c r="N412" s="142"/>
      <c r="O412" s="142"/>
      <c r="P412" s="142"/>
      <c r="Q412" s="142"/>
      <c r="R412" s="142"/>
      <c r="S412" s="142"/>
      <c r="T412" s="142"/>
      <c r="U412" s="142"/>
      <c r="V412" s="142"/>
      <c r="W412" s="142"/>
      <c r="X412" s="142"/>
      <c r="Y412" s="142"/>
      <c r="Z412" s="142"/>
      <c r="AA412" s="142"/>
      <c r="AB412" s="142"/>
      <c r="AC412" s="142"/>
      <c r="AD412" s="142"/>
      <c r="AE412" s="142"/>
      <c r="AF412" s="142"/>
      <c r="AG412" s="142"/>
      <c r="AH412" s="142"/>
      <c r="AI412" s="142"/>
      <c r="AJ412" s="142"/>
      <c r="AK412" s="142"/>
      <c r="AL412" s="142"/>
      <c r="AM412" s="142"/>
      <c r="AN412" s="142"/>
      <c r="AO412" s="142"/>
      <c r="AP412" s="130"/>
      <c r="AQ412" s="130"/>
      <c r="AR412" s="130"/>
      <c r="AS412" s="130"/>
      <c r="AT412" s="130"/>
      <c r="AU412" s="130"/>
      <c r="AV412" s="130"/>
      <c r="AW412" s="130"/>
      <c r="AX412" s="130"/>
      <c r="AY412" s="130"/>
      <c r="AZ412" s="130"/>
      <c r="BA412" s="130"/>
      <c r="BB412" s="130"/>
      <c r="BC412" s="130"/>
      <c r="BD412" s="130"/>
    </row>
    <row r="413" ht="15.75" customHeight="1">
      <c r="A413" s="142"/>
      <c r="B413" s="142"/>
      <c r="C413" s="198"/>
      <c r="D413" s="142"/>
      <c r="E413" s="131"/>
      <c r="F413" s="142"/>
      <c r="G413" s="142"/>
      <c r="H413" s="131"/>
      <c r="I413" s="142"/>
      <c r="J413" s="142"/>
      <c r="K413" s="132"/>
      <c r="L413" s="131"/>
      <c r="M413" s="142"/>
      <c r="N413" s="142"/>
      <c r="O413" s="142"/>
      <c r="P413" s="142"/>
      <c r="Q413" s="142"/>
      <c r="R413" s="142"/>
      <c r="S413" s="142"/>
      <c r="T413" s="142"/>
      <c r="U413" s="142"/>
      <c r="V413" s="142"/>
      <c r="W413" s="142"/>
      <c r="X413" s="142"/>
      <c r="Y413" s="142"/>
      <c r="Z413" s="142"/>
      <c r="AA413" s="142"/>
      <c r="AB413" s="142"/>
      <c r="AC413" s="142"/>
      <c r="AD413" s="142"/>
      <c r="AE413" s="142"/>
      <c r="AF413" s="142"/>
      <c r="AG413" s="142"/>
      <c r="AH413" s="142"/>
      <c r="AI413" s="142"/>
      <c r="AJ413" s="142"/>
      <c r="AK413" s="142"/>
      <c r="AL413" s="142"/>
      <c r="AM413" s="142"/>
      <c r="AN413" s="142"/>
      <c r="AO413" s="142"/>
      <c r="AP413" s="130"/>
      <c r="AQ413" s="130"/>
      <c r="AR413" s="130"/>
      <c r="AS413" s="130"/>
      <c r="AT413" s="130"/>
      <c r="AU413" s="130"/>
      <c r="AV413" s="130"/>
      <c r="AW413" s="130"/>
      <c r="AX413" s="130"/>
      <c r="AY413" s="130"/>
      <c r="AZ413" s="130"/>
      <c r="BA413" s="130"/>
      <c r="BB413" s="130"/>
      <c r="BC413" s="130"/>
      <c r="BD413" s="130"/>
    </row>
    <row r="414" ht="15.75" customHeight="1">
      <c r="A414" s="142"/>
      <c r="B414" s="142"/>
      <c r="C414" s="198"/>
      <c r="D414" s="142"/>
      <c r="E414" s="131"/>
      <c r="F414" s="142"/>
      <c r="G414" s="142"/>
      <c r="H414" s="131"/>
      <c r="I414" s="142"/>
      <c r="J414" s="142"/>
      <c r="K414" s="132"/>
      <c r="L414" s="131"/>
      <c r="M414" s="142"/>
      <c r="N414" s="142"/>
      <c r="O414" s="142"/>
      <c r="P414" s="142"/>
      <c r="Q414" s="142"/>
      <c r="R414" s="142"/>
      <c r="S414" s="142"/>
      <c r="T414" s="142"/>
      <c r="U414" s="142"/>
      <c r="V414" s="142"/>
      <c r="W414" s="142"/>
      <c r="X414" s="142"/>
      <c r="Y414" s="142"/>
      <c r="Z414" s="142"/>
      <c r="AA414" s="142"/>
      <c r="AB414" s="142"/>
      <c r="AC414" s="142"/>
      <c r="AD414" s="142"/>
      <c r="AE414" s="142"/>
      <c r="AF414" s="142"/>
      <c r="AG414" s="142"/>
      <c r="AH414" s="142"/>
      <c r="AI414" s="142"/>
      <c r="AJ414" s="142"/>
      <c r="AK414" s="142"/>
      <c r="AL414" s="142"/>
      <c r="AM414" s="142"/>
      <c r="AN414" s="142"/>
      <c r="AO414" s="142"/>
      <c r="AP414" s="130"/>
      <c r="AQ414" s="130"/>
      <c r="AR414" s="130"/>
      <c r="AS414" s="130"/>
      <c r="AT414" s="130"/>
      <c r="AU414" s="130"/>
      <c r="AV414" s="130"/>
      <c r="AW414" s="130"/>
      <c r="AX414" s="130"/>
      <c r="AY414" s="130"/>
      <c r="AZ414" s="130"/>
      <c r="BA414" s="130"/>
      <c r="BB414" s="130"/>
      <c r="BC414" s="130"/>
      <c r="BD414" s="130"/>
    </row>
    <row r="415" ht="15.75" customHeight="1">
      <c r="A415" s="142"/>
      <c r="B415" s="142"/>
      <c r="C415" s="198"/>
      <c r="D415" s="142"/>
      <c r="E415" s="131"/>
      <c r="F415" s="142"/>
      <c r="G415" s="142"/>
      <c r="H415" s="131"/>
      <c r="I415" s="142"/>
      <c r="J415" s="142"/>
      <c r="K415" s="132"/>
      <c r="L415" s="131"/>
      <c r="M415" s="142"/>
      <c r="N415" s="142"/>
      <c r="O415" s="142"/>
      <c r="P415" s="142"/>
      <c r="Q415" s="142"/>
      <c r="R415" s="142"/>
      <c r="S415" s="142"/>
      <c r="T415" s="142"/>
      <c r="U415" s="142"/>
      <c r="V415" s="142"/>
      <c r="W415" s="142"/>
      <c r="X415" s="142"/>
      <c r="Y415" s="142"/>
      <c r="Z415" s="142"/>
      <c r="AA415" s="142"/>
      <c r="AB415" s="142"/>
      <c r="AC415" s="142"/>
      <c r="AD415" s="142"/>
      <c r="AE415" s="142"/>
      <c r="AF415" s="142"/>
      <c r="AG415" s="142"/>
      <c r="AH415" s="142"/>
      <c r="AI415" s="142"/>
      <c r="AJ415" s="142"/>
      <c r="AK415" s="142"/>
      <c r="AL415" s="142"/>
      <c r="AM415" s="142"/>
      <c r="AN415" s="142"/>
      <c r="AO415" s="142"/>
      <c r="AP415" s="130"/>
      <c r="AQ415" s="130"/>
      <c r="AR415" s="130"/>
      <c r="AS415" s="130"/>
      <c r="AT415" s="130"/>
      <c r="AU415" s="130"/>
      <c r="AV415" s="130"/>
      <c r="AW415" s="130"/>
      <c r="AX415" s="130"/>
      <c r="AY415" s="130"/>
      <c r="AZ415" s="130"/>
      <c r="BA415" s="130"/>
      <c r="BB415" s="130"/>
      <c r="BC415" s="130"/>
      <c r="BD415" s="130"/>
    </row>
    <row r="416" ht="15.75" customHeight="1">
      <c r="A416" s="142"/>
      <c r="B416" s="142"/>
      <c r="C416" s="198"/>
      <c r="D416" s="142"/>
      <c r="E416" s="131"/>
      <c r="F416" s="142"/>
      <c r="G416" s="142"/>
      <c r="H416" s="131"/>
      <c r="I416" s="142"/>
      <c r="J416" s="142"/>
      <c r="K416" s="132"/>
      <c r="L416" s="131"/>
      <c r="M416" s="142"/>
      <c r="N416" s="142"/>
      <c r="O416" s="142"/>
      <c r="P416" s="142"/>
      <c r="Q416" s="142"/>
      <c r="R416" s="142"/>
      <c r="S416" s="142"/>
      <c r="T416" s="142"/>
      <c r="U416" s="142"/>
      <c r="V416" s="142"/>
      <c r="W416" s="142"/>
      <c r="X416" s="142"/>
      <c r="Y416" s="142"/>
      <c r="Z416" s="142"/>
      <c r="AA416" s="142"/>
      <c r="AB416" s="142"/>
      <c r="AC416" s="142"/>
      <c r="AD416" s="142"/>
      <c r="AE416" s="142"/>
      <c r="AF416" s="142"/>
      <c r="AG416" s="142"/>
      <c r="AH416" s="142"/>
      <c r="AI416" s="142"/>
      <c r="AJ416" s="142"/>
      <c r="AK416" s="142"/>
      <c r="AL416" s="142"/>
      <c r="AM416" s="142"/>
      <c r="AN416" s="142"/>
      <c r="AO416" s="142"/>
      <c r="AP416" s="130"/>
      <c r="AQ416" s="130"/>
      <c r="AR416" s="130"/>
      <c r="AS416" s="130"/>
      <c r="AT416" s="130"/>
      <c r="AU416" s="130"/>
      <c r="AV416" s="130"/>
      <c r="AW416" s="130"/>
      <c r="AX416" s="130"/>
      <c r="AY416" s="130"/>
      <c r="AZ416" s="130"/>
      <c r="BA416" s="130"/>
      <c r="BB416" s="130"/>
      <c r="BC416" s="130"/>
      <c r="BD416" s="130"/>
    </row>
    <row r="417" ht="15.75" customHeight="1">
      <c r="A417" s="142"/>
      <c r="B417" s="142"/>
      <c r="C417" s="198"/>
      <c r="D417" s="142"/>
      <c r="E417" s="131"/>
      <c r="F417" s="142"/>
      <c r="G417" s="142"/>
      <c r="H417" s="131"/>
      <c r="I417" s="142"/>
      <c r="J417" s="142"/>
      <c r="K417" s="132"/>
      <c r="L417" s="131"/>
      <c r="M417" s="142"/>
      <c r="N417" s="142"/>
      <c r="O417" s="142"/>
      <c r="P417" s="142"/>
      <c r="Q417" s="142"/>
      <c r="R417" s="142"/>
      <c r="S417" s="142"/>
      <c r="T417" s="142"/>
      <c r="U417" s="142"/>
      <c r="V417" s="142"/>
      <c r="W417" s="142"/>
      <c r="X417" s="142"/>
      <c r="Y417" s="142"/>
      <c r="Z417" s="142"/>
      <c r="AA417" s="142"/>
      <c r="AB417" s="142"/>
      <c r="AC417" s="142"/>
      <c r="AD417" s="142"/>
      <c r="AE417" s="142"/>
      <c r="AF417" s="142"/>
      <c r="AG417" s="142"/>
      <c r="AH417" s="142"/>
      <c r="AI417" s="142"/>
      <c r="AJ417" s="142"/>
      <c r="AK417" s="142"/>
      <c r="AL417" s="142"/>
      <c r="AM417" s="142"/>
      <c r="AN417" s="142"/>
      <c r="AO417" s="142"/>
      <c r="AP417" s="130"/>
      <c r="AQ417" s="130"/>
      <c r="AR417" s="130"/>
      <c r="AS417" s="130"/>
      <c r="AT417" s="130"/>
      <c r="AU417" s="130"/>
      <c r="AV417" s="130"/>
      <c r="AW417" s="130"/>
      <c r="AX417" s="130"/>
      <c r="AY417" s="130"/>
      <c r="AZ417" s="130"/>
      <c r="BA417" s="130"/>
      <c r="BB417" s="130"/>
      <c r="BC417" s="130"/>
      <c r="BD417" s="130"/>
    </row>
    <row r="418" ht="15.75" customHeight="1">
      <c r="A418" s="142"/>
      <c r="B418" s="142"/>
      <c r="C418" s="198"/>
      <c r="D418" s="142"/>
      <c r="E418" s="131"/>
      <c r="F418" s="142"/>
      <c r="G418" s="142"/>
      <c r="H418" s="131"/>
      <c r="I418" s="142"/>
      <c r="J418" s="142"/>
      <c r="K418" s="132"/>
      <c r="L418" s="131"/>
      <c r="M418" s="142"/>
      <c r="N418" s="142"/>
      <c r="O418" s="142"/>
      <c r="P418" s="142"/>
      <c r="Q418" s="142"/>
      <c r="R418" s="142"/>
      <c r="S418" s="142"/>
      <c r="T418" s="142"/>
      <c r="U418" s="142"/>
      <c r="V418" s="142"/>
      <c r="W418" s="142"/>
      <c r="X418" s="142"/>
      <c r="Y418" s="142"/>
      <c r="Z418" s="142"/>
      <c r="AA418" s="142"/>
      <c r="AB418" s="142"/>
      <c r="AC418" s="142"/>
      <c r="AD418" s="142"/>
      <c r="AE418" s="142"/>
      <c r="AF418" s="142"/>
      <c r="AG418" s="142"/>
      <c r="AH418" s="142"/>
      <c r="AI418" s="142"/>
      <c r="AJ418" s="142"/>
      <c r="AK418" s="142"/>
      <c r="AL418" s="142"/>
      <c r="AM418" s="142"/>
      <c r="AN418" s="142"/>
      <c r="AO418" s="142"/>
      <c r="AP418" s="130"/>
      <c r="AQ418" s="130"/>
      <c r="AR418" s="130"/>
      <c r="AS418" s="130"/>
      <c r="AT418" s="130"/>
      <c r="AU418" s="130"/>
      <c r="AV418" s="130"/>
      <c r="AW418" s="130"/>
      <c r="AX418" s="130"/>
      <c r="AY418" s="130"/>
      <c r="AZ418" s="130"/>
      <c r="BA418" s="130"/>
      <c r="BB418" s="130"/>
      <c r="BC418" s="130"/>
      <c r="BD418" s="130"/>
    </row>
    <row r="419" ht="15.75" customHeight="1">
      <c r="A419" s="142"/>
      <c r="B419" s="142"/>
      <c r="C419" s="198"/>
      <c r="D419" s="142"/>
      <c r="E419" s="131"/>
      <c r="F419" s="142"/>
      <c r="G419" s="142"/>
      <c r="H419" s="131"/>
      <c r="I419" s="142"/>
      <c r="J419" s="142"/>
      <c r="K419" s="132"/>
      <c r="L419" s="131"/>
      <c r="M419" s="142"/>
      <c r="N419" s="142"/>
      <c r="O419" s="142"/>
      <c r="P419" s="142"/>
      <c r="Q419" s="142"/>
      <c r="R419" s="142"/>
      <c r="S419" s="142"/>
      <c r="T419" s="142"/>
      <c r="U419" s="142"/>
      <c r="V419" s="142"/>
      <c r="W419" s="142"/>
      <c r="X419" s="142"/>
      <c r="Y419" s="142"/>
      <c r="Z419" s="142"/>
      <c r="AA419" s="142"/>
      <c r="AB419" s="142"/>
      <c r="AC419" s="142"/>
      <c r="AD419" s="142"/>
      <c r="AE419" s="142"/>
      <c r="AF419" s="142"/>
      <c r="AG419" s="142"/>
      <c r="AH419" s="142"/>
      <c r="AI419" s="142"/>
      <c r="AJ419" s="142"/>
      <c r="AK419" s="142"/>
      <c r="AL419" s="142"/>
      <c r="AM419" s="142"/>
      <c r="AN419" s="142"/>
      <c r="AO419" s="142"/>
      <c r="AP419" s="130"/>
      <c r="AQ419" s="130"/>
      <c r="AR419" s="130"/>
      <c r="AS419" s="130"/>
      <c r="AT419" s="130"/>
      <c r="AU419" s="130"/>
      <c r="AV419" s="130"/>
      <c r="AW419" s="130"/>
      <c r="AX419" s="130"/>
      <c r="AY419" s="130"/>
      <c r="AZ419" s="130"/>
      <c r="BA419" s="130"/>
      <c r="BB419" s="130"/>
      <c r="BC419" s="130"/>
      <c r="BD419" s="130"/>
    </row>
    <row r="420" ht="15.75" customHeight="1">
      <c r="A420" s="142"/>
      <c r="B420" s="142"/>
      <c r="C420" s="198"/>
      <c r="D420" s="142"/>
      <c r="E420" s="131"/>
      <c r="F420" s="142"/>
      <c r="G420" s="142"/>
      <c r="H420" s="131"/>
      <c r="I420" s="142"/>
      <c r="J420" s="142"/>
      <c r="K420" s="132"/>
      <c r="L420" s="131"/>
      <c r="M420" s="142"/>
      <c r="N420" s="142"/>
      <c r="O420" s="142"/>
      <c r="P420" s="142"/>
      <c r="Q420" s="142"/>
      <c r="R420" s="142"/>
      <c r="S420" s="142"/>
      <c r="T420" s="142"/>
      <c r="U420" s="142"/>
      <c r="V420" s="142"/>
      <c r="W420" s="142"/>
      <c r="X420" s="142"/>
      <c r="Y420" s="142"/>
      <c r="Z420" s="142"/>
      <c r="AA420" s="142"/>
      <c r="AB420" s="142"/>
      <c r="AC420" s="142"/>
      <c r="AD420" s="142"/>
      <c r="AE420" s="142"/>
      <c r="AF420" s="142"/>
      <c r="AG420" s="142"/>
      <c r="AH420" s="142"/>
      <c r="AI420" s="142"/>
      <c r="AJ420" s="142"/>
      <c r="AK420" s="142"/>
      <c r="AL420" s="142"/>
      <c r="AM420" s="142"/>
      <c r="AN420" s="142"/>
      <c r="AO420" s="142"/>
      <c r="AP420" s="130"/>
      <c r="AQ420" s="130"/>
      <c r="AR420" s="130"/>
      <c r="AS420" s="130"/>
      <c r="AT420" s="130"/>
      <c r="AU420" s="130"/>
      <c r="AV420" s="130"/>
      <c r="AW420" s="130"/>
      <c r="AX420" s="130"/>
      <c r="AY420" s="130"/>
      <c r="AZ420" s="130"/>
      <c r="BA420" s="130"/>
      <c r="BB420" s="130"/>
      <c r="BC420" s="130"/>
      <c r="BD420" s="130"/>
    </row>
    <row r="421" ht="15.75" customHeight="1">
      <c r="A421" s="142"/>
      <c r="B421" s="142"/>
      <c r="C421" s="198"/>
      <c r="D421" s="142"/>
      <c r="E421" s="131"/>
      <c r="F421" s="142"/>
      <c r="G421" s="142"/>
      <c r="H421" s="131"/>
      <c r="I421" s="142"/>
      <c r="J421" s="142"/>
      <c r="K421" s="132"/>
      <c r="L421" s="131"/>
      <c r="M421" s="142"/>
      <c r="N421" s="142"/>
      <c r="O421" s="142"/>
      <c r="P421" s="142"/>
      <c r="Q421" s="142"/>
      <c r="R421" s="142"/>
      <c r="S421" s="142"/>
      <c r="T421" s="142"/>
      <c r="U421" s="142"/>
      <c r="V421" s="142"/>
      <c r="W421" s="142"/>
      <c r="X421" s="142"/>
      <c r="Y421" s="142"/>
      <c r="Z421" s="142"/>
      <c r="AA421" s="142"/>
      <c r="AB421" s="142"/>
      <c r="AC421" s="142"/>
      <c r="AD421" s="142"/>
      <c r="AE421" s="142"/>
      <c r="AF421" s="142"/>
      <c r="AG421" s="142"/>
      <c r="AH421" s="142"/>
      <c r="AI421" s="142"/>
      <c r="AJ421" s="142"/>
      <c r="AK421" s="142"/>
      <c r="AL421" s="142"/>
      <c r="AM421" s="142"/>
      <c r="AN421" s="142"/>
      <c r="AO421" s="142"/>
      <c r="AP421" s="130"/>
      <c r="AQ421" s="130"/>
      <c r="AR421" s="130"/>
      <c r="AS421" s="130"/>
      <c r="AT421" s="130"/>
      <c r="AU421" s="130"/>
      <c r="AV421" s="130"/>
      <c r="AW421" s="130"/>
      <c r="AX421" s="130"/>
      <c r="AY421" s="130"/>
      <c r="AZ421" s="130"/>
      <c r="BA421" s="130"/>
      <c r="BB421" s="130"/>
      <c r="BC421" s="130"/>
      <c r="BD421" s="130"/>
    </row>
    <row r="422" ht="15.75" customHeight="1">
      <c r="A422" s="142"/>
      <c r="B422" s="142"/>
      <c r="C422" s="198"/>
      <c r="D422" s="142"/>
      <c r="E422" s="131"/>
      <c r="F422" s="142"/>
      <c r="G422" s="142"/>
      <c r="H422" s="131"/>
      <c r="I422" s="142"/>
      <c r="J422" s="142"/>
      <c r="K422" s="132"/>
      <c r="L422" s="131"/>
      <c r="M422" s="142"/>
      <c r="N422" s="142"/>
      <c r="O422" s="142"/>
      <c r="P422" s="142"/>
      <c r="Q422" s="142"/>
      <c r="R422" s="142"/>
      <c r="S422" s="142"/>
      <c r="T422" s="142"/>
      <c r="U422" s="142"/>
      <c r="V422" s="142"/>
      <c r="W422" s="142"/>
      <c r="X422" s="142"/>
      <c r="Y422" s="142"/>
      <c r="Z422" s="142"/>
      <c r="AA422" s="142"/>
      <c r="AB422" s="142"/>
      <c r="AC422" s="142"/>
      <c r="AD422" s="142"/>
      <c r="AE422" s="142"/>
      <c r="AF422" s="142"/>
      <c r="AG422" s="142"/>
      <c r="AH422" s="142"/>
      <c r="AI422" s="142"/>
      <c r="AJ422" s="142"/>
      <c r="AK422" s="142"/>
      <c r="AL422" s="142"/>
      <c r="AM422" s="142"/>
      <c r="AN422" s="142"/>
      <c r="AO422" s="142"/>
      <c r="AP422" s="130"/>
      <c r="AQ422" s="130"/>
      <c r="AR422" s="130"/>
      <c r="AS422" s="130"/>
      <c r="AT422" s="130"/>
      <c r="AU422" s="130"/>
      <c r="AV422" s="130"/>
      <c r="AW422" s="130"/>
      <c r="AX422" s="130"/>
      <c r="AY422" s="130"/>
      <c r="AZ422" s="130"/>
      <c r="BA422" s="130"/>
      <c r="BB422" s="130"/>
      <c r="BC422" s="130"/>
      <c r="BD422" s="130"/>
    </row>
    <row r="423" ht="15.75" customHeight="1">
      <c r="A423" s="142"/>
      <c r="B423" s="142"/>
      <c r="C423" s="198"/>
      <c r="D423" s="142"/>
      <c r="E423" s="131"/>
      <c r="F423" s="142"/>
      <c r="G423" s="142"/>
      <c r="H423" s="131"/>
      <c r="I423" s="142"/>
      <c r="J423" s="142"/>
      <c r="K423" s="132"/>
      <c r="L423" s="131"/>
      <c r="M423" s="142"/>
      <c r="N423" s="142"/>
      <c r="O423" s="142"/>
      <c r="P423" s="142"/>
      <c r="Q423" s="142"/>
      <c r="R423" s="142"/>
      <c r="S423" s="142"/>
      <c r="T423" s="142"/>
      <c r="U423" s="142"/>
      <c r="V423" s="142"/>
      <c r="W423" s="142"/>
      <c r="X423" s="142"/>
      <c r="Y423" s="142"/>
      <c r="Z423" s="142"/>
      <c r="AA423" s="142"/>
      <c r="AB423" s="142"/>
      <c r="AC423" s="142"/>
      <c r="AD423" s="142"/>
      <c r="AE423" s="142"/>
      <c r="AF423" s="142"/>
      <c r="AG423" s="142"/>
      <c r="AH423" s="142"/>
      <c r="AI423" s="142"/>
      <c r="AJ423" s="142"/>
      <c r="AK423" s="142"/>
      <c r="AL423" s="142"/>
      <c r="AM423" s="142"/>
      <c r="AN423" s="142"/>
      <c r="AO423" s="142"/>
      <c r="AP423" s="130"/>
      <c r="AQ423" s="130"/>
      <c r="AR423" s="130"/>
      <c r="AS423" s="130"/>
      <c r="AT423" s="130"/>
      <c r="AU423" s="130"/>
      <c r="AV423" s="130"/>
      <c r="AW423" s="130"/>
      <c r="AX423" s="130"/>
      <c r="AY423" s="130"/>
      <c r="AZ423" s="130"/>
      <c r="BA423" s="130"/>
      <c r="BB423" s="130"/>
      <c r="BC423" s="130"/>
      <c r="BD423" s="130"/>
    </row>
    <row r="424" ht="15.75" customHeight="1">
      <c r="A424" s="142"/>
      <c r="B424" s="142"/>
      <c r="C424" s="198"/>
      <c r="D424" s="142"/>
      <c r="E424" s="131"/>
      <c r="F424" s="142"/>
      <c r="G424" s="142"/>
      <c r="H424" s="131"/>
      <c r="I424" s="142"/>
      <c r="J424" s="142"/>
      <c r="K424" s="132"/>
      <c r="L424" s="131"/>
      <c r="M424" s="142"/>
      <c r="N424" s="142"/>
      <c r="O424" s="142"/>
      <c r="P424" s="142"/>
      <c r="Q424" s="142"/>
      <c r="R424" s="142"/>
      <c r="S424" s="142"/>
      <c r="T424" s="142"/>
      <c r="U424" s="142"/>
      <c r="V424" s="142"/>
      <c r="W424" s="142"/>
      <c r="X424" s="142"/>
      <c r="Y424" s="142"/>
      <c r="Z424" s="142"/>
      <c r="AA424" s="142"/>
      <c r="AB424" s="142"/>
      <c r="AC424" s="142"/>
      <c r="AD424" s="142"/>
      <c r="AE424" s="142"/>
      <c r="AF424" s="142"/>
      <c r="AG424" s="142"/>
      <c r="AH424" s="142"/>
      <c r="AI424" s="142"/>
      <c r="AJ424" s="142"/>
      <c r="AK424" s="142"/>
      <c r="AL424" s="142"/>
      <c r="AM424" s="142"/>
      <c r="AN424" s="142"/>
      <c r="AO424" s="142"/>
      <c r="AP424" s="130"/>
      <c r="AQ424" s="130"/>
      <c r="AR424" s="130"/>
      <c r="AS424" s="130"/>
      <c r="AT424" s="130"/>
      <c r="AU424" s="130"/>
      <c r="AV424" s="130"/>
      <c r="AW424" s="130"/>
      <c r="AX424" s="130"/>
      <c r="AY424" s="130"/>
      <c r="AZ424" s="130"/>
      <c r="BA424" s="130"/>
      <c r="BB424" s="130"/>
      <c r="BC424" s="130"/>
      <c r="BD424" s="130"/>
    </row>
    <row r="425" ht="15.75" customHeight="1">
      <c r="A425" s="142"/>
      <c r="B425" s="142"/>
      <c r="C425" s="198"/>
      <c r="D425" s="142"/>
      <c r="E425" s="131"/>
      <c r="F425" s="142"/>
      <c r="G425" s="142"/>
      <c r="H425" s="131"/>
      <c r="I425" s="142"/>
      <c r="J425" s="142"/>
      <c r="K425" s="132"/>
      <c r="L425" s="131"/>
      <c r="M425" s="142"/>
      <c r="N425" s="142"/>
      <c r="O425" s="142"/>
      <c r="P425" s="142"/>
      <c r="Q425" s="142"/>
      <c r="R425" s="142"/>
      <c r="S425" s="142"/>
      <c r="T425" s="142"/>
      <c r="U425" s="142"/>
      <c r="V425" s="142"/>
      <c r="W425" s="142"/>
      <c r="X425" s="142"/>
      <c r="Y425" s="142"/>
      <c r="Z425" s="142"/>
      <c r="AA425" s="142"/>
      <c r="AB425" s="142"/>
      <c r="AC425" s="142"/>
      <c r="AD425" s="142"/>
      <c r="AE425" s="142"/>
      <c r="AF425" s="142"/>
      <c r="AG425" s="142"/>
      <c r="AH425" s="142"/>
      <c r="AI425" s="142"/>
      <c r="AJ425" s="142"/>
      <c r="AK425" s="142"/>
      <c r="AL425" s="142"/>
      <c r="AM425" s="142"/>
      <c r="AN425" s="142"/>
      <c r="AO425" s="142"/>
      <c r="AP425" s="130"/>
      <c r="AQ425" s="130"/>
      <c r="AR425" s="130"/>
      <c r="AS425" s="130"/>
      <c r="AT425" s="130"/>
      <c r="AU425" s="130"/>
      <c r="AV425" s="130"/>
      <c r="AW425" s="130"/>
      <c r="AX425" s="130"/>
      <c r="AY425" s="130"/>
      <c r="AZ425" s="130"/>
      <c r="BA425" s="130"/>
      <c r="BB425" s="130"/>
      <c r="BC425" s="130"/>
      <c r="BD425" s="130"/>
    </row>
    <row r="426" ht="15.75" customHeight="1">
      <c r="A426" s="142"/>
      <c r="B426" s="142"/>
      <c r="C426" s="198"/>
      <c r="D426" s="142"/>
      <c r="E426" s="131"/>
      <c r="F426" s="142"/>
      <c r="G426" s="142"/>
      <c r="H426" s="131"/>
      <c r="I426" s="142"/>
      <c r="J426" s="142"/>
      <c r="K426" s="132"/>
      <c r="L426" s="131"/>
      <c r="M426" s="142"/>
      <c r="N426" s="142"/>
      <c r="O426" s="142"/>
      <c r="P426" s="142"/>
      <c r="Q426" s="142"/>
      <c r="R426" s="142"/>
      <c r="S426" s="142"/>
      <c r="T426" s="142"/>
      <c r="U426" s="142"/>
      <c r="V426" s="142"/>
      <c r="W426" s="142"/>
      <c r="X426" s="142"/>
      <c r="Y426" s="142"/>
      <c r="Z426" s="142"/>
      <c r="AA426" s="142"/>
      <c r="AB426" s="142"/>
      <c r="AC426" s="142"/>
      <c r="AD426" s="142"/>
      <c r="AE426" s="142"/>
      <c r="AF426" s="142"/>
      <c r="AG426" s="142"/>
      <c r="AH426" s="142"/>
      <c r="AI426" s="142"/>
      <c r="AJ426" s="142"/>
      <c r="AK426" s="142"/>
      <c r="AL426" s="142"/>
      <c r="AM426" s="142"/>
      <c r="AN426" s="142"/>
      <c r="AO426" s="142"/>
      <c r="AP426" s="130"/>
      <c r="AQ426" s="130"/>
      <c r="AR426" s="130"/>
      <c r="AS426" s="130"/>
      <c r="AT426" s="130"/>
      <c r="AU426" s="130"/>
      <c r="AV426" s="130"/>
      <c r="AW426" s="130"/>
      <c r="AX426" s="130"/>
      <c r="AY426" s="130"/>
      <c r="AZ426" s="130"/>
      <c r="BA426" s="130"/>
      <c r="BB426" s="130"/>
      <c r="BC426" s="130"/>
      <c r="BD426" s="130"/>
    </row>
    <row r="427" ht="15.75" customHeight="1">
      <c r="A427" s="142"/>
      <c r="B427" s="142"/>
      <c r="C427" s="198"/>
      <c r="D427" s="142"/>
      <c r="E427" s="131"/>
      <c r="F427" s="142"/>
      <c r="G427" s="142"/>
      <c r="H427" s="131"/>
      <c r="I427" s="142"/>
      <c r="J427" s="142"/>
      <c r="K427" s="132"/>
      <c r="L427" s="131"/>
      <c r="M427" s="142"/>
      <c r="N427" s="142"/>
      <c r="O427" s="142"/>
      <c r="P427" s="142"/>
      <c r="Q427" s="142"/>
      <c r="R427" s="142"/>
      <c r="S427" s="142"/>
      <c r="T427" s="142"/>
      <c r="U427" s="142"/>
      <c r="V427" s="142"/>
      <c r="W427" s="142"/>
      <c r="X427" s="142"/>
      <c r="Y427" s="142"/>
      <c r="Z427" s="142"/>
      <c r="AA427" s="142"/>
      <c r="AB427" s="142"/>
      <c r="AC427" s="142"/>
      <c r="AD427" s="142"/>
      <c r="AE427" s="142"/>
      <c r="AF427" s="142"/>
      <c r="AG427" s="142"/>
      <c r="AH427" s="142"/>
      <c r="AI427" s="142"/>
      <c r="AJ427" s="142"/>
      <c r="AK427" s="142"/>
      <c r="AL427" s="142"/>
      <c r="AM427" s="142"/>
      <c r="AN427" s="142"/>
      <c r="AO427" s="142"/>
      <c r="AP427" s="130"/>
      <c r="AQ427" s="130"/>
      <c r="AR427" s="130"/>
      <c r="AS427" s="130"/>
      <c r="AT427" s="130"/>
      <c r="AU427" s="130"/>
      <c r="AV427" s="130"/>
      <c r="AW427" s="130"/>
      <c r="AX427" s="130"/>
      <c r="AY427" s="130"/>
      <c r="AZ427" s="130"/>
      <c r="BA427" s="130"/>
      <c r="BB427" s="130"/>
      <c r="BC427" s="130"/>
      <c r="BD427" s="130"/>
    </row>
    <row r="428" ht="15.75" customHeight="1">
      <c r="A428" s="142"/>
      <c r="B428" s="142"/>
      <c r="C428" s="198"/>
      <c r="D428" s="142"/>
      <c r="E428" s="131"/>
      <c r="F428" s="142"/>
      <c r="G428" s="142"/>
      <c r="H428" s="131"/>
      <c r="I428" s="142"/>
      <c r="J428" s="142"/>
      <c r="K428" s="132"/>
      <c r="L428" s="131"/>
      <c r="M428" s="142"/>
      <c r="N428" s="142"/>
      <c r="O428" s="142"/>
      <c r="P428" s="142"/>
      <c r="Q428" s="142"/>
      <c r="R428" s="142"/>
      <c r="S428" s="142"/>
      <c r="T428" s="142"/>
      <c r="U428" s="142"/>
      <c r="V428" s="142"/>
      <c r="W428" s="142"/>
      <c r="X428" s="142"/>
      <c r="Y428" s="142"/>
      <c r="Z428" s="142"/>
      <c r="AA428" s="142"/>
      <c r="AB428" s="142"/>
      <c r="AC428" s="142"/>
      <c r="AD428" s="142"/>
      <c r="AE428" s="142"/>
      <c r="AF428" s="142"/>
      <c r="AG428" s="142"/>
      <c r="AH428" s="142"/>
      <c r="AI428" s="142"/>
      <c r="AJ428" s="142"/>
      <c r="AK428" s="142"/>
      <c r="AL428" s="142"/>
      <c r="AM428" s="142"/>
      <c r="AN428" s="142"/>
      <c r="AO428" s="142"/>
      <c r="AP428" s="130"/>
      <c r="AQ428" s="130"/>
      <c r="AR428" s="130"/>
      <c r="AS428" s="130"/>
      <c r="AT428" s="130"/>
      <c r="AU428" s="130"/>
      <c r="AV428" s="130"/>
      <c r="AW428" s="130"/>
      <c r="AX428" s="130"/>
      <c r="AY428" s="130"/>
      <c r="AZ428" s="130"/>
      <c r="BA428" s="130"/>
      <c r="BB428" s="130"/>
      <c r="BC428" s="130"/>
      <c r="BD428" s="130"/>
    </row>
    <row r="429" ht="15.75" customHeight="1">
      <c r="A429" s="142"/>
      <c r="B429" s="142"/>
      <c r="C429" s="198"/>
      <c r="D429" s="142"/>
      <c r="E429" s="131"/>
      <c r="F429" s="142"/>
      <c r="G429" s="142"/>
      <c r="H429" s="131"/>
      <c r="I429" s="142"/>
      <c r="J429" s="142"/>
      <c r="K429" s="132"/>
      <c r="L429" s="131"/>
      <c r="M429" s="142"/>
      <c r="N429" s="142"/>
      <c r="O429" s="142"/>
      <c r="P429" s="142"/>
      <c r="Q429" s="142"/>
      <c r="R429" s="142"/>
      <c r="S429" s="142"/>
      <c r="T429" s="142"/>
      <c r="U429" s="142"/>
      <c r="V429" s="142"/>
      <c r="W429" s="142"/>
      <c r="X429" s="142"/>
      <c r="Y429" s="142"/>
      <c r="Z429" s="142"/>
      <c r="AA429" s="142"/>
      <c r="AB429" s="142"/>
      <c r="AC429" s="142"/>
      <c r="AD429" s="142"/>
      <c r="AE429" s="142"/>
      <c r="AF429" s="142"/>
      <c r="AG429" s="142"/>
      <c r="AH429" s="142"/>
      <c r="AI429" s="142"/>
      <c r="AJ429" s="142"/>
      <c r="AK429" s="142"/>
      <c r="AL429" s="142"/>
      <c r="AM429" s="142"/>
      <c r="AN429" s="142"/>
      <c r="AO429" s="142"/>
      <c r="AP429" s="130"/>
      <c r="AQ429" s="130"/>
      <c r="AR429" s="130"/>
      <c r="AS429" s="130"/>
      <c r="AT429" s="130"/>
      <c r="AU429" s="130"/>
      <c r="AV429" s="130"/>
      <c r="AW429" s="130"/>
      <c r="AX429" s="130"/>
      <c r="AY429" s="130"/>
      <c r="AZ429" s="130"/>
      <c r="BA429" s="130"/>
      <c r="BB429" s="130"/>
      <c r="BC429" s="130"/>
      <c r="BD429" s="130"/>
    </row>
    <row r="430" ht="15.75" customHeight="1">
      <c r="A430" s="142"/>
      <c r="B430" s="142"/>
      <c r="C430" s="198"/>
      <c r="D430" s="142"/>
      <c r="E430" s="131"/>
      <c r="F430" s="142"/>
      <c r="G430" s="142"/>
      <c r="H430" s="131"/>
      <c r="I430" s="142"/>
      <c r="J430" s="142"/>
      <c r="K430" s="132"/>
      <c r="L430" s="131"/>
      <c r="M430" s="142"/>
      <c r="N430" s="142"/>
      <c r="O430" s="142"/>
      <c r="P430" s="142"/>
      <c r="Q430" s="142"/>
      <c r="R430" s="142"/>
      <c r="S430" s="142"/>
      <c r="T430" s="142"/>
      <c r="U430" s="142"/>
      <c r="V430" s="142"/>
      <c r="W430" s="142"/>
      <c r="X430" s="142"/>
      <c r="Y430" s="142"/>
      <c r="Z430" s="142"/>
      <c r="AA430" s="142"/>
      <c r="AB430" s="142"/>
      <c r="AC430" s="142"/>
      <c r="AD430" s="142"/>
      <c r="AE430" s="142"/>
      <c r="AF430" s="142"/>
      <c r="AG430" s="142"/>
      <c r="AH430" s="142"/>
      <c r="AI430" s="142"/>
      <c r="AJ430" s="142"/>
      <c r="AK430" s="142"/>
      <c r="AL430" s="142"/>
      <c r="AM430" s="142"/>
      <c r="AN430" s="142"/>
      <c r="AO430" s="142"/>
      <c r="AP430" s="130"/>
      <c r="AQ430" s="130"/>
      <c r="AR430" s="130"/>
      <c r="AS430" s="130"/>
      <c r="AT430" s="130"/>
      <c r="AU430" s="130"/>
      <c r="AV430" s="130"/>
      <c r="AW430" s="130"/>
      <c r="AX430" s="130"/>
      <c r="AY430" s="130"/>
      <c r="AZ430" s="130"/>
      <c r="BA430" s="130"/>
      <c r="BB430" s="130"/>
      <c r="BC430" s="130"/>
      <c r="BD430" s="130"/>
    </row>
    <row r="431" ht="15.75" customHeight="1">
      <c r="A431" s="142"/>
      <c r="B431" s="142"/>
      <c r="C431" s="198"/>
      <c r="D431" s="142"/>
      <c r="E431" s="131"/>
      <c r="F431" s="142"/>
      <c r="G431" s="142"/>
      <c r="H431" s="131"/>
      <c r="I431" s="142"/>
      <c r="J431" s="142"/>
      <c r="K431" s="132"/>
      <c r="L431" s="131"/>
      <c r="M431" s="142"/>
      <c r="N431" s="142"/>
      <c r="O431" s="142"/>
      <c r="P431" s="142"/>
      <c r="Q431" s="142"/>
      <c r="R431" s="142"/>
      <c r="S431" s="142"/>
      <c r="T431" s="142"/>
      <c r="U431" s="142"/>
      <c r="V431" s="142"/>
      <c r="W431" s="142"/>
      <c r="X431" s="142"/>
      <c r="Y431" s="142"/>
      <c r="Z431" s="142"/>
      <c r="AA431" s="142"/>
      <c r="AB431" s="142"/>
      <c r="AC431" s="142"/>
      <c r="AD431" s="142"/>
      <c r="AE431" s="142"/>
      <c r="AF431" s="142"/>
      <c r="AG431" s="142"/>
      <c r="AH431" s="142"/>
      <c r="AI431" s="142"/>
      <c r="AJ431" s="142"/>
      <c r="AK431" s="142"/>
      <c r="AL431" s="142"/>
      <c r="AM431" s="142"/>
      <c r="AN431" s="142"/>
      <c r="AO431" s="142"/>
      <c r="AP431" s="130"/>
      <c r="AQ431" s="130"/>
      <c r="AR431" s="130"/>
      <c r="AS431" s="130"/>
      <c r="AT431" s="130"/>
      <c r="AU431" s="130"/>
      <c r="AV431" s="130"/>
      <c r="AW431" s="130"/>
      <c r="AX431" s="130"/>
      <c r="AY431" s="130"/>
      <c r="AZ431" s="130"/>
      <c r="BA431" s="130"/>
      <c r="BB431" s="130"/>
      <c r="BC431" s="130"/>
      <c r="BD431" s="130"/>
    </row>
    <row r="432" ht="15.75" customHeight="1">
      <c r="A432" s="142"/>
      <c r="B432" s="142"/>
      <c r="C432" s="198"/>
      <c r="D432" s="142"/>
      <c r="E432" s="131"/>
      <c r="F432" s="142"/>
      <c r="G432" s="142"/>
      <c r="H432" s="131"/>
      <c r="I432" s="142"/>
      <c r="J432" s="142"/>
      <c r="K432" s="132"/>
      <c r="L432" s="131"/>
      <c r="M432" s="142"/>
      <c r="N432" s="142"/>
      <c r="O432" s="142"/>
      <c r="P432" s="142"/>
      <c r="Q432" s="142"/>
      <c r="R432" s="142"/>
      <c r="S432" s="142"/>
      <c r="T432" s="142"/>
      <c r="U432" s="142"/>
      <c r="V432" s="142"/>
      <c r="W432" s="142"/>
      <c r="X432" s="142"/>
      <c r="Y432" s="142"/>
      <c r="Z432" s="142"/>
      <c r="AA432" s="142"/>
      <c r="AB432" s="142"/>
      <c r="AC432" s="142"/>
      <c r="AD432" s="142"/>
      <c r="AE432" s="142"/>
      <c r="AF432" s="142"/>
      <c r="AG432" s="142"/>
      <c r="AH432" s="142"/>
      <c r="AI432" s="142"/>
      <c r="AJ432" s="142"/>
      <c r="AK432" s="142"/>
      <c r="AL432" s="142"/>
      <c r="AM432" s="142"/>
      <c r="AN432" s="142"/>
      <c r="AO432" s="142"/>
      <c r="AP432" s="130"/>
      <c r="AQ432" s="130"/>
      <c r="AR432" s="130"/>
      <c r="AS432" s="130"/>
      <c r="AT432" s="130"/>
      <c r="AU432" s="130"/>
      <c r="AV432" s="130"/>
      <c r="AW432" s="130"/>
      <c r="AX432" s="130"/>
      <c r="AY432" s="130"/>
      <c r="AZ432" s="130"/>
      <c r="BA432" s="130"/>
      <c r="BB432" s="130"/>
      <c r="BC432" s="130"/>
      <c r="BD432" s="130"/>
    </row>
    <row r="433" ht="15.75" customHeight="1">
      <c r="A433" s="142"/>
      <c r="B433" s="142"/>
      <c r="C433" s="198"/>
      <c r="D433" s="142"/>
      <c r="E433" s="131"/>
      <c r="F433" s="142"/>
      <c r="G433" s="142"/>
      <c r="H433" s="131"/>
      <c r="I433" s="142"/>
      <c r="J433" s="142"/>
      <c r="K433" s="132"/>
      <c r="L433" s="131"/>
      <c r="M433" s="142"/>
      <c r="N433" s="142"/>
      <c r="O433" s="142"/>
      <c r="P433" s="142"/>
      <c r="Q433" s="142"/>
      <c r="R433" s="142"/>
      <c r="S433" s="142"/>
      <c r="T433" s="142"/>
      <c r="U433" s="142"/>
      <c r="V433" s="142"/>
      <c r="W433" s="142"/>
      <c r="X433" s="142"/>
      <c r="Y433" s="142"/>
      <c r="Z433" s="142"/>
      <c r="AA433" s="142"/>
      <c r="AB433" s="142"/>
      <c r="AC433" s="142"/>
      <c r="AD433" s="142"/>
      <c r="AE433" s="142"/>
      <c r="AF433" s="142"/>
      <c r="AG433" s="142"/>
      <c r="AH433" s="142"/>
      <c r="AI433" s="142"/>
      <c r="AJ433" s="142"/>
      <c r="AK433" s="142"/>
      <c r="AL433" s="142"/>
      <c r="AM433" s="142"/>
      <c r="AN433" s="142"/>
      <c r="AO433" s="142"/>
      <c r="AP433" s="130"/>
      <c r="AQ433" s="130"/>
      <c r="AR433" s="130"/>
      <c r="AS433" s="130"/>
      <c r="AT433" s="130"/>
      <c r="AU433" s="130"/>
      <c r="AV433" s="130"/>
      <c r="AW433" s="130"/>
      <c r="AX433" s="130"/>
      <c r="AY433" s="130"/>
      <c r="AZ433" s="130"/>
      <c r="BA433" s="130"/>
      <c r="BB433" s="130"/>
      <c r="BC433" s="130"/>
      <c r="BD433" s="130"/>
    </row>
    <row r="434" ht="15.75" customHeight="1">
      <c r="A434" s="142"/>
      <c r="B434" s="142"/>
      <c r="C434" s="198"/>
      <c r="D434" s="142"/>
      <c r="E434" s="131"/>
      <c r="F434" s="142"/>
      <c r="G434" s="142"/>
      <c r="H434" s="131"/>
      <c r="I434" s="142"/>
      <c r="J434" s="142"/>
      <c r="K434" s="132"/>
      <c r="L434" s="131"/>
      <c r="M434" s="142"/>
      <c r="N434" s="142"/>
      <c r="O434" s="142"/>
      <c r="P434" s="142"/>
      <c r="Q434" s="142"/>
      <c r="R434" s="142"/>
      <c r="S434" s="142"/>
      <c r="T434" s="142"/>
      <c r="U434" s="142"/>
      <c r="V434" s="142"/>
      <c r="W434" s="142"/>
      <c r="X434" s="142"/>
      <c r="Y434" s="142"/>
      <c r="Z434" s="142"/>
      <c r="AA434" s="142"/>
      <c r="AB434" s="142"/>
      <c r="AC434" s="142"/>
      <c r="AD434" s="142"/>
      <c r="AE434" s="142"/>
      <c r="AF434" s="142"/>
      <c r="AG434" s="142"/>
      <c r="AH434" s="142"/>
      <c r="AI434" s="142"/>
      <c r="AJ434" s="142"/>
      <c r="AK434" s="142"/>
      <c r="AL434" s="142"/>
      <c r="AM434" s="142"/>
      <c r="AN434" s="142"/>
      <c r="AO434" s="142"/>
      <c r="AP434" s="130"/>
      <c r="AQ434" s="130"/>
      <c r="AR434" s="130"/>
      <c r="AS434" s="130"/>
      <c r="AT434" s="130"/>
      <c r="AU434" s="130"/>
      <c r="AV434" s="130"/>
      <c r="AW434" s="130"/>
      <c r="AX434" s="130"/>
      <c r="AY434" s="130"/>
      <c r="AZ434" s="130"/>
      <c r="BA434" s="130"/>
      <c r="BB434" s="130"/>
      <c r="BC434" s="130"/>
      <c r="BD434" s="130"/>
    </row>
    <row r="435" ht="15.75" customHeight="1">
      <c r="A435" s="142"/>
      <c r="B435" s="142"/>
      <c r="C435" s="198"/>
      <c r="D435" s="142"/>
      <c r="E435" s="131"/>
      <c r="F435" s="142"/>
      <c r="G435" s="142"/>
      <c r="H435" s="131"/>
      <c r="I435" s="142"/>
      <c r="J435" s="142"/>
      <c r="K435" s="132"/>
      <c r="L435" s="131"/>
      <c r="M435" s="142"/>
      <c r="N435" s="142"/>
      <c r="O435" s="142"/>
      <c r="P435" s="142"/>
      <c r="Q435" s="142"/>
      <c r="R435" s="142"/>
      <c r="S435" s="142"/>
      <c r="T435" s="142"/>
      <c r="U435" s="142"/>
      <c r="V435" s="142"/>
      <c r="W435" s="142"/>
      <c r="X435" s="142"/>
      <c r="Y435" s="142"/>
      <c r="Z435" s="142"/>
      <c r="AA435" s="142"/>
      <c r="AB435" s="142"/>
      <c r="AC435" s="142"/>
      <c r="AD435" s="142"/>
      <c r="AE435" s="142"/>
      <c r="AF435" s="142"/>
      <c r="AG435" s="142"/>
      <c r="AH435" s="142"/>
      <c r="AI435" s="142"/>
      <c r="AJ435" s="142"/>
      <c r="AK435" s="142"/>
      <c r="AL435" s="142"/>
      <c r="AM435" s="142"/>
      <c r="AN435" s="142"/>
      <c r="AO435" s="142"/>
      <c r="AP435" s="130"/>
      <c r="AQ435" s="130"/>
      <c r="AR435" s="130"/>
      <c r="AS435" s="130"/>
      <c r="AT435" s="130"/>
      <c r="AU435" s="130"/>
      <c r="AV435" s="130"/>
      <c r="AW435" s="130"/>
      <c r="AX435" s="130"/>
      <c r="AY435" s="130"/>
      <c r="AZ435" s="130"/>
      <c r="BA435" s="130"/>
      <c r="BB435" s="130"/>
      <c r="BC435" s="130"/>
      <c r="BD435" s="130"/>
    </row>
    <row r="436" ht="15.75" customHeight="1">
      <c r="A436" s="142"/>
      <c r="B436" s="142"/>
      <c r="C436" s="198"/>
      <c r="D436" s="142"/>
      <c r="E436" s="131"/>
      <c r="F436" s="142"/>
      <c r="G436" s="142"/>
      <c r="H436" s="131"/>
      <c r="I436" s="142"/>
      <c r="J436" s="142"/>
      <c r="K436" s="132"/>
      <c r="L436" s="131"/>
      <c r="M436" s="142"/>
      <c r="N436" s="142"/>
      <c r="O436" s="142"/>
      <c r="P436" s="142"/>
      <c r="Q436" s="142"/>
      <c r="R436" s="142"/>
      <c r="S436" s="142"/>
      <c r="T436" s="142"/>
      <c r="U436" s="142"/>
      <c r="V436" s="142"/>
      <c r="W436" s="142"/>
      <c r="X436" s="142"/>
      <c r="Y436" s="142"/>
      <c r="Z436" s="142"/>
      <c r="AA436" s="142"/>
      <c r="AB436" s="142"/>
      <c r="AC436" s="142"/>
      <c r="AD436" s="142"/>
      <c r="AE436" s="142"/>
      <c r="AF436" s="142"/>
      <c r="AG436" s="142"/>
      <c r="AH436" s="142"/>
      <c r="AI436" s="142"/>
      <c r="AJ436" s="142"/>
      <c r="AK436" s="142"/>
      <c r="AL436" s="142"/>
      <c r="AM436" s="142"/>
      <c r="AN436" s="142"/>
      <c r="AO436" s="142"/>
      <c r="AP436" s="130"/>
      <c r="AQ436" s="130"/>
      <c r="AR436" s="130"/>
      <c r="AS436" s="130"/>
      <c r="AT436" s="130"/>
      <c r="AU436" s="130"/>
      <c r="AV436" s="130"/>
      <c r="AW436" s="130"/>
      <c r="AX436" s="130"/>
      <c r="AY436" s="130"/>
      <c r="AZ436" s="130"/>
      <c r="BA436" s="130"/>
      <c r="BB436" s="130"/>
      <c r="BC436" s="130"/>
      <c r="BD436" s="130"/>
    </row>
    <row r="437" ht="15.75" customHeight="1">
      <c r="A437" s="142"/>
      <c r="B437" s="142"/>
      <c r="C437" s="198"/>
      <c r="D437" s="142"/>
      <c r="E437" s="131"/>
      <c r="F437" s="142"/>
      <c r="G437" s="142"/>
      <c r="H437" s="131"/>
      <c r="I437" s="142"/>
      <c r="J437" s="142"/>
      <c r="K437" s="132"/>
      <c r="L437" s="131"/>
      <c r="M437" s="142"/>
      <c r="N437" s="142"/>
      <c r="O437" s="142"/>
      <c r="P437" s="142"/>
      <c r="Q437" s="142"/>
      <c r="R437" s="142"/>
      <c r="S437" s="142"/>
      <c r="T437" s="142"/>
      <c r="U437" s="142"/>
      <c r="V437" s="142"/>
      <c r="W437" s="142"/>
      <c r="X437" s="142"/>
      <c r="Y437" s="142"/>
      <c r="Z437" s="142"/>
      <c r="AA437" s="142"/>
      <c r="AB437" s="142"/>
      <c r="AC437" s="142"/>
      <c r="AD437" s="142"/>
      <c r="AE437" s="142"/>
      <c r="AF437" s="142"/>
      <c r="AG437" s="142"/>
      <c r="AH437" s="142"/>
      <c r="AI437" s="142"/>
      <c r="AJ437" s="142"/>
      <c r="AK437" s="142"/>
      <c r="AL437" s="142"/>
      <c r="AM437" s="142"/>
      <c r="AN437" s="142"/>
      <c r="AO437" s="142"/>
      <c r="AP437" s="130"/>
      <c r="AQ437" s="130"/>
      <c r="AR437" s="130"/>
      <c r="AS437" s="130"/>
      <c r="AT437" s="130"/>
      <c r="AU437" s="130"/>
      <c r="AV437" s="130"/>
      <c r="AW437" s="130"/>
      <c r="AX437" s="130"/>
      <c r="AY437" s="130"/>
      <c r="AZ437" s="130"/>
      <c r="BA437" s="130"/>
      <c r="BB437" s="130"/>
      <c r="BC437" s="130"/>
      <c r="BD437" s="130"/>
    </row>
    <row r="438" ht="15.75" customHeight="1">
      <c r="A438" s="142"/>
      <c r="B438" s="142"/>
      <c r="C438" s="198"/>
      <c r="D438" s="142"/>
      <c r="E438" s="131"/>
      <c r="F438" s="142"/>
      <c r="G438" s="142"/>
      <c r="H438" s="131"/>
      <c r="I438" s="142"/>
      <c r="J438" s="142"/>
      <c r="K438" s="132"/>
      <c r="L438" s="131"/>
      <c r="M438" s="142"/>
      <c r="N438" s="142"/>
      <c r="O438" s="142"/>
      <c r="P438" s="142"/>
      <c r="Q438" s="142"/>
      <c r="R438" s="142"/>
      <c r="S438" s="142"/>
      <c r="T438" s="142"/>
      <c r="U438" s="142"/>
      <c r="V438" s="142"/>
      <c r="W438" s="142"/>
      <c r="X438" s="142"/>
      <c r="Y438" s="142"/>
      <c r="Z438" s="142"/>
      <c r="AA438" s="142"/>
      <c r="AB438" s="142"/>
      <c r="AC438" s="142"/>
      <c r="AD438" s="142"/>
      <c r="AE438" s="142"/>
      <c r="AF438" s="142"/>
      <c r="AG438" s="142"/>
      <c r="AH438" s="142"/>
      <c r="AI438" s="142"/>
      <c r="AJ438" s="142"/>
      <c r="AK438" s="142"/>
      <c r="AL438" s="142"/>
      <c r="AM438" s="142"/>
      <c r="AN438" s="142"/>
      <c r="AO438" s="142"/>
      <c r="AP438" s="130"/>
      <c r="AQ438" s="130"/>
      <c r="AR438" s="130"/>
      <c r="AS438" s="130"/>
      <c r="AT438" s="130"/>
      <c r="AU438" s="130"/>
      <c r="AV438" s="130"/>
      <c r="AW438" s="130"/>
      <c r="AX438" s="130"/>
      <c r="AY438" s="130"/>
      <c r="AZ438" s="130"/>
      <c r="BA438" s="130"/>
      <c r="BB438" s="130"/>
      <c r="BC438" s="130"/>
      <c r="BD438" s="130"/>
    </row>
    <row r="439" ht="15.75" customHeight="1">
      <c r="A439" s="142"/>
      <c r="B439" s="142"/>
      <c r="C439" s="198"/>
      <c r="D439" s="142"/>
      <c r="E439" s="131"/>
      <c r="F439" s="142"/>
      <c r="G439" s="142"/>
      <c r="H439" s="131"/>
      <c r="I439" s="142"/>
      <c r="J439" s="142"/>
      <c r="K439" s="132"/>
      <c r="L439" s="131"/>
      <c r="M439" s="142"/>
      <c r="N439" s="142"/>
      <c r="O439" s="142"/>
      <c r="P439" s="142"/>
      <c r="Q439" s="142"/>
      <c r="R439" s="142"/>
      <c r="S439" s="142"/>
      <c r="T439" s="142"/>
      <c r="U439" s="142"/>
      <c r="V439" s="142"/>
      <c r="W439" s="142"/>
      <c r="X439" s="142"/>
      <c r="Y439" s="142"/>
      <c r="Z439" s="142"/>
      <c r="AA439" s="142"/>
      <c r="AB439" s="142"/>
      <c r="AC439" s="142"/>
      <c r="AD439" s="142"/>
      <c r="AE439" s="142"/>
      <c r="AF439" s="142"/>
      <c r="AG439" s="142"/>
      <c r="AH439" s="142"/>
      <c r="AI439" s="142"/>
      <c r="AJ439" s="142"/>
      <c r="AK439" s="142"/>
      <c r="AL439" s="142"/>
      <c r="AM439" s="142"/>
      <c r="AN439" s="142"/>
      <c r="AO439" s="142"/>
      <c r="AP439" s="130"/>
      <c r="AQ439" s="130"/>
      <c r="AR439" s="130"/>
      <c r="AS439" s="130"/>
      <c r="AT439" s="130"/>
      <c r="AU439" s="130"/>
      <c r="AV439" s="130"/>
      <c r="AW439" s="130"/>
      <c r="AX439" s="130"/>
      <c r="AY439" s="130"/>
      <c r="AZ439" s="130"/>
      <c r="BA439" s="130"/>
      <c r="BB439" s="130"/>
      <c r="BC439" s="130"/>
      <c r="BD439" s="130"/>
    </row>
    <row r="440" ht="15.75" customHeight="1">
      <c r="A440" s="142"/>
      <c r="B440" s="142"/>
      <c r="C440" s="198"/>
      <c r="D440" s="142"/>
      <c r="E440" s="131"/>
      <c r="F440" s="142"/>
      <c r="G440" s="142"/>
      <c r="H440" s="131"/>
      <c r="I440" s="142"/>
      <c r="J440" s="142"/>
      <c r="K440" s="132"/>
      <c r="L440" s="131"/>
      <c r="M440" s="142"/>
      <c r="N440" s="142"/>
      <c r="O440" s="142"/>
      <c r="P440" s="142"/>
      <c r="Q440" s="142"/>
      <c r="R440" s="142"/>
      <c r="S440" s="142"/>
      <c r="T440" s="142"/>
      <c r="U440" s="142"/>
      <c r="V440" s="142"/>
      <c r="W440" s="142"/>
      <c r="X440" s="142"/>
      <c r="Y440" s="142"/>
      <c r="Z440" s="142"/>
      <c r="AA440" s="142"/>
      <c r="AB440" s="142"/>
      <c r="AC440" s="142"/>
      <c r="AD440" s="142"/>
      <c r="AE440" s="142"/>
      <c r="AF440" s="142"/>
      <c r="AG440" s="142"/>
      <c r="AH440" s="142"/>
      <c r="AI440" s="142"/>
      <c r="AJ440" s="142"/>
      <c r="AK440" s="142"/>
      <c r="AL440" s="142"/>
      <c r="AM440" s="142"/>
      <c r="AN440" s="142"/>
      <c r="AO440" s="142"/>
      <c r="AP440" s="130"/>
      <c r="AQ440" s="130"/>
      <c r="AR440" s="130"/>
      <c r="AS440" s="130"/>
      <c r="AT440" s="130"/>
      <c r="AU440" s="130"/>
      <c r="AV440" s="130"/>
      <c r="AW440" s="130"/>
      <c r="AX440" s="130"/>
      <c r="AY440" s="130"/>
      <c r="AZ440" s="130"/>
      <c r="BA440" s="130"/>
      <c r="BB440" s="130"/>
      <c r="BC440" s="130"/>
      <c r="BD440" s="130"/>
    </row>
    <row r="441" ht="15.75" customHeight="1">
      <c r="A441" s="142"/>
      <c r="B441" s="142"/>
      <c r="C441" s="198"/>
      <c r="D441" s="142"/>
      <c r="E441" s="131"/>
      <c r="F441" s="142"/>
      <c r="G441" s="142"/>
      <c r="H441" s="131"/>
      <c r="I441" s="142"/>
      <c r="J441" s="142"/>
      <c r="K441" s="132"/>
      <c r="L441" s="131"/>
      <c r="M441" s="142"/>
      <c r="N441" s="142"/>
      <c r="O441" s="142"/>
      <c r="P441" s="142"/>
      <c r="Q441" s="142"/>
      <c r="R441" s="142"/>
      <c r="S441" s="142"/>
      <c r="T441" s="142"/>
      <c r="U441" s="142"/>
      <c r="V441" s="142"/>
      <c r="W441" s="142"/>
      <c r="X441" s="142"/>
      <c r="Y441" s="142"/>
      <c r="Z441" s="142"/>
      <c r="AA441" s="142"/>
      <c r="AB441" s="142"/>
      <c r="AC441" s="142"/>
      <c r="AD441" s="142"/>
      <c r="AE441" s="142"/>
      <c r="AF441" s="142"/>
      <c r="AG441" s="142"/>
      <c r="AH441" s="142"/>
      <c r="AI441" s="142"/>
      <c r="AJ441" s="142"/>
      <c r="AK441" s="142"/>
      <c r="AL441" s="142"/>
      <c r="AM441" s="142"/>
      <c r="AN441" s="142"/>
      <c r="AO441" s="142"/>
      <c r="AP441" s="130"/>
      <c r="AQ441" s="130"/>
      <c r="AR441" s="130"/>
      <c r="AS441" s="130"/>
      <c r="AT441" s="130"/>
      <c r="AU441" s="130"/>
      <c r="AV441" s="130"/>
      <c r="AW441" s="130"/>
      <c r="AX441" s="130"/>
      <c r="AY441" s="130"/>
      <c r="AZ441" s="130"/>
      <c r="BA441" s="130"/>
      <c r="BB441" s="130"/>
      <c r="BC441" s="130"/>
      <c r="BD441" s="130"/>
    </row>
    <row r="442" ht="15.75" customHeight="1">
      <c r="A442" s="142"/>
      <c r="B442" s="142"/>
      <c r="C442" s="198"/>
      <c r="D442" s="142"/>
      <c r="E442" s="131"/>
      <c r="F442" s="142"/>
      <c r="G442" s="142"/>
      <c r="H442" s="131"/>
      <c r="I442" s="142"/>
      <c r="J442" s="142"/>
      <c r="K442" s="132"/>
      <c r="L442" s="131"/>
      <c r="M442" s="142"/>
      <c r="N442" s="142"/>
      <c r="O442" s="142"/>
      <c r="P442" s="142"/>
      <c r="Q442" s="142"/>
      <c r="R442" s="142"/>
      <c r="S442" s="142"/>
      <c r="T442" s="142"/>
      <c r="U442" s="142"/>
      <c r="V442" s="142"/>
      <c r="W442" s="142"/>
      <c r="X442" s="142"/>
      <c r="Y442" s="142"/>
      <c r="Z442" s="142"/>
      <c r="AA442" s="142"/>
      <c r="AB442" s="142"/>
      <c r="AC442" s="142"/>
      <c r="AD442" s="142"/>
      <c r="AE442" s="142"/>
      <c r="AF442" s="142"/>
      <c r="AG442" s="142"/>
      <c r="AH442" s="142"/>
      <c r="AI442" s="142"/>
      <c r="AJ442" s="142"/>
      <c r="AK442" s="142"/>
      <c r="AL442" s="142"/>
      <c r="AM442" s="142"/>
      <c r="AN442" s="142"/>
      <c r="AO442" s="142"/>
      <c r="AP442" s="130"/>
      <c r="AQ442" s="130"/>
      <c r="AR442" s="130"/>
      <c r="AS442" s="130"/>
      <c r="AT442" s="130"/>
      <c r="AU442" s="130"/>
      <c r="AV442" s="130"/>
      <c r="AW442" s="130"/>
      <c r="AX442" s="130"/>
      <c r="AY442" s="130"/>
      <c r="AZ442" s="130"/>
      <c r="BA442" s="130"/>
      <c r="BB442" s="130"/>
      <c r="BC442" s="130"/>
      <c r="BD442" s="130"/>
    </row>
    <row r="443" ht="15.75" customHeight="1">
      <c r="A443" s="142"/>
      <c r="B443" s="142"/>
      <c r="C443" s="198"/>
      <c r="D443" s="142"/>
      <c r="E443" s="131"/>
      <c r="F443" s="142"/>
      <c r="G443" s="142"/>
      <c r="H443" s="131"/>
      <c r="I443" s="142"/>
      <c r="J443" s="142"/>
      <c r="K443" s="132"/>
      <c r="L443" s="131"/>
      <c r="M443" s="142"/>
      <c r="N443" s="142"/>
      <c r="O443" s="142"/>
      <c r="P443" s="142"/>
      <c r="Q443" s="142"/>
      <c r="R443" s="142"/>
      <c r="S443" s="142"/>
      <c r="T443" s="142"/>
      <c r="U443" s="142"/>
      <c r="V443" s="142"/>
      <c r="W443" s="142"/>
      <c r="X443" s="142"/>
      <c r="Y443" s="142"/>
      <c r="Z443" s="142"/>
      <c r="AA443" s="142"/>
      <c r="AB443" s="142"/>
      <c r="AC443" s="142"/>
      <c r="AD443" s="142"/>
      <c r="AE443" s="142"/>
      <c r="AF443" s="142"/>
      <c r="AG443" s="142"/>
      <c r="AH443" s="142"/>
      <c r="AI443" s="142"/>
      <c r="AJ443" s="142"/>
      <c r="AK443" s="142"/>
      <c r="AL443" s="142"/>
      <c r="AM443" s="142"/>
      <c r="AN443" s="142"/>
      <c r="AO443" s="142"/>
      <c r="AP443" s="130"/>
      <c r="AQ443" s="130"/>
      <c r="AR443" s="130"/>
      <c r="AS443" s="130"/>
      <c r="AT443" s="130"/>
      <c r="AU443" s="130"/>
      <c r="AV443" s="130"/>
      <c r="AW443" s="130"/>
      <c r="AX443" s="130"/>
      <c r="AY443" s="130"/>
      <c r="AZ443" s="130"/>
      <c r="BA443" s="130"/>
      <c r="BB443" s="130"/>
      <c r="BC443" s="130"/>
      <c r="BD443" s="130"/>
    </row>
    <row r="444" ht="15.75" customHeight="1">
      <c r="A444" s="142"/>
      <c r="B444" s="142"/>
      <c r="C444" s="198"/>
      <c r="D444" s="142"/>
      <c r="E444" s="131"/>
      <c r="F444" s="142"/>
      <c r="G444" s="142"/>
      <c r="H444" s="131"/>
      <c r="I444" s="142"/>
      <c r="J444" s="142"/>
      <c r="K444" s="132"/>
      <c r="L444" s="131"/>
      <c r="M444" s="142"/>
      <c r="N444" s="142"/>
      <c r="O444" s="142"/>
      <c r="P444" s="142"/>
      <c r="Q444" s="142"/>
      <c r="R444" s="142"/>
      <c r="S444" s="142"/>
      <c r="T444" s="142"/>
      <c r="U444" s="142"/>
      <c r="V444" s="142"/>
      <c r="W444" s="142"/>
      <c r="X444" s="142"/>
      <c r="Y444" s="142"/>
      <c r="Z444" s="142"/>
      <c r="AA444" s="142"/>
      <c r="AB444" s="142"/>
      <c r="AC444" s="142"/>
      <c r="AD444" s="142"/>
      <c r="AE444" s="142"/>
      <c r="AF444" s="142"/>
      <c r="AG444" s="142"/>
      <c r="AH444" s="142"/>
      <c r="AI444" s="142"/>
      <c r="AJ444" s="142"/>
      <c r="AK444" s="142"/>
      <c r="AL444" s="142"/>
      <c r="AM444" s="142"/>
      <c r="AN444" s="142"/>
      <c r="AO444" s="142"/>
      <c r="AP444" s="130"/>
      <c r="AQ444" s="130"/>
      <c r="AR444" s="130"/>
      <c r="AS444" s="130"/>
      <c r="AT444" s="130"/>
      <c r="AU444" s="130"/>
      <c r="AV444" s="130"/>
      <c r="AW444" s="130"/>
      <c r="AX444" s="130"/>
      <c r="AY444" s="130"/>
      <c r="AZ444" s="130"/>
      <c r="BA444" s="130"/>
      <c r="BB444" s="130"/>
      <c r="BC444" s="130"/>
      <c r="BD444" s="130"/>
    </row>
    <row r="445" ht="15.75" customHeight="1">
      <c r="A445" s="142"/>
      <c r="B445" s="142"/>
      <c r="C445" s="198"/>
      <c r="D445" s="142"/>
      <c r="E445" s="131"/>
      <c r="F445" s="142"/>
      <c r="G445" s="142"/>
      <c r="H445" s="131"/>
      <c r="I445" s="142"/>
      <c r="J445" s="142"/>
      <c r="K445" s="132"/>
      <c r="L445" s="131"/>
      <c r="M445" s="142"/>
      <c r="N445" s="142"/>
      <c r="O445" s="142"/>
      <c r="P445" s="142"/>
      <c r="Q445" s="142"/>
      <c r="R445" s="142"/>
      <c r="S445" s="142"/>
      <c r="T445" s="142"/>
      <c r="U445" s="142"/>
      <c r="V445" s="142"/>
      <c r="W445" s="142"/>
      <c r="X445" s="142"/>
      <c r="Y445" s="142"/>
      <c r="Z445" s="142"/>
      <c r="AA445" s="142"/>
      <c r="AB445" s="142"/>
      <c r="AC445" s="142"/>
      <c r="AD445" s="142"/>
      <c r="AE445" s="142"/>
      <c r="AF445" s="142"/>
      <c r="AG445" s="142"/>
      <c r="AH445" s="142"/>
      <c r="AI445" s="142"/>
      <c r="AJ445" s="142"/>
      <c r="AK445" s="142"/>
      <c r="AL445" s="142"/>
      <c r="AM445" s="142"/>
      <c r="AN445" s="142"/>
      <c r="AO445" s="142"/>
      <c r="AP445" s="130"/>
      <c r="AQ445" s="130"/>
      <c r="AR445" s="130"/>
      <c r="AS445" s="130"/>
      <c r="AT445" s="130"/>
      <c r="AU445" s="130"/>
      <c r="AV445" s="130"/>
      <c r="AW445" s="130"/>
      <c r="AX445" s="130"/>
      <c r="AY445" s="130"/>
      <c r="AZ445" s="130"/>
      <c r="BA445" s="130"/>
      <c r="BB445" s="130"/>
      <c r="BC445" s="130"/>
      <c r="BD445" s="130"/>
    </row>
    <row r="446" ht="15.75" customHeight="1">
      <c r="A446" s="142"/>
      <c r="B446" s="142"/>
      <c r="C446" s="198"/>
      <c r="D446" s="142"/>
      <c r="E446" s="131"/>
      <c r="F446" s="142"/>
      <c r="G446" s="142"/>
      <c r="H446" s="131"/>
      <c r="I446" s="142"/>
      <c r="J446" s="142"/>
      <c r="K446" s="132"/>
      <c r="L446" s="131"/>
      <c r="M446" s="142"/>
      <c r="N446" s="142"/>
      <c r="O446" s="142"/>
      <c r="P446" s="142"/>
      <c r="Q446" s="142"/>
      <c r="R446" s="142"/>
      <c r="S446" s="142"/>
      <c r="T446" s="142"/>
      <c r="U446" s="142"/>
      <c r="V446" s="142"/>
      <c r="W446" s="142"/>
      <c r="X446" s="142"/>
      <c r="Y446" s="142"/>
      <c r="Z446" s="142"/>
      <c r="AA446" s="142"/>
      <c r="AB446" s="142"/>
      <c r="AC446" s="142"/>
      <c r="AD446" s="142"/>
      <c r="AE446" s="142"/>
      <c r="AF446" s="142"/>
      <c r="AG446" s="142"/>
      <c r="AH446" s="142"/>
      <c r="AI446" s="142"/>
      <c r="AJ446" s="142"/>
      <c r="AK446" s="142"/>
      <c r="AL446" s="142"/>
      <c r="AM446" s="142"/>
      <c r="AN446" s="142"/>
      <c r="AO446" s="142"/>
      <c r="AP446" s="130"/>
      <c r="AQ446" s="130"/>
      <c r="AR446" s="130"/>
      <c r="AS446" s="130"/>
      <c r="AT446" s="130"/>
      <c r="AU446" s="130"/>
      <c r="AV446" s="130"/>
      <c r="AW446" s="130"/>
      <c r="AX446" s="130"/>
      <c r="AY446" s="130"/>
      <c r="AZ446" s="130"/>
      <c r="BA446" s="130"/>
      <c r="BB446" s="130"/>
      <c r="BC446" s="130"/>
      <c r="BD446" s="130"/>
    </row>
    <row r="447" ht="15.75" customHeight="1">
      <c r="A447" s="142"/>
      <c r="B447" s="142"/>
      <c r="C447" s="198"/>
      <c r="D447" s="142"/>
      <c r="E447" s="131"/>
      <c r="F447" s="142"/>
      <c r="G447" s="142"/>
      <c r="H447" s="131"/>
      <c r="I447" s="142"/>
      <c r="J447" s="142"/>
      <c r="K447" s="132"/>
      <c r="L447" s="131"/>
      <c r="M447" s="142"/>
      <c r="N447" s="142"/>
      <c r="O447" s="142"/>
      <c r="P447" s="142"/>
      <c r="Q447" s="142"/>
      <c r="R447" s="142"/>
      <c r="S447" s="142"/>
      <c r="T447" s="142"/>
      <c r="U447" s="142"/>
      <c r="V447" s="142"/>
      <c r="W447" s="142"/>
      <c r="X447" s="142"/>
      <c r="Y447" s="142"/>
      <c r="Z447" s="142"/>
      <c r="AA447" s="142"/>
      <c r="AB447" s="142"/>
      <c r="AC447" s="142"/>
      <c r="AD447" s="142"/>
      <c r="AE447" s="142"/>
      <c r="AF447" s="142"/>
      <c r="AG447" s="142"/>
      <c r="AH447" s="142"/>
      <c r="AI447" s="142"/>
      <c r="AJ447" s="142"/>
      <c r="AK447" s="142"/>
      <c r="AL447" s="142"/>
      <c r="AM447" s="142"/>
      <c r="AN447" s="142"/>
      <c r="AO447" s="142"/>
      <c r="AP447" s="130"/>
      <c r="AQ447" s="130"/>
      <c r="AR447" s="130"/>
      <c r="AS447" s="130"/>
      <c r="AT447" s="130"/>
      <c r="AU447" s="130"/>
      <c r="AV447" s="130"/>
      <c r="AW447" s="130"/>
      <c r="AX447" s="130"/>
      <c r="AY447" s="130"/>
      <c r="AZ447" s="130"/>
      <c r="BA447" s="130"/>
      <c r="BB447" s="130"/>
      <c r="BC447" s="130"/>
      <c r="BD447" s="130"/>
    </row>
    <row r="448" ht="15.75" customHeight="1">
      <c r="A448" s="142"/>
      <c r="B448" s="142"/>
      <c r="C448" s="198"/>
      <c r="D448" s="142"/>
      <c r="E448" s="131"/>
      <c r="F448" s="142"/>
      <c r="G448" s="142"/>
      <c r="H448" s="131"/>
      <c r="I448" s="142"/>
      <c r="J448" s="142"/>
      <c r="K448" s="132"/>
      <c r="L448" s="131"/>
      <c r="M448" s="142"/>
      <c r="N448" s="142"/>
      <c r="O448" s="142"/>
      <c r="P448" s="142"/>
      <c r="Q448" s="142"/>
      <c r="R448" s="142"/>
      <c r="S448" s="142"/>
      <c r="T448" s="142"/>
      <c r="U448" s="142"/>
      <c r="V448" s="142"/>
      <c r="W448" s="142"/>
      <c r="X448" s="142"/>
      <c r="Y448" s="142"/>
      <c r="Z448" s="142"/>
      <c r="AA448" s="142"/>
      <c r="AB448" s="142"/>
      <c r="AC448" s="142"/>
      <c r="AD448" s="142"/>
      <c r="AE448" s="142"/>
      <c r="AF448" s="142"/>
      <c r="AG448" s="142"/>
      <c r="AH448" s="142"/>
      <c r="AI448" s="142"/>
      <c r="AJ448" s="142"/>
      <c r="AK448" s="142"/>
      <c r="AL448" s="142"/>
      <c r="AM448" s="142"/>
      <c r="AN448" s="142"/>
      <c r="AO448" s="142"/>
      <c r="AP448" s="130"/>
      <c r="AQ448" s="130"/>
      <c r="AR448" s="130"/>
      <c r="AS448" s="130"/>
      <c r="AT448" s="130"/>
      <c r="AU448" s="130"/>
      <c r="AV448" s="130"/>
      <c r="AW448" s="130"/>
      <c r="AX448" s="130"/>
      <c r="AY448" s="130"/>
      <c r="AZ448" s="130"/>
      <c r="BA448" s="130"/>
      <c r="BB448" s="130"/>
      <c r="BC448" s="130"/>
      <c r="BD448" s="130"/>
    </row>
    <row r="449" ht="15.75" customHeight="1">
      <c r="A449" s="142"/>
      <c r="B449" s="142"/>
      <c r="C449" s="198"/>
      <c r="D449" s="142"/>
      <c r="E449" s="131"/>
      <c r="F449" s="142"/>
      <c r="G449" s="142"/>
      <c r="H449" s="131"/>
      <c r="I449" s="142"/>
      <c r="J449" s="142"/>
      <c r="K449" s="132"/>
      <c r="L449" s="131"/>
      <c r="M449" s="142"/>
      <c r="N449" s="142"/>
      <c r="O449" s="142"/>
      <c r="P449" s="142"/>
      <c r="Q449" s="142"/>
      <c r="R449" s="142"/>
      <c r="S449" s="142"/>
      <c r="T449" s="142"/>
      <c r="U449" s="142"/>
      <c r="V449" s="142"/>
      <c r="W449" s="142"/>
      <c r="X449" s="142"/>
      <c r="Y449" s="142"/>
      <c r="Z449" s="142"/>
      <c r="AA449" s="142"/>
      <c r="AB449" s="142"/>
      <c r="AC449" s="142"/>
      <c r="AD449" s="142"/>
      <c r="AE449" s="142"/>
      <c r="AF449" s="142"/>
      <c r="AG449" s="142"/>
      <c r="AH449" s="142"/>
      <c r="AI449" s="142"/>
      <c r="AJ449" s="142"/>
      <c r="AK449" s="142"/>
      <c r="AL449" s="142"/>
      <c r="AM449" s="142"/>
      <c r="AN449" s="142"/>
      <c r="AO449" s="142"/>
      <c r="AP449" s="130"/>
      <c r="AQ449" s="130"/>
      <c r="AR449" s="130"/>
      <c r="AS449" s="130"/>
      <c r="AT449" s="130"/>
      <c r="AU449" s="130"/>
      <c r="AV449" s="130"/>
      <c r="AW449" s="130"/>
      <c r="AX449" s="130"/>
      <c r="AY449" s="130"/>
      <c r="AZ449" s="130"/>
      <c r="BA449" s="130"/>
      <c r="BB449" s="130"/>
      <c r="BC449" s="130"/>
      <c r="BD449" s="130"/>
    </row>
    <row r="450" ht="15.75" customHeight="1">
      <c r="A450" s="142"/>
      <c r="B450" s="142"/>
      <c r="C450" s="198"/>
      <c r="D450" s="142"/>
      <c r="E450" s="131"/>
      <c r="F450" s="142"/>
      <c r="G450" s="142"/>
      <c r="H450" s="131"/>
      <c r="I450" s="142"/>
      <c r="J450" s="142"/>
      <c r="K450" s="132"/>
      <c r="L450" s="131"/>
      <c r="M450" s="142"/>
      <c r="N450" s="142"/>
      <c r="O450" s="142"/>
      <c r="P450" s="142"/>
      <c r="Q450" s="142"/>
      <c r="R450" s="142"/>
      <c r="S450" s="142"/>
      <c r="T450" s="142"/>
      <c r="U450" s="142"/>
      <c r="V450" s="142"/>
      <c r="W450" s="142"/>
      <c r="X450" s="142"/>
      <c r="Y450" s="142"/>
      <c r="Z450" s="142"/>
      <c r="AA450" s="142"/>
      <c r="AB450" s="142"/>
      <c r="AC450" s="142"/>
      <c r="AD450" s="142"/>
      <c r="AE450" s="142"/>
      <c r="AF450" s="142"/>
      <c r="AG450" s="142"/>
      <c r="AH450" s="142"/>
      <c r="AI450" s="142"/>
      <c r="AJ450" s="142"/>
      <c r="AK450" s="142"/>
      <c r="AL450" s="142"/>
      <c r="AM450" s="142"/>
      <c r="AN450" s="142"/>
      <c r="AO450" s="142"/>
      <c r="AP450" s="130"/>
      <c r="AQ450" s="130"/>
      <c r="AR450" s="130"/>
      <c r="AS450" s="130"/>
      <c r="AT450" s="130"/>
      <c r="AU450" s="130"/>
      <c r="AV450" s="130"/>
      <c r="AW450" s="130"/>
      <c r="AX450" s="130"/>
      <c r="AY450" s="130"/>
      <c r="AZ450" s="130"/>
      <c r="BA450" s="130"/>
      <c r="BB450" s="130"/>
      <c r="BC450" s="130"/>
      <c r="BD450" s="130"/>
    </row>
    <row r="451" ht="15.75" customHeight="1">
      <c r="A451" s="142"/>
      <c r="B451" s="142"/>
      <c r="C451" s="198"/>
      <c r="D451" s="142"/>
      <c r="E451" s="131"/>
      <c r="F451" s="142"/>
      <c r="G451" s="142"/>
      <c r="H451" s="131"/>
      <c r="I451" s="142"/>
      <c r="J451" s="142"/>
      <c r="K451" s="132"/>
      <c r="L451" s="131"/>
      <c r="M451" s="142"/>
      <c r="N451" s="142"/>
      <c r="O451" s="142"/>
      <c r="P451" s="142"/>
      <c r="Q451" s="142"/>
      <c r="R451" s="142"/>
      <c r="S451" s="142"/>
      <c r="T451" s="142"/>
      <c r="U451" s="142"/>
      <c r="V451" s="142"/>
      <c r="W451" s="142"/>
      <c r="X451" s="142"/>
      <c r="Y451" s="142"/>
      <c r="Z451" s="142"/>
      <c r="AA451" s="142"/>
      <c r="AB451" s="142"/>
      <c r="AC451" s="142"/>
      <c r="AD451" s="142"/>
      <c r="AE451" s="142"/>
      <c r="AF451" s="142"/>
      <c r="AG451" s="142"/>
      <c r="AH451" s="142"/>
      <c r="AI451" s="142"/>
      <c r="AJ451" s="142"/>
      <c r="AK451" s="142"/>
      <c r="AL451" s="142"/>
      <c r="AM451" s="142"/>
      <c r="AN451" s="142"/>
      <c r="AO451" s="142"/>
      <c r="AP451" s="130"/>
      <c r="AQ451" s="130"/>
      <c r="AR451" s="130"/>
      <c r="AS451" s="130"/>
      <c r="AT451" s="130"/>
      <c r="AU451" s="130"/>
      <c r="AV451" s="130"/>
      <c r="AW451" s="130"/>
      <c r="AX451" s="130"/>
      <c r="AY451" s="130"/>
      <c r="AZ451" s="130"/>
      <c r="BA451" s="130"/>
      <c r="BB451" s="130"/>
      <c r="BC451" s="130"/>
      <c r="BD451" s="130"/>
    </row>
    <row r="452" ht="15.75" customHeight="1">
      <c r="A452" s="142"/>
      <c r="B452" s="142"/>
      <c r="C452" s="198"/>
      <c r="D452" s="142"/>
      <c r="E452" s="131"/>
      <c r="F452" s="142"/>
      <c r="G452" s="142"/>
      <c r="H452" s="131"/>
      <c r="I452" s="142"/>
      <c r="J452" s="142"/>
      <c r="K452" s="132"/>
      <c r="L452" s="131"/>
      <c r="M452" s="142"/>
      <c r="N452" s="142"/>
      <c r="O452" s="142"/>
      <c r="P452" s="142"/>
      <c r="Q452" s="142"/>
      <c r="R452" s="142"/>
      <c r="S452" s="142"/>
      <c r="T452" s="142"/>
      <c r="U452" s="142"/>
      <c r="V452" s="142"/>
      <c r="W452" s="142"/>
      <c r="X452" s="142"/>
      <c r="Y452" s="142"/>
      <c r="Z452" s="142"/>
      <c r="AA452" s="142"/>
      <c r="AB452" s="142"/>
      <c r="AC452" s="142"/>
      <c r="AD452" s="142"/>
      <c r="AE452" s="142"/>
      <c r="AF452" s="142"/>
      <c r="AG452" s="142"/>
      <c r="AH452" s="142"/>
      <c r="AI452" s="142"/>
      <c r="AJ452" s="142"/>
      <c r="AK452" s="142"/>
      <c r="AL452" s="142"/>
      <c r="AM452" s="142"/>
      <c r="AN452" s="142"/>
      <c r="AO452" s="142"/>
      <c r="AP452" s="130"/>
      <c r="AQ452" s="130"/>
      <c r="AR452" s="130"/>
      <c r="AS452" s="130"/>
      <c r="AT452" s="130"/>
      <c r="AU452" s="130"/>
      <c r="AV452" s="130"/>
      <c r="AW452" s="130"/>
      <c r="AX452" s="130"/>
      <c r="AY452" s="130"/>
      <c r="AZ452" s="130"/>
      <c r="BA452" s="130"/>
      <c r="BB452" s="130"/>
      <c r="BC452" s="130"/>
      <c r="BD452" s="130"/>
    </row>
    <row r="453" ht="15.75" customHeight="1">
      <c r="A453" s="142"/>
      <c r="B453" s="142"/>
      <c r="C453" s="198"/>
      <c r="D453" s="142"/>
      <c r="E453" s="131"/>
      <c r="F453" s="142"/>
      <c r="G453" s="142"/>
      <c r="H453" s="131"/>
      <c r="I453" s="142"/>
      <c r="J453" s="142"/>
      <c r="K453" s="132"/>
      <c r="L453" s="131"/>
      <c r="M453" s="142"/>
      <c r="N453" s="142"/>
      <c r="O453" s="142"/>
      <c r="P453" s="142"/>
      <c r="Q453" s="142"/>
      <c r="R453" s="142"/>
      <c r="S453" s="142"/>
      <c r="T453" s="142"/>
      <c r="U453" s="142"/>
      <c r="V453" s="142"/>
      <c r="W453" s="142"/>
      <c r="X453" s="142"/>
      <c r="Y453" s="142"/>
      <c r="Z453" s="142"/>
      <c r="AA453" s="142"/>
      <c r="AB453" s="142"/>
      <c r="AC453" s="142"/>
      <c r="AD453" s="142"/>
      <c r="AE453" s="142"/>
      <c r="AF453" s="142"/>
      <c r="AG453" s="142"/>
      <c r="AH453" s="142"/>
      <c r="AI453" s="142"/>
      <c r="AJ453" s="142"/>
      <c r="AK453" s="142"/>
      <c r="AL453" s="142"/>
      <c r="AM453" s="142"/>
      <c r="AN453" s="142"/>
      <c r="AO453" s="142"/>
      <c r="AP453" s="130"/>
      <c r="AQ453" s="130"/>
      <c r="AR453" s="130"/>
      <c r="AS453" s="130"/>
      <c r="AT453" s="130"/>
      <c r="AU453" s="130"/>
      <c r="AV453" s="130"/>
      <c r="AW453" s="130"/>
      <c r="AX453" s="130"/>
      <c r="AY453" s="130"/>
      <c r="AZ453" s="130"/>
      <c r="BA453" s="130"/>
      <c r="BB453" s="130"/>
      <c r="BC453" s="130"/>
      <c r="BD453" s="130"/>
    </row>
    <row r="454" ht="15.75" customHeight="1">
      <c r="A454" s="142"/>
      <c r="B454" s="142"/>
      <c r="C454" s="198"/>
      <c r="D454" s="142"/>
      <c r="E454" s="131"/>
      <c r="F454" s="142"/>
      <c r="G454" s="142"/>
      <c r="H454" s="131"/>
      <c r="I454" s="142"/>
      <c r="J454" s="142"/>
      <c r="K454" s="132"/>
      <c r="L454" s="131"/>
      <c r="M454" s="142"/>
      <c r="N454" s="142"/>
      <c r="O454" s="142"/>
      <c r="P454" s="142"/>
      <c r="Q454" s="142"/>
      <c r="R454" s="142"/>
      <c r="S454" s="142"/>
      <c r="T454" s="142"/>
      <c r="U454" s="142"/>
      <c r="V454" s="142"/>
      <c r="W454" s="142"/>
      <c r="X454" s="142"/>
      <c r="Y454" s="142"/>
      <c r="Z454" s="142"/>
      <c r="AA454" s="142"/>
      <c r="AB454" s="142"/>
      <c r="AC454" s="142"/>
      <c r="AD454" s="142"/>
      <c r="AE454" s="142"/>
      <c r="AF454" s="142"/>
      <c r="AG454" s="142"/>
      <c r="AH454" s="142"/>
      <c r="AI454" s="142"/>
      <c r="AJ454" s="142"/>
      <c r="AK454" s="142"/>
      <c r="AL454" s="142"/>
      <c r="AM454" s="142"/>
      <c r="AN454" s="142"/>
      <c r="AO454" s="142"/>
      <c r="AP454" s="130"/>
      <c r="AQ454" s="130"/>
      <c r="AR454" s="130"/>
      <c r="AS454" s="130"/>
      <c r="AT454" s="130"/>
      <c r="AU454" s="130"/>
      <c r="AV454" s="130"/>
      <c r="AW454" s="130"/>
      <c r="AX454" s="130"/>
      <c r="AY454" s="130"/>
      <c r="AZ454" s="130"/>
      <c r="BA454" s="130"/>
      <c r="BB454" s="130"/>
      <c r="BC454" s="130"/>
      <c r="BD454" s="130"/>
    </row>
    <row r="455" ht="15.75" customHeight="1">
      <c r="A455" s="142"/>
      <c r="B455" s="142"/>
      <c r="C455" s="198"/>
      <c r="D455" s="142"/>
      <c r="E455" s="131"/>
      <c r="F455" s="142"/>
      <c r="G455" s="142"/>
      <c r="H455" s="131"/>
      <c r="I455" s="142"/>
      <c r="J455" s="142"/>
      <c r="K455" s="132"/>
      <c r="L455" s="131"/>
      <c r="M455" s="142"/>
      <c r="N455" s="142"/>
      <c r="O455" s="142"/>
      <c r="P455" s="142"/>
      <c r="Q455" s="142"/>
      <c r="R455" s="142"/>
      <c r="S455" s="142"/>
      <c r="T455" s="142"/>
      <c r="U455" s="142"/>
      <c r="V455" s="142"/>
      <c r="W455" s="142"/>
      <c r="X455" s="142"/>
      <c r="Y455" s="142"/>
      <c r="Z455" s="142"/>
      <c r="AA455" s="142"/>
      <c r="AB455" s="142"/>
      <c r="AC455" s="142"/>
      <c r="AD455" s="142"/>
      <c r="AE455" s="142"/>
      <c r="AF455" s="142"/>
      <c r="AG455" s="142"/>
      <c r="AH455" s="142"/>
      <c r="AI455" s="142"/>
      <c r="AJ455" s="142"/>
      <c r="AK455" s="142"/>
      <c r="AL455" s="142"/>
      <c r="AM455" s="142"/>
      <c r="AN455" s="142"/>
      <c r="AO455" s="142"/>
      <c r="AP455" s="130"/>
      <c r="AQ455" s="130"/>
      <c r="AR455" s="130"/>
      <c r="AS455" s="130"/>
      <c r="AT455" s="130"/>
      <c r="AU455" s="130"/>
      <c r="AV455" s="130"/>
      <c r="AW455" s="130"/>
      <c r="AX455" s="130"/>
      <c r="AY455" s="130"/>
      <c r="AZ455" s="130"/>
      <c r="BA455" s="130"/>
      <c r="BB455" s="130"/>
      <c r="BC455" s="130"/>
      <c r="BD455" s="130"/>
    </row>
    <row r="456" ht="15.75" customHeight="1">
      <c r="A456" s="142"/>
      <c r="B456" s="142"/>
      <c r="C456" s="198"/>
      <c r="D456" s="142"/>
      <c r="E456" s="131"/>
      <c r="F456" s="142"/>
      <c r="G456" s="142"/>
      <c r="H456" s="131"/>
      <c r="I456" s="142"/>
      <c r="J456" s="142"/>
      <c r="K456" s="132"/>
      <c r="L456" s="131"/>
      <c r="M456" s="142"/>
      <c r="N456" s="142"/>
      <c r="O456" s="142"/>
      <c r="P456" s="142"/>
      <c r="Q456" s="142"/>
      <c r="R456" s="142"/>
      <c r="S456" s="142"/>
      <c r="T456" s="142"/>
      <c r="U456" s="142"/>
      <c r="V456" s="142"/>
      <c r="W456" s="142"/>
      <c r="X456" s="142"/>
      <c r="Y456" s="142"/>
      <c r="Z456" s="142"/>
      <c r="AA456" s="142"/>
      <c r="AB456" s="142"/>
      <c r="AC456" s="142"/>
      <c r="AD456" s="142"/>
      <c r="AE456" s="142"/>
      <c r="AF456" s="142"/>
      <c r="AG456" s="142"/>
      <c r="AH456" s="142"/>
      <c r="AI456" s="142"/>
      <c r="AJ456" s="142"/>
      <c r="AK456" s="142"/>
      <c r="AL456" s="142"/>
      <c r="AM456" s="142"/>
      <c r="AN456" s="142"/>
      <c r="AO456" s="142"/>
      <c r="AP456" s="130"/>
      <c r="AQ456" s="130"/>
      <c r="AR456" s="130"/>
      <c r="AS456" s="130"/>
      <c r="AT456" s="130"/>
      <c r="AU456" s="130"/>
      <c r="AV456" s="130"/>
      <c r="AW456" s="130"/>
      <c r="AX456" s="130"/>
      <c r="AY456" s="130"/>
      <c r="AZ456" s="130"/>
      <c r="BA456" s="130"/>
      <c r="BB456" s="130"/>
      <c r="BC456" s="130"/>
      <c r="BD456" s="130"/>
    </row>
    <row r="457" ht="15.75" customHeight="1">
      <c r="A457" s="142"/>
      <c r="B457" s="142"/>
      <c r="C457" s="198"/>
      <c r="D457" s="142"/>
      <c r="E457" s="131"/>
      <c r="F457" s="142"/>
      <c r="G457" s="142"/>
      <c r="H457" s="131"/>
      <c r="I457" s="142"/>
      <c r="J457" s="142"/>
      <c r="K457" s="132"/>
      <c r="L457" s="131"/>
      <c r="M457" s="142"/>
      <c r="N457" s="142"/>
      <c r="O457" s="142"/>
      <c r="P457" s="142"/>
      <c r="Q457" s="142"/>
      <c r="R457" s="142"/>
      <c r="S457" s="142"/>
      <c r="T457" s="142"/>
      <c r="U457" s="142"/>
      <c r="V457" s="142"/>
      <c r="W457" s="142"/>
      <c r="X457" s="142"/>
      <c r="Y457" s="142"/>
      <c r="Z457" s="142"/>
      <c r="AA457" s="142"/>
      <c r="AB457" s="142"/>
      <c r="AC457" s="142"/>
      <c r="AD457" s="142"/>
      <c r="AE457" s="142"/>
      <c r="AF457" s="142"/>
      <c r="AG457" s="142"/>
      <c r="AH457" s="142"/>
      <c r="AI457" s="142"/>
      <c r="AJ457" s="142"/>
      <c r="AK457" s="142"/>
      <c r="AL457" s="142"/>
      <c r="AM457" s="142"/>
      <c r="AN457" s="142"/>
      <c r="AO457" s="142"/>
      <c r="AP457" s="130"/>
      <c r="AQ457" s="130"/>
      <c r="AR457" s="130"/>
      <c r="AS457" s="130"/>
      <c r="AT457" s="130"/>
      <c r="AU457" s="130"/>
      <c r="AV457" s="130"/>
      <c r="AW457" s="130"/>
      <c r="AX457" s="130"/>
      <c r="AY457" s="130"/>
      <c r="AZ457" s="130"/>
      <c r="BA457" s="130"/>
      <c r="BB457" s="130"/>
      <c r="BC457" s="130"/>
      <c r="BD457" s="130"/>
    </row>
    <row r="458" ht="15.75" customHeight="1">
      <c r="A458" s="142"/>
      <c r="B458" s="142"/>
      <c r="C458" s="198"/>
      <c r="D458" s="142"/>
      <c r="E458" s="131"/>
      <c r="F458" s="142"/>
      <c r="G458" s="142"/>
      <c r="H458" s="131"/>
      <c r="I458" s="142"/>
      <c r="J458" s="142"/>
      <c r="K458" s="132"/>
      <c r="L458" s="131"/>
      <c r="M458" s="142"/>
      <c r="N458" s="142"/>
      <c r="O458" s="142"/>
      <c r="P458" s="142"/>
      <c r="Q458" s="142"/>
      <c r="R458" s="142"/>
      <c r="S458" s="142"/>
      <c r="T458" s="142"/>
      <c r="U458" s="142"/>
      <c r="V458" s="142"/>
      <c r="W458" s="142"/>
      <c r="X458" s="142"/>
      <c r="Y458" s="142"/>
      <c r="Z458" s="142"/>
      <c r="AA458" s="142"/>
      <c r="AB458" s="142"/>
      <c r="AC458" s="142"/>
      <c r="AD458" s="142"/>
      <c r="AE458" s="142"/>
      <c r="AF458" s="142"/>
      <c r="AG458" s="142"/>
      <c r="AH458" s="142"/>
      <c r="AI458" s="142"/>
      <c r="AJ458" s="142"/>
      <c r="AK458" s="142"/>
      <c r="AL458" s="142"/>
      <c r="AM458" s="142"/>
      <c r="AN458" s="142"/>
      <c r="AO458" s="142"/>
      <c r="AP458" s="130"/>
      <c r="AQ458" s="130"/>
      <c r="AR458" s="130"/>
      <c r="AS458" s="130"/>
      <c r="AT458" s="130"/>
      <c r="AU458" s="130"/>
      <c r="AV458" s="130"/>
      <c r="AW458" s="130"/>
      <c r="AX458" s="130"/>
      <c r="AY458" s="130"/>
      <c r="AZ458" s="130"/>
      <c r="BA458" s="130"/>
      <c r="BB458" s="130"/>
      <c r="BC458" s="130"/>
      <c r="BD458" s="130"/>
    </row>
    <row r="459" ht="15.75" customHeight="1">
      <c r="A459" s="142"/>
      <c r="B459" s="142"/>
      <c r="C459" s="198"/>
      <c r="D459" s="142"/>
      <c r="E459" s="131"/>
      <c r="F459" s="142"/>
      <c r="G459" s="142"/>
      <c r="H459" s="131"/>
      <c r="I459" s="142"/>
      <c r="J459" s="142"/>
      <c r="K459" s="132"/>
      <c r="L459" s="131"/>
      <c r="M459" s="142"/>
      <c r="N459" s="142"/>
      <c r="O459" s="142"/>
      <c r="P459" s="142"/>
      <c r="Q459" s="142"/>
      <c r="R459" s="142"/>
      <c r="S459" s="142"/>
      <c r="T459" s="142"/>
      <c r="U459" s="142"/>
      <c r="V459" s="142"/>
      <c r="W459" s="142"/>
      <c r="X459" s="142"/>
      <c r="Y459" s="142"/>
      <c r="Z459" s="142"/>
      <c r="AA459" s="142"/>
      <c r="AB459" s="142"/>
      <c r="AC459" s="142"/>
      <c r="AD459" s="142"/>
      <c r="AE459" s="142"/>
      <c r="AF459" s="142"/>
      <c r="AG459" s="142"/>
      <c r="AH459" s="142"/>
      <c r="AI459" s="142"/>
      <c r="AJ459" s="142"/>
      <c r="AK459" s="142"/>
      <c r="AL459" s="142"/>
      <c r="AM459" s="142"/>
      <c r="AN459" s="142"/>
      <c r="AO459" s="142"/>
      <c r="AP459" s="130"/>
      <c r="AQ459" s="130"/>
      <c r="AR459" s="130"/>
      <c r="AS459" s="130"/>
      <c r="AT459" s="130"/>
      <c r="AU459" s="130"/>
      <c r="AV459" s="130"/>
      <c r="AW459" s="130"/>
      <c r="AX459" s="130"/>
      <c r="AY459" s="130"/>
      <c r="AZ459" s="130"/>
      <c r="BA459" s="130"/>
      <c r="BB459" s="130"/>
      <c r="BC459" s="130"/>
      <c r="BD459" s="130"/>
    </row>
    <row r="460" ht="15.75" customHeight="1">
      <c r="A460" s="142"/>
      <c r="B460" s="142"/>
      <c r="C460" s="198"/>
      <c r="D460" s="142"/>
      <c r="E460" s="131"/>
      <c r="F460" s="142"/>
      <c r="G460" s="142"/>
      <c r="H460" s="131"/>
      <c r="I460" s="142"/>
      <c r="J460" s="142"/>
      <c r="K460" s="132"/>
      <c r="L460" s="131"/>
      <c r="M460" s="142"/>
      <c r="N460" s="142"/>
      <c r="O460" s="142"/>
      <c r="P460" s="142"/>
      <c r="Q460" s="142"/>
      <c r="R460" s="142"/>
      <c r="S460" s="142"/>
      <c r="T460" s="142"/>
      <c r="U460" s="142"/>
      <c r="V460" s="142"/>
      <c r="W460" s="142"/>
      <c r="X460" s="142"/>
      <c r="Y460" s="142"/>
      <c r="Z460" s="142"/>
      <c r="AA460" s="142"/>
      <c r="AB460" s="142"/>
      <c r="AC460" s="142"/>
      <c r="AD460" s="142"/>
      <c r="AE460" s="142"/>
      <c r="AF460" s="142"/>
      <c r="AG460" s="142"/>
      <c r="AH460" s="142"/>
      <c r="AI460" s="142"/>
      <c r="AJ460" s="142"/>
      <c r="AK460" s="142"/>
      <c r="AL460" s="142"/>
      <c r="AM460" s="142"/>
      <c r="AN460" s="142"/>
      <c r="AO460" s="142"/>
      <c r="AP460" s="130"/>
      <c r="AQ460" s="130"/>
      <c r="AR460" s="130"/>
      <c r="AS460" s="130"/>
      <c r="AT460" s="130"/>
      <c r="AU460" s="130"/>
      <c r="AV460" s="130"/>
      <c r="AW460" s="130"/>
      <c r="AX460" s="130"/>
      <c r="AY460" s="130"/>
      <c r="AZ460" s="130"/>
      <c r="BA460" s="130"/>
      <c r="BB460" s="130"/>
      <c r="BC460" s="130"/>
      <c r="BD460" s="130"/>
    </row>
    <row r="461" ht="15.75" customHeight="1">
      <c r="A461" s="142"/>
      <c r="B461" s="142"/>
      <c r="C461" s="198"/>
      <c r="D461" s="142"/>
      <c r="E461" s="131"/>
      <c r="F461" s="142"/>
      <c r="G461" s="142"/>
      <c r="H461" s="131"/>
      <c r="I461" s="142"/>
      <c r="J461" s="142"/>
      <c r="K461" s="132"/>
      <c r="L461" s="131"/>
      <c r="M461" s="142"/>
      <c r="N461" s="142"/>
      <c r="O461" s="142"/>
      <c r="P461" s="142"/>
      <c r="Q461" s="142"/>
      <c r="R461" s="142"/>
      <c r="S461" s="142"/>
      <c r="T461" s="142"/>
      <c r="U461" s="142"/>
      <c r="V461" s="142"/>
      <c r="W461" s="142"/>
      <c r="X461" s="142"/>
      <c r="Y461" s="142"/>
      <c r="Z461" s="142"/>
      <c r="AA461" s="142"/>
      <c r="AB461" s="142"/>
      <c r="AC461" s="142"/>
      <c r="AD461" s="142"/>
      <c r="AE461" s="142"/>
      <c r="AF461" s="142"/>
      <c r="AG461" s="142"/>
      <c r="AH461" s="142"/>
      <c r="AI461" s="142"/>
      <c r="AJ461" s="142"/>
      <c r="AK461" s="142"/>
      <c r="AL461" s="142"/>
      <c r="AM461" s="142"/>
      <c r="AN461" s="142"/>
      <c r="AO461" s="142"/>
      <c r="AP461" s="130"/>
      <c r="AQ461" s="130"/>
      <c r="AR461" s="130"/>
      <c r="AS461" s="130"/>
      <c r="AT461" s="130"/>
      <c r="AU461" s="130"/>
      <c r="AV461" s="130"/>
      <c r="AW461" s="130"/>
      <c r="AX461" s="130"/>
      <c r="AY461" s="130"/>
      <c r="AZ461" s="130"/>
      <c r="BA461" s="130"/>
      <c r="BB461" s="130"/>
      <c r="BC461" s="130"/>
      <c r="BD461" s="130"/>
    </row>
    <row r="462" ht="15.75" customHeight="1">
      <c r="A462" s="142"/>
      <c r="B462" s="142"/>
      <c r="C462" s="198"/>
      <c r="D462" s="142"/>
      <c r="E462" s="131"/>
      <c r="F462" s="142"/>
      <c r="G462" s="142"/>
      <c r="H462" s="131"/>
      <c r="I462" s="142"/>
      <c r="J462" s="142"/>
      <c r="K462" s="132"/>
      <c r="L462" s="131"/>
      <c r="M462" s="142"/>
      <c r="N462" s="142"/>
      <c r="O462" s="142"/>
      <c r="P462" s="142"/>
      <c r="Q462" s="142"/>
      <c r="R462" s="142"/>
      <c r="S462" s="142"/>
      <c r="T462" s="142"/>
      <c r="U462" s="142"/>
      <c r="V462" s="142"/>
      <c r="W462" s="142"/>
      <c r="X462" s="142"/>
      <c r="Y462" s="142"/>
      <c r="Z462" s="142"/>
      <c r="AA462" s="142"/>
      <c r="AB462" s="142"/>
      <c r="AC462" s="142"/>
      <c r="AD462" s="142"/>
      <c r="AE462" s="142"/>
      <c r="AF462" s="142"/>
      <c r="AG462" s="142"/>
      <c r="AH462" s="142"/>
      <c r="AI462" s="142"/>
      <c r="AJ462" s="142"/>
      <c r="AK462" s="142"/>
      <c r="AL462" s="142"/>
      <c r="AM462" s="142"/>
      <c r="AN462" s="142"/>
      <c r="AO462" s="142"/>
      <c r="AP462" s="130"/>
      <c r="AQ462" s="130"/>
      <c r="AR462" s="130"/>
      <c r="AS462" s="130"/>
      <c r="AT462" s="130"/>
      <c r="AU462" s="130"/>
      <c r="AV462" s="130"/>
      <c r="AW462" s="130"/>
      <c r="AX462" s="130"/>
      <c r="AY462" s="130"/>
      <c r="AZ462" s="130"/>
      <c r="BA462" s="130"/>
      <c r="BB462" s="130"/>
      <c r="BC462" s="130"/>
      <c r="BD462" s="130"/>
    </row>
    <row r="463" ht="15.75" customHeight="1">
      <c r="A463" s="142"/>
      <c r="B463" s="142"/>
      <c r="C463" s="198"/>
      <c r="D463" s="142"/>
      <c r="E463" s="131"/>
      <c r="F463" s="142"/>
      <c r="G463" s="142"/>
      <c r="H463" s="131"/>
      <c r="I463" s="142"/>
      <c r="J463" s="142"/>
      <c r="K463" s="132"/>
      <c r="L463" s="131"/>
      <c r="M463" s="142"/>
      <c r="N463" s="142"/>
      <c r="O463" s="142"/>
      <c r="P463" s="142"/>
      <c r="Q463" s="142"/>
      <c r="R463" s="142"/>
      <c r="S463" s="142"/>
      <c r="T463" s="142"/>
      <c r="U463" s="142"/>
      <c r="V463" s="142"/>
      <c r="W463" s="142"/>
      <c r="X463" s="142"/>
      <c r="Y463" s="142"/>
      <c r="Z463" s="142"/>
      <c r="AA463" s="142"/>
      <c r="AB463" s="142"/>
      <c r="AC463" s="142"/>
      <c r="AD463" s="142"/>
      <c r="AE463" s="142"/>
      <c r="AF463" s="142"/>
      <c r="AG463" s="142"/>
      <c r="AH463" s="142"/>
      <c r="AI463" s="142"/>
      <c r="AJ463" s="142"/>
      <c r="AK463" s="142"/>
      <c r="AL463" s="142"/>
      <c r="AM463" s="142"/>
      <c r="AN463" s="142"/>
      <c r="AO463" s="142"/>
      <c r="AP463" s="130"/>
      <c r="AQ463" s="130"/>
      <c r="AR463" s="130"/>
      <c r="AS463" s="130"/>
      <c r="AT463" s="130"/>
      <c r="AU463" s="130"/>
      <c r="AV463" s="130"/>
      <c r="AW463" s="130"/>
      <c r="AX463" s="130"/>
      <c r="AY463" s="130"/>
      <c r="AZ463" s="130"/>
      <c r="BA463" s="130"/>
      <c r="BB463" s="130"/>
      <c r="BC463" s="130"/>
      <c r="BD463" s="130"/>
    </row>
    <row r="464" ht="15.75" customHeight="1">
      <c r="A464" s="142"/>
      <c r="B464" s="142"/>
      <c r="C464" s="198"/>
      <c r="D464" s="142"/>
      <c r="E464" s="131"/>
      <c r="F464" s="142"/>
      <c r="G464" s="142"/>
      <c r="H464" s="131"/>
      <c r="I464" s="142"/>
      <c r="J464" s="142"/>
      <c r="K464" s="132"/>
      <c r="L464" s="131"/>
      <c r="M464" s="142"/>
      <c r="N464" s="142"/>
      <c r="O464" s="142"/>
      <c r="P464" s="142"/>
      <c r="Q464" s="142"/>
      <c r="R464" s="142"/>
      <c r="S464" s="142"/>
      <c r="T464" s="142"/>
      <c r="U464" s="142"/>
      <c r="V464" s="142"/>
      <c r="W464" s="142"/>
      <c r="X464" s="142"/>
      <c r="Y464" s="142"/>
      <c r="Z464" s="142"/>
      <c r="AA464" s="142"/>
      <c r="AB464" s="142"/>
      <c r="AC464" s="142"/>
      <c r="AD464" s="142"/>
      <c r="AE464" s="142"/>
      <c r="AF464" s="142"/>
      <c r="AG464" s="142"/>
      <c r="AH464" s="142"/>
      <c r="AI464" s="142"/>
      <c r="AJ464" s="142"/>
      <c r="AK464" s="142"/>
      <c r="AL464" s="142"/>
      <c r="AM464" s="142"/>
      <c r="AN464" s="142"/>
      <c r="AO464" s="142"/>
      <c r="AP464" s="130"/>
      <c r="AQ464" s="130"/>
      <c r="AR464" s="130"/>
      <c r="AS464" s="130"/>
      <c r="AT464" s="130"/>
      <c r="AU464" s="130"/>
      <c r="AV464" s="130"/>
      <c r="AW464" s="130"/>
      <c r="AX464" s="130"/>
      <c r="AY464" s="130"/>
      <c r="AZ464" s="130"/>
      <c r="BA464" s="130"/>
      <c r="BB464" s="130"/>
      <c r="BC464" s="130"/>
      <c r="BD464" s="130"/>
    </row>
    <row r="465" ht="15.75" customHeight="1">
      <c r="A465" s="142"/>
      <c r="B465" s="142"/>
      <c r="C465" s="198"/>
      <c r="D465" s="142"/>
      <c r="E465" s="131"/>
      <c r="F465" s="142"/>
      <c r="G465" s="142"/>
      <c r="H465" s="131"/>
      <c r="I465" s="142"/>
      <c r="J465" s="142"/>
      <c r="K465" s="132"/>
      <c r="L465" s="131"/>
      <c r="M465" s="142"/>
      <c r="N465" s="142"/>
      <c r="O465" s="142"/>
      <c r="P465" s="142"/>
      <c r="Q465" s="142"/>
      <c r="R465" s="142"/>
      <c r="S465" s="142"/>
      <c r="T465" s="142"/>
      <c r="U465" s="142"/>
      <c r="V465" s="142"/>
      <c r="W465" s="142"/>
      <c r="X465" s="142"/>
      <c r="Y465" s="142"/>
      <c r="Z465" s="142"/>
      <c r="AA465" s="142"/>
      <c r="AB465" s="142"/>
      <c r="AC465" s="142"/>
      <c r="AD465" s="142"/>
      <c r="AE465" s="142"/>
      <c r="AF465" s="142"/>
      <c r="AG465" s="142"/>
      <c r="AH465" s="142"/>
      <c r="AI465" s="142"/>
      <c r="AJ465" s="142"/>
      <c r="AK465" s="142"/>
      <c r="AL465" s="142"/>
      <c r="AM465" s="142"/>
      <c r="AN465" s="142"/>
      <c r="AO465" s="142"/>
      <c r="AP465" s="130"/>
      <c r="AQ465" s="130"/>
      <c r="AR465" s="130"/>
      <c r="AS465" s="130"/>
      <c r="AT465" s="130"/>
      <c r="AU465" s="130"/>
      <c r="AV465" s="130"/>
      <c r="AW465" s="130"/>
      <c r="AX465" s="130"/>
      <c r="AY465" s="130"/>
      <c r="AZ465" s="130"/>
      <c r="BA465" s="130"/>
      <c r="BB465" s="130"/>
      <c r="BC465" s="130"/>
      <c r="BD465" s="130"/>
    </row>
    <row r="466" ht="15.75" customHeight="1">
      <c r="A466" s="142"/>
      <c r="B466" s="142"/>
      <c r="C466" s="198"/>
      <c r="D466" s="142"/>
      <c r="E466" s="131"/>
      <c r="F466" s="142"/>
      <c r="G466" s="142"/>
      <c r="H466" s="131"/>
      <c r="I466" s="142"/>
      <c r="J466" s="142"/>
      <c r="K466" s="132"/>
      <c r="L466" s="131"/>
      <c r="M466" s="142"/>
      <c r="N466" s="142"/>
      <c r="O466" s="142"/>
      <c r="P466" s="142"/>
      <c r="Q466" s="142"/>
      <c r="R466" s="142"/>
      <c r="S466" s="142"/>
      <c r="T466" s="142"/>
      <c r="U466" s="142"/>
      <c r="V466" s="142"/>
      <c r="W466" s="142"/>
      <c r="X466" s="142"/>
      <c r="Y466" s="142"/>
      <c r="Z466" s="142"/>
      <c r="AA466" s="142"/>
      <c r="AB466" s="142"/>
      <c r="AC466" s="142"/>
      <c r="AD466" s="142"/>
      <c r="AE466" s="142"/>
      <c r="AF466" s="142"/>
      <c r="AG466" s="142"/>
      <c r="AH466" s="142"/>
      <c r="AI466" s="142"/>
      <c r="AJ466" s="142"/>
      <c r="AK466" s="142"/>
      <c r="AL466" s="142"/>
      <c r="AM466" s="142"/>
      <c r="AN466" s="142"/>
      <c r="AO466" s="142"/>
      <c r="AP466" s="130"/>
      <c r="AQ466" s="130"/>
      <c r="AR466" s="130"/>
      <c r="AS466" s="130"/>
      <c r="AT466" s="130"/>
      <c r="AU466" s="130"/>
      <c r="AV466" s="130"/>
      <c r="AW466" s="130"/>
      <c r="AX466" s="130"/>
      <c r="AY466" s="130"/>
      <c r="AZ466" s="130"/>
      <c r="BA466" s="130"/>
      <c r="BB466" s="130"/>
      <c r="BC466" s="130"/>
      <c r="BD466" s="130"/>
    </row>
    <row r="467" ht="15.75" customHeight="1">
      <c r="A467" s="142"/>
      <c r="B467" s="142"/>
      <c r="C467" s="198"/>
      <c r="D467" s="142"/>
      <c r="E467" s="131"/>
      <c r="F467" s="142"/>
      <c r="G467" s="142"/>
      <c r="H467" s="131"/>
      <c r="I467" s="142"/>
      <c r="J467" s="142"/>
      <c r="K467" s="132"/>
      <c r="L467" s="131"/>
      <c r="M467" s="142"/>
      <c r="N467" s="142"/>
      <c r="O467" s="142"/>
      <c r="P467" s="142"/>
      <c r="Q467" s="142"/>
      <c r="R467" s="142"/>
      <c r="S467" s="142"/>
      <c r="T467" s="142"/>
      <c r="U467" s="142"/>
      <c r="V467" s="142"/>
      <c r="W467" s="142"/>
      <c r="X467" s="142"/>
      <c r="Y467" s="142"/>
      <c r="Z467" s="142"/>
      <c r="AA467" s="142"/>
      <c r="AB467" s="142"/>
      <c r="AC467" s="142"/>
      <c r="AD467" s="142"/>
      <c r="AE467" s="142"/>
      <c r="AF467" s="142"/>
      <c r="AG467" s="142"/>
      <c r="AH467" s="142"/>
      <c r="AI467" s="142"/>
      <c r="AJ467" s="142"/>
      <c r="AK467" s="142"/>
      <c r="AL467" s="142"/>
      <c r="AM467" s="142"/>
      <c r="AN467" s="142"/>
      <c r="AO467" s="142"/>
      <c r="AP467" s="130"/>
      <c r="AQ467" s="130"/>
      <c r="AR467" s="130"/>
      <c r="AS467" s="130"/>
      <c r="AT467" s="130"/>
      <c r="AU467" s="130"/>
      <c r="AV467" s="130"/>
      <c r="AW467" s="130"/>
      <c r="AX467" s="130"/>
      <c r="AY467" s="130"/>
      <c r="AZ467" s="130"/>
      <c r="BA467" s="130"/>
      <c r="BB467" s="130"/>
      <c r="BC467" s="130"/>
      <c r="BD467" s="130"/>
    </row>
    <row r="468" ht="15.75" customHeight="1">
      <c r="A468" s="142"/>
      <c r="B468" s="142"/>
      <c r="C468" s="198"/>
      <c r="D468" s="142"/>
      <c r="E468" s="131"/>
      <c r="F468" s="142"/>
      <c r="G468" s="142"/>
      <c r="H468" s="131"/>
      <c r="I468" s="142"/>
      <c r="J468" s="142"/>
      <c r="K468" s="132"/>
      <c r="L468" s="131"/>
      <c r="M468" s="142"/>
      <c r="N468" s="142"/>
      <c r="O468" s="142"/>
      <c r="P468" s="142"/>
      <c r="Q468" s="142"/>
      <c r="R468" s="142"/>
      <c r="S468" s="142"/>
      <c r="T468" s="142"/>
      <c r="U468" s="142"/>
      <c r="V468" s="142"/>
      <c r="W468" s="142"/>
      <c r="X468" s="142"/>
      <c r="Y468" s="142"/>
      <c r="Z468" s="142"/>
      <c r="AA468" s="142"/>
      <c r="AB468" s="142"/>
      <c r="AC468" s="142"/>
      <c r="AD468" s="142"/>
      <c r="AE468" s="142"/>
      <c r="AF468" s="142"/>
      <c r="AG468" s="142"/>
      <c r="AH468" s="142"/>
      <c r="AI468" s="142"/>
      <c r="AJ468" s="142"/>
      <c r="AK468" s="142"/>
      <c r="AL468" s="142"/>
      <c r="AM468" s="142"/>
      <c r="AN468" s="142"/>
      <c r="AO468" s="142"/>
      <c r="AP468" s="130"/>
      <c r="AQ468" s="130"/>
      <c r="AR468" s="130"/>
      <c r="AS468" s="130"/>
      <c r="AT468" s="130"/>
      <c r="AU468" s="130"/>
      <c r="AV468" s="130"/>
      <c r="AW468" s="130"/>
      <c r="AX468" s="130"/>
      <c r="AY468" s="130"/>
      <c r="AZ468" s="130"/>
      <c r="BA468" s="130"/>
      <c r="BB468" s="130"/>
      <c r="BC468" s="130"/>
      <c r="BD468" s="130"/>
    </row>
    <row r="469" ht="15.75" customHeight="1">
      <c r="A469" s="142"/>
      <c r="B469" s="142"/>
      <c r="C469" s="198"/>
      <c r="D469" s="142"/>
      <c r="E469" s="131"/>
      <c r="F469" s="142"/>
      <c r="G469" s="142"/>
      <c r="H469" s="131"/>
      <c r="I469" s="142"/>
      <c r="J469" s="142"/>
      <c r="K469" s="132"/>
      <c r="L469" s="131"/>
      <c r="M469" s="142"/>
      <c r="N469" s="142"/>
      <c r="O469" s="142"/>
      <c r="P469" s="142"/>
      <c r="Q469" s="142"/>
      <c r="R469" s="142"/>
      <c r="S469" s="142"/>
      <c r="T469" s="142"/>
      <c r="U469" s="142"/>
      <c r="V469" s="142"/>
      <c r="W469" s="142"/>
      <c r="X469" s="142"/>
      <c r="Y469" s="142"/>
      <c r="Z469" s="142"/>
      <c r="AA469" s="142"/>
      <c r="AB469" s="142"/>
      <c r="AC469" s="142"/>
      <c r="AD469" s="142"/>
      <c r="AE469" s="142"/>
      <c r="AF469" s="142"/>
      <c r="AG469" s="142"/>
      <c r="AH469" s="142"/>
      <c r="AI469" s="142"/>
      <c r="AJ469" s="142"/>
      <c r="AK469" s="142"/>
      <c r="AL469" s="142"/>
      <c r="AM469" s="142"/>
      <c r="AN469" s="142"/>
      <c r="AO469" s="142"/>
      <c r="AP469" s="130"/>
      <c r="AQ469" s="130"/>
      <c r="AR469" s="130"/>
      <c r="AS469" s="130"/>
      <c r="AT469" s="130"/>
      <c r="AU469" s="130"/>
      <c r="AV469" s="130"/>
      <c r="AW469" s="130"/>
      <c r="AX469" s="130"/>
      <c r="AY469" s="130"/>
      <c r="AZ469" s="130"/>
      <c r="BA469" s="130"/>
      <c r="BB469" s="130"/>
      <c r="BC469" s="130"/>
      <c r="BD469" s="130"/>
    </row>
    <row r="470" ht="15.75" customHeight="1">
      <c r="A470" s="142"/>
      <c r="B470" s="142"/>
      <c r="C470" s="198"/>
      <c r="D470" s="142"/>
      <c r="E470" s="131"/>
      <c r="F470" s="142"/>
      <c r="G470" s="142"/>
      <c r="H470" s="131"/>
      <c r="I470" s="142"/>
      <c r="J470" s="142"/>
      <c r="K470" s="132"/>
      <c r="L470" s="131"/>
      <c r="M470" s="142"/>
      <c r="N470" s="142"/>
      <c r="O470" s="142"/>
      <c r="P470" s="142"/>
      <c r="Q470" s="142"/>
      <c r="R470" s="142"/>
      <c r="S470" s="142"/>
      <c r="T470" s="142"/>
      <c r="U470" s="142"/>
      <c r="V470" s="142"/>
      <c r="W470" s="142"/>
      <c r="X470" s="142"/>
      <c r="Y470" s="142"/>
      <c r="Z470" s="142"/>
      <c r="AA470" s="142"/>
      <c r="AB470" s="142"/>
      <c r="AC470" s="142"/>
      <c r="AD470" s="142"/>
      <c r="AE470" s="142"/>
      <c r="AF470" s="142"/>
      <c r="AG470" s="142"/>
      <c r="AH470" s="142"/>
      <c r="AI470" s="142"/>
      <c r="AJ470" s="142"/>
      <c r="AK470" s="142"/>
      <c r="AL470" s="142"/>
      <c r="AM470" s="142"/>
      <c r="AN470" s="142"/>
      <c r="AO470" s="142"/>
      <c r="AP470" s="130"/>
      <c r="AQ470" s="130"/>
      <c r="AR470" s="130"/>
      <c r="AS470" s="130"/>
      <c r="AT470" s="130"/>
      <c r="AU470" s="130"/>
      <c r="AV470" s="130"/>
      <c r="AW470" s="130"/>
      <c r="AX470" s="130"/>
      <c r="AY470" s="130"/>
      <c r="AZ470" s="130"/>
      <c r="BA470" s="130"/>
      <c r="BB470" s="130"/>
      <c r="BC470" s="130"/>
      <c r="BD470" s="130"/>
    </row>
    <row r="471" ht="15.75" customHeight="1">
      <c r="A471" s="142"/>
      <c r="B471" s="142"/>
      <c r="C471" s="198"/>
      <c r="D471" s="142"/>
      <c r="E471" s="131"/>
      <c r="F471" s="142"/>
      <c r="G471" s="142"/>
      <c r="H471" s="131"/>
      <c r="I471" s="142"/>
      <c r="J471" s="142"/>
      <c r="K471" s="132"/>
      <c r="L471" s="131"/>
      <c r="M471" s="142"/>
      <c r="N471" s="142"/>
      <c r="O471" s="142"/>
      <c r="P471" s="142"/>
      <c r="Q471" s="142"/>
      <c r="R471" s="142"/>
      <c r="S471" s="142"/>
      <c r="T471" s="142"/>
      <c r="U471" s="142"/>
      <c r="V471" s="142"/>
      <c r="W471" s="142"/>
      <c r="X471" s="142"/>
      <c r="Y471" s="142"/>
      <c r="Z471" s="142"/>
      <c r="AA471" s="142"/>
      <c r="AB471" s="142"/>
      <c r="AC471" s="142"/>
      <c r="AD471" s="142"/>
      <c r="AE471" s="142"/>
      <c r="AF471" s="142"/>
      <c r="AG471" s="142"/>
      <c r="AH471" s="142"/>
      <c r="AI471" s="142"/>
      <c r="AJ471" s="142"/>
      <c r="AK471" s="142"/>
      <c r="AL471" s="142"/>
      <c r="AM471" s="142"/>
      <c r="AN471" s="142"/>
      <c r="AO471" s="142"/>
      <c r="AP471" s="130"/>
      <c r="AQ471" s="130"/>
      <c r="AR471" s="130"/>
      <c r="AS471" s="130"/>
      <c r="AT471" s="130"/>
      <c r="AU471" s="130"/>
      <c r="AV471" s="130"/>
      <c r="AW471" s="130"/>
      <c r="AX471" s="130"/>
      <c r="AY471" s="130"/>
      <c r="AZ471" s="130"/>
      <c r="BA471" s="130"/>
      <c r="BB471" s="130"/>
      <c r="BC471" s="130"/>
      <c r="BD471" s="130"/>
    </row>
    <row r="472" ht="15.75" customHeight="1">
      <c r="A472" s="142"/>
      <c r="B472" s="142"/>
      <c r="C472" s="198"/>
      <c r="D472" s="142"/>
      <c r="E472" s="131"/>
      <c r="F472" s="142"/>
      <c r="G472" s="142"/>
      <c r="H472" s="131"/>
      <c r="I472" s="142"/>
      <c r="J472" s="142"/>
      <c r="K472" s="132"/>
      <c r="L472" s="131"/>
      <c r="M472" s="142"/>
      <c r="N472" s="142"/>
      <c r="O472" s="142"/>
      <c r="P472" s="142"/>
      <c r="Q472" s="142"/>
      <c r="R472" s="142"/>
      <c r="S472" s="142"/>
      <c r="T472" s="142"/>
      <c r="U472" s="142"/>
      <c r="V472" s="142"/>
      <c r="W472" s="142"/>
      <c r="X472" s="142"/>
      <c r="Y472" s="142"/>
      <c r="Z472" s="142"/>
      <c r="AA472" s="142"/>
      <c r="AB472" s="142"/>
      <c r="AC472" s="142"/>
      <c r="AD472" s="142"/>
      <c r="AE472" s="142"/>
      <c r="AF472" s="142"/>
      <c r="AG472" s="142"/>
      <c r="AH472" s="142"/>
      <c r="AI472" s="142"/>
      <c r="AJ472" s="142"/>
      <c r="AK472" s="142"/>
      <c r="AL472" s="142"/>
      <c r="AM472" s="142"/>
      <c r="AN472" s="142"/>
      <c r="AO472" s="142"/>
      <c r="AP472" s="130"/>
      <c r="AQ472" s="130"/>
      <c r="AR472" s="130"/>
      <c r="AS472" s="130"/>
      <c r="AT472" s="130"/>
      <c r="AU472" s="130"/>
      <c r="AV472" s="130"/>
      <c r="AW472" s="130"/>
      <c r="AX472" s="130"/>
      <c r="AY472" s="130"/>
      <c r="AZ472" s="130"/>
      <c r="BA472" s="130"/>
      <c r="BB472" s="130"/>
      <c r="BC472" s="130"/>
      <c r="BD472" s="130"/>
    </row>
    <row r="473" ht="15.75" customHeight="1">
      <c r="A473" s="142"/>
      <c r="B473" s="142"/>
      <c r="C473" s="198"/>
      <c r="D473" s="142"/>
      <c r="E473" s="131"/>
      <c r="F473" s="142"/>
      <c r="G473" s="142"/>
      <c r="H473" s="131"/>
      <c r="I473" s="142"/>
      <c r="J473" s="142"/>
      <c r="K473" s="132"/>
      <c r="L473" s="131"/>
      <c r="M473" s="142"/>
      <c r="N473" s="142"/>
      <c r="O473" s="142"/>
      <c r="P473" s="142"/>
      <c r="Q473" s="142"/>
      <c r="R473" s="142"/>
      <c r="S473" s="142"/>
      <c r="T473" s="142"/>
      <c r="U473" s="142"/>
      <c r="V473" s="142"/>
      <c r="W473" s="142"/>
      <c r="X473" s="142"/>
      <c r="Y473" s="142"/>
      <c r="Z473" s="142"/>
      <c r="AA473" s="142"/>
      <c r="AB473" s="142"/>
      <c r="AC473" s="142"/>
      <c r="AD473" s="142"/>
      <c r="AE473" s="142"/>
      <c r="AF473" s="142"/>
      <c r="AG473" s="142"/>
      <c r="AH473" s="142"/>
      <c r="AI473" s="142"/>
      <c r="AJ473" s="142"/>
      <c r="AK473" s="142"/>
      <c r="AL473" s="142"/>
      <c r="AM473" s="142"/>
      <c r="AN473" s="142"/>
      <c r="AO473" s="142"/>
      <c r="AP473" s="130"/>
      <c r="AQ473" s="130"/>
      <c r="AR473" s="130"/>
      <c r="AS473" s="130"/>
      <c r="AT473" s="130"/>
      <c r="AU473" s="130"/>
      <c r="AV473" s="130"/>
      <c r="AW473" s="130"/>
      <c r="AX473" s="130"/>
      <c r="AY473" s="130"/>
      <c r="AZ473" s="130"/>
      <c r="BA473" s="130"/>
      <c r="BB473" s="130"/>
      <c r="BC473" s="130"/>
      <c r="BD473" s="130"/>
    </row>
    <row r="474" ht="15.75" customHeight="1">
      <c r="A474" s="142"/>
      <c r="B474" s="142"/>
      <c r="C474" s="198"/>
      <c r="D474" s="142"/>
      <c r="E474" s="131"/>
      <c r="F474" s="142"/>
      <c r="G474" s="142"/>
      <c r="H474" s="131"/>
      <c r="I474" s="142"/>
      <c r="J474" s="142"/>
      <c r="K474" s="132"/>
      <c r="L474" s="131"/>
      <c r="M474" s="142"/>
      <c r="N474" s="142"/>
      <c r="O474" s="142"/>
      <c r="P474" s="142"/>
      <c r="Q474" s="142"/>
      <c r="R474" s="142"/>
      <c r="S474" s="142"/>
      <c r="T474" s="142"/>
      <c r="U474" s="142"/>
      <c r="V474" s="142"/>
      <c r="W474" s="142"/>
      <c r="X474" s="142"/>
      <c r="Y474" s="142"/>
      <c r="Z474" s="142"/>
      <c r="AA474" s="142"/>
      <c r="AB474" s="142"/>
      <c r="AC474" s="142"/>
      <c r="AD474" s="142"/>
      <c r="AE474" s="142"/>
      <c r="AF474" s="142"/>
      <c r="AG474" s="142"/>
      <c r="AH474" s="142"/>
      <c r="AI474" s="142"/>
      <c r="AJ474" s="142"/>
      <c r="AK474" s="142"/>
      <c r="AL474" s="142"/>
      <c r="AM474" s="142"/>
      <c r="AN474" s="142"/>
      <c r="AO474" s="142"/>
      <c r="AP474" s="130"/>
      <c r="AQ474" s="130"/>
      <c r="AR474" s="130"/>
      <c r="AS474" s="130"/>
      <c r="AT474" s="130"/>
      <c r="AU474" s="130"/>
      <c r="AV474" s="130"/>
      <c r="AW474" s="130"/>
      <c r="AX474" s="130"/>
      <c r="AY474" s="130"/>
      <c r="AZ474" s="130"/>
      <c r="BA474" s="130"/>
      <c r="BB474" s="130"/>
      <c r="BC474" s="130"/>
      <c r="BD474" s="130"/>
    </row>
    <row r="475" ht="15.75" customHeight="1">
      <c r="A475" s="142"/>
      <c r="B475" s="142"/>
      <c r="C475" s="198"/>
      <c r="D475" s="142"/>
      <c r="E475" s="131"/>
      <c r="F475" s="142"/>
      <c r="G475" s="142"/>
      <c r="H475" s="131"/>
      <c r="I475" s="142"/>
      <c r="J475" s="142"/>
      <c r="K475" s="132"/>
      <c r="L475" s="131"/>
      <c r="M475" s="142"/>
      <c r="N475" s="142"/>
      <c r="O475" s="142"/>
      <c r="P475" s="142"/>
      <c r="Q475" s="142"/>
      <c r="R475" s="142"/>
      <c r="S475" s="142"/>
      <c r="T475" s="142"/>
      <c r="U475" s="142"/>
      <c r="V475" s="142"/>
      <c r="W475" s="142"/>
      <c r="X475" s="142"/>
      <c r="Y475" s="142"/>
      <c r="Z475" s="142"/>
      <c r="AA475" s="142"/>
      <c r="AB475" s="142"/>
      <c r="AC475" s="142"/>
      <c r="AD475" s="142"/>
      <c r="AE475" s="142"/>
      <c r="AF475" s="142"/>
      <c r="AG475" s="142"/>
      <c r="AH475" s="142"/>
      <c r="AI475" s="142"/>
      <c r="AJ475" s="142"/>
      <c r="AK475" s="142"/>
      <c r="AL475" s="142"/>
      <c r="AM475" s="142"/>
      <c r="AN475" s="142"/>
      <c r="AO475" s="142"/>
      <c r="AP475" s="130"/>
      <c r="AQ475" s="130"/>
      <c r="AR475" s="130"/>
      <c r="AS475" s="130"/>
      <c r="AT475" s="130"/>
      <c r="AU475" s="130"/>
      <c r="AV475" s="130"/>
      <c r="AW475" s="130"/>
      <c r="AX475" s="130"/>
      <c r="AY475" s="130"/>
      <c r="AZ475" s="130"/>
      <c r="BA475" s="130"/>
      <c r="BB475" s="130"/>
      <c r="BC475" s="130"/>
      <c r="BD475" s="130"/>
    </row>
    <row r="476" ht="15.75" customHeight="1">
      <c r="A476" s="142"/>
      <c r="B476" s="142"/>
      <c r="C476" s="198"/>
      <c r="D476" s="142"/>
      <c r="E476" s="131"/>
      <c r="F476" s="142"/>
      <c r="G476" s="142"/>
      <c r="H476" s="131"/>
      <c r="I476" s="142"/>
      <c r="J476" s="142"/>
      <c r="K476" s="132"/>
      <c r="L476" s="131"/>
      <c r="M476" s="142"/>
      <c r="N476" s="142"/>
      <c r="O476" s="142"/>
      <c r="P476" s="142"/>
      <c r="Q476" s="142"/>
      <c r="R476" s="142"/>
      <c r="S476" s="142"/>
      <c r="T476" s="142"/>
      <c r="U476" s="142"/>
      <c r="V476" s="142"/>
      <c r="W476" s="142"/>
      <c r="X476" s="142"/>
      <c r="Y476" s="142"/>
      <c r="Z476" s="142"/>
      <c r="AA476" s="142"/>
      <c r="AB476" s="142"/>
      <c r="AC476" s="142"/>
      <c r="AD476" s="142"/>
      <c r="AE476" s="142"/>
      <c r="AF476" s="142"/>
      <c r="AG476" s="142"/>
      <c r="AH476" s="142"/>
      <c r="AI476" s="142"/>
      <c r="AJ476" s="142"/>
      <c r="AK476" s="142"/>
      <c r="AL476" s="142"/>
      <c r="AM476" s="142"/>
      <c r="AN476" s="142"/>
      <c r="AO476" s="142"/>
      <c r="AP476" s="130"/>
      <c r="AQ476" s="130"/>
      <c r="AR476" s="130"/>
      <c r="AS476" s="130"/>
      <c r="AT476" s="130"/>
      <c r="AU476" s="130"/>
      <c r="AV476" s="130"/>
      <c r="AW476" s="130"/>
      <c r="AX476" s="130"/>
      <c r="AY476" s="130"/>
      <c r="AZ476" s="130"/>
      <c r="BA476" s="130"/>
      <c r="BB476" s="130"/>
      <c r="BC476" s="130"/>
      <c r="BD476" s="130"/>
    </row>
    <row r="477" ht="15.75" customHeight="1">
      <c r="A477" s="142"/>
      <c r="B477" s="142"/>
      <c r="C477" s="198"/>
      <c r="D477" s="142"/>
      <c r="E477" s="131"/>
      <c r="F477" s="142"/>
      <c r="G477" s="142"/>
      <c r="H477" s="131"/>
      <c r="I477" s="142"/>
      <c r="J477" s="142"/>
      <c r="K477" s="132"/>
      <c r="L477" s="131"/>
      <c r="M477" s="142"/>
      <c r="N477" s="142"/>
      <c r="O477" s="142"/>
      <c r="P477" s="142"/>
      <c r="Q477" s="142"/>
      <c r="R477" s="142"/>
      <c r="S477" s="142"/>
      <c r="T477" s="142"/>
      <c r="U477" s="142"/>
      <c r="V477" s="142"/>
      <c r="W477" s="142"/>
      <c r="X477" s="142"/>
      <c r="Y477" s="142"/>
      <c r="Z477" s="142"/>
      <c r="AA477" s="142"/>
      <c r="AB477" s="142"/>
      <c r="AC477" s="142"/>
      <c r="AD477" s="142"/>
      <c r="AE477" s="142"/>
      <c r="AF477" s="142"/>
      <c r="AG477" s="142"/>
      <c r="AH477" s="142"/>
      <c r="AI477" s="142"/>
      <c r="AJ477" s="142"/>
      <c r="AK477" s="142"/>
      <c r="AL477" s="142"/>
      <c r="AM477" s="142"/>
      <c r="AN477" s="142"/>
      <c r="AO477" s="142"/>
      <c r="AP477" s="130"/>
      <c r="AQ477" s="130"/>
      <c r="AR477" s="130"/>
      <c r="AS477" s="130"/>
      <c r="AT477" s="130"/>
      <c r="AU477" s="130"/>
      <c r="AV477" s="130"/>
      <c r="AW477" s="130"/>
      <c r="AX477" s="130"/>
      <c r="AY477" s="130"/>
      <c r="AZ477" s="130"/>
      <c r="BA477" s="130"/>
      <c r="BB477" s="130"/>
      <c r="BC477" s="130"/>
      <c r="BD477" s="130"/>
    </row>
    <row r="478" ht="15.75" customHeight="1">
      <c r="A478" s="142"/>
      <c r="B478" s="142"/>
      <c r="C478" s="198"/>
      <c r="D478" s="142"/>
      <c r="E478" s="131"/>
      <c r="F478" s="142"/>
      <c r="G478" s="142"/>
      <c r="H478" s="131"/>
      <c r="I478" s="142"/>
      <c r="J478" s="142"/>
      <c r="K478" s="132"/>
      <c r="L478" s="131"/>
      <c r="M478" s="142"/>
      <c r="N478" s="142"/>
      <c r="O478" s="142"/>
      <c r="P478" s="142"/>
      <c r="Q478" s="142"/>
      <c r="R478" s="142"/>
      <c r="S478" s="142"/>
      <c r="T478" s="142"/>
      <c r="U478" s="142"/>
      <c r="V478" s="142"/>
      <c r="W478" s="142"/>
      <c r="X478" s="142"/>
      <c r="Y478" s="142"/>
      <c r="Z478" s="142"/>
      <c r="AA478" s="142"/>
      <c r="AB478" s="142"/>
      <c r="AC478" s="142"/>
      <c r="AD478" s="142"/>
      <c r="AE478" s="142"/>
      <c r="AF478" s="142"/>
      <c r="AG478" s="142"/>
      <c r="AH478" s="142"/>
      <c r="AI478" s="142"/>
      <c r="AJ478" s="142"/>
      <c r="AK478" s="142"/>
      <c r="AL478" s="142"/>
      <c r="AM478" s="142"/>
      <c r="AN478" s="142"/>
      <c r="AO478" s="142"/>
      <c r="AP478" s="130"/>
      <c r="AQ478" s="130"/>
      <c r="AR478" s="130"/>
      <c r="AS478" s="130"/>
      <c r="AT478" s="130"/>
      <c r="AU478" s="130"/>
      <c r="AV478" s="130"/>
      <c r="AW478" s="130"/>
      <c r="AX478" s="130"/>
      <c r="AY478" s="130"/>
      <c r="AZ478" s="130"/>
      <c r="BA478" s="130"/>
      <c r="BB478" s="130"/>
      <c r="BC478" s="130"/>
      <c r="BD478" s="130"/>
    </row>
    <row r="479" ht="15.75" customHeight="1">
      <c r="A479" s="142"/>
      <c r="B479" s="142"/>
      <c r="C479" s="198"/>
      <c r="D479" s="142"/>
      <c r="E479" s="131"/>
      <c r="F479" s="142"/>
      <c r="G479" s="142"/>
      <c r="H479" s="131"/>
      <c r="I479" s="142"/>
      <c r="J479" s="142"/>
      <c r="K479" s="132"/>
      <c r="L479" s="131"/>
      <c r="M479" s="142"/>
      <c r="N479" s="142"/>
      <c r="O479" s="142"/>
      <c r="P479" s="142"/>
      <c r="Q479" s="142"/>
      <c r="R479" s="142"/>
      <c r="S479" s="142"/>
      <c r="T479" s="142"/>
      <c r="U479" s="142"/>
      <c r="V479" s="142"/>
      <c r="W479" s="142"/>
      <c r="X479" s="142"/>
      <c r="Y479" s="142"/>
      <c r="Z479" s="142"/>
      <c r="AA479" s="142"/>
      <c r="AB479" s="142"/>
      <c r="AC479" s="142"/>
      <c r="AD479" s="142"/>
      <c r="AE479" s="142"/>
      <c r="AF479" s="142"/>
      <c r="AG479" s="142"/>
      <c r="AH479" s="142"/>
      <c r="AI479" s="142"/>
      <c r="AJ479" s="142"/>
      <c r="AK479" s="142"/>
      <c r="AL479" s="142"/>
      <c r="AM479" s="142"/>
      <c r="AN479" s="142"/>
      <c r="AO479" s="142"/>
      <c r="AP479" s="130"/>
      <c r="AQ479" s="130"/>
      <c r="AR479" s="130"/>
      <c r="AS479" s="130"/>
      <c r="AT479" s="130"/>
      <c r="AU479" s="130"/>
      <c r="AV479" s="130"/>
      <c r="AW479" s="130"/>
      <c r="AX479" s="130"/>
      <c r="AY479" s="130"/>
      <c r="AZ479" s="130"/>
      <c r="BA479" s="130"/>
      <c r="BB479" s="130"/>
      <c r="BC479" s="130"/>
      <c r="BD479" s="130"/>
    </row>
    <row r="480" ht="15.75" customHeight="1">
      <c r="A480" s="142"/>
      <c r="B480" s="142"/>
      <c r="C480" s="198"/>
      <c r="D480" s="142"/>
      <c r="E480" s="131"/>
      <c r="F480" s="142"/>
      <c r="G480" s="142"/>
      <c r="H480" s="131"/>
      <c r="I480" s="142"/>
      <c r="J480" s="142"/>
      <c r="K480" s="132"/>
      <c r="L480" s="131"/>
      <c r="M480" s="142"/>
      <c r="N480" s="142"/>
      <c r="O480" s="142"/>
      <c r="P480" s="142"/>
      <c r="Q480" s="142"/>
      <c r="R480" s="142"/>
      <c r="S480" s="142"/>
      <c r="T480" s="142"/>
      <c r="U480" s="142"/>
      <c r="V480" s="142"/>
      <c r="W480" s="142"/>
      <c r="X480" s="142"/>
      <c r="Y480" s="142"/>
      <c r="Z480" s="142"/>
      <c r="AA480" s="142"/>
      <c r="AB480" s="142"/>
      <c r="AC480" s="142"/>
      <c r="AD480" s="142"/>
      <c r="AE480" s="142"/>
      <c r="AF480" s="142"/>
      <c r="AG480" s="142"/>
      <c r="AH480" s="142"/>
      <c r="AI480" s="142"/>
      <c r="AJ480" s="142"/>
      <c r="AK480" s="142"/>
      <c r="AL480" s="142"/>
      <c r="AM480" s="142"/>
      <c r="AN480" s="142"/>
      <c r="AO480" s="142"/>
      <c r="AP480" s="130"/>
      <c r="AQ480" s="130"/>
      <c r="AR480" s="130"/>
      <c r="AS480" s="130"/>
      <c r="AT480" s="130"/>
      <c r="AU480" s="130"/>
      <c r="AV480" s="130"/>
      <c r="AW480" s="130"/>
      <c r="AX480" s="130"/>
      <c r="AY480" s="130"/>
      <c r="AZ480" s="130"/>
      <c r="BA480" s="130"/>
      <c r="BB480" s="130"/>
      <c r="BC480" s="130"/>
      <c r="BD480" s="130"/>
    </row>
    <row r="481" ht="15.75" customHeight="1">
      <c r="A481" s="142"/>
      <c r="B481" s="142"/>
      <c r="C481" s="198"/>
      <c r="D481" s="142"/>
      <c r="E481" s="131"/>
      <c r="F481" s="142"/>
      <c r="G481" s="142"/>
      <c r="H481" s="131"/>
      <c r="I481" s="142"/>
      <c r="J481" s="142"/>
      <c r="K481" s="132"/>
      <c r="L481" s="131"/>
      <c r="M481" s="142"/>
      <c r="N481" s="142"/>
      <c r="O481" s="142"/>
      <c r="P481" s="142"/>
      <c r="Q481" s="142"/>
      <c r="R481" s="142"/>
      <c r="S481" s="142"/>
      <c r="T481" s="142"/>
      <c r="U481" s="142"/>
      <c r="V481" s="142"/>
      <c r="W481" s="142"/>
      <c r="X481" s="142"/>
      <c r="Y481" s="142"/>
      <c r="Z481" s="142"/>
      <c r="AA481" s="142"/>
      <c r="AB481" s="142"/>
      <c r="AC481" s="142"/>
      <c r="AD481" s="142"/>
      <c r="AE481" s="142"/>
      <c r="AF481" s="142"/>
      <c r="AG481" s="142"/>
      <c r="AH481" s="142"/>
      <c r="AI481" s="142"/>
      <c r="AJ481" s="142"/>
      <c r="AK481" s="142"/>
      <c r="AL481" s="142"/>
      <c r="AM481" s="142"/>
      <c r="AN481" s="142"/>
      <c r="AO481" s="142"/>
      <c r="AP481" s="130"/>
      <c r="AQ481" s="130"/>
      <c r="AR481" s="130"/>
      <c r="AS481" s="130"/>
      <c r="AT481" s="130"/>
      <c r="AU481" s="130"/>
      <c r="AV481" s="130"/>
      <c r="AW481" s="130"/>
      <c r="AX481" s="130"/>
      <c r="AY481" s="130"/>
      <c r="AZ481" s="130"/>
      <c r="BA481" s="130"/>
      <c r="BB481" s="130"/>
      <c r="BC481" s="130"/>
      <c r="BD481" s="130"/>
    </row>
    <row r="482" ht="15.75" customHeight="1">
      <c r="A482" s="142"/>
      <c r="B482" s="142"/>
      <c r="C482" s="198"/>
      <c r="D482" s="142"/>
      <c r="E482" s="131"/>
      <c r="F482" s="142"/>
      <c r="G482" s="142"/>
      <c r="H482" s="131"/>
      <c r="I482" s="142"/>
      <c r="J482" s="142"/>
      <c r="K482" s="132"/>
      <c r="L482" s="131"/>
      <c r="M482" s="142"/>
      <c r="N482" s="142"/>
      <c r="O482" s="142"/>
      <c r="P482" s="142"/>
      <c r="Q482" s="142"/>
      <c r="R482" s="142"/>
      <c r="S482" s="142"/>
      <c r="T482" s="142"/>
      <c r="U482" s="142"/>
      <c r="V482" s="142"/>
      <c r="W482" s="142"/>
      <c r="X482" s="142"/>
      <c r="Y482" s="142"/>
      <c r="Z482" s="142"/>
      <c r="AA482" s="142"/>
      <c r="AB482" s="142"/>
      <c r="AC482" s="142"/>
      <c r="AD482" s="142"/>
      <c r="AE482" s="142"/>
      <c r="AF482" s="142"/>
      <c r="AG482" s="142"/>
      <c r="AH482" s="142"/>
      <c r="AI482" s="142"/>
      <c r="AJ482" s="142"/>
      <c r="AK482" s="142"/>
      <c r="AL482" s="142"/>
      <c r="AM482" s="142"/>
      <c r="AN482" s="142"/>
      <c r="AO482" s="142"/>
      <c r="AP482" s="130"/>
      <c r="AQ482" s="130"/>
      <c r="AR482" s="130"/>
      <c r="AS482" s="130"/>
      <c r="AT482" s="130"/>
      <c r="AU482" s="130"/>
      <c r="AV482" s="130"/>
      <c r="AW482" s="130"/>
      <c r="AX482" s="130"/>
      <c r="AY482" s="130"/>
      <c r="AZ482" s="130"/>
      <c r="BA482" s="130"/>
      <c r="BB482" s="130"/>
      <c r="BC482" s="130"/>
      <c r="BD482" s="130"/>
    </row>
    <row r="483" ht="15.75" customHeight="1">
      <c r="A483" s="142"/>
      <c r="B483" s="142"/>
      <c r="C483" s="198"/>
      <c r="D483" s="142"/>
      <c r="E483" s="131"/>
      <c r="F483" s="142"/>
      <c r="G483" s="142"/>
      <c r="H483" s="131"/>
      <c r="I483" s="142"/>
      <c r="J483" s="142"/>
      <c r="K483" s="132"/>
      <c r="L483" s="131"/>
      <c r="M483" s="142"/>
      <c r="N483" s="142"/>
      <c r="O483" s="142"/>
      <c r="P483" s="142"/>
      <c r="Q483" s="142"/>
      <c r="R483" s="142"/>
      <c r="S483" s="142"/>
      <c r="T483" s="142"/>
      <c r="U483" s="142"/>
      <c r="V483" s="142"/>
      <c r="W483" s="142"/>
      <c r="X483" s="142"/>
      <c r="Y483" s="142"/>
      <c r="Z483" s="142"/>
      <c r="AA483" s="142"/>
      <c r="AB483" s="142"/>
      <c r="AC483" s="142"/>
      <c r="AD483" s="142"/>
      <c r="AE483" s="142"/>
      <c r="AF483" s="142"/>
      <c r="AG483" s="142"/>
      <c r="AH483" s="142"/>
      <c r="AI483" s="142"/>
      <c r="AJ483" s="142"/>
      <c r="AK483" s="142"/>
      <c r="AL483" s="142"/>
      <c r="AM483" s="142"/>
      <c r="AN483" s="142"/>
      <c r="AO483" s="142"/>
      <c r="AP483" s="130"/>
      <c r="AQ483" s="130"/>
      <c r="AR483" s="130"/>
      <c r="AS483" s="130"/>
      <c r="AT483" s="130"/>
      <c r="AU483" s="130"/>
      <c r="AV483" s="130"/>
      <c r="AW483" s="130"/>
      <c r="AX483" s="130"/>
      <c r="AY483" s="130"/>
      <c r="AZ483" s="130"/>
      <c r="BA483" s="130"/>
      <c r="BB483" s="130"/>
      <c r="BC483" s="130"/>
      <c r="BD483" s="130"/>
    </row>
    <row r="484" ht="15.75" customHeight="1">
      <c r="A484" s="142"/>
      <c r="B484" s="142"/>
      <c r="C484" s="198"/>
      <c r="D484" s="142"/>
      <c r="E484" s="131"/>
      <c r="F484" s="142"/>
      <c r="G484" s="142"/>
      <c r="H484" s="131"/>
      <c r="I484" s="142"/>
      <c r="J484" s="142"/>
      <c r="K484" s="132"/>
      <c r="L484" s="131"/>
      <c r="M484" s="142"/>
      <c r="N484" s="142"/>
      <c r="O484" s="142"/>
      <c r="P484" s="142"/>
      <c r="Q484" s="142"/>
      <c r="R484" s="142"/>
      <c r="S484" s="142"/>
      <c r="T484" s="142"/>
      <c r="U484" s="142"/>
      <c r="V484" s="142"/>
      <c r="W484" s="142"/>
      <c r="X484" s="142"/>
      <c r="Y484" s="142"/>
      <c r="Z484" s="142"/>
      <c r="AA484" s="142"/>
      <c r="AB484" s="142"/>
      <c r="AC484" s="142"/>
      <c r="AD484" s="142"/>
      <c r="AE484" s="142"/>
      <c r="AF484" s="142"/>
      <c r="AG484" s="142"/>
      <c r="AH484" s="142"/>
      <c r="AI484" s="142"/>
      <c r="AJ484" s="142"/>
      <c r="AK484" s="142"/>
      <c r="AL484" s="142"/>
      <c r="AM484" s="142"/>
      <c r="AN484" s="142"/>
      <c r="AO484" s="142"/>
      <c r="AP484" s="130"/>
      <c r="AQ484" s="130"/>
      <c r="AR484" s="130"/>
      <c r="AS484" s="130"/>
      <c r="AT484" s="130"/>
      <c r="AU484" s="130"/>
      <c r="AV484" s="130"/>
      <c r="AW484" s="130"/>
      <c r="AX484" s="130"/>
      <c r="AY484" s="130"/>
      <c r="AZ484" s="130"/>
      <c r="BA484" s="130"/>
      <c r="BB484" s="130"/>
      <c r="BC484" s="130"/>
      <c r="BD484" s="130"/>
    </row>
    <row r="485" ht="15.75" customHeight="1">
      <c r="A485" s="142"/>
      <c r="B485" s="142"/>
      <c r="C485" s="198"/>
      <c r="D485" s="142"/>
      <c r="E485" s="131"/>
      <c r="F485" s="142"/>
      <c r="G485" s="142"/>
      <c r="H485" s="131"/>
      <c r="I485" s="142"/>
      <c r="J485" s="142"/>
      <c r="K485" s="132"/>
      <c r="L485" s="131"/>
      <c r="M485" s="142"/>
      <c r="N485" s="142"/>
      <c r="O485" s="142"/>
      <c r="P485" s="142"/>
      <c r="Q485" s="142"/>
      <c r="R485" s="142"/>
      <c r="S485" s="142"/>
      <c r="T485" s="142"/>
      <c r="U485" s="142"/>
      <c r="V485" s="142"/>
      <c r="W485" s="142"/>
      <c r="X485" s="142"/>
      <c r="Y485" s="142"/>
      <c r="Z485" s="142"/>
      <c r="AA485" s="142"/>
      <c r="AB485" s="142"/>
      <c r="AC485" s="142"/>
      <c r="AD485" s="142"/>
      <c r="AE485" s="142"/>
      <c r="AF485" s="142"/>
      <c r="AG485" s="142"/>
      <c r="AH485" s="142"/>
      <c r="AI485" s="142"/>
      <c r="AJ485" s="142"/>
      <c r="AK485" s="142"/>
      <c r="AL485" s="142"/>
      <c r="AM485" s="142"/>
      <c r="AN485" s="142"/>
      <c r="AO485" s="142"/>
      <c r="AP485" s="130"/>
      <c r="AQ485" s="130"/>
      <c r="AR485" s="130"/>
      <c r="AS485" s="130"/>
      <c r="AT485" s="130"/>
      <c r="AU485" s="130"/>
      <c r="AV485" s="130"/>
      <c r="AW485" s="130"/>
      <c r="AX485" s="130"/>
      <c r="AY485" s="130"/>
      <c r="AZ485" s="130"/>
      <c r="BA485" s="130"/>
      <c r="BB485" s="130"/>
      <c r="BC485" s="130"/>
      <c r="BD485" s="130"/>
    </row>
    <row r="486" ht="15.75" customHeight="1">
      <c r="A486" s="142"/>
      <c r="B486" s="142"/>
      <c r="C486" s="198"/>
      <c r="D486" s="142"/>
      <c r="E486" s="131"/>
      <c r="F486" s="142"/>
      <c r="G486" s="142"/>
      <c r="H486" s="131"/>
      <c r="I486" s="142"/>
      <c r="J486" s="142"/>
      <c r="K486" s="132"/>
      <c r="L486" s="131"/>
      <c r="M486" s="142"/>
      <c r="N486" s="142"/>
      <c r="O486" s="142"/>
      <c r="P486" s="142"/>
      <c r="Q486" s="142"/>
      <c r="R486" s="142"/>
      <c r="S486" s="142"/>
      <c r="T486" s="142"/>
      <c r="U486" s="142"/>
      <c r="V486" s="142"/>
      <c r="W486" s="142"/>
      <c r="X486" s="142"/>
      <c r="Y486" s="142"/>
      <c r="Z486" s="142"/>
      <c r="AA486" s="142"/>
      <c r="AB486" s="142"/>
      <c r="AC486" s="142"/>
      <c r="AD486" s="142"/>
      <c r="AE486" s="142"/>
      <c r="AF486" s="142"/>
      <c r="AG486" s="142"/>
      <c r="AH486" s="142"/>
      <c r="AI486" s="142"/>
      <c r="AJ486" s="142"/>
      <c r="AK486" s="142"/>
      <c r="AL486" s="142"/>
      <c r="AM486" s="142"/>
      <c r="AN486" s="142"/>
      <c r="AO486" s="142"/>
      <c r="AP486" s="130"/>
      <c r="AQ486" s="130"/>
      <c r="AR486" s="130"/>
      <c r="AS486" s="130"/>
      <c r="AT486" s="130"/>
      <c r="AU486" s="130"/>
      <c r="AV486" s="130"/>
      <c r="AW486" s="130"/>
      <c r="AX486" s="130"/>
      <c r="AY486" s="130"/>
      <c r="AZ486" s="130"/>
      <c r="BA486" s="130"/>
      <c r="BB486" s="130"/>
      <c r="BC486" s="130"/>
      <c r="BD486" s="130"/>
    </row>
    <row r="487" ht="15.75" customHeight="1">
      <c r="A487" s="142"/>
      <c r="B487" s="142"/>
      <c r="C487" s="198"/>
      <c r="D487" s="142"/>
      <c r="E487" s="131"/>
      <c r="F487" s="142"/>
      <c r="G487" s="142"/>
      <c r="H487" s="131"/>
      <c r="I487" s="142"/>
      <c r="J487" s="142"/>
      <c r="K487" s="132"/>
      <c r="L487" s="131"/>
      <c r="M487" s="142"/>
      <c r="N487" s="142"/>
      <c r="O487" s="142"/>
      <c r="P487" s="142"/>
      <c r="Q487" s="142"/>
      <c r="R487" s="142"/>
      <c r="S487" s="142"/>
      <c r="T487" s="142"/>
      <c r="U487" s="142"/>
      <c r="V487" s="142"/>
      <c r="W487" s="142"/>
      <c r="X487" s="142"/>
      <c r="Y487" s="142"/>
      <c r="Z487" s="142"/>
      <c r="AA487" s="142"/>
      <c r="AB487" s="142"/>
      <c r="AC487" s="142"/>
      <c r="AD487" s="142"/>
      <c r="AE487" s="142"/>
      <c r="AF487" s="142"/>
      <c r="AG487" s="142"/>
      <c r="AH487" s="142"/>
      <c r="AI487" s="142"/>
      <c r="AJ487" s="142"/>
      <c r="AK487" s="142"/>
      <c r="AL487" s="142"/>
      <c r="AM487" s="142"/>
      <c r="AN487" s="142"/>
      <c r="AO487" s="142"/>
      <c r="AP487" s="130"/>
      <c r="AQ487" s="130"/>
      <c r="AR487" s="130"/>
      <c r="AS487" s="130"/>
      <c r="AT487" s="130"/>
      <c r="AU487" s="130"/>
      <c r="AV487" s="130"/>
      <c r="AW487" s="130"/>
      <c r="AX487" s="130"/>
      <c r="AY487" s="130"/>
      <c r="AZ487" s="130"/>
      <c r="BA487" s="130"/>
      <c r="BB487" s="130"/>
      <c r="BC487" s="130"/>
      <c r="BD487" s="130"/>
    </row>
    <row r="488" ht="15.75" customHeight="1">
      <c r="A488" s="142"/>
      <c r="B488" s="142"/>
      <c r="C488" s="198"/>
      <c r="D488" s="142"/>
      <c r="E488" s="131"/>
      <c r="F488" s="142"/>
      <c r="G488" s="142"/>
      <c r="H488" s="131"/>
      <c r="I488" s="142"/>
      <c r="J488" s="142"/>
      <c r="K488" s="132"/>
      <c r="L488" s="131"/>
      <c r="M488" s="142"/>
      <c r="N488" s="142"/>
      <c r="O488" s="142"/>
      <c r="P488" s="142"/>
      <c r="Q488" s="142"/>
      <c r="R488" s="142"/>
      <c r="S488" s="142"/>
      <c r="T488" s="142"/>
      <c r="U488" s="142"/>
      <c r="V488" s="142"/>
      <c r="W488" s="142"/>
      <c r="X488" s="142"/>
      <c r="Y488" s="142"/>
      <c r="Z488" s="142"/>
      <c r="AA488" s="142"/>
      <c r="AB488" s="142"/>
      <c r="AC488" s="142"/>
      <c r="AD488" s="142"/>
      <c r="AE488" s="142"/>
      <c r="AF488" s="142"/>
      <c r="AG488" s="142"/>
      <c r="AH488" s="142"/>
      <c r="AI488" s="142"/>
      <c r="AJ488" s="142"/>
      <c r="AK488" s="142"/>
      <c r="AL488" s="142"/>
      <c r="AM488" s="142"/>
      <c r="AN488" s="142"/>
      <c r="AO488" s="142"/>
      <c r="AP488" s="130"/>
      <c r="AQ488" s="130"/>
      <c r="AR488" s="130"/>
      <c r="AS488" s="130"/>
      <c r="AT488" s="130"/>
      <c r="AU488" s="130"/>
      <c r="AV488" s="130"/>
      <c r="AW488" s="130"/>
      <c r="AX488" s="130"/>
      <c r="AY488" s="130"/>
      <c r="AZ488" s="130"/>
      <c r="BA488" s="130"/>
      <c r="BB488" s="130"/>
      <c r="BC488" s="130"/>
      <c r="BD488" s="130"/>
    </row>
    <row r="489" ht="15.75" customHeight="1">
      <c r="A489" s="142"/>
      <c r="B489" s="142"/>
      <c r="C489" s="198"/>
      <c r="D489" s="142"/>
      <c r="E489" s="131"/>
      <c r="F489" s="142"/>
      <c r="G489" s="142"/>
      <c r="H489" s="131"/>
      <c r="I489" s="142"/>
      <c r="J489" s="142"/>
      <c r="K489" s="132"/>
      <c r="L489" s="131"/>
      <c r="M489" s="142"/>
      <c r="N489" s="142"/>
      <c r="O489" s="142"/>
      <c r="P489" s="142"/>
      <c r="Q489" s="142"/>
      <c r="R489" s="142"/>
      <c r="S489" s="142"/>
      <c r="T489" s="142"/>
      <c r="U489" s="142"/>
      <c r="V489" s="142"/>
      <c r="W489" s="142"/>
      <c r="X489" s="142"/>
      <c r="Y489" s="142"/>
      <c r="Z489" s="142"/>
      <c r="AA489" s="142"/>
      <c r="AB489" s="142"/>
      <c r="AC489" s="142"/>
      <c r="AD489" s="142"/>
      <c r="AE489" s="142"/>
      <c r="AF489" s="142"/>
      <c r="AG489" s="142"/>
      <c r="AH489" s="142"/>
      <c r="AI489" s="142"/>
      <c r="AJ489" s="142"/>
      <c r="AK489" s="142"/>
      <c r="AL489" s="142"/>
      <c r="AM489" s="142"/>
      <c r="AN489" s="142"/>
      <c r="AO489" s="142"/>
      <c r="AP489" s="130"/>
      <c r="AQ489" s="130"/>
      <c r="AR489" s="130"/>
      <c r="AS489" s="130"/>
      <c r="AT489" s="130"/>
      <c r="AU489" s="130"/>
      <c r="AV489" s="130"/>
      <c r="AW489" s="130"/>
      <c r="AX489" s="130"/>
      <c r="AY489" s="130"/>
      <c r="AZ489" s="130"/>
      <c r="BA489" s="130"/>
      <c r="BB489" s="130"/>
      <c r="BC489" s="130"/>
      <c r="BD489" s="130"/>
    </row>
    <row r="490" ht="15.75" customHeight="1">
      <c r="A490" s="142"/>
      <c r="B490" s="142"/>
      <c r="C490" s="198"/>
      <c r="D490" s="142"/>
      <c r="E490" s="131"/>
      <c r="F490" s="142"/>
      <c r="G490" s="142"/>
      <c r="H490" s="131"/>
      <c r="I490" s="142"/>
      <c r="J490" s="142"/>
      <c r="K490" s="132"/>
      <c r="L490" s="131"/>
      <c r="M490" s="142"/>
      <c r="N490" s="142"/>
      <c r="O490" s="142"/>
      <c r="P490" s="142"/>
      <c r="Q490" s="142"/>
      <c r="R490" s="142"/>
      <c r="S490" s="142"/>
      <c r="T490" s="142"/>
      <c r="U490" s="142"/>
      <c r="V490" s="142"/>
      <c r="W490" s="142"/>
      <c r="X490" s="142"/>
      <c r="Y490" s="142"/>
      <c r="Z490" s="142"/>
      <c r="AA490" s="142"/>
      <c r="AB490" s="142"/>
      <c r="AC490" s="142"/>
      <c r="AD490" s="142"/>
      <c r="AE490" s="142"/>
      <c r="AF490" s="142"/>
      <c r="AG490" s="142"/>
      <c r="AH490" s="142"/>
      <c r="AI490" s="142"/>
      <c r="AJ490" s="142"/>
      <c r="AK490" s="142"/>
      <c r="AL490" s="142"/>
      <c r="AM490" s="142"/>
      <c r="AN490" s="142"/>
      <c r="AO490" s="142"/>
      <c r="AP490" s="130"/>
      <c r="AQ490" s="130"/>
      <c r="AR490" s="130"/>
      <c r="AS490" s="130"/>
      <c r="AT490" s="130"/>
      <c r="AU490" s="130"/>
      <c r="AV490" s="130"/>
      <c r="AW490" s="130"/>
      <c r="AX490" s="130"/>
      <c r="AY490" s="130"/>
      <c r="AZ490" s="130"/>
      <c r="BA490" s="130"/>
      <c r="BB490" s="130"/>
      <c r="BC490" s="130"/>
      <c r="BD490" s="130"/>
    </row>
    <row r="491" ht="15.75" customHeight="1">
      <c r="A491" s="142"/>
      <c r="B491" s="142"/>
      <c r="C491" s="198"/>
      <c r="D491" s="142"/>
      <c r="E491" s="131"/>
      <c r="F491" s="142"/>
      <c r="G491" s="142"/>
      <c r="H491" s="131"/>
      <c r="I491" s="142"/>
      <c r="J491" s="142"/>
      <c r="K491" s="132"/>
      <c r="L491" s="131"/>
      <c r="M491" s="142"/>
      <c r="N491" s="142"/>
      <c r="O491" s="142"/>
      <c r="P491" s="142"/>
      <c r="Q491" s="142"/>
      <c r="R491" s="142"/>
      <c r="S491" s="142"/>
      <c r="T491" s="142"/>
      <c r="U491" s="142"/>
      <c r="V491" s="142"/>
      <c r="W491" s="142"/>
      <c r="X491" s="142"/>
      <c r="Y491" s="142"/>
      <c r="Z491" s="142"/>
      <c r="AA491" s="142"/>
      <c r="AB491" s="142"/>
      <c r="AC491" s="142"/>
      <c r="AD491" s="142"/>
      <c r="AE491" s="142"/>
      <c r="AF491" s="142"/>
      <c r="AG491" s="142"/>
      <c r="AH491" s="142"/>
      <c r="AI491" s="142"/>
      <c r="AJ491" s="142"/>
      <c r="AK491" s="142"/>
      <c r="AL491" s="142"/>
      <c r="AM491" s="142"/>
      <c r="AN491" s="142"/>
      <c r="AO491" s="142"/>
      <c r="AP491" s="130"/>
      <c r="AQ491" s="130"/>
      <c r="AR491" s="130"/>
      <c r="AS491" s="130"/>
      <c r="AT491" s="130"/>
      <c r="AU491" s="130"/>
      <c r="AV491" s="130"/>
      <c r="AW491" s="130"/>
      <c r="AX491" s="130"/>
      <c r="AY491" s="130"/>
      <c r="AZ491" s="130"/>
      <c r="BA491" s="130"/>
      <c r="BB491" s="130"/>
      <c r="BC491" s="130"/>
      <c r="BD491" s="130"/>
    </row>
    <row r="492" ht="15.75" customHeight="1">
      <c r="A492" s="142"/>
      <c r="B492" s="142"/>
      <c r="C492" s="198"/>
      <c r="D492" s="142"/>
      <c r="E492" s="131"/>
      <c r="F492" s="142"/>
      <c r="G492" s="142"/>
      <c r="H492" s="131"/>
      <c r="I492" s="142"/>
      <c r="J492" s="142"/>
      <c r="K492" s="132"/>
      <c r="L492" s="131"/>
      <c r="M492" s="142"/>
      <c r="N492" s="142"/>
      <c r="O492" s="142"/>
      <c r="P492" s="142"/>
      <c r="Q492" s="142"/>
      <c r="R492" s="142"/>
      <c r="S492" s="142"/>
      <c r="T492" s="142"/>
      <c r="U492" s="142"/>
      <c r="V492" s="142"/>
      <c r="W492" s="142"/>
      <c r="X492" s="142"/>
      <c r="Y492" s="142"/>
      <c r="Z492" s="142"/>
      <c r="AA492" s="142"/>
      <c r="AB492" s="142"/>
      <c r="AC492" s="142"/>
      <c r="AD492" s="142"/>
      <c r="AE492" s="142"/>
      <c r="AF492" s="142"/>
      <c r="AG492" s="142"/>
      <c r="AH492" s="142"/>
      <c r="AI492" s="142"/>
      <c r="AJ492" s="142"/>
      <c r="AK492" s="142"/>
      <c r="AL492" s="142"/>
      <c r="AM492" s="142"/>
      <c r="AN492" s="142"/>
      <c r="AO492" s="142"/>
      <c r="AP492" s="130"/>
      <c r="AQ492" s="130"/>
      <c r="AR492" s="130"/>
      <c r="AS492" s="130"/>
      <c r="AT492" s="130"/>
      <c r="AU492" s="130"/>
      <c r="AV492" s="130"/>
      <c r="AW492" s="130"/>
      <c r="AX492" s="130"/>
      <c r="AY492" s="130"/>
      <c r="AZ492" s="130"/>
      <c r="BA492" s="130"/>
      <c r="BB492" s="130"/>
      <c r="BC492" s="130"/>
      <c r="BD492" s="130"/>
    </row>
    <row r="493" ht="15.75" customHeight="1">
      <c r="A493" s="142"/>
      <c r="B493" s="142"/>
      <c r="C493" s="198"/>
      <c r="D493" s="142"/>
      <c r="E493" s="131"/>
      <c r="F493" s="142"/>
      <c r="G493" s="142"/>
      <c r="H493" s="131"/>
      <c r="I493" s="142"/>
      <c r="J493" s="142"/>
      <c r="K493" s="132"/>
      <c r="L493" s="131"/>
      <c r="M493" s="142"/>
      <c r="N493" s="142"/>
      <c r="O493" s="142"/>
      <c r="P493" s="142"/>
      <c r="Q493" s="142"/>
      <c r="R493" s="142"/>
      <c r="S493" s="142"/>
      <c r="T493" s="142"/>
      <c r="U493" s="142"/>
      <c r="V493" s="142"/>
      <c r="W493" s="142"/>
      <c r="X493" s="142"/>
      <c r="Y493" s="142"/>
      <c r="Z493" s="142"/>
      <c r="AA493" s="142"/>
      <c r="AB493" s="142"/>
      <c r="AC493" s="142"/>
      <c r="AD493" s="142"/>
      <c r="AE493" s="142"/>
      <c r="AF493" s="142"/>
      <c r="AG493" s="142"/>
      <c r="AH493" s="142"/>
      <c r="AI493" s="142"/>
      <c r="AJ493" s="142"/>
      <c r="AK493" s="142"/>
      <c r="AL493" s="142"/>
      <c r="AM493" s="142"/>
      <c r="AN493" s="142"/>
      <c r="AO493" s="142"/>
      <c r="AP493" s="130"/>
      <c r="AQ493" s="130"/>
      <c r="AR493" s="130"/>
      <c r="AS493" s="130"/>
      <c r="AT493" s="130"/>
      <c r="AU493" s="130"/>
      <c r="AV493" s="130"/>
      <c r="AW493" s="130"/>
      <c r="AX493" s="130"/>
      <c r="AY493" s="130"/>
      <c r="AZ493" s="130"/>
      <c r="BA493" s="130"/>
      <c r="BB493" s="130"/>
      <c r="BC493" s="130"/>
      <c r="BD493" s="130"/>
    </row>
    <row r="494" ht="15.75" customHeight="1">
      <c r="A494" s="142"/>
      <c r="B494" s="142"/>
      <c r="C494" s="198"/>
      <c r="D494" s="142"/>
      <c r="E494" s="131"/>
      <c r="F494" s="142"/>
      <c r="G494" s="142"/>
      <c r="H494" s="131"/>
      <c r="I494" s="142"/>
      <c r="J494" s="142"/>
      <c r="K494" s="132"/>
      <c r="L494" s="131"/>
      <c r="M494" s="142"/>
      <c r="N494" s="142"/>
      <c r="O494" s="142"/>
      <c r="P494" s="142"/>
      <c r="Q494" s="142"/>
      <c r="R494" s="142"/>
      <c r="S494" s="142"/>
      <c r="T494" s="142"/>
      <c r="U494" s="142"/>
      <c r="V494" s="142"/>
      <c r="W494" s="142"/>
      <c r="X494" s="142"/>
      <c r="Y494" s="142"/>
      <c r="Z494" s="142"/>
      <c r="AA494" s="142"/>
      <c r="AB494" s="142"/>
      <c r="AC494" s="142"/>
      <c r="AD494" s="142"/>
      <c r="AE494" s="142"/>
      <c r="AF494" s="142"/>
      <c r="AG494" s="142"/>
      <c r="AH494" s="142"/>
      <c r="AI494" s="142"/>
      <c r="AJ494" s="142"/>
      <c r="AK494" s="142"/>
      <c r="AL494" s="142"/>
      <c r="AM494" s="142"/>
      <c r="AN494" s="142"/>
      <c r="AO494" s="142"/>
      <c r="AP494" s="130"/>
      <c r="AQ494" s="130"/>
      <c r="AR494" s="130"/>
      <c r="AS494" s="130"/>
      <c r="AT494" s="130"/>
      <c r="AU494" s="130"/>
      <c r="AV494" s="130"/>
      <c r="AW494" s="130"/>
      <c r="AX494" s="130"/>
      <c r="AY494" s="130"/>
      <c r="AZ494" s="130"/>
      <c r="BA494" s="130"/>
      <c r="BB494" s="130"/>
      <c r="BC494" s="130"/>
      <c r="BD494" s="130"/>
    </row>
    <row r="495" ht="15.75" customHeight="1">
      <c r="A495" s="142"/>
      <c r="B495" s="142"/>
      <c r="C495" s="198"/>
      <c r="D495" s="142"/>
      <c r="E495" s="131"/>
      <c r="F495" s="142"/>
      <c r="G495" s="142"/>
      <c r="H495" s="131"/>
      <c r="I495" s="142"/>
      <c r="J495" s="142"/>
      <c r="K495" s="132"/>
      <c r="L495" s="131"/>
      <c r="M495" s="142"/>
      <c r="N495" s="142"/>
      <c r="O495" s="142"/>
      <c r="P495" s="142"/>
      <c r="Q495" s="142"/>
      <c r="R495" s="142"/>
      <c r="S495" s="142"/>
      <c r="T495" s="142"/>
      <c r="U495" s="142"/>
      <c r="V495" s="142"/>
      <c r="W495" s="142"/>
      <c r="X495" s="142"/>
      <c r="Y495" s="142"/>
      <c r="Z495" s="142"/>
      <c r="AA495" s="142"/>
      <c r="AB495" s="142"/>
      <c r="AC495" s="142"/>
      <c r="AD495" s="142"/>
      <c r="AE495" s="142"/>
      <c r="AF495" s="142"/>
      <c r="AG495" s="142"/>
      <c r="AH495" s="142"/>
      <c r="AI495" s="142"/>
      <c r="AJ495" s="142"/>
      <c r="AK495" s="142"/>
      <c r="AL495" s="142"/>
      <c r="AM495" s="142"/>
      <c r="AN495" s="142"/>
      <c r="AO495" s="142"/>
      <c r="AP495" s="130"/>
      <c r="AQ495" s="130"/>
      <c r="AR495" s="130"/>
      <c r="AS495" s="130"/>
      <c r="AT495" s="130"/>
      <c r="AU495" s="130"/>
      <c r="AV495" s="130"/>
      <c r="AW495" s="130"/>
      <c r="AX495" s="130"/>
      <c r="AY495" s="130"/>
      <c r="AZ495" s="130"/>
      <c r="BA495" s="130"/>
      <c r="BB495" s="130"/>
      <c r="BC495" s="130"/>
      <c r="BD495" s="130"/>
    </row>
    <row r="496" ht="15.75" customHeight="1">
      <c r="A496" s="142"/>
      <c r="B496" s="142"/>
      <c r="C496" s="198"/>
      <c r="D496" s="142"/>
      <c r="E496" s="131"/>
      <c r="F496" s="142"/>
      <c r="G496" s="142"/>
      <c r="H496" s="131"/>
      <c r="I496" s="142"/>
      <c r="J496" s="142"/>
      <c r="K496" s="132"/>
      <c r="L496" s="131"/>
      <c r="M496" s="142"/>
      <c r="N496" s="142"/>
      <c r="O496" s="142"/>
      <c r="P496" s="142"/>
      <c r="Q496" s="142"/>
      <c r="R496" s="142"/>
      <c r="S496" s="142"/>
      <c r="T496" s="142"/>
      <c r="U496" s="142"/>
      <c r="V496" s="142"/>
      <c r="W496" s="142"/>
      <c r="X496" s="142"/>
      <c r="Y496" s="142"/>
      <c r="Z496" s="142"/>
      <c r="AA496" s="142"/>
      <c r="AB496" s="142"/>
      <c r="AC496" s="142"/>
      <c r="AD496" s="142"/>
      <c r="AE496" s="142"/>
      <c r="AF496" s="142"/>
      <c r="AG496" s="142"/>
      <c r="AH496" s="142"/>
      <c r="AI496" s="142"/>
      <c r="AJ496" s="142"/>
      <c r="AK496" s="142"/>
      <c r="AL496" s="142"/>
      <c r="AM496" s="142"/>
      <c r="AN496" s="142"/>
      <c r="AO496" s="142"/>
      <c r="AP496" s="130"/>
      <c r="AQ496" s="130"/>
      <c r="AR496" s="130"/>
      <c r="AS496" s="130"/>
      <c r="AT496" s="130"/>
      <c r="AU496" s="130"/>
      <c r="AV496" s="130"/>
      <c r="AW496" s="130"/>
      <c r="AX496" s="130"/>
      <c r="AY496" s="130"/>
      <c r="AZ496" s="130"/>
      <c r="BA496" s="130"/>
      <c r="BB496" s="130"/>
      <c r="BC496" s="130"/>
      <c r="BD496" s="130"/>
    </row>
    <row r="497" ht="15.75" customHeight="1">
      <c r="A497" s="142"/>
      <c r="B497" s="142"/>
      <c r="C497" s="198"/>
      <c r="D497" s="142"/>
      <c r="E497" s="131"/>
      <c r="F497" s="142"/>
      <c r="G497" s="142"/>
      <c r="H497" s="131"/>
      <c r="I497" s="142"/>
      <c r="J497" s="142"/>
      <c r="K497" s="132"/>
      <c r="L497" s="131"/>
      <c r="M497" s="142"/>
      <c r="N497" s="142"/>
      <c r="O497" s="142"/>
      <c r="P497" s="142"/>
      <c r="Q497" s="142"/>
      <c r="R497" s="142"/>
      <c r="S497" s="142"/>
      <c r="T497" s="142"/>
      <c r="U497" s="142"/>
      <c r="V497" s="142"/>
      <c r="W497" s="142"/>
      <c r="X497" s="142"/>
      <c r="Y497" s="142"/>
      <c r="Z497" s="142"/>
      <c r="AA497" s="142"/>
      <c r="AB497" s="142"/>
      <c r="AC497" s="142"/>
      <c r="AD497" s="142"/>
      <c r="AE497" s="142"/>
      <c r="AF497" s="142"/>
      <c r="AG497" s="142"/>
      <c r="AH497" s="142"/>
      <c r="AI497" s="142"/>
      <c r="AJ497" s="142"/>
      <c r="AK497" s="142"/>
      <c r="AL497" s="142"/>
      <c r="AM497" s="142"/>
      <c r="AN497" s="142"/>
      <c r="AO497" s="142"/>
      <c r="AP497" s="130"/>
      <c r="AQ497" s="130"/>
      <c r="AR497" s="130"/>
      <c r="AS497" s="130"/>
      <c r="AT497" s="130"/>
      <c r="AU497" s="130"/>
      <c r="AV497" s="130"/>
      <c r="AW497" s="130"/>
      <c r="AX497" s="130"/>
      <c r="AY497" s="130"/>
      <c r="AZ497" s="130"/>
      <c r="BA497" s="130"/>
      <c r="BB497" s="130"/>
      <c r="BC497" s="130"/>
      <c r="BD497" s="130"/>
    </row>
    <row r="498" ht="15.75" customHeight="1">
      <c r="A498" s="142"/>
      <c r="B498" s="142"/>
      <c r="C498" s="198"/>
      <c r="D498" s="142"/>
      <c r="E498" s="131"/>
      <c r="F498" s="142"/>
      <c r="G498" s="142"/>
      <c r="H498" s="131"/>
      <c r="I498" s="142"/>
      <c r="J498" s="142"/>
      <c r="K498" s="132"/>
      <c r="L498" s="131"/>
      <c r="M498" s="142"/>
      <c r="N498" s="142"/>
      <c r="O498" s="142"/>
      <c r="P498" s="142"/>
      <c r="Q498" s="142"/>
      <c r="R498" s="142"/>
      <c r="S498" s="142"/>
      <c r="T498" s="142"/>
      <c r="U498" s="142"/>
      <c r="V498" s="142"/>
      <c r="W498" s="142"/>
      <c r="X498" s="142"/>
      <c r="Y498" s="142"/>
      <c r="Z498" s="142"/>
      <c r="AA498" s="142"/>
      <c r="AB498" s="142"/>
      <c r="AC498" s="142"/>
      <c r="AD498" s="142"/>
      <c r="AE498" s="142"/>
      <c r="AF498" s="142"/>
      <c r="AG498" s="142"/>
      <c r="AH498" s="142"/>
      <c r="AI498" s="142"/>
      <c r="AJ498" s="142"/>
      <c r="AK498" s="142"/>
      <c r="AL498" s="142"/>
      <c r="AM498" s="142"/>
      <c r="AN498" s="142"/>
      <c r="AO498" s="142"/>
      <c r="AP498" s="130"/>
      <c r="AQ498" s="130"/>
      <c r="AR498" s="130"/>
      <c r="AS498" s="130"/>
      <c r="AT498" s="130"/>
      <c r="AU498" s="130"/>
      <c r="AV498" s="130"/>
      <c r="AW498" s="130"/>
      <c r="AX498" s="130"/>
      <c r="AY498" s="130"/>
      <c r="AZ498" s="130"/>
      <c r="BA498" s="130"/>
      <c r="BB498" s="130"/>
      <c r="BC498" s="130"/>
      <c r="BD498" s="130"/>
    </row>
    <row r="499" ht="15.75" customHeight="1">
      <c r="A499" s="142"/>
      <c r="B499" s="142"/>
      <c r="C499" s="198"/>
      <c r="D499" s="142"/>
      <c r="E499" s="131"/>
      <c r="F499" s="142"/>
      <c r="G499" s="142"/>
      <c r="H499" s="131"/>
      <c r="I499" s="142"/>
      <c r="J499" s="142"/>
      <c r="K499" s="132"/>
      <c r="L499" s="131"/>
      <c r="M499" s="142"/>
      <c r="N499" s="142"/>
      <c r="O499" s="142"/>
      <c r="P499" s="142"/>
      <c r="Q499" s="142"/>
      <c r="R499" s="142"/>
      <c r="S499" s="142"/>
      <c r="T499" s="142"/>
      <c r="U499" s="142"/>
      <c r="V499" s="142"/>
      <c r="W499" s="142"/>
      <c r="X499" s="142"/>
      <c r="Y499" s="142"/>
      <c r="Z499" s="142"/>
      <c r="AA499" s="142"/>
      <c r="AB499" s="142"/>
      <c r="AC499" s="142"/>
      <c r="AD499" s="142"/>
      <c r="AE499" s="142"/>
      <c r="AF499" s="142"/>
      <c r="AG499" s="142"/>
      <c r="AH499" s="142"/>
      <c r="AI499" s="142"/>
      <c r="AJ499" s="142"/>
      <c r="AK499" s="142"/>
      <c r="AL499" s="142"/>
      <c r="AM499" s="142"/>
      <c r="AN499" s="142"/>
      <c r="AO499" s="142"/>
      <c r="AP499" s="130"/>
      <c r="AQ499" s="130"/>
      <c r="AR499" s="130"/>
      <c r="AS499" s="130"/>
      <c r="AT499" s="130"/>
      <c r="AU499" s="130"/>
      <c r="AV499" s="130"/>
      <c r="AW499" s="130"/>
      <c r="AX499" s="130"/>
      <c r="AY499" s="130"/>
      <c r="AZ499" s="130"/>
      <c r="BA499" s="130"/>
      <c r="BB499" s="130"/>
      <c r="BC499" s="130"/>
      <c r="BD499" s="130"/>
    </row>
    <row r="500" ht="15.75" customHeight="1">
      <c r="A500" s="142"/>
      <c r="B500" s="142"/>
      <c r="C500" s="198"/>
      <c r="D500" s="142"/>
      <c r="E500" s="131"/>
      <c r="F500" s="142"/>
      <c r="G500" s="142"/>
      <c r="H500" s="131"/>
      <c r="I500" s="142"/>
      <c r="J500" s="142"/>
      <c r="K500" s="132"/>
      <c r="L500" s="131"/>
      <c r="M500" s="142"/>
      <c r="N500" s="142"/>
      <c r="O500" s="142"/>
      <c r="P500" s="142"/>
      <c r="Q500" s="142"/>
      <c r="R500" s="142"/>
      <c r="S500" s="142"/>
      <c r="T500" s="142"/>
      <c r="U500" s="142"/>
      <c r="V500" s="142"/>
      <c r="W500" s="142"/>
      <c r="X500" s="142"/>
      <c r="Y500" s="142"/>
      <c r="Z500" s="142"/>
      <c r="AA500" s="142"/>
      <c r="AB500" s="142"/>
      <c r="AC500" s="142"/>
      <c r="AD500" s="142"/>
      <c r="AE500" s="142"/>
      <c r="AF500" s="142"/>
      <c r="AG500" s="142"/>
      <c r="AH500" s="142"/>
      <c r="AI500" s="142"/>
      <c r="AJ500" s="142"/>
      <c r="AK500" s="142"/>
      <c r="AL500" s="142"/>
      <c r="AM500" s="142"/>
      <c r="AN500" s="142"/>
      <c r="AO500" s="142"/>
      <c r="AP500" s="130"/>
      <c r="AQ500" s="130"/>
      <c r="AR500" s="130"/>
      <c r="AS500" s="130"/>
      <c r="AT500" s="130"/>
      <c r="AU500" s="130"/>
      <c r="AV500" s="130"/>
      <c r="AW500" s="130"/>
      <c r="AX500" s="130"/>
      <c r="AY500" s="130"/>
      <c r="AZ500" s="130"/>
      <c r="BA500" s="130"/>
      <c r="BB500" s="130"/>
      <c r="BC500" s="130"/>
      <c r="BD500" s="130"/>
    </row>
    <row r="501" ht="15.75" customHeight="1">
      <c r="A501" s="142"/>
      <c r="B501" s="142"/>
      <c r="C501" s="198"/>
      <c r="D501" s="142"/>
      <c r="E501" s="131"/>
      <c r="F501" s="142"/>
      <c r="G501" s="142"/>
      <c r="H501" s="131"/>
      <c r="I501" s="142"/>
      <c r="J501" s="142"/>
      <c r="K501" s="132"/>
      <c r="L501" s="131"/>
      <c r="M501" s="142"/>
      <c r="N501" s="142"/>
      <c r="O501" s="142"/>
      <c r="P501" s="142"/>
      <c r="Q501" s="142"/>
      <c r="R501" s="142"/>
      <c r="S501" s="142"/>
      <c r="T501" s="142"/>
      <c r="U501" s="142"/>
      <c r="V501" s="142"/>
      <c r="W501" s="142"/>
      <c r="X501" s="142"/>
      <c r="Y501" s="142"/>
      <c r="Z501" s="142"/>
      <c r="AA501" s="142"/>
      <c r="AB501" s="142"/>
      <c r="AC501" s="142"/>
      <c r="AD501" s="142"/>
      <c r="AE501" s="142"/>
      <c r="AF501" s="142"/>
      <c r="AG501" s="142"/>
      <c r="AH501" s="142"/>
      <c r="AI501" s="142"/>
      <c r="AJ501" s="142"/>
      <c r="AK501" s="142"/>
      <c r="AL501" s="142"/>
      <c r="AM501" s="142"/>
      <c r="AN501" s="142"/>
      <c r="AO501" s="142"/>
      <c r="AP501" s="130"/>
      <c r="AQ501" s="130"/>
      <c r="AR501" s="130"/>
      <c r="AS501" s="130"/>
      <c r="AT501" s="130"/>
      <c r="AU501" s="130"/>
      <c r="AV501" s="130"/>
      <c r="AW501" s="130"/>
      <c r="AX501" s="130"/>
      <c r="AY501" s="130"/>
      <c r="AZ501" s="130"/>
      <c r="BA501" s="130"/>
      <c r="BB501" s="130"/>
      <c r="BC501" s="130"/>
      <c r="BD501" s="130"/>
    </row>
    <row r="502" ht="15.75" customHeight="1">
      <c r="A502" s="142"/>
      <c r="B502" s="142"/>
      <c r="C502" s="198"/>
      <c r="D502" s="142"/>
      <c r="E502" s="131"/>
      <c r="F502" s="142"/>
      <c r="G502" s="142"/>
      <c r="H502" s="131"/>
      <c r="I502" s="142"/>
      <c r="J502" s="142"/>
      <c r="K502" s="132"/>
      <c r="L502" s="131"/>
      <c r="M502" s="142"/>
      <c r="N502" s="142"/>
      <c r="O502" s="142"/>
      <c r="P502" s="142"/>
      <c r="Q502" s="142"/>
      <c r="R502" s="142"/>
      <c r="S502" s="142"/>
      <c r="T502" s="142"/>
      <c r="U502" s="142"/>
      <c r="V502" s="142"/>
      <c r="W502" s="142"/>
      <c r="X502" s="142"/>
      <c r="Y502" s="142"/>
      <c r="Z502" s="142"/>
      <c r="AA502" s="142"/>
      <c r="AB502" s="142"/>
      <c r="AC502" s="142"/>
      <c r="AD502" s="142"/>
      <c r="AE502" s="142"/>
      <c r="AF502" s="142"/>
      <c r="AG502" s="142"/>
      <c r="AH502" s="142"/>
      <c r="AI502" s="142"/>
      <c r="AJ502" s="142"/>
      <c r="AK502" s="142"/>
      <c r="AL502" s="142"/>
      <c r="AM502" s="142"/>
      <c r="AN502" s="142"/>
      <c r="AO502" s="142"/>
      <c r="AP502" s="130"/>
      <c r="AQ502" s="130"/>
      <c r="AR502" s="130"/>
      <c r="AS502" s="130"/>
      <c r="AT502" s="130"/>
      <c r="AU502" s="130"/>
      <c r="AV502" s="130"/>
      <c r="AW502" s="130"/>
      <c r="AX502" s="130"/>
      <c r="AY502" s="130"/>
      <c r="AZ502" s="130"/>
      <c r="BA502" s="130"/>
      <c r="BB502" s="130"/>
      <c r="BC502" s="130"/>
      <c r="BD502" s="130"/>
    </row>
    <row r="503" ht="15.75" customHeight="1">
      <c r="A503" s="142"/>
      <c r="B503" s="142"/>
      <c r="C503" s="198"/>
      <c r="D503" s="142"/>
      <c r="E503" s="131"/>
      <c r="F503" s="142"/>
      <c r="G503" s="142"/>
      <c r="H503" s="131"/>
      <c r="I503" s="142"/>
      <c r="J503" s="142"/>
      <c r="K503" s="132"/>
      <c r="L503" s="131"/>
      <c r="M503" s="142"/>
      <c r="N503" s="142"/>
      <c r="O503" s="142"/>
      <c r="P503" s="142"/>
      <c r="Q503" s="142"/>
      <c r="R503" s="142"/>
      <c r="S503" s="142"/>
      <c r="T503" s="142"/>
      <c r="U503" s="142"/>
      <c r="V503" s="142"/>
      <c r="W503" s="142"/>
      <c r="X503" s="142"/>
      <c r="Y503" s="142"/>
      <c r="Z503" s="142"/>
      <c r="AA503" s="142"/>
      <c r="AB503" s="142"/>
      <c r="AC503" s="142"/>
      <c r="AD503" s="142"/>
      <c r="AE503" s="142"/>
      <c r="AF503" s="142"/>
      <c r="AG503" s="142"/>
      <c r="AH503" s="142"/>
      <c r="AI503" s="142"/>
      <c r="AJ503" s="142"/>
      <c r="AK503" s="142"/>
      <c r="AL503" s="142"/>
      <c r="AM503" s="142"/>
      <c r="AN503" s="142"/>
      <c r="AO503" s="142"/>
      <c r="AP503" s="130"/>
      <c r="AQ503" s="130"/>
      <c r="AR503" s="130"/>
      <c r="AS503" s="130"/>
      <c r="AT503" s="130"/>
      <c r="AU503" s="130"/>
      <c r="AV503" s="130"/>
      <c r="AW503" s="130"/>
      <c r="AX503" s="130"/>
      <c r="AY503" s="130"/>
      <c r="AZ503" s="130"/>
      <c r="BA503" s="130"/>
      <c r="BB503" s="130"/>
      <c r="BC503" s="130"/>
      <c r="BD503" s="130"/>
    </row>
    <row r="504" ht="15.75" customHeight="1">
      <c r="A504" s="142"/>
      <c r="B504" s="142"/>
      <c r="C504" s="198"/>
      <c r="D504" s="142"/>
      <c r="E504" s="131"/>
      <c r="F504" s="142"/>
      <c r="G504" s="142"/>
      <c r="H504" s="131"/>
      <c r="I504" s="142"/>
      <c r="J504" s="142"/>
      <c r="K504" s="132"/>
      <c r="L504" s="131"/>
      <c r="M504" s="142"/>
      <c r="N504" s="142"/>
      <c r="O504" s="142"/>
      <c r="P504" s="142"/>
      <c r="Q504" s="142"/>
      <c r="R504" s="142"/>
      <c r="S504" s="142"/>
      <c r="T504" s="142"/>
      <c r="U504" s="142"/>
      <c r="V504" s="142"/>
      <c r="W504" s="142"/>
      <c r="X504" s="142"/>
      <c r="Y504" s="142"/>
      <c r="Z504" s="142"/>
      <c r="AA504" s="142"/>
      <c r="AB504" s="142"/>
      <c r="AC504" s="142"/>
      <c r="AD504" s="142"/>
      <c r="AE504" s="142"/>
      <c r="AF504" s="142"/>
      <c r="AG504" s="142"/>
      <c r="AH504" s="142"/>
      <c r="AI504" s="142"/>
      <c r="AJ504" s="142"/>
      <c r="AK504" s="142"/>
      <c r="AL504" s="142"/>
      <c r="AM504" s="142"/>
      <c r="AN504" s="142"/>
      <c r="AO504" s="142"/>
      <c r="AP504" s="130"/>
      <c r="AQ504" s="130"/>
      <c r="AR504" s="130"/>
      <c r="AS504" s="130"/>
      <c r="AT504" s="130"/>
      <c r="AU504" s="130"/>
      <c r="AV504" s="130"/>
      <c r="AW504" s="130"/>
      <c r="AX504" s="130"/>
      <c r="AY504" s="130"/>
      <c r="AZ504" s="130"/>
      <c r="BA504" s="130"/>
      <c r="BB504" s="130"/>
      <c r="BC504" s="130"/>
      <c r="BD504" s="130"/>
    </row>
    <row r="505" ht="15.75" customHeight="1">
      <c r="A505" s="142"/>
      <c r="B505" s="142"/>
      <c r="C505" s="198"/>
      <c r="D505" s="142"/>
      <c r="E505" s="131"/>
      <c r="F505" s="142"/>
      <c r="G505" s="142"/>
      <c r="H505" s="131"/>
      <c r="I505" s="142"/>
      <c r="J505" s="142"/>
      <c r="K505" s="132"/>
      <c r="L505" s="131"/>
      <c r="M505" s="142"/>
      <c r="N505" s="142"/>
      <c r="O505" s="142"/>
      <c r="P505" s="142"/>
      <c r="Q505" s="142"/>
      <c r="R505" s="142"/>
      <c r="S505" s="142"/>
      <c r="T505" s="142"/>
      <c r="U505" s="142"/>
      <c r="V505" s="142"/>
      <c r="W505" s="142"/>
      <c r="X505" s="142"/>
      <c r="Y505" s="142"/>
      <c r="Z505" s="142"/>
      <c r="AA505" s="142"/>
      <c r="AB505" s="142"/>
      <c r="AC505" s="142"/>
      <c r="AD505" s="142"/>
      <c r="AE505" s="142"/>
      <c r="AF505" s="142"/>
      <c r="AG505" s="142"/>
      <c r="AH505" s="142"/>
      <c r="AI505" s="142"/>
      <c r="AJ505" s="142"/>
      <c r="AK505" s="142"/>
      <c r="AL505" s="142"/>
      <c r="AM505" s="142"/>
      <c r="AN505" s="142"/>
      <c r="AO505" s="142"/>
      <c r="AP505" s="130"/>
      <c r="AQ505" s="130"/>
      <c r="AR505" s="130"/>
      <c r="AS505" s="130"/>
      <c r="AT505" s="130"/>
      <c r="AU505" s="130"/>
      <c r="AV505" s="130"/>
      <c r="AW505" s="130"/>
      <c r="AX505" s="130"/>
      <c r="AY505" s="130"/>
      <c r="AZ505" s="130"/>
      <c r="BA505" s="130"/>
      <c r="BB505" s="130"/>
      <c r="BC505" s="130"/>
      <c r="BD505" s="130"/>
    </row>
    <row r="506" ht="15.75" customHeight="1">
      <c r="A506" s="142"/>
      <c r="B506" s="142"/>
      <c r="C506" s="198"/>
      <c r="D506" s="142"/>
      <c r="E506" s="131"/>
      <c r="F506" s="142"/>
      <c r="G506" s="142"/>
      <c r="H506" s="131"/>
      <c r="I506" s="142"/>
      <c r="J506" s="142"/>
      <c r="K506" s="132"/>
      <c r="L506" s="131"/>
      <c r="M506" s="142"/>
      <c r="N506" s="142"/>
      <c r="O506" s="142"/>
      <c r="P506" s="142"/>
      <c r="Q506" s="142"/>
      <c r="R506" s="142"/>
      <c r="S506" s="142"/>
      <c r="T506" s="142"/>
      <c r="U506" s="142"/>
      <c r="V506" s="142"/>
      <c r="W506" s="142"/>
      <c r="X506" s="142"/>
      <c r="Y506" s="142"/>
      <c r="Z506" s="142"/>
      <c r="AA506" s="142"/>
      <c r="AB506" s="142"/>
      <c r="AC506" s="142"/>
      <c r="AD506" s="142"/>
      <c r="AE506" s="142"/>
      <c r="AF506" s="142"/>
      <c r="AG506" s="142"/>
      <c r="AH506" s="142"/>
      <c r="AI506" s="142"/>
      <c r="AJ506" s="142"/>
      <c r="AK506" s="142"/>
      <c r="AL506" s="142"/>
      <c r="AM506" s="142"/>
      <c r="AN506" s="142"/>
      <c r="AO506" s="142"/>
      <c r="AP506" s="130"/>
      <c r="AQ506" s="130"/>
      <c r="AR506" s="130"/>
      <c r="AS506" s="130"/>
      <c r="AT506" s="130"/>
      <c r="AU506" s="130"/>
      <c r="AV506" s="130"/>
      <c r="AW506" s="130"/>
      <c r="AX506" s="130"/>
      <c r="AY506" s="130"/>
      <c r="AZ506" s="130"/>
      <c r="BA506" s="130"/>
      <c r="BB506" s="130"/>
      <c r="BC506" s="130"/>
      <c r="BD506" s="130"/>
    </row>
    <row r="507" ht="15.75" customHeight="1">
      <c r="A507" s="142"/>
      <c r="B507" s="142"/>
      <c r="C507" s="198"/>
      <c r="D507" s="142"/>
      <c r="E507" s="131"/>
      <c r="F507" s="142"/>
      <c r="G507" s="142"/>
      <c r="H507" s="131"/>
      <c r="I507" s="142"/>
      <c r="J507" s="142"/>
      <c r="K507" s="132"/>
      <c r="L507" s="131"/>
      <c r="M507" s="142"/>
      <c r="N507" s="142"/>
      <c r="O507" s="142"/>
      <c r="P507" s="142"/>
      <c r="Q507" s="142"/>
      <c r="R507" s="142"/>
      <c r="S507" s="142"/>
      <c r="T507" s="142"/>
      <c r="U507" s="142"/>
      <c r="V507" s="142"/>
      <c r="W507" s="142"/>
      <c r="X507" s="142"/>
      <c r="Y507" s="142"/>
      <c r="Z507" s="142"/>
      <c r="AA507" s="142"/>
      <c r="AB507" s="142"/>
      <c r="AC507" s="142"/>
      <c r="AD507" s="142"/>
      <c r="AE507" s="142"/>
      <c r="AF507" s="142"/>
      <c r="AG507" s="142"/>
      <c r="AH507" s="142"/>
      <c r="AI507" s="142"/>
      <c r="AJ507" s="142"/>
      <c r="AK507" s="142"/>
      <c r="AL507" s="142"/>
      <c r="AM507" s="142"/>
      <c r="AN507" s="142"/>
      <c r="AO507" s="142"/>
      <c r="AP507" s="130"/>
      <c r="AQ507" s="130"/>
      <c r="AR507" s="130"/>
      <c r="AS507" s="130"/>
      <c r="AT507" s="130"/>
      <c r="AU507" s="130"/>
      <c r="AV507" s="130"/>
      <c r="AW507" s="130"/>
      <c r="AX507" s="130"/>
      <c r="AY507" s="130"/>
      <c r="AZ507" s="130"/>
      <c r="BA507" s="130"/>
      <c r="BB507" s="130"/>
      <c r="BC507" s="130"/>
      <c r="BD507" s="130"/>
    </row>
    <row r="508" ht="15.75" customHeight="1">
      <c r="A508" s="142"/>
      <c r="B508" s="142"/>
      <c r="C508" s="198"/>
      <c r="D508" s="142"/>
      <c r="E508" s="131"/>
      <c r="F508" s="142"/>
      <c r="G508" s="142"/>
      <c r="H508" s="131"/>
      <c r="I508" s="142"/>
      <c r="J508" s="142"/>
      <c r="K508" s="132"/>
      <c r="L508" s="131"/>
      <c r="M508" s="142"/>
      <c r="N508" s="142"/>
      <c r="O508" s="142"/>
      <c r="P508" s="142"/>
      <c r="Q508" s="142"/>
      <c r="R508" s="142"/>
      <c r="S508" s="142"/>
      <c r="T508" s="142"/>
      <c r="U508" s="142"/>
      <c r="V508" s="142"/>
      <c r="W508" s="142"/>
      <c r="X508" s="142"/>
      <c r="Y508" s="142"/>
      <c r="Z508" s="142"/>
      <c r="AA508" s="142"/>
      <c r="AB508" s="142"/>
      <c r="AC508" s="142"/>
      <c r="AD508" s="142"/>
      <c r="AE508" s="142"/>
      <c r="AF508" s="142"/>
      <c r="AG508" s="142"/>
      <c r="AH508" s="142"/>
      <c r="AI508" s="142"/>
      <c r="AJ508" s="142"/>
      <c r="AK508" s="142"/>
      <c r="AL508" s="142"/>
      <c r="AM508" s="142"/>
      <c r="AN508" s="142"/>
      <c r="AO508" s="142"/>
      <c r="AP508" s="130"/>
      <c r="AQ508" s="130"/>
      <c r="AR508" s="130"/>
      <c r="AS508" s="130"/>
      <c r="AT508" s="130"/>
      <c r="AU508" s="130"/>
      <c r="AV508" s="130"/>
      <c r="AW508" s="130"/>
      <c r="AX508" s="130"/>
      <c r="AY508" s="130"/>
      <c r="AZ508" s="130"/>
      <c r="BA508" s="130"/>
      <c r="BB508" s="130"/>
      <c r="BC508" s="130"/>
      <c r="BD508" s="130"/>
    </row>
    <row r="509" ht="15.75" customHeight="1">
      <c r="A509" s="142"/>
      <c r="B509" s="142"/>
      <c r="C509" s="198"/>
      <c r="D509" s="142"/>
      <c r="E509" s="131"/>
      <c r="F509" s="142"/>
      <c r="G509" s="142"/>
      <c r="H509" s="131"/>
      <c r="I509" s="142"/>
      <c r="J509" s="142"/>
      <c r="K509" s="132"/>
      <c r="L509" s="131"/>
      <c r="M509" s="142"/>
      <c r="N509" s="142"/>
      <c r="O509" s="142"/>
      <c r="P509" s="142"/>
      <c r="Q509" s="142"/>
      <c r="R509" s="142"/>
      <c r="S509" s="142"/>
      <c r="T509" s="142"/>
      <c r="U509" s="142"/>
      <c r="V509" s="142"/>
      <c r="W509" s="142"/>
      <c r="X509" s="142"/>
      <c r="Y509" s="142"/>
      <c r="Z509" s="142"/>
      <c r="AA509" s="142"/>
      <c r="AB509" s="142"/>
      <c r="AC509" s="142"/>
      <c r="AD509" s="142"/>
      <c r="AE509" s="142"/>
      <c r="AF509" s="142"/>
      <c r="AG509" s="142"/>
      <c r="AH509" s="142"/>
      <c r="AI509" s="142"/>
      <c r="AJ509" s="142"/>
      <c r="AK509" s="142"/>
      <c r="AL509" s="142"/>
      <c r="AM509" s="142"/>
      <c r="AN509" s="142"/>
      <c r="AO509" s="142"/>
      <c r="AP509" s="130"/>
      <c r="AQ509" s="130"/>
      <c r="AR509" s="130"/>
      <c r="AS509" s="130"/>
      <c r="AT509" s="130"/>
      <c r="AU509" s="130"/>
      <c r="AV509" s="130"/>
      <c r="AW509" s="130"/>
      <c r="AX509" s="130"/>
      <c r="AY509" s="130"/>
      <c r="AZ509" s="130"/>
      <c r="BA509" s="130"/>
      <c r="BB509" s="130"/>
      <c r="BC509" s="130"/>
      <c r="BD509" s="130"/>
    </row>
    <row r="510" ht="15.75" customHeight="1">
      <c r="A510" s="142"/>
      <c r="B510" s="142"/>
      <c r="C510" s="198"/>
      <c r="D510" s="142"/>
      <c r="E510" s="131"/>
      <c r="F510" s="142"/>
      <c r="G510" s="142"/>
      <c r="H510" s="131"/>
      <c r="I510" s="142"/>
      <c r="J510" s="142"/>
      <c r="K510" s="132"/>
      <c r="L510" s="131"/>
      <c r="M510" s="142"/>
      <c r="N510" s="142"/>
      <c r="O510" s="142"/>
      <c r="P510" s="142"/>
      <c r="Q510" s="142"/>
      <c r="R510" s="142"/>
      <c r="S510" s="142"/>
      <c r="T510" s="142"/>
      <c r="U510" s="142"/>
      <c r="V510" s="142"/>
      <c r="W510" s="142"/>
      <c r="X510" s="142"/>
      <c r="Y510" s="142"/>
      <c r="Z510" s="142"/>
      <c r="AA510" s="142"/>
      <c r="AB510" s="142"/>
      <c r="AC510" s="142"/>
      <c r="AD510" s="142"/>
      <c r="AE510" s="142"/>
      <c r="AF510" s="142"/>
      <c r="AG510" s="142"/>
      <c r="AH510" s="142"/>
      <c r="AI510" s="142"/>
      <c r="AJ510" s="142"/>
      <c r="AK510" s="142"/>
      <c r="AL510" s="142"/>
      <c r="AM510" s="142"/>
      <c r="AN510" s="142"/>
      <c r="AO510" s="142"/>
      <c r="AP510" s="130"/>
      <c r="AQ510" s="130"/>
      <c r="AR510" s="130"/>
      <c r="AS510" s="130"/>
      <c r="AT510" s="130"/>
      <c r="AU510" s="130"/>
      <c r="AV510" s="130"/>
      <c r="AW510" s="130"/>
      <c r="AX510" s="130"/>
      <c r="AY510" s="130"/>
      <c r="AZ510" s="130"/>
      <c r="BA510" s="130"/>
      <c r="BB510" s="130"/>
      <c r="BC510" s="130"/>
      <c r="BD510" s="130"/>
    </row>
    <row r="511" ht="15.75" customHeight="1">
      <c r="A511" s="142"/>
      <c r="B511" s="142"/>
      <c r="C511" s="198"/>
      <c r="D511" s="142"/>
      <c r="E511" s="131"/>
      <c r="F511" s="142"/>
      <c r="G511" s="142"/>
      <c r="H511" s="131"/>
      <c r="I511" s="142"/>
      <c r="J511" s="142"/>
      <c r="K511" s="132"/>
      <c r="L511" s="131"/>
      <c r="M511" s="142"/>
      <c r="N511" s="142"/>
      <c r="O511" s="142"/>
      <c r="P511" s="142"/>
      <c r="Q511" s="142"/>
      <c r="R511" s="142"/>
      <c r="S511" s="142"/>
      <c r="T511" s="142"/>
      <c r="U511" s="142"/>
      <c r="V511" s="142"/>
      <c r="W511" s="142"/>
      <c r="X511" s="142"/>
      <c r="Y511" s="142"/>
      <c r="Z511" s="142"/>
      <c r="AA511" s="142"/>
      <c r="AB511" s="142"/>
      <c r="AC511" s="142"/>
      <c r="AD511" s="142"/>
      <c r="AE511" s="142"/>
      <c r="AF511" s="142"/>
      <c r="AG511" s="142"/>
      <c r="AH511" s="142"/>
      <c r="AI511" s="142"/>
      <c r="AJ511" s="142"/>
      <c r="AK511" s="142"/>
      <c r="AL511" s="142"/>
      <c r="AM511" s="142"/>
      <c r="AN511" s="142"/>
      <c r="AO511" s="142"/>
      <c r="AP511" s="130"/>
      <c r="AQ511" s="130"/>
      <c r="AR511" s="130"/>
      <c r="AS511" s="130"/>
      <c r="AT511" s="130"/>
      <c r="AU511" s="130"/>
      <c r="AV511" s="130"/>
      <c r="AW511" s="130"/>
      <c r="AX511" s="130"/>
      <c r="AY511" s="130"/>
      <c r="AZ511" s="130"/>
      <c r="BA511" s="130"/>
      <c r="BB511" s="130"/>
      <c r="BC511" s="130"/>
      <c r="BD511" s="130"/>
    </row>
    <row r="512" ht="15.75" customHeight="1">
      <c r="A512" s="142"/>
      <c r="B512" s="142"/>
      <c r="C512" s="198"/>
      <c r="D512" s="142"/>
      <c r="E512" s="131"/>
      <c r="F512" s="142"/>
      <c r="G512" s="142"/>
      <c r="H512" s="131"/>
      <c r="I512" s="142"/>
      <c r="J512" s="142"/>
      <c r="K512" s="132"/>
      <c r="L512" s="131"/>
      <c r="M512" s="142"/>
      <c r="N512" s="142"/>
      <c r="O512" s="142"/>
      <c r="P512" s="142"/>
      <c r="Q512" s="142"/>
      <c r="R512" s="142"/>
      <c r="S512" s="142"/>
      <c r="T512" s="142"/>
      <c r="U512" s="142"/>
      <c r="V512" s="142"/>
      <c r="W512" s="142"/>
      <c r="X512" s="142"/>
      <c r="Y512" s="142"/>
      <c r="Z512" s="142"/>
      <c r="AA512" s="142"/>
      <c r="AB512" s="142"/>
      <c r="AC512" s="142"/>
      <c r="AD512" s="142"/>
      <c r="AE512" s="142"/>
      <c r="AF512" s="142"/>
      <c r="AG512" s="142"/>
      <c r="AH512" s="142"/>
      <c r="AI512" s="142"/>
      <c r="AJ512" s="142"/>
      <c r="AK512" s="142"/>
      <c r="AL512" s="142"/>
      <c r="AM512" s="142"/>
      <c r="AN512" s="142"/>
      <c r="AO512" s="142"/>
      <c r="AP512" s="130"/>
      <c r="AQ512" s="130"/>
      <c r="AR512" s="130"/>
      <c r="AS512" s="130"/>
      <c r="AT512" s="130"/>
      <c r="AU512" s="130"/>
      <c r="AV512" s="130"/>
      <c r="AW512" s="130"/>
      <c r="AX512" s="130"/>
      <c r="AY512" s="130"/>
      <c r="AZ512" s="130"/>
      <c r="BA512" s="130"/>
      <c r="BB512" s="130"/>
      <c r="BC512" s="130"/>
      <c r="BD512" s="130"/>
    </row>
    <row r="513" ht="15.75" customHeight="1">
      <c r="A513" s="142"/>
      <c r="B513" s="142"/>
      <c r="C513" s="198"/>
      <c r="D513" s="142"/>
      <c r="E513" s="131"/>
      <c r="F513" s="142"/>
      <c r="G513" s="142"/>
      <c r="H513" s="131"/>
      <c r="I513" s="142"/>
      <c r="J513" s="142"/>
      <c r="K513" s="132"/>
      <c r="L513" s="131"/>
      <c r="M513" s="142"/>
      <c r="N513" s="142"/>
      <c r="O513" s="142"/>
      <c r="P513" s="142"/>
      <c r="Q513" s="142"/>
      <c r="R513" s="142"/>
      <c r="S513" s="142"/>
      <c r="T513" s="142"/>
      <c r="U513" s="142"/>
      <c r="V513" s="142"/>
      <c r="W513" s="142"/>
      <c r="X513" s="142"/>
      <c r="Y513" s="142"/>
      <c r="Z513" s="142"/>
      <c r="AA513" s="142"/>
      <c r="AB513" s="142"/>
      <c r="AC513" s="142"/>
      <c r="AD513" s="142"/>
      <c r="AE513" s="142"/>
      <c r="AF513" s="142"/>
      <c r="AG513" s="142"/>
      <c r="AH513" s="142"/>
      <c r="AI513" s="142"/>
      <c r="AJ513" s="142"/>
      <c r="AK513" s="142"/>
      <c r="AL513" s="142"/>
      <c r="AM513" s="142"/>
      <c r="AN513" s="142"/>
      <c r="AO513" s="142"/>
      <c r="AP513" s="130"/>
      <c r="AQ513" s="130"/>
      <c r="AR513" s="130"/>
      <c r="AS513" s="130"/>
      <c r="AT513" s="130"/>
      <c r="AU513" s="130"/>
      <c r="AV513" s="130"/>
      <c r="AW513" s="130"/>
      <c r="AX513" s="130"/>
      <c r="AY513" s="130"/>
      <c r="AZ513" s="130"/>
      <c r="BA513" s="130"/>
      <c r="BB513" s="130"/>
      <c r="BC513" s="130"/>
      <c r="BD513" s="130"/>
    </row>
    <row r="514" ht="15.75" customHeight="1">
      <c r="A514" s="142"/>
      <c r="B514" s="142"/>
      <c r="C514" s="198"/>
      <c r="D514" s="142"/>
      <c r="E514" s="131"/>
      <c r="F514" s="142"/>
      <c r="G514" s="142"/>
      <c r="H514" s="131"/>
      <c r="I514" s="142"/>
      <c r="J514" s="142"/>
      <c r="K514" s="132"/>
      <c r="L514" s="131"/>
      <c r="M514" s="142"/>
      <c r="N514" s="142"/>
      <c r="O514" s="142"/>
      <c r="P514" s="142"/>
      <c r="Q514" s="142"/>
      <c r="R514" s="142"/>
      <c r="S514" s="142"/>
      <c r="T514" s="142"/>
      <c r="U514" s="142"/>
      <c r="V514" s="142"/>
      <c r="W514" s="142"/>
      <c r="X514" s="142"/>
      <c r="Y514" s="142"/>
      <c r="Z514" s="142"/>
      <c r="AA514" s="142"/>
      <c r="AB514" s="142"/>
      <c r="AC514" s="142"/>
      <c r="AD514" s="142"/>
      <c r="AE514" s="142"/>
      <c r="AF514" s="142"/>
      <c r="AG514" s="142"/>
      <c r="AH514" s="142"/>
      <c r="AI514" s="142"/>
      <c r="AJ514" s="142"/>
      <c r="AK514" s="142"/>
      <c r="AL514" s="142"/>
      <c r="AM514" s="142"/>
      <c r="AN514" s="142"/>
      <c r="AO514" s="142"/>
      <c r="AP514" s="130"/>
      <c r="AQ514" s="130"/>
      <c r="AR514" s="130"/>
      <c r="AS514" s="130"/>
      <c r="AT514" s="130"/>
      <c r="AU514" s="130"/>
      <c r="AV514" s="130"/>
      <c r="AW514" s="130"/>
      <c r="AX514" s="130"/>
      <c r="AY514" s="130"/>
      <c r="AZ514" s="130"/>
      <c r="BA514" s="130"/>
      <c r="BB514" s="130"/>
      <c r="BC514" s="130"/>
      <c r="BD514" s="130"/>
    </row>
    <row r="515" ht="15.75" customHeight="1">
      <c r="A515" s="142"/>
      <c r="B515" s="142"/>
      <c r="C515" s="198"/>
      <c r="D515" s="142"/>
      <c r="E515" s="131"/>
      <c r="F515" s="142"/>
      <c r="G515" s="142"/>
      <c r="H515" s="131"/>
      <c r="I515" s="142"/>
      <c r="J515" s="142"/>
      <c r="K515" s="132"/>
      <c r="L515" s="131"/>
      <c r="M515" s="142"/>
      <c r="N515" s="142"/>
      <c r="O515" s="142"/>
      <c r="P515" s="142"/>
      <c r="Q515" s="142"/>
      <c r="R515" s="142"/>
      <c r="S515" s="142"/>
      <c r="T515" s="142"/>
      <c r="U515" s="142"/>
      <c r="V515" s="142"/>
      <c r="W515" s="142"/>
      <c r="X515" s="142"/>
      <c r="Y515" s="142"/>
      <c r="Z515" s="142"/>
      <c r="AA515" s="142"/>
      <c r="AB515" s="142"/>
      <c r="AC515" s="142"/>
      <c r="AD515" s="142"/>
      <c r="AE515" s="142"/>
      <c r="AF515" s="142"/>
      <c r="AG515" s="142"/>
      <c r="AH515" s="142"/>
      <c r="AI515" s="142"/>
      <c r="AJ515" s="142"/>
      <c r="AK515" s="142"/>
      <c r="AL515" s="142"/>
      <c r="AM515" s="142"/>
      <c r="AN515" s="142"/>
      <c r="AO515" s="142"/>
      <c r="AP515" s="130"/>
      <c r="AQ515" s="130"/>
      <c r="AR515" s="130"/>
      <c r="AS515" s="130"/>
      <c r="AT515" s="130"/>
      <c r="AU515" s="130"/>
      <c r="AV515" s="130"/>
      <c r="AW515" s="130"/>
      <c r="AX515" s="130"/>
      <c r="AY515" s="130"/>
      <c r="AZ515" s="130"/>
      <c r="BA515" s="130"/>
      <c r="BB515" s="130"/>
      <c r="BC515" s="130"/>
      <c r="BD515" s="130"/>
    </row>
    <row r="516" ht="15.75" customHeight="1">
      <c r="A516" s="142"/>
      <c r="B516" s="142"/>
      <c r="C516" s="198"/>
      <c r="D516" s="142"/>
      <c r="E516" s="131"/>
      <c r="F516" s="142"/>
      <c r="G516" s="142"/>
      <c r="H516" s="131"/>
      <c r="I516" s="142"/>
      <c r="J516" s="142"/>
      <c r="K516" s="132"/>
      <c r="L516" s="131"/>
      <c r="M516" s="142"/>
      <c r="N516" s="142"/>
      <c r="O516" s="142"/>
      <c r="P516" s="142"/>
      <c r="Q516" s="142"/>
      <c r="R516" s="142"/>
      <c r="S516" s="142"/>
      <c r="T516" s="142"/>
      <c r="U516" s="142"/>
      <c r="V516" s="142"/>
      <c r="W516" s="142"/>
      <c r="X516" s="142"/>
      <c r="Y516" s="142"/>
      <c r="Z516" s="142"/>
      <c r="AA516" s="142"/>
      <c r="AB516" s="142"/>
      <c r="AC516" s="142"/>
      <c r="AD516" s="142"/>
      <c r="AE516" s="142"/>
      <c r="AF516" s="142"/>
      <c r="AG516" s="142"/>
      <c r="AH516" s="142"/>
      <c r="AI516" s="142"/>
      <c r="AJ516" s="142"/>
      <c r="AK516" s="142"/>
      <c r="AL516" s="142"/>
      <c r="AM516" s="142"/>
      <c r="AN516" s="142"/>
      <c r="AO516" s="142"/>
      <c r="AP516" s="130"/>
      <c r="AQ516" s="130"/>
      <c r="AR516" s="130"/>
      <c r="AS516" s="130"/>
      <c r="AT516" s="130"/>
      <c r="AU516" s="130"/>
      <c r="AV516" s="130"/>
      <c r="AW516" s="130"/>
      <c r="AX516" s="130"/>
      <c r="AY516" s="130"/>
      <c r="AZ516" s="130"/>
      <c r="BA516" s="130"/>
      <c r="BB516" s="130"/>
      <c r="BC516" s="130"/>
      <c r="BD516" s="130"/>
    </row>
    <row r="517" ht="15.75" customHeight="1">
      <c r="A517" s="142"/>
      <c r="B517" s="142"/>
      <c r="C517" s="198"/>
      <c r="D517" s="142"/>
      <c r="E517" s="131"/>
      <c r="F517" s="142"/>
      <c r="G517" s="142"/>
      <c r="H517" s="131"/>
      <c r="I517" s="142"/>
      <c r="J517" s="142"/>
      <c r="K517" s="132"/>
      <c r="L517" s="131"/>
      <c r="M517" s="142"/>
      <c r="N517" s="142"/>
      <c r="O517" s="142"/>
      <c r="P517" s="142"/>
      <c r="Q517" s="142"/>
      <c r="R517" s="142"/>
      <c r="S517" s="142"/>
      <c r="T517" s="142"/>
      <c r="U517" s="142"/>
      <c r="V517" s="142"/>
      <c r="W517" s="142"/>
      <c r="X517" s="142"/>
      <c r="Y517" s="142"/>
      <c r="Z517" s="142"/>
      <c r="AA517" s="142"/>
      <c r="AB517" s="142"/>
      <c r="AC517" s="142"/>
      <c r="AD517" s="142"/>
      <c r="AE517" s="142"/>
      <c r="AF517" s="142"/>
      <c r="AG517" s="142"/>
      <c r="AH517" s="142"/>
      <c r="AI517" s="142"/>
      <c r="AJ517" s="142"/>
      <c r="AK517" s="142"/>
      <c r="AL517" s="142"/>
      <c r="AM517" s="142"/>
      <c r="AN517" s="142"/>
      <c r="AO517" s="142"/>
      <c r="AP517" s="130"/>
      <c r="AQ517" s="130"/>
      <c r="AR517" s="130"/>
      <c r="AS517" s="130"/>
      <c r="AT517" s="130"/>
      <c r="AU517" s="130"/>
      <c r="AV517" s="130"/>
      <c r="AW517" s="130"/>
      <c r="AX517" s="130"/>
      <c r="AY517" s="130"/>
      <c r="AZ517" s="130"/>
      <c r="BA517" s="130"/>
      <c r="BB517" s="130"/>
      <c r="BC517" s="130"/>
      <c r="BD517" s="130"/>
    </row>
    <row r="518" ht="15.75" customHeight="1">
      <c r="A518" s="142"/>
      <c r="B518" s="142"/>
      <c r="C518" s="198"/>
      <c r="D518" s="142"/>
      <c r="E518" s="131"/>
      <c r="F518" s="142"/>
      <c r="G518" s="142"/>
      <c r="H518" s="131"/>
      <c r="I518" s="142"/>
      <c r="J518" s="142"/>
      <c r="K518" s="132"/>
      <c r="L518" s="131"/>
      <c r="M518" s="142"/>
      <c r="N518" s="142"/>
      <c r="O518" s="142"/>
      <c r="P518" s="142"/>
      <c r="Q518" s="142"/>
      <c r="R518" s="142"/>
      <c r="S518" s="142"/>
      <c r="T518" s="142"/>
      <c r="U518" s="142"/>
      <c r="V518" s="142"/>
      <c r="W518" s="142"/>
      <c r="X518" s="142"/>
      <c r="Y518" s="142"/>
      <c r="Z518" s="142"/>
      <c r="AA518" s="142"/>
      <c r="AB518" s="142"/>
      <c r="AC518" s="142"/>
      <c r="AD518" s="142"/>
      <c r="AE518" s="142"/>
      <c r="AF518" s="142"/>
      <c r="AG518" s="142"/>
      <c r="AH518" s="142"/>
      <c r="AI518" s="142"/>
      <c r="AJ518" s="142"/>
      <c r="AK518" s="142"/>
      <c r="AL518" s="142"/>
      <c r="AM518" s="142"/>
      <c r="AN518" s="142"/>
      <c r="AO518" s="142"/>
      <c r="AP518" s="130"/>
      <c r="AQ518" s="130"/>
      <c r="AR518" s="130"/>
      <c r="AS518" s="130"/>
      <c r="AT518" s="130"/>
      <c r="AU518" s="130"/>
      <c r="AV518" s="130"/>
      <c r="AW518" s="130"/>
      <c r="AX518" s="130"/>
      <c r="AY518" s="130"/>
      <c r="AZ518" s="130"/>
      <c r="BA518" s="130"/>
      <c r="BB518" s="130"/>
      <c r="BC518" s="130"/>
      <c r="BD518" s="130"/>
    </row>
    <row r="519" ht="15.75" customHeight="1">
      <c r="A519" s="142"/>
      <c r="B519" s="142"/>
      <c r="C519" s="198"/>
      <c r="D519" s="142"/>
      <c r="E519" s="131"/>
      <c r="F519" s="142"/>
      <c r="G519" s="142"/>
      <c r="H519" s="131"/>
      <c r="I519" s="142"/>
      <c r="J519" s="142"/>
      <c r="K519" s="132"/>
      <c r="L519" s="131"/>
      <c r="M519" s="142"/>
      <c r="N519" s="142"/>
      <c r="O519" s="142"/>
      <c r="P519" s="142"/>
      <c r="Q519" s="142"/>
      <c r="R519" s="142"/>
      <c r="S519" s="142"/>
      <c r="T519" s="142"/>
      <c r="U519" s="142"/>
      <c r="V519" s="142"/>
      <c r="W519" s="142"/>
      <c r="X519" s="142"/>
      <c r="Y519" s="142"/>
      <c r="Z519" s="142"/>
      <c r="AA519" s="142"/>
      <c r="AB519" s="142"/>
      <c r="AC519" s="142"/>
      <c r="AD519" s="142"/>
      <c r="AE519" s="142"/>
      <c r="AF519" s="142"/>
      <c r="AG519" s="142"/>
      <c r="AH519" s="142"/>
      <c r="AI519" s="142"/>
      <c r="AJ519" s="142"/>
      <c r="AK519" s="142"/>
      <c r="AL519" s="142"/>
      <c r="AM519" s="142"/>
      <c r="AN519" s="142"/>
      <c r="AO519" s="142"/>
      <c r="AP519" s="130"/>
      <c r="AQ519" s="130"/>
      <c r="AR519" s="130"/>
      <c r="AS519" s="130"/>
      <c r="AT519" s="130"/>
      <c r="AU519" s="130"/>
      <c r="AV519" s="130"/>
      <c r="AW519" s="130"/>
      <c r="AX519" s="130"/>
      <c r="AY519" s="130"/>
      <c r="AZ519" s="130"/>
      <c r="BA519" s="130"/>
      <c r="BB519" s="130"/>
      <c r="BC519" s="130"/>
      <c r="BD519" s="130"/>
    </row>
    <row r="520" ht="15.75" customHeight="1">
      <c r="A520" s="142"/>
      <c r="B520" s="142"/>
      <c r="C520" s="198"/>
      <c r="D520" s="142"/>
      <c r="E520" s="131"/>
      <c r="F520" s="142"/>
      <c r="G520" s="142"/>
      <c r="H520" s="131"/>
      <c r="I520" s="142"/>
      <c r="J520" s="142"/>
      <c r="K520" s="132"/>
      <c r="L520" s="131"/>
      <c r="M520" s="142"/>
      <c r="N520" s="142"/>
      <c r="O520" s="142"/>
      <c r="P520" s="142"/>
      <c r="Q520" s="142"/>
      <c r="R520" s="142"/>
      <c r="S520" s="142"/>
      <c r="T520" s="142"/>
      <c r="U520" s="142"/>
      <c r="V520" s="142"/>
      <c r="W520" s="142"/>
      <c r="X520" s="142"/>
      <c r="Y520" s="142"/>
      <c r="Z520" s="142"/>
      <c r="AA520" s="142"/>
      <c r="AB520" s="142"/>
      <c r="AC520" s="142"/>
      <c r="AD520" s="142"/>
      <c r="AE520" s="142"/>
      <c r="AF520" s="142"/>
      <c r="AG520" s="142"/>
      <c r="AH520" s="142"/>
      <c r="AI520" s="142"/>
      <c r="AJ520" s="142"/>
      <c r="AK520" s="142"/>
      <c r="AL520" s="142"/>
      <c r="AM520" s="142"/>
      <c r="AN520" s="142"/>
      <c r="AO520" s="142"/>
      <c r="AP520" s="130"/>
      <c r="AQ520" s="130"/>
      <c r="AR520" s="130"/>
      <c r="AS520" s="130"/>
      <c r="AT520" s="130"/>
      <c r="AU520" s="130"/>
      <c r="AV520" s="130"/>
      <c r="AW520" s="130"/>
      <c r="AX520" s="130"/>
      <c r="AY520" s="130"/>
      <c r="AZ520" s="130"/>
      <c r="BA520" s="130"/>
      <c r="BB520" s="130"/>
      <c r="BC520" s="130"/>
      <c r="BD520" s="130"/>
    </row>
    <row r="521" ht="15.75" customHeight="1">
      <c r="A521" s="142"/>
      <c r="B521" s="142"/>
      <c r="C521" s="198"/>
      <c r="D521" s="142"/>
      <c r="E521" s="131"/>
      <c r="F521" s="142"/>
      <c r="G521" s="142"/>
      <c r="H521" s="131"/>
      <c r="I521" s="142"/>
      <c r="J521" s="142"/>
      <c r="K521" s="132"/>
      <c r="L521" s="131"/>
      <c r="M521" s="142"/>
      <c r="N521" s="142"/>
      <c r="O521" s="142"/>
      <c r="P521" s="142"/>
      <c r="Q521" s="142"/>
      <c r="R521" s="142"/>
      <c r="S521" s="142"/>
      <c r="T521" s="142"/>
      <c r="U521" s="142"/>
      <c r="V521" s="142"/>
      <c r="W521" s="142"/>
      <c r="X521" s="142"/>
      <c r="Y521" s="142"/>
      <c r="Z521" s="142"/>
      <c r="AA521" s="142"/>
      <c r="AB521" s="142"/>
      <c r="AC521" s="142"/>
      <c r="AD521" s="142"/>
      <c r="AE521" s="142"/>
      <c r="AF521" s="142"/>
      <c r="AG521" s="142"/>
      <c r="AH521" s="142"/>
      <c r="AI521" s="142"/>
      <c r="AJ521" s="142"/>
      <c r="AK521" s="142"/>
      <c r="AL521" s="142"/>
      <c r="AM521" s="142"/>
      <c r="AN521" s="142"/>
      <c r="AO521" s="142"/>
      <c r="AP521" s="130"/>
      <c r="AQ521" s="130"/>
      <c r="AR521" s="130"/>
      <c r="AS521" s="130"/>
      <c r="AT521" s="130"/>
      <c r="AU521" s="130"/>
      <c r="AV521" s="130"/>
      <c r="AW521" s="130"/>
      <c r="AX521" s="130"/>
      <c r="AY521" s="130"/>
      <c r="AZ521" s="130"/>
      <c r="BA521" s="130"/>
      <c r="BB521" s="130"/>
      <c r="BC521" s="130"/>
      <c r="BD521" s="130"/>
    </row>
    <row r="522" ht="15.75" customHeight="1">
      <c r="A522" s="142"/>
      <c r="B522" s="142"/>
      <c r="C522" s="198"/>
      <c r="D522" s="142"/>
      <c r="E522" s="131"/>
      <c r="F522" s="142"/>
      <c r="G522" s="142"/>
      <c r="H522" s="131"/>
      <c r="I522" s="142"/>
      <c r="J522" s="142"/>
      <c r="K522" s="132"/>
      <c r="L522" s="131"/>
      <c r="M522" s="142"/>
      <c r="N522" s="142"/>
      <c r="O522" s="142"/>
      <c r="P522" s="142"/>
      <c r="Q522" s="142"/>
      <c r="R522" s="142"/>
      <c r="S522" s="142"/>
      <c r="T522" s="142"/>
      <c r="U522" s="142"/>
      <c r="V522" s="142"/>
      <c r="W522" s="142"/>
      <c r="X522" s="142"/>
      <c r="Y522" s="142"/>
      <c r="Z522" s="142"/>
      <c r="AA522" s="142"/>
      <c r="AB522" s="142"/>
      <c r="AC522" s="142"/>
      <c r="AD522" s="142"/>
      <c r="AE522" s="142"/>
      <c r="AF522" s="142"/>
      <c r="AG522" s="142"/>
      <c r="AH522" s="142"/>
      <c r="AI522" s="142"/>
      <c r="AJ522" s="142"/>
      <c r="AK522" s="142"/>
      <c r="AL522" s="142"/>
      <c r="AM522" s="142"/>
      <c r="AN522" s="142"/>
      <c r="AO522" s="142"/>
      <c r="AP522" s="130"/>
      <c r="AQ522" s="130"/>
      <c r="AR522" s="130"/>
      <c r="AS522" s="130"/>
      <c r="AT522" s="130"/>
      <c r="AU522" s="130"/>
      <c r="AV522" s="130"/>
      <c r="AW522" s="130"/>
      <c r="AX522" s="130"/>
      <c r="AY522" s="130"/>
      <c r="AZ522" s="130"/>
      <c r="BA522" s="130"/>
      <c r="BB522" s="130"/>
      <c r="BC522" s="130"/>
      <c r="BD522" s="130"/>
    </row>
    <row r="523" ht="15.75" customHeight="1">
      <c r="A523" s="142"/>
      <c r="B523" s="142"/>
      <c r="C523" s="198"/>
      <c r="D523" s="142"/>
      <c r="E523" s="131"/>
      <c r="F523" s="142"/>
      <c r="G523" s="142"/>
      <c r="H523" s="131"/>
      <c r="I523" s="142"/>
      <c r="J523" s="142"/>
      <c r="K523" s="132"/>
      <c r="L523" s="131"/>
      <c r="M523" s="142"/>
      <c r="N523" s="142"/>
      <c r="O523" s="142"/>
      <c r="P523" s="142"/>
      <c r="Q523" s="142"/>
      <c r="R523" s="142"/>
      <c r="S523" s="142"/>
      <c r="T523" s="142"/>
      <c r="U523" s="142"/>
      <c r="V523" s="142"/>
      <c r="W523" s="142"/>
      <c r="X523" s="142"/>
      <c r="Y523" s="142"/>
      <c r="Z523" s="142"/>
      <c r="AA523" s="142"/>
      <c r="AB523" s="142"/>
      <c r="AC523" s="142"/>
      <c r="AD523" s="142"/>
      <c r="AE523" s="142"/>
      <c r="AF523" s="142"/>
      <c r="AG523" s="142"/>
      <c r="AH523" s="142"/>
      <c r="AI523" s="142"/>
      <c r="AJ523" s="142"/>
      <c r="AK523" s="142"/>
      <c r="AL523" s="142"/>
      <c r="AM523" s="142"/>
      <c r="AN523" s="142"/>
      <c r="AO523" s="142"/>
      <c r="AP523" s="130"/>
      <c r="AQ523" s="130"/>
      <c r="AR523" s="130"/>
      <c r="AS523" s="130"/>
      <c r="AT523" s="130"/>
      <c r="AU523" s="130"/>
      <c r="AV523" s="130"/>
      <c r="AW523" s="130"/>
      <c r="AX523" s="130"/>
      <c r="AY523" s="130"/>
      <c r="AZ523" s="130"/>
      <c r="BA523" s="130"/>
      <c r="BB523" s="130"/>
      <c r="BC523" s="130"/>
      <c r="BD523" s="130"/>
    </row>
    <row r="524" ht="15.75" customHeight="1">
      <c r="A524" s="142"/>
      <c r="B524" s="142"/>
      <c r="C524" s="198"/>
      <c r="D524" s="142"/>
      <c r="E524" s="131"/>
      <c r="F524" s="142"/>
      <c r="G524" s="142"/>
      <c r="H524" s="131"/>
      <c r="I524" s="142"/>
      <c r="J524" s="142"/>
      <c r="K524" s="132"/>
      <c r="L524" s="131"/>
      <c r="M524" s="142"/>
      <c r="N524" s="142"/>
      <c r="O524" s="142"/>
      <c r="P524" s="142"/>
      <c r="Q524" s="142"/>
      <c r="R524" s="142"/>
      <c r="S524" s="142"/>
      <c r="T524" s="142"/>
      <c r="U524" s="142"/>
      <c r="V524" s="142"/>
      <c r="W524" s="142"/>
      <c r="X524" s="142"/>
      <c r="Y524" s="142"/>
      <c r="Z524" s="142"/>
      <c r="AA524" s="142"/>
      <c r="AB524" s="142"/>
      <c r="AC524" s="142"/>
      <c r="AD524" s="142"/>
      <c r="AE524" s="142"/>
      <c r="AF524" s="142"/>
      <c r="AG524" s="142"/>
      <c r="AH524" s="142"/>
      <c r="AI524" s="142"/>
      <c r="AJ524" s="142"/>
      <c r="AK524" s="142"/>
      <c r="AL524" s="142"/>
      <c r="AM524" s="142"/>
      <c r="AN524" s="142"/>
      <c r="AO524" s="142"/>
      <c r="AP524" s="130"/>
      <c r="AQ524" s="130"/>
      <c r="AR524" s="130"/>
      <c r="AS524" s="130"/>
      <c r="AT524" s="130"/>
      <c r="AU524" s="130"/>
      <c r="AV524" s="130"/>
      <c r="AW524" s="130"/>
      <c r="AX524" s="130"/>
      <c r="AY524" s="130"/>
      <c r="AZ524" s="130"/>
      <c r="BA524" s="130"/>
      <c r="BB524" s="130"/>
      <c r="BC524" s="130"/>
      <c r="BD524" s="130"/>
    </row>
    <row r="525" ht="15.75" customHeight="1">
      <c r="A525" s="142"/>
      <c r="B525" s="142"/>
      <c r="C525" s="198"/>
      <c r="D525" s="142"/>
      <c r="E525" s="131"/>
      <c r="F525" s="142"/>
      <c r="G525" s="142"/>
      <c r="H525" s="131"/>
      <c r="I525" s="142"/>
      <c r="J525" s="142"/>
      <c r="K525" s="132"/>
      <c r="L525" s="131"/>
      <c r="M525" s="142"/>
      <c r="N525" s="142"/>
      <c r="O525" s="142"/>
      <c r="P525" s="142"/>
      <c r="Q525" s="142"/>
      <c r="R525" s="142"/>
      <c r="S525" s="142"/>
      <c r="T525" s="142"/>
      <c r="U525" s="142"/>
      <c r="V525" s="142"/>
      <c r="W525" s="142"/>
      <c r="X525" s="142"/>
      <c r="Y525" s="142"/>
      <c r="Z525" s="142"/>
      <c r="AA525" s="142"/>
      <c r="AB525" s="142"/>
      <c r="AC525" s="142"/>
      <c r="AD525" s="142"/>
      <c r="AE525" s="142"/>
      <c r="AF525" s="142"/>
      <c r="AG525" s="142"/>
      <c r="AH525" s="142"/>
      <c r="AI525" s="142"/>
      <c r="AJ525" s="142"/>
      <c r="AK525" s="142"/>
      <c r="AL525" s="142"/>
      <c r="AM525" s="142"/>
      <c r="AN525" s="142"/>
      <c r="AO525" s="142"/>
      <c r="AP525" s="130"/>
      <c r="AQ525" s="130"/>
      <c r="AR525" s="130"/>
      <c r="AS525" s="130"/>
      <c r="AT525" s="130"/>
      <c r="AU525" s="130"/>
      <c r="AV525" s="130"/>
      <c r="AW525" s="130"/>
      <c r="AX525" s="130"/>
      <c r="AY525" s="130"/>
      <c r="AZ525" s="130"/>
      <c r="BA525" s="130"/>
      <c r="BB525" s="130"/>
      <c r="BC525" s="130"/>
      <c r="BD525" s="130"/>
    </row>
    <row r="526" ht="15.75" customHeight="1">
      <c r="A526" s="142"/>
      <c r="B526" s="142"/>
      <c r="C526" s="198"/>
      <c r="D526" s="142"/>
      <c r="E526" s="131"/>
      <c r="F526" s="142"/>
      <c r="G526" s="142"/>
      <c r="H526" s="131"/>
      <c r="I526" s="142"/>
      <c r="J526" s="142"/>
      <c r="K526" s="132"/>
      <c r="L526" s="131"/>
      <c r="M526" s="142"/>
      <c r="N526" s="142"/>
      <c r="O526" s="142"/>
      <c r="P526" s="142"/>
      <c r="Q526" s="142"/>
      <c r="R526" s="142"/>
      <c r="S526" s="142"/>
      <c r="T526" s="142"/>
      <c r="U526" s="142"/>
      <c r="V526" s="142"/>
      <c r="W526" s="142"/>
      <c r="X526" s="142"/>
      <c r="Y526" s="142"/>
      <c r="Z526" s="142"/>
      <c r="AA526" s="142"/>
      <c r="AB526" s="142"/>
      <c r="AC526" s="142"/>
      <c r="AD526" s="142"/>
      <c r="AE526" s="142"/>
      <c r="AF526" s="142"/>
      <c r="AG526" s="142"/>
      <c r="AH526" s="142"/>
      <c r="AI526" s="142"/>
      <c r="AJ526" s="142"/>
      <c r="AK526" s="142"/>
      <c r="AL526" s="142"/>
      <c r="AM526" s="142"/>
      <c r="AN526" s="142"/>
      <c r="AO526" s="142"/>
      <c r="AP526" s="130"/>
      <c r="AQ526" s="130"/>
      <c r="AR526" s="130"/>
      <c r="AS526" s="130"/>
      <c r="AT526" s="130"/>
      <c r="AU526" s="130"/>
      <c r="AV526" s="130"/>
      <c r="AW526" s="130"/>
      <c r="AX526" s="130"/>
      <c r="AY526" s="130"/>
      <c r="AZ526" s="130"/>
      <c r="BA526" s="130"/>
      <c r="BB526" s="130"/>
      <c r="BC526" s="130"/>
      <c r="BD526" s="130"/>
    </row>
    <row r="527" ht="15.75" customHeight="1">
      <c r="A527" s="142"/>
      <c r="B527" s="142"/>
      <c r="C527" s="198"/>
      <c r="D527" s="142"/>
      <c r="E527" s="131"/>
      <c r="F527" s="142"/>
      <c r="G527" s="142"/>
      <c r="H527" s="131"/>
      <c r="I527" s="142"/>
      <c r="J527" s="142"/>
      <c r="K527" s="132"/>
      <c r="L527" s="131"/>
      <c r="M527" s="142"/>
      <c r="N527" s="142"/>
      <c r="O527" s="142"/>
      <c r="P527" s="142"/>
      <c r="Q527" s="142"/>
      <c r="R527" s="142"/>
      <c r="S527" s="142"/>
      <c r="T527" s="142"/>
      <c r="U527" s="142"/>
      <c r="V527" s="142"/>
      <c r="W527" s="142"/>
      <c r="X527" s="142"/>
      <c r="Y527" s="142"/>
      <c r="Z527" s="142"/>
      <c r="AA527" s="142"/>
      <c r="AB527" s="142"/>
      <c r="AC527" s="142"/>
      <c r="AD527" s="142"/>
      <c r="AE527" s="142"/>
      <c r="AF527" s="142"/>
      <c r="AG527" s="142"/>
      <c r="AH527" s="142"/>
      <c r="AI527" s="142"/>
      <c r="AJ527" s="142"/>
      <c r="AK527" s="142"/>
      <c r="AL527" s="142"/>
      <c r="AM527" s="142"/>
      <c r="AN527" s="142"/>
      <c r="AO527" s="142"/>
      <c r="AP527" s="130"/>
      <c r="AQ527" s="130"/>
      <c r="AR527" s="130"/>
      <c r="AS527" s="130"/>
      <c r="AT527" s="130"/>
      <c r="AU527" s="130"/>
      <c r="AV527" s="130"/>
      <c r="AW527" s="130"/>
      <c r="AX527" s="130"/>
      <c r="AY527" s="130"/>
      <c r="AZ527" s="130"/>
      <c r="BA527" s="130"/>
      <c r="BB527" s="130"/>
      <c r="BC527" s="130"/>
      <c r="BD527" s="130"/>
    </row>
    <row r="528" ht="15.75" customHeight="1">
      <c r="A528" s="142"/>
      <c r="B528" s="142"/>
      <c r="C528" s="198"/>
      <c r="D528" s="142"/>
      <c r="E528" s="131"/>
      <c r="F528" s="142"/>
      <c r="G528" s="142"/>
      <c r="H528" s="131"/>
      <c r="I528" s="142"/>
      <c r="J528" s="142"/>
      <c r="K528" s="132"/>
      <c r="L528" s="131"/>
      <c r="M528" s="142"/>
      <c r="N528" s="142"/>
      <c r="O528" s="142"/>
      <c r="P528" s="142"/>
      <c r="Q528" s="142"/>
      <c r="R528" s="142"/>
      <c r="S528" s="142"/>
      <c r="T528" s="142"/>
      <c r="U528" s="142"/>
      <c r="V528" s="142"/>
      <c r="W528" s="142"/>
      <c r="X528" s="142"/>
      <c r="Y528" s="142"/>
      <c r="Z528" s="142"/>
      <c r="AA528" s="142"/>
      <c r="AB528" s="142"/>
      <c r="AC528" s="142"/>
      <c r="AD528" s="142"/>
      <c r="AE528" s="142"/>
      <c r="AF528" s="142"/>
      <c r="AG528" s="142"/>
      <c r="AH528" s="142"/>
      <c r="AI528" s="142"/>
      <c r="AJ528" s="142"/>
      <c r="AK528" s="142"/>
      <c r="AL528" s="142"/>
      <c r="AM528" s="142"/>
      <c r="AN528" s="142"/>
      <c r="AO528" s="142"/>
      <c r="AP528" s="130"/>
      <c r="AQ528" s="130"/>
      <c r="AR528" s="130"/>
      <c r="AS528" s="130"/>
      <c r="AT528" s="130"/>
      <c r="AU528" s="130"/>
      <c r="AV528" s="130"/>
      <c r="AW528" s="130"/>
      <c r="AX528" s="130"/>
      <c r="AY528" s="130"/>
      <c r="AZ528" s="130"/>
      <c r="BA528" s="130"/>
      <c r="BB528" s="130"/>
      <c r="BC528" s="130"/>
      <c r="BD528" s="130"/>
    </row>
    <row r="529" ht="15.75" customHeight="1">
      <c r="A529" s="142"/>
      <c r="B529" s="142"/>
      <c r="C529" s="198"/>
      <c r="D529" s="142"/>
      <c r="E529" s="131"/>
      <c r="F529" s="142"/>
      <c r="G529" s="142"/>
      <c r="H529" s="131"/>
      <c r="I529" s="142"/>
      <c r="J529" s="142"/>
      <c r="K529" s="132"/>
      <c r="L529" s="131"/>
      <c r="M529" s="142"/>
      <c r="N529" s="142"/>
      <c r="O529" s="142"/>
      <c r="P529" s="142"/>
      <c r="Q529" s="142"/>
      <c r="R529" s="142"/>
      <c r="S529" s="142"/>
      <c r="T529" s="142"/>
      <c r="U529" s="142"/>
      <c r="V529" s="142"/>
      <c r="W529" s="142"/>
      <c r="X529" s="142"/>
      <c r="Y529" s="142"/>
      <c r="Z529" s="142"/>
      <c r="AA529" s="142"/>
      <c r="AB529" s="142"/>
      <c r="AC529" s="142"/>
      <c r="AD529" s="142"/>
      <c r="AE529" s="142"/>
      <c r="AF529" s="142"/>
      <c r="AG529" s="142"/>
      <c r="AH529" s="142"/>
      <c r="AI529" s="142"/>
      <c r="AJ529" s="142"/>
      <c r="AK529" s="142"/>
      <c r="AL529" s="142"/>
      <c r="AM529" s="142"/>
      <c r="AN529" s="142"/>
      <c r="AO529" s="142"/>
      <c r="AP529" s="130"/>
      <c r="AQ529" s="130"/>
      <c r="AR529" s="130"/>
      <c r="AS529" s="130"/>
      <c r="AT529" s="130"/>
      <c r="AU529" s="130"/>
      <c r="AV529" s="130"/>
      <c r="AW529" s="130"/>
      <c r="AX529" s="130"/>
      <c r="AY529" s="130"/>
      <c r="AZ529" s="130"/>
      <c r="BA529" s="130"/>
      <c r="BB529" s="130"/>
      <c r="BC529" s="130"/>
      <c r="BD529" s="130"/>
    </row>
    <row r="530" ht="15.75" customHeight="1">
      <c r="A530" s="142"/>
      <c r="B530" s="142"/>
      <c r="C530" s="198"/>
      <c r="D530" s="142"/>
      <c r="E530" s="131"/>
      <c r="F530" s="142"/>
      <c r="G530" s="142"/>
      <c r="H530" s="131"/>
      <c r="I530" s="142"/>
      <c r="J530" s="142"/>
      <c r="K530" s="132"/>
      <c r="L530" s="131"/>
      <c r="M530" s="142"/>
      <c r="N530" s="142"/>
      <c r="O530" s="142"/>
      <c r="P530" s="142"/>
      <c r="Q530" s="142"/>
      <c r="R530" s="142"/>
      <c r="S530" s="142"/>
      <c r="T530" s="142"/>
      <c r="U530" s="142"/>
      <c r="V530" s="142"/>
      <c r="W530" s="142"/>
      <c r="X530" s="142"/>
      <c r="Y530" s="142"/>
      <c r="Z530" s="142"/>
      <c r="AA530" s="142"/>
      <c r="AB530" s="142"/>
      <c r="AC530" s="142"/>
      <c r="AD530" s="142"/>
      <c r="AE530" s="142"/>
      <c r="AF530" s="142"/>
      <c r="AG530" s="142"/>
      <c r="AH530" s="142"/>
      <c r="AI530" s="142"/>
      <c r="AJ530" s="142"/>
      <c r="AK530" s="142"/>
      <c r="AL530" s="142"/>
      <c r="AM530" s="142"/>
      <c r="AN530" s="142"/>
      <c r="AO530" s="142"/>
      <c r="AP530" s="130"/>
      <c r="AQ530" s="130"/>
      <c r="AR530" s="130"/>
      <c r="AS530" s="130"/>
      <c r="AT530" s="130"/>
      <c r="AU530" s="130"/>
      <c r="AV530" s="130"/>
      <c r="AW530" s="130"/>
      <c r="AX530" s="130"/>
      <c r="AY530" s="130"/>
      <c r="AZ530" s="130"/>
      <c r="BA530" s="130"/>
      <c r="BB530" s="130"/>
      <c r="BC530" s="130"/>
      <c r="BD530" s="130"/>
    </row>
    <row r="531" ht="15.75" customHeight="1">
      <c r="A531" s="142"/>
      <c r="B531" s="142"/>
      <c r="C531" s="198"/>
      <c r="D531" s="142"/>
      <c r="E531" s="131"/>
      <c r="F531" s="142"/>
      <c r="G531" s="142"/>
      <c r="H531" s="131"/>
      <c r="I531" s="142"/>
      <c r="J531" s="142"/>
      <c r="K531" s="132"/>
      <c r="L531" s="131"/>
      <c r="M531" s="142"/>
      <c r="N531" s="142"/>
      <c r="O531" s="142"/>
      <c r="P531" s="142"/>
      <c r="Q531" s="142"/>
      <c r="R531" s="142"/>
      <c r="S531" s="142"/>
      <c r="T531" s="142"/>
      <c r="U531" s="142"/>
      <c r="V531" s="142"/>
      <c r="W531" s="142"/>
      <c r="X531" s="142"/>
      <c r="Y531" s="142"/>
      <c r="Z531" s="142"/>
      <c r="AA531" s="142"/>
      <c r="AB531" s="142"/>
      <c r="AC531" s="142"/>
      <c r="AD531" s="142"/>
      <c r="AE531" s="142"/>
      <c r="AF531" s="142"/>
      <c r="AG531" s="142"/>
      <c r="AH531" s="142"/>
      <c r="AI531" s="142"/>
      <c r="AJ531" s="142"/>
      <c r="AK531" s="142"/>
      <c r="AL531" s="142"/>
      <c r="AM531" s="142"/>
      <c r="AN531" s="142"/>
      <c r="AO531" s="142"/>
      <c r="AP531" s="130"/>
      <c r="AQ531" s="130"/>
      <c r="AR531" s="130"/>
      <c r="AS531" s="130"/>
      <c r="AT531" s="130"/>
      <c r="AU531" s="130"/>
      <c r="AV531" s="130"/>
      <c r="AW531" s="130"/>
      <c r="AX531" s="130"/>
      <c r="AY531" s="130"/>
      <c r="AZ531" s="130"/>
      <c r="BA531" s="130"/>
      <c r="BB531" s="130"/>
      <c r="BC531" s="130"/>
      <c r="BD531" s="130"/>
    </row>
    <row r="532" ht="15.75" customHeight="1">
      <c r="A532" s="142"/>
      <c r="B532" s="142"/>
      <c r="C532" s="198"/>
      <c r="D532" s="142"/>
      <c r="E532" s="131"/>
      <c r="F532" s="142"/>
      <c r="G532" s="142"/>
      <c r="H532" s="131"/>
      <c r="I532" s="142"/>
      <c r="J532" s="142"/>
      <c r="K532" s="132"/>
      <c r="L532" s="131"/>
      <c r="M532" s="142"/>
      <c r="N532" s="142"/>
      <c r="O532" s="142"/>
      <c r="P532" s="142"/>
      <c r="Q532" s="142"/>
      <c r="R532" s="142"/>
      <c r="S532" s="142"/>
      <c r="T532" s="142"/>
      <c r="U532" s="142"/>
      <c r="V532" s="142"/>
      <c r="W532" s="142"/>
      <c r="X532" s="142"/>
      <c r="Y532" s="142"/>
      <c r="Z532" s="142"/>
      <c r="AA532" s="142"/>
      <c r="AB532" s="142"/>
      <c r="AC532" s="142"/>
      <c r="AD532" s="142"/>
      <c r="AE532" s="142"/>
      <c r="AF532" s="142"/>
      <c r="AG532" s="142"/>
      <c r="AH532" s="142"/>
      <c r="AI532" s="142"/>
      <c r="AJ532" s="142"/>
      <c r="AK532" s="142"/>
      <c r="AL532" s="142"/>
      <c r="AM532" s="142"/>
      <c r="AN532" s="142"/>
      <c r="AO532" s="142"/>
      <c r="AP532" s="130"/>
      <c r="AQ532" s="130"/>
      <c r="AR532" s="130"/>
      <c r="AS532" s="130"/>
      <c r="AT532" s="130"/>
      <c r="AU532" s="130"/>
      <c r="AV532" s="130"/>
      <c r="AW532" s="130"/>
      <c r="AX532" s="130"/>
      <c r="AY532" s="130"/>
      <c r="AZ532" s="130"/>
      <c r="BA532" s="130"/>
      <c r="BB532" s="130"/>
      <c r="BC532" s="130"/>
      <c r="BD532" s="130"/>
    </row>
    <row r="533" ht="15.75" customHeight="1">
      <c r="A533" s="142"/>
      <c r="B533" s="142"/>
      <c r="C533" s="198"/>
      <c r="D533" s="142"/>
      <c r="E533" s="131"/>
      <c r="F533" s="142"/>
      <c r="G533" s="142"/>
      <c r="H533" s="131"/>
      <c r="I533" s="142"/>
      <c r="J533" s="142"/>
      <c r="K533" s="132"/>
      <c r="L533" s="131"/>
      <c r="M533" s="142"/>
      <c r="N533" s="142"/>
      <c r="O533" s="142"/>
      <c r="P533" s="142"/>
      <c r="Q533" s="142"/>
      <c r="R533" s="142"/>
      <c r="S533" s="142"/>
      <c r="T533" s="142"/>
      <c r="U533" s="142"/>
      <c r="V533" s="142"/>
      <c r="W533" s="142"/>
      <c r="X533" s="142"/>
      <c r="Y533" s="142"/>
      <c r="Z533" s="142"/>
      <c r="AA533" s="142"/>
      <c r="AB533" s="142"/>
      <c r="AC533" s="142"/>
      <c r="AD533" s="142"/>
      <c r="AE533" s="142"/>
      <c r="AF533" s="142"/>
      <c r="AG533" s="142"/>
      <c r="AH533" s="142"/>
      <c r="AI533" s="142"/>
      <c r="AJ533" s="142"/>
      <c r="AK533" s="142"/>
      <c r="AL533" s="142"/>
      <c r="AM533" s="142"/>
      <c r="AN533" s="142"/>
      <c r="AO533" s="142"/>
      <c r="AP533" s="130"/>
      <c r="AQ533" s="130"/>
      <c r="AR533" s="130"/>
      <c r="AS533" s="130"/>
      <c r="AT533" s="130"/>
      <c r="AU533" s="130"/>
      <c r="AV533" s="130"/>
      <c r="AW533" s="130"/>
      <c r="AX533" s="130"/>
      <c r="AY533" s="130"/>
      <c r="AZ533" s="130"/>
      <c r="BA533" s="130"/>
      <c r="BB533" s="130"/>
      <c r="BC533" s="130"/>
      <c r="BD533" s="130"/>
    </row>
    <row r="534" ht="15.75" customHeight="1">
      <c r="A534" s="142"/>
      <c r="B534" s="142"/>
      <c r="C534" s="198"/>
      <c r="D534" s="142"/>
      <c r="E534" s="131"/>
      <c r="F534" s="142"/>
      <c r="G534" s="142"/>
      <c r="H534" s="131"/>
      <c r="I534" s="142"/>
      <c r="J534" s="142"/>
      <c r="K534" s="132"/>
      <c r="L534" s="131"/>
      <c r="M534" s="142"/>
      <c r="N534" s="142"/>
      <c r="O534" s="142"/>
      <c r="P534" s="142"/>
      <c r="Q534" s="142"/>
      <c r="R534" s="142"/>
      <c r="S534" s="142"/>
      <c r="T534" s="142"/>
      <c r="U534" s="142"/>
      <c r="V534" s="142"/>
      <c r="W534" s="142"/>
      <c r="X534" s="142"/>
      <c r="Y534" s="142"/>
      <c r="Z534" s="142"/>
      <c r="AA534" s="142"/>
      <c r="AB534" s="142"/>
      <c r="AC534" s="142"/>
      <c r="AD534" s="142"/>
      <c r="AE534" s="142"/>
      <c r="AF534" s="142"/>
      <c r="AG534" s="142"/>
      <c r="AH534" s="142"/>
      <c r="AI534" s="142"/>
      <c r="AJ534" s="142"/>
      <c r="AK534" s="142"/>
      <c r="AL534" s="142"/>
      <c r="AM534" s="142"/>
      <c r="AN534" s="142"/>
      <c r="AO534" s="142"/>
      <c r="AP534" s="130"/>
      <c r="AQ534" s="130"/>
      <c r="AR534" s="130"/>
      <c r="AS534" s="130"/>
      <c r="AT534" s="130"/>
      <c r="AU534" s="130"/>
      <c r="AV534" s="130"/>
      <c r="AW534" s="130"/>
      <c r="AX534" s="130"/>
      <c r="AY534" s="130"/>
      <c r="AZ534" s="130"/>
      <c r="BA534" s="130"/>
      <c r="BB534" s="130"/>
      <c r="BC534" s="130"/>
      <c r="BD534" s="130"/>
    </row>
    <row r="535" ht="15.75" customHeight="1">
      <c r="A535" s="142"/>
      <c r="B535" s="142"/>
      <c r="C535" s="198"/>
      <c r="D535" s="142"/>
      <c r="E535" s="131"/>
      <c r="F535" s="142"/>
      <c r="G535" s="142"/>
      <c r="H535" s="131"/>
      <c r="I535" s="142"/>
      <c r="J535" s="142"/>
      <c r="K535" s="132"/>
      <c r="L535" s="131"/>
      <c r="M535" s="142"/>
      <c r="N535" s="142"/>
      <c r="O535" s="142"/>
      <c r="P535" s="142"/>
      <c r="Q535" s="142"/>
      <c r="R535" s="142"/>
      <c r="S535" s="142"/>
      <c r="T535" s="142"/>
      <c r="U535" s="142"/>
      <c r="V535" s="142"/>
      <c r="W535" s="142"/>
      <c r="X535" s="142"/>
      <c r="Y535" s="142"/>
      <c r="Z535" s="142"/>
      <c r="AA535" s="142"/>
      <c r="AB535" s="142"/>
      <c r="AC535" s="142"/>
      <c r="AD535" s="142"/>
      <c r="AE535" s="142"/>
      <c r="AF535" s="142"/>
      <c r="AG535" s="142"/>
      <c r="AH535" s="142"/>
      <c r="AI535" s="142"/>
      <c r="AJ535" s="142"/>
      <c r="AK535" s="142"/>
      <c r="AL535" s="142"/>
      <c r="AM535" s="142"/>
      <c r="AN535" s="142"/>
      <c r="AO535" s="142"/>
      <c r="AP535" s="130"/>
      <c r="AQ535" s="130"/>
      <c r="AR535" s="130"/>
      <c r="AS535" s="130"/>
      <c r="AT535" s="130"/>
      <c r="AU535" s="130"/>
      <c r="AV535" s="130"/>
      <c r="AW535" s="130"/>
      <c r="AX535" s="130"/>
      <c r="AY535" s="130"/>
      <c r="AZ535" s="130"/>
      <c r="BA535" s="130"/>
      <c r="BB535" s="130"/>
      <c r="BC535" s="130"/>
      <c r="BD535" s="130"/>
    </row>
    <row r="536" ht="15.75" customHeight="1">
      <c r="A536" s="142"/>
      <c r="B536" s="142"/>
      <c r="C536" s="198"/>
      <c r="D536" s="142"/>
      <c r="E536" s="131"/>
      <c r="F536" s="142"/>
      <c r="G536" s="142"/>
      <c r="H536" s="131"/>
      <c r="I536" s="142"/>
      <c r="J536" s="142"/>
      <c r="K536" s="132"/>
      <c r="L536" s="131"/>
      <c r="M536" s="142"/>
      <c r="N536" s="142"/>
      <c r="O536" s="142"/>
      <c r="P536" s="142"/>
      <c r="Q536" s="142"/>
      <c r="R536" s="142"/>
      <c r="S536" s="142"/>
      <c r="T536" s="142"/>
      <c r="U536" s="142"/>
      <c r="V536" s="142"/>
      <c r="W536" s="142"/>
      <c r="X536" s="142"/>
      <c r="Y536" s="142"/>
      <c r="Z536" s="142"/>
      <c r="AA536" s="142"/>
      <c r="AB536" s="142"/>
      <c r="AC536" s="142"/>
      <c r="AD536" s="142"/>
      <c r="AE536" s="142"/>
      <c r="AF536" s="142"/>
      <c r="AG536" s="142"/>
      <c r="AH536" s="142"/>
      <c r="AI536" s="142"/>
      <c r="AJ536" s="142"/>
      <c r="AK536" s="142"/>
      <c r="AL536" s="142"/>
      <c r="AM536" s="142"/>
      <c r="AN536" s="142"/>
      <c r="AO536" s="142"/>
      <c r="AP536" s="130"/>
      <c r="AQ536" s="130"/>
      <c r="AR536" s="130"/>
      <c r="AS536" s="130"/>
      <c r="AT536" s="130"/>
      <c r="AU536" s="130"/>
      <c r="AV536" s="130"/>
      <c r="AW536" s="130"/>
      <c r="AX536" s="130"/>
      <c r="AY536" s="130"/>
      <c r="AZ536" s="130"/>
      <c r="BA536" s="130"/>
      <c r="BB536" s="130"/>
      <c r="BC536" s="130"/>
      <c r="BD536" s="130"/>
    </row>
    <row r="537" ht="15.75" customHeight="1">
      <c r="A537" s="142"/>
      <c r="B537" s="142"/>
      <c r="C537" s="198"/>
      <c r="D537" s="142"/>
      <c r="E537" s="131"/>
      <c r="F537" s="142"/>
      <c r="G537" s="142"/>
      <c r="H537" s="131"/>
      <c r="I537" s="142"/>
      <c r="J537" s="142"/>
      <c r="K537" s="132"/>
      <c r="L537" s="131"/>
      <c r="M537" s="142"/>
      <c r="N537" s="142"/>
      <c r="O537" s="142"/>
      <c r="P537" s="142"/>
      <c r="Q537" s="142"/>
      <c r="R537" s="142"/>
      <c r="S537" s="142"/>
      <c r="T537" s="142"/>
      <c r="U537" s="142"/>
      <c r="V537" s="142"/>
      <c r="W537" s="142"/>
      <c r="X537" s="142"/>
      <c r="Y537" s="142"/>
      <c r="Z537" s="142"/>
      <c r="AA537" s="142"/>
      <c r="AB537" s="142"/>
      <c r="AC537" s="142"/>
      <c r="AD537" s="142"/>
      <c r="AE537" s="142"/>
      <c r="AF537" s="142"/>
      <c r="AG537" s="142"/>
      <c r="AH537" s="142"/>
      <c r="AI537" s="142"/>
      <c r="AJ537" s="142"/>
      <c r="AK537" s="142"/>
      <c r="AL537" s="142"/>
      <c r="AM537" s="142"/>
      <c r="AN537" s="142"/>
      <c r="AO537" s="142"/>
      <c r="AP537" s="130"/>
      <c r="AQ537" s="130"/>
      <c r="AR537" s="130"/>
      <c r="AS537" s="130"/>
      <c r="AT537" s="130"/>
      <c r="AU537" s="130"/>
      <c r="AV537" s="130"/>
      <c r="AW537" s="130"/>
      <c r="AX537" s="130"/>
      <c r="AY537" s="130"/>
      <c r="AZ537" s="130"/>
      <c r="BA537" s="130"/>
      <c r="BB537" s="130"/>
      <c r="BC537" s="130"/>
      <c r="BD537" s="130"/>
    </row>
    <row r="538" ht="15.75" customHeight="1">
      <c r="A538" s="142"/>
      <c r="B538" s="142"/>
      <c r="C538" s="198"/>
      <c r="D538" s="142"/>
      <c r="E538" s="131"/>
      <c r="F538" s="142"/>
      <c r="G538" s="142"/>
      <c r="H538" s="131"/>
      <c r="I538" s="142"/>
      <c r="J538" s="142"/>
      <c r="K538" s="132"/>
      <c r="L538" s="131"/>
      <c r="M538" s="142"/>
      <c r="N538" s="142"/>
      <c r="O538" s="142"/>
      <c r="P538" s="142"/>
      <c r="Q538" s="142"/>
      <c r="R538" s="142"/>
      <c r="S538" s="142"/>
      <c r="T538" s="142"/>
      <c r="U538" s="142"/>
      <c r="V538" s="142"/>
      <c r="W538" s="142"/>
      <c r="X538" s="142"/>
      <c r="Y538" s="142"/>
      <c r="Z538" s="142"/>
      <c r="AA538" s="142"/>
      <c r="AB538" s="142"/>
      <c r="AC538" s="142"/>
      <c r="AD538" s="142"/>
      <c r="AE538" s="142"/>
      <c r="AF538" s="142"/>
      <c r="AG538" s="142"/>
      <c r="AH538" s="142"/>
      <c r="AI538" s="142"/>
      <c r="AJ538" s="142"/>
      <c r="AK538" s="142"/>
      <c r="AL538" s="142"/>
      <c r="AM538" s="142"/>
      <c r="AN538" s="142"/>
      <c r="AO538" s="142"/>
      <c r="AP538" s="130"/>
      <c r="AQ538" s="130"/>
      <c r="AR538" s="130"/>
      <c r="AS538" s="130"/>
      <c r="AT538" s="130"/>
      <c r="AU538" s="130"/>
      <c r="AV538" s="130"/>
      <c r="AW538" s="130"/>
      <c r="AX538" s="130"/>
      <c r="AY538" s="130"/>
      <c r="AZ538" s="130"/>
      <c r="BA538" s="130"/>
      <c r="BB538" s="130"/>
      <c r="BC538" s="130"/>
      <c r="BD538" s="130"/>
    </row>
    <row r="539" ht="15.75" customHeight="1">
      <c r="A539" s="142"/>
      <c r="B539" s="142"/>
      <c r="C539" s="198"/>
      <c r="D539" s="142"/>
      <c r="E539" s="131"/>
      <c r="F539" s="142"/>
      <c r="G539" s="142"/>
      <c r="H539" s="131"/>
      <c r="I539" s="142"/>
      <c r="J539" s="142"/>
      <c r="K539" s="132"/>
      <c r="L539" s="131"/>
      <c r="M539" s="142"/>
      <c r="N539" s="142"/>
      <c r="O539" s="142"/>
      <c r="P539" s="142"/>
      <c r="Q539" s="142"/>
      <c r="R539" s="142"/>
      <c r="S539" s="142"/>
      <c r="T539" s="142"/>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30"/>
      <c r="AQ539" s="130"/>
      <c r="AR539" s="130"/>
      <c r="AS539" s="130"/>
      <c r="AT539" s="130"/>
      <c r="AU539" s="130"/>
      <c r="AV539" s="130"/>
      <c r="AW539" s="130"/>
      <c r="AX539" s="130"/>
      <c r="AY539" s="130"/>
      <c r="AZ539" s="130"/>
      <c r="BA539" s="130"/>
      <c r="BB539" s="130"/>
      <c r="BC539" s="130"/>
      <c r="BD539" s="130"/>
    </row>
    <row r="540" ht="15.75" customHeight="1">
      <c r="A540" s="142"/>
      <c r="B540" s="142"/>
      <c r="C540" s="198"/>
      <c r="D540" s="142"/>
      <c r="E540" s="131"/>
      <c r="F540" s="142"/>
      <c r="G540" s="142"/>
      <c r="H540" s="131"/>
      <c r="I540" s="142"/>
      <c r="J540" s="142"/>
      <c r="K540" s="132"/>
      <c r="L540" s="131"/>
      <c r="M540" s="142"/>
      <c r="N540" s="142"/>
      <c r="O540" s="142"/>
      <c r="P540" s="142"/>
      <c r="Q540" s="142"/>
      <c r="R540" s="142"/>
      <c r="S540" s="142"/>
      <c r="T540" s="142"/>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30"/>
      <c r="AQ540" s="130"/>
      <c r="AR540" s="130"/>
      <c r="AS540" s="130"/>
      <c r="AT540" s="130"/>
      <c r="AU540" s="130"/>
      <c r="AV540" s="130"/>
      <c r="AW540" s="130"/>
      <c r="AX540" s="130"/>
      <c r="AY540" s="130"/>
      <c r="AZ540" s="130"/>
      <c r="BA540" s="130"/>
      <c r="BB540" s="130"/>
      <c r="BC540" s="130"/>
      <c r="BD540" s="130"/>
    </row>
    <row r="541" ht="15.75" customHeight="1">
      <c r="A541" s="142"/>
      <c r="B541" s="142"/>
      <c r="C541" s="198"/>
      <c r="D541" s="142"/>
      <c r="E541" s="131"/>
      <c r="F541" s="142"/>
      <c r="G541" s="142"/>
      <c r="H541" s="131"/>
      <c r="I541" s="142"/>
      <c r="J541" s="142"/>
      <c r="K541" s="132"/>
      <c r="L541" s="131"/>
      <c r="M541" s="142"/>
      <c r="N541" s="142"/>
      <c r="O541" s="142"/>
      <c r="P541" s="142"/>
      <c r="Q541" s="142"/>
      <c r="R541" s="142"/>
      <c r="S541" s="142"/>
      <c r="T541" s="142"/>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30"/>
      <c r="AQ541" s="130"/>
      <c r="AR541" s="130"/>
      <c r="AS541" s="130"/>
      <c r="AT541" s="130"/>
      <c r="AU541" s="130"/>
      <c r="AV541" s="130"/>
      <c r="AW541" s="130"/>
      <c r="AX541" s="130"/>
      <c r="AY541" s="130"/>
      <c r="AZ541" s="130"/>
      <c r="BA541" s="130"/>
      <c r="BB541" s="130"/>
      <c r="BC541" s="130"/>
      <c r="BD541" s="130"/>
    </row>
    <row r="542" ht="15.75" customHeight="1">
      <c r="A542" s="142"/>
      <c r="B542" s="142"/>
      <c r="C542" s="198"/>
      <c r="D542" s="142"/>
      <c r="E542" s="131"/>
      <c r="F542" s="142"/>
      <c r="G542" s="142"/>
      <c r="H542" s="131"/>
      <c r="I542" s="142"/>
      <c r="J542" s="142"/>
      <c r="K542" s="132"/>
      <c r="L542" s="131"/>
      <c r="M542" s="142"/>
      <c r="N542" s="142"/>
      <c r="O542" s="142"/>
      <c r="P542" s="142"/>
      <c r="Q542" s="142"/>
      <c r="R542" s="142"/>
      <c r="S542" s="142"/>
      <c r="T542" s="142"/>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30"/>
      <c r="AQ542" s="130"/>
      <c r="AR542" s="130"/>
      <c r="AS542" s="130"/>
      <c r="AT542" s="130"/>
      <c r="AU542" s="130"/>
      <c r="AV542" s="130"/>
      <c r="AW542" s="130"/>
      <c r="AX542" s="130"/>
      <c r="AY542" s="130"/>
      <c r="AZ542" s="130"/>
      <c r="BA542" s="130"/>
      <c r="BB542" s="130"/>
      <c r="BC542" s="130"/>
      <c r="BD542" s="130"/>
    </row>
    <row r="543" ht="15.75" customHeight="1">
      <c r="A543" s="142"/>
      <c r="B543" s="142"/>
      <c r="C543" s="198"/>
      <c r="D543" s="142"/>
      <c r="E543" s="131"/>
      <c r="F543" s="142"/>
      <c r="G543" s="142"/>
      <c r="H543" s="131"/>
      <c r="I543" s="142"/>
      <c r="J543" s="142"/>
      <c r="K543" s="132"/>
      <c r="L543" s="131"/>
      <c r="M543" s="142"/>
      <c r="N543" s="142"/>
      <c r="O543" s="142"/>
      <c r="P543" s="142"/>
      <c r="Q543" s="142"/>
      <c r="R543" s="142"/>
      <c r="S543" s="142"/>
      <c r="T543" s="142"/>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30"/>
      <c r="AQ543" s="130"/>
      <c r="AR543" s="130"/>
      <c r="AS543" s="130"/>
      <c r="AT543" s="130"/>
      <c r="AU543" s="130"/>
      <c r="AV543" s="130"/>
      <c r="AW543" s="130"/>
      <c r="AX543" s="130"/>
      <c r="AY543" s="130"/>
      <c r="AZ543" s="130"/>
      <c r="BA543" s="130"/>
      <c r="BB543" s="130"/>
      <c r="BC543" s="130"/>
      <c r="BD543" s="130"/>
    </row>
    <row r="544" ht="15.75" customHeight="1">
      <c r="A544" s="142"/>
      <c r="B544" s="142"/>
      <c r="C544" s="198"/>
      <c r="D544" s="142"/>
      <c r="E544" s="131"/>
      <c r="F544" s="142"/>
      <c r="G544" s="142"/>
      <c r="H544" s="131"/>
      <c r="I544" s="142"/>
      <c r="J544" s="142"/>
      <c r="K544" s="132"/>
      <c r="L544" s="131"/>
      <c r="M544" s="142"/>
      <c r="N544" s="142"/>
      <c r="O544" s="142"/>
      <c r="P544" s="142"/>
      <c r="Q544" s="142"/>
      <c r="R544" s="142"/>
      <c r="S544" s="142"/>
      <c r="T544" s="142"/>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30"/>
      <c r="AQ544" s="130"/>
      <c r="AR544" s="130"/>
      <c r="AS544" s="130"/>
      <c r="AT544" s="130"/>
      <c r="AU544" s="130"/>
      <c r="AV544" s="130"/>
      <c r="AW544" s="130"/>
      <c r="AX544" s="130"/>
      <c r="AY544" s="130"/>
      <c r="AZ544" s="130"/>
      <c r="BA544" s="130"/>
      <c r="BB544" s="130"/>
      <c r="BC544" s="130"/>
      <c r="BD544" s="130"/>
    </row>
    <row r="545" ht="15.75" customHeight="1">
      <c r="A545" s="142"/>
      <c r="B545" s="142"/>
      <c r="C545" s="198"/>
      <c r="D545" s="142"/>
      <c r="E545" s="131"/>
      <c r="F545" s="142"/>
      <c r="G545" s="142"/>
      <c r="H545" s="131"/>
      <c r="I545" s="142"/>
      <c r="J545" s="142"/>
      <c r="K545" s="132"/>
      <c r="L545" s="131"/>
      <c r="M545" s="142"/>
      <c r="N545" s="142"/>
      <c r="O545" s="142"/>
      <c r="P545" s="142"/>
      <c r="Q545" s="142"/>
      <c r="R545" s="142"/>
      <c r="S545" s="142"/>
      <c r="T545" s="142"/>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30"/>
      <c r="AQ545" s="130"/>
      <c r="AR545" s="130"/>
      <c r="AS545" s="130"/>
      <c r="AT545" s="130"/>
      <c r="AU545" s="130"/>
      <c r="AV545" s="130"/>
      <c r="AW545" s="130"/>
      <c r="AX545" s="130"/>
      <c r="AY545" s="130"/>
      <c r="AZ545" s="130"/>
      <c r="BA545" s="130"/>
      <c r="BB545" s="130"/>
      <c r="BC545" s="130"/>
      <c r="BD545" s="130"/>
    </row>
    <row r="546" ht="15.75" customHeight="1">
      <c r="A546" s="142"/>
      <c r="B546" s="142"/>
      <c r="C546" s="198"/>
      <c r="D546" s="142"/>
      <c r="E546" s="131"/>
      <c r="F546" s="142"/>
      <c r="G546" s="142"/>
      <c r="H546" s="131"/>
      <c r="I546" s="142"/>
      <c r="J546" s="142"/>
      <c r="K546" s="132"/>
      <c r="L546" s="131"/>
      <c r="M546" s="142"/>
      <c r="N546" s="142"/>
      <c r="O546" s="142"/>
      <c r="P546" s="142"/>
      <c r="Q546" s="142"/>
      <c r="R546" s="142"/>
      <c r="S546" s="142"/>
      <c r="T546" s="142"/>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30"/>
      <c r="AQ546" s="130"/>
      <c r="AR546" s="130"/>
      <c r="AS546" s="130"/>
      <c r="AT546" s="130"/>
      <c r="AU546" s="130"/>
      <c r="AV546" s="130"/>
      <c r="AW546" s="130"/>
      <c r="AX546" s="130"/>
      <c r="AY546" s="130"/>
      <c r="AZ546" s="130"/>
      <c r="BA546" s="130"/>
      <c r="BB546" s="130"/>
      <c r="BC546" s="130"/>
      <c r="BD546" s="130"/>
    </row>
    <row r="547" ht="15.75" customHeight="1">
      <c r="A547" s="142"/>
      <c r="B547" s="142"/>
      <c r="C547" s="198"/>
      <c r="D547" s="142"/>
      <c r="E547" s="131"/>
      <c r="F547" s="142"/>
      <c r="G547" s="142"/>
      <c r="H547" s="131"/>
      <c r="I547" s="142"/>
      <c r="J547" s="142"/>
      <c r="K547" s="132"/>
      <c r="L547" s="131"/>
      <c r="M547" s="142"/>
      <c r="N547" s="142"/>
      <c r="O547" s="142"/>
      <c r="P547" s="142"/>
      <c r="Q547" s="142"/>
      <c r="R547" s="142"/>
      <c r="S547" s="142"/>
      <c r="T547" s="142"/>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30"/>
      <c r="AQ547" s="130"/>
      <c r="AR547" s="130"/>
      <c r="AS547" s="130"/>
      <c r="AT547" s="130"/>
      <c r="AU547" s="130"/>
      <c r="AV547" s="130"/>
      <c r="AW547" s="130"/>
      <c r="AX547" s="130"/>
      <c r="AY547" s="130"/>
      <c r="AZ547" s="130"/>
      <c r="BA547" s="130"/>
      <c r="BB547" s="130"/>
      <c r="BC547" s="130"/>
      <c r="BD547" s="130"/>
    </row>
    <row r="548" ht="15.75" customHeight="1">
      <c r="A548" s="142"/>
      <c r="B548" s="142"/>
      <c r="C548" s="198"/>
      <c r="D548" s="142"/>
      <c r="E548" s="131"/>
      <c r="F548" s="142"/>
      <c r="G548" s="142"/>
      <c r="H548" s="131"/>
      <c r="I548" s="142"/>
      <c r="J548" s="142"/>
      <c r="K548" s="132"/>
      <c r="L548" s="131"/>
      <c r="M548" s="142"/>
      <c r="N548" s="142"/>
      <c r="O548" s="142"/>
      <c r="P548" s="142"/>
      <c r="Q548" s="142"/>
      <c r="R548" s="142"/>
      <c r="S548" s="142"/>
      <c r="T548" s="142"/>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30"/>
      <c r="AQ548" s="130"/>
      <c r="AR548" s="130"/>
      <c r="AS548" s="130"/>
      <c r="AT548" s="130"/>
      <c r="AU548" s="130"/>
      <c r="AV548" s="130"/>
      <c r="AW548" s="130"/>
      <c r="AX548" s="130"/>
      <c r="AY548" s="130"/>
      <c r="AZ548" s="130"/>
      <c r="BA548" s="130"/>
      <c r="BB548" s="130"/>
      <c r="BC548" s="130"/>
      <c r="BD548" s="130"/>
    </row>
    <row r="549" ht="15.75" customHeight="1">
      <c r="A549" s="142"/>
      <c r="B549" s="142"/>
      <c r="C549" s="198"/>
      <c r="D549" s="142"/>
      <c r="E549" s="131"/>
      <c r="F549" s="142"/>
      <c r="G549" s="142"/>
      <c r="H549" s="131"/>
      <c r="I549" s="142"/>
      <c r="J549" s="142"/>
      <c r="K549" s="132"/>
      <c r="L549" s="131"/>
      <c r="M549" s="142"/>
      <c r="N549" s="142"/>
      <c r="O549" s="142"/>
      <c r="P549" s="142"/>
      <c r="Q549" s="142"/>
      <c r="R549" s="142"/>
      <c r="S549" s="142"/>
      <c r="T549" s="142"/>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30"/>
      <c r="AQ549" s="130"/>
      <c r="AR549" s="130"/>
      <c r="AS549" s="130"/>
      <c r="AT549" s="130"/>
      <c r="AU549" s="130"/>
      <c r="AV549" s="130"/>
      <c r="AW549" s="130"/>
      <c r="AX549" s="130"/>
      <c r="AY549" s="130"/>
      <c r="AZ549" s="130"/>
      <c r="BA549" s="130"/>
      <c r="BB549" s="130"/>
      <c r="BC549" s="130"/>
      <c r="BD549" s="130"/>
    </row>
    <row r="550" ht="15.75" customHeight="1">
      <c r="A550" s="142"/>
      <c r="B550" s="142"/>
      <c r="C550" s="198"/>
      <c r="D550" s="142"/>
      <c r="E550" s="131"/>
      <c r="F550" s="142"/>
      <c r="G550" s="142"/>
      <c r="H550" s="131"/>
      <c r="I550" s="142"/>
      <c r="J550" s="142"/>
      <c r="K550" s="132"/>
      <c r="L550" s="131"/>
      <c r="M550" s="142"/>
      <c r="N550" s="142"/>
      <c r="O550" s="142"/>
      <c r="P550" s="142"/>
      <c r="Q550" s="142"/>
      <c r="R550" s="142"/>
      <c r="S550" s="142"/>
      <c r="T550" s="142"/>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30"/>
      <c r="AQ550" s="130"/>
      <c r="AR550" s="130"/>
      <c r="AS550" s="130"/>
      <c r="AT550" s="130"/>
      <c r="AU550" s="130"/>
      <c r="AV550" s="130"/>
      <c r="AW550" s="130"/>
      <c r="AX550" s="130"/>
      <c r="AY550" s="130"/>
      <c r="AZ550" s="130"/>
      <c r="BA550" s="130"/>
      <c r="BB550" s="130"/>
      <c r="BC550" s="130"/>
      <c r="BD550" s="130"/>
    </row>
    <row r="551" ht="15.75" customHeight="1">
      <c r="A551" s="142"/>
      <c r="B551" s="142"/>
      <c r="C551" s="198"/>
      <c r="D551" s="142"/>
      <c r="E551" s="131"/>
      <c r="F551" s="142"/>
      <c r="G551" s="142"/>
      <c r="H551" s="131"/>
      <c r="I551" s="142"/>
      <c r="J551" s="142"/>
      <c r="K551" s="132"/>
      <c r="L551" s="131"/>
      <c r="M551" s="142"/>
      <c r="N551" s="142"/>
      <c r="O551" s="142"/>
      <c r="P551" s="142"/>
      <c r="Q551" s="142"/>
      <c r="R551" s="142"/>
      <c r="S551" s="142"/>
      <c r="T551" s="142"/>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30"/>
      <c r="AQ551" s="130"/>
      <c r="AR551" s="130"/>
      <c r="AS551" s="130"/>
      <c r="AT551" s="130"/>
      <c r="AU551" s="130"/>
      <c r="AV551" s="130"/>
      <c r="AW551" s="130"/>
      <c r="AX551" s="130"/>
      <c r="AY551" s="130"/>
      <c r="AZ551" s="130"/>
      <c r="BA551" s="130"/>
      <c r="BB551" s="130"/>
      <c r="BC551" s="130"/>
      <c r="BD551" s="130"/>
    </row>
    <row r="552" ht="15.75" customHeight="1">
      <c r="A552" s="142"/>
      <c r="B552" s="142"/>
      <c r="C552" s="198"/>
      <c r="D552" s="142"/>
      <c r="E552" s="131"/>
      <c r="F552" s="142"/>
      <c r="G552" s="142"/>
      <c r="H552" s="131"/>
      <c r="I552" s="142"/>
      <c r="J552" s="142"/>
      <c r="K552" s="132"/>
      <c r="L552" s="131"/>
      <c r="M552" s="142"/>
      <c r="N552" s="142"/>
      <c r="O552" s="142"/>
      <c r="P552" s="142"/>
      <c r="Q552" s="142"/>
      <c r="R552" s="142"/>
      <c r="S552" s="142"/>
      <c r="T552" s="142"/>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30"/>
      <c r="AQ552" s="130"/>
      <c r="AR552" s="130"/>
      <c r="AS552" s="130"/>
      <c r="AT552" s="130"/>
      <c r="AU552" s="130"/>
      <c r="AV552" s="130"/>
      <c r="AW552" s="130"/>
      <c r="AX552" s="130"/>
      <c r="AY552" s="130"/>
      <c r="AZ552" s="130"/>
      <c r="BA552" s="130"/>
      <c r="BB552" s="130"/>
      <c r="BC552" s="130"/>
      <c r="BD552" s="130"/>
    </row>
    <row r="553" ht="15.75" customHeight="1">
      <c r="A553" s="142"/>
      <c r="B553" s="142"/>
      <c r="C553" s="198"/>
      <c r="D553" s="142"/>
      <c r="E553" s="131"/>
      <c r="F553" s="142"/>
      <c r="G553" s="142"/>
      <c r="H553" s="131"/>
      <c r="I553" s="142"/>
      <c r="J553" s="142"/>
      <c r="K553" s="132"/>
      <c r="L553" s="131"/>
      <c r="M553" s="142"/>
      <c r="N553" s="142"/>
      <c r="O553" s="142"/>
      <c r="P553" s="142"/>
      <c r="Q553" s="142"/>
      <c r="R553" s="142"/>
      <c r="S553" s="142"/>
      <c r="T553" s="142"/>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30"/>
      <c r="AQ553" s="130"/>
      <c r="AR553" s="130"/>
      <c r="AS553" s="130"/>
      <c r="AT553" s="130"/>
      <c r="AU553" s="130"/>
      <c r="AV553" s="130"/>
      <c r="AW553" s="130"/>
      <c r="AX553" s="130"/>
      <c r="AY553" s="130"/>
      <c r="AZ553" s="130"/>
      <c r="BA553" s="130"/>
      <c r="BB553" s="130"/>
      <c r="BC553" s="130"/>
      <c r="BD553" s="130"/>
    </row>
    <row r="554" ht="15.75" customHeight="1">
      <c r="A554" s="142"/>
      <c r="B554" s="142"/>
      <c r="C554" s="198"/>
      <c r="D554" s="142"/>
      <c r="E554" s="131"/>
      <c r="F554" s="142"/>
      <c r="G554" s="142"/>
      <c r="H554" s="131"/>
      <c r="I554" s="142"/>
      <c r="J554" s="142"/>
      <c r="K554" s="132"/>
      <c r="L554" s="131"/>
      <c r="M554" s="142"/>
      <c r="N554" s="142"/>
      <c r="O554" s="142"/>
      <c r="P554" s="142"/>
      <c r="Q554" s="142"/>
      <c r="R554" s="142"/>
      <c r="S554" s="142"/>
      <c r="T554" s="142"/>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30"/>
      <c r="AQ554" s="130"/>
      <c r="AR554" s="130"/>
      <c r="AS554" s="130"/>
      <c r="AT554" s="130"/>
      <c r="AU554" s="130"/>
      <c r="AV554" s="130"/>
      <c r="AW554" s="130"/>
      <c r="AX554" s="130"/>
      <c r="AY554" s="130"/>
      <c r="AZ554" s="130"/>
      <c r="BA554" s="130"/>
      <c r="BB554" s="130"/>
      <c r="BC554" s="130"/>
      <c r="BD554" s="130"/>
    </row>
    <row r="555" ht="15.75" customHeight="1">
      <c r="A555" s="142"/>
      <c r="B555" s="142"/>
      <c r="C555" s="198"/>
      <c r="D555" s="142"/>
      <c r="E555" s="131"/>
      <c r="F555" s="142"/>
      <c r="G555" s="142"/>
      <c r="H555" s="131"/>
      <c r="I555" s="142"/>
      <c r="J555" s="142"/>
      <c r="K555" s="132"/>
      <c r="L555" s="131"/>
      <c r="M555" s="142"/>
      <c r="N555" s="142"/>
      <c r="O555" s="142"/>
      <c r="P555" s="142"/>
      <c r="Q555" s="142"/>
      <c r="R555" s="142"/>
      <c r="S555" s="142"/>
      <c r="T555" s="142"/>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30"/>
      <c r="AQ555" s="130"/>
      <c r="AR555" s="130"/>
      <c r="AS555" s="130"/>
      <c r="AT555" s="130"/>
      <c r="AU555" s="130"/>
      <c r="AV555" s="130"/>
      <c r="AW555" s="130"/>
      <c r="AX555" s="130"/>
      <c r="AY555" s="130"/>
      <c r="AZ555" s="130"/>
      <c r="BA555" s="130"/>
      <c r="BB555" s="130"/>
      <c r="BC555" s="130"/>
      <c r="BD555" s="130"/>
    </row>
    <row r="556" ht="15.75" customHeight="1">
      <c r="A556" s="142"/>
      <c r="B556" s="142"/>
      <c r="C556" s="198"/>
      <c r="D556" s="142"/>
      <c r="E556" s="131"/>
      <c r="F556" s="142"/>
      <c r="G556" s="142"/>
      <c r="H556" s="131"/>
      <c r="I556" s="142"/>
      <c r="J556" s="142"/>
      <c r="K556" s="132"/>
      <c r="L556" s="131"/>
      <c r="M556" s="142"/>
      <c r="N556" s="142"/>
      <c r="O556" s="142"/>
      <c r="P556" s="142"/>
      <c r="Q556" s="142"/>
      <c r="R556" s="142"/>
      <c r="S556" s="142"/>
      <c r="T556" s="142"/>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30"/>
      <c r="AQ556" s="130"/>
      <c r="AR556" s="130"/>
      <c r="AS556" s="130"/>
      <c r="AT556" s="130"/>
      <c r="AU556" s="130"/>
      <c r="AV556" s="130"/>
      <c r="AW556" s="130"/>
      <c r="AX556" s="130"/>
      <c r="AY556" s="130"/>
      <c r="AZ556" s="130"/>
      <c r="BA556" s="130"/>
      <c r="BB556" s="130"/>
      <c r="BC556" s="130"/>
      <c r="BD556" s="130"/>
    </row>
    <row r="557" ht="15.75" customHeight="1">
      <c r="A557" s="142"/>
      <c r="B557" s="142"/>
      <c r="C557" s="198"/>
      <c r="D557" s="142"/>
      <c r="E557" s="131"/>
      <c r="F557" s="142"/>
      <c r="G557" s="142"/>
      <c r="H557" s="131"/>
      <c r="I557" s="142"/>
      <c r="J557" s="142"/>
      <c r="K557" s="132"/>
      <c r="L557" s="131"/>
      <c r="M557" s="142"/>
      <c r="N557" s="142"/>
      <c r="O557" s="142"/>
      <c r="P557" s="142"/>
      <c r="Q557" s="142"/>
      <c r="R557" s="142"/>
      <c r="S557" s="142"/>
      <c r="T557" s="142"/>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30"/>
      <c r="AQ557" s="130"/>
      <c r="AR557" s="130"/>
      <c r="AS557" s="130"/>
      <c r="AT557" s="130"/>
      <c r="AU557" s="130"/>
      <c r="AV557" s="130"/>
      <c r="AW557" s="130"/>
      <c r="AX557" s="130"/>
      <c r="AY557" s="130"/>
      <c r="AZ557" s="130"/>
      <c r="BA557" s="130"/>
      <c r="BB557" s="130"/>
      <c r="BC557" s="130"/>
      <c r="BD557" s="130"/>
    </row>
    <row r="558" ht="15.75" customHeight="1">
      <c r="A558" s="142"/>
      <c r="B558" s="142"/>
      <c r="C558" s="198"/>
      <c r="D558" s="142"/>
      <c r="E558" s="131"/>
      <c r="F558" s="142"/>
      <c r="G558" s="142"/>
      <c r="H558" s="131"/>
      <c r="I558" s="142"/>
      <c r="J558" s="142"/>
      <c r="K558" s="132"/>
      <c r="L558" s="131"/>
      <c r="M558" s="142"/>
      <c r="N558" s="142"/>
      <c r="O558" s="142"/>
      <c r="P558" s="142"/>
      <c r="Q558" s="142"/>
      <c r="R558" s="142"/>
      <c r="S558" s="142"/>
      <c r="T558" s="142"/>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30"/>
      <c r="AQ558" s="130"/>
      <c r="AR558" s="130"/>
      <c r="AS558" s="130"/>
      <c r="AT558" s="130"/>
      <c r="AU558" s="130"/>
      <c r="AV558" s="130"/>
      <c r="AW558" s="130"/>
      <c r="AX558" s="130"/>
      <c r="AY558" s="130"/>
      <c r="AZ558" s="130"/>
      <c r="BA558" s="130"/>
      <c r="BB558" s="130"/>
      <c r="BC558" s="130"/>
      <c r="BD558" s="130"/>
    </row>
    <row r="559" ht="15.75" customHeight="1">
      <c r="A559" s="142"/>
      <c r="B559" s="142"/>
      <c r="C559" s="198"/>
      <c r="D559" s="142"/>
      <c r="E559" s="131"/>
      <c r="F559" s="142"/>
      <c r="G559" s="142"/>
      <c r="H559" s="131"/>
      <c r="I559" s="142"/>
      <c r="J559" s="142"/>
      <c r="K559" s="132"/>
      <c r="L559" s="131"/>
      <c r="M559" s="142"/>
      <c r="N559" s="142"/>
      <c r="O559" s="142"/>
      <c r="P559" s="142"/>
      <c r="Q559" s="142"/>
      <c r="R559" s="142"/>
      <c r="S559" s="142"/>
      <c r="T559" s="142"/>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30"/>
      <c r="AQ559" s="130"/>
      <c r="AR559" s="130"/>
      <c r="AS559" s="130"/>
      <c r="AT559" s="130"/>
      <c r="AU559" s="130"/>
      <c r="AV559" s="130"/>
      <c r="AW559" s="130"/>
      <c r="AX559" s="130"/>
      <c r="AY559" s="130"/>
      <c r="AZ559" s="130"/>
      <c r="BA559" s="130"/>
      <c r="BB559" s="130"/>
      <c r="BC559" s="130"/>
      <c r="BD559" s="130"/>
    </row>
    <row r="560" ht="15.75" customHeight="1">
      <c r="A560" s="142"/>
      <c r="B560" s="142"/>
      <c r="C560" s="198"/>
      <c r="D560" s="142"/>
      <c r="E560" s="131"/>
      <c r="F560" s="142"/>
      <c r="G560" s="142"/>
      <c r="H560" s="131"/>
      <c r="I560" s="142"/>
      <c r="J560" s="142"/>
      <c r="K560" s="132"/>
      <c r="L560" s="131"/>
      <c r="M560" s="142"/>
      <c r="N560" s="142"/>
      <c r="O560" s="142"/>
      <c r="P560" s="142"/>
      <c r="Q560" s="142"/>
      <c r="R560" s="142"/>
      <c r="S560" s="142"/>
      <c r="T560" s="142"/>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30"/>
      <c r="AQ560" s="130"/>
      <c r="AR560" s="130"/>
      <c r="AS560" s="130"/>
      <c r="AT560" s="130"/>
      <c r="AU560" s="130"/>
      <c r="AV560" s="130"/>
      <c r="AW560" s="130"/>
      <c r="AX560" s="130"/>
      <c r="AY560" s="130"/>
      <c r="AZ560" s="130"/>
      <c r="BA560" s="130"/>
      <c r="BB560" s="130"/>
      <c r="BC560" s="130"/>
      <c r="BD560" s="130"/>
    </row>
    <row r="561" ht="15.75" customHeight="1">
      <c r="A561" s="142"/>
      <c r="B561" s="142"/>
      <c r="C561" s="198"/>
      <c r="D561" s="142"/>
      <c r="E561" s="131"/>
      <c r="F561" s="142"/>
      <c r="G561" s="142"/>
      <c r="H561" s="131"/>
      <c r="I561" s="142"/>
      <c r="J561" s="142"/>
      <c r="K561" s="132"/>
      <c r="L561" s="131"/>
      <c r="M561" s="142"/>
      <c r="N561" s="142"/>
      <c r="O561" s="142"/>
      <c r="P561" s="142"/>
      <c r="Q561" s="142"/>
      <c r="R561" s="142"/>
      <c r="S561" s="142"/>
      <c r="T561" s="142"/>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30"/>
      <c r="AQ561" s="130"/>
      <c r="AR561" s="130"/>
      <c r="AS561" s="130"/>
      <c r="AT561" s="130"/>
      <c r="AU561" s="130"/>
      <c r="AV561" s="130"/>
      <c r="AW561" s="130"/>
      <c r="AX561" s="130"/>
      <c r="AY561" s="130"/>
      <c r="AZ561" s="130"/>
      <c r="BA561" s="130"/>
      <c r="BB561" s="130"/>
      <c r="BC561" s="130"/>
      <c r="BD561" s="130"/>
    </row>
    <row r="562" ht="15.75" customHeight="1">
      <c r="A562" s="142"/>
      <c r="B562" s="142"/>
      <c r="C562" s="198"/>
      <c r="D562" s="142"/>
      <c r="E562" s="131"/>
      <c r="F562" s="142"/>
      <c r="G562" s="142"/>
      <c r="H562" s="131"/>
      <c r="I562" s="142"/>
      <c r="J562" s="142"/>
      <c r="K562" s="132"/>
      <c r="L562" s="131"/>
      <c r="M562" s="142"/>
      <c r="N562" s="142"/>
      <c r="O562" s="142"/>
      <c r="P562" s="142"/>
      <c r="Q562" s="142"/>
      <c r="R562" s="142"/>
      <c r="S562" s="142"/>
      <c r="T562" s="142"/>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30"/>
      <c r="AQ562" s="130"/>
      <c r="AR562" s="130"/>
      <c r="AS562" s="130"/>
      <c r="AT562" s="130"/>
      <c r="AU562" s="130"/>
      <c r="AV562" s="130"/>
      <c r="AW562" s="130"/>
      <c r="AX562" s="130"/>
      <c r="AY562" s="130"/>
      <c r="AZ562" s="130"/>
      <c r="BA562" s="130"/>
      <c r="BB562" s="130"/>
      <c r="BC562" s="130"/>
      <c r="BD562" s="130"/>
    </row>
    <row r="563" ht="15.75" customHeight="1">
      <c r="A563" s="142"/>
      <c r="B563" s="142"/>
      <c r="C563" s="198"/>
      <c r="D563" s="142"/>
      <c r="E563" s="131"/>
      <c r="F563" s="142"/>
      <c r="G563" s="142"/>
      <c r="H563" s="131"/>
      <c r="I563" s="142"/>
      <c r="J563" s="142"/>
      <c r="K563" s="132"/>
      <c r="L563" s="131"/>
      <c r="M563" s="142"/>
      <c r="N563" s="142"/>
      <c r="O563" s="142"/>
      <c r="P563" s="142"/>
      <c r="Q563" s="142"/>
      <c r="R563" s="142"/>
      <c r="S563" s="142"/>
      <c r="T563" s="142"/>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30"/>
      <c r="AQ563" s="130"/>
      <c r="AR563" s="130"/>
      <c r="AS563" s="130"/>
      <c r="AT563" s="130"/>
      <c r="AU563" s="130"/>
      <c r="AV563" s="130"/>
      <c r="AW563" s="130"/>
      <c r="AX563" s="130"/>
      <c r="AY563" s="130"/>
      <c r="AZ563" s="130"/>
      <c r="BA563" s="130"/>
      <c r="BB563" s="130"/>
      <c r="BC563" s="130"/>
      <c r="BD563" s="130"/>
    </row>
    <row r="564" ht="15.75" customHeight="1">
      <c r="A564" s="142"/>
      <c r="B564" s="142"/>
      <c r="C564" s="198"/>
      <c r="D564" s="142"/>
      <c r="E564" s="131"/>
      <c r="F564" s="142"/>
      <c r="G564" s="142"/>
      <c r="H564" s="131"/>
      <c r="I564" s="142"/>
      <c r="J564" s="142"/>
      <c r="K564" s="132"/>
      <c r="L564" s="131"/>
      <c r="M564" s="142"/>
      <c r="N564" s="142"/>
      <c r="O564" s="142"/>
      <c r="P564" s="142"/>
      <c r="Q564" s="142"/>
      <c r="R564" s="142"/>
      <c r="S564" s="142"/>
      <c r="T564" s="142"/>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30"/>
      <c r="AQ564" s="130"/>
      <c r="AR564" s="130"/>
      <c r="AS564" s="130"/>
      <c r="AT564" s="130"/>
      <c r="AU564" s="130"/>
      <c r="AV564" s="130"/>
      <c r="AW564" s="130"/>
      <c r="AX564" s="130"/>
      <c r="AY564" s="130"/>
      <c r="AZ564" s="130"/>
      <c r="BA564" s="130"/>
      <c r="BB564" s="130"/>
      <c r="BC564" s="130"/>
      <c r="BD564" s="130"/>
    </row>
    <row r="565" ht="15.75" customHeight="1">
      <c r="A565" s="142"/>
      <c r="B565" s="142"/>
      <c r="C565" s="198"/>
      <c r="D565" s="142"/>
      <c r="E565" s="131"/>
      <c r="F565" s="142"/>
      <c r="G565" s="142"/>
      <c r="H565" s="131"/>
      <c r="I565" s="142"/>
      <c r="J565" s="142"/>
      <c r="K565" s="132"/>
      <c r="L565" s="131"/>
      <c r="M565" s="142"/>
      <c r="N565" s="142"/>
      <c r="O565" s="142"/>
      <c r="P565" s="142"/>
      <c r="Q565" s="142"/>
      <c r="R565" s="142"/>
      <c r="S565" s="142"/>
      <c r="T565" s="142"/>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30"/>
      <c r="AQ565" s="130"/>
      <c r="AR565" s="130"/>
      <c r="AS565" s="130"/>
      <c r="AT565" s="130"/>
      <c r="AU565" s="130"/>
      <c r="AV565" s="130"/>
      <c r="AW565" s="130"/>
      <c r="AX565" s="130"/>
      <c r="AY565" s="130"/>
      <c r="AZ565" s="130"/>
      <c r="BA565" s="130"/>
      <c r="BB565" s="130"/>
      <c r="BC565" s="130"/>
      <c r="BD565" s="130"/>
    </row>
    <row r="566" ht="15.75" customHeight="1">
      <c r="A566" s="142"/>
      <c r="B566" s="142"/>
      <c r="C566" s="198"/>
      <c r="D566" s="142"/>
      <c r="E566" s="131"/>
      <c r="F566" s="142"/>
      <c r="G566" s="142"/>
      <c r="H566" s="131"/>
      <c r="I566" s="142"/>
      <c r="J566" s="142"/>
      <c r="K566" s="132"/>
      <c r="L566" s="131"/>
      <c r="M566" s="142"/>
      <c r="N566" s="142"/>
      <c r="O566" s="142"/>
      <c r="P566" s="142"/>
      <c r="Q566" s="142"/>
      <c r="R566" s="142"/>
      <c r="S566" s="142"/>
      <c r="T566" s="142"/>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30"/>
      <c r="AQ566" s="130"/>
      <c r="AR566" s="130"/>
      <c r="AS566" s="130"/>
      <c r="AT566" s="130"/>
      <c r="AU566" s="130"/>
      <c r="AV566" s="130"/>
      <c r="AW566" s="130"/>
      <c r="AX566" s="130"/>
      <c r="AY566" s="130"/>
      <c r="AZ566" s="130"/>
      <c r="BA566" s="130"/>
      <c r="BB566" s="130"/>
      <c r="BC566" s="130"/>
      <c r="BD566" s="130"/>
    </row>
    <row r="567" ht="15.75" customHeight="1">
      <c r="A567" s="142"/>
      <c r="B567" s="142"/>
      <c r="C567" s="198"/>
      <c r="D567" s="142"/>
      <c r="E567" s="131"/>
      <c r="F567" s="142"/>
      <c r="G567" s="142"/>
      <c r="H567" s="131"/>
      <c r="I567" s="142"/>
      <c r="J567" s="142"/>
      <c r="K567" s="132"/>
      <c r="L567" s="131"/>
      <c r="M567" s="142"/>
      <c r="N567" s="142"/>
      <c r="O567" s="142"/>
      <c r="P567" s="142"/>
      <c r="Q567" s="142"/>
      <c r="R567" s="142"/>
      <c r="S567" s="142"/>
      <c r="T567" s="142"/>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30"/>
      <c r="AQ567" s="130"/>
      <c r="AR567" s="130"/>
      <c r="AS567" s="130"/>
      <c r="AT567" s="130"/>
      <c r="AU567" s="130"/>
      <c r="AV567" s="130"/>
      <c r="AW567" s="130"/>
      <c r="AX567" s="130"/>
      <c r="AY567" s="130"/>
      <c r="AZ567" s="130"/>
      <c r="BA567" s="130"/>
      <c r="BB567" s="130"/>
      <c r="BC567" s="130"/>
      <c r="BD567" s="130"/>
    </row>
    <row r="568" ht="15.75" customHeight="1">
      <c r="A568" s="142"/>
      <c r="B568" s="142"/>
      <c r="C568" s="198"/>
      <c r="D568" s="142"/>
      <c r="E568" s="131"/>
      <c r="F568" s="142"/>
      <c r="G568" s="142"/>
      <c r="H568" s="131"/>
      <c r="I568" s="142"/>
      <c r="J568" s="142"/>
      <c r="K568" s="132"/>
      <c r="L568" s="131"/>
      <c r="M568" s="142"/>
      <c r="N568" s="142"/>
      <c r="O568" s="142"/>
      <c r="P568" s="142"/>
      <c r="Q568" s="142"/>
      <c r="R568" s="142"/>
      <c r="S568" s="142"/>
      <c r="T568" s="142"/>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30"/>
      <c r="AQ568" s="130"/>
      <c r="AR568" s="130"/>
      <c r="AS568" s="130"/>
      <c r="AT568" s="130"/>
      <c r="AU568" s="130"/>
      <c r="AV568" s="130"/>
      <c r="AW568" s="130"/>
      <c r="AX568" s="130"/>
      <c r="AY568" s="130"/>
      <c r="AZ568" s="130"/>
      <c r="BA568" s="130"/>
      <c r="BB568" s="130"/>
      <c r="BC568" s="130"/>
      <c r="BD568" s="130"/>
    </row>
    <row r="569" ht="15.75" customHeight="1">
      <c r="A569" s="142"/>
      <c r="B569" s="142"/>
      <c r="C569" s="198"/>
      <c r="D569" s="142"/>
      <c r="E569" s="131"/>
      <c r="F569" s="142"/>
      <c r="G569" s="142"/>
      <c r="H569" s="131"/>
      <c r="I569" s="142"/>
      <c r="J569" s="142"/>
      <c r="K569" s="132"/>
      <c r="L569" s="131"/>
      <c r="M569" s="142"/>
      <c r="N569" s="142"/>
      <c r="O569" s="142"/>
      <c r="P569" s="142"/>
      <c r="Q569" s="142"/>
      <c r="R569" s="142"/>
      <c r="S569" s="142"/>
      <c r="T569" s="142"/>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30"/>
      <c r="AQ569" s="130"/>
      <c r="AR569" s="130"/>
      <c r="AS569" s="130"/>
      <c r="AT569" s="130"/>
      <c r="AU569" s="130"/>
      <c r="AV569" s="130"/>
      <c r="AW569" s="130"/>
      <c r="AX569" s="130"/>
      <c r="AY569" s="130"/>
      <c r="AZ569" s="130"/>
      <c r="BA569" s="130"/>
      <c r="BB569" s="130"/>
      <c r="BC569" s="130"/>
      <c r="BD569" s="130"/>
    </row>
    <row r="570" ht="15.75" customHeight="1">
      <c r="A570" s="142"/>
      <c r="B570" s="142"/>
      <c r="C570" s="198"/>
      <c r="D570" s="142"/>
      <c r="E570" s="131"/>
      <c r="F570" s="142"/>
      <c r="G570" s="142"/>
      <c r="H570" s="131"/>
      <c r="I570" s="142"/>
      <c r="J570" s="142"/>
      <c r="K570" s="132"/>
      <c r="L570" s="131"/>
      <c r="M570" s="142"/>
      <c r="N570" s="142"/>
      <c r="O570" s="142"/>
      <c r="P570" s="142"/>
      <c r="Q570" s="142"/>
      <c r="R570" s="142"/>
      <c r="S570" s="142"/>
      <c r="T570" s="142"/>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30"/>
      <c r="AQ570" s="130"/>
      <c r="AR570" s="130"/>
      <c r="AS570" s="130"/>
      <c r="AT570" s="130"/>
      <c r="AU570" s="130"/>
      <c r="AV570" s="130"/>
      <c r="AW570" s="130"/>
      <c r="AX570" s="130"/>
      <c r="AY570" s="130"/>
      <c r="AZ570" s="130"/>
      <c r="BA570" s="130"/>
      <c r="BB570" s="130"/>
      <c r="BC570" s="130"/>
      <c r="BD570" s="130"/>
    </row>
    <row r="571" ht="15.75" customHeight="1">
      <c r="A571" s="142"/>
      <c r="B571" s="142"/>
      <c r="C571" s="198"/>
      <c r="D571" s="142"/>
      <c r="E571" s="131"/>
      <c r="F571" s="142"/>
      <c r="G571" s="142"/>
      <c r="H571" s="131"/>
      <c r="I571" s="142"/>
      <c r="J571" s="142"/>
      <c r="K571" s="132"/>
      <c r="L571" s="131"/>
      <c r="M571" s="142"/>
      <c r="N571" s="142"/>
      <c r="O571" s="142"/>
      <c r="P571" s="142"/>
      <c r="Q571" s="142"/>
      <c r="R571" s="142"/>
      <c r="S571" s="142"/>
      <c r="T571" s="142"/>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30"/>
      <c r="AQ571" s="130"/>
      <c r="AR571" s="130"/>
      <c r="AS571" s="130"/>
      <c r="AT571" s="130"/>
      <c r="AU571" s="130"/>
      <c r="AV571" s="130"/>
      <c r="AW571" s="130"/>
      <c r="AX571" s="130"/>
      <c r="AY571" s="130"/>
      <c r="AZ571" s="130"/>
      <c r="BA571" s="130"/>
      <c r="BB571" s="130"/>
      <c r="BC571" s="130"/>
      <c r="BD571" s="130"/>
    </row>
    <row r="572" ht="15.75" customHeight="1">
      <c r="A572" s="142"/>
      <c r="B572" s="142"/>
      <c r="C572" s="198"/>
      <c r="D572" s="142"/>
      <c r="E572" s="131"/>
      <c r="F572" s="142"/>
      <c r="G572" s="142"/>
      <c r="H572" s="131"/>
      <c r="I572" s="142"/>
      <c r="J572" s="142"/>
      <c r="K572" s="132"/>
      <c r="L572" s="131"/>
      <c r="M572" s="142"/>
      <c r="N572" s="142"/>
      <c r="O572" s="142"/>
      <c r="P572" s="142"/>
      <c r="Q572" s="142"/>
      <c r="R572" s="142"/>
      <c r="S572" s="142"/>
      <c r="T572" s="142"/>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30"/>
      <c r="AQ572" s="130"/>
      <c r="AR572" s="130"/>
      <c r="AS572" s="130"/>
      <c r="AT572" s="130"/>
      <c r="AU572" s="130"/>
      <c r="AV572" s="130"/>
      <c r="AW572" s="130"/>
      <c r="AX572" s="130"/>
      <c r="AY572" s="130"/>
      <c r="AZ572" s="130"/>
      <c r="BA572" s="130"/>
      <c r="BB572" s="130"/>
      <c r="BC572" s="130"/>
      <c r="BD572" s="130"/>
    </row>
    <row r="573" ht="15.75" customHeight="1">
      <c r="A573" s="142"/>
      <c r="B573" s="142"/>
      <c r="C573" s="198"/>
      <c r="D573" s="142"/>
      <c r="E573" s="131"/>
      <c r="F573" s="142"/>
      <c r="G573" s="142"/>
      <c r="H573" s="131"/>
      <c r="I573" s="142"/>
      <c r="J573" s="142"/>
      <c r="K573" s="132"/>
      <c r="L573" s="131"/>
      <c r="M573" s="142"/>
      <c r="N573" s="142"/>
      <c r="O573" s="142"/>
      <c r="P573" s="142"/>
      <c r="Q573" s="142"/>
      <c r="R573" s="142"/>
      <c r="S573" s="142"/>
      <c r="T573" s="142"/>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30"/>
      <c r="AQ573" s="130"/>
      <c r="AR573" s="130"/>
      <c r="AS573" s="130"/>
      <c r="AT573" s="130"/>
      <c r="AU573" s="130"/>
      <c r="AV573" s="130"/>
      <c r="AW573" s="130"/>
      <c r="AX573" s="130"/>
      <c r="AY573" s="130"/>
      <c r="AZ573" s="130"/>
      <c r="BA573" s="130"/>
      <c r="BB573" s="130"/>
      <c r="BC573" s="130"/>
      <c r="BD573" s="130"/>
    </row>
    <row r="574" ht="15.75" customHeight="1">
      <c r="A574" s="142"/>
      <c r="B574" s="142"/>
      <c r="C574" s="198"/>
      <c r="D574" s="142"/>
      <c r="E574" s="131"/>
      <c r="F574" s="142"/>
      <c r="G574" s="142"/>
      <c r="H574" s="131"/>
      <c r="I574" s="142"/>
      <c r="J574" s="142"/>
      <c r="K574" s="132"/>
      <c r="L574" s="131"/>
      <c r="M574" s="142"/>
      <c r="N574" s="142"/>
      <c r="O574" s="142"/>
      <c r="P574" s="142"/>
      <c r="Q574" s="142"/>
      <c r="R574" s="142"/>
      <c r="S574" s="142"/>
      <c r="T574" s="142"/>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30"/>
      <c r="AQ574" s="130"/>
      <c r="AR574" s="130"/>
      <c r="AS574" s="130"/>
      <c r="AT574" s="130"/>
      <c r="AU574" s="130"/>
      <c r="AV574" s="130"/>
      <c r="AW574" s="130"/>
      <c r="AX574" s="130"/>
      <c r="AY574" s="130"/>
      <c r="AZ574" s="130"/>
      <c r="BA574" s="130"/>
      <c r="BB574" s="130"/>
      <c r="BC574" s="130"/>
      <c r="BD574" s="130"/>
    </row>
    <row r="575" ht="15.75" customHeight="1">
      <c r="A575" s="142"/>
      <c r="B575" s="142"/>
      <c r="C575" s="198"/>
      <c r="D575" s="142"/>
      <c r="E575" s="131"/>
      <c r="F575" s="142"/>
      <c r="G575" s="142"/>
      <c r="H575" s="131"/>
      <c r="I575" s="142"/>
      <c r="J575" s="142"/>
      <c r="K575" s="132"/>
      <c r="L575" s="131"/>
      <c r="M575" s="142"/>
      <c r="N575" s="142"/>
      <c r="O575" s="142"/>
      <c r="P575" s="142"/>
      <c r="Q575" s="142"/>
      <c r="R575" s="142"/>
      <c r="S575" s="142"/>
      <c r="T575" s="142"/>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30"/>
      <c r="AQ575" s="130"/>
      <c r="AR575" s="130"/>
      <c r="AS575" s="130"/>
      <c r="AT575" s="130"/>
      <c r="AU575" s="130"/>
      <c r="AV575" s="130"/>
      <c r="AW575" s="130"/>
      <c r="AX575" s="130"/>
      <c r="AY575" s="130"/>
      <c r="AZ575" s="130"/>
      <c r="BA575" s="130"/>
      <c r="BB575" s="130"/>
      <c r="BC575" s="130"/>
      <c r="BD575" s="130"/>
    </row>
    <row r="576" ht="15.75" customHeight="1">
      <c r="A576" s="142"/>
      <c r="B576" s="142"/>
      <c r="C576" s="198"/>
      <c r="D576" s="142"/>
      <c r="E576" s="131"/>
      <c r="F576" s="142"/>
      <c r="G576" s="142"/>
      <c r="H576" s="131"/>
      <c r="I576" s="142"/>
      <c r="J576" s="142"/>
      <c r="K576" s="132"/>
      <c r="L576" s="131"/>
      <c r="M576" s="142"/>
      <c r="N576" s="142"/>
      <c r="O576" s="142"/>
      <c r="P576" s="142"/>
      <c r="Q576" s="142"/>
      <c r="R576" s="142"/>
      <c r="S576" s="142"/>
      <c r="T576" s="142"/>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30"/>
      <c r="AQ576" s="130"/>
      <c r="AR576" s="130"/>
      <c r="AS576" s="130"/>
      <c r="AT576" s="130"/>
      <c r="AU576" s="130"/>
      <c r="AV576" s="130"/>
      <c r="AW576" s="130"/>
      <c r="AX576" s="130"/>
      <c r="AY576" s="130"/>
      <c r="AZ576" s="130"/>
      <c r="BA576" s="130"/>
      <c r="BB576" s="130"/>
      <c r="BC576" s="130"/>
      <c r="BD576" s="130"/>
    </row>
    <row r="577" ht="15.75" customHeight="1">
      <c r="A577" s="142"/>
      <c r="B577" s="142"/>
      <c r="C577" s="198"/>
      <c r="D577" s="142"/>
      <c r="E577" s="131"/>
      <c r="F577" s="142"/>
      <c r="G577" s="142"/>
      <c r="H577" s="131"/>
      <c r="I577" s="142"/>
      <c r="J577" s="142"/>
      <c r="K577" s="132"/>
      <c r="L577" s="131"/>
      <c r="M577" s="142"/>
      <c r="N577" s="142"/>
      <c r="O577" s="142"/>
      <c r="P577" s="142"/>
      <c r="Q577" s="142"/>
      <c r="R577" s="142"/>
      <c r="S577" s="142"/>
      <c r="T577" s="142"/>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30"/>
      <c r="AQ577" s="130"/>
      <c r="AR577" s="130"/>
      <c r="AS577" s="130"/>
      <c r="AT577" s="130"/>
      <c r="AU577" s="130"/>
      <c r="AV577" s="130"/>
      <c r="AW577" s="130"/>
      <c r="AX577" s="130"/>
      <c r="AY577" s="130"/>
      <c r="AZ577" s="130"/>
      <c r="BA577" s="130"/>
      <c r="BB577" s="130"/>
      <c r="BC577" s="130"/>
      <c r="BD577" s="130"/>
    </row>
    <row r="578" ht="15.75" customHeight="1">
      <c r="A578" s="142"/>
      <c r="B578" s="142"/>
      <c r="C578" s="198"/>
      <c r="D578" s="142"/>
      <c r="E578" s="131"/>
      <c r="F578" s="142"/>
      <c r="G578" s="142"/>
      <c r="H578" s="131"/>
      <c r="I578" s="142"/>
      <c r="J578" s="142"/>
      <c r="K578" s="132"/>
      <c r="L578" s="131"/>
      <c r="M578" s="142"/>
      <c r="N578" s="142"/>
      <c r="O578" s="142"/>
      <c r="P578" s="142"/>
      <c r="Q578" s="142"/>
      <c r="R578" s="142"/>
      <c r="S578" s="142"/>
      <c r="T578" s="142"/>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30"/>
      <c r="AQ578" s="130"/>
      <c r="AR578" s="130"/>
      <c r="AS578" s="130"/>
      <c r="AT578" s="130"/>
      <c r="AU578" s="130"/>
      <c r="AV578" s="130"/>
      <c r="AW578" s="130"/>
      <c r="AX578" s="130"/>
      <c r="AY578" s="130"/>
      <c r="AZ578" s="130"/>
      <c r="BA578" s="130"/>
      <c r="BB578" s="130"/>
      <c r="BC578" s="130"/>
      <c r="BD578" s="130"/>
    </row>
    <row r="579" ht="15.75" customHeight="1">
      <c r="A579" s="142"/>
      <c r="B579" s="142"/>
      <c r="C579" s="198"/>
      <c r="D579" s="142"/>
      <c r="E579" s="131"/>
      <c r="F579" s="142"/>
      <c r="G579" s="142"/>
      <c r="H579" s="131"/>
      <c r="I579" s="142"/>
      <c r="J579" s="142"/>
      <c r="K579" s="132"/>
      <c r="L579" s="131"/>
      <c r="M579" s="142"/>
      <c r="N579" s="142"/>
      <c r="O579" s="142"/>
      <c r="P579" s="142"/>
      <c r="Q579" s="142"/>
      <c r="R579" s="142"/>
      <c r="S579" s="142"/>
      <c r="T579" s="142"/>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30"/>
      <c r="AQ579" s="130"/>
      <c r="AR579" s="130"/>
      <c r="AS579" s="130"/>
      <c r="AT579" s="130"/>
      <c r="AU579" s="130"/>
      <c r="AV579" s="130"/>
      <c r="AW579" s="130"/>
      <c r="AX579" s="130"/>
      <c r="AY579" s="130"/>
      <c r="AZ579" s="130"/>
      <c r="BA579" s="130"/>
      <c r="BB579" s="130"/>
      <c r="BC579" s="130"/>
      <c r="BD579" s="130"/>
    </row>
    <row r="580" ht="15.75" customHeight="1">
      <c r="A580" s="142"/>
      <c r="B580" s="142"/>
      <c r="C580" s="198"/>
      <c r="D580" s="142"/>
      <c r="E580" s="131"/>
      <c r="F580" s="142"/>
      <c r="G580" s="142"/>
      <c r="H580" s="131"/>
      <c r="I580" s="142"/>
      <c r="J580" s="142"/>
      <c r="K580" s="132"/>
      <c r="L580" s="131"/>
      <c r="M580" s="142"/>
      <c r="N580" s="142"/>
      <c r="O580" s="142"/>
      <c r="P580" s="142"/>
      <c r="Q580" s="142"/>
      <c r="R580" s="142"/>
      <c r="S580" s="142"/>
      <c r="T580" s="142"/>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30"/>
      <c r="AQ580" s="130"/>
      <c r="AR580" s="130"/>
      <c r="AS580" s="130"/>
      <c r="AT580" s="130"/>
      <c r="AU580" s="130"/>
      <c r="AV580" s="130"/>
      <c r="AW580" s="130"/>
      <c r="AX580" s="130"/>
      <c r="AY580" s="130"/>
      <c r="AZ580" s="130"/>
      <c r="BA580" s="130"/>
      <c r="BB580" s="130"/>
      <c r="BC580" s="130"/>
      <c r="BD580" s="130"/>
    </row>
    <row r="581" ht="15.75" customHeight="1">
      <c r="A581" s="142"/>
      <c r="B581" s="142"/>
      <c r="C581" s="198"/>
      <c r="D581" s="142"/>
      <c r="E581" s="131"/>
      <c r="F581" s="142"/>
      <c r="G581" s="142"/>
      <c r="H581" s="131"/>
      <c r="I581" s="142"/>
      <c r="J581" s="142"/>
      <c r="K581" s="132"/>
      <c r="L581" s="131"/>
      <c r="M581" s="142"/>
      <c r="N581" s="142"/>
      <c r="O581" s="142"/>
      <c r="P581" s="142"/>
      <c r="Q581" s="142"/>
      <c r="R581" s="142"/>
      <c r="S581" s="142"/>
      <c r="T581" s="142"/>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30"/>
      <c r="AQ581" s="130"/>
      <c r="AR581" s="130"/>
      <c r="AS581" s="130"/>
      <c r="AT581" s="130"/>
      <c r="AU581" s="130"/>
      <c r="AV581" s="130"/>
      <c r="AW581" s="130"/>
      <c r="AX581" s="130"/>
      <c r="AY581" s="130"/>
      <c r="AZ581" s="130"/>
      <c r="BA581" s="130"/>
      <c r="BB581" s="130"/>
      <c r="BC581" s="130"/>
      <c r="BD581" s="130"/>
    </row>
    <row r="582" ht="15.75" customHeight="1">
      <c r="A582" s="142"/>
      <c r="B582" s="142"/>
      <c r="C582" s="198"/>
      <c r="D582" s="142"/>
      <c r="E582" s="131"/>
      <c r="F582" s="142"/>
      <c r="G582" s="142"/>
      <c r="H582" s="131"/>
      <c r="I582" s="142"/>
      <c r="J582" s="142"/>
      <c r="K582" s="132"/>
      <c r="L582" s="131"/>
      <c r="M582" s="142"/>
      <c r="N582" s="142"/>
      <c r="O582" s="142"/>
      <c r="P582" s="142"/>
      <c r="Q582" s="142"/>
      <c r="R582" s="142"/>
      <c r="S582" s="142"/>
      <c r="T582" s="142"/>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30"/>
      <c r="AQ582" s="130"/>
      <c r="AR582" s="130"/>
      <c r="AS582" s="130"/>
      <c r="AT582" s="130"/>
      <c r="AU582" s="130"/>
      <c r="AV582" s="130"/>
      <c r="AW582" s="130"/>
      <c r="AX582" s="130"/>
      <c r="AY582" s="130"/>
      <c r="AZ582" s="130"/>
      <c r="BA582" s="130"/>
      <c r="BB582" s="130"/>
      <c r="BC582" s="130"/>
      <c r="BD582" s="130"/>
    </row>
    <row r="583" ht="15.75" customHeight="1">
      <c r="A583" s="142"/>
      <c r="B583" s="142"/>
      <c r="C583" s="198"/>
      <c r="D583" s="142"/>
      <c r="E583" s="131"/>
      <c r="F583" s="142"/>
      <c r="G583" s="142"/>
      <c r="H583" s="131"/>
      <c r="I583" s="142"/>
      <c r="J583" s="142"/>
      <c r="K583" s="132"/>
      <c r="L583" s="131"/>
      <c r="M583" s="142"/>
      <c r="N583" s="142"/>
      <c r="O583" s="142"/>
      <c r="P583" s="142"/>
      <c r="Q583" s="142"/>
      <c r="R583" s="142"/>
      <c r="S583" s="142"/>
      <c r="T583" s="142"/>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30"/>
      <c r="AQ583" s="130"/>
      <c r="AR583" s="130"/>
      <c r="AS583" s="130"/>
      <c r="AT583" s="130"/>
      <c r="AU583" s="130"/>
      <c r="AV583" s="130"/>
      <c r="AW583" s="130"/>
      <c r="AX583" s="130"/>
      <c r="AY583" s="130"/>
      <c r="AZ583" s="130"/>
      <c r="BA583" s="130"/>
      <c r="BB583" s="130"/>
      <c r="BC583" s="130"/>
      <c r="BD583" s="130"/>
    </row>
    <row r="584" ht="15.75" customHeight="1">
      <c r="A584" s="142"/>
      <c r="B584" s="142"/>
      <c r="C584" s="198"/>
      <c r="D584" s="142"/>
      <c r="E584" s="131"/>
      <c r="F584" s="142"/>
      <c r="G584" s="142"/>
      <c r="H584" s="131"/>
      <c r="I584" s="142"/>
      <c r="J584" s="142"/>
      <c r="K584" s="132"/>
      <c r="L584" s="131"/>
      <c r="M584" s="142"/>
      <c r="N584" s="142"/>
      <c r="O584" s="142"/>
      <c r="P584" s="142"/>
      <c r="Q584" s="142"/>
      <c r="R584" s="142"/>
      <c r="S584" s="142"/>
      <c r="T584" s="142"/>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30"/>
      <c r="AQ584" s="130"/>
      <c r="AR584" s="130"/>
      <c r="AS584" s="130"/>
      <c r="AT584" s="130"/>
      <c r="AU584" s="130"/>
      <c r="AV584" s="130"/>
      <c r="AW584" s="130"/>
      <c r="AX584" s="130"/>
      <c r="AY584" s="130"/>
      <c r="AZ584" s="130"/>
      <c r="BA584" s="130"/>
      <c r="BB584" s="130"/>
      <c r="BC584" s="130"/>
      <c r="BD584" s="130"/>
    </row>
    <row r="585" ht="15.75" customHeight="1">
      <c r="A585" s="142"/>
      <c r="B585" s="142"/>
      <c r="C585" s="198"/>
      <c r="D585" s="142"/>
      <c r="E585" s="131"/>
      <c r="F585" s="142"/>
      <c r="G585" s="142"/>
      <c r="H585" s="131"/>
      <c r="I585" s="142"/>
      <c r="J585" s="142"/>
      <c r="K585" s="132"/>
      <c r="L585" s="131"/>
      <c r="M585" s="142"/>
      <c r="N585" s="142"/>
      <c r="O585" s="142"/>
      <c r="P585" s="142"/>
      <c r="Q585" s="142"/>
      <c r="R585" s="142"/>
      <c r="S585" s="142"/>
      <c r="T585" s="142"/>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30"/>
      <c r="AQ585" s="130"/>
      <c r="AR585" s="130"/>
      <c r="AS585" s="130"/>
      <c r="AT585" s="130"/>
      <c r="AU585" s="130"/>
      <c r="AV585" s="130"/>
      <c r="AW585" s="130"/>
      <c r="AX585" s="130"/>
      <c r="AY585" s="130"/>
      <c r="AZ585" s="130"/>
      <c r="BA585" s="130"/>
      <c r="BB585" s="130"/>
      <c r="BC585" s="130"/>
      <c r="BD585" s="130"/>
    </row>
    <row r="586" ht="15.75" customHeight="1">
      <c r="A586" s="142"/>
      <c r="B586" s="142"/>
      <c r="C586" s="198"/>
      <c r="D586" s="142"/>
      <c r="E586" s="131"/>
      <c r="F586" s="142"/>
      <c r="G586" s="142"/>
      <c r="H586" s="131"/>
      <c r="I586" s="142"/>
      <c r="J586" s="142"/>
      <c r="K586" s="132"/>
      <c r="L586" s="131"/>
      <c r="M586" s="142"/>
      <c r="N586" s="142"/>
      <c r="O586" s="142"/>
      <c r="P586" s="142"/>
      <c r="Q586" s="142"/>
      <c r="R586" s="142"/>
      <c r="S586" s="142"/>
      <c r="T586" s="142"/>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30"/>
      <c r="AQ586" s="130"/>
      <c r="AR586" s="130"/>
      <c r="AS586" s="130"/>
      <c r="AT586" s="130"/>
      <c r="AU586" s="130"/>
      <c r="AV586" s="130"/>
      <c r="AW586" s="130"/>
      <c r="AX586" s="130"/>
      <c r="AY586" s="130"/>
      <c r="AZ586" s="130"/>
      <c r="BA586" s="130"/>
      <c r="BB586" s="130"/>
      <c r="BC586" s="130"/>
      <c r="BD586" s="130"/>
    </row>
    <row r="587" ht="15.75" customHeight="1">
      <c r="A587" s="142"/>
      <c r="B587" s="142"/>
      <c r="C587" s="198"/>
      <c r="D587" s="142"/>
      <c r="E587" s="131"/>
      <c r="F587" s="142"/>
      <c r="G587" s="142"/>
      <c r="H587" s="131"/>
      <c r="I587" s="142"/>
      <c r="J587" s="142"/>
      <c r="K587" s="132"/>
      <c r="L587" s="131"/>
      <c r="M587" s="142"/>
      <c r="N587" s="142"/>
      <c r="O587" s="142"/>
      <c r="P587" s="142"/>
      <c r="Q587" s="142"/>
      <c r="R587" s="142"/>
      <c r="S587" s="142"/>
      <c r="T587" s="142"/>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30"/>
      <c r="AQ587" s="130"/>
      <c r="AR587" s="130"/>
      <c r="AS587" s="130"/>
      <c r="AT587" s="130"/>
      <c r="AU587" s="130"/>
      <c r="AV587" s="130"/>
      <c r="AW587" s="130"/>
      <c r="AX587" s="130"/>
      <c r="AY587" s="130"/>
      <c r="AZ587" s="130"/>
      <c r="BA587" s="130"/>
      <c r="BB587" s="130"/>
      <c r="BC587" s="130"/>
      <c r="BD587" s="130"/>
    </row>
    <row r="588" ht="15.75" customHeight="1">
      <c r="A588" s="142"/>
      <c r="B588" s="142"/>
      <c r="C588" s="198"/>
      <c r="D588" s="142"/>
      <c r="E588" s="131"/>
      <c r="F588" s="142"/>
      <c r="G588" s="142"/>
      <c r="H588" s="131"/>
      <c r="I588" s="142"/>
      <c r="J588" s="142"/>
      <c r="K588" s="132"/>
      <c r="L588" s="131"/>
      <c r="M588" s="142"/>
      <c r="N588" s="142"/>
      <c r="O588" s="142"/>
      <c r="P588" s="142"/>
      <c r="Q588" s="142"/>
      <c r="R588" s="142"/>
      <c r="S588" s="142"/>
      <c r="T588" s="142"/>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30"/>
      <c r="AQ588" s="130"/>
      <c r="AR588" s="130"/>
      <c r="AS588" s="130"/>
      <c r="AT588" s="130"/>
      <c r="AU588" s="130"/>
      <c r="AV588" s="130"/>
      <c r="AW588" s="130"/>
      <c r="AX588" s="130"/>
      <c r="AY588" s="130"/>
      <c r="AZ588" s="130"/>
      <c r="BA588" s="130"/>
      <c r="BB588" s="130"/>
      <c r="BC588" s="130"/>
      <c r="BD588" s="130"/>
    </row>
    <row r="589" ht="15.75" customHeight="1">
      <c r="A589" s="142"/>
      <c r="B589" s="142"/>
      <c r="C589" s="198"/>
      <c r="D589" s="142"/>
      <c r="E589" s="131"/>
      <c r="F589" s="142"/>
      <c r="G589" s="142"/>
      <c r="H589" s="131"/>
      <c r="I589" s="142"/>
      <c r="J589" s="142"/>
      <c r="K589" s="132"/>
      <c r="L589" s="131"/>
      <c r="M589" s="142"/>
      <c r="N589" s="142"/>
      <c r="O589" s="142"/>
      <c r="P589" s="142"/>
      <c r="Q589" s="142"/>
      <c r="R589" s="142"/>
      <c r="S589" s="142"/>
      <c r="T589" s="142"/>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30"/>
      <c r="AQ589" s="130"/>
      <c r="AR589" s="130"/>
      <c r="AS589" s="130"/>
      <c r="AT589" s="130"/>
      <c r="AU589" s="130"/>
      <c r="AV589" s="130"/>
      <c r="AW589" s="130"/>
      <c r="AX589" s="130"/>
      <c r="AY589" s="130"/>
      <c r="AZ589" s="130"/>
      <c r="BA589" s="130"/>
      <c r="BB589" s="130"/>
      <c r="BC589" s="130"/>
      <c r="BD589" s="130"/>
    </row>
    <row r="590" ht="15.75" customHeight="1">
      <c r="A590" s="142"/>
      <c r="B590" s="142"/>
      <c r="C590" s="198"/>
      <c r="D590" s="142"/>
      <c r="E590" s="131"/>
      <c r="F590" s="142"/>
      <c r="G590" s="142"/>
      <c r="H590" s="131"/>
      <c r="I590" s="142"/>
      <c r="J590" s="142"/>
      <c r="K590" s="132"/>
      <c r="L590" s="131"/>
      <c r="M590" s="142"/>
      <c r="N590" s="142"/>
      <c r="O590" s="142"/>
      <c r="P590" s="142"/>
      <c r="Q590" s="142"/>
      <c r="R590" s="142"/>
      <c r="S590" s="142"/>
      <c r="T590" s="142"/>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30"/>
      <c r="AQ590" s="130"/>
      <c r="AR590" s="130"/>
      <c r="AS590" s="130"/>
      <c r="AT590" s="130"/>
      <c r="AU590" s="130"/>
      <c r="AV590" s="130"/>
      <c r="AW590" s="130"/>
      <c r="AX590" s="130"/>
      <c r="AY590" s="130"/>
      <c r="AZ590" s="130"/>
      <c r="BA590" s="130"/>
      <c r="BB590" s="130"/>
      <c r="BC590" s="130"/>
      <c r="BD590" s="130"/>
    </row>
    <row r="591" ht="15.75" customHeight="1">
      <c r="A591" s="142"/>
      <c r="B591" s="142"/>
      <c r="C591" s="198"/>
      <c r="D591" s="142"/>
      <c r="E591" s="131"/>
      <c r="F591" s="142"/>
      <c r="G591" s="142"/>
      <c r="H591" s="131"/>
      <c r="I591" s="142"/>
      <c r="J591" s="142"/>
      <c r="K591" s="132"/>
      <c r="L591" s="131"/>
      <c r="M591" s="142"/>
      <c r="N591" s="142"/>
      <c r="O591" s="142"/>
      <c r="P591" s="142"/>
      <c r="Q591" s="142"/>
      <c r="R591" s="142"/>
      <c r="S591" s="142"/>
      <c r="T591" s="142"/>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30"/>
      <c r="AQ591" s="130"/>
      <c r="AR591" s="130"/>
      <c r="AS591" s="130"/>
      <c r="AT591" s="130"/>
      <c r="AU591" s="130"/>
      <c r="AV591" s="130"/>
      <c r="AW591" s="130"/>
      <c r="AX591" s="130"/>
      <c r="AY591" s="130"/>
      <c r="AZ591" s="130"/>
      <c r="BA591" s="130"/>
      <c r="BB591" s="130"/>
      <c r="BC591" s="130"/>
      <c r="BD591" s="130"/>
    </row>
    <row r="592" ht="15.75" customHeight="1">
      <c r="A592" s="142"/>
      <c r="B592" s="142"/>
      <c r="C592" s="198"/>
      <c r="D592" s="142"/>
      <c r="E592" s="131"/>
      <c r="F592" s="142"/>
      <c r="G592" s="142"/>
      <c r="H592" s="131"/>
      <c r="I592" s="142"/>
      <c r="J592" s="142"/>
      <c r="K592" s="132"/>
      <c r="L592" s="131"/>
      <c r="M592" s="142"/>
      <c r="N592" s="142"/>
      <c r="O592" s="142"/>
      <c r="P592" s="142"/>
      <c r="Q592" s="142"/>
      <c r="R592" s="142"/>
      <c r="S592" s="142"/>
      <c r="T592" s="142"/>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30"/>
      <c r="AQ592" s="130"/>
      <c r="AR592" s="130"/>
      <c r="AS592" s="130"/>
      <c r="AT592" s="130"/>
      <c r="AU592" s="130"/>
      <c r="AV592" s="130"/>
      <c r="AW592" s="130"/>
      <c r="AX592" s="130"/>
      <c r="AY592" s="130"/>
      <c r="AZ592" s="130"/>
      <c r="BA592" s="130"/>
      <c r="BB592" s="130"/>
      <c r="BC592" s="130"/>
      <c r="BD592" s="130"/>
    </row>
    <row r="593" ht="15.75" customHeight="1">
      <c r="A593" s="142"/>
      <c r="B593" s="142"/>
      <c r="C593" s="198"/>
      <c r="D593" s="142"/>
      <c r="E593" s="131"/>
      <c r="F593" s="142"/>
      <c r="G593" s="142"/>
      <c r="H593" s="131"/>
      <c r="I593" s="142"/>
      <c r="J593" s="142"/>
      <c r="K593" s="132"/>
      <c r="L593" s="131"/>
      <c r="M593" s="142"/>
      <c r="N593" s="142"/>
      <c r="O593" s="142"/>
      <c r="P593" s="142"/>
      <c r="Q593" s="142"/>
      <c r="R593" s="142"/>
      <c r="S593" s="142"/>
      <c r="T593" s="142"/>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30"/>
      <c r="AQ593" s="130"/>
      <c r="AR593" s="130"/>
      <c r="AS593" s="130"/>
      <c r="AT593" s="130"/>
      <c r="AU593" s="130"/>
      <c r="AV593" s="130"/>
      <c r="AW593" s="130"/>
      <c r="AX593" s="130"/>
      <c r="AY593" s="130"/>
      <c r="AZ593" s="130"/>
      <c r="BA593" s="130"/>
      <c r="BB593" s="130"/>
      <c r="BC593" s="130"/>
      <c r="BD593" s="130"/>
    </row>
    <row r="594" ht="15.75" customHeight="1">
      <c r="A594" s="142"/>
      <c r="B594" s="142"/>
      <c r="C594" s="198"/>
      <c r="D594" s="142"/>
      <c r="E594" s="131"/>
      <c r="F594" s="142"/>
      <c r="G594" s="142"/>
      <c r="H594" s="131"/>
      <c r="I594" s="142"/>
      <c r="J594" s="142"/>
      <c r="K594" s="132"/>
      <c r="L594" s="131"/>
      <c r="M594" s="142"/>
      <c r="N594" s="142"/>
      <c r="O594" s="142"/>
      <c r="P594" s="142"/>
      <c r="Q594" s="142"/>
      <c r="R594" s="142"/>
      <c r="S594" s="142"/>
      <c r="T594" s="142"/>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30"/>
      <c r="AQ594" s="130"/>
      <c r="AR594" s="130"/>
      <c r="AS594" s="130"/>
      <c r="AT594" s="130"/>
      <c r="AU594" s="130"/>
      <c r="AV594" s="130"/>
      <c r="AW594" s="130"/>
      <c r="AX594" s="130"/>
      <c r="AY594" s="130"/>
      <c r="AZ594" s="130"/>
      <c r="BA594" s="130"/>
      <c r="BB594" s="130"/>
      <c r="BC594" s="130"/>
      <c r="BD594" s="130"/>
    </row>
    <row r="595" ht="15.75" customHeight="1">
      <c r="A595" s="142"/>
      <c r="B595" s="142"/>
      <c r="C595" s="198"/>
      <c r="D595" s="142"/>
      <c r="E595" s="131"/>
      <c r="F595" s="142"/>
      <c r="G595" s="142"/>
      <c r="H595" s="131"/>
      <c r="I595" s="142"/>
      <c r="J595" s="142"/>
      <c r="K595" s="132"/>
      <c r="L595" s="131"/>
      <c r="M595" s="142"/>
      <c r="N595" s="142"/>
      <c r="O595" s="142"/>
      <c r="P595" s="142"/>
      <c r="Q595" s="142"/>
      <c r="R595" s="142"/>
      <c r="S595" s="142"/>
      <c r="T595" s="142"/>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30"/>
      <c r="AQ595" s="130"/>
      <c r="AR595" s="130"/>
      <c r="AS595" s="130"/>
      <c r="AT595" s="130"/>
      <c r="AU595" s="130"/>
      <c r="AV595" s="130"/>
      <c r="AW595" s="130"/>
      <c r="AX595" s="130"/>
      <c r="AY595" s="130"/>
      <c r="AZ595" s="130"/>
      <c r="BA595" s="130"/>
      <c r="BB595" s="130"/>
      <c r="BC595" s="130"/>
      <c r="BD595" s="130"/>
    </row>
    <row r="596" ht="15.75" customHeight="1">
      <c r="A596" s="142"/>
      <c r="B596" s="142"/>
      <c r="C596" s="198"/>
      <c r="D596" s="142"/>
      <c r="E596" s="131"/>
      <c r="F596" s="142"/>
      <c r="G596" s="142"/>
      <c r="H596" s="131"/>
      <c r="I596" s="142"/>
      <c r="J596" s="142"/>
      <c r="K596" s="132"/>
      <c r="L596" s="131"/>
      <c r="M596" s="142"/>
      <c r="N596" s="142"/>
      <c r="O596" s="142"/>
      <c r="P596" s="142"/>
      <c r="Q596" s="142"/>
      <c r="R596" s="142"/>
      <c r="S596" s="142"/>
      <c r="T596" s="142"/>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30"/>
      <c r="AQ596" s="130"/>
      <c r="AR596" s="130"/>
      <c r="AS596" s="130"/>
      <c r="AT596" s="130"/>
      <c r="AU596" s="130"/>
      <c r="AV596" s="130"/>
      <c r="AW596" s="130"/>
      <c r="AX596" s="130"/>
      <c r="AY596" s="130"/>
      <c r="AZ596" s="130"/>
      <c r="BA596" s="130"/>
      <c r="BB596" s="130"/>
      <c r="BC596" s="130"/>
      <c r="BD596" s="130"/>
    </row>
    <row r="597" ht="15.75" customHeight="1">
      <c r="A597" s="142"/>
      <c r="B597" s="142"/>
      <c r="C597" s="198"/>
      <c r="D597" s="142"/>
      <c r="E597" s="131"/>
      <c r="F597" s="142"/>
      <c r="G597" s="142"/>
      <c r="H597" s="131"/>
      <c r="I597" s="142"/>
      <c r="J597" s="142"/>
      <c r="K597" s="132"/>
      <c r="L597" s="131"/>
      <c r="M597" s="142"/>
      <c r="N597" s="142"/>
      <c r="O597" s="142"/>
      <c r="P597" s="142"/>
      <c r="Q597" s="142"/>
      <c r="R597" s="142"/>
      <c r="S597" s="142"/>
      <c r="T597" s="142"/>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30"/>
      <c r="AQ597" s="130"/>
      <c r="AR597" s="130"/>
      <c r="AS597" s="130"/>
      <c r="AT597" s="130"/>
      <c r="AU597" s="130"/>
      <c r="AV597" s="130"/>
      <c r="AW597" s="130"/>
      <c r="AX597" s="130"/>
      <c r="AY597" s="130"/>
      <c r="AZ597" s="130"/>
      <c r="BA597" s="130"/>
      <c r="BB597" s="130"/>
      <c r="BC597" s="130"/>
      <c r="BD597" s="130"/>
    </row>
    <row r="598" ht="15.75" customHeight="1">
      <c r="A598" s="142"/>
      <c r="B598" s="142"/>
      <c r="C598" s="198"/>
      <c r="D598" s="142"/>
      <c r="E598" s="131"/>
      <c r="F598" s="142"/>
      <c r="G598" s="142"/>
      <c r="H598" s="131"/>
      <c r="I598" s="142"/>
      <c r="J598" s="142"/>
      <c r="K598" s="132"/>
      <c r="L598" s="131"/>
      <c r="M598" s="142"/>
      <c r="N598" s="142"/>
      <c r="O598" s="142"/>
      <c r="P598" s="142"/>
      <c r="Q598" s="142"/>
      <c r="R598" s="142"/>
      <c r="S598" s="142"/>
      <c r="T598" s="142"/>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30"/>
      <c r="AQ598" s="130"/>
      <c r="AR598" s="130"/>
      <c r="AS598" s="130"/>
      <c r="AT598" s="130"/>
      <c r="AU598" s="130"/>
      <c r="AV598" s="130"/>
      <c r="AW598" s="130"/>
      <c r="AX598" s="130"/>
      <c r="AY598" s="130"/>
      <c r="AZ598" s="130"/>
      <c r="BA598" s="130"/>
      <c r="BB598" s="130"/>
      <c r="BC598" s="130"/>
      <c r="BD598" s="130"/>
    </row>
    <row r="599" ht="15.75" customHeight="1">
      <c r="A599" s="142"/>
      <c r="B599" s="142"/>
      <c r="C599" s="198"/>
      <c r="D599" s="142"/>
      <c r="E599" s="131"/>
      <c r="F599" s="142"/>
      <c r="G599" s="142"/>
      <c r="H599" s="131"/>
      <c r="I599" s="142"/>
      <c r="J599" s="142"/>
      <c r="K599" s="132"/>
      <c r="L599" s="131"/>
      <c r="M599" s="142"/>
      <c r="N599" s="142"/>
      <c r="O599" s="142"/>
      <c r="P599" s="142"/>
      <c r="Q599" s="142"/>
      <c r="R599" s="142"/>
      <c r="S599" s="142"/>
      <c r="T599" s="142"/>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30"/>
      <c r="AQ599" s="130"/>
      <c r="AR599" s="130"/>
      <c r="AS599" s="130"/>
      <c r="AT599" s="130"/>
      <c r="AU599" s="130"/>
      <c r="AV599" s="130"/>
      <c r="AW599" s="130"/>
      <c r="AX599" s="130"/>
      <c r="AY599" s="130"/>
      <c r="AZ599" s="130"/>
      <c r="BA599" s="130"/>
      <c r="BB599" s="130"/>
      <c r="BC599" s="130"/>
      <c r="BD599" s="130"/>
    </row>
    <row r="600" ht="15.75" customHeight="1">
      <c r="A600" s="142"/>
      <c r="B600" s="142"/>
      <c r="C600" s="198"/>
      <c r="D600" s="142"/>
      <c r="E600" s="131"/>
      <c r="F600" s="142"/>
      <c r="G600" s="142"/>
      <c r="H600" s="131"/>
      <c r="I600" s="142"/>
      <c r="J600" s="142"/>
      <c r="K600" s="132"/>
      <c r="L600" s="131"/>
      <c r="M600" s="142"/>
      <c r="N600" s="142"/>
      <c r="O600" s="142"/>
      <c r="P600" s="142"/>
      <c r="Q600" s="142"/>
      <c r="R600" s="142"/>
      <c r="S600" s="142"/>
      <c r="T600" s="142"/>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30"/>
      <c r="AQ600" s="130"/>
      <c r="AR600" s="130"/>
      <c r="AS600" s="130"/>
      <c r="AT600" s="130"/>
      <c r="AU600" s="130"/>
      <c r="AV600" s="130"/>
      <c r="AW600" s="130"/>
      <c r="AX600" s="130"/>
      <c r="AY600" s="130"/>
      <c r="AZ600" s="130"/>
      <c r="BA600" s="130"/>
      <c r="BB600" s="130"/>
      <c r="BC600" s="130"/>
      <c r="BD600" s="130"/>
    </row>
    <row r="601" ht="15.75" customHeight="1">
      <c r="A601" s="142"/>
      <c r="B601" s="142"/>
      <c r="C601" s="198"/>
      <c r="D601" s="142"/>
      <c r="E601" s="131"/>
      <c r="F601" s="142"/>
      <c r="G601" s="142"/>
      <c r="H601" s="131"/>
      <c r="I601" s="142"/>
      <c r="J601" s="142"/>
      <c r="K601" s="132"/>
      <c r="L601" s="131"/>
      <c r="M601" s="142"/>
      <c r="N601" s="142"/>
      <c r="O601" s="142"/>
      <c r="P601" s="142"/>
      <c r="Q601" s="142"/>
      <c r="R601" s="142"/>
      <c r="S601" s="142"/>
      <c r="T601" s="142"/>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30"/>
      <c r="AQ601" s="130"/>
      <c r="AR601" s="130"/>
      <c r="AS601" s="130"/>
      <c r="AT601" s="130"/>
      <c r="AU601" s="130"/>
      <c r="AV601" s="130"/>
      <c r="AW601" s="130"/>
      <c r="AX601" s="130"/>
      <c r="AY601" s="130"/>
      <c r="AZ601" s="130"/>
      <c r="BA601" s="130"/>
      <c r="BB601" s="130"/>
      <c r="BC601" s="130"/>
      <c r="BD601" s="130"/>
    </row>
    <row r="602" ht="15.75" customHeight="1">
      <c r="A602" s="142"/>
      <c r="B602" s="142"/>
      <c r="C602" s="198"/>
      <c r="D602" s="142"/>
      <c r="E602" s="131"/>
      <c r="F602" s="142"/>
      <c r="G602" s="142"/>
      <c r="H602" s="131"/>
      <c r="I602" s="142"/>
      <c r="J602" s="142"/>
      <c r="K602" s="132"/>
      <c r="L602" s="131"/>
      <c r="M602" s="142"/>
      <c r="N602" s="142"/>
      <c r="O602" s="142"/>
      <c r="P602" s="142"/>
      <c r="Q602" s="142"/>
      <c r="R602" s="142"/>
      <c r="S602" s="142"/>
      <c r="T602" s="142"/>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30"/>
      <c r="AQ602" s="130"/>
      <c r="AR602" s="130"/>
      <c r="AS602" s="130"/>
      <c r="AT602" s="130"/>
      <c r="AU602" s="130"/>
      <c r="AV602" s="130"/>
      <c r="AW602" s="130"/>
      <c r="AX602" s="130"/>
      <c r="AY602" s="130"/>
      <c r="AZ602" s="130"/>
      <c r="BA602" s="130"/>
      <c r="BB602" s="130"/>
      <c r="BC602" s="130"/>
      <c r="BD602" s="130"/>
    </row>
    <row r="603" ht="15.75" customHeight="1">
      <c r="A603" s="142"/>
      <c r="B603" s="142"/>
      <c r="C603" s="198"/>
      <c r="D603" s="142"/>
      <c r="E603" s="131"/>
      <c r="F603" s="142"/>
      <c r="G603" s="142"/>
      <c r="H603" s="131"/>
      <c r="I603" s="142"/>
      <c r="J603" s="142"/>
      <c r="K603" s="132"/>
      <c r="L603" s="131"/>
      <c r="M603" s="142"/>
      <c r="N603" s="142"/>
      <c r="O603" s="142"/>
      <c r="P603" s="142"/>
      <c r="Q603" s="142"/>
      <c r="R603" s="142"/>
      <c r="S603" s="142"/>
      <c r="T603" s="142"/>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30"/>
      <c r="AQ603" s="130"/>
      <c r="AR603" s="130"/>
      <c r="AS603" s="130"/>
      <c r="AT603" s="130"/>
      <c r="AU603" s="130"/>
      <c r="AV603" s="130"/>
      <c r="AW603" s="130"/>
      <c r="AX603" s="130"/>
      <c r="AY603" s="130"/>
      <c r="AZ603" s="130"/>
      <c r="BA603" s="130"/>
      <c r="BB603" s="130"/>
      <c r="BC603" s="130"/>
      <c r="BD603" s="130"/>
    </row>
    <row r="604" ht="15.75" customHeight="1">
      <c r="A604" s="142"/>
      <c r="B604" s="142"/>
      <c r="C604" s="198"/>
      <c r="D604" s="142"/>
      <c r="E604" s="131"/>
      <c r="F604" s="142"/>
      <c r="G604" s="142"/>
      <c r="H604" s="131"/>
      <c r="I604" s="142"/>
      <c r="J604" s="142"/>
      <c r="K604" s="132"/>
      <c r="L604" s="131"/>
      <c r="M604" s="142"/>
      <c r="N604" s="142"/>
      <c r="O604" s="142"/>
      <c r="P604" s="142"/>
      <c r="Q604" s="142"/>
      <c r="R604" s="142"/>
      <c r="S604" s="142"/>
      <c r="T604" s="142"/>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30"/>
      <c r="AQ604" s="130"/>
      <c r="AR604" s="130"/>
      <c r="AS604" s="130"/>
      <c r="AT604" s="130"/>
      <c r="AU604" s="130"/>
      <c r="AV604" s="130"/>
      <c r="AW604" s="130"/>
      <c r="AX604" s="130"/>
      <c r="AY604" s="130"/>
      <c r="AZ604" s="130"/>
      <c r="BA604" s="130"/>
      <c r="BB604" s="130"/>
      <c r="BC604" s="130"/>
      <c r="BD604" s="130"/>
    </row>
    <row r="605" ht="15.75" customHeight="1">
      <c r="A605" s="142"/>
      <c r="B605" s="142"/>
      <c r="C605" s="198"/>
      <c r="D605" s="142"/>
      <c r="E605" s="131"/>
      <c r="F605" s="142"/>
      <c r="G605" s="142"/>
      <c r="H605" s="131"/>
      <c r="I605" s="142"/>
      <c r="J605" s="142"/>
      <c r="K605" s="132"/>
      <c r="L605" s="131"/>
      <c r="M605" s="142"/>
      <c r="N605" s="142"/>
      <c r="O605" s="142"/>
      <c r="P605" s="142"/>
      <c r="Q605" s="142"/>
      <c r="R605" s="142"/>
      <c r="S605" s="142"/>
      <c r="T605" s="142"/>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30"/>
      <c r="AQ605" s="130"/>
      <c r="AR605" s="130"/>
      <c r="AS605" s="130"/>
      <c r="AT605" s="130"/>
      <c r="AU605" s="130"/>
      <c r="AV605" s="130"/>
      <c r="AW605" s="130"/>
      <c r="AX605" s="130"/>
      <c r="AY605" s="130"/>
      <c r="AZ605" s="130"/>
      <c r="BA605" s="130"/>
      <c r="BB605" s="130"/>
      <c r="BC605" s="130"/>
      <c r="BD605" s="130"/>
    </row>
    <row r="606" ht="15.75" customHeight="1">
      <c r="A606" s="142"/>
      <c r="B606" s="142"/>
      <c r="C606" s="198"/>
      <c r="D606" s="142"/>
      <c r="E606" s="131"/>
      <c r="F606" s="142"/>
      <c r="G606" s="142"/>
      <c r="H606" s="131"/>
      <c r="I606" s="142"/>
      <c r="J606" s="142"/>
      <c r="K606" s="132"/>
      <c r="L606" s="131"/>
      <c r="M606" s="142"/>
      <c r="N606" s="142"/>
      <c r="O606" s="142"/>
      <c r="P606" s="142"/>
      <c r="Q606" s="142"/>
      <c r="R606" s="142"/>
      <c r="S606" s="142"/>
      <c r="T606" s="142"/>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30"/>
      <c r="AQ606" s="130"/>
      <c r="AR606" s="130"/>
      <c r="AS606" s="130"/>
      <c r="AT606" s="130"/>
      <c r="AU606" s="130"/>
      <c r="AV606" s="130"/>
      <c r="AW606" s="130"/>
      <c r="AX606" s="130"/>
      <c r="AY606" s="130"/>
      <c r="AZ606" s="130"/>
      <c r="BA606" s="130"/>
      <c r="BB606" s="130"/>
      <c r="BC606" s="130"/>
      <c r="BD606" s="130"/>
    </row>
    <row r="607" ht="15.75" customHeight="1">
      <c r="A607" s="142"/>
      <c r="B607" s="142"/>
      <c r="C607" s="198"/>
      <c r="D607" s="142"/>
      <c r="E607" s="131"/>
      <c r="F607" s="142"/>
      <c r="G607" s="142"/>
      <c r="H607" s="131"/>
      <c r="I607" s="142"/>
      <c r="J607" s="142"/>
      <c r="K607" s="132"/>
      <c r="L607" s="131"/>
      <c r="M607" s="142"/>
      <c r="N607" s="142"/>
      <c r="O607" s="142"/>
      <c r="P607" s="142"/>
      <c r="Q607" s="142"/>
      <c r="R607" s="142"/>
      <c r="S607" s="142"/>
      <c r="T607" s="142"/>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30"/>
      <c r="AQ607" s="130"/>
      <c r="AR607" s="130"/>
      <c r="AS607" s="130"/>
      <c r="AT607" s="130"/>
      <c r="AU607" s="130"/>
      <c r="AV607" s="130"/>
      <c r="AW607" s="130"/>
      <c r="AX607" s="130"/>
      <c r="AY607" s="130"/>
      <c r="AZ607" s="130"/>
      <c r="BA607" s="130"/>
      <c r="BB607" s="130"/>
      <c r="BC607" s="130"/>
      <c r="BD607" s="130"/>
    </row>
    <row r="608" ht="15.75" customHeight="1">
      <c r="A608" s="142"/>
      <c r="B608" s="142"/>
      <c r="C608" s="198"/>
      <c r="D608" s="142"/>
      <c r="E608" s="131"/>
      <c r="F608" s="142"/>
      <c r="G608" s="142"/>
      <c r="H608" s="131"/>
      <c r="I608" s="142"/>
      <c r="J608" s="142"/>
      <c r="K608" s="132"/>
      <c r="L608" s="131"/>
      <c r="M608" s="142"/>
      <c r="N608" s="142"/>
      <c r="O608" s="142"/>
      <c r="P608" s="142"/>
      <c r="Q608" s="142"/>
      <c r="R608" s="142"/>
      <c r="S608" s="142"/>
      <c r="T608" s="142"/>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30"/>
      <c r="AQ608" s="130"/>
      <c r="AR608" s="130"/>
      <c r="AS608" s="130"/>
      <c r="AT608" s="130"/>
      <c r="AU608" s="130"/>
      <c r="AV608" s="130"/>
      <c r="AW608" s="130"/>
      <c r="AX608" s="130"/>
      <c r="AY608" s="130"/>
      <c r="AZ608" s="130"/>
      <c r="BA608" s="130"/>
      <c r="BB608" s="130"/>
      <c r="BC608" s="130"/>
      <c r="BD608" s="130"/>
    </row>
    <row r="609" ht="15.75" customHeight="1">
      <c r="A609" s="142"/>
      <c r="B609" s="142"/>
      <c r="C609" s="198"/>
      <c r="D609" s="142"/>
      <c r="E609" s="131"/>
      <c r="F609" s="142"/>
      <c r="G609" s="142"/>
      <c r="H609" s="131"/>
      <c r="I609" s="142"/>
      <c r="J609" s="142"/>
      <c r="K609" s="132"/>
      <c r="L609" s="131"/>
      <c r="M609" s="142"/>
      <c r="N609" s="142"/>
      <c r="O609" s="142"/>
      <c r="P609" s="142"/>
      <c r="Q609" s="142"/>
      <c r="R609" s="142"/>
      <c r="S609" s="142"/>
      <c r="T609" s="142"/>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30"/>
      <c r="AQ609" s="130"/>
      <c r="AR609" s="130"/>
      <c r="AS609" s="130"/>
      <c r="AT609" s="130"/>
      <c r="AU609" s="130"/>
      <c r="AV609" s="130"/>
      <c r="AW609" s="130"/>
      <c r="AX609" s="130"/>
      <c r="AY609" s="130"/>
      <c r="AZ609" s="130"/>
      <c r="BA609" s="130"/>
      <c r="BB609" s="130"/>
      <c r="BC609" s="130"/>
      <c r="BD609" s="130"/>
    </row>
    <row r="610" ht="15.75" customHeight="1">
      <c r="A610" s="142"/>
      <c r="B610" s="142"/>
      <c r="C610" s="198"/>
      <c r="D610" s="142"/>
      <c r="E610" s="131"/>
      <c r="F610" s="142"/>
      <c r="G610" s="142"/>
      <c r="H610" s="131"/>
      <c r="I610" s="142"/>
      <c r="J610" s="142"/>
      <c r="K610" s="132"/>
      <c r="L610" s="131"/>
      <c r="M610" s="142"/>
      <c r="N610" s="142"/>
      <c r="O610" s="142"/>
      <c r="P610" s="142"/>
      <c r="Q610" s="142"/>
      <c r="R610" s="142"/>
      <c r="S610" s="142"/>
      <c r="T610" s="142"/>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30"/>
      <c r="AQ610" s="130"/>
      <c r="AR610" s="130"/>
      <c r="AS610" s="130"/>
      <c r="AT610" s="130"/>
      <c r="AU610" s="130"/>
      <c r="AV610" s="130"/>
      <c r="AW610" s="130"/>
      <c r="AX610" s="130"/>
      <c r="AY610" s="130"/>
      <c r="AZ610" s="130"/>
      <c r="BA610" s="130"/>
      <c r="BB610" s="130"/>
      <c r="BC610" s="130"/>
      <c r="BD610" s="130"/>
    </row>
    <row r="611" ht="15.75" customHeight="1">
      <c r="A611" s="142"/>
      <c r="B611" s="142"/>
      <c r="C611" s="198"/>
      <c r="D611" s="142"/>
      <c r="E611" s="131"/>
      <c r="F611" s="142"/>
      <c r="G611" s="142"/>
      <c r="H611" s="131"/>
      <c r="I611" s="142"/>
      <c r="J611" s="142"/>
      <c r="K611" s="132"/>
      <c r="L611" s="131"/>
      <c r="M611" s="142"/>
      <c r="N611" s="142"/>
      <c r="O611" s="142"/>
      <c r="P611" s="142"/>
      <c r="Q611" s="142"/>
      <c r="R611" s="142"/>
      <c r="S611" s="142"/>
      <c r="T611" s="142"/>
      <c r="U611" s="142"/>
      <c r="V611" s="142"/>
      <c r="W611" s="142"/>
      <c r="X611" s="142"/>
      <c r="Y611" s="142"/>
      <c r="Z611" s="142"/>
      <c r="AA611" s="142"/>
      <c r="AB611" s="142"/>
      <c r="AC611" s="142"/>
      <c r="AD611" s="142"/>
      <c r="AE611" s="142"/>
      <c r="AF611" s="142"/>
      <c r="AG611" s="142"/>
      <c r="AH611" s="142"/>
      <c r="AI611" s="142"/>
      <c r="AJ611" s="142"/>
      <c r="AK611" s="142"/>
      <c r="AL611" s="142"/>
      <c r="AM611" s="142"/>
      <c r="AN611" s="142"/>
      <c r="AO611" s="142"/>
      <c r="AP611" s="130"/>
      <c r="AQ611" s="130"/>
      <c r="AR611" s="130"/>
      <c r="AS611" s="130"/>
      <c r="AT611" s="130"/>
      <c r="AU611" s="130"/>
      <c r="AV611" s="130"/>
      <c r="AW611" s="130"/>
      <c r="AX611" s="130"/>
      <c r="AY611" s="130"/>
      <c r="AZ611" s="130"/>
      <c r="BA611" s="130"/>
      <c r="BB611" s="130"/>
      <c r="BC611" s="130"/>
      <c r="BD611" s="130"/>
    </row>
    <row r="612" ht="15.75" customHeight="1">
      <c r="A612" s="142"/>
      <c r="B612" s="142"/>
      <c r="C612" s="198"/>
      <c r="D612" s="142"/>
      <c r="E612" s="131"/>
      <c r="F612" s="142"/>
      <c r="G612" s="142"/>
      <c r="H612" s="131"/>
      <c r="I612" s="142"/>
      <c r="J612" s="142"/>
      <c r="K612" s="132"/>
      <c r="L612" s="131"/>
      <c r="M612" s="142"/>
      <c r="N612" s="142"/>
      <c r="O612" s="142"/>
      <c r="P612" s="142"/>
      <c r="Q612" s="142"/>
      <c r="R612" s="142"/>
      <c r="S612" s="142"/>
      <c r="T612" s="142"/>
      <c r="U612" s="142"/>
      <c r="V612" s="142"/>
      <c r="W612" s="142"/>
      <c r="X612" s="142"/>
      <c r="Y612" s="142"/>
      <c r="Z612" s="142"/>
      <c r="AA612" s="142"/>
      <c r="AB612" s="142"/>
      <c r="AC612" s="142"/>
      <c r="AD612" s="142"/>
      <c r="AE612" s="142"/>
      <c r="AF612" s="142"/>
      <c r="AG612" s="142"/>
      <c r="AH612" s="142"/>
      <c r="AI612" s="142"/>
      <c r="AJ612" s="142"/>
      <c r="AK612" s="142"/>
      <c r="AL612" s="142"/>
      <c r="AM612" s="142"/>
      <c r="AN612" s="142"/>
      <c r="AO612" s="142"/>
      <c r="AP612" s="130"/>
      <c r="AQ612" s="130"/>
      <c r="AR612" s="130"/>
      <c r="AS612" s="130"/>
      <c r="AT612" s="130"/>
      <c r="AU612" s="130"/>
      <c r="AV612" s="130"/>
      <c r="AW612" s="130"/>
      <c r="AX612" s="130"/>
      <c r="AY612" s="130"/>
      <c r="AZ612" s="130"/>
      <c r="BA612" s="130"/>
      <c r="BB612" s="130"/>
      <c r="BC612" s="130"/>
      <c r="BD612" s="130"/>
    </row>
    <row r="613" ht="15.75" customHeight="1">
      <c r="A613" s="142"/>
      <c r="B613" s="142"/>
      <c r="C613" s="198"/>
      <c r="D613" s="142"/>
      <c r="E613" s="131"/>
      <c r="F613" s="142"/>
      <c r="G613" s="142"/>
      <c r="H613" s="131"/>
      <c r="I613" s="142"/>
      <c r="J613" s="142"/>
      <c r="K613" s="132"/>
      <c r="L613" s="131"/>
      <c r="M613" s="142"/>
      <c r="N613" s="142"/>
      <c r="O613" s="142"/>
      <c r="P613" s="142"/>
      <c r="Q613" s="142"/>
      <c r="R613" s="142"/>
      <c r="S613" s="142"/>
      <c r="T613" s="142"/>
      <c r="U613" s="142"/>
      <c r="V613" s="142"/>
      <c r="W613" s="142"/>
      <c r="X613" s="142"/>
      <c r="Y613" s="142"/>
      <c r="Z613" s="142"/>
      <c r="AA613" s="142"/>
      <c r="AB613" s="142"/>
      <c r="AC613" s="142"/>
      <c r="AD613" s="142"/>
      <c r="AE613" s="142"/>
      <c r="AF613" s="142"/>
      <c r="AG613" s="142"/>
      <c r="AH613" s="142"/>
      <c r="AI613" s="142"/>
      <c r="AJ613" s="142"/>
      <c r="AK613" s="142"/>
      <c r="AL613" s="142"/>
      <c r="AM613" s="142"/>
      <c r="AN613" s="142"/>
      <c r="AO613" s="142"/>
      <c r="AP613" s="130"/>
      <c r="AQ613" s="130"/>
      <c r="AR613" s="130"/>
      <c r="AS613" s="130"/>
      <c r="AT613" s="130"/>
      <c r="AU613" s="130"/>
      <c r="AV613" s="130"/>
      <c r="AW613" s="130"/>
      <c r="AX613" s="130"/>
      <c r="AY613" s="130"/>
      <c r="AZ613" s="130"/>
      <c r="BA613" s="130"/>
      <c r="BB613" s="130"/>
      <c r="BC613" s="130"/>
      <c r="BD613" s="130"/>
    </row>
    <row r="614" ht="15.75" customHeight="1">
      <c r="A614" s="142"/>
      <c r="B614" s="142"/>
      <c r="C614" s="198"/>
      <c r="D614" s="142"/>
      <c r="E614" s="131"/>
      <c r="F614" s="142"/>
      <c r="G614" s="142"/>
      <c r="H614" s="131"/>
      <c r="I614" s="142"/>
      <c r="J614" s="142"/>
      <c r="K614" s="132"/>
      <c r="L614" s="131"/>
      <c r="M614" s="142"/>
      <c r="N614" s="142"/>
      <c r="O614" s="142"/>
      <c r="P614" s="142"/>
      <c r="Q614" s="142"/>
      <c r="R614" s="142"/>
      <c r="S614" s="142"/>
      <c r="T614" s="142"/>
      <c r="U614" s="142"/>
      <c r="V614" s="142"/>
      <c r="W614" s="142"/>
      <c r="X614" s="142"/>
      <c r="Y614" s="142"/>
      <c r="Z614" s="142"/>
      <c r="AA614" s="142"/>
      <c r="AB614" s="142"/>
      <c r="AC614" s="142"/>
      <c r="AD614" s="142"/>
      <c r="AE614" s="142"/>
      <c r="AF614" s="142"/>
      <c r="AG614" s="142"/>
      <c r="AH614" s="142"/>
      <c r="AI614" s="142"/>
      <c r="AJ614" s="142"/>
      <c r="AK614" s="142"/>
      <c r="AL614" s="142"/>
      <c r="AM614" s="142"/>
      <c r="AN614" s="142"/>
      <c r="AO614" s="142"/>
      <c r="AP614" s="130"/>
      <c r="AQ614" s="130"/>
      <c r="AR614" s="130"/>
      <c r="AS614" s="130"/>
      <c r="AT614" s="130"/>
      <c r="AU614" s="130"/>
      <c r="AV614" s="130"/>
      <c r="AW614" s="130"/>
      <c r="AX614" s="130"/>
      <c r="AY614" s="130"/>
      <c r="AZ614" s="130"/>
      <c r="BA614" s="130"/>
      <c r="BB614" s="130"/>
      <c r="BC614" s="130"/>
      <c r="BD614" s="130"/>
    </row>
    <row r="615" ht="15.75" customHeight="1">
      <c r="A615" s="142"/>
      <c r="B615" s="142"/>
      <c r="C615" s="198"/>
      <c r="D615" s="142"/>
      <c r="E615" s="131"/>
      <c r="F615" s="142"/>
      <c r="G615" s="142"/>
      <c r="H615" s="131"/>
      <c r="I615" s="142"/>
      <c r="J615" s="142"/>
      <c r="K615" s="132"/>
      <c r="L615" s="131"/>
      <c r="M615" s="142"/>
      <c r="N615" s="142"/>
      <c r="O615" s="142"/>
      <c r="P615" s="142"/>
      <c r="Q615" s="142"/>
      <c r="R615" s="142"/>
      <c r="S615" s="142"/>
      <c r="T615" s="142"/>
      <c r="U615" s="142"/>
      <c r="V615" s="142"/>
      <c r="W615" s="142"/>
      <c r="X615" s="142"/>
      <c r="Y615" s="142"/>
      <c r="Z615" s="142"/>
      <c r="AA615" s="142"/>
      <c r="AB615" s="142"/>
      <c r="AC615" s="142"/>
      <c r="AD615" s="142"/>
      <c r="AE615" s="142"/>
      <c r="AF615" s="142"/>
      <c r="AG615" s="142"/>
      <c r="AH615" s="142"/>
      <c r="AI615" s="142"/>
      <c r="AJ615" s="142"/>
      <c r="AK615" s="142"/>
      <c r="AL615" s="142"/>
      <c r="AM615" s="142"/>
      <c r="AN615" s="142"/>
      <c r="AO615" s="142"/>
      <c r="AP615" s="130"/>
      <c r="AQ615" s="130"/>
      <c r="AR615" s="130"/>
      <c r="AS615" s="130"/>
      <c r="AT615" s="130"/>
      <c r="AU615" s="130"/>
      <c r="AV615" s="130"/>
      <c r="AW615" s="130"/>
      <c r="AX615" s="130"/>
      <c r="AY615" s="130"/>
      <c r="AZ615" s="130"/>
      <c r="BA615" s="130"/>
      <c r="BB615" s="130"/>
      <c r="BC615" s="130"/>
      <c r="BD615" s="130"/>
    </row>
    <row r="616" ht="15.75" customHeight="1">
      <c r="A616" s="142"/>
      <c r="B616" s="142"/>
      <c r="C616" s="198"/>
      <c r="D616" s="142"/>
      <c r="E616" s="131"/>
      <c r="F616" s="142"/>
      <c r="G616" s="142"/>
      <c r="H616" s="131"/>
      <c r="I616" s="142"/>
      <c r="J616" s="142"/>
      <c r="K616" s="132"/>
      <c r="L616" s="131"/>
      <c r="M616" s="142"/>
      <c r="N616" s="142"/>
      <c r="O616" s="142"/>
      <c r="P616" s="142"/>
      <c r="Q616" s="142"/>
      <c r="R616" s="142"/>
      <c r="S616" s="142"/>
      <c r="T616" s="142"/>
      <c r="U616" s="142"/>
      <c r="V616" s="142"/>
      <c r="W616" s="142"/>
      <c r="X616" s="142"/>
      <c r="Y616" s="142"/>
      <c r="Z616" s="142"/>
      <c r="AA616" s="142"/>
      <c r="AB616" s="142"/>
      <c r="AC616" s="142"/>
      <c r="AD616" s="142"/>
      <c r="AE616" s="142"/>
      <c r="AF616" s="142"/>
      <c r="AG616" s="142"/>
      <c r="AH616" s="142"/>
      <c r="AI616" s="142"/>
      <c r="AJ616" s="142"/>
      <c r="AK616" s="142"/>
      <c r="AL616" s="142"/>
      <c r="AM616" s="142"/>
      <c r="AN616" s="142"/>
      <c r="AO616" s="142"/>
      <c r="AP616" s="130"/>
      <c r="AQ616" s="130"/>
      <c r="AR616" s="130"/>
      <c r="AS616" s="130"/>
      <c r="AT616" s="130"/>
      <c r="AU616" s="130"/>
      <c r="AV616" s="130"/>
      <c r="AW616" s="130"/>
      <c r="AX616" s="130"/>
      <c r="AY616" s="130"/>
      <c r="AZ616" s="130"/>
      <c r="BA616" s="130"/>
      <c r="BB616" s="130"/>
      <c r="BC616" s="130"/>
      <c r="BD616" s="130"/>
    </row>
    <row r="617" ht="15.75" customHeight="1">
      <c r="A617" s="142"/>
      <c r="B617" s="142"/>
      <c r="C617" s="198"/>
      <c r="D617" s="142"/>
      <c r="E617" s="131"/>
      <c r="F617" s="142"/>
      <c r="G617" s="142"/>
      <c r="H617" s="131"/>
      <c r="I617" s="142"/>
      <c r="J617" s="142"/>
      <c r="K617" s="132"/>
      <c r="L617" s="131"/>
      <c r="M617" s="142"/>
      <c r="N617" s="142"/>
      <c r="O617" s="142"/>
      <c r="P617" s="142"/>
      <c r="Q617" s="142"/>
      <c r="R617" s="142"/>
      <c r="S617" s="142"/>
      <c r="T617" s="142"/>
      <c r="U617" s="142"/>
      <c r="V617" s="142"/>
      <c r="W617" s="142"/>
      <c r="X617" s="142"/>
      <c r="Y617" s="142"/>
      <c r="Z617" s="142"/>
      <c r="AA617" s="142"/>
      <c r="AB617" s="142"/>
      <c r="AC617" s="142"/>
      <c r="AD617" s="142"/>
      <c r="AE617" s="142"/>
      <c r="AF617" s="142"/>
      <c r="AG617" s="142"/>
      <c r="AH617" s="142"/>
      <c r="AI617" s="142"/>
      <c r="AJ617" s="142"/>
      <c r="AK617" s="142"/>
      <c r="AL617" s="142"/>
      <c r="AM617" s="142"/>
      <c r="AN617" s="142"/>
      <c r="AO617" s="142"/>
      <c r="AP617" s="130"/>
      <c r="AQ617" s="130"/>
      <c r="AR617" s="130"/>
      <c r="AS617" s="130"/>
      <c r="AT617" s="130"/>
      <c r="AU617" s="130"/>
      <c r="AV617" s="130"/>
      <c r="AW617" s="130"/>
      <c r="AX617" s="130"/>
      <c r="AY617" s="130"/>
      <c r="AZ617" s="130"/>
      <c r="BA617" s="130"/>
      <c r="BB617" s="130"/>
      <c r="BC617" s="130"/>
      <c r="BD617" s="130"/>
    </row>
    <row r="618" ht="15.75" customHeight="1">
      <c r="A618" s="142"/>
      <c r="B618" s="142"/>
      <c r="C618" s="198"/>
      <c r="D618" s="142"/>
      <c r="E618" s="131"/>
      <c r="F618" s="142"/>
      <c r="G618" s="142"/>
      <c r="H618" s="131"/>
      <c r="I618" s="142"/>
      <c r="J618" s="142"/>
      <c r="K618" s="132"/>
      <c r="L618" s="131"/>
      <c r="M618" s="142"/>
      <c r="N618" s="142"/>
      <c r="O618" s="142"/>
      <c r="P618" s="142"/>
      <c r="Q618" s="142"/>
      <c r="R618" s="142"/>
      <c r="S618" s="142"/>
      <c r="T618" s="142"/>
      <c r="U618" s="142"/>
      <c r="V618" s="142"/>
      <c r="W618" s="142"/>
      <c r="X618" s="142"/>
      <c r="Y618" s="142"/>
      <c r="Z618" s="142"/>
      <c r="AA618" s="142"/>
      <c r="AB618" s="142"/>
      <c r="AC618" s="142"/>
      <c r="AD618" s="142"/>
      <c r="AE618" s="142"/>
      <c r="AF618" s="142"/>
      <c r="AG618" s="142"/>
      <c r="AH618" s="142"/>
      <c r="AI618" s="142"/>
      <c r="AJ618" s="142"/>
      <c r="AK618" s="142"/>
      <c r="AL618" s="142"/>
      <c r="AM618" s="142"/>
      <c r="AN618" s="142"/>
      <c r="AO618" s="142"/>
      <c r="AP618" s="130"/>
      <c r="AQ618" s="130"/>
      <c r="AR618" s="130"/>
      <c r="AS618" s="130"/>
      <c r="AT618" s="130"/>
      <c r="AU618" s="130"/>
      <c r="AV618" s="130"/>
      <c r="AW618" s="130"/>
      <c r="AX618" s="130"/>
      <c r="AY618" s="130"/>
      <c r="AZ618" s="130"/>
      <c r="BA618" s="130"/>
      <c r="BB618" s="130"/>
      <c r="BC618" s="130"/>
      <c r="BD618" s="130"/>
    </row>
    <row r="619" ht="15.75" customHeight="1">
      <c r="A619" s="142"/>
      <c r="B619" s="142"/>
      <c r="C619" s="198"/>
      <c r="D619" s="142"/>
      <c r="E619" s="131"/>
      <c r="F619" s="142"/>
      <c r="G619" s="142"/>
      <c r="H619" s="131"/>
      <c r="I619" s="142"/>
      <c r="J619" s="142"/>
      <c r="K619" s="132"/>
      <c r="L619" s="131"/>
      <c r="M619" s="142"/>
      <c r="N619" s="142"/>
      <c r="O619" s="142"/>
      <c r="P619" s="142"/>
      <c r="Q619" s="142"/>
      <c r="R619" s="142"/>
      <c r="S619" s="142"/>
      <c r="T619" s="142"/>
      <c r="U619" s="142"/>
      <c r="V619" s="142"/>
      <c r="W619" s="142"/>
      <c r="X619" s="142"/>
      <c r="Y619" s="142"/>
      <c r="Z619" s="142"/>
      <c r="AA619" s="142"/>
      <c r="AB619" s="142"/>
      <c r="AC619" s="142"/>
      <c r="AD619" s="142"/>
      <c r="AE619" s="142"/>
      <c r="AF619" s="142"/>
      <c r="AG619" s="142"/>
      <c r="AH619" s="142"/>
      <c r="AI619" s="142"/>
      <c r="AJ619" s="142"/>
      <c r="AK619" s="142"/>
      <c r="AL619" s="142"/>
      <c r="AM619" s="142"/>
      <c r="AN619" s="142"/>
      <c r="AO619" s="142"/>
      <c r="AP619" s="130"/>
      <c r="AQ619" s="130"/>
      <c r="AR619" s="130"/>
      <c r="AS619" s="130"/>
      <c r="AT619" s="130"/>
      <c r="AU619" s="130"/>
      <c r="AV619" s="130"/>
      <c r="AW619" s="130"/>
      <c r="AX619" s="130"/>
      <c r="AY619" s="130"/>
      <c r="AZ619" s="130"/>
      <c r="BA619" s="130"/>
      <c r="BB619" s="130"/>
      <c r="BC619" s="130"/>
      <c r="BD619" s="130"/>
    </row>
    <row r="620" ht="15.75" customHeight="1">
      <c r="A620" s="142"/>
      <c r="B620" s="142"/>
      <c r="C620" s="198"/>
      <c r="D620" s="142"/>
      <c r="E620" s="131"/>
      <c r="F620" s="142"/>
      <c r="G620" s="142"/>
      <c r="H620" s="131"/>
      <c r="I620" s="142"/>
      <c r="J620" s="142"/>
      <c r="K620" s="132"/>
      <c r="L620" s="131"/>
      <c r="M620" s="142"/>
      <c r="N620" s="142"/>
      <c r="O620" s="142"/>
      <c r="P620" s="142"/>
      <c r="Q620" s="142"/>
      <c r="R620" s="142"/>
      <c r="S620" s="142"/>
      <c r="T620" s="142"/>
      <c r="U620" s="142"/>
      <c r="V620" s="142"/>
      <c r="W620" s="142"/>
      <c r="X620" s="142"/>
      <c r="Y620" s="142"/>
      <c r="Z620" s="142"/>
      <c r="AA620" s="142"/>
      <c r="AB620" s="142"/>
      <c r="AC620" s="142"/>
      <c r="AD620" s="142"/>
      <c r="AE620" s="142"/>
      <c r="AF620" s="142"/>
      <c r="AG620" s="142"/>
      <c r="AH620" s="142"/>
      <c r="AI620" s="142"/>
      <c r="AJ620" s="142"/>
      <c r="AK620" s="142"/>
      <c r="AL620" s="142"/>
      <c r="AM620" s="142"/>
      <c r="AN620" s="142"/>
      <c r="AO620" s="142"/>
      <c r="AP620" s="130"/>
      <c r="AQ620" s="130"/>
      <c r="AR620" s="130"/>
      <c r="AS620" s="130"/>
      <c r="AT620" s="130"/>
      <c r="AU620" s="130"/>
      <c r="AV620" s="130"/>
      <c r="AW620" s="130"/>
      <c r="AX620" s="130"/>
      <c r="AY620" s="130"/>
      <c r="AZ620" s="130"/>
      <c r="BA620" s="130"/>
      <c r="BB620" s="130"/>
      <c r="BC620" s="130"/>
      <c r="BD620" s="130"/>
    </row>
    <row r="621" ht="15.75" customHeight="1">
      <c r="A621" s="142"/>
      <c r="B621" s="142"/>
      <c r="C621" s="198"/>
      <c r="D621" s="142"/>
      <c r="E621" s="131"/>
      <c r="F621" s="142"/>
      <c r="G621" s="142"/>
      <c r="H621" s="131"/>
      <c r="I621" s="142"/>
      <c r="J621" s="142"/>
      <c r="K621" s="132"/>
      <c r="L621" s="131"/>
      <c r="M621" s="142"/>
      <c r="N621" s="142"/>
      <c r="O621" s="142"/>
      <c r="P621" s="142"/>
      <c r="Q621" s="142"/>
      <c r="R621" s="142"/>
      <c r="S621" s="142"/>
      <c r="T621" s="142"/>
      <c r="U621" s="142"/>
      <c r="V621" s="142"/>
      <c r="W621" s="142"/>
      <c r="X621" s="142"/>
      <c r="Y621" s="142"/>
      <c r="Z621" s="142"/>
      <c r="AA621" s="142"/>
      <c r="AB621" s="142"/>
      <c r="AC621" s="142"/>
      <c r="AD621" s="142"/>
      <c r="AE621" s="142"/>
      <c r="AF621" s="142"/>
      <c r="AG621" s="142"/>
      <c r="AH621" s="142"/>
      <c r="AI621" s="142"/>
      <c r="AJ621" s="142"/>
      <c r="AK621" s="142"/>
      <c r="AL621" s="142"/>
      <c r="AM621" s="142"/>
      <c r="AN621" s="142"/>
      <c r="AO621" s="142"/>
      <c r="AP621" s="130"/>
      <c r="AQ621" s="130"/>
      <c r="AR621" s="130"/>
      <c r="AS621" s="130"/>
      <c r="AT621" s="130"/>
      <c r="AU621" s="130"/>
      <c r="AV621" s="130"/>
      <c r="AW621" s="130"/>
      <c r="AX621" s="130"/>
      <c r="AY621" s="130"/>
      <c r="AZ621" s="130"/>
      <c r="BA621" s="130"/>
      <c r="BB621" s="130"/>
      <c r="BC621" s="130"/>
      <c r="BD621" s="130"/>
    </row>
    <row r="622" ht="15.75" customHeight="1">
      <c r="A622" s="142"/>
      <c r="B622" s="142"/>
      <c r="C622" s="198"/>
      <c r="D622" s="142"/>
      <c r="E622" s="131"/>
      <c r="F622" s="142"/>
      <c r="G622" s="142"/>
      <c r="H622" s="131"/>
      <c r="I622" s="142"/>
      <c r="J622" s="142"/>
      <c r="K622" s="132"/>
      <c r="L622" s="131"/>
      <c r="M622" s="142"/>
      <c r="N622" s="142"/>
      <c r="O622" s="142"/>
      <c r="P622" s="142"/>
      <c r="Q622" s="142"/>
      <c r="R622" s="142"/>
      <c r="S622" s="142"/>
      <c r="T622" s="142"/>
      <c r="U622" s="142"/>
      <c r="V622" s="142"/>
      <c r="W622" s="142"/>
      <c r="X622" s="142"/>
      <c r="Y622" s="142"/>
      <c r="Z622" s="142"/>
      <c r="AA622" s="142"/>
      <c r="AB622" s="142"/>
      <c r="AC622" s="142"/>
      <c r="AD622" s="142"/>
      <c r="AE622" s="142"/>
      <c r="AF622" s="142"/>
      <c r="AG622" s="142"/>
      <c r="AH622" s="142"/>
      <c r="AI622" s="142"/>
      <c r="AJ622" s="142"/>
      <c r="AK622" s="142"/>
      <c r="AL622" s="142"/>
      <c r="AM622" s="142"/>
      <c r="AN622" s="142"/>
      <c r="AO622" s="142"/>
      <c r="AP622" s="130"/>
      <c r="AQ622" s="130"/>
      <c r="AR622" s="130"/>
      <c r="AS622" s="130"/>
      <c r="AT622" s="130"/>
      <c r="AU622" s="130"/>
      <c r="AV622" s="130"/>
      <c r="AW622" s="130"/>
      <c r="AX622" s="130"/>
      <c r="AY622" s="130"/>
      <c r="AZ622" s="130"/>
      <c r="BA622" s="130"/>
      <c r="BB622" s="130"/>
      <c r="BC622" s="130"/>
      <c r="BD622" s="130"/>
    </row>
    <row r="623" ht="15.75" customHeight="1">
      <c r="A623" s="142"/>
      <c r="B623" s="142"/>
      <c r="C623" s="198"/>
      <c r="D623" s="142"/>
      <c r="E623" s="131"/>
      <c r="F623" s="142"/>
      <c r="G623" s="142"/>
      <c r="H623" s="131"/>
      <c r="I623" s="142"/>
      <c r="J623" s="142"/>
      <c r="K623" s="132"/>
      <c r="L623" s="131"/>
      <c r="M623" s="142"/>
      <c r="N623" s="142"/>
      <c r="O623" s="142"/>
      <c r="P623" s="142"/>
      <c r="Q623" s="142"/>
      <c r="R623" s="142"/>
      <c r="S623" s="142"/>
      <c r="T623" s="142"/>
      <c r="U623" s="142"/>
      <c r="V623" s="142"/>
      <c r="W623" s="142"/>
      <c r="X623" s="142"/>
      <c r="Y623" s="142"/>
      <c r="Z623" s="142"/>
      <c r="AA623" s="142"/>
      <c r="AB623" s="142"/>
      <c r="AC623" s="142"/>
      <c r="AD623" s="142"/>
      <c r="AE623" s="142"/>
      <c r="AF623" s="142"/>
      <c r="AG623" s="142"/>
      <c r="AH623" s="142"/>
      <c r="AI623" s="142"/>
      <c r="AJ623" s="142"/>
      <c r="AK623" s="142"/>
      <c r="AL623" s="142"/>
      <c r="AM623" s="142"/>
      <c r="AN623" s="142"/>
      <c r="AO623" s="142"/>
      <c r="AP623" s="130"/>
      <c r="AQ623" s="130"/>
      <c r="AR623" s="130"/>
      <c r="AS623" s="130"/>
      <c r="AT623" s="130"/>
      <c r="AU623" s="130"/>
      <c r="AV623" s="130"/>
      <c r="AW623" s="130"/>
      <c r="AX623" s="130"/>
      <c r="AY623" s="130"/>
      <c r="AZ623" s="130"/>
      <c r="BA623" s="130"/>
      <c r="BB623" s="130"/>
      <c r="BC623" s="130"/>
      <c r="BD623" s="130"/>
    </row>
    <row r="624" ht="15.75" customHeight="1">
      <c r="A624" s="142"/>
      <c r="B624" s="142"/>
      <c r="C624" s="198"/>
      <c r="D624" s="142"/>
      <c r="E624" s="131"/>
      <c r="F624" s="142"/>
      <c r="G624" s="142"/>
      <c r="H624" s="131"/>
      <c r="I624" s="142"/>
      <c r="J624" s="142"/>
      <c r="K624" s="132"/>
      <c r="L624" s="131"/>
      <c r="M624" s="142"/>
      <c r="N624" s="142"/>
      <c r="O624" s="142"/>
      <c r="P624" s="142"/>
      <c r="Q624" s="142"/>
      <c r="R624" s="142"/>
      <c r="S624" s="142"/>
      <c r="T624" s="142"/>
      <c r="U624" s="142"/>
      <c r="V624" s="142"/>
      <c r="W624" s="142"/>
      <c r="X624" s="142"/>
      <c r="Y624" s="142"/>
      <c r="Z624" s="142"/>
      <c r="AA624" s="142"/>
      <c r="AB624" s="142"/>
      <c r="AC624" s="142"/>
      <c r="AD624" s="142"/>
      <c r="AE624" s="142"/>
      <c r="AF624" s="142"/>
      <c r="AG624" s="142"/>
      <c r="AH624" s="142"/>
      <c r="AI624" s="142"/>
      <c r="AJ624" s="142"/>
      <c r="AK624" s="142"/>
      <c r="AL624" s="142"/>
      <c r="AM624" s="142"/>
      <c r="AN624" s="142"/>
      <c r="AO624" s="142"/>
      <c r="AP624" s="130"/>
      <c r="AQ624" s="130"/>
      <c r="AR624" s="130"/>
      <c r="AS624" s="130"/>
      <c r="AT624" s="130"/>
      <c r="AU624" s="130"/>
      <c r="AV624" s="130"/>
      <c r="AW624" s="130"/>
      <c r="AX624" s="130"/>
      <c r="AY624" s="130"/>
      <c r="AZ624" s="130"/>
      <c r="BA624" s="130"/>
      <c r="BB624" s="130"/>
      <c r="BC624" s="130"/>
      <c r="BD624" s="130"/>
    </row>
    <row r="625" ht="15.75" customHeight="1">
      <c r="A625" s="142"/>
      <c r="B625" s="142"/>
      <c r="C625" s="198"/>
      <c r="D625" s="142"/>
      <c r="E625" s="131"/>
      <c r="F625" s="142"/>
      <c r="G625" s="142"/>
      <c r="H625" s="131"/>
      <c r="I625" s="142"/>
      <c r="J625" s="142"/>
      <c r="K625" s="132"/>
      <c r="L625" s="131"/>
      <c r="M625" s="142"/>
      <c r="N625" s="142"/>
      <c r="O625" s="142"/>
      <c r="P625" s="142"/>
      <c r="Q625" s="142"/>
      <c r="R625" s="142"/>
      <c r="S625" s="142"/>
      <c r="T625" s="142"/>
      <c r="U625" s="142"/>
      <c r="V625" s="142"/>
      <c r="W625" s="142"/>
      <c r="X625" s="142"/>
      <c r="Y625" s="142"/>
      <c r="Z625" s="142"/>
      <c r="AA625" s="142"/>
      <c r="AB625" s="142"/>
      <c r="AC625" s="142"/>
      <c r="AD625" s="142"/>
      <c r="AE625" s="142"/>
      <c r="AF625" s="142"/>
      <c r="AG625" s="142"/>
      <c r="AH625" s="142"/>
      <c r="AI625" s="142"/>
      <c r="AJ625" s="142"/>
      <c r="AK625" s="142"/>
      <c r="AL625" s="142"/>
      <c r="AM625" s="142"/>
      <c r="AN625" s="142"/>
      <c r="AO625" s="142"/>
      <c r="AP625" s="130"/>
      <c r="AQ625" s="130"/>
      <c r="AR625" s="130"/>
      <c r="AS625" s="130"/>
      <c r="AT625" s="130"/>
      <c r="AU625" s="130"/>
      <c r="AV625" s="130"/>
      <c r="AW625" s="130"/>
      <c r="AX625" s="130"/>
      <c r="AY625" s="130"/>
      <c r="AZ625" s="130"/>
      <c r="BA625" s="130"/>
      <c r="BB625" s="130"/>
      <c r="BC625" s="130"/>
      <c r="BD625" s="130"/>
    </row>
    <row r="626" ht="15.75" customHeight="1">
      <c r="A626" s="142"/>
      <c r="B626" s="142"/>
      <c r="C626" s="198"/>
      <c r="D626" s="142"/>
      <c r="E626" s="131"/>
      <c r="F626" s="142"/>
      <c r="G626" s="142"/>
      <c r="H626" s="131"/>
      <c r="I626" s="142"/>
      <c r="J626" s="142"/>
      <c r="K626" s="132"/>
      <c r="L626" s="131"/>
      <c r="M626" s="142"/>
      <c r="N626" s="142"/>
      <c r="O626" s="142"/>
      <c r="P626" s="142"/>
      <c r="Q626" s="142"/>
      <c r="R626" s="142"/>
      <c r="S626" s="142"/>
      <c r="T626" s="142"/>
      <c r="U626" s="142"/>
      <c r="V626" s="142"/>
      <c r="W626" s="142"/>
      <c r="X626" s="142"/>
      <c r="Y626" s="142"/>
      <c r="Z626" s="142"/>
      <c r="AA626" s="142"/>
      <c r="AB626" s="142"/>
      <c r="AC626" s="142"/>
      <c r="AD626" s="142"/>
      <c r="AE626" s="142"/>
      <c r="AF626" s="142"/>
      <c r="AG626" s="142"/>
      <c r="AH626" s="142"/>
      <c r="AI626" s="142"/>
      <c r="AJ626" s="142"/>
      <c r="AK626" s="142"/>
      <c r="AL626" s="142"/>
      <c r="AM626" s="142"/>
      <c r="AN626" s="142"/>
      <c r="AO626" s="142"/>
      <c r="AP626" s="130"/>
      <c r="AQ626" s="130"/>
      <c r="AR626" s="130"/>
      <c r="AS626" s="130"/>
      <c r="AT626" s="130"/>
      <c r="AU626" s="130"/>
      <c r="AV626" s="130"/>
      <c r="AW626" s="130"/>
      <c r="AX626" s="130"/>
      <c r="AY626" s="130"/>
      <c r="AZ626" s="130"/>
      <c r="BA626" s="130"/>
      <c r="BB626" s="130"/>
      <c r="BC626" s="130"/>
      <c r="BD626" s="130"/>
    </row>
    <row r="627" ht="15.75" customHeight="1">
      <c r="A627" s="142"/>
      <c r="B627" s="142"/>
      <c r="C627" s="198"/>
      <c r="D627" s="142"/>
      <c r="E627" s="131"/>
      <c r="F627" s="142"/>
      <c r="G627" s="142"/>
      <c r="H627" s="131"/>
      <c r="I627" s="142"/>
      <c r="J627" s="142"/>
      <c r="K627" s="132"/>
      <c r="L627" s="131"/>
      <c r="M627" s="142"/>
      <c r="N627" s="142"/>
      <c r="O627" s="142"/>
      <c r="P627" s="142"/>
      <c r="Q627" s="142"/>
      <c r="R627" s="142"/>
      <c r="S627" s="142"/>
      <c r="T627" s="142"/>
      <c r="U627" s="142"/>
      <c r="V627" s="142"/>
      <c r="W627" s="142"/>
      <c r="X627" s="142"/>
      <c r="Y627" s="142"/>
      <c r="Z627" s="142"/>
      <c r="AA627" s="142"/>
      <c r="AB627" s="142"/>
      <c r="AC627" s="142"/>
      <c r="AD627" s="142"/>
      <c r="AE627" s="142"/>
      <c r="AF627" s="142"/>
      <c r="AG627" s="142"/>
      <c r="AH627" s="142"/>
      <c r="AI627" s="142"/>
      <c r="AJ627" s="142"/>
      <c r="AK627" s="142"/>
      <c r="AL627" s="142"/>
      <c r="AM627" s="142"/>
      <c r="AN627" s="142"/>
      <c r="AO627" s="142"/>
      <c r="AP627" s="130"/>
      <c r="AQ627" s="130"/>
      <c r="AR627" s="130"/>
      <c r="AS627" s="130"/>
      <c r="AT627" s="130"/>
      <c r="AU627" s="130"/>
      <c r="AV627" s="130"/>
      <c r="AW627" s="130"/>
      <c r="AX627" s="130"/>
      <c r="AY627" s="130"/>
      <c r="AZ627" s="130"/>
      <c r="BA627" s="130"/>
      <c r="BB627" s="130"/>
      <c r="BC627" s="130"/>
      <c r="BD627" s="130"/>
    </row>
    <row r="628" ht="15.75" customHeight="1">
      <c r="A628" s="142"/>
      <c r="B628" s="142"/>
      <c r="C628" s="198"/>
      <c r="D628" s="142"/>
      <c r="E628" s="131"/>
      <c r="F628" s="142"/>
      <c r="G628" s="142"/>
      <c r="H628" s="131"/>
      <c r="I628" s="142"/>
      <c r="J628" s="142"/>
      <c r="K628" s="132"/>
      <c r="L628" s="131"/>
      <c r="M628" s="142"/>
      <c r="N628" s="142"/>
      <c r="O628" s="142"/>
      <c r="P628" s="142"/>
      <c r="Q628" s="142"/>
      <c r="R628" s="142"/>
      <c r="S628" s="142"/>
      <c r="T628" s="142"/>
      <c r="U628" s="142"/>
      <c r="V628" s="142"/>
      <c r="W628" s="142"/>
      <c r="X628" s="142"/>
      <c r="Y628" s="142"/>
      <c r="Z628" s="142"/>
      <c r="AA628" s="142"/>
      <c r="AB628" s="142"/>
      <c r="AC628" s="142"/>
      <c r="AD628" s="142"/>
      <c r="AE628" s="142"/>
      <c r="AF628" s="142"/>
      <c r="AG628" s="142"/>
      <c r="AH628" s="142"/>
      <c r="AI628" s="142"/>
      <c r="AJ628" s="142"/>
      <c r="AK628" s="142"/>
      <c r="AL628" s="142"/>
      <c r="AM628" s="142"/>
      <c r="AN628" s="142"/>
      <c r="AO628" s="142"/>
      <c r="AP628" s="130"/>
      <c r="AQ628" s="130"/>
      <c r="AR628" s="130"/>
      <c r="AS628" s="130"/>
      <c r="AT628" s="130"/>
      <c r="AU628" s="130"/>
      <c r="AV628" s="130"/>
      <c r="AW628" s="130"/>
      <c r="AX628" s="130"/>
      <c r="AY628" s="130"/>
      <c r="AZ628" s="130"/>
      <c r="BA628" s="130"/>
      <c r="BB628" s="130"/>
      <c r="BC628" s="130"/>
      <c r="BD628" s="130"/>
    </row>
    <row r="629" ht="15.75" customHeight="1">
      <c r="A629" s="142"/>
      <c r="B629" s="142"/>
      <c r="C629" s="198"/>
      <c r="D629" s="142"/>
      <c r="E629" s="131"/>
      <c r="F629" s="142"/>
      <c r="G629" s="142"/>
      <c r="H629" s="131"/>
      <c r="I629" s="142"/>
      <c r="J629" s="142"/>
      <c r="K629" s="132"/>
      <c r="L629" s="131"/>
      <c r="M629" s="142"/>
      <c r="N629" s="142"/>
      <c r="O629" s="142"/>
      <c r="P629" s="142"/>
      <c r="Q629" s="142"/>
      <c r="R629" s="142"/>
      <c r="S629" s="142"/>
      <c r="T629" s="142"/>
      <c r="U629" s="142"/>
      <c r="V629" s="142"/>
      <c r="W629" s="142"/>
      <c r="X629" s="142"/>
      <c r="Y629" s="142"/>
      <c r="Z629" s="142"/>
      <c r="AA629" s="142"/>
      <c r="AB629" s="142"/>
      <c r="AC629" s="142"/>
      <c r="AD629" s="142"/>
      <c r="AE629" s="142"/>
      <c r="AF629" s="142"/>
      <c r="AG629" s="142"/>
      <c r="AH629" s="142"/>
      <c r="AI629" s="142"/>
      <c r="AJ629" s="142"/>
      <c r="AK629" s="142"/>
      <c r="AL629" s="142"/>
      <c r="AM629" s="142"/>
      <c r="AN629" s="142"/>
      <c r="AO629" s="142"/>
      <c r="AP629" s="130"/>
      <c r="AQ629" s="130"/>
      <c r="AR629" s="130"/>
      <c r="AS629" s="130"/>
      <c r="AT629" s="130"/>
      <c r="AU629" s="130"/>
      <c r="AV629" s="130"/>
      <c r="AW629" s="130"/>
      <c r="AX629" s="130"/>
      <c r="AY629" s="130"/>
      <c r="AZ629" s="130"/>
      <c r="BA629" s="130"/>
      <c r="BB629" s="130"/>
      <c r="BC629" s="130"/>
      <c r="BD629" s="130"/>
    </row>
    <row r="630" ht="15.75" customHeight="1">
      <c r="A630" s="142"/>
      <c r="B630" s="142"/>
      <c r="C630" s="198"/>
      <c r="D630" s="142"/>
      <c r="E630" s="131"/>
      <c r="F630" s="142"/>
      <c r="G630" s="142"/>
      <c r="H630" s="131"/>
      <c r="I630" s="142"/>
      <c r="J630" s="142"/>
      <c r="K630" s="132"/>
      <c r="L630" s="131"/>
      <c r="M630" s="142"/>
      <c r="N630" s="142"/>
      <c r="O630" s="142"/>
      <c r="P630" s="142"/>
      <c r="Q630" s="142"/>
      <c r="R630" s="142"/>
      <c r="S630" s="142"/>
      <c r="T630" s="142"/>
      <c r="U630" s="142"/>
      <c r="V630" s="142"/>
      <c r="W630" s="142"/>
      <c r="X630" s="142"/>
      <c r="Y630" s="142"/>
      <c r="Z630" s="142"/>
      <c r="AA630" s="142"/>
      <c r="AB630" s="142"/>
      <c r="AC630" s="142"/>
      <c r="AD630" s="142"/>
      <c r="AE630" s="142"/>
      <c r="AF630" s="142"/>
      <c r="AG630" s="142"/>
      <c r="AH630" s="142"/>
      <c r="AI630" s="142"/>
      <c r="AJ630" s="142"/>
      <c r="AK630" s="142"/>
      <c r="AL630" s="142"/>
      <c r="AM630" s="142"/>
      <c r="AN630" s="142"/>
      <c r="AO630" s="142"/>
      <c r="AP630" s="130"/>
      <c r="AQ630" s="130"/>
      <c r="AR630" s="130"/>
      <c r="AS630" s="130"/>
      <c r="AT630" s="130"/>
      <c r="AU630" s="130"/>
      <c r="AV630" s="130"/>
      <c r="AW630" s="130"/>
      <c r="AX630" s="130"/>
      <c r="AY630" s="130"/>
      <c r="AZ630" s="130"/>
      <c r="BA630" s="130"/>
      <c r="BB630" s="130"/>
      <c r="BC630" s="130"/>
      <c r="BD630" s="130"/>
    </row>
    <row r="631" ht="15.75" customHeight="1">
      <c r="A631" s="142"/>
      <c r="B631" s="142"/>
      <c r="C631" s="198"/>
      <c r="D631" s="142"/>
      <c r="E631" s="131"/>
      <c r="F631" s="142"/>
      <c r="G631" s="142"/>
      <c r="H631" s="131"/>
      <c r="I631" s="142"/>
      <c r="J631" s="142"/>
      <c r="K631" s="132"/>
      <c r="L631" s="131"/>
      <c r="M631" s="142"/>
      <c r="N631" s="142"/>
      <c r="O631" s="142"/>
      <c r="P631" s="142"/>
      <c r="Q631" s="142"/>
      <c r="R631" s="142"/>
      <c r="S631" s="142"/>
      <c r="T631" s="142"/>
      <c r="U631" s="142"/>
      <c r="V631" s="142"/>
      <c r="W631" s="142"/>
      <c r="X631" s="142"/>
      <c r="Y631" s="142"/>
      <c r="Z631" s="142"/>
      <c r="AA631" s="142"/>
      <c r="AB631" s="142"/>
      <c r="AC631" s="142"/>
      <c r="AD631" s="142"/>
      <c r="AE631" s="142"/>
      <c r="AF631" s="142"/>
      <c r="AG631" s="142"/>
      <c r="AH631" s="142"/>
      <c r="AI631" s="142"/>
      <c r="AJ631" s="142"/>
      <c r="AK631" s="142"/>
      <c r="AL631" s="142"/>
      <c r="AM631" s="142"/>
      <c r="AN631" s="142"/>
      <c r="AO631" s="142"/>
      <c r="AP631" s="130"/>
      <c r="AQ631" s="130"/>
      <c r="AR631" s="130"/>
      <c r="AS631" s="130"/>
      <c r="AT631" s="130"/>
      <c r="AU631" s="130"/>
      <c r="AV631" s="130"/>
      <c r="AW631" s="130"/>
      <c r="AX631" s="130"/>
      <c r="AY631" s="130"/>
      <c r="AZ631" s="130"/>
      <c r="BA631" s="130"/>
      <c r="BB631" s="130"/>
      <c r="BC631" s="130"/>
      <c r="BD631" s="130"/>
    </row>
    <row r="632" ht="15.75" customHeight="1">
      <c r="A632" s="142"/>
      <c r="B632" s="142"/>
      <c r="C632" s="198"/>
      <c r="D632" s="142"/>
      <c r="E632" s="131"/>
      <c r="F632" s="142"/>
      <c r="G632" s="142"/>
      <c r="H632" s="131"/>
      <c r="I632" s="142"/>
      <c r="J632" s="142"/>
      <c r="K632" s="132"/>
      <c r="L632" s="131"/>
      <c r="M632" s="142"/>
      <c r="N632" s="142"/>
      <c r="O632" s="142"/>
      <c r="P632" s="142"/>
      <c r="Q632" s="142"/>
      <c r="R632" s="142"/>
      <c r="S632" s="142"/>
      <c r="T632" s="142"/>
      <c r="U632" s="142"/>
      <c r="V632" s="142"/>
      <c r="W632" s="142"/>
      <c r="X632" s="142"/>
      <c r="Y632" s="142"/>
      <c r="Z632" s="142"/>
      <c r="AA632" s="142"/>
      <c r="AB632" s="142"/>
      <c r="AC632" s="142"/>
      <c r="AD632" s="142"/>
      <c r="AE632" s="142"/>
      <c r="AF632" s="142"/>
      <c r="AG632" s="142"/>
      <c r="AH632" s="142"/>
      <c r="AI632" s="142"/>
      <c r="AJ632" s="142"/>
      <c r="AK632" s="142"/>
      <c r="AL632" s="142"/>
      <c r="AM632" s="142"/>
      <c r="AN632" s="142"/>
      <c r="AO632" s="142"/>
      <c r="AP632" s="130"/>
      <c r="AQ632" s="130"/>
      <c r="AR632" s="130"/>
      <c r="AS632" s="130"/>
      <c r="AT632" s="130"/>
      <c r="AU632" s="130"/>
      <c r="AV632" s="130"/>
      <c r="AW632" s="130"/>
      <c r="AX632" s="130"/>
      <c r="AY632" s="130"/>
      <c r="AZ632" s="130"/>
      <c r="BA632" s="130"/>
      <c r="BB632" s="130"/>
      <c r="BC632" s="130"/>
      <c r="BD632" s="130"/>
    </row>
    <row r="633" ht="15.75" customHeight="1">
      <c r="A633" s="142"/>
      <c r="B633" s="142"/>
      <c r="C633" s="198"/>
      <c r="D633" s="142"/>
      <c r="E633" s="131"/>
      <c r="F633" s="142"/>
      <c r="G633" s="142"/>
      <c r="H633" s="131"/>
      <c r="I633" s="142"/>
      <c r="J633" s="142"/>
      <c r="K633" s="132"/>
      <c r="L633" s="131"/>
      <c r="M633" s="142"/>
      <c r="N633" s="142"/>
      <c r="O633" s="142"/>
      <c r="P633" s="142"/>
      <c r="Q633" s="142"/>
      <c r="R633" s="142"/>
      <c r="S633" s="142"/>
      <c r="T633" s="142"/>
      <c r="U633" s="142"/>
      <c r="V633" s="142"/>
      <c r="W633" s="142"/>
      <c r="X633" s="142"/>
      <c r="Y633" s="142"/>
      <c r="Z633" s="142"/>
      <c r="AA633" s="142"/>
      <c r="AB633" s="142"/>
      <c r="AC633" s="142"/>
      <c r="AD633" s="142"/>
      <c r="AE633" s="142"/>
      <c r="AF633" s="142"/>
      <c r="AG633" s="142"/>
      <c r="AH633" s="142"/>
      <c r="AI633" s="142"/>
      <c r="AJ633" s="142"/>
      <c r="AK633" s="142"/>
      <c r="AL633" s="142"/>
      <c r="AM633" s="142"/>
      <c r="AN633" s="142"/>
      <c r="AO633" s="142"/>
      <c r="AP633" s="130"/>
      <c r="AQ633" s="130"/>
      <c r="AR633" s="130"/>
      <c r="AS633" s="130"/>
      <c r="AT633" s="130"/>
      <c r="AU633" s="130"/>
      <c r="AV633" s="130"/>
      <c r="AW633" s="130"/>
      <c r="AX633" s="130"/>
      <c r="AY633" s="130"/>
      <c r="AZ633" s="130"/>
      <c r="BA633" s="130"/>
      <c r="BB633" s="130"/>
      <c r="BC633" s="130"/>
      <c r="BD633" s="130"/>
    </row>
    <row r="634" ht="15.75" customHeight="1">
      <c r="A634" s="142"/>
      <c r="B634" s="142"/>
      <c r="C634" s="198"/>
      <c r="D634" s="142"/>
      <c r="E634" s="131"/>
      <c r="F634" s="142"/>
      <c r="G634" s="142"/>
      <c r="H634" s="131"/>
      <c r="I634" s="142"/>
      <c r="J634" s="142"/>
      <c r="K634" s="132"/>
      <c r="L634" s="131"/>
      <c r="M634" s="142"/>
      <c r="N634" s="142"/>
      <c r="O634" s="142"/>
      <c r="P634" s="142"/>
      <c r="Q634" s="142"/>
      <c r="R634" s="142"/>
      <c r="S634" s="142"/>
      <c r="T634" s="142"/>
      <c r="U634" s="142"/>
      <c r="V634" s="142"/>
      <c r="W634" s="142"/>
      <c r="X634" s="142"/>
      <c r="Y634" s="142"/>
      <c r="Z634" s="142"/>
      <c r="AA634" s="142"/>
      <c r="AB634" s="142"/>
      <c r="AC634" s="142"/>
      <c r="AD634" s="142"/>
      <c r="AE634" s="142"/>
      <c r="AF634" s="142"/>
      <c r="AG634" s="142"/>
      <c r="AH634" s="142"/>
      <c r="AI634" s="142"/>
      <c r="AJ634" s="142"/>
      <c r="AK634" s="142"/>
      <c r="AL634" s="142"/>
      <c r="AM634" s="142"/>
      <c r="AN634" s="142"/>
      <c r="AO634" s="142"/>
      <c r="AP634" s="130"/>
      <c r="AQ634" s="130"/>
      <c r="AR634" s="130"/>
      <c r="AS634" s="130"/>
      <c r="AT634" s="130"/>
      <c r="AU634" s="130"/>
      <c r="AV634" s="130"/>
      <c r="AW634" s="130"/>
      <c r="AX634" s="130"/>
      <c r="AY634" s="130"/>
      <c r="AZ634" s="130"/>
      <c r="BA634" s="130"/>
      <c r="BB634" s="130"/>
      <c r="BC634" s="130"/>
      <c r="BD634" s="130"/>
    </row>
    <row r="635" ht="15.75" customHeight="1">
      <c r="A635" s="142"/>
      <c r="B635" s="142"/>
      <c r="C635" s="198"/>
      <c r="D635" s="142"/>
      <c r="E635" s="131"/>
      <c r="F635" s="142"/>
      <c r="G635" s="142"/>
      <c r="H635" s="131"/>
      <c r="I635" s="142"/>
      <c r="J635" s="142"/>
      <c r="K635" s="132"/>
      <c r="L635" s="131"/>
      <c r="M635" s="142"/>
      <c r="N635" s="142"/>
      <c r="O635" s="142"/>
      <c r="P635" s="142"/>
      <c r="Q635" s="142"/>
      <c r="R635" s="142"/>
      <c r="S635" s="142"/>
      <c r="T635" s="142"/>
      <c r="U635" s="142"/>
      <c r="V635" s="142"/>
      <c r="W635" s="142"/>
      <c r="X635" s="142"/>
      <c r="Y635" s="142"/>
      <c r="Z635" s="142"/>
      <c r="AA635" s="142"/>
      <c r="AB635" s="142"/>
      <c r="AC635" s="142"/>
      <c r="AD635" s="142"/>
      <c r="AE635" s="142"/>
      <c r="AF635" s="142"/>
      <c r="AG635" s="142"/>
      <c r="AH635" s="142"/>
      <c r="AI635" s="142"/>
      <c r="AJ635" s="142"/>
      <c r="AK635" s="142"/>
      <c r="AL635" s="142"/>
      <c r="AM635" s="142"/>
      <c r="AN635" s="142"/>
      <c r="AO635" s="142"/>
      <c r="AP635" s="130"/>
      <c r="AQ635" s="130"/>
      <c r="AR635" s="130"/>
      <c r="AS635" s="130"/>
      <c r="AT635" s="130"/>
      <c r="AU635" s="130"/>
      <c r="AV635" s="130"/>
      <c r="AW635" s="130"/>
      <c r="AX635" s="130"/>
      <c r="AY635" s="130"/>
      <c r="AZ635" s="130"/>
      <c r="BA635" s="130"/>
      <c r="BB635" s="130"/>
      <c r="BC635" s="130"/>
      <c r="BD635" s="130"/>
    </row>
    <row r="636" ht="15.75" customHeight="1">
      <c r="A636" s="142"/>
      <c r="B636" s="142"/>
      <c r="C636" s="198"/>
      <c r="D636" s="142"/>
      <c r="E636" s="131"/>
      <c r="F636" s="142"/>
      <c r="G636" s="142"/>
      <c r="H636" s="131"/>
      <c r="I636" s="142"/>
      <c r="J636" s="142"/>
      <c r="K636" s="132"/>
      <c r="L636" s="131"/>
      <c r="M636" s="142"/>
      <c r="N636" s="142"/>
      <c r="O636" s="142"/>
      <c r="P636" s="142"/>
      <c r="Q636" s="142"/>
      <c r="R636" s="142"/>
      <c r="S636" s="142"/>
      <c r="T636" s="142"/>
      <c r="U636" s="142"/>
      <c r="V636" s="142"/>
      <c r="W636" s="142"/>
      <c r="X636" s="142"/>
      <c r="Y636" s="142"/>
      <c r="Z636" s="142"/>
      <c r="AA636" s="142"/>
      <c r="AB636" s="142"/>
      <c r="AC636" s="142"/>
      <c r="AD636" s="142"/>
      <c r="AE636" s="142"/>
      <c r="AF636" s="142"/>
      <c r="AG636" s="142"/>
      <c r="AH636" s="142"/>
      <c r="AI636" s="142"/>
      <c r="AJ636" s="142"/>
      <c r="AK636" s="142"/>
      <c r="AL636" s="142"/>
      <c r="AM636" s="142"/>
      <c r="AN636" s="142"/>
      <c r="AO636" s="142"/>
      <c r="AP636" s="130"/>
      <c r="AQ636" s="130"/>
      <c r="AR636" s="130"/>
      <c r="AS636" s="130"/>
      <c r="AT636" s="130"/>
      <c r="AU636" s="130"/>
      <c r="AV636" s="130"/>
      <c r="AW636" s="130"/>
      <c r="AX636" s="130"/>
      <c r="AY636" s="130"/>
      <c r="AZ636" s="130"/>
      <c r="BA636" s="130"/>
      <c r="BB636" s="130"/>
      <c r="BC636" s="130"/>
      <c r="BD636" s="130"/>
    </row>
    <row r="637" ht="15.75" customHeight="1">
      <c r="A637" s="142"/>
      <c r="B637" s="142"/>
      <c r="C637" s="198"/>
      <c r="D637" s="142"/>
      <c r="E637" s="131"/>
      <c r="F637" s="142"/>
      <c r="G637" s="142"/>
      <c r="H637" s="131"/>
      <c r="I637" s="142"/>
      <c r="J637" s="142"/>
      <c r="K637" s="132"/>
      <c r="L637" s="131"/>
      <c r="M637" s="142"/>
      <c r="N637" s="142"/>
      <c r="O637" s="142"/>
      <c r="P637" s="142"/>
      <c r="Q637" s="142"/>
      <c r="R637" s="142"/>
      <c r="S637" s="142"/>
      <c r="T637" s="142"/>
      <c r="U637" s="142"/>
      <c r="V637" s="142"/>
      <c r="W637" s="142"/>
      <c r="X637" s="142"/>
      <c r="Y637" s="142"/>
      <c r="Z637" s="142"/>
      <c r="AA637" s="142"/>
      <c r="AB637" s="142"/>
      <c r="AC637" s="142"/>
      <c r="AD637" s="142"/>
      <c r="AE637" s="142"/>
      <c r="AF637" s="142"/>
      <c r="AG637" s="142"/>
      <c r="AH637" s="142"/>
      <c r="AI637" s="142"/>
      <c r="AJ637" s="142"/>
      <c r="AK637" s="142"/>
      <c r="AL637" s="142"/>
      <c r="AM637" s="142"/>
      <c r="AN637" s="142"/>
      <c r="AO637" s="142"/>
      <c r="AP637" s="130"/>
      <c r="AQ637" s="130"/>
      <c r="AR637" s="130"/>
      <c r="AS637" s="130"/>
      <c r="AT637" s="130"/>
      <c r="AU637" s="130"/>
      <c r="AV637" s="130"/>
      <c r="AW637" s="130"/>
      <c r="AX637" s="130"/>
      <c r="AY637" s="130"/>
      <c r="AZ637" s="130"/>
      <c r="BA637" s="130"/>
      <c r="BB637" s="130"/>
      <c r="BC637" s="130"/>
      <c r="BD637" s="130"/>
    </row>
    <row r="638" ht="15.75" customHeight="1">
      <c r="A638" s="142"/>
      <c r="B638" s="142"/>
      <c r="C638" s="198"/>
      <c r="D638" s="142"/>
      <c r="E638" s="131"/>
      <c r="F638" s="142"/>
      <c r="G638" s="142"/>
      <c r="H638" s="131"/>
      <c r="I638" s="142"/>
      <c r="J638" s="142"/>
      <c r="K638" s="132"/>
      <c r="L638" s="131"/>
      <c r="M638" s="142"/>
      <c r="N638" s="142"/>
      <c r="O638" s="142"/>
      <c r="P638" s="142"/>
      <c r="Q638" s="142"/>
      <c r="R638" s="142"/>
      <c r="S638" s="142"/>
      <c r="T638" s="142"/>
      <c r="U638" s="142"/>
      <c r="V638" s="142"/>
      <c r="W638" s="142"/>
      <c r="X638" s="142"/>
      <c r="Y638" s="142"/>
      <c r="Z638" s="142"/>
      <c r="AA638" s="142"/>
      <c r="AB638" s="142"/>
      <c r="AC638" s="142"/>
      <c r="AD638" s="142"/>
      <c r="AE638" s="142"/>
      <c r="AF638" s="142"/>
      <c r="AG638" s="142"/>
      <c r="AH638" s="142"/>
      <c r="AI638" s="142"/>
      <c r="AJ638" s="142"/>
      <c r="AK638" s="142"/>
      <c r="AL638" s="142"/>
      <c r="AM638" s="142"/>
      <c r="AN638" s="142"/>
      <c r="AO638" s="142"/>
      <c r="AP638" s="130"/>
      <c r="AQ638" s="130"/>
      <c r="AR638" s="130"/>
      <c r="AS638" s="130"/>
      <c r="AT638" s="130"/>
      <c r="AU638" s="130"/>
      <c r="AV638" s="130"/>
      <c r="AW638" s="130"/>
      <c r="AX638" s="130"/>
      <c r="AY638" s="130"/>
      <c r="AZ638" s="130"/>
      <c r="BA638" s="130"/>
      <c r="BB638" s="130"/>
      <c r="BC638" s="130"/>
      <c r="BD638" s="130"/>
    </row>
    <row r="639" ht="15.75" customHeight="1">
      <c r="A639" s="142"/>
      <c r="B639" s="142"/>
      <c r="C639" s="198"/>
      <c r="D639" s="142"/>
      <c r="E639" s="131"/>
      <c r="F639" s="142"/>
      <c r="G639" s="142"/>
      <c r="H639" s="131"/>
      <c r="I639" s="142"/>
      <c r="J639" s="142"/>
      <c r="K639" s="132"/>
      <c r="L639" s="131"/>
      <c r="M639" s="142"/>
      <c r="N639" s="142"/>
      <c r="O639" s="142"/>
      <c r="P639" s="142"/>
      <c r="Q639" s="142"/>
      <c r="R639" s="142"/>
      <c r="S639" s="142"/>
      <c r="T639" s="142"/>
      <c r="U639" s="142"/>
      <c r="V639" s="142"/>
      <c r="W639" s="142"/>
      <c r="X639" s="142"/>
      <c r="Y639" s="142"/>
      <c r="Z639" s="142"/>
      <c r="AA639" s="142"/>
      <c r="AB639" s="142"/>
      <c r="AC639" s="142"/>
      <c r="AD639" s="142"/>
      <c r="AE639" s="142"/>
      <c r="AF639" s="142"/>
      <c r="AG639" s="142"/>
      <c r="AH639" s="142"/>
      <c r="AI639" s="142"/>
      <c r="AJ639" s="142"/>
      <c r="AK639" s="142"/>
      <c r="AL639" s="142"/>
      <c r="AM639" s="142"/>
      <c r="AN639" s="142"/>
      <c r="AO639" s="142"/>
      <c r="AP639" s="130"/>
      <c r="AQ639" s="130"/>
      <c r="AR639" s="130"/>
      <c r="AS639" s="130"/>
      <c r="AT639" s="130"/>
      <c r="AU639" s="130"/>
      <c r="AV639" s="130"/>
      <c r="AW639" s="130"/>
      <c r="AX639" s="130"/>
      <c r="AY639" s="130"/>
      <c r="AZ639" s="130"/>
      <c r="BA639" s="130"/>
      <c r="BB639" s="130"/>
      <c r="BC639" s="130"/>
      <c r="BD639" s="130"/>
    </row>
    <row r="640" ht="15.75" customHeight="1">
      <c r="A640" s="142"/>
      <c r="B640" s="142"/>
      <c r="C640" s="198"/>
      <c r="D640" s="142"/>
      <c r="E640" s="131"/>
      <c r="F640" s="142"/>
      <c r="G640" s="142"/>
      <c r="H640" s="131"/>
      <c r="I640" s="142"/>
      <c r="J640" s="142"/>
      <c r="K640" s="132"/>
      <c r="L640" s="131"/>
      <c r="M640" s="142"/>
      <c r="N640" s="142"/>
      <c r="O640" s="142"/>
      <c r="P640" s="142"/>
      <c r="Q640" s="142"/>
      <c r="R640" s="142"/>
      <c r="S640" s="142"/>
      <c r="T640" s="142"/>
      <c r="U640" s="142"/>
      <c r="V640" s="142"/>
      <c r="W640" s="142"/>
      <c r="X640" s="142"/>
      <c r="Y640" s="142"/>
      <c r="Z640" s="142"/>
      <c r="AA640" s="142"/>
      <c r="AB640" s="142"/>
      <c r="AC640" s="142"/>
      <c r="AD640" s="142"/>
      <c r="AE640" s="142"/>
      <c r="AF640" s="142"/>
      <c r="AG640" s="142"/>
      <c r="AH640" s="142"/>
      <c r="AI640" s="142"/>
      <c r="AJ640" s="142"/>
      <c r="AK640" s="142"/>
      <c r="AL640" s="142"/>
      <c r="AM640" s="142"/>
      <c r="AN640" s="142"/>
      <c r="AO640" s="142"/>
      <c r="AP640" s="130"/>
      <c r="AQ640" s="130"/>
      <c r="AR640" s="130"/>
      <c r="AS640" s="130"/>
      <c r="AT640" s="130"/>
      <c r="AU640" s="130"/>
      <c r="AV640" s="130"/>
      <c r="AW640" s="130"/>
      <c r="AX640" s="130"/>
      <c r="AY640" s="130"/>
      <c r="AZ640" s="130"/>
      <c r="BA640" s="130"/>
      <c r="BB640" s="130"/>
      <c r="BC640" s="130"/>
      <c r="BD640" s="130"/>
    </row>
    <row r="641" ht="15.75" customHeight="1">
      <c r="A641" s="142"/>
      <c r="B641" s="142"/>
      <c r="C641" s="198"/>
      <c r="D641" s="142"/>
      <c r="E641" s="131"/>
      <c r="F641" s="142"/>
      <c r="G641" s="142"/>
      <c r="H641" s="131"/>
      <c r="I641" s="142"/>
      <c r="J641" s="142"/>
      <c r="K641" s="132"/>
      <c r="L641" s="131"/>
      <c r="M641" s="142"/>
      <c r="N641" s="142"/>
      <c r="O641" s="142"/>
      <c r="P641" s="142"/>
      <c r="Q641" s="142"/>
      <c r="R641" s="142"/>
      <c r="S641" s="142"/>
      <c r="T641" s="142"/>
      <c r="U641" s="142"/>
      <c r="V641" s="142"/>
      <c r="W641" s="142"/>
      <c r="X641" s="142"/>
      <c r="Y641" s="142"/>
      <c r="Z641" s="142"/>
      <c r="AA641" s="142"/>
      <c r="AB641" s="142"/>
      <c r="AC641" s="142"/>
      <c r="AD641" s="142"/>
      <c r="AE641" s="142"/>
      <c r="AF641" s="142"/>
      <c r="AG641" s="142"/>
      <c r="AH641" s="142"/>
      <c r="AI641" s="142"/>
      <c r="AJ641" s="142"/>
      <c r="AK641" s="142"/>
      <c r="AL641" s="142"/>
      <c r="AM641" s="142"/>
      <c r="AN641" s="142"/>
      <c r="AO641" s="142"/>
      <c r="AP641" s="130"/>
      <c r="AQ641" s="130"/>
      <c r="AR641" s="130"/>
      <c r="AS641" s="130"/>
      <c r="AT641" s="130"/>
      <c r="AU641" s="130"/>
      <c r="AV641" s="130"/>
      <c r="AW641" s="130"/>
      <c r="AX641" s="130"/>
      <c r="AY641" s="130"/>
      <c r="AZ641" s="130"/>
      <c r="BA641" s="130"/>
      <c r="BB641" s="130"/>
      <c r="BC641" s="130"/>
      <c r="BD641" s="130"/>
    </row>
    <row r="642" ht="15.75" customHeight="1">
      <c r="A642" s="142"/>
      <c r="B642" s="142"/>
      <c r="C642" s="198"/>
      <c r="D642" s="142"/>
      <c r="E642" s="131"/>
      <c r="F642" s="142"/>
      <c r="G642" s="142"/>
      <c r="H642" s="131"/>
      <c r="I642" s="142"/>
      <c r="J642" s="142"/>
      <c r="K642" s="132"/>
      <c r="L642" s="131"/>
      <c r="M642" s="142"/>
      <c r="N642" s="142"/>
      <c r="O642" s="142"/>
      <c r="P642" s="142"/>
      <c r="Q642" s="142"/>
      <c r="R642" s="142"/>
      <c r="S642" s="142"/>
      <c r="T642" s="142"/>
      <c r="U642" s="142"/>
      <c r="V642" s="142"/>
      <c r="W642" s="142"/>
      <c r="X642" s="142"/>
      <c r="Y642" s="142"/>
      <c r="Z642" s="142"/>
      <c r="AA642" s="142"/>
      <c r="AB642" s="142"/>
      <c r="AC642" s="142"/>
      <c r="AD642" s="142"/>
      <c r="AE642" s="142"/>
      <c r="AF642" s="142"/>
      <c r="AG642" s="142"/>
      <c r="AH642" s="142"/>
      <c r="AI642" s="142"/>
      <c r="AJ642" s="142"/>
      <c r="AK642" s="142"/>
      <c r="AL642" s="142"/>
      <c r="AM642" s="142"/>
      <c r="AN642" s="142"/>
      <c r="AO642" s="142"/>
      <c r="AP642" s="130"/>
      <c r="AQ642" s="130"/>
      <c r="AR642" s="130"/>
      <c r="AS642" s="130"/>
      <c r="AT642" s="130"/>
      <c r="AU642" s="130"/>
      <c r="AV642" s="130"/>
      <c r="AW642" s="130"/>
      <c r="AX642" s="130"/>
      <c r="AY642" s="130"/>
      <c r="AZ642" s="130"/>
      <c r="BA642" s="130"/>
      <c r="BB642" s="130"/>
      <c r="BC642" s="130"/>
      <c r="BD642" s="130"/>
    </row>
    <row r="643" ht="15.75" customHeight="1">
      <c r="A643" s="142"/>
      <c r="B643" s="142"/>
      <c r="C643" s="198"/>
      <c r="D643" s="142"/>
      <c r="E643" s="131"/>
      <c r="F643" s="142"/>
      <c r="G643" s="142"/>
      <c r="H643" s="131"/>
      <c r="I643" s="142"/>
      <c r="J643" s="142"/>
      <c r="K643" s="132"/>
      <c r="L643" s="131"/>
      <c r="M643" s="142"/>
      <c r="N643" s="142"/>
      <c r="O643" s="142"/>
      <c r="P643" s="142"/>
      <c r="Q643" s="142"/>
      <c r="R643" s="142"/>
      <c r="S643" s="142"/>
      <c r="T643" s="142"/>
      <c r="U643" s="142"/>
      <c r="V643" s="142"/>
      <c r="W643" s="142"/>
      <c r="X643" s="142"/>
      <c r="Y643" s="142"/>
      <c r="Z643" s="142"/>
      <c r="AA643" s="142"/>
      <c r="AB643" s="142"/>
      <c r="AC643" s="142"/>
      <c r="AD643" s="142"/>
      <c r="AE643" s="142"/>
      <c r="AF643" s="142"/>
      <c r="AG643" s="142"/>
      <c r="AH643" s="142"/>
      <c r="AI643" s="142"/>
      <c r="AJ643" s="142"/>
      <c r="AK643" s="142"/>
      <c r="AL643" s="142"/>
      <c r="AM643" s="142"/>
      <c r="AN643" s="142"/>
      <c r="AO643" s="142"/>
      <c r="AP643" s="130"/>
      <c r="AQ643" s="130"/>
      <c r="AR643" s="130"/>
      <c r="AS643" s="130"/>
      <c r="AT643" s="130"/>
      <c r="AU643" s="130"/>
      <c r="AV643" s="130"/>
      <c r="AW643" s="130"/>
      <c r="AX643" s="130"/>
      <c r="AY643" s="130"/>
      <c r="AZ643" s="130"/>
      <c r="BA643" s="130"/>
      <c r="BB643" s="130"/>
      <c r="BC643" s="130"/>
      <c r="BD643" s="130"/>
    </row>
    <row r="644" ht="15.75" customHeight="1">
      <c r="A644" s="142"/>
      <c r="B644" s="142"/>
      <c r="C644" s="198"/>
      <c r="D644" s="142"/>
      <c r="E644" s="131"/>
      <c r="F644" s="142"/>
      <c r="G644" s="142"/>
      <c r="H644" s="131"/>
      <c r="I644" s="142"/>
      <c r="J644" s="142"/>
      <c r="K644" s="132"/>
      <c r="L644" s="131"/>
      <c r="M644" s="142"/>
      <c r="N644" s="142"/>
      <c r="O644" s="142"/>
      <c r="P644" s="142"/>
      <c r="Q644" s="142"/>
      <c r="R644" s="142"/>
      <c r="S644" s="142"/>
      <c r="T644" s="142"/>
      <c r="U644" s="142"/>
      <c r="V644" s="142"/>
      <c r="W644" s="142"/>
      <c r="X644" s="142"/>
      <c r="Y644" s="142"/>
      <c r="Z644" s="142"/>
      <c r="AA644" s="142"/>
      <c r="AB644" s="142"/>
      <c r="AC644" s="142"/>
      <c r="AD644" s="142"/>
      <c r="AE644" s="142"/>
      <c r="AF644" s="142"/>
      <c r="AG644" s="142"/>
      <c r="AH644" s="142"/>
      <c r="AI644" s="142"/>
      <c r="AJ644" s="142"/>
      <c r="AK644" s="142"/>
      <c r="AL644" s="142"/>
      <c r="AM644" s="142"/>
      <c r="AN644" s="142"/>
      <c r="AO644" s="142"/>
      <c r="AP644" s="130"/>
      <c r="AQ644" s="130"/>
      <c r="AR644" s="130"/>
      <c r="AS644" s="130"/>
      <c r="AT644" s="130"/>
      <c r="AU644" s="130"/>
      <c r="AV644" s="130"/>
      <c r="AW644" s="130"/>
      <c r="AX644" s="130"/>
      <c r="AY644" s="130"/>
      <c r="AZ644" s="130"/>
      <c r="BA644" s="130"/>
      <c r="BB644" s="130"/>
      <c r="BC644" s="130"/>
      <c r="BD644" s="130"/>
    </row>
    <row r="645" ht="15.75" customHeight="1">
      <c r="A645" s="142"/>
      <c r="B645" s="142"/>
      <c r="C645" s="198"/>
      <c r="D645" s="142"/>
      <c r="E645" s="131"/>
      <c r="F645" s="142"/>
      <c r="G645" s="142"/>
      <c r="H645" s="131"/>
      <c r="I645" s="142"/>
      <c r="J645" s="142"/>
      <c r="K645" s="132"/>
      <c r="L645" s="131"/>
      <c r="M645" s="142"/>
      <c r="N645" s="142"/>
      <c r="O645" s="142"/>
      <c r="P645" s="142"/>
      <c r="Q645" s="142"/>
      <c r="R645" s="142"/>
      <c r="S645" s="142"/>
      <c r="T645" s="142"/>
      <c r="U645" s="142"/>
      <c r="V645" s="142"/>
      <c r="W645" s="142"/>
      <c r="X645" s="142"/>
      <c r="Y645" s="142"/>
      <c r="Z645" s="142"/>
      <c r="AA645" s="142"/>
      <c r="AB645" s="142"/>
      <c r="AC645" s="142"/>
      <c r="AD645" s="142"/>
      <c r="AE645" s="142"/>
      <c r="AF645" s="142"/>
      <c r="AG645" s="142"/>
      <c r="AH645" s="142"/>
      <c r="AI645" s="142"/>
      <c r="AJ645" s="142"/>
      <c r="AK645" s="142"/>
      <c r="AL645" s="142"/>
      <c r="AM645" s="142"/>
      <c r="AN645" s="142"/>
      <c r="AO645" s="142"/>
      <c r="AP645" s="130"/>
      <c r="AQ645" s="130"/>
      <c r="AR645" s="130"/>
      <c r="AS645" s="130"/>
      <c r="AT645" s="130"/>
      <c r="AU645" s="130"/>
      <c r="AV645" s="130"/>
      <c r="AW645" s="130"/>
      <c r="AX645" s="130"/>
      <c r="AY645" s="130"/>
      <c r="AZ645" s="130"/>
      <c r="BA645" s="130"/>
      <c r="BB645" s="130"/>
      <c r="BC645" s="130"/>
      <c r="BD645" s="130"/>
    </row>
    <row r="646" ht="15.75" customHeight="1">
      <c r="A646" s="142"/>
      <c r="B646" s="142"/>
      <c r="C646" s="198"/>
      <c r="D646" s="142"/>
      <c r="E646" s="131"/>
      <c r="F646" s="142"/>
      <c r="G646" s="142"/>
      <c r="H646" s="131"/>
      <c r="I646" s="142"/>
      <c r="J646" s="142"/>
      <c r="K646" s="132"/>
      <c r="L646" s="131"/>
      <c r="M646" s="142"/>
      <c r="N646" s="142"/>
      <c r="O646" s="142"/>
      <c r="P646" s="142"/>
      <c r="Q646" s="142"/>
      <c r="R646" s="142"/>
      <c r="S646" s="142"/>
      <c r="T646" s="142"/>
      <c r="U646" s="142"/>
      <c r="V646" s="142"/>
      <c r="W646" s="142"/>
      <c r="X646" s="142"/>
      <c r="Y646" s="142"/>
      <c r="Z646" s="142"/>
      <c r="AA646" s="142"/>
      <c r="AB646" s="142"/>
      <c r="AC646" s="142"/>
      <c r="AD646" s="142"/>
      <c r="AE646" s="142"/>
      <c r="AF646" s="142"/>
      <c r="AG646" s="142"/>
      <c r="AH646" s="142"/>
      <c r="AI646" s="142"/>
      <c r="AJ646" s="142"/>
      <c r="AK646" s="142"/>
      <c r="AL646" s="142"/>
      <c r="AM646" s="142"/>
      <c r="AN646" s="142"/>
      <c r="AO646" s="142"/>
      <c r="AP646" s="130"/>
      <c r="AQ646" s="130"/>
      <c r="AR646" s="130"/>
      <c r="AS646" s="130"/>
      <c r="AT646" s="130"/>
      <c r="AU646" s="130"/>
      <c r="AV646" s="130"/>
      <c r="AW646" s="130"/>
      <c r="AX646" s="130"/>
      <c r="AY646" s="130"/>
      <c r="AZ646" s="130"/>
      <c r="BA646" s="130"/>
      <c r="BB646" s="130"/>
      <c r="BC646" s="130"/>
      <c r="BD646" s="130"/>
    </row>
    <row r="647" ht="15.75" customHeight="1">
      <c r="A647" s="142"/>
      <c r="B647" s="142"/>
      <c r="C647" s="198"/>
      <c r="D647" s="142"/>
      <c r="E647" s="131"/>
      <c r="F647" s="142"/>
      <c r="G647" s="142"/>
      <c r="H647" s="131"/>
      <c r="I647" s="142"/>
      <c r="J647" s="142"/>
      <c r="K647" s="132"/>
      <c r="L647" s="131"/>
      <c r="M647" s="142"/>
      <c r="N647" s="142"/>
      <c r="O647" s="142"/>
      <c r="P647" s="142"/>
      <c r="Q647" s="142"/>
      <c r="R647" s="142"/>
      <c r="S647" s="142"/>
      <c r="T647" s="142"/>
      <c r="U647" s="142"/>
      <c r="V647" s="142"/>
      <c r="W647" s="142"/>
      <c r="X647" s="142"/>
      <c r="Y647" s="142"/>
      <c r="Z647" s="142"/>
      <c r="AA647" s="142"/>
      <c r="AB647" s="142"/>
      <c r="AC647" s="142"/>
      <c r="AD647" s="142"/>
      <c r="AE647" s="142"/>
      <c r="AF647" s="142"/>
      <c r="AG647" s="142"/>
      <c r="AH647" s="142"/>
      <c r="AI647" s="142"/>
      <c r="AJ647" s="142"/>
      <c r="AK647" s="142"/>
      <c r="AL647" s="142"/>
      <c r="AM647" s="142"/>
      <c r="AN647" s="142"/>
      <c r="AO647" s="142"/>
      <c r="AP647" s="130"/>
      <c r="AQ647" s="130"/>
      <c r="AR647" s="130"/>
      <c r="AS647" s="130"/>
      <c r="AT647" s="130"/>
      <c r="AU647" s="130"/>
      <c r="AV647" s="130"/>
      <c r="AW647" s="130"/>
      <c r="AX647" s="130"/>
      <c r="AY647" s="130"/>
      <c r="AZ647" s="130"/>
      <c r="BA647" s="130"/>
      <c r="BB647" s="130"/>
      <c r="BC647" s="130"/>
      <c r="BD647" s="130"/>
    </row>
    <row r="648" ht="15.75" customHeight="1">
      <c r="A648" s="142"/>
      <c r="B648" s="142"/>
      <c r="C648" s="198"/>
      <c r="D648" s="142"/>
      <c r="E648" s="131"/>
      <c r="F648" s="142"/>
      <c r="G648" s="142"/>
      <c r="H648" s="131"/>
      <c r="I648" s="142"/>
      <c r="J648" s="142"/>
      <c r="K648" s="132"/>
      <c r="L648" s="131"/>
      <c r="M648" s="142"/>
      <c r="N648" s="142"/>
      <c r="O648" s="142"/>
      <c r="P648" s="142"/>
      <c r="Q648" s="142"/>
      <c r="R648" s="142"/>
      <c r="S648" s="142"/>
      <c r="T648" s="142"/>
      <c r="U648" s="142"/>
      <c r="V648" s="142"/>
      <c r="W648" s="142"/>
      <c r="X648" s="142"/>
      <c r="Y648" s="142"/>
      <c r="Z648" s="142"/>
      <c r="AA648" s="142"/>
      <c r="AB648" s="142"/>
      <c r="AC648" s="142"/>
      <c r="AD648" s="142"/>
      <c r="AE648" s="142"/>
      <c r="AF648" s="142"/>
      <c r="AG648" s="142"/>
      <c r="AH648" s="142"/>
      <c r="AI648" s="142"/>
      <c r="AJ648" s="142"/>
      <c r="AK648" s="142"/>
      <c r="AL648" s="142"/>
      <c r="AM648" s="142"/>
      <c r="AN648" s="142"/>
      <c r="AO648" s="142"/>
      <c r="AP648" s="130"/>
      <c r="AQ648" s="130"/>
      <c r="AR648" s="130"/>
      <c r="AS648" s="130"/>
      <c r="AT648" s="130"/>
      <c r="AU648" s="130"/>
      <c r="AV648" s="130"/>
      <c r="AW648" s="130"/>
      <c r="AX648" s="130"/>
      <c r="AY648" s="130"/>
      <c r="AZ648" s="130"/>
      <c r="BA648" s="130"/>
      <c r="BB648" s="130"/>
      <c r="BC648" s="130"/>
      <c r="BD648" s="130"/>
    </row>
    <row r="649" ht="15.75" customHeight="1">
      <c r="A649" s="142"/>
      <c r="B649" s="142"/>
      <c r="C649" s="198"/>
      <c r="D649" s="142"/>
      <c r="E649" s="131"/>
      <c r="F649" s="142"/>
      <c r="G649" s="142"/>
      <c r="H649" s="131"/>
      <c r="I649" s="142"/>
      <c r="J649" s="142"/>
      <c r="K649" s="132"/>
      <c r="L649" s="131"/>
      <c r="M649" s="142"/>
      <c r="N649" s="142"/>
      <c r="O649" s="142"/>
      <c r="P649" s="142"/>
      <c r="Q649" s="142"/>
      <c r="R649" s="142"/>
      <c r="S649" s="142"/>
      <c r="T649" s="142"/>
      <c r="U649" s="142"/>
      <c r="V649" s="142"/>
      <c r="W649" s="142"/>
      <c r="X649" s="142"/>
      <c r="Y649" s="142"/>
      <c r="Z649" s="142"/>
      <c r="AA649" s="142"/>
      <c r="AB649" s="142"/>
      <c r="AC649" s="142"/>
      <c r="AD649" s="142"/>
      <c r="AE649" s="142"/>
      <c r="AF649" s="142"/>
      <c r="AG649" s="142"/>
      <c r="AH649" s="142"/>
      <c r="AI649" s="142"/>
      <c r="AJ649" s="142"/>
      <c r="AK649" s="142"/>
      <c r="AL649" s="142"/>
      <c r="AM649" s="142"/>
      <c r="AN649" s="142"/>
      <c r="AO649" s="142"/>
      <c r="AP649" s="130"/>
      <c r="AQ649" s="130"/>
      <c r="AR649" s="130"/>
      <c r="AS649" s="130"/>
      <c r="AT649" s="130"/>
      <c r="AU649" s="130"/>
      <c r="AV649" s="130"/>
      <c r="AW649" s="130"/>
      <c r="AX649" s="130"/>
      <c r="AY649" s="130"/>
      <c r="AZ649" s="130"/>
      <c r="BA649" s="130"/>
      <c r="BB649" s="130"/>
      <c r="BC649" s="130"/>
      <c r="BD649" s="130"/>
    </row>
    <row r="650" ht="15.75" customHeight="1">
      <c r="A650" s="142"/>
      <c r="B650" s="142"/>
      <c r="C650" s="198"/>
      <c r="D650" s="142"/>
      <c r="E650" s="131"/>
      <c r="F650" s="142"/>
      <c r="G650" s="142"/>
      <c r="H650" s="131"/>
      <c r="I650" s="142"/>
      <c r="J650" s="142"/>
      <c r="K650" s="132"/>
      <c r="L650" s="131"/>
      <c r="M650" s="142"/>
      <c r="N650" s="142"/>
      <c r="O650" s="142"/>
      <c r="P650" s="142"/>
      <c r="Q650" s="142"/>
      <c r="R650" s="142"/>
      <c r="S650" s="142"/>
      <c r="T650" s="142"/>
      <c r="U650" s="142"/>
      <c r="V650" s="142"/>
      <c r="W650" s="142"/>
      <c r="X650" s="142"/>
      <c r="Y650" s="142"/>
      <c r="Z650" s="142"/>
      <c r="AA650" s="142"/>
      <c r="AB650" s="142"/>
      <c r="AC650" s="142"/>
      <c r="AD650" s="142"/>
      <c r="AE650" s="142"/>
      <c r="AF650" s="142"/>
      <c r="AG650" s="142"/>
      <c r="AH650" s="142"/>
      <c r="AI650" s="142"/>
      <c r="AJ650" s="142"/>
      <c r="AK650" s="142"/>
      <c r="AL650" s="142"/>
      <c r="AM650" s="142"/>
      <c r="AN650" s="142"/>
      <c r="AO650" s="142"/>
      <c r="AP650" s="130"/>
      <c r="AQ650" s="130"/>
      <c r="AR650" s="130"/>
      <c r="AS650" s="130"/>
      <c r="AT650" s="130"/>
      <c r="AU650" s="130"/>
      <c r="AV650" s="130"/>
      <c r="AW650" s="130"/>
      <c r="AX650" s="130"/>
      <c r="AY650" s="130"/>
      <c r="AZ650" s="130"/>
      <c r="BA650" s="130"/>
      <c r="BB650" s="130"/>
      <c r="BC650" s="130"/>
      <c r="BD650" s="130"/>
    </row>
    <row r="651" ht="15.75" customHeight="1">
      <c r="A651" s="142"/>
      <c r="B651" s="142"/>
      <c r="C651" s="198"/>
      <c r="D651" s="142"/>
      <c r="E651" s="131"/>
      <c r="F651" s="142"/>
      <c r="G651" s="142"/>
      <c r="H651" s="131"/>
      <c r="I651" s="142"/>
      <c r="J651" s="142"/>
      <c r="K651" s="132"/>
      <c r="L651" s="131"/>
      <c r="M651" s="142"/>
      <c r="N651" s="142"/>
      <c r="O651" s="142"/>
      <c r="P651" s="142"/>
      <c r="Q651" s="142"/>
      <c r="R651" s="142"/>
      <c r="S651" s="142"/>
      <c r="T651" s="142"/>
      <c r="U651" s="142"/>
      <c r="V651" s="142"/>
      <c r="W651" s="142"/>
      <c r="X651" s="142"/>
      <c r="Y651" s="142"/>
      <c r="Z651" s="142"/>
      <c r="AA651" s="142"/>
      <c r="AB651" s="142"/>
      <c r="AC651" s="142"/>
      <c r="AD651" s="142"/>
      <c r="AE651" s="142"/>
      <c r="AF651" s="142"/>
      <c r="AG651" s="142"/>
      <c r="AH651" s="142"/>
      <c r="AI651" s="142"/>
      <c r="AJ651" s="142"/>
      <c r="AK651" s="142"/>
      <c r="AL651" s="142"/>
      <c r="AM651" s="142"/>
      <c r="AN651" s="142"/>
      <c r="AO651" s="142"/>
      <c r="AP651" s="130"/>
      <c r="AQ651" s="130"/>
      <c r="AR651" s="130"/>
      <c r="AS651" s="130"/>
      <c r="AT651" s="130"/>
      <c r="AU651" s="130"/>
      <c r="AV651" s="130"/>
      <c r="AW651" s="130"/>
      <c r="AX651" s="130"/>
      <c r="AY651" s="130"/>
      <c r="AZ651" s="130"/>
      <c r="BA651" s="130"/>
      <c r="BB651" s="130"/>
      <c r="BC651" s="130"/>
      <c r="BD651" s="130"/>
    </row>
    <row r="652" ht="15.75" customHeight="1">
      <c r="A652" s="142"/>
      <c r="B652" s="142"/>
      <c r="C652" s="198"/>
      <c r="D652" s="142"/>
      <c r="E652" s="131"/>
      <c r="F652" s="142"/>
      <c r="G652" s="142"/>
      <c r="H652" s="131"/>
      <c r="I652" s="142"/>
      <c r="J652" s="142"/>
      <c r="K652" s="132"/>
      <c r="L652" s="131"/>
      <c r="M652" s="142"/>
      <c r="N652" s="142"/>
      <c r="O652" s="142"/>
      <c r="P652" s="142"/>
      <c r="Q652" s="142"/>
      <c r="R652" s="142"/>
      <c r="S652" s="142"/>
      <c r="T652" s="142"/>
      <c r="U652" s="142"/>
      <c r="V652" s="142"/>
      <c r="W652" s="142"/>
      <c r="X652" s="142"/>
      <c r="Y652" s="142"/>
      <c r="Z652" s="142"/>
      <c r="AA652" s="142"/>
      <c r="AB652" s="142"/>
      <c r="AC652" s="142"/>
      <c r="AD652" s="142"/>
      <c r="AE652" s="142"/>
      <c r="AF652" s="142"/>
      <c r="AG652" s="142"/>
      <c r="AH652" s="142"/>
      <c r="AI652" s="142"/>
      <c r="AJ652" s="142"/>
      <c r="AK652" s="142"/>
      <c r="AL652" s="142"/>
      <c r="AM652" s="142"/>
      <c r="AN652" s="142"/>
      <c r="AO652" s="142"/>
      <c r="AP652" s="130"/>
      <c r="AQ652" s="130"/>
      <c r="AR652" s="130"/>
      <c r="AS652" s="130"/>
      <c r="AT652" s="130"/>
      <c r="AU652" s="130"/>
      <c r="AV652" s="130"/>
      <c r="AW652" s="130"/>
      <c r="AX652" s="130"/>
      <c r="AY652" s="130"/>
      <c r="AZ652" s="130"/>
      <c r="BA652" s="130"/>
      <c r="BB652" s="130"/>
      <c r="BC652" s="130"/>
      <c r="BD652" s="130"/>
    </row>
    <row r="653" ht="15.75" customHeight="1">
      <c r="A653" s="142"/>
      <c r="B653" s="142"/>
      <c r="C653" s="198"/>
      <c r="D653" s="142"/>
      <c r="E653" s="131"/>
      <c r="F653" s="142"/>
      <c r="G653" s="142"/>
      <c r="H653" s="131"/>
      <c r="I653" s="142"/>
      <c r="J653" s="142"/>
      <c r="K653" s="132"/>
      <c r="L653" s="131"/>
      <c r="M653" s="142"/>
      <c r="N653" s="142"/>
      <c r="O653" s="142"/>
      <c r="P653" s="142"/>
      <c r="Q653" s="142"/>
      <c r="R653" s="142"/>
      <c r="S653" s="142"/>
      <c r="T653" s="142"/>
      <c r="U653" s="142"/>
      <c r="V653" s="142"/>
      <c r="W653" s="142"/>
      <c r="X653" s="142"/>
      <c r="Y653" s="142"/>
      <c r="Z653" s="142"/>
      <c r="AA653" s="142"/>
      <c r="AB653" s="142"/>
      <c r="AC653" s="142"/>
      <c r="AD653" s="142"/>
      <c r="AE653" s="142"/>
      <c r="AF653" s="142"/>
      <c r="AG653" s="142"/>
      <c r="AH653" s="142"/>
      <c r="AI653" s="142"/>
      <c r="AJ653" s="142"/>
      <c r="AK653" s="142"/>
      <c r="AL653" s="142"/>
      <c r="AM653" s="142"/>
      <c r="AN653" s="142"/>
      <c r="AO653" s="142"/>
      <c r="AP653" s="130"/>
      <c r="AQ653" s="130"/>
      <c r="AR653" s="130"/>
      <c r="AS653" s="130"/>
      <c r="AT653" s="130"/>
      <c r="AU653" s="130"/>
      <c r="AV653" s="130"/>
      <c r="AW653" s="130"/>
      <c r="AX653" s="130"/>
      <c r="AY653" s="130"/>
      <c r="AZ653" s="130"/>
      <c r="BA653" s="130"/>
      <c r="BB653" s="130"/>
      <c r="BC653" s="130"/>
      <c r="BD653" s="130"/>
    </row>
    <row r="654" ht="15.75" customHeight="1">
      <c r="A654" s="142"/>
      <c r="B654" s="142"/>
      <c r="C654" s="198"/>
      <c r="D654" s="142"/>
      <c r="E654" s="131"/>
      <c r="F654" s="142"/>
      <c r="G654" s="142"/>
      <c r="H654" s="131"/>
      <c r="I654" s="142"/>
      <c r="J654" s="142"/>
      <c r="K654" s="132"/>
      <c r="L654" s="131"/>
      <c r="M654" s="142"/>
      <c r="N654" s="142"/>
      <c r="O654" s="142"/>
      <c r="P654" s="142"/>
      <c r="Q654" s="142"/>
      <c r="R654" s="142"/>
      <c r="S654" s="142"/>
      <c r="T654" s="142"/>
      <c r="U654" s="142"/>
      <c r="V654" s="142"/>
      <c r="W654" s="142"/>
      <c r="X654" s="142"/>
      <c r="Y654" s="142"/>
      <c r="Z654" s="142"/>
      <c r="AA654" s="142"/>
      <c r="AB654" s="142"/>
      <c r="AC654" s="142"/>
      <c r="AD654" s="142"/>
      <c r="AE654" s="142"/>
      <c r="AF654" s="142"/>
      <c r="AG654" s="142"/>
      <c r="AH654" s="142"/>
      <c r="AI654" s="142"/>
      <c r="AJ654" s="142"/>
      <c r="AK654" s="142"/>
      <c r="AL654" s="142"/>
      <c r="AM654" s="142"/>
      <c r="AN654" s="142"/>
      <c r="AO654" s="142"/>
      <c r="AP654" s="130"/>
      <c r="AQ654" s="130"/>
      <c r="AR654" s="130"/>
      <c r="AS654" s="130"/>
      <c r="AT654" s="130"/>
      <c r="AU654" s="130"/>
      <c r="AV654" s="130"/>
      <c r="AW654" s="130"/>
      <c r="AX654" s="130"/>
      <c r="AY654" s="130"/>
      <c r="AZ654" s="130"/>
      <c r="BA654" s="130"/>
      <c r="BB654" s="130"/>
      <c r="BC654" s="130"/>
      <c r="BD654" s="130"/>
    </row>
    <row r="655" ht="15.75" customHeight="1">
      <c r="A655" s="142"/>
      <c r="B655" s="142"/>
      <c r="C655" s="198"/>
      <c r="D655" s="142"/>
      <c r="E655" s="131"/>
      <c r="F655" s="142"/>
      <c r="G655" s="142"/>
      <c r="H655" s="131"/>
      <c r="I655" s="142"/>
      <c r="J655" s="142"/>
      <c r="K655" s="132"/>
      <c r="L655" s="131"/>
      <c r="M655" s="142"/>
      <c r="N655" s="142"/>
      <c r="O655" s="142"/>
      <c r="P655" s="142"/>
      <c r="Q655" s="142"/>
      <c r="R655" s="142"/>
      <c r="S655" s="142"/>
      <c r="T655" s="142"/>
      <c r="U655" s="142"/>
      <c r="V655" s="142"/>
      <c r="W655" s="142"/>
      <c r="X655" s="142"/>
      <c r="Y655" s="142"/>
      <c r="Z655" s="142"/>
      <c r="AA655" s="142"/>
      <c r="AB655" s="142"/>
      <c r="AC655" s="142"/>
      <c r="AD655" s="142"/>
      <c r="AE655" s="142"/>
      <c r="AF655" s="142"/>
      <c r="AG655" s="142"/>
      <c r="AH655" s="142"/>
      <c r="AI655" s="142"/>
      <c r="AJ655" s="142"/>
      <c r="AK655" s="142"/>
      <c r="AL655" s="142"/>
      <c r="AM655" s="142"/>
      <c r="AN655" s="142"/>
      <c r="AO655" s="142"/>
      <c r="AP655" s="130"/>
      <c r="AQ655" s="130"/>
      <c r="AR655" s="130"/>
      <c r="AS655" s="130"/>
      <c r="AT655" s="130"/>
      <c r="AU655" s="130"/>
      <c r="AV655" s="130"/>
      <c r="AW655" s="130"/>
      <c r="AX655" s="130"/>
      <c r="AY655" s="130"/>
      <c r="AZ655" s="130"/>
      <c r="BA655" s="130"/>
      <c r="BB655" s="130"/>
      <c r="BC655" s="130"/>
      <c r="BD655" s="130"/>
    </row>
    <row r="656" ht="15.75" customHeight="1">
      <c r="A656" s="142"/>
      <c r="B656" s="142"/>
      <c r="C656" s="198"/>
      <c r="D656" s="142"/>
      <c r="E656" s="131"/>
      <c r="F656" s="142"/>
      <c r="G656" s="142"/>
      <c r="H656" s="131"/>
      <c r="I656" s="142"/>
      <c r="J656" s="142"/>
      <c r="K656" s="132"/>
      <c r="L656" s="131"/>
      <c r="M656" s="142"/>
      <c r="N656" s="142"/>
      <c r="O656" s="142"/>
      <c r="P656" s="142"/>
      <c r="Q656" s="142"/>
      <c r="R656" s="142"/>
      <c r="S656" s="142"/>
      <c r="T656" s="142"/>
      <c r="U656" s="142"/>
      <c r="V656" s="142"/>
      <c r="W656" s="142"/>
      <c r="X656" s="142"/>
      <c r="Y656" s="142"/>
      <c r="Z656" s="142"/>
      <c r="AA656" s="142"/>
      <c r="AB656" s="142"/>
      <c r="AC656" s="142"/>
      <c r="AD656" s="142"/>
      <c r="AE656" s="142"/>
      <c r="AF656" s="142"/>
      <c r="AG656" s="142"/>
      <c r="AH656" s="142"/>
      <c r="AI656" s="142"/>
      <c r="AJ656" s="142"/>
      <c r="AK656" s="142"/>
      <c r="AL656" s="142"/>
      <c r="AM656" s="142"/>
      <c r="AN656" s="142"/>
      <c r="AO656" s="142"/>
      <c r="AP656" s="130"/>
      <c r="AQ656" s="130"/>
      <c r="AR656" s="130"/>
      <c r="AS656" s="130"/>
      <c r="AT656" s="130"/>
      <c r="AU656" s="130"/>
      <c r="AV656" s="130"/>
      <c r="AW656" s="130"/>
      <c r="AX656" s="130"/>
      <c r="AY656" s="130"/>
      <c r="AZ656" s="130"/>
      <c r="BA656" s="130"/>
      <c r="BB656" s="130"/>
      <c r="BC656" s="130"/>
      <c r="BD656" s="130"/>
    </row>
    <row r="657" ht="15.75" customHeight="1">
      <c r="A657" s="142"/>
      <c r="B657" s="142"/>
      <c r="C657" s="198"/>
      <c r="D657" s="142"/>
      <c r="E657" s="131"/>
      <c r="F657" s="142"/>
      <c r="G657" s="142"/>
      <c r="H657" s="131"/>
      <c r="I657" s="142"/>
      <c r="J657" s="142"/>
      <c r="K657" s="132"/>
      <c r="L657" s="131"/>
      <c r="M657" s="142"/>
      <c r="N657" s="142"/>
      <c r="O657" s="142"/>
      <c r="P657" s="142"/>
      <c r="Q657" s="142"/>
      <c r="R657" s="142"/>
      <c r="S657" s="142"/>
      <c r="T657" s="142"/>
      <c r="U657" s="142"/>
      <c r="V657" s="142"/>
      <c r="W657" s="142"/>
      <c r="X657" s="142"/>
      <c r="Y657" s="142"/>
      <c r="Z657" s="142"/>
      <c r="AA657" s="142"/>
      <c r="AB657" s="142"/>
      <c r="AC657" s="142"/>
      <c r="AD657" s="142"/>
      <c r="AE657" s="142"/>
      <c r="AF657" s="142"/>
      <c r="AG657" s="142"/>
      <c r="AH657" s="142"/>
      <c r="AI657" s="142"/>
      <c r="AJ657" s="142"/>
      <c r="AK657" s="142"/>
      <c r="AL657" s="142"/>
      <c r="AM657" s="142"/>
      <c r="AN657" s="142"/>
      <c r="AO657" s="142"/>
      <c r="AP657" s="130"/>
      <c r="AQ657" s="130"/>
      <c r="AR657" s="130"/>
      <c r="AS657" s="130"/>
      <c r="AT657" s="130"/>
      <c r="AU657" s="130"/>
      <c r="AV657" s="130"/>
      <c r="AW657" s="130"/>
      <c r="AX657" s="130"/>
      <c r="AY657" s="130"/>
      <c r="AZ657" s="130"/>
      <c r="BA657" s="130"/>
      <c r="BB657" s="130"/>
      <c r="BC657" s="130"/>
      <c r="BD657" s="130"/>
    </row>
    <row r="658" ht="15.75" customHeight="1">
      <c r="A658" s="142"/>
      <c r="B658" s="142"/>
      <c r="C658" s="198"/>
      <c r="D658" s="142"/>
      <c r="E658" s="131"/>
      <c r="F658" s="142"/>
      <c r="G658" s="142"/>
      <c r="H658" s="131"/>
      <c r="I658" s="142"/>
      <c r="J658" s="142"/>
      <c r="K658" s="132"/>
      <c r="L658" s="131"/>
      <c r="M658" s="142"/>
      <c r="N658" s="142"/>
      <c r="O658" s="142"/>
      <c r="P658" s="142"/>
      <c r="Q658" s="142"/>
      <c r="R658" s="142"/>
      <c r="S658" s="142"/>
      <c r="T658" s="142"/>
      <c r="U658" s="142"/>
      <c r="V658" s="142"/>
      <c r="W658" s="142"/>
      <c r="X658" s="142"/>
      <c r="Y658" s="142"/>
      <c r="Z658" s="142"/>
      <c r="AA658" s="142"/>
      <c r="AB658" s="142"/>
      <c r="AC658" s="142"/>
      <c r="AD658" s="142"/>
      <c r="AE658" s="142"/>
      <c r="AF658" s="142"/>
      <c r="AG658" s="142"/>
      <c r="AH658" s="142"/>
      <c r="AI658" s="142"/>
      <c r="AJ658" s="142"/>
      <c r="AK658" s="142"/>
      <c r="AL658" s="142"/>
      <c r="AM658" s="142"/>
      <c r="AN658" s="142"/>
      <c r="AO658" s="142"/>
      <c r="AP658" s="130"/>
      <c r="AQ658" s="130"/>
      <c r="AR658" s="130"/>
      <c r="AS658" s="130"/>
      <c r="AT658" s="130"/>
      <c r="AU658" s="130"/>
      <c r="AV658" s="130"/>
      <c r="AW658" s="130"/>
      <c r="AX658" s="130"/>
      <c r="AY658" s="130"/>
      <c r="AZ658" s="130"/>
      <c r="BA658" s="130"/>
      <c r="BB658" s="130"/>
      <c r="BC658" s="130"/>
      <c r="BD658" s="130"/>
    </row>
    <row r="659" ht="15.75" customHeight="1">
      <c r="A659" s="142"/>
      <c r="B659" s="142"/>
      <c r="C659" s="198"/>
      <c r="D659" s="142"/>
      <c r="E659" s="131"/>
      <c r="F659" s="142"/>
      <c r="G659" s="142"/>
      <c r="H659" s="131"/>
      <c r="I659" s="142"/>
      <c r="J659" s="142"/>
      <c r="K659" s="132"/>
      <c r="L659" s="131"/>
      <c r="M659" s="142"/>
      <c r="N659" s="142"/>
      <c r="O659" s="142"/>
      <c r="P659" s="142"/>
      <c r="Q659" s="142"/>
      <c r="R659" s="142"/>
      <c r="S659" s="142"/>
      <c r="T659" s="142"/>
      <c r="U659" s="142"/>
      <c r="V659" s="142"/>
      <c r="W659" s="142"/>
      <c r="X659" s="142"/>
      <c r="Y659" s="142"/>
      <c r="Z659" s="142"/>
      <c r="AA659" s="142"/>
      <c r="AB659" s="142"/>
      <c r="AC659" s="142"/>
      <c r="AD659" s="142"/>
      <c r="AE659" s="142"/>
      <c r="AF659" s="142"/>
      <c r="AG659" s="142"/>
      <c r="AH659" s="142"/>
      <c r="AI659" s="142"/>
      <c r="AJ659" s="142"/>
      <c r="AK659" s="142"/>
      <c r="AL659" s="142"/>
      <c r="AM659" s="142"/>
      <c r="AN659" s="142"/>
      <c r="AO659" s="142"/>
      <c r="AP659" s="130"/>
      <c r="AQ659" s="130"/>
      <c r="AR659" s="130"/>
      <c r="AS659" s="130"/>
      <c r="AT659" s="130"/>
      <c r="AU659" s="130"/>
      <c r="AV659" s="130"/>
      <c r="AW659" s="130"/>
      <c r="AX659" s="130"/>
      <c r="AY659" s="130"/>
      <c r="AZ659" s="130"/>
      <c r="BA659" s="130"/>
      <c r="BB659" s="130"/>
      <c r="BC659" s="130"/>
      <c r="BD659" s="130"/>
    </row>
    <row r="660" ht="15.75" customHeight="1">
      <c r="A660" s="142"/>
      <c r="B660" s="142"/>
      <c r="C660" s="198"/>
      <c r="D660" s="142"/>
      <c r="E660" s="131"/>
      <c r="F660" s="142"/>
      <c r="G660" s="142"/>
      <c r="H660" s="131"/>
      <c r="I660" s="142"/>
      <c r="J660" s="142"/>
      <c r="K660" s="132"/>
      <c r="L660" s="131"/>
      <c r="M660" s="142"/>
      <c r="N660" s="142"/>
      <c r="O660" s="142"/>
      <c r="P660" s="142"/>
      <c r="Q660" s="142"/>
      <c r="R660" s="142"/>
      <c r="S660" s="142"/>
      <c r="T660" s="142"/>
      <c r="U660" s="142"/>
      <c r="V660" s="142"/>
      <c r="W660" s="142"/>
      <c r="X660" s="142"/>
      <c r="Y660" s="142"/>
      <c r="Z660" s="142"/>
      <c r="AA660" s="142"/>
      <c r="AB660" s="142"/>
      <c r="AC660" s="142"/>
      <c r="AD660" s="142"/>
      <c r="AE660" s="142"/>
      <c r="AF660" s="142"/>
      <c r="AG660" s="142"/>
      <c r="AH660" s="142"/>
      <c r="AI660" s="142"/>
      <c r="AJ660" s="142"/>
      <c r="AK660" s="142"/>
      <c r="AL660" s="142"/>
      <c r="AM660" s="142"/>
      <c r="AN660" s="142"/>
      <c r="AO660" s="142"/>
      <c r="AP660" s="130"/>
      <c r="AQ660" s="130"/>
      <c r="AR660" s="130"/>
      <c r="AS660" s="130"/>
      <c r="AT660" s="130"/>
      <c r="AU660" s="130"/>
      <c r="AV660" s="130"/>
      <c r="AW660" s="130"/>
      <c r="AX660" s="130"/>
      <c r="AY660" s="130"/>
      <c r="AZ660" s="130"/>
      <c r="BA660" s="130"/>
      <c r="BB660" s="130"/>
      <c r="BC660" s="130"/>
      <c r="BD660" s="130"/>
    </row>
    <row r="661" ht="15.75" customHeight="1">
      <c r="A661" s="142"/>
      <c r="B661" s="142"/>
      <c r="C661" s="198"/>
      <c r="D661" s="142"/>
      <c r="E661" s="131"/>
      <c r="F661" s="142"/>
      <c r="G661" s="142"/>
      <c r="H661" s="131"/>
      <c r="I661" s="142"/>
      <c r="J661" s="142"/>
      <c r="K661" s="132"/>
      <c r="L661" s="131"/>
      <c r="M661" s="142"/>
      <c r="N661" s="142"/>
      <c r="O661" s="142"/>
      <c r="P661" s="142"/>
      <c r="Q661" s="142"/>
      <c r="R661" s="142"/>
      <c r="S661" s="142"/>
      <c r="T661" s="142"/>
      <c r="U661" s="142"/>
      <c r="V661" s="142"/>
      <c r="W661" s="142"/>
      <c r="X661" s="142"/>
      <c r="Y661" s="142"/>
      <c r="Z661" s="142"/>
      <c r="AA661" s="142"/>
      <c r="AB661" s="142"/>
      <c r="AC661" s="142"/>
      <c r="AD661" s="142"/>
      <c r="AE661" s="142"/>
      <c r="AF661" s="142"/>
      <c r="AG661" s="142"/>
      <c r="AH661" s="142"/>
      <c r="AI661" s="142"/>
      <c r="AJ661" s="142"/>
      <c r="AK661" s="142"/>
      <c r="AL661" s="142"/>
      <c r="AM661" s="142"/>
      <c r="AN661" s="142"/>
      <c r="AO661" s="142"/>
      <c r="AP661" s="130"/>
      <c r="AQ661" s="130"/>
      <c r="AR661" s="130"/>
      <c r="AS661" s="130"/>
      <c r="AT661" s="130"/>
      <c r="AU661" s="130"/>
      <c r="AV661" s="130"/>
      <c r="AW661" s="130"/>
      <c r="AX661" s="130"/>
      <c r="AY661" s="130"/>
      <c r="AZ661" s="130"/>
      <c r="BA661" s="130"/>
      <c r="BB661" s="130"/>
      <c r="BC661" s="130"/>
      <c r="BD661" s="130"/>
    </row>
    <row r="662" ht="15.75" customHeight="1">
      <c r="A662" s="142"/>
      <c r="B662" s="142"/>
      <c r="C662" s="198"/>
      <c r="D662" s="142"/>
      <c r="E662" s="131"/>
      <c r="F662" s="142"/>
      <c r="G662" s="142"/>
      <c r="H662" s="131"/>
      <c r="I662" s="142"/>
      <c r="J662" s="142"/>
      <c r="K662" s="132"/>
      <c r="L662" s="131"/>
      <c r="M662" s="142"/>
      <c r="N662" s="142"/>
      <c r="O662" s="142"/>
      <c r="P662" s="142"/>
      <c r="Q662" s="142"/>
      <c r="R662" s="142"/>
      <c r="S662" s="142"/>
      <c r="T662" s="142"/>
      <c r="U662" s="142"/>
      <c r="V662" s="142"/>
      <c r="W662" s="142"/>
      <c r="X662" s="142"/>
      <c r="Y662" s="142"/>
      <c r="Z662" s="142"/>
      <c r="AA662" s="142"/>
      <c r="AB662" s="142"/>
      <c r="AC662" s="142"/>
      <c r="AD662" s="142"/>
      <c r="AE662" s="142"/>
      <c r="AF662" s="142"/>
      <c r="AG662" s="142"/>
      <c r="AH662" s="142"/>
      <c r="AI662" s="142"/>
      <c r="AJ662" s="142"/>
      <c r="AK662" s="142"/>
      <c r="AL662" s="142"/>
      <c r="AM662" s="142"/>
      <c r="AN662" s="142"/>
      <c r="AO662" s="142"/>
      <c r="AP662" s="130"/>
      <c r="AQ662" s="130"/>
      <c r="AR662" s="130"/>
      <c r="AS662" s="130"/>
      <c r="AT662" s="130"/>
      <c r="AU662" s="130"/>
      <c r="AV662" s="130"/>
      <c r="AW662" s="130"/>
      <c r="AX662" s="130"/>
      <c r="AY662" s="130"/>
      <c r="AZ662" s="130"/>
      <c r="BA662" s="130"/>
      <c r="BB662" s="130"/>
      <c r="BC662" s="130"/>
      <c r="BD662" s="130"/>
    </row>
    <row r="663" ht="15.75" customHeight="1">
      <c r="A663" s="142"/>
      <c r="B663" s="142"/>
      <c r="C663" s="198"/>
      <c r="D663" s="142"/>
      <c r="E663" s="131"/>
      <c r="F663" s="142"/>
      <c r="G663" s="142"/>
      <c r="H663" s="131"/>
      <c r="I663" s="142"/>
      <c r="J663" s="142"/>
      <c r="K663" s="132"/>
      <c r="L663" s="131"/>
      <c r="M663" s="142"/>
      <c r="N663" s="142"/>
      <c r="O663" s="142"/>
      <c r="P663" s="142"/>
      <c r="Q663" s="142"/>
      <c r="R663" s="142"/>
      <c r="S663" s="142"/>
      <c r="T663" s="142"/>
      <c r="U663" s="142"/>
      <c r="V663" s="142"/>
      <c r="W663" s="142"/>
      <c r="X663" s="142"/>
      <c r="Y663" s="142"/>
      <c r="Z663" s="142"/>
      <c r="AA663" s="142"/>
      <c r="AB663" s="142"/>
      <c r="AC663" s="142"/>
      <c r="AD663" s="142"/>
      <c r="AE663" s="142"/>
      <c r="AF663" s="142"/>
      <c r="AG663" s="142"/>
      <c r="AH663" s="142"/>
      <c r="AI663" s="142"/>
      <c r="AJ663" s="142"/>
      <c r="AK663" s="142"/>
      <c r="AL663" s="142"/>
      <c r="AM663" s="142"/>
      <c r="AN663" s="142"/>
      <c r="AO663" s="142"/>
      <c r="AP663" s="130"/>
      <c r="AQ663" s="130"/>
      <c r="AR663" s="130"/>
      <c r="AS663" s="130"/>
      <c r="AT663" s="130"/>
      <c r="AU663" s="130"/>
      <c r="AV663" s="130"/>
      <c r="AW663" s="130"/>
      <c r="AX663" s="130"/>
      <c r="AY663" s="130"/>
      <c r="AZ663" s="130"/>
      <c r="BA663" s="130"/>
      <c r="BB663" s="130"/>
      <c r="BC663" s="130"/>
      <c r="BD663" s="130"/>
    </row>
    <row r="664" ht="15.75" customHeight="1">
      <c r="A664" s="142"/>
      <c r="B664" s="142"/>
      <c r="C664" s="198"/>
      <c r="D664" s="142"/>
      <c r="E664" s="131"/>
      <c r="F664" s="142"/>
      <c r="G664" s="142"/>
      <c r="H664" s="131"/>
      <c r="I664" s="142"/>
      <c r="J664" s="142"/>
      <c r="K664" s="132"/>
      <c r="L664" s="131"/>
      <c r="M664" s="142"/>
      <c r="N664" s="142"/>
      <c r="O664" s="142"/>
      <c r="P664" s="142"/>
      <c r="Q664" s="142"/>
      <c r="R664" s="142"/>
      <c r="S664" s="142"/>
      <c r="T664" s="142"/>
      <c r="U664" s="142"/>
      <c r="V664" s="142"/>
      <c r="W664" s="142"/>
      <c r="X664" s="142"/>
      <c r="Y664" s="142"/>
      <c r="Z664" s="142"/>
      <c r="AA664" s="142"/>
      <c r="AB664" s="142"/>
      <c r="AC664" s="142"/>
      <c r="AD664" s="142"/>
      <c r="AE664" s="142"/>
      <c r="AF664" s="142"/>
      <c r="AG664" s="142"/>
      <c r="AH664" s="142"/>
      <c r="AI664" s="142"/>
      <c r="AJ664" s="142"/>
      <c r="AK664" s="142"/>
      <c r="AL664" s="142"/>
      <c r="AM664" s="142"/>
      <c r="AN664" s="142"/>
      <c r="AO664" s="142"/>
      <c r="AP664" s="130"/>
      <c r="AQ664" s="130"/>
      <c r="AR664" s="130"/>
      <c r="AS664" s="130"/>
      <c r="AT664" s="130"/>
      <c r="AU664" s="130"/>
      <c r="AV664" s="130"/>
      <c r="AW664" s="130"/>
      <c r="AX664" s="130"/>
      <c r="AY664" s="130"/>
      <c r="AZ664" s="130"/>
      <c r="BA664" s="130"/>
      <c r="BB664" s="130"/>
      <c r="BC664" s="130"/>
      <c r="BD664" s="130"/>
    </row>
    <row r="665" ht="15.75" customHeight="1">
      <c r="A665" s="142"/>
      <c r="B665" s="142"/>
      <c r="C665" s="198"/>
      <c r="D665" s="142"/>
      <c r="E665" s="131"/>
      <c r="F665" s="142"/>
      <c r="G665" s="142"/>
      <c r="H665" s="131"/>
      <c r="I665" s="142"/>
      <c r="J665" s="142"/>
      <c r="K665" s="132"/>
      <c r="L665" s="131"/>
      <c r="M665" s="142"/>
      <c r="N665" s="142"/>
      <c r="O665" s="142"/>
      <c r="P665" s="142"/>
      <c r="Q665" s="142"/>
      <c r="R665" s="142"/>
      <c r="S665" s="142"/>
      <c r="T665" s="142"/>
      <c r="U665" s="142"/>
      <c r="V665" s="142"/>
      <c r="W665" s="142"/>
      <c r="X665" s="142"/>
      <c r="Y665" s="142"/>
      <c r="Z665" s="142"/>
      <c r="AA665" s="142"/>
      <c r="AB665" s="142"/>
      <c r="AC665" s="142"/>
      <c r="AD665" s="142"/>
      <c r="AE665" s="142"/>
      <c r="AF665" s="142"/>
      <c r="AG665" s="142"/>
      <c r="AH665" s="142"/>
      <c r="AI665" s="142"/>
      <c r="AJ665" s="142"/>
      <c r="AK665" s="142"/>
      <c r="AL665" s="142"/>
      <c r="AM665" s="142"/>
      <c r="AN665" s="142"/>
      <c r="AO665" s="142"/>
      <c r="AP665" s="130"/>
      <c r="AQ665" s="130"/>
      <c r="AR665" s="130"/>
      <c r="AS665" s="130"/>
      <c r="AT665" s="130"/>
      <c r="AU665" s="130"/>
      <c r="AV665" s="130"/>
      <c r="AW665" s="130"/>
      <c r="AX665" s="130"/>
      <c r="AY665" s="130"/>
      <c r="AZ665" s="130"/>
      <c r="BA665" s="130"/>
      <c r="BB665" s="130"/>
      <c r="BC665" s="130"/>
      <c r="BD665" s="130"/>
    </row>
    <row r="666" ht="15.75" customHeight="1">
      <c r="A666" s="142"/>
      <c r="B666" s="142"/>
      <c r="C666" s="198"/>
      <c r="D666" s="142"/>
      <c r="E666" s="131"/>
      <c r="F666" s="142"/>
      <c r="G666" s="142"/>
      <c r="H666" s="131"/>
      <c r="I666" s="142"/>
      <c r="J666" s="142"/>
      <c r="K666" s="132"/>
      <c r="L666" s="131"/>
      <c r="M666" s="142"/>
      <c r="N666" s="142"/>
      <c r="O666" s="142"/>
      <c r="P666" s="142"/>
      <c r="Q666" s="142"/>
      <c r="R666" s="142"/>
      <c r="S666" s="142"/>
      <c r="T666" s="142"/>
      <c r="U666" s="142"/>
      <c r="V666" s="142"/>
      <c r="W666" s="142"/>
      <c r="X666" s="142"/>
      <c r="Y666" s="142"/>
      <c r="Z666" s="142"/>
      <c r="AA666" s="142"/>
      <c r="AB666" s="142"/>
      <c r="AC666" s="142"/>
      <c r="AD666" s="142"/>
      <c r="AE666" s="142"/>
      <c r="AF666" s="142"/>
      <c r="AG666" s="142"/>
      <c r="AH666" s="142"/>
      <c r="AI666" s="142"/>
      <c r="AJ666" s="142"/>
      <c r="AK666" s="142"/>
      <c r="AL666" s="142"/>
      <c r="AM666" s="142"/>
      <c r="AN666" s="142"/>
      <c r="AO666" s="142"/>
      <c r="AP666" s="130"/>
      <c r="AQ666" s="130"/>
      <c r="AR666" s="130"/>
      <c r="AS666" s="130"/>
      <c r="AT666" s="130"/>
      <c r="AU666" s="130"/>
      <c r="AV666" s="130"/>
      <c r="AW666" s="130"/>
      <c r="AX666" s="130"/>
      <c r="AY666" s="130"/>
      <c r="AZ666" s="130"/>
      <c r="BA666" s="130"/>
      <c r="BB666" s="130"/>
      <c r="BC666" s="130"/>
      <c r="BD666" s="130"/>
    </row>
    <row r="667" ht="15.75" customHeight="1">
      <c r="A667" s="142"/>
      <c r="B667" s="142"/>
      <c r="C667" s="198"/>
      <c r="D667" s="142"/>
      <c r="E667" s="131"/>
      <c r="F667" s="142"/>
      <c r="G667" s="142"/>
      <c r="H667" s="131"/>
      <c r="I667" s="142"/>
      <c r="J667" s="142"/>
      <c r="K667" s="132"/>
      <c r="L667" s="131"/>
      <c r="M667" s="142"/>
      <c r="N667" s="142"/>
      <c r="O667" s="142"/>
      <c r="P667" s="142"/>
      <c r="Q667" s="142"/>
      <c r="R667" s="142"/>
      <c r="S667" s="142"/>
      <c r="T667" s="142"/>
      <c r="U667" s="142"/>
      <c r="V667" s="142"/>
      <c r="W667" s="142"/>
      <c r="X667" s="142"/>
      <c r="Y667" s="142"/>
      <c r="Z667" s="142"/>
      <c r="AA667" s="142"/>
      <c r="AB667" s="142"/>
      <c r="AC667" s="142"/>
      <c r="AD667" s="142"/>
      <c r="AE667" s="142"/>
      <c r="AF667" s="142"/>
      <c r="AG667" s="142"/>
      <c r="AH667" s="142"/>
      <c r="AI667" s="142"/>
      <c r="AJ667" s="142"/>
      <c r="AK667" s="142"/>
      <c r="AL667" s="142"/>
      <c r="AM667" s="142"/>
      <c r="AN667" s="142"/>
      <c r="AO667" s="142"/>
      <c r="AP667" s="130"/>
      <c r="AQ667" s="130"/>
      <c r="AR667" s="130"/>
      <c r="AS667" s="130"/>
      <c r="AT667" s="130"/>
      <c r="AU667" s="130"/>
      <c r="AV667" s="130"/>
      <c r="AW667" s="130"/>
      <c r="AX667" s="130"/>
      <c r="AY667" s="130"/>
      <c r="AZ667" s="130"/>
      <c r="BA667" s="130"/>
      <c r="BB667" s="130"/>
      <c r="BC667" s="130"/>
      <c r="BD667" s="130"/>
    </row>
    <row r="668" ht="15.75" customHeight="1">
      <c r="A668" s="142"/>
      <c r="B668" s="142"/>
      <c r="C668" s="198"/>
      <c r="D668" s="142"/>
      <c r="E668" s="131"/>
      <c r="F668" s="142"/>
      <c r="G668" s="142"/>
      <c r="H668" s="131"/>
      <c r="I668" s="142"/>
      <c r="J668" s="142"/>
      <c r="K668" s="132"/>
      <c r="L668" s="131"/>
      <c r="M668" s="142"/>
      <c r="N668" s="142"/>
      <c r="O668" s="142"/>
      <c r="P668" s="142"/>
      <c r="Q668" s="142"/>
      <c r="R668" s="142"/>
      <c r="S668" s="142"/>
      <c r="T668" s="142"/>
      <c r="U668" s="142"/>
      <c r="V668" s="142"/>
      <c r="W668" s="142"/>
      <c r="X668" s="142"/>
      <c r="Y668" s="142"/>
      <c r="Z668" s="142"/>
      <c r="AA668" s="142"/>
      <c r="AB668" s="142"/>
      <c r="AC668" s="142"/>
      <c r="AD668" s="142"/>
      <c r="AE668" s="142"/>
      <c r="AF668" s="142"/>
      <c r="AG668" s="142"/>
      <c r="AH668" s="142"/>
      <c r="AI668" s="142"/>
      <c r="AJ668" s="142"/>
      <c r="AK668" s="142"/>
      <c r="AL668" s="142"/>
      <c r="AM668" s="142"/>
      <c r="AN668" s="142"/>
      <c r="AO668" s="142"/>
      <c r="AP668" s="130"/>
      <c r="AQ668" s="130"/>
      <c r="AR668" s="130"/>
      <c r="AS668" s="130"/>
      <c r="AT668" s="130"/>
      <c r="AU668" s="130"/>
      <c r="AV668" s="130"/>
      <c r="AW668" s="130"/>
      <c r="AX668" s="130"/>
      <c r="AY668" s="130"/>
      <c r="AZ668" s="130"/>
      <c r="BA668" s="130"/>
      <c r="BB668" s="130"/>
      <c r="BC668" s="130"/>
      <c r="BD668" s="130"/>
    </row>
    <row r="669" ht="15.75" customHeight="1">
      <c r="A669" s="142"/>
      <c r="B669" s="142"/>
      <c r="C669" s="198"/>
      <c r="D669" s="142"/>
      <c r="E669" s="131"/>
      <c r="F669" s="142"/>
      <c r="G669" s="142"/>
      <c r="H669" s="131"/>
      <c r="I669" s="142"/>
      <c r="J669" s="142"/>
      <c r="K669" s="132"/>
      <c r="L669" s="131"/>
      <c r="M669" s="142"/>
      <c r="N669" s="142"/>
      <c r="O669" s="142"/>
      <c r="P669" s="142"/>
      <c r="Q669" s="142"/>
      <c r="R669" s="142"/>
      <c r="S669" s="142"/>
      <c r="T669" s="142"/>
      <c r="U669" s="142"/>
      <c r="V669" s="142"/>
      <c r="W669" s="142"/>
      <c r="X669" s="142"/>
      <c r="Y669" s="142"/>
      <c r="Z669" s="142"/>
      <c r="AA669" s="142"/>
      <c r="AB669" s="142"/>
      <c r="AC669" s="142"/>
      <c r="AD669" s="142"/>
      <c r="AE669" s="142"/>
      <c r="AF669" s="142"/>
      <c r="AG669" s="142"/>
      <c r="AH669" s="142"/>
      <c r="AI669" s="142"/>
      <c r="AJ669" s="142"/>
      <c r="AK669" s="142"/>
      <c r="AL669" s="142"/>
      <c r="AM669" s="142"/>
      <c r="AN669" s="142"/>
      <c r="AO669" s="142"/>
      <c r="AP669" s="130"/>
      <c r="AQ669" s="130"/>
      <c r="AR669" s="130"/>
      <c r="AS669" s="130"/>
      <c r="AT669" s="130"/>
      <c r="AU669" s="130"/>
      <c r="AV669" s="130"/>
      <c r="AW669" s="130"/>
      <c r="AX669" s="130"/>
      <c r="AY669" s="130"/>
      <c r="AZ669" s="130"/>
      <c r="BA669" s="130"/>
      <c r="BB669" s="130"/>
      <c r="BC669" s="130"/>
      <c r="BD669" s="130"/>
    </row>
    <row r="670" ht="15.75" customHeight="1">
      <c r="A670" s="142"/>
      <c r="B670" s="142"/>
      <c r="C670" s="198"/>
      <c r="D670" s="142"/>
      <c r="E670" s="131"/>
      <c r="F670" s="142"/>
      <c r="G670" s="142"/>
      <c r="H670" s="131"/>
      <c r="I670" s="142"/>
      <c r="J670" s="142"/>
      <c r="K670" s="132"/>
      <c r="L670" s="131"/>
      <c r="M670" s="142"/>
      <c r="N670" s="142"/>
      <c r="O670" s="142"/>
      <c r="P670" s="142"/>
      <c r="Q670" s="142"/>
      <c r="R670" s="142"/>
      <c r="S670" s="142"/>
      <c r="T670" s="142"/>
      <c r="U670" s="142"/>
      <c r="V670" s="142"/>
      <c r="W670" s="142"/>
      <c r="X670" s="142"/>
      <c r="Y670" s="142"/>
      <c r="Z670" s="142"/>
      <c r="AA670" s="142"/>
      <c r="AB670" s="142"/>
      <c r="AC670" s="142"/>
      <c r="AD670" s="142"/>
      <c r="AE670" s="142"/>
      <c r="AF670" s="142"/>
      <c r="AG670" s="142"/>
      <c r="AH670" s="142"/>
      <c r="AI670" s="142"/>
      <c r="AJ670" s="142"/>
      <c r="AK670" s="142"/>
      <c r="AL670" s="142"/>
      <c r="AM670" s="142"/>
      <c r="AN670" s="142"/>
      <c r="AO670" s="142"/>
      <c r="AP670" s="130"/>
      <c r="AQ670" s="130"/>
      <c r="AR670" s="130"/>
      <c r="AS670" s="130"/>
      <c r="AT670" s="130"/>
      <c r="AU670" s="130"/>
      <c r="AV670" s="130"/>
      <c r="AW670" s="130"/>
      <c r="AX670" s="130"/>
      <c r="AY670" s="130"/>
      <c r="AZ670" s="130"/>
      <c r="BA670" s="130"/>
      <c r="BB670" s="130"/>
      <c r="BC670" s="130"/>
      <c r="BD670" s="130"/>
    </row>
    <row r="671" ht="15.75" customHeight="1">
      <c r="A671" s="142"/>
      <c r="B671" s="142"/>
      <c r="C671" s="198"/>
      <c r="D671" s="142"/>
      <c r="E671" s="131"/>
      <c r="F671" s="142"/>
      <c r="G671" s="142"/>
      <c r="H671" s="131"/>
      <c r="I671" s="142"/>
      <c r="J671" s="142"/>
      <c r="K671" s="132"/>
      <c r="L671" s="131"/>
      <c r="M671" s="142"/>
      <c r="N671" s="142"/>
      <c r="O671" s="142"/>
      <c r="P671" s="142"/>
      <c r="Q671" s="142"/>
      <c r="R671" s="142"/>
      <c r="S671" s="142"/>
      <c r="T671" s="142"/>
      <c r="U671" s="142"/>
      <c r="V671" s="142"/>
      <c r="W671" s="142"/>
      <c r="X671" s="142"/>
      <c r="Y671" s="142"/>
      <c r="Z671" s="142"/>
      <c r="AA671" s="142"/>
      <c r="AB671" s="142"/>
      <c r="AC671" s="142"/>
      <c r="AD671" s="142"/>
      <c r="AE671" s="142"/>
      <c r="AF671" s="142"/>
      <c r="AG671" s="142"/>
      <c r="AH671" s="142"/>
      <c r="AI671" s="142"/>
      <c r="AJ671" s="142"/>
      <c r="AK671" s="142"/>
      <c r="AL671" s="142"/>
      <c r="AM671" s="142"/>
      <c r="AN671" s="142"/>
      <c r="AO671" s="142"/>
      <c r="AP671" s="130"/>
      <c r="AQ671" s="130"/>
      <c r="AR671" s="130"/>
      <c r="AS671" s="130"/>
      <c r="AT671" s="130"/>
      <c r="AU671" s="130"/>
      <c r="AV671" s="130"/>
      <c r="AW671" s="130"/>
      <c r="AX671" s="130"/>
      <c r="AY671" s="130"/>
      <c r="AZ671" s="130"/>
      <c r="BA671" s="130"/>
      <c r="BB671" s="130"/>
      <c r="BC671" s="130"/>
      <c r="BD671" s="130"/>
    </row>
    <row r="672" ht="15.75" customHeight="1">
      <c r="A672" s="142"/>
      <c r="B672" s="142"/>
      <c r="C672" s="198"/>
      <c r="D672" s="142"/>
      <c r="E672" s="131"/>
      <c r="F672" s="142"/>
      <c r="G672" s="142"/>
      <c r="H672" s="131"/>
      <c r="I672" s="142"/>
      <c r="J672" s="142"/>
      <c r="K672" s="132"/>
      <c r="L672" s="131"/>
      <c r="M672" s="142"/>
      <c r="N672" s="142"/>
      <c r="O672" s="142"/>
      <c r="P672" s="142"/>
      <c r="Q672" s="142"/>
      <c r="R672" s="142"/>
      <c r="S672" s="142"/>
      <c r="T672" s="142"/>
      <c r="U672" s="142"/>
      <c r="V672" s="142"/>
      <c r="W672" s="142"/>
      <c r="X672" s="142"/>
      <c r="Y672" s="142"/>
      <c r="Z672" s="142"/>
      <c r="AA672" s="142"/>
      <c r="AB672" s="142"/>
      <c r="AC672" s="142"/>
      <c r="AD672" s="142"/>
      <c r="AE672" s="142"/>
      <c r="AF672" s="142"/>
      <c r="AG672" s="142"/>
      <c r="AH672" s="142"/>
      <c r="AI672" s="142"/>
      <c r="AJ672" s="142"/>
      <c r="AK672" s="142"/>
      <c r="AL672" s="142"/>
      <c r="AM672" s="142"/>
      <c r="AN672" s="142"/>
      <c r="AO672" s="142"/>
      <c r="AP672" s="130"/>
      <c r="AQ672" s="130"/>
      <c r="AR672" s="130"/>
      <c r="AS672" s="130"/>
      <c r="AT672" s="130"/>
      <c r="AU672" s="130"/>
      <c r="AV672" s="130"/>
      <c r="AW672" s="130"/>
      <c r="AX672" s="130"/>
      <c r="AY672" s="130"/>
      <c r="AZ672" s="130"/>
      <c r="BA672" s="130"/>
      <c r="BB672" s="130"/>
      <c r="BC672" s="130"/>
      <c r="BD672" s="130"/>
    </row>
    <row r="673" ht="15.75" customHeight="1">
      <c r="A673" s="142"/>
      <c r="B673" s="142"/>
      <c r="C673" s="198"/>
      <c r="D673" s="142"/>
      <c r="E673" s="131"/>
      <c r="F673" s="142"/>
      <c r="G673" s="142"/>
      <c r="H673" s="131"/>
      <c r="I673" s="142"/>
      <c r="J673" s="142"/>
      <c r="K673" s="132"/>
      <c r="L673" s="131"/>
      <c r="M673" s="142"/>
      <c r="N673" s="142"/>
      <c r="O673" s="142"/>
      <c r="P673" s="142"/>
      <c r="Q673" s="142"/>
      <c r="R673" s="142"/>
      <c r="S673" s="142"/>
      <c r="T673" s="142"/>
      <c r="U673" s="142"/>
      <c r="V673" s="142"/>
      <c r="W673" s="142"/>
      <c r="X673" s="142"/>
      <c r="Y673" s="142"/>
      <c r="Z673" s="142"/>
      <c r="AA673" s="142"/>
      <c r="AB673" s="142"/>
      <c r="AC673" s="142"/>
      <c r="AD673" s="142"/>
      <c r="AE673" s="142"/>
      <c r="AF673" s="142"/>
      <c r="AG673" s="142"/>
      <c r="AH673" s="142"/>
      <c r="AI673" s="142"/>
      <c r="AJ673" s="142"/>
      <c r="AK673" s="142"/>
      <c r="AL673" s="142"/>
      <c r="AM673" s="142"/>
      <c r="AN673" s="142"/>
      <c r="AO673" s="142"/>
      <c r="AP673" s="130"/>
      <c r="AQ673" s="130"/>
      <c r="AR673" s="130"/>
      <c r="AS673" s="130"/>
      <c r="AT673" s="130"/>
      <c r="AU673" s="130"/>
      <c r="AV673" s="130"/>
      <c r="AW673" s="130"/>
      <c r="AX673" s="130"/>
      <c r="AY673" s="130"/>
      <c r="AZ673" s="130"/>
      <c r="BA673" s="130"/>
      <c r="BB673" s="130"/>
      <c r="BC673" s="130"/>
      <c r="BD673" s="130"/>
    </row>
    <row r="674" ht="15.75" customHeight="1">
      <c r="A674" s="142"/>
      <c r="B674" s="142"/>
      <c r="C674" s="198"/>
      <c r="D674" s="142"/>
      <c r="E674" s="131"/>
      <c r="F674" s="142"/>
      <c r="G674" s="142"/>
      <c r="H674" s="131"/>
      <c r="I674" s="142"/>
      <c r="J674" s="142"/>
      <c r="K674" s="132"/>
      <c r="L674" s="131"/>
      <c r="M674" s="142"/>
      <c r="N674" s="142"/>
      <c r="O674" s="142"/>
      <c r="P674" s="142"/>
      <c r="Q674" s="142"/>
      <c r="R674" s="142"/>
      <c r="S674" s="142"/>
      <c r="T674" s="142"/>
      <c r="U674" s="142"/>
      <c r="V674" s="142"/>
      <c r="W674" s="142"/>
      <c r="X674" s="142"/>
      <c r="Y674" s="142"/>
      <c r="Z674" s="142"/>
      <c r="AA674" s="142"/>
      <c r="AB674" s="142"/>
      <c r="AC674" s="142"/>
      <c r="AD674" s="142"/>
      <c r="AE674" s="142"/>
      <c r="AF674" s="142"/>
      <c r="AG674" s="142"/>
      <c r="AH674" s="142"/>
      <c r="AI674" s="142"/>
      <c r="AJ674" s="142"/>
      <c r="AK674" s="142"/>
      <c r="AL674" s="142"/>
      <c r="AM674" s="142"/>
      <c r="AN674" s="142"/>
      <c r="AO674" s="142"/>
      <c r="AP674" s="130"/>
      <c r="AQ674" s="130"/>
      <c r="AR674" s="130"/>
      <c r="AS674" s="130"/>
      <c r="AT674" s="130"/>
      <c r="AU674" s="130"/>
      <c r="AV674" s="130"/>
      <c r="AW674" s="130"/>
      <c r="AX674" s="130"/>
      <c r="AY674" s="130"/>
      <c r="AZ674" s="130"/>
      <c r="BA674" s="130"/>
      <c r="BB674" s="130"/>
      <c r="BC674" s="130"/>
      <c r="BD674" s="130"/>
    </row>
    <row r="675" ht="15.75" customHeight="1">
      <c r="A675" s="142"/>
      <c r="B675" s="142"/>
      <c r="C675" s="198"/>
      <c r="D675" s="142"/>
      <c r="E675" s="131"/>
      <c r="F675" s="142"/>
      <c r="G675" s="142"/>
      <c r="H675" s="131"/>
      <c r="I675" s="142"/>
      <c r="J675" s="142"/>
      <c r="K675" s="132"/>
      <c r="L675" s="131"/>
      <c r="M675" s="142"/>
      <c r="N675" s="142"/>
      <c r="O675" s="142"/>
      <c r="P675" s="142"/>
      <c r="Q675" s="142"/>
      <c r="R675" s="142"/>
      <c r="S675" s="142"/>
      <c r="T675" s="142"/>
      <c r="U675" s="142"/>
      <c r="V675" s="142"/>
      <c r="W675" s="142"/>
      <c r="X675" s="142"/>
      <c r="Y675" s="142"/>
      <c r="Z675" s="142"/>
      <c r="AA675" s="142"/>
      <c r="AB675" s="142"/>
      <c r="AC675" s="142"/>
      <c r="AD675" s="142"/>
      <c r="AE675" s="142"/>
      <c r="AF675" s="142"/>
      <c r="AG675" s="142"/>
      <c r="AH675" s="142"/>
      <c r="AI675" s="142"/>
      <c r="AJ675" s="142"/>
      <c r="AK675" s="142"/>
      <c r="AL675" s="142"/>
      <c r="AM675" s="142"/>
      <c r="AN675" s="142"/>
      <c r="AO675" s="142"/>
      <c r="AP675" s="130"/>
      <c r="AQ675" s="130"/>
      <c r="AR675" s="130"/>
      <c r="AS675" s="130"/>
      <c r="AT675" s="130"/>
      <c r="AU675" s="130"/>
      <c r="AV675" s="130"/>
      <c r="AW675" s="130"/>
      <c r="AX675" s="130"/>
      <c r="AY675" s="130"/>
      <c r="AZ675" s="130"/>
      <c r="BA675" s="130"/>
      <c r="BB675" s="130"/>
      <c r="BC675" s="130"/>
      <c r="BD675" s="130"/>
    </row>
    <row r="676" ht="15.75" customHeight="1">
      <c r="A676" s="142"/>
      <c r="B676" s="142"/>
      <c r="C676" s="198"/>
      <c r="D676" s="142"/>
      <c r="E676" s="131"/>
      <c r="F676" s="142"/>
      <c r="G676" s="142"/>
      <c r="H676" s="131"/>
      <c r="I676" s="142"/>
      <c r="J676" s="142"/>
      <c r="K676" s="132"/>
      <c r="L676" s="131"/>
      <c r="M676" s="142"/>
      <c r="N676" s="142"/>
      <c r="O676" s="142"/>
      <c r="P676" s="142"/>
      <c r="Q676" s="142"/>
      <c r="R676" s="142"/>
      <c r="S676" s="142"/>
      <c r="T676" s="142"/>
      <c r="U676" s="142"/>
      <c r="V676" s="142"/>
      <c r="W676" s="142"/>
      <c r="X676" s="142"/>
      <c r="Y676" s="142"/>
      <c r="Z676" s="142"/>
      <c r="AA676" s="142"/>
      <c r="AB676" s="142"/>
      <c r="AC676" s="142"/>
      <c r="AD676" s="142"/>
      <c r="AE676" s="142"/>
      <c r="AF676" s="142"/>
      <c r="AG676" s="142"/>
      <c r="AH676" s="142"/>
      <c r="AI676" s="142"/>
      <c r="AJ676" s="142"/>
      <c r="AK676" s="142"/>
      <c r="AL676" s="142"/>
      <c r="AM676" s="142"/>
      <c r="AN676" s="142"/>
      <c r="AO676" s="142"/>
      <c r="AP676" s="130"/>
      <c r="AQ676" s="130"/>
      <c r="AR676" s="130"/>
      <c r="AS676" s="130"/>
      <c r="AT676" s="130"/>
      <c r="AU676" s="130"/>
      <c r="AV676" s="130"/>
      <c r="AW676" s="130"/>
      <c r="AX676" s="130"/>
      <c r="AY676" s="130"/>
      <c r="AZ676" s="130"/>
      <c r="BA676" s="130"/>
      <c r="BB676" s="130"/>
      <c r="BC676" s="130"/>
      <c r="BD676" s="130"/>
    </row>
    <row r="677" ht="15.75" customHeight="1">
      <c r="A677" s="142"/>
      <c r="B677" s="142"/>
      <c r="C677" s="198"/>
      <c r="D677" s="142"/>
      <c r="E677" s="131"/>
      <c r="F677" s="142"/>
      <c r="G677" s="142"/>
      <c r="H677" s="131"/>
      <c r="I677" s="142"/>
      <c r="J677" s="142"/>
      <c r="K677" s="132"/>
      <c r="L677" s="131"/>
      <c r="M677" s="142"/>
      <c r="N677" s="142"/>
      <c r="O677" s="142"/>
      <c r="P677" s="142"/>
      <c r="Q677" s="142"/>
      <c r="R677" s="142"/>
      <c r="S677" s="142"/>
      <c r="T677" s="142"/>
      <c r="U677" s="142"/>
      <c r="V677" s="142"/>
      <c r="W677" s="142"/>
      <c r="X677" s="142"/>
      <c r="Y677" s="142"/>
      <c r="Z677" s="142"/>
      <c r="AA677" s="142"/>
      <c r="AB677" s="142"/>
      <c r="AC677" s="142"/>
      <c r="AD677" s="142"/>
      <c r="AE677" s="142"/>
      <c r="AF677" s="142"/>
      <c r="AG677" s="142"/>
      <c r="AH677" s="142"/>
      <c r="AI677" s="142"/>
      <c r="AJ677" s="142"/>
      <c r="AK677" s="142"/>
      <c r="AL677" s="142"/>
      <c r="AM677" s="142"/>
      <c r="AN677" s="142"/>
      <c r="AO677" s="142"/>
      <c r="AP677" s="130"/>
      <c r="AQ677" s="130"/>
      <c r="AR677" s="130"/>
      <c r="AS677" s="130"/>
      <c r="AT677" s="130"/>
      <c r="AU677" s="130"/>
      <c r="AV677" s="130"/>
      <c r="AW677" s="130"/>
      <c r="AX677" s="130"/>
      <c r="AY677" s="130"/>
      <c r="AZ677" s="130"/>
      <c r="BA677" s="130"/>
      <c r="BB677" s="130"/>
      <c r="BC677" s="130"/>
      <c r="BD677" s="130"/>
    </row>
    <row r="678" ht="15.75" customHeight="1">
      <c r="A678" s="142"/>
      <c r="B678" s="142"/>
      <c r="C678" s="198"/>
      <c r="D678" s="142"/>
      <c r="E678" s="131"/>
      <c r="F678" s="142"/>
      <c r="G678" s="142"/>
      <c r="H678" s="131"/>
      <c r="I678" s="142"/>
      <c r="J678" s="142"/>
      <c r="K678" s="132"/>
      <c r="L678" s="131"/>
      <c r="M678" s="142"/>
      <c r="N678" s="142"/>
      <c r="O678" s="142"/>
      <c r="P678" s="142"/>
      <c r="Q678" s="142"/>
      <c r="R678" s="142"/>
      <c r="S678" s="142"/>
      <c r="T678" s="142"/>
      <c r="U678" s="142"/>
      <c r="V678" s="142"/>
      <c r="W678" s="142"/>
      <c r="X678" s="142"/>
      <c r="Y678" s="142"/>
      <c r="Z678" s="142"/>
      <c r="AA678" s="142"/>
      <c r="AB678" s="142"/>
      <c r="AC678" s="142"/>
      <c r="AD678" s="142"/>
      <c r="AE678" s="142"/>
      <c r="AF678" s="142"/>
      <c r="AG678" s="142"/>
      <c r="AH678" s="142"/>
      <c r="AI678" s="142"/>
      <c r="AJ678" s="142"/>
      <c r="AK678" s="142"/>
      <c r="AL678" s="142"/>
      <c r="AM678" s="142"/>
      <c r="AN678" s="142"/>
      <c r="AO678" s="142"/>
      <c r="AP678" s="130"/>
      <c r="AQ678" s="130"/>
      <c r="AR678" s="130"/>
      <c r="AS678" s="130"/>
      <c r="AT678" s="130"/>
      <c r="AU678" s="130"/>
      <c r="AV678" s="130"/>
      <c r="AW678" s="130"/>
      <c r="AX678" s="130"/>
      <c r="AY678" s="130"/>
      <c r="AZ678" s="130"/>
      <c r="BA678" s="130"/>
      <c r="BB678" s="130"/>
      <c r="BC678" s="130"/>
      <c r="BD678" s="130"/>
    </row>
    <row r="679" ht="15.75" customHeight="1">
      <c r="A679" s="142"/>
      <c r="B679" s="142"/>
      <c r="C679" s="198"/>
      <c r="D679" s="142"/>
      <c r="E679" s="131"/>
      <c r="F679" s="142"/>
      <c r="G679" s="142"/>
      <c r="H679" s="131"/>
      <c r="I679" s="142"/>
      <c r="J679" s="142"/>
      <c r="K679" s="132"/>
      <c r="L679" s="131"/>
      <c r="M679" s="142"/>
      <c r="N679" s="142"/>
      <c r="O679" s="142"/>
      <c r="P679" s="142"/>
      <c r="Q679" s="142"/>
      <c r="R679" s="142"/>
      <c r="S679" s="142"/>
      <c r="T679" s="142"/>
      <c r="U679" s="142"/>
      <c r="V679" s="142"/>
      <c r="W679" s="142"/>
      <c r="X679" s="142"/>
      <c r="Y679" s="142"/>
      <c r="Z679" s="142"/>
      <c r="AA679" s="142"/>
      <c r="AB679" s="142"/>
      <c r="AC679" s="142"/>
      <c r="AD679" s="142"/>
      <c r="AE679" s="142"/>
      <c r="AF679" s="142"/>
      <c r="AG679" s="142"/>
      <c r="AH679" s="142"/>
      <c r="AI679" s="142"/>
      <c r="AJ679" s="142"/>
      <c r="AK679" s="142"/>
      <c r="AL679" s="142"/>
      <c r="AM679" s="142"/>
      <c r="AN679" s="142"/>
      <c r="AO679" s="142"/>
      <c r="AP679" s="130"/>
      <c r="AQ679" s="130"/>
      <c r="AR679" s="130"/>
      <c r="AS679" s="130"/>
      <c r="AT679" s="130"/>
      <c r="AU679" s="130"/>
      <c r="AV679" s="130"/>
      <c r="AW679" s="130"/>
      <c r="AX679" s="130"/>
      <c r="AY679" s="130"/>
      <c r="AZ679" s="130"/>
      <c r="BA679" s="130"/>
      <c r="BB679" s="130"/>
      <c r="BC679" s="130"/>
      <c r="BD679" s="130"/>
    </row>
    <row r="680" ht="15.75" customHeight="1">
      <c r="A680" s="142"/>
      <c r="B680" s="142"/>
      <c r="C680" s="198"/>
      <c r="D680" s="142"/>
      <c r="E680" s="131"/>
      <c r="F680" s="142"/>
      <c r="G680" s="142"/>
      <c r="H680" s="131"/>
      <c r="I680" s="142"/>
      <c r="J680" s="142"/>
      <c r="K680" s="132"/>
      <c r="L680" s="131"/>
      <c r="M680" s="142"/>
      <c r="N680" s="142"/>
      <c r="O680" s="142"/>
      <c r="P680" s="142"/>
      <c r="Q680" s="142"/>
      <c r="R680" s="142"/>
      <c r="S680" s="142"/>
      <c r="T680" s="142"/>
      <c r="U680" s="142"/>
      <c r="V680" s="142"/>
      <c r="W680" s="142"/>
      <c r="X680" s="142"/>
      <c r="Y680" s="142"/>
      <c r="Z680" s="142"/>
      <c r="AA680" s="142"/>
      <c r="AB680" s="142"/>
      <c r="AC680" s="142"/>
      <c r="AD680" s="142"/>
      <c r="AE680" s="142"/>
      <c r="AF680" s="142"/>
      <c r="AG680" s="142"/>
      <c r="AH680" s="142"/>
      <c r="AI680" s="142"/>
      <c r="AJ680" s="142"/>
      <c r="AK680" s="142"/>
      <c r="AL680" s="142"/>
      <c r="AM680" s="142"/>
      <c r="AN680" s="142"/>
      <c r="AO680" s="142"/>
      <c r="AP680" s="130"/>
      <c r="AQ680" s="130"/>
      <c r="AR680" s="130"/>
      <c r="AS680" s="130"/>
      <c r="AT680" s="130"/>
      <c r="AU680" s="130"/>
      <c r="AV680" s="130"/>
      <c r="AW680" s="130"/>
      <c r="AX680" s="130"/>
      <c r="AY680" s="130"/>
      <c r="AZ680" s="130"/>
      <c r="BA680" s="130"/>
      <c r="BB680" s="130"/>
      <c r="BC680" s="130"/>
      <c r="BD680" s="130"/>
    </row>
    <row r="681" ht="15.75" customHeight="1">
      <c r="A681" s="142"/>
      <c r="B681" s="142"/>
      <c r="C681" s="198"/>
      <c r="D681" s="142"/>
      <c r="E681" s="131"/>
      <c r="F681" s="142"/>
      <c r="G681" s="142"/>
      <c r="H681" s="131"/>
      <c r="I681" s="142"/>
      <c r="J681" s="142"/>
      <c r="K681" s="132"/>
      <c r="L681" s="131"/>
      <c r="M681" s="142"/>
      <c r="N681" s="142"/>
      <c r="O681" s="142"/>
      <c r="P681" s="142"/>
      <c r="Q681" s="142"/>
      <c r="R681" s="142"/>
      <c r="S681" s="142"/>
      <c r="T681" s="142"/>
      <c r="U681" s="142"/>
      <c r="V681" s="142"/>
      <c r="W681" s="142"/>
      <c r="X681" s="142"/>
      <c r="Y681" s="142"/>
      <c r="Z681" s="142"/>
      <c r="AA681" s="142"/>
      <c r="AB681" s="142"/>
      <c r="AC681" s="142"/>
      <c r="AD681" s="142"/>
      <c r="AE681" s="142"/>
      <c r="AF681" s="142"/>
      <c r="AG681" s="142"/>
      <c r="AH681" s="142"/>
      <c r="AI681" s="142"/>
      <c r="AJ681" s="142"/>
      <c r="AK681" s="142"/>
      <c r="AL681" s="142"/>
      <c r="AM681" s="142"/>
      <c r="AN681" s="142"/>
      <c r="AO681" s="142"/>
      <c r="AP681" s="130"/>
      <c r="AQ681" s="130"/>
      <c r="AR681" s="130"/>
      <c r="AS681" s="130"/>
      <c r="AT681" s="130"/>
      <c r="AU681" s="130"/>
      <c r="AV681" s="130"/>
      <c r="AW681" s="130"/>
      <c r="AX681" s="130"/>
      <c r="AY681" s="130"/>
      <c r="AZ681" s="130"/>
      <c r="BA681" s="130"/>
      <c r="BB681" s="130"/>
      <c r="BC681" s="130"/>
      <c r="BD681" s="130"/>
    </row>
    <row r="682" ht="15.75" customHeight="1">
      <c r="A682" s="142"/>
      <c r="B682" s="142"/>
      <c r="C682" s="198"/>
      <c r="D682" s="142"/>
      <c r="E682" s="131"/>
      <c r="F682" s="142"/>
      <c r="G682" s="142"/>
      <c r="H682" s="131"/>
      <c r="I682" s="142"/>
      <c r="J682" s="142"/>
      <c r="K682" s="132"/>
      <c r="L682" s="131"/>
      <c r="M682" s="142"/>
      <c r="N682" s="142"/>
      <c r="O682" s="142"/>
      <c r="P682" s="142"/>
      <c r="Q682" s="142"/>
      <c r="R682" s="142"/>
      <c r="S682" s="142"/>
      <c r="T682" s="142"/>
      <c r="U682" s="142"/>
      <c r="V682" s="142"/>
      <c r="W682" s="142"/>
      <c r="X682" s="142"/>
      <c r="Y682" s="142"/>
      <c r="Z682" s="142"/>
      <c r="AA682" s="142"/>
      <c r="AB682" s="142"/>
      <c r="AC682" s="142"/>
      <c r="AD682" s="142"/>
      <c r="AE682" s="142"/>
      <c r="AF682" s="142"/>
      <c r="AG682" s="142"/>
      <c r="AH682" s="142"/>
      <c r="AI682" s="142"/>
      <c r="AJ682" s="142"/>
      <c r="AK682" s="142"/>
      <c r="AL682" s="142"/>
      <c r="AM682" s="142"/>
      <c r="AN682" s="142"/>
      <c r="AO682" s="142"/>
      <c r="AP682" s="130"/>
      <c r="AQ682" s="130"/>
      <c r="AR682" s="130"/>
      <c r="AS682" s="130"/>
      <c r="AT682" s="130"/>
      <c r="AU682" s="130"/>
      <c r="AV682" s="130"/>
      <c r="AW682" s="130"/>
      <c r="AX682" s="130"/>
      <c r="AY682" s="130"/>
      <c r="AZ682" s="130"/>
      <c r="BA682" s="130"/>
      <c r="BB682" s="130"/>
      <c r="BC682" s="130"/>
      <c r="BD682" s="130"/>
    </row>
    <row r="683" ht="15.75" customHeight="1">
      <c r="A683" s="142"/>
      <c r="B683" s="142"/>
      <c r="C683" s="198"/>
      <c r="D683" s="142"/>
      <c r="E683" s="131"/>
      <c r="F683" s="142"/>
      <c r="G683" s="142"/>
      <c r="H683" s="131"/>
      <c r="I683" s="142"/>
      <c r="J683" s="142"/>
      <c r="K683" s="132"/>
      <c r="L683" s="131"/>
      <c r="M683" s="142"/>
      <c r="N683" s="142"/>
      <c r="O683" s="142"/>
      <c r="P683" s="142"/>
      <c r="Q683" s="142"/>
      <c r="R683" s="142"/>
      <c r="S683" s="142"/>
      <c r="T683" s="142"/>
      <c r="U683" s="142"/>
      <c r="V683" s="142"/>
      <c r="W683" s="142"/>
      <c r="X683" s="142"/>
      <c r="Y683" s="142"/>
      <c r="Z683" s="142"/>
      <c r="AA683" s="142"/>
      <c r="AB683" s="142"/>
      <c r="AC683" s="142"/>
      <c r="AD683" s="142"/>
      <c r="AE683" s="142"/>
      <c r="AF683" s="142"/>
      <c r="AG683" s="142"/>
      <c r="AH683" s="142"/>
      <c r="AI683" s="142"/>
      <c r="AJ683" s="142"/>
      <c r="AK683" s="142"/>
      <c r="AL683" s="142"/>
      <c r="AM683" s="142"/>
      <c r="AN683" s="142"/>
      <c r="AO683" s="142"/>
      <c r="AP683" s="130"/>
      <c r="AQ683" s="130"/>
      <c r="AR683" s="130"/>
      <c r="AS683" s="130"/>
      <c r="AT683" s="130"/>
      <c r="AU683" s="130"/>
      <c r="AV683" s="130"/>
      <c r="AW683" s="130"/>
      <c r="AX683" s="130"/>
      <c r="AY683" s="130"/>
      <c r="AZ683" s="130"/>
      <c r="BA683" s="130"/>
      <c r="BB683" s="130"/>
      <c r="BC683" s="130"/>
      <c r="BD683" s="130"/>
    </row>
    <row r="684" ht="15.75" customHeight="1">
      <c r="A684" s="142"/>
      <c r="B684" s="142"/>
      <c r="C684" s="198"/>
      <c r="D684" s="142"/>
      <c r="E684" s="131"/>
      <c r="F684" s="142"/>
      <c r="G684" s="142"/>
      <c r="H684" s="131"/>
      <c r="I684" s="142"/>
      <c r="J684" s="142"/>
      <c r="K684" s="132"/>
      <c r="L684" s="131"/>
      <c r="M684" s="142"/>
      <c r="N684" s="142"/>
      <c r="O684" s="142"/>
      <c r="P684" s="142"/>
      <c r="Q684" s="142"/>
      <c r="R684" s="142"/>
      <c r="S684" s="142"/>
      <c r="T684" s="142"/>
      <c r="U684" s="142"/>
      <c r="V684" s="142"/>
      <c r="W684" s="142"/>
      <c r="X684" s="142"/>
      <c r="Y684" s="142"/>
      <c r="Z684" s="142"/>
      <c r="AA684" s="142"/>
      <c r="AB684" s="142"/>
      <c r="AC684" s="142"/>
      <c r="AD684" s="142"/>
      <c r="AE684" s="142"/>
      <c r="AF684" s="142"/>
      <c r="AG684" s="142"/>
      <c r="AH684" s="142"/>
      <c r="AI684" s="142"/>
      <c r="AJ684" s="142"/>
      <c r="AK684" s="142"/>
      <c r="AL684" s="142"/>
      <c r="AM684" s="142"/>
      <c r="AN684" s="142"/>
      <c r="AO684" s="142"/>
      <c r="AP684" s="130"/>
      <c r="AQ684" s="130"/>
      <c r="AR684" s="130"/>
      <c r="AS684" s="130"/>
      <c r="AT684" s="130"/>
      <c r="AU684" s="130"/>
      <c r="AV684" s="130"/>
      <c r="AW684" s="130"/>
      <c r="AX684" s="130"/>
      <c r="AY684" s="130"/>
      <c r="AZ684" s="130"/>
      <c r="BA684" s="130"/>
      <c r="BB684" s="130"/>
      <c r="BC684" s="130"/>
      <c r="BD684" s="130"/>
    </row>
    <row r="685" ht="15.75" customHeight="1">
      <c r="A685" s="142"/>
      <c r="B685" s="142"/>
      <c r="C685" s="198"/>
      <c r="D685" s="142"/>
      <c r="E685" s="131"/>
      <c r="F685" s="142"/>
      <c r="G685" s="142"/>
      <c r="H685" s="131"/>
      <c r="I685" s="142"/>
      <c r="J685" s="142"/>
      <c r="K685" s="132"/>
      <c r="L685" s="131"/>
      <c r="M685" s="142"/>
      <c r="N685" s="142"/>
      <c r="O685" s="142"/>
      <c r="P685" s="142"/>
      <c r="Q685" s="142"/>
      <c r="R685" s="142"/>
      <c r="S685" s="142"/>
      <c r="T685" s="142"/>
      <c r="U685" s="142"/>
      <c r="V685" s="142"/>
      <c r="W685" s="142"/>
      <c r="X685" s="142"/>
      <c r="Y685" s="142"/>
      <c r="Z685" s="142"/>
      <c r="AA685" s="142"/>
      <c r="AB685" s="142"/>
      <c r="AC685" s="142"/>
      <c r="AD685" s="142"/>
      <c r="AE685" s="142"/>
      <c r="AF685" s="142"/>
      <c r="AG685" s="142"/>
      <c r="AH685" s="142"/>
      <c r="AI685" s="142"/>
      <c r="AJ685" s="142"/>
      <c r="AK685" s="142"/>
      <c r="AL685" s="142"/>
      <c r="AM685" s="142"/>
      <c r="AN685" s="142"/>
      <c r="AO685" s="142"/>
      <c r="AP685" s="130"/>
      <c r="AQ685" s="130"/>
      <c r="AR685" s="130"/>
      <c r="AS685" s="130"/>
      <c r="AT685" s="130"/>
      <c r="AU685" s="130"/>
      <c r="AV685" s="130"/>
      <c r="AW685" s="130"/>
      <c r="AX685" s="130"/>
      <c r="AY685" s="130"/>
      <c r="AZ685" s="130"/>
      <c r="BA685" s="130"/>
      <c r="BB685" s="130"/>
      <c r="BC685" s="130"/>
      <c r="BD685" s="130"/>
    </row>
    <row r="686" ht="15.75" customHeight="1">
      <c r="A686" s="142"/>
      <c r="B686" s="142"/>
      <c r="C686" s="198"/>
      <c r="D686" s="142"/>
      <c r="E686" s="131"/>
      <c r="F686" s="142"/>
      <c r="G686" s="142"/>
      <c r="H686" s="131"/>
      <c r="I686" s="142"/>
      <c r="J686" s="142"/>
      <c r="K686" s="132"/>
      <c r="L686" s="131"/>
      <c r="M686" s="142"/>
      <c r="N686" s="142"/>
      <c r="O686" s="142"/>
      <c r="P686" s="142"/>
      <c r="Q686" s="142"/>
      <c r="R686" s="142"/>
      <c r="S686" s="142"/>
      <c r="T686" s="142"/>
      <c r="U686" s="142"/>
      <c r="V686" s="142"/>
      <c r="W686" s="142"/>
      <c r="X686" s="142"/>
      <c r="Y686" s="142"/>
      <c r="Z686" s="142"/>
      <c r="AA686" s="142"/>
      <c r="AB686" s="142"/>
      <c r="AC686" s="142"/>
      <c r="AD686" s="142"/>
      <c r="AE686" s="142"/>
      <c r="AF686" s="142"/>
      <c r="AG686" s="142"/>
      <c r="AH686" s="142"/>
      <c r="AI686" s="142"/>
      <c r="AJ686" s="142"/>
      <c r="AK686" s="142"/>
      <c r="AL686" s="142"/>
      <c r="AM686" s="142"/>
      <c r="AN686" s="142"/>
      <c r="AO686" s="142"/>
      <c r="AP686" s="130"/>
      <c r="AQ686" s="130"/>
      <c r="AR686" s="130"/>
      <c r="AS686" s="130"/>
      <c r="AT686" s="130"/>
      <c r="AU686" s="130"/>
      <c r="AV686" s="130"/>
      <c r="AW686" s="130"/>
      <c r="AX686" s="130"/>
      <c r="AY686" s="130"/>
      <c r="AZ686" s="130"/>
      <c r="BA686" s="130"/>
      <c r="BB686" s="130"/>
      <c r="BC686" s="130"/>
      <c r="BD686" s="130"/>
    </row>
    <row r="687" ht="15.75" customHeight="1">
      <c r="A687" s="142"/>
      <c r="B687" s="142"/>
      <c r="C687" s="198"/>
      <c r="D687" s="142"/>
      <c r="E687" s="131"/>
      <c r="F687" s="142"/>
      <c r="G687" s="142"/>
      <c r="H687" s="131"/>
      <c r="I687" s="142"/>
      <c r="J687" s="142"/>
      <c r="K687" s="132"/>
      <c r="L687" s="131"/>
      <c r="M687" s="142"/>
      <c r="N687" s="142"/>
      <c r="O687" s="142"/>
      <c r="P687" s="142"/>
      <c r="Q687" s="142"/>
      <c r="R687" s="142"/>
      <c r="S687" s="142"/>
      <c r="T687" s="142"/>
      <c r="U687" s="142"/>
      <c r="V687" s="142"/>
      <c r="W687" s="142"/>
      <c r="X687" s="142"/>
      <c r="Y687" s="142"/>
      <c r="Z687" s="142"/>
      <c r="AA687" s="142"/>
      <c r="AB687" s="142"/>
      <c r="AC687" s="142"/>
      <c r="AD687" s="142"/>
      <c r="AE687" s="142"/>
      <c r="AF687" s="142"/>
      <c r="AG687" s="142"/>
      <c r="AH687" s="142"/>
      <c r="AI687" s="142"/>
      <c r="AJ687" s="142"/>
      <c r="AK687" s="142"/>
      <c r="AL687" s="142"/>
      <c r="AM687" s="142"/>
      <c r="AN687" s="142"/>
      <c r="AO687" s="142"/>
      <c r="AP687" s="130"/>
      <c r="AQ687" s="130"/>
      <c r="AR687" s="130"/>
      <c r="AS687" s="130"/>
      <c r="AT687" s="130"/>
      <c r="AU687" s="130"/>
      <c r="AV687" s="130"/>
      <c r="AW687" s="130"/>
      <c r="AX687" s="130"/>
      <c r="AY687" s="130"/>
      <c r="AZ687" s="130"/>
      <c r="BA687" s="130"/>
      <c r="BB687" s="130"/>
      <c r="BC687" s="130"/>
      <c r="BD687" s="130"/>
    </row>
    <row r="688" ht="15.75" customHeight="1">
      <c r="A688" s="142"/>
      <c r="B688" s="142"/>
      <c r="C688" s="198"/>
      <c r="D688" s="142"/>
      <c r="E688" s="131"/>
      <c r="F688" s="142"/>
      <c r="G688" s="142"/>
      <c r="H688" s="131"/>
      <c r="I688" s="142"/>
      <c r="J688" s="142"/>
      <c r="K688" s="132"/>
      <c r="L688" s="131"/>
      <c r="M688" s="142"/>
      <c r="N688" s="142"/>
      <c r="O688" s="142"/>
      <c r="P688" s="142"/>
      <c r="Q688" s="142"/>
      <c r="R688" s="142"/>
      <c r="S688" s="142"/>
      <c r="T688" s="142"/>
      <c r="U688" s="142"/>
      <c r="V688" s="142"/>
      <c r="W688" s="142"/>
      <c r="X688" s="142"/>
      <c r="Y688" s="142"/>
      <c r="Z688" s="142"/>
      <c r="AA688" s="142"/>
      <c r="AB688" s="142"/>
      <c r="AC688" s="142"/>
      <c r="AD688" s="142"/>
      <c r="AE688" s="142"/>
      <c r="AF688" s="142"/>
      <c r="AG688" s="142"/>
      <c r="AH688" s="142"/>
      <c r="AI688" s="142"/>
      <c r="AJ688" s="142"/>
      <c r="AK688" s="142"/>
      <c r="AL688" s="142"/>
      <c r="AM688" s="142"/>
      <c r="AN688" s="142"/>
      <c r="AO688" s="142"/>
      <c r="AP688" s="130"/>
      <c r="AQ688" s="130"/>
      <c r="AR688" s="130"/>
      <c r="AS688" s="130"/>
      <c r="AT688" s="130"/>
      <c r="AU688" s="130"/>
      <c r="AV688" s="130"/>
      <c r="AW688" s="130"/>
      <c r="AX688" s="130"/>
      <c r="AY688" s="130"/>
      <c r="AZ688" s="130"/>
      <c r="BA688" s="130"/>
      <c r="BB688" s="130"/>
      <c r="BC688" s="130"/>
      <c r="BD688" s="130"/>
    </row>
    <row r="689" ht="15.75" customHeight="1">
      <c r="A689" s="142"/>
      <c r="B689" s="142"/>
      <c r="C689" s="198"/>
      <c r="D689" s="142"/>
      <c r="E689" s="131"/>
      <c r="F689" s="142"/>
      <c r="G689" s="142"/>
      <c r="H689" s="131"/>
      <c r="I689" s="142"/>
      <c r="J689" s="142"/>
      <c r="K689" s="132"/>
      <c r="L689" s="131"/>
      <c r="M689" s="142"/>
      <c r="N689" s="142"/>
      <c r="O689" s="142"/>
      <c r="P689" s="142"/>
      <c r="Q689" s="142"/>
      <c r="R689" s="142"/>
      <c r="S689" s="142"/>
      <c r="T689" s="142"/>
      <c r="U689" s="142"/>
      <c r="V689" s="142"/>
      <c r="W689" s="142"/>
      <c r="X689" s="142"/>
      <c r="Y689" s="142"/>
      <c r="Z689" s="142"/>
      <c r="AA689" s="142"/>
      <c r="AB689" s="142"/>
      <c r="AC689" s="142"/>
      <c r="AD689" s="142"/>
      <c r="AE689" s="142"/>
      <c r="AF689" s="142"/>
      <c r="AG689" s="142"/>
      <c r="AH689" s="142"/>
      <c r="AI689" s="142"/>
      <c r="AJ689" s="142"/>
      <c r="AK689" s="142"/>
      <c r="AL689" s="142"/>
      <c r="AM689" s="142"/>
      <c r="AN689" s="142"/>
      <c r="AO689" s="142"/>
      <c r="AP689" s="130"/>
      <c r="AQ689" s="130"/>
      <c r="AR689" s="130"/>
      <c r="AS689" s="130"/>
      <c r="AT689" s="130"/>
      <c r="AU689" s="130"/>
      <c r="AV689" s="130"/>
      <c r="AW689" s="130"/>
      <c r="AX689" s="130"/>
      <c r="AY689" s="130"/>
      <c r="AZ689" s="130"/>
      <c r="BA689" s="130"/>
      <c r="BB689" s="130"/>
      <c r="BC689" s="130"/>
      <c r="BD689" s="130"/>
    </row>
    <row r="690" ht="15.75" customHeight="1">
      <c r="A690" s="142"/>
      <c r="B690" s="142"/>
      <c r="C690" s="198"/>
      <c r="D690" s="142"/>
      <c r="E690" s="131"/>
      <c r="F690" s="142"/>
      <c r="G690" s="142"/>
      <c r="H690" s="131"/>
      <c r="I690" s="142"/>
      <c r="J690" s="142"/>
      <c r="K690" s="132"/>
      <c r="L690" s="131"/>
      <c r="M690" s="142"/>
      <c r="N690" s="142"/>
      <c r="O690" s="142"/>
      <c r="P690" s="142"/>
      <c r="Q690" s="142"/>
      <c r="R690" s="142"/>
      <c r="S690" s="142"/>
      <c r="T690" s="142"/>
      <c r="U690" s="142"/>
      <c r="V690" s="142"/>
      <c r="W690" s="142"/>
      <c r="X690" s="142"/>
      <c r="Y690" s="142"/>
      <c r="Z690" s="142"/>
      <c r="AA690" s="142"/>
      <c r="AB690" s="142"/>
      <c r="AC690" s="142"/>
      <c r="AD690" s="142"/>
      <c r="AE690" s="142"/>
      <c r="AF690" s="142"/>
      <c r="AG690" s="142"/>
      <c r="AH690" s="142"/>
      <c r="AI690" s="142"/>
      <c r="AJ690" s="142"/>
      <c r="AK690" s="142"/>
      <c r="AL690" s="142"/>
      <c r="AM690" s="142"/>
      <c r="AN690" s="142"/>
      <c r="AO690" s="142"/>
      <c r="AP690" s="130"/>
      <c r="AQ690" s="130"/>
      <c r="AR690" s="130"/>
      <c r="AS690" s="130"/>
      <c r="AT690" s="130"/>
      <c r="AU690" s="130"/>
      <c r="AV690" s="130"/>
      <c r="AW690" s="130"/>
      <c r="AX690" s="130"/>
      <c r="AY690" s="130"/>
      <c r="AZ690" s="130"/>
      <c r="BA690" s="130"/>
      <c r="BB690" s="130"/>
      <c r="BC690" s="130"/>
      <c r="BD690" s="130"/>
    </row>
    <row r="691" ht="15.75" customHeight="1">
      <c r="A691" s="142"/>
      <c r="B691" s="142"/>
      <c r="C691" s="198"/>
      <c r="D691" s="142"/>
      <c r="E691" s="131"/>
      <c r="F691" s="142"/>
      <c r="G691" s="142"/>
      <c r="H691" s="131"/>
      <c r="I691" s="142"/>
      <c r="J691" s="142"/>
      <c r="K691" s="132"/>
      <c r="L691" s="131"/>
      <c r="M691" s="142"/>
      <c r="N691" s="142"/>
      <c r="O691" s="142"/>
      <c r="P691" s="142"/>
      <c r="Q691" s="142"/>
      <c r="R691" s="142"/>
      <c r="S691" s="142"/>
      <c r="T691" s="142"/>
      <c r="U691" s="142"/>
      <c r="V691" s="142"/>
      <c r="W691" s="142"/>
      <c r="X691" s="142"/>
      <c r="Y691" s="142"/>
      <c r="Z691" s="142"/>
      <c r="AA691" s="142"/>
      <c r="AB691" s="142"/>
      <c r="AC691" s="142"/>
      <c r="AD691" s="142"/>
      <c r="AE691" s="142"/>
      <c r="AF691" s="142"/>
      <c r="AG691" s="142"/>
      <c r="AH691" s="142"/>
      <c r="AI691" s="142"/>
      <c r="AJ691" s="142"/>
      <c r="AK691" s="142"/>
      <c r="AL691" s="142"/>
      <c r="AM691" s="142"/>
      <c r="AN691" s="142"/>
      <c r="AO691" s="142"/>
      <c r="AP691" s="130"/>
      <c r="AQ691" s="130"/>
      <c r="AR691" s="130"/>
      <c r="AS691" s="130"/>
      <c r="AT691" s="130"/>
      <c r="AU691" s="130"/>
      <c r="AV691" s="130"/>
      <c r="AW691" s="130"/>
      <c r="AX691" s="130"/>
      <c r="AY691" s="130"/>
      <c r="AZ691" s="130"/>
      <c r="BA691" s="130"/>
      <c r="BB691" s="130"/>
      <c r="BC691" s="130"/>
      <c r="BD691" s="130"/>
    </row>
    <row r="692" ht="15.75" customHeight="1">
      <c r="A692" s="142"/>
      <c r="B692" s="142"/>
      <c r="C692" s="198"/>
      <c r="D692" s="142"/>
      <c r="E692" s="131"/>
      <c r="F692" s="142"/>
      <c r="G692" s="142"/>
      <c r="H692" s="131"/>
      <c r="I692" s="142"/>
      <c r="J692" s="142"/>
      <c r="K692" s="132"/>
      <c r="L692" s="131"/>
      <c r="M692" s="142"/>
      <c r="N692" s="142"/>
      <c r="O692" s="142"/>
      <c r="P692" s="142"/>
      <c r="Q692" s="142"/>
      <c r="R692" s="142"/>
      <c r="S692" s="142"/>
      <c r="T692" s="142"/>
      <c r="U692" s="142"/>
      <c r="V692" s="142"/>
      <c r="W692" s="142"/>
      <c r="X692" s="142"/>
      <c r="Y692" s="142"/>
      <c r="Z692" s="142"/>
      <c r="AA692" s="142"/>
      <c r="AB692" s="142"/>
      <c r="AC692" s="142"/>
      <c r="AD692" s="142"/>
      <c r="AE692" s="142"/>
      <c r="AF692" s="142"/>
      <c r="AG692" s="142"/>
      <c r="AH692" s="142"/>
      <c r="AI692" s="142"/>
      <c r="AJ692" s="142"/>
      <c r="AK692" s="142"/>
      <c r="AL692" s="142"/>
      <c r="AM692" s="142"/>
      <c r="AN692" s="142"/>
      <c r="AO692" s="142"/>
      <c r="AP692" s="130"/>
      <c r="AQ692" s="130"/>
      <c r="AR692" s="130"/>
      <c r="AS692" s="130"/>
      <c r="AT692" s="130"/>
      <c r="AU692" s="130"/>
      <c r="AV692" s="130"/>
      <c r="AW692" s="130"/>
      <c r="AX692" s="130"/>
      <c r="AY692" s="130"/>
      <c r="AZ692" s="130"/>
      <c r="BA692" s="130"/>
      <c r="BB692" s="130"/>
      <c r="BC692" s="130"/>
      <c r="BD692" s="130"/>
    </row>
    <row r="693" ht="15.75" customHeight="1">
      <c r="A693" s="142"/>
      <c r="B693" s="142"/>
      <c r="C693" s="198"/>
      <c r="D693" s="142"/>
      <c r="E693" s="131"/>
      <c r="F693" s="142"/>
      <c r="G693" s="142"/>
      <c r="H693" s="131"/>
      <c r="I693" s="142"/>
      <c r="J693" s="142"/>
      <c r="K693" s="132"/>
      <c r="L693" s="131"/>
      <c r="M693" s="142"/>
      <c r="N693" s="142"/>
      <c r="O693" s="142"/>
      <c r="P693" s="142"/>
      <c r="Q693" s="142"/>
      <c r="R693" s="142"/>
      <c r="S693" s="142"/>
      <c r="T693" s="142"/>
      <c r="U693" s="142"/>
      <c r="V693" s="142"/>
      <c r="W693" s="142"/>
      <c r="X693" s="142"/>
      <c r="Y693" s="142"/>
      <c r="Z693" s="142"/>
      <c r="AA693" s="142"/>
      <c r="AB693" s="142"/>
      <c r="AC693" s="142"/>
      <c r="AD693" s="142"/>
      <c r="AE693" s="142"/>
      <c r="AF693" s="142"/>
      <c r="AG693" s="142"/>
      <c r="AH693" s="142"/>
      <c r="AI693" s="142"/>
      <c r="AJ693" s="142"/>
      <c r="AK693" s="142"/>
      <c r="AL693" s="142"/>
      <c r="AM693" s="142"/>
      <c r="AN693" s="142"/>
      <c r="AO693" s="142"/>
      <c r="AP693" s="130"/>
      <c r="AQ693" s="130"/>
      <c r="AR693" s="130"/>
      <c r="AS693" s="130"/>
      <c r="AT693" s="130"/>
      <c r="AU693" s="130"/>
      <c r="AV693" s="130"/>
      <c r="AW693" s="130"/>
      <c r="AX693" s="130"/>
      <c r="AY693" s="130"/>
      <c r="AZ693" s="130"/>
      <c r="BA693" s="130"/>
      <c r="BB693" s="130"/>
      <c r="BC693" s="130"/>
      <c r="BD693" s="130"/>
    </row>
    <row r="694" ht="15.75" customHeight="1">
      <c r="A694" s="142"/>
      <c r="B694" s="142"/>
      <c r="C694" s="198"/>
      <c r="D694" s="142"/>
      <c r="E694" s="131"/>
      <c r="F694" s="142"/>
      <c r="G694" s="142"/>
      <c r="H694" s="131"/>
      <c r="I694" s="142"/>
      <c r="J694" s="142"/>
      <c r="K694" s="132"/>
      <c r="L694" s="131"/>
      <c r="M694" s="142"/>
      <c r="N694" s="142"/>
      <c r="O694" s="142"/>
      <c r="P694" s="142"/>
      <c r="Q694" s="142"/>
      <c r="R694" s="142"/>
      <c r="S694" s="142"/>
      <c r="T694" s="142"/>
      <c r="U694" s="142"/>
      <c r="V694" s="142"/>
      <c r="W694" s="142"/>
      <c r="X694" s="142"/>
      <c r="Y694" s="142"/>
      <c r="Z694" s="142"/>
      <c r="AA694" s="142"/>
      <c r="AB694" s="142"/>
      <c r="AC694" s="142"/>
      <c r="AD694" s="142"/>
      <c r="AE694" s="142"/>
      <c r="AF694" s="142"/>
      <c r="AG694" s="142"/>
      <c r="AH694" s="142"/>
      <c r="AI694" s="142"/>
      <c r="AJ694" s="142"/>
      <c r="AK694" s="142"/>
      <c r="AL694" s="142"/>
      <c r="AM694" s="142"/>
      <c r="AN694" s="142"/>
      <c r="AO694" s="142"/>
      <c r="AP694" s="130"/>
      <c r="AQ694" s="130"/>
      <c r="AR694" s="130"/>
      <c r="AS694" s="130"/>
      <c r="AT694" s="130"/>
      <c r="AU694" s="130"/>
      <c r="AV694" s="130"/>
      <c r="AW694" s="130"/>
      <c r="AX694" s="130"/>
      <c r="AY694" s="130"/>
      <c r="AZ694" s="130"/>
      <c r="BA694" s="130"/>
      <c r="BB694" s="130"/>
      <c r="BC694" s="130"/>
      <c r="BD694" s="130"/>
    </row>
    <row r="695" ht="15.75" customHeight="1">
      <c r="A695" s="142"/>
      <c r="B695" s="142"/>
      <c r="C695" s="198"/>
      <c r="D695" s="142"/>
      <c r="E695" s="131"/>
      <c r="F695" s="142"/>
      <c r="G695" s="142"/>
      <c r="H695" s="131"/>
      <c r="I695" s="142"/>
      <c r="J695" s="142"/>
      <c r="K695" s="132"/>
      <c r="L695" s="131"/>
      <c r="M695" s="142"/>
      <c r="N695" s="142"/>
      <c r="O695" s="142"/>
      <c r="P695" s="142"/>
      <c r="Q695" s="142"/>
      <c r="R695" s="142"/>
      <c r="S695" s="142"/>
      <c r="T695" s="142"/>
      <c r="U695" s="142"/>
      <c r="V695" s="142"/>
      <c r="W695" s="142"/>
      <c r="X695" s="142"/>
      <c r="Y695" s="142"/>
      <c r="Z695" s="142"/>
      <c r="AA695" s="142"/>
      <c r="AB695" s="142"/>
      <c r="AC695" s="142"/>
      <c r="AD695" s="142"/>
      <c r="AE695" s="142"/>
      <c r="AF695" s="142"/>
      <c r="AG695" s="142"/>
      <c r="AH695" s="142"/>
      <c r="AI695" s="142"/>
      <c r="AJ695" s="142"/>
      <c r="AK695" s="142"/>
      <c r="AL695" s="142"/>
      <c r="AM695" s="142"/>
      <c r="AN695" s="142"/>
      <c r="AO695" s="142"/>
      <c r="AP695" s="130"/>
      <c r="AQ695" s="130"/>
      <c r="AR695" s="130"/>
      <c r="AS695" s="130"/>
      <c r="AT695" s="130"/>
      <c r="AU695" s="130"/>
      <c r="AV695" s="130"/>
      <c r="AW695" s="130"/>
      <c r="AX695" s="130"/>
      <c r="AY695" s="130"/>
      <c r="AZ695" s="130"/>
      <c r="BA695" s="130"/>
      <c r="BB695" s="130"/>
      <c r="BC695" s="130"/>
      <c r="BD695" s="130"/>
    </row>
    <row r="696" ht="15.75" customHeight="1">
      <c r="A696" s="142"/>
      <c r="B696" s="142"/>
      <c r="C696" s="198"/>
      <c r="D696" s="142"/>
      <c r="E696" s="131"/>
      <c r="F696" s="142"/>
      <c r="G696" s="142"/>
      <c r="H696" s="131"/>
      <c r="I696" s="142"/>
      <c r="J696" s="142"/>
      <c r="K696" s="132"/>
      <c r="L696" s="131"/>
      <c r="M696" s="142"/>
      <c r="N696" s="142"/>
      <c r="O696" s="142"/>
      <c r="P696" s="142"/>
      <c r="Q696" s="142"/>
      <c r="R696" s="142"/>
      <c r="S696" s="142"/>
      <c r="T696" s="142"/>
      <c r="U696" s="142"/>
      <c r="V696" s="142"/>
      <c r="W696" s="142"/>
      <c r="X696" s="142"/>
      <c r="Y696" s="142"/>
      <c r="Z696" s="142"/>
      <c r="AA696" s="142"/>
      <c r="AB696" s="142"/>
      <c r="AC696" s="142"/>
      <c r="AD696" s="142"/>
      <c r="AE696" s="142"/>
      <c r="AF696" s="142"/>
      <c r="AG696" s="142"/>
      <c r="AH696" s="142"/>
      <c r="AI696" s="142"/>
      <c r="AJ696" s="142"/>
      <c r="AK696" s="142"/>
      <c r="AL696" s="142"/>
      <c r="AM696" s="142"/>
      <c r="AN696" s="142"/>
      <c r="AO696" s="142"/>
      <c r="AP696" s="130"/>
      <c r="AQ696" s="130"/>
      <c r="AR696" s="130"/>
      <c r="AS696" s="130"/>
      <c r="AT696" s="130"/>
      <c r="AU696" s="130"/>
      <c r="AV696" s="130"/>
      <c r="AW696" s="130"/>
      <c r="AX696" s="130"/>
      <c r="AY696" s="130"/>
      <c r="AZ696" s="130"/>
      <c r="BA696" s="130"/>
      <c r="BB696" s="130"/>
      <c r="BC696" s="130"/>
      <c r="BD696" s="130"/>
    </row>
    <row r="697" ht="15.75" customHeight="1">
      <c r="A697" s="142"/>
      <c r="B697" s="142"/>
      <c r="C697" s="198"/>
      <c r="D697" s="142"/>
      <c r="E697" s="131"/>
      <c r="F697" s="142"/>
      <c r="G697" s="142"/>
      <c r="H697" s="131"/>
      <c r="I697" s="142"/>
      <c r="J697" s="142"/>
      <c r="K697" s="132"/>
      <c r="L697" s="131"/>
      <c r="M697" s="142"/>
      <c r="N697" s="142"/>
      <c r="O697" s="142"/>
      <c r="P697" s="142"/>
      <c r="Q697" s="142"/>
      <c r="R697" s="142"/>
      <c r="S697" s="142"/>
      <c r="T697" s="142"/>
      <c r="U697" s="142"/>
      <c r="V697" s="142"/>
      <c r="W697" s="142"/>
      <c r="X697" s="142"/>
      <c r="Y697" s="142"/>
      <c r="Z697" s="142"/>
      <c r="AA697" s="142"/>
      <c r="AB697" s="142"/>
      <c r="AC697" s="142"/>
      <c r="AD697" s="142"/>
      <c r="AE697" s="142"/>
      <c r="AF697" s="142"/>
      <c r="AG697" s="142"/>
      <c r="AH697" s="142"/>
      <c r="AI697" s="142"/>
      <c r="AJ697" s="142"/>
      <c r="AK697" s="142"/>
      <c r="AL697" s="142"/>
      <c r="AM697" s="142"/>
      <c r="AN697" s="142"/>
      <c r="AO697" s="142"/>
      <c r="AP697" s="130"/>
      <c r="AQ697" s="130"/>
      <c r="AR697" s="130"/>
      <c r="AS697" s="130"/>
      <c r="AT697" s="130"/>
      <c r="AU697" s="130"/>
      <c r="AV697" s="130"/>
      <c r="AW697" s="130"/>
      <c r="AX697" s="130"/>
      <c r="AY697" s="130"/>
      <c r="AZ697" s="130"/>
      <c r="BA697" s="130"/>
      <c r="BB697" s="130"/>
      <c r="BC697" s="130"/>
      <c r="BD697" s="130"/>
    </row>
    <row r="698" ht="15.75" customHeight="1">
      <c r="A698" s="142"/>
      <c r="B698" s="142"/>
      <c r="C698" s="198"/>
      <c r="D698" s="142"/>
      <c r="E698" s="131"/>
      <c r="F698" s="142"/>
      <c r="G698" s="142"/>
      <c r="H698" s="131"/>
      <c r="I698" s="142"/>
      <c r="J698" s="142"/>
      <c r="K698" s="132"/>
      <c r="L698" s="131"/>
      <c r="M698" s="142"/>
      <c r="N698" s="142"/>
      <c r="O698" s="142"/>
      <c r="P698" s="142"/>
      <c r="Q698" s="142"/>
      <c r="R698" s="142"/>
      <c r="S698" s="142"/>
      <c r="T698" s="142"/>
      <c r="U698" s="142"/>
      <c r="V698" s="142"/>
      <c r="W698" s="142"/>
      <c r="X698" s="142"/>
      <c r="Y698" s="142"/>
      <c r="Z698" s="142"/>
      <c r="AA698" s="142"/>
      <c r="AB698" s="142"/>
      <c r="AC698" s="142"/>
      <c r="AD698" s="142"/>
      <c r="AE698" s="142"/>
      <c r="AF698" s="142"/>
      <c r="AG698" s="142"/>
      <c r="AH698" s="142"/>
      <c r="AI698" s="142"/>
      <c r="AJ698" s="142"/>
      <c r="AK698" s="142"/>
      <c r="AL698" s="142"/>
      <c r="AM698" s="142"/>
      <c r="AN698" s="142"/>
      <c r="AO698" s="142"/>
      <c r="AP698" s="130"/>
      <c r="AQ698" s="130"/>
      <c r="AR698" s="130"/>
      <c r="AS698" s="130"/>
      <c r="AT698" s="130"/>
      <c r="AU698" s="130"/>
      <c r="AV698" s="130"/>
      <c r="AW698" s="130"/>
      <c r="AX698" s="130"/>
      <c r="AY698" s="130"/>
      <c r="AZ698" s="130"/>
      <c r="BA698" s="130"/>
      <c r="BB698" s="130"/>
      <c r="BC698" s="130"/>
      <c r="BD698" s="130"/>
    </row>
    <row r="699" ht="15.75" customHeight="1">
      <c r="A699" s="142"/>
      <c r="B699" s="142"/>
      <c r="C699" s="198"/>
      <c r="D699" s="142"/>
      <c r="E699" s="131"/>
      <c r="F699" s="142"/>
      <c r="G699" s="142"/>
      <c r="H699" s="131"/>
      <c r="I699" s="142"/>
      <c r="J699" s="142"/>
      <c r="K699" s="132"/>
      <c r="L699" s="131"/>
      <c r="M699" s="142"/>
      <c r="N699" s="142"/>
      <c r="O699" s="142"/>
      <c r="P699" s="142"/>
      <c r="Q699" s="142"/>
      <c r="R699" s="142"/>
      <c r="S699" s="142"/>
      <c r="T699" s="142"/>
      <c r="U699" s="142"/>
      <c r="V699" s="142"/>
      <c r="W699" s="142"/>
      <c r="X699" s="142"/>
      <c r="Y699" s="142"/>
      <c r="Z699" s="142"/>
      <c r="AA699" s="142"/>
      <c r="AB699" s="142"/>
      <c r="AC699" s="142"/>
      <c r="AD699" s="142"/>
      <c r="AE699" s="142"/>
      <c r="AF699" s="142"/>
      <c r="AG699" s="142"/>
      <c r="AH699" s="142"/>
      <c r="AI699" s="142"/>
      <c r="AJ699" s="142"/>
      <c r="AK699" s="142"/>
      <c r="AL699" s="142"/>
      <c r="AM699" s="142"/>
      <c r="AN699" s="142"/>
      <c r="AO699" s="142"/>
      <c r="AP699" s="130"/>
      <c r="AQ699" s="130"/>
      <c r="AR699" s="130"/>
      <c r="AS699" s="130"/>
      <c r="AT699" s="130"/>
      <c r="AU699" s="130"/>
      <c r="AV699" s="130"/>
      <c r="AW699" s="130"/>
      <c r="AX699" s="130"/>
      <c r="AY699" s="130"/>
      <c r="AZ699" s="130"/>
      <c r="BA699" s="130"/>
      <c r="BB699" s="130"/>
      <c r="BC699" s="130"/>
      <c r="BD699" s="130"/>
    </row>
    <row r="700" ht="15.75" customHeight="1">
      <c r="A700" s="142"/>
      <c r="B700" s="142"/>
      <c r="C700" s="198"/>
      <c r="D700" s="142"/>
      <c r="E700" s="131"/>
      <c r="F700" s="142"/>
      <c r="G700" s="142"/>
      <c r="H700" s="131"/>
      <c r="I700" s="142"/>
      <c r="J700" s="142"/>
      <c r="K700" s="132"/>
      <c r="L700" s="131"/>
      <c r="M700" s="142"/>
      <c r="N700" s="142"/>
      <c r="O700" s="142"/>
      <c r="P700" s="142"/>
      <c r="Q700" s="142"/>
      <c r="R700" s="142"/>
      <c r="S700" s="142"/>
      <c r="T700" s="142"/>
      <c r="U700" s="142"/>
      <c r="V700" s="142"/>
      <c r="W700" s="142"/>
      <c r="X700" s="142"/>
      <c r="Y700" s="142"/>
      <c r="Z700" s="142"/>
      <c r="AA700" s="142"/>
      <c r="AB700" s="142"/>
      <c r="AC700" s="142"/>
      <c r="AD700" s="142"/>
      <c r="AE700" s="142"/>
      <c r="AF700" s="142"/>
      <c r="AG700" s="142"/>
      <c r="AH700" s="142"/>
      <c r="AI700" s="142"/>
      <c r="AJ700" s="142"/>
      <c r="AK700" s="142"/>
      <c r="AL700" s="142"/>
      <c r="AM700" s="142"/>
      <c r="AN700" s="142"/>
      <c r="AO700" s="142"/>
      <c r="AP700" s="130"/>
      <c r="AQ700" s="130"/>
      <c r="AR700" s="130"/>
      <c r="AS700" s="130"/>
      <c r="AT700" s="130"/>
      <c r="AU700" s="130"/>
      <c r="AV700" s="130"/>
      <c r="AW700" s="130"/>
      <c r="AX700" s="130"/>
      <c r="AY700" s="130"/>
      <c r="AZ700" s="130"/>
      <c r="BA700" s="130"/>
      <c r="BB700" s="130"/>
      <c r="BC700" s="130"/>
      <c r="BD700" s="130"/>
    </row>
    <row r="701" ht="15.75" customHeight="1">
      <c r="A701" s="142"/>
      <c r="B701" s="142"/>
      <c r="C701" s="198"/>
      <c r="D701" s="142"/>
      <c r="E701" s="131"/>
      <c r="F701" s="142"/>
      <c r="G701" s="142"/>
      <c r="H701" s="131"/>
      <c r="I701" s="142"/>
      <c r="J701" s="142"/>
      <c r="K701" s="132"/>
      <c r="L701" s="131"/>
      <c r="M701" s="142"/>
      <c r="N701" s="142"/>
      <c r="O701" s="142"/>
      <c r="P701" s="142"/>
      <c r="Q701" s="142"/>
      <c r="R701" s="142"/>
      <c r="S701" s="142"/>
      <c r="T701" s="142"/>
      <c r="U701" s="142"/>
      <c r="V701" s="142"/>
      <c r="W701" s="142"/>
      <c r="X701" s="142"/>
      <c r="Y701" s="142"/>
      <c r="Z701" s="142"/>
      <c r="AA701" s="142"/>
      <c r="AB701" s="142"/>
      <c r="AC701" s="142"/>
      <c r="AD701" s="142"/>
      <c r="AE701" s="142"/>
      <c r="AF701" s="142"/>
      <c r="AG701" s="142"/>
      <c r="AH701" s="142"/>
      <c r="AI701" s="142"/>
      <c r="AJ701" s="142"/>
      <c r="AK701" s="142"/>
      <c r="AL701" s="142"/>
      <c r="AM701" s="142"/>
      <c r="AN701" s="142"/>
      <c r="AO701" s="142"/>
      <c r="AP701" s="130"/>
      <c r="AQ701" s="130"/>
      <c r="AR701" s="130"/>
      <c r="AS701" s="130"/>
      <c r="AT701" s="130"/>
      <c r="AU701" s="130"/>
      <c r="AV701" s="130"/>
      <c r="AW701" s="130"/>
      <c r="AX701" s="130"/>
      <c r="AY701" s="130"/>
      <c r="AZ701" s="130"/>
      <c r="BA701" s="130"/>
      <c r="BB701" s="130"/>
      <c r="BC701" s="130"/>
      <c r="BD701" s="130"/>
    </row>
    <row r="702" ht="15.75" customHeight="1">
      <c r="A702" s="142"/>
      <c r="B702" s="142"/>
      <c r="C702" s="198"/>
      <c r="D702" s="142"/>
      <c r="E702" s="131"/>
      <c r="F702" s="142"/>
      <c r="G702" s="142"/>
      <c r="H702" s="131"/>
      <c r="I702" s="142"/>
      <c r="J702" s="142"/>
      <c r="K702" s="132"/>
      <c r="L702" s="131"/>
      <c r="M702" s="142"/>
      <c r="N702" s="142"/>
      <c r="O702" s="142"/>
      <c r="P702" s="142"/>
      <c r="Q702" s="142"/>
      <c r="R702" s="142"/>
      <c r="S702" s="142"/>
      <c r="T702" s="142"/>
      <c r="U702" s="142"/>
      <c r="V702" s="142"/>
      <c r="W702" s="142"/>
      <c r="X702" s="142"/>
      <c r="Y702" s="142"/>
      <c r="Z702" s="142"/>
      <c r="AA702" s="142"/>
      <c r="AB702" s="142"/>
      <c r="AC702" s="142"/>
      <c r="AD702" s="142"/>
      <c r="AE702" s="142"/>
      <c r="AF702" s="142"/>
      <c r="AG702" s="142"/>
      <c r="AH702" s="142"/>
      <c r="AI702" s="142"/>
      <c r="AJ702" s="142"/>
      <c r="AK702" s="142"/>
      <c r="AL702" s="142"/>
      <c r="AM702" s="142"/>
      <c r="AN702" s="142"/>
      <c r="AO702" s="142"/>
      <c r="AP702" s="130"/>
      <c r="AQ702" s="130"/>
      <c r="AR702" s="130"/>
      <c r="AS702" s="130"/>
      <c r="AT702" s="130"/>
      <c r="AU702" s="130"/>
      <c r="AV702" s="130"/>
      <c r="AW702" s="130"/>
      <c r="AX702" s="130"/>
      <c r="AY702" s="130"/>
      <c r="AZ702" s="130"/>
      <c r="BA702" s="130"/>
      <c r="BB702" s="130"/>
      <c r="BC702" s="130"/>
      <c r="BD702" s="130"/>
    </row>
    <row r="703" ht="15.75" customHeight="1">
      <c r="A703" s="142"/>
      <c r="B703" s="142"/>
      <c r="C703" s="198"/>
      <c r="D703" s="142"/>
      <c r="E703" s="131"/>
      <c r="F703" s="142"/>
      <c r="G703" s="142"/>
      <c r="H703" s="131"/>
      <c r="I703" s="142"/>
      <c r="J703" s="142"/>
      <c r="K703" s="132"/>
      <c r="L703" s="131"/>
      <c r="M703" s="142"/>
      <c r="N703" s="142"/>
      <c r="O703" s="142"/>
      <c r="P703" s="142"/>
      <c r="Q703" s="142"/>
      <c r="R703" s="142"/>
      <c r="S703" s="142"/>
      <c r="T703" s="142"/>
      <c r="U703" s="142"/>
      <c r="V703" s="142"/>
      <c r="W703" s="142"/>
      <c r="X703" s="142"/>
      <c r="Y703" s="142"/>
      <c r="Z703" s="142"/>
      <c r="AA703" s="142"/>
      <c r="AB703" s="142"/>
      <c r="AC703" s="142"/>
      <c r="AD703" s="142"/>
      <c r="AE703" s="142"/>
      <c r="AF703" s="142"/>
      <c r="AG703" s="142"/>
      <c r="AH703" s="142"/>
      <c r="AI703" s="142"/>
      <c r="AJ703" s="142"/>
      <c r="AK703" s="142"/>
      <c r="AL703" s="142"/>
      <c r="AM703" s="142"/>
      <c r="AN703" s="142"/>
      <c r="AO703" s="142"/>
      <c r="AP703" s="130"/>
      <c r="AQ703" s="130"/>
      <c r="AR703" s="130"/>
      <c r="AS703" s="130"/>
      <c r="AT703" s="130"/>
      <c r="AU703" s="130"/>
      <c r="AV703" s="130"/>
      <c r="AW703" s="130"/>
      <c r="AX703" s="130"/>
      <c r="AY703" s="130"/>
      <c r="AZ703" s="130"/>
      <c r="BA703" s="130"/>
      <c r="BB703" s="130"/>
      <c r="BC703" s="130"/>
      <c r="BD703" s="130"/>
    </row>
    <row r="704" ht="15.75" customHeight="1">
      <c r="A704" s="142"/>
      <c r="B704" s="142"/>
      <c r="C704" s="198"/>
      <c r="D704" s="142"/>
      <c r="E704" s="131"/>
      <c r="F704" s="142"/>
      <c r="G704" s="142"/>
      <c r="H704" s="131"/>
      <c r="I704" s="142"/>
      <c r="J704" s="142"/>
      <c r="K704" s="132"/>
      <c r="L704" s="131"/>
      <c r="M704" s="142"/>
      <c r="N704" s="142"/>
      <c r="O704" s="142"/>
      <c r="P704" s="142"/>
      <c r="Q704" s="142"/>
      <c r="R704" s="142"/>
      <c r="S704" s="142"/>
      <c r="T704" s="142"/>
      <c r="U704" s="142"/>
      <c r="V704" s="142"/>
      <c r="W704" s="142"/>
      <c r="X704" s="142"/>
      <c r="Y704" s="142"/>
      <c r="Z704" s="142"/>
      <c r="AA704" s="142"/>
      <c r="AB704" s="142"/>
      <c r="AC704" s="142"/>
      <c r="AD704" s="142"/>
      <c r="AE704" s="142"/>
      <c r="AF704" s="142"/>
      <c r="AG704" s="142"/>
      <c r="AH704" s="142"/>
      <c r="AI704" s="142"/>
      <c r="AJ704" s="142"/>
      <c r="AK704" s="142"/>
      <c r="AL704" s="142"/>
      <c r="AM704" s="142"/>
      <c r="AN704" s="142"/>
      <c r="AO704" s="142"/>
      <c r="AP704" s="130"/>
      <c r="AQ704" s="130"/>
      <c r="AR704" s="130"/>
      <c r="AS704" s="130"/>
      <c r="AT704" s="130"/>
      <c r="AU704" s="130"/>
      <c r="AV704" s="130"/>
      <c r="AW704" s="130"/>
      <c r="AX704" s="130"/>
      <c r="AY704" s="130"/>
      <c r="AZ704" s="130"/>
      <c r="BA704" s="130"/>
      <c r="BB704" s="130"/>
      <c r="BC704" s="130"/>
      <c r="BD704" s="130"/>
    </row>
    <row r="705" ht="15.75" customHeight="1">
      <c r="A705" s="142"/>
      <c r="B705" s="142"/>
      <c r="C705" s="198"/>
      <c r="D705" s="142"/>
      <c r="E705" s="131"/>
      <c r="F705" s="142"/>
      <c r="G705" s="142"/>
      <c r="H705" s="131"/>
      <c r="I705" s="142"/>
      <c r="J705" s="142"/>
      <c r="K705" s="132"/>
      <c r="L705" s="131"/>
      <c r="M705" s="142"/>
      <c r="N705" s="142"/>
      <c r="O705" s="142"/>
      <c r="P705" s="142"/>
      <c r="Q705" s="142"/>
      <c r="R705" s="142"/>
      <c r="S705" s="142"/>
      <c r="T705" s="142"/>
      <c r="U705" s="142"/>
      <c r="V705" s="142"/>
      <c r="W705" s="142"/>
      <c r="X705" s="142"/>
      <c r="Y705" s="142"/>
      <c r="Z705" s="142"/>
      <c r="AA705" s="142"/>
      <c r="AB705" s="142"/>
      <c r="AC705" s="142"/>
      <c r="AD705" s="142"/>
      <c r="AE705" s="142"/>
      <c r="AF705" s="142"/>
      <c r="AG705" s="142"/>
      <c r="AH705" s="142"/>
      <c r="AI705" s="142"/>
      <c r="AJ705" s="142"/>
      <c r="AK705" s="142"/>
      <c r="AL705" s="142"/>
      <c r="AM705" s="142"/>
      <c r="AN705" s="142"/>
      <c r="AO705" s="142"/>
      <c r="AP705" s="130"/>
      <c r="AQ705" s="130"/>
      <c r="AR705" s="130"/>
      <c r="AS705" s="130"/>
      <c r="AT705" s="130"/>
      <c r="AU705" s="130"/>
      <c r="AV705" s="130"/>
      <c r="AW705" s="130"/>
      <c r="AX705" s="130"/>
      <c r="AY705" s="130"/>
      <c r="AZ705" s="130"/>
      <c r="BA705" s="130"/>
      <c r="BB705" s="130"/>
      <c r="BC705" s="130"/>
      <c r="BD705" s="130"/>
    </row>
    <row r="706" ht="15.75" customHeight="1">
      <c r="A706" s="142"/>
      <c r="B706" s="142"/>
      <c r="C706" s="198"/>
      <c r="D706" s="142"/>
      <c r="E706" s="131"/>
      <c r="F706" s="142"/>
      <c r="G706" s="142"/>
      <c r="H706" s="131"/>
      <c r="I706" s="142"/>
      <c r="J706" s="142"/>
      <c r="K706" s="132"/>
      <c r="L706" s="131"/>
      <c r="M706" s="142"/>
      <c r="N706" s="142"/>
      <c r="O706" s="142"/>
      <c r="P706" s="142"/>
      <c r="Q706" s="142"/>
      <c r="R706" s="142"/>
      <c r="S706" s="142"/>
      <c r="T706" s="142"/>
      <c r="U706" s="142"/>
      <c r="V706" s="142"/>
      <c r="W706" s="142"/>
      <c r="X706" s="142"/>
      <c r="Y706" s="142"/>
      <c r="Z706" s="142"/>
      <c r="AA706" s="142"/>
      <c r="AB706" s="142"/>
      <c r="AC706" s="142"/>
      <c r="AD706" s="142"/>
      <c r="AE706" s="142"/>
      <c r="AF706" s="142"/>
      <c r="AG706" s="142"/>
      <c r="AH706" s="142"/>
      <c r="AI706" s="142"/>
      <c r="AJ706" s="142"/>
      <c r="AK706" s="142"/>
      <c r="AL706" s="142"/>
      <c r="AM706" s="142"/>
      <c r="AN706" s="142"/>
      <c r="AO706" s="142"/>
      <c r="AP706" s="130"/>
      <c r="AQ706" s="130"/>
      <c r="AR706" s="130"/>
      <c r="AS706" s="130"/>
      <c r="AT706" s="130"/>
      <c r="AU706" s="130"/>
      <c r="AV706" s="130"/>
      <c r="AW706" s="130"/>
      <c r="AX706" s="130"/>
      <c r="AY706" s="130"/>
      <c r="AZ706" s="130"/>
      <c r="BA706" s="130"/>
      <c r="BB706" s="130"/>
      <c r="BC706" s="130"/>
      <c r="BD706" s="130"/>
    </row>
    <row r="707" ht="15.75" customHeight="1">
      <c r="A707" s="142"/>
      <c r="B707" s="142"/>
      <c r="C707" s="198"/>
      <c r="D707" s="142"/>
      <c r="E707" s="131"/>
      <c r="F707" s="142"/>
      <c r="G707" s="142"/>
      <c r="H707" s="131"/>
      <c r="I707" s="142"/>
      <c r="J707" s="142"/>
      <c r="K707" s="132"/>
      <c r="L707" s="131"/>
      <c r="M707" s="142"/>
      <c r="N707" s="142"/>
      <c r="O707" s="142"/>
      <c r="P707" s="142"/>
      <c r="Q707" s="142"/>
      <c r="R707" s="142"/>
      <c r="S707" s="142"/>
      <c r="T707" s="142"/>
      <c r="U707" s="142"/>
      <c r="V707" s="142"/>
      <c r="W707" s="142"/>
      <c r="X707" s="142"/>
      <c r="Y707" s="142"/>
      <c r="Z707" s="142"/>
      <c r="AA707" s="142"/>
      <c r="AB707" s="142"/>
      <c r="AC707" s="142"/>
      <c r="AD707" s="142"/>
      <c r="AE707" s="142"/>
      <c r="AF707" s="142"/>
      <c r="AG707" s="142"/>
      <c r="AH707" s="142"/>
      <c r="AI707" s="142"/>
      <c r="AJ707" s="142"/>
      <c r="AK707" s="142"/>
      <c r="AL707" s="142"/>
      <c r="AM707" s="142"/>
      <c r="AN707" s="142"/>
      <c r="AO707" s="142"/>
      <c r="AP707" s="130"/>
      <c r="AQ707" s="130"/>
      <c r="AR707" s="130"/>
      <c r="AS707" s="130"/>
      <c r="AT707" s="130"/>
      <c r="AU707" s="130"/>
      <c r="AV707" s="130"/>
      <c r="AW707" s="130"/>
      <c r="AX707" s="130"/>
      <c r="AY707" s="130"/>
      <c r="AZ707" s="130"/>
      <c r="BA707" s="130"/>
      <c r="BB707" s="130"/>
      <c r="BC707" s="130"/>
      <c r="BD707" s="130"/>
    </row>
    <row r="708" ht="15.75" customHeight="1">
      <c r="A708" s="142"/>
      <c r="B708" s="142"/>
      <c r="C708" s="198"/>
      <c r="D708" s="142"/>
      <c r="E708" s="131"/>
      <c r="F708" s="142"/>
      <c r="G708" s="142"/>
      <c r="H708" s="131"/>
      <c r="I708" s="142"/>
      <c r="J708" s="142"/>
      <c r="K708" s="132"/>
      <c r="L708" s="131"/>
      <c r="M708" s="142"/>
      <c r="N708" s="142"/>
      <c r="O708" s="142"/>
      <c r="P708" s="142"/>
      <c r="Q708" s="142"/>
      <c r="R708" s="142"/>
      <c r="S708" s="142"/>
      <c r="T708" s="142"/>
      <c r="U708" s="142"/>
      <c r="V708" s="142"/>
      <c r="W708" s="142"/>
      <c r="X708" s="142"/>
      <c r="Y708" s="142"/>
      <c r="Z708" s="142"/>
      <c r="AA708" s="142"/>
      <c r="AB708" s="142"/>
      <c r="AC708" s="142"/>
      <c r="AD708" s="142"/>
      <c r="AE708" s="142"/>
      <c r="AF708" s="142"/>
      <c r="AG708" s="142"/>
      <c r="AH708" s="142"/>
      <c r="AI708" s="142"/>
      <c r="AJ708" s="142"/>
      <c r="AK708" s="142"/>
      <c r="AL708" s="142"/>
      <c r="AM708" s="142"/>
      <c r="AN708" s="142"/>
      <c r="AO708" s="142"/>
      <c r="AP708" s="130"/>
      <c r="AQ708" s="130"/>
      <c r="AR708" s="130"/>
      <c r="AS708" s="130"/>
      <c r="AT708" s="130"/>
      <c r="AU708" s="130"/>
      <c r="AV708" s="130"/>
      <c r="AW708" s="130"/>
      <c r="AX708" s="130"/>
      <c r="AY708" s="130"/>
      <c r="AZ708" s="130"/>
      <c r="BA708" s="130"/>
      <c r="BB708" s="130"/>
      <c r="BC708" s="130"/>
      <c r="BD708" s="130"/>
    </row>
    <row r="709" ht="15.75" customHeight="1">
      <c r="A709" s="142"/>
      <c r="B709" s="142"/>
      <c r="C709" s="198"/>
      <c r="D709" s="142"/>
      <c r="E709" s="131"/>
      <c r="F709" s="142"/>
      <c r="G709" s="142"/>
      <c r="H709" s="131"/>
      <c r="I709" s="142"/>
      <c r="J709" s="142"/>
      <c r="K709" s="132"/>
      <c r="L709" s="131"/>
      <c r="M709" s="142"/>
      <c r="N709" s="142"/>
      <c r="O709" s="142"/>
      <c r="P709" s="142"/>
      <c r="Q709" s="142"/>
      <c r="R709" s="142"/>
      <c r="S709" s="142"/>
      <c r="T709" s="142"/>
      <c r="U709" s="142"/>
      <c r="V709" s="142"/>
      <c r="W709" s="142"/>
      <c r="X709" s="142"/>
      <c r="Y709" s="142"/>
      <c r="Z709" s="142"/>
      <c r="AA709" s="142"/>
      <c r="AB709" s="142"/>
      <c r="AC709" s="142"/>
      <c r="AD709" s="142"/>
      <c r="AE709" s="142"/>
      <c r="AF709" s="142"/>
      <c r="AG709" s="142"/>
      <c r="AH709" s="142"/>
      <c r="AI709" s="142"/>
      <c r="AJ709" s="142"/>
      <c r="AK709" s="142"/>
      <c r="AL709" s="142"/>
      <c r="AM709" s="142"/>
      <c r="AN709" s="142"/>
      <c r="AO709" s="142"/>
      <c r="AP709" s="130"/>
      <c r="AQ709" s="130"/>
      <c r="AR709" s="130"/>
      <c r="AS709" s="130"/>
      <c r="AT709" s="130"/>
      <c r="AU709" s="130"/>
      <c r="AV709" s="130"/>
      <c r="AW709" s="130"/>
      <c r="AX709" s="130"/>
      <c r="AY709" s="130"/>
      <c r="AZ709" s="130"/>
      <c r="BA709" s="130"/>
      <c r="BB709" s="130"/>
      <c r="BC709" s="130"/>
      <c r="BD709" s="130"/>
    </row>
    <row r="710" ht="15.75" customHeight="1">
      <c r="A710" s="142"/>
      <c r="B710" s="142"/>
      <c r="C710" s="198"/>
      <c r="D710" s="142"/>
      <c r="E710" s="131"/>
      <c r="F710" s="142"/>
      <c r="G710" s="142"/>
      <c r="H710" s="131"/>
      <c r="I710" s="142"/>
      <c r="J710" s="142"/>
      <c r="K710" s="132"/>
      <c r="L710" s="131"/>
      <c r="M710" s="142"/>
      <c r="N710" s="142"/>
      <c r="O710" s="142"/>
      <c r="P710" s="142"/>
      <c r="Q710" s="142"/>
      <c r="R710" s="142"/>
      <c r="S710" s="142"/>
      <c r="T710" s="142"/>
      <c r="U710" s="142"/>
      <c r="V710" s="142"/>
      <c r="W710" s="142"/>
      <c r="X710" s="142"/>
      <c r="Y710" s="142"/>
      <c r="Z710" s="142"/>
      <c r="AA710" s="142"/>
      <c r="AB710" s="142"/>
      <c r="AC710" s="142"/>
      <c r="AD710" s="142"/>
      <c r="AE710" s="142"/>
      <c r="AF710" s="142"/>
      <c r="AG710" s="142"/>
      <c r="AH710" s="142"/>
      <c r="AI710" s="142"/>
      <c r="AJ710" s="142"/>
      <c r="AK710" s="142"/>
      <c r="AL710" s="142"/>
      <c r="AM710" s="142"/>
      <c r="AN710" s="142"/>
      <c r="AO710" s="142"/>
      <c r="AP710" s="130"/>
      <c r="AQ710" s="130"/>
      <c r="AR710" s="130"/>
      <c r="AS710" s="130"/>
      <c r="AT710" s="130"/>
      <c r="AU710" s="130"/>
      <c r="AV710" s="130"/>
      <c r="AW710" s="130"/>
      <c r="AX710" s="130"/>
      <c r="AY710" s="130"/>
      <c r="AZ710" s="130"/>
      <c r="BA710" s="130"/>
      <c r="BB710" s="130"/>
      <c r="BC710" s="130"/>
      <c r="BD710" s="130"/>
    </row>
    <row r="711" ht="15.75" customHeight="1">
      <c r="A711" s="142"/>
      <c r="B711" s="142"/>
      <c r="C711" s="198"/>
      <c r="D711" s="142"/>
      <c r="E711" s="131"/>
      <c r="F711" s="142"/>
      <c r="G711" s="142"/>
      <c r="H711" s="131"/>
      <c r="I711" s="142"/>
      <c r="J711" s="142"/>
      <c r="K711" s="132"/>
      <c r="L711" s="131"/>
      <c r="M711" s="142"/>
      <c r="N711" s="142"/>
      <c r="O711" s="142"/>
      <c r="P711" s="142"/>
      <c r="Q711" s="142"/>
      <c r="R711" s="142"/>
      <c r="S711" s="142"/>
      <c r="T711" s="142"/>
      <c r="U711" s="142"/>
      <c r="V711" s="142"/>
      <c r="W711" s="142"/>
      <c r="X711" s="142"/>
      <c r="Y711" s="142"/>
      <c r="Z711" s="142"/>
      <c r="AA711" s="142"/>
      <c r="AB711" s="142"/>
      <c r="AC711" s="142"/>
      <c r="AD711" s="142"/>
      <c r="AE711" s="142"/>
      <c r="AF711" s="142"/>
      <c r="AG711" s="142"/>
      <c r="AH711" s="142"/>
      <c r="AI711" s="142"/>
      <c r="AJ711" s="142"/>
      <c r="AK711" s="142"/>
      <c r="AL711" s="142"/>
      <c r="AM711" s="142"/>
      <c r="AN711" s="142"/>
      <c r="AO711" s="142"/>
      <c r="AP711" s="130"/>
      <c r="AQ711" s="130"/>
      <c r="AR711" s="130"/>
      <c r="AS711" s="130"/>
      <c r="AT711" s="130"/>
      <c r="AU711" s="130"/>
      <c r="AV711" s="130"/>
      <c r="AW711" s="130"/>
      <c r="AX711" s="130"/>
      <c r="AY711" s="130"/>
      <c r="AZ711" s="130"/>
      <c r="BA711" s="130"/>
      <c r="BB711" s="130"/>
      <c r="BC711" s="130"/>
      <c r="BD711" s="130"/>
    </row>
    <row r="712" ht="15.75" customHeight="1">
      <c r="A712" s="142"/>
      <c r="B712" s="142"/>
      <c r="C712" s="198"/>
      <c r="D712" s="142"/>
      <c r="E712" s="131"/>
      <c r="F712" s="142"/>
      <c r="G712" s="142"/>
      <c r="H712" s="131"/>
      <c r="I712" s="142"/>
      <c r="J712" s="142"/>
      <c r="K712" s="132"/>
      <c r="L712" s="131"/>
      <c r="M712" s="142"/>
      <c r="N712" s="142"/>
      <c r="O712" s="142"/>
      <c r="P712" s="142"/>
      <c r="Q712" s="142"/>
      <c r="R712" s="142"/>
      <c r="S712" s="142"/>
      <c r="T712" s="142"/>
      <c r="U712" s="142"/>
      <c r="V712" s="142"/>
      <c r="W712" s="142"/>
      <c r="X712" s="142"/>
      <c r="Y712" s="142"/>
      <c r="Z712" s="142"/>
      <c r="AA712" s="142"/>
      <c r="AB712" s="142"/>
      <c r="AC712" s="142"/>
      <c r="AD712" s="142"/>
      <c r="AE712" s="142"/>
      <c r="AF712" s="142"/>
      <c r="AG712" s="142"/>
      <c r="AH712" s="142"/>
      <c r="AI712" s="142"/>
      <c r="AJ712" s="142"/>
      <c r="AK712" s="142"/>
      <c r="AL712" s="142"/>
      <c r="AM712" s="142"/>
      <c r="AN712" s="142"/>
      <c r="AO712" s="142"/>
      <c r="AP712" s="130"/>
      <c r="AQ712" s="130"/>
      <c r="AR712" s="130"/>
      <c r="AS712" s="130"/>
      <c r="AT712" s="130"/>
      <c r="AU712" s="130"/>
      <c r="AV712" s="130"/>
      <c r="AW712" s="130"/>
      <c r="AX712" s="130"/>
      <c r="AY712" s="130"/>
      <c r="AZ712" s="130"/>
      <c r="BA712" s="130"/>
      <c r="BB712" s="130"/>
      <c r="BC712" s="130"/>
      <c r="BD712" s="130"/>
    </row>
    <row r="713" ht="15.75" customHeight="1">
      <c r="A713" s="142"/>
      <c r="B713" s="142"/>
      <c r="C713" s="198"/>
      <c r="D713" s="142"/>
      <c r="E713" s="131"/>
      <c r="F713" s="142"/>
      <c r="G713" s="142"/>
      <c r="H713" s="131"/>
      <c r="I713" s="142"/>
      <c r="J713" s="142"/>
      <c r="K713" s="132"/>
      <c r="L713" s="131"/>
      <c r="M713" s="142"/>
      <c r="N713" s="142"/>
      <c r="O713" s="142"/>
      <c r="P713" s="142"/>
      <c r="Q713" s="142"/>
      <c r="R713" s="142"/>
      <c r="S713" s="142"/>
      <c r="T713" s="142"/>
      <c r="U713" s="142"/>
      <c r="V713" s="142"/>
      <c r="W713" s="142"/>
      <c r="X713" s="142"/>
      <c r="Y713" s="142"/>
      <c r="Z713" s="142"/>
      <c r="AA713" s="142"/>
      <c r="AB713" s="142"/>
      <c r="AC713" s="142"/>
      <c r="AD713" s="142"/>
      <c r="AE713" s="142"/>
      <c r="AF713" s="142"/>
      <c r="AG713" s="142"/>
      <c r="AH713" s="142"/>
      <c r="AI713" s="142"/>
      <c r="AJ713" s="142"/>
      <c r="AK713" s="142"/>
      <c r="AL713" s="142"/>
      <c r="AM713" s="142"/>
      <c r="AN713" s="142"/>
      <c r="AO713" s="142"/>
      <c r="AP713" s="130"/>
      <c r="AQ713" s="130"/>
      <c r="AR713" s="130"/>
      <c r="AS713" s="130"/>
      <c r="AT713" s="130"/>
      <c r="AU713" s="130"/>
      <c r="AV713" s="130"/>
      <c r="AW713" s="130"/>
      <c r="AX713" s="130"/>
      <c r="AY713" s="130"/>
      <c r="AZ713" s="130"/>
      <c r="BA713" s="130"/>
      <c r="BB713" s="130"/>
      <c r="BC713" s="130"/>
      <c r="BD713" s="130"/>
    </row>
    <row r="714" ht="15.75" customHeight="1">
      <c r="A714" s="142"/>
      <c r="B714" s="142"/>
      <c r="C714" s="198"/>
      <c r="D714" s="142"/>
      <c r="E714" s="131"/>
      <c r="F714" s="142"/>
      <c r="G714" s="142"/>
      <c r="H714" s="131"/>
      <c r="I714" s="142"/>
      <c r="J714" s="142"/>
      <c r="K714" s="132"/>
      <c r="L714" s="131"/>
      <c r="M714" s="142"/>
      <c r="N714" s="142"/>
      <c r="O714" s="142"/>
      <c r="P714" s="142"/>
      <c r="Q714" s="142"/>
      <c r="R714" s="142"/>
      <c r="S714" s="142"/>
      <c r="T714" s="142"/>
      <c r="U714" s="142"/>
      <c r="V714" s="142"/>
      <c r="W714" s="142"/>
      <c r="X714" s="142"/>
      <c r="Y714" s="142"/>
      <c r="Z714" s="142"/>
      <c r="AA714" s="142"/>
      <c r="AB714" s="142"/>
      <c r="AC714" s="142"/>
      <c r="AD714" s="142"/>
      <c r="AE714" s="142"/>
      <c r="AF714" s="142"/>
      <c r="AG714" s="142"/>
      <c r="AH714" s="142"/>
      <c r="AI714" s="142"/>
      <c r="AJ714" s="142"/>
      <c r="AK714" s="142"/>
      <c r="AL714" s="142"/>
      <c r="AM714" s="142"/>
      <c r="AN714" s="142"/>
      <c r="AO714" s="142"/>
      <c r="AP714" s="130"/>
      <c r="AQ714" s="130"/>
      <c r="AR714" s="130"/>
      <c r="AS714" s="130"/>
      <c r="AT714" s="130"/>
      <c r="AU714" s="130"/>
      <c r="AV714" s="130"/>
      <c r="AW714" s="130"/>
      <c r="AX714" s="130"/>
      <c r="AY714" s="130"/>
      <c r="AZ714" s="130"/>
      <c r="BA714" s="130"/>
      <c r="BB714" s="130"/>
      <c r="BC714" s="130"/>
      <c r="BD714" s="130"/>
    </row>
    <row r="715" ht="15.75" customHeight="1">
      <c r="A715" s="142"/>
      <c r="B715" s="142"/>
      <c r="C715" s="198"/>
      <c r="D715" s="142"/>
      <c r="E715" s="131"/>
      <c r="F715" s="142"/>
      <c r="G715" s="142"/>
      <c r="H715" s="131"/>
      <c r="I715" s="142"/>
      <c r="J715" s="142"/>
      <c r="K715" s="132"/>
      <c r="L715" s="131"/>
      <c r="M715" s="142"/>
      <c r="N715" s="142"/>
      <c r="O715" s="142"/>
      <c r="P715" s="142"/>
      <c r="Q715" s="142"/>
      <c r="R715" s="142"/>
      <c r="S715" s="142"/>
      <c r="T715" s="142"/>
      <c r="U715" s="142"/>
      <c r="V715" s="142"/>
      <c r="W715" s="142"/>
      <c r="X715" s="142"/>
      <c r="Y715" s="142"/>
      <c r="Z715" s="142"/>
      <c r="AA715" s="142"/>
      <c r="AB715" s="142"/>
      <c r="AC715" s="142"/>
      <c r="AD715" s="142"/>
      <c r="AE715" s="142"/>
      <c r="AF715" s="142"/>
      <c r="AG715" s="142"/>
      <c r="AH715" s="142"/>
      <c r="AI715" s="142"/>
      <c r="AJ715" s="142"/>
      <c r="AK715" s="142"/>
      <c r="AL715" s="142"/>
      <c r="AM715" s="142"/>
      <c r="AN715" s="142"/>
      <c r="AO715" s="142"/>
      <c r="AP715" s="130"/>
      <c r="AQ715" s="130"/>
      <c r="AR715" s="130"/>
      <c r="AS715" s="130"/>
      <c r="AT715" s="130"/>
      <c r="AU715" s="130"/>
      <c r="AV715" s="130"/>
      <c r="AW715" s="130"/>
      <c r="AX715" s="130"/>
      <c r="AY715" s="130"/>
      <c r="AZ715" s="130"/>
      <c r="BA715" s="130"/>
      <c r="BB715" s="130"/>
      <c r="BC715" s="130"/>
      <c r="BD715" s="130"/>
    </row>
    <row r="716" ht="15.75" customHeight="1">
      <c r="A716" s="142"/>
      <c r="B716" s="142"/>
      <c r="C716" s="198"/>
      <c r="D716" s="142"/>
      <c r="E716" s="131"/>
      <c r="F716" s="142"/>
      <c r="G716" s="142"/>
      <c r="H716" s="131"/>
      <c r="I716" s="142"/>
      <c r="J716" s="142"/>
      <c r="K716" s="132"/>
      <c r="L716" s="131"/>
      <c r="M716" s="142"/>
      <c r="N716" s="142"/>
      <c r="O716" s="142"/>
      <c r="P716" s="142"/>
      <c r="Q716" s="142"/>
      <c r="R716" s="142"/>
      <c r="S716" s="142"/>
      <c r="T716" s="142"/>
      <c r="U716" s="142"/>
      <c r="V716" s="142"/>
      <c r="W716" s="142"/>
      <c r="X716" s="142"/>
      <c r="Y716" s="142"/>
      <c r="Z716" s="142"/>
      <c r="AA716" s="142"/>
      <c r="AB716" s="142"/>
      <c r="AC716" s="142"/>
      <c r="AD716" s="142"/>
      <c r="AE716" s="142"/>
      <c r="AF716" s="142"/>
      <c r="AG716" s="142"/>
      <c r="AH716" s="142"/>
      <c r="AI716" s="142"/>
      <c r="AJ716" s="142"/>
      <c r="AK716" s="142"/>
      <c r="AL716" s="142"/>
      <c r="AM716" s="142"/>
      <c r="AN716" s="142"/>
      <c r="AO716" s="142"/>
      <c r="AP716" s="130"/>
      <c r="AQ716" s="130"/>
      <c r="AR716" s="130"/>
      <c r="AS716" s="130"/>
      <c r="AT716" s="130"/>
      <c r="AU716" s="130"/>
      <c r="AV716" s="130"/>
      <c r="AW716" s="130"/>
      <c r="AX716" s="130"/>
      <c r="AY716" s="130"/>
      <c r="AZ716" s="130"/>
      <c r="BA716" s="130"/>
      <c r="BB716" s="130"/>
      <c r="BC716" s="130"/>
      <c r="BD716" s="130"/>
    </row>
    <row r="717" ht="15.75" customHeight="1">
      <c r="A717" s="142"/>
      <c r="B717" s="142"/>
      <c r="C717" s="198"/>
      <c r="D717" s="142"/>
      <c r="E717" s="131"/>
      <c r="F717" s="142"/>
      <c r="G717" s="142"/>
      <c r="H717" s="131"/>
      <c r="I717" s="142"/>
      <c r="J717" s="142"/>
      <c r="K717" s="132"/>
      <c r="L717" s="131"/>
      <c r="M717" s="142"/>
      <c r="N717" s="142"/>
      <c r="O717" s="142"/>
      <c r="P717" s="142"/>
      <c r="Q717" s="142"/>
      <c r="R717" s="142"/>
      <c r="S717" s="142"/>
      <c r="T717" s="142"/>
      <c r="U717" s="142"/>
      <c r="V717" s="142"/>
      <c r="W717" s="142"/>
      <c r="X717" s="142"/>
      <c r="Y717" s="142"/>
      <c r="Z717" s="142"/>
      <c r="AA717" s="142"/>
      <c r="AB717" s="142"/>
      <c r="AC717" s="142"/>
      <c r="AD717" s="142"/>
      <c r="AE717" s="142"/>
      <c r="AF717" s="142"/>
      <c r="AG717" s="142"/>
      <c r="AH717" s="142"/>
      <c r="AI717" s="142"/>
      <c r="AJ717" s="142"/>
      <c r="AK717" s="142"/>
      <c r="AL717" s="142"/>
      <c r="AM717" s="142"/>
      <c r="AN717" s="142"/>
      <c r="AO717" s="142"/>
      <c r="AP717" s="130"/>
      <c r="AQ717" s="130"/>
      <c r="AR717" s="130"/>
      <c r="AS717" s="130"/>
      <c r="AT717" s="130"/>
      <c r="AU717" s="130"/>
      <c r="AV717" s="130"/>
      <c r="AW717" s="130"/>
      <c r="AX717" s="130"/>
      <c r="AY717" s="130"/>
      <c r="AZ717" s="130"/>
      <c r="BA717" s="130"/>
      <c r="BB717" s="130"/>
      <c r="BC717" s="130"/>
      <c r="BD717" s="130"/>
    </row>
    <row r="718" ht="15.75" customHeight="1">
      <c r="A718" s="142"/>
      <c r="B718" s="142"/>
      <c r="C718" s="198"/>
      <c r="D718" s="142"/>
      <c r="E718" s="131"/>
      <c r="F718" s="142"/>
      <c r="G718" s="142"/>
      <c r="H718" s="131"/>
      <c r="I718" s="142"/>
      <c r="J718" s="142"/>
      <c r="K718" s="132"/>
      <c r="L718" s="131"/>
      <c r="M718" s="142"/>
      <c r="N718" s="142"/>
      <c r="O718" s="142"/>
      <c r="P718" s="142"/>
      <c r="Q718" s="142"/>
      <c r="R718" s="142"/>
      <c r="S718" s="142"/>
      <c r="T718" s="142"/>
      <c r="U718" s="142"/>
      <c r="V718" s="142"/>
      <c r="W718" s="142"/>
      <c r="X718" s="142"/>
      <c r="Y718" s="142"/>
      <c r="Z718" s="142"/>
      <c r="AA718" s="142"/>
      <c r="AB718" s="142"/>
      <c r="AC718" s="142"/>
      <c r="AD718" s="142"/>
      <c r="AE718" s="142"/>
      <c r="AF718" s="142"/>
      <c r="AG718" s="142"/>
      <c r="AH718" s="142"/>
      <c r="AI718" s="142"/>
      <c r="AJ718" s="142"/>
      <c r="AK718" s="142"/>
      <c r="AL718" s="142"/>
      <c r="AM718" s="142"/>
      <c r="AN718" s="142"/>
      <c r="AO718" s="142"/>
      <c r="AP718" s="130"/>
      <c r="AQ718" s="130"/>
      <c r="AR718" s="130"/>
      <c r="AS718" s="130"/>
      <c r="AT718" s="130"/>
      <c r="AU718" s="130"/>
      <c r="AV718" s="130"/>
      <c r="AW718" s="130"/>
      <c r="AX718" s="130"/>
      <c r="AY718" s="130"/>
      <c r="AZ718" s="130"/>
      <c r="BA718" s="130"/>
      <c r="BB718" s="130"/>
      <c r="BC718" s="130"/>
      <c r="BD718" s="130"/>
    </row>
    <row r="719" ht="15.75" customHeight="1">
      <c r="A719" s="142"/>
      <c r="B719" s="142"/>
      <c r="C719" s="198"/>
      <c r="D719" s="142"/>
      <c r="E719" s="131"/>
      <c r="F719" s="142"/>
      <c r="G719" s="142"/>
      <c r="H719" s="131"/>
      <c r="I719" s="142"/>
      <c r="J719" s="142"/>
      <c r="K719" s="132"/>
      <c r="L719" s="131"/>
      <c r="M719" s="142"/>
      <c r="N719" s="142"/>
      <c r="O719" s="142"/>
      <c r="P719" s="142"/>
      <c r="Q719" s="142"/>
      <c r="R719" s="142"/>
      <c r="S719" s="142"/>
      <c r="T719" s="142"/>
      <c r="U719" s="142"/>
      <c r="V719" s="142"/>
      <c r="W719" s="142"/>
      <c r="X719" s="142"/>
      <c r="Y719" s="142"/>
      <c r="Z719" s="142"/>
      <c r="AA719" s="142"/>
      <c r="AB719" s="142"/>
      <c r="AC719" s="142"/>
      <c r="AD719" s="142"/>
      <c r="AE719" s="142"/>
      <c r="AF719" s="142"/>
      <c r="AG719" s="142"/>
      <c r="AH719" s="142"/>
      <c r="AI719" s="142"/>
      <c r="AJ719" s="142"/>
      <c r="AK719" s="142"/>
      <c r="AL719" s="142"/>
      <c r="AM719" s="142"/>
      <c r="AN719" s="142"/>
      <c r="AO719" s="142"/>
      <c r="AP719" s="130"/>
      <c r="AQ719" s="130"/>
      <c r="AR719" s="130"/>
      <c r="AS719" s="130"/>
      <c r="AT719" s="130"/>
      <c r="AU719" s="130"/>
      <c r="AV719" s="130"/>
      <c r="AW719" s="130"/>
      <c r="AX719" s="130"/>
      <c r="AY719" s="130"/>
      <c r="AZ719" s="130"/>
      <c r="BA719" s="130"/>
      <c r="BB719" s="130"/>
      <c r="BC719" s="130"/>
      <c r="BD719" s="130"/>
    </row>
    <row r="720" ht="15.75" customHeight="1">
      <c r="A720" s="142"/>
      <c r="B720" s="142"/>
      <c r="C720" s="198"/>
      <c r="D720" s="142"/>
      <c r="E720" s="131"/>
      <c r="F720" s="142"/>
      <c r="G720" s="142"/>
      <c r="H720" s="131"/>
      <c r="I720" s="142"/>
      <c r="J720" s="142"/>
      <c r="K720" s="132"/>
      <c r="L720" s="131"/>
      <c r="M720" s="142"/>
      <c r="N720" s="142"/>
      <c r="O720" s="142"/>
      <c r="P720" s="142"/>
      <c r="Q720" s="142"/>
      <c r="R720" s="142"/>
      <c r="S720" s="142"/>
      <c r="T720" s="142"/>
      <c r="U720" s="142"/>
      <c r="V720" s="142"/>
      <c r="W720" s="142"/>
      <c r="X720" s="142"/>
      <c r="Y720" s="142"/>
      <c r="Z720" s="142"/>
      <c r="AA720" s="142"/>
      <c r="AB720" s="142"/>
      <c r="AC720" s="142"/>
      <c r="AD720" s="142"/>
      <c r="AE720" s="142"/>
      <c r="AF720" s="142"/>
      <c r="AG720" s="142"/>
      <c r="AH720" s="142"/>
      <c r="AI720" s="142"/>
      <c r="AJ720" s="142"/>
      <c r="AK720" s="142"/>
      <c r="AL720" s="142"/>
      <c r="AM720" s="142"/>
      <c r="AN720" s="142"/>
      <c r="AO720" s="142"/>
      <c r="AP720" s="130"/>
      <c r="AQ720" s="130"/>
      <c r="AR720" s="130"/>
      <c r="AS720" s="130"/>
      <c r="AT720" s="130"/>
      <c r="AU720" s="130"/>
      <c r="AV720" s="130"/>
      <c r="AW720" s="130"/>
      <c r="AX720" s="130"/>
      <c r="AY720" s="130"/>
      <c r="AZ720" s="130"/>
      <c r="BA720" s="130"/>
      <c r="BB720" s="130"/>
      <c r="BC720" s="130"/>
      <c r="BD720" s="130"/>
    </row>
    <row r="721" ht="15.75" customHeight="1">
      <c r="A721" s="142"/>
      <c r="B721" s="142"/>
      <c r="C721" s="198"/>
      <c r="D721" s="142"/>
      <c r="E721" s="131"/>
      <c r="F721" s="142"/>
      <c r="G721" s="142"/>
      <c r="H721" s="131"/>
      <c r="I721" s="142"/>
      <c r="J721" s="142"/>
      <c r="K721" s="132"/>
      <c r="L721" s="131"/>
      <c r="M721" s="142"/>
      <c r="N721" s="142"/>
      <c r="O721" s="142"/>
      <c r="P721" s="142"/>
      <c r="Q721" s="142"/>
      <c r="R721" s="142"/>
      <c r="S721" s="142"/>
      <c r="T721" s="142"/>
      <c r="U721" s="142"/>
      <c r="V721" s="142"/>
      <c r="W721" s="142"/>
      <c r="X721" s="142"/>
      <c r="Y721" s="142"/>
      <c r="Z721" s="142"/>
      <c r="AA721" s="142"/>
      <c r="AB721" s="142"/>
      <c r="AC721" s="142"/>
      <c r="AD721" s="142"/>
      <c r="AE721" s="142"/>
      <c r="AF721" s="142"/>
      <c r="AG721" s="142"/>
      <c r="AH721" s="142"/>
      <c r="AI721" s="142"/>
      <c r="AJ721" s="142"/>
      <c r="AK721" s="142"/>
      <c r="AL721" s="142"/>
      <c r="AM721" s="142"/>
      <c r="AN721" s="142"/>
      <c r="AO721" s="142"/>
      <c r="AP721" s="130"/>
      <c r="AQ721" s="130"/>
      <c r="AR721" s="130"/>
      <c r="AS721" s="130"/>
      <c r="AT721" s="130"/>
      <c r="AU721" s="130"/>
      <c r="AV721" s="130"/>
      <c r="AW721" s="130"/>
      <c r="AX721" s="130"/>
      <c r="AY721" s="130"/>
      <c r="AZ721" s="130"/>
      <c r="BA721" s="130"/>
      <c r="BB721" s="130"/>
      <c r="BC721" s="130"/>
      <c r="BD721" s="130"/>
    </row>
    <row r="722" ht="15.75" customHeight="1">
      <c r="A722" s="142"/>
      <c r="B722" s="142"/>
      <c r="C722" s="198"/>
      <c r="D722" s="142"/>
      <c r="E722" s="131"/>
      <c r="F722" s="142"/>
      <c r="G722" s="142"/>
      <c r="H722" s="131"/>
      <c r="I722" s="142"/>
      <c r="J722" s="142"/>
      <c r="K722" s="132"/>
      <c r="L722" s="131"/>
      <c r="M722" s="142"/>
      <c r="N722" s="142"/>
      <c r="O722" s="142"/>
      <c r="P722" s="142"/>
      <c r="Q722" s="142"/>
      <c r="R722" s="142"/>
      <c r="S722" s="142"/>
      <c r="T722" s="142"/>
      <c r="U722" s="142"/>
      <c r="V722" s="142"/>
      <c r="W722" s="142"/>
      <c r="X722" s="142"/>
      <c r="Y722" s="142"/>
      <c r="Z722" s="142"/>
      <c r="AA722" s="142"/>
      <c r="AB722" s="142"/>
      <c r="AC722" s="142"/>
      <c r="AD722" s="142"/>
      <c r="AE722" s="142"/>
      <c r="AF722" s="142"/>
      <c r="AG722" s="142"/>
      <c r="AH722" s="142"/>
      <c r="AI722" s="142"/>
      <c r="AJ722" s="142"/>
      <c r="AK722" s="142"/>
      <c r="AL722" s="142"/>
      <c r="AM722" s="142"/>
      <c r="AN722" s="142"/>
      <c r="AO722" s="142"/>
      <c r="AP722" s="130"/>
      <c r="AQ722" s="130"/>
      <c r="AR722" s="130"/>
      <c r="AS722" s="130"/>
      <c r="AT722" s="130"/>
      <c r="AU722" s="130"/>
      <c r="AV722" s="130"/>
      <c r="AW722" s="130"/>
      <c r="AX722" s="130"/>
      <c r="AY722" s="130"/>
      <c r="AZ722" s="130"/>
      <c r="BA722" s="130"/>
      <c r="BB722" s="130"/>
      <c r="BC722" s="130"/>
      <c r="BD722" s="130"/>
    </row>
    <row r="723" ht="15.75" customHeight="1">
      <c r="A723" s="142"/>
      <c r="B723" s="142"/>
      <c r="C723" s="198"/>
      <c r="D723" s="142"/>
      <c r="E723" s="131"/>
      <c r="F723" s="142"/>
      <c r="G723" s="142"/>
      <c r="H723" s="131"/>
      <c r="I723" s="142"/>
      <c r="J723" s="142"/>
      <c r="K723" s="132"/>
      <c r="L723" s="131"/>
      <c r="M723" s="142"/>
      <c r="N723" s="142"/>
      <c r="O723" s="142"/>
      <c r="P723" s="142"/>
      <c r="Q723" s="142"/>
      <c r="R723" s="142"/>
      <c r="S723" s="142"/>
      <c r="T723" s="142"/>
      <c r="U723" s="142"/>
      <c r="V723" s="142"/>
      <c r="W723" s="142"/>
      <c r="X723" s="142"/>
      <c r="Y723" s="142"/>
      <c r="Z723" s="142"/>
      <c r="AA723" s="142"/>
      <c r="AB723" s="142"/>
      <c r="AC723" s="142"/>
      <c r="AD723" s="142"/>
      <c r="AE723" s="142"/>
      <c r="AF723" s="142"/>
      <c r="AG723" s="142"/>
      <c r="AH723" s="142"/>
      <c r="AI723" s="142"/>
      <c r="AJ723" s="142"/>
      <c r="AK723" s="142"/>
      <c r="AL723" s="142"/>
      <c r="AM723" s="142"/>
      <c r="AN723" s="142"/>
      <c r="AO723" s="142"/>
      <c r="AP723" s="130"/>
      <c r="AQ723" s="130"/>
      <c r="AR723" s="130"/>
      <c r="AS723" s="130"/>
      <c r="AT723" s="130"/>
      <c r="AU723" s="130"/>
      <c r="AV723" s="130"/>
      <c r="AW723" s="130"/>
      <c r="AX723" s="130"/>
      <c r="AY723" s="130"/>
      <c r="AZ723" s="130"/>
      <c r="BA723" s="130"/>
      <c r="BB723" s="130"/>
      <c r="BC723" s="130"/>
      <c r="BD723" s="130"/>
    </row>
    <row r="724" ht="15.75" customHeight="1">
      <c r="A724" s="142"/>
      <c r="B724" s="142"/>
      <c r="C724" s="198"/>
      <c r="D724" s="142"/>
      <c r="E724" s="131"/>
      <c r="F724" s="142"/>
      <c r="G724" s="142"/>
      <c r="H724" s="131"/>
      <c r="I724" s="142"/>
      <c r="J724" s="142"/>
      <c r="K724" s="132"/>
      <c r="L724" s="131"/>
      <c r="M724" s="142"/>
      <c r="N724" s="142"/>
      <c r="O724" s="142"/>
      <c r="P724" s="142"/>
      <c r="Q724" s="142"/>
      <c r="R724" s="142"/>
      <c r="S724" s="142"/>
      <c r="T724" s="142"/>
      <c r="U724" s="142"/>
      <c r="V724" s="142"/>
      <c r="W724" s="142"/>
      <c r="X724" s="142"/>
      <c r="Y724" s="142"/>
      <c r="Z724" s="142"/>
      <c r="AA724" s="142"/>
      <c r="AB724" s="142"/>
      <c r="AC724" s="142"/>
      <c r="AD724" s="142"/>
      <c r="AE724" s="142"/>
      <c r="AF724" s="142"/>
      <c r="AG724" s="142"/>
      <c r="AH724" s="142"/>
      <c r="AI724" s="142"/>
      <c r="AJ724" s="142"/>
      <c r="AK724" s="142"/>
      <c r="AL724" s="142"/>
      <c r="AM724" s="142"/>
      <c r="AN724" s="142"/>
      <c r="AO724" s="142"/>
      <c r="AP724" s="130"/>
      <c r="AQ724" s="130"/>
      <c r="AR724" s="130"/>
      <c r="AS724" s="130"/>
      <c r="AT724" s="130"/>
      <c r="AU724" s="130"/>
      <c r="AV724" s="130"/>
      <c r="AW724" s="130"/>
      <c r="AX724" s="130"/>
      <c r="AY724" s="130"/>
      <c r="AZ724" s="130"/>
      <c r="BA724" s="130"/>
      <c r="BB724" s="130"/>
      <c r="BC724" s="130"/>
      <c r="BD724" s="130"/>
    </row>
    <row r="725" ht="15.75" customHeight="1">
      <c r="A725" s="142"/>
      <c r="B725" s="142"/>
      <c r="C725" s="198"/>
      <c r="D725" s="142"/>
      <c r="E725" s="131"/>
      <c r="F725" s="142"/>
      <c r="G725" s="142"/>
      <c r="H725" s="131"/>
      <c r="I725" s="142"/>
      <c r="J725" s="142"/>
      <c r="K725" s="132"/>
      <c r="L725" s="131"/>
      <c r="M725" s="142"/>
      <c r="N725" s="142"/>
      <c r="O725" s="142"/>
      <c r="P725" s="142"/>
      <c r="Q725" s="142"/>
      <c r="R725" s="142"/>
      <c r="S725" s="142"/>
      <c r="T725" s="142"/>
      <c r="U725" s="142"/>
      <c r="V725" s="142"/>
      <c r="W725" s="142"/>
      <c r="X725" s="142"/>
      <c r="Y725" s="142"/>
      <c r="Z725" s="142"/>
      <c r="AA725" s="142"/>
      <c r="AB725" s="142"/>
      <c r="AC725" s="142"/>
      <c r="AD725" s="142"/>
      <c r="AE725" s="142"/>
      <c r="AF725" s="142"/>
      <c r="AG725" s="142"/>
      <c r="AH725" s="142"/>
      <c r="AI725" s="142"/>
      <c r="AJ725" s="142"/>
      <c r="AK725" s="142"/>
      <c r="AL725" s="142"/>
      <c r="AM725" s="142"/>
      <c r="AN725" s="142"/>
      <c r="AO725" s="142"/>
      <c r="AP725" s="130"/>
      <c r="AQ725" s="130"/>
      <c r="AR725" s="130"/>
      <c r="AS725" s="130"/>
      <c r="AT725" s="130"/>
      <c r="AU725" s="130"/>
      <c r="AV725" s="130"/>
      <c r="AW725" s="130"/>
      <c r="AX725" s="130"/>
      <c r="AY725" s="130"/>
      <c r="AZ725" s="130"/>
      <c r="BA725" s="130"/>
      <c r="BB725" s="130"/>
      <c r="BC725" s="130"/>
      <c r="BD725" s="130"/>
    </row>
    <row r="726" ht="15.75" customHeight="1">
      <c r="A726" s="142"/>
      <c r="B726" s="142"/>
      <c r="C726" s="198"/>
      <c r="D726" s="142"/>
      <c r="E726" s="131"/>
      <c r="F726" s="142"/>
      <c r="G726" s="142"/>
      <c r="H726" s="131"/>
      <c r="I726" s="142"/>
      <c r="J726" s="142"/>
      <c r="K726" s="132"/>
      <c r="L726" s="131"/>
      <c r="M726" s="142"/>
      <c r="N726" s="142"/>
      <c r="O726" s="142"/>
      <c r="P726" s="142"/>
      <c r="Q726" s="142"/>
      <c r="R726" s="142"/>
      <c r="S726" s="142"/>
      <c r="T726" s="142"/>
      <c r="U726" s="142"/>
      <c r="V726" s="142"/>
      <c r="W726" s="142"/>
      <c r="X726" s="142"/>
      <c r="Y726" s="142"/>
      <c r="Z726" s="142"/>
      <c r="AA726" s="142"/>
      <c r="AB726" s="142"/>
      <c r="AC726" s="142"/>
      <c r="AD726" s="142"/>
      <c r="AE726" s="142"/>
      <c r="AF726" s="142"/>
      <c r="AG726" s="142"/>
      <c r="AH726" s="142"/>
      <c r="AI726" s="142"/>
      <c r="AJ726" s="142"/>
      <c r="AK726" s="142"/>
      <c r="AL726" s="142"/>
      <c r="AM726" s="142"/>
      <c r="AN726" s="142"/>
      <c r="AO726" s="142"/>
      <c r="AP726" s="130"/>
      <c r="AQ726" s="130"/>
      <c r="AR726" s="130"/>
      <c r="AS726" s="130"/>
      <c r="AT726" s="130"/>
      <c r="AU726" s="130"/>
      <c r="AV726" s="130"/>
      <c r="AW726" s="130"/>
      <c r="AX726" s="130"/>
      <c r="AY726" s="130"/>
      <c r="AZ726" s="130"/>
      <c r="BA726" s="130"/>
      <c r="BB726" s="130"/>
      <c r="BC726" s="130"/>
      <c r="BD726" s="130"/>
    </row>
    <row r="727" ht="15.75" customHeight="1">
      <c r="A727" s="142"/>
      <c r="B727" s="142"/>
      <c r="C727" s="198"/>
      <c r="D727" s="142"/>
      <c r="E727" s="131"/>
      <c r="F727" s="142"/>
      <c r="G727" s="142"/>
      <c r="H727" s="131"/>
      <c r="I727" s="142"/>
      <c r="J727" s="142"/>
      <c r="K727" s="132"/>
      <c r="L727" s="131"/>
      <c r="M727" s="142"/>
      <c r="N727" s="142"/>
      <c r="O727" s="142"/>
      <c r="P727" s="142"/>
      <c r="Q727" s="142"/>
      <c r="R727" s="142"/>
      <c r="S727" s="142"/>
      <c r="T727" s="142"/>
      <c r="U727" s="142"/>
      <c r="V727" s="142"/>
      <c r="W727" s="142"/>
      <c r="X727" s="142"/>
      <c r="Y727" s="142"/>
      <c r="Z727" s="142"/>
      <c r="AA727" s="142"/>
      <c r="AB727" s="142"/>
      <c r="AC727" s="142"/>
      <c r="AD727" s="142"/>
      <c r="AE727" s="142"/>
      <c r="AF727" s="142"/>
      <c r="AG727" s="142"/>
      <c r="AH727" s="142"/>
      <c r="AI727" s="142"/>
      <c r="AJ727" s="142"/>
      <c r="AK727" s="142"/>
      <c r="AL727" s="142"/>
      <c r="AM727" s="142"/>
      <c r="AN727" s="142"/>
      <c r="AO727" s="142"/>
      <c r="AP727" s="130"/>
      <c r="AQ727" s="130"/>
      <c r="AR727" s="130"/>
      <c r="AS727" s="130"/>
      <c r="AT727" s="130"/>
      <c r="AU727" s="130"/>
      <c r="AV727" s="130"/>
      <c r="AW727" s="130"/>
      <c r="AX727" s="130"/>
      <c r="AY727" s="130"/>
      <c r="AZ727" s="130"/>
      <c r="BA727" s="130"/>
      <c r="BB727" s="130"/>
      <c r="BC727" s="130"/>
      <c r="BD727" s="130"/>
    </row>
    <row r="728" ht="15.75" customHeight="1">
      <c r="A728" s="142"/>
      <c r="B728" s="142"/>
      <c r="C728" s="198"/>
      <c r="D728" s="142"/>
      <c r="E728" s="131"/>
      <c r="F728" s="142"/>
      <c r="G728" s="142"/>
      <c r="H728" s="131"/>
      <c r="I728" s="142"/>
      <c r="J728" s="142"/>
      <c r="K728" s="132"/>
      <c r="L728" s="131"/>
      <c r="M728" s="142"/>
      <c r="N728" s="142"/>
      <c r="O728" s="142"/>
      <c r="P728" s="142"/>
      <c r="Q728" s="142"/>
      <c r="R728" s="142"/>
      <c r="S728" s="142"/>
      <c r="T728" s="142"/>
      <c r="U728" s="142"/>
      <c r="V728" s="142"/>
      <c r="W728" s="142"/>
      <c r="X728" s="142"/>
      <c r="Y728" s="142"/>
      <c r="Z728" s="142"/>
      <c r="AA728" s="142"/>
      <c r="AB728" s="142"/>
      <c r="AC728" s="142"/>
      <c r="AD728" s="142"/>
      <c r="AE728" s="142"/>
      <c r="AF728" s="142"/>
      <c r="AG728" s="142"/>
      <c r="AH728" s="142"/>
      <c r="AI728" s="142"/>
      <c r="AJ728" s="142"/>
      <c r="AK728" s="142"/>
      <c r="AL728" s="142"/>
      <c r="AM728" s="142"/>
      <c r="AN728" s="142"/>
      <c r="AO728" s="142"/>
      <c r="AP728" s="130"/>
      <c r="AQ728" s="130"/>
      <c r="AR728" s="130"/>
      <c r="AS728" s="130"/>
      <c r="AT728" s="130"/>
      <c r="AU728" s="130"/>
      <c r="AV728" s="130"/>
      <c r="AW728" s="130"/>
      <c r="AX728" s="130"/>
      <c r="AY728" s="130"/>
      <c r="AZ728" s="130"/>
      <c r="BA728" s="130"/>
      <c r="BB728" s="130"/>
      <c r="BC728" s="130"/>
      <c r="BD728" s="130"/>
    </row>
    <row r="729" ht="15.75" customHeight="1">
      <c r="A729" s="142"/>
      <c r="B729" s="142"/>
      <c r="C729" s="198"/>
      <c r="D729" s="142"/>
      <c r="E729" s="131"/>
      <c r="F729" s="142"/>
      <c r="G729" s="142"/>
      <c r="H729" s="131"/>
      <c r="I729" s="142"/>
      <c r="J729" s="142"/>
      <c r="K729" s="132"/>
      <c r="L729" s="131"/>
      <c r="M729" s="142"/>
      <c r="N729" s="142"/>
      <c r="O729" s="142"/>
      <c r="P729" s="142"/>
      <c r="Q729" s="142"/>
      <c r="R729" s="142"/>
      <c r="S729" s="142"/>
      <c r="T729" s="142"/>
      <c r="U729" s="142"/>
      <c r="V729" s="142"/>
      <c r="W729" s="142"/>
      <c r="X729" s="142"/>
      <c r="Y729" s="142"/>
      <c r="Z729" s="142"/>
      <c r="AA729" s="142"/>
      <c r="AB729" s="142"/>
      <c r="AC729" s="142"/>
      <c r="AD729" s="142"/>
      <c r="AE729" s="142"/>
      <c r="AF729" s="142"/>
      <c r="AG729" s="142"/>
      <c r="AH729" s="142"/>
      <c r="AI729" s="142"/>
      <c r="AJ729" s="142"/>
      <c r="AK729" s="142"/>
      <c r="AL729" s="142"/>
      <c r="AM729" s="142"/>
      <c r="AN729" s="142"/>
      <c r="AO729" s="142"/>
      <c r="AP729" s="130"/>
      <c r="AQ729" s="130"/>
      <c r="AR729" s="130"/>
      <c r="AS729" s="130"/>
      <c r="AT729" s="130"/>
      <c r="AU729" s="130"/>
      <c r="AV729" s="130"/>
      <c r="AW729" s="130"/>
      <c r="AX729" s="130"/>
      <c r="AY729" s="130"/>
      <c r="AZ729" s="130"/>
      <c r="BA729" s="130"/>
      <c r="BB729" s="130"/>
      <c r="BC729" s="130"/>
      <c r="BD729" s="130"/>
    </row>
    <row r="730" ht="15.75" customHeight="1">
      <c r="A730" s="142"/>
      <c r="B730" s="142"/>
      <c r="C730" s="198"/>
      <c r="D730" s="142"/>
      <c r="E730" s="131"/>
      <c r="F730" s="142"/>
      <c r="G730" s="142"/>
      <c r="H730" s="131"/>
      <c r="I730" s="142"/>
      <c r="J730" s="142"/>
      <c r="K730" s="132"/>
      <c r="L730" s="131"/>
      <c r="M730" s="142"/>
      <c r="N730" s="142"/>
      <c r="O730" s="142"/>
      <c r="P730" s="142"/>
      <c r="Q730" s="142"/>
      <c r="R730" s="142"/>
      <c r="S730" s="142"/>
      <c r="T730" s="142"/>
      <c r="U730" s="142"/>
      <c r="V730" s="142"/>
      <c r="W730" s="142"/>
      <c r="X730" s="142"/>
      <c r="Y730" s="142"/>
      <c r="Z730" s="142"/>
      <c r="AA730" s="142"/>
      <c r="AB730" s="142"/>
      <c r="AC730" s="142"/>
      <c r="AD730" s="142"/>
      <c r="AE730" s="142"/>
      <c r="AF730" s="142"/>
      <c r="AG730" s="142"/>
      <c r="AH730" s="142"/>
      <c r="AI730" s="142"/>
      <c r="AJ730" s="142"/>
      <c r="AK730" s="142"/>
      <c r="AL730" s="142"/>
      <c r="AM730" s="142"/>
      <c r="AN730" s="142"/>
      <c r="AO730" s="142"/>
      <c r="AP730" s="130"/>
      <c r="AQ730" s="130"/>
      <c r="AR730" s="130"/>
      <c r="AS730" s="130"/>
      <c r="AT730" s="130"/>
      <c r="AU730" s="130"/>
      <c r="AV730" s="130"/>
      <c r="AW730" s="130"/>
      <c r="AX730" s="130"/>
      <c r="AY730" s="130"/>
      <c r="AZ730" s="130"/>
      <c r="BA730" s="130"/>
      <c r="BB730" s="130"/>
      <c r="BC730" s="130"/>
      <c r="BD730" s="130"/>
    </row>
    <row r="731" ht="15.75" customHeight="1">
      <c r="A731" s="142"/>
      <c r="B731" s="142"/>
      <c r="C731" s="198"/>
      <c r="D731" s="142"/>
      <c r="E731" s="131"/>
      <c r="F731" s="142"/>
      <c r="G731" s="142"/>
      <c r="H731" s="131"/>
      <c r="I731" s="142"/>
      <c r="J731" s="142"/>
      <c r="K731" s="132"/>
      <c r="L731" s="131"/>
      <c r="M731" s="142"/>
      <c r="N731" s="142"/>
      <c r="O731" s="142"/>
      <c r="P731" s="142"/>
      <c r="Q731" s="142"/>
      <c r="R731" s="142"/>
      <c r="S731" s="142"/>
      <c r="T731" s="142"/>
      <c r="U731" s="142"/>
      <c r="V731" s="142"/>
      <c r="W731" s="142"/>
      <c r="X731" s="142"/>
      <c r="Y731" s="142"/>
      <c r="Z731" s="142"/>
      <c r="AA731" s="142"/>
      <c r="AB731" s="142"/>
      <c r="AC731" s="142"/>
      <c r="AD731" s="142"/>
      <c r="AE731" s="142"/>
      <c r="AF731" s="142"/>
      <c r="AG731" s="142"/>
      <c r="AH731" s="142"/>
      <c r="AI731" s="142"/>
      <c r="AJ731" s="142"/>
      <c r="AK731" s="142"/>
      <c r="AL731" s="142"/>
      <c r="AM731" s="142"/>
      <c r="AN731" s="142"/>
      <c r="AO731" s="142"/>
      <c r="AP731" s="130"/>
      <c r="AQ731" s="130"/>
      <c r="AR731" s="130"/>
      <c r="AS731" s="130"/>
      <c r="AT731" s="130"/>
      <c r="AU731" s="130"/>
      <c r="AV731" s="130"/>
      <c r="AW731" s="130"/>
      <c r="AX731" s="130"/>
      <c r="AY731" s="130"/>
      <c r="AZ731" s="130"/>
      <c r="BA731" s="130"/>
      <c r="BB731" s="130"/>
      <c r="BC731" s="130"/>
      <c r="BD731" s="130"/>
    </row>
    <row r="732" ht="15.75" customHeight="1">
      <c r="A732" s="142"/>
      <c r="B732" s="142"/>
      <c r="C732" s="198"/>
      <c r="D732" s="142"/>
      <c r="E732" s="131"/>
      <c r="F732" s="142"/>
      <c r="G732" s="142"/>
      <c r="H732" s="131"/>
      <c r="I732" s="142"/>
      <c r="J732" s="142"/>
      <c r="K732" s="132"/>
      <c r="L732" s="131"/>
      <c r="M732" s="142"/>
      <c r="N732" s="142"/>
      <c r="O732" s="142"/>
      <c r="P732" s="142"/>
      <c r="Q732" s="142"/>
      <c r="R732" s="142"/>
      <c r="S732" s="142"/>
      <c r="T732" s="142"/>
      <c r="U732" s="142"/>
      <c r="V732" s="142"/>
      <c r="W732" s="142"/>
      <c r="X732" s="142"/>
      <c r="Y732" s="142"/>
      <c r="Z732" s="142"/>
      <c r="AA732" s="142"/>
      <c r="AB732" s="142"/>
      <c r="AC732" s="142"/>
      <c r="AD732" s="142"/>
      <c r="AE732" s="142"/>
      <c r="AF732" s="142"/>
      <c r="AG732" s="142"/>
      <c r="AH732" s="142"/>
      <c r="AI732" s="142"/>
      <c r="AJ732" s="142"/>
      <c r="AK732" s="142"/>
      <c r="AL732" s="142"/>
      <c r="AM732" s="142"/>
      <c r="AN732" s="142"/>
      <c r="AO732" s="142"/>
      <c r="AP732" s="130"/>
      <c r="AQ732" s="130"/>
      <c r="AR732" s="130"/>
      <c r="AS732" s="130"/>
      <c r="AT732" s="130"/>
      <c r="AU732" s="130"/>
      <c r="AV732" s="130"/>
      <c r="AW732" s="130"/>
      <c r="AX732" s="130"/>
      <c r="AY732" s="130"/>
      <c r="AZ732" s="130"/>
      <c r="BA732" s="130"/>
      <c r="BB732" s="130"/>
      <c r="BC732" s="130"/>
      <c r="BD732" s="130"/>
    </row>
    <row r="733" ht="15.75" customHeight="1">
      <c r="A733" s="142"/>
      <c r="B733" s="142"/>
      <c r="C733" s="198"/>
      <c r="D733" s="142"/>
      <c r="E733" s="131"/>
      <c r="F733" s="142"/>
      <c r="G733" s="142"/>
      <c r="H733" s="131"/>
      <c r="I733" s="142"/>
      <c r="J733" s="142"/>
      <c r="K733" s="132"/>
      <c r="L733" s="131"/>
      <c r="M733" s="142"/>
      <c r="N733" s="142"/>
      <c r="O733" s="142"/>
      <c r="P733" s="142"/>
      <c r="Q733" s="142"/>
      <c r="R733" s="142"/>
      <c r="S733" s="142"/>
      <c r="T733" s="142"/>
      <c r="U733" s="142"/>
      <c r="V733" s="142"/>
      <c r="W733" s="142"/>
      <c r="X733" s="142"/>
      <c r="Y733" s="142"/>
      <c r="Z733" s="142"/>
      <c r="AA733" s="142"/>
      <c r="AB733" s="142"/>
      <c r="AC733" s="142"/>
      <c r="AD733" s="142"/>
      <c r="AE733" s="142"/>
      <c r="AF733" s="142"/>
      <c r="AG733" s="142"/>
      <c r="AH733" s="142"/>
      <c r="AI733" s="142"/>
      <c r="AJ733" s="142"/>
      <c r="AK733" s="142"/>
      <c r="AL733" s="142"/>
      <c r="AM733" s="142"/>
      <c r="AN733" s="142"/>
      <c r="AO733" s="142"/>
      <c r="AP733" s="130"/>
      <c r="AQ733" s="130"/>
      <c r="AR733" s="130"/>
      <c r="AS733" s="130"/>
      <c r="AT733" s="130"/>
      <c r="AU733" s="130"/>
      <c r="AV733" s="130"/>
      <c r="AW733" s="130"/>
      <c r="AX733" s="130"/>
      <c r="AY733" s="130"/>
      <c r="AZ733" s="130"/>
      <c r="BA733" s="130"/>
      <c r="BB733" s="130"/>
      <c r="BC733" s="130"/>
      <c r="BD733" s="130"/>
    </row>
    <row r="734" ht="15.75" customHeight="1">
      <c r="A734" s="142"/>
      <c r="B734" s="142"/>
      <c r="C734" s="198"/>
      <c r="D734" s="142"/>
      <c r="E734" s="131"/>
      <c r="F734" s="142"/>
      <c r="G734" s="142"/>
      <c r="H734" s="131"/>
      <c r="I734" s="142"/>
      <c r="J734" s="142"/>
      <c r="K734" s="132"/>
      <c r="L734" s="131"/>
      <c r="M734" s="142"/>
      <c r="N734" s="142"/>
      <c r="O734" s="142"/>
      <c r="P734" s="142"/>
      <c r="Q734" s="142"/>
      <c r="R734" s="142"/>
      <c r="S734" s="142"/>
      <c r="T734" s="142"/>
      <c r="U734" s="142"/>
      <c r="V734" s="142"/>
      <c r="W734" s="142"/>
      <c r="X734" s="142"/>
      <c r="Y734" s="142"/>
      <c r="Z734" s="142"/>
      <c r="AA734" s="142"/>
      <c r="AB734" s="142"/>
      <c r="AC734" s="142"/>
      <c r="AD734" s="142"/>
      <c r="AE734" s="142"/>
      <c r="AF734" s="142"/>
      <c r="AG734" s="142"/>
      <c r="AH734" s="142"/>
      <c r="AI734" s="142"/>
      <c r="AJ734" s="142"/>
      <c r="AK734" s="142"/>
      <c r="AL734" s="142"/>
      <c r="AM734" s="142"/>
      <c r="AN734" s="142"/>
      <c r="AO734" s="142"/>
      <c r="AP734" s="130"/>
      <c r="AQ734" s="130"/>
      <c r="AR734" s="130"/>
      <c r="AS734" s="130"/>
      <c r="AT734" s="130"/>
      <c r="AU734" s="130"/>
      <c r="AV734" s="130"/>
      <c r="AW734" s="130"/>
      <c r="AX734" s="130"/>
      <c r="AY734" s="130"/>
      <c r="AZ734" s="130"/>
      <c r="BA734" s="130"/>
      <c r="BB734" s="130"/>
      <c r="BC734" s="130"/>
      <c r="BD734" s="130"/>
    </row>
    <row r="735" ht="15.75" customHeight="1">
      <c r="A735" s="142"/>
      <c r="B735" s="142"/>
      <c r="C735" s="198"/>
      <c r="D735" s="142"/>
      <c r="E735" s="131"/>
      <c r="F735" s="142"/>
      <c r="G735" s="142"/>
      <c r="H735" s="131"/>
      <c r="I735" s="142"/>
      <c r="J735" s="142"/>
      <c r="K735" s="132"/>
      <c r="L735" s="131"/>
      <c r="M735" s="142"/>
      <c r="N735" s="142"/>
      <c r="O735" s="142"/>
      <c r="P735" s="142"/>
      <c r="Q735" s="142"/>
      <c r="R735" s="142"/>
      <c r="S735" s="142"/>
      <c r="T735" s="142"/>
      <c r="U735" s="142"/>
      <c r="V735" s="142"/>
      <c r="W735" s="142"/>
      <c r="X735" s="142"/>
      <c r="Y735" s="142"/>
      <c r="Z735" s="142"/>
      <c r="AA735" s="142"/>
      <c r="AB735" s="142"/>
      <c r="AC735" s="142"/>
      <c r="AD735" s="142"/>
      <c r="AE735" s="142"/>
      <c r="AF735" s="142"/>
      <c r="AG735" s="142"/>
      <c r="AH735" s="142"/>
      <c r="AI735" s="142"/>
      <c r="AJ735" s="142"/>
      <c r="AK735" s="142"/>
      <c r="AL735" s="142"/>
      <c r="AM735" s="142"/>
      <c r="AN735" s="142"/>
      <c r="AO735" s="142"/>
      <c r="AP735" s="130"/>
      <c r="AQ735" s="130"/>
      <c r="AR735" s="130"/>
      <c r="AS735" s="130"/>
      <c r="AT735" s="130"/>
      <c r="AU735" s="130"/>
      <c r="AV735" s="130"/>
      <c r="AW735" s="130"/>
      <c r="AX735" s="130"/>
      <c r="AY735" s="130"/>
      <c r="AZ735" s="130"/>
      <c r="BA735" s="130"/>
      <c r="BB735" s="130"/>
      <c r="BC735" s="130"/>
      <c r="BD735" s="130"/>
    </row>
    <row r="736" ht="15.75" customHeight="1">
      <c r="A736" s="142"/>
      <c r="B736" s="142"/>
      <c r="C736" s="198"/>
      <c r="D736" s="142"/>
      <c r="E736" s="131"/>
      <c r="F736" s="142"/>
      <c r="G736" s="142"/>
      <c r="H736" s="131"/>
      <c r="I736" s="142"/>
      <c r="J736" s="142"/>
      <c r="K736" s="132"/>
      <c r="L736" s="131"/>
      <c r="M736" s="142"/>
      <c r="N736" s="142"/>
      <c r="O736" s="142"/>
      <c r="P736" s="142"/>
      <c r="Q736" s="142"/>
      <c r="R736" s="142"/>
      <c r="S736" s="142"/>
      <c r="T736" s="142"/>
      <c r="U736" s="142"/>
      <c r="V736" s="142"/>
      <c r="W736" s="142"/>
      <c r="X736" s="142"/>
      <c r="Y736" s="142"/>
      <c r="Z736" s="142"/>
      <c r="AA736" s="142"/>
      <c r="AB736" s="142"/>
      <c r="AC736" s="142"/>
      <c r="AD736" s="142"/>
      <c r="AE736" s="142"/>
      <c r="AF736" s="142"/>
      <c r="AG736" s="142"/>
      <c r="AH736" s="142"/>
      <c r="AI736" s="142"/>
      <c r="AJ736" s="142"/>
      <c r="AK736" s="142"/>
      <c r="AL736" s="142"/>
      <c r="AM736" s="142"/>
      <c r="AN736" s="142"/>
      <c r="AO736" s="142"/>
      <c r="AP736" s="130"/>
      <c r="AQ736" s="130"/>
      <c r="AR736" s="130"/>
      <c r="AS736" s="130"/>
      <c r="AT736" s="130"/>
      <c r="AU736" s="130"/>
      <c r="AV736" s="130"/>
      <c r="AW736" s="130"/>
      <c r="AX736" s="130"/>
      <c r="AY736" s="130"/>
      <c r="AZ736" s="130"/>
      <c r="BA736" s="130"/>
      <c r="BB736" s="130"/>
      <c r="BC736" s="130"/>
      <c r="BD736" s="130"/>
    </row>
    <row r="737" ht="15.75" customHeight="1">
      <c r="A737" s="142"/>
      <c r="B737" s="142"/>
      <c r="C737" s="198"/>
      <c r="D737" s="142"/>
      <c r="E737" s="131"/>
      <c r="F737" s="142"/>
      <c r="G737" s="142"/>
      <c r="H737" s="131"/>
      <c r="I737" s="142"/>
      <c r="J737" s="142"/>
      <c r="K737" s="132"/>
      <c r="L737" s="131"/>
      <c r="M737" s="142"/>
      <c r="N737" s="142"/>
      <c r="O737" s="142"/>
      <c r="P737" s="142"/>
      <c r="Q737" s="142"/>
      <c r="R737" s="142"/>
      <c r="S737" s="142"/>
      <c r="T737" s="142"/>
      <c r="U737" s="142"/>
      <c r="V737" s="142"/>
      <c r="W737" s="142"/>
      <c r="X737" s="142"/>
      <c r="Y737" s="142"/>
      <c r="Z737" s="142"/>
      <c r="AA737" s="142"/>
      <c r="AB737" s="142"/>
      <c r="AC737" s="142"/>
      <c r="AD737" s="142"/>
      <c r="AE737" s="142"/>
      <c r="AF737" s="142"/>
      <c r="AG737" s="142"/>
      <c r="AH737" s="142"/>
      <c r="AI737" s="142"/>
      <c r="AJ737" s="142"/>
      <c r="AK737" s="142"/>
      <c r="AL737" s="142"/>
      <c r="AM737" s="142"/>
      <c r="AN737" s="142"/>
      <c r="AO737" s="142"/>
      <c r="AP737" s="130"/>
      <c r="AQ737" s="130"/>
      <c r="AR737" s="130"/>
      <c r="AS737" s="130"/>
      <c r="AT737" s="130"/>
      <c r="AU737" s="130"/>
      <c r="AV737" s="130"/>
      <c r="AW737" s="130"/>
      <c r="AX737" s="130"/>
      <c r="AY737" s="130"/>
      <c r="AZ737" s="130"/>
      <c r="BA737" s="130"/>
      <c r="BB737" s="130"/>
      <c r="BC737" s="130"/>
      <c r="BD737" s="130"/>
    </row>
    <row r="738" ht="15.75" customHeight="1">
      <c r="A738" s="142"/>
      <c r="B738" s="142"/>
      <c r="C738" s="198"/>
      <c r="D738" s="142"/>
      <c r="E738" s="131"/>
      <c r="F738" s="142"/>
      <c r="G738" s="142"/>
      <c r="H738" s="131"/>
      <c r="I738" s="142"/>
      <c r="J738" s="142"/>
      <c r="K738" s="132"/>
      <c r="L738" s="131"/>
      <c r="M738" s="142"/>
      <c r="N738" s="142"/>
      <c r="O738" s="142"/>
      <c r="P738" s="142"/>
      <c r="Q738" s="142"/>
      <c r="R738" s="142"/>
      <c r="S738" s="142"/>
      <c r="T738" s="142"/>
      <c r="U738" s="142"/>
      <c r="V738" s="142"/>
      <c r="W738" s="142"/>
      <c r="X738" s="142"/>
      <c r="Y738" s="142"/>
      <c r="Z738" s="142"/>
      <c r="AA738" s="142"/>
      <c r="AB738" s="142"/>
      <c r="AC738" s="142"/>
      <c r="AD738" s="142"/>
      <c r="AE738" s="142"/>
      <c r="AF738" s="142"/>
      <c r="AG738" s="142"/>
      <c r="AH738" s="142"/>
      <c r="AI738" s="142"/>
      <c r="AJ738" s="142"/>
      <c r="AK738" s="142"/>
      <c r="AL738" s="142"/>
      <c r="AM738" s="142"/>
      <c r="AN738" s="142"/>
      <c r="AO738" s="142"/>
      <c r="AP738" s="130"/>
      <c r="AQ738" s="130"/>
      <c r="AR738" s="130"/>
      <c r="AS738" s="130"/>
      <c r="AT738" s="130"/>
      <c r="AU738" s="130"/>
      <c r="AV738" s="130"/>
      <c r="AW738" s="130"/>
      <c r="AX738" s="130"/>
      <c r="AY738" s="130"/>
      <c r="AZ738" s="130"/>
      <c r="BA738" s="130"/>
      <c r="BB738" s="130"/>
      <c r="BC738" s="130"/>
      <c r="BD738" s="130"/>
    </row>
    <row r="739" ht="15.75" customHeight="1">
      <c r="A739" s="142"/>
      <c r="B739" s="142"/>
      <c r="C739" s="198"/>
      <c r="D739" s="142"/>
      <c r="E739" s="131"/>
      <c r="F739" s="142"/>
      <c r="G739" s="142"/>
      <c r="H739" s="131"/>
      <c r="I739" s="142"/>
      <c r="J739" s="142"/>
      <c r="K739" s="132"/>
      <c r="L739" s="131"/>
      <c r="M739" s="142"/>
      <c r="N739" s="142"/>
      <c r="O739" s="142"/>
      <c r="P739" s="142"/>
      <c r="Q739" s="142"/>
      <c r="R739" s="142"/>
      <c r="S739" s="142"/>
      <c r="T739" s="142"/>
      <c r="U739" s="142"/>
      <c r="V739" s="142"/>
      <c r="W739" s="142"/>
      <c r="X739" s="142"/>
      <c r="Y739" s="142"/>
      <c r="Z739" s="142"/>
      <c r="AA739" s="142"/>
      <c r="AB739" s="142"/>
      <c r="AC739" s="142"/>
      <c r="AD739" s="142"/>
      <c r="AE739" s="142"/>
      <c r="AF739" s="142"/>
      <c r="AG739" s="142"/>
      <c r="AH739" s="142"/>
      <c r="AI739" s="142"/>
      <c r="AJ739" s="142"/>
      <c r="AK739" s="142"/>
      <c r="AL739" s="142"/>
      <c r="AM739" s="142"/>
      <c r="AN739" s="142"/>
      <c r="AO739" s="142"/>
      <c r="AP739" s="130"/>
      <c r="AQ739" s="130"/>
      <c r="AR739" s="130"/>
      <c r="AS739" s="130"/>
      <c r="AT739" s="130"/>
      <c r="AU739" s="130"/>
      <c r="AV739" s="130"/>
      <c r="AW739" s="130"/>
      <c r="AX739" s="130"/>
      <c r="AY739" s="130"/>
      <c r="AZ739" s="130"/>
      <c r="BA739" s="130"/>
      <c r="BB739" s="130"/>
      <c r="BC739" s="130"/>
      <c r="BD739" s="130"/>
    </row>
    <row r="740" ht="15.75" customHeight="1">
      <c r="A740" s="142"/>
      <c r="B740" s="142"/>
      <c r="C740" s="198"/>
      <c r="D740" s="142"/>
      <c r="E740" s="131"/>
      <c r="F740" s="142"/>
      <c r="G740" s="142"/>
      <c r="H740" s="131"/>
      <c r="I740" s="142"/>
      <c r="J740" s="142"/>
      <c r="K740" s="132"/>
      <c r="L740" s="131"/>
      <c r="M740" s="142"/>
      <c r="N740" s="142"/>
      <c r="O740" s="142"/>
      <c r="P740" s="142"/>
      <c r="Q740" s="142"/>
      <c r="R740" s="142"/>
      <c r="S740" s="142"/>
      <c r="T740" s="142"/>
      <c r="U740" s="142"/>
      <c r="V740" s="142"/>
      <c r="W740" s="142"/>
      <c r="X740" s="142"/>
      <c r="Y740" s="142"/>
      <c r="Z740" s="142"/>
      <c r="AA740" s="142"/>
      <c r="AB740" s="142"/>
      <c r="AC740" s="142"/>
      <c r="AD740" s="142"/>
      <c r="AE740" s="142"/>
      <c r="AF740" s="142"/>
      <c r="AG740" s="142"/>
      <c r="AH740" s="142"/>
      <c r="AI740" s="142"/>
      <c r="AJ740" s="142"/>
      <c r="AK740" s="142"/>
      <c r="AL740" s="142"/>
      <c r="AM740" s="142"/>
      <c r="AN740" s="142"/>
      <c r="AO740" s="142"/>
      <c r="AP740" s="130"/>
      <c r="AQ740" s="130"/>
      <c r="AR740" s="130"/>
      <c r="AS740" s="130"/>
      <c r="AT740" s="130"/>
      <c r="AU740" s="130"/>
      <c r="AV740" s="130"/>
      <c r="AW740" s="130"/>
      <c r="AX740" s="130"/>
      <c r="AY740" s="130"/>
      <c r="AZ740" s="130"/>
      <c r="BA740" s="130"/>
      <c r="BB740" s="130"/>
      <c r="BC740" s="130"/>
      <c r="BD740" s="130"/>
    </row>
    <row r="741" ht="15.75" customHeight="1">
      <c r="A741" s="142"/>
      <c r="B741" s="142"/>
      <c r="C741" s="198"/>
      <c r="D741" s="142"/>
      <c r="E741" s="131"/>
      <c r="F741" s="142"/>
      <c r="G741" s="142"/>
      <c r="H741" s="131"/>
      <c r="I741" s="142"/>
      <c r="J741" s="142"/>
      <c r="K741" s="132"/>
      <c r="L741" s="131"/>
      <c r="M741" s="142"/>
      <c r="N741" s="142"/>
      <c r="O741" s="142"/>
      <c r="P741" s="142"/>
      <c r="Q741" s="142"/>
      <c r="R741" s="142"/>
      <c r="S741" s="142"/>
      <c r="T741" s="142"/>
      <c r="U741" s="142"/>
      <c r="V741" s="142"/>
      <c r="W741" s="142"/>
      <c r="X741" s="142"/>
      <c r="Y741" s="142"/>
      <c r="Z741" s="142"/>
      <c r="AA741" s="142"/>
      <c r="AB741" s="142"/>
      <c r="AC741" s="142"/>
      <c r="AD741" s="142"/>
      <c r="AE741" s="142"/>
      <c r="AF741" s="142"/>
      <c r="AG741" s="142"/>
      <c r="AH741" s="142"/>
      <c r="AI741" s="142"/>
      <c r="AJ741" s="142"/>
      <c r="AK741" s="142"/>
      <c r="AL741" s="142"/>
      <c r="AM741" s="142"/>
      <c r="AN741" s="142"/>
      <c r="AO741" s="142"/>
      <c r="AP741" s="130"/>
      <c r="AQ741" s="130"/>
      <c r="AR741" s="130"/>
      <c r="AS741" s="130"/>
      <c r="AT741" s="130"/>
      <c r="AU741" s="130"/>
      <c r="AV741" s="130"/>
      <c r="AW741" s="130"/>
      <c r="AX741" s="130"/>
      <c r="AY741" s="130"/>
      <c r="AZ741" s="130"/>
      <c r="BA741" s="130"/>
      <c r="BB741" s="130"/>
      <c r="BC741" s="130"/>
      <c r="BD741" s="130"/>
    </row>
    <row r="742" ht="15.75" customHeight="1">
      <c r="A742" s="142"/>
      <c r="B742" s="142"/>
      <c r="C742" s="198"/>
      <c r="D742" s="142"/>
      <c r="E742" s="131"/>
      <c r="F742" s="142"/>
      <c r="G742" s="142"/>
      <c r="H742" s="131"/>
      <c r="I742" s="142"/>
      <c r="J742" s="142"/>
      <c r="K742" s="132"/>
      <c r="L742" s="131"/>
      <c r="M742" s="142"/>
      <c r="N742" s="142"/>
      <c r="O742" s="142"/>
      <c r="P742" s="142"/>
      <c r="Q742" s="142"/>
      <c r="R742" s="142"/>
      <c r="S742" s="142"/>
      <c r="T742" s="142"/>
      <c r="U742" s="142"/>
      <c r="V742" s="142"/>
      <c r="W742" s="142"/>
      <c r="X742" s="142"/>
      <c r="Y742" s="142"/>
      <c r="Z742" s="142"/>
      <c r="AA742" s="142"/>
      <c r="AB742" s="142"/>
      <c r="AC742" s="142"/>
      <c r="AD742" s="142"/>
      <c r="AE742" s="142"/>
      <c r="AF742" s="142"/>
      <c r="AG742" s="142"/>
      <c r="AH742" s="142"/>
      <c r="AI742" s="142"/>
      <c r="AJ742" s="142"/>
      <c r="AK742" s="142"/>
      <c r="AL742" s="142"/>
      <c r="AM742" s="142"/>
      <c r="AN742" s="142"/>
      <c r="AO742" s="142"/>
      <c r="AP742" s="130"/>
      <c r="AQ742" s="130"/>
      <c r="AR742" s="130"/>
      <c r="AS742" s="130"/>
      <c r="AT742" s="130"/>
      <c r="AU742" s="130"/>
      <c r="AV742" s="130"/>
      <c r="AW742" s="130"/>
      <c r="AX742" s="130"/>
      <c r="AY742" s="130"/>
      <c r="AZ742" s="130"/>
      <c r="BA742" s="130"/>
      <c r="BB742" s="130"/>
      <c r="BC742" s="130"/>
      <c r="BD742" s="130"/>
    </row>
    <row r="743" ht="15.75" customHeight="1">
      <c r="A743" s="142"/>
      <c r="B743" s="142"/>
      <c r="C743" s="198"/>
      <c r="D743" s="142"/>
      <c r="E743" s="131"/>
      <c r="F743" s="142"/>
      <c r="G743" s="142"/>
      <c r="H743" s="131"/>
      <c r="I743" s="142"/>
      <c r="J743" s="142"/>
      <c r="K743" s="132"/>
      <c r="L743" s="131"/>
      <c r="M743" s="142"/>
      <c r="N743" s="142"/>
      <c r="O743" s="142"/>
      <c r="P743" s="142"/>
      <c r="Q743" s="142"/>
      <c r="R743" s="142"/>
      <c r="S743" s="142"/>
      <c r="T743" s="142"/>
      <c r="U743" s="142"/>
      <c r="V743" s="142"/>
      <c r="W743" s="142"/>
      <c r="X743" s="142"/>
      <c r="Y743" s="142"/>
      <c r="Z743" s="142"/>
      <c r="AA743" s="142"/>
      <c r="AB743" s="142"/>
      <c r="AC743" s="142"/>
      <c r="AD743" s="142"/>
      <c r="AE743" s="142"/>
      <c r="AF743" s="142"/>
      <c r="AG743" s="142"/>
      <c r="AH743" s="142"/>
      <c r="AI743" s="142"/>
      <c r="AJ743" s="142"/>
      <c r="AK743" s="142"/>
      <c r="AL743" s="142"/>
      <c r="AM743" s="142"/>
      <c r="AN743" s="142"/>
      <c r="AO743" s="142"/>
      <c r="AP743" s="130"/>
      <c r="AQ743" s="130"/>
      <c r="AR743" s="130"/>
      <c r="AS743" s="130"/>
      <c r="AT743" s="130"/>
      <c r="AU743" s="130"/>
      <c r="AV743" s="130"/>
      <c r="AW743" s="130"/>
      <c r="AX743" s="130"/>
      <c r="AY743" s="130"/>
      <c r="AZ743" s="130"/>
      <c r="BA743" s="130"/>
      <c r="BB743" s="130"/>
      <c r="BC743" s="130"/>
      <c r="BD743" s="130"/>
    </row>
    <row r="744" ht="15.75" customHeight="1">
      <c r="A744" s="142"/>
      <c r="B744" s="142"/>
      <c r="C744" s="198"/>
      <c r="D744" s="142"/>
      <c r="E744" s="131"/>
      <c r="F744" s="142"/>
      <c r="G744" s="142"/>
      <c r="H744" s="131"/>
      <c r="I744" s="142"/>
      <c r="J744" s="142"/>
      <c r="K744" s="132"/>
      <c r="L744" s="131"/>
      <c r="M744" s="142"/>
      <c r="N744" s="142"/>
      <c r="O744" s="142"/>
      <c r="P744" s="142"/>
      <c r="Q744" s="142"/>
      <c r="R744" s="142"/>
      <c r="S744" s="142"/>
      <c r="T744" s="142"/>
      <c r="U744" s="142"/>
      <c r="V744" s="142"/>
      <c r="W744" s="142"/>
      <c r="X744" s="142"/>
      <c r="Y744" s="142"/>
      <c r="Z744" s="142"/>
      <c r="AA744" s="142"/>
      <c r="AB744" s="142"/>
      <c r="AC744" s="142"/>
      <c r="AD744" s="142"/>
      <c r="AE744" s="142"/>
      <c r="AF744" s="142"/>
      <c r="AG744" s="142"/>
      <c r="AH744" s="142"/>
      <c r="AI744" s="142"/>
      <c r="AJ744" s="142"/>
      <c r="AK744" s="142"/>
      <c r="AL744" s="142"/>
      <c r="AM744" s="142"/>
      <c r="AN744" s="142"/>
      <c r="AO744" s="142"/>
      <c r="AP744" s="130"/>
      <c r="AQ744" s="130"/>
      <c r="AR744" s="130"/>
      <c r="AS744" s="130"/>
      <c r="AT744" s="130"/>
      <c r="AU744" s="130"/>
      <c r="AV744" s="130"/>
      <c r="AW744" s="130"/>
      <c r="AX744" s="130"/>
      <c r="AY744" s="130"/>
      <c r="AZ744" s="130"/>
      <c r="BA744" s="130"/>
      <c r="BB744" s="130"/>
      <c r="BC744" s="130"/>
      <c r="BD744" s="130"/>
    </row>
    <row r="745" ht="15.75" customHeight="1">
      <c r="A745" s="142"/>
      <c r="B745" s="142"/>
      <c r="C745" s="198"/>
      <c r="D745" s="142"/>
      <c r="E745" s="131"/>
      <c r="F745" s="142"/>
      <c r="G745" s="142"/>
      <c r="H745" s="131"/>
      <c r="I745" s="142"/>
      <c r="J745" s="142"/>
      <c r="K745" s="132"/>
      <c r="L745" s="131"/>
      <c r="M745" s="142"/>
      <c r="N745" s="142"/>
      <c r="O745" s="142"/>
      <c r="P745" s="142"/>
      <c r="Q745" s="142"/>
      <c r="R745" s="142"/>
      <c r="S745" s="142"/>
      <c r="T745" s="142"/>
      <c r="U745" s="142"/>
      <c r="V745" s="142"/>
      <c r="W745" s="142"/>
      <c r="X745" s="142"/>
      <c r="Y745" s="142"/>
      <c r="Z745" s="142"/>
      <c r="AA745" s="142"/>
      <c r="AB745" s="142"/>
      <c r="AC745" s="142"/>
      <c r="AD745" s="142"/>
      <c r="AE745" s="142"/>
      <c r="AF745" s="142"/>
      <c r="AG745" s="142"/>
      <c r="AH745" s="142"/>
      <c r="AI745" s="142"/>
      <c r="AJ745" s="142"/>
      <c r="AK745" s="142"/>
      <c r="AL745" s="142"/>
      <c r="AM745" s="142"/>
      <c r="AN745" s="142"/>
      <c r="AO745" s="142"/>
      <c r="AP745" s="130"/>
      <c r="AQ745" s="130"/>
      <c r="AR745" s="130"/>
      <c r="AS745" s="130"/>
      <c r="AT745" s="130"/>
      <c r="AU745" s="130"/>
      <c r="AV745" s="130"/>
      <c r="AW745" s="130"/>
      <c r="AX745" s="130"/>
      <c r="AY745" s="130"/>
      <c r="AZ745" s="130"/>
      <c r="BA745" s="130"/>
      <c r="BB745" s="130"/>
      <c r="BC745" s="130"/>
      <c r="BD745" s="130"/>
    </row>
    <row r="746" ht="15.75" customHeight="1">
      <c r="A746" s="142"/>
      <c r="B746" s="142"/>
      <c r="C746" s="198"/>
      <c r="D746" s="142"/>
      <c r="E746" s="131"/>
      <c r="F746" s="142"/>
      <c r="G746" s="142"/>
      <c r="H746" s="131"/>
      <c r="I746" s="142"/>
      <c r="J746" s="142"/>
      <c r="K746" s="132"/>
      <c r="L746" s="131"/>
      <c r="M746" s="142"/>
      <c r="N746" s="142"/>
      <c r="O746" s="142"/>
      <c r="P746" s="142"/>
      <c r="Q746" s="142"/>
      <c r="R746" s="142"/>
      <c r="S746" s="142"/>
      <c r="T746" s="142"/>
      <c r="U746" s="142"/>
      <c r="V746" s="142"/>
      <c r="W746" s="142"/>
      <c r="X746" s="142"/>
      <c r="Y746" s="142"/>
      <c r="Z746" s="142"/>
      <c r="AA746" s="142"/>
      <c r="AB746" s="142"/>
      <c r="AC746" s="142"/>
      <c r="AD746" s="142"/>
      <c r="AE746" s="142"/>
      <c r="AF746" s="142"/>
      <c r="AG746" s="142"/>
      <c r="AH746" s="142"/>
      <c r="AI746" s="142"/>
      <c r="AJ746" s="142"/>
      <c r="AK746" s="142"/>
      <c r="AL746" s="142"/>
      <c r="AM746" s="142"/>
      <c r="AN746" s="142"/>
      <c r="AO746" s="142"/>
      <c r="AP746" s="130"/>
      <c r="AQ746" s="130"/>
      <c r="AR746" s="130"/>
      <c r="AS746" s="130"/>
      <c r="AT746" s="130"/>
      <c r="AU746" s="130"/>
      <c r="AV746" s="130"/>
      <c r="AW746" s="130"/>
      <c r="AX746" s="130"/>
      <c r="AY746" s="130"/>
      <c r="AZ746" s="130"/>
      <c r="BA746" s="130"/>
      <c r="BB746" s="130"/>
      <c r="BC746" s="130"/>
      <c r="BD746" s="130"/>
    </row>
    <row r="747" ht="15.75" customHeight="1">
      <c r="A747" s="142"/>
      <c r="B747" s="142"/>
      <c r="C747" s="198"/>
      <c r="D747" s="142"/>
      <c r="E747" s="131"/>
      <c r="F747" s="142"/>
      <c r="G747" s="142"/>
      <c r="H747" s="131"/>
      <c r="I747" s="142"/>
      <c r="J747" s="142"/>
      <c r="K747" s="132"/>
      <c r="L747" s="131"/>
      <c r="M747" s="142"/>
      <c r="N747" s="142"/>
      <c r="O747" s="142"/>
      <c r="P747" s="142"/>
      <c r="Q747" s="142"/>
      <c r="R747" s="142"/>
      <c r="S747" s="142"/>
      <c r="T747" s="142"/>
      <c r="U747" s="142"/>
      <c r="V747" s="142"/>
      <c r="W747" s="142"/>
      <c r="X747" s="142"/>
      <c r="Y747" s="142"/>
      <c r="Z747" s="142"/>
      <c r="AA747" s="142"/>
      <c r="AB747" s="142"/>
      <c r="AC747" s="142"/>
      <c r="AD747" s="142"/>
      <c r="AE747" s="142"/>
      <c r="AF747" s="142"/>
      <c r="AG747" s="142"/>
      <c r="AH747" s="142"/>
      <c r="AI747" s="142"/>
      <c r="AJ747" s="142"/>
      <c r="AK747" s="142"/>
      <c r="AL747" s="142"/>
      <c r="AM747" s="142"/>
      <c r="AN747" s="142"/>
      <c r="AO747" s="142"/>
      <c r="AP747" s="130"/>
      <c r="AQ747" s="130"/>
      <c r="AR747" s="130"/>
      <c r="AS747" s="130"/>
      <c r="AT747" s="130"/>
      <c r="AU747" s="130"/>
      <c r="AV747" s="130"/>
      <c r="AW747" s="130"/>
      <c r="AX747" s="130"/>
      <c r="AY747" s="130"/>
      <c r="AZ747" s="130"/>
      <c r="BA747" s="130"/>
      <c r="BB747" s="130"/>
      <c r="BC747" s="130"/>
      <c r="BD747" s="130"/>
    </row>
    <row r="748" ht="15.75" customHeight="1">
      <c r="A748" s="142"/>
      <c r="B748" s="142"/>
      <c r="C748" s="198"/>
      <c r="D748" s="142"/>
      <c r="E748" s="131"/>
      <c r="F748" s="142"/>
      <c r="G748" s="142"/>
      <c r="H748" s="131"/>
      <c r="I748" s="142"/>
      <c r="J748" s="142"/>
      <c r="K748" s="132"/>
      <c r="L748" s="131"/>
      <c r="M748" s="142"/>
      <c r="N748" s="142"/>
      <c r="O748" s="142"/>
      <c r="P748" s="142"/>
      <c r="Q748" s="142"/>
      <c r="R748" s="142"/>
      <c r="S748" s="142"/>
      <c r="T748" s="142"/>
      <c r="U748" s="142"/>
      <c r="V748" s="142"/>
      <c r="W748" s="142"/>
      <c r="X748" s="142"/>
      <c r="Y748" s="142"/>
      <c r="Z748" s="142"/>
      <c r="AA748" s="142"/>
      <c r="AB748" s="142"/>
      <c r="AC748" s="142"/>
      <c r="AD748" s="142"/>
      <c r="AE748" s="142"/>
      <c r="AF748" s="142"/>
      <c r="AG748" s="142"/>
      <c r="AH748" s="142"/>
      <c r="AI748" s="142"/>
      <c r="AJ748" s="142"/>
      <c r="AK748" s="142"/>
      <c r="AL748" s="142"/>
      <c r="AM748" s="142"/>
      <c r="AN748" s="142"/>
      <c r="AO748" s="142"/>
      <c r="AP748" s="130"/>
      <c r="AQ748" s="130"/>
      <c r="AR748" s="130"/>
      <c r="AS748" s="130"/>
      <c r="AT748" s="130"/>
      <c r="AU748" s="130"/>
      <c r="AV748" s="130"/>
      <c r="AW748" s="130"/>
      <c r="AX748" s="130"/>
      <c r="AY748" s="130"/>
      <c r="AZ748" s="130"/>
      <c r="BA748" s="130"/>
      <c r="BB748" s="130"/>
      <c r="BC748" s="130"/>
      <c r="BD748" s="130"/>
    </row>
    <row r="749" ht="15.75" customHeight="1">
      <c r="A749" s="142"/>
      <c r="B749" s="142"/>
      <c r="C749" s="198"/>
      <c r="D749" s="142"/>
      <c r="E749" s="131"/>
      <c r="F749" s="142"/>
      <c r="G749" s="142"/>
      <c r="H749" s="131"/>
      <c r="I749" s="142"/>
      <c r="J749" s="142"/>
      <c r="K749" s="132"/>
      <c r="L749" s="131"/>
      <c r="M749" s="142"/>
      <c r="N749" s="142"/>
      <c r="O749" s="142"/>
      <c r="P749" s="142"/>
      <c r="Q749" s="142"/>
      <c r="R749" s="142"/>
      <c r="S749" s="142"/>
      <c r="T749" s="142"/>
      <c r="U749" s="142"/>
      <c r="V749" s="142"/>
      <c r="W749" s="142"/>
      <c r="X749" s="142"/>
      <c r="Y749" s="142"/>
      <c r="Z749" s="142"/>
      <c r="AA749" s="142"/>
      <c r="AB749" s="142"/>
      <c r="AC749" s="142"/>
      <c r="AD749" s="142"/>
      <c r="AE749" s="142"/>
      <c r="AF749" s="142"/>
      <c r="AG749" s="142"/>
      <c r="AH749" s="142"/>
      <c r="AI749" s="142"/>
      <c r="AJ749" s="142"/>
      <c r="AK749" s="142"/>
      <c r="AL749" s="142"/>
      <c r="AM749" s="142"/>
      <c r="AN749" s="142"/>
      <c r="AO749" s="142"/>
      <c r="AP749" s="130"/>
      <c r="AQ749" s="130"/>
      <c r="AR749" s="130"/>
      <c r="AS749" s="130"/>
      <c r="AT749" s="130"/>
      <c r="AU749" s="130"/>
      <c r="AV749" s="130"/>
      <c r="AW749" s="130"/>
      <c r="AX749" s="130"/>
      <c r="AY749" s="130"/>
      <c r="AZ749" s="130"/>
      <c r="BA749" s="130"/>
      <c r="BB749" s="130"/>
      <c r="BC749" s="130"/>
      <c r="BD749" s="130"/>
    </row>
    <row r="750" ht="15.75" customHeight="1">
      <c r="A750" s="142"/>
      <c r="B750" s="142"/>
      <c r="C750" s="198"/>
      <c r="D750" s="142"/>
      <c r="E750" s="131"/>
      <c r="F750" s="142"/>
      <c r="G750" s="142"/>
      <c r="H750" s="131"/>
      <c r="I750" s="142"/>
      <c r="J750" s="142"/>
      <c r="K750" s="132"/>
      <c r="L750" s="131"/>
      <c r="M750" s="142"/>
      <c r="N750" s="142"/>
      <c r="O750" s="142"/>
      <c r="P750" s="142"/>
      <c r="Q750" s="142"/>
      <c r="R750" s="142"/>
      <c r="S750" s="142"/>
      <c r="T750" s="142"/>
      <c r="U750" s="142"/>
      <c r="V750" s="142"/>
      <c r="W750" s="142"/>
      <c r="X750" s="142"/>
      <c r="Y750" s="142"/>
      <c r="Z750" s="142"/>
      <c r="AA750" s="142"/>
      <c r="AB750" s="142"/>
      <c r="AC750" s="142"/>
      <c r="AD750" s="142"/>
      <c r="AE750" s="142"/>
      <c r="AF750" s="142"/>
      <c r="AG750" s="142"/>
      <c r="AH750" s="142"/>
      <c r="AI750" s="142"/>
      <c r="AJ750" s="142"/>
      <c r="AK750" s="142"/>
      <c r="AL750" s="142"/>
      <c r="AM750" s="142"/>
      <c r="AN750" s="142"/>
      <c r="AO750" s="142"/>
      <c r="AP750" s="130"/>
      <c r="AQ750" s="130"/>
      <c r="AR750" s="130"/>
      <c r="AS750" s="130"/>
      <c r="AT750" s="130"/>
      <c r="AU750" s="130"/>
      <c r="AV750" s="130"/>
      <c r="AW750" s="130"/>
      <c r="AX750" s="130"/>
      <c r="AY750" s="130"/>
      <c r="AZ750" s="130"/>
      <c r="BA750" s="130"/>
      <c r="BB750" s="130"/>
      <c r="BC750" s="130"/>
      <c r="BD750" s="130"/>
    </row>
    <row r="751" ht="15.75" customHeight="1">
      <c r="A751" s="142"/>
      <c r="B751" s="142"/>
      <c r="C751" s="198"/>
      <c r="D751" s="142"/>
      <c r="E751" s="131"/>
      <c r="F751" s="142"/>
      <c r="G751" s="142"/>
      <c r="H751" s="131"/>
      <c r="I751" s="142"/>
      <c r="J751" s="142"/>
      <c r="K751" s="132"/>
      <c r="L751" s="131"/>
      <c r="M751" s="142"/>
      <c r="N751" s="142"/>
      <c r="O751" s="142"/>
      <c r="P751" s="142"/>
      <c r="Q751" s="142"/>
      <c r="R751" s="142"/>
      <c r="S751" s="142"/>
      <c r="T751" s="142"/>
      <c r="U751" s="142"/>
      <c r="V751" s="142"/>
      <c r="W751" s="142"/>
      <c r="X751" s="142"/>
      <c r="Y751" s="142"/>
      <c r="Z751" s="142"/>
      <c r="AA751" s="142"/>
      <c r="AB751" s="142"/>
      <c r="AC751" s="142"/>
      <c r="AD751" s="142"/>
      <c r="AE751" s="142"/>
      <c r="AF751" s="142"/>
      <c r="AG751" s="142"/>
      <c r="AH751" s="142"/>
      <c r="AI751" s="142"/>
      <c r="AJ751" s="142"/>
      <c r="AK751" s="142"/>
      <c r="AL751" s="142"/>
      <c r="AM751" s="142"/>
      <c r="AN751" s="142"/>
      <c r="AO751" s="142"/>
      <c r="AP751" s="130"/>
      <c r="AQ751" s="130"/>
      <c r="AR751" s="130"/>
      <c r="AS751" s="130"/>
      <c r="AT751" s="130"/>
      <c r="AU751" s="130"/>
      <c r="AV751" s="130"/>
      <c r="AW751" s="130"/>
      <c r="AX751" s="130"/>
      <c r="AY751" s="130"/>
      <c r="AZ751" s="130"/>
      <c r="BA751" s="130"/>
      <c r="BB751" s="130"/>
      <c r="BC751" s="130"/>
      <c r="BD751" s="130"/>
    </row>
    <row r="752" ht="15.75" customHeight="1">
      <c r="A752" s="142"/>
      <c r="B752" s="142"/>
      <c r="C752" s="198"/>
      <c r="D752" s="142"/>
      <c r="E752" s="131"/>
      <c r="F752" s="142"/>
      <c r="G752" s="142"/>
      <c r="H752" s="131"/>
      <c r="I752" s="142"/>
      <c r="J752" s="142"/>
      <c r="K752" s="132"/>
      <c r="L752" s="131"/>
      <c r="M752" s="142"/>
      <c r="N752" s="142"/>
      <c r="O752" s="142"/>
      <c r="P752" s="142"/>
      <c r="Q752" s="142"/>
      <c r="R752" s="142"/>
      <c r="S752" s="142"/>
      <c r="T752" s="142"/>
      <c r="U752" s="142"/>
      <c r="V752" s="142"/>
      <c r="W752" s="142"/>
      <c r="X752" s="142"/>
      <c r="Y752" s="142"/>
      <c r="Z752" s="142"/>
      <c r="AA752" s="142"/>
      <c r="AB752" s="142"/>
      <c r="AC752" s="142"/>
      <c r="AD752" s="142"/>
      <c r="AE752" s="142"/>
      <c r="AF752" s="142"/>
      <c r="AG752" s="142"/>
      <c r="AH752" s="142"/>
      <c r="AI752" s="142"/>
      <c r="AJ752" s="142"/>
      <c r="AK752" s="142"/>
      <c r="AL752" s="142"/>
      <c r="AM752" s="142"/>
      <c r="AN752" s="142"/>
      <c r="AO752" s="142"/>
      <c r="AP752" s="130"/>
      <c r="AQ752" s="130"/>
      <c r="AR752" s="130"/>
      <c r="AS752" s="130"/>
      <c r="AT752" s="130"/>
      <c r="AU752" s="130"/>
      <c r="AV752" s="130"/>
      <c r="AW752" s="130"/>
      <c r="AX752" s="130"/>
      <c r="AY752" s="130"/>
      <c r="AZ752" s="130"/>
      <c r="BA752" s="130"/>
      <c r="BB752" s="130"/>
      <c r="BC752" s="130"/>
      <c r="BD752" s="130"/>
    </row>
    <row r="753" ht="15.75" customHeight="1">
      <c r="A753" s="142"/>
      <c r="B753" s="142"/>
      <c r="C753" s="198"/>
      <c r="D753" s="142"/>
      <c r="E753" s="131"/>
      <c r="F753" s="142"/>
      <c r="G753" s="142"/>
      <c r="H753" s="131"/>
      <c r="I753" s="142"/>
      <c r="J753" s="142"/>
      <c r="K753" s="132"/>
      <c r="L753" s="131"/>
      <c r="M753" s="142"/>
      <c r="N753" s="142"/>
      <c r="O753" s="142"/>
      <c r="P753" s="142"/>
      <c r="Q753" s="142"/>
      <c r="R753" s="142"/>
      <c r="S753" s="142"/>
      <c r="T753" s="142"/>
      <c r="U753" s="142"/>
      <c r="V753" s="142"/>
      <c r="W753" s="142"/>
      <c r="X753" s="142"/>
      <c r="Y753" s="142"/>
      <c r="Z753" s="142"/>
      <c r="AA753" s="142"/>
      <c r="AB753" s="142"/>
      <c r="AC753" s="142"/>
      <c r="AD753" s="142"/>
      <c r="AE753" s="142"/>
      <c r="AF753" s="142"/>
      <c r="AG753" s="142"/>
      <c r="AH753" s="142"/>
      <c r="AI753" s="142"/>
      <c r="AJ753" s="142"/>
      <c r="AK753" s="142"/>
      <c r="AL753" s="142"/>
      <c r="AM753" s="142"/>
      <c r="AN753" s="142"/>
      <c r="AO753" s="142"/>
      <c r="AP753" s="130"/>
      <c r="AQ753" s="130"/>
      <c r="AR753" s="130"/>
      <c r="AS753" s="130"/>
      <c r="AT753" s="130"/>
      <c r="AU753" s="130"/>
      <c r="AV753" s="130"/>
      <c r="AW753" s="130"/>
      <c r="AX753" s="130"/>
      <c r="AY753" s="130"/>
      <c r="AZ753" s="130"/>
      <c r="BA753" s="130"/>
      <c r="BB753" s="130"/>
      <c r="BC753" s="130"/>
      <c r="BD753" s="130"/>
    </row>
    <row r="754" ht="15.75" customHeight="1">
      <c r="A754" s="142"/>
      <c r="B754" s="142"/>
      <c r="C754" s="198"/>
      <c r="D754" s="142"/>
      <c r="E754" s="131"/>
      <c r="F754" s="142"/>
      <c r="G754" s="142"/>
      <c r="H754" s="131"/>
      <c r="I754" s="142"/>
      <c r="J754" s="142"/>
      <c r="K754" s="132"/>
      <c r="L754" s="131"/>
      <c r="M754" s="142"/>
      <c r="N754" s="142"/>
      <c r="O754" s="142"/>
      <c r="P754" s="142"/>
      <c r="Q754" s="142"/>
      <c r="R754" s="142"/>
      <c r="S754" s="142"/>
      <c r="T754" s="142"/>
      <c r="U754" s="142"/>
      <c r="V754" s="142"/>
      <c r="W754" s="142"/>
      <c r="X754" s="142"/>
      <c r="Y754" s="142"/>
      <c r="Z754" s="142"/>
      <c r="AA754" s="142"/>
      <c r="AB754" s="142"/>
      <c r="AC754" s="142"/>
      <c r="AD754" s="142"/>
      <c r="AE754" s="142"/>
      <c r="AF754" s="142"/>
      <c r="AG754" s="142"/>
      <c r="AH754" s="142"/>
      <c r="AI754" s="142"/>
      <c r="AJ754" s="142"/>
      <c r="AK754" s="142"/>
      <c r="AL754" s="142"/>
      <c r="AM754" s="142"/>
      <c r="AN754" s="142"/>
      <c r="AO754" s="142"/>
      <c r="AP754" s="130"/>
      <c r="AQ754" s="130"/>
      <c r="AR754" s="130"/>
      <c r="AS754" s="130"/>
      <c r="AT754" s="130"/>
      <c r="AU754" s="130"/>
      <c r="AV754" s="130"/>
      <c r="AW754" s="130"/>
      <c r="AX754" s="130"/>
      <c r="AY754" s="130"/>
      <c r="AZ754" s="130"/>
      <c r="BA754" s="130"/>
      <c r="BB754" s="130"/>
      <c r="BC754" s="130"/>
      <c r="BD754" s="130"/>
    </row>
    <row r="755" ht="15.75" customHeight="1">
      <c r="A755" s="142"/>
      <c r="B755" s="142"/>
      <c r="C755" s="198"/>
      <c r="D755" s="142"/>
      <c r="E755" s="131"/>
      <c r="F755" s="142"/>
      <c r="G755" s="142"/>
      <c r="H755" s="131"/>
      <c r="I755" s="142"/>
      <c r="J755" s="142"/>
      <c r="K755" s="132"/>
      <c r="L755" s="131"/>
      <c r="M755" s="142"/>
      <c r="N755" s="142"/>
      <c r="O755" s="142"/>
      <c r="P755" s="142"/>
      <c r="Q755" s="142"/>
      <c r="R755" s="142"/>
      <c r="S755" s="142"/>
      <c r="T755" s="142"/>
      <c r="U755" s="142"/>
      <c r="V755" s="142"/>
      <c r="W755" s="142"/>
      <c r="X755" s="142"/>
      <c r="Y755" s="142"/>
      <c r="Z755" s="142"/>
      <c r="AA755" s="142"/>
      <c r="AB755" s="142"/>
      <c r="AC755" s="142"/>
      <c r="AD755" s="142"/>
      <c r="AE755" s="142"/>
      <c r="AF755" s="142"/>
      <c r="AG755" s="142"/>
      <c r="AH755" s="142"/>
      <c r="AI755" s="142"/>
      <c r="AJ755" s="142"/>
      <c r="AK755" s="142"/>
      <c r="AL755" s="142"/>
      <c r="AM755" s="142"/>
      <c r="AN755" s="142"/>
      <c r="AO755" s="142"/>
      <c r="AP755" s="130"/>
      <c r="AQ755" s="130"/>
      <c r="AR755" s="130"/>
      <c r="AS755" s="130"/>
      <c r="AT755" s="130"/>
      <c r="AU755" s="130"/>
      <c r="AV755" s="130"/>
      <c r="AW755" s="130"/>
      <c r="AX755" s="130"/>
      <c r="AY755" s="130"/>
      <c r="AZ755" s="130"/>
      <c r="BA755" s="130"/>
      <c r="BB755" s="130"/>
      <c r="BC755" s="130"/>
      <c r="BD755" s="130"/>
    </row>
    <row r="756" ht="15.75" customHeight="1">
      <c r="A756" s="142"/>
      <c r="B756" s="142"/>
      <c r="C756" s="198"/>
      <c r="D756" s="142"/>
      <c r="E756" s="131"/>
      <c r="F756" s="142"/>
      <c r="G756" s="142"/>
      <c r="H756" s="131"/>
      <c r="I756" s="142"/>
      <c r="J756" s="142"/>
      <c r="K756" s="132"/>
      <c r="L756" s="131"/>
      <c r="M756" s="142"/>
      <c r="N756" s="142"/>
      <c r="O756" s="142"/>
      <c r="P756" s="142"/>
      <c r="Q756" s="142"/>
      <c r="R756" s="142"/>
      <c r="S756" s="142"/>
      <c r="T756" s="142"/>
      <c r="U756" s="142"/>
      <c r="V756" s="142"/>
      <c r="W756" s="142"/>
      <c r="X756" s="142"/>
      <c r="Y756" s="142"/>
      <c r="Z756" s="142"/>
      <c r="AA756" s="142"/>
      <c r="AB756" s="142"/>
      <c r="AC756" s="142"/>
      <c r="AD756" s="142"/>
      <c r="AE756" s="142"/>
      <c r="AF756" s="142"/>
      <c r="AG756" s="142"/>
      <c r="AH756" s="142"/>
      <c r="AI756" s="142"/>
      <c r="AJ756" s="142"/>
      <c r="AK756" s="142"/>
      <c r="AL756" s="142"/>
      <c r="AM756" s="142"/>
      <c r="AN756" s="142"/>
      <c r="AO756" s="142"/>
      <c r="AP756" s="130"/>
      <c r="AQ756" s="130"/>
      <c r="AR756" s="130"/>
      <c r="AS756" s="130"/>
      <c r="AT756" s="130"/>
      <c r="AU756" s="130"/>
      <c r="AV756" s="130"/>
      <c r="AW756" s="130"/>
      <c r="AX756" s="130"/>
      <c r="AY756" s="130"/>
      <c r="AZ756" s="130"/>
      <c r="BA756" s="130"/>
      <c r="BB756" s="130"/>
      <c r="BC756" s="130"/>
      <c r="BD756" s="130"/>
    </row>
    <row r="757" ht="15.75" customHeight="1">
      <c r="A757" s="142"/>
      <c r="B757" s="142"/>
      <c r="C757" s="198"/>
      <c r="D757" s="142"/>
      <c r="E757" s="131"/>
      <c r="F757" s="142"/>
      <c r="G757" s="142"/>
      <c r="H757" s="131"/>
      <c r="I757" s="142"/>
      <c r="J757" s="142"/>
      <c r="K757" s="132"/>
      <c r="L757" s="131"/>
      <c r="M757" s="142"/>
      <c r="N757" s="142"/>
      <c r="O757" s="142"/>
      <c r="P757" s="142"/>
      <c r="Q757" s="142"/>
      <c r="R757" s="142"/>
      <c r="S757" s="142"/>
      <c r="T757" s="142"/>
      <c r="U757" s="142"/>
      <c r="V757" s="142"/>
      <c r="W757" s="142"/>
      <c r="X757" s="142"/>
      <c r="Y757" s="142"/>
      <c r="Z757" s="142"/>
      <c r="AA757" s="142"/>
      <c r="AB757" s="142"/>
      <c r="AC757" s="142"/>
      <c r="AD757" s="142"/>
      <c r="AE757" s="142"/>
      <c r="AF757" s="142"/>
      <c r="AG757" s="142"/>
      <c r="AH757" s="142"/>
      <c r="AI757" s="142"/>
      <c r="AJ757" s="142"/>
      <c r="AK757" s="142"/>
      <c r="AL757" s="142"/>
      <c r="AM757" s="142"/>
      <c r="AN757" s="142"/>
      <c r="AO757" s="142"/>
      <c r="AP757" s="130"/>
      <c r="AQ757" s="130"/>
      <c r="AR757" s="130"/>
      <c r="AS757" s="130"/>
      <c r="AT757" s="130"/>
      <c r="AU757" s="130"/>
      <c r="AV757" s="130"/>
      <c r="AW757" s="130"/>
      <c r="AX757" s="130"/>
      <c r="AY757" s="130"/>
      <c r="AZ757" s="130"/>
      <c r="BA757" s="130"/>
      <c r="BB757" s="130"/>
      <c r="BC757" s="130"/>
      <c r="BD757" s="130"/>
    </row>
    <row r="758" ht="15.75" customHeight="1">
      <c r="A758" s="142"/>
      <c r="B758" s="142"/>
      <c r="C758" s="198"/>
      <c r="D758" s="142"/>
      <c r="E758" s="131"/>
      <c r="F758" s="142"/>
      <c r="G758" s="142"/>
      <c r="H758" s="131"/>
      <c r="I758" s="142"/>
      <c r="J758" s="142"/>
      <c r="K758" s="132"/>
      <c r="L758" s="131"/>
      <c r="M758" s="142"/>
      <c r="N758" s="142"/>
      <c r="O758" s="142"/>
      <c r="P758" s="142"/>
      <c r="Q758" s="142"/>
      <c r="R758" s="142"/>
      <c r="S758" s="142"/>
      <c r="T758" s="142"/>
      <c r="U758" s="142"/>
      <c r="V758" s="142"/>
      <c r="W758" s="142"/>
      <c r="X758" s="142"/>
      <c r="Y758" s="142"/>
      <c r="Z758" s="142"/>
      <c r="AA758" s="142"/>
      <c r="AB758" s="142"/>
      <c r="AC758" s="142"/>
      <c r="AD758" s="142"/>
      <c r="AE758" s="142"/>
      <c r="AF758" s="142"/>
      <c r="AG758" s="142"/>
      <c r="AH758" s="142"/>
      <c r="AI758" s="142"/>
      <c r="AJ758" s="142"/>
      <c r="AK758" s="142"/>
      <c r="AL758" s="142"/>
      <c r="AM758" s="142"/>
      <c r="AN758" s="142"/>
      <c r="AO758" s="142"/>
      <c r="AP758" s="130"/>
      <c r="AQ758" s="130"/>
      <c r="AR758" s="130"/>
      <c r="AS758" s="130"/>
      <c r="AT758" s="130"/>
      <c r="AU758" s="130"/>
      <c r="AV758" s="130"/>
      <c r="AW758" s="130"/>
      <c r="AX758" s="130"/>
      <c r="AY758" s="130"/>
      <c r="AZ758" s="130"/>
      <c r="BA758" s="130"/>
      <c r="BB758" s="130"/>
      <c r="BC758" s="130"/>
      <c r="BD758" s="130"/>
    </row>
    <row r="759" ht="15.75" customHeight="1">
      <c r="A759" s="142"/>
      <c r="B759" s="142"/>
      <c r="C759" s="198"/>
      <c r="D759" s="142"/>
      <c r="E759" s="131"/>
      <c r="F759" s="142"/>
      <c r="G759" s="142"/>
      <c r="H759" s="131"/>
      <c r="I759" s="142"/>
      <c r="J759" s="142"/>
      <c r="K759" s="132"/>
      <c r="L759" s="131"/>
      <c r="M759" s="142"/>
      <c r="N759" s="142"/>
      <c r="O759" s="142"/>
      <c r="P759" s="142"/>
      <c r="Q759" s="142"/>
      <c r="R759" s="142"/>
      <c r="S759" s="142"/>
      <c r="T759" s="142"/>
      <c r="U759" s="142"/>
      <c r="V759" s="142"/>
      <c r="W759" s="142"/>
      <c r="X759" s="142"/>
      <c r="Y759" s="142"/>
      <c r="Z759" s="142"/>
      <c r="AA759" s="142"/>
      <c r="AB759" s="142"/>
      <c r="AC759" s="142"/>
      <c r="AD759" s="142"/>
      <c r="AE759" s="142"/>
      <c r="AF759" s="142"/>
      <c r="AG759" s="142"/>
      <c r="AH759" s="142"/>
      <c r="AI759" s="142"/>
      <c r="AJ759" s="142"/>
      <c r="AK759" s="142"/>
      <c r="AL759" s="142"/>
      <c r="AM759" s="142"/>
      <c r="AN759" s="142"/>
      <c r="AO759" s="142"/>
      <c r="AP759" s="130"/>
      <c r="AQ759" s="130"/>
      <c r="AR759" s="130"/>
      <c r="AS759" s="130"/>
      <c r="AT759" s="130"/>
      <c r="AU759" s="130"/>
      <c r="AV759" s="130"/>
      <c r="AW759" s="130"/>
      <c r="AX759" s="130"/>
      <c r="AY759" s="130"/>
      <c r="AZ759" s="130"/>
      <c r="BA759" s="130"/>
      <c r="BB759" s="130"/>
      <c r="BC759" s="130"/>
      <c r="BD759" s="130"/>
    </row>
    <row r="760" ht="15.75" customHeight="1">
      <c r="A760" s="142"/>
      <c r="B760" s="142"/>
      <c r="C760" s="198"/>
      <c r="D760" s="142"/>
      <c r="E760" s="131"/>
      <c r="F760" s="142"/>
      <c r="G760" s="142"/>
      <c r="H760" s="131"/>
      <c r="I760" s="142"/>
      <c r="J760" s="142"/>
      <c r="K760" s="132"/>
      <c r="L760" s="131"/>
      <c r="M760" s="142"/>
      <c r="N760" s="142"/>
      <c r="O760" s="142"/>
      <c r="P760" s="142"/>
      <c r="Q760" s="142"/>
      <c r="R760" s="142"/>
      <c r="S760" s="142"/>
      <c r="T760" s="142"/>
      <c r="U760" s="142"/>
      <c r="V760" s="142"/>
      <c r="W760" s="142"/>
      <c r="X760" s="142"/>
      <c r="Y760" s="142"/>
      <c r="Z760" s="142"/>
      <c r="AA760" s="142"/>
      <c r="AB760" s="142"/>
      <c r="AC760" s="142"/>
      <c r="AD760" s="142"/>
      <c r="AE760" s="142"/>
      <c r="AF760" s="142"/>
      <c r="AG760" s="142"/>
      <c r="AH760" s="142"/>
      <c r="AI760" s="142"/>
      <c r="AJ760" s="142"/>
      <c r="AK760" s="142"/>
      <c r="AL760" s="142"/>
      <c r="AM760" s="142"/>
      <c r="AN760" s="142"/>
      <c r="AO760" s="142"/>
      <c r="AP760" s="130"/>
      <c r="AQ760" s="130"/>
      <c r="AR760" s="130"/>
      <c r="AS760" s="130"/>
      <c r="AT760" s="130"/>
      <c r="AU760" s="130"/>
      <c r="AV760" s="130"/>
      <c r="AW760" s="130"/>
      <c r="AX760" s="130"/>
      <c r="AY760" s="130"/>
      <c r="AZ760" s="130"/>
      <c r="BA760" s="130"/>
      <c r="BB760" s="130"/>
      <c r="BC760" s="130"/>
      <c r="BD760" s="130"/>
    </row>
    <row r="761" ht="15.75" customHeight="1">
      <c r="A761" s="142"/>
      <c r="B761" s="142"/>
      <c r="C761" s="198"/>
      <c r="D761" s="142"/>
      <c r="E761" s="131"/>
      <c r="F761" s="142"/>
      <c r="G761" s="142"/>
      <c r="H761" s="131"/>
      <c r="I761" s="142"/>
      <c r="J761" s="142"/>
      <c r="K761" s="132"/>
      <c r="L761" s="131"/>
      <c r="M761" s="142"/>
      <c r="N761" s="142"/>
      <c r="O761" s="142"/>
      <c r="P761" s="142"/>
      <c r="Q761" s="142"/>
      <c r="R761" s="142"/>
      <c r="S761" s="142"/>
      <c r="T761" s="142"/>
      <c r="U761" s="142"/>
      <c r="V761" s="142"/>
      <c r="W761" s="142"/>
      <c r="X761" s="142"/>
      <c r="Y761" s="142"/>
      <c r="Z761" s="142"/>
      <c r="AA761" s="142"/>
      <c r="AB761" s="142"/>
      <c r="AC761" s="142"/>
      <c r="AD761" s="142"/>
      <c r="AE761" s="142"/>
      <c r="AF761" s="142"/>
      <c r="AG761" s="142"/>
      <c r="AH761" s="142"/>
      <c r="AI761" s="142"/>
      <c r="AJ761" s="142"/>
      <c r="AK761" s="142"/>
      <c r="AL761" s="142"/>
      <c r="AM761" s="142"/>
      <c r="AN761" s="142"/>
      <c r="AO761" s="142"/>
      <c r="AP761" s="130"/>
      <c r="AQ761" s="130"/>
      <c r="AR761" s="130"/>
      <c r="AS761" s="130"/>
      <c r="AT761" s="130"/>
      <c r="AU761" s="130"/>
      <c r="AV761" s="130"/>
      <c r="AW761" s="130"/>
      <c r="AX761" s="130"/>
      <c r="AY761" s="130"/>
      <c r="AZ761" s="130"/>
      <c r="BA761" s="130"/>
      <c r="BB761" s="130"/>
      <c r="BC761" s="130"/>
      <c r="BD761" s="130"/>
    </row>
    <row r="762" ht="15.75" customHeight="1">
      <c r="A762" s="142"/>
      <c r="B762" s="142"/>
      <c r="C762" s="198"/>
      <c r="D762" s="142"/>
      <c r="E762" s="131"/>
      <c r="F762" s="142"/>
      <c r="G762" s="142"/>
      <c r="H762" s="131"/>
      <c r="I762" s="142"/>
      <c r="J762" s="142"/>
      <c r="K762" s="132"/>
      <c r="L762" s="131"/>
      <c r="M762" s="142"/>
      <c r="N762" s="142"/>
      <c r="O762" s="142"/>
      <c r="P762" s="142"/>
      <c r="Q762" s="142"/>
      <c r="R762" s="142"/>
      <c r="S762" s="142"/>
      <c r="T762" s="142"/>
      <c r="U762" s="142"/>
      <c r="V762" s="142"/>
      <c r="W762" s="142"/>
      <c r="X762" s="142"/>
      <c r="Y762" s="142"/>
      <c r="Z762" s="142"/>
      <c r="AA762" s="142"/>
      <c r="AB762" s="142"/>
      <c r="AC762" s="142"/>
      <c r="AD762" s="142"/>
      <c r="AE762" s="142"/>
      <c r="AF762" s="142"/>
      <c r="AG762" s="142"/>
      <c r="AH762" s="142"/>
      <c r="AI762" s="142"/>
      <c r="AJ762" s="142"/>
      <c r="AK762" s="142"/>
      <c r="AL762" s="142"/>
      <c r="AM762" s="142"/>
      <c r="AN762" s="142"/>
      <c r="AO762" s="142"/>
      <c r="AP762" s="130"/>
      <c r="AQ762" s="130"/>
      <c r="AR762" s="130"/>
      <c r="AS762" s="130"/>
      <c r="AT762" s="130"/>
      <c r="AU762" s="130"/>
      <c r="AV762" s="130"/>
      <c r="AW762" s="130"/>
      <c r="AX762" s="130"/>
      <c r="AY762" s="130"/>
      <c r="AZ762" s="130"/>
      <c r="BA762" s="130"/>
      <c r="BB762" s="130"/>
      <c r="BC762" s="130"/>
      <c r="BD762" s="130"/>
    </row>
    <row r="763" ht="15.75" customHeight="1">
      <c r="A763" s="142"/>
      <c r="B763" s="142"/>
      <c r="C763" s="198"/>
      <c r="D763" s="142"/>
      <c r="E763" s="131"/>
      <c r="F763" s="142"/>
      <c r="G763" s="142"/>
      <c r="H763" s="131"/>
      <c r="I763" s="142"/>
      <c r="J763" s="142"/>
      <c r="K763" s="132"/>
      <c r="L763" s="131"/>
      <c r="M763" s="142"/>
      <c r="N763" s="142"/>
      <c r="O763" s="142"/>
      <c r="P763" s="142"/>
      <c r="Q763" s="142"/>
      <c r="R763" s="142"/>
      <c r="S763" s="142"/>
      <c r="T763" s="142"/>
      <c r="U763" s="142"/>
      <c r="V763" s="142"/>
      <c r="W763" s="142"/>
      <c r="X763" s="142"/>
      <c r="Y763" s="142"/>
      <c r="Z763" s="142"/>
      <c r="AA763" s="142"/>
      <c r="AB763" s="142"/>
      <c r="AC763" s="142"/>
      <c r="AD763" s="142"/>
      <c r="AE763" s="142"/>
      <c r="AF763" s="142"/>
      <c r="AG763" s="142"/>
      <c r="AH763" s="142"/>
      <c r="AI763" s="142"/>
      <c r="AJ763" s="142"/>
      <c r="AK763" s="142"/>
      <c r="AL763" s="142"/>
      <c r="AM763" s="142"/>
      <c r="AN763" s="142"/>
      <c r="AO763" s="142"/>
      <c r="AP763" s="130"/>
      <c r="AQ763" s="130"/>
      <c r="AR763" s="130"/>
      <c r="AS763" s="130"/>
      <c r="AT763" s="130"/>
      <c r="AU763" s="130"/>
      <c r="AV763" s="130"/>
      <c r="AW763" s="130"/>
      <c r="AX763" s="130"/>
      <c r="AY763" s="130"/>
      <c r="AZ763" s="130"/>
      <c r="BA763" s="130"/>
      <c r="BB763" s="130"/>
      <c r="BC763" s="130"/>
      <c r="BD763" s="130"/>
    </row>
    <row r="764" ht="15.75" customHeight="1">
      <c r="A764" s="142"/>
      <c r="B764" s="142"/>
      <c r="C764" s="198"/>
      <c r="D764" s="142"/>
      <c r="E764" s="131"/>
      <c r="F764" s="142"/>
      <c r="G764" s="142"/>
      <c r="H764" s="131"/>
      <c r="I764" s="142"/>
      <c r="J764" s="142"/>
      <c r="K764" s="132"/>
      <c r="L764" s="131"/>
      <c r="M764" s="142"/>
      <c r="N764" s="142"/>
      <c r="O764" s="142"/>
      <c r="P764" s="142"/>
      <c r="Q764" s="142"/>
      <c r="R764" s="142"/>
      <c r="S764" s="142"/>
      <c r="T764" s="142"/>
      <c r="U764" s="142"/>
      <c r="V764" s="142"/>
      <c r="W764" s="142"/>
      <c r="X764" s="142"/>
      <c r="Y764" s="142"/>
      <c r="Z764" s="142"/>
      <c r="AA764" s="142"/>
      <c r="AB764" s="142"/>
      <c r="AC764" s="142"/>
      <c r="AD764" s="142"/>
      <c r="AE764" s="142"/>
      <c r="AF764" s="142"/>
      <c r="AG764" s="142"/>
      <c r="AH764" s="142"/>
      <c r="AI764" s="142"/>
      <c r="AJ764" s="142"/>
      <c r="AK764" s="142"/>
      <c r="AL764" s="142"/>
      <c r="AM764" s="142"/>
      <c r="AN764" s="142"/>
      <c r="AO764" s="142"/>
      <c r="AP764" s="130"/>
      <c r="AQ764" s="130"/>
      <c r="AR764" s="130"/>
      <c r="AS764" s="130"/>
      <c r="AT764" s="130"/>
      <c r="AU764" s="130"/>
      <c r="AV764" s="130"/>
      <c r="AW764" s="130"/>
      <c r="AX764" s="130"/>
      <c r="AY764" s="130"/>
      <c r="AZ764" s="130"/>
      <c r="BA764" s="130"/>
      <c r="BB764" s="130"/>
      <c r="BC764" s="130"/>
      <c r="BD764" s="130"/>
    </row>
    <row r="765" ht="15.75" customHeight="1">
      <c r="A765" s="142"/>
      <c r="B765" s="142"/>
      <c r="C765" s="198"/>
      <c r="D765" s="142"/>
      <c r="E765" s="131"/>
      <c r="F765" s="142"/>
      <c r="G765" s="142"/>
      <c r="H765" s="131"/>
      <c r="I765" s="142"/>
      <c r="J765" s="142"/>
      <c r="K765" s="132"/>
      <c r="L765" s="131"/>
      <c r="M765" s="142"/>
      <c r="N765" s="142"/>
      <c r="O765" s="142"/>
      <c r="P765" s="142"/>
      <c r="Q765" s="142"/>
      <c r="R765" s="142"/>
      <c r="S765" s="142"/>
      <c r="T765" s="142"/>
      <c r="U765" s="142"/>
      <c r="V765" s="142"/>
      <c r="W765" s="142"/>
      <c r="X765" s="142"/>
      <c r="Y765" s="142"/>
      <c r="Z765" s="142"/>
      <c r="AA765" s="142"/>
      <c r="AB765" s="142"/>
      <c r="AC765" s="142"/>
      <c r="AD765" s="142"/>
      <c r="AE765" s="142"/>
      <c r="AF765" s="142"/>
      <c r="AG765" s="142"/>
      <c r="AH765" s="142"/>
      <c r="AI765" s="142"/>
      <c r="AJ765" s="142"/>
      <c r="AK765" s="142"/>
      <c r="AL765" s="142"/>
      <c r="AM765" s="142"/>
      <c r="AN765" s="142"/>
      <c r="AO765" s="142"/>
      <c r="AP765" s="130"/>
      <c r="AQ765" s="130"/>
      <c r="AR765" s="130"/>
      <c r="AS765" s="130"/>
      <c r="AT765" s="130"/>
      <c r="AU765" s="130"/>
      <c r="AV765" s="130"/>
      <c r="AW765" s="130"/>
      <c r="AX765" s="130"/>
      <c r="AY765" s="130"/>
      <c r="AZ765" s="130"/>
      <c r="BA765" s="130"/>
      <c r="BB765" s="130"/>
      <c r="BC765" s="130"/>
      <c r="BD765" s="130"/>
    </row>
    <row r="766" ht="15.75" customHeight="1">
      <c r="A766" s="142"/>
      <c r="B766" s="142"/>
      <c r="C766" s="198"/>
      <c r="D766" s="142"/>
      <c r="E766" s="131"/>
      <c r="F766" s="142"/>
      <c r="G766" s="142"/>
      <c r="H766" s="131"/>
      <c r="I766" s="142"/>
      <c r="J766" s="142"/>
      <c r="K766" s="132"/>
      <c r="L766" s="131"/>
      <c r="M766" s="142"/>
      <c r="N766" s="142"/>
      <c r="O766" s="142"/>
      <c r="P766" s="142"/>
      <c r="Q766" s="142"/>
      <c r="R766" s="142"/>
      <c r="S766" s="142"/>
      <c r="T766" s="142"/>
      <c r="U766" s="142"/>
      <c r="V766" s="142"/>
      <c r="W766" s="142"/>
      <c r="X766" s="142"/>
      <c r="Y766" s="142"/>
      <c r="Z766" s="142"/>
      <c r="AA766" s="142"/>
      <c r="AB766" s="142"/>
      <c r="AC766" s="142"/>
      <c r="AD766" s="142"/>
      <c r="AE766" s="142"/>
      <c r="AF766" s="142"/>
      <c r="AG766" s="142"/>
      <c r="AH766" s="142"/>
      <c r="AI766" s="142"/>
      <c r="AJ766" s="142"/>
      <c r="AK766" s="142"/>
      <c r="AL766" s="142"/>
      <c r="AM766" s="142"/>
      <c r="AN766" s="142"/>
      <c r="AO766" s="142"/>
      <c r="AP766" s="130"/>
      <c r="AQ766" s="130"/>
      <c r="AR766" s="130"/>
      <c r="AS766" s="130"/>
      <c r="AT766" s="130"/>
      <c r="AU766" s="130"/>
      <c r="AV766" s="130"/>
      <c r="AW766" s="130"/>
      <c r="AX766" s="130"/>
      <c r="AY766" s="130"/>
      <c r="AZ766" s="130"/>
      <c r="BA766" s="130"/>
      <c r="BB766" s="130"/>
      <c r="BC766" s="130"/>
      <c r="BD766" s="130"/>
    </row>
    <row r="767" ht="15.75" customHeight="1">
      <c r="A767" s="142"/>
      <c r="B767" s="142"/>
      <c r="C767" s="198"/>
      <c r="D767" s="142"/>
      <c r="E767" s="131"/>
      <c r="F767" s="142"/>
      <c r="G767" s="142"/>
      <c r="H767" s="131"/>
      <c r="I767" s="142"/>
      <c r="J767" s="142"/>
      <c r="K767" s="132"/>
      <c r="L767" s="131"/>
      <c r="M767" s="142"/>
      <c r="N767" s="142"/>
      <c r="O767" s="142"/>
      <c r="P767" s="142"/>
      <c r="Q767" s="142"/>
      <c r="R767" s="142"/>
      <c r="S767" s="142"/>
      <c r="T767" s="142"/>
      <c r="U767" s="142"/>
      <c r="V767" s="142"/>
      <c r="W767" s="142"/>
      <c r="X767" s="142"/>
      <c r="Y767" s="142"/>
      <c r="Z767" s="142"/>
      <c r="AA767" s="142"/>
      <c r="AB767" s="142"/>
      <c r="AC767" s="142"/>
      <c r="AD767" s="142"/>
      <c r="AE767" s="142"/>
      <c r="AF767" s="142"/>
      <c r="AG767" s="142"/>
      <c r="AH767" s="142"/>
      <c r="AI767" s="142"/>
      <c r="AJ767" s="142"/>
      <c r="AK767" s="142"/>
      <c r="AL767" s="142"/>
      <c r="AM767" s="142"/>
      <c r="AN767" s="142"/>
      <c r="AO767" s="142"/>
      <c r="AP767" s="130"/>
      <c r="AQ767" s="130"/>
      <c r="AR767" s="130"/>
      <c r="AS767" s="130"/>
      <c r="AT767" s="130"/>
      <c r="AU767" s="130"/>
      <c r="AV767" s="130"/>
      <c r="AW767" s="130"/>
      <c r="AX767" s="130"/>
      <c r="AY767" s="130"/>
      <c r="AZ767" s="130"/>
      <c r="BA767" s="130"/>
      <c r="BB767" s="130"/>
      <c r="BC767" s="130"/>
      <c r="BD767" s="130"/>
    </row>
    <row r="768" ht="15.75" customHeight="1">
      <c r="A768" s="142"/>
      <c r="B768" s="142"/>
      <c r="C768" s="198"/>
      <c r="D768" s="142"/>
      <c r="E768" s="131"/>
      <c r="F768" s="142"/>
      <c r="G768" s="142"/>
      <c r="H768" s="131"/>
      <c r="I768" s="142"/>
      <c r="J768" s="142"/>
      <c r="K768" s="132"/>
      <c r="L768" s="131"/>
      <c r="M768" s="142"/>
      <c r="N768" s="142"/>
      <c r="O768" s="142"/>
      <c r="P768" s="142"/>
      <c r="Q768" s="142"/>
      <c r="R768" s="142"/>
      <c r="S768" s="142"/>
      <c r="T768" s="142"/>
      <c r="U768" s="142"/>
      <c r="V768" s="142"/>
      <c r="W768" s="142"/>
      <c r="X768" s="142"/>
      <c r="Y768" s="142"/>
      <c r="Z768" s="142"/>
      <c r="AA768" s="142"/>
      <c r="AB768" s="142"/>
      <c r="AC768" s="142"/>
      <c r="AD768" s="142"/>
      <c r="AE768" s="142"/>
      <c r="AF768" s="142"/>
      <c r="AG768" s="142"/>
      <c r="AH768" s="142"/>
      <c r="AI768" s="142"/>
      <c r="AJ768" s="142"/>
      <c r="AK768" s="142"/>
      <c r="AL768" s="142"/>
      <c r="AM768" s="142"/>
      <c r="AN768" s="142"/>
      <c r="AO768" s="142"/>
      <c r="AP768" s="130"/>
      <c r="AQ768" s="130"/>
      <c r="AR768" s="130"/>
      <c r="AS768" s="130"/>
      <c r="AT768" s="130"/>
      <c r="AU768" s="130"/>
      <c r="AV768" s="130"/>
      <c r="AW768" s="130"/>
      <c r="AX768" s="130"/>
      <c r="AY768" s="130"/>
      <c r="AZ768" s="130"/>
      <c r="BA768" s="130"/>
      <c r="BB768" s="130"/>
      <c r="BC768" s="130"/>
      <c r="BD768" s="130"/>
    </row>
    <row r="769" ht="15.75" customHeight="1">
      <c r="A769" s="142"/>
      <c r="B769" s="142"/>
      <c r="C769" s="198"/>
      <c r="D769" s="142"/>
      <c r="E769" s="131"/>
      <c r="F769" s="142"/>
      <c r="G769" s="142"/>
      <c r="H769" s="131"/>
      <c r="I769" s="142"/>
      <c r="J769" s="142"/>
      <c r="K769" s="132"/>
      <c r="L769" s="131"/>
      <c r="M769" s="142"/>
      <c r="N769" s="142"/>
      <c r="O769" s="142"/>
      <c r="P769" s="142"/>
      <c r="Q769" s="142"/>
      <c r="R769" s="142"/>
      <c r="S769" s="142"/>
      <c r="T769" s="142"/>
      <c r="U769" s="142"/>
      <c r="V769" s="142"/>
      <c r="W769" s="142"/>
      <c r="X769" s="142"/>
      <c r="Y769" s="142"/>
      <c r="Z769" s="142"/>
      <c r="AA769" s="142"/>
      <c r="AB769" s="142"/>
      <c r="AC769" s="142"/>
      <c r="AD769" s="142"/>
      <c r="AE769" s="142"/>
      <c r="AF769" s="142"/>
      <c r="AG769" s="142"/>
      <c r="AH769" s="142"/>
      <c r="AI769" s="142"/>
      <c r="AJ769" s="142"/>
      <c r="AK769" s="142"/>
      <c r="AL769" s="142"/>
      <c r="AM769" s="142"/>
      <c r="AN769" s="142"/>
      <c r="AO769" s="142"/>
      <c r="AP769" s="130"/>
      <c r="AQ769" s="130"/>
      <c r="AR769" s="130"/>
      <c r="AS769" s="130"/>
      <c r="AT769" s="130"/>
      <c r="AU769" s="130"/>
      <c r="AV769" s="130"/>
      <c r="AW769" s="130"/>
      <c r="AX769" s="130"/>
      <c r="AY769" s="130"/>
      <c r="AZ769" s="130"/>
      <c r="BA769" s="130"/>
      <c r="BB769" s="130"/>
      <c r="BC769" s="130"/>
      <c r="BD769" s="130"/>
    </row>
    <row r="770" ht="15.75" customHeight="1">
      <c r="A770" s="142"/>
      <c r="B770" s="142"/>
      <c r="C770" s="198"/>
      <c r="D770" s="142"/>
      <c r="E770" s="131"/>
      <c r="F770" s="142"/>
      <c r="G770" s="142"/>
      <c r="H770" s="131"/>
      <c r="I770" s="142"/>
      <c r="J770" s="142"/>
      <c r="K770" s="132"/>
      <c r="L770" s="131"/>
      <c r="M770" s="142"/>
      <c r="N770" s="142"/>
      <c r="O770" s="142"/>
      <c r="P770" s="142"/>
      <c r="Q770" s="142"/>
      <c r="R770" s="142"/>
      <c r="S770" s="142"/>
      <c r="T770" s="142"/>
      <c r="U770" s="142"/>
      <c r="V770" s="142"/>
      <c r="W770" s="142"/>
      <c r="X770" s="142"/>
      <c r="Y770" s="142"/>
      <c r="Z770" s="142"/>
      <c r="AA770" s="142"/>
      <c r="AB770" s="142"/>
      <c r="AC770" s="142"/>
      <c r="AD770" s="142"/>
      <c r="AE770" s="142"/>
      <c r="AF770" s="142"/>
      <c r="AG770" s="142"/>
      <c r="AH770" s="142"/>
      <c r="AI770" s="142"/>
      <c r="AJ770" s="142"/>
      <c r="AK770" s="142"/>
      <c r="AL770" s="142"/>
      <c r="AM770" s="142"/>
      <c r="AN770" s="142"/>
      <c r="AO770" s="142"/>
      <c r="AP770" s="130"/>
      <c r="AQ770" s="130"/>
      <c r="AR770" s="130"/>
      <c r="AS770" s="130"/>
      <c r="AT770" s="130"/>
      <c r="AU770" s="130"/>
      <c r="AV770" s="130"/>
      <c r="AW770" s="130"/>
      <c r="AX770" s="130"/>
      <c r="AY770" s="130"/>
      <c r="AZ770" s="130"/>
      <c r="BA770" s="130"/>
      <c r="BB770" s="130"/>
      <c r="BC770" s="130"/>
      <c r="BD770" s="130"/>
    </row>
    <row r="771" ht="15.75" customHeight="1">
      <c r="A771" s="142"/>
      <c r="B771" s="142"/>
      <c r="C771" s="198"/>
      <c r="D771" s="142"/>
      <c r="E771" s="131"/>
      <c r="F771" s="142"/>
      <c r="G771" s="142"/>
      <c r="H771" s="131"/>
      <c r="I771" s="142"/>
      <c r="J771" s="142"/>
      <c r="K771" s="132"/>
      <c r="L771" s="131"/>
      <c r="M771" s="142"/>
      <c r="N771" s="142"/>
      <c r="O771" s="142"/>
      <c r="P771" s="142"/>
      <c r="Q771" s="142"/>
      <c r="R771" s="142"/>
      <c r="S771" s="142"/>
      <c r="T771" s="142"/>
      <c r="U771" s="142"/>
      <c r="V771" s="142"/>
      <c r="W771" s="142"/>
      <c r="X771" s="142"/>
      <c r="Y771" s="142"/>
      <c r="Z771" s="142"/>
      <c r="AA771" s="142"/>
      <c r="AB771" s="142"/>
      <c r="AC771" s="142"/>
      <c r="AD771" s="142"/>
      <c r="AE771" s="142"/>
      <c r="AF771" s="142"/>
      <c r="AG771" s="142"/>
      <c r="AH771" s="142"/>
      <c r="AI771" s="142"/>
      <c r="AJ771" s="142"/>
      <c r="AK771" s="142"/>
      <c r="AL771" s="142"/>
      <c r="AM771" s="142"/>
      <c r="AN771" s="142"/>
      <c r="AO771" s="142"/>
      <c r="AP771" s="130"/>
      <c r="AQ771" s="130"/>
      <c r="AR771" s="130"/>
      <c r="AS771" s="130"/>
      <c r="AT771" s="130"/>
      <c r="AU771" s="130"/>
      <c r="AV771" s="130"/>
      <c r="AW771" s="130"/>
      <c r="AX771" s="130"/>
      <c r="AY771" s="130"/>
      <c r="AZ771" s="130"/>
      <c r="BA771" s="130"/>
      <c r="BB771" s="130"/>
      <c r="BC771" s="130"/>
      <c r="BD771" s="130"/>
    </row>
    <row r="772" ht="15.75" customHeight="1">
      <c r="A772" s="142"/>
      <c r="B772" s="142"/>
      <c r="C772" s="198"/>
      <c r="D772" s="142"/>
      <c r="E772" s="131"/>
      <c r="F772" s="142"/>
      <c r="G772" s="142"/>
      <c r="H772" s="131"/>
      <c r="I772" s="142"/>
      <c r="J772" s="142"/>
      <c r="K772" s="132"/>
      <c r="L772" s="131"/>
      <c r="M772" s="142"/>
      <c r="N772" s="142"/>
      <c r="O772" s="142"/>
      <c r="P772" s="142"/>
      <c r="Q772" s="142"/>
      <c r="R772" s="142"/>
      <c r="S772" s="142"/>
      <c r="T772" s="142"/>
      <c r="U772" s="142"/>
      <c r="V772" s="142"/>
      <c r="W772" s="142"/>
      <c r="X772" s="142"/>
      <c r="Y772" s="142"/>
      <c r="Z772" s="142"/>
      <c r="AA772" s="142"/>
      <c r="AB772" s="142"/>
      <c r="AC772" s="142"/>
      <c r="AD772" s="142"/>
      <c r="AE772" s="142"/>
      <c r="AF772" s="142"/>
      <c r="AG772" s="142"/>
      <c r="AH772" s="142"/>
      <c r="AI772" s="142"/>
      <c r="AJ772" s="142"/>
      <c r="AK772" s="142"/>
      <c r="AL772" s="142"/>
      <c r="AM772" s="142"/>
      <c r="AN772" s="142"/>
      <c r="AO772" s="142"/>
      <c r="AP772" s="130"/>
      <c r="AQ772" s="130"/>
      <c r="AR772" s="130"/>
      <c r="AS772" s="130"/>
      <c r="AT772" s="130"/>
      <c r="AU772" s="130"/>
      <c r="AV772" s="130"/>
      <c r="AW772" s="130"/>
      <c r="AX772" s="130"/>
      <c r="AY772" s="130"/>
      <c r="AZ772" s="130"/>
      <c r="BA772" s="130"/>
      <c r="BB772" s="130"/>
      <c r="BC772" s="130"/>
      <c r="BD772" s="130"/>
    </row>
    <row r="773" ht="15.75" customHeight="1">
      <c r="A773" s="142"/>
      <c r="B773" s="142"/>
      <c r="C773" s="198"/>
      <c r="D773" s="142"/>
      <c r="E773" s="131"/>
      <c r="F773" s="142"/>
      <c r="G773" s="142"/>
      <c r="H773" s="131"/>
      <c r="I773" s="142"/>
      <c r="J773" s="142"/>
      <c r="K773" s="132"/>
      <c r="L773" s="131"/>
      <c r="M773" s="142"/>
      <c r="N773" s="142"/>
      <c r="O773" s="142"/>
      <c r="P773" s="142"/>
      <c r="Q773" s="142"/>
      <c r="R773" s="142"/>
      <c r="S773" s="142"/>
      <c r="T773" s="142"/>
      <c r="U773" s="142"/>
      <c r="V773" s="142"/>
      <c r="W773" s="142"/>
      <c r="X773" s="142"/>
      <c r="Y773" s="142"/>
      <c r="Z773" s="142"/>
      <c r="AA773" s="142"/>
      <c r="AB773" s="142"/>
      <c r="AC773" s="142"/>
      <c r="AD773" s="142"/>
      <c r="AE773" s="142"/>
      <c r="AF773" s="142"/>
      <c r="AG773" s="142"/>
      <c r="AH773" s="142"/>
      <c r="AI773" s="142"/>
      <c r="AJ773" s="142"/>
      <c r="AK773" s="142"/>
      <c r="AL773" s="142"/>
      <c r="AM773" s="142"/>
      <c r="AN773" s="142"/>
      <c r="AO773" s="142"/>
      <c r="AP773" s="130"/>
      <c r="AQ773" s="130"/>
      <c r="AR773" s="130"/>
      <c r="AS773" s="130"/>
      <c r="AT773" s="130"/>
      <c r="AU773" s="130"/>
      <c r="AV773" s="130"/>
      <c r="AW773" s="130"/>
      <c r="AX773" s="130"/>
      <c r="AY773" s="130"/>
      <c r="AZ773" s="130"/>
      <c r="BA773" s="130"/>
      <c r="BB773" s="130"/>
      <c r="BC773" s="130"/>
      <c r="BD773" s="130"/>
    </row>
    <row r="774" ht="15.75" customHeight="1">
      <c r="A774" s="142"/>
      <c r="B774" s="142"/>
      <c r="C774" s="198"/>
      <c r="D774" s="142"/>
      <c r="E774" s="131"/>
      <c r="F774" s="142"/>
      <c r="G774" s="142"/>
      <c r="H774" s="131"/>
      <c r="I774" s="142"/>
      <c r="J774" s="142"/>
      <c r="K774" s="132"/>
      <c r="L774" s="131"/>
      <c r="M774" s="142"/>
      <c r="N774" s="142"/>
      <c r="O774" s="142"/>
      <c r="P774" s="142"/>
      <c r="Q774" s="142"/>
      <c r="R774" s="142"/>
      <c r="S774" s="142"/>
      <c r="T774" s="142"/>
      <c r="U774" s="142"/>
      <c r="V774" s="142"/>
      <c r="W774" s="142"/>
      <c r="X774" s="142"/>
      <c r="Y774" s="142"/>
      <c r="Z774" s="142"/>
      <c r="AA774" s="142"/>
      <c r="AB774" s="142"/>
      <c r="AC774" s="142"/>
      <c r="AD774" s="142"/>
      <c r="AE774" s="142"/>
      <c r="AF774" s="142"/>
      <c r="AG774" s="142"/>
      <c r="AH774" s="142"/>
      <c r="AI774" s="142"/>
      <c r="AJ774" s="142"/>
      <c r="AK774" s="142"/>
      <c r="AL774" s="142"/>
      <c r="AM774" s="142"/>
      <c r="AN774" s="142"/>
      <c r="AO774" s="142"/>
      <c r="AP774" s="130"/>
      <c r="AQ774" s="130"/>
      <c r="AR774" s="130"/>
      <c r="AS774" s="130"/>
      <c r="AT774" s="130"/>
      <c r="AU774" s="130"/>
      <c r="AV774" s="130"/>
      <c r="AW774" s="130"/>
      <c r="AX774" s="130"/>
      <c r="AY774" s="130"/>
      <c r="AZ774" s="130"/>
      <c r="BA774" s="130"/>
      <c r="BB774" s="130"/>
      <c r="BC774" s="130"/>
      <c r="BD774" s="130"/>
    </row>
    <row r="775" ht="15.75" customHeight="1">
      <c r="A775" s="142"/>
      <c r="B775" s="142"/>
      <c r="C775" s="198"/>
      <c r="D775" s="142"/>
      <c r="E775" s="131"/>
      <c r="F775" s="142"/>
      <c r="G775" s="142"/>
      <c r="H775" s="131"/>
      <c r="I775" s="142"/>
      <c r="J775" s="142"/>
      <c r="K775" s="132"/>
      <c r="L775" s="131"/>
      <c r="M775" s="142"/>
      <c r="N775" s="142"/>
      <c r="O775" s="142"/>
      <c r="P775" s="142"/>
      <c r="Q775" s="142"/>
      <c r="R775" s="142"/>
      <c r="S775" s="142"/>
      <c r="T775" s="142"/>
      <c r="U775" s="142"/>
      <c r="V775" s="142"/>
      <c r="W775" s="142"/>
      <c r="X775" s="142"/>
      <c r="Y775" s="142"/>
      <c r="Z775" s="142"/>
      <c r="AA775" s="142"/>
      <c r="AB775" s="142"/>
      <c r="AC775" s="142"/>
      <c r="AD775" s="142"/>
      <c r="AE775" s="142"/>
      <c r="AF775" s="142"/>
      <c r="AG775" s="142"/>
      <c r="AH775" s="142"/>
      <c r="AI775" s="142"/>
      <c r="AJ775" s="142"/>
      <c r="AK775" s="142"/>
      <c r="AL775" s="142"/>
      <c r="AM775" s="142"/>
      <c r="AN775" s="142"/>
      <c r="AO775" s="142"/>
      <c r="AP775" s="130"/>
      <c r="AQ775" s="130"/>
      <c r="AR775" s="130"/>
      <c r="AS775" s="130"/>
      <c r="AT775" s="130"/>
      <c r="AU775" s="130"/>
      <c r="AV775" s="130"/>
      <c r="AW775" s="130"/>
      <c r="AX775" s="130"/>
      <c r="AY775" s="130"/>
      <c r="AZ775" s="130"/>
      <c r="BA775" s="130"/>
      <c r="BB775" s="130"/>
      <c r="BC775" s="130"/>
      <c r="BD775" s="130"/>
    </row>
    <row r="776" ht="15.75" customHeight="1">
      <c r="A776" s="142"/>
      <c r="B776" s="142"/>
      <c r="C776" s="198"/>
      <c r="D776" s="142"/>
      <c r="E776" s="131"/>
      <c r="F776" s="142"/>
      <c r="G776" s="142"/>
      <c r="H776" s="131"/>
      <c r="I776" s="142"/>
      <c r="J776" s="142"/>
      <c r="K776" s="132"/>
      <c r="L776" s="131"/>
      <c r="M776" s="142"/>
      <c r="N776" s="142"/>
      <c r="O776" s="142"/>
      <c r="P776" s="142"/>
      <c r="Q776" s="142"/>
      <c r="R776" s="142"/>
      <c r="S776" s="142"/>
      <c r="T776" s="142"/>
      <c r="U776" s="142"/>
      <c r="V776" s="142"/>
      <c r="W776" s="142"/>
      <c r="X776" s="142"/>
      <c r="Y776" s="142"/>
      <c r="Z776" s="142"/>
      <c r="AA776" s="142"/>
      <c r="AB776" s="142"/>
      <c r="AC776" s="142"/>
      <c r="AD776" s="142"/>
      <c r="AE776" s="142"/>
      <c r="AF776" s="142"/>
      <c r="AG776" s="142"/>
      <c r="AH776" s="142"/>
      <c r="AI776" s="142"/>
      <c r="AJ776" s="142"/>
      <c r="AK776" s="142"/>
      <c r="AL776" s="142"/>
      <c r="AM776" s="142"/>
      <c r="AN776" s="142"/>
      <c r="AO776" s="142"/>
      <c r="AP776" s="130"/>
      <c r="AQ776" s="130"/>
      <c r="AR776" s="130"/>
      <c r="AS776" s="130"/>
      <c r="AT776" s="130"/>
      <c r="AU776" s="130"/>
      <c r="AV776" s="130"/>
      <c r="AW776" s="130"/>
      <c r="AX776" s="130"/>
      <c r="AY776" s="130"/>
      <c r="AZ776" s="130"/>
      <c r="BA776" s="130"/>
      <c r="BB776" s="130"/>
      <c r="BC776" s="130"/>
      <c r="BD776" s="130"/>
    </row>
    <row r="777" ht="15.75" customHeight="1">
      <c r="A777" s="142"/>
      <c r="B777" s="142"/>
      <c r="C777" s="198"/>
      <c r="D777" s="142"/>
      <c r="E777" s="131"/>
      <c r="F777" s="142"/>
      <c r="G777" s="142"/>
      <c r="H777" s="131"/>
      <c r="I777" s="142"/>
      <c r="J777" s="142"/>
      <c r="K777" s="132"/>
      <c r="L777" s="131"/>
      <c r="M777" s="142"/>
      <c r="N777" s="142"/>
      <c r="O777" s="142"/>
      <c r="P777" s="142"/>
      <c r="Q777" s="142"/>
      <c r="R777" s="142"/>
      <c r="S777" s="142"/>
      <c r="T777" s="142"/>
      <c r="U777" s="142"/>
      <c r="V777" s="142"/>
      <c r="W777" s="142"/>
      <c r="X777" s="142"/>
      <c r="Y777" s="142"/>
      <c r="Z777" s="142"/>
      <c r="AA777" s="142"/>
      <c r="AB777" s="142"/>
      <c r="AC777" s="142"/>
      <c r="AD777" s="142"/>
      <c r="AE777" s="142"/>
      <c r="AF777" s="142"/>
      <c r="AG777" s="142"/>
      <c r="AH777" s="142"/>
      <c r="AI777" s="142"/>
      <c r="AJ777" s="142"/>
      <c r="AK777" s="142"/>
      <c r="AL777" s="142"/>
      <c r="AM777" s="142"/>
      <c r="AN777" s="142"/>
      <c r="AO777" s="142"/>
      <c r="AP777" s="130"/>
      <c r="AQ777" s="130"/>
      <c r="AR777" s="130"/>
      <c r="AS777" s="130"/>
      <c r="AT777" s="130"/>
      <c r="AU777" s="130"/>
      <c r="AV777" s="130"/>
      <c r="AW777" s="130"/>
      <c r="AX777" s="130"/>
      <c r="AY777" s="130"/>
      <c r="AZ777" s="130"/>
      <c r="BA777" s="130"/>
      <c r="BB777" s="130"/>
      <c r="BC777" s="130"/>
      <c r="BD777" s="130"/>
    </row>
    <row r="778" ht="15.75" customHeight="1">
      <c r="A778" s="142"/>
      <c r="B778" s="142"/>
      <c r="C778" s="198"/>
      <c r="D778" s="142"/>
      <c r="E778" s="131"/>
      <c r="F778" s="142"/>
      <c r="G778" s="142"/>
      <c r="H778" s="131"/>
      <c r="I778" s="142"/>
      <c r="J778" s="142"/>
      <c r="K778" s="132"/>
      <c r="L778" s="131"/>
      <c r="M778" s="142"/>
      <c r="N778" s="142"/>
      <c r="O778" s="142"/>
      <c r="P778" s="142"/>
      <c r="Q778" s="142"/>
      <c r="R778" s="142"/>
      <c r="S778" s="142"/>
      <c r="T778" s="142"/>
      <c r="U778" s="142"/>
      <c r="V778" s="142"/>
      <c r="W778" s="142"/>
      <c r="X778" s="142"/>
      <c r="Y778" s="142"/>
      <c r="Z778" s="142"/>
      <c r="AA778" s="142"/>
      <c r="AB778" s="142"/>
      <c r="AC778" s="142"/>
      <c r="AD778" s="142"/>
      <c r="AE778" s="142"/>
      <c r="AF778" s="142"/>
      <c r="AG778" s="142"/>
      <c r="AH778" s="142"/>
      <c r="AI778" s="142"/>
      <c r="AJ778" s="142"/>
      <c r="AK778" s="142"/>
      <c r="AL778" s="142"/>
      <c r="AM778" s="142"/>
      <c r="AN778" s="142"/>
      <c r="AO778" s="142"/>
      <c r="AP778" s="130"/>
      <c r="AQ778" s="130"/>
      <c r="AR778" s="130"/>
      <c r="AS778" s="130"/>
      <c r="AT778" s="130"/>
      <c r="AU778" s="130"/>
      <c r="AV778" s="130"/>
      <c r="AW778" s="130"/>
      <c r="AX778" s="130"/>
      <c r="AY778" s="130"/>
      <c r="AZ778" s="130"/>
      <c r="BA778" s="130"/>
      <c r="BB778" s="130"/>
      <c r="BC778" s="130"/>
      <c r="BD778" s="130"/>
    </row>
    <row r="779" ht="15.75" customHeight="1">
      <c r="A779" s="142"/>
      <c r="B779" s="142"/>
      <c r="C779" s="198"/>
      <c r="D779" s="142"/>
      <c r="E779" s="131"/>
      <c r="F779" s="142"/>
      <c r="G779" s="142"/>
      <c r="H779" s="131"/>
      <c r="I779" s="142"/>
      <c r="J779" s="142"/>
      <c r="K779" s="132"/>
      <c r="L779" s="131"/>
      <c r="M779" s="142"/>
      <c r="N779" s="142"/>
      <c r="O779" s="142"/>
      <c r="P779" s="142"/>
      <c r="Q779" s="142"/>
      <c r="R779" s="142"/>
      <c r="S779" s="142"/>
      <c r="T779" s="142"/>
      <c r="U779" s="142"/>
      <c r="V779" s="142"/>
      <c r="W779" s="142"/>
      <c r="X779" s="142"/>
      <c r="Y779" s="142"/>
      <c r="Z779" s="142"/>
      <c r="AA779" s="142"/>
      <c r="AB779" s="142"/>
      <c r="AC779" s="142"/>
      <c r="AD779" s="142"/>
      <c r="AE779" s="142"/>
      <c r="AF779" s="142"/>
      <c r="AG779" s="142"/>
      <c r="AH779" s="142"/>
      <c r="AI779" s="142"/>
      <c r="AJ779" s="142"/>
      <c r="AK779" s="142"/>
      <c r="AL779" s="142"/>
      <c r="AM779" s="142"/>
      <c r="AN779" s="142"/>
      <c r="AO779" s="142"/>
      <c r="AP779" s="130"/>
      <c r="AQ779" s="130"/>
      <c r="AR779" s="130"/>
      <c r="AS779" s="130"/>
      <c r="AT779" s="130"/>
      <c r="AU779" s="130"/>
      <c r="AV779" s="130"/>
      <c r="AW779" s="130"/>
      <c r="AX779" s="130"/>
      <c r="AY779" s="130"/>
      <c r="AZ779" s="130"/>
      <c r="BA779" s="130"/>
      <c r="BB779" s="130"/>
      <c r="BC779" s="130"/>
      <c r="BD779" s="130"/>
    </row>
    <row r="780" ht="15.75" customHeight="1">
      <c r="A780" s="142"/>
      <c r="B780" s="142"/>
      <c r="C780" s="198"/>
      <c r="D780" s="142"/>
      <c r="E780" s="131"/>
      <c r="F780" s="142"/>
      <c r="G780" s="142"/>
      <c r="H780" s="131"/>
      <c r="I780" s="142"/>
      <c r="J780" s="142"/>
      <c r="K780" s="132"/>
      <c r="L780" s="131"/>
      <c r="M780" s="142"/>
      <c r="N780" s="142"/>
      <c r="O780" s="142"/>
      <c r="P780" s="142"/>
      <c r="Q780" s="142"/>
      <c r="R780" s="142"/>
      <c r="S780" s="142"/>
      <c r="T780" s="142"/>
      <c r="U780" s="142"/>
      <c r="V780" s="142"/>
      <c r="W780" s="142"/>
      <c r="X780" s="142"/>
      <c r="Y780" s="142"/>
      <c r="Z780" s="142"/>
      <c r="AA780" s="142"/>
      <c r="AB780" s="142"/>
      <c r="AC780" s="142"/>
      <c r="AD780" s="142"/>
      <c r="AE780" s="142"/>
      <c r="AF780" s="142"/>
      <c r="AG780" s="142"/>
      <c r="AH780" s="142"/>
      <c r="AI780" s="142"/>
      <c r="AJ780" s="142"/>
      <c r="AK780" s="142"/>
      <c r="AL780" s="142"/>
      <c r="AM780" s="142"/>
      <c r="AN780" s="142"/>
      <c r="AO780" s="142"/>
      <c r="AP780" s="130"/>
      <c r="AQ780" s="130"/>
      <c r="AR780" s="130"/>
      <c r="AS780" s="130"/>
      <c r="AT780" s="130"/>
      <c r="AU780" s="130"/>
      <c r="AV780" s="130"/>
      <c r="AW780" s="130"/>
      <c r="AX780" s="130"/>
      <c r="AY780" s="130"/>
      <c r="AZ780" s="130"/>
      <c r="BA780" s="130"/>
      <c r="BB780" s="130"/>
      <c r="BC780" s="130"/>
      <c r="BD780" s="130"/>
    </row>
    <row r="781" ht="15.75" customHeight="1">
      <c r="A781" s="142"/>
      <c r="B781" s="142"/>
      <c r="C781" s="198"/>
      <c r="D781" s="142"/>
      <c r="E781" s="131"/>
      <c r="F781" s="142"/>
      <c r="G781" s="142"/>
      <c r="H781" s="131"/>
      <c r="I781" s="142"/>
      <c r="J781" s="142"/>
      <c r="K781" s="132"/>
      <c r="L781" s="131"/>
      <c r="M781" s="142"/>
      <c r="N781" s="142"/>
      <c r="O781" s="142"/>
      <c r="P781" s="142"/>
      <c r="Q781" s="142"/>
      <c r="R781" s="142"/>
      <c r="S781" s="142"/>
      <c r="T781" s="142"/>
      <c r="U781" s="142"/>
      <c r="V781" s="142"/>
      <c r="W781" s="142"/>
      <c r="X781" s="142"/>
      <c r="Y781" s="142"/>
      <c r="Z781" s="142"/>
      <c r="AA781" s="142"/>
      <c r="AB781" s="142"/>
      <c r="AC781" s="142"/>
      <c r="AD781" s="142"/>
      <c r="AE781" s="142"/>
      <c r="AF781" s="142"/>
      <c r="AG781" s="142"/>
      <c r="AH781" s="142"/>
      <c r="AI781" s="142"/>
      <c r="AJ781" s="142"/>
      <c r="AK781" s="142"/>
      <c r="AL781" s="142"/>
      <c r="AM781" s="142"/>
      <c r="AN781" s="142"/>
      <c r="AO781" s="142"/>
      <c r="AP781" s="130"/>
      <c r="AQ781" s="130"/>
      <c r="AR781" s="130"/>
      <c r="AS781" s="130"/>
      <c r="AT781" s="130"/>
      <c r="AU781" s="130"/>
      <c r="AV781" s="130"/>
      <c r="AW781" s="130"/>
      <c r="AX781" s="130"/>
      <c r="AY781" s="130"/>
      <c r="AZ781" s="130"/>
      <c r="BA781" s="130"/>
      <c r="BB781" s="130"/>
      <c r="BC781" s="130"/>
      <c r="BD781" s="130"/>
    </row>
    <row r="782" ht="15.75" customHeight="1">
      <c r="A782" s="142"/>
      <c r="B782" s="142"/>
      <c r="C782" s="198"/>
      <c r="D782" s="142"/>
      <c r="E782" s="131"/>
      <c r="F782" s="142"/>
      <c r="G782" s="142"/>
      <c r="H782" s="131"/>
      <c r="I782" s="142"/>
      <c r="J782" s="142"/>
      <c r="K782" s="132"/>
      <c r="L782" s="131"/>
      <c r="M782" s="142"/>
      <c r="N782" s="142"/>
      <c r="O782" s="142"/>
      <c r="P782" s="142"/>
      <c r="Q782" s="142"/>
      <c r="R782" s="142"/>
      <c r="S782" s="142"/>
      <c r="T782" s="142"/>
      <c r="U782" s="142"/>
      <c r="V782" s="142"/>
      <c r="W782" s="142"/>
      <c r="X782" s="142"/>
      <c r="Y782" s="142"/>
      <c r="Z782" s="142"/>
      <c r="AA782" s="142"/>
      <c r="AB782" s="142"/>
      <c r="AC782" s="142"/>
      <c r="AD782" s="142"/>
      <c r="AE782" s="142"/>
      <c r="AF782" s="142"/>
      <c r="AG782" s="142"/>
      <c r="AH782" s="142"/>
      <c r="AI782" s="142"/>
      <c r="AJ782" s="142"/>
      <c r="AK782" s="142"/>
      <c r="AL782" s="142"/>
      <c r="AM782" s="142"/>
      <c r="AN782" s="142"/>
      <c r="AO782" s="142"/>
      <c r="AP782" s="130"/>
      <c r="AQ782" s="130"/>
      <c r="AR782" s="130"/>
      <c r="AS782" s="130"/>
      <c r="AT782" s="130"/>
      <c r="AU782" s="130"/>
      <c r="AV782" s="130"/>
      <c r="AW782" s="130"/>
      <c r="AX782" s="130"/>
      <c r="AY782" s="130"/>
      <c r="AZ782" s="130"/>
      <c r="BA782" s="130"/>
      <c r="BB782" s="130"/>
      <c r="BC782" s="130"/>
      <c r="BD782" s="130"/>
    </row>
    <row r="783" ht="15.75" customHeight="1">
      <c r="A783" s="142"/>
      <c r="B783" s="142"/>
      <c r="C783" s="198"/>
      <c r="D783" s="142"/>
      <c r="E783" s="131"/>
      <c r="F783" s="142"/>
      <c r="G783" s="142"/>
      <c r="H783" s="131"/>
      <c r="I783" s="142"/>
      <c r="J783" s="142"/>
      <c r="K783" s="132"/>
      <c r="L783" s="131"/>
      <c r="M783" s="142"/>
      <c r="N783" s="142"/>
      <c r="O783" s="142"/>
      <c r="P783" s="142"/>
      <c r="Q783" s="142"/>
      <c r="R783" s="142"/>
      <c r="S783" s="142"/>
      <c r="T783" s="142"/>
      <c r="U783" s="142"/>
      <c r="V783" s="142"/>
      <c r="W783" s="142"/>
      <c r="X783" s="142"/>
      <c r="Y783" s="142"/>
      <c r="Z783" s="142"/>
      <c r="AA783" s="142"/>
      <c r="AB783" s="142"/>
      <c r="AC783" s="142"/>
      <c r="AD783" s="142"/>
      <c r="AE783" s="142"/>
      <c r="AF783" s="142"/>
      <c r="AG783" s="142"/>
      <c r="AH783" s="142"/>
      <c r="AI783" s="142"/>
      <c r="AJ783" s="142"/>
      <c r="AK783" s="142"/>
      <c r="AL783" s="142"/>
      <c r="AM783" s="142"/>
      <c r="AN783" s="142"/>
      <c r="AO783" s="142"/>
      <c r="AP783" s="130"/>
      <c r="AQ783" s="130"/>
      <c r="AR783" s="130"/>
      <c r="AS783" s="130"/>
      <c r="AT783" s="130"/>
      <c r="AU783" s="130"/>
      <c r="AV783" s="130"/>
      <c r="AW783" s="130"/>
      <c r="AX783" s="130"/>
      <c r="AY783" s="130"/>
      <c r="AZ783" s="130"/>
      <c r="BA783" s="130"/>
      <c r="BB783" s="130"/>
      <c r="BC783" s="130"/>
      <c r="BD783" s="130"/>
    </row>
    <row r="784" ht="15.75" customHeight="1">
      <c r="A784" s="142"/>
      <c r="B784" s="142"/>
      <c r="C784" s="198"/>
      <c r="D784" s="142"/>
      <c r="E784" s="131"/>
      <c r="F784" s="142"/>
      <c r="G784" s="142"/>
      <c r="H784" s="131"/>
      <c r="I784" s="142"/>
      <c r="J784" s="142"/>
      <c r="K784" s="132"/>
      <c r="L784" s="131"/>
      <c r="M784" s="142"/>
      <c r="N784" s="142"/>
      <c r="O784" s="142"/>
      <c r="P784" s="142"/>
      <c r="Q784" s="142"/>
      <c r="R784" s="142"/>
      <c r="S784" s="142"/>
      <c r="T784" s="142"/>
      <c r="U784" s="142"/>
      <c r="V784" s="142"/>
      <c r="W784" s="142"/>
      <c r="X784" s="142"/>
      <c r="Y784" s="142"/>
      <c r="Z784" s="142"/>
      <c r="AA784" s="142"/>
      <c r="AB784" s="142"/>
      <c r="AC784" s="142"/>
      <c r="AD784" s="142"/>
      <c r="AE784" s="142"/>
      <c r="AF784" s="142"/>
      <c r="AG784" s="142"/>
      <c r="AH784" s="142"/>
      <c r="AI784" s="142"/>
      <c r="AJ784" s="142"/>
      <c r="AK784" s="142"/>
      <c r="AL784" s="142"/>
      <c r="AM784" s="142"/>
      <c r="AN784" s="142"/>
      <c r="AO784" s="142"/>
      <c r="AP784" s="130"/>
      <c r="AQ784" s="130"/>
      <c r="AR784" s="130"/>
      <c r="AS784" s="130"/>
      <c r="AT784" s="130"/>
      <c r="AU784" s="130"/>
      <c r="AV784" s="130"/>
      <c r="AW784" s="130"/>
      <c r="AX784" s="130"/>
      <c r="AY784" s="130"/>
      <c r="AZ784" s="130"/>
      <c r="BA784" s="130"/>
      <c r="BB784" s="130"/>
      <c r="BC784" s="130"/>
      <c r="BD784" s="130"/>
    </row>
    <row r="785" ht="15.75" customHeight="1">
      <c r="A785" s="142"/>
      <c r="B785" s="142"/>
      <c r="C785" s="198"/>
      <c r="D785" s="142"/>
      <c r="E785" s="131"/>
      <c r="F785" s="142"/>
      <c r="G785" s="142"/>
      <c r="H785" s="131"/>
      <c r="I785" s="142"/>
      <c r="J785" s="142"/>
      <c r="K785" s="132"/>
      <c r="L785" s="131"/>
      <c r="M785" s="142"/>
      <c r="N785" s="142"/>
      <c r="O785" s="142"/>
      <c r="P785" s="142"/>
      <c r="Q785" s="142"/>
      <c r="R785" s="142"/>
      <c r="S785" s="142"/>
      <c r="T785" s="142"/>
      <c r="U785" s="142"/>
      <c r="V785" s="142"/>
      <c r="W785" s="142"/>
      <c r="X785" s="142"/>
      <c r="Y785" s="142"/>
      <c r="Z785" s="142"/>
      <c r="AA785" s="142"/>
      <c r="AB785" s="142"/>
      <c r="AC785" s="142"/>
      <c r="AD785" s="142"/>
      <c r="AE785" s="142"/>
      <c r="AF785" s="142"/>
      <c r="AG785" s="142"/>
      <c r="AH785" s="142"/>
      <c r="AI785" s="142"/>
      <c r="AJ785" s="142"/>
      <c r="AK785" s="142"/>
      <c r="AL785" s="142"/>
      <c r="AM785" s="142"/>
      <c r="AN785" s="142"/>
      <c r="AO785" s="142"/>
      <c r="AP785" s="130"/>
      <c r="AQ785" s="130"/>
      <c r="AR785" s="130"/>
      <c r="AS785" s="130"/>
      <c r="AT785" s="130"/>
      <c r="AU785" s="130"/>
      <c r="AV785" s="130"/>
      <c r="AW785" s="130"/>
      <c r="AX785" s="130"/>
      <c r="AY785" s="130"/>
      <c r="AZ785" s="130"/>
      <c r="BA785" s="130"/>
      <c r="BB785" s="130"/>
      <c r="BC785" s="130"/>
      <c r="BD785" s="130"/>
    </row>
    <row r="786" ht="15.75" customHeight="1">
      <c r="A786" s="142"/>
      <c r="B786" s="142"/>
      <c r="C786" s="198"/>
      <c r="D786" s="142"/>
      <c r="E786" s="131"/>
      <c r="F786" s="142"/>
      <c r="G786" s="142"/>
      <c r="H786" s="131"/>
      <c r="I786" s="142"/>
      <c r="J786" s="142"/>
      <c r="K786" s="132"/>
      <c r="L786" s="131"/>
      <c r="M786" s="142"/>
      <c r="N786" s="142"/>
      <c r="O786" s="142"/>
      <c r="P786" s="142"/>
      <c r="Q786" s="142"/>
      <c r="R786" s="142"/>
      <c r="S786" s="142"/>
      <c r="T786" s="142"/>
      <c r="U786" s="142"/>
      <c r="V786" s="142"/>
      <c r="W786" s="142"/>
      <c r="X786" s="142"/>
      <c r="Y786" s="142"/>
      <c r="Z786" s="142"/>
      <c r="AA786" s="142"/>
      <c r="AB786" s="142"/>
      <c r="AC786" s="142"/>
      <c r="AD786" s="142"/>
      <c r="AE786" s="142"/>
      <c r="AF786" s="142"/>
      <c r="AG786" s="142"/>
      <c r="AH786" s="142"/>
      <c r="AI786" s="142"/>
      <c r="AJ786" s="142"/>
      <c r="AK786" s="142"/>
      <c r="AL786" s="142"/>
      <c r="AM786" s="142"/>
      <c r="AN786" s="142"/>
      <c r="AO786" s="142"/>
      <c r="AP786" s="130"/>
      <c r="AQ786" s="130"/>
      <c r="AR786" s="130"/>
      <c r="AS786" s="130"/>
      <c r="AT786" s="130"/>
      <c r="AU786" s="130"/>
      <c r="AV786" s="130"/>
      <c r="AW786" s="130"/>
      <c r="AX786" s="130"/>
      <c r="AY786" s="130"/>
      <c r="AZ786" s="130"/>
      <c r="BA786" s="130"/>
      <c r="BB786" s="130"/>
      <c r="BC786" s="130"/>
      <c r="BD786" s="130"/>
    </row>
    <row r="787" ht="15.75" customHeight="1">
      <c r="A787" s="142"/>
      <c r="B787" s="142"/>
      <c r="C787" s="198"/>
      <c r="D787" s="142"/>
      <c r="E787" s="131"/>
      <c r="F787" s="142"/>
      <c r="G787" s="142"/>
      <c r="H787" s="131"/>
      <c r="I787" s="142"/>
      <c r="J787" s="142"/>
      <c r="K787" s="132"/>
      <c r="L787" s="131"/>
      <c r="M787" s="142"/>
      <c r="N787" s="142"/>
      <c r="O787" s="142"/>
      <c r="P787" s="142"/>
      <c r="Q787" s="142"/>
      <c r="R787" s="142"/>
      <c r="S787" s="142"/>
      <c r="T787" s="142"/>
      <c r="U787" s="142"/>
      <c r="V787" s="142"/>
      <c r="W787" s="142"/>
      <c r="X787" s="142"/>
      <c r="Y787" s="142"/>
      <c r="Z787" s="142"/>
      <c r="AA787" s="142"/>
      <c r="AB787" s="142"/>
      <c r="AC787" s="142"/>
      <c r="AD787" s="142"/>
      <c r="AE787" s="142"/>
      <c r="AF787" s="142"/>
      <c r="AG787" s="142"/>
      <c r="AH787" s="142"/>
      <c r="AI787" s="142"/>
      <c r="AJ787" s="142"/>
      <c r="AK787" s="142"/>
      <c r="AL787" s="142"/>
      <c r="AM787" s="142"/>
      <c r="AN787" s="142"/>
      <c r="AO787" s="142"/>
      <c r="AP787" s="130"/>
      <c r="AQ787" s="130"/>
      <c r="AR787" s="130"/>
      <c r="AS787" s="130"/>
      <c r="AT787" s="130"/>
      <c r="AU787" s="130"/>
      <c r="AV787" s="130"/>
      <c r="AW787" s="130"/>
      <c r="AX787" s="130"/>
      <c r="AY787" s="130"/>
      <c r="AZ787" s="130"/>
      <c r="BA787" s="130"/>
      <c r="BB787" s="130"/>
      <c r="BC787" s="130"/>
      <c r="BD787" s="130"/>
    </row>
    <row r="788" ht="15.75" customHeight="1">
      <c r="A788" s="142"/>
      <c r="B788" s="142"/>
      <c r="C788" s="198"/>
      <c r="D788" s="142"/>
      <c r="E788" s="131"/>
      <c r="F788" s="142"/>
      <c r="G788" s="142"/>
      <c r="H788" s="131"/>
      <c r="I788" s="142"/>
      <c r="J788" s="142"/>
      <c r="K788" s="132"/>
      <c r="L788" s="131"/>
      <c r="M788" s="142"/>
      <c r="N788" s="142"/>
      <c r="O788" s="142"/>
      <c r="P788" s="142"/>
      <c r="Q788" s="142"/>
      <c r="R788" s="142"/>
      <c r="S788" s="142"/>
      <c r="T788" s="142"/>
      <c r="U788" s="142"/>
      <c r="V788" s="142"/>
      <c r="W788" s="142"/>
      <c r="X788" s="142"/>
      <c r="Y788" s="142"/>
      <c r="Z788" s="142"/>
      <c r="AA788" s="142"/>
      <c r="AB788" s="142"/>
      <c r="AC788" s="142"/>
      <c r="AD788" s="142"/>
      <c r="AE788" s="142"/>
      <c r="AF788" s="142"/>
      <c r="AG788" s="142"/>
      <c r="AH788" s="142"/>
      <c r="AI788" s="142"/>
      <c r="AJ788" s="142"/>
      <c r="AK788" s="142"/>
      <c r="AL788" s="142"/>
      <c r="AM788" s="142"/>
      <c r="AN788" s="142"/>
      <c r="AO788" s="142"/>
      <c r="AP788" s="130"/>
      <c r="AQ788" s="130"/>
      <c r="AR788" s="130"/>
      <c r="AS788" s="130"/>
      <c r="AT788" s="130"/>
      <c r="AU788" s="130"/>
      <c r="AV788" s="130"/>
      <c r="AW788" s="130"/>
      <c r="AX788" s="130"/>
      <c r="AY788" s="130"/>
      <c r="AZ788" s="130"/>
      <c r="BA788" s="130"/>
      <c r="BB788" s="130"/>
      <c r="BC788" s="130"/>
      <c r="BD788" s="130"/>
    </row>
    <row r="789" ht="15.75" customHeight="1">
      <c r="A789" s="142"/>
      <c r="B789" s="142"/>
      <c r="C789" s="198"/>
      <c r="D789" s="142"/>
      <c r="E789" s="131"/>
      <c r="F789" s="142"/>
      <c r="G789" s="142"/>
      <c r="H789" s="131"/>
      <c r="I789" s="142"/>
      <c r="J789" s="142"/>
      <c r="K789" s="132"/>
      <c r="L789" s="131"/>
      <c r="M789" s="142"/>
      <c r="N789" s="142"/>
      <c r="O789" s="142"/>
      <c r="P789" s="142"/>
      <c r="Q789" s="142"/>
      <c r="R789" s="142"/>
      <c r="S789" s="142"/>
      <c r="T789" s="142"/>
      <c r="U789" s="142"/>
      <c r="V789" s="142"/>
      <c r="W789" s="142"/>
      <c r="X789" s="142"/>
      <c r="Y789" s="142"/>
      <c r="Z789" s="142"/>
      <c r="AA789" s="142"/>
      <c r="AB789" s="142"/>
      <c r="AC789" s="142"/>
      <c r="AD789" s="142"/>
      <c r="AE789" s="142"/>
      <c r="AF789" s="142"/>
      <c r="AG789" s="142"/>
      <c r="AH789" s="142"/>
      <c r="AI789" s="142"/>
      <c r="AJ789" s="142"/>
      <c r="AK789" s="142"/>
      <c r="AL789" s="142"/>
      <c r="AM789" s="142"/>
      <c r="AN789" s="142"/>
      <c r="AO789" s="142"/>
      <c r="AP789" s="130"/>
      <c r="AQ789" s="130"/>
      <c r="AR789" s="130"/>
      <c r="AS789" s="130"/>
      <c r="AT789" s="130"/>
      <c r="AU789" s="130"/>
      <c r="AV789" s="130"/>
      <c r="AW789" s="130"/>
      <c r="AX789" s="130"/>
      <c r="AY789" s="130"/>
      <c r="AZ789" s="130"/>
      <c r="BA789" s="130"/>
      <c r="BB789" s="130"/>
      <c r="BC789" s="130"/>
      <c r="BD789" s="130"/>
    </row>
    <row r="790" ht="15.75" customHeight="1">
      <c r="A790" s="142"/>
      <c r="B790" s="142"/>
      <c r="C790" s="198"/>
      <c r="D790" s="142"/>
      <c r="E790" s="131"/>
      <c r="F790" s="142"/>
      <c r="G790" s="142"/>
      <c r="H790" s="131"/>
      <c r="I790" s="142"/>
      <c r="J790" s="142"/>
      <c r="K790" s="132"/>
      <c r="L790" s="131"/>
      <c r="M790" s="142"/>
      <c r="N790" s="142"/>
      <c r="O790" s="142"/>
      <c r="P790" s="142"/>
      <c r="Q790" s="142"/>
      <c r="R790" s="142"/>
      <c r="S790" s="142"/>
      <c r="T790" s="142"/>
      <c r="U790" s="142"/>
      <c r="V790" s="142"/>
      <c r="W790" s="142"/>
      <c r="X790" s="142"/>
      <c r="Y790" s="142"/>
      <c r="Z790" s="142"/>
      <c r="AA790" s="142"/>
      <c r="AB790" s="142"/>
      <c r="AC790" s="142"/>
      <c r="AD790" s="142"/>
      <c r="AE790" s="142"/>
      <c r="AF790" s="142"/>
      <c r="AG790" s="142"/>
      <c r="AH790" s="142"/>
      <c r="AI790" s="142"/>
      <c r="AJ790" s="142"/>
      <c r="AK790" s="142"/>
      <c r="AL790" s="142"/>
      <c r="AM790" s="142"/>
      <c r="AN790" s="142"/>
      <c r="AO790" s="142"/>
      <c r="AP790" s="130"/>
      <c r="AQ790" s="130"/>
      <c r="AR790" s="130"/>
      <c r="AS790" s="130"/>
      <c r="AT790" s="130"/>
      <c r="AU790" s="130"/>
      <c r="AV790" s="130"/>
      <c r="AW790" s="130"/>
      <c r="AX790" s="130"/>
      <c r="AY790" s="130"/>
      <c r="AZ790" s="130"/>
      <c r="BA790" s="130"/>
      <c r="BB790" s="130"/>
      <c r="BC790" s="130"/>
      <c r="BD790" s="130"/>
    </row>
    <row r="791" ht="15.75" customHeight="1">
      <c r="A791" s="142"/>
      <c r="B791" s="142"/>
      <c r="C791" s="198"/>
      <c r="D791" s="142"/>
      <c r="E791" s="131"/>
      <c r="F791" s="142"/>
      <c r="G791" s="142"/>
      <c r="H791" s="131"/>
      <c r="I791" s="142"/>
      <c r="J791" s="142"/>
      <c r="K791" s="132"/>
      <c r="L791" s="131"/>
      <c r="M791" s="142"/>
      <c r="N791" s="142"/>
      <c r="O791" s="142"/>
      <c r="P791" s="142"/>
      <c r="Q791" s="142"/>
      <c r="R791" s="142"/>
      <c r="S791" s="142"/>
      <c r="T791" s="142"/>
      <c r="U791" s="142"/>
      <c r="V791" s="142"/>
      <c r="W791" s="142"/>
      <c r="X791" s="142"/>
      <c r="Y791" s="142"/>
      <c r="Z791" s="142"/>
      <c r="AA791" s="142"/>
      <c r="AB791" s="142"/>
      <c r="AC791" s="142"/>
      <c r="AD791" s="142"/>
      <c r="AE791" s="142"/>
      <c r="AF791" s="142"/>
      <c r="AG791" s="142"/>
      <c r="AH791" s="142"/>
      <c r="AI791" s="142"/>
      <c r="AJ791" s="142"/>
      <c r="AK791" s="142"/>
      <c r="AL791" s="142"/>
      <c r="AM791" s="142"/>
      <c r="AN791" s="142"/>
      <c r="AO791" s="142"/>
      <c r="AP791" s="130"/>
      <c r="AQ791" s="130"/>
      <c r="AR791" s="130"/>
      <c r="AS791" s="130"/>
      <c r="AT791" s="130"/>
      <c r="AU791" s="130"/>
      <c r="AV791" s="130"/>
      <c r="AW791" s="130"/>
      <c r="AX791" s="130"/>
      <c r="AY791" s="130"/>
      <c r="AZ791" s="130"/>
      <c r="BA791" s="130"/>
      <c r="BB791" s="130"/>
      <c r="BC791" s="130"/>
      <c r="BD791" s="130"/>
    </row>
    <row r="792" ht="15.75" customHeight="1">
      <c r="A792" s="142"/>
      <c r="B792" s="142"/>
      <c r="C792" s="198"/>
      <c r="D792" s="142"/>
      <c r="E792" s="131"/>
      <c r="F792" s="142"/>
      <c r="G792" s="142"/>
      <c r="H792" s="131"/>
      <c r="I792" s="142"/>
      <c r="J792" s="142"/>
      <c r="K792" s="132"/>
      <c r="L792" s="131"/>
      <c r="M792" s="142"/>
      <c r="N792" s="142"/>
      <c r="O792" s="142"/>
      <c r="P792" s="142"/>
      <c r="Q792" s="142"/>
      <c r="R792" s="142"/>
      <c r="S792" s="142"/>
      <c r="T792" s="142"/>
      <c r="U792" s="142"/>
      <c r="V792" s="142"/>
      <c r="W792" s="142"/>
      <c r="X792" s="142"/>
      <c r="Y792" s="142"/>
      <c r="Z792" s="142"/>
      <c r="AA792" s="142"/>
      <c r="AB792" s="142"/>
      <c r="AC792" s="142"/>
      <c r="AD792" s="142"/>
      <c r="AE792" s="142"/>
      <c r="AF792" s="142"/>
      <c r="AG792" s="142"/>
      <c r="AH792" s="142"/>
      <c r="AI792" s="142"/>
      <c r="AJ792" s="142"/>
      <c r="AK792" s="142"/>
      <c r="AL792" s="142"/>
      <c r="AM792" s="142"/>
      <c r="AN792" s="142"/>
      <c r="AO792" s="142"/>
      <c r="AP792" s="130"/>
      <c r="AQ792" s="130"/>
      <c r="AR792" s="130"/>
      <c r="AS792" s="130"/>
      <c r="AT792" s="130"/>
      <c r="AU792" s="130"/>
      <c r="AV792" s="130"/>
      <c r="AW792" s="130"/>
      <c r="AX792" s="130"/>
      <c r="AY792" s="130"/>
      <c r="AZ792" s="130"/>
      <c r="BA792" s="130"/>
      <c r="BB792" s="130"/>
      <c r="BC792" s="130"/>
      <c r="BD792" s="130"/>
    </row>
    <row r="793" ht="15.75" customHeight="1">
      <c r="A793" s="142"/>
      <c r="B793" s="142"/>
      <c r="C793" s="198"/>
      <c r="D793" s="142"/>
      <c r="E793" s="131"/>
      <c r="F793" s="142"/>
      <c r="G793" s="142"/>
      <c r="H793" s="131"/>
      <c r="I793" s="142"/>
      <c r="J793" s="142"/>
      <c r="K793" s="132"/>
      <c r="L793" s="131"/>
      <c r="M793" s="142"/>
      <c r="N793" s="142"/>
      <c r="O793" s="142"/>
      <c r="P793" s="142"/>
      <c r="Q793" s="142"/>
      <c r="R793" s="142"/>
      <c r="S793" s="142"/>
      <c r="T793" s="142"/>
      <c r="U793" s="142"/>
      <c r="V793" s="142"/>
      <c r="W793" s="142"/>
      <c r="X793" s="142"/>
      <c r="Y793" s="142"/>
      <c r="Z793" s="142"/>
      <c r="AA793" s="142"/>
      <c r="AB793" s="142"/>
      <c r="AC793" s="142"/>
      <c r="AD793" s="142"/>
      <c r="AE793" s="142"/>
      <c r="AF793" s="142"/>
      <c r="AG793" s="142"/>
      <c r="AH793" s="142"/>
      <c r="AI793" s="142"/>
      <c r="AJ793" s="142"/>
      <c r="AK793" s="142"/>
      <c r="AL793" s="142"/>
      <c r="AM793" s="142"/>
      <c r="AN793" s="142"/>
      <c r="AO793" s="142"/>
      <c r="AP793" s="130"/>
      <c r="AQ793" s="130"/>
      <c r="AR793" s="130"/>
      <c r="AS793" s="130"/>
      <c r="AT793" s="130"/>
      <c r="AU793" s="130"/>
      <c r="AV793" s="130"/>
      <c r="AW793" s="130"/>
      <c r="AX793" s="130"/>
      <c r="AY793" s="130"/>
      <c r="AZ793" s="130"/>
      <c r="BA793" s="130"/>
      <c r="BB793" s="130"/>
      <c r="BC793" s="130"/>
      <c r="BD793" s="130"/>
    </row>
    <row r="794" ht="15.75" customHeight="1">
      <c r="A794" s="142"/>
      <c r="B794" s="142"/>
      <c r="C794" s="198"/>
      <c r="D794" s="142"/>
      <c r="E794" s="131"/>
      <c r="F794" s="142"/>
      <c r="G794" s="142"/>
      <c r="H794" s="131"/>
      <c r="I794" s="142"/>
      <c r="J794" s="142"/>
      <c r="K794" s="132"/>
      <c r="L794" s="131"/>
      <c r="M794" s="142"/>
      <c r="N794" s="142"/>
      <c r="O794" s="142"/>
      <c r="P794" s="142"/>
      <c r="Q794" s="142"/>
      <c r="R794" s="142"/>
      <c r="S794" s="142"/>
      <c r="T794" s="142"/>
      <c r="U794" s="142"/>
      <c r="V794" s="142"/>
      <c r="W794" s="142"/>
      <c r="X794" s="142"/>
      <c r="Y794" s="142"/>
      <c r="Z794" s="142"/>
      <c r="AA794" s="142"/>
      <c r="AB794" s="142"/>
      <c r="AC794" s="142"/>
      <c r="AD794" s="142"/>
      <c r="AE794" s="142"/>
      <c r="AF794" s="142"/>
      <c r="AG794" s="142"/>
      <c r="AH794" s="142"/>
      <c r="AI794" s="142"/>
      <c r="AJ794" s="142"/>
      <c r="AK794" s="142"/>
      <c r="AL794" s="142"/>
      <c r="AM794" s="142"/>
      <c r="AN794" s="142"/>
      <c r="AO794" s="142"/>
      <c r="AP794" s="130"/>
      <c r="AQ794" s="130"/>
      <c r="AR794" s="130"/>
      <c r="AS794" s="130"/>
      <c r="AT794" s="130"/>
      <c r="AU794" s="130"/>
      <c r="AV794" s="130"/>
      <c r="AW794" s="130"/>
      <c r="AX794" s="130"/>
      <c r="AY794" s="130"/>
      <c r="AZ794" s="130"/>
      <c r="BA794" s="130"/>
      <c r="BB794" s="130"/>
      <c r="BC794" s="130"/>
      <c r="BD794" s="130"/>
    </row>
    <row r="795" ht="15.75" customHeight="1">
      <c r="A795" s="142"/>
      <c r="B795" s="142"/>
      <c r="C795" s="198"/>
      <c r="D795" s="142"/>
      <c r="E795" s="131"/>
      <c r="F795" s="142"/>
      <c r="G795" s="142"/>
      <c r="H795" s="131"/>
      <c r="I795" s="142"/>
      <c r="J795" s="142"/>
      <c r="K795" s="132"/>
      <c r="L795" s="131"/>
      <c r="M795" s="142"/>
      <c r="N795" s="142"/>
      <c r="O795" s="142"/>
      <c r="P795" s="142"/>
      <c r="Q795" s="142"/>
      <c r="R795" s="142"/>
      <c r="S795" s="142"/>
      <c r="T795" s="142"/>
      <c r="U795" s="142"/>
      <c r="V795" s="142"/>
      <c r="W795" s="142"/>
      <c r="X795" s="142"/>
      <c r="Y795" s="142"/>
      <c r="Z795" s="142"/>
      <c r="AA795" s="142"/>
      <c r="AB795" s="142"/>
      <c r="AC795" s="142"/>
      <c r="AD795" s="142"/>
      <c r="AE795" s="142"/>
      <c r="AF795" s="142"/>
      <c r="AG795" s="142"/>
      <c r="AH795" s="142"/>
      <c r="AI795" s="142"/>
      <c r="AJ795" s="142"/>
      <c r="AK795" s="142"/>
      <c r="AL795" s="142"/>
      <c r="AM795" s="142"/>
      <c r="AN795" s="142"/>
      <c r="AO795" s="142"/>
      <c r="AP795" s="130"/>
      <c r="AQ795" s="130"/>
      <c r="AR795" s="130"/>
      <c r="AS795" s="130"/>
      <c r="AT795" s="130"/>
      <c r="AU795" s="130"/>
      <c r="AV795" s="130"/>
      <c r="AW795" s="130"/>
      <c r="AX795" s="130"/>
      <c r="AY795" s="130"/>
      <c r="AZ795" s="130"/>
      <c r="BA795" s="130"/>
      <c r="BB795" s="130"/>
      <c r="BC795" s="130"/>
      <c r="BD795" s="130"/>
    </row>
    <row r="796" ht="15.75" customHeight="1">
      <c r="A796" s="142"/>
      <c r="B796" s="142"/>
      <c r="C796" s="198"/>
      <c r="D796" s="142"/>
      <c r="E796" s="131"/>
      <c r="F796" s="142"/>
      <c r="G796" s="142"/>
      <c r="H796" s="131"/>
      <c r="I796" s="142"/>
      <c r="J796" s="142"/>
      <c r="K796" s="132"/>
      <c r="L796" s="131"/>
      <c r="M796" s="142"/>
      <c r="N796" s="142"/>
      <c r="O796" s="142"/>
      <c r="P796" s="142"/>
      <c r="Q796" s="142"/>
      <c r="R796" s="142"/>
      <c r="S796" s="142"/>
      <c r="T796" s="142"/>
      <c r="U796" s="142"/>
      <c r="V796" s="142"/>
      <c r="W796" s="142"/>
      <c r="X796" s="142"/>
      <c r="Y796" s="142"/>
      <c r="Z796" s="142"/>
      <c r="AA796" s="142"/>
      <c r="AB796" s="142"/>
      <c r="AC796" s="142"/>
      <c r="AD796" s="142"/>
      <c r="AE796" s="142"/>
      <c r="AF796" s="142"/>
      <c r="AG796" s="142"/>
      <c r="AH796" s="142"/>
      <c r="AI796" s="142"/>
      <c r="AJ796" s="142"/>
      <c r="AK796" s="142"/>
      <c r="AL796" s="142"/>
      <c r="AM796" s="142"/>
      <c r="AN796" s="142"/>
      <c r="AO796" s="142"/>
      <c r="AP796" s="130"/>
      <c r="AQ796" s="130"/>
      <c r="AR796" s="130"/>
      <c r="AS796" s="130"/>
      <c r="AT796" s="130"/>
      <c r="AU796" s="130"/>
      <c r="AV796" s="130"/>
      <c r="AW796" s="130"/>
      <c r="AX796" s="130"/>
      <c r="AY796" s="130"/>
      <c r="AZ796" s="130"/>
      <c r="BA796" s="130"/>
      <c r="BB796" s="130"/>
      <c r="BC796" s="130"/>
      <c r="BD796" s="130"/>
    </row>
    <row r="797" ht="15.75" customHeight="1">
      <c r="A797" s="142"/>
      <c r="B797" s="142"/>
      <c r="C797" s="198"/>
      <c r="D797" s="142"/>
      <c r="E797" s="131"/>
      <c r="F797" s="142"/>
      <c r="G797" s="142"/>
      <c r="H797" s="131"/>
      <c r="I797" s="142"/>
      <c r="J797" s="142"/>
      <c r="K797" s="132"/>
      <c r="L797" s="131"/>
      <c r="M797" s="142"/>
      <c r="N797" s="142"/>
      <c r="O797" s="142"/>
      <c r="P797" s="142"/>
      <c r="Q797" s="142"/>
      <c r="R797" s="142"/>
      <c r="S797" s="142"/>
      <c r="T797" s="142"/>
      <c r="U797" s="142"/>
      <c r="V797" s="142"/>
      <c r="W797" s="142"/>
      <c r="X797" s="142"/>
      <c r="Y797" s="142"/>
      <c r="Z797" s="142"/>
      <c r="AA797" s="142"/>
      <c r="AB797" s="142"/>
      <c r="AC797" s="142"/>
      <c r="AD797" s="142"/>
      <c r="AE797" s="142"/>
      <c r="AF797" s="142"/>
      <c r="AG797" s="142"/>
      <c r="AH797" s="142"/>
      <c r="AI797" s="142"/>
      <c r="AJ797" s="142"/>
      <c r="AK797" s="142"/>
      <c r="AL797" s="142"/>
      <c r="AM797" s="142"/>
      <c r="AN797" s="142"/>
      <c r="AO797" s="142"/>
      <c r="AP797" s="130"/>
      <c r="AQ797" s="130"/>
      <c r="AR797" s="130"/>
      <c r="AS797" s="130"/>
      <c r="AT797" s="130"/>
      <c r="AU797" s="130"/>
      <c r="AV797" s="130"/>
      <c r="AW797" s="130"/>
      <c r="AX797" s="130"/>
      <c r="AY797" s="130"/>
      <c r="AZ797" s="130"/>
      <c r="BA797" s="130"/>
      <c r="BB797" s="130"/>
      <c r="BC797" s="130"/>
      <c r="BD797" s="130"/>
    </row>
    <row r="798" ht="15.75" customHeight="1">
      <c r="A798" s="142"/>
      <c r="B798" s="142"/>
      <c r="C798" s="198"/>
      <c r="D798" s="142"/>
      <c r="E798" s="131"/>
      <c r="F798" s="142"/>
      <c r="G798" s="142"/>
      <c r="H798" s="131"/>
      <c r="I798" s="142"/>
      <c r="J798" s="142"/>
      <c r="K798" s="132"/>
      <c r="L798" s="131"/>
      <c r="M798" s="142"/>
      <c r="N798" s="142"/>
      <c r="O798" s="142"/>
      <c r="P798" s="142"/>
      <c r="Q798" s="142"/>
      <c r="R798" s="142"/>
      <c r="S798" s="142"/>
      <c r="T798" s="142"/>
      <c r="U798" s="142"/>
      <c r="V798" s="142"/>
      <c r="W798" s="142"/>
      <c r="X798" s="142"/>
      <c r="Y798" s="142"/>
      <c r="Z798" s="142"/>
      <c r="AA798" s="142"/>
      <c r="AB798" s="142"/>
      <c r="AC798" s="142"/>
      <c r="AD798" s="142"/>
      <c r="AE798" s="142"/>
      <c r="AF798" s="142"/>
      <c r="AG798" s="142"/>
      <c r="AH798" s="142"/>
      <c r="AI798" s="142"/>
      <c r="AJ798" s="142"/>
      <c r="AK798" s="142"/>
      <c r="AL798" s="142"/>
      <c r="AM798" s="142"/>
      <c r="AN798" s="142"/>
      <c r="AO798" s="142"/>
      <c r="AP798" s="130"/>
      <c r="AQ798" s="130"/>
      <c r="AR798" s="130"/>
      <c r="AS798" s="130"/>
      <c r="AT798" s="130"/>
      <c r="AU798" s="130"/>
      <c r="AV798" s="130"/>
      <c r="AW798" s="130"/>
      <c r="AX798" s="130"/>
      <c r="AY798" s="130"/>
      <c r="AZ798" s="130"/>
      <c r="BA798" s="130"/>
      <c r="BB798" s="130"/>
      <c r="BC798" s="130"/>
      <c r="BD798" s="130"/>
    </row>
    <row r="799" ht="15.75" customHeight="1">
      <c r="A799" s="142"/>
      <c r="B799" s="142"/>
      <c r="C799" s="198"/>
      <c r="D799" s="142"/>
      <c r="E799" s="131"/>
      <c r="F799" s="142"/>
      <c r="G799" s="142"/>
      <c r="H799" s="131"/>
      <c r="I799" s="142"/>
      <c r="J799" s="142"/>
      <c r="K799" s="132"/>
      <c r="L799" s="131"/>
      <c r="M799" s="142"/>
      <c r="N799" s="142"/>
      <c r="O799" s="142"/>
      <c r="P799" s="142"/>
      <c r="Q799" s="142"/>
      <c r="R799" s="142"/>
      <c r="S799" s="142"/>
      <c r="T799" s="142"/>
      <c r="U799" s="142"/>
      <c r="V799" s="142"/>
      <c r="W799" s="142"/>
      <c r="X799" s="142"/>
      <c r="Y799" s="142"/>
      <c r="Z799" s="142"/>
      <c r="AA799" s="142"/>
      <c r="AB799" s="142"/>
      <c r="AC799" s="142"/>
      <c r="AD799" s="142"/>
      <c r="AE799" s="142"/>
      <c r="AF799" s="142"/>
      <c r="AG799" s="142"/>
      <c r="AH799" s="142"/>
      <c r="AI799" s="142"/>
      <c r="AJ799" s="142"/>
      <c r="AK799" s="142"/>
      <c r="AL799" s="142"/>
      <c r="AM799" s="142"/>
      <c r="AN799" s="142"/>
      <c r="AO799" s="142"/>
      <c r="AP799" s="130"/>
      <c r="AQ799" s="130"/>
      <c r="AR799" s="130"/>
      <c r="AS799" s="130"/>
      <c r="AT799" s="130"/>
      <c r="AU799" s="130"/>
      <c r="AV799" s="130"/>
      <c r="AW799" s="130"/>
      <c r="AX799" s="130"/>
      <c r="AY799" s="130"/>
      <c r="AZ799" s="130"/>
      <c r="BA799" s="130"/>
      <c r="BB799" s="130"/>
      <c r="BC799" s="130"/>
      <c r="BD799" s="130"/>
    </row>
    <row r="800" ht="15.75" customHeight="1">
      <c r="A800" s="142"/>
      <c r="B800" s="142"/>
      <c r="C800" s="198"/>
      <c r="D800" s="142"/>
      <c r="E800" s="131"/>
      <c r="F800" s="142"/>
      <c r="G800" s="142"/>
      <c r="H800" s="131"/>
      <c r="I800" s="142"/>
      <c r="J800" s="142"/>
      <c r="K800" s="132"/>
      <c r="L800" s="131"/>
      <c r="M800" s="142"/>
      <c r="N800" s="142"/>
      <c r="O800" s="142"/>
      <c r="P800" s="142"/>
      <c r="Q800" s="142"/>
      <c r="R800" s="142"/>
      <c r="S800" s="142"/>
      <c r="T800" s="142"/>
      <c r="U800" s="142"/>
      <c r="V800" s="142"/>
      <c r="W800" s="142"/>
      <c r="X800" s="142"/>
      <c r="Y800" s="142"/>
      <c r="Z800" s="142"/>
      <c r="AA800" s="142"/>
      <c r="AB800" s="142"/>
      <c r="AC800" s="142"/>
      <c r="AD800" s="142"/>
      <c r="AE800" s="142"/>
      <c r="AF800" s="142"/>
      <c r="AG800" s="142"/>
      <c r="AH800" s="142"/>
      <c r="AI800" s="142"/>
      <c r="AJ800" s="142"/>
      <c r="AK800" s="142"/>
      <c r="AL800" s="142"/>
      <c r="AM800" s="142"/>
      <c r="AN800" s="142"/>
      <c r="AO800" s="142"/>
      <c r="AP800" s="130"/>
      <c r="AQ800" s="130"/>
      <c r="AR800" s="130"/>
      <c r="AS800" s="130"/>
      <c r="AT800" s="130"/>
      <c r="AU800" s="130"/>
      <c r="AV800" s="130"/>
      <c r="AW800" s="130"/>
      <c r="AX800" s="130"/>
      <c r="AY800" s="130"/>
      <c r="AZ800" s="130"/>
      <c r="BA800" s="130"/>
      <c r="BB800" s="130"/>
      <c r="BC800" s="130"/>
      <c r="BD800" s="130"/>
    </row>
    <row r="801" ht="15.75" customHeight="1">
      <c r="A801" s="142"/>
      <c r="B801" s="142"/>
      <c r="C801" s="198"/>
      <c r="D801" s="142"/>
      <c r="E801" s="131"/>
      <c r="F801" s="142"/>
      <c r="G801" s="142"/>
      <c r="H801" s="131"/>
      <c r="I801" s="142"/>
      <c r="J801" s="142"/>
      <c r="K801" s="132"/>
      <c r="L801" s="131"/>
      <c r="M801" s="142"/>
      <c r="N801" s="142"/>
      <c r="O801" s="142"/>
      <c r="P801" s="142"/>
      <c r="Q801" s="142"/>
      <c r="R801" s="142"/>
      <c r="S801" s="142"/>
      <c r="T801" s="142"/>
      <c r="U801" s="142"/>
      <c r="V801" s="142"/>
      <c r="W801" s="142"/>
      <c r="X801" s="142"/>
      <c r="Y801" s="142"/>
      <c r="Z801" s="142"/>
      <c r="AA801" s="142"/>
      <c r="AB801" s="142"/>
      <c r="AC801" s="142"/>
      <c r="AD801" s="142"/>
      <c r="AE801" s="142"/>
      <c r="AF801" s="142"/>
      <c r="AG801" s="142"/>
      <c r="AH801" s="142"/>
      <c r="AI801" s="142"/>
      <c r="AJ801" s="142"/>
      <c r="AK801" s="142"/>
      <c r="AL801" s="142"/>
      <c r="AM801" s="142"/>
      <c r="AN801" s="142"/>
      <c r="AO801" s="142"/>
      <c r="AP801" s="130"/>
      <c r="AQ801" s="130"/>
      <c r="AR801" s="130"/>
      <c r="AS801" s="130"/>
      <c r="AT801" s="130"/>
      <c r="AU801" s="130"/>
      <c r="AV801" s="130"/>
      <c r="AW801" s="130"/>
      <c r="AX801" s="130"/>
      <c r="AY801" s="130"/>
      <c r="AZ801" s="130"/>
      <c r="BA801" s="130"/>
      <c r="BB801" s="130"/>
      <c r="BC801" s="130"/>
      <c r="BD801" s="130"/>
    </row>
    <row r="802" ht="15.75" customHeight="1">
      <c r="A802" s="142"/>
      <c r="B802" s="142"/>
      <c r="C802" s="198"/>
      <c r="D802" s="142"/>
      <c r="E802" s="131"/>
      <c r="F802" s="142"/>
      <c r="G802" s="142"/>
      <c r="H802" s="131"/>
      <c r="I802" s="142"/>
      <c r="J802" s="142"/>
      <c r="K802" s="132"/>
      <c r="L802" s="131"/>
      <c r="M802" s="142"/>
      <c r="N802" s="142"/>
      <c r="O802" s="142"/>
      <c r="P802" s="142"/>
      <c r="Q802" s="142"/>
      <c r="R802" s="142"/>
      <c r="S802" s="142"/>
      <c r="T802" s="142"/>
      <c r="U802" s="142"/>
      <c r="V802" s="142"/>
      <c r="W802" s="142"/>
      <c r="X802" s="142"/>
      <c r="Y802" s="142"/>
      <c r="Z802" s="142"/>
      <c r="AA802" s="142"/>
      <c r="AB802" s="142"/>
      <c r="AC802" s="142"/>
      <c r="AD802" s="142"/>
      <c r="AE802" s="142"/>
      <c r="AF802" s="142"/>
      <c r="AG802" s="142"/>
      <c r="AH802" s="142"/>
      <c r="AI802" s="142"/>
      <c r="AJ802" s="142"/>
      <c r="AK802" s="142"/>
      <c r="AL802" s="142"/>
      <c r="AM802" s="142"/>
      <c r="AN802" s="142"/>
      <c r="AO802" s="142"/>
      <c r="AP802" s="130"/>
      <c r="AQ802" s="130"/>
      <c r="AR802" s="130"/>
      <c r="AS802" s="130"/>
      <c r="AT802" s="130"/>
      <c r="AU802" s="130"/>
      <c r="AV802" s="130"/>
      <c r="AW802" s="130"/>
      <c r="AX802" s="130"/>
      <c r="AY802" s="130"/>
      <c r="AZ802" s="130"/>
      <c r="BA802" s="130"/>
      <c r="BB802" s="130"/>
      <c r="BC802" s="130"/>
      <c r="BD802" s="130"/>
    </row>
    <row r="803" ht="15.75" customHeight="1">
      <c r="A803" s="142"/>
      <c r="B803" s="142"/>
      <c r="C803" s="198"/>
      <c r="D803" s="142"/>
      <c r="E803" s="131"/>
      <c r="F803" s="142"/>
      <c r="G803" s="142"/>
      <c r="H803" s="131"/>
      <c r="I803" s="142"/>
      <c r="J803" s="142"/>
      <c r="K803" s="132"/>
      <c r="L803" s="131"/>
      <c r="M803" s="142"/>
      <c r="N803" s="142"/>
      <c r="O803" s="142"/>
      <c r="P803" s="142"/>
      <c r="Q803" s="142"/>
      <c r="R803" s="142"/>
      <c r="S803" s="142"/>
      <c r="T803" s="142"/>
      <c r="U803" s="142"/>
      <c r="V803" s="142"/>
      <c r="W803" s="142"/>
      <c r="X803" s="142"/>
      <c r="Y803" s="142"/>
      <c r="Z803" s="142"/>
      <c r="AA803" s="142"/>
      <c r="AB803" s="142"/>
      <c r="AC803" s="142"/>
      <c r="AD803" s="142"/>
      <c r="AE803" s="142"/>
      <c r="AF803" s="142"/>
      <c r="AG803" s="142"/>
      <c r="AH803" s="142"/>
      <c r="AI803" s="142"/>
      <c r="AJ803" s="142"/>
      <c r="AK803" s="142"/>
      <c r="AL803" s="142"/>
      <c r="AM803" s="142"/>
      <c r="AN803" s="142"/>
      <c r="AO803" s="142"/>
      <c r="AP803" s="130"/>
      <c r="AQ803" s="130"/>
      <c r="AR803" s="130"/>
      <c r="AS803" s="130"/>
      <c r="AT803" s="130"/>
      <c r="AU803" s="130"/>
      <c r="AV803" s="130"/>
      <c r="AW803" s="130"/>
      <c r="AX803" s="130"/>
      <c r="AY803" s="130"/>
      <c r="AZ803" s="130"/>
      <c r="BA803" s="130"/>
      <c r="BB803" s="130"/>
      <c r="BC803" s="130"/>
      <c r="BD803" s="130"/>
    </row>
    <row r="804" ht="15.75" customHeight="1">
      <c r="A804" s="142"/>
      <c r="B804" s="142"/>
      <c r="C804" s="198"/>
      <c r="D804" s="142"/>
      <c r="E804" s="131"/>
      <c r="F804" s="142"/>
      <c r="G804" s="142"/>
      <c r="H804" s="131"/>
      <c r="I804" s="142"/>
      <c r="J804" s="142"/>
      <c r="K804" s="132"/>
      <c r="L804" s="131"/>
      <c r="M804" s="142"/>
      <c r="N804" s="142"/>
      <c r="O804" s="142"/>
      <c r="P804" s="142"/>
      <c r="Q804" s="142"/>
      <c r="R804" s="142"/>
      <c r="S804" s="142"/>
      <c r="T804" s="142"/>
      <c r="U804" s="142"/>
      <c r="V804" s="142"/>
      <c r="W804" s="142"/>
      <c r="X804" s="142"/>
      <c r="Y804" s="142"/>
      <c r="Z804" s="142"/>
      <c r="AA804" s="142"/>
      <c r="AB804" s="142"/>
      <c r="AC804" s="142"/>
      <c r="AD804" s="142"/>
      <c r="AE804" s="142"/>
      <c r="AF804" s="142"/>
      <c r="AG804" s="142"/>
      <c r="AH804" s="142"/>
      <c r="AI804" s="142"/>
      <c r="AJ804" s="142"/>
      <c r="AK804" s="142"/>
      <c r="AL804" s="142"/>
      <c r="AM804" s="142"/>
      <c r="AN804" s="142"/>
      <c r="AO804" s="142"/>
      <c r="AP804" s="130"/>
      <c r="AQ804" s="130"/>
      <c r="AR804" s="130"/>
      <c r="AS804" s="130"/>
      <c r="AT804" s="130"/>
      <c r="AU804" s="130"/>
      <c r="AV804" s="130"/>
      <c r="AW804" s="130"/>
      <c r="AX804" s="130"/>
      <c r="AY804" s="130"/>
      <c r="AZ804" s="130"/>
      <c r="BA804" s="130"/>
      <c r="BB804" s="130"/>
      <c r="BC804" s="130"/>
      <c r="BD804" s="130"/>
    </row>
    <row r="805" ht="15.75" customHeight="1">
      <c r="A805" s="142"/>
      <c r="B805" s="142"/>
      <c r="C805" s="198"/>
      <c r="D805" s="142"/>
      <c r="E805" s="131"/>
      <c r="F805" s="142"/>
      <c r="G805" s="142"/>
      <c r="H805" s="131"/>
      <c r="I805" s="142"/>
      <c r="J805" s="142"/>
      <c r="K805" s="132"/>
      <c r="L805" s="131"/>
      <c r="M805" s="142"/>
      <c r="N805" s="142"/>
      <c r="O805" s="142"/>
      <c r="P805" s="142"/>
      <c r="Q805" s="142"/>
      <c r="R805" s="142"/>
      <c r="S805" s="142"/>
      <c r="T805" s="142"/>
      <c r="U805" s="142"/>
      <c r="V805" s="142"/>
      <c r="W805" s="142"/>
      <c r="X805" s="142"/>
      <c r="Y805" s="142"/>
      <c r="Z805" s="142"/>
      <c r="AA805" s="142"/>
      <c r="AB805" s="142"/>
      <c r="AC805" s="142"/>
      <c r="AD805" s="142"/>
      <c r="AE805" s="142"/>
      <c r="AF805" s="142"/>
      <c r="AG805" s="142"/>
      <c r="AH805" s="142"/>
      <c r="AI805" s="142"/>
      <c r="AJ805" s="142"/>
      <c r="AK805" s="142"/>
      <c r="AL805" s="142"/>
      <c r="AM805" s="142"/>
      <c r="AN805" s="142"/>
      <c r="AO805" s="142"/>
      <c r="AP805" s="130"/>
      <c r="AQ805" s="130"/>
      <c r="AR805" s="130"/>
      <c r="AS805" s="130"/>
      <c r="AT805" s="130"/>
      <c r="AU805" s="130"/>
      <c r="AV805" s="130"/>
      <c r="AW805" s="130"/>
      <c r="AX805" s="130"/>
      <c r="AY805" s="130"/>
      <c r="AZ805" s="130"/>
      <c r="BA805" s="130"/>
      <c r="BB805" s="130"/>
      <c r="BC805" s="130"/>
      <c r="BD805" s="130"/>
    </row>
    <row r="806" ht="15.75" customHeight="1">
      <c r="A806" s="142"/>
      <c r="B806" s="142"/>
      <c r="C806" s="198"/>
      <c r="D806" s="142"/>
      <c r="E806" s="131"/>
      <c r="F806" s="142"/>
      <c r="G806" s="142"/>
      <c r="H806" s="131"/>
      <c r="I806" s="142"/>
      <c r="J806" s="142"/>
      <c r="K806" s="132"/>
      <c r="L806" s="131"/>
      <c r="M806" s="142"/>
      <c r="N806" s="142"/>
      <c r="O806" s="142"/>
      <c r="P806" s="142"/>
      <c r="Q806" s="142"/>
      <c r="R806" s="142"/>
      <c r="S806" s="142"/>
      <c r="T806" s="142"/>
      <c r="U806" s="142"/>
      <c r="V806" s="142"/>
      <c r="W806" s="142"/>
      <c r="X806" s="142"/>
      <c r="Y806" s="142"/>
      <c r="Z806" s="142"/>
      <c r="AA806" s="142"/>
      <c r="AB806" s="142"/>
      <c r="AC806" s="142"/>
      <c r="AD806" s="142"/>
      <c r="AE806" s="142"/>
      <c r="AF806" s="142"/>
      <c r="AG806" s="142"/>
      <c r="AH806" s="142"/>
      <c r="AI806" s="142"/>
      <c r="AJ806" s="142"/>
      <c r="AK806" s="142"/>
      <c r="AL806" s="142"/>
      <c r="AM806" s="142"/>
      <c r="AN806" s="142"/>
      <c r="AO806" s="142"/>
      <c r="AP806" s="130"/>
      <c r="AQ806" s="130"/>
      <c r="AR806" s="130"/>
      <c r="AS806" s="130"/>
      <c r="AT806" s="130"/>
      <c r="AU806" s="130"/>
      <c r="AV806" s="130"/>
      <c r="AW806" s="130"/>
      <c r="AX806" s="130"/>
      <c r="AY806" s="130"/>
      <c r="AZ806" s="130"/>
      <c r="BA806" s="130"/>
      <c r="BB806" s="130"/>
      <c r="BC806" s="130"/>
      <c r="BD806" s="130"/>
    </row>
    <row r="807" ht="15.75" customHeight="1">
      <c r="A807" s="142"/>
      <c r="B807" s="142"/>
      <c r="C807" s="198"/>
      <c r="D807" s="142"/>
      <c r="E807" s="131"/>
      <c r="F807" s="142"/>
      <c r="G807" s="142"/>
      <c r="H807" s="131"/>
      <c r="I807" s="142"/>
      <c r="J807" s="142"/>
      <c r="K807" s="132"/>
      <c r="L807" s="131"/>
      <c r="M807" s="142"/>
      <c r="N807" s="142"/>
      <c r="O807" s="142"/>
      <c r="P807" s="142"/>
      <c r="Q807" s="142"/>
      <c r="R807" s="142"/>
      <c r="S807" s="142"/>
      <c r="T807" s="142"/>
      <c r="U807" s="142"/>
      <c r="V807" s="142"/>
      <c r="W807" s="142"/>
      <c r="X807" s="142"/>
      <c r="Y807" s="142"/>
      <c r="Z807" s="142"/>
      <c r="AA807" s="142"/>
      <c r="AB807" s="142"/>
      <c r="AC807" s="142"/>
      <c r="AD807" s="142"/>
      <c r="AE807" s="142"/>
      <c r="AF807" s="142"/>
      <c r="AG807" s="142"/>
      <c r="AH807" s="142"/>
      <c r="AI807" s="142"/>
      <c r="AJ807" s="142"/>
      <c r="AK807" s="142"/>
      <c r="AL807" s="142"/>
      <c r="AM807" s="142"/>
      <c r="AN807" s="142"/>
      <c r="AO807" s="142"/>
      <c r="AP807" s="130"/>
      <c r="AQ807" s="130"/>
      <c r="AR807" s="130"/>
      <c r="AS807" s="130"/>
      <c r="AT807" s="130"/>
      <c r="AU807" s="130"/>
      <c r="AV807" s="130"/>
      <c r="AW807" s="130"/>
      <c r="AX807" s="130"/>
      <c r="AY807" s="130"/>
      <c r="AZ807" s="130"/>
      <c r="BA807" s="130"/>
      <c r="BB807" s="130"/>
      <c r="BC807" s="130"/>
      <c r="BD807" s="130"/>
    </row>
    <row r="808" ht="15.75" customHeight="1">
      <c r="A808" s="142"/>
      <c r="B808" s="142"/>
      <c r="C808" s="198"/>
      <c r="D808" s="142"/>
      <c r="E808" s="131"/>
      <c r="F808" s="142"/>
      <c r="G808" s="142"/>
      <c r="H808" s="131"/>
      <c r="I808" s="142"/>
      <c r="J808" s="142"/>
      <c r="K808" s="132"/>
      <c r="L808" s="131"/>
      <c r="M808" s="142"/>
      <c r="N808" s="142"/>
      <c r="O808" s="142"/>
      <c r="P808" s="142"/>
      <c r="Q808" s="142"/>
      <c r="R808" s="142"/>
      <c r="S808" s="142"/>
      <c r="T808" s="142"/>
      <c r="U808" s="142"/>
      <c r="V808" s="142"/>
      <c r="W808" s="142"/>
      <c r="X808" s="142"/>
      <c r="Y808" s="142"/>
      <c r="Z808" s="142"/>
      <c r="AA808" s="142"/>
      <c r="AB808" s="142"/>
      <c r="AC808" s="142"/>
      <c r="AD808" s="142"/>
      <c r="AE808" s="142"/>
      <c r="AF808" s="142"/>
      <c r="AG808" s="142"/>
      <c r="AH808" s="142"/>
      <c r="AI808" s="142"/>
      <c r="AJ808" s="142"/>
      <c r="AK808" s="142"/>
      <c r="AL808" s="142"/>
      <c r="AM808" s="142"/>
      <c r="AN808" s="142"/>
      <c r="AO808" s="142"/>
      <c r="AP808" s="130"/>
      <c r="AQ808" s="130"/>
      <c r="AR808" s="130"/>
      <c r="AS808" s="130"/>
      <c r="AT808" s="130"/>
      <c r="AU808" s="130"/>
      <c r="AV808" s="130"/>
      <c r="AW808" s="130"/>
      <c r="AX808" s="130"/>
      <c r="AY808" s="130"/>
      <c r="AZ808" s="130"/>
      <c r="BA808" s="130"/>
      <c r="BB808" s="130"/>
      <c r="BC808" s="130"/>
      <c r="BD808" s="130"/>
    </row>
    <row r="809" ht="15.75" customHeight="1">
      <c r="A809" s="142"/>
      <c r="B809" s="142"/>
      <c r="C809" s="198"/>
      <c r="D809" s="142"/>
      <c r="E809" s="131"/>
      <c r="F809" s="142"/>
      <c r="G809" s="142"/>
      <c r="H809" s="131"/>
      <c r="I809" s="142"/>
      <c r="J809" s="142"/>
      <c r="K809" s="132"/>
      <c r="L809" s="131"/>
      <c r="M809" s="142"/>
      <c r="N809" s="142"/>
      <c r="O809" s="142"/>
      <c r="P809" s="142"/>
      <c r="Q809" s="142"/>
      <c r="R809" s="142"/>
      <c r="S809" s="142"/>
      <c r="T809" s="142"/>
      <c r="U809" s="142"/>
      <c r="V809" s="142"/>
      <c r="W809" s="142"/>
      <c r="X809" s="142"/>
      <c r="Y809" s="142"/>
      <c r="Z809" s="142"/>
      <c r="AA809" s="142"/>
      <c r="AB809" s="142"/>
      <c r="AC809" s="142"/>
      <c r="AD809" s="142"/>
      <c r="AE809" s="142"/>
      <c r="AF809" s="142"/>
      <c r="AG809" s="142"/>
      <c r="AH809" s="142"/>
      <c r="AI809" s="142"/>
      <c r="AJ809" s="142"/>
      <c r="AK809" s="142"/>
      <c r="AL809" s="142"/>
      <c r="AM809" s="142"/>
      <c r="AN809" s="142"/>
      <c r="AO809" s="142"/>
      <c r="AP809" s="130"/>
      <c r="AQ809" s="130"/>
      <c r="AR809" s="130"/>
      <c r="AS809" s="130"/>
      <c r="AT809" s="130"/>
      <c r="AU809" s="130"/>
      <c r="AV809" s="130"/>
      <c r="AW809" s="130"/>
      <c r="AX809" s="130"/>
      <c r="AY809" s="130"/>
      <c r="AZ809" s="130"/>
      <c r="BA809" s="130"/>
      <c r="BB809" s="130"/>
      <c r="BC809" s="130"/>
      <c r="BD809" s="130"/>
    </row>
    <row r="810" ht="15.75" customHeight="1">
      <c r="A810" s="142"/>
      <c r="B810" s="142"/>
      <c r="C810" s="198"/>
      <c r="D810" s="142"/>
      <c r="E810" s="131"/>
      <c r="F810" s="142"/>
      <c r="G810" s="142"/>
      <c r="H810" s="131"/>
      <c r="I810" s="142"/>
      <c r="J810" s="142"/>
      <c r="K810" s="132"/>
      <c r="L810" s="131"/>
      <c r="M810" s="142"/>
      <c r="N810" s="142"/>
      <c r="O810" s="142"/>
      <c r="P810" s="142"/>
      <c r="Q810" s="142"/>
      <c r="R810" s="142"/>
      <c r="S810" s="142"/>
      <c r="T810" s="142"/>
      <c r="U810" s="142"/>
      <c r="V810" s="142"/>
      <c r="W810" s="142"/>
      <c r="X810" s="142"/>
      <c r="Y810" s="142"/>
      <c r="Z810" s="142"/>
      <c r="AA810" s="142"/>
      <c r="AB810" s="142"/>
      <c r="AC810" s="142"/>
      <c r="AD810" s="142"/>
      <c r="AE810" s="142"/>
      <c r="AF810" s="142"/>
      <c r="AG810" s="142"/>
      <c r="AH810" s="142"/>
      <c r="AI810" s="142"/>
      <c r="AJ810" s="142"/>
      <c r="AK810" s="142"/>
      <c r="AL810" s="142"/>
      <c r="AM810" s="142"/>
      <c r="AN810" s="142"/>
      <c r="AO810" s="142"/>
      <c r="AP810" s="130"/>
      <c r="AQ810" s="130"/>
      <c r="AR810" s="130"/>
      <c r="AS810" s="130"/>
      <c r="AT810" s="130"/>
      <c r="AU810" s="130"/>
      <c r="AV810" s="130"/>
      <c r="AW810" s="130"/>
      <c r="AX810" s="130"/>
      <c r="AY810" s="130"/>
      <c r="AZ810" s="130"/>
      <c r="BA810" s="130"/>
      <c r="BB810" s="130"/>
      <c r="BC810" s="130"/>
      <c r="BD810" s="130"/>
    </row>
    <row r="811" ht="15.75" customHeight="1">
      <c r="A811" s="142"/>
      <c r="B811" s="142"/>
      <c r="C811" s="198"/>
      <c r="D811" s="142"/>
      <c r="E811" s="131"/>
      <c r="F811" s="142"/>
      <c r="G811" s="142"/>
      <c r="H811" s="131"/>
      <c r="I811" s="142"/>
      <c r="J811" s="142"/>
      <c r="K811" s="132"/>
      <c r="L811" s="131"/>
      <c r="M811" s="142"/>
      <c r="N811" s="142"/>
      <c r="O811" s="142"/>
      <c r="P811" s="142"/>
      <c r="Q811" s="142"/>
      <c r="R811" s="142"/>
      <c r="S811" s="142"/>
      <c r="T811" s="142"/>
      <c r="U811" s="142"/>
      <c r="V811" s="142"/>
      <c r="W811" s="142"/>
      <c r="X811" s="142"/>
      <c r="Y811" s="142"/>
      <c r="Z811" s="142"/>
      <c r="AA811" s="142"/>
      <c r="AB811" s="142"/>
      <c r="AC811" s="142"/>
      <c r="AD811" s="142"/>
      <c r="AE811" s="142"/>
      <c r="AF811" s="142"/>
      <c r="AG811" s="142"/>
      <c r="AH811" s="142"/>
      <c r="AI811" s="142"/>
      <c r="AJ811" s="142"/>
      <c r="AK811" s="142"/>
      <c r="AL811" s="142"/>
      <c r="AM811" s="142"/>
      <c r="AN811" s="142"/>
      <c r="AO811" s="142"/>
      <c r="AP811" s="130"/>
      <c r="AQ811" s="130"/>
      <c r="AR811" s="130"/>
      <c r="AS811" s="130"/>
      <c r="AT811" s="130"/>
      <c r="AU811" s="130"/>
      <c r="AV811" s="130"/>
      <c r="AW811" s="130"/>
      <c r="AX811" s="130"/>
      <c r="AY811" s="130"/>
      <c r="AZ811" s="130"/>
      <c r="BA811" s="130"/>
      <c r="BB811" s="130"/>
      <c r="BC811" s="130"/>
      <c r="BD811" s="130"/>
    </row>
    <row r="812" ht="15.75" customHeight="1">
      <c r="A812" s="142"/>
      <c r="B812" s="142"/>
      <c r="C812" s="198"/>
      <c r="D812" s="142"/>
      <c r="E812" s="131"/>
      <c r="F812" s="142"/>
      <c r="G812" s="142"/>
      <c r="H812" s="131"/>
      <c r="I812" s="142"/>
      <c r="J812" s="142"/>
      <c r="K812" s="132"/>
      <c r="L812" s="131"/>
      <c r="M812" s="142"/>
      <c r="N812" s="142"/>
      <c r="O812" s="142"/>
      <c r="P812" s="142"/>
      <c r="Q812" s="142"/>
      <c r="R812" s="142"/>
      <c r="S812" s="142"/>
      <c r="T812" s="142"/>
      <c r="U812" s="142"/>
      <c r="V812" s="142"/>
      <c r="W812" s="142"/>
      <c r="X812" s="142"/>
      <c r="Y812" s="142"/>
      <c r="Z812" s="142"/>
      <c r="AA812" s="142"/>
      <c r="AB812" s="142"/>
      <c r="AC812" s="142"/>
      <c r="AD812" s="142"/>
      <c r="AE812" s="142"/>
      <c r="AF812" s="142"/>
      <c r="AG812" s="142"/>
      <c r="AH812" s="142"/>
      <c r="AI812" s="142"/>
      <c r="AJ812" s="142"/>
      <c r="AK812" s="142"/>
      <c r="AL812" s="142"/>
      <c r="AM812" s="142"/>
      <c r="AN812" s="142"/>
      <c r="AO812" s="142"/>
      <c r="AP812" s="130"/>
      <c r="AQ812" s="130"/>
      <c r="AR812" s="130"/>
      <c r="AS812" s="130"/>
      <c r="AT812" s="130"/>
      <c r="AU812" s="130"/>
      <c r="AV812" s="130"/>
      <c r="AW812" s="130"/>
      <c r="AX812" s="130"/>
      <c r="AY812" s="130"/>
      <c r="AZ812" s="130"/>
      <c r="BA812" s="130"/>
      <c r="BB812" s="130"/>
      <c r="BC812" s="130"/>
      <c r="BD812" s="130"/>
    </row>
    <row r="813" ht="15.75" customHeight="1">
      <c r="A813" s="142"/>
      <c r="B813" s="142"/>
      <c r="C813" s="198"/>
      <c r="D813" s="142"/>
      <c r="E813" s="131"/>
      <c r="F813" s="142"/>
      <c r="G813" s="142"/>
      <c r="H813" s="131"/>
      <c r="I813" s="142"/>
      <c r="J813" s="142"/>
      <c r="K813" s="132"/>
      <c r="L813" s="131"/>
      <c r="M813" s="142"/>
      <c r="N813" s="142"/>
      <c r="O813" s="142"/>
      <c r="P813" s="142"/>
      <c r="Q813" s="142"/>
      <c r="R813" s="142"/>
      <c r="S813" s="142"/>
      <c r="T813" s="142"/>
      <c r="U813" s="142"/>
      <c r="V813" s="142"/>
      <c r="W813" s="142"/>
      <c r="X813" s="142"/>
      <c r="Y813" s="142"/>
      <c r="Z813" s="142"/>
      <c r="AA813" s="142"/>
      <c r="AB813" s="142"/>
      <c r="AC813" s="142"/>
      <c r="AD813" s="142"/>
      <c r="AE813" s="142"/>
      <c r="AF813" s="142"/>
      <c r="AG813" s="142"/>
      <c r="AH813" s="142"/>
      <c r="AI813" s="142"/>
      <c r="AJ813" s="142"/>
      <c r="AK813" s="142"/>
      <c r="AL813" s="142"/>
      <c r="AM813" s="142"/>
      <c r="AN813" s="142"/>
      <c r="AO813" s="142"/>
      <c r="AP813" s="130"/>
      <c r="AQ813" s="130"/>
      <c r="AR813" s="130"/>
      <c r="AS813" s="130"/>
      <c r="AT813" s="130"/>
      <c r="AU813" s="130"/>
      <c r="AV813" s="130"/>
      <c r="AW813" s="130"/>
      <c r="AX813" s="130"/>
      <c r="AY813" s="130"/>
      <c r="AZ813" s="130"/>
      <c r="BA813" s="130"/>
      <c r="BB813" s="130"/>
      <c r="BC813" s="130"/>
      <c r="BD813" s="130"/>
    </row>
    <row r="814" ht="15.75" customHeight="1">
      <c r="A814" s="142"/>
      <c r="B814" s="142"/>
      <c r="C814" s="198"/>
      <c r="D814" s="142"/>
      <c r="E814" s="131"/>
      <c r="F814" s="142"/>
      <c r="G814" s="142"/>
      <c r="H814" s="131"/>
      <c r="I814" s="142"/>
      <c r="J814" s="142"/>
      <c r="K814" s="132"/>
      <c r="L814" s="131"/>
      <c r="M814" s="142"/>
      <c r="N814" s="142"/>
      <c r="O814" s="142"/>
      <c r="P814" s="142"/>
      <c r="Q814" s="142"/>
      <c r="R814" s="142"/>
      <c r="S814" s="142"/>
      <c r="T814" s="142"/>
      <c r="U814" s="142"/>
      <c r="V814" s="142"/>
      <c r="W814" s="142"/>
      <c r="X814" s="142"/>
      <c r="Y814" s="142"/>
      <c r="Z814" s="142"/>
      <c r="AA814" s="142"/>
      <c r="AB814" s="142"/>
      <c r="AC814" s="142"/>
      <c r="AD814" s="142"/>
      <c r="AE814" s="142"/>
      <c r="AF814" s="142"/>
      <c r="AG814" s="142"/>
      <c r="AH814" s="142"/>
      <c r="AI814" s="142"/>
      <c r="AJ814" s="142"/>
      <c r="AK814" s="142"/>
      <c r="AL814" s="142"/>
      <c r="AM814" s="142"/>
      <c r="AN814" s="142"/>
      <c r="AO814" s="142"/>
      <c r="AP814" s="130"/>
      <c r="AQ814" s="130"/>
      <c r="AR814" s="130"/>
      <c r="AS814" s="130"/>
      <c r="AT814" s="130"/>
      <c r="AU814" s="130"/>
      <c r="AV814" s="130"/>
      <c r="AW814" s="130"/>
      <c r="AX814" s="130"/>
      <c r="AY814" s="130"/>
      <c r="AZ814" s="130"/>
      <c r="BA814" s="130"/>
      <c r="BB814" s="130"/>
      <c r="BC814" s="130"/>
      <c r="BD814" s="130"/>
    </row>
    <row r="815" ht="15.75" customHeight="1">
      <c r="A815" s="142"/>
      <c r="B815" s="142"/>
      <c r="C815" s="198"/>
      <c r="D815" s="142"/>
      <c r="E815" s="131"/>
      <c r="F815" s="142"/>
      <c r="G815" s="142"/>
      <c r="H815" s="131"/>
      <c r="I815" s="142"/>
      <c r="J815" s="142"/>
      <c r="K815" s="132"/>
      <c r="L815" s="131"/>
      <c r="M815" s="142"/>
      <c r="N815" s="142"/>
      <c r="O815" s="142"/>
      <c r="P815" s="142"/>
      <c r="Q815" s="142"/>
      <c r="R815" s="142"/>
      <c r="S815" s="142"/>
      <c r="T815" s="142"/>
      <c r="U815" s="142"/>
      <c r="V815" s="142"/>
      <c r="W815" s="142"/>
      <c r="X815" s="142"/>
      <c r="Y815" s="142"/>
      <c r="Z815" s="142"/>
      <c r="AA815" s="142"/>
      <c r="AB815" s="142"/>
      <c r="AC815" s="142"/>
      <c r="AD815" s="142"/>
      <c r="AE815" s="142"/>
      <c r="AF815" s="142"/>
      <c r="AG815" s="142"/>
      <c r="AH815" s="142"/>
      <c r="AI815" s="142"/>
      <c r="AJ815" s="142"/>
      <c r="AK815" s="142"/>
      <c r="AL815" s="142"/>
      <c r="AM815" s="142"/>
      <c r="AN815" s="142"/>
      <c r="AO815" s="142"/>
      <c r="AP815" s="130"/>
      <c r="AQ815" s="130"/>
      <c r="AR815" s="130"/>
      <c r="AS815" s="130"/>
      <c r="AT815" s="130"/>
      <c r="AU815" s="130"/>
      <c r="AV815" s="130"/>
      <c r="AW815" s="130"/>
      <c r="AX815" s="130"/>
      <c r="AY815" s="130"/>
      <c r="AZ815" s="130"/>
      <c r="BA815" s="130"/>
      <c r="BB815" s="130"/>
      <c r="BC815" s="130"/>
      <c r="BD815" s="130"/>
    </row>
    <row r="816" ht="15.75" customHeight="1">
      <c r="A816" s="142"/>
      <c r="B816" s="142"/>
      <c r="C816" s="198"/>
      <c r="D816" s="142"/>
      <c r="E816" s="131"/>
      <c r="F816" s="142"/>
      <c r="G816" s="142"/>
      <c r="H816" s="131"/>
      <c r="I816" s="142"/>
      <c r="J816" s="142"/>
      <c r="K816" s="132"/>
      <c r="L816" s="131"/>
      <c r="M816" s="142"/>
      <c r="N816" s="142"/>
      <c r="O816" s="142"/>
      <c r="P816" s="142"/>
      <c r="Q816" s="142"/>
      <c r="R816" s="142"/>
      <c r="S816" s="142"/>
      <c r="T816" s="142"/>
      <c r="U816" s="142"/>
      <c r="V816" s="142"/>
      <c r="W816" s="142"/>
      <c r="X816" s="142"/>
      <c r="Y816" s="142"/>
      <c r="Z816" s="142"/>
      <c r="AA816" s="142"/>
      <c r="AB816" s="142"/>
      <c r="AC816" s="142"/>
      <c r="AD816" s="142"/>
      <c r="AE816" s="142"/>
      <c r="AF816" s="142"/>
      <c r="AG816" s="142"/>
      <c r="AH816" s="142"/>
      <c r="AI816" s="142"/>
      <c r="AJ816" s="142"/>
      <c r="AK816" s="142"/>
      <c r="AL816" s="142"/>
      <c r="AM816" s="142"/>
      <c r="AN816" s="142"/>
      <c r="AO816" s="142"/>
      <c r="AP816" s="130"/>
      <c r="AQ816" s="130"/>
      <c r="AR816" s="130"/>
      <c r="AS816" s="130"/>
      <c r="AT816" s="130"/>
      <c r="AU816" s="130"/>
      <c r="AV816" s="130"/>
      <c r="AW816" s="130"/>
      <c r="AX816" s="130"/>
      <c r="AY816" s="130"/>
      <c r="AZ816" s="130"/>
      <c r="BA816" s="130"/>
      <c r="BB816" s="130"/>
      <c r="BC816" s="130"/>
      <c r="BD816" s="130"/>
    </row>
    <row r="817" ht="15.75" customHeight="1">
      <c r="A817" s="142"/>
      <c r="B817" s="142"/>
      <c r="C817" s="198"/>
      <c r="D817" s="142"/>
      <c r="E817" s="131"/>
      <c r="F817" s="142"/>
      <c r="G817" s="142"/>
      <c r="H817" s="131"/>
      <c r="I817" s="142"/>
      <c r="J817" s="142"/>
      <c r="K817" s="132"/>
      <c r="L817" s="131"/>
      <c r="M817" s="142"/>
      <c r="N817" s="142"/>
      <c r="O817" s="142"/>
      <c r="P817" s="142"/>
      <c r="Q817" s="142"/>
      <c r="R817" s="142"/>
      <c r="S817" s="142"/>
      <c r="T817" s="142"/>
      <c r="U817" s="142"/>
      <c r="V817" s="142"/>
      <c r="W817" s="142"/>
      <c r="X817" s="142"/>
      <c r="Y817" s="142"/>
      <c r="Z817" s="142"/>
      <c r="AA817" s="142"/>
      <c r="AB817" s="142"/>
      <c r="AC817" s="142"/>
      <c r="AD817" s="142"/>
      <c r="AE817" s="142"/>
      <c r="AF817" s="142"/>
      <c r="AG817" s="142"/>
      <c r="AH817" s="142"/>
      <c r="AI817" s="142"/>
      <c r="AJ817" s="142"/>
      <c r="AK817" s="142"/>
      <c r="AL817" s="142"/>
      <c r="AM817" s="142"/>
      <c r="AN817" s="142"/>
      <c r="AO817" s="142"/>
      <c r="AP817" s="130"/>
      <c r="AQ817" s="130"/>
      <c r="AR817" s="130"/>
      <c r="AS817" s="130"/>
      <c r="AT817" s="130"/>
      <c r="AU817" s="130"/>
      <c r="AV817" s="130"/>
      <c r="AW817" s="130"/>
      <c r="AX817" s="130"/>
      <c r="AY817" s="130"/>
      <c r="AZ817" s="130"/>
      <c r="BA817" s="130"/>
      <c r="BB817" s="130"/>
      <c r="BC817" s="130"/>
      <c r="BD817" s="130"/>
    </row>
    <row r="818" ht="15.75" customHeight="1">
      <c r="A818" s="142"/>
      <c r="B818" s="142"/>
      <c r="C818" s="198"/>
      <c r="D818" s="142"/>
      <c r="E818" s="131"/>
      <c r="F818" s="142"/>
      <c r="G818" s="142"/>
      <c r="H818" s="131"/>
      <c r="I818" s="142"/>
      <c r="J818" s="142"/>
      <c r="K818" s="132"/>
      <c r="L818" s="131"/>
      <c r="M818" s="142"/>
      <c r="N818" s="142"/>
      <c r="O818" s="142"/>
      <c r="P818" s="142"/>
      <c r="Q818" s="142"/>
      <c r="R818" s="142"/>
      <c r="S818" s="142"/>
      <c r="T818" s="142"/>
      <c r="U818" s="142"/>
      <c r="V818" s="142"/>
      <c r="W818" s="142"/>
      <c r="X818" s="142"/>
      <c r="Y818" s="142"/>
      <c r="Z818" s="142"/>
      <c r="AA818" s="142"/>
      <c r="AB818" s="142"/>
      <c r="AC818" s="142"/>
      <c r="AD818" s="142"/>
      <c r="AE818" s="142"/>
      <c r="AF818" s="142"/>
      <c r="AG818" s="142"/>
      <c r="AH818" s="142"/>
      <c r="AI818" s="142"/>
      <c r="AJ818" s="142"/>
      <c r="AK818" s="142"/>
      <c r="AL818" s="142"/>
      <c r="AM818" s="142"/>
      <c r="AN818" s="142"/>
      <c r="AO818" s="142"/>
      <c r="AP818" s="130"/>
      <c r="AQ818" s="130"/>
      <c r="AR818" s="130"/>
      <c r="AS818" s="130"/>
      <c r="AT818" s="130"/>
      <c r="AU818" s="130"/>
      <c r="AV818" s="130"/>
      <c r="AW818" s="130"/>
      <c r="AX818" s="130"/>
      <c r="AY818" s="130"/>
      <c r="AZ818" s="130"/>
      <c r="BA818" s="130"/>
      <c r="BB818" s="130"/>
      <c r="BC818" s="130"/>
      <c r="BD818" s="130"/>
    </row>
    <row r="819" ht="15.75" customHeight="1">
      <c r="A819" s="142"/>
      <c r="B819" s="142"/>
      <c r="C819" s="198"/>
      <c r="D819" s="142"/>
      <c r="E819" s="131"/>
      <c r="F819" s="142"/>
      <c r="G819" s="142"/>
      <c r="H819" s="131"/>
      <c r="I819" s="142"/>
      <c r="J819" s="142"/>
      <c r="K819" s="132"/>
      <c r="L819" s="131"/>
      <c r="M819" s="142"/>
      <c r="N819" s="142"/>
      <c r="O819" s="142"/>
      <c r="P819" s="142"/>
      <c r="Q819" s="142"/>
      <c r="R819" s="142"/>
      <c r="S819" s="142"/>
      <c r="T819" s="142"/>
      <c r="U819" s="142"/>
      <c r="V819" s="142"/>
      <c r="W819" s="142"/>
      <c r="X819" s="142"/>
      <c r="Y819" s="142"/>
      <c r="Z819" s="142"/>
      <c r="AA819" s="142"/>
      <c r="AB819" s="142"/>
      <c r="AC819" s="142"/>
      <c r="AD819" s="142"/>
      <c r="AE819" s="142"/>
      <c r="AF819" s="142"/>
      <c r="AG819" s="142"/>
      <c r="AH819" s="142"/>
      <c r="AI819" s="142"/>
      <c r="AJ819" s="142"/>
      <c r="AK819" s="142"/>
      <c r="AL819" s="142"/>
      <c r="AM819" s="142"/>
      <c r="AN819" s="142"/>
      <c r="AO819" s="142"/>
      <c r="AP819" s="130"/>
      <c r="AQ819" s="130"/>
      <c r="AR819" s="130"/>
      <c r="AS819" s="130"/>
      <c r="AT819" s="130"/>
      <c r="AU819" s="130"/>
      <c r="AV819" s="130"/>
      <c r="AW819" s="130"/>
      <c r="AX819" s="130"/>
      <c r="AY819" s="130"/>
      <c r="AZ819" s="130"/>
      <c r="BA819" s="130"/>
      <c r="BB819" s="130"/>
      <c r="BC819" s="130"/>
      <c r="BD819" s="130"/>
    </row>
    <row r="820" ht="15.75" customHeight="1">
      <c r="A820" s="142"/>
      <c r="B820" s="142"/>
      <c r="C820" s="198"/>
      <c r="D820" s="142"/>
      <c r="E820" s="131"/>
      <c r="F820" s="142"/>
      <c r="G820" s="142"/>
      <c r="H820" s="131"/>
      <c r="I820" s="142"/>
      <c r="J820" s="142"/>
      <c r="K820" s="132"/>
      <c r="L820" s="131"/>
      <c r="M820" s="142"/>
      <c r="N820" s="142"/>
      <c r="O820" s="142"/>
      <c r="P820" s="142"/>
      <c r="Q820" s="142"/>
      <c r="R820" s="142"/>
      <c r="S820" s="142"/>
      <c r="T820" s="142"/>
      <c r="U820" s="142"/>
      <c r="V820" s="142"/>
      <c r="W820" s="142"/>
      <c r="X820" s="142"/>
      <c r="Y820" s="142"/>
      <c r="Z820" s="142"/>
      <c r="AA820" s="142"/>
      <c r="AB820" s="142"/>
      <c r="AC820" s="142"/>
      <c r="AD820" s="142"/>
      <c r="AE820" s="142"/>
      <c r="AF820" s="142"/>
      <c r="AG820" s="142"/>
      <c r="AH820" s="142"/>
      <c r="AI820" s="142"/>
      <c r="AJ820" s="142"/>
      <c r="AK820" s="142"/>
      <c r="AL820" s="142"/>
      <c r="AM820" s="142"/>
      <c r="AN820" s="142"/>
      <c r="AO820" s="142"/>
      <c r="AP820" s="130"/>
      <c r="AQ820" s="130"/>
      <c r="AR820" s="130"/>
      <c r="AS820" s="130"/>
      <c r="AT820" s="130"/>
      <c r="AU820" s="130"/>
      <c r="AV820" s="130"/>
      <c r="AW820" s="130"/>
      <c r="AX820" s="130"/>
      <c r="AY820" s="130"/>
      <c r="AZ820" s="130"/>
      <c r="BA820" s="130"/>
      <c r="BB820" s="130"/>
      <c r="BC820" s="130"/>
      <c r="BD820" s="130"/>
    </row>
    <row r="821" ht="15.75" customHeight="1">
      <c r="A821" s="142"/>
      <c r="B821" s="142"/>
      <c r="C821" s="198"/>
      <c r="D821" s="142"/>
      <c r="E821" s="131"/>
      <c r="F821" s="142"/>
      <c r="G821" s="142"/>
      <c r="H821" s="131"/>
      <c r="I821" s="142"/>
      <c r="J821" s="142"/>
      <c r="K821" s="132"/>
      <c r="L821" s="131"/>
      <c r="M821" s="142"/>
      <c r="N821" s="142"/>
      <c r="O821" s="142"/>
      <c r="P821" s="142"/>
      <c r="Q821" s="142"/>
      <c r="R821" s="142"/>
      <c r="S821" s="142"/>
      <c r="T821" s="142"/>
      <c r="U821" s="142"/>
      <c r="V821" s="142"/>
      <c r="W821" s="142"/>
      <c r="X821" s="142"/>
      <c r="Y821" s="142"/>
      <c r="Z821" s="142"/>
      <c r="AA821" s="142"/>
      <c r="AB821" s="142"/>
      <c r="AC821" s="142"/>
      <c r="AD821" s="142"/>
      <c r="AE821" s="142"/>
      <c r="AF821" s="142"/>
      <c r="AG821" s="142"/>
      <c r="AH821" s="142"/>
      <c r="AI821" s="142"/>
      <c r="AJ821" s="142"/>
      <c r="AK821" s="142"/>
      <c r="AL821" s="142"/>
      <c r="AM821" s="142"/>
      <c r="AN821" s="142"/>
      <c r="AO821" s="142"/>
      <c r="AP821" s="130"/>
      <c r="AQ821" s="130"/>
      <c r="AR821" s="130"/>
      <c r="AS821" s="130"/>
      <c r="AT821" s="130"/>
      <c r="AU821" s="130"/>
      <c r="AV821" s="130"/>
      <c r="AW821" s="130"/>
      <c r="AX821" s="130"/>
      <c r="AY821" s="130"/>
      <c r="AZ821" s="130"/>
      <c r="BA821" s="130"/>
      <c r="BB821" s="130"/>
      <c r="BC821" s="130"/>
      <c r="BD821" s="130"/>
    </row>
    <row r="822" ht="15.75" customHeight="1">
      <c r="A822" s="142"/>
      <c r="B822" s="142"/>
      <c r="C822" s="198"/>
      <c r="D822" s="142"/>
      <c r="E822" s="131"/>
      <c r="F822" s="142"/>
      <c r="G822" s="142"/>
      <c r="H822" s="131"/>
      <c r="I822" s="142"/>
      <c r="J822" s="142"/>
      <c r="K822" s="132"/>
      <c r="L822" s="131"/>
      <c r="M822" s="142"/>
      <c r="N822" s="142"/>
      <c r="O822" s="142"/>
      <c r="P822" s="142"/>
      <c r="Q822" s="142"/>
      <c r="R822" s="142"/>
      <c r="S822" s="142"/>
      <c r="T822" s="142"/>
      <c r="U822" s="142"/>
      <c r="V822" s="142"/>
      <c r="W822" s="142"/>
      <c r="X822" s="142"/>
      <c r="Y822" s="142"/>
      <c r="Z822" s="142"/>
      <c r="AA822" s="142"/>
      <c r="AB822" s="142"/>
      <c r="AC822" s="142"/>
      <c r="AD822" s="142"/>
      <c r="AE822" s="142"/>
      <c r="AF822" s="142"/>
      <c r="AG822" s="142"/>
      <c r="AH822" s="142"/>
      <c r="AI822" s="142"/>
      <c r="AJ822" s="142"/>
      <c r="AK822" s="142"/>
      <c r="AL822" s="142"/>
      <c r="AM822" s="142"/>
      <c r="AN822" s="142"/>
      <c r="AO822" s="142"/>
      <c r="AP822" s="130"/>
      <c r="AQ822" s="130"/>
      <c r="AR822" s="130"/>
      <c r="AS822" s="130"/>
      <c r="AT822" s="130"/>
      <c r="AU822" s="130"/>
      <c r="AV822" s="130"/>
      <c r="AW822" s="130"/>
      <c r="AX822" s="130"/>
      <c r="AY822" s="130"/>
      <c r="AZ822" s="130"/>
      <c r="BA822" s="130"/>
      <c r="BB822" s="130"/>
      <c r="BC822" s="130"/>
      <c r="BD822" s="130"/>
    </row>
    <row r="823" ht="15.75" customHeight="1">
      <c r="A823" s="142"/>
      <c r="B823" s="142"/>
      <c r="C823" s="198"/>
      <c r="D823" s="142"/>
      <c r="E823" s="131"/>
      <c r="F823" s="142"/>
      <c r="G823" s="142"/>
      <c r="H823" s="131"/>
      <c r="I823" s="142"/>
      <c r="J823" s="142"/>
      <c r="K823" s="132"/>
      <c r="L823" s="131"/>
      <c r="M823" s="142"/>
      <c r="N823" s="142"/>
      <c r="O823" s="142"/>
      <c r="P823" s="142"/>
      <c r="Q823" s="142"/>
      <c r="R823" s="142"/>
      <c r="S823" s="142"/>
      <c r="T823" s="142"/>
      <c r="U823" s="142"/>
      <c r="V823" s="142"/>
      <c r="W823" s="142"/>
      <c r="X823" s="142"/>
      <c r="Y823" s="142"/>
      <c r="Z823" s="142"/>
      <c r="AA823" s="142"/>
      <c r="AB823" s="142"/>
      <c r="AC823" s="142"/>
      <c r="AD823" s="142"/>
      <c r="AE823" s="142"/>
      <c r="AF823" s="142"/>
      <c r="AG823" s="142"/>
      <c r="AH823" s="142"/>
      <c r="AI823" s="142"/>
      <c r="AJ823" s="142"/>
      <c r="AK823" s="142"/>
      <c r="AL823" s="142"/>
      <c r="AM823" s="142"/>
      <c r="AN823" s="142"/>
      <c r="AO823" s="142"/>
      <c r="AP823" s="130"/>
      <c r="AQ823" s="130"/>
      <c r="AR823" s="130"/>
      <c r="AS823" s="130"/>
      <c r="AT823" s="130"/>
      <c r="AU823" s="130"/>
      <c r="AV823" s="130"/>
      <c r="AW823" s="130"/>
      <c r="AX823" s="130"/>
      <c r="AY823" s="130"/>
      <c r="AZ823" s="130"/>
      <c r="BA823" s="130"/>
      <c r="BB823" s="130"/>
      <c r="BC823" s="130"/>
      <c r="BD823" s="130"/>
    </row>
    <row r="824" ht="15.75" customHeight="1">
      <c r="A824" s="142"/>
      <c r="B824" s="142"/>
      <c r="C824" s="198"/>
      <c r="D824" s="142"/>
      <c r="E824" s="131"/>
      <c r="F824" s="142"/>
      <c r="G824" s="142"/>
      <c r="H824" s="131"/>
      <c r="I824" s="142"/>
      <c r="J824" s="142"/>
      <c r="K824" s="132"/>
      <c r="L824" s="131"/>
      <c r="M824" s="142"/>
      <c r="N824" s="142"/>
      <c r="O824" s="142"/>
      <c r="P824" s="142"/>
      <c r="Q824" s="142"/>
      <c r="R824" s="142"/>
      <c r="S824" s="142"/>
      <c r="T824" s="142"/>
      <c r="U824" s="142"/>
      <c r="V824" s="142"/>
      <c r="W824" s="142"/>
      <c r="X824" s="142"/>
      <c r="Y824" s="142"/>
      <c r="Z824" s="142"/>
      <c r="AA824" s="142"/>
      <c r="AB824" s="142"/>
      <c r="AC824" s="142"/>
      <c r="AD824" s="142"/>
      <c r="AE824" s="142"/>
      <c r="AF824" s="142"/>
      <c r="AG824" s="142"/>
      <c r="AH824" s="142"/>
      <c r="AI824" s="142"/>
      <c r="AJ824" s="142"/>
      <c r="AK824" s="142"/>
      <c r="AL824" s="142"/>
      <c r="AM824" s="142"/>
      <c r="AN824" s="142"/>
      <c r="AO824" s="142"/>
      <c r="AP824" s="130"/>
      <c r="AQ824" s="130"/>
      <c r="AR824" s="130"/>
      <c r="AS824" s="130"/>
      <c r="AT824" s="130"/>
      <c r="AU824" s="130"/>
      <c r="AV824" s="130"/>
      <c r="AW824" s="130"/>
      <c r="AX824" s="130"/>
      <c r="AY824" s="130"/>
      <c r="AZ824" s="130"/>
      <c r="BA824" s="130"/>
      <c r="BB824" s="130"/>
      <c r="BC824" s="130"/>
      <c r="BD824" s="130"/>
    </row>
    <row r="825" ht="15.75" customHeight="1">
      <c r="A825" s="142"/>
      <c r="B825" s="142"/>
      <c r="C825" s="198"/>
      <c r="D825" s="142"/>
      <c r="E825" s="131"/>
      <c r="F825" s="142"/>
      <c r="G825" s="142"/>
      <c r="H825" s="131"/>
      <c r="I825" s="142"/>
      <c r="J825" s="142"/>
      <c r="K825" s="132"/>
      <c r="L825" s="131"/>
      <c r="M825" s="142"/>
      <c r="N825" s="142"/>
      <c r="O825" s="142"/>
      <c r="P825" s="142"/>
      <c r="Q825" s="142"/>
      <c r="R825" s="142"/>
      <c r="S825" s="142"/>
      <c r="T825" s="142"/>
      <c r="U825" s="142"/>
      <c r="V825" s="142"/>
      <c r="W825" s="142"/>
      <c r="X825" s="142"/>
      <c r="Y825" s="142"/>
      <c r="Z825" s="142"/>
      <c r="AA825" s="142"/>
      <c r="AB825" s="142"/>
      <c r="AC825" s="142"/>
      <c r="AD825" s="142"/>
      <c r="AE825" s="142"/>
      <c r="AF825" s="142"/>
      <c r="AG825" s="142"/>
      <c r="AH825" s="142"/>
      <c r="AI825" s="142"/>
      <c r="AJ825" s="142"/>
      <c r="AK825" s="142"/>
      <c r="AL825" s="142"/>
      <c r="AM825" s="142"/>
      <c r="AN825" s="142"/>
      <c r="AO825" s="142"/>
      <c r="AP825" s="130"/>
      <c r="AQ825" s="130"/>
      <c r="AR825" s="130"/>
      <c r="AS825" s="130"/>
      <c r="AT825" s="130"/>
      <c r="AU825" s="130"/>
      <c r="AV825" s="130"/>
      <c r="AW825" s="130"/>
      <c r="AX825" s="130"/>
      <c r="AY825" s="130"/>
      <c r="AZ825" s="130"/>
      <c r="BA825" s="130"/>
      <c r="BB825" s="130"/>
      <c r="BC825" s="130"/>
      <c r="BD825" s="130"/>
    </row>
    <row r="826" ht="15.75" customHeight="1">
      <c r="A826" s="142"/>
      <c r="B826" s="142"/>
      <c r="C826" s="198"/>
      <c r="D826" s="142"/>
      <c r="E826" s="131"/>
      <c r="F826" s="142"/>
      <c r="G826" s="142"/>
      <c r="H826" s="131"/>
      <c r="I826" s="142"/>
      <c r="J826" s="142"/>
      <c r="K826" s="132"/>
      <c r="L826" s="131"/>
      <c r="M826" s="142"/>
      <c r="N826" s="142"/>
      <c r="O826" s="142"/>
      <c r="P826" s="142"/>
      <c r="Q826" s="142"/>
      <c r="R826" s="142"/>
      <c r="S826" s="142"/>
      <c r="T826" s="142"/>
      <c r="U826" s="142"/>
      <c r="V826" s="142"/>
      <c r="W826" s="142"/>
      <c r="X826" s="142"/>
      <c r="Y826" s="142"/>
      <c r="Z826" s="142"/>
      <c r="AA826" s="142"/>
      <c r="AB826" s="142"/>
      <c r="AC826" s="142"/>
      <c r="AD826" s="142"/>
      <c r="AE826" s="142"/>
      <c r="AF826" s="142"/>
      <c r="AG826" s="142"/>
      <c r="AH826" s="142"/>
      <c r="AI826" s="142"/>
      <c r="AJ826" s="142"/>
      <c r="AK826" s="142"/>
      <c r="AL826" s="142"/>
      <c r="AM826" s="142"/>
      <c r="AN826" s="142"/>
      <c r="AO826" s="142"/>
      <c r="AP826" s="130"/>
      <c r="AQ826" s="130"/>
      <c r="AR826" s="130"/>
      <c r="AS826" s="130"/>
      <c r="AT826" s="130"/>
      <c r="AU826" s="130"/>
      <c r="AV826" s="130"/>
      <c r="AW826" s="130"/>
      <c r="AX826" s="130"/>
      <c r="AY826" s="130"/>
      <c r="AZ826" s="130"/>
      <c r="BA826" s="130"/>
      <c r="BB826" s="130"/>
      <c r="BC826" s="130"/>
      <c r="BD826" s="130"/>
    </row>
    <row r="827" ht="15.75" customHeight="1">
      <c r="A827" s="142"/>
      <c r="B827" s="142"/>
      <c r="C827" s="198"/>
      <c r="D827" s="142"/>
      <c r="E827" s="131"/>
      <c r="F827" s="142"/>
      <c r="G827" s="142"/>
      <c r="H827" s="131"/>
      <c r="I827" s="142"/>
      <c r="J827" s="142"/>
      <c r="K827" s="132"/>
      <c r="L827" s="131"/>
      <c r="M827" s="142"/>
      <c r="N827" s="142"/>
      <c r="O827" s="142"/>
      <c r="P827" s="142"/>
      <c r="Q827" s="142"/>
      <c r="R827" s="142"/>
      <c r="S827" s="142"/>
      <c r="T827" s="142"/>
      <c r="U827" s="142"/>
      <c r="V827" s="142"/>
      <c r="W827" s="142"/>
      <c r="X827" s="142"/>
      <c r="Y827" s="142"/>
      <c r="Z827" s="142"/>
      <c r="AA827" s="142"/>
      <c r="AB827" s="142"/>
      <c r="AC827" s="142"/>
      <c r="AD827" s="142"/>
      <c r="AE827" s="142"/>
      <c r="AF827" s="142"/>
      <c r="AG827" s="142"/>
      <c r="AH827" s="142"/>
      <c r="AI827" s="142"/>
      <c r="AJ827" s="142"/>
      <c r="AK827" s="142"/>
      <c r="AL827" s="142"/>
      <c r="AM827" s="142"/>
      <c r="AN827" s="142"/>
      <c r="AO827" s="142"/>
      <c r="AP827" s="130"/>
      <c r="AQ827" s="130"/>
      <c r="AR827" s="130"/>
      <c r="AS827" s="130"/>
      <c r="AT827" s="130"/>
      <c r="AU827" s="130"/>
      <c r="AV827" s="130"/>
      <c r="AW827" s="130"/>
      <c r="AX827" s="130"/>
      <c r="AY827" s="130"/>
      <c r="AZ827" s="130"/>
      <c r="BA827" s="130"/>
      <c r="BB827" s="130"/>
      <c r="BC827" s="130"/>
      <c r="BD827" s="130"/>
    </row>
    <row r="828" ht="15.75" customHeight="1">
      <c r="A828" s="142"/>
      <c r="B828" s="142"/>
      <c r="C828" s="198"/>
      <c r="D828" s="142"/>
      <c r="E828" s="131"/>
      <c r="F828" s="142"/>
      <c r="G828" s="142"/>
      <c r="H828" s="131"/>
      <c r="I828" s="142"/>
      <c r="J828" s="142"/>
      <c r="K828" s="132"/>
      <c r="L828" s="131"/>
      <c r="M828" s="142"/>
      <c r="N828" s="142"/>
      <c r="O828" s="142"/>
      <c r="P828" s="142"/>
      <c r="Q828" s="142"/>
      <c r="R828" s="142"/>
      <c r="S828" s="142"/>
      <c r="T828" s="142"/>
      <c r="U828" s="142"/>
      <c r="V828" s="142"/>
      <c r="W828" s="142"/>
      <c r="X828" s="142"/>
      <c r="Y828" s="142"/>
      <c r="Z828" s="142"/>
      <c r="AA828" s="142"/>
      <c r="AB828" s="142"/>
      <c r="AC828" s="142"/>
      <c r="AD828" s="142"/>
      <c r="AE828" s="142"/>
      <c r="AF828" s="142"/>
      <c r="AG828" s="142"/>
      <c r="AH828" s="142"/>
      <c r="AI828" s="142"/>
      <c r="AJ828" s="142"/>
      <c r="AK828" s="142"/>
      <c r="AL828" s="142"/>
      <c r="AM828" s="142"/>
      <c r="AN828" s="142"/>
      <c r="AO828" s="142"/>
      <c r="AP828" s="130"/>
      <c r="AQ828" s="130"/>
      <c r="AR828" s="130"/>
      <c r="AS828" s="130"/>
      <c r="AT828" s="130"/>
      <c r="AU828" s="130"/>
      <c r="AV828" s="130"/>
      <c r="AW828" s="130"/>
      <c r="AX828" s="130"/>
      <c r="AY828" s="130"/>
      <c r="AZ828" s="130"/>
      <c r="BA828" s="130"/>
      <c r="BB828" s="130"/>
      <c r="BC828" s="130"/>
      <c r="BD828" s="130"/>
    </row>
    <row r="829" ht="15.75" customHeight="1">
      <c r="A829" s="142"/>
      <c r="B829" s="142"/>
      <c r="C829" s="198"/>
      <c r="D829" s="142"/>
      <c r="E829" s="131"/>
      <c r="F829" s="142"/>
      <c r="G829" s="142"/>
      <c r="H829" s="131"/>
      <c r="I829" s="142"/>
      <c r="J829" s="142"/>
      <c r="K829" s="132"/>
      <c r="L829" s="131"/>
      <c r="M829" s="142"/>
      <c r="N829" s="142"/>
      <c r="O829" s="142"/>
      <c r="P829" s="142"/>
      <c r="Q829" s="142"/>
      <c r="R829" s="142"/>
      <c r="S829" s="142"/>
      <c r="T829" s="142"/>
      <c r="U829" s="142"/>
      <c r="V829" s="142"/>
      <c r="W829" s="142"/>
      <c r="X829" s="142"/>
      <c r="Y829" s="142"/>
      <c r="Z829" s="142"/>
      <c r="AA829" s="142"/>
      <c r="AB829" s="142"/>
      <c r="AC829" s="142"/>
      <c r="AD829" s="142"/>
      <c r="AE829" s="142"/>
      <c r="AF829" s="142"/>
      <c r="AG829" s="142"/>
      <c r="AH829" s="142"/>
      <c r="AI829" s="142"/>
      <c r="AJ829" s="142"/>
      <c r="AK829" s="142"/>
      <c r="AL829" s="142"/>
      <c r="AM829" s="142"/>
      <c r="AN829" s="142"/>
      <c r="AO829" s="142"/>
      <c r="AP829" s="130"/>
      <c r="AQ829" s="130"/>
      <c r="AR829" s="130"/>
      <c r="AS829" s="130"/>
      <c r="AT829" s="130"/>
      <c r="AU829" s="130"/>
      <c r="AV829" s="130"/>
      <c r="AW829" s="130"/>
      <c r="AX829" s="130"/>
      <c r="AY829" s="130"/>
      <c r="AZ829" s="130"/>
      <c r="BA829" s="130"/>
      <c r="BB829" s="130"/>
      <c r="BC829" s="130"/>
      <c r="BD829" s="130"/>
    </row>
    <row r="830" ht="15.75" customHeight="1">
      <c r="A830" s="142"/>
      <c r="B830" s="142"/>
      <c r="C830" s="198"/>
      <c r="D830" s="142"/>
      <c r="E830" s="131"/>
      <c r="F830" s="142"/>
      <c r="G830" s="142"/>
      <c r="H830" s="131"/>
      <c r="I830" s="142"/>
      <c r="J830" s="142"/>
      <c r="K830" s="132"/>
      <c r="L830" s="131"/>
      <c r="M830" s="142"/>
      <c r="N830" s="142"/>
      <c r="O830" s="142"/>
      <c r="P830" s="142"/>
      <c r="Q830" s="142"/>
      <c r="R830" s="142"/>
      <c r="S830" s="142"/>
      <c r="T830" s="142"/>
      <c r="U830" s="142"/>
      <c r="V830" s="142"/>
      <c r="W830" s="142"/>
      <c r="X830" s="142"/>
      <c r="Y830" s="142"/>
      <c r="Z830" s="142"/>
      <c r="AA830" s="142"/>
      <c r="AB830" s="142"/>
      <c r="AC830" s="142"/>
      <c r="AD830" s="142"/>
      <c r="AE830" s="142"/>
      <c r="AF830" s="142"/>
      <c r="AG830" s="142"/>
      <c r="AH830" s="142"/>
      <c r="AI830" s="142"/>
      <c r="AJ830" s="142"/>
      <c r="AK830" s="142"/>
      <c r="AL830" s="142"/>
      <c r="AM830" s="142"/>
      <c r="AN830" s="142"/>
      <c r="AO830" s="142"/>
      <c r="AP830" s="130"/>
      <c r="AQ830" s="130"/>
      <c r="AR830" s="130"/>
      <c r="AS830" s="130"/>
      <c r="AT830" s="130"/>
      <c r="AU830" s="130"/>
      <c r="AV830" s="130"/>
      <c r="AW830" s="130"/>
      <c r="AX830" s="130"/>
      <c r="AY830" s="130"/>
      <c r="AZ830" s="130"/>
      <c r="BA830" s="130"/>
      <c r="BB830" s="130"/>
      <c r="BC830" s="130"/>
      <c r="BD830" s="130"/>
    </row>
    <row r="831" ht="15.75" customHeight="1">
      <c r="A831" s="142"/>
      <c r="B831" s="142"/>
      <c r="C831" s="198"/>
      <c r="D831" s="142"/>
      <c r="E831" s="131"/>
      <c r="F831" s="142"/>
      <c r="G831" s="142"/>
      <c r="H831" s="131"/>
      <c r="I831" s="142"/>
      <c r="J831" s="142"/>
      <c r="K831" s="132"/>
      <c r="L831" s="131"/>
      <c r="M831" s="142"/>
      <c r="N831" s="142"/>
      <c r="O831" s="142"/>
      <c r="P831" s="142"/>
      <c r="Q831" s="142"/>
      <c r="R831" s="142"/>
      <c r="S831" s="142"/>
      <c r="T831" s="142"/>
      <c r="U831" s="142"/>
      <c r="V831" s="142"/>
      <c r="W831" s="142"/>
      <c r="X831" s="142"/>
      <c r="Y831" s="142"/>
      <c r="Z831" s="142"/>
      <c r="AA831" s="142"/>
      <c r="AB831" s="142"/>
      <c r="AC831" s="142"/>
      <c r="AD831" s="142"/>
      <c r="AE831" s="142"/>
      <c r="AF831" s="142"/>
      <c r="AG831" s="142"/>
      <c r="AH831" s="142"/>
      <c r="AI831" s="142"/>
      <c r="AJ831" s="142"/>
      <c r="AK831" s="142"/>
      <c r="AL831" s="142"/>
      <c r="AM831" s="142"/>
      <c r="AN831" s="142"/>
      <c r="AO831" s="142"/>
      <c r="AP831" s="130"/>
      <c r="AQ831" s="130"/>
      <c r="AR831" s="130"/>
      <c r="AS831" s="130"/>
      <c r="AT831" s="130"/>
      <c r="AU831" s="130"/>
      <c r="AV831" s="130"/>
      <c r="AW831" s="130"/>
      <c r="AX831" s="130"/>
      <c r="AY831" s="130"/>
      <c r="AZ831" s="130"/>
      <c r="BA831" s="130"/>
      <c r="BB831" s="130"/>
      <c r="BC831" s="130"/>
      <c r="BD831" s="130"/>
    </row>
    <row r="832" ht="15.75" customHeight="1">
      <c r="A832" s="142"/>
      <c r="B832" s="142"/>
      <c r="C832" s="198"/>
      <c r="D832" s="142"/>
      <c r="E832" s="131"/>
      <c r="F832" s="142"/>
      <c r="G832" s="142"/>
      <c r="H832" s="131"/>
      <c r="I832" s="142"/>
      <c r="J832" s="142"/>
      <c r="K832" s="132"/>
      <c r="L832" s="131"/>
      <c r="M832" s="142"/>
      <c r="N832" s="142"/>
      <c r="O832" s="142"/>
      <c r="P832" s="142"/>
      <c r="Q832" s="142"/>
      <c r="R832" s="142"/>
      <c r="S832" s="142"/>
      <c r="T832" s="142"/>
      <c r="U832" s="142"/>
      <c r="V832" s="142"/>
      <c r="W832" s="142"/>
      <c r="X832" s="142"/>
      <c r="Y832" s="142"/>
      <c r="Z832" s="142"/>
      <c r="AA832" s="142"/>
      <c r="AB832" s="142"/>
      <c r="AC832" s="142"/>
      <c r="AD832" s="142"/>
      <c r="AE832" s="142"/>
      <c r="AF832" s="142"/>
      <c r="AG832" s="142"/>
      <c r="AH832" s="142"/>
      <c r="AI832" s="142"/>
      <c r="AJ832" s="142"/>
      <c r="AK832" s="142"/>
      <c r="AL832" s="142"/>
      <c r="AM832" s="142"/>
      <c r="AN832" s="142"/>
      <c r="AO832" s="142"/>
      <c r="AP832" s="130"/>
      <c r="AQ832" s="130"/>
      <c r="AR832" s="130"/>
      <c r="AS832" s="130"/>
      <c r="AT832" s="130"/>
      <c r="AU832" s="130"/>
      <c r="AV832" s="130"/>
      <c r="AW832" s="130"/>
      <c r="AX832" s="130"/>
      <c r="AY832" s="130"/>
      <c r="AZ832" s="130"/>
      <c r="BA832" s="130"/>
      <c r="BB832" s="130"/>
      <c r="BC832" s="130"/>
      <c r="BD832" s="130"/>
    </row>
    <row r="833" ht="15.75" customHeight="1">
      <c r="A833" s="142"/>
      <c r="B833" s="142"/>
      <c r="C833" s="198"/>
      <c r="D833" s="142"/>
      <c r="E833" s="131"/>
      <c r="F833" s="142"/>
      <c r="G833" s="142"/>
      <c r="H833" s="131"/>
      <c r="I833" s="142"/>
      <c r="J833" s="142"/>
      <c r="K833" s="132"/>
      <c r="L833" s="131"/>
      <c r="M833" s="142"/>
      <c r="N833" s="142"/>
      <c r="O833" s="142"/>
      <c r="P833" s="142"/>
      <c r="Q833" s="142"/>
      <c r="R833" s="142"/>
      <c r="S833" s="142"/>
      <c r="T833" s="142"/>
      <c r="U833" s="142"/>
      <c r="V833" s="142"/>
      <c r="W833" s="142"/>
      <c r="X833" s="142"/>
      <c r="Y833" s="142"/>
      <c r="Z833" s="142"/>
      <c r="AA833" s="142"/>
      <c r="AB833" s="142"/>
      <c r="AC833" s="142"/>
      <c r="AD833" s="142"/>
      <c r="AE833" s="142"/>
      <c r="AF833" s="142"/>
      <c r="AG833" s="142"/>
      <c r="AH833" s="142"/>
      <c r="AI833" s="142"/>
      <c r="AJ833" s="142"/>
      <c r="AK833" s="142"/>
      <c r="AL833" s="142"/>
      <c r="AM833" s="142"/>
      <c r="AN833" s="142"/>
      <c r="AO833" s="142"/>
      <c r="AP833" s="130"/>
      <c r="AQ833" s="130"/>
      <c r="AR833" s="130"/>
      <c r="AS833" s="130"/>
      <c r="AT833" s="130"/>
      <c r="AU833" s="130"/>
      <c r="AV833" s="130"/>
      <c r="AW833" s="130"/>
      <c r="AX833" s="130"/>
      <c r="AY833" s="130"/>
      <c r="AZ833" s="130"/>
      <c r="BA833" s="130"/>
      <c r="BB833" s="130"/>
      <c r="BC833" s="130"/>
      <c r="BD833" s="130"/>
    </row>
    <row r="834" ht="15.75" customHeight="1">
      <c r="A834" s="142"/>
      <c r="B834" s="142"/>
      <c r="C834" s="198"/>
      <c r="D834" s="142"/>
      <c r="E834" s="131"/>
      <c r="F834" s="142"/>
      <c r="G834" s="142"/>
      <c r="H834" s="131"/>
      <c r="I834" s="142"/>
      <c r="J834" s="142"/>
      <c r="K834" s="132"/>
      <c r="L834" s="131"/>
      <c r="M834" s="142"/>
      <c r="N834" s="142"/>
      <c r="O834" s="142"/>
      <c r="P834" s="142"/>
      <c r="Q834" s="142"/>
      <c r="R834" s="142"/>
      <c r="S834" s="142"/>
      <c r="T834" s="142"/>
      <c r="U834" s="142"/>
      <c r="V834" s="142"/>
      <c r="W834" s="142"/>
      <c r="X834" s="142"/>
      <c r="Y834" s="142"/>
      <c r="Z834" s="142"/>
      <c r="AA834" s="142"/>
      <c r="AB834" s="142"/>
      <c r="AC834" s="142"/>
      <c r="AD834" s="142"/>
      <c r="AE834" s="142"/>
      <c r="AF834" s="142"/>
      <c r="AG834" s="142"/>
      <c r="AH834" s="142"/>
      <c r="AI834" s="142"/>
      <c r="AJ834" s="142"/>
      <c r="AK834" s="142"/>
      <c r="AL834" s="142"/>
      <c r="AM834" s="142"/>
      <c r="AN834" s="142"/>
      <c r="AO834" s="142"/>
      <c r="AP834" s="130"/>
      <c r="AQ834" s="130"/>
      <c r="AR834" s="130"/>
      <c r="AS834" s="130"/>
      <c r="AT834" s="130"/>
      <c r="AU834" s="130"/>
      <c r="AV834" s="130"/>
      <c r="AW834" s="130"/>
      <c r="AX834" s="130"/>
      <c r="AY834" s="130"/>
      <c r="AZ834" s="130"/>
      <c r="BA834" s="130"/>
      <c r="BB834" s="130"/>
      <c r="BC834" s="130"/>
      <c r="BD834" s="130"/>
    </row>
    <row r="835" ht="15.75" customHeight="1">
      <c r="A835" s="142"/>
      <c r="B835" s="142"/>
      <c r="C835" s="198"/>
      <c r="D835" s="142"/>
      <c r="E835" s="131"/>
      <c r="F835" s="142"/>
      <c r="G835" s="142"/>
      <c r="H835" s="131"/>
      <c r="I835" s="142"/>
      <c r="J835" s="142"/>
      <c r="K835" s="132"/>
      <c r="L835" s="131"/>
      <c r="M835" s="142"/>
      <c r="N835" s="142"/>
      <c r="O835" s="142"/>
      <c r="P835" s="142"/>
      <c r="Q835" s="142"/>
      <c r="R835" s="142"/>
      <c r="S835" s="142"/>
      <c r="T835" s="142"/>
      <c r="U835" s="142"/>
      <c r="V835" s="142"/>
      <c r="W835" s="142"/>
      <c r="X835" s="142"/>
      <c r="Y835" s="142"/>
      <c r="Z835" s="142"/>
      <c r="AA835" s="142"/>
      <c r="AB835" s="142"/>
      <c r="AC835" s="142"/>
      <c r="AD835" s="142"/>
      <c r="AE835" s="142"/>
      <c r="AF835" s="142"/>
      <c r="AG835" s="142"/>
      <c r="AH835" s="142"/>
      <c r="AI835" s="142"/>
      <c r="AJ835" s="142"/>
      <c r="AK835" s="142"/>
      <c r="AL835" s="142"/>
      <c r="AM835" s="142"/>
      <c r="AN835" s="142"/>
      <c r="AO835" s="142"/>
      <c r="AP835" s="130"/>
      <c r="AQ835" s="130"/>
      <c r="AR835" s="130"/>
      <c r="AS835" s="130"/>
      <c r="AT835" s="130"/>
      <c r="AU835" s="130"/>
      <c r="AV835" s="130"/>
      <c r="AW835" s="130"/>
      <c r="AX835" s="130"/>
      <c r="AY835" s="130"/>
      <c r="AZ835" s="130"/>
      <c r="BA835" s="130"/>
      <c r="BB835" s="130"/>
      <c r="BC835" s="130"/>
      <c r="BD835" s="130"/>
    </row>
    <row r="836" ht="15.75" customHeight="1">
      <c r="A836" s="142"/>
      <c r="B836" s="142"/>
      <c r="C836" s="198"/>
      <c r="D836" s="142"/>
      <c r="E836" s="131"/>
      <c r="F836" s="142"/>
      <c r="G836" s="142"/>
      <c r="H836" s="131"/>
      <c r="I836" s="142"/>
      <c r="J836" s="142"/>
      <c r="K836" s="132"/>
      <c r="L836" s="131"/>
      <c r="M836" s="142"/>
      <c r="N836" s="142"/>
      <c r="O836" s="142"/>
      <c r="P836" s="142"/>
      <c r="Q836" s="142"/>
      <c r="R836" s="142"/>
      <c r="S836" s="142"/>
      <c r="T836" s="142"/>
      <c r="U836" s="142"/>
      <c r="V836" s="142"/>
      <c r="W836" s="142"/>
      <c r="X836" s="142"/>
      <c r="Y836" s="142"/>
      <c r="Z836" s="142"/>
      <c r="AA836" s="142"/>
      <c r="AB836" s="142"/>
      <c r="AC836" s="142"/>
      <c r="AD836" s="142"/>
      <c r="AE836" s="142"/>
      <c r="AF836" s="142"/>
      <c r="AG836" s="142"/>
      <c r="AH836" s="142"/>
      <c r="AI836" s="142"/>
      <c r="AJ836" s="142"/>
      <c r="AK836" s="142"/>
      <c r="AL836" s="142"/>
      <c r="AM836" s="142"/>
      <c r="AN836" s="142"/>
      <c r="AO836" s="142"/>
      <c r="AP836" s="130"/>
      <c r="AQ836" s="130"/>
      <c r="AR836" s="130"/>
      <c r="AS836" s="130"/>
      <c r="AT836" s="130"/>
      <c r="AU836" s="130"/>
      <c r="AV836" s="130"/>
      <c r="AW836" s="130"/>
      <c r="AX836" s="130"/>
      <c r="AY836" s="130"/>
      <c r="AZ836" s="130"/>
      <c r="BA836" s="130"/>
      <c r="BB836" s="130"/>
      <c r="BC836" s="130"/>
      <c r="BD836" s="130"/>
    </row>
    <row r="837" ht="15.75" customHeight="1">
      <c r="A837" s="142"/>
      <c r="B837" s="142"/>
      <c r="C837" s="198"/>
      <c r="D837" s="142"/>
      <c r="E837" s="131"/>
      <c r="F837" s="142"/>
      <c r="G837" s="142"/>
      <c r="H837" s="131"/>
      <c r="I837" s="142"/>
      <c r="J837" s="142"/>
      <c r="K837" s="132"/>
      <c r="L837" s="131"/>
      <c r="M837" s="142"/>
      <c r="N837" s="142"/>
      <c r="O837" s="142"/>
      <c r="P837" s="142"/>
      <c r="Q837" s="142"/>
      <c r="R837" s="142"/>
      <c r="S837" s="142"/>
      <c r="T837" s="142"/>
      <c r="U837" s="142"/>
      <c r="V837" s="142"/>
      <c r="W837" s="142"/>
      <c r="X837" s="142"/>
      <c r="Y837" s="142"/>
      <c r="Z837" s="142"/>
      <c r="AA837" s="142"/>
      <c r="AB837" s="142"/>
      <c r="AC837" s="142"/>
      <c r="AD837" s="142"/>
      <c r="AE837" s="142"/>
      <c r="AF837" s="142"/>
      <c r="AG837" s="142"/>
      <c r="AH837" s="142"/>
      <c r="AI837" s="142"/>
      <c r="AJ837" s="142"/>
      <c r="AK837" s="142"/>
      <c r="AL837" s="142"/>
      <c r="AM837" s="142"/>
      <c r="AN837" s="142"/>
      <c r="AO837" s="142"/>
      <c r="AP837" s="130"/>
      <c r="AQ837" s="130"/>
      <c r="AR837" s="130"/>
      <c r="AS837" s="130"/>
      <c r="AT837" s="130"/>
      <c r="AU837" s="130"/>
      <c r="AV837" s="130"/>
      <c r="AW837" s="130"/>
      <c r="AX837" s="130"/>
      <c r="AY837" s="130"/>
      <c r="AZ837" s="130"/>
      <c r="BA837" s="130"/>
      <c r="BB837" s="130"/>
      <c r="BC837" s="130"/>
      <c r="BD837" s="130"/>
    </row>
    <row r="838" ht="15.75" customHeight="1">
      <c r="A838" s="142"/>
      <c r="B838" s="142"/>
      <c r="C838" s="198"/>
      <c r="D838" s="142"/>
      <c r="E838" s="131"/>
      <c r="F838" s="142"/>
      <c r="G838" s="142"/>
      <c r="H838" s="131"/>
      <c r="I838" s="142"/>
      <c r="J838" s="142"/>
      <c r="K838" s="132"/>
      <c r="L838" s="131"/>
      <c r="M838" s="142"/>
      <c r="N838" s="142"/>
      <c r="O838" s="142"/>
      <c r="P838" s="142"/>
      <c r="Q838" s="142"/>
      <c r="R838" s="142"/>
      <c r="S838" s="142"/>
      <c r="T838" s="142"/>
      <c r="U838" s="142"/>
      <c r="V838" s="142"/>
      <c r="W838" s="142"/>
      <c r="X838" s="142"/>
      <c r="Y838" s="142"/>
      <c r="Z838" s="142"/>
      <c r="AA838" s="142"/>
      <c r="AB838" s="142"/>
      <c r="AC838" s="142"/>
      <c r="AD838" s="142"/>
      <c r="AE838" s="142"/>
      <c r="AF838" s="142"/>
      <c r="AG838" s="142"/>
      <c r="AH838" s="142"/>
      <c r="AI838" s="142"/>
      <c r="AJ838" s="142"/>
      <c r="AK838" s="142"/>
      <c r="AL838" s="142"/>
      <c r="AM838" s="142"/>
      <c r="AN838" s="142"/>
      <c r="AO838" s="142"/>
      <c r="AP838" s="130"/>
      <c r="AQ838" s="130"/>
      <c r="AR838" s="130"/>
      <c r="AS838" s="130"/>
      <c r="AT838" s="130"/>
      <c r="AU838" s="130"/>
      <c r="AV838" s="130"/>
      <c r="AW838" s="130"/>
      <c r="AX838" s="130"/>
      <c r="AY838" s="130"/>
      <c r="AZ838" s="130"/>
      <c r="BA838" s="130"/>
      <c r="BB838" s="130"/>
      <c r="BC838" s="130"/>
      <c r="BD838" s="130"/>
    </row>
    <row r="839" ht="15.75" customHeight="1">
      <c r="A839" s="142"/>
      <c r="B839" s="142"/>
      <c r="C839" s="198"/>
      <c r="D839" s="142"/>
      <c r="E839" s="131"/>
      <c r="F839" s="142"/>
      <c r="G839" s="142"/>
      <c r="H839" s="131"/>
      <c r="I839" s="142"/>
      <c r="J839" s="142"/>
      <c r="K839" s="132"/>
      <c r="L839" s="131"/>
      <c r="M839" s="142"/>
      <c r="N839" s="142"/>
      <c r="O839" s="142"/>
      <c r="P839" s="142"/>
      <c r="Q839" s="142"/>
      <c r="R839" s="142"/>
      <c r="S839" s="142"/>
      <c r="T839" s="142"/>
      <c r="U839" s="142"/>
      <c r="V839" s="142"/>
      <c r="W839" s="142"/>
      <c r="X839" s="142"/>
      <c r="Y839" s="142"/>
      <c r="Z839" s="142"/>
      <c r="AA839" s="142"/>
      <c r="AB839" s="142"/>
      <c r="AC839" s="142"/>
      <c r="AD839" s="142"/>
      <c r="AE839" s="142"/>
      <c r="AF839" s="142"/>
      <c r="AG839" s="142"/>
      <c r="AH839" s="142"/>
      <c r="AI839" s="142"/>
      <c r="AJ839" s="142"/>
      <c r="AK839" s="142"/>
      <c r="AL839" s="142"/>
      <c r="AM839" s="142"/>
      <c r="AN839" s="142"/>
      <c r="AO839" s="142"/>
      <c r="AP839" s="130"/>
      <c r="AQ839" s="130"/>
      <c r="AR839" s="130"/>
      <c r="AS839" s="130"/>
      <c r="AT839" s="130"/>
      <c r="AU839" s="130"/>
      <c r="AV839" s="130"/>
      <c r="AW839" s="130"/>
      <c r="AX839" s="130"/>
      <c r="AY839" s="130"/>
      <c r="AZ839" s="130"/>
      <c r="BA839" s="130"/>
      <c r="BB839" s="130"/>
      <c r="BC839" s="130"/>
      <c r="BD839" s="130"/>
    </row>
    <row r="840" ht="15.75" customHeight="1">
      <c r="A840" s="142"/>
      <c r="B840" s="142"/>
      <c r="C840" s="198"/>
      <c r="D840" s="142"/>
      <c r="E840" s="131"/>
      <c r="F840" s="142"/>
      <c r="G840" s="142"/>
      <c r="H840" s="131"/>
      <c r="I840" s="142"/>
      <c r="J840" s="142"/>
      <c r="K840" s="132"/>
      <c r="L840" s="131"/>
      <c r="M840" s="142"/>
      <c r="N840" s="142"/>
      <c r="O840" s="142"/>
      <c r="P840" s="142"/>
      <c r="Q840" s="142"/>
      <c r="R840" s="142"/>
      <c r="S840" s="142"/>
      <c r="T840" s="142"/>
      <c r="U840" s="142"/>
      <c r="V840" s="142"/>
      <c r="W840" s="142"/>
      <c r="X840" s="142"/>
      <c r="Y840" s="142"/>
      <c r="Z840" s="142"/>
      <c r="AA840" s="142"/>
      <c r="AB840" s="142"/>
      <c r="AC840" s="142"/>
      <c r="AD840" s="142"/>
      <c r="AE840" s="142"/>
      <c r="AF840" s="142"/>
      <c r="AG840" s="142"/>
      <c r="AH840" s="142"/>
      <c r="AI840" s="142"/>
      <c r="AJ840" s="142"/>
      <c r="AK840" s="142"/>
      <c r="AL840" s="142"/>
      <c r="AM840" s="142"/>
      <c r="AN840" s="142"/>
      <c r="AO840" s="142"/>
      <c r="AP840" s="130"/>
      <c r="AQ840" s="130"/>
      <c r="AR840" s="130"/>
      <c r="AS840" s="130"/>
      <c r="AT840" s="130"/>
      <c r="AU840" s="130"/>
      <c r="AV840" s="130"/>
      <c r="AW840" s="130"/>
      <c r="AX840" s="130"/>
      <c r="AY840" s="130"/>
      <c r="AZ840" s="130"/>
      <c r="BA840" s="130"/>
      <c r="BB840" s="130"/>
      <c r="BC840" s="130"/>
      <c r="BD840" s="130"/>
    </row>
    <row r="841" ht="15.75" customHeight="1">
      <c r="A841" s="142"/>
      <c r="B841" s="142"/>
      <c r="C841" s="198"/>
      <c r="D841" s="142"/>
      <c r="E841" s="131"/>
      <c r="F841" s="142"/>
      <c r="G841" s="142"/>
      <c r="H841" s="131"/>
      <c r="I841" s="142"/>
      <c r="J841" s="142"/>
      <c r="K841" s="132"/>
      <c r="L841" s="131"/>
      <c r="M841" s="142"/>
      <c r="N841" s="142"/>
      <c r="O841" s="142"/>
      <c r="P841" s="142"/>
      <c r="Q841" s="142"/>
      <c r="R841" s="142"/>
      <c r="S841" s="142"/>
      <c r="T841" s="142"/>
      <c r="U841" s="142"/>
      <c r="V841" s="142"/>
      <c r="W841" s="142"/>
      <c r="X841" s="142"/>
      <c r="Y841" s="142"/>
      <c r="Z841" s="142"/>
      <c r="AA841" s="142"/>
      <c r="AB841" s="142"/>
      <c r="AC841" s="142"/>
      <c r="AD841" s="142"/>
      <c r="AE841" s="142"/>
      <c r="AF841" s="142"/>
      <c r="AG841" s="142"/>
      <c r="AH841" s="142"/>
      <c r="AI841" s="142"/>
      <c r="AJ841" s="142"/>
      <c r="AK841" s="142"/>
      <c r="AL841" s="142"/>
      <c r="AM841" s="142"/>
      <c r="AN841" s="142"/>
      <c r="AO841" s="142"/>
      <c r="AP841" s="130"/>
      <c r="AQ841" s="130"/>
      <c r="AR841" s="130"/>
      <c r="AS841" s="130"/>
      <c r="AT841" s="130"/>
      <c r="AU841" s="130"/>
      <c r="AV841" s="130"/>
      <c r="AW841" s="130"/>
      <c r="AX841" s="130"/>
      <c r="AY841" s="130"/>
      <c r="AZ841" s="130"/>
      <c r="BA841" s="130"/>
      <c r="BB841" s="130"/>
      <c r="BC841" s="130"/>
      <c r="BD841" s="130"/>
    </row>
    <row r="842" ht="15.75" customHeight="1">
      <c r="A842" s="142"/>
      <c r="B842" s="142"/>
      <c r="C842" s="198"/>
      <c r="D842" s="142"/>
      <c r="E842" s="131"/>
      <c r="F842" s="142"/>
      <c r="G842" s="142"/>
      <c r="H842" s="131"/>
      <c r="I842" s="142"/>
      <c r="J842" s="142"/>
      <c r="K842" s="132"/>
      <c r="L842" s="131"/>
      <c r="M842" s="142"/>
      <c r="N842" s="142"/>
      <c r="O842" s="142"/>
      <c r="P842" s="142"/>
      <c r="Q842" s="142"/>
      <c r="R842" s="142"/>
      <c r="S842" s="142"/>
      <c r="T842" s="142"/>
      <c r="U842" s="142"/>
      <c r="V842" s="142"/>
      <c r="W842" s="142"/>
      <c r="X842" s="142"/>
      <c r="Y842" s="142"/>
      <c r="Z842" s="142"/>
      <c r="AA842" s="142"/>
      <c r="AB842" s="142"/>
      <c r="AC842" s="142"/>
      <c r="AD842" s="142"/>
      <c r="AE842" s="142"/>
      <c r="AF842" s="142"/>
      <c r="AG842" s="142"/>
      <c r="AH842" s="142"/>
      <c r="AI842" s="142"/>
      <c r="AJ842" s="142"/>
      <c r="AK842" s="142"/>
      <c r="AL842" s="142"/>
      <c r="AM842" s="142"/>
      <c r="AN842" s="142"/>
      <c r="AO842" s="142"/>
      <c r="AP842" s="130"/>
      <c r="AQ842" s="130"/>
      <c r="AR842" s="130"/>
      <c r="AS842" s="130"/>
      <c r="AT842" s="130"/>
      <c r="AU842" s="130"/>
      <c r="AV842" s="130"/>
      <c r="AW842" s="130"/>
      <c r="AX842" s="130"/>
      <c r="AY842" s="130"/>
      <c r="AZ842" s="130"/>
      <c r="BA842" s="130"/>
      <c r="BB842" s="130"/>
      <c r="BC842" s="130"/>
      <c r="BD842" s="130"/>
    </row>
    <row r="843" ht="15.75" customHeight="1">
      <c r="A843" s="142"/>
      <c r="B843" s="142"/>
      <c r="C843" s="198"/>
      <c r="D843" s="142"/>
      <c r="E843" s="131"/>
      <c r="F843" s="142"/>
      <c r="G843" s="142"/>
      <c r="H843" s="131"/>
      <c r="I843" s="142"/>
      <c r="J843" s="142"/>
      <c r="K843" s="132"/>
      <c r="L843" s="131"/>
      <c r="M843" s="142"/>
      <c r="N843" s="142"/>
      <c r="O843" s="142"/>
      <c r="P843" s="142"/>
      <c r="Q843" s="142"/>
      <c r="R843" s="142"/>
      <c r="S843" s="142"/>
      <c r="T843" s="142"/>
      <c r="U843" s="142"/>
      <c r="V843" s="142"/>
      <c r="W843" s="142"/>
      <c r="X843" s="142"/>
      <c r="Y843" s="142"/>
      <c r="Z843" s="142"/>
      <c r="AA843" s="142"/>
      <c r="AB843" s="142"/>
      <c r="AC843" s="142"/>
      <c r="AD843" s="142"/>
      <c r="AE843" s="142"/>
      <c r="AF843" s="142"/>
      <c r="AG843" s="142"/>
      <c r="AH843" s="142"/>
      <c r="AI843" s="142"/>
      <c r="AJ843" s="142"/>
      <c r="AK843" s="142"/>
      <c r="AL843" s="142"/>
      <c r="AM843" s="142"/>
      <c r="AN843" s="142"/>
      <c r="AO843" s="142"/>
      <c r="AP843" s="130"/>
      <c r="AQ843" s="130"/>
      <c r="AR843" s="130"/>
      <c r="AS843" s="130"/>
      <c r="AT843" s="130"/>
      <c r="AU843" s="130"/>
      <c r="AV843" s="130"/>
      <c r="AW843" s="130"/>
      <c r="AX843" s="130"/>
      <c r="AY843" s="130"/>
      <c r="AZ843" s="130"/>
      <c r="BA843" s="130"/>
      <c r="BB843" s="130"/>
      <c r="BC843" s="130"/>
      <c r="BD843" s="130"/>
    </row>
    <row r="844" ht="15.75" customHeight="1">
      <c r="A844" s="142"/>
      <c r="B844" s="142"/>
      <c r="C844" s="198"/>
      <c r="D844" s="142"/>
      <c r="E844" s="131"/>
      <c r="F844" s="142"/>
      <c r="G844" s="142"/>
      <c r="H844" s="131"/>
      <c r="I844" s="142"/>
      <c r="J844" s="142"/>
      <c r="K844" s="132"/>
      <c r="L844" s="131"/>
      <c r="M844" s="142"/>
      <c r="N844" s="142"/>
      <c r="O844" s="142"/>
      <c r="P844" s="142"/>
      <c r="Q844" s="142"/>
      <c r="R844" s="142"/>
      <c r="S844" s="142"/>
      <c r="T844" s="142"/>
      <c r="U844" s="142"/>
      <c r="V844" s="142"/>
      <c r="W844" s="142"/>
      <c r="X844" s="142"/>
      <c r="Y844" s="142"/>
      <c r="Z844" s="142"/>
      <c r="AA844" s="142"/>
      <c r="AB844" s="142"/>
      <c r="AC844" s="142"/>
      <c r="AD844" s="142"/>
      <c r="AE844" s="142"/>
      <c r="AF844" s="142"/>
      <c r="AG844" s="142"/>
      <c r="AH844" s="142"/>
      <c r="AI844" s="142"/>
      <c r="AJ844" s="142"/>
      <c r="AK844" s="142"/>
      <c r="AL844" s="142"/>
      <c r="AM844" s="142"/>
      <c r="AN844" s="142"/>
      <c r="AO844" s="142"/>
      <c r="AP844" s="130"/>
      <c r="AQ844" s="130"/>
      <c r="AR844" s="130"/>
      <c r="AS844" s="130"/>
      <c r="AT844" s="130"/>
      <c r="AU844" s="130"/>
      <c r="AV844" s="130"/>
      <c r="AW844" s="130"/>
      <c r="AX844" s="130"/>
      <c r="AY844" s="130"/>
      <c r="AZ844" s="130"/>
      <c r="BA844" s="130"/>
      <c r="BB844" s="130"/>
      <c r="BC844" s="130"/>
      <c r="BD844" s="130"/>
    </row>
    <row r="845" ht="15.75" customHeight="1">
      <c r="A845" s="142"/>
      <c r="B845" s="142"/>
      <c r="C845" s="198"/>
      <c r="D845" s="142"/>
      <c r="E845" s="131"/>
      <c r="F845" s="142"/>
      <c r="G845" s="142"/>
      <c r="H845" s="131"/>
      <c r="I845" s="142"/>
      <c r="J845" s="142"/>
      <c r="K845" s="132"/>
      <c r="L845" s="131"/>
      <c r="M845" s="142"/>
      <c r="N845" s="142"/>
      <c r="O845" s="142"/>
      <c r="P845" s="142"/>
      <c r="Q845" s="142"/>
      <c r="R845" s="142"/>
      <c r="S845" s="142"/>
      <c r="T845" s="142"/>
      <c r="U845" s="142"/>
      <c r="V845" s="142"/>
      <c r="W845" s="142"/>
      <c r="X845" s="142"/>
      <c r="Y845" s="142"/>
      <c r="Z845" s="142"/>
      <c r="AA845" s="142"/>
      <c r="AB845" s="142"/>
      <c r="AC845" s="142"/>
      <c r="AD845" s="142"/>
      <c r="AE845" s="142"/>
      <c r="AF845" s="142"/>
      <c r="AG845" s="142"/>
      <c r="AH845" s="142"/>
      <c r="AI845" s="142"/>
      <c r="AJ845" s="142"/>
      <c r="AK845" s="142"/>
      <c r="AL845" s="142"/>
      <c r="AM845" s="142"/>
      <c r="AN845" s="142"/>
      <c r="AO845" s="142"/>
      <c r="AP845" s="130"/>
      <c r="AQ845" s="130"/>
      <c r="AR845" s="130"/>
      <c r="AS845" s="130"/>
      <c r="AT845" s="130"/>
      <c r="AU845" s="130"/>
      <c r="AV845" s="130"/>
      <c r="AW845" s="130"/>
      <c r="AX845" s="130"/>
      <c r="AY845" s="130"/>
      <c r="AZ845" s="130"/>
      <c r="BA845" s="130"/>
      <c r="BB845" s="130"/>
      <c r="BC845" s="130"/>
      <c r="BD845" s="130"/>
    </row>
    <row r="846" ht="15.75" customHeight="1">
      <c r="A846" s="142"/>
      <c r="B846" s="142"/>
      <c r="C846" s="198"/>
      <c r="D846" s="142"/>
      <c r="E846" s="131"/>
      <c r="F846" s="142"/>
      <c r="G846" s="142"/>
      <c r="H846" s="131"/>
      <c r="I846" s="142"/>
      <c r="J846" s="142"/>
      <c r="K846" s="132"/>
      <c r="L846" s="131"/>
      <c r="M846" s="142"/>
      <c r="N846" s="142"/>
      <c r="O846" s="142"/>
      <c r="P846" s="142"/>
      <c r="Q846" s="142"/>
      <c r="R846" s="142"/>
      <c r="S846" s="142"/>
      <c r="T846" s="142"/>
      <c r="U846" s="142"/>
      <c r="V846" s="142"/>
      <c r="W846" s="142"/>
      <c r="X846" s="142"/>
      <c r="Y846" s="142"/>
      <c r="Z846" s="142"/>
      <c r="AA846" s="142"/>
      <c r="AB846" s="142"/>
      <c r="AC846" s="142"/>
      <c r="AD846" s="142"/>
      <c r="AE846" s="142"/>
      <c r="AF846" s="142"/>
      <c r="AG846" s="142"/>
      <c r="AH846" s="142"/>
      <c r="AI846" s="142"/>
      <c r="AJ846" s="142"/>
      <c r="AK846" s="142"/>
      <c r="AL846" s="142"/>
      <c r="AM846" s="142"/>
      <c r="AN846" s="142"/>
      <c r="AO846" s="142"/>
      <c r="AP846" s="130"/>
      <c r="AQ846" s="130"/>
      <c r="AR846" s="130"/>
      <c r="AS846" s="130"/>
      <c r="AT846" s="130"/>
      <c r="AU846" s="130"/>
      <c r="AV846" s="130"/>
      <c r="AW846" s="130"/>
      <c r="AX846" s="130"/>
      <c r="AY846" s="130"/>
      <c r="AZ846" s="130"/>
      <c r="BA846" s="130"/>
      <c r="BB846" s="130"/>
      <c r="BC846" s="130"/>
      <c r="BD846" s="130"/>
    </row>
    <row r="847" ht="15.75" customHeight="1">
      <c r="A847" s="142"/>
      <c r="B847" s="142"/>
      <c r="C847" s="198"/>
      <c r="D847" s="142"/>
      <c r="E847" s="131"/>
      <c r="F847" s="142"/>
      <c r="G847" s="142"/>
      <c r="H847" s="131"/>
      <c r="I847" s="142"/>
      <c r="J847" s="142"/>
      <c r="K847" s="132"/>
      <c r="L847" s="131"/>
      <c r="M847" s="142"/>
      <c r="N847" s="142"/>
      <c r="O847" s="142"/>
      <c r="P847" s="142"/>
      <c r="Q847" s="142"/>
      <c r="R847" s="142"/>
      <c r="S847" s="142"/>
      <c r="T847" s="142"/>
      <c r="U847" s="142"/>
      <c r="V847" s="142"/>
      <c r="W847" s="142"/>
      <c r="X847" s="142"/>
      <c r="Y847" s="142"/>
      <c r="Z847" s="142"/>
      <c r="AA847" s="142"/>
      <c r="AB847" s="142"/>
      <c r="AC847" s="142"/>
      <c r="AD847" s="142"/>
      <c r="AE847" s="142"/>
      <c r="AF847" s="142"/>
      <c r="AG847" s="142"/>
      <c r="AH847" s="142"/>
      <c r="AI847" s="142"/>
      <c r="AJ847" s="142"/>
      <c r="AK847" s="142"/>
      <c r="AL847" s="142"/>
      <c r="AM847" s="142"/>
      <c r="AN847" s="142"/>
      <c r="AO847" s="142"/>
      <c r="AP847" s="130"/>
      <c r="AQ847" s="130"/>
      <c r="AR847" s="130"/>
      <c r="AS847" s="130"/>
      <c r="AT847" s="130"/>
      <c r="AU847" s="130"/>
      <c r="AV847" s="130"/>
      <c r="AW847" s="130"/>
      <c r="AX847" s="130"/>
      <c r="AY847" s="130"/>
      <c r="AZ847" s="130"/>
      <c r="BA847" s="130"/>
      <c r="BB847" s="130"/>
      <c r="BC847" s="130"/>
      <c r="BD847" s="130"/>
    </row>
    <row r="848" ht="15.75" customHeight="1">
      <c r="A848" s="142"/>
      <c r="B848" s="142"/>
      <c r="C848" s="198"/>
      <c r="D848" s="142"/>
      <c r="E848" s="131"/>
      <c r="F848" s="142"/>
      <c r="G848" s="142"/>
      <c r="H848" s="131"/>
      <c r="I848" s="142"/>
      <c r="J848" s="142"/>
      <c r="K848" s="132"/>
      <c r="L848" s="131"/>
      <c r="M848" s="142"/>
      <c r="N848" s="142"/>
      <c r="O848" s="142"/>
      <c r="P848" s="142"/>
      <c r="Q848" s="142"/>
      <c r="R848" s="142"/>
      <c r="S848" s="142"/>
      <c r="T848" s="142"/>
      <c r="U848" s="142"/>
      <c r="V848" s="142"/>
      <c r="W848" s="142"/>
      <c r="X848" s="142"/>
      <c r="Y848" s="142"/>
      <c r="Z848" s="142"/>
      <c r="AA848" s="142"/>
      <c r="AB848" s="142"/>
      <c r="AC848" s="142"/>
      <c r="AD848" s="142"/>
      <c r="AE848" s="142"/>
      <c r="AF848" s="142"/>
      <c r="AG848" s="142"/>
      <c r="AH848" s="142"/>
      <c r="AI848" s="142"/>
      <c r="AJ848" s="142"/>
      <c r="AK848" s="142"/>
      <c r="AL848" s="142"/>
      <c r="AM848" s="142"/>
      <c r="AN848" s="142"/>
      <c r="AO848" s="142"/>
      <c r="AP848" s="130"/>
      <c r="AQ848" s="130"/>
      <c r="AR848" s="130"/>
      <c r="AS848" s="130"/>
      <c r="AT848" s="130"/>
      <c r="AU848" s="130"/>
      <c r="AV848" s="130"/>
      <c r="AW848" s="130"/>
      <c r="AX848" s="130"/>
      <c r="AY848" s="130"/>
      <c r="AZ848" s="130"/>
      <c r="BA848" s="130"/>
      <c r="BB848" s="130"/>
      <c r="BC848" s="130"/>
      <c r="BD848" s="130"/>
    </row>
    <row r="849" ht="15.75" customHeight="1">
      <c r="A849" s="142"/>
      <c r="B849" s="142"/>
      <c r="C849" s="198"/>
      <c r="D849" s="142"/>
      <c r="E849" s="131"/>
      <c r="F849" s="142"/>
      <c r="G849" s="142"/>
      <c r="H849" s="131"/>
      <c r="I849" s="142"/>
      <c r="J849" s="142"/>
      <c r="K849" s="132"/>
      <c r="L849" s="131"/>
      <c r="M849" s="142"/>
      <c r="N849" s="142"/>
      <c r="O849" s="142"/>
      <c r="P849" s="142"/>
      <c r="Q849" s="142"/>
      <c r="R849" s="142"/>
      <c r="S849" s="142"/>
      <c r="T849" s="142"/>
      <c r="U849" s="142"/>
      <c r="V849" s="142"/>
      <c r="W849" s="142"/>
      <c r="X849" s="142"/>
      <c r="Y849" s="142"/>
      <c r="Z849" s="142"/>
      <c r="AA849" s="142"/>
      <c r="AB849" s="142"/>
      <c r="AC849" s="142"/>
      <c r="AD849" s="142"/>
      <c r="AE849" s="142"/>
      <c r="AF849" s="142"/>
      <c r="AG849" s="142"/>
      <c r="AH849" s="142"/>
      <c r="AI849" s="142"/>
      <c r="AJ849" s="142"/>
      <c r="AK849" s="142"/>
      <c r="AL849" s="142"/>
      <c r="AM849" s="142"/>
      <c r="AN849" s="142"/>
      <c r="AO849" s="142"/>
      <c r="AP849" s="130"/>
      <c r="AQ849" s="130"/>
      <c r="AR849" s="130"/>
      <c r="AS849" s="130"/>
      <c r="AT849" s="130"/>
      <c r="AU849" s="130"/>
      <c r="AV849" s="130"/>
      <c r="AW849" s="130"/>
      <c r="AX849" s="130"/>
      <c r="AY849" s="130"/>
      <c r="AZ849" s="130"/>
      <c r="BA849" s="130"/>
      <c r="BB849" s="130"/>
      <c r="BC849" s="130"/>
      <c r="BD849" s="130"/>
    </row>
    <row r="850" ht="15.75" customHeight="1">
      <c r="A850" s="142"/>
      <c r="B850" s="142"/>
      <c r="C850" s="198"/>
      <c r="D850" s="142"/>
      <c r="E850" s="131"/>
      <c r="F850" s="142"/>
      <c r="G850" s="142"/>
      <c r="H850" s="131"/>
      <c r="I850" s="142"/>
      <c r="J850" s="142"/>
      <c r="K850" s="132"/>
      <c r="L850" s="131"/>
      <c r="M850" s="142"/>
      <c r="N850" s="142"/>
      <c r="O850" s="142"/>
      <c r="P850" s="142"/>
      <c r="Q850" s="142"/>
      <c r="R850" s="142"/>
      <c r="S850" s="142"/>
      <c r="T850" s="142"/>
      <c r="U850" s="142"/>
      <c r="V850" s="142"/>
      <c r="W850" s="142"/>
      <c r="X850" s="142"/>
      <c r="Y850" s="142"/>
      <c r="Z850" s="142"/>
      <c r="AA850" s="142"/>
      <c r="AB850" s="142"/>
      <c r="AC850" s="142"/>
      <c r="AD850" s="142"/>
      <c r="AE850" s="142"/>
      <c r="AF850" s="142"/>
      <c r="AG850" s="142"/>
      <c r="AH850" s="142"/>
      <c r="AI850" s="142"/>
      <c r="AJ850" s="142"/>
      <c r="AK850" s="142"/>
      <c r="AL850" s="142"/>
      <c r="AM850" s="142"/>
      <c r="AN850" s="142"/>
      <c r="AO850" s="142"/>
      <c r="AP850" s="130"/>
      <c r="AQ850" s="130"/>
      <c r="AR850" s="130"/>
      <c r="AS850" s="130"/>
      <c r="AT850" s="130"/>
      <c r="AU850" s="130"/>
      <c r="AV850" s="130"/>
      <c r="AW850" s="130"/>
      <c r="AX850" s="130"/>
      <c r="AY850" s="130"/>
      <c r="AZ850" s="130"/>
      <c r="BA850" s="130"/>
      <c r="BB850" s="130"/>
      <c r="BC850" s="130"/>
      <c r="BD850" s="130"/>
    </row>
    <row r="851" ht="15.75" customHeight="1">
      <c r="A851" s="142"/>
      <c r="B851" s="142"/>
      <c r="C851" s="198"/>
      <c r="D851" s="142"/>
      <c r="E851" s="131"/>
      <c r="F851" s="142"/>
      <c r="G851" s="142"/>
      <c r="H851" s="131"/>
      <c r="I851" s="142"/>
      <c r="J851" s="142"/>
      <c r="K851" s="132"/>
      <c r="L851" s="131"/>
      <c r="M851" s="142"/>
      <c r="N851" s="142"/>
      <c r="O851" s="142"/>
      <c r="P851" s="142"/>
      <c r="Q851" s="142"/>
      <c r="R851" s="142"/>
      <c r="S851" s="142"/>
      <c r="T851" s="142"/>
      <c r="U851" s="142"/>
      <c r="V851" s="142"/>
      <c r="W851" s="142"/>
      <c r="X851" s="142"/>
      <c r="Y851" s="142"/>
      <c r="Z851" s="142"/>
      <c r="AA851" s="142"/>
      <c r="AB851" s="142"/>
      <c r="AC851" s="142"/>
      <c r="AD851" s="142"/>
      <c r="AE851" s="142"/>
      <c r="AF851" s="142"/>
      <c r="AG851" s="142"/>
      <c r="AH851" s="142"/>
      <c r="AI851" s="142"/>
      <c r="AJ851" s="142"/>
      <c r="AK851" s="142"/>
      <c r="AL851" s="142"/>
      <c r="AM851" s="142"/>
      <c r="AN851" s="142"/>
      <c r="AO851" s="142"/>
      <c r="AP851" s="130"/>
      <c r="AQ851" s="130"/>
      <c r="AR851" s="130"/>
      <c r="AS851" s="130"/>
      <c r="AT851" s="130"/>
      <c r="AU851" s="130"/>
      <c r="AV851" s="130"/>
      <c r="AW851" s="130"/>
      <c r="AX851" s="130"/>
      <c r="AY851" s="130"/>
      <c r="AZ851" s="130"/>
      <c r="BA851" s="130"/>
      <c r="BB851" s="130"/>
      <c r="BC851" s="130"/>
      <c r="BD851" s="130"/>
    </row>
    <row r="852" ht="15.75" customHeight="1">
      <c r="A852" s="142"/>
      <c r="B852" s="142"/>
      <c r="C852" s="198"/>
      <c r="D852" s="142"/>
      <c r="E852" s="131"/>
      <c r="F852" s="142"/>
      <c r="G852" s="142"/>
      <c r="H852" s="131"/>
      <c r="I852" s="142"/>
      <c r="J852" s="142"/>
      <c r="K852" s="132"/>
      <c r="L852" s="131"/>
      <c r="M852" s="142"/>
      <c r="N852" s="142"/>
      <c r="O852" s="142"/>
      <c r="P852" s="142"/>
      <c r="Q852" s="142"/>
      <c r="R852" s="142"/>
      <c r="S852" s="142"/>
      <c r="T852" s="142"/>
      <c r="U852" s="142"/>
      <c r="V852" s="142"/>
      <c r="W852" s="142"/>
      <c r="X852" s="142"/>
      <c r="Y852" s="142"/>
      <c r="Z852" s="142"/>
      <c r="AA852" s="142"/>
      <c r="AB852" s="142"/>
      <c r="AC852" s="142"/>
      <c r="AD852" s="142"/>
      <c r="AE852" s="142"/>
      <c r="AF852" s="142"/>
      <c r="AG852" s="142"/>
      <c r="AH852" s="142"/>
      <c r="AI852" s="142"/>
      <c r="AJ852" s="142"/>
      <c r="AK852" s="142"/>
      <c r="AL852" s="142"/>
      <c r="AM852" s="142"/>
      <c r="AN852" s="142"/>
      <c r="AO852" s="142"/>
      <c r="AP852" s="130"/>
      <c r="AQ852" s="130"/>
      <c r="AR852" s="130"/>
      <c r="AS852" s="130"/>
      <c r="AT852" s="130"/>
      <c r="AU852" s="130"/>
      <c r="AV852" s="130"/>
      <c r="AW852" s="130"/>
      <c r="AX852" s="130"/>
      <c r="AY852" s="130"/>
      <c r="AZ852" s="130"/>
      <c r="BA852" s="130"/>
      <c r="BB852" s="130"/>
      <c r="BC852" s="130"/>
      <c r="BD852" s="130"/>
    </row>
    <row r="853" ht="15.75" customHeight="1">
      <c r="A853" s="142"/>
      <c r="B853" s="142"/>
      <c r="C853" s="198"/>
      <c r="D853" s="142"/>
      <c r="E853" s="131"/>
      <c r="F853" s="142"/>
      <c r="G853" s="142"/>
      <c r="H853" s="131"/>
      <c r="I853" s="142"/>
      <c r="J853" s="142"/>
      <c r="K853" s="132"/>
      <c r="L853" s="131"/>
      <c r="M853" s="142"/>
      <c r="N853" s="142"/>
      <c r="O853" s="142"/>
      <c r="P853" s="142"/>
      <c r="Q853" s="142"/>
      <c r="R853" s="142"/>
      <c r="S853" s="142"/>
      <c r="T853" s="142"/>
      <c r="U853" s="142"/>
      <c r="V853" s="142"/>
      <c r="W853" s="142"/>
      <c r="X853" s="142"/>
      <c r="Y853" s="142"/>
      <c r="Z853" s="142"/>
      <c r="AA853" s="142"/>
      <c r="AB853" s="142"/>
      <c r="AC853" s="142"/>
      <c r="AD853" s="142"/>
      <c r="AE853" s="142"/>
      <c r="AF853" s="142"/>
      <c r="AG853" s="142"/>
      <c r="AH853" s="142"/>
      <c r="AI853" s="142"/>
      <c r="AJ853" s="142"/>
      <c r="AK853" s="142"/>
      <c r="AL853" s="142"/>
      <c r="AM853" s="142"/>
      <c r="AN853" s="142"/>
      <c r="AO853" s="142"/>
      <c r="AP853" s="130"/>
      <c r="AQ853" s="130"/>
      <c r="AR853" s="130"/>
      <c r="AS853" s="130"/>
      <c r="AT853" s="130"/>
      <c r="AU853" s="130"/>
      <c r="AV853" s="130"/>
      <c r="AW853" s="130"/>
      <c r="AX853" s="130"/>
      <c r="AY853" s="130"/>
      <c r="AZ853" s="130"/>
      <c r="BA853" s="130"/>
      <c r="BB853" s="130"/>
      <c r="BC853" s="130"/>
      <c r="BD853" s="130"/>
    </row>
    <row r="854" ht="15.75" customHeight="1">
      <c r="A854" s="142"/>
      <c r="B854" s="142"/>
      <c r="C854" s="198"/>
      <c r="D854" s="142"/>
      <c r="E854" s="131"/>
      <c r="F854" s="142"/>
      <c r="G854" s="142"/>
      <c r="H854" s="131"/>
      <c r="I854" s="142"/>
      <c r="J854" s="142"/>
      <c r="K854" s="132"/>
      <c r="L854" s="131"/>
      <c r="M854" s="142"/>
      <c r="N854" s="142"/>
      <c r="O854" s="142"/>
      <c r="P854" s="142"/>
      <c r="Q854" s="142"/>
      <c r="R854" s="142"/>
      <c r="S854" s="142"/>
      <c r="T854" s="142"/>
      <c r="U854" s="142"/>
      <c r="V854" s="142"/>
      <c r="W854" s="142"/>
      <c r="X854" s="142"/>
      <c r="Y854" s="142"/>
      <c r="Z854" s="142"/>
      <c r="AA854" s="142"/>
      <c r="AB854" s="142"/>
      <c r="AC854" s="142"/>
      <c r="AD854" s="142"/>
      <c r="AE854" s="142"/>
      <c r="AF854" s="142"/>
      <c r="AG854" s="142"/>
      <c r="AH854" s="142"/>
      <c r="AI854" s="142"/>
      <c r="AJ854" s="142"/>
      <c r="AK854" s="142"/>
      <c r="AL854" s="142"/>
      <c r="AM854" s="142"/>
      <c r="AN854" s="142"/>
      <c r="AO854" s="142"/>
      <c r="AP854" s="130"/>
      <c r="AQ854" s="130"/>
      <c r="AR854" s="130"/>
      <c r="AS854" s="130"/>
      <c r="AT854" s="130"/>
      <c r="AU854" s="130"/>
      <c r="AV854" s="130"/>
      <c r="AW854" s="130"/>
      <c r="AX854" s="130"/>
      <c r="AY854" s="130"/>
      <c r="AZ854" s="130"/>
      <c r="BA854" s="130"/>
      <c r="BB854" s="130"/>
      <c r="BC854" s="130"/>
      <c r="BD854" s="130"/>
    </row>
    <row r="855" ht="15.75" customHeight="1">
      <c r="A855" s="142"/>
      <c r="B855" s="142"/>
      <c r="C855" s="198"/>
      <c r="D855" s="142"/>
      <c r="E855" s="131"/>
      <c r="F855" s="142"/>
      <c r="G855" s="142"/>
      <c r="H855" s="131"/>
      <c r="I855" s="142"/>
      <c r="J855" s="142"/>
      <c r="K855" s="132"/>
      <c r="L855" s="131"/>
      <c r="M855" s="142"/>
      <c r="N855" s="142"/>
      <c r="O855" s="142"/>
      <c r="P855" s="142"/>
      <c r="Q855" s="142"/>
      <c r="R855" s="142"/>
      <c r="S855" s="142"/>
      <c r="T855" s="142"/>
      <c r="U855" s="142"/>
      <c r="V855" s="142"/>
      <c r="W855" s="142"/>
      <c r="X855" s="142"/>
      <c r="Y855" s="142"/>
      <c r="Z855" s="142"/>
      <c r="AA855" s="142"/>
      <c r="AB855" s="142"/>
      <c r="AC855" s="142"/>
      <c r="AD855" s="142"/>
      <c r="AE855" s="142"/>
      <c r="AF855" s="142"/>
      <c r="AG855" s="142"/>
      <c r="AH855" s="142"/>
      <c r="AI855" s="142"/>
      <c r="AJ855" s="142"/>
      <c r="AK855" s="142"/>
      <c r="AL855" s="142"/>
      <c r="AM855" s="142"/>
      <c r="AN855" s="142"/>
      <c r="AO855" s="142"/>
      <c r="AP855" s="130"/>
      <c r="AQ855" s="130"/>
      <c r="AR855" s="130"/>
      <c r="AS855" s="130"/>
      <c r="AT855" s="130"/>
      <c r="AU855" s="130"/>
      <c r="AV855" s="130"/>
      <c r="AW855" s="130"/>
      <c r="AX855" s="130"/>
      <c r="AY855" s="130"/>
      <c r="AZ855" s="130"/>
      <c r="BA855" s="130"/>
      <c r="BB855" s="130"/>
      <c r="BC855" s="130"/>
      <c r="BD855" s="130"/>
    </row>
    <row r="856" ht="15.75" customHeight="1">
      <c r="A856" s="142"/>
      <c r="B856" s="142"/>
      <c r="C856" s="198"/>
      <c r="D856" s="142"/>
      <c r="E856" s="131"/>
      <c r="F856" s="142"/>
      <c r="G856" s="142"/>
      <c r="H856" s="131"/>
      <c r="I856" s="142"/>
      <c r="J856" s="142"/>
      <c r="K856" s="132"/>
      <c r="L856" s="131"/>
      <c r="M856" s="142"/>
      <c r="N856" s="142"/>
      <c r="O856" s="142"/>
      <c r="P856" s="142"/>
      <c r="Q856" s="142"/>
      <c r="R856" s="142"/>
      <c r="S856" s="142"/>
      <c r="T856" s="142"/>
      <c r="U856" s="142"/>
      <c r="V856" s="142"/>
      <c r="W856" s="142"/>
      <c r="X856" s="142"/>
      <c r="Y856" s="142"/>
      <c r="Z856" s="142"/>
      <c r="AA856" s="142"/>
      <c r="AB856" s="142"/>
      <c r="AC856" s="142"/>
      <c r="AD856" s="142"/>
      <c r="AE856" s="142"/>
      <c r="AF856" s="142"/>
      <c r="AG856" s="142"/>
      <c r="AH856" s="142"/>
      <c r="AI856" s="142"/>
      <c r="AJ856" s="142"/>
      <c r="AK856" s="142"/>
      <c r="AL856" s="142"/>
      <c r="AM856" s="142"/>
      <c r="AN856" s="142"/>
      <c r="AO856" s="142"/>
      <c r="AP856" s="130"/>
      <c r="AQ856" s="130"/>
      <c r="AR856" s="130"/>
      <c r="AS856" s="130"/>
      <c r="AT856" s="130"/>
      <c r="AU856" s="130"/>
      <c r="AV856" s="130"/>
      <c r="AW856" s="130"/>
      <c r="AX856" s="130"/>
      <c r="AY856" s="130"/>
      <c r="AZ856" s="130"/>
      <c r="BA856" s="130"/>
      <c r="BB856" s="130"/>
      <c r="BC856" s="130"/>
      <c r="BD856" s="130"/>
    </row>
    <row r="857" ht="15.75" customHeight="1">
      <c r="A857" s="142"/>
      <c r="B857" s="142"/>
      <c r="C857" s="198"/>
      <c r="D857" s="142"/>
      <c r="E857" s="131"/>
      <c r="F857" s="142"/>
      <c r="G857" s="142"/>
      <c r="H857" s="131"/>
      <c r="I857" s="142"/>
      <c r="J857" s="142"/>
      <c r="K857" s="132"/>
      <c r="L857" s="131"/>
      <c r="M857" s="142"/>
      <c r="N857" s="142"/>
      <c r="O857" s="142"/>
      <c r="P857" s="142"/>
      <c r="Q857" s="142"/>
      <c r="R857" s="142"/>
      <c r="S857" s="142"/>
      <c r="T857" s="142"/>
      <c r="U857" s="142"/>
      <c r="V857" s="142"/>
      <c r="W857" s="142"/>
      <c r="X857" s="142"/>
      <c r="Y857" s="142"/>
      <c r="Z857" s="142"/>
      <c r="AA857" s="142"/>
      <c r="AB857" s="142"/>
      <c r="AC857" s="142"/>
      <c r="AD857" s="142"/>
      <c r="AE857" s="142"/>
      <c r="AF857" s="142"/>
      <c r="AG857" s="142"/>
      <c r="AH857" s="142"/>
      <c r="AI857" s="142"/>
      <c r="AJ857" s="142"/>
      <c r="AK857" s="142"/>
      <c r="AL857" s="142"/>
      <c r="AM857" s="142"/>
      <c r="AN857" s="142"/>
      <c r="AO857" s="142"/>
      <c r="AP857" s="130"/>
      <c r="AQ857" s="130"/>
      <c r="AR857" s="130"/>
      <c r="AS857" s="130"/>
      <c r="AT857" s="130"/>
      <c r="AU857" s="130"/>
      <c r="AV857" s="130"/>
      <c r="AW857" s="130"/>
      <c r="AX857" s="130"/>
      <c r="AY857" s="130"/>
      <c r="AZ857" s="130"/>
      <c r="BA857" s="130"/>
      <c r="BB857" s="130"/>
      <c r="BC857" s="130"/>
      <c r="BD857" s="130"/>
    </row>
    <row r="858" ht="15.75" customHeight="1">
      <c r="A858" s="142"/>
      <c r="B858" s="142"/>
      <c r="C858" s="198"/>
      <c r="D858" s="142"/>
      <c r="E858" s="131"/>
      <c r="F858" s="142"/>
      <c r="G858" s="142"/>
      <c r="H858" s="131"/>
      <c r="I858" s="142"/>
      <c r="J858" s="142"/>
      <c r="K858" s="132"/>
      <c r="L858" s="131"/>
      <c r="M858" s="142"/>
      <c r="N858" s="142"/>
      <c r="O858" s="142"/>
      <c r="P858" s="142"/>
      <c r="Q858" s="142"/>
      <c r="R858" s="142"/>
      <c r="S858" s="142"/>
      <c r="T858" s="142"/>
      <c r="U858" s="142"/>
      <c r="V858" s="142"/>
      <c r="W858" s="142"/>
      <c r="X858" s="142"/>
      <c r="Y858" s="142"/>
      <c r="Z858" s="142"/>
      <c r="AA858" s="142"/>
      <c r="AB858" s="142"/>
      <c r="AC858" s="142"/>
      <c r="AD858" s="142"/>
      <c r="AE858" s="142"/>
      <c r="AF858" s="142"/>
      <c r="AG858" s="142"/>
      <c r="AH858" s="142"/>
      <c r="AI858" s="142"/>
      <c r="AJ858" s="142"/>
      <c r="AK858" s="142"/>
      <c r="AL858" s="142"/>
      <c r="AM858" s="142"/>
      <c r="AN858" s="142"/>
      <c r="AO858" s="142"/>
      <c r="AP858" s="130"/>
      <c r="AQ858" s="130"/>
      <c r="AR858" s="130"/>
      <c r="AS858" s="130"/>
      <c r="AT858" s="130"/>
      <c r="AU858" s="130"/>
      <c r="AV858" s="130"/>
      <c r="AW858" s="130"/>
      <c r="AX858" s="130"/>
      <c r="AY858" s="130"/>
      <c r="AZ858" s="130"/>
      <c r="BA858" s="130"/>
      <c r="BB858" s="130"/>
      <c r="BC858" s="130"/>
      <c r="BD858" s="130"/>
    </row>
    <row r="859" ht="15.75" customHeight="1">
      <c r="A859" s="142"/>
      <c r="B859" s="142"/>
      <c r="C859" s="198"/>
      <c r="D859" s="142"/>
      <c r="E859" s="131"/>
      <c r="F859" s="142"/>
      <c r="G859" s="142"/>
      <c r="H859" s="131"/>
      <c r="I859" s="142"/>
      <c r="J859" s="142"/>
      <c r="K859" s="132"/>
      <c r="L859" s="131"/>
      <c r="M859" s="142"/>
      <c r="N859" s="142"/>
      <c r="O859" s="142"/>
      <c r="P859" s="142"/>
      <c r="Q859" s="142"/>
      <c r="R859" s="142"/>
      <c r="S859" s="142"/>
      <c r="T859" s="142"/>
      <c r="U859" s="142"/>
      <c r="V859" s="142"/>
      <c r="W859" s="142"/>
      <c r="X859" s="142"/>
      <c r="Y859" s="142"/>
      <c r="Z859" s="142"/>
      <c r="AA859" s="142"/>
      <c r="AB859" s="142"/>
      <c r="AC859" s="142"/>
      <c r="AD859" s="142"/>
      <c r="AE859" s="142"/>
      <c r="AF859" s="142"/>
      <c r="AG859" s="142"/>
      <c r="AH859" s="142"/>
      <c r="AI859" s="142"/>
      <c r="AJ859" s="142"/>
      <c r="AK859" s="142"/>
      <c r="AL859" s="142"/>
      <c r="AM859" s="142"/>
      <c r="AN859" s="142"/>
      <c r="AO859" s="142"/>
      <c r="AP859" s="130"/>
      <c r="AQ859" s="130"/>
      <c r="AR859" s="130"/>
      <c r="AS859" s="130"/>
      <c r="AT859" s="130"/>
      <c r="AU859" s="130"/>
      <c r="AV859" s="130"/>
      <c r="AW859" s="130"/>
      <c r="AX859" s="130"/>
      <c r="AY859" s="130"/>
      <c r="AZ859" s="130"/>
      <c r="BA859" s="130"/>
      <c r="BB859" s="130"/>
      <c r="BC859" s="130"/>
      <c r="BD859" s="130"/>
    </row>
    <row r="860" ht="15.75" customHeight="1">
      <c r="A860" s="142"/>
      <c r="B860" s="142"/>
      <c r="C860" s="198"/>
      <c r="D860" s="142"/>
      <c r="E860" s="131"/>
      <c r="F860" s="142"/>
      <c r="G860" s="142"/>
      <c r="H860" s="131"/>
      <c r="I860" s="142"/>
      <c r="J860" s="142"/>
      <c r="K860" s="132"/>
      <c r="L860" s="131"/>
      <c r="M860" s="142"/>
      <c r="N860" s="142"/>
      <c r="O860" s="142"/>
      <c r="P860" s="142"/>
      <c r="Q860" s="142"/>
      <c r="R860" s="142"/>
      <c r="S860" s="142"/>
      <c r="T860" s="142"/>
      <c r="U860" s="142"/>
      <c r="V860" s="142"/>
      <c r="W860" s="142"/>
      <c r="X860" s="142"/>
      <c r="Y860" s="142"/>
      <c r="Z860" s="142"/>
      <c r="AA860" s="142"/>
      <c r="AB860" s="142"/>
      <c r="AC860" s="142"/>
      <c r="AD860" s="142"/>
      <c r="AE860" s="142"/>
      <c r="AF860" s="142"/>
      <c r="AG860" s="142"/>
      <c r="AH860" s="142"/>
      <c r="AI860" s="142"/>
      <c r="AJ860" s="142"/>
      <c r="AK860" s="142"/>
      <c r="AL860" s="142"/>
      <c r="AM860" s="142"/>
      <c r="AN860" s="142"/>
      <c r="AO860" s="142"/>
      <c r="AP860" s="130"/>
      <c r="AQ860" s="130"/>
      <c r="AR860" s="130"/>
      <c r="AS860" s="130"/>
      <c r="AT860" s="130"/>
      <c r="AU860" s="130"/>
      <c r="AV860" s="130"/>
      <c r="AW860" s="130"/>
      <c r="AX860" s="130"/>
      <c r="AY860" s="130"/>
      <c r="AZ860" s="130"/>
      <c r="BA860" s="130"/>
      <c r="BB860" s="130"/>
      <c r="BC860" s="130"/>
      <c r="BD860" s="130"/>
    </row>
    <row r="861" ht="15.75" customHeight="1">
      <c r="A861" s="142"/>
      <c r="B861" s="142"/>
      <c r="C861" s="198"/>
      <c r="D861" s="142"/>
      <c r="E861" s="131"/>
      <c r="F861" s="142"/>
      <c r="G861" s="142"/>
      <c r="H861" s="131"/>
      <c r="I861" s="142"/>
      <c r="J861" s="142"/>
      <c r="K861" s="132"/>
      <c r="L861" s="131"/>
      <c r="M861" s="142"/>
      <c r="N861" s="142"/>
      <c r="O861" s="142"/>
      <c r="P861" s="142"/>
      <c r="Q861" s="142"/>
      <c r="R861" s="142"/>
      <c r="S861" s="142"/>
      <c r="T861" s="142"/>
      <c r="U861" s="142"/>
      <c r="V861" s="142"/>
      <c r="W861" s="142"/>
      <c r="X861" s="142"/>
      <c r="Y861" s="142"/>
      <c r="Z861" s="142"/>
      <c r="AA861" s="142"/>
      <c r="AB861" s="142"/>
      <c r="AC861" s="142"/>
      <c r="AD861" s="142"/>
      <c r="AE861" s="142"/>
      <c r="AF861" s="142"/>
      <c r="AG861" s="142"/>
      <c r="AH861" s="142"/>
      <c r="AI861" s="142"/>
      <c r="AJ861" s="142"/>
      <c r="AK861" s="142"/>
      <c r="AL861" s="142"/>
      <c r="AM861" s="142"/>
      <c r="AN861" s="142"/>
      <c r="AO861" s="142"/>
      <c r="AP861" s="130"/>
      <c r="AQ861" s="130"/>
      <c r="AR861" s="130"/>
      <c r="AS861" s="130"/>
      <c r="AT861" s="130"/>
      <c r="AU861" s="130"/>
      <c r="AV861" s="130"/>
      <c r="AW861" s="130"/>
      <c r="AX861" s="130"/>
      <c r="AY861" s="130"/>
      <c r="AZ861" s="130"/>
      <c r="BA861" s="130"/>
      <c r="BB861" s="130"/>
      <c r="BC861" s="130"/>
      <c r="BD861" s="130"/>
    </row>
    <row r="862" ht="15.75" customHeight="1">
      <c r="A862" s="142"/>
      <c r="B862" s="142"/>
      <c r="C862" s="198"/>
      <c r="D862" s="142"/>
      <c r="E862" s="131"/>
      <c r="F862" s="142"/>
      <c r="G862" s="142"/>
      <c r="H862" s="131"/>
      <c r="I862" s="142"/>
      <c r="J862" s="142"/>
      <c r="K862" s="132"/>
      <c r="L862" s="131"/>
      <c r="M862" s="142"/>
      <c r="N862" s="142"/>
      <c r="O862" s="142"/>
      <c r="P862" s="142"/>
      <c r="Q862" s="142"/>
      <c r="R862" s="142"/>
      <c r="S862" s="142"/>
      <c r="T862" s="142"/>
      <c r="U862" s="142"/>
      <c r="V862" s="142"/>
      <c r="W862" s="142"/>
      <c r="X862" s="142"/>
      <c r="Y862" s="142"/>
      <c r="Z862" s="142"/>
      <c r="AA862" s="142"/>
      <c r="AB862" s="142"/>
      <c r="AC862" s="142"/>
      <c r="AD862" s="142"/>
      <c r="AE862" s="142"/>
      <c r="AF862" s="142"/>
      <c r="AG862" s="142"/>
      <c r="AH862" s="142"/>
      <c r="AI862" s="142"/>
      <c r="AJ862" s="142"/>
      <c r="AK862" s="142"/>
      <c r="AL862" s="142"/>
      <c r="AM862" s="142"/>
      <c r="AN862" s="142"/>
      <c r="AO862" s="142"/>
      <c r="AP862" s="130"/>
      <c r="AQ862" s="130"/>
      <c r="AR862" s="130"/>
      <c r="AS862" s="130"/>
      <c r="AT862" s="130"/>
      <c r="AU862" s="130"/>
      <c r="AV862" s="130"/>
      <c r="AW862" s="130"/>
      <c r="AX862" s="130"/>
      <c r="AY862" s="130"/>
      <c r="AZ862" s="130"/>
      <c r="BA862" s="130"/>
      <c r="BB862" s="130"/>
      <c r="BC862" s="130"/>
      <c r="BD862" s="130"/>
    </row>
    <row r="863" ht="15.75" customHeight="1">
      <c r="A863" s="142"/>
      <c r="B863" s="142"/>
      <c r="C863" s="198"/>
      <c r="D863" s="142"/>
      <c r="E863" s="131"/>
      <c r="F863" s="142"/>
      <c r="G863" s="142"/>
      <c r="H863" s="131"/>
      <c r="I863" s="142"/>
      <c r="J863" s="142"/>
      <c r="K863" s="132"/>
      <c r="L863" s="131"/>
      <c r="M863" s="142"/>
      <c r="N863" s="142"/>
      <c r="O863" s="142"/>
      <c r="P863" s="142"/>
      <c r="Q863" s="142"/>
      <c r="R863" s="142"/>
      <c r="S863" s="142"/>
      <c r="T863" s="142"/>
      <c r="U863" s="142"/>
      <c r="V863" s="142"/>
      <c r="W863" s="142"/>
      <c r="X863" s="142"/>
      <c r="Y863" s="142"/>
      <c r="Z863" s="142"/>
      <c r="AA863" s="142"/>
      <c r="AB863" s="142"/>
      <c r="AC863" s="142"/>
      <c r="AD863" s="142"/>
      <c r="AE863" s="142"/>
      <c r="AF863" s="142"/>
      <c r="AG863" s="142"/>
      <c r="AH863" s="142"/>
      <c r="AI863" s="142"/>
      <c r="AJ863" s="142"/>
      <c r="AK863" s="142"/>
      <c r="AL863" s="142"/>
      <c r="AM863" s="142"/>
      <c r="AN863" s="142"/>
      <c r="AO863" s="142"/>
      <c r="AP863" s="130"/>
      <c r="AQ863" s="130"/>
      <c r="AR863" s="130"/>
      <c r="AS863" s="130"/>
      <c r="AT863" s="130"/>
      <c r="AU863" s="130"/>
      <c r="AV863" s="130"/>
      <c r="AW863" s="130"/>
      <c r="AX863" s="130"/>
      <c r="AY863" s="130"/>
      <c r="AZ863" s="130"/>
      <c r="BA863" s="130"/>
      <c r="BB863" s="130"/>
      <c r="BC863" s="130"/>
      <c r="BD863" s="130"/>
    </row>
    <row r="864" ht="15.75" customHeight="1">
      <c r="A864" s="142"/>
      <c r="B864" s="142"/>
      <c r="C864" s="198"/>
      <c r="D864" s="142"/>
      <c r="E864" s="131"/>
      <c r="F864" s="142"/>
      <c r="G864" s="142"/>
      <c r="H864" s="131"/>
      <c r="I864" s="142"/>
      <c r="J864" s="142"/>
      <c r="K864" s="132"/>
      <c r="L864" s="131"/>
      <c r="M864" s="142"/>
      <c r="N864" s="142"/>
      <c r="O864" s="142"/>
      <c r="P864" s="142"/>
      <c r="Q864" s="142"/>
      <c r="R864" s="142"/>
      <c r="S864" s="142"/>
      <c r="T864" s="142"/>
      <c r="U864" s="142"/>
      <c r="V864" s="142"/>
      <c r="W864" s="142"/>
      <c r="X864" s="142"/>
      <c r="Y864" s="142"/>
      <c r="Z864" s="142"/>
      <c r="AA864" s="142"/>
      <c r="AB864" s="142"/>
      <c r="AC864" s="142"/>
      <c r="AD864" s="142"/>
      <c r="AE864" s="142"/>
      <c r="AF864" s="142"/>
      <c r="AG864" s="142"/>
      <c r="AH864" s="142"/>
      <c r="AI864" s="142"/>
      <c r="AJ864" s="142"/>
      <c r="AK864" s="142"/>
      <c r="AL864" s="142"/>
      <c r="AM864" s="142"/>
      <c r="AN864" s="142"/>
      <c r="AO864" s="142"/>
      <c r="AP864" s="130"/>
      <c r="AQ864" s="130"/>
      <c r="AR864" s="130"/>
      <c r="AS864" s="130"/>
      <c r="AT864" s="130"/>
      <c r="AU864" s="130"/>
      <c r="AV864" s="130"/>
      <c r="AW864" s="130"/>
      <c r="AX864" s="130"/>
      <c r="AY864" s="130"/>
      <c r="AZ864" s="130"/>
      <c r="BA864" s="130"/>
      <c r="BB864" s="130"/>
      <c r="BC864" s="130"/>
      <c r="BD864" s="130"/>
    </row>
    <row r="865" ht="15.75" customHeight="1">
      <c r="A865" s="142"/>
      <c r="B865" s="142"/>
      <c r="C865" s="198"/>
      <c r="D865" s="142"/>
      <c r="E865" s="131"/>
      <c r="F865" s="142"/>
      <c r="G865" s="142"/>
      <c r="H865" s="131"/>
      <c r="I865" s="142"/>
      <c r="J865" s="142"/>
      <c r="K865" s="132"/>
      <c r="L865" s="131"/>
      <c r="M865" s="142"/>
      <c r="N865" s="142"/>
      <c r="O865" s="142"/>
      <c r="P865" s="142"/>
      <c r="Q865" s="142"/>
      <c r="R865" s="142"/>
      <c r="S865" s="142"/>
      <c r="T865" s="142"/>
      <c r="U865" s="142"/>
      <c r="V865" s="142"/>
      <c r="W865" s="142"/>
      <c r="X865" s="142"/>
      <c r="Y865" s="142"/>
      <c r="Z865" s="142"/>
      <c r="AA865" s="142"/>
      <c r="AB865" s="142"/>
      <c r="AC865" s="142"/>
      <c r="AD865" s="142"/>
      <c r="AE865" s="142"/>
      <c r="AF865" s="142"/>
      <c r="AG865" s="142"/>
      <c r="AH865" s="142"/>
      <c r="AI865" s="142"/>
      <c r="AJ865" s="142"/>
      <c r="AK865" s="142"/>
      <c r="AL865" s="142"/>
      <c r="AM865" s="142"/>
      <c r="AN865" s="142"/>
      <c r="AO865" s="142"/>
      <c r="AP865" s="130"/>
      <c r="AQ865" s="130"/>
      <c r="AR865" s="130"/>
      <c r="AS865" s="130"/>
      <c r="AT865" s="130"/>
      <c r="AU865" s="130"/>
      <c r="AV865" s="130"/>
      <c r="AW865" s="130"/>
      <c r="AX865" s="130"/>
      <c r="AY865" s="130"/>
      <c r="AZ865" s="130"/>
      <c r="BA865" s="130"/>
      <c r="BB865" s="130"/>
      <c r="BC865" s="130"/>
      <c r="BD865" s="130"/>
    </row>
    <row r="866" ht="15.75" customHeight="1">
      <c r="A866" s="142"/>
      <c r="B866" s="142"/>
      <c r="C866" s="198"/>
      <c r="D866" s="142"/>
      <c r="E866" s="131"/>
      <c r="F866" s="142"/>
      <c r="G866" s="142"/>
      <c r="H866" s="131"/>
      <c r="I866" s="142"/>
      <c r="J866" s="142"/>
      <c r="K866" s="132"/>
      <c r="L866" s="131"/>
      <c r="M866" s="142"/>
      <c r="N866" s="142"/>
      <c r="O866" s="142"/>
      <c r="P866" s="142"/>
      <c r="Q866" s="142"/>
      <c r="R866" s="142"/>
      <c r="S866" s="142"/>
      <c r="T866" s="142"/>
      <c r="U866" s="142"/>
      <c r="V866" s="142"/>
      <c r="W866" s="142"/>
      <c r="X866" s="142"/>
      <c r="Y866" s="142"/>
      <c r="Z866" s="142"/>
      <c r="AA866" s="142"/>
      <c r="AB866" s="142"/>
      <c r="AC866" s="142"/>
      <c r="AD866" s="142"/>
      <c r="AE866" s="142"/>
      <c r="AF866" s="142"/>
      <c r="AG866" s="142"/>
      <c r="AH866" s="142"/>
      <c r="AI866" s="142"/>
      <c r="AJ866" s="142"/>
      <c r="AK866" s="142"/>
      <c r="AL866" s="142"/>
      <c r="AM866" s="142"/>
      <c r="AN866" s="142"/>
      <c r="AO866" s="142"/>
      <c r="AP866" s="130"/>
      <c r="AQ866" s="130"/>
      <c r="AR866" s="130"/>
      <c r="AS866" s="130"/>
      <c r="AT866" s="130"/>
      <c r="AU866" s="130"/>
      <c r="AV866" s="130"/>
      <c r="AW866" s="130"/>
      <c r="AX866" s="130"/>
      <c r="AY866" s="130"/>
      <c r="AZ866" s="130"/>
      <c r="BA866" s="130"/>
      <c r="BB866" s="130"/>
      <c r="BC866" s="130"/>
      <c r="BD866" s="130"/>
    </row>
    <row r="867" ht="15.75" customHeight="1">
      <c r="A867" s="142"/>
      <c r="B867" s="142"/>
      <c r="C867" s="198"/>
      <c r="D867" s="142"/>
      <c r="E867" s="131"/>
      <c r="F867" s="142"/>
      <c r="G867" s="142"/>
      <c r="H867" s="131"/>
      <c r="I867" s="142"/>
      <c r="J867" s="142"/>
      <c r="K867" s="132"/>
      <c r="L867" s="131"/>
      <c r="M867" s="142"/>
      <c r="N867" s="142"/>
      <c r="O867" s="142"/>
      <c r="P867" s="142"/>
      <c r="Q867" s="142"/>
      <c r="R867" s="142"/>
      <c r="S867" s="142"/>
      <c r="T867" s="142"/>
      <c r="U867" s="142"/>
      <c r="V867" s="142"/>
      <c r="W867" s="142"/>
      <c r="X867" s="142"/>
      <c r="Y867" s="142"/>
      <c r="Z867" s="142"/>
      <c r="AA867" s="142"/>
      <c r="AB867" s="142"/>
      <c r="AC867" s="142"/>
      <c r="AD867" s="142"/>
      <c r="AE867" s="142"/>
      <c r="AF867" s="142"/>
      <c r="AG867" s="142"/>
      <c r="AH867" s="142"/>
      <c r="AI867" s="142"/>
      <c r="AJ867" s="142"/>
      <c r="AK867" s="142"/>
      <c r="AL867" s="142"/>
      <c r="AM867" s="142"/>
      <c r="AN867" s="142"/>
      <c r="AO867" s="142"/>
      <c r="AP867" s="130"/>
      <c r="AQ867" s="130"/>
      <c r="AR867" s="130"/>
      <c r="AS867" s="130"/>
      <c r="AT867" s="130"/>
      <c r="AU867" s="130"/>
      <c r="AV867" s="130"/>
      <c r="AW867" s="130"/>
      <c r="AX867" s="130"/>
      <c r="AY867" s="130"/>
      <c r="AZ867" s="130"/>
      <c r="BA867" s="130"/>
      <c r="BB867" s="130"/>
      <c r="BC867" s="130"/>
      <c r="BD867" s="130"/>
    </row>
    <row r="868" ht="15.75" customHeight="1">
      <c r="A868" s="142"/>
      <c r="B868" s="142"/>
      <c r="C868" s="198"/>
      <c r="D868" s="142"/>
      <c r="E868" s="131"/>
      <c r="F868" s="142"/>
      <c r="G868" s="142"/>
      <c r="H868" s="131"/>
      <c r="I868" s="142"/>
      <c r="J868" s="142"/>
      <c r="K868" s="132"/>
      <c r="L868" s="131"/>
      <c r="M868" s="142"/>
      <c r="N868" s="142"/>
      <c r="O868" s="142"/>
      <c r="P868" s="142"/>
      <c r="Q868" s="142"/>
      <c r="R868" s="142"/>
      <c r="S868" s="142"/>
      <c r="T868" s="142"/>
      <c r="U868" s="142"/>
      <c r="V868" s="142"/>
      <c r="W868" s="142"/>
      <c r="X868" s="142"/>
      <c r="Y868" s="142"/>
      <c r="Z868" s="142"/>
      <c r="AA868" s="142"/>
      <c r="AB868" s="142"/>
      <c r="AC868" s="142"/>
      <c r="AD868" s="142"/>
      <c r="AE868" s="142"/>
      <c r="AF868" s="142"/>
      <c r="AG868" s="142"/>
      <c r="AH868" s="142"/>
      <c r="AI868" s="142"/>
      <c r="AJ868" s="142"/>
      <c r="AK868" s="142"/>
      <c r="AL868" s="142"/>
      <c r="AM868" s="142"/>
      <c r="AN868" s="142"/>
      <c r="AO868" s="142"/>
      <c r="AP868" s="130"/>
      <c r="AQ868" s="130"/>
      <c r="AR868" s="130"/>
      <c r="AS868" s="130"/>
      <c r="AT868" s="130"/>
      <c r="AU868" s="130"/>
      <c r="AV868" s="130"/>
      <c r="AW868" s="130"/>
      <c r="AX868" s="130"/>
      <c r="AY868" s="130"/>
      <c r="AZ868" s="130"/>
      <c r="BA868" s="130"/>
      <c r="BB868" s="130"/>
      <c r="BC868" s="130"/>
      <c r="BD868" s="130"/>
    </row>
    <row r="869" ht="15.75" customHeight="1">
      <c r="A869" s="142"/>
      <c r="B869" s="142"/>
      <c r="C869" s="198"/>
      <c r="D869" s="142"/>
      <c r="E869" s="131"/>
      <c r="F869" s="142"/>
      <c r="G869" s="142"/>
      <c r="H869" s="131"/>
      <c r="I869" s="142"/>
      <c r="J869" s="142"/>
      <c r="K869" s="132"/>
      <c r="L869" s="131"/>
      <c r="M869" s="142"/>
      <c r="N869" s="142"/>
      <c r="O869" s="142"/>
      <c r="P869" s="142"/>
      <c r="Q869" s="142"/>
      <c r="R869" s="142"/>
      <c r="S869" s="142"/>
      <c r="T869" s="142"/>
      <c r="U869" s="142"/>
      <c r="V869" s="142"/>
      <c r="W869" s="142"/>
      <c r="X869" s="142"/>
      <c r="Y869" s="142"/>
      <c r="Z869" s="142"/>
      <c r="AA869" s="142"/>
      <c r="AB869" s="142"/>
      <c r="AC869" s="142"/>
      <c r="AD869" s="142"/>
      <c r="AE869" s="142"/>
      <c r="AF869" s="142"/>
      <c r="AG869" s="142"/>
      <c r="AH869" s="142"/>
      <c r="AI869" s="142"/>
      <c r="AJ869" s="142"/>
      <c r="AK869" s="142"/>
      <c r="AL869" s="142"/>
      <c r="AM869" s="142"/>
      <c r="AN869" s="142"/>
      <c r="AO869" s="142"/>
      <c r="AP869" s="130"/>
      <c r="AQ869" s="130"/>
      <c r="AR869" s="130"/>
      <c r="AS869" s="130"/>
      <c r="AT869" s="130"/>
      <c r="AU869" s="130"/>
      <c r="AV869" s="130"/>
      <c r="AW869" s="130"/>
      <c r="AX869" s="130"/>
      <c r="AY869" s="130"/>
      <c r="AZ869" s="130"/>
      <c r="BA869" s="130"/>
      <c r="BB869" s="130"/>
      <c r="BC869" s="130"/>
      <c r="BD869" s="130"/>
    </row>
    <row r="870" ht="15.75" customHeight="1">
      <c r="A870" s="142"/>
      <c r="B870" s="142"/>
      <c r="C870" s="198"/>
      <c r="D870" s="142"/>
      <c r="E870" s="131"/>
      <c r="F870" s="142"/>
      <c r="G870" s="142"/>
      <c r="H870" s="131"/>
      <c r="I870" s="142"/>
      <c r="J870" s="142"/>
      <c r="K870" s="132"/>
      <c r="L870" s="131"/>
      <c r="M870" s="142"/>
      <c r="N870" s="142"/>
      <c r="O870" s="142"/>
      <c r="P870" s="142"/>
      <c r="Q870" s="142"/>
      <c r="R870" s="142"/>
      <c r="S870" s="142"/>
      <c r="T870" s="142"/>
      <c r="U870" s="142"/>
      <c r="V870" s="142"/>
      <c r="W870" s="142"/>
      <c r="X870" s="142"/>
      <c r="Y870" s="142"/>
      <c r="Z870" s="142"/>
      <c r="AA870" s="142"/>
      <c r="AB870" s="142"/>
      <c r="AC870" s="142"/>
      <c r="AD870" s="142"/>
      <c r="AE870" s="142"/>
      <c r="AF870" s="142"/>
      <c r="AG870" s="142"/>
      <c r="AH870" s="142"/>
      <c r="AI870" s="142"/>
      <c r="AJ870" s="142"/>
      <c r="AK870" s="142"/>
      <c r="AL870" s="142"/>
      <c r="AM870" s="142"/>
      <c r="AN870" s="142"/>
      <c r="AO870" s="142"/>
      <c r="AP870" s="130"/>
      <c r="AQ870" s="130"/>
      <c r="AR870" s="130"/>
      <c r="AS870" s="130"/>
      <c r="AT870" s="130"/>
      <c r="AU870" s="130"/>
      <c r="AV870" s="130"/>
      <c r="AW870" s="130"/>
      <c r="AX870" s="130"/>
      <c r="AY870" s="130"/>
      <c r="AZ870" s="130"/>
      <c r="BA870" s="130"/>
      <c r="BB870" s="130"/>
      <c r="BC870" s="130"/>
      <c r="BD870" s="130"/>
    </row>
    <row r="871" ht="15.75" customHeight="1">
      <c r="A871" s="142"/>
      <c r="B871" s="142"/>
      <c r="C871" s="198"/>
      <c r="D871" s="142"/>
      <c r="E871" s="131"/>
      <c r="F871" s="142"/>
      <c r="G871" s="142"/>
      <c r="H871" s="131"/>
      <c r="I871" s="142"/>
      <c r="J871" s="142"/>
      <c r="K871" s="132"/>
      <c r="L871" s="131"/>
      <c r="M871" s="142"/>
      <c r="N871" s="142"/>
      <c r="O871" s="142"/>
      <c r="P871" s="142"/>
      <c r="Q871" s="142"/>
      <c r="R871" s="142"/>
      <c r="S871" s="142"/>
      <c r="T871" s="142"/>
      <c r="U871" s="142"/>
      <c r="V871" s="142"/>
      <c r="W871" s="142"/>
      <c r="X871" s="142"/>
      <c r="Y871" s="142"/>
      <c r="Z871" s="142"/>
      <c r="AA871" s="142"/>
      <c r="AB871" s="142"/>
      <c r="AC871" s="142"/>
      <c r="AD871" s="142"/>
      <c r="AE871" s="142"/>
      <c r="AF871" s="142"/>
      <c r="AG871" s="142"/>
      <c r="AH871" s="142"/>
      <c r="AI871" s="142"/>
      <c r="AJ871" s="142"/>
      <c r="AK871" s="142"/>
      <c r="AL871" s="142"/>
      <c r="AM871" s="142"/>
      <c r="AN871" s="142"/>
      <c r="AO871" s="142"/>
      <c r="AP871" s="130"/>
      <c r="AQ871" s="130"/>
      <c r="AR871" s="130"/>
      <c r="AS871" s="130"/>
      <c r="AT871" s="130"/>
      <c r="AU871" s="130"/>
      <c r="AV871" s="130"/>
      <c r="AW871" s="130"/>
      <c r="AX871" s="130"/>
      <c r="AY871" s="130"/>
      <c r="AZ871" s="130"/>
      <c r="BA871" s="130"/>
      <c r="BB871" s="130"/>
      <c r="BC871" s="130"/>
      <c r="BD871" s="130"/>
    </row>
    <row r="872" ht="15.75" customHeight="1">
      <c r="A872" s="142"/>
      <c r="B872" s="142"/>
      <c r="C872" s="198"/>
      <c r="D872" s="142"/>
      <c r="E872" s="131"/>
      <c r="F872" s="142"/>
      <c r="G872" s="142"/>
      <c r="H872" s="131"/>
      <c r="I872" s="142"/>
      <c r="J872" s="142"/>
      <c r="K872" s="132"/>
      <c r="L872" s="131"/>
      <c r="M872" s="142"/>
      <c r="N872" s="142"/>
      <c r="O872" s="142"/>
      <c r="P872" s="142"/>
      <c r="Q872" s="142"/>
      <c r="R872" s="142"/>
      <c r="S872" s="142"/>
      <c r="T872" s="142"/>
      <c r="U872" s="142"/>
      <c r="V872" s="142"/>
      <c r="W872" s="142"/>
      <c r="X872" s="142"/>
      <c r="Y872" s="142"/>
      <c r="Z872" s="142"/>
      <c r="AA872" s="142"/>
      <c r="AB872" s="142"/>
      <c r="AC872" s="142"/>
      <c r="AD872" s="142"/>
      <c r="AE872" s="142"/>
      <c r="AF872" s="142"/>
      <c r="AG872" s="142"/>
      <c r="AH872" s="142"/>
      <c r="AI872" s="142"/>
      <c r="AJ872" s="142"/>
      <c r="AK872" s="142"/>
      <c r="AL872" s="142"/>
      <c r="AM872" s="142"/>
      <c r="AN872" s="142"/>
      <c r="AO872" s="142"/>
      <c r="AP872" s="130"/>
      <c r="AQ872" s="130"/>
      <c r="AR872" s="130"/>
      <c r="AS872" s="130"/>
      <c r="AT872" s="130"/>
      <c r="AU872" s="130"/>
      <c r="AV872" s="130"/>
      <c r="AW872" s="130"/>
      <c r="AX872" s="130"/>
      <c r="AY872" s="130"/>
      <c r="AZ872" s="130"/>
      <c r="BA872" s="130"/>
      <c r="BB872" s="130"/>
      <c r="BC872" s="130"/>
      <c r="BD872" s="130"/>
    </row>
    <row r="873" ht="15.75" customHeight="1">
      <c r="A873" s="142"/>
      <c r="B873" s="142"/>
      <c r="C873" s="198"/>
      <c r="D873" s="142"/>
      <c r="E873" s="131"/>
      <c r="F873" s="142"/>
      <c r="G873" s="142"/>
      <c r="H873" s="131"/>
      <c r="I873" s="142"/>
      <c r="J873" s="142"/>
      <c r="K873" s="132"/>
      <c r="L873" s="131"/>
      <c r="M873" s="142"/>
      <c r="N873" s="142"/>
      <c r="O873" s="142"/>
      <c r="P873" s="142"/>
      <c r="Q873" s="142"/>
      <c r="R873" s="142"/>
      <c r="S873" s="142"/>
      <c r="T873" s="142"/>
      <c r="U873" s="142"/>
      <c r="V873" s="142"/>
      <c r="W873" s="142"/>
      <c r="X873" s="142"/>
      <c r="Y873" s="142"/>
      <c r="Z873" s="142"/>
      <c r="AA873" s="142"/>
      <c r="AB873" s="142"/>
      <c r="AC873" s="142"/>
      <c r="AD873" s="142"/>
      <c r="AE873" s="142"/>
      <c r="AF873" s="142"/>
      <c r="AG873" s="142"/>
      <c r="AH873" s="142"/>
      <c r="AI873" s="142"/>
      <c r="AJ873" s="142"/>
      <c r="AK873" s="142"/>
      <c r="AL873" s="142"/>
      <c r="AM873" s="142"/>
      <c r="AN873" s="142"/>
      <c r="AO873" s="142"/>
      <c r="AP873" s="130"/>
      <c r="AQ873" s="130"/>
      <c r="AR873" s="130"/>
      <c r="AS873" s="130"/>
      <c r="AT873" s="130"/>
      <c r="AU873" s="130"/>
      <c r="AV873" s="130"/>
      <c r="AW873" s="130"/>
      <c r="AX873" s="130"/>
      <c r="AY873" s="130"/>
      <c r="AZ873" s="130"/>
      <c r="BA873" s="130"/>
      <c r="BB873" s="130"/>
      <c r="BC873" s="130"/>
      <c r="BD873" s="130"/>
    </row>
    <row r="874" ht="15.75" customHeight="1">
      <c r="A874" s="142"/>
      <c r="B874" s="142"/>
      <c r="C874" s="198"/>
      <c r="D874" s="142"/>
      <c r="E874" s="131"/>
      <c r="F874" s="142"/>
      <c r="G874" s="142"/>
      <c r="H874" s="131"/>
      <c r="I874" s="142"/>
      <c r="J874" s="142"/>
      <c r="K874" s="132"/>
      <c r="L874" s="131"/>
      <c r="M874" s="142"/>
      <c r="N874" s="142"/>
      <c r="O874" s="142"/>
      <c r="P874" s="142"/>
      <c r="Q874" s="142"/>
      <c r="R874" s="142"/>
      <c r="S874" s="142"/>
      <c r="T874" s="142"/>
      <c r="U874" s="142"/>
      <c r="V874" s="142"/>
      <c r="W874" s="142"/>
      <c r="X874" s="142"/>
      <c r="Y874" s="142"/>
      <c r="Z874" s="142"/>
      <c r="AA874" s="142"/>
      <c r="AB874" s="142"/>
      <c r="AC874" s="142"/>
      <c r="AD874" s="142"/>
      <c r="AE874" s="142"/>
      <c r="AF874" s="142"/>
      <c r="AG874" s="142"/>
      <c r="AH874" s="142"/>
      <c r="AI874" s="142"/>
      <c r="AJ874" s="142"/>
      <c r="AK874" s="142"/>
      <c r="AL874" s="142"/>
      <c r="AM874" s="142"/>
      <c r="AN874" s="142"/>
      <c r="AO874" s="142"/>
      <c r="AP874" s="130"/>
      <c r="AQ874" s="130"/>
      <c r="AR874" s="130"/>
      <c r="AS874" s="130"/>
      <c r="AT874" s="130"/>
      <c r="AU874" s="130"/>
      <c r="AV874" s="130"/>
      <c r="AW874" s="130"/>
      <c r="AX874" s="130"/>
      <c r="AY874" s="130"/>
      <c r="AZ874" s="130"/>
      <c r="BA874" s="130"/>
      <c r="BB874" s="130"/>
      <c r="BC874" s="130"/>
      <c r="BD874" s="130"/>
    </row>
    <row r="875" ht="15.75" customHeight="1">
      <c r="A875" s="142"/>
      <c r="B875" s="142"/>
      <c r="C875" s="198"/>
      <c r="D875" s="142"/>
      <c r="E875" s="131"/>
      <c r="F875" s="142"/>
      <c r="G875" s="142"/>
      <c r="H875" s="131"/>
      <c r="I875" s="142"/>
      <c r="J875" s="142"/>
      <c r="K875" s="132"/>
      <c r="L875" s="131"/>
      <c r="M875" s="142"/>
      <c r="N875" s="142"/>
      <c r="O875" s="142"/>
      <c r="P875" s="142"/>
      <c r="Q875" s="142"/>
      <c r="R875" s="142"/>
      <c r="S875" s="142"/>
      <c r="T875" s="142"/>
      <c r="U875" s="142"/>
      <c r="V875" s="142"/>
      <c r="W875" s="142"/>
      <c r="X875" s="142"/>
      <c r="Y875" s="142"/>
      <c r="Z875" s="142"/>
      <c r="AA875" s="142"/>
      <c r="AB875" s="142"/>
      <c r="AC875" s="142"/>
      <c r="AD875" s="142"/>
      <c r="AE875" s="142"/>
      <c r="AF875" s="142"/>
      <c r="AG875" s="142"/>
      <c r="AH875" s="142"/>
      <c r="AI875" s="142"/>
      <c r="AJ875" s="142"/>
      <c r="AK875" s="142"/>
      <c r="AL875" s="142"/>
      <c r="AM875" s="142"/>
      <c r="AN875" s="142"/>
      <c r="AO875" s="142"/>
      <c r="AP875" s="130"/>
      <c r="AQ875" s="130"/>
      <c r="AR875" s="130"/>
      <c r="AS875" s="130"/>
      <c r="AT875" s="130"/>
      <c r="AU875" s="130"/>
      <c r="AV875" s="130"/>
      <c r="AW875" s="130"/>
      <c r="AX875" s="130"/>
      <c r="AY875" s="130"/>
      <c r="AZ875" s="130"/>
      <c r="BA875" s="130"/>
      <c r="BB875" s="130"/>
      <c r="BC875" s="130"/>
      <c r="BD875" s="130"/>
    </row>
    <row r="876" ht="15.75" customHeight="1">
      <c r="A876" s="142"/>
      <c r="B876" s="142"/>
      <c r="C876" s="198"/>
      <c r="D876" s="142"/>
      <c r="E876" s="131"/>
      <c r="F876" s="142"/>
      <c r="G876" s="142"/>
      <c r="H876" s="131"/>
      <c r="I876" s="142"/>
      <c r="J876" s="142"/>
      <c r="K876" s="132"/>
      <c r="L876" s="131"/>
      <c r="M876" s="142"/>
      <c r="N876" s="142"/>
      <c r="O876" s="142"/>
      <c r="P876" s="142"/>
      <c r="Q876" s="142"/>
      <c r="R876" s="142"/>
      <c r="S876" s="142"/>
      <c r="T876" s="142"/>
      <c r="U876" s="142"/>
      <c r="V876" s="142"/>
      <c r="W876" s="142"/>
      <c r="X876" s="142"/>
      <c r="Y876" s="142"/>
      <c r="Z876" s="142"/>
      <c r="AA876" s="142"/>
      <c r="AB876" s="142"/>
      <c r="AC876" s="142"/>
      <c r="AD876" s="142"/>
      <c r="AE876" s="142"/>
      <c r="AF876" s="142"/>
      <c r="AG876" s="142"/>
      <c r="AH876" s="142"/>
      <c r="AI876" s="142"/>
      <c r="AJ876" s="142"/>
      <c r="AK876" s="142"/>
      <c r="AL876" s="142"/>
      <c r="AM876" s="142"/>
      <c r="AN876" s="142"/>
      <c r="AO876" s="142"/>
      <c r="AP876" s="130"/>
      <c r="AQ876" s="130"/>
      <c r="AR876" s="130"/>
      <c r="AS876" s="130"/>
      <c r="AT876" s="130"/>
      <c r="AU876" s="130"/>
      <c r="AV876" s="130"/>
      <c r="AW876" s="130"/>
      <c r="AX876" s="130"/>
      <c r="AY876" s="130"/>
      <c r="AZ876" s="130"/>
      <c r="BA876" s="130"/>
      <c r="BB876" s="130"/>
      <c r="BC876" s="130"/>
      <c r="BD876" s="130"/>
    </row>
    <row r="877" ht="15.75" customHeight="1">
      <c r="A877" s="142"/>
      <c r="B877" s="142"/>
      <c r="C877" s="198"/>
      <c r="D877" s="142"/>
      <c r="E877" s="131"/>
      <c r="F877" s="142"/>
      <c r="G877" s="142"/>
      <c r="H877" s="131"/>
      <c r="I877" s="142"/>
      <c r="J877" s="142"/>
      <c r="K877" s="132"/>
      <c r="L877" s="131"/>
      <c r="M877" s="142"/>
      <c r="N877" s="142"/>
      <c r="O877" s="142"/>
      <c r="P877" s="142"/>
      <c r="Q877" s="142"/>
      <c r="R877" s="142"/>
      <c r="S877" s="142"/>
      <c r="T877" s="142"/>
      <c r="U877" s="142"/>
      <c r="V877" s="142"/>
      <c r="W877" s="142"/>
      <c r="X877" s="142"/>
      <c r="Y877" s="142"/>
      <c r="Z877" s="142"/>
      <c r="AA877" s="142"/>
      <c r="AB877" s="142"/>
      <c r="AC877" s="142"/>
      <c r="AD877" s="142"/>
      <c r="AE877" s="142"/>
      <c r="AF877" s="142"/>
      <c r="AG877" s="142"/>
      <c r="AH877" s="142"/>
      <c r="AI877" s="142"/>
      <c r="AJ877" s="142"/>
      <c r="AK877" s="142"/>
      <c r="AL877" s="142"/>
      <c r="AM877" s="142"/>
      <c r="AN877" s="142"/>
      <c r="AO877" s="142"/>
      <c r="AP877" s="130"/>
      <c r="AQ877" s="130"/>
      <c r="AR877" s="130"/>
      <c r="AS877" s="130"/>
      <c r="AT877" s="130"/>
      <c r="AU877" s="130"/>
      <c r="AV877" s="130"/>
      <c r="AW877" s="130"/>
      <c r="AX877" s="130"/>
      <c r="AY877" s="130"/>
      <c r="AZ877" s="130"/>
      <c r="BA877" s="130"/>
      <c r="BB877" s="130"/>
      <c r="BC877" s="130"/>
      <c r="BD877" s="130"/>
    </row>
    <row r="878" ht="15.75" customHeight="1">
      <c r="A878" s="142"/>
      <c r="B878" s="142"/>
      <c r="C878" s="198"/>
      <c r="D878" s="142"/>
      <c r="E878" s="131"/>
      <c r="F878" s="142"/>
      <c r="G878" s="142"/>
      <c r="H878" s="131"/>
      <c r="I878" s="142"/>
      <c r="J878" s="142"/>
      <c r="K878" s="132"/>
      <c r="L878" s="131"/>
      <c r="M878" s="142"/>
      <c r="N878" s="142"/>
      <c r="O878" s="142"/>
      <c r="P878" s="142"/>
      <c r="Q878" s="142"/>
      <c r="R878" s="142"/>
      <c r="S878" s="142"/>
      <c r="T878" s="142"/>
      <c r="U878" s="142"/>
      <c r="V878" s="142"/>
      <c r="W878" s="142"/>
      <c r="X878" s="142"/>
      <c r="Y878" s="142"/>
      <c r="Z878" s="142"/>
      <c r="AA878" s="142"/>
      <c r="AB878" s="142"/>
      <c r="AC878" s="142"/>
      <c r="AD878" s="142"/>
      <c r="AE878" s="142"/>
      <c r="AF878" s="142"/>
      <c r="AG878" s="142"/>
      <c r="AH878" s="142"/>
      <c r="AI878" s="142"/>
      <c r="AJ878" s="142"/>
      <c r="AK878" s="142"/>
      <c r="AL878" s="142"/>
      <c r="AM878" s="142"/>
      <c r="AN878" s="142"/>
      <c r="AO878" s="142"/>
      <c r="AP878" s="130"/>
      <c r="AQ878" s="130"/>
      <c r="AR878" s="130"/>
      <c r="AS878" s="130"/>
      <c r="AT878" s="130"/>
      <c r="AU878" s="130"/>
      <c r="AV878" s="130"/>
      <c r="AW878" s="130"/>
      <c r="AX878" s="130"/>
      <c r="AY878" s="130"/>
      <c r="AZ878" s="130"/>
      <c r="BA878" s="130"/>
      <c r="BB878" s="130"/>
      <c r="BC878" s="130"/>
      <c r="BD878" s="130"/>
    </row>
    <row r="879" ht="15.75" customHeight="1">
      <c r="A879" s="142"/>
      <c r="B879" s="142"/>
      <c r="C879" s="198"/>
      <c r="D879" s="142"/>
      <c r="E879" s="131"/>
      <c r="F879" s="142"/>
      <c r="G879" s="142"/>
      <c r="H879" s="131"/>
      <c r="I879" s="142"/>
      <c r="J879" s="142"/>
      <c r="K879" s="132"/>
      <c r="L879" s="131"/>
      <c r="M879" s="142"/>
      <c r="N879" s="142"/>
      <c r="O879" s="142"/>
      <c r="P879" s="142"/>
      <c r="Q879" s="142"/>
      <c r="R879" s="142"/>
      <c r="S879" s="142"/>
      <c r="T879" s="142"/>
      <c r="U879" s="142"/>
      <c r="V879" s="142"/>
      <c r="W879" s="142"/>
      <c r="X879" s="142"/>
      <c r="Y879" s="142"/>
      <c r="Z879" s="142"/>
      <c r="AA879" s="142"/>
      <c r="AB879" s="142"/>
      <c r="AC879" s="142"/>
      <c r="AD879" s="142"/>
      <c r="AE879" s="142"/>
      <c r="AF879" s="142"/>
      <c r="AG879" s="142"/>
      <c r="AH879" s="142"/>
      <c r="AI879" s="142"/>
      <c r="AJ879" s="142"/>
      <c r="AK879" s="142"/>
      <c r="AL879" s="142"/>
      <c r="AM879" s="142"/>
      <c r="AN879" s="142"/>
      <c r="AO879" s="142"/>
      <c r="AP879" s="130"/>
      <c r="AQ879" s="130"/>
      <c r="AR879" s="130"/>
      <c r="AS879" s="130"/>
      <c r="AT879" s="130"/>
      <c r="AU879" s="130"/>
      <c r="AV879" s="130"/>
      <c r="AW879" s="130"/>
      <c r="AX879" s="130"/>
      <c r="AY879" s="130"/>
      <c r="AZ879" s="130"/>
      <c r="BA879" s="130"/>
      <c r="BB879" s="130"/>
      <c r="BC879" s="130"/>
      <c r="BD879" s="130"/>
    </row>
    <row r="880" ht="15.75" customHeight="1">
      <c r="A880" s="142"/>
      <c r="B880" s="142"/>
      <c r="C880" s="198"/>
      <c r="D880" s="142"/>
      <c r="E880" s="131"/>
      <c r="F880" s="142"/>
      <c r="G880" s="142"/>
      <c r="H880" s="131"/>
      <c r="I880" s="142"/>
      <c r="J880" s="142"/>
      <c r="K880" s="132"/>
      <c r="L880" s="131"/>
      <c r="M880" s="142"/>
      <c r="N880" s="142"/>
      <c r="O880" s="142"/>
      <c r="P880" s="142"/>
      <c r="Q880" s="142"/>
      <c r="R880" s="142"/>
      <c r="S880" s="142"/>
      <c r="T880" s="142"/>
      <c r="U880" s="142"/>
      <c r="V880" s="142"/>
      <c r="W880" s="142"/>
      <c r="X880" s="142"/>
      <c r="Y880" s="142"/>
      <c r="Z880" s="142"/>
      <c r="AA880" s="142"/>
      <c r="AB880" s="142"/>
      <c r="AC880" s="142"/>
      <c r="AD880" s="142"/>
      <c r="AE880" s="142"/>
      <c r="AF880" s="142"/>
      <c r="AG880" s="142"/>
      <c r="AH880" s="142"/>
      <c r="AI880" s="142"/>
      <c r="AJ880" s="142"/>
      <c r="AK880" s="142"/>
      <c r="AL880" s="142"/>
      <c r="AM880" s="142"/>
      <c r="AN880" s="142"/>
      <c r="AO880" s="142"/>
      <c r="AP880" s="130"/>
      <c r="AQ880" s="130"/>
      <c r="AR880" s="130"/>
      <c r="AS880" s="130"/>
      <c r="AT880" s="130"/>
      <c r="AU880" s="130"/>
      <c r="AV880" s="130"/>
      <c r="AW880" s="130"/>
      <c r="AX880" s="130"/>
      <c r="AY880" s="130"/>
      <c r="AZ880" s="130"/>
      <c r="BA880" s="130"/>
      <c r="BB880" s="130"/>
      <c r="BC880" s="130"/>
      <c r="BD880" s="130"/>
    </row>
    <row r="881" ht="15.75" customHeight="1">
      <c r="A881" s="142"/>
      <c r="B881" s="142"/>
      <c r="C881" s="198"/>
      <c r="D881" s="142"/>
      <c r="E881" s="131"/>
      <c r="F881" s="142"/>
      <c r="G881" s="142"/>
      <c r="H881" s="131"/>
      <c r="I881" s="142"/>
      <c r="J881" s="142"/>
      <c r="K881" s="132"/>
      <c r="L881" s="131"/>
      <c r="M881" s="142"/>
      <c r="N881" s="142"/>
      <c r="O881" s="142"/>
      <c r="P881" s="142"/>
      <c r="Q881" s="142"/>
      <c r="R881" s="142"/>
      <c r="S881" s="142"/>
      <c r="T881" s="142"/>
      <c r="U881" s="142"/>
      <c r="V881" s="142"/>
      <c r="W881" s="142"/>
      <c r="X881" s="142"/>
      <c r="Y881" s="142"/>
      <c r="Z881" s="142"/>
      <c r="AA881" s="142"/>
      <c r="AB881" s="142"/>
      <c r="AC881" s="142"/>
      <c r="AD881" s="142"/>
      <c r="AE881" s="142"/>
      <c r="AF881" s="142"/>
      <c r="AG881" s="142"/>
      <c r="AH881" s="142"/>
      <c r="AI881" s="142"/>
      <c r="AJ881" s="142"/>
      <c r="AK881" s="142"/>
      <c r="AL881" s="142"/>
      <c r="AM881" s="142"/>
      <c r="AN881" s="142"/>
      <c r="AO881" s="142"/>
      <c r="AP881" s="130"/>
      <c r="AQ881" s="130"/>
      <c r="AR881" s="130"/>
      <c r="AS881" s="130"/>
      <c r="AT881" s="130"/>
      <c r="AU881" s="130"/>
      <c r="AV881" s="130"/>
      <c r="AW881" s="130"/>
      <c r="AX881" s="130"/>
      <c r="AY881" s="130"/>
      <c r="AZ881" s="130"/>
      <c r="BA881" s="130"/>
      <c r="BB881" s="130"/>
      <c r="BC881" s="130"/>
      <c r="BD881" s="130"/>
    </row>
    <row r="882" ht="15.75" customHeight="1">
      <c r="A882" s="142"/>
      <c r="B882" s="142"/>
      <c r="C882" s="198"/>
      <c r="D882" s="142"/>
      <c r="E882" s="131"/>
      <c r="F882" s="142"/>
      <c r="G882" s="142"/>
      <c r="H882" s="131"/>
      <c r="I882" s="142"/>
      <c r="J882" s="142"/>
      <c r="K882" s="132"/>
      <c r="L882" s="131"/>
      <c r="M882" s="142"/>
      <c r="N882" s="142"/>
      <c r="O882" s="142"/>
      <c r="P882" s="142"/>
      <c r="Q882" s="142"/>
      <c r="R882" s="142"/>
      <c r="S882" s="142"/>
      <c r="T882" s="142"/>
      <c r="U882" s="142"/>
      <c r="V882" s="142"/>
      <c r="W882" s="142"/>
      <c r="X882" s="142"/>
      <c r="Y882" s="142"/>
      <c r="Z882" s="142"/>
      <c r="AA882" s="142"/>
      <c r="AB882" s="142"/>
      <c r="AC882" s="142"/>
      <c r="AD882" s="142"/>
      <c r="AE882" s="142"/>
      <c r="AF882" s="142"/>
      <c r="AG882" s="142"/>
      <c r="AH882" s="142"/>
      <c r="AI882" s="142"/>
      <c r="AJ882" s="142"/>
      <c r="AK882" s="142"/>
      <c r="AL882" s="142"/>
      <c r="AM882" s="142"/>
      <c r="AN882" s="142"/>
      <c r="AO882" s="142"/>
      <c r="AP882" s="130"/>
      <c r="AQ882" s="130"/>
      <c r="AR882" s="130"/>
      <c r="AS882" s="130"/>
      <c r="AT882" s="130"/>
      <c r="AU882" s="130"/>
      <c r="AV882" s="130"/>
      <c r="AW882" s="130"/>
      <c r="AX882" s="130"/>
      <c r="AY882" s="130"/>
      <c r="AZ882" s="130"/>
      <c r="BA882" s="130"/>
      <c r="BB882" s="130"/>
      <c r="BC882" s="130"/>
      <c r="BD882" s="130"/>
    </row>
    <row r="883" ht="15.75" customHeight="1">
      <c r="A883" s="142"/>
      <c r="B883" s="142"/>
      <c r="C883" s="198"/>
      <c r="D883" s="142"/>
      <c r="E883" s="131"/>
      <c r="F883" s="142"/>
      <c r="G883" s="142"/>
      <c r="H883" s="131"/>
      <c r="I883" s="142"/>
      <c r="J883" s="142"/>
      <c r="K883" s="132"/>
      <c r="L883" s="131"/>
      <c r="M883" s="142"/>
      <c r="N883" s="142"/>
      <c r="O883" s="142"/>
      <c r="P883" s="142"/>
      <c r="Q883" s="142"/>
      <c r="R883" s="142"/>
      <c r="S883" s="142"/>
      <c r="T883" s="142"/>
      <c r="U883" s="142"/>
      <c r="V883" s="142"/>
      <c r="W883" s="142"/>
      <c r="X883" s="142"/>
      <c r="Y883" s="142"/>
      <c r="Z883" s="142"/>
      <c r="AA883" s="142"/>
      <c r="AB883" s="142"/>
      <c r="AC883" s="142"/>
      <c r="AD883" s="142"/>
      <c r="AE883" s="142"/>
      <c r="AF883" s="142"/>
      <c r="AG883" s="142"/>
      <c r="AH883" s="142"/>
      <c r="AI883" s="142"/>
      <c r="AJ883" s="142"/>
      <c r="AK883" s="142"/>
      <c r="AL883" s="142"/>
      <c r="AM883" s="142"/>
      <c r="AN883" s="142"/>
      <c r="AO883" s="142"/>
      <c r="AP883" s="130"/>
      <c r="AQ883" s="130"/>
      <c r="AR883" s="130"/>
      <c r="AS883" s="130"/>
      <c r="AT883" s="130"/>
      <c r="AU883" s="130"/>
      <c r="AV883" s="130"/>
      <c r="AW883" s="130"/>
      <c r="AX883" s="130"/>
      <c r="AY883" s="130"/>
      <c r="AZ883" s="130"/>
      <c r="BA883" s="130"/>
      <c r="BB883" s="130"/>
      <c r="BC883" s="130"/>
      <c r="BD883" s="130"/>
    </row>
    <row r="884" ht="15.75" customHeight="1">
      <c r="A884" s="142"/>
      <c r="B884" s="142"/>
      <c r="C884" s="198"/>
      <c r="D884" s="142"/>
      <c r="E884" s="131"/>
      <c r="F884" s="142"/>
      <c r="G884" s="142"/>
      <c r="H884" s="131"/>
      <c r="I884" s="142"/>
      <c r="J884" s="142"/>
      <c r="K884" s="132"/>
      <c r="L884" s="131"/>
      <c r="M884" s="142"/>
      <c r="N884" s="142"/>
      <c r="O884" s="142"/>
      <c r="P884" s="142"/>
      <c r="Q884" s="142"/>
      <c r="R884" s="142"/>
      <c r="S884" s="142"/>
      <c r="T884" s="142"/>
      <c r="U884" s="142"/>
      <c r="V884" s="142"/>
      <c r="W884" s="142"/>
      <c r="X884" s="142"/>
      <c r="Y884" s="142"/>
      <c r="Z884" s="142"/>
      <c r="AA884" s="142"/>
      <c r="AB884" s="142"/>
      <c r="AC884" s="142"/>
      <c r="AD884" s="142"/>
      <c r="AE884" s="142"/>
      <c r="AF884" s="142"/>
      <c r="AG884" s="142"/>
      <c r="AH884" s="142"/>
      <c r="AI884" s="142"/>
      <c r="AJ884" s="142"/>
      <c r="AK884" s="142"/>
      <c r="AL884" s="142"/>
      <c r="AM884" s="142"/>
      <c r="AN884" s="142"/>
      <c r="AO884" s="142"/>
      <c r="AP884" s="130"/>
      <c r="AQ884" s="130"/>
      <c r="AR884" s="130"/>
      <c r="AS884" s="130"/>
      <c r="AT884" s="130"/>
      <c r="AU884" s="130"/>
      <c r="AV884" s="130"/>
      <c r="AW884" s="130"/>
      <c r="AX884" s="130"/>
      <c r="AY884" s="130"/>
      <c r="AZ884" s="130"/>
      <c r="BA884" s="130"/>
      <c r="BB884" s="130"/>
      <c r="BC884" s="130"/>
      <c r="BD884" s="130"/>
    </row>
    <row r="885" ht="15.75" customHeight="1">
      <c r="A885" s="142"/>
      <c r="B885" s="142"/>
      <c r="C885" s="198"/>
      <c r="D885" s="142"/>
      <c r="E885" s="131"/>
      <c r="F885" s="142"/>
      <c r="G885" s="142"/>
      <c r="H885" s="131"/>
      <c r="I885" s="142"/>
      <c r="J885" s="142"/>
      <c r="K885" s="132"/>
      <c r="L885" s="131"/>
      <c r="M885" s="142"/>
      <c r="N885" s="142"/>
      <c r="O885" s="142"/>
      <c r="P885" s="142"/>
      <c r="Q885" s="142"/>
      <c r="R885" s="142"/>
      <c r="S885" s="142"/>
      <c r="T885" s="142"/>
      <c r="U885" s="142"/>
      <c r="V885" s="142"/>
      <c r="W885" s="142"/>
      <c r="X885" s="142"/>
      <c r="Y885" s="142"/>
      <c r="Z885" s="142"/>
      <c r="AA885" s="142"/>
      <c r="AB885" s="142"/>
      <c r="AC885" s="142"/>
      <c r="AD885" s="142"/>
      <c r="AE885" s="142"/>
      <c r="AF885" s="142"/>
      <c r="AG885" s="142"/>
      <c r="AH885" s="142"/>
      <c r="AI885" s="142"/>
      <c r="AJ885" s="142"/>
      <c r="AK885" s="142"/>
      <c r="AL885" s="142"/>
      <c r="AM885" s="142"/>
      <c r="AN885" s="142"/>
      <c r="AO885" s="142"/>
      <c r="AP885" s="130"/>
      <c r="AQ885" s="130"/>
      <c r="AR885" s="130"/>
      <c r="AS885" s="130"/>
      <c r="AT885" s="130"/>
      <c r="AU885" s="130"/>
      <c r="AV885" s="130"/>
      <c r="AW885" s="130"/>
      <c r="AX885" s="130"/>
      <c r="AY885" s="130"/>
      <c r="AZ885" s="130"/>
      <c r="BA885" s="130"/>
      <c r="BB885" s="130"/>
      <c r="BC885" s="130"/>
      <c r="BD885" s="130"/>
    </row>
    <row r="886" ht="15.75" customHeight="1">
      <c r="A886" s="142"/>
      <c r="B886" s="142"/>
      <c r="C886" s="198"/>
      <c r="D886" s="142"/>
      <c r="E886" s="131"/>
      <c r="F886" s="142"/>
      <c r="G886" s="142"/>
      <c r="H886" s="131"/>
      <c r="I886" s="142"/>
      <c r="J886" s="142"/>
      <c r="K886" s="132"/>
      <c r="L886" s="131"/>
      <c r="M886" s="142"/>
      <c r="N886" s="142"/>
      <c r="O886" s="142"/>
      <c r="P886" s="142"/>
      <c r="Q886" s="142"/>
      <c r="R886" s="142"/>
      <c r="S886" s="142"/>
      <c r="T886" s="142"/>
      <c r="U886" s="142"/>
      <c r="V886" s="142"/>
      <c r="W886" s="142"/>
      <c r="X886" s="142"/>
      <c r="Y886" s="142"/>
      <c r="Z886" s="142"/>
      <c r="AA886" s="142"/>
      <c r="AB886" s="142"/>
      <c r="AC886" s="142"/>
      <c r="AD886" s="142"/>
      <c r="AE886" s="142"/>
      <c r="AF886" s="142"/>
      <c r="AG886" s="142"/>
      <c r="AH886" s="142"/>
      <c r="AI886" s="142"/>
      <c r="AJ886" s="142"/>
      <c r="AK886" s="142"/>
      <c r="AL886" s="142"/>
      <c r="AM886" s="142"/>
      <c r="AN886" s="142"/>
      <c r="AO886" s="142"/>
      <c r="AP886" s="130"/>
      <c r="AQ886" s="130"/>
      <c r="AR886" s="130"/>
      <c r="AS886" s="130"/>
      <c r="AT886" s="130"/>
      <c r="AU886" s="130"/>
      <c r="AV886" s="130"/>
      <c r="AW886" s="130"/>
      <c r="AX886" s="130"/>
      <c r="AY886" s="130"/>
      <c r="AZ886" s="130"/>
      <c r="BA886" s="130"/>
      <c r="BB886" s="130"/>
      <c r="BC886" s="130"/>
      <c r="BD886" s="130"/>
    </row>
    <row r="887" ht="15.75" customHeight="1">
      <c r="A887" s="142"/>
      <c r="B887" s="142"/>
      <c r="C887" s="198"/>
      <c r="D887" s="142"/>
      <c r="E887" s="131"/>
      <c r="F887" s="142"/>
      <c r="G887" s="142"/>
      <c r="H887" s="131"/>
      <c r="I887" s="142"/>
      <c r="J887" s="142"/>
      <c r="K887" s="132"/>
      <c r="L887" s="131"/>
      <c r="M887" s="142"/>
      <c r="N887" s="142"/>
      <c r="O887" s="142"/>
      <c r="P887" s="142"/>
      <c r="Q887" s="142"/>
      <c r="R887" s="142"/>
      <c r="S887" s="142"/>
      <c r="T887" s="142"/>
      <c r="U887" s="142"/>
      <c r="V887" s="142"/>
      <c r="W887" s="142"/>
      <c r="X887" s="142"/>
      <c r="Y887" s="142"/>
      <c r="Z887" s="142"/>
      <c r="AA887" s="142"/>
      <c r="AB887" s="142"/>
      <c r="AC887" s="142"/>
      <c r="AD887" s="142"/>
      <c r="AE887" s="142"/>
      <c r="AF887" s="142"/>
      <c r="AG887" s="142"/>
      <c r="AH887" s="142"/>
      <c r="AI887" s="142"/>
      <c r="AJ887" s="142"/>
      <c r="AK887" s="142"/>
      <c r="AL887" s="142"/>
      <c r="AM887" s="142"/>
      <c r="AN887" s="142"/>
      <c r="AO887" s="142"/>
      <c r="AP887" s="130"/>
      <c r="AQ887" s="130"/>
      <c r="AR887" s="130"/>
      <c r="AS887" s="130"/>
      <c r="AT887" s="130"/>
      <c r="AU887" s="130"/>
      <c r="AV887" s="130"/>
      <c r="AW887" s="130"/>
      <c r="AX887" s="130"/>
      <c r="AY887" s="130"/>
      <c r="AZ887" s="130"/>
      <c r="BA887" s="130"/>
      <c r="BB887" s="130"/>
      <c r="BC887" s="130"/>
      <c r="BD887" s="130"/>
    </row>
    <row r="888" ht="15.75" customHeight="1">
      <c r="A888" s="142"/>
      <c r="B888" s="142"/>
      <c r="C888" s="198"/>
      <c r="D888" s="142"/>
      <c r="E888" s="131"/>
      <c r="F888" s="142"/>
      <c r="G888" s="142"/>
      <c r="H888" s="131"/>
      <c r="I888" s="142"/>
      <c r="J888" s="142"/>
      <c r="K888" s="132"/>
      <c r="L888" s="131"/>
      <c r="M888" s="142"/>
      <c r="N888" s="142"/>
      <c r="O888" s="142"/>
      <c r="P888" s="142"/>
      <c r="Q888" s="142"/>
      <c r="R888" s="142"/>
      <c r="S888" s="142"/>
      <c r="T888" s="142"/>
      <c r="U888" s="142"/>
      <c r="V888" s="142"/>
      <c r="W888" s="142"/>
      <c r="X888" s="142"/>
      <c r="Y888" s="142"/>
      <c r="Z888" s="142"/>
      <c r="AA888" s="142"/>
      <c r="AB888" s="142"/>
      <c r="AC888" s="142"/>
      <c r="AD888" s="142"/>
      <c r="AE888" s="142"/>
      <c r="AF888" s="142"/>
      <c r="AG888" s="142"/>
      <c r="AH888" s="142"/>
      <c r="AI888" s="142"/>
      <c r="AJ888" s="142"/>
      <c r="AK888" s="142"/>
      <c r="AL888" s="142"/>
      <c r="AM888" s="142"/>
      <c r="AN888" s="142"/>
      <c r="AO888" s="142"/>
      <c r="AP888" s="130"/>
      <c r="AQ888" s="130"/>
      <c r="AR888" s="130"/>
      <c r="AS888" s="130"/>
      <c r="AT888" s="130"/>
      <c r="AU888" s="130"/>
      <c r="AV888" s="130"/>
      <c r="AW888" s="130"/>
      <c r="AX888" s="130"/>
      <c r="AY888" s="130"/>
      <c r="AZ888" s="130"/>
      <c r="BA888" s="130"/>
      <c r="BB888" s="130"/>
      <c r="BC888" s="130"/>
      <c r="BD888" s="130"/>
    </row>
    <row r="889" ht="15.75" customHeight="1">
      <c r="A889" s="142"/>
      <c r="B889" s="142"/>
      <c r="C889" s="198"/>
      <c r="D889" s="142"/>
      <c r="E889" s="131"/>
      <c r="F889" s="142"/>
      <c r="G889" s="142"/>
      <c r="H889" s="131"/>
      <c r="I889" s="142"/>
      <c r="J889" s="142"/>
      <c r="K889" s="132"/>
      <c r="L889" s="131"/>
      <c r="M889" s="142"/>
      <c r="N889" s="142"/>
      <c r="O889" s="142"/>
      <c r="P889" s="142"/>
      <c r="Q889" s="142"/>
      <c r="R889" s="142"/>
      <c r="S889" s="142"/>
      <c r="T889" s="142"/>
      <c r="U889" s="142"/>
      <c r="V889" s="142"/>
      <c r="W889" s="142"/>
      <c r="X889" s="142"/>
      <c r="Y889" s="142"/>
      <c r="Z889" s="142"/>
      <c r="AA889" s="142"/>
      <c r="AB889" s="142"/>
      <c r="AC889" s="142"/>
      <c r="AD889" s="142"/>
      <c r="AE889" s="142"/>
      <c r="AF889" s="142"/>
      <c r="AG889" s="142"/>
      <c r="AH889" s="142"/>
      <c r="AI889" s="142"/>
      <c r="AJ889" s="142"/>
      <c r="AK889" s="142"/>
      <c r="AL889" s="142"/>
      <c r="AM889" s="142"/>
      <c r="AN889" s="142"/>
      <c r="AO889" s="142"/>
      <c r="AP889" s="130"/>
      <c r="AQ889" s="130"/>
      <c r="AR889" s="130"/>
      <c r="AS889" s="130"/>
      <c r="AT889" s="130"/>
      <c r="AU889" s="130"/>
      <c r="AV889" s="130"/>
      <c r="AW889" s="130"/>
      <c r="AX889" s="130"/>
      <c r="AY889" s="130"/>
      <c r="AZ889" s="130"/>
      <c r="BA889" s="130"/>
      <c r="BB889" s="130"/>
      <c r="BC889" s="130"/>
      <c r="BD889" s="130"/>
    </row>
    <row r="890" ht="15.75" customHeight="1">
      <c r="A890" s="142"/>
      <c r="B890" s="142"/>
      <c r="C890" s="198"/>
      <c r="D890" s="142"/>
      <c r="E890" s="131"/>
      <c r="F890" s="142"/>
      <c r="G890" s="142"/>
      <c r="H890" s="131"/>
      <c r="I890" s="142"/>
      <c r="J890" s="142"/>
      <c r="K890" s="132"/>
      <c r="L890" s="131"/>
      <c r="M890" s="142"/>
      <c r="N890" s="142"/>
      <c r="O890" s="142"/>
      <c r="P890" s="142"/>
      <c r="Q890" s="142"/>
      <c r="R890" s="142"/>
      <c r="S890" s="142"/>
      <c r="T890" s="142"/>
      <c r="U890" s="142"/>
      <c r="V890" s="142"/>
      <c r="W890" s="142"/>
      <c r="X890" s="142"/>
      <c r="Y890" s="142"/>
      <c r="Z890" s="142"/>
      <c r="AA890" s="142"/>
      <c r="AB890" s="142"/>
      <c r="AC890" s="142"/>
      <c r="AD890" s="142"/>
      <c r="AE890" s="142"/>
      <c r="AF890" s="142"/>
      <c r="AG890" s="142"/>
      <c r="AH890" s="142"/>
      <c r="AI890" s="142"/>
      <c r="AJ890" s="142"/>
      <c r="AK890" s="142"/>
      <c r="AL890" s="142"/>
      <c r="AM890" s="142"/>
      <c r="AN890" s="142"/>
      <c r="AO890" s="142"/>
      <c r="AP890" s="130"/>
      <c r="AQ890" s="130"/>
      <c r="AR890" s="130"/>
      <c r="AS890" s="130"/>
      <c r="AT890" s="130"/>
      <c r="AU890" s="130"/>
      <c r="AV890" s="130"/>
      <c r="AW890" s="130"/>
      <c r="AX890" s="130"/>
      <c r="AY890" s="130"/>
      <c r="AZ890" s="130"/>
      <c r="BA890" s="130"/>
      <c r="BB890" s="130"/>
      <c r="BC890" s="130"/>
      <c r="BD890" s="130"/>
    </row>
    <row r="891" ht="15.75" customHeight="1">
      <c r="A891" s="142"/>
      <c r="B891" s="142"/>
      <c r="C891" s="198"/>
      <c r="D891" s="142"/>
      <c r="E891" s="131"/>
      <c r="F891" s="142"/>
      <c r="G891" s="142"/>
      <c r="H891" s="131"/>
      <c r="I891" s="142"/>
      <c r="J891" s="142"/>
      <c r="K891" s="132"/>
      <c r="L891" s="131"/>
      <c r="M891" s="142"/>
      <c r="N891" s="142"/>
      <c r="O891" s="142"/>
      <c r="P891" s="142"/>
      <c r="Q891" s="142"/>
      <c r="R891" s="142"/>
      <c r="S891" s="142"/>
      <c r="T891" s="142"/>
      <c r="U891" s="142"/>
      <c r="V891" s="142"/>
      <c r="W891" s="142"/>
      <c r="X891" s="142"/>
      <c r="Y891" s="142"/>
      <c r="Z891" s="142"/>
      <c r="AA891" s="142"/>
      <c r="AB891" s="142"/>
      <c r="AC891" s="142"/>
      <c r="AD891" s="142"/>
      <c r="AE891" s="142"/>
      <c r="AF891" s="142"/>
      <c r="AG891" s="142"/>
      <c r="AH891" s="142"/>
      <c r="AI891" s="142"/>
      <c r="AJ891" s="142"/>
      <c r="AK891" s="142"/>
      <c r="AL891" s="142"/>
      <c r="AM891" s="142"/>
      <c r="AN891" s="142"/>
      <c r="AO891" s="142"/>
      <c r="AP891" s="130"/>
      <c r="AQ891" s="130"/>
      <c r="AR891" s="130"/>
      <c r="AS891" s="130"/>
      <c r="AT891" s="130"/>
      <c r="AU891" s="130"/>
      <c r="AV891" s="130"/>
      <c r="AW891" s="130"/>
      <c r="AX891" s="130"/>
      <c r="AY891" s="130"/>
      <c r="AZ891" s="130"/>
      <c r="BA891" s="130"/>
      <c r="BB891" s="130"/>
      <c r="BC891" s="130"/>
      <c r="BD891" s="130"/>
    </row>
    <row r="892" ht="15.75" customHeight="1">
      <c r="A892" s="142"/>
      <c r="B892" s="142"/>
      <c r="C892" s="198"/>
      <c r="D892" s="142"/>
      <c r="E892" s="131"/>
      <c r="F892" s="142"/>
      <c r="G892" s="142"/>
      <c r="H892" s="131"/>
      <c r="I892" s="142"/>
      <c r="J892" s="142"/>
      <c r="K892" s="132"/>
      <c r="L892" s="131"/>
      <c r="M892" s="142"/>
      <c r="N892" s="142"/>
      <c r="O892" s="142"/>
      <c r="P892" s="142"/>
      <c r="Q892" s="142"/>
      <c r="R892" s="142"/>
      <c r="S892" s="142"/>
      <c r="T892" s="142"/>
      <c r="U892" s="142"/>
      <c r="V892" s="142"/>
      <c r="W892" s="142"/>
      <c r="X892" s="142"/>
      <c r="Y892" s="142"/>
      <c r="Z892" s="142"/>
      <c r="AA892" s="142"/>
      <c r="AB892" s="142"/>
      <c r="AC892" s="142"/>
      <c r="AD892" s="142"/>
      <c r="AE892" s="142"/>
      <c r="AF892" s="142"/>
      <c r="AG892" s="142"/>
      <c r="AH892" s="142"/>
      <c r="AI892" s="142"/>
      <c r="AJ892" s="142"/>
      <c r="AK892" s="142"/>
      <c r="AL892" s="142"/>
      <c r="AM892" s="142"/>
      <c r="AN892" s="142"/>
      <c r="AO892" s="142"/>
      <c r="AP892" s="130"/>
      <c r="AQ892" s="130"/>
      <c r="AR892" s="130"/>
      <c r="AS892" s="130"/>
      <c r="AT892" s="130"/>
      <c r="AU892" s="130"/>
      <c r="AV892" s="130"/>
      <c r="AW892" s="130"/>
      <c r="AX892" s="130"/>
      <c r="AY892" s="130"/>
      <c r="AZ892" s="130"/>
      <c r="BA892" s="130"/>
      <c r="BB892" s="130"/>
      <c r="BC892" s="130"/>
      <c r="BD892" s="130"/>
    </row>
    <row r="893" ht="15.75" customHeight="1">
      <c r="A893" s="142"/>
      <c r="B893" s="142"/>
      <c r="C893" s="198"/>
      <c r="D893" s="142"/>
      <c r="E893" s="131"/>
      <c r="F893" s="142"/>
      <c r="G893" s="142"/>
      <c r="H893" s="131"/>
      <c r="I893" s="142"/>
      <c r="J893" s="142"/>
      <c r="K893" s="132"/>
      <c r="L893" s="131"/>
      <c r="M893" s="142"/>
      <c r="N893" s="142"/>
      <c r="O893" s="142"/>
      <c r="P893" s="142"/>
      <c r="Q893" s="142"/>
      <c r="R893" s="142"/>
      <c r="S893" s="142"/>
      <c r="T893" s="142"/>
      <c r="U893" s="142"/>
      <c r="V893" s="142"/>
      <c r="W893" s="142"/>
      <c r="X893" s="142"/>
      <c r="Y893" s="142"/>
      <c r="Z893" s="142"/>
      <c r="AA893" s="142"/>
      <c r="AB893" s="142"/>
      <c r="AC893" s="142"/>
      <c r="AD893" s="142"/>
      <c r="AE893" s="142"/>
      <c r="AF893" s="142"/>
      <c r="AG893" s="142"/>
      <c r="AH893" s="142"/>
      <c r="AI893" s="142"/>
      <c r="AJ893" s="142"/>
      <c r="AK893" s="142"/>
      <c r="AL893" s="142"/>
      <c r="AM893" s="142"/>
      <c r="AN893" s="142"/>
      <c r="AO893" s="142"/>
      <c r="AP893" s="130"/>
      <c r="AQ893" s="130"/>
      <c r="AR893" s="130"/>
      <c r="AS893" s="130"/>
      <c r="AT893" s="130"/>
      <c r="AU893" s="130"/>
      <c r="AV893" s="130"/>
      <c r="AW893" s="130"/>
      <c r="AX893" s="130"/>
      <c r="AY893" s="130"/>
      <c r="AZ893" s="130"/>
      <c r="BA893" s="130"/>
      <c r="BB893" s="130"/>
      <c r="BC893" s="130"/>
      <c r="BD893" s="130"/>
    </row>
    <row r="894" ht="15.75" customHeight="1">
      <c r="A894" s="142"/>
      <c r="B894" s="142"/>
      <c r="C894" s="198"/>
      <c r="D894" s="142"/>
      <c r="E894" s="131"/>
      <c r="F894" s="142"/>
      <c r="G894" s="142"/>
      <c r="H894" s="131"/>
      <c r="I894" s="142"/>
      <c r="J894" s="142"/>
      <c r="K894" s="132"/>
      <c r="L894" s="131"/>
      <c r="M894" s="142"/>
      <c r="N894" s="142"/>
      <c r="O894" s="142"/>
      <c r="P894" s="142"/>
      <c r="Q894" s="142"/>
      <c r="R894" s="142"/>
      <c r="S894" s="142"/>
      <c r="T894" s="142"/>
      <c r="U894" s="142"/>
      <c r="V894" s="142"/>
      <c r="W894" s="142"/>
      <c r="X894" s="142"/>
      <c r="Y894" s="142"/>
      <c r="Z894" s="142"/>
      <c r="AA894" s="142"/>
      <c r="AB894" s="142"/>
      <c r="AC894" s="142"/>
      <c r="AD894" s="142"/>
      <c r="AE894" s="142"/>
      <c r="AF894" s="142"/>
      <c r="AG894" s="142"/>
      <c r="AH894" s="142"/>
      <c r="AI894" s="142"/>
      <c r="AJ894" s="142"/>
      <c r="AK894" s="142"/>
      <c r="AL894" s="142"/>
      <c r="AM894" s="142"/>
      <c r="AN894" s="142"/>
      <c r="AO894" s="142"/>
      <c r="AP894" s="130"/>
      <c r="AQ894" s="130"/>
      <c r="AR894" s="130"/>
      <c r="AS894" s="130"/>
      <c r="AT894" s="130"/>
      <c r="AU894" s="130"/>
      <c r="AV894" s="130"/>
      <c r="AW894" s="130"/>
      <c r="AX894" s="130"/>
      <c r="AY894" s="130"/>
      <c r="AZ894" s="130"/>
      <c r="BA894" s="130"/>
      <c r="BB894" s="130"/>
      <c r="BC894" s="130"/>
      <c r="BD894" s="130"/>
    </row>
    <row r="895" ht="15.75" customHeight="1">
      <c r="A895" s="142"/>
      <c r="B895" s="142"/>
      <c r="C895" s="198"/>
      <c r="D895" s="142"/>
      <c r="E895" s="131"/>
      <c r="F895" s="142"/>
      <c r="G895" s="142"/>
      <c r="H895" s="131"/>
      <c r="I895" s="142"/>
      <c r="J895" s="142"/>
      <c r="K895" s="132"/>
      <c r="L895" s="131"/>
      <c r="M895" s="142"/>
      <c r="N895" s="142"/>
      <c r="O895" s="142"/>
      <c r="P895" s="142"/>
      <c r="Q895" s="142"/>
      <c r="R895" s="142"/>
      <c r="S895" s="142"/>
      <c r="T895" s="142"/>
      <c r="U895" s="142"/>
      <c r="V895" s="142"/>
      <c r="W895" s="142"/>
      <c r="X895" s="142"/>
      <c r="Y895" s="142"/>
      <c r="Z895" s="142"/>
      <c r="AA895" s="142"/>
      <c r="AB895" s="142"/>
      <c r="AC895" s="142"/>
      <c r="AD895" s="142"/>
      <c r="AE895" s="142"/>
      <c r="AF895" s="142"/>
      <c r="AG895" s="142"/>
      <c r="AH895" s="142"/>
      <c r="AI895" s="142"/>
      <c r="AJ895" s="142"/>
      <c r="AK895" s="142"/>
      <c r="AL895" s="142"/>
      <c r="AM895" s="142"/>
      <c r="AN895" s="142"/>
      <c r="AO895" s="142"/>
      <c r="AP895" s="130"/>
      <c r="AQ895" s="130"/>
      <c r="AR895" s="130"/>
      <c r="AS895" s="130"/>
      <c r="AT895" s="130"/>
      <c r="AU895" s="130"/>
      <c r="AV895" s="130"/>
      <c r="AW895" s="130"/>
      <c r="AX895" s="130"/>
      <c r="AY895" s="130"/>
      <c r="AZ895" s="130"/>
      <c r="BA895" s="130"/>
      <c r="BB895" s="130"/>
      <c r="BC895" s="130"/>
      <c r="BD895" s="130"/>
    </row>
    <row r="896" ht="15.75" customHeight="1">
      <c r="A896" s="142"/>
      <c r="B896" s="142"/>
      <c r="C896" s="198"/>
      <c r="D896" s="142"/>
      <c r="E896" s="131"/>
      <c r="F896" s="142"/>
      <c r="G896" s="142"/>
      <c r="H896" s="131"/>
      <c r="I896" s="142"/>
      <c r="J896" s="142"/>
      <c r="K896" s="132"/>
      <c r="L896" s="131"/>
      <c r="M896" s="142"/>
      <c r="N896" s="142"/>
      <c r="O896" s="142"/>
      <c r="P896" s="142"/>
      <c r="Q896" s="142"/>
      <c r="R896" s="142"/>
      <c r="S896" s="142"/>
      <c r="T896" s="142"/>
      <c r="U896" s="142"/>
      <c r="V896" s="142"/>
      <c r="W896" s="142"/>
      <c r="X896" s="142"/>
      <c r="Y896" s="142"/>
      <c r="Z896" s="142"/>
      <c r="AA896" s="142"/>
      <c r="AB896" s="142"/>
      <c r="AC896" s="142"/>
      <c r="AD896" s="142"/>
      <c r="AE896" s="142"/>
      <c r="AF896" s="142"/>
      <c r="AG896" s="142"/>
      <c r="AH896" s="142"/>
      <c r="AI896" s="142"/>
      <c r="AJ896" s="142"/>
      <c r="AK896" s="142"/>
      <c r="AL896" s="142"/>
      <c r="AM896" s="142"/>
      <c r="AN896" s="142"/>
      <c r="AO896" s="142"/>
      <c r="AP896" s="130"/>
      <c r="AQ896" s="130"/>
      <c r="AR896" s="130"/>
      <c r="AS896" s="130"/>
      <c r="AT896" s="130"/>
      <c r="AU896" s="130"/>
      <c r="AV896" s="130"/>
      <c r="AW896" s="130"/>
      <c r="AX896" s="130"/>
      <c r="AY896" s="130"/>
      <c r="AZ896" s="130"/>
      <c r="BA896" s="130"/>
      <c r="BB896" s="130"/>
      <c r="BC896" s="130"/>
      <c r="BD896" s="130"/>
    </row>
    <row r="897" ht="15.75" customHeight="1">
      <c r="A897" s="142"/>
      <c r="B897" s="142"/>
      <c r="C897" s="198"/>
      <c r="D897" s="142"/>
      <c r="E897" s="131"/>
      <c r="F897" s="142"/>
      <c r="G897" s="142"/>
      <c r="H897" s="131"/>
      <c r="I897" s="142"/>
      <c r="J897" s="142"/>
      <c r="K897" s="132"/>
      <c r="L897" s="131"/>
      <c r="M897" s="142"/>
      <c r="N897" s="142"/>
      <c r="O897" s="142"/>
      <c r="P897" s="142"/>
      <c r="Q897" s="142"/>
      <c r="R897" s="142"/>
      <c r="S897" s="142"/>
      <c r="T897" s="142"/>
      <c r="U897" s="142"/>
      <c r="V897" s="142"/>
      <c r="W897" s="142"/>
      <c r="X897" s="142"/>
      <c r="Y897" s="142"/>
      <c r="Z897" s="142"/>
      <c r="AA897" s="142"/>
      <c r="AB897" s="142"/>
      <c r="AC897" s="142"/>
      <c r="AD897" s="142"/>
      <c r="AE897" s="142"/>
      <c r="AF897" s="142"/>
      <c r="AG897" s="142"/>
      <c r="AH897" s="142"/>
      <c r="AI897" s="142"/>
      <c r="AJ897" s="142"/>
      <c r="AK897" s="142"/>
      <c r="AL897" s="142"/>
      <c r="AM897" s="142"/>
      <c r="AN897" s="142"/>
      <c r="AO897" s="142"/>
      <c r="AP897" s="130"/>
      <c r="AQ897" s="130"/>
      <c r="AR897" s="130"/>
      <c r="AS897" s="130"/>
      <c r="AT897" s="130"/>
      <c r="AU897" s="130"/>
      <c r="AV897" s="130"/>
      <c r="AW897" s="130"/>
      <c r="AX897" s="130"/>
      <c r="AY897" s="130"/>
      <c r="AZ897" s="130"/>
      <c r="BA897" s="130"/>
      <c r="BB897" s="130"/>
      <c r="BC897" s="130"/>
      <c r="BD897" s="130"/>
    </row>
    <row r="898" ht="15.75" customHeight="1">
      <c r="A898" s="142"/>
      <c r="B898" s="142"/>
      <c r="C898" s="198"/>
      <c r="D898" s="142"/>
      <c r="E898" s="131"/>
      <c r="F898" s="142"/>
      <c r="G898" s="142"/>
      <c r="H898" s="131"/>
      <c r="I898" s="142"/>
      <c r="J898" s="142"/>
      <c r="K898" s="132"/>
      <c r="L898" s="131"/>
      <c r="M898" s="142"/>
      <c r="N898" s="142"/>
      <c r="O898" s="142"/>
      <c r="P898" s="142"/>
      <c r="Q898" s="142"/>
      <c r="R898" s="142"/>
      <c r="S898" s="142"/>
      <c r="T898" s="142"/>
      <c r="U898" s="142"/>
      <c r="V898" s="142"/>
      <c r="W898" s="142"/>
      <c r="X898" s="142"/>
      <c r="Y898" s="142"/>
      <c r="Z898" s="142"/>
      <c r="AA898" s="142"/>
      <c r="AB898" s="142"/>
      <c r="AC898" s="142"/>
      <c r="AD898" s="142"/>
      <c r="AE898" s="142"/>
      <c r="AF898" s="142"/>
      <c r="AG898" s="142"/>
      <c r="AH898" s="142"/>
      <c r="AI898" s="142"/>
      <c r="AJ898" s="142"/>
      <c r="AK898" s="142"/>
      <c r="AL898" s="142"/>
      <c r="AM898" s="142"/>
      <c r="AN898" s="142"/>
      <c r="AO898" s="142"/>
      <c r="AP898" s="130"/>
      <c r="AQ898" s="130"/>
      <c r="AR898" s="130"/>
      <c r="AS898" s="130"/>
      <c r="AT898" s="130"/>
      <c r="AU898" s="130"/>
      <c r="AV898" s="130"/>
      <c r="AW898" s="130"/>
      <c r="AX898" s="130"/>
      <c r="AY898" s="130"/>
      <c r="AZ898" s="130"/>
      <c r="BA898" s="130"/>
      <c r="BB898" s="130"/>
      <c r="BC898" s="130"/>
      <c r="BD898" s="130"/>
    </row>
    <row r="899" ht="15.75" customHeight="1">
      <c r="A899" s="142"/>
      <c r="B899" s="142"/>
      <c r="C899" s="198"/>
      <c r="D899" s="142"/>
      <c r="E899" s="131"/>
      <c r="F899" s="142"/>
      <c r="G899" s="142"/>
      <c r="H899" s="131"/>
      <c r="I899" s="142"/>
      <c r="J899" s="142"/>
      <c r="K899" s="132"/>
      <c r="L899" s="131"/>
      <c r="M899" s="142"/>
      <c r="N899" s="142"/>
      <c r="O899" s="142"/>
      <c r="P899" s="142"/>
      <c r="Q899" s="142"/>
      <c r="R899" s="142"/>
      <c r="S899" s="142"/>
      <c r="T899" s="142"/>
      <c r="U899" s="142"/>
      <c r="V899" s="142"/>
      <c r="W899" s="142"/>
      <c r="X899" s="142"/>
      <c r="Y899" s="142"/>
      <c r="Z899" s="142"/>
      <c r="AA899" s="142"/>
      <c r="AB899" s="142"/>
      <c r="AC899" s="142"/>
      <c r="AD899" s="142"/>
      <c r="AE899" s="142"/>
      <c r="AF899" s="142"/>
      <c r="AG899" s="142"/>
      <c r="AH899" s="142"/>
      <c r="AI899" s="142"/>
      <c r="AJ899" s="142"/>
      <c r="AK899" s="142"/>
      <c r="AL899" s="142"/>
      <c r="AM899" s="142"/>
      <c r="AN899" s="142"/>
      <c r="AO899" s="142"/>
      <c r="AP899" s="130"/>
      <c r="AQ899" s="130"/>
      <c r="AR899" s="130"/>
      <c r="AS899" s="130"/>
      <c r="AT899" s="130"/>
      <c r="AU899" s="130"/>
      <c r="AV899" s="130"/>
      <c r="AW899" s="130"/>
      <c r="AX899" s="130"/>
      <c r="AY899" s="130"/>
      <c r="AZ899" s="130"/>
      <c r="BA899" s="130"/>
      <c r="BB899" s="130"/>
      <c r="BC899" s="130"/>
      <c r="BD899" s="130"/>
    </row>
    <row r="900" ht="15.75" customHeight="1">
      <c r="A900" s="142"/>
      <c r="B900" s="142"/>
      <c r="C900" s="198"/>
      <c r="D900" s="142"/>
      <c r="E900" s="131"/>
      <c r="F900" s="142"/>
      <c r="G900" s="142"/>
      <c r="H900" s="131"/>
      <c r="I900" s="142"/>
      <c r="J900" s="142"/>
      <c r="K900" s="132"/>
      <c r="L900" s="131"/>
      <c r="M900" s="142"/>
      <c r="N900" s="142"/>
      <c r="O900" s="142"/>
      <c r="P900" s="142"/>
      <c r="Q900" s="142"/>
      <c r="R900" s="142"/>
      <c r="S900" s="142"/>
      <c r="T900" s="142"/>
      <c r="U900" s="142"/>
      <c r="V900" s="142"/>
      <c r="W900" s="142"/>
      <c r="X900" s="142"/>
      <c r="Y900" s="142"/>
      <c r="Z900" s="142"/>
      <c r="AA900" s="142"/>
      <c r="AB900" s="142"/>
      <c r="AC900" s="142"/>
      <c r="AD900" s="142"/>
      <c r="AE900" s="142"/>
      <c r="AF900" s="142"/>
      <c r="AG900" s="142"/>
      <c r="AH900" s="142"/>
      <c r="AI900" s="142"/>
      <c r="AJ900" s="142"/>
      <c r="AK900" s="142"/>
      <c r="AL900" s="142"/>
      <c r="AM900" s="142"/>
      <c r="AN900" s="142"/>
      <c r="AO900" s="142"/>
      <c r="AP900" s="130"/>
      <c r="AQ900" s="130"/>
      <c r="AR900" s="130"/>
      <c r="AS900" s="130"/>
      <c r="AT900" s="130"/>
      <c r="AU900" s="130"/>
      <c r="AV900" s="130"/>
      <c r="AW900" s="130"/>
      <c r="AX900" s="130"/>
      <c r="AY900" s="130"/>
      <c r="AZ900" s="130"/>
      <c r="BA900" s="130"/>
      <c r="BB900" s="130"/>
      <c r="BC900" s="130"/>
      <c r="BD900" s="130"/>
    </row>
    <row r="901" ht="15.75" customHeight="1">
      <c r="A901" s="142"/>
      <c r="B901" s="142"/>
      <c r="C901" s="198"/>
      <c r="D901" s="142"/>
      <c r="E901" s="131"/>
      <c r="F901" s="142"/>
      <c r="G901" s="142"/>
      <c r="H901" s="131"/>
      <c r="I901" s="142"/>
      <c r="J901" s="142"/>
      <c r="K901" s="132"/>
      <c r="L901" s="131"/>
      <c r="M901" s="142"/>
      <c r="N901" s="142"/>
      <c r="O901" s="142"/>
      <c r="P901" s="142"/>
      <c r="Q901" s="142"/>
      <c r="R901" s="142"/>
      <c r="S901" s="142"/>
      <c r="T901" s="142"/>
      <c r="U901" s="142"/>
      <c r="V901" s="142"/>
      <c r="W901" s="142"/>
      <c r="X901" s="142"/>
      <c r="Y901" s="142"/>
      <c r="Z901" s="142"/>
      <c r="AA901" s="142"/>
      <c r="AB901" s="142"/>
      <c r="AC901" s="142"/>
      <c r="AD901" s="142"/>
      <c r="AE901" s="142"/>
      <c r="AF901" s="142"/>
      <c r="AG901" s="142"/>
      <c r="AH901" s="142"/>
      <c r="AI901" s="142"/>
      <c r="AJ901" s="142"/>
      <c r="AK901" s="142"/>
      <c r="AL901" s="142"/>
      <c r="AM901" s="142"/>
      <c r="AN901" s="142"/>
      <c r="AO901" s="142"/>
      <c r="AP901" s="130"/>
      <c r="AQ901" s="130"/>
      <c r="AR901" s="130"/>
      <c r="AS901" s="130"/>
      <c r="AT901" s="130"/>
      <c r="AU901" s="130"/>
      <c r="AV901" s="130"/>
      <c r="AW901" s="130"/>
      <c r="AX901" s="130"/>
      <c r="AY901" s="130"/>
      <c r="AZ901" s="130"/>
      <c r="BA901" s="130"/>
      <c r="BB901" s="130"/>
      <c r="BC901" s="130"/>
      <c r="BD901" s="130"/>
    </row>
    <row r="902" ht="15.75" customHeight="1">
      <c r="A902" s="142"/>
      <c r="B902" s="142"/>
      <c r="C902" s="198"/>
      <c r="D902" s="142"/>
      <c r="E902" s="131"/>
      <c r="F902" s="142"/>
      <c r="G902" s="142"/>
      <c r="H902" s="131"/>
      <c r="I902" s="142"/>
      <c r="J902" s="142"/>
      <c r="K902" s="132"/>
      <c r="L902" s="131"/>
      <c r="M902" s="142"/>
      <c r="N902" s="142"/>
      <c r="O902" s="142"/>
      <c r="P902" s="142"/>
      <c r="Q902" s="142"/>
      <c r="R902" s="142"/>
      <c r="S902" s="142"/>
      <c r="T902" s="142"/>
      <c r="U902" s="142"/>
      <c r="V902" s="142"/>
      <c r="W902" s="142"/>
      <c r="X902" s="142"/>
      <c r="Y902" s="142"/>
      <c r="Z902" s="142"/>
      <c r="AA902" s="142"/>
      <c r="AB902" s="142"/>
      <c r="AC902" s="142"/>
      <c r="AD902" s="142"/>
      <c r="AE902" s="142"/>
      <c r="AF902" s="142"/>
      <c r="AG902" s="142"/>
      <c r="AH902" s="142"/>
      <c r="AI902" s="142"/>
      <c r="AJ902" s="142"/>
      <c r="AK902" s="142"/>
      <c r="AL902" s="142"/>
      <c r="AM902" s="142"/>
      <c r="AN902" s="142"/>
      <c r="AO902" s="142"/>
      <c r="AP902" s="130"/>
      <c r="AQ902" s="130"/>
      <c r="AR902" s="130"/>
      <c r="AS902" s="130"/>
      <c r="AT902" s="130"/>
      <c r="AU902" s="130"/>
      <c r="AV902" s="130"/>
      <c r="AW902" s="130"/>
      <c r="AX902" s="130"/>
      <c r="AY902" s="130"/>
      <c r="AZ902" s="130"/>
      <c r="BA902" s="130"/>
      <c r="BB902" s="130"/>
      <c r="BC902" s="130"/>
      <c r="BD902" s="130"/>
    </row>
    <row r="903" ht="15.75" customHeight="1">
      <c r="A903" s="142"/>
      <c r="B903" s="142"/>
      <c r="C903" s="198"/>
      <c r="D903" s="142"/>
      <c r="E903" s="131"/>
      <c r="F903" s="142"/>
      <c r="G903" s="142"/>
      <c r="H903" s="131"/>
      <c r="I903" s="142"/>
      <c r="J903" s="142"/>
      <c r="K903" s="132"/>
      <c r="L903" s="131"/>
      <c r="M903" s="142"/>
      <c r="N903" s="142"/>
      <c r="O903" s="142"/>
      <c r="P903" s="142"/>
      <c r="Q903" s="142"/>
      <c r="R903" s="142"/>
      <c r="S903" s="142"/>
      <c r="T903" s="142"/>
      <c r="U903" s="142"/>
      <c r="V903" s="142"/>
      <c r="W903" s="142"/>
      <c r="X903" s="142"/>
      <c r="Y903" s="142"/>
      <c r="Z903" s="142"/>
      <c r="AA903" s="142"/>
      <c r="AB903" s="142"/>
      <c r="AC903" s="142"/>
      <c r="AD903" s="142"/>
      <c r="AE903" s="142"/>
      <c r="AF903" s="142"/>
      <c r="AG903" s="142"/>
      <c r="AH903" s="142"/>
      <c r="AI903" s="142"/>
      <c r="AJ903" s="142"/>
      <c r="AK903" s="142"/>
      <c r="AL903" s="142"/>
      <c r="AM903" s="142"/>
      <c r="AN903" s="142"/>
      <c r="AO903" s="142"/>
      <c r="AP903" s="130"/>
      <c r="AQ903" s="130"/>
      <c r="AR903" s="130"/>
      <c r="AS903" s="130"/>
      <c r="AT903" s="130"/>
      <c r="AU903" s="130"/>
      <c r="AV903" s="130"/>
      <c r="AW903" s="130"/>
      <c r="AX903" s="130"/>
      <c r="AY903" s="130"/>
      <c r="AZ903" s="130"/>
      <c r="BA903" s="130"/>
      <c r="BB903" s="130"/>
      <c r="BC903" s="130"/>
      <c r="BD903" s="130"/>
    </row>
    <row r="904" ht="15.75" customHeight="1">
      <c r="A904" s="142"/>
      <c r="B904" s="142"/>
      <c r="C904" s="198"/>
      <c r="D904" s="142"/>
      <c r="E904" s="131"/>
      <c r="F904" s="142"/>
      <c r="G904" s="142"/>
      <c r="H904" s="131"/>
      <c r="I904" s="142"/>
      <c r="J904" s="142"/>
      <c r="K904" s="132"/>
      <c r="L904" s="131"/>
      <c r="M904" s="142"/>
      <c r="N904" s="142"/>
      <c r="O904" s="142"/>
      <c r="P904" s="142"/>
      <c r="Q904" s="142"/>
      <c r="R904" s="142"/>
      <c r="S904" s="142"/>
      <c r="T904" s="142"/>
      <c r="U904" s="142"/>
      <c r="V904" s="142"/>
      <c r="W904" s="142"/>
      <c r="X904" s="142"/>
      <c r="Y904" s="142"/>
      <c r="Z904" s="142"/>
      <c r="AA904" s="142"/>
      <c r="AB904" s="142"/>
      <c r="AC904" s="142"/>
      <c r="AD904" s="142"/>
      <c r="AE904" s="142"/>
      <c r="AF904" s="142"/>
      <c r="AG904" s="142"/>
      <c r="AH904" s="142"/>
      <c r="AI904" s="142"/>
      <c r="AJ904" s="142"/>
      <c r="AK904" s="142"/>
      <c r="AL904" s="142"/>
      <c r="AM904" s="142"/>
      <c r="AN904" s="142"/>
      <c r="AO904" s="142"/>
      <c r="AP904" s="130"/>
      <c r="AQ904" s="130"/>
      <c r="AR904" s="130"/>
      <c r="AS904" s="130"/>
      <c r="AT904" s="130"/>
      <c r="AU904" s="130"/>
      <c r="AV904" s="130"/>
      <c r="AW904" s="130"/>
      <c r="AX904" s="130"/>
      <c r="AY904" s="130"/>
      <c r="AZ904" s="130"/>
      <c r="BA904" s="130"/>
      <c r="BB904" s="130"/>
      <c r="BC904" s="130"/>
      <c r="BD904" s="130"/>
    </row>
    <row r="905" ht="15.75" customHeight="1">
      <c r="A905" s="142"/>
      <c r="B905" s="142"/>
      <c r="C905" s="198"/>
      <c r="D905" s="142"/>
      <c r="E905" s="131"/>
      <c r="F905" s="142"/>
      <c r="G905" s="142"/>
      <c r="H905" s="131"/>
      <c r="I905" s="142"/>
      <c r="J905" s="142"/>
      <c r="K905" s="132"/>
      <c r="L905" s="131"/>
      <c r="M905" s="142"/>
      <c r="N905" s="142"/>
      <c r="O905" s="142"/>
      <c r="P905" s="142"/>
      <c r="Q905" s="142"/>
      <c r="R905" s="142"/>
      <c r="S905" s="142"/>
      <c r="T905" s="142"/>
      <c r="U905" s="142"/>
      <c r="V905" s="142"/>
      <c r="W905" s="142"/>
      <c r="X905" s="142"/>
      <c r="Y905" s="142"/>
      <c r="Z905" s="142"/>
      <c r="AA905" s="142"/>
      <c r="AB905" s="142"/>
      <c r="AC905" s="142"/>
      <c r="AD905" s="142"/>
      <c r="AE905" s="142"/>
      <c r="AF905" s="142"/>
      <c r="AG905" s="142"/>
      <c r="AH905" s="142"/>
      <c r="AI905" s="142"/>
      <c r="AJ905" s="142"/>
      <c r="AK905" s="142"/>
      <c r="AL905" s="142"/>
      <c r="AM905" s="142"/>
      <c r="AN905" s="142"/>
      <c r="AO905" s="142"/>
      <c r="AP905" s="130"/>
      <c r="AQ905" s="130"/>
      <c r="AR905" s="130"/>
      <c r="AS905" s="130"/>
      <c r="AT905" s="130"/>
      <c r="AU905" s="130"/>
      <c r="AV905" s="130"/>
      <c r="AW905" s="130"/>
      <c r="AX905" s="130"/>
      <c r="AY905" s="130"/>
      <c r="AZ905" s="130"/>
      <c r="BA905" s="130"/>
      <c r="BB905" s="130"/>
      <c r="BC905" s="130"/>
      <c r="BD905" s="130"/>
    </row>
    <row r="906" ht="15.75" customHeight="1">
      <c r="A906" s="142"/>
      <c r="B906" s="142"/>
      <c r="C906" s="198"/>
      <c r="D906" s="142"/>
      <c r="E906" s="131"/>
      <c r="F906" s="142"/>
      <c r="G906" s="142"/>
      <c r="H906" s="131"/>
      <c r="I906" s="142"/>
      <c r="J906" s="142"/>
      <c r="K906" s="132"/>
      <c r="L906" s="131"/>
      <c r="M906" s="142"/>
      <c r="N906" s="142"/>
      <c r="O906" s="142"/>
      <c r="P906" s="142"/>
      <c r="Q906" s="142"/>
      <c r="R906" s="142"/>
      <c r="S906" s="142"/>
      <c r="T906" s="142"/>
      <c r="U906" s="142"/>
      <c r="V906" s="142"/>
      <c r="W906" s="142"/>
      <c r="X906" s="142"/>
      <c r="Y906" s="142"/>
      <c r="Z906" s="142"/>
      <c r="AA906" s="142"/>
      <c r="AB906" s="142"/>
      <c r="AC906" s="142"/>
      <c r="AD906" s="142"/>
      <c r="AE906" s="142"/>
      <c r="AF906" s="142"/>
      <c r="AG906" s="142"/>
      <c r="AH906" s="142"/>
      <c r="AI906" s="142"/>
      <c r="AJ906" s="142"/>
      <c r="AK906" s="142"/>
      <c r="AL906" s="142"/>
      <c r="AM906" s="142"/>
      <c r="AN906" s="142"/>
      <c r="AO906" s="142"/>
      <c r="AP906" s="130"/>
      <c r="AQ906" s="130"/>
      <c r="AR906" s="130"/>
      <c r="AS906" s="130"/>
      <c r="AT906" s="130"/>
      <c r="AU906" s="130"/>
      <c r="AV906" s="130"/>
      <c r="AW906" s="130"/>
      <c r="AX906" s="130"/>
      <c r="AY906" s="130"/>
      <c r="AZ906" s="130"/>
      <c r="BA906" s="130"/>
      <c r="BB906" s="130"/>
      <c r="BC906" s="130"/>
      <c r="BD906" s="130"/>
    </row>
    <row r="907" ht="15.75" customHeight="1">
      <c r="A907" s="142"/>
      <c r="B907" s="142"/>
      <c r="C907" s="198"/>
      <c r="D907" s="142"/>
      <c r="E907" s="131"/>
      <c r="F907" s="142"/>
      <c r="G907" s="142"/>
      <c r="H907" s="131"/>
      <c r="I907" s="142"/>
      <c r="J907" s="142"/>
      <c r="K907" s="132"/>
      <c r="L907" s="131"/>
      <c r="M907" s="142"/>
      <c r="N907" s="142"/>
      <c r="O907" s="142"/>
      <c r="P907" s="142"/>
      <c r="Q907" s="142"/>
      <c r="R907" s="142"/>
      <c r="S907" s="142"/>
      <c r="T907" s="142"/>
      <c r="U907" s="142"/>
      <c r="V907" s="142"/>
      <c r="W907" s="142"/>
      <c r="X907" s="142"/>
      <c r="Y907" s="142"/>
      <c r="Z907" s="142"/>
      <c r="AA907" s="142"/>
      <c r="AB907" s="142"/>
      <c r="AC907" s="142"/>
      <c r="AD907" s="142"/>
      <c r="AE907" s="142"/>
      <c r="AF907" s="142"/>
      <c r="AG907" s="142"/>
      <c r="AH907" s="142"/>
      <c r="AI907" s="142"/>
      <c r="AJ907" s="142"/>
      <c r="AK907" s="142"/>
      <c r="AL907" s="142"/>
      <c r="AM907" s="142"/>
      <c r="AN907" s="142"/>
      <c r="AO907" s="142"/>
      <c r="AP907" s="130"/>
      <c r="AQ907" s="130"/>
      <c r="AR907" s="130"/>
      <c r="AS907" s="130"/>
      <c r="AT907" s="130"/>
      <c r="AU907" s="130"/>
      <c r="AV907" s="130"/>
      <c r="AW907" s="130"/>
      <c r="AX907" s="130"/>
      <c r="AY907" s="130"/>
      <c r="AZ907" s="130"/>
      <c r="BA907" s="130"/>
      <c r="BB907" s="130"/>
      <c r="BC907" s="130"/>
      <c r="BD907" s="130"/>
    </row>
    <row r="908" ht="15.75" customHeight="1">
      <c r="A908" s="142"/>
      <c r="B908" s="142"/>
      <c r="C908" s="198"/>
      <c r="D908" s="142"/>
      <c r="E908" s="131"/>
      <c r="F908" s="142"/>
      <c r="G908" s="142"/>
      <c r="H908" s="131"/>
      <c r="I908" s="142"/>
      <c r="J908" s="142"/>
      <c r="K908" s="132"/>
      <c r="L908" s="131"/>
      <c r="M908" s="142"/>
      <c r="N908" s="142"/>
      <c r="O908" s="142"/>
      <c r="P908" s="142"/>
      <c r="Q908" s="142"/>
      <c r="R908" s="142"/>
      <c r="S908" s="142"/>
      <c r="T908" s="142"/>
      <c r="U908" s="142"/>
      <c r="V908" s="142"/>
      <c r="W908" s="142"/>
      <c r="X908" s="142"/>
      <c r="Y908" s="142"/>
      <c r="Z908" s="142"/>
      <c r="AA908" s="142"/>
      <c r="AB908" s="142"/>
      <c r="AC908" s="142"/>
      <c r="AD908" s="142"/>
      <c r="AE908" s="142"/>
      <c r="AF908" s="142"/>
      <c r="AG908" s="142"/>
      <c r="AH908" s="142"/>
      <c r="AI908" s="142"/>
      <c r="AJ908" s="142"/>
      <c r="AK908" s="142"/>
      <c r="AL908" s="142"/>
      <c r="AM908" s="142"/>
      <c r="AN908" s="142"/>
      <c r="AO908" s="142"/>
      <c r="AP908" s="130"/>
      <c r="AQ908" s="130"/>
      <c r="AR908" s="130"/>
      <c r="AS908" s="130"/>
      <c r="AT908" s="130"/>
      <c r="AU908" s="130"/>
      <c r="AV908" s="130"/>
      <c r="AW908" s="130"/>
      <c r="AX908" s="130"/>
      <c r="AY908" s="130"/>
      <c r="AZ908" s="130"/>
      <c r="BA908" s="130"/>
      <c r="BB908" s="130"/>
      <c r="BC908" s="130"/>
      <c r="BD908" s="130"/>
    </row>
    <row r="909" ht="15.75" customHeight="1">
      <c r="A909" s="142"/>
      <c r="B909" s="142"/>
      <c r="C909" s="198"/>
      <c r="D909" s="142"/>
      <c r="E909" s="131"/>
      <c r="F909" s="142"/>
      <c r="G909" s="142"/>
      <c r="H909" s="131"/>
      <c r="I909" s="142"/>
      <c r="J909" s="142"/>
      <c r="K909" s="132"/>
      <c r="L909" s="131"/>
      <c r="M909" s="142"/>
      <c r="N909" s="142"/>
      <c r="O909" s="142"/>
      <c r="P909" s="142"/>
      <c r="Q909" s="142"/>
      <c r="R909" s="142"/>
      <c r="S909" s="142"/>
      <c r="T909" s="142"/>
      <c r="U909" s="142"/>
      <c r="V909" s="142"/>
      <c r="W909" s="142"/>
      <c r="X909" s="142"/>
      <c r="Y909" s="142"/>
      <c r="Z909" s="142"/>
      <c r="AA909" s="142"/>
      <c r="AB909" s="142"/>
      <c r="AC909" s="142"/>
      <c r="AD909" s="142"/>
      <c r="AE909" s="142"/>
      <c r="AF909" s="142"/>
      <c r="AG909" s="142"/>
      <c r="AH909" s="142"/>
      <c r="AI909" s="142"/>
      <c r="AJ909" s="142"/>
      <c r="AK909" s="142"/>
      <c r="AL909" s="142"/>
      <c r="AM909" s="142"/>
      <c r="AN909" s="142"/>
      <c r="AO909" s="142"/>
      <c r="AP909" s="130"/>
      <c r="AQ909" s="130"/>
      <c r="AR909" s="130"/>
      <c r="AS909" s="130"/>
      <c r="AT909" s="130"/>
      <c r="AU909" s="130"/>
      <c r="AV909" s="130"/>
      <c r="AW909" s="130"/>
      <c r="AX909" s="130"/>
      <c r="AY909" s="130"/>
      <c r="AZ909" s="130"/>
      <c r="BA909" s="130"/>
      <c r="BB909" s="130"/>
      <c r="BC909" s="130"/>
      <c r="BD909" s="130"/>
    </row>
    <row r="910" ht="15.75" customHeight="1">
      <c r="A910" s="142"/>
      <c r="B910" s="142"/>
      <c r="C910" s="198"/>
      <c r="D910" s="142"/>
      <c r="E910" s="131"/>
      <c r="F910" s="142"/>
      <c r="G910" s="142"/>
      <c r="H910" s="131"/>
      <c r="I910" s="142"/>
      <c r="J910" s="142"/>
      <c r="K910" s="132"/>
      <c r="L910" s="131"/>
      <c r="M910" s="142"/>
      <c r="N910" s="142"/>
      <c r="O910" s="142"/>
      <c r="P910" s="142"/>
      <c r="Q910" s="142"/>
      <c r="R910" s="142"/>
      <c r="S910" s="142"/>
      <c r="T910" s="142"/>
      <c r="U910" s="142"/>
      <c r="V910" s="142"/>
      <c r="W910" s="142"/>
      <c r="X910" s="142"/>
      <c r="Y910" s="142"/>
      <c r="Z910" s="142"/>
      <c r="AA910" s="142"/>
      <c r="AB910" s="142"/>
      <c r="AC910" s="142"/>
      <c r="AD910" s="142"/>
      <c r="AE910" s="142"/>
      <c r="AF910" s="142"/>
      <c r="AG910" s="142"/>
      <c r="AH910" s="142"/>
      <c r="AI910" s="142"/>
      <c r="AJ910" s="142"/>
      <c r="AK910" s="142"/>
      <c r="AL910" s="142"/>
      <c r="AM910" s="142"/>
      <c r="AN910" s="142"/>
      <c r="AO910" s="142"/>
      <c r="AP910" s="130"/>
      <c r="AQ910" s="130"/>
      <c r="AR910" s="130"/>
      <c r="AS910" s="130"/>
      <c r="AT910" s="130"/>
      <c r="AU910" s="130"/>
      <c r="AV910" s="130"/>
      <c r="AW910" s="130"/>
      <c r="AX910" s="130"/>
      <c r="AY910" s="130"/>
      <c r="AZ910" s="130"/>
      <c r="BA910" s="130"/>
      <c r="BB910" s="130"/>
      <c r="BC910" s="130"/>
      <c r="BD910" s="130"/>
    </row>
    <row r="911" ht="15.75" customHeight="1">
      <c r="A911" s="142"/>
      <c r="B911" s="142"/>
      <c r="C911" s="198"/>
      <c r="D911" s="142"/>
      <c r="E911" s="131"/>
      <c r="F911" s="142"/>
      <c r="G911" s="142"/>
      <c r="H911" s="131"/>
      <c r="I911" s="142"/>
      <c r="J911" s="142"/>
      <c r="K911" s="132"/>
      <c r="L911" s="131"/>
      <c r="M911" s="142"/>
      <c r="N911" s="142"/>
      <c r="O911" s="142"/>
      <c r="P911" s="142"/>
      <c r="Q911" s="142"/>
      <c r="R911" s="142"/>
      <c r="S911" s="142"/>
      <c r="T911" s="142"/>
      <c r="U911" s="142"/>
      <c r="V911" s="142"/>
      <c r="W911" s="142"/>
      <c r="X911" s="142"/>
      <c r="Y911" s="142"/>
      <c r="Z911" s="142"/>
      <c r="AA911" s="142"/>
      <c r="AB911" s="142"/>
      <c r="AC911" s="142"/>
      <c r="AD911" s="142"/>
      <c r="AE911" s="142"/>
      <c r="AF911" s="142"/>
      <c r="AG911" s="142"/>
      <c r="AH911" s="142"/>
      <c r="AI911" s="142"/>
      <c r="AJ911" s="142"/>
      <c r="AK911" s="142"/>
      <c r="AL911" s="142"/>
      <c r="AM911" s="142"/>
      <c r="AN911" s="142"/>
      <c r="AO911" s="142"/>
      <c r="AP911" s="130"/>
      <c r="AQ911" s="130"/>
      <c r="AR911" s="130"/>
      <c r="AS911" s="130"/>
      <c r="AT911" s="130"/>
      <c r="AU911" s="130"/>
      <c r="AV911" s="130"/>
      <c r="AW911" s="130"/>
      <c r="AX911" s="130"/>
      <c r="AY911" s="130"/>
      <c r="AZ911" s="130"/>
      <c r="BA911" s="130"/>
      <c r="BB911" s="130"/>
      <c r="BC911" s="130"/>
      <c r="BD911" s="130"/>
    </row>
    <row r="912" ht="15.75" customHeight="1">
      <c r="A912" s="142"/>
      <c r="B912" s="142"/>
      <c r="C912" s="198"/>
      <c r="D912" s="142"/>
      <c r="E912" s="131"/>
      <c r="F912" s="142"/>
      <c r="G912" s="142"/>
      <c r="H912" s="131"/>
      <c r="I912" s="142"/>
      <c r="J912" s="142"/>
      <c r="K912" s="132"/>
      <c r="L912" s="131"/>
      <c r="M912" s="142"/>
      <c r="N912" s="142"/>
      <c r="O912" s="142"/>
      <c r="P912" s="142"/>
      <c r="Q912" s="142"/>
      <c r="R912" s="142"/>
      <c r="S912" s="142"/>
      <c r="T912" s="142"/>
      <c r="U912" s="142"/>
      <c r="V912" s="142"/>
      <c r="W912" s="142"/>
      <c r="X912" s="142"/>
      <c r="Y912" s="142"/>
      <c r="Z912" s="142"/>
      <c r="AA912" s="142"/>
      <c r="AB912" s="142"/>
      <c r="AC912" s="142"/>
      <c r="AD912" s="142"/>
      <c r="AE912" s="142"/>
      <c r="AF912" s="142"/>
      <c r="AG912" s="142"/>
      <c r="AH912" s="142"/>
      <c r="AI912" s="142"/>
      <c r="AJ912" s="142"/>
      <c r="AK912" s="142"/>
      <c r="AL912" s="142"/>
      <c r="AM912" s="142"/>
      <c r="AN912" s="142"/>
      <c r="AO912" s="142"/>
      <c r="AP912" s="130"/>
      <c r="AQ912" s="130"/>
      <c r="AR912" s="130"/>
      <c r="AS912" s="130"/>
      <c r="AT912" s="130"/>
      <c r="AU912" s="130"/>
      <c r="AV912" s="130"/>
      <c r="AW912" s="130"/>
      <c r="AX912" s="130"/>
      <c r="AY912" s="130"/>
      <c r="AZ912" s="130"/>
      <c r="BA912" s="130"/>
      <c r="BB912" s="130"/>
      <c r="BC912" s="130"/>
      <c r="BD912" s="130"/>
    </row>
    <row r="913" ht="15.75" customHeight="1">
      <c r="A913" s="142"/>
      <c r="B913" s="142"/>
      <c r="C913" s="198"/>
      <c r="D913" s="142"/>
      <c r="E913" s="131"/>
      <c r="F913" s="142"/>
      <c r="G913" s="142"/>
      <c r="H913" s="131"/>
      <c r="I913" s="142"/>
      <c r="J913" s="142"/>
      <c r="K913" s="132"/>
      <c r="L913" s="131"/>
      <c r="M913" s="142"/>
      <c r="N913" s="142"/>
      <c r="O913" s="142"/>
      <c r="P913" s="142"/>
      <c r="Q913" s="142"/>
      <c r="R913" s="142"/>
      <c r="S913" s="142"/>
      <c r="T913" s="142"/>
      <c r="U913" s="142"/>
      <c r="V913" s="142"/>
      <c r="W913" s="142"/>
      <c r="X913" s="142"/>
      <c r="Y913" s="142"/>
      <c r="Z913" s="142"/>
      <c r="AA913" s="142"/>
      <c r="AB913" s="142"/>
      <c r="AC913" s="142"/>
      <c r="AD913" s="142"/>
      <c r="AE913" s="142"/>
      <c r="AF913" s="142"/>
      <c r="AG913" s="142"/>
      <c r="AH913" s="142"/>
      <c r="AI913" s="142"/>
      <c r="AJ913" s="142"/>
      <c r="AK913" s="142"/>
      <c r="AL913" s="142"/>
      <c r="AM913" s="142"/>
      <c r="AN913" s="142"/>
      <c r="AO913" s="142"/>
      <c r="AP913" s="130"/>
      <c r="AQ913" s="130"/>
      <c r="AR913" s="130"/>
      <c r="AS913" s="130"/>
      <c r="AT913" s="130"/>
      <c r="AU913" s="130"/>
      <c r="AV913" s="130"/>
      <c r="AW913" s="130"/>
      <c r="AX913" s="130"/>
      <c r="AY913" s="130"/>
      <c r="AZ913" s="130"/>
      <c r="BA913" s="130"/>
      <c r="BB913" s="130"/>
      <c r="BC913" s="130"/>
      <c r="BD913" s="130"/>
    </row>
    <row r="914" ht="15.75" customHeight="1">
      <c r="A914" s="142"/>
      <c r="B914" s="142"/>
      <c r="C914" s="198"/>
      <c r="D914" s="142"/>
      <c r="E914" s="131"/>
      <c r="F914" s="142"/>
      <c r="G914" s="142"/>
      <c r="H914" s="131"/>
      <c r="I914" s="142"/>
      <c r="J914" s="142"/>
      <c r="K914" s="132"/>
      <c r="L914" s="131"/>
      <c r="M914" s="142"/>
      <c r="N914" s="142"/>
      <c r="O914" s="142"/>
      <c r="P914" s="142"/>
      <c r="Q914" s="142"/>
      <c r="R914" s="142"/>
      <c r="S914" s="142"/>
      <c r="T914" s="142"/>
      <c r="U914" s="142"/>
      <c r="V914" s="142"/>
      <c r="W914" s="142"/>
      <c r="X914" s="142"/>
      <c r="Y914" s="142"/>
      <c r="Z914" s="142"/>
      <c r="AA914" s="142"/>
      <c r="AB914" s="142"/>
      <c r="AC914" s="142"/>
      <c r="AD914" s="142"/>
      <c r="AE914" s="142"/>
      <c r="AF914" s="142"/>
      <c r="AG914" s="142"/>
      <c r="AH914" s="142"/>
      <c r="AI914" s="142"/>
      <c r="AJ914" s="142"/>
      <c r="AK914" s="142"/>
      <c r="AL914" s="142"/>
      <c r="AM914" s="142"/>
      <c r="AN914" s="142"/>
      <c r="AO914" s="142"/>
      <c r="AP914" s="130"/>
      <c r="AQ914" s="130"/>
      <c r="AR914" s="130"/>
      <c r="AS914" s="130"/>
      <c r="AT914" s="130"/>
      <c r="AU914" s="130"/>
      <c r="AV914" s="130"/>
      <c r="AW914" s="130"/>
      <c r="AX914" s="130"/>
      <c r="AY914" s="130"/>
      <c r="AZ914" s="130"/>
      <c r="BA914" s="130"/>
      <c r="BB914" s="130"/>
      <c r="BC914" s="130"/>
      <c r="BD914" s="130"/>
    </row>
    <row r="915" ht="15.75" customHeight="1">
      <c r="A915" s="142"/>
      <c r="B915" s="142"/>
      <c r="C915" s="198"/>
      <c r="D915" s="142"/>
      <c r="E915" s="131"/>
      <c r="F915" s="142"/>
      <c r="G915" s="142"/>
      <c r="H915" s="131"/>
      <c r="I915" s="142"/>
      <c r="J915" s="142"/>
      <c r="K915" s="132"/>
      <c r="L915" s="131"/>
      <c r="M915" s="142"/>
      <c r="N915" s="142"/>
      <c r="O915" s="142"/>
      <c r="P915" s="142"/>
      <c r="Q915" s="142"/>
      <c r="R915" s="142"/>
      <c r="S915" s="142"/>
      <c r="T915" s="142"/>
      <c r="U915" s="142"/>
      <c r="V915" s="142"/>
      <c r="W915" s="142"/>
      <c r="X915" s="142"/>
      <c r="Y915" s="142"/>
      <c r="Z915" s="142"/>
      <c r="AA915" s="142"/>
      <c r="AB915" s="142"/>
      <c r="AC915" s="142"/>
      <c r="AD915" s="142"/>
      <c r="AE915" s="142"/>
      <c r="AF915" s="142"/>
      <c r="AG915" s="142"/>
      <c r="AH915" s="142"/>
      <c r="AI915" s="142"/>
      <c r="AJ915" s="142"/>
      <c r="AK915" s="142"/>
      <c r="AL915" s="142"/>
      <c r="AM915" s="142"/>
      <c r="AN915" s="142"/>
      <c r="AO915" s="142"/>
      <c r="AP915" s="130"/>
      <c r="AQ915" s="130"/>
      <c r="AR915" s="130"/>
      <c r="AS915" s="130"/>
      <c r="AT915" s="130"/>
      <c r="AU915" s="130"/>
      <c r="AV915" s="130"/>
      <c r="AW915" s="130"/>
      <c r="AX915" s="130"/>
      <c r="AY915" s="130"/>
      <c r="AZ915" s="130"/>
      <c r="BA915" s="130"/>
      <c r="BB915" s="130"/>
      <c r="BC915" s="130"/>
      <c r="BD915" s="130"/>
    </row>
    <row r="916" ht="15.75" customHeight="1">
      <c r="A916" s="142"/>
      <c r="B916" s="142"/>
      <c r="C916" s="198"/>
      <c r="D916" s="142"/>
      <c r="E916" s="131"/>
      <c r="F916" s="142"/>
      <c r="G916" s="142"/>
      <c r="H916" s="131"/>
      <c r="I916" s="142"/>
      <c r="J916" s="142"/>
      <c r="K916" s="132"/>
      <c r="L916" s="131"/>
      <c r="M916" s="142"/>
      <c r="N916" s="142"/>
      <c r="O916" s="142"/>
      <c r="P916" s="142"/>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30"/>
      <c r="AQ916" s="130"/>
      <c r="AR916" s="130"/>
      <c r="AS916" s="130"/>
      <c r="AT916" s="130"/>
      <c r="AU916" s="130"/>
      <c r="AV916" s="130"/>
      <c r="AW916" s="130"/>
      <c r="AX916" s="130"/>
      <c r="AY916" s="130"/>
      <c r="AZ916" s="130"/>
      <c r="BA916" s="130"/>
      <c r="BB916" s="130"/>
      <c r="BC916" s="130"/>
      <c r="BD916" s="130"/>
    </row>
    <row r="917" ht="15.75" customHeight="1">
      <c r="A917" s="142"/>
      <c r="B917" s="142"/>
      <c r="C917" s="198"/>
      <c r="D917" s="142"/>
      <c r="E917" s="131"/>
      <c r="F917" s="142"/>
      <c r="G917" s="142"/>
      <c r="H917" s="131"/>
      <c r="I917" s="142"/>
      <c r="J917" s="142"/>
      <c r="K917" s="132"/>
      <c r="L917" s="131"/>
      <c r="M917" s="142"/>
      <c r="N917" s="142"/>
      <c r="O917" s="142"/>
      <c r="P917" s="142"/>
      <c r="Q917" s="142"/>
      <c r="R917" s="142"/>
      <c r="S917" s="142"/>
      <c r="T917" s="142"/>
      <c r="U917" s="142"/>
      <c r="V917" s="142"/>
      <c r="W917" s="142"/>
      <c r="X917" s="142"/>
      <c r="Y917" s="142"/>
      <c r="Z917" s="142"/>
      <c r="AA917" s="142"/>
      <c r="AB917" s="142"/>
      <c r="AC917" s="142"/>
      <c r="AD917" s="142"/>
      <c r="AE917" s="142"/>
      <c r="AF917" s="142"/>
      <c r="AG917" s="142"/>
      <c r="AH917" s="142"/>
      <c r="AI917" s="142"/>
      <c r="AJ917" s="142"/>
      <c r="AK917" s="142"/>
      <c r="AL917" s="142"/>
      <c r="AM917" s="142"/>
      <c r="AN917" s="142"/>
      <c r="AO917" s="142"/>
      <c r="AP917" s="130"/>
      <c r="AQ917" s="130"/>
      <c r="AR917" s="130"/>
      <c r="AS917" s="130"/>
      <c r="AT917" s="130"/>
      <c r="AU917" s="130"/>
      <c r="AV917" s="130"/>
      <c r="AW917" s="130"/>
      <c r="AX917" s="130"/>
      <c r="AY917" s="130"/>
      <c r="AZ917" s="130"/>
      <c r="BA917" s="130"/>
      <c r="BB917" s="130"/>
      <c r="BC917" s="130"/>
      <c r="BD917" s="130"/>
    </row>
    <row r="918" ht="15.75" customHeight="1">
      <c r="A918" s="142"/>
      <c r="B918" s="142"/>
      <c r="C918" s="198"/>
      <c r="D918" s="142"/>
      <c r="E918" s="131"/>
      <c r="F918" s="142"/>
      <c r="G918" s="142"/>
      <c r="H918" s="131"/>
      <c r="I918" s="142"/>
      <c r="J918" s="142"/>
      <c r="K918" s="132"/>
      <c r="L918" s="131"/>
      <c r="M918" s="142"/>
      <c r="N918" s="142"/>
      <c r="O918" s="142"/>
      <c r="P918" s="142"/>
      <c r="Q918" s="142"/>
      <c r="R918" s="142"/>
      <c r="S918" s="142"/>
      <c r="T918" s="142"/>
      <c r="U918" s="142"/>
      <c r="V918" s="142"/>
      <c r="W918" s="142"/>
      <c r="X918" s="142"/>
      <c r="Y918" s="142"/>
      <c r="Z918" s="142"/>
      <c r="AA918" s="142"/>
      <c r="AB918" s="142"/>
      <c r="AC918" s="142"/>
      <c r="AD918" s="142"/>
      <c r="AE918" s="142"/>
      <c r="AF918" s="142"/>
      <c r="AG918" s="142"/>
      <c r="AH918" s="142"/>
      <c r="AI918" s="142"/>
      <c r="AJ918" s="142"/>
      <c r="AK918" s="142"/>
      <c r="AL918" s="142"/>
      <c r="AM918" s="142"/>
      <c r="AN918" s="142"/>
      <c r="AO918" s="142"/>
      <c r="AP918" s="130"/>
      <c r="AQ918" s="130"/>
      <c r="AR918" s="130"/>
      <c r="AS918" s="130"/>
      <c r="AT918" s="130"/>
      <c r="AU918" s="130"/>
      <c r="AV918" s="130"/>
      <c r="AW918" s="130"/>
      <c r="AX918" s="130"/>
      <c r="AY918" s="130"/>
      <c r="AZ918" s="130"/>
      <c r="BA918" s="130"/>
      <c r="BB918" s="130"/>
      <c r="BC918" s="130"/>
      <c r="BD918" s="130"/>
    </row>
    <row r="919" ht="15.75" customHeight="1">
      <c r="A919" s="142"/>
      <c r="B919" s="142"/>
      <c r="C919" s="198"/>
      <c r="D919" s="142"/>
      <c r="E919" s="131"/>
      <c r="F919" s="142"/>
      <c r="G919" s="142"/>
      <c r="H919" s="131"/>
      <c r="I919" s="142"/>
      <c r="J919" s="142"/>
      <c r="K919" s="132"/>
      <c r="L919" s="131"/>
      <c r="M919" s="142"/>
      <c r="N919" s="142"/>
      <c r="O919" s="142"/>
      <c r="P919" s="142"/>
      <c r="Q919" s="142"/>
      <c r="R919" s="142"/>
      <c r="S919" s="142"/>
      <c r="T919" s="142"/>
      <c r="U919" s="142"/>
      <c r="V919" s="142"/>
      <c r="W919" s="142"/>
      <c r="X919" s="142"/>
      <c r="Y919" s="142"/>
      <c r="Z919" s="142"/>
      <c r="AA919" s="142"/>
      <c r="AB919" s="142"/>
      <c r="AC919" s="142"/>
      <c r="AD919" s="142"/>
      <c r="AE919" s="142"/>
      <c r="AF919" s="142"/>
      <c r="AG919" s="142"/>
      <c r="AH919" s="142"/>
      <c r="AI919" s="142"/>
      <c r="AJ919" s="142"/>
      <c r="AK919" s="142"/>
      <c r="AL919" s="142"/>
      <c r="AM919" s="142"/>
      <c r="AN919" s="142"/>
      <c r="AO919" s="142"/>
      <c r="AP919" s="130"/>
      <c r="AQ919" s="130"/>
      <c r="AR919" s="130"/>
      <c r="AS919" s="130"/>
      <c r="AT919" s="130"/>
      <c r="AU919" s="130"/>
      <c r="AV919" s="130"/>
      <c r="AW919" s="130"/>
      <c r="AX919" s="130"/>
      <c r="AY919" s="130"/>
      <c r="AZ919" s="130"/>
      <c r="BA919" s="130"/>
      <c r="BB919" s="130"/>
      <c r="BC919" s="130"/>
      <c r="BD919" s="130"/>
    </row>
    <row r="920" ht="15.75" customHeight="1">
      <c r="A920" s="142"/>
      <c r="B920" s="142"/>
      <c r="C920" s="198"/>
      <c r="D920" s="142"/>
      <c r="E920" s="131"/>
      <c r="F920" s="142"/>
      <c r="G920" s="142"/>
      <c r="H920" s="131"/>
      <c r="I920" s="142"/>
      <c r="J920" s="142"/>
      <c r="K920" s="132"/>
      <c r="L920" s="131"/>
      <c r="M920" s="142"/>
      <c r="N920" s="142"/>
      <c r="O920" s="142"/>
      <c r="P920" s="142"/>
      <c r="Q920" s="142"/>
      <c r="R920" s="142"/>
      <c r="S920" s="142"/>
      <c r="T920" s="142"/>
      <c r="U920" s="142"/>
      <c r="V920" s="142"/>
      <c r="W920" s="142"/>
      <c r="X920" s="142"/>
      <c r="Y920" s="142"/>
      <c r="Z920" s="142"/>
      <c r="AA920" s="142"/>
      <c r="AB920" s="142"/>
      <c r="AC920" s="142"/>
      <c r="AD920" s="142"/>
      <c r="AE920" s="142"/>
      <c r="AF920" s="142"/>
      <c r="AG920" s="142"/>
      <c r="AH920" s="142"/>
      <c r="AI920" s="142"/>
      <c r="AJ920" s="142"/>
      <c r="AK920" s="142"/>
      <c r="AL920" s="142"/>
      <c r="AM920" s="142"/>
      <c r="AN920" s="142"/>
      <c r="AO920" s="142"/>
      <c r="AP920" s="130"/>
      <c r="AQ920" s="130"/>
      <c r="AR920" s="130"/>
      <c r="AS920" s="130"/>
      <c r="AT920" s="130"/>
      <c r="AU920" s="130"/>
      <c r="AV920" s="130"/>
      <c r="AW920" s="130"/>
      <c r="AX920" s="130"/>
      <c r="AY920" s="130"/>
      <c r="AZ920" s="130"/>
      <c r="BA920" s="130"/>
      <c r="BB920" s="130"/>
      <c r="BC920" s="130"/>
      <c r="BD920" s="130"/>
    </row>
    <row r="921" ht="15.75" customHeight="1">
      <c r="A921" s="142"/>
      <c r="B921" s="142"/>
      <c r="C921" s="198"/>
      <c r="D921" s="142"/>
      <c r="E921" s="131"/>
      <c r="F921" s="142"/>
      <c r="G921" s="142"/>
      <c r="H921" s="131"/>
      <c r="I921" s="142"/>
      <c r="J921" s="142"/>
      <c r="K921" s="132"/>
      <c r="L921" s="131"/>
      <c r="M921" s="142"/>
      <c r="N921" s="142"/>
      <c r="O921" s="142"/>
      <c r="P921" s="142"/>
      <c r="Q921" s="142"/>
      <c r="R921" s="142"/>
      <c r="S921" s="142"/>
      <c r="T921" s="142"/>
      <c r="U921" s="142"/>
      <c r="V921" s="142"/>
      <c r="W921" s="142"/>
      <c r="X921" s="142"/>
      <c r="Y921" s="142"/>
      <c r="Z921" s="142"/>
      <c r="AA921" s="142"/>
      <c r="AB921" s="142"/>
      <c r="AC921" s="142"/>
      <c r="AD921" s="142"/>
      <c r="AE921" s="142"/>
      <c r="AF921" s="142"/>
      <c r="AG921" s="142"/>
      <c r="AH921" s="142"/>
      <c r="AI921" s="142"/>
      <c r="AJ921" s="142"/>
      <c r="AK921" s="142"/>
      <c r="AL921" s="142"/>
      <c r="AM921" s="142"/>
      <c r="AN921" s="142"/>
      <c r="AO921" s="142"/>
      <c r="AP921" s="130"/>
      <c r="AQ921" s="130"/>
      <c r="AR921" s="130"/>
      <c r="AS921" s="130"/>
      <c r="AT921" s="130"/>
      <c r="AU921" s="130"/>
      <c r="AV921" s="130"/>
      <c r="AW921" s="130"/>
      <c r="AX921" s="130"/>
      <c r="AY921" s="130"/>
      <c r="AZ921" s="130"/>
      <c r="BA921" s="130"/>
      <c r="BB921" s="130"/>
      <c r="BC921" s="130"/>
      <c r="BD921" s="130"/>
    </row>
    <row r="922" ht="15.75" customHeight="1">
      <c r="A922" s="142"/>
      <c r="B922" s="142"/>
      <c r="C922" s="198"/>
      <c r="D922" s="142"/>
      <c r="E922" s="131"/>
      <c r="F922" s="142"/>
      <c r="G922" s="142"/>
      <c r="H922" s="131"/>
      <c r="I922" s="142"/>
      <c r="J922" s="142"/>
      <c r="K922" s="132"/>
      <c r="L922" s="131"/>
      <c r="M922" s="142"/>
      <c r="N922" s="142"/>
      <c r="O922" s="142"/>
      <c r="P922" s="142"/>
      <c r="Q922" s="142"/>
      <c r="R922" s="142"/>
      <c r="S922" s="142"/>
      <c r="T922" s="142"/>
      <c r="U922" s="142"/>
      <c r="V922" s="142"/>
      <c r="W922" s="142"/>
      <c r="X922" s="142"/>
      <c r="Y922" s="142"/>
      <c r="Z922" s="142"/>
      <c r="AA922" s="142"/>
      <c r="AB922" s="142"/>
      <c r="AC922" s="142"/>
      <c r="AD922" s="142"/>
      <c r="AE922" s="142"/>
      <c r="AF922" s="142"/>
      <c r="AG922" s="142"/>
      <c r="AH922" s="142"/>
      <c r="AI922" s="142"/>
      <c r="AJ922" s="142"/>
      <c r="AK922" s="142"/>
      <c r="AL922" s="142"/>
      <c r="AM922" s="142"/>
      <c r="AN922" s="142"/>
      <c r="AO922" s="142"/>
      <c r="AP922" s="130"/>
      <c r="AQ922" s="130"/>
      <c r="AR922" s="130"/>
      <c r="AS922" s="130"/>
      <c r="AT922" s="130"/>
      <c r="AU922" s="130"/>
      <c r="AV922" s="130"/>
      <c r="AW922" s="130"/>
      <c r="AX922" s="130"/>
      <c r="AY922" s="130"/>
      <c r="AZ922" s="130"/>
      <c r="BA922" s="130"/>
      <c r="BB922" s="130"/>
      <c r="BC922" s="130"/>
      <c r="BD922" s="130"/>
    </row>
    <row r="923" ht="15.75" customHeight="1">
      <c r="A923" s="142"/>
      <c r="B923" s="142"/>
      <c r="C923" s="198"/>
      <c r="D923" s="142"/>
      <c r="E923" s="131"/>
      <c r="F923" s="142"/>
      <c r="G923" s="142"/>
      <c r="H923" s="131"/>
      <c r="I923" s="142"/>
      <c r="J923" s="142"/>
      <c r="K923" s="132"/>
      <c r="L923" s="131"/>
      <c r="M923" s="142"/>
      <c r="N923" s="142"/>
      <c r="O923" s="142"/>
      <c r="P923" s="142"/>
      <c r="Q923" s="142"/>
      <c r="R923" s="142"/>
      <c r="S923" s="142"/>
      <c r="T923" s="142"/>
      <c r="U923" s="142"/>
      <c r="V923" s="142"/>
      <c r="W923" s="142"/>
      <c r="X923" s="142"/>
      <c r="Y923" s="142"/>
      <c r="Z923" s="142"/>
      <c r="AA923" s="142"/>
      <c r="AB923" s="142"/>
      <c r="AC923" s="142"/>
      <c r="AD923" s="142"/>
      <c r="AE923" s="142"/>
      <c r="AF923" s="142"/>
      <c r="AG923" s="142"/>
      <c r="AH923" s="142"/>
      <c r="AI923" s="142"/>
      <c r="AJ923" s="142"/>
      <c r="AK923" s="142"/>
      <c r="AL923" s="142"/>
      <c r="AM923" s="142"/>
      <c r="AN923" s="142"/>
      <c r="AO923" s="142"/>
      <c r="AP923" s="130"/>
      <c r="AQ923" s="130"/>
      <c r="AR923" s="130"/>
      <c r="AS923" s="130"/>
      <c r="AT923" s="130"/>
      <c r="AU923" s="130"/>
      <c r="AV923" s="130"/>
      <c r="AW923" s="130"/>
      <c r="AX923" s="130"/>
      <c r="AY923" s="130"/>
      <c r="AZ923" s="130"/>
      <c r="BA923" s="130"/>
      <c r="BB923" s="130"/>
      <c r="BC923" s="130"/>
      <c r="BD923" s="130"/>
    </row>
    <row r="924" ht="15.75" customHeight="1">
      <c r="A924" s="142"/>
      <c r="B924" s="142"/>
      <c r="C924" s="198"/>
      <c r="D924" s="142"/>
      <c r="E924" s="131"/>
      <c r="F924" s="142"/>
      <c r="G924" s="142"/>
      <c r="H924" s="131"/>
      <c r="I924" s="142"/>
      <c r="J924" s="142"/>
      <c r="K924" s="132"/>
      <c r="L924" s="131"/>
      <c r="M924" s="142"/>
      <c r="N924" s="142"/>
      <c r="O924" s="142"/>
      <c r="P924" s="142"/>
      <c r="Q924" s="142"/>
      <c r="R924" s="142"/>
      <c r="S924" s="142"/>
      <c r="T924" s="142"/>
      <c r="U924" s="142"/>
      <c r="V924" s="142"/>
      <c r="W924" s="142"/>
      <c r="X924" s="142"/>
      <c r="Y924" s="142"/>
      <c r="Z924" s="142"/>
      <c r="AA924" s="142"/>
      <c r="AB924" s="142"/>
      <c r="AC924" s="142"/>
      <c r="AD924" s="142"/>
      <c r="AE924" s="142"/>
      <c r="AF924" s="142"/>
      <c r="AG924" s="142"/>
      <c r="AH924" s="142"/>
      <c r="AI924" s="142"/>
      <c r="AJ924" s="142"/>
      <c r="AK924" s="142"/>
      <c r="AL924" s="142"/>
      <c r="AM924" s="142"/>
      <c r="AN924" s="142"/>
      <c r="AO924" s="142"/>
      <c r="AP924" s="130"/>
      <c r="AQ924" s="130"/>
      <c r="AR924" s="130"/>
      <c r="AS924" s="130"/>
      <c r="AT924" s="130"/>
      <c r="AU924" s="130"/>
      <c r="AV924" s="130"/>
      <c r="AW924" s="130"/>
      <c r="AX924" s="130"/>
      <c r="AY924" s="130"/>
      <c r="AZ924" s="130"/>
      <c r="BA924" s="130"/>
      <c r="BB924" s="130"/>
      <c r="BC924" s="130"/>
      <c r="BD924" s="130"/>
    </row>
    <row r="925" ht="15.75" customHeight="1">
      <c r="A925" s="142"/>
      <c r="B925" s="142"/>
      <c r="C925" s="198"/>
      <c r="D925" s="142"/>
      <c r="E925" s="131"/>
      <c r="F925" s="142"/>
      <c r="G925" s="142"/>
      <c r="H925" s="131"/>
      <c r="I925" s="142"/>
      <c r="J925" s="142"/>
      <c r="K925" s="132"/>
      <c r="L925" s="131"/>
      <c r="M925" s="142"/>
      <c r="N925" s="142"/>
      <c r="O925" s="142"/>
      <c r="P925" s="142"/>
      <c r="Q925" s="142"/>
      <c r="R925" s="142"/>
      <c r="S925" s="142"/>
      <c r="T925" s="142"/>
      <c r="U925" s="142"/>
      <c r="V925" s="142"/>
      <c r="W925" s="142"/>
      <c r="X925" s="142"/>
      <c r="Y925" s="142"/>
      <c r="Z925" s="142"/>
      <c r="AA925" s="142"/>
      <c r="AB925" s="142"/>
      <c r="AC925" s="142"/>
      <c r="AD925" s="142"/>
      <c r="AE925" s="142"/>
      <c r="AF925" s="142"/>
      <c r="AG925" s="142"/>
      <c r="AH925" s="142"/>
      <c r="AI925" s="142"/>
      <c r="AJ925" s="142"/>
      <c r="AK925" s="142"/>
      <c r="AL925" s="142"/>
      <c r="AM925" s="142"/>
      <c r="AN925" s="142"/>
      <c r="AO925" s="142"/>
      <c r="AP925" s="130"/>
      <c r="AQ925" s="130"/>
      <c r="AR925" s="130"/>
      <c r="AS925" s="130"/>
      <c r="AT925" s="130"/>
      <c r="AU925" s="130"/>
      <c r="AV925" s="130"/>
      <c r="AW925" s="130"/>
      <c r="AX925" s="130"/>
      <c r="AY925" s="130"/>
      <c r="AZ925" s="130"/>
      <c r="BA925" s="130"/>
      <c r="BB925" s="130"/>
      <c r="BC925" s="130"/>
      <c r="BD925" s="130"/>
    </row>
    <row r="926" ht="15.75" customHeight="1">
      <c r="A926" s="142"/>
      <c r="B926" s="142"/>
      <c r="C926" s="198"/>
      <c r="D926" s="142"/>
      <c r="E926" s="131"/>
      <c r="F926" s="142"/>
      <c r="G926" s="142"/>
      <c r="H926" s="131"/>
      <c r="I926" s="142"/>
      <c r="J926" s="142"/>
      <c r="K926" s="132"/>
      <c r="L926" s="131"/>
      <c r="M926" s="142"/>
      <c r="N926" s="142"/>
      <c r="O926" s="142"/>
      <c r="P926" s="142"/>
      <c r="Q926" s="142"/>
      <c r="R926" s="142"/>
      <c r="S926" s="142"/>
      <c r="T926" s="142"/>
      <c r="U926" s="142"/>
      <c r="V926" s="142"/>
      <c r="W926" s="142"/>
      <c r="X926" s="142"/>
      <c r="Y926" s="142"/>
      <c r="Z926" s="142"/>
      <c r="AA926" s="142"/>
      <c r="AB926" s="142"/>
      <c r="AC926" s="142"/>
      <c r="AD926" s="142"/>
      <c r="AE926" s="142"/>
      <c r="AF926" s="142"/>
      <c r="AG926" s="142"/>
      <c r="AH926" s="142"/>
      <c r="AI926" s="142"/>
      <c r="AJ926" s="142"/>
      <c r="AK926" s="142"/>
      <c r="AL926" s="142"/>
      <c r="AM926" s="142"/>
      <c r="AN926" s="142"/>
      <c r="AO926" s="142"/>
      <c r="AP926" s="130"/>
      <c r="AQ926" s="130"/>
      <c r="AR926" s="130"/>
      <c r="AS926" s="130"/>
      <c r="AT926" s="130"/>
      <c r="AU926" s="130"/>
      <c r="AV926" s="130"/>
      <c r="AW926" s="130"/>
      <c r="AX926" s="130"/>
      <c r="AY926" s="130"/>
      <c r="AZ926" s="130"/>
      <c r="BA926" s="130"/>
      <c r="BB926" s="130"/>
      <c r="BC926" s="130"/>
      <c r="BD926" s="130"/>
    </row>
    <row r="927" ht="15.75" customHeight="1">
      <c r="A927" s="142"/>
      <c r="B927" s="142"/>
      <c r="C927" s="198"/>
      <c r="D927" s="142"/>
      <c r="E927" s="131"/>
      <c r="F927" s="142"/>
      <c r="G927" s="142"/>
      <c r="H927" s="131"/>
      <c r="I927" s="142"/>
      <c r="J927" s="142"/>
      <c r="K927" s="132"/>
      <c r="L927" s="131"/>
      <c r="M927" s="142"/>
      <c r="N927" s="142"/>
      <c r="O927" s="142"/>
      <c r="P927" s="142"/>
      <c r="Q927" s="142"/>
      <c r="R927" s="142"/>
      <c r="S927" s="142"/>
      <c r="T927" s="142"/>
      <c r="U927" s="142"/>
      <c r="V927" s="142"/>
      <c r="W927" s="142"/>
      <c r="X927" s="142"/>
      <c r="Y927" s="142"/>
      <c r="Z927" s="142"/>
      <c r="AA927" s="142"/>
      <c r="AB927" s="142"/>
      <c r="AC927" s="142"/>
      <c r="AD927" s="142"/>
      <c r="AE927" s="142"/>
      <c r="AF927" s="142"/>
      <c r="AG927" s="142"/>
      <c r="AH927" s="142"/>
      <c r="AI927" s="142"/>
      <c r="AJ927" s="142"/>
      <c r="AK927" s="142"/>
      <c r="AL927" s="142"/>
      <c r="AM927" s="142"/>
      <c r="AN927" s="142"/>
      <c r="AO927" s="142"/>
      <c r="AP927" s="130"/>
      <c r="AQ927" s="130"/>
      <c r="AR927" s="130"/>
      <c r="AS927" s="130"/>
      <c r="AT927" s="130"/>
      <c r="AU927" s="130"/>
      <c r="AV927" s="130"/>
      <c r="AW927" s="130"/>
      <c r="AX927" s="130"/>
      <c r="AY927" s="130"/>
      <c r="AZ927" s="130"/>
      <c r="BA927" s="130"/>
      <c r="BB927" s="130"/>
      <c r="BC927" s="130"/>
      <c r="BD927" s="130"/>
    </row>
    <row r="928" ht="15.75" customHeight="1">
      <c r="A928" s="142"/>
      <c r="B928" s="142"/>
      <c r="C928" s="198"/>
      <c r="D928" s="142"/>
      <c r="E928" s="131"/>
      <c r="F928" s="142"/>
      <c r="G928" s="142"/>
      <c r="H928" s="131"/>
      <c r="I928" s="142"/>
      <c r="J928" s="142"/>
      <c r="K928" s="132"/>
      <c r="L928" s="131"/>
      <c r="M928" s="142"/>
      <c r="N928" s="142"/>
      <c r="O928" s="142"/>
      <c r="P928" s="142"/>
      <c r="Q928" s="142"/>
      <c r="R928" s="142"/>
      <c r="S928" s="142"/>
      <c r="T928" s="142"/>
      <c r="U928" s="142"/>
      <c r="V928" s="142"/>
      <c r="W928" s="142"/>
      <c r="X928" s="142"/>
      <c r="Y928" s="142"/>
      <c r="Z928" s="142"/>
      <c r="AA928" s="142"/>
      <c r="AB928" s="142"/>
      <c r="AC928" s="142"/>
      <c r="AD928" s="142"/>
      <c r="AE928" s="142"/>
      <c r="AF928" s="142"/>
      <c r="AG928" s="142"/>
      <c r="AH928" s="142"/>
      <c r="AI928" s="142"/>
      <c r="AJ928" s="142"/>
      <c r="AK928" s="142"/>
      <c r="AL928" s="142"/>
      <c r="AM928" s="142"/>
      <c r="AN928" s="142"/>
      <c r="AO928" s="142"/>
      <c r="AP928" s="130"/>
      <c r="AQ928" s="130"/>
      <c r="AR928" s="130"/>
      <c r="AS928" s="130"/>
      <c r="AT928" s="130"/>
      <c r="AU928" s="130"/>
      <c r="AV928" s="130"/>
      <c r="AW928" s="130"/>
      <c r="AX928" s="130"/>
      <c r="AY928" s="130"/>
      <c r="AZ928" s="130"/>
      <c r="BA928" s="130"/>
      <c r="BB928" s="130"/>
      <c r="BC928" s="130"/>
      <c r="BD928" s="130"/>
    </row>
    <row r="929" ht="15.75" customHeight="1">
      <c r="A929" s="142"/>
      <c r="B929" s="142"/>
      <c r="C929" s="198"/>
      <c r="D929" s="142"/>
      <c r="E929" s="131"/>
      <c r="F929" s="142"/>
      <c r="G929" s="142"/>
      <c r="H929" s="131"/>
      <c r="I929" s="142"/>
      <c r="J929" s="142"/>
      <c r="K929" s="132"/>
      <c r="L929" s="131"/>
      <c r="M929" s="142"/>
      <c r="N929" s="142"/>
      <c r="O929" s="142"/>
      <c r="P929" s="142"/>
      <c r="Q929" s="142"/>
      <c r="R929" s="142"/>
      <c r="S929" s="142"/>
      <c r="T929" s="142"/>
      <c r="U929" s="142"/>
      <c r="V929" s="142"/>
      <c r="W929" s="142"/>
      <c r="X929" s="142"/>
      <c r="Y929" s="142"/>
      <c r="Z929" s="142"/>
      <c r="AA929" s="142"/>
      <c r="AB929" s="142"/>
      <c r="AC929" s="142"/>
      <c r="AD929" s="142"/>
      <c r="AE929" s="142"/>
      <c r="AF929" s="142"/>
      <c r="AG929" s="142"/>
      <c r="AH929" s="142"/>
      <c r="AI929" s="142"/>
      <c r="AJ929" s="142"/>
      <c r="AK929" s="142"/>
      <c r="AL929" s="142"/>
      <c r="AM929" s="142"/>
      <c r="AN929" s="142"/>
      <c r="AO929" s="142"/>
      <c r="AP929" s="130"/>
      <c r="AQ929" s="130"/>
      <c r="AR929" s="130"/>
      <c r="AS929" s="130"/>
      <c r="AT929" s="130"/>
      <c r="AU929" s="130"/>
      <c r="AV929" s="130"/>
      <c r="AW929" s="130"/>
      <c r="AX929" s="130"/>
      <c r="AY929" s="130"/>
      <c r="AZ929" s="130"/>
      <c r="BA929" s="130"/>
      <c r="BB929" s="130"/>
      <c r="BC929" s="130"/>
      <c r="BD929" s="130"/>
    </row>
    <row r="930" ht="15.75" customHeight="1">
      <c r="A930" s="142"/>
      <c r="B930" s="142"/>
      <c r="C930" s="198"/>
      <c r="D930" s="142"/>
      <c r="E930" s="131"/>
      <c r="F930" s="142"/>
      <c r="G930" s="142"/>
      <c r="H930" s="131"/>
      <c r="I930" s="142"/>
      <c r="J930" s="142"/>
      <c r="K930" s="132"/>
      <c r="L930" s="131"/>
      <c r="M930" s="142"/>
      <c r="N930" s="142"/>
      <c r="O930" s="142"/>
      <c r="P930" s="142"/>
      <c r="Q930" s="142"/>
      <c r="R930" s="142"/>
      <c r="S930" s="142"/>
      <c r="T930" s="142"/>
      <c r="U930" s="142"/>
      <c r="V930" s="142"/>
      <c r="W930" s="142"/>
      <c r="X930" s="142"/>
      <c r="Y930" s="142"/>
      <c r="Z930" s="142"/>
      <c r="AA930" s="142"/>
      <c r="AB930" s="142"/>
      <c r="AC930" s="142"/>
      <c r="AD930" s="142"/>
      <c r="AE930" s="142"/>
      <c r="AF930" s="142"/>
      <c r="AG930" s="142"/>
      <c r="AH930" s="142"/>
      <c r="AI930" s="142"/>
      <c r="AJ930" s="142"/>
      <c r="AK930" s="142"/>
      <c r="AL930" s="142"/>
      <c r="AM930" s="142"/>
      <c r="AN930" s="142"/>
      <c r="AO930" s="142"/>
      <c r="AP930" s="130"/>
      <c r="AQ930" s="130"/>
      <c r="AR930" s="130"/>
      <c r="AS930" s="130"/>
      <c r="AT930" s="130"/>
      <c r="AU930" s="130"/>
      <c r="AV930" s="130"/>
      <c r="AW930" s="130"/>
      <c r="AX930" s="130"/>
      <c r="AY930" s="130"/>
      <c r="AZ930" s="130"/>
      <c r="BA930" s="130"/>
      <c r="BB930" s="130"/>
      <c r="BC930" s="130"/>
      <c r="BD930" s="130"/>
    </row>
    <row r="931" ht="15.75" customHeight="1">
      <c r="A931" s="142"/>
      <c r="B931" s="142"/>
      <c r="C931" s="198"/>
      <c r="D931" s="142"/>
      <c r="E931" s="131"/>
      <c r="F931" s="142"/>
      <c r="G931" s="142"/>
      <c r="H931" s="131"/>
      <c r="I931" s="142"/>
      <c r="J931" s="142"/>
      <c r="K931" s="132"/>
      <c r="L931" s="131"/>
      <c r="M931" s="142"/>
      <c r="N931" s="142"/>
      <c r="O931" s="142"/>
      <c r="P931" s="142"/>
      <c r="Q931" s="142"/>
      <c r="R931" s="142"/>
      <c r="S931" s="142"/>
      <c r="T931" s="142"/>
      <c r="U931" s="142"/>
      <c r="V931" s="142"/>
      <c r="W931" s="142"/>
      <c r="X931" s="142"/>
      <c r="Y931" s="142"/>
      <c r="Z931" s="142"/>
      <c r="AA931" s="142"/>
      <c r="AB931" s="142"/>
      <c r="AC931" s="142"/>
      <c r="AD931" s="142"/>
      <c r="AE931" s="142"/>
      <c r="AF931" s="142"/>
      <c r="AG931" s="142"/>
      <c r="AH931" s="142"/>
      <c r="AI931" s="142"/>
      <c r="AJ931" s="142"/>
      <c r="AK931" s="142"/>
      <c r="AL931" s="142"/>
      <c r="AM931" s="142"/>
      <c r="AN931" s="142"/>
      <c r="AO931" s="142"/>
      <c r="AP931" s="130"/>
      <c r="AQ931" s="130"/>
      <c r="AR931" s="130"/>
      <c r="AS931" s="130"/>
      <c r="AT931" s="130"/>
      <c r="AU931" s="130"/>
      <c r="AV931" s="130"/>
      <c r="AW931" s="130"/>
      <c r="AX931" s="130"/>
      <c r="AY931" s="130"/>
      <c r="AZ931" s="130"/>
      <c r="BA931" s="130"/>
      <c r="BB931" s="130"/>
      <c r="BC931" s="130"/>
      <c r="BD931" s="130"/>
    </row>
    <row r="932" ht="15.75" customHeight="1">
      <c r="A932" s="142"/>
      <c r="B932" s="142"/>
      <c r="C932" s="198"/>
      <c r="D932" s="142"/>
      <c r="E932" s="131"/>
      <c r="F932" s="142"/>
      <c r="G932" s="142"/>
      <c r="H932" s="131"/>
      <c r="I932" s="142"/>
      <c r="J932" s="142"/>
      <c r="K932" s="132"/>
      <c r="L932" s="131"/>
      <c r="M932" s="142"/>
      <c r="N932" s="142"/>
      <c r="O932" s="142"/>
      <c r="P932" s="142"/>
      <c r="Q932" s="142"/>
      <c r="R932" s="142"/>
      <c r="S932" s="142"/>
      <c r="T932" s="142"/>
      <c r="U932" s="142"/>
      <c r="V932" s="142"/>
      <c r="W932" s="142"/>
      <c r="X932" s="142"/>
      <c r="Y932" s="142"/>
      <c r="Z932" s="142"/>
      <c r="AA932" s="142"/>
      <c r="AB932" s="142"/>
      <c r="AC932" s="142"/>
      <c r="AD932" s="142"/>
      <c r="AE932" s="142"/>
      <c r="AF932" s="142"/>
      <c r="AG932" s="142"/>
      <c r="AH932" s="142"/>
      <c r="AI932" s="142"/>
      <c r="AJ932" s="142"/>
      <c r="AK932" s="142"/>
      <c r="AL932" s="142"/>
      <c r="AM932" s="142"/>
      <c r="AN932" s="142"/>
      <c r="AO932" s="142"/>
      <c r="AP932" s="130"/>
      <c r="AQ932" s="130"/>
      <c r="AR932" s="130"/>
      <c r="AS932" s="130"/>
      <c r="AT932" s="130"/>
      <c r="AU932" s="130"/>
      <c r="AV932" s="130"/>
      <c r="AW932" s="130"/>
      <c r="AX932" s="130"/>
      <c r="AY932" s="130"/>
      <c r="AZ932" s="130"/>
      <c r="BA932" s="130"/>
      <c r="BB932" s="130"/>
      <c r="BC932" s="130"/>
      <c r="BD932" s="130"/>
    </row>
    <row r="933" ht="15.75" customHeight="1">
      <c r="A933" s="142"/>
      <c r="B933" s="142"/>
      <c r="C933" s="198"/>
      <c r="D933" s="142"/>
      <c r="E933" s="131"/>
      <c r="F933" s="142"/>
      <c r="G933" s="142"/>
      <c r="H933" s="131"/>
      <c r="I933" s="142"/>
      <c r="J933" s="142"/>
      <c r="K933" s="132"/>
      <c r="L933" s="131"/>
      <c r="M933" s="142"/>
      <c r="N933" s="142"/>
      <c r="O933" s="142"/>
      <c r="P933" s="142"/>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30"/>
      <c r="AQ933" s="130"/>
      <c r="AR933" s="130"/>
      <c r="AS933" s="130"/>
      <c r="AT933" s="130"/>
      <c r="AU933" s="130"/>
      <c r="AV933" s="130"/>
      <c r="AW933" s="130"/>
      <c r="AX933" s="130"/>
      <c r="AY933" s="130"/>
      <c r="AZ933" s="130"/>
      <c r="BA933" s="130"/>
      <c r="BB933" s="130"/>
      <c r="BC933" s="130"/>
      <c r="BD933" s="130"/>
    </row>
    <row r="934" ht="15.75" customHeight="1">
      <c r="A934" s="142"/>
      <c r="B934" s="142"/>
      <c r="C934" s="198"/>
      <c r="D934" s="142"/>
      <c r="E934" s="131"/>
      <c r="F934" s="142"/>
      <c r="G934" s="142"/>
      <c r="H934" s="131"/>
      <c r="I934" s="142"/>
      <c r="J934" s="142"/>
      <c r="K934" s="132"/>
      <c r="L934" s="131"/>
      <c r="M934" s="142"/>
      <c r="N934" s="142"/>
      <c r="O934" s="142"/>
      <c r="P934" s="142"/>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30"/>
      <c r="AQ934" s="130"/>
      <c r="AR934" s="130"/>
      <c r="AS934" s="130"/>
      <c r="AT934" s="130"/>
      <c r="AU934" s="130"/>
      <c r="AV934" s="130"/>
      <c r="AW934" s="130"/>
      <c r="AX934" s="130"/>
      <c r="AY934" s="130"/>
      <c r="AZ934" s="130"/>
      <c r="BA934" s="130"/>
      <c r="BB934" s="130"/>
      <c r="BC934" s="130"/>
      <c r="BD934" s="130"/>
    </row>
    <row r="935" ht="15.75" customHeight="1">
      <c r="A935" s="142"/>
      <c r="B935" s="142"/>
      <c r="C935" s="198"/>
      <c r="D935" s="142"/>
      <c r="E935" s="131"/>
      <c r="F935" s="142"/>
      <c r="G935" s="142"/>
      <c r="H935" s="131"/>
      <c r="I935" s="142"/>
      <c r="J935" s="142"/>
      <c r="K935" s="132"/>
      <c r="L935" s="131"/>
      <c r="M935" s="142"/>
      <c r="N935" s="142"/>
      <c r="O935" s="142"/>
      <c r="P935" s="142"/>
      <c r="Q935" s="142"/>
      <c r="R935" s="142"/>
      <c r="S935" s="142"/>
      <c r="T935" s="142"/>
      <c r="U935" s="142"/>
      <c r="V935" s="142"/>
      <c r="W935" s="142"/>
      <c r="X935" s="142"/>
      <c r="Y935" s="142"/>
      <c r="Z935" s="142"/>
      <c r="AA935" s="142"/>
      <c r="AB935" s="142"/>
      <c r="AC935" s="142"/>
      <c r="AD935" s="142"/>
      <c r="AE935" s="142"/>
      <c r="AF935" s="142"/>
      <c r="AG935" s="142"/>
      <c r="AH935" s="142"/>
      <c r="AI935" s="142"/>
      <c r="AJ935" s="142"/>
      <c r="AK935" s="142"/>
      <c r="AL935" s="142"/>
      <c r="AM935" s="142"/>
      <c r="AN935" s="142"/>
      <c r="AO935" s="142"/>
      <c r="AP935" s="130"/>
      <c r="AQ935" s="130"/>
      <c r="AR935" s="130"/>
      <c r="AS935" s="130"/>
      <c r="AT935" s="130"/>
      <c r="AU935" s="130"/>
      <c r="AV935" s="130"/>
      <c r="AW935" s="130"/>
      <c r="AX935" s="130"/>
      <c r="AY935" s="130"/>
      <c r="AZ935" s="130"/>
      <c r="BA935" s="130"/>
      <c r="BB935" s="130"/>
      <c r="BC935" s="130"/>
      <c r="BD935" s="130"/>
    </row>
    <row r="936" ht="15.75" customHeight="1">
      <c r="A936" s="142"/>
      <c r="B936" s="142"/>
      <c r="C936" s="198"/>
      <c r="D936" s="142"/>
      <c r="E936" s="131"/>
      <c r="F936" s="142"/>
      <c r="G936" s="142"/>
      <c r="H936" s="131"/>
      <c r="I936" s="142"/>
      <c r="J936" s="142"/>
      <c r="K936" s="132"/>
      <c r="L936" s="131"/>
      <c r="M936" s="142"/>
      <c r="N936" s="142"/>
      <c r="O936" s="142"/>
      <c r="P936" s="142"/>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30"/>
      <c r="AQ936" s="130"/>
      <c r="AR936" s="130"/>
      <c r="AS936" s="130"/>
      <c r="AT936" s="130"/>
      <c r="AU936" s="130"/>
      <c r="AV936" s="130"/>
      <c r="AW936" s="130"/>
      <c r="AX936" s="130"/>
      <c r="AY936" s="130"/>
      <c r="AZ936" s="130"/>
      <c r="BA936" s="130"/>
      <c r="BB936" s="130"/>
      <c r="BC936" s="130"/>
      <c r="BD936" s="130"/>
    </row>
    <row r="937" ht="15.75" customHeight="1">
      <c r="A937" s="142"/>
      <c r="B937" s="142"/>
      <c r="C937" s="198"/>
      <c r="D937" s="142"/>
      <c r="E937" s="131"/>
      <c r="F937" s="142"/>
      <c r="G937" s="142"/>
      <c r="H937" s="131"/>
      <c r="I937" s="142"/>
      <c r="J937" s="142"/>
      <c r="K937" s="132"/>
      <c r="L937" s="131"/>
      <c r="M937" s="142"/>
      <c r="N937" s="142"/>
      <c r="O937" s="142"/>
      <c r="P937" s="142"/>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30"/>
      <c r="AQ937" s="130"/>
      <c r="AR937" s="130"/>
      <c r="AS937" s="130"/>
      <c r="AT937" s="130"/>
      <c r="AU937" s="130"/>
      <c r="AV937" s="130"/>
      <c r="AW937" s="130"/>
      <c r="AX937" s="130"/>
      <c r="AY937" s="130"/>
      <c r="AZ937" s="130"/>
      <c r="BA937" s="130"/>
      <c r="BB937" s="130"/>
      <c r="BC937" s="130"/>
      <c r="BD937" s="130"/>
    </row>
    <row r="938" ht="15.75" customHeight="1">
      <c r="A938" s="142"/>
      <c r="B938" s="142"/>
      <c r="C938" s="198"/>
      <c r="D938" s="142"/>
      <c r="E938" s="131"/>
      <c r="F938" s="142"/>
      <c r="G938" s="142"/>
      <c r="H938" s="131"/>
      <c r="I938" s="142"/>
      <c r="J938" s="142"/>
      <c r="K938" s="132"/>
      <c r="L938" s="131"/>
      <c r="M938" s="142"/>
      <c r="N938" s="142"/>
      <c r="O938" s="142"/>
      <c r="P938" s="142"/>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30"/>
      <c r="AQ938" s="130"/>
      <c r="AR938" s="130"/>
      <c r="AS938" s="130"/>
      <c r="AT938" s="130"/>
      <c r="AU938" s="130"/>
      <c r="AV938" s="130"/>
      <c r="AW938" s="130"/>
      <c r="AX938" s="130"/>
      <c r="AY938" s="130"/>
      <c r="AZ938" s="130"/>
      <c r="BA938" s="130"/>
      <c r="BB938" s="130"/>
      <c r="BC938" s="130"/>
      <c r="BD938" s="130"/>
    </row>
    <row r="939" ht="15.75" customHeight="1">
      <c r="A939" s="142"/>
      <c r="B939" s="142"/>
      <c r="C939" s="198"/>
      <c r="D939" s="142"/>
      <c r="E939" s="131"/>
      <c r="F939" s="142"/>
      <c r="G939" s="142"/>
      <c r="H939" s="131"/>
      <c r="I939" s="142"/>
      <c r="J939" s="142"/>
      <c r="K939" s="132"/>
      <c r="L939" s="131"/>
      <c r="M939" s="142"/>
      <c r="N939" s="142"/>
      <c r="O939" s="142"/>
      <c r="P939" s="142"/>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30"/>
      <c r="AQ939" s="130"/>
      <c r="AR939" s="130"/>
      <c r="AS939" s="130"/>
      <c r="AT939" s="130"/>
      <c r="AU939" s="130"/>
      <c r="AV939" s="130"/>
      <c r="AW939" s="130"/>
      <c r="AX939" s="130"/>
      <c r="AY939" s="130"/>
      <c r="AZ939" s="130"/>
      <c r="BA939" s="130"/>
      <c r="BB939" s="130"/>
      <c r="BC939" s="130"/>
      <c r="BD939" s="130"/>
    </row>
    <row r="940" ht="15.75" customHeight="1">
      <c r="A940" s="142"/>
      <c r="B940" s="142"/>
      <c r="C940" s="198"/>
      <c r="D940" s="142"/>
      <c r="E940" s="131"/>
      <c r="F940" s="142"/>
      <c r="G940" s="142"/>
      <c r="H940" s="131"/>
      <c r="I940" s="142"/>
      <c r="J940" s="142"/>
      <c r="K940" s="132"/>
      <c r="L940" s="131"/>
      <c r="M940" s="142"/>
      <c r="N940" s="142"/>
      <c r="O940" s="142"/>
      <c r="P940" s="142"/>
      <c r="Q940" s="142"/>
      <c r="R940" s="142"/>
      <c r="S940" s="142"/>
      <c r="T940" s="142"/>
      <c r="U940" s="142"/>
      <c r="V940" s="142"/>
      <c r="W940" s="142"/>
      <c r="X940" s="142"/>
      <c r="Y940" s="142"/>
      <c r="Z940" s="142"/>
      <c r="AA940" s="142"/>
      <c r="AB940" s="142"/>
      <c r="AC940" s="142"/>
      <c r="AD940" s="142"/>
      <c r="AE940" s="142"/>
      <c r="AF940" s="142"/>
      <c r="AG940" s="142"/>
      <c r="AH940" s="142"/>
      <c r="AI940" s="142"/>
      <c r="AJ940" s="142"/>
      <c r="AK940" s="142"/>
      <c r="AL940" s="142"/>
      <c r="AM940" s="142"/>
      <c r="AN940" s="142"/>
      <c r="AO940" s="142"/>
      <c r="AP940" s="130"/>
      <c r="AQ940" s="130"/>
      <c r="AR940" s="130"/>
      <c r="AS940" s="130"/>
      <c r="AT940" s="130"/>
      <c r="AU940" s="130"/>
      <c r="AV940" s="130"/>
      <c r="AW940" s="130"/>
      <c r="AX940" s="130"/>
      <c r="AY940" s="130"/>
      <c r="AZ940" s="130"/>
      <c r="BA940" s="130"/>
      <c r="BB940" s="130"/>
      <c r="BC940" s="130"/>
      <c r="BD940" s="130"/>
    </row>
    <row r="941" ht="15.75" customHeight="1">
      <c r="A941" s="142"/>
      <c r="B941" s="142"/>
      <c r="C941" s="198"/>
      <c r="D941" s="142"/>
      <c r="E941" s="131"/>
      <c r="F941" s="142"/>
      <c r="G941" s="142"/>
      <c r="H941" s="131"/>
      <c r="I941" s="142"/>
      <c r="J941" s="142"/>
      <c r="K941" s="132"/>
      <c r="L941" s="131"/>
      <c r="M941" s="142"/>
      <c r="N941" s="142"/>
      <c r="O941" s="142"/>
      <c r="P941" s="142"/>
      <c r="Q941" s="142"/>
      <c r="R941" s="142"/>
      <c r="S941" s="142"/>
      <c r="T941" s="142"/>
      <c r="U941" s="142"/>
      <c r="V941" s="142"/>
      <c r="W941" s="142"/>
      <c r="X941" s="142"/>
      <c r="Y941" s="142"/>
      <c r="Z941" s="142"/>
      <c r="AA941" s="142"/>
      <c r="AB941" s="142"/>
      <c r="AC941" s="142"/>
      <c r="AD941" s="142"/>
      <c r="AE941" s="142"/>
      <c r="AF941" s="142"/>
      <c r="AG941" s="142"/>
      <c r="AH941" s="142"/>
      <c r="AI941" s="142"/>
      <c r="AJ941" s="142"/>
      <c r="AK941" s="142"/>
      <c r="AL941" s="142"/>
      <c r="AM941" s="142"/>
      <c r="AN941" s="142"/>
      <c r="AO941" s="142"/>
      <c r="AP941" s="130"/>
      <c r="AQ941" s="130"/>
      <c r="AR941" s="130"/>
      <c r="AS941" s="130"/>
      <c r="AT941" s="130"/>
      <c r="AU941" s="130"/>
      <c r="AV941" s="130"/>
      <c r="AW941" s="130"/>
      <c r="AX941" s="130"/>
      <c r="AY941" s="130"/>
      <c r="AZ941" s="130"/>
      <c r="BA941" s="130"/>
      <c r="BB941" s="130"/>
      <c r="BC941" s="130"/>
      <c r="BD941" s="130"/>
    </row>
    <row r="942" ht="15.75" customHeight="1">
      <c r="A942" s="142"/>
      <c r="B942" s="142"/>
      <c r="C942" s="198"/>
      <c r="D942" s="142"/>
      <c r="E942" s="131"/>
      <c r="F942" s="142"/>
      <c r="G942" s="142"/>
      <c r="H942" s="131"/>
      <c r="I942" s="142"/>
      <c r="J942" s="142"/>
      <c r="K942" s="132"/>
      <c r="L942" s="131"/>
      <c r="M942" s="142"/>
      <c r="N942" s="142"/>
      <c r="O942" s="142"/>
      <c r="P942" s="142"/>
      <c r="Q942" s="142"/>
      <c r="R942" s="142"/>
      <c r="S942" s="142"/>
      <c r="T942" s="142"/>
      <c r="U942" s="142"/>
      <c r="V942" s="142"/>
      <c r="W942" s="142"/>
      <c r="X942" s="142"/>
      <c r="Y942" s="142"/>
      <c r="Z942" s="142"/>
      <c r="AA942" s="142"/>
      <c r="AB942" s="142"/>
      <c r="AC942" s="142"/>
      <c r="AD942" s="142"/>
      <c r="AE942" s="142"/>
      <c r="AF942" s="142"/>
      <c r="AG942" s="142"/>
      <c r="AH942" s="142"/>
      <c r="AI942" s="142"/>
      <c r="AJ942" s="142"/>
      <c r="AK942" s="142"/>
      <c r="AL942" s="142"/>
      <c r="AM942" s="142"/>
      <c r="AN942" s="142"/>
      <c r="AO942" s="142"/>
      <c r="AP942" s="130"/>
      <c r="AQ942" s="130"/>
      <c r="AR942" s="130"/>
      <c r="AS942" s="130"/>
      <c r="AT942" s="130"/>
      <c r="AU942" s="130"/>
      <c r="AV942" s="130"/>
      <c r="AW942" s="130"/>
      <c r="AX942" s="130"/>
      <c r="AY942" s="130"/>
      <c r="AZ942" s="130"/>
      <c r="BA942" s="130"/>
      <c r="BB942" s="130"/>
      <c r="BC942" s="130"/>
      <c r="BD942" s="130"/>
    </row>
    <row r="943" ht="15.75" customHeight="1">
      <c r="A943" s="142"/>
      <c r="B943" s="142"/>
      <c r="C943" s="198"/>
      <c r="D943" s="142"/>
      <c r="E943" s="131"/>
      <c r="F943" s="142"/>
      <c r="G943" s="142"/>
      <c r="H943" s="131"/>
      <c r="I943" s="142"/>
      <c r="J943" s="142"/>
      <c r="K943" s="132"/>
      <c r="L943" s="131"/>
      <c r="M943" s="142"/>
      <c r="N943" s="142"/>
      <c r="O943" s="142"/>
      <c r="P943" s="142"/>
      <c r="Q943" s="142"/>
      <c r="R943" s="142"/>
      <c r="S943" s="142"/>
      <c r="T943" s="142"/>
      <c r="U943" s="142"/>
      <c r="V943" s="142"/>
      <c r="W943" s="142"/>
      <c r="X943" s="142"/>
      <c r="Y943" s="142"/>
      <c r="Z943" s="142"/>
      <c r="AA943" s="142"/>
      <c r="AB943" s="142"/>
      <c r="AC943" s="142"/>
      <c r="AD943" s="142"/>
      <c r="AE943" s="142"/>
      <c r="AF943" s="142"/>
      <c r="AG943" s="142"/>
      <c r="AH943" s="142"/>
      <c r="AI943" s="142"/>
      <c r="AJ943" s="142"/>
      <c r="AK943" s="142"/>
      <c r="AL943" s="142"/>
      <c r="AM943" s="142"/>
      <c r="AN943" s="142"/>
      <c r="AO943" s="142"/>
      <c r="AP943" s="130"/>
      <c r="AQ943" s="130"/>
      <c r="AR943" s="130"/>
      <c r="AS943" s="130"/>
      <c r="AT943" s="130"/>
      <c r="AU943" s="130"/>
      <c r="AV943" s="130"/>
      <c r="AW943" s="130"/>
      <c r="AX943" s="130"/>
      <c r="AY943" s="130"/>
      <c r="AZ943" s="130"/>
      <c r="BA943" s="130"/>
      <c r="BB943" s="130"/>
      <c r="BC943" s="130"/>
      <c r="BD943" s="130"/>
    </row>
    <row r="944" ht="15.75" customHeight="1">
      <c r="A944" s="142"/>
      <c r="B944" s="142"/>
      <c r="C944" s="198"/>
      <c r="D944" s="142"/>
      <c r="E944" s="131"/>
      <c r="F944" s="142"/>
      <c r="G944" s="142"/>
      <c r="H944" s="131"/>
      <c r="I944" s="142"/>
      <c r="J944" s="142"/>
      <c r="K944" s="132"/>
      <c r="L944" s="131"/>
      <c r="M944" s="142"/>
      <c r="N944" s="142"/>
      <c r="O944" s="142"/>
      <c r="P944" s="142"/>
      <c r="Q944" s="142"/>
      <c r="R944" s="142"/>
      <c r="S944" s="142"/>
      <c r="T944" s="142"/>
      <c r="U944" s="142"/>
      <c r="V944" s="142"/>
      <c r="W944" s="142"/>
      <c r="X944" s="142"/>
      <c r="Y944" s="142"/>
      <c r="Z944" s="142"/>
      <c r="AA944" s="142"/>
      <c r="AB944" s="142"/>
      <c r="AC944" s="142"/>
      <c r="AD944" s="142"/>
      <c r="AE944" s="142"/>
      <c r="AF944" s="142"/>
      <c r="AG944" s="142"/>
      <c r="AH944" s="142"/>
      <c r="AI944" s="142"/>
      <c r="AJ944" s="142"/>
      <c r="AK944" s="142"/>
      <c r="AL944" s="142"/>
      <c r="AM944" s="142"/>
      <c r="AN944" s="142"/>
      <c r="AO944" s="142"/>
      <c r="AP944" s="130"/>
      <c r="AQ944" s="130"/>
      <c r="AR944" s="130"/>
      <c r="AS944" s="130"/>
      <c r="AT944" s="130"/>
      <c r="AU944" s="130"/>
      <c r="AV944" s="130"/>
      <c r="AW944" s="130"/>
      <c r="AX944" s="130"/>
      <c r="AY944" s="130"/>
      <c r="AZ944" s="130"/>
      <c r="BA944" s="130"/>
      <c r="BB944" s="130"/>
      <c r="BC944" s="130"/>
      <c r="BD944" s="130"/>
    </row>
    <row r="945" ht="15.75" customHeight="1">
      <c r="A945" s="142"/>
      <c r="B945" s="142"/>
      <c r="C945" s="198"/>
      <c r="D945" s="142"/>
      <c r="E945" s="131"/>
      <c r="F945" s="142"/>
      <c r="G945" s="142"/>
      <c r="H945" s="131"/>
      <c r="I945" s="142"/>
      <c r="J945" s="142"/>
      <c r="K945" s="132"/>
      <c r="L945" s="131"/>
      <c r="M945" s="142"/>
      <c r="N945" s="142"/>
      <c r="O945" s="142"/>
      <c r="P945" s="142"/>
      <c r="Q945" s="142"/>
      <c r="R945" s="142"/>
      <c r="S945" s="142"/>
      <c r="T945" s="142"/>
      <c r="U945" s="142"/>
      <c r="V945" s="142"/>
      <c r="W945" s="142"/>
      <c r="X945" s="142"/>
      <c r="Y945" s="142"/>
      <c r="Z945" s="142"/>
      <c r="AA945" s="142"/>
      <c r="AB945" s="142"/>
      <c r="AC945" s="142"/>
      <c r="AD945" s="142"/>
      <c r="AE945" s="142"/>
      <c r="AF945" s="142"/>
      <c r="AG945" s="142"/>
      <c r="AH945" s="142"/>
      <c r="AI945" s="142"/>
      <c r="AJ945" s="142"/>
      <c r="AK945" s="142"/>
      <c r="AL945" s="142"/>
      <c r="AM945" s="142"/>
      <c r="AN945" s="142"/>
      <c r="AO945" s="142"/>
      <c r="AP945" s="130"/>
      <c r="AQ945" s="130"/>
      <c r="AR945" s="130"/>
      <c r="AS945" s="130"/>
      <c r="AT945" s="130"/>
      <c r="AU945" s="130"/>
      <c r="AV945" s="130"/>
      <c r="AW945" s="130"/>
      <c r="AX945" s="130"/>
      <c r="AY945" s="130"/>
      <c r="AZ945" s="130"/>
      <c r="BA945" s="130"/>
      <c r="BB945" s="130"/>
      <c r="BC945" s="130"/>
      <c r="BD945" s="130"/>
    </row>
    <row r="946" ht="15.75" customHeight="1">
      <c r="A946" s="142"/>
      <c r="B946" s="142"/>
      <c r="C946" s="198"/>
      <c r="D946" s="142"/>
      <c r="E946" s="131"/>
      <c r="F946" s="142"/>
      <c r="G946" s="142"/>
      <c r="H946" s="131"/>
      <c r="I946" s="142"/>
      <c r="J946" s="142"/>
      <c r="K946" s="132"/>
      <c r="L946" s="131"/>
      <c r="M946" s="142"/>
      <c r="N946" s="142"/>
      <c r="O946" s="142"/>
      <c r="P946" s="142"/>
      <c r="Q946" s="142"/>
      <c r="R946" s="142"/>
      <c r="S946" s="142"/>
      <c r="T946" s="142"/>
      <c r="U946" s="142"/>
      <c r="V946" s="142"/>
      <c r="W946" s="142"/>
      <c r="X946" s="142"/>
      <c r="Y946" s="142"/>
      <c r="Z946" s="142"/>
      <c r="AA946" s="142"/>
      <c r="AB946" s="142"/>
      <c r="AC946" s="142"/>
      <c r="AD946" s="142"/>
      <c r="AE946" s="142"/>
      <c r="AF946" s="142"/>
      <c r="AG946" s="142"/>
      <c r="AH946" s="142"/>
      <c r="AI946" s="142"/>
      <c r="AJ946" s="142"/>
      <c r="AK946" s="142"/>
      <c r="AL946" s="142"/>
      <c r="AM946" s="142"/>
      <c r="AN946" s="142"/>
      <c r="AO946" s="142"/>
      <c r="AP946" s="130"/>
      <c r="AQ946" s="130"/>
      <c r="AR946" s="130"/>
      <c r="AS946" s="130"/>
      <c r="AT946" s="130"/>
      <c r="AU946" s="130"/>
      <c r="AV946" s="130"/>
      <c r="AW946" s="130"/>
      <c r="AX946" s="130"/>
      <c r="AY946" s="130"/>
      <c r="AZ946" s="130"/>
      <c r="BA946" s="130"/>
      <c r="BB946" s="130"/>
      <c r="BC946" s="130"/>
      <c r="BD946" s="130"/>
    </row>
    <row r="947" ht="15.75" customHeight="1">
      <c r="A947" s="142"/>
      <c r="B947" s="142"/>
      <c r="C947" s="198"/>
      <c r="D947" s="142"/>
      <c r="E947" s="131"/>
      <c r="F947" s="142"/>
      <c r="G947" s="142"/>
      <c r="H947" s="131"/>
      <c r="I947" s="142"/>
      <c r="J947" s="142"/>
      <c r="K947" s="132"/>
      <c r="L947" s="131"/>
      <c r="M947" s="142"/>
      <c r="N947" s="142"/>
      <c r="O947" s="142"/>
      <c r="P947" s="142"/>
      <c r="Q947" s="142"/>
      <c r="R947" s="142"/>
      <c r="S947" s="142"/>
      <c r="T947" s="142"/>
      <c r="U947" s="142"/>
      <c r="V947" s="142"/>
      <c r="W947" s="142"/>
      <c r="X947" s="142"/>
      <c r="Y947" s="142"/>
      <c r="Z947" s="142"/>
      <c r="AA947" s="142"/>
      <c r="AB947" s="142"/>
      <c r="AC947" s="142"/>
      <c r="AD947" s="142"/>
      <c r="AE947" s="142"/>
      <c r="AF947" s="142"/>
      <c r="AG947" s="142"/>
      <c r="AH947" s="142"/>
      <c r="AI947" s="142"/>
      <c r="AJ947" s="142"/>
      <c r="AK947" s="142"/>
      <c r="AL947" s="142"/>
      <c r="AM947" s="142"/>
      <c r="AN947" s="142"/>
      <c r="AO947" s="142"/>
      <c r="AP947" s="130"/>
      <c r="AQ947" s="130"/>
      <c r="AR947" s="130"/>
      <c r="AS947" s="130"/>
      <c r="AT947" s="130"/>
      <c r="AU947" s="130"/>
      <c r="AV947" s="130"/>
      <c r="AW947" s="130"/>
      <c r="AX947" s="130"/>
      <c r="AY947" s="130"/>
      <c r="AZ947" s="130"/>
      <c r="BA947" s="130"/>
      <c r="BB947" s="130"/>
      <c r="BC947" s="130"/>
      <c r="BD947" s="130"/>
    </row>
    <row r="948" ht="15.75" customHeight="1">
      <c r="A948" s="142"/>
      <c r="B948" s="142"/>
      <c r="C948" s="198"/>
      <c r="D948" s="142"/>
      <c r="E948" s="131"/>
      <c r="F948" s="142"/>
      <c r="G948" s="142"/>
      <c r="H948" s="131"/>
      <c r="I948" s="142"/>
      <c r="J948" s="142"/>
      <c r="K948" s="132"/>
      <c r="L948" s="131"/>
      <c r="M948" s="142"/>
      <c r="N948" s="142"/>
      <c r="O948" s="142"/>
      <c r="P948" s="142"/>
      <c r="Q948" s="142"/>
      <c r="R948" s="142"/>
      <c r="S948" s="142"/>
      <c r="T948" s="142"/>
      <c r="U948" s="142"/>
      <c r="V948" s="142"/>
      <c r="W948" s="142"/>
      <c r="X948" s="142"/>
      <c r="Y948" s="142"/>
      <c r="Z948" s="142"/>
      <c r="AA948" s="142"/>
      <c r="AB948" s="142"/>
      <c r="AC948" s="142"/>
      <c r="AD948" s="142"/>
      <c r="AE948" s="142"/>
      <c r="AF948" s="142"/>
      <c r="AG948" s="142"/>
      <c r="AH948" s="142"/>
      <c r="AI948" s="142"/>
      <c r="AJ948" s="142"/>
      <c r="AK948" s="142"/>
      <c r="AL948" s="142"/>
      <c r="AM948" s="142"/>
      <c r="AN948" s="142"/>
      <c r="AO948" s="142"/>
      <c r="AP948" s="130"/>
      <c r="AQ948" s="130"/>
      <c r="AR948" s="130"/>
      <c r="AS948" s="130"/>
      <c r="AT948" s="130"/>
      <c r="AU948" s="130"/>
      <c r="AV948" s="130"/>
      <c r="AW948" s="130"/>
      <c r="AX948" s="130"/>
      <c r="AY948" s="130"/>
      <c r="AZ948" s="130"/>
      <c r="BA948" s="130"/>
      <c r="BB948" s="130"/>
      <c r="BC948" s="130"/>
      <c r="BD948" s="130"/>
    </row>
    <row r="949" ht="15.75" customHeight="1">
      <c r="A949" s="142"/>
      <c r="B949" s="142"/>
      <c r="C949" s="198"/>
      <c r="D949" s="142"/>
      <c r="E949" s="131"/>
      <c r="F949" s="142"/>
      <c r="G949" s="142"/>
      <c r="H949" s="131"/>
      <c r="I949" s="142"/>
      <c r="J949" s="142"/>
      <c r="K949" s="132"/>
      <c r="L949" s="131"/>
      <c r="M949" s="142"/>
      <c r="N949" s="142"/>
      <c r="O949" s="142"/>
      <c r="P949" s="142"/>
      <c r="Q949" s="142"/>
      <c r="R949" s="142"/>
      <c r="S949" s="142"/>
      <c r="T949" s="142"/>
      <c r="U949" s="142"/>
      <c r="V949" s="142"/>
      <c r="W949" s="142"/>
      <c r="X949" s="142"/>
      <c r="Y949" s="142"/>
      <c r="Z949" s="142"/>
      <c r="AA949" s="142"/>
      <c r="AB949" s="142"/>
      <c r="AC949" s="142"/>
      <c r="AD949" s="142"/>
      <c r="AE949" s="142"/>
      <c r="AF949" s="142"/>
      <c r="AG949" s="142"/>
      <c r="AH949" s="142"/>
      <c r="AI949" s="142"/>
      <c r="AJ949" s="142"/>
      <c r="AK949" s="142"/>
      <c r="AL949" s="142"/>
      <c r="AM949" s="142"/>
      <c r="AN949" s="142"/>
      <c r="AO949" s="142"/>
      <c r="AP949" s="130"/>
      <c r="AQ949" s="130"/>
      <c r="AR949" s="130"/>
      <c r="AS949" s="130"/>
      <c r="AT949" s="130"/>
      <c r="AU949" s="130"/>
      <c r="AV949" s="130"/>
      <c r="AW949" s="130"/>
      <c r="AX949" s="130"/>
      <c r="AY949" s="130"/>
      <c r="AZ949" s="130"/>
      <c r="BA949" s="130"/>
      <c r="BB949" s="130"/>
      <c r="BC949" s="130"/>
      <c r="BD949" s="130"/>
    </row>
    <row r="950" ht="15.75" customHeight="1">
      <c r="A950" s="142"/>
      <c r="B950" s="142"/>
      <c r="C950" s="198"/>
      <c r="D950" s="142"/>
      <c r="E950" s="131"/>
      <c r="F950" s="142"/>
      <c r="G950" s="142"/>
      <c r="H950" s="131"/>
      <c r="I950" s="142"/>
      <c r="J950" s="142"/>
      <c r="K950" s="132"/>
      <c r="L950" s="131"/>
      <c r="M950" s="142"/>
      <c r="N950" s="142"/>
      <c r="O950" s="142"/>
      <c r="P950" s="142"/>
      <c r="Q950" s="142"/>
      <c r="R950" s="142"/>
      <c r="S950" s="142"/>
      <c r="T950" s="142"/>
      <c r="U950" s="142"/>
      <c r="V950" s="142"/>
      <c r="W950" s="142"/>
      <c r="X950" s="142"/>
      <c r="Y950" s="142"/>
      <c r="Z950" s="142"/>
      <c r="AA950" s="142"/>
      <c r="AB950" s="142"/>
      <c r="AC950" s="142"/>
      <c r="AD950" s="142"/>
      <c r="AE950" s="142"/>
      <c r="AF950" s="142"/>
      <c r="AG950" s="142"/>
      <c r="AH950" s="142"/>
      <c r="AI950" s="142"/>
      <c r="AJ950" s="142"/>
      <c r="AK950" s="142"/>
      <c r="AL950" s="142"/>
      <c r="AM950" s="142"/>
      <c r="AN950" s="142"/>
      <c r="AO950" s="142"/>
      <c r="AP950" s="130"/>
      <c r="AQ950" s="130"/>
      <c r="AR950" s="130"/>
      <c r="AS950" s="130"/>
      <c r="AT950" s="130"/>
      <c r="AU950" s="130"/>
      <c r="AV950" s="130"/>
      <c r="AW950" s="130"/>
      <c r="AX950" s="130"/>
      <c r="AY950" s="130"/>
      <c r="AZ950" s="130"/>
      <c r="BA950" s="130"/>
      <c r="BB950" s="130"/>
      <c r="BC950" s="130"/>
      <c r="BD950" s="130"/>
    </row>
    <row r="951" ht="15.75" customHeight="1">
      <c r="A951" s="142"/>
      <c r="B951" s="142"/>
      <c r="C951" s="198"/>
      <c r="D951" s="142"/>
      <c r="E951" s="131"/>
      <c r="F951" s="142"/>
      <c r="G951" s="142"/>
      <c r="H951" s="131"/>
      <c r="I951" s="142"/>
      <c r="J951" s="142"/>
      <c r="K951" s="132"/>
      <c r="L951" s="131"/>
      <c r="M951" s="142"/>
      <c r="N951" s="142"/>
      <c r="O951" s="142"/>
      <c r="P951" s="142"/>
      <c r="Q951" s="142"/>
      <c r="R951" s="142"/>
      <c r="S951" s="142"/>
      <c r="T951" s="142"/>
      <c r="U951" s="142"/>
      <c r="V951" s="142"/>
      <c r="W951" s="142"/>
      <c r="X951" s="142"/>
      <c r="Y951" s="142"/>
      <c r="Z951" s="142"/>
      <c r="AA951" s="142"/>
      <c r="AB951" s="142"/>
      <c r="AC951" s="142"/>
      <c r="AD951" s="142"/>
      <c r="AE951" s="142"/>
      <c r="AF951" s="142"/>
      <c r="AG951" s="142"/>
      <c r="AH951" s="142"/>
      <c r="AI951" s="142"/>
      <c r="AJ951" s="142"/>
      <c r="AK951" s="142"/>
      <c r="AL951" s="142"/>
      <c r="AM951" s="142"/>
      <c r="AN951" s="142"/>
      <c r="AO951" s="142"/>
      <c r="AP951" s="130"/>
      <c r="AQ951" s="130"/>
      <c r="AR951" s="130"/>
      <c r="AS951" s="130"/>
      <c r="AT951" s="130"/>
      <c r="AU951" s="130"/>
      <c r="AV951" s="130"/>
      <c r="AW951" s="130"/>
      <c r="AX951" s="130"/>
      <c r="AY951" s="130"/>
      <c r="AZ951" s="130"/>
      <c r="BA951" s="130"/>
      <c r="BB951" s="130"/>
      <c r="BC951" s="130"/>
      <c r="BD951" s="130"/>
    </row>
    <row r="952" ht="15.75" customHeight="1">
      <c r="A952" s="142"/>
      <c r="B952" s="142"/>
      <c r="C952" s="198"/>
      <c r="D952" s="142"/>
      <c r="E952" s="131"/>
      <c r="F952" s="142"/>
      <c r="G952" s="142"/>
      <c r="H952" s="131"/>
      <c r="I952" s="142"/>
      <c r="J952" s="142"/>
      <c r="K952" s="132"/>
      <c r="L952" s="131"/>
      <c r="M952" s="142"/>
      <c r="N952" s="142"/>
      <c r="O952" s="142"/>
      <c r="P952" s="142"/>
      <c r="Q952" s="142"/>
      <c r="R952" s="142"/>
      <c r="S952" s="142"/>
      <c r="T952" s="142"/>
      <c r="U952" s="142"/>
      <c r="V952" s="142"/>
      <c r="W952" s="142"/>
      <c r="X952" s="142"/>
      <c r="Y952" s="142"/>
      <c r="Z952" s="142"/>
      <c r="AA952" s="142"/>
      <c r="AB952" s="142"/>
      <c r="AC952" s="142"/>
      <c r="AD952" s="142"/>
      <c r="AE952" s="142"/>
      <c r="AF952" s="142"/>
      <c r="AG952" s="142"/>
      <c r="AH952" s="142"/>
      <c r="AI952" s="142"/>
      <c r="AJ952" s="142"/>
      <c r="AK952" s="142"/>
      <c r="AL952" s="142"/>
      <c r="AM952" s="142"/>
      <c r="AN952" s="142"/>
      <c r="AO952" s="142"/>
      <c r="AP952" s="130"/>
      <c r="AQ952" s="130"/>
      <c r="AR952" s="130"/>
      <c r="AS952" s="130"/>
      <c r="AT952" s="130"/>
      <c r="AU952" s="130"/>
      <c r="AV952" s="130"/>
      <c r="AW952" s="130"/>
      <c r="AX952" s="130"/>
      <c r="AY952" s="130"/>
      <c r="AZ952" s="130"/>
      <c r="BA952" s="130"/>
      <c r="BB952" s="130"/>
      <c r="BC952" s="130"/>
      <c r="BD952" s="130"/>
    </row>
    <row r="953" ht="15.75" customHeight="1">
      <c r="A953" s="142"/>
      <c r="B953" s="142"/>
      <c r="C953" s="198"/>
      <c r="D953" s="142"/>
      <c r="E953" s="131"/>
      <c r="F953" s="142"/>
      <c r="G953" s="142"/>
      <c r="H953" s="131"/>
      <c r="I953" s="142"/>
      <c r="J953" s="142"/>
      <c r="K953" s="132"/>
      <c r="L953" s="131"/>
      <c r="M953" s="142"/>
      <c r="N953" s="142"/>
      <c r="O953" s="142"/>
      <c r="P953" s="142"/>
      <c r="Q953" s="142"/>
      <c r="R953" s="142"/>
      <c r="S953" s="142"/>
      <c r="T953" s="142"/>
      <c r="U953" s="142"/>
      <c r="V953" s="142"/>
      <c r="W953" s="142"/>
      <c r="X953" s="142"/>
      <c r="Y953" s="142"/>
      <c r="Z953" s="142"/>
      <c r="AA953" s="142"/>
      <c r="AB953" s="142"/>
      <c r="AC953" s="142"/>
      <c r="AD953" s="142"/>
      <c r="AE953" s="142"/>
      <c r="AF953" s="142"/>
      <c r="AG953" s="142"/>
      <c r="AH953" s="142"/>
      <c r="AI953" s="142"/>
      <c r="AJ953" s="142"/>
      <c r="AK953" s="142"/>
      <c r="AL953" s="142"/>
      <c r="AM953" s="142"/>
      <c r="AN953" s="142"/>
      <c r="AO953" s="142"/>
      <c r="AP953" s="130"/>
      <c r="AQ953" s="130"/>
      <c r="AR953" s="130"/>
      <c r="AS953" s="130"/>
      <c r="AT953" s="130"/>
      <c r="AU953" s="130"/>
      <c r="AV953" s="130"/>
      <c r="AW953" s="130"/>
      <c r="AX953" s="130"/>
      <c r="AY953" s="130"/>
      <c r="AZ953" s="130"/>
      <c r="BA953" s="130"/>
      <c r="BB953" s="130"/>
      <c r="BC953" s="130"/>
      <c r="BD953" s="130"/>
    </row>
    <row r="954" ht="15.75" customHeight="1">
      <c r="A954" s="142"/>
      <c r="B954" s="142"/>
      <c r="C954" s="198"/>
      <c r="D954" s="142"/>
      <c r="E954" s="131"/>
      <c r="F954" s="142"/>
      <c r="G954" s="142"/>
      <c r="H954" s="131"/>
      <c r="I954" s="142"/>
      <c r="J954" s="142"/>
      <c r="K954" s="132"/>
      <c r="L954" s="131"/>
      <c r="M954" s="142"/>
      <c r="N954" s="142"/>
      <c r="O954" s="142"/>
      <c r="P954" s="142"/>
      <c r="Q954" s="142"/>
      <c r="R954" s="142"/>
      <c r="S954" s="142"/>
      <c r="T954" s="142"/>
      <c r="U954" s="142"/>
      <c r="V954" s="142"/>
      <c r="W954" s="142"/>
      <c r="X954" s="142"/>
      <c r="Y954" s="142"/>
      <c r="Z954" s="142"/>
      <c r="AA954" s="142"/>
      <c r="AB954" s="142"/>
      <c r="AC954" s="142"/>
      <c r="AD954" s="142"/>
      <c r="AE954" s="142"/>
      <c r="AF954" s="142"/>
      <c r="AG954" s="142"/>
      <c r="AH954" s="142"/>
      <c r="AI954" s="142"/>
      <c r="AJ954" s="142"/>
      <c r="AK954" s="142"/>
      <c r="AL954" s="142"/>
      <c r="AM954" s="142"/>
      <c r="AN954" s="142"/>
      <c r="AO954" s="142"/>
      <c r="AP954" s="130"/>
      <c r="AQ954" s="130"/>
      <c r="AR954" s="130"/>
      <c r="AS954" s="130"/>
      <c r="AT954" s="130"/>
      <c r="AU954" s="130"/>
      <c r="AV954" s="130"/>
      <c r="AW954" s="130"/>
      <c r="AX954" s="130"/>
      <c r="AY954" s="130"/>
      <c r="AZ954" s="130"/>
      <c r="BA954" s="130"/>
      <c r="BB954" s="130"/>
      <c r="BC954" s="130"/>
      <c r="BD954" s="130"/>
    </row>
    <row r="955" ht="15.75" customHeight="1">
      <c r="A955" s="142"/>
      <c r="B955" s="142"/>
      <c r="C955" s="198"/>
      <c r="D955" s="142"/>
      <c r="E955" s="131"/>
      <c r="F955" s="142"/>
      <c r="G955" s="142"/>
      <c r="H955" s="131"/>
      <c r="I955" s="142"/>
      <c r="J955" s="142"/>
      <c r="K955" s="132"/>
      <c r="L955" s="131"/>
      <c r="M955" s="142"/>
      <c r="N955" s="142"/>
      <c r="O955" s="142"/>
      <c r="P955" s="142"/>
      <c r="Q955" s="142"/>
      <c r="R955" s="142"/>
      <c r="S955" s="142"/>
      <c r="T955" s="142"/>
      <c r="U955" s="142"/>
      <c r="V955" s="142"/>
      <c r="W955" s="142"/>
      <c r="X955" s="142"/>
      <c r="Y955" s="142"/>
      <c r="Z955" s="142"/>
      <c r="AA955" s="142"/>
      <c r="AB955" s="142"/>
      <c r="AC955" s="142"/>
      <c r="AD955" s="142"/>
      <c r="AE955" s="142"/>
      <c r="AF955" s="142"/>
      <c r="AG955" s="142"/>
      <c r="AH955" s="142"/>
      <c r="AI955" s="142"/>
      <c r="AJ955" s="142"/>
      <c r="AK955" s="142"/>
      <c r="AL955" s="142"/>
      <c r="AM955" s="142"/>
      <c r="AN955" s="142"/>
      <c r="AO955" s="142"/>
      <c r="AP955" s="130"/>
      <c r="AQ955" s="130"/>
      <c r="AR955" s="130"/>
      <c r="AS955" s="130"/>
      <c r="AT955" s="130"/>
      <c r="AU955" s="130"/>
      <c r="AV955" s="130"/>
      <c r="AW955" s="130"/>
      <c r="AX955" s="130"/>
      <c r="AY955" s="130"/>
      <c r="AZ955" s="130"/>
      <c r="BA955" s="130"/>
      <c r="BB955" s="130"/>
      <c r="BC955" s="130"/>
      <c r="BD955" s="130"/>
    </row>
    <row r="956" ht="15.75" customHeight="1">
      <c r="A956" s="142"/>
      <c r="B956" s="142"/>
      <c r="C956" s="198"/>
      <c r="D956" s="142"/>
      <c r="E956" s="131"/>
      <c r="F956" s="142"/>
      <c r="G956" s="142"/>
      <c r="H956" s="131"/>
      <c r="I956" s="142"/>
      <c r="J956" s="142"/>
      <c r="K956" s="132"/>
      <c r="L956" s="131"/>
      <c r="M956" s="142"/>
      <c r="N956" s="142"/>
      <c r="O956" s="142"/>
      <c r="P956" s="142"/>
      <c r="Q956" s="142"/>
      <c r="R956" s="142"/>
      <c r="S956" s="142"/>
      <c r="T956" s="142"/>
      <c r="U956" s="142"/>
      <c r="V956" s="142"/>
      <c r="W956" s="142"/>
      <c r="X956" s="142"/>
      <c r="Y956" s="142"/>
      <c r="Z956" s="142"/>
      <c r="AA956" s="142"/>
      <c r="AB956" s="142"/>
      <c r="AC956" s="142"/>
      <c r="AD956" s="142"/>
      <c r="AE956" s="142"/>
      <c r="AF956" s="142"/>
      <c r="AG956" s="142"/>
      <c r="AH956" s="142"/>
      <c r="AI956" s="142"/>
      <c r="AJ956" s="142"/>
      <c r="AK956" s="142"/>
      <c r="AL956" s="142"/>
      <c r="AM956" s="142"/>
      <c r="AN956" s="142"/>
      <c r="AO956" s="142"/>
      <c r="AP956" s="130"/>
      <c r="AQ956" s="130"/>
      <c r="AR956" s="130"/>
      <c r="AS956" s="130"/>
      <c r="AT956" s="130"/>
      <c r="AU956" s="130"/>
      <c r="AV956" s="130"/>
      <c r="AW956" s="130"/>
      <c r="AX956" s="130"/>
      <c r="AY956" s="130"/>
      <c r="AZ956" s="130"/>
      <c r="BA956" s="130"/>
      <c r="BB956" s="130"/>
      <c r="BC956" s="130"/>
      <c r="BD956" s="130"/>
    </row>
    <row r="957" ht="15.75" customHeight="1">
      <c r="A957" s="142"/>
      <c r="B957" s="142"/>
      <c r="C957" s="198"/>
      <c r="D957" s="142"/>
      <c r="E957" s="131"/>
      <c r="F957" s="142"/>
      <c r="G957" s="142"/>
      <c r="H957" s="131"/>
      <c r="I957" s="142"/>
      <c r="J957" s="142"/>
      <c r="K957" s="132"/>
      <c r="L957" s="131"/>
      <c r="M957" s="142"/>
      <c r="N957" s="142"/>
      <c r="O957" s="142"/>
      <c r="P957" s="142"/>
      <c r="Q957" s="142"/>
      <c r="R957" s="142"/>
      <c r="S957" s="142"/>
      <c r="T957" s="142"/>
      <c r="U957" s="142"/>
      <c r="V957" s="142"/>
      <c r="W957" s="142"/>
      <c r="X957" s="142"/>
      <c r="Y957" s="142"/>
      <c r="Z957" s="142"/>
      <c r="AA957" s="142"/>
      <c r="AB957" s="142"/>
      <c r="AC957" s="142"/>
      <c r="AD957" s="142"/>
      <c r="AE957" s="142"/>
      <c r="AF957" s="142"/>
      <c r="AG957" s="142"/>
      <c r="AH957" s="142"/>
      <c r="AI957" s="142"/>
      <c r="AJ957" s="142"/>
      <c r="AK957" s="142"/>
      <c r="AL957" s="142"/>
      <c r="AM957" s="142"/>
      <c r="AN957" s="142"/>
      <c r="AO957" s="142"/>
      <c r="AP957" s="130"/>
      <c r="AQ957" s="130"/>
      <c r="AR957" s="130"/>
      <c r="AS957" s="130"/>
      <c r="AT957" s="130"/>
      <c r="AU957" s="130"/>
      <c r="AV957" s="130"/>
      <c r="AW957" s="130"/>
      <c r="AX957" s="130"/>
      <c r="AY957" s="130"/>
      <c r="AZ957" s="130"/>
      <c r="BA957" s="130"/>
      <c r="BB957" s="130"/>
      <c r="BC957" s="130"/>
      <c r="BD957" s="130"/>
    </row>
    <row r="958" ht="15.75" customHeight="1">
      <c r="A958" s="142"/>
      <c r="B958" s="142"/>
      <c r="C958" s="198"/>
      <c r="D958" s="142"/>
      <c r="E958" s="131"/>
      <c r="F958" s="142"/>
      <c r="G958" s="142"/>
      <c r="H958" s="131"/>
      <c r="I958" s="142"/>
      <c r="J958" s="142"/>
      <c r="K958" s="132"/>
      <c r="L958" s="131"/>
      <c r="M958" s="142"/>
      <c r="N958" s="142"/>
      <c r="O958" s="142"/>
      <c r="P958" s="142"/>
      <c r="Q958" s="142"/>
      <c r="R958" s="142"/>
      <c r="S958" s="142"/>
      <c r="T958" s="142"/>
      <c r="U958" s="142"/>
      <c r="V958" s="142"/>
      <c r="W958" s="142"/>
      <c r="X958" s="142"/>
      <c r="Y958" s="142"/>
      <c r="Z958" s="142"/>
      <c r="AA958" s="142"/>
      <c r="AB958" s="142"/>
      <c r="AC958" s="142"/>
      <c r="AD958" s="142"/>
      <c r="AE958" s="142"/>
      <c r="AF958" s="142"/>
      <c r="AG958" s="142"/>
      <c r="AH958" s="142"/>
      <c r="AI958" s="142"/>
      <c r="AJ958" s="142"/>
      <c r="AK958" s="142"/>
      <c r="AL958" s="142"/>
      <c r="AM958" s="142"/>
      <c r="AN958" s="142"/>
      <c r="AO958" s="142"/>
      <c r="AP958" s="130"/>
      <c r="AQ958" s="130"/>
      <c r="AR958" s="130"/>
      <c r="AS958" s="130"/>
      <c r="AT958" s="130"/>
      <c r="AU958" s="130"/>
      <c r="AV958" s="130"/>
      <c r="AW958" s="130"/>
      <c r="AX958" s="130"/>
      <c r="AY958" s="130"/>
      <c r="AZ958" s="130"/>
      <c r="BA958" s="130"/>
      <c r="BB958" s="130"/>
      <c r="BC958" s="130"/>
      <c r="BD958" s="130"/>
    </row>
    <row r="959" ht="15.75" customHeight="1">
      <c r="A959" s="142"/>
      <c r="B959" s="142"/>
      <c r="C959" s="198"/>
      <c r="D959" s="142"/>
      <c r="E959" s="131"/>
      <c r="F959" s="142"/>
      <c r="G959" s="142"/>
      <c r="H959" s="131"/>
      <c r="I959" s="142"/>
      <c r="J959" s="142"/>
      <c r="K959" s="132"/>
      <c r="L959" s="131"/>
      <c r="M959" s="142"/>
      <c r="N959" s="142"/>
      <c r="O959" s="142"/>
      <c r="P959" s="142"/>
      <c r="Q959" s="142"/>
      <c r="R959" s="142"/>
      <c r="S959" s="142"/>
      <c r="T959" s="142"/>
      <c r="U959" s="142"/>
      <c r="V959" s="142"/>
      <c r="W959" s="142"/>
      <c r="X959" s="142"/>
      <c r="Y959" s="142"/>
      <c r="Z959" s="142"/>
      <c r="AA959" s="142"/>
      <c r="AB959" s="142"/>
      <c r="AC959" s="142"/>
      <c r="AD959" s="142"/>
      <c r="AE959" s="142"/>
      <c r="AF959" s="142"/>
      <c r="AG959" s="142"/>
      <c r="AH959" s="142"/>
      <c r="AI959" s="142"/>
      <c r="AJ959" s="142"/>
      <c r="AK959" s="142"/>
      <c r="AL959" s="142"/>
      <c r="AM959" s="142"/>
      <c r="AN959" s="142"/>
      <c r="AO959" s="142"/>
      <c r="AP959" s="130"/>
      <c r="AQ959" s="130"/>
      <c r="AR959" s="130"/>
      <c r="AS959" s="130"/>
      <c r="AT959" s="130"/>
      <c r="AU959" s="130"/>
      <c r="AV959" s="130"/>
      <c r="AW959" s="130"/>
      <c r="AX959" s="130"/>
      <c r="AY959" s="130"/>
      <c r="AZ959" s="130"/>
      <c r="BA959" s="130"/>
      <c r="BB959" s="130"/>
      <c r="BC959" s="130"/>
      <c r="BD959" s="130"/>
    </row>
    <row r="960" ht="15.75" customHeight="1">
      <c r="A960" s="142"/>
      <c r="B960" s="142"/>
      <c r="C960" s="198"/>
      <c r="D960" s="142"/>
      <c r="E960" s="131"/>
      <c r="F960" s="142"/>
      <c r="G960" s="142"/>
      <c r="H960" s="131"/>
      <c r="I960" s="142"/>
      <c r="J960" s="142"/>
      <c r="K960" s="132"/>
      <c r="L960" s="131"/>
      <c r="M960" s="142"/>
      <c r="N960" s="142"/>
      <c r="O960" s="142"/>
      <c r="P960" s="142"/>
      <c r="Q960" s="142"/>
      <c r="R960" s="142"/>
      <c r="S960" s="142"/>
      <c r="T960" s="142"/>
      <c r="U960" s="142"/>
      <c r="V960" s="142"/>
      <c r="W960" s="142"/>
      <c r="X960" s="142"/>
      <c r="Y960" s="142"/>
      <c r="Z960" s="142"/>
      <c r="AA960" s="142"/>
      <c r="AB960" s="142"/>
      <c r="AC960" s="142"/>
      <c r="AD960" s="142"/>
      <c r="AE960" s="142"/>
      <c r="AF960" s="142"/>
      <c r="AG960" s="142"/>
      <c r="AH960" s="142"/>
      <c r="AI960" s="142"/>
      <c r="AJ960" s="142"/>
      <c r="AK960" s="142"/>
      <c r="AL960" s="142"/>
      <c r="AM960" s="142"/>
      <c r="AN960" s="142"/>
      <c r="AO960" s="142"/>
      <c r="AP960" s="130"/>
      <c r="AQ960" s="130"/>
      <c r="AR960" s="130"/>
      <c r="AS960" s="130"/>
      <c r="AT960" s="130"/>
      <c r="AU960" s="130"/>
      <c r="AV960" s="130"/>
      <c r="AW960" s="130"/>
      <c r="AX960" s="130"/>
      <c r="AY960" s="130"/>
      <c r="AZ960" s="130"/>
      <c r="BA960" s="130"/>
      <c r="BB960" s="130"/>
      <c r="BC960" s="130"/>
      <c r="BD960" s="130"/>
    </row>
    <row r="961" ht="15.75" customHeight="1">
      <c r="A961" s="142"/>
      <c r="B961" s="142"/>
      <c r="C961" s="198"/>
      <c r="D961" s="142"/>
      <c r="E961" s="131"/>
      <c r="F961" s="142"/>
      <c r="G961" s="142"/>
      <c r="H961" s="131"/>
      <c r="I961" s="142"/>
      <c r="J961" s="142"/>
      <c r="K961" s="132"/>
      <c r="L961" s="131"/>
      <c r="M961" s="142"/>
      <c r="N961" s="142"/>
      <c r="O961" s="142"/>
      <c r="P961" s="142"/>
      <c r="Q961" s="142"/>
      <c r="R961" s="142"/>
      <c r="S961" s="142"/>
      <c r="T961" s="142"/>
      <c r="U961" s="142"/>
      <c r="V961" s="142"/>
      <c r="W961" s="142"/>
      <c r="X961" s="142"/>
      <c r="Y961" s="142"/>
      <c r="Z961" s="142"/>
      <c r="AA961" s="142"/>
      <c r="AB961" s="142"/>
      <c r="AC961" s="142"/>
      <c r="AD961" s="142"/>
      <c r="AE961" s="142"/>
      <c r="AF961" s="142"/>
      <c r="AG961" s="142"/>
      <c r="AH961" s="142"/>
      <c r="AI961" s="142"/>
      <c r="AJ961" s="142"/>
      <c r="AK961" s="142"/>
      <c r="AL961" s="142"/>
      <c r="AM961" s="142"/>
      <c r="AN961" s="142"/>
      <c r="AO961" s="142"/>
      <c r="AP961" s="130"/>
      <c r="AQ961" s="130"/>
      <c r="AR961" s="130"/>
      <c r="AS961" s="130"/>
      <c r="AT961" s="130"/>
      <c r="AU961" s="130"/>
      <c r="AV961" s="130"/>
      <c r="AW961" s="130"/>
      <c r="AX961" s="130"/>
      <c r="AY961" s="130"/>
      <c r="AZ961" s="130"/>
      <c r="BA961" s="130"/>
      <c r="BB961" s="130"/>
      <c r="BC961" s="130"/>
      <c r="BD961" s="130"/>
    </row>
    <row r="962" ht="15.75" customHeight="1">
      <c r="A962" s="142"/>
      <c r="B962" s="142"/>
      <c r="C962" s="198"/>
      <c r="D962" s="142"/>
      <c r="E962" s="131"/>
      <c r="F962" s="142"/>
      <c r="G962" s="142"/>
      <c r="H962" s="131"/>
      <c r="I962" s="142"/>
      <c r="J962" s="142"/>
      <c r="K962" s="132"/>
      <c r="L962" s="131"/>
      <c r="M962" s="142"/>
      <c r="N962" s="142"/>
      <c r="O962" s="142"/>
      <c r="P962" s="142"/>
      <c r="Q962" s="142"/>
      <c r="R962" s="142"/>
      <c r="S962" s="142"/>
      <c r="T962" s="142"/>
      <c r="U962" s="142"/>
      <c r="V962" s="142"/>
      <c r="W962" s="142"/>
      <c r="X962" s="142"/>
      <c r="Y962" s="142"/>
      <c r="Z962" s="142"/>
      <c r="AA962" s="142"/>
      <c r="AB962" s="142"/>
      <c r="AC962" s="142"/>
      <c r="AD962" s="142"/>
      <c r="AE962" s="142"/>
      <c r="AF962" s="142"/>
      <c r="AG962" s="142"/>
      <c r="AH962" s="142"/>
      <c r="AI962" s="142"/>
      <c r="AJ962" s="142"/>
      <c r="AK962" s="142"/>
      <c r="AL962" s="142"/>
      <c r="AM962" s="142"/>
      <c r="AN962" s="142"/>
      <c r="AO962" s="142"/>
      <c r="AP962" s="130"/>
      <c r="AQ962" s="130"/>
      <c r="AR962" s="130"/>
      <c r="AS962" s="130"/>
      <c r="AT962" s="130"/>
      <c r="AU962" s="130"/>
      <c r="AV962" s="130"/>
      <c r="AW962" s="130"/>
      <c r="AX962" s="130"/>
      <c r="AY962" s="130"/>
      <c r="AZ962" s="130"/>
      <c r="BA962" s="130"/>
      <c r="BB962" s="130"/>
      <c r="BC962" s="130"/>
      <c r="BD962" s="130"/>
    </row>
    <row r="963" ht="15.75" customHeight="1">
      <c r="A963" s="142"/>
      <c r="B963" s="142"/>
      <c r="C963" s="198"/>
      <c r="D963" s="142"/>
      <c r="E963" s="131"/>
      <c r="F963" s="142"/>
      <c r="G963" s="142"/>
      <c r="H963" s="131"/>
      <c r="I963" s="142"/>
      <c r="J963" s="142"/>
      <c r="K963" s="132"/>
      <c r="L963" s="131"/>
      <c r="M963" s="142"/>
      <c r="N963" s="142"/>
      <c r="O963" s="142"/>
      <c r="P963" s="142"/>
      <c r="Q963" s="142"/>
      <c r="R963" s="142"/>
      <c r="S963" s="142"/>
      <c r="T963" s="142"/>
      <c r="U963" s="142"/>
      <c r="V963" s="142"/>
      <c r="W963" s="142"/>
      <c r="X963" s="142"/>
      <c r="Y963" s="142"/>
      <c r="Z963" s="142"/>
      <c r="AA963" s="142"/>
      <c r="AB963" s="142"/>
      <c r="AC963" s="142"/>
      <c r="AD963" s="142"/>
      <c r="AE963" s="142"/>
      <c r="AF963" s="142"/>
      <c r="AG963" s="142"/>
      <c r="AH963" s="142"/>
      <c r="AI963" s="142"/>
      <c r="AJ963" s="142"/>
      <c r="AK963" s="142"/>
      <c r="AL963" s="142"/>
      <c r="AM963" s="142"/>
      <c r="AN963" s="142"/>
      <c r="AO963" s="142"/>
      <c r="AP963" s="130"/>
      <c r="AQ963" s="130"/>
      <c r="AR963" s="130"/>
      <c r="AS963" s="130"/>
      <c r="AT963" s="130"/>
      <c r="AU963" s="130"/>
      <c r="AV963" s="130"/>
      <c r="AW963" s="130"/>
      <c r="AX963" s="130"/>
      <c r="AY963" s="130"/>
      <c r="AZ963" s="130"/>
      <c r="BA963" s="130"/>
      <c r="BB963" s="130"/>
      <c r="BC963" s="130"/>
      <c r="BD963" s="130"/>
    </row>
    <row r="964" ht="15.75" customHeight="1">
      <c r="A964" s="142"/>
      <c r="B964" s="142"/>
      <c r="C964" s="198"/>
      <c r="D964" s="142"/>
      <c r="E964" s="131"/>
      <c r="F964" s="142"/>
      <c r="G964" s="142"/>
      <c r="H964" s="131"/>
      <c r="I964" s="142"/>
      <c r="J964" s="142"/>
      <c r="K964" s="132"/>
      <c r="L964" s="131"/>
      <c r="M964" s="142"/>
      <c r="N964" s="142"/>
      <c r="O964" s="142"/>
      <c r="P964" s="142"/>
      <c r="Q964" s="142"/>
      <c r="R964" s="142"/>
      <c r="S964" s="142"/>
      <c r="T964" s="142"/>
      <c r="U964" s="142"/>
      <c r="V964" s="142"/>
      <c r="W964" s="142"/>
      <c r="X964" s="142"/>
      <c r="Y964" s="142"/>
      <c r="Z964" s="142"/>
      <c r="AA964" s="142"/>
      <c r="AB964" s="142"/>
      <c r="AC964" s="142"/>
      <c r="AD964" s="142"/>
      <c r="AE964" s="142"/>
      <c r="AF964" s="142"/>
      <c r="AG964" s="142"/>
      <c r="AH964" s="142"/>
      <c r="AI964" s="142"/>
      <c r="AJ964" s="142"/>
      <c r="AK964" s="142"/>
      <c r="AL964" s="142"/>
      <c r="AM964" s="142"/>
      <c r="AN964" s="142"/>
      <c r="AO964" s="142"/>
      <c r="AP964" s="130"/>
      <c r="AQ964" s="130"/>
      <c r="AR964" s="130"/>
      <c r="AS964" s="130"/>
      <c r="AT964" s="130"/>
      <c r="AU964" s="130"/>
      <c r="AV964" s="130"/>
      <c r="AW964" s="130"/>
      <c r="AX964" s="130"/>
      <c r="AY964" s="130"/>
      <c r="AZ964" s="130"/>
      <c r="BA964" s="130"/>
      <c r="BB964" s="130"/>
      <c r="BC964" s="130"/>
      <c r="BD964" s="130"/>
    </row>
    <row r="965" ht="15.75" customHeight="1">
      <c r="A965" s="142"/>
      <c r="B965" s="142"/>
      <c r="C965" s="198"/>
      <c r="D965" s="142"/>
      <c r="E965" s="131"/>
      <c r="F965" s="142"/>
      <c r="G965" s="142"/>
      <c r="H965" s="131"/>
      <c r="I965" s="142"/>
      <c r="J965" s="142"/>
      <c r="K965" s="132"/>
      <c r="L965" s="131"/>
      <c r="M965" s="142"/>
      <c r="N965" s="142"/>
      <c r="O965" s="142"/>
      <c r="P965" s="142"/>
      <c r="Q965" s="142"/>
      <c r="R965" s="142"/>
      <c r="S965" s="142"/>
      <c r="T965" s="142"/>
      <c r="U965" s="142"/>
      <c r="V965" s="142"/>
      <c r="W965" s="142"/>
      <c r="X965" s="142"/>
      <c r="Y965" s="142"/>
      <c r="Z965" s="142"/>
      <c r="AA965" s="142"/>
      <c r="AB965" s="142"/>
      <c r="AC965" s="142"/>
      <c r="AD965" s="142"/>
      <c r="AE965" s="142"/>
      <c r="AF965" s="142"/>
      <c r="AG965" s="142"/>
      <c r="AH965" s="142"/>
      <c r="AI965" s="142"/>
      <c r="AJ965" s="142"/>
      <c r="AK965" s="142"/>
      <c r="AL965" s="142"/>
      <c r="AM965" s="142"/>
      <c r="AN965" s="142"/>
      <c r="AO965" s="142"/>
      <c r="AP965" s="130"/>
      <c r="AQ965" s="130"/>
      <c r="AR965" s="130"/>
      <c r="AS965" s="130"/>
      <c r="AT965" s="130"/>
      <c r="AU965" s="130"/>
      <c r="AV965" s="130"/>
      <c r="AW965" s="130"/>
      <c r="AX965" s="130"/>
      <c r="AY965" s="130"/>
      <c r="AZ965" s="130"/>
      <c r="BA965" s="130"/>
      <c r="BB965" s="130"/>
      <c r="BC965" s="130"/>
      <c r="BD965" s="130"/>
    </row>
    <row r="966" ht="15.75" customHeight="1">
      <c r="A966" s="142"/>
      <c r="B966" s="142"/>
      <c r="C966" s="198"/>
      <c r="D966" s="142"/>
      <c r="E966" s="131"/>
      <c r="F966" s="142"/>
      <c r="G966" s="142"/>
      <c r="H966" s="131"/>
      <c r="I966" s="142"/>
      <c r="J966" s="142"/>
      <c r="K966" s="132"/>
      <c r="L966" s="131"/>
      <c r="M966" s="142"/>
      <c r="N966" s="142"/>
      <c r="O966" s="142"/>
      <c r="P966" s="142"/>
      <c r="Q966" s="142"/>
      <c r="R966" s="142"/>
      <c r="S966" s="142"/>
      <c r="T966" s="142"/>
      <c r="U966" s="142"/>
      <c r="V966" s="142"/>
      <c r="W966" s="142"/>
      <c r="X966" s="142"/>
      <c r="Y966" s="142"/>
      <c r="Z966" s="142"/>
      <c r="AA966" s="142"/>
      <c r="AB966" s="142"/>
      <c r="AC966" s="142"/>
      <c r="AD966" s="142"/>
      <c r="AE966" s="142"/>
      <c r="AF966" s="142"/>
      <c r="AG966" s="142"/>
      <c r="AH966" s="142"/>
      <c r="AI966" s="142"/>
      <c r="AJ966" s="142"/>
      <c r="AK966" s="142"/>
      <c r="AL966" s="142"/>
      <c r="AM966" s="142"/>
      <c r="AN966" s="142"/>
      <c r="AO966" s="142"/>
      <c r="AP966" s="130"/>
      <c r="AQ966" s="130"/>
      <c r="AR966" s="130"/>
      <c r="AS966" s="130"/>
      <c r="AT966" s="130"/>
      <c r="AU966" s="130"/>
      <c r="AV966" s="130"/>
      <c r="AW966" s="130"/>
      <c r="AX966" s="130"/>
      <c r="AY966" s="130"/>
      <c r="AZ966" s="130"/>
      <c r="BA966" s="130"/>
      <c r="BB966" s="130"/>
      <c r="BC966" s="130"/>
      <c r="BD966" s="130"/>
    </row>
    <row r="967" ht="15.75" customHeight="1">
      <c r="A967" s="142"/>
      <c r="B967" s="142"/>
      <c r="C967" s="198"/>
      <c r="D967" s="142"/>
      <c r="E967" s="131"/>
      <c r="F967" s="142"/>
      <c r="G967" s="142"/>
      <c r="H967" s="131"/>
      <c r="I967" s="142"/>
      <c r="J967" s="142"/>
      <c r="K967" s="132"/>
      <c r="L967" s="131"/>
      <c r="M967" s="142"/>
      <c r="N967" s="142"/>
      <c r="O967" s="142"/>
      <c r="P967" s="142"/>
      <c r="Q967" s="142"/>
      <c r="R967" s="142"/>
      <c r="S967" s="142"/>
      <c r="T967" s="142"/>
      <c r="U967" s="142"/>
      <c r="V967" s="142"/>
      <c r="W967" s="142"/>
      <c r="X967" s="142"/>
      <c r="Y967" s="142"/>
      <c r="Z967" s="142"/>
      <c r="AA967" s="142"/>
      <c r="AB967" s="142"/>
      <c r="AC967" s="142"/>
      <c r="AD967" s="142"/>
      <c r="AE967" s="142"/>
      <c r="AF967" s="142"/>
      <c r="AG967" s="142"/>
      <c r="AH967" s="142"/>
      <c r="AI967" s="142"/>
      <c r="AJ967" s="142"/>
      <c r="AK967" s="142"/>
      <c r="AL967" s="142"/>
      <c r="AM967" s="142"/>
      <c r="AN967" s="142"/>
      <c r="AO967" s="142"/>
      <c r="AP967" s="130"/>
      <c r="AQ967" s="130"/>
      <c r="AR967" s="130"/>
      <c r="AS967" s="130"/>
      <c r="AT967" s="130"/>
      <c r="AU967" s="130"/>
      <c r="AV967" s="130"/>
      <c r="AW967" s="130"/>
      <c r="AX967" s="130"/>
      <c r="AY967" s="130"/>
      <c r="AZ967" s="130"/>
      <c r="BA967" s="130"/>
      <c r="BB967" s="130"/>
      <c r="BC967" s="130"/>
      <c r="BD967" s="130"/>
    </row>
    <row r="968" ht="15.75" customHeight="1">
      <c r="A968" s="142"/>
      <c r="B968" s="142"/>
      <c r="C968" s="198"/>
      <c r="D968" s="142"/>
      <c r="E968" s="131"/>
      <c r="F968" s="142"/>
      <c r="G968" s="142"/>
      <c r="H968" s="131"/>
      <c r="I968" s="142"/>
      <c r="J968" s="142"/>
      <c r="K968" s="132"/>
      <c r="L968" s="131"/>
      <c r="M968" s="142"/>
      <c r="N968" s="142"/>
      <c r="O968" s="142"/>
      <c r="P968" s="142"/>
      <c r="Q968" s="142"/>
      <c r="R968" s="142"/>
      <c r="S968" s="142"/>
      <c r="T968" s="142"/>
      <c r="U968" s="142"/>
      <c r="V968" s="142"/>
      <c r="W968" s="142"/>
      <c r="X968" s="142"/>
      <c r="Y968" s="142"/>
      <c r="Z968" s="142"/>
      <c r="AA968" s="142"/>
      <c r="AB968" s="142"/>
      <c r="AC968" s="142"/>
      <c r="AD968" s="142"/>
      <c r="AE968" s="142"/>
      <c r="AF968" s="142"/>
      <c r="AG968" s="142"/>
      <c r="AH968" s="142"/>
      <c r="AI968" s="142"/>
      <c r="AJ968" s="142"/>
      <c r="AK968" s="142"/>
      <c r="AL968" s="142"/>
      <c r="AM968" s="142"/>
      <c r="AN968" s="142"/>
      <c r="AO968" s="142"/>
      <c r="AP968" s="130"/>
      <c r="AQ968" s="130"/>
      <c r="AR968" s="130"/>
      <c r="AS968" s="130"/>
      <c r="AT968" s="130"/>
      <c r="AU968" s="130"/>
      <c r="AV968" s="130"/>
      <c r="AW968" s="130"/>
      <c r="AX968" s="130"/>
      <c r="AY968" s="130"/>
      <c r="AZ968" s="130"/>
      <c r="BA968" s="130"/>
      <c r="BB968" s="130"/>
      <c r="BC968" s="130"/>
      <c r="BD968" s="130"/>
    </row>
    <row r="969" ht="15.75" customHeight="1">
      <c r="A969" s="142"/>
      <c r="B969" s="142"/>
      <c r="C969" s="198"/>
      <c r="D969" s="142"/>
      <c r="E969" s="131"/>
      <c r="F969" s="142"/>
      <c r="G969" s="142"/>
      <c r="H969" s="131"/>
      <c r="I969" s="142"/>
      <c r="J969" s="142"/>
      <c r="K969" s="132"/>
      <c r="L969" s="131"/>
      <c r="M969" s="142"/>
      <c r="N969" s="142"/>
      <c r="O969" s="142"/>
      <c r="P969" s="142"/>
      <c r="Q969" s="142"/>
      <c r="R969" s="142"/>
      <c r="S969" s="142"/>
      <c r="T969" s="142"/>
      <c r="U969" s="142"/>
      <c r="V969" s="142"/>
      <c r="W969" s="142"/>
      <c r="X969" s="142"/>
      <c r="Y969" s="142"/>
      <c r="Z969" s="142"/>
      <c r="AA969" s="142"/>
      <c r="AB969" s="142"/>
      <c r="AC969" s="142"/>
      <c r="AD969" s="142"/>
      <c r="AE969" s="142"/>
      <c r="AF969" s="142"/>
      <c r="AG969" s="142"/>
      <c r="AH969" s="142"/>
      <c r="AI969" s="142"/>
      <c r="AJ969" s="142"/>
      <c r="AK969" s="142"/>
      <c r="AL969" s="142"/>
      <c r="AM969" s="142"/>
      <c r="AN969" s="142"/>
      <c r="AO969" s="142"/>
      <c r="AP969" s="130"/>
      <c r="AQ969" s="130"/>
      <c r="AR969" s="130"/>
      <c r="AS969" s="130"/>
      <c r="AT969" s="130"/>
      <c r="AU969" s="130"/>
      <c r="AV969" s="130"/>
      <c r="AW969" s="130"/>
      <c r="AX969" s="130"/>
      <c r="AY969" s="130"/>
      <c r="AZ969" s="130"/>
      <c r="BA969" s="130"/>
      <c r="BB969" s="130"/>
      <c r="BC969" s="130"/>
      <c r="BD969" s="130"/>
    </row>
    <row r="970" ht="15.75" customHeight="1">
      <c r="A970" s="142"/>
      <c r="B970" s="142"/>
      <c r="C970" s="198"/>
      <c r="D970" s="142"/>
      <c r="E970" s="131"/>
      <c r="F970" s="142"/>
      <c r="G970" s="142"/>
      <c r="H970" s="131"/>
      <c r="I970" s="142"/>
      <c r="J970" s="142"/>
      <c r="K970" s="132"/>
      <c r="L970" s="131"/>
      <c r="M970" s="142"/>
      <c r="N970" s="142"/>
      <c r="O970" s="142"/>
      <c r="P970" s="142"/>
      <c r="Q970" s="142"/>
      <c r="R970" s="142"/>
      <c r="S970" s="142"/>
      <c r="T970" s="142"/>
      <c r="U970" s="142"/>
      <c r="V970" s="142"/>
      <c r="W970" s="142"/>
      <c r="X970" s="142"/>
      <c r="Y970" s="142"/>
      <c r="Z970" s="142"/>
      <c r="AA970" s="142"/>
      <c r="AB970" s="142"/>
      <c r="AC970" s="142"/>
      <c r="AD970" s="142"/>
      <c r="AE970" s="142"/>
      <c r="AF970" s="142"/>
      <c r="AG970" s="142"/>
      <c r="AH970" s="142"/>
      <c r="AI970" s="142"/>
      <c r="AJ970" s="142"/>
      <c r="AK970" s="142"/>
      <c r="AL970" s="142"/>
      <c r="AM970" s="142"/>
      <c r="AN970" s="142"/>
      <c r="AO970" s="142"/>
      <c r="AP970" s="130"/>
      <c r="AQ970" s="130"/>
      <c r="AR970" s="130"/>
      <c r="AS970" s="130"/>
      <c r="AT970" s="130"/>
      <c r="AU970" s="130"/>
      <c r="AV970" s="130"/>
      <c r="AW970" s="130"/>
      <c r="AX970" s="130"/>
      <c r="AY970" s="130"/>
      <c r="AZ970" s="130"/>
      <c r="BA970" s="130"/>
      <c r="BB970" s="130"/>
      <c r="BC970" s="130"/>
      <c r="BD970" s="130"/>
    </row>
    <row r="971" ht="15.75" customHeight="1">
      <c r="A971" s="142"/>
      <c r="B971" s="142"/>
      <c r="C971" s="198"/>
      <c r="D971" s="142"/>
      <c r="E971" s="131"/>
      <c r="F971" s="142"/>
      <c r="G971" s="142"/>
      <c r="H971" s="131"/>
      <c r="I971" s="142"/>
      <c r="J971" s="142"/>
      <c r="K971" s="132"/>
      <c r="L971" s="131"/>
      <c r="M971" s="142"/>
      <c r="N971" s="142"/>
      <c r="O971" s="142"/>
      <c r="P971" s="142"/>
      <c r="Q971" s="142"/>
      <c r="R971" s="142"/>
      <c r="S971" s="142"/>
      <c r="T971" s="142"/>
      <c r="U971" s="142"/>
      <c r="V971" s="142"/>
      <c r="W971" s="142"/>
      <c r="X971" s="142"/>
      <c r="Y971" s="142"/>
      <c r="Z971" s="142"/>
      <c r="AA971" s="142"/>
      <c r="AB971" s="142"/>
      <c r="AC971" s="142"/>
      <c r="AD971" s="142"/>
      <c r="AE971" s="142"/>
      <c r="AF971" s="142"/>
      <c r="AG971" s="142"/>
      <c r="AH971" s="142"/>
      <c r="AI971" s="142"/>
      <c r="AJ971" s="142"/>
      <c r="AK971" s="142"/>
      <c r="AL971" s="142"/>
      <c r="AM971" s="142"/>
      <c r="AN971" s="142"/>
      <c r="AO971" s="142"/>
      <c r="AP971" s="130"/>
      <c r="AQ971" s="130"/>
      <c r="AR971" s="130"/>
      <c r="AS971" s="130"/>
      <c r="AT971" s="130"/>
      <c r="AU971" s="130"/>
      <c r="AV971" s="130"/>
      <c r="AW971" s="130"/>
      <c r="AX971" s="130"/>
      <c r="AY971" s="130"/>
      <c r="AZ971" s="130"/>
      <c r="BA971" s="130"/>
      <c r="BB971" s="130"/>
      <c r="BC971" s="130"/>
      <c r="BD971" s="130"/>
    </row>
    <row r="972" ht="15.75" customHeight="1">
      <c r="A972" s="142"/>
      <c r="B972" s="142"/>
      <c r="C972" s="198"/>
      <c r="D972" s="142"/>
      <c r="E972" s="131"/>
      <c r="F972" s="142"/>
      <c r="G972" s="142"/>
      <c r="H972" s="131"/>
      <c r="I972" s="142"/>
      <c r="J972" s="142"/>
      <c r="K972" s="132"/>
      <c r="L972" s="131"/>
      <c r="M972" s="142"/>
      <c r="N972" s="142"/>
      <c r="O972" s="142"/>
      <c r="P972" s="142"/>
      <c r="Q972" s="142"/>
      <c r="R972" s="142"/>
      <c r="S972" s="142"/>
      <c r="T972" s="142"/>
      <c r="U972" s="142"/>
      <c r="V972" s="142"/>
      <c r="W972" s="142"/>
      <c r="X972" s="142"/>
      <c r="Y972" s="142"/>
      <c r="Z972" s="142"/>
      <c r="AA972" s="142"/>
      <c r="AB972" s="142"/>
      <c r="AC972" s="142"/>
      <c r="AD972" s="142"/>
      <c r="AE972" s="142"/>
      <c r="AF972" s="142"/>
      <c r="AG972" s="142"/>
      <c r="AH972" s="142"/>
      <c r="AI972" s="142"/>
      <c r="AJ972" s="142"/>
      <c r="AK972" s="142"/>
      <c r="AL972" s="142"/>
      <c r="AM972" s="142"/>
      <c r="AN972" s="142"/>
      <c r="AO972" s="142"/>
      <c r="AP972" s="130"/>
      <c r="AQ972" s="130"/>
      <c r="AR972" s="130"/>
      <c r="AS972" s="130"/>
      <c r="AT972" s="130"/>
      <c r="AU972" s="130"/>
      <c r="AV972" s="130"/>
      <c r="AW972" s="130"/>
      <c r="AX972" s="130"/>
      <c r="AY972" s="130"/>
      <c r="AZ972" s="130"/>
      <c r="BA972" s="130"/>
      <c r="BB972" s="130"/>
      <c r="BC972" s="130"/>
      <c r="BD972" s="130"/>
    </row>
    <row r="973" ht="15.75" customHeight="1">
      <c r="A973" s="142"/>
      <c r="B973" s="142"/>
      <c r="C973" s="198"/>
      <c r="D973" s="142"/>
      <c r="E973" s="131"/>
      <c r="F973" s="142"/>
      <c r="G973" s="142"/>
      <c r="H973" s="131"/>
      <c r="I973" s="142"/>
      <c r="J973" s="142"/>
      <c r="K973" s="132"/>
      <c r="L973" s="131"/>
      <c r="M973" s="142"/>
      <c r="N973" s="142"/>
      <c r="O973" s="142"/>
      <c r="P973" s="142"/>
      <c r="Q973" s="142"/>
      <c r="R973" s="142"/>
      <c r="S973" s="142"/>
      <c r="T973" s="142"/>
      <c r="U973" s="142"/>
      <c r="V973" s="142"/>
      <c r="W973" s="142"/>
      <c r="X973" s="142"/>
      <c r="Y973" s="142"/>
      <c r="Z973" s="142"/>
      <c r="AA973" s="142"/>
      <c r="AB973" s="142"/>
      <c r="AC973" s="142"/>
      <c r="AD973" s="142"/>
      <c r="AE973" s="142"/>
      <c r="AF973" s="142"/>
      <c r="AG973" s="142"/>
      <c r="AH973" s="142"/>
      <c r="AI973" s="142"/>
      <c r="AJ973" s="142"/>
      <c r="AK973" s="142"/>
      <c r="AL973" s="142"/>
      <c r="AM973" s="142"/>
      <c r="AN973" s="142"/>
      <c r="AO973" s="142"/>
      <c r="AP973" s="130"/>
      <c r="AQ973" s="130"/>
      <c r="AR973" s="130"/>
      <c r="AS973" s="130"/>
      <c r="AT973" s="130"/>
      <c r="AU973" s="130"/>
      <c r="AV973" s="130"/>
      <c r="AW973" s="130"/>
      <c r="AX973" s="130"/>
      <c r="AY973" s="130"/>
      <c r="AZ973" s="130"/>
      <c r="BA973" s="130"/>
      <c r="BB973" s="130"/>
      <c r="BC973" s="130"/>
      <c r="BD973" s="130"/>
    </row>
    <row r="974" ht="15.75" customHeight="1">
      <c r="A974" s="142"/>
      <c r="B974" s="142"/>
      <c r="C974" s="198"/>
      <c r="D974" s="142"/>
      <c r="E974" s="131"/>
      <c r="F974" s="142"/>
      <c r="G974" s="142"/>
      <c r="H974" s="131"/>
      <c r="I974" s="142"/>
      <c r="J974" s="142"/>
      <c r="K974" s="132"/>
      <c r="L974" s="131"/>
      <c r="M974" s="142"/>
      <c r="N974" s="142"/>
      <c r="O974" s="142"/>
      <c r="P974" s="142"/>
      <c r="Q974" s="142"/>
      <c r="R974" s="142"/>
      <c r="S974" s="142"/>
      <c r="T974" s="142"/>
      <c r="U974" s="142"/>
      <c r="V974" s="142"/>
      <c r="W974" s="142"/>
      <c r="X974" s="142"/>
      <c r="Y974" s="142"/>
      <c r="Z974" s="142"/>
      <c r="AA974" s="142"/>
      <c r="AB974" s="142"/>
      <c r="AC974" s="142"/>
      <c r="AD974" s="142"/>
      <c r="AE974" s="142"/>
      <c r="AF974" s="142"/>
      <c r="AG974" s="142"/>
      <c r="AH974" s="142"/>
      <c r="AI974" s="142"/>
      <c r="AJ974" s="142"/>
      <c r="AK974" s="142"/>
      <c r="AL974" s="142"/>
      <c r="AM974" s="142"/>
      <c r="AN974" s="142"/>
      <c r="AO974" s="142"/>
      <c r="AP974" s="130"/>
      <c r="AQ974" s="130"/>
      <c r="AR974" s="130"/>
      <c r="AS974" s="130"/>
      <c r="AT974" s="130"/>
      <c r="AU974" s="130"/>
      <c r="AV974" s="130"/>
      <c r="AW974" s="130"/>
      <c r="AX974" s="130"/>
      <c r="AY974" s="130"/>
      <c r="AZ974" s="130"/>
      <c r="BA974" s="130"/>
      <c r="BB974" s="130"/>
      <c r="BC974" s="130"/>
      <c r="BD974" s="130"/>
    </row>
    <row r="975" ht="15.75" customHeight="1">
      <c r="A975" s="142"/>
      <c r="B975" s="142"/>
      <c r="C975" s="198"/>
      <c r="D975" s="142"/>
      <c r="E975" s="131"/>
      <c r="F975" s="142"/>
      <c r="G975" s="142"/>
      <c r="H975" s="131"/>
      <c r="I975" s="142"/>
      <c r="J975" s="142"/>
      <c r="K975" s="132"/>
      <c r="L975" s="131"/>
      <c r="M975" s="142"/>
      <c r="N975" s="142"/>
      <c r="O975" s="142"/>
      <c r="P975" s="142"/>
      <c r="Q975" s="142"/>
      <c r="R975" s="142"/>
      <c r="S975" s="142"/>
      <c r="T975" s="142"/>
      <c r="U975" s="142"/>
      <c r="V975" s="142"/>
      <c r="W975" s="142"/>
      <c r="X975" s="142"/>
      <c r="Y975" s="142"/>
      <c r="Z975" s="142"/>
      <c r="AA975" s="142"/>
      <c r="AB975" s="142"/>
      <c r="AC975" s="142"/>
      <c r="AD975" s="142"/>
      <c r="AE975" s="142"/>
      <c r="AF975" s="142"/>
      <c r="AG975" s="142"/>
      <c r="AH975" s="142"/>
      <c r="AI975" s="142"/>
      <c r="AJ975" s="142"/>
      <c r="AK975" s="142"/>
      <c r="AL975" s="142"/>
      <c r="AM975" s="142"/>
      <c r="AN975" s="142"/>
      <c r="AO975" s="142"/>
      <c r="AP975" s="130"/>
      <c r="AQ975" s="130"/>
      <c r="AR975" s="130"/>
      <c r="AS975" s="130"/>
      <c r="AT975" s="130"/>
      <c r="AU975" s="130"/>
      <c r="AV975" s="130"/>
      <c r="AW975" s="130"/>
      <c r="AX975" s="130"/>
      <c r="AY975" s="130"/>
      <c r="AZ975" s="130"/>
      <c r="BA975" s="130"/>
      <c r="BB975" s="130"/>
      <c r="BC975" s="130"/>
      <c r="BD975" s="130"/>
    </row>
    <row r="976" ht="15.75" customHeight="1">
      <c r="A976" s="142"/>
      <c r="B976" s="142"/>
      <c r="C976" s="198"/>
      <c r="D976" s="142"/>
      <c r="E976" s="131"/>
      <c r="F976" s="142"/>
      <c r="G976" s="142"/>
      <c r="H976" s="131"/>
      <c r="I976" s="142"/>
      <c r="J976" s="142"/>
      <c r="K976" s="132"/>
      <c r="L976" s="131"/>
      <c r="M976" s="142"/>
      <c r="N976" s="142"/>
      <c r="O976" s="142"/>
      <c r="P976" s="142"/>
      <c r="Q976" s="142"/>
      <c r="R976" s="142"/>
      <c r="S976" s="142"/>
      <c r="T976" s="142"/>
      <c r="U976" s="142"/>
      <c r="V976" s="142"/>
      <c r="W976" s="142"/>
      <c r="X976" s="142"/>
      <c r="Y976" s="142"/>
      <c r="Z976" s="142"/>
      <c r="AA976" s="142"/>
      <c r="AB976" s="142"/>
      <c r="AC976" s="142"/>
      <c r="AD976" s="142"/>
      <c r="AE976" s="142"/>
      <c r="AF976" s="142"/>
      <c r="AG976" s="142"/>
      <c r="AH976" s="142"/>
      <c r="AI976" s="142"/>
      <c r="AJ976" s="142"/>
      <c r="AK976" s="142"/>
      <c r="AL976" s="142"/>
      <c r="AM976" s="142"/>
      <c r="AN976" s="142"/>
      <c r="AO976" s="142"/>
      <c r="AP976" s="130"/>
      <c r="AQ976" s="130"/>
      <c r="AR976" s="130"/>
      <c r="AS976" s="130"/>
      <c r="AT976" s="130"/>
      <c r="AU976" s="130"/>
      <c r="AV976" s="130"/>
      <c r="AW976" s="130"/>
      <c r="AX976" s="130"/>
      <c r="AY976" s="130"/>
      <c r="AZ976" s="130"/>
      <c r="BA976" s="130"/>
      <c r="BB976" s="130"/>
      <c r="BC976" s="130"/>
      <c r="BD976" s="130"/>
    </row>
    <row r="977" ht="15.75" customHeight="1">
      <c r="A977" s="142"/>
      <c r="B977" s="142"/>
      <c r="C977" s="198"/>
      <c r="D977" s="142"/>
      <c r="E977" s="131"/>
      <c r="F977" s="142"/>
      <c r="G977" s="142"/>
      <c r="H977" s="131"/>
      <c r="I977" s="142"/>
      <c r="J977" s="142"/>
      <c r="K977" s="132"/>
      <c r="L977" s="131"/>
      <c r="M977" s="142"/>
      <c r="N977" s="142"/>
      <c r="O977" s="142"/>
      <c r="P977" s="142"/>
      <c r="Q977" s="142"/>
      <c r="R977" s="142"/>
      <c r="S977" s="142"/>
      <c r="T977" s="142"/>
      <c r="U977" s="142"/>
      <c r="V977" s="142"/>
      <c r="W977" s="142"/>
      <c r="X977" s="142"/>
      <c r="Y977" s="142"/>
      <c r="Z977" s="142"/>
      <c r="AA977" s="142"/>
      <c r="AB977" s="142"/>
      <c r="AC977" s="142"/>
      <c r="AD977" s="142"/>
      <c r="AE977" s="142"/>
      <c r="AF977" s="142"/>
      <c r="AG977" s="142"/>
      <c r="AH977" s="142"/>
      <c r="AI977" s="142"/>
      <c r="AJ977" s="142"/>
      <c r="AK977" s="142"/>
      <c r="AL977" s="142"/>
      <c r="AM977" s="142"/>
      <c r="AN977" s="142"/>
      <c r="AO977" s="142"/>
      <c r="AP977" s="130"/>
      <c r="AQ977" s="130"/>
      <c r="AR977" s="130"/>
      <c r="AS977" s="130"/>
      <c r="AT977" s="130"/>
      <c r="AU977" s="130"/>
      <c r="AV977" s="130"/>
      <c r="AW977" s="130"/>
      <c r="AX977" s="130"/>
      <c r="AY977" s="130"/>
      <c r="AZ977" s="130"/>
      <c r="BA977" s="130"/>
      <c r="BB977" s="130"/>
      <c r="BC977" s="130"/>
      <c r="BD977" s="130"/>
    </row>
    <row r="978" ht="15.75" customHeight="1">
      <c r="A978" s="142"/>
      <c r="B978" s="142"/>
      <c r="C978" s="198"/>
      <c r="D978" s="142"/>
      <c r="E978" s="131"/>
      <c r="F978" s="142"/>
      <c r="G978" s="142"/>
      <c r="H978" s="131"/>
      <c r="I978" s="142"/>
      <c r="J978" s="142"/>
      <c r="K978" s="132"/>
      <c r="L978" s="131"/>
      <c r="M978" s="142"/>
      <c r="N978" s="142"/>
      <c r="O978" s="142"/>
      <c r="P978" s="142"/>
      <c r="Q978" s="142"/>
      <c r="R978" s="142"/>
      <c r="S978" s="142"/>
      <c r="T978" s="142"/>
      <c r="U978" s="142"/>
      <c r="V978" s="142"/>
      <c r="W978" s="142"/>
      <c r="X978" s="142"/>
      <c r="Y978" s="142"/>
      <c r="Z978" s="142"/>
      <c r="AA978" s="142"/>
      <c r="AB978" s="142"/>
      <c r="AC978" s="142"/>
      <c r="AD978" s="142"/>
      <c r="AE978" s="142"/>
      <c r="AF978" s="142"/>
      <c r="AG978" s="142"/>
      <c r="AH978" s="142"/>
      <c r="AI978" s="142"/>
      <c r="AJ978" s="142"/>
      <c r="AK978" s="142"/>
      <c r="AL978" s="142"/>
      <c r="AM978" s="142"/>
      <c r="AN978" s="142"/>
      <c r="AO978" s="142"/>
      <c r="AP978" s="130"/>
      <c r="AQ978" s="130"/>
      <c r="AR978" s="130"/>
      <c r="AS978" s="130"/>
      <c r="AT978" s="130"/>
      <c r="AU978" s="130"/>
      <c r="AV978" s="130"/>
      <c r="AW978" s="130"/>
      <c r="AX978" s="130"/>
      <c r="AY978" s="130"/>
      <c r="AZ978" s="130"/>
      <c r="BA978" s="130"/>
      <c r="BB978" s="130"/>
      <c r="BC978" s="130"/>
      <c r="BD978" s="130"/>
    </row>
    <row r="979" ht="15.75" customHeight="1">
      <c r="A979" s="142"/>
      <c r="B979" s="142"/>
      <c r="C979" s="198"/>
      <c r="D979" s="142"/>
      <c r="E979" s="131"/>
      <c r="F979" s="142"/>
      <c r="G979" s="142"/>
      <c r="H979" s="131"/>
      <c r="I979" s="142"/>
      <c r="J979" s="142"/>
      <c r="K979" s="132"/>
      <c r="L979" s="131"/>
      <c r="M979" s="142"/>
      <c r="N979" s="142"/>
      <c r="O979" s="142"/>
      <c r="P979" s="142"/>
      <c r="Q979" s="142"/>
      <c r="R979" s="142"/>
      <c r="S979" s="142"/>
      <c r="T979" s="142"/>
      <c r="U979" s="142"/>
      <c r="V979" s="142"/>
      <c r="W979" s="142"/>
      <c r="X979" s="142"/>
      <c r="Y979" s="142"/>
      <c r="Z979" s="142"/>
      <c r="AA979" s="142"/>
      <c r="AB979" s="142"/>
      <c r="AC979" s="142"/>
      <c r="AD979" s="142"/>
      <c r="AE979" s="142"/>
      <c r="AF979" s="142"/>
      <c r="AG979" s="142"/>
      <c r="AH979" s="142"/>
      <c r="AI979" s="142"/>
      <c r="AJ979" s="142"/>
      <c r="AK979" s="142"/>
      <c r="AL979" s="142"/>
      <c r="AM979" s="142"/>
      <c r="AN979" s="142"/>
      <c r="AO979" s="142"/>
      <c r="AP979" s="130"/>
      <c r="AQ979" s="130"/>
      <c r="AR979" s="130"/>
      <c r="AS979" s="130"/>
      <c r="AT979" s="130"/>
      <c r="AU979" s="130"/>
      <c r="AV979" s="130"/>
      <c r="AW979" s="130"/>
      <c r="AX979" s="130"/>
      <c r="AY979" s="130"/>
      <c r="AZ979" s="130"/>
      <c r="BA979" s="130"/>
      <c r="BB979" s="130"/>
      <c r="BC979" s="130"/>
      <c r="BD979" s="130"/>
    </row>
    <row r="980" ht="15.75" customHeight="1">
      <c r="A980" s="142"/>
      <c r="B980" s="142"/>
      <c r="C980" s="198"/>
      <c r="D980" s="142"/>
      <c r="E980" s="131"/>
      <c r="F980" s="142"/>
      <c r="G980" s="142"/>
      <c r="H980" s="131"/>
      <c r="I980" s="142"/>
      <c r="J980" s="142"/>
      <c r="K980" s="132"/>
      <c r="L980" s="131"/>
      <c r="M980" s="142"/>
      <c r="N980" s="142"/>
      <c r="O980" s="142"/>
      <c r="P980" s="142"/>
      <c r="Q980" s="142"/>
      <c r="R980" s="142"/>
      <c r="S980" s="142"/>
      <c r="T980" s="142"/>
      <c r="U980" s="142"/>
      <c r="V980" s="142"/>
      <c r="W980" s="142"/>
      <c r="X980" s="142"/>
      <c r="Y980" s="142"/>
      <c r="Z980" s="142"/>
      <c r="AA980" s="142"/>
      <c r="AB980" s="142"/>
      <c r="AC980" s="142"/>
      <c r="AD980" s="142"/>
      <c r="AE980" s="142"/>
      <c r="AF980" s="142"/>
      <c r="AG980" s="142"/>
      <c r="AH980" s="142"/>
      <c r="AI980" s="142"/>
      <c r="AJ980" s="142"/>
      <c r="AK980" s="142"/>
      <c r="AL980" s="142"/>
      <c r="AM980" s="142"/>
      <c r="AN980" s="142"/>
      <c r="AO980" s="142"/>
      <c r="AP980" s="130"/>
      <c r="AQ980" s="130"/>
      <c r="AR980" s="130"/>
      <c r="AS980" s="130"/>
      <c r="AT980" s="130"/>
      <c r="AU980" s="130"/>
      <c r="AV980" s="130"/>
      <c r="AW980" s="130"/>
      <c r="AX980" s="130"/>
      <c r="AY980" s="130"/>
      <c r="AZ980" s="130"/>
      <c r="BA980" s="130"/>
      <c r="BB980" s="130"/>
      <c r="BC980" s="130"/>
      <c r="BD980" s="130"/>
    </row>
    <row r="981" ht="15.75" customHeight="1">
      <c r="A981" s="142"/>
      <c r="B981" s="142"/>
      <c r="C981" s="198"/>
      <c r="D981" s="142"/>
      <c r="E981" s="131"/>
      <c r="F981" s="142"/>
      <c r="G981" s="142"/>
      <c r="H981" s="131"/>
      <c r="I981" s="142"/>
      <c r="J981" s="142"/>
      <c r="K981" s="132"/>
      <c r="L981" s="131"/>
      <c r="M981" s="142"/>
      <c r="N981" s="142"/>
      <c r="O981" s="142"/>
      <c r="P981" s="142"/>
      <c r="Q981" s="142"/>
      <c r="R981" s="142"/>
      <c r="S981" s="142"/>
      <c r="T981" s="142"/>
      <c r="U981" s="142"/>
      <c r="V981" s="142"/>
      <c r="W981" s="142"/>
      <c r="X981" s="142"/>
      <c r="Y981" s="142"/>
      <c r="Z981" s="142"/>
      <c r="AA981" s="142"/>
      <c r="AB981" s="142"/>
      <c r="AC981" s="142"/>
      <c r="AD981" s="142"/>
      <c r="AE981" s="142"/>
      <c r="AF981" s="142"/>
      <c r="AG981" s="142"/>
      <c r="AH981" s="142"/>
      <c r="AI981" s="142"/>
      <c r="AJ981" s="142"/>
      <c r="AK981" s="142"/>
      <c r="AL981" s="142"/>
      <c r="AM981" s="142"/>
      <c r="AN981" s="142"/>
      <c r="AO981" s="142"/>
      <c r="AP981" s="130"/>
      <c r="AQ981" s="130"/>
      <c r="AR981" s="130"/>
      <c r="AS981" s="130"/>
      <c r="AT981" s="130"/>
      <c r="AU981" s="130"/>
      <c r="AV981" s="130"/>
      <c r="AW981" s="130"/>
      <c r="AX981" s="130"/>
      <c r="AY981" s="130"/>
      <c r="AZ981" s="130"/>
      <c r="BA981" s="130"/>
      <c r="BB981" s="130"/>
      <c r="BC981" s="130"/>
      <c r="BD981" s="130"/>
    </row>
    <row r="982" ht="15.75" customHeight="1">
      <c r="A982" s="142"/>
      <c r="B982" s="142"/>
      <c r="C982" s="198"/>
      <c r="D982" s="142"/>
      <c r="E982" s="131"/>
      <c r="F982" s="142"/>
      <c r="G982" s="142"/>
      <c r="H982" s="131"/>
      <c r="I982" s="142"/>
      <c r="J982" s="142"/>
      <c r="K982" s="132"/>
      <c r="L982" s="131"/>
      <c r="M982" s="142"/>
      <c r="N982" s="142"/>
      <c r="O982" s="142"/>
      <c r="P982" s="142"/>
      <c r="Q982" s="142"/>
      <c r="R982" s="142"/>
      <c r="S982" s="142"/>
      <c r="T982" s="142"/>
      <c r="U982" s="142"/>
      <c r="V982" s="142"/>
      <c r="W982" s="142"/>
      <c r="X982" s="142"/>
      <c r="Y982" s="142"/>
      <c r="Z982" s="142"/>
      <c r="AA982" s="142"/>
      <c r="AB982" s="142"/>
      <c r="AC982" s="142"/>
      <c r="AD982" s="142"/>
      <c r="AE982" s="142"/>
      <c r="AF982" s="142"/>
      <c r="AG982" s="142"/>
      <c r="AH982" s="142"/>
      <c r="AI982" s="142"/>
      <c r="AJ982" s="142"/>
      <c r="AK982" s="142"/>
      <c r="AL982" s="142"/>
      <c r="AM982" s="142"/>
      <c r="AN982" s="142"/>
      <c r="AO982" s="142"/>
      <c r="AP982" s="130"/>
      <c r="AQ982" s="130"/>
      <c r="AR982" s="130"/>
      <c r="AS982" s="130"/>
      <c r="AT982" s="130"/>
      <c r="AU982" s="130"/>
      <c r="AV982" s="130"/>
      <c r="AW982" s="130"/>
      <c r="AX982" s="130"/>
      <c r="AY982" s="130"/>
      <c r="AZ982" s="130"/>
      <c r="BA982" s="130"/>
      <c r="BB982" s="130"/>
      <c r="BC982" s="130"/>
      <c r="BD982" s="130"/>
    </row>
    <row r="983" ht="15.75" customHeight="1">
      <c r="A983" s="142"/>
      <c r="B983" s="142"/>
      <c r="C983" s="198"/>
      <c r="D983" s="142"/>
      <c r="E983" s="131"/>
      <c r="F983" s="142"/>
      <c r="G983" s="142"/>
      <c r="H983" s="131"/>
      <c r="I983" s="142"/>
      <c r="J983" s="142"/>
      <c r="K983" s="132"/>
      <c r="L983" s="131"/>
      <c r="M983" s="142"/>
      <c r="N983" s="142"/>
      <c r="O983" s="142"/>
      <c r="P983" s="142"/>
      <c r="Q983" s="142"/>
      <c r="R983" s="142"/>
      <c r="S983" s="142"/>
      <c r="T983" s="142"/>
      <c r="U983" s="142"/>
      <c r="V983" s="142"/>
      <c r="W983" s="142"/>
      <c r="X983" s="142"/>
      <c r="Y983" s="142"/>
      <c r="Z983" s="142"/>
      <c r="AA983" s="142"/>
      <c r="AB983" s="142"/>
      <c r="AC983" s="142"/>
      <c r="AD983" s="142"/>
      <c r="AE983" s="142"/>
      <c r="AF983" s="142"/>
      <c r="AG983" s="142"/>
      <c r="AH983" s="142"/>
      <c r="AI983" s="142"/>
      <c r="AJ983" s="142"/>
      <c r="AK983" s="142"/>
      <c r="AL983" s="142"/>
      <c r="AM983" s="142"/>
      <c r="AN983" s="142"/>
      <c r="AO983" s="142"/>
      <c r="AP983" s="130"/>
      <c r="AQ983" s="130"/>
      <c r="AR983" s="130"/>
      <c r="AS983" s="130"/>
      <c r="AT983" s="130"/>
      <c r="AU983" s="130"/>
      <c r="AV983" s="130"/>
      <c r="AW983" s="130"/>
      <c r="AX983" s="130"/>
      <c r="AY983" s="130"/>
      <c r="AZ983" s="130"/>
      <c r="BA983" s="130"/>
      <c r="BB983" s="130"/>
      <c r="BC983" s="130"/>
      <c r="BD983" s="130"/>
    </row>
    <row r="984" ht="15.75" customHeight="1">
      <c r="A984" s="142"/>
      <c r="B984" s="142"/>
      <c r="C984" s="198"/>
      <c r="D984" s="142"/>
      <c r="E984" s="131"/>
      <c r="F984" s="142"/>
      <c r="G984" s="142"/>
      <c r="H984" s="131"/>
      <c r="I984" s="142"/>
      <c r="J984" s="142"/>
      <c r="K984" s="132"/>
      <c r="L984" s="131"/>
      <c r="M984" s="142"/>
      <c r="N984" s="142"/>
      <c r="O984" s="142"/>
      <c r="P984" s="142"/>
      <c r="Q984" s="142"/>
      <c r="R984" s="142"/>
      <c r="S984" s="142"/>
      <c r="T984" s="142"/>
      <c r="U984" s="142"/>
      <c r="V984" s="142"/>
      <c r="W984" s="142"/>
      <c r="X984" s="142"/>
      <c r="Y984" s="142"/>
      <c r="Z984" s="142"/>
      <c r="AA984" s="142"/>
      <c r="AB984" s="142"/>
      <c r="AC984" s="142"/>
      <c r="AD984" s="142"/>
      <c r="AE984" s="142"/>
      <c r="AF984" s="142"/>
      <c r="AG984" s="142"/>
      <c r="AH984" s="142"/>
      <c r="AI984" s="142"/>
      <c r="AJ984" s="142"/>
      <c r="AK984" s="142"/>
      <c r="AL984" s="142"/>
      <c r="AM984" s="142"/>
      <c r="AN984" s="142"/>
      <c r="AO984" s="142"/>
      <c r="AP984" s="130"/>
      <c r="AQ984" s="130"/>
      <c r="AR984" s="130"/>
      <c r="AS984" s="130"/>
      <c r="AT984" s="130"/>
      <c r="AU984" s="130"/>
      <c r="AV984" s="130"/>
      <c r="AW984" s="130"/>
      <c r="AX984" s="130"/>
      <c r="AY984" s="130"/>
      <c r="AZ984" s="130"/>
      <c r="BA984" s="130"/>
      <c r="BB984" s="130"/>
      <c r="BC984" s="130"/>
      <c r="BD984" s="130"/>
    </row>
    <row r="985" ht="15.75" customHeight="1">
      <c r="A985" s="142"/>
      <c r="B985" s="142"/>
      <c r="C985" s="198"/>
      <c r="D985" s="142"/>
      <c r="E985" s="131"/>
      <c r="F985" s="142"/>
      <c r="G985" s="142"/>
      <c r="H985" s="131"/>
      <c r="I985" s="142"/>
      <c r="J985" s="142"/>
      <c r="K985" s="132"/>
      <c r="L985" s="131"/>
      <c r="M985" s="142"/>
      <c r="N985" s="142"/>
      <c r="O985" s="142"/>
      <c r="P985" s="142"/>
      <c r="Q985" s="142"/>
      <c r="R985" s="142"/>
      <c r="S985" s="142"/>
      <c r="T985" s="142"/>
      <c r="U985" s="142"/>
      <c r="V985" s="142"/>
      <c r="W985" s="142"/>
      <c r="X985" s="142"/>
      <c r="Y985" s="142"/>
      <c r="Z985" s="142"/>
      <c r="AA985" s="142"/>
      <c r="AB985" s="142"/>
      <c r="AC985" s="142"/>
      <c r="AD985" s="142"/>
      <c r="AE985" s="142"/>
      <c r="AF985" s="142"/>
      <c r="AG985" s="142"/>
      <c r="AH985" s="142"/>
      <c r="AI985" s="142"/>
      <c r="AJ985" s="142"/>
      <c r="AK985" s="142"/>
      <c r="AL985" s="142"/>
      <c r="AM985" s="142"/>
      <c r="AN985" s="142"/>
      <c r="AO985" s="142"/>
      <c r="AP985" s="130"/>
      <c r="AQ985" s="130"/>
      <c r="AR985" s="130"/>
      <c r="AS985" s="130"/>
      <c r="AT985" s="130"/>
      <c r="AU985" s="130"/>
      <c r="AV985" s="130"/>
      <c r="AW985" s="130"/>
      <c r="AX985" s="130"/>
      <c r="AY985" s="130"/>
      <c r="AZ985" s="130"/>
      <c r="BA985" s="130"/>
      <c r="BB985" s="130"/>
      <c r="BC985" s="130"/>
      <c r="BD985" s="130"/>
    </row>
    <row r="986" ht="15.75" customHeight="1">
      <c r="A986" s="142"/>
      <c r="B986" s="142"/>
      <c r="C986" s="198"/>
      <c r="D986" s="142"/>
      <c r="E986" s="131"/>
      <c r="F986" s="142"/>
      <c r="G986" s="142"/>
      <c r="H986" s="131"/>
      <c r="I986" s="142"/>
      <c r="J986" s="142"/>
      <c r="K986" s="132"/>
      <c r="L986" s="131"/>
      <c r="M986" s="142"/>
      <c r="N986" s="142"/>
      <c r="O986" s="142"/>
      <c r="P986" s="142"/>
      <c r="Q986" s="142"/>
      <c r="R986" s="142"/>
      <c r="S986" s="142"/>
      <c r="T986" s="142"/>
      <c r="U986" s="142"/>
      <c r="V986" s="142"/>
      <c r="W986" s="142"/>
      <c r="X986" s="142"/>
      <c r="Y986" s="142"/>
      <c r="Z986" s="142"/>
      <c r="AA986" s="142"/>
      <c r="AB986" s="142"/>
      <c r="AC986" s="142"/>
      <c r="AD986" s="142"/>
      <c r="AE986" s="142"/>
      <c r="AF986" s="142"/>
      <c r="AG986" s="142"/>
      <c r="AH986" s="142"/>
      <c r="AI986" s="142"/>
      <c r="AJ986" s="142"/>
      <c r="AK986" s="142"/>
      <c r="AL986" s="142"/>
      <c r="AM986" s="142"/>
      <c r="AN986" s="142"/>
      <c r="AO986" s="142"/>
      <c r="AP986" s="130"/>
      <c r="AQ986" s="130"/>
      <c r="AR986" s="130"/>
      <c r="AS986" s="130"/>
      <c r="AT986" s="130"/>
      <c r="AU986" s="130"/>
      <c r="AV986" s="130"/>
      <c r="AW986" s="130"/>
      <c r="AX986" s="130"/>
      <c r="AY986" s="130"/>
      <c r="AZ986" s="130"/>
      <c r="BA986" s="130"/>
      <c r="BB986" s="130"/>
      <c r="BC986" s="130"/>
      <c r="BD986" s="130"/>
    </row>
    <row r="987" ht="15.75" customHeight="1">
      <c r="A987" s="142"/>
      <c r="B987" s="142"/>
      <c r="C987" s="198"/>
      <c r="D987" s="142"/>
      <c r="E987" s="131"/>
      <c r="F987" s="142"/>
      <c r="G987" s="142"/>
      <c r="H987" s="131"/>
      <c r="I987" s="142"/>
      <c r="J987" s="142"/>
      <c r="K987" s="132"/>
      <c r="L987" s="131"/>
      <c r="M987" s="142"/>
      <c r="N987" s="142"/>
      <c r="O987" s="142"/>
      <c r="P987" s="142"/>
      <c r="Q987" s="142"/>
      <c r="R987" s="142"/>
      <c r="S987" s="142"/>
      <c r="T987" s="142"/>
      <c r="U987" s="142"/>
      <c r="V987" s="142"/>
      <c r="W987" s="142"/>
      <c r="X987" s="142"/>
      <c r="Y987" s="142"/>
      <c r="Z987" s="142"/>
      <c r="AA987" s="142"/>
      <c r="AB987" s="142"/>
      <c r="AC987" s="142"/>
      <c r="AD987" s="142"/>
      <c r="AE987" s="142"/>
      <c r="AF987" s="142"/>
      <c r="AG987" s="142"/>
      <c r="AH987" s="142"/>
      <c r="AI987" s="142"/>
      <c r="AJ987" s="142"/>
      <c r="AK987" s="142"/>
      <c r="AL987" s="142"/>
      <c r="AM987" s="142"/>
      <c r="AN987" s="142"/>
      <c r="AO987" s="142"/>
      <c r="AP987" s="130"/>
      <c r="AQ987" s="130"/>
      <c r="AR987" s="130"/>
      <c r="AS987" s="130"/>
      <c r="AT987" s="130"/>
      <c r="AU987" s="130"/>
      <c r="AV987" s="130"/>
      <c r="AW987" s="130"/>
      <c r="AX987" s="130"/>
      <c r="AY987" s="130"/>
      <c r="AZ987" s="130"/>
      <c r="BA987" s="130"/>
      <c r="BB987" s="130"/>
      <c r="BC987" s="130"/>
      <c r="BD987" s="130"/>
    </row>
    <row r="988" ht="15.75" customHeight="1">
      <c r="A988" s="142"/>
      <c r="B988" s="142"/>
      <c r="C988" s="198"/>
      <c r="D988" s="142"/>
      <c r="E988" s="131"/>
      <c r="F988" s="142"/>
      <c r="G988" s="142"/>
      <c r="H988" s="131"/>
      <c r="I988" s="142"/>
      <c r="J988" s="142"/>
      <c r="K988" s="132"/>
      <c r="L988" s="131"/>
      <c r="M988" s="142"/>
      <c r="N988" s="142"/>
      <c r="O988" s="142"/>
      <c r="P988" s="142"/>
      <c r="Q988" s="142"/>
      <c r="R988" s="142"/>
      <c r="S988" s="142"/>
      <c r="T988" s="142"/>
      <c r="U988" s="142"/>
      <c r="V988" s="142"/>
      <c r="W988" s="142"/>
      <c r="X988" s="142"/>
      <c r="Y988" s="142"/>
      <c r="Z988" s="142"/>
      <c r="AA988" s="142"/>
      <c r="AB988" s="142"/>
      <c r="AC988" s="142"/>
      <c r="AD988" s="142"/>
      <c r="AE988" s="142"/>
      <c r="AF988" s="142"/>
      <c r="AG988" s="142"/>
      <c r="AH988" s="142"/>
      <c r="AI988" s="142"/>
      <c r="AJ988" s="142"/>
      <c r="AK988" s="142"/>
      <c r="AL988" s="142"/>
      <c r="AM988" s="142"/>
      <c r="AN988" s="142"/>
      <c r="AO988" s="142"/>
      <c r="AP988" s="130"/>
      <c r="AQ988" s="130"/>
      <c r="AR988" s="130"/>
      <c r="AS988" s="130"/>
      <c r="AT988" s="130"/>
      <c r="AU988" s="130"/>
      <c r="AV988" s="130"/>
      <c r="AW988" s="130"/>
      <c r="AX988" s="130"/>
      <c r="AY988" s="130"/>
      <c r="AZ988" s="130"/>
      <c r="BA988" s="130"/>
      <c r="BB988" s="130"/>
      <c r="BC988" s="130"/>
      <c r="BD988" s="130"/>
    </row>
    <row r="989" ht="15.75" customHeight="1">
      <c r="A989" s="142"/>
      <c r="B989" s="142"/>
      <c r="C989" s="198"/>
      <c r="D989" s="142"/>
      <c r="E989" s="131"/>
      <c r="F989" s="142"/>
      <c r="G989" s="142"/>
      <c r="H989" s="131"/>
      <c r="I989" s="142"/>
      <c r="J989" s="142"/>
      <c r="K989" s="132"/>
      <c r="L989" s="131"/>
      <c r="M989" s="142"/>
      <c r="N989" s="142"/>
      <c r="O989" s="142"/>
      <c r="P989" s="142"/>
      <c r="Q989" s="142"/>
      <c r="R989" s="142"/>
      <c r="S989" s="142"/>
      <c r="T989" s="142"/>
      <c r="U989" s="142"/>
      <c r="V989" s="142"/>
      <c r="W989" s="142"/>
      <c r="X989" s="142"/>
      <c r="Y989" s="142"/>
      <c r="Z989" s="142"/>
      <c r="AA989" s="142"/>
      <c r="AB989" s="142"/>
      <c r="AC989" s="142"/>
      <c r="AD989" s="142"/>
      <c r="AE989" s="142"/>
      <c r="AF989" s="142"/>
      <c r="AG989" s="142"/>
      <c r="AH989" s="142"/>
      <c r="AI989" s="142"/>
      <c r="AJ989" s="142"/>
      <c r="AK989" s="142"/>
      <c r="AL989" s="142"/>
      <c r="AM989" s="142"/>
      <c r="AN989" s="142"/>
      <c r="AO989" s="142"/>
      <c r="AP989" s="130"/>
      <c r="AQ989" s="130"/>
      <c r="AR989" s="130"/>
      <c r="AS989" s="130"/>
      <c r="AT989" s="130"/>
      <c r="AU989" s="130"/>
      <c r="AV989" s="130"/>
      <c r="AW989" s="130"/>
      <c r="AX989" s="130"/>
      <c r="AY989" s="130"/>
      <c r="AZ989" s="130"/>
      <c r="BA989" s="130"/>
      <c r="BB989" s="130"/>
      <c r="BC989" s="130"/>
      <c r="BD989" s="130"/>
    </row>
    <row r="990" ht="15.75" customHeight="1">
      <c r="A990" s="142"/>
      <c r="B990" s="142"/>
      <c r="C990" s="198"/>
      <c r="D990" s="142"/>
      <c r="E990" s="131"/>
      <c r="F990" s="142"/>
      <c r="G990" s="142"/>
      <c r="H990" s="131"/>
      <c r="I990" s="142"/>
      <c r="J990" s="142"/>
      <c r="K990" s="132"/>
      <c r="L990" s="131"/>
      <c r="M990" s="142"/>
      <c r="N990" s="142"/>
      <c r="O990" s="142"/>
      <c r="P990" s="142"/>
      <c r="Q990" s="142"/>
      <c r="R990" s="142"/>
      <c r="S990" s="142"/>
      <c r="T990" s="142"/>
      <c r="U990" s="142"/>
      <c r="V990" s="142"/>
      <c r="W990" s="142"/>
      <c r="X990" s="142"/>
      <c r="Y990" s="142"/>
      <c r="Z990" s="142"/>
      <c r="AA990" s="142"/>
      <c r="AB990" s="142"/>
      <c r="AC990" s="142"/>
      <c r="AD990" s="142"/>
      <c r="AE990" s="142"/>
      <c r="AF990" s="142"/>
      <c r="AG990" s="142"/>
      <c r="AH990" s="142"/>
      <c r="AI990" s="142"/>
      <c r="AJ990" s="142"/>
      <c r="AK990" s="142"/>
      <c r="AL990" s="142"/>
      <c r="AM990" s="142"/>
      <c r="AN990" s="142"/>
      <c r="AO990" s="142"/>
      <c r="AP990" s="130"/>
      <c r="AQ990" s="130"/>
      <c r="AR990" s="130"/>
      <c r="AS990" s="130"/>
      <c r="AT990" s="130"/>
      <c r="AU990" s="130"/>
      <c r="AV990" s="130"/>
      <c r="AW990" s="130"/>
      <c r="AX990" s="130"/>
      <c r="AY990" s="130"/>
      <c r="AZ990" s="130"/>
      <c r="BA990" s="130"/>
      <c r="BB990" s="130"/>
      <c r="BC990" s="130"/>
      <c r="BD990" s="130"/>
    </row>
    <row r="991" ht="15.75" customHeight="1">
      <c r="A991" s="142"/>
      <c r="B991" s="142"/>
      <c r="C991" s="198"/>
      <c r="D991" s="142"/>
      <c r="E991" s="131"/>
      <c r="F991" s="142"/>
      <c r="G991" s="142"/>
      <c r="H991" s="131"/>
      <c r="I991" s="142"/>
      <c r="J991" s="142"/>
      <c r="K991" s="132"/>
      <c r="L991" s="131"/>
      <c r="M991" s="142"/>
      <c r="N991" s="142"/>
      <c r="O991" s="142"/>
      <c r="P991" s="142"/>
      <c r="Q991" s="142"/>
      <c r="R991" s="142"/>
      <c r="S991" s="142"/>
      <c r="T991" s="142"/>
      <c r="U991" s="142"/>
      <c r="V991" s="142"/>
      <c r="W991" s="142"/>
      <c r="X991" s="142"/>
      <c r="Y991" s="142"/>
      <c r="Z991" s="142"/>
      <c r="AA991" s="142"/>
      <c r="AB991" s="142"/>
      <c r="AC991" s="142"/>
      <c r="AD991" s="142"/>
      <c r="AE991" s="142"/>
      <c r="AF991" s="142"/>
      <c r="AG991" s="142"/>
      <c r="AH991" s="142"/>
      <c r="AI991" s="142"/>
      <c r="AJ991" s="142"/>
      <c r="AK991" s="142"/>
      <c r="AL991" s="142"/>
      <c r="AM991" s="142"/>
      <c r="AN991" s="142"/>
      <c r="AO991" s="142"/>
      <c r="AP991" s="130"/>
      <c r="AQ991" s="130"/>
      <c r="AR991" s="130"/>
      <c r="AS991" s="130"/>
      <c r="AT991" s="130"/>
      <c r="AU991" s="130"/>
      <c r="AV991" s="130"/>
      <c r="AW991" s="130"/>
      <c r="AX991" s="130"/>
      <c r="AY991" s="130"/>
      <c r="AZ991" s="130"/>
      <c r="BA991" s="130"/>
      <c r="BB991" s="130"/>
      <c r="BC991" s="130"/>
      <c r="BD991" s="130"/>
    </row>
    <row r="992" ht="15.75" customHeight="1">
      <c r="A992" s="142"/>
      <c r="B992" s="142"/>
      <c r="C992" s="198"/>
      <c r="D992" s="142"/>
      <c r="E992" s="131"/>
      <c r="F992" s="142"/>
      <c r="G992" s="142"/>
      <c r="H992" s="131"/>
      <c r="I992" s="142"/>
      <c r="J992" s="142"/>
      <c r="K992" s="132"/>
      <c r="L992" s="131"/>
      <c r="M992" s="142"/>
      <c r="N992" s="142"/>
      <c r="O992" s="142"/>
      <c r="P992" s="142"/>
      <c r="Q992" s="142"/>
      <c r="R992" s="142"/>
      <c r="S992" s="142"/>
      <c r="T992" s="142"/>
      <c r="U992" s="142"/>
      <c r="V992" s="142"/>
      <c r="W992" s="142"/>
      <c r="X992" s="142"/>
      <c r="Y992" s="142"/>
      <c r="Z992" s="142"/>
      <c r="AA992" s="142"/>
      <c r="AB992" s="142"/>
      <c r="AC992" s="142"/>
      <c r="AD992" s="142"/>
      <c r="AE992" s="142"/>
      <c r="AF992" s="142"/>
      <c r="AG992" s="142"/>
      <c r="AH992" s="142"/>
      <c r="AI992" s="142"/>
      <c r="AJ992" s="142"/>
      <c r="AK992" s="142"/>
      <c r="AL992" s="142"/>
      <c r="AM992" s="142"/>
      <c r="AN992" s="142"/>
      <c r="AO992" s="142"/>
      <c r="AP992" s="130"/>
      <c r="AQ992" s="130"/>
      <c r="AR992" s="130"/>
      <c r="AS992" s="130"/>
      <c r="AT992" s="130"/>
      <c r="AU992" s="130"/>
      <c r="AV992" s="130"/>
      <c r="AW992" s="130"/>
      <c r="AX992" s="130"/>
      <c r="AY992" s="130"/>
      <c r="AZ992" s="130"/>
      <c r="BA992" s="130"/>
      <c r="BB992" s="130"/>
      <c r="BC992" s="130"/>
      <c r="BD992" s="130"/>
    </row>
    <row r="993" ht="15.75" customHeight="1">
      <c r="A993" s="142"/>
      <c r="B993" s="142"/>
      <c r="C993" s="198"/>
      <c r="D993" s="142"/>
      <c r="E993" s="131"/>
      <c r="F993" s="142"/>
      <c r="G993" s="142"/>
      <c r="H993" s="131"/>
      <c r="I993" s="142"/>
      <c r="J993" s="142"/>
      <c r="K993" s="132"/>
      <c r="L993" s="131"/>
      <c r="M993" s="142"/>
      <c r="N993" s="142"/>
      <c r="O993" s="142"/>
      <c r="P993" s="142"/>
      <c r="Q993" s="142"/>
      <c r="R993" s="142"/>
      <c r="S993" s="142"/>
      <c r="T993" s="142"/>
      <c r="U993" s="142"/>
      <c r="V993" s="142"/>
      <c r="W993" s="142"/>
      <c r="X993" s="142"/>
      <c r="Y993" s="142"/>
      <c r="Z993" s="142"/>
      <c r="AA993" s="142"/>
      <c r="AB993" s="142"/>
      <c r="AC993" s="142"/>
      <c r="AD993" s="142"/>
      <c r="AE993" s="142"/>
      <c r="AF993" s="142"/>
      <c r="AG993" s="142"/>
      <c r="AH993" s="142"/>
      <c r="AI993" s="142"/>
      <c r="AJ993" s="142"/>
      <c r="AK993" s="142"/>
      <c r="AL993" s="142"/>
      <c r="AM993" s="142"/>
      <c r="AN993" s="142"/>
      <c r="AO993" s="142"/>
      <c r="AP993" s="130"/>
      <c r="AQ993" s="130"/>
      <c r="AR993" s="130"/>
      <c r="AS993" s="130"/>
      <c r="AT993" s="130"/>
      <c r="AU993" s="130"/>
      <c r="AV993" s="130"/>
      <c r="AW993" s="130"/>
      <c r="AX993" s="130"/>
      <c r="AY993" s="130"/>
      <c r="AZ993" s="130"/>
      <c r="BA993" s="130"/>
      <c r="BB993" s="130"/>
      <c r="BC993" s="130"/>
      <c r="BD993" s="130"/>
    </row>
    <row r="994" ht="15.75" customHeight="1">
      <c r="A994" s="142"/>
      <c r="B994" s="142"/>
      <c r="C994" s="198"/>
      <c r="D994" s="142"/>
      <c r="E994" s="131"/>
      <c r="F994" s="142"/>
      <c r="G994" s="142"/>
      <c r="H994" s="131"/>
      <c r="I994" s="142"/>
      <c r="J994" s="142"/>
      <c r="K994" s="132"/>
      <c r="L994" s="131"/>
      <c r="M994" s="142"/>
      <c r="N994" s="142"/>
      <c r="O994" s="142"/>
      <c r="P994" s="142"/>
      <c r="Q994" s="142"/>
      <c r="R994" s="142"/>
      <c r="S994" s="142"/>
      <c r="T994" s="142"/>
      <c r="U994" s="142"/>
      <c r="V994" s="142"/>
      <c r="W994" s="142"/>
      <c r="X994" s="142"/>
      <c r="Y994" s="142"/>
      <c r="Z994" s="142"/>
      <c r="AA994" s="142"/>
      <c r="AB994" s="142"/>
      <c r="AC994" s="142"/>
      <c r="AD994" s="142"/>
      <c r="AE994" s="142"/>
      <c r="AF994" s="142"/>
      <c r="AG994" s="142"/>
      <c r="AH994" s="142"/>
      <c r="AI994" s="142"/>
      <c r="AJ994" s="142"/>
      <c r="AK994" s="142"/>
      <c r="AL994" s="142"/>
      <c r="AM994" s="142"/>
      <c r="AN994" s="142"/>
      <c r="AO994" s="142"/>
      <c r="AP994" s="130"/>
      <c r="AQ994" s="130"/>
      <c r="AR994" s="130"/>
      <c r="AS994" s="130"/>
      <c r="AT994" s="130"/>
      <c r="AU994" s="130"/>
      <c r="AV994" s="130"/>
      <c r="AW994" s="130"/>
      <c r="AX994" s="130"/>
      <c r="AY994" s="130"/>
      <c r="AZ994" s="130"/>
      <c r="BA994" s="130"/>
      <c r="BB994" s="130"/>
      <c r="BC994" s="130"/>
      <c r="BD994" s="130"/>
    </row>
    <row r="995" ht="15.75" customHeight="1">
      <c r="A995" s="142"/>
      <c r="B995" s="142"/>
      <c r="C995" s="198"/>
      <c r="D995" s="142"/>
      <c r="E995" s="131"/>
      <c r="F995" s="142"/>
      <c r="G995" s="142"/>
      <c r="H995" s="131"/>
      <c r="I995" s="142"/>
      <c r="J995" s="142"/>
      <c r="K995" s="132"/>
      <c r="L995" s="131"/>
      <c r="M995" s="142"/>
      <c r="N995" s="142"/>
      <c r="O995" s="142"/>
      <c r="P995" s="142"/>
      <c r="Q995" s="142"/>
      <c r="R995" s="142"/>
      <c r="S995" s="142"/>
      <c r="T995" s="142"/>
      <c r="U995" s="142"/>
      <c r="V995" s="142"/>
      <c r="W995" s="142"/>
      <c r="X995" s="142"/>
      <c r="Y995" s="142"/>
      <c r="Z995" s="142"/>
      <c r="AA995" s="142"/>
      <c r="AB995" s="142"/>
      <c r="AC995" s="142"/>
      <c r="AD995" s="142"/>
      <c r="AE995" s="142"/>
      <c r="AF995" s="142"/>
      <c r="AG995" s="142"/>
      <c r="AH995" s="142"/>
      <c r="AI995" s="142"/>
      <c r="AJ995" s="142"/>
      <c r="AK995" s="142"/>
      <c r="AL995" s="142"/>
      <c r="AM995" s="142"/>
      <c r="AN995" s="142"/>
      <c r="AO995" s="142"/>
      <c r="AP995" s="130"/>
      <c r="AQ995" s="130"/>
      <c r="AR995" s="130"/>
      <c r="AS995" s="130"/>
      <c r="AT995" s="130"/>
      <c r="AU995" s="130"/>
      <c r="AV995" s="130"/>
      <c r="AW995" s="130"/>
      <c r="AX995" s="130"/>
      <c r="AY995" s="130"/>
      <c r="AZ995" s="130"/>
      <c r="BA995" s="130"/>
      <c r="BB995" s="130"/>
      <c r="BC995" s="130"/>
      <c r="BD995" s="130"/>
    </row>
    <row r="996" ht="15.75" customHeight="1">
      <c r="A996" s="142"/>
      <c r="B996" s="142"/>
      <c r="C996" s="198"/>
      <c r="D996" s="142"/>
      <c r="E996" s="131"/>
      <c r="F996" s="142"/>
      <c r="G996" s="142"/>
      <c r="H996" s="131"/>
      <c r="I996" s="142"/>
      <c r="J996" s="142"/>
      <c r="K996" s="132"/>
      <c r="L996" s="131"/>
      <c r="M996" s="142"/>
      <c r="N996" s="142"/>
      <c r="O996" s="142"/>
      <c r="P996" s="142"/>
      <c r="Q996" s="142"/>
      <c r="R996" s="142"/>
      <c r="S996" s="142"/>
      <c r="T996" s="142"/>
      <c r="U996" s="142"/>
      <c r="V996" s="142"/>
      <c r="W996" s="142"/>
      <c r="X996" s="142"/>
      <c r="Y996" s="142"/>
      <c r="Z996" s="142"/>
      <c r="AA996" s="142"/>
      <c r="AB996" s="142"/>
      <c r="AC996" s="142"/>
      <c r="AD996" s="142"/>
      <c r="AE996" s="142"/>
      <c r="AF996" s="142"/>
      <c r="AG996" s="142"/>
      <c r="AH996" s="142"/>
      <c r="AI996" s="142"/>
      <c r="AJ996" s="142"/>
      <c r="AK996" s="142"/>
      <c r="AL996" s="142"/>
      <c r="AM996" s="142"/>
      <c r="AN996" s="142"/>
      <c r="AO996" s="142"/>
      <c r="AP996" s="130"/>
      <c r="AQ996" s="130"/>
      <c r="AR996" s="130"/>
      <c r="AS996" s="130"/>
      <c r="AT996" s="130"/>
      <c r="AU996" s="130"/>
      <c r="AV996" s="130"/>
      <c r="AW996" s="130"/>
      <c r="AX996" s="130"/>
      <c r="AY996" s="130"/>
      <c r="AZ996" s="130"/>
      <c r="BA996" s="130"/>
      <c r="BB996" s="130"/>
      <c r="BC996" s="130"/>
      <c r="BD996" s="130"/>
    </row>
    <row r="997" ht="15.75" customHeight="1">
      <c r="A997" s="142"/>
      <c r="B997" s="142"/>
      <c r="C997" s="198"/>
      <c r="D997" s="142"/>
      <c r="E997" s="131"/>
      <c r="F997" s="142"/>
      <c r="G997" s="142"/>
      <c r="H997" s="131"/>
      <c r="I997" s="142"/>
      <c r="J997" s="142"/>
      <c r="K997" s="132"/>
      <c r="L997" s="131"/>
      <c r="M997" s="142"/>
      <c r="N997" s="142"/>
      <c r="O997" s="142"/>
      <c r="P997" s="142"/>
      <c r="Q997" s="142"/>
      <c r="R997" s="142"/>
      <c r="S997" s="142"/>
      <c r="T997" s="142"/>
      <c r="U997" s="142"/>
      <c r="V997" s="142"/>
      <c r="W997" s="142"/>
      <c r="X997" s="142"/>
      <c r="Y997" s="142"/>
      <c r="Z997" s="142"/>
      <c r="AA997" s="142"/>
      <c r="AB997" s="142"/>
      <c r="AC997" s="142"/>
      <c r="AD997" s="142"/>
      <c r="AE997" s="142"/>
      <c r="AF997" s="142"/>
      <c r="AG997" s="142"/>
      <c r="AH997" s="142"/>
      <c r="AI997" s="142"/>
      <c r="AJ997" s="142"/>
      <c r="AK997" s="142"/>
      <c r="AL997" s="142"/>
      <c r="AM997" s="142"/>
      <c r="AN997" s="142"/>
      <c r="AO997" s="142"/>
      <c r="AP997" s="130"/>
      <c r="AQ997" s="130"/>
      <c r="AR997" s="130"/>
      <c r="AS997" s="130"/>
      <c r="AT997" s="130"/>
      <c r="AU997" s="130"/>
      <c r="AV997" s="130"/>
      <c r="AW997" s="130"/>
      <c r="AX997" s="130"/>
      <c r="AY997" s="130"/>
      <c r="AZ997" s="130"/>
      <c r="BA997" s="130"/>
      <c r="BB997" s="130"/>
      <c r="BC997" s="130"/>
      <c r="BD997" s="130"/>
    </row>
    <row r="998" ht="15.75" customHeight="1">
      <c r="A998" s="142"/>
      <c r="B998" s="142"/>
      <c r="C998" s="198"/>
      <c r="D998" s="142"/>
      <c r="E998" s="131"/>
      <c r="F998" s="142"/>
      <c r="G998" s="142"/>
      <c r="H998" s="131"/>
      <c r="I998" s="142"/>
      <c r="J998" s="142"/>
      <c r="K998" s="132"/>
      <c r="L998" s="131"/>
      <c r="M998" s="142"/>
      <c r="N998" s="142"/>
      <c r="O998" s="142"/>
      <c r="P998" s="142"/>
      <c r="Q998" s="142"/>
      <c r="R998" s="142"/>
      <c r="S998" s="142"/>
      <c r="T998" s="142"/>
      <c r="U998" s="142"/>
      <c r="V998" s="142"/>
      <c r="W998" s="142"/>
      <c r="X998" s="142"/>
      <c r="Y998" s="142"/>
      <c r="Z998" s="142"/>
      <c r="AA998" s="142"/>
      <c r="AB998" s="142"/>
      <c r="AC998" s="142"/>
      <c r="AD998" s="142"/>
      <c r="AE998" s="142"/>
      <c r="AF998" s="142"/>
      <c r="AG998" s="142"/>
      <c r="AH998" s="142"/>
      <c r="AI998" s="142"/>
      <c r="AJ998" s="142"/>
      <c r="AK998" s="142"/>
      <c r="AL998" s="142"/>
      <c r="AM998" s="142"/>
      <c r="AN998" s="142"/>
      <c r="AO998" s="142"/>
      <c r="AP998" s="130"/>
      <c r="AQ998" s="130"/>
      <c r="AR998" s="130"/>
      <c r="AS998" s="130"/>
      <c r="AT998" s="130"/>
      <c r="AU998" s="130"/>
      <c r="AV998" s="130"/>
      <c r="AW998" s="130"/>
      <c r="AX998" s="130"/>
      <c r="AY998" s="130"/>
      <c r="AZ998" s="130"/>
      <c r="BA998" s="130"/>
      <c r="BB998" s="130"/>
      <c r="BC998" s="130"/>
      <c r="BD998" s="130"/>
    </row>
    <row r="999" ht="15.75" customHeight="1">
      <c r="A999" s="142"/>
      <c r="B999" s="142"/>
      <c r="C999" s="198"/>
      <c r="D999" s="142"/>
      <c r="E999" s="131"/>
      <c r="F999" s="142"/>
      <c r="G999" s="142"/>
      <c r="H999" s="131"/>
      <c r="I999" s="142"/>
      <c r="J999" s="142"/>
      <c r="K999" s="132"/>
      <c r="L999" s="131"/>
      <c r="M999" s="142"/>
      <c r="N999" s="142"/>
      <c r="O999" s="142"/>
      <c r="P999" s="142"/>
      <c r="Q999" s="142"/>
      <c r="R999" s="142"/>
      <c r="S999" s="142"/>
      <c r="T999" s="142"/>
      <c r="U999" s="142"/>
      <c r="V999" s="142"/>
      <c r="W999" s="142"/>
      <c r="X999" s="142"/>
      <c r="Y999" s="142"/>
      <c r="Z999" s="142"/>
      <c r="AA999" s="142"/>
      <c r="AB999" s="142"/>
      <c r="AC999" s="142"/>
      <c r="AD999" s="142"/>
      <c r="AE999" s="142"/>
      <c r="AF999" s="142"/>
      <c r="AG999" s="142"/>
      <c r="AH999" s="142"/>
      <c r="AI999" s="142"/>
      <c r="AJ999" s="142"/>
      <c r="AK999" s="142"/>
      <c r="AL999" s="142"/>
      <c r="AM999" s="142"/>
      <c r="AN999" s="142"/>
      <c r="AO999" s="142"/>
      <c r="AP999" s="130"/>
      <c r="AQ999" s="130"/>
      <c r="AR999" s="130"/>
      <c r="AS999" s="130"/>
      <c r="AT999" s="130"/>
      <c r="AU999" s="130"/>
      <c r="AV999" s="130"/>
      <c r="AW999" s="130"/>
      <c r="AX999" s="130"/>
      <c r="AY999" s="130"/>
      <c r="AZ999" s="130"/>
      <c r="BA999" s="130"/>
      <c r="BB999" s="130"/>
      <c r="BC999" s="130"/>
      <c r="BD999" s="130"/>
    </row>
    <row r="1000" ht="15.75" customHeight="1">
      <c r="A1000" s="142"/>
      <c r="B1000" s="142"/>
      <c r="C1000" s="198"/>
      <c r="D1000" s="142"/>
      <c r="E1000" s="131"/>
      <c r="F1000" s="142"/>
      <c r="G1000" s="142"/>
      <c r="H1000" s="131"/>
      <c r="I1000" s="142"/>
      <c r="J1000" s="142"/>
      <c r="K1000" s="132"/>
      <c r="L1000" s="131"/>
      <c r="M1000" s="142"/>
      <c r="N1000" s="142"/>
      <c r="O1000" s="142"/>
      <c r="P1000" s="142"/>
      <c r="Q1000" s="142"/>
      <c r="R1000" s="142"/>
      <c r="S1000" s="142"/>
      <c r="T1000" s="142"/>
      <c r="U1000" s="142"/>
      <c r="V1000" s="142"/>
      <c r="W1000" s="142"/>
      <c r="X1000" s="142"/>
      <c r="Y1000" s="142"/>
      <c r="Z1000" s="142"/>
      <c r="AA1000" s="142"/>
      <c r="AB1000" s="142"/>
      <c r="AC1000" s="142"/>
      <c r="AD1000" s="142"/>
      <c r="AE1000" s="142"/>
      <c r="AF1000" s="142"/>
      <c r="AG1000" s="142"/>
      <c r="AH1000" s="142"/>
      <c r="AI1000" s="142"/>
      <c r="AJ1000" s="142"/>
      <c r="AK1000" s="142"/>
      <c r="AL1000" s="142"/>
      <c r="AM1000" s="142"/>
      <c r="AN1000" s="142"/>
      <c r="AO1000" s="142"/>
      <c r="AP1000" s="130"/>
      <c r="AQ1000" s="130"/>
      <c r="AR1000" s="130"/>
      <c r="AS1000" s="130"/>
      <c r="AT1000" s="130"/>
      <c r="AU1000" s="130"/>
      <c r="AV1000" s="130"/>
      <c r="AW1000" s="130"/>
      <c r="AX1000" s="130"/>
      <c r="AY1000" s="130"/>
      <c r="AZ1000" s="130"/>
      <c r="BA1000" s="130"/>
      <c r="BB1000" s="130"/>
      <c r="BC1000" s="130"/>
      <c r="BD1000" s="130"/>
    </row>
  </sheetData>
  <mergeCells count="10">
    <mergeCell ref="M22:M24"/>
    <mergeCell ref="M33:M35"/>
    <mergeCell ref="I1:J1"/>
    <mergeCell ref="Z2:Z51"/>
    <mergeCell ref="AG2:AG51"/>
    <mergeCell ref="M7:M9"/>
    <mergeCell ref="M10:M12"/>
    <mergeCell ref="M13:M15"/>
    <mergeCell ref="M16:M19"/>
    <mergeCell ref="M49:M51"/>
  </mergeCells>
  <conditionalFormatting sqref="I2:J51">
    <cfRule type="cellIs" dxfId="21" priority="1" operator="equal">
      <formula>"/"</formula>
    </cfRule>
  </conditionalFormatting>
  <conditionalFormatting sqref="I2:J51">
    <cfRule type="cellIs" dxfId="4" priority="2" operator="lessThan">
      <formula>0</formula>
    </cfRule>
  </conditionalFormatting>
  <conditionalFormatting sqref="I2:J51">
    <cfRule type="cellIs" dxfId="22" priority="3" operator="greaterThan">
      <formula>0</formula>
    </cfRule>
  </conditionalFormatting>
  <conditionalFormatting sqref="F2:F51">
    <cfRule type="expression" dxfId="23" priority="4">
      <formula>$I$1="差距(Median)"</formula>
    </cfRule>
  </conditionalFormatting>
  <conditionalFormatting sqref="G2:G51">
    <cfRule type="expression" dxfId="23" priority="5">
      <formula>$I$1="差距(LQ)"</formula>
    </cfRule>
  </conditionalFormatting>
  <conditionalFormatting sqref="Z2 AG2 AN2:AN51 S25">
    <cfRule type="expression" dxfId="7" priority="6">
      <formula>TRUE</formula>
    </cfRule>
  </conditionalFormatting>
  <conditionalFormatting sqref="S26">
    <cfRule type="expression" dxfId="20" priority="7" stopIfTrue="1">
      <formula>TRUE</formula>
    </cfRule>
  </conditionalFormatting>
  <conditionalFormatting sqref="L2:L51 T2:Y51 Y2:Y24 Y27:Y51">
    <cfRule type="cellIs" dxfId="24" priority="8" operator="equal">
      <formula>2</formula>
    </cfRule>
  </conditionalFormatting>
  <conditionalFormatting sqref="L2:L51 T2:X51 Y2:Y24 Y27:Y51">
    <cfRule type="cellIs" dxfId="25" priority="9" operator="equal">
      <formula>0</formula>
    </cfRule>
  </conditionalFormatting>
  <conditionalFormatting sqref="L2:L51 T2:Y51">
    <cfRule type="cellIs" dxfId="26" priority="10" operator="equal">
      <formula>1</formula>
    </cfRule>
  </conditionalFormatting>
  <dataValidations>
    <dataValidation type="list" allowBlank="1" showErrorMessage="1" sqref="Z2">
      <formula1>'選單'!$I$1:$I$3</formula1>
    </dataValidation>
    <dataValidation type="list" allowBlank="1" showErrorMessage="1" sqref="I1">
      <formula1>'選單'!$J$2:$J$3</formula1>
    </dataValidation>
  </dataValidations>
  <hyperlinks>
    <hyperlink r:id="rId2" ref="A62"/>
    <hyperlink r:id="rId3" ref="A63"/>
    <hyperlink r:id="rId4" ref="A64"/>
    <hyperlink r:id="rId5" ref="A65"/>
    <hyperlink r:id="rId6" ref="A66"/>
  </hyperlinks>
  <printOptions/>
  <pageMargins bottom="0.75" footer="0.0" header="0.0" left="0.7" right="0.7" top="0.75"/>
  <pageSetup paperSize="9" orientation="portrait"/>
  <drawing r:id="rId7"/>
  <legacyDrawing r:id="rId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8" width="7.78"/>
    <col customWidth="1" min="9" max="10" width="7.67"/>
    <col customWidth="1" min="11" max="11" width="4.89"/>
    <col customWidth="1" min="12" max="12" width="4.67"/>
    <col customWidth="1" min="13" max="13" width="9.78"/>
    <col customWidth="1" min="14" max="25" width="2.22"/>
    <col customWidth="1" min="26" max="26" width="8.89"/>
    <col customWidth="1" min="27" max="32" width="6.33"/>
    <col customWidth="1" min="33" max="33" width="8.89"/>
    <col customWidth="1" min="34" max="39" width="6.33"/>
    <col customWidth="1" min="40" max="40" width="3.11"/>
    <col customWidth="1" min="41" max="41" width="8.11"/>
  </cols>
  <sheetData>
    <row r="1" ht="18.0" customHeight="1">
      <c r="A1" s="222" t="s">
        <v>1056</v>
      </c>
      <c r="B1" s="222" t="s">
        <v>1066</v>
      </c>
      <c r="C1" s="222" t="s">
        <v>1057</v>
      </c>
      <c r="D1" s="222"/>
      <c r="E1" s="223" t="s">
        <v>44</v>
      </c>
      <c r="F1" s="223" t="s">
        <v>46</v>
      </c>
      <c r="G1" s="223" t="s">
        <v>47</v>
      </c>
      <c r="H1" s="223" t="s">
        <v>48</v>
      </c>
      <c r="I1" s="224" t="s">
        <v>157</v>
      </c>
      <c r="J1" s="185"/>
      <c r="K1" s="223" t="s">
        <v>49</v>
      </c>
      <c r="L1" s="223" t="s">
        <v>955</v>
      </c>
      <c r="M1" s="223" t="s">
        <v>1067</v>
      </c>
      <c r="N1" s="223" t="s">
        <v>1058</v>
      </c>
      <c r="O1" s="223" t="s">
        <v>1059</v>
      </c>
      <c r="P1" s="223" t="s">
        <v>1060</v>
      </c>
      <c r="Q1" s="223" t="s">
        <v>1061</v>
      </c>
      <c r="R1" s="223" t="s">
        <v>218</v>
      </c>
      <c r="S1" s="223" t="s">
        <v>219</v>
      </c>
      <c r="T1" s="223" t="s">
        <v>1058</v>
      </c>
      <c r="U1" s="223" t="s">
        <v>1059</v>
      </c>
      <c r="V1" s="223" t="s">
        <v>1060</v>
      </c>
      <c r="W1" s="223" t="s">
        <v>1061</v>
      </c>
      <c r="X1" s="223" t="s">
        <v>218</v>
      </c>
      <c r="Y1" s="223" t="s">
        <v>219</v>
      </c>
      <c r="Z1" s="223" t="s">
        <v>50</v>
      </c>
      <c r="AA1" s="223" t="s">
        <v>1068</v>
      </c>
      <c r="AB1" s="223" t="s">
        <v>39</v>
      </c>
      <c r="AC1" s="223" t="s">
        <v>1069</v>
      </c>
      <c r="AD1" s="223" t="s">
        <v>1070</v>
      </c>
      <c r="AE1" s="223" t="s">
        <v>1071</v>
      </c>
      <c r="AF1" s="223" t="s">
        <v>1072</v>
      </c>
      <c r="AG1" s="223" t="s">
        <v>1073</v>
      </c>
      <c r="AH1" s="223" t="s">
        <v>1068</v>
      </c>
      <c r="AI1" s="223" t="s">
        <v>39</v>
      </c>
      <c r="AJ1" s="223" t="s">
        <v>1069</v>
      </c>
      <c r="AK1" s="223" t="s">
        <v>1070</v>
      </c>
      <c r="AL1" s="223" t="s">
        <v>1071</v>
      </c>
      <c r="AM1" s="223" t="s">
        <v>1072</v>
      </c>
      <c r="AN1" s="222"/>
      <c r="AO1" s="223"/>
    </row>
    <row r="2" ht="18.0" customHeight="1">
      <c r="A2" s="225" t="s">
        <v>228</v>
      </c>
      <c r="B2" s="225" t="s">
        <v>971</v>
      </c>
      <c r="C2" s="225" t="s">
        <v>229</v>
      </c>
      <c r="D2" s="225" t="s">
        <v>1238</v>
      </c>
      <c r="E2" s="226" t="s">
        <v>191</v>
      </c>
      <c r="F2" s="227">
        <f>7+3+3+3+4+4</f>
        <v>24</v>
      </c>
      <c r="G2" s="227">
        <f>5+4+3+4+5+3</f>
        <v>24</v>
      </c>
      <c r="H2" s="228">
        <f>'計分版'!D77</f>
        <v>0.00000000285</v>
      </c>
      <c r="I2" s="229">
        <f t="shared" ref="I2:I16" si="1">IF(I$1="差距(Median)",H2-F2,IF(I$1="差距(LQ)",H2-G2))</f>
        <v>-24</v>
      </c>
      <c r="J2" s="230">
        <f t="shared" ref="J2:J16" si="2">IF(I$1="差距(Median)",(H2-F2)/H2,IF(I$1="差距(LQ)",(H2-G2)/H2))</f>
        <v>-8421052631</v>
      </c>
      <c r="K2" s="231">
        <v>56.0</v>
      </c>
      <c r="L2" s="232">
        <f>'入學要求'!S56</f>
        <v>0</v>
      </c>
      <c r="M2" s="226" t="s">
        <v>541</v>
      </c>
      <c r="N2" s="226">
        <v>3.0</v>
      </c>
      <c r="O2" s="226">
        <v>3.0</v>
      </c>
      <c r="P2" s="226">
        <v>2.0</v>
      </c>
      <c r="Q2" s="226">
        <v>2.0</v>
      </c>
      <c r="R2" s="226">
        <v>3.0</v>
      </c>
      <c r="S2" s="226">
        <v>3.0</v>
      </c>
      <c r="T2" s="233">
        <f>'入學要求'!L56</f>
        <v>0</v>
      </c>
      <c r="U2" s="233">
        <f>'入學要求'!M56</f>
        <v>0</v>
      </c>
      <c r="V2" s="233">
        <f>'入學要求'!N56</f>
        <v>0</v>
      </c>
      <c r="W2" s="233">
        <f>'入學要求'!O56</f>
        <v>0</v>
      </c>
      <c r="X2" s="233">
        <f>'入學要求'!P56</f>
        <v>0</v>
      </c>
      <c r="Y2" s="233">
        <f>'入學要求'!Q56</f>
        <v>0</v>
      </c>
      <c r="Z2" s="196" t="s">
        <v>38</v>
      </c>
      <c r="AA2" s="231">
        <f>IF($Z$2="2018年",'Offer Statistics'!AG2,IF($Z$2="2019年",'Offer Statistics'!AG33,IF($Z$2="2020年",'Offer Statistics'!AG64)))</f>
        <v>53</v>
      </c>
      <c r="AB2" s="234">
        <f>IF($Z$2="2018年",'Offer Statistics'!AB2,IF($Z$2="2019年",'Offer Statistics'!AB33,IF($Z$2="2020年",'Offer Statistics'!AB64)))</f>
        <v>47</v>
      </c>
      <c r="AC2" s="234">
        <f>IF($Z$2="2018年",'Offer Statistics'!AC2,IF($Z$2="2019年",'Offer Statistics'!AC33,IF($Z$2="2020年",'Offer Statistics'!AC64)))</f>
        <v>3</v>
      </c>
      <c r="AD2" s="234">
        <f>IF($Z$2="2018年",'Offer Statistics'!AD2,IF($Z$2="2019年",'Offer Statistics'!AD33,IF($Z$2="2020年",'Offer Statistics'!AD64)))</f>
        <v>2</v>
      </c>
      <c r="AE2" s="234">
        <f>IF($Z$2="2018年",'Offer Statistics'!AE2,IF($Z$2="2019年",'Offer Statistics'!AE33,IF($Z$2="2020年",'Offer Statistics'!AE64)))</f>
        <v>0</v>
      </c>
      <c r="AF2" s="234">
        <f>IF($Z$2="2018年",'Offer Statistics'!AF2,IF($Z$2="2019年",'Offer Statistics'!AF33,IF($Z$2="2020年",'Offer Statistics'!AF64)))</f>
        <v>1</v>
      </c>
      <c r="AG2" s="196" t="str">
        <f>Z2</f>
        <v>2020年</v>
      </c>
      <c r="AH2" s="231">
        <f>IF($AG$2="2018年",'Offer Statistics'!Y2,IF($AG$2="2019年",'Offer Statistics'!Y33,IF($AG$2="2020年",'Offer Statistics'!Y64)))</f>
        <v>4300</v>
      </c>
      <c r="AI2" s="234">
        <f>IF($AG$2="2018年",'Offer Statistics'!T2,IF($AG$2="2019年",'Offer Statistics'!T33,IF($AG$2="2020年",'Offer Statistics'!T64)))</f>
        <v>765</v>
      </c>
      <c r="AJ2" s="234">
        <f>IF($AG$2="2018年",'Offer Statistics'!U2,IF($AG$2="2019年",'Offer Statistics'!U33,IF($AG$2="2020年",'Offer Statistics'!U64)))</f>
        <v>826</v>
      </c>
      <c r="AK2" s="234">
        <f>IF($AG$2="2018年",'Offer Statistics'!V2,IF($AG$2="2019年",'Offer Statistics'!V33,IF($AG$2="2020年",'Offer Statistics'!V64)))</f>
        <v>1021</v>
      </c>
      <c r="AL2" s="234">
        <f>IF($AG$2="2018年",'Offer Statistics'!W2,IF($AG$2="2019年",'Offer Statistics'!W33,IF($AG$2="2020年",'Offer Statistics'!W64)))</f>
        <v>1045</v>
      </c>
      <c r="AM2" s="234">
        <f>IF($AG$2="2018年",'Offer Statistics'!X2,IF($AG$2="2019年",'Offer Statistics'!X33,IF($AG$2="2020年",'Offer Statistics'!X64)))</f>
        <v>643</v>
      </c>
      <c r="AN2" s="225"/>
      <c r="AO2" s="226" t="str">
        <f t="shared" ref="AO2:AO30" si="3">A2</f>
        <v>JS2020</v>
      </c>
    </row>
    <row r="3" ht="18.0" customHeight="1">
      <c r="A3" s="142" t="s">
        <v>230</v>
      </c>
      <c r="B3" s="142" t="s">
        <v>971</v>
      </c>
      <c r="C3" s="142" t="s">
        <v>231</v>
      </c>
      <c r="D3" s="142" t="s">
        <v>1239</v>
      </c>
      <c r="E3" s="131" t="s">
        <v>191</v>
      </c>
      <c r="F3" s="199">
        <f>7+3+4+4+4+3</f>
        <v>25</v>
      </c>
      <c r="G3" s="199">
        <f>5+4+3+4+5+4</f>
        <v>25</v>
      </c>
      <c r="H3" s="200">
        <f>'計分版'!D78</f>
        <v>0.00000000285</v>
      </c>
      <c r="I3" s="201">
        <f t="shared" si="1"/>
        <v>-25</v>
      </c>
      <c r="J3" s="202">
        <f t="shared" si="2"/>
        <v>-8771929824</v>
      </c>
      <c r="K3" s="132">
        <v>18.0</v>
      </c>
      <c r="L3" s="203">
        <f>'入學要求'!S57</f>
        <v>0</v>
      </c>
      <c r="M3" s="131" t="s">
        <v>541</v>
      </c>
      <c r="N3" s="131">
        <v>3.0</v>
      </c>
      <c r="O3" s="131">
        <v>3.0</v>
      </c>
      <c r="P3" s="131">
        <v>2.0</v>
      </c>
      <c r="Q3" s="131">
        <v>2.0</v>
      </c>
      <c r="R3" s="131">
        <v>3.0</v>
      </c>
      <c r="S3" s="131">
        <v>3.0</v>
      </c>
      <c r="T3" s="204">
        <f>'入學要求'!L57</f>
        <v>0</v>
      </c>
      <c r="U3" s="204">
        <f>'入學要求'!M57</f>
        <v>0</v>
      </c>
      <c r="V3" s="204">
        <f>'入學要求'!N57</f>
        <v>0</v>
      </c>
      <c r="W3" s="204">
        <f>'入學要求'!O57</f>
        <v>0</v>
      </c>
      <c r="X3" s="204">
        <f>'入學要求'!P57</f>
        <v>0</v>
      </c>
      <c r="Y3" s="204">
        <f>'入學要求'!Q57</f>
        <v>0</v>
      </c>
      <c r="Z3" s="205"/>
      <c r="AA3" s="132">
        <f>IF($Z$2="2018年",'Offer Statistics'!AG3,IF($Z$2="2019年",'Offer Statistics'!AG34,IF($Z$2="2020年",'Offer Statistics'!AG65)))</f>
        <v>20</v>
      </c>
      <c r="AB3" s="206">
        <f>IF($Z$2="2018年",'Offer Statistics'!AB3,IF($Z$2="2019年",'Offer Statistics'!AB34,IF($Z$2="2020年",'Offer Statistics'!AB65)))</f>
        <v>20</v>
      </c>
      <c r="AC3" s="206">
        <f>IF($Z$2="2018年",'Offer Statistics'!AC3,IF($Z$2="2019年",'Offer Statistics'!AC34,IF($Z$2="2020年",'Offer Statistics'!AC65)))</f>
        <v>0</v>
      </c>
      <c r="AD3" s="206">
        <f>IF($Z$2="2018年",'Offer Statistics'!AD3,IF($Z$2="2019年",'Offer Statistics'!AD34,IF($Z$2="2020年",'Offer Statistics'!AD65)))</f>
        <v>0</v>
      </c>
      <c r="AE3" s="206">
        <f>IF($Z$2="2018年",'Offer Statistics'!AE3,IF($Z$2="2019年",'Offer Statistics'!AE34,IF($Z$2="2020年",'Offer Statistics'!AE65)))</f>
        <v>0</v>
      </c>
      <c r="AF3" s="206">
        <f>IF($Z$2="2018年",'Offer Statistics'!AF3,IF($Z$2="2019年",'Offer Statistics'!AF34,IF($Z$2="2020年",'Offer Statistics'!AF65)))</f>
        <v>0</v>
      </c>
      <c r="AG3" s="205"/>
      <c r="AH3" s="132">
        <f>IF($AG$2="2018年",'Offer Statistics'!Y3,IF($AG$2="2019年",'Offer Statistics'!Y34,IF($AG$2="2020年",'Offer Statistics'!Y65)))</f>
        <v>1942</v>
      </c>
      <c r="AI3" s="206">
        <f>IF($AG$2="2018年",'Offer Statistics'!T3,IF($AG$2="2019年",'Offer Statistics'!T34,IF($AG$2="2020年",'Offer Statistics'!T65)))</f>
        <v>285</v>
      </c>
      <c r="AJ3" s="206">
        <f>IF($AG$2="2018年",'Offer Statistics'!U3,IF($AG$2="2019年",'Offer Statistics'!U34,IF($AG$2="2020年",'Offer Statistics'!U65)))</f>
        <v>368</v>
      </c>
      <c r="AK3" s="206">
        <f>IF($AG$2="2018年",'Offer Statistics'!V3,IF($AG$2="2019年",'Offer Statistics'!V34,IF($AG$2="2020年",'Offer Statistics'!V65)))</f>
        <v>475</v>
      </c>
      <c r="AL3" s="206">
        <f>IF($AG$2="2018年",'Offer Statistics'!W3,IF($AG$2="2019年",'Offer Statistics'!W34,IF($AG$2="2020年",'Offer Statistics'!W65)))</f>
        <v>491</v>
      </c>
      <c r="AM3" s="206">
        <f>IF($AG$2="2018年",'Offer Statistics'!X3,IF($AG$2="2019年",'Offer Statistics'!X34,IF($AG$2="2020年",'Offer Statistics'!X65)))</f>
        <v>323</v>
      </c>
      <c r="AN3" s="142"/>
      <c r="AO3" s="131" t="str">
        <f t="shared" si="3"/>
        <v>JS2021</v>
      </c>
    </row>
    <row r="4" ht="18.0" customHeight="1">
      <c r="A4" s="225" t="s">
        <v>232</v>
      </c>
      <c r="B4" s="225" t="s">
        <v>971</v>
      </c>
      <c r="C4" s="225" t="s">
        <v>233</v>
      </c>
      <c r="D4" s="225" t="s">
        <v>1240</v>
      </c>
      <c r="E4" s="226" t="s">
        <v>191</v>
      </c>
      <c r="F4" s="227">
        <f>5+4+3+4+4+3</f>
        <v>23</v>
      </c>
      <c r="G4" s="227">
        <f>4+4+4+4+4+3</f>
        <v>23</v>
      </c>
      <c r="H4" s="228">
        <f>'計分版'!D79</f>
        <v>0.00000000285</v>
      </c>
      <c r="I4" s="229">
        <f t="shared" si="1"/>
        <v>-23</v>
      </c>
      <c r="J4" s="230">
        <f t="shared" si="2"/>
        <v>-8070175438</v>
      </c>
      <c r="K4" s="231">
        <v>14.0</v>
      </c>
      <c r="L4" s="235">
        <f>'入學要求'!S58</f>
        <v>0</v>
      </c>
      <c r="M4" s="226" t="s">
        <v>541</v>
      </c>
      <c r="N4" s="226">
        <v>3.0</v>
      </c>
      <c r="O4" s="226">
        <v>3.0</v>
      </c>
      <c r="P4" s="226">
        <v>2.0</v>
      </c>
      <c r="Q4" s="226">
        <v>2.0</v>
      </c>
      <c r="R4" s="226">
        <v>3.0</v>
      </c>
      <c r="S4" s="226">
        <v>3.0</v>
      </c>
      <c r="T4" s="233">
        <f>'入學要求'!L58</f>
        <v>0</v>
      </c>
      <c r="U4" s="233">
        <f>'入學要求'!M58</f>
        <v>0</v>
      </c>
      <c r="V4" s="233">
        <f>'入學要求'!N58</f>
        <v>0</v>
      </c>
      <c r="W4" s="233">
        <f>'入學要求'!O58</f>
        <v>0</v>
      </c>
      <c r="X4" s="233">
        <f>'入學要求'!P58</f>
        <v>0</v>
      </c>
      <c r="Y4" s="233">
        <f>'入學要求'!Q58</f>
        <v>0</v>
      </c>
      <c r="Z4" s="205"/>
      <c r="AA4" s="231">
        <f>IF($Z$2="2018年",'Offer Statistics'!AG4,IF($Z$2="2019年",'Offer Statistics'!AG35,IF($Z$2="2020年",'Offer Statistics'!AG66)))</f>
        <v>13</v>
      </c>
      <c r="AB4" s="234">
        <f>IF($Z$2="2018年",'Offer Statistics'!AB4,IF($Z$2="2019年",'Offer Statistics'!AB35,IF($Z$2="2020年",'Offer Statistics'!AB66)))</f>
        <v>8</v>
      </c>
      <c r="AC4" s="234">
        <f>IF($Z$2="2018年",'Offer Statistics'!AC4,IF($Z$2="2019年",'Offer Statistics'!AC35,IF($Z$2="2020年",'Offer Statistics'!AC66)))</f>
        <v>3</v>
      </c>
      <c r="AD4" s="234">
        <f>IF($Z$2="2018年",'Offer Statistics'!AD4,IF($Z$2="2019年",'Offer Statistics'!AD35,IF($Z$2="2020年",'Offer Statistics'!AD66)))</f>
        <v>1</v>
      </c>
      <c r="AE4" s="234">
        <f>IF($Z$2="2018年",'Offer Statistics'!AE4,IF($Z$2="2019年",'Offer Statistics'!AE35,IF($Z$2="2020年",'Offer Statistics'!AE66)))</f>
        <v>0</v>
      </c>
      <c r="AF4" s="234">
        <f>IF($Z$2="2018年",'Offer Statistics'!AF4,IF($Z$2="2019年",'Offer Statistics'!AF35,IF($Z$2="2020年",'Offer Statistics'!AF66)))</f>
        <v>1</v>
      </c>
      <c r="AG4" s="205"/>
      <c r="AH4" s="231">
        <f>IF($AG$2="2018年",'Offer Statistics'!Y4,IF($AG$2="2019年",'Offer Statistics'!Y35,IF($AG$2="2020年",'Offer Statistics'!Y66)))</f>
        <v>1310</v>
      </c>
      <c r="AI4" s="234">
        <f>IF($AG$2="2018年",'Offer Statistics'!T4,IF($AG$2="2019年",'Offer Statistics'!T35,IF($AG$2="2020年",'Offer Statistics'!T66)))</f>
        <v>152</v>
      </c>
      <c r="AJ4" s="234">
        <f>IF($AG$2="2018年",'Offer Statistics'!U4,IF($AG$2="2019年",'Offer Statistics'!U35,IF($AG$2="2020年",'Offer Statistics'!U66)))</f>
        <v>220</v>
      </c>
      <c r="AK4" s="234">
        <f>IF($AG$2="2018年",'Offer Statistics'!V4,IF($AG$2="2019年",'Offer Statistics'!V35,IF($AG$2="2020年",'Offer Statistics'!V66)))</f>
        <v>339</v>
      </c>
      <c r="AL4" s="234">
        <f>IF($AG$2="2018年",'Offer Statistics'!W4,IF($AG$2="2019年",'Offer Statistics'!W35,IF($AG$2="2020年",'Offer Statistics'!W66)))</f>
        <v>346</v>
      </c>
      <c r="AM4" s="234">
        <f>IF($AG$2="2018年",'Offer Statistics'!X4,IF($AG$2="2019年",'Offer Statistics'!X35,IF($AG$2="2020年",'Offer Statistics'!X66)))</f>
        <v>253</v>
      </c>
      <c r="AN4" s="225"/>
      <c r="AO4" s="226" t="str">
        <f t="shared" si="3"/>
        <v>JS2022</v>
      </c>
    </row>
    <row r="5" ht="18.0" customHeight="1">
      <c r="A5" s="142" t="s">
        <v>234</v>
      </c>
      <c r="B5" s="142" t="s">
        <v>971</v>
      </c>
      <c r="C5" s="142" t="s">
        <v>235</v>
      </c>
      <c r="D5" s="142" t="s">
        <v>1241</v>
      </c>
      <c r="E5" s="131" t="s">
        <v>191</v>
      </c>
      <c r="F5" s="199">
        <f>5+3+3+3+4+4</f>
        <v>22</v>
      </c>
      <c r="G5" s="199">
        <f>3+5+3+3+4+3</f>
        <v>21</v>
      </c>
      <c r="H5" s="200">
        <f>'計分版'!D80</f>
        <v>0.00000000285</v>
      </c>
      <c r="I5" s="201">
        <f t="shared" si="1"/>
        <v>-22</v>
      </c>
      <c r="J5" s="202">
        <f t="shared" si="2"/>
        <v>-7719298245</v>
      </c>
      <c r="K5" s="132">
        <v>14.0</v>
      </c>
      <c r="L5" s="203">
        <f>'入學要求'!S59</f>
        <v>0</v>
      </c>
      <c r="M5" s="131" t="s">
        <v>541</v>
      </c>
      <c r="N5" s="131">
        <v>3.0</v>
      </c>
      <c r="O5" s="131">
        <v>3.0</v>
      </c>
      <c r="P5" s="131">
        <v>2.0</v>
      </c>
      <c r="Q5" s="131">
        <v>2.0</v>
      </c>
      <c r="R5" s="131">
        <v>3.0</v>
      </c>
      <c r="S5" s="131">
        <v>3.0</v>
      </c>
      <c r="T5" s="204">
        <f>'入學要求'!L59</f>
        <v>0</v>
      </c>
      <c r="U5" s="204">
        <f>'入學要求'!M59</f>
        <v>0</v>
      </c>
      <c r="V5" s="204">
        <f>'入學要求'!N59</f>
        <v>0</v>
      </c>
      <c r="W5" s="204">
        <f>'入學要求'!O59</f>
        <v>0</v>
      </c>
      <c r="X5" s="204">
        <f>'入學要求'!P59</f>
        <v>0</v>
      </c>
      <c r="Y5" s="204">
        <f>'入學要求'!Q59</f>
        <v>0</v>
      </c>
      <c r="Z5" s="205"/>
      <c r="AA5" s="132">
        <f>IF($Z$2="2018年",'Offer Statistics'!AG5,IF($Z$2="2019年",'Offer Statistics'!AG36,IF($Z$2="2020年",'Offer Statistics'!AG67)))</f>
        <v>15</v>
      </c>
      <c r="AB5" s="206">
        <f>IF($Z$2="2018年",'Offer Statistics'!AB5,IF($Z$2="2019年",'Offer Statistics'!AB36,IF($Z$2="2020年",'Offer Statistics'!AB67)))</f>
        <v>10</v>
      </c>
      <c r="AC5" s="206">
        <f>IF($Z$2="2018年",'Offer Statistics'!AC5,IF($Z$2="2019年",'Offer Statistics'!AC36,IF($Z$2="2020年",'Offer Statistics'!AC67)))</f>
        <v>2</v>
      </c>
      <c r="AD5" s="206">
        <f>IF($Z$2="2018年",'Offer Statistics'!AD5,IF($Z$2="2019年",'Offer Statistics'!AD36,IF($Z$2="2020年",'Offer Statistics'!AD67)))</f>
        <v>2</v>
      </c>
      <c r="AE5" s="206">
        <f>IF($Z$2="2018年",'Offer Statistics'!AE5,IF($Z$2="2019年",'Offer Statistics'!AE36,IF($Z$2="2020年",'Offer Statistics'!AE67)))</f>
        <v>0</v>
      </c>
      <c r="AF5" s="206">
        <f>IF($Z$2="2018年",'Offer Statistics'!AF5,IF($Z$2="2019年",'Offer Statistics'!AF36,IF($Z$2="2020年",'Offer Statistics'!AF67)))</f>
        <v>1</v>
      </c>
      <c r="AG5" s="205"/>
      <c r="AH5" s="132">
        <f>IF($AG$2="2018年",'Offer Statistics'!Y5,IF($AG$2="2019年",'Offer Statistics'!Y36,IF($AG$2="2020年",'Offer Statistics'!Y67)))</f>
        <v>1055</v>
      </c>
      <c r="AI5" s="206">
        <f>IF($AG$2="2018年",'Offer Statistics'!T5,IF($AG$2="2019年",'Offer Statistics'!T36,IF($AG$2="2020年",'Offer Statistics'!T67)))</f>
        <v>80</v>
      </c>
      <c r="AJ5" s="206">
        <f>IF($AG$2="2018年",'Offer Statistics'!U5,IF($AG$2="2019年",'Offer Statistics'!U36,IF($AG$2="2020年",'Offer Statistics'!U67)))</f>
        <v>176</v>
      </c>
      <c r="AK5" s="206">
        <f>IF($AG$2="2018年",'Offer Statistics'!V5,IF($AG$2="2019年",'Offer Statistics'!V36,IF($AG$2="2020年",'Offer Statistics'!V67)))</f>
        <v>294</v>
      </c>
      <c r="AL5" s="206">
        <f>IF($AG$2="2018年",'Offer Statistics'!W5,IF($AG$2="2019年",'Offer Statistics'!W36,IF($AG$2="2020年",'Offer Statistics'!W67)))</f>
        <v>301</v>
      </c>
      <c r="AM5" s="206">
        <f>IF($AG$2="2018年",'Offer Statistics'!X5,IF($AG$2="2019年",'Offer Statistics'!X36,IF($AG$2="2020年",'Offer Statistics'!X67)))</f>
        <v>204</v>
      </c>
      <c r="AN5" s="142"/>
      <c r="AO5" s="131" t="str">
        <f t="shared" si="3"/>
        <v>JS2023</v>
      </c>
    </row>
    <row r="6" ht="18.0" customHeight="1">
      <c r="A6" s="225" t="s">
        <v>236</v>
      </c>
      <c r="B6" s="225" t="s">
        <v>971</v>
      </c>
      <c r="C6" s="225" t="s">
        <v>237</v>
      </c>
      <c r="D6" s="225" t="s">
        <v>1242</v>
      </c>
      <c r="E6" s="226" t="s">
        <v>191</v>
      </c>
      <c r="F6" s="227">
        <f>4+3+4+4+5+3</f>
        <v>23</v>
      </c>
      <c r="G6" s="227">
        <f>4+3+4+4+4+4</f>
        <v>23</v>
      </c>
      <c r="H6" s="228">
        <f>'計分版'!D81</f>
        <v>0.00000000285</v>
      </c>
      <c r="I6" s="229">
        <f t="shared" si="1"/>
        <v>-23</v>
      </c>
      <c r="J6" s="230">
        <f t="shared" si="2"/>
        <v>-8070175438</v>
      </c>
      <c r="K6" s="231">
        <v>14.0</v>
      </c>
      <c r="L6" s="235">
        <f>'入學要求'!S60</f>
        <v>0</v>
      </c>
      <c r="M6" s="226" t="s">
        <v>541</v>
      </c>
      <c r="N6" s="226">
        <v>3.0</v>
      </c>
      <c r="O6" s="226">
        <v>3.0</v>
      </c>
      <c r="P6" s="226">
        <v>2.0</v>
      </c>
      <c r="Q6" s="226">
        <v>2.0</v>
      </c>
      <c r="R6" s="226">
        <v>3.0</v>
      </c>
      <c r="S6" s="226">
        <v>3.0</v>
      </c>
      <c r="T6" s="233">
        <f>'入學要求'!L60</f>
        <v>0</v>
      </c>
      <c r="U6" s="233">
        <f>'入學要求'!M60</f>
        <v>0</v>
      </c>
      <c r="V6" s="233">
        <f>'入學要求'!N60</f>
        <v>0</v>
      </c>
      <c r="W6" s="233">
        <f>'入學要求'!O60</f>
        <v>0</v>
      </c>
      <c r="X6" s="233">
        <f>'入學要求'!P60</f>
        <v>0</v>
      </c>
      <c r="Y6" s="233">
        <f>'入學要求'!Q60</f>
        <v>0</v>
      </c>
      <c r="Z6" s="205"/>
      <c r="AA6" s="231">
        <f>IF($Z$2="2018年",'Offer Statistics'!AG6,IF($Z$2="2019年",'Offer Statistics'!AG37,IF($Z$2="2020年",'Offer Statistics'!AG68)))</f>
        <v>16</v>
      </c>
      <c r="AB6" s="234">
        <f>IF($Z$2="2018年",'Offer Statistics'!AB6,IF($Z$2="2019年",'Offer Statistics'!AB37,IF($Z$2="2020年",'Offer Statistics'!AB68)))</f>
        <v>10</v>
      </c>
      <c r="AC6" s="234">
        <f>IF($Z$2="2018年",'Offer Statistics'!AC6,IF($Z$2="2019年",'Offer Statistics'!AC37,IF($Z$2="2020年",'Offer Statistics'!AC68)))</f>
        <v>2</v>
      </c>
      <c r="AD6" s="234">
        <f>IF($Z$2="2018年",'Offer Statistics'!AD6,IF($Z$2="2019年",'Offer Statistics'!AD37,IF($Z$2="2020年",'Offer Statistics'!AD68)))</f>
        <v>2</v>
      </c>
      <c r="AE6" s="234">
        <f>IF($Z$2="2018年",'Offer Statistics'!AE6,IF($Z$2="2019年",'Offer Statistics'!AE37,IF($Z$2="2020年",'Offer Statistics'!AE68)))</f>
        <v>1</v>
      </c>
      <c r="AF6" s="234">
        <f>IF($Z$2="2018年",'Offer Statistics'!AF6,IF($Z$2="2019年",'Offer Statistics'!AF37,IF($Z$2="2020年",'Offer Statistics'!AF68)))</f>
        <v>1</v>
      </c>
      <c r="AG6" s="205"/>
      <c r="AH6" s="231">
        <f>IF($AG$2="2018年",'Offer Statistics'!Y6,IF($AG$2="2019年",'Offer Statistics'!Y37,IF($AG$2="2020年",'Offer Statistics'!Y68)))</f>
        <v>1522</v>
      </c>
      <c r="AI6" s="234">
        <f>IF($AG$2="2018年",'Offer Statistics'!T6,IF($AG$2="2019年",'Offer Statistics'!T37,IF($AG$2="2020年",'Offer Statistics'!T68)))</f>
        <v>76</v>
      </c>
      <c r="AJ6" s="234">
        <f>IF($AG$2="2018年",'Offer Statistics'!U6,IF($AG$2="2019年",'Offer Statistics'!U37,IF($AG$2="2020年",'Offer Statistics'!U68)))</f>
        <v>177</v>
      </c>
      <c r="AK6" s="234">
        <f>IF($AG$2="2018年",'Offer Statistics'!V6,IF($AG$2="2019年",'Offer Statistics'!V37,IF($AG$2="2020年",'Offer Statistics'!V68)))</f>
        <v>362</v>
      </c>
      <c r="AL6" s="234">
        <f>IF($AG$2="2018年",'Offer Statistics'!W6,IF($AG$2="2019年",'Offer Statistics'!W37,IF($AG$2="2020年",'Offer Statistics'!W68)))</f>
        <v>509</v>
      </c>
      <c r="AM6" s="234">
        <f>IF($AG$2="2018年",'Offer Statistics'!X6,IF($AG$2="2019年",'Offer Statistics'!X37,IF($AG$2="2020年",'Offer Statistics'!X68)))</f>
        <v>398</v>
      </c>
      <c r="AN6" s="225"/>
      <c r="AO6" s="226" t="str">
        <f t="shared" si="3"/>
        <v>JS2024</v>
      </c>
    </row>
    <row r="7" ht="18.0" customHeight="1">
      <c r="A7" s="142" t="s">
        <v>238</v>
      </c>
      <c r="B7" s="142" t="s">
        <v>971</v>
      </c>
      <c r="C7" s="142" t="s">
        <v>239</v>
      </c>
      <c r="D7" s="142" t="s">
        <v>1243</v>
      </c>
      <c r="E7" s="131" t="s">
        <v>191</v>
      </c>
      <c r="F7" s="199">
        <f>3+5+4+3+5+4</f>
        <v>24</v>
      </c>
      <c r="G7" s="199">
        <f>5+4+4+3+4+3</f>
        <v>23</v>
      </c>
      <c r="H7" s="200">
        <f>'計分版'!D82</f>
        <v>0.00000000285</v>
      </c>
      <c r="I7" s="201">
        <f t="shared" si="1"/>
        <v>-24</v>
      </c>
      <c r="J7" s="202">
        <f t="shared" si="2"/>
        <v>-8421052631</v>
      </c>
      <c r="K7" s="132">
        <v>10.0</v>
      </c>
      <c r="L7" s="203">
        <f>'入學要求'!S61</f>
        <v>0</v>
      </c>
      <c r="M7" s="131" t="s">
        <v>1077</v>
      </c>
      <c r="N7" s="131">
        <v>3.0</v>
      </c>
      <c r="O7" s="131">
        <v>3.0</v>
      </c>
      <c r="P7" s="131">
        <v>2.0</v>
      </c>
      <c r="Q7" s="131">
        <v>2.0</v>
      </c>
      <c r="R7" s="131">
        <v>3.0</v>
      </c>
      <c r="S7" s="131">
        <v>3.0</v>
      </c>
      <c r="T7" s="204">
        <f>'入學要求'!L61</f>
        <v>0</v>
      </c>
      <c r="U7" s="204">
        <f>'入學要求'!M61</f>
        <v>0</v>
      </c>
      <c r="V7" s="204">
        <f>'入學要求'!N61</f>
        <v>0</v>
      </c>
      <c r="W7" s="204">
        <f>'入學要求'!O61</f>
        <v>0</v>
      </c>
      <c r="X7" s="204">
        <f>'入學要求'!P61</f>
        <v>0</v>
      </c>
      <c r="Y7" s="204">
        <f>'入學要求'!Q61</f>
        <v>0</v>
      </c>
      <c r="Z7" s="205"/>
      <c r="AA7" s="132">
        <f>IF($Z$2="2018年",'Offer Statistics'!AG7,IF($Z$2="2019年",'Offer Statistics'!AG38,IF($Z$2="2020年",'Offer Statistics'!AG69)))</f>
        <v>8</v>
      </c>
      <c r="AB7" s="206">
        <f>IF($Z$2="2018年",'Offer Statistics'!AB7,IF($Z$2="2019年",'Offer Statistics'!AB38,IF($Z$2="2020年",'Offer Statistics'!AB69)))</f>
        <v>7</v>
      </c>
      <c r="AC7" s="206">
        <f>IF($Z$2="2018年",'Offer Statistics'!AC7,IF($Z$2="2019年",'Offer Statistics'!AC38,IF($Z$2="2020年",'Offer Statistics'!AC69)))</f>
        <v>0</v>
      </c>
      <c r="AD7" s="206">
        <f>IF($Z$2="2018年",'Offer Statistics'!AD7,IF($Z$2="2019年",'Offer Statistics'!AD38,IF($Z$2="2020年",'Offer Statistics'!AD69)))</f>
        <v>1</v>
      </c>
      <c r="AE7" s="206">
        <f>IF($Z$2="2018年",'Offer Statistics'!AE7,IF($Z$2="2019年",'Offer Statistics'!AE38,IF($Z$2="2020年",'Offer Statistics'!AE69)))</f>
        <v>0</v>
      </c>
      <c r="AF7" s="206">
        <f>IF($Z$2="2018年",'Offer Statistics'!AF7,IF($Z$2="2019年",'Offer Statistics'!AF38,IF($Z$2="2020年",'Offer Statistics'!AF69)))</f>
        <v>0</v>
      </c>
      <c r="AG7" s="205"/>
      <c r="AH7" s="132">
        <f>IF($AG$2="2018年",'Offer Statistics'!Y7,IF($AG$2="2019年",'Offer Statistics'!Y38,IF($AG$2="2020年",'Offer Statistics'!Y69)))</f>
        <v>952</v>
      </c>
      <c r="AI7" s="206">
        <f>IF($AG$2="2018年",'Offer Statistics'!T7,IF($AG$2="2019年",'Offer Statistics'!T38,IF($AG$2="2020年",'Offer Statistics'!T69)))</f>
        <v>102</v>
      </c>
      <c r="AJ7" s="206">
        <f>IF($AG$2="2018年",'Offer Statistics'!U7,IF($AG$2="2019年",'Offer Statistics'!U38,IF($AG$2="2020年",'Offer Statistics'!U69)))</f>
        <v>130</v>
      </c>
      <c r="AK7" s="206">
        <f>IF($AG$2="2018年",'Offer Statistics'!V7,IF($AG$2="2019年",'Offer Statistics'!V38,IF($AG$2="2020年",'Offer Statistics'!V69)))</f>
        <v>231</v>
      </c>
      <c r="AL7" s="206">
        <f>IF($AG$2="2018年",'Offer Statistics'!W7,IF($AG$2="2019年",'Offer Statistics'!W38,IF($AG$2="2020年",'Offer Statistics'!W69)))</f>
        <v>260</v>
      </c>
      <c r="AM7" s="206">
        <f>IF($AG$2="2018年",'Offer Statistics'!X7,IF($AG$2="2019年",'Offer Statistics'!X38,IF($AG$2="2020年",'Offer Statistics'!X69)))</f>
        <v>229</v>
      </c>
      <c r="AN7" s="142"/>
      <c r="AO7" s="131" t="str">
        <f t="shared" si="3"/>
        <v>JS2025</v>
      </c>
    </row>
    <row r="8" ht="18.0" customHeight="1">
      <c r="A8" s="225" t="s">
        <v>240</v>
      </c>
      <c r="B8" s="225" t="s">
        <v>971</v>
      </c>
      <c r="C8" s="225" t="s">
        <v>241</v>
      </c>
      <c r="D8" s="225" t="s">
        <v>1244</v>
      </c>
      <c r="E8" s="226" t="s">
        <v>191</v>
      </c>
      <c r="F8" s="227">
        <f>4+4+4+4+4+4</f>
        <v>24</v>
      </c>
      <c r="G8" s="227">
        <f>4+4+3+4+4+4</f>
        <v>23</v>
      </c>
      <c r="H8" s="228">
        <f>'計分版'!D83</f>
        <v>0.00000000285</v>
      </c>
      <c r="I8" s="229">
        <f t="shared" si="1"/>
        <v>-24</v>
      </c>
      <c r="J8" s="230">
        <f t="shared" si="2"/>
        <v>-8421052631</v>
      </c>
      <c r="K8" s="231">
        <v>14.0</v>
      </c>
      <c r="L8" s="235">
        <f>'入學要求'!S62</f>
        <v>0</v>
      </c>
      <c r="M8" s="226" t="s">
        <v>541</v>
      </c>
      <c r="N8" s="226">
        <v>3.0</v>
      </c>
      <c r="O8" s="226">
        <v>3.0</v>
      </c>
      <c r="P8" s="226">
        <v>2.0</v>
      </c>
      <c r="Q8" s="226">
        <v>2.0</v>
      </c>
      <c r="R8" s="226">
        <v>3.0</v>
      </c>
      <c r="S8" s="226">
        <v>3.0</v>
      </c>
      <c r="T8" s="233">
        <f>'入學要求'!L62</f>
        <v>0</v>
      </c>
      <c r="U8" s="233">
        <f>'入學要求'!M62</f>
        <v>0</v>
      </c>
      <c r="V8" s="233">
        <f>'入學要求'!N62</f>
        <v>0</v>
      </c>
      <c r="W8" s="233">
        <f>'入學要求'!O62</f>
        <v>0</v>
      </c>
      <c r="X8" s="233">
        <f>'入學要求'!P62</f>
        <v>0</v>
      </c>
      <c r="Y8" s="233">
        <f>'入學要求'!Q62</f>
        <v>0</v>
      </c>
      <c r="Z8" s="205"/>
      <c r="AA8" s="231">
        <f>IF($Z$2="2018年",'Offer Statistics'!AG8,IF($Z$2="2019年",'Offer Statistics'!AG39,IF($Z$2="2020年",'Offer Statistics'!AG70)))</f>
        <v>14</v>
      </c>
      <c r="AB8" s="234">
        <f>IF($Z$2="2018年",'Offer Statistics'!AB8,IF($Z$2="2019年",'Offer Statistics'!AB39,IF($Z$2="2020年",'Offer Statistics'!AB70)))</f>
        <v>9</v>
      </c>
      <c r="AC8" s="234">
        <f>IF($Z$2="2018年",'Offer Statistics'!AC8,IF($Z$2="2019年",'Offer Statistics'!AC39,IF($Z$2="2020年",'Offer Statistics'!AC70)))</f>
        <v>3</v>
      </c>
      <c r="AD8" s="234">
        <f>IF($Z$2="2018年",'Offer Statistics'!AD8,IF($Z$2="2019年",'Offer Statistics'!AD39,IF($Z$2="2020年",'Offer Statistics'!AD70)))</f>
        <v>2</v>
      </c>
      <c r="AE8" s="234">
        <f>IF($Z$2="2018年",'Offer Statistics'!AE8,IF($Z$2="2019年",'Offer Statistics'!AE39,IF($Z$2="2020年",'Offer Statistics'!AE70)))</f>
        <v>0</v>
      </c>
      <c r="AF8" s="234">
        <f>IF($Z$2="2018年",'Offer Statistics'!AF8,IF($Z$2="2019年",'Offer Statistics'!AF39,IF($Z$2="2020年",'Offer Statistics'!AF70)))</f>
        <v>0</v>
      </c>
      <c r="AG8" s="205"/>
      <c r="AH8" s="231">
        <f>IF($AG$2="2018年",'Offer Statistics'!Y8,IF($AG$2="2019年",'Offer Statistics'!Y39,IF($AG$2="2020年",'Offer Statistics'!Y70)))</f>
        <v>1795</v>
      </c>
      <c r="AI8" s="234">
        <f>IF($AG$2="2018年",'Offer Statistics'!T8,IF($AG$2="2019年",'Offer Statistics'!T39,IF($AG$2="2020年",'Offer Statistics'!T70)))</f>
        <v>135</v>
      </c>
      <c r="AJ8" s="234">
        <f>IF($AG$2="2018年",'Offer Statistics'!U8,IF($AG$2="2019年",'Offer Statistics'!U39,IF($AG$2="2020年",'Offer Statistics'!U70)))</f>
        <v>257</v>
      </c>
      <c r="AK8" s="234">
        <f>IF($AG$2="2018年",'Offer Statistics'!V8,IF($AG$2="2019年",'Offer Statistics'!V39,IF($AG$2="2020年",'Offer Statistics'!V70)))</f>
        <v>445</v>
      </c>
      <c r="AL8" s="234">
        <f>IF($AG$2="2018年",'Offer Statistics'!W8,IF($AG$2="2019年",'Offer Statistics'!W39,IF($AG$2="2020年",'Offer Statistics'!W70)))</f>
        <v>560</v>
      </c>
      <c r="AM8" s="234">
        <f>IF($AG$2="2018年",'Offer Statistics'!X8,IF($AG$2="2019年",'Offer Statistics'!X39,IF($AG$2="2020年",'Offer Statistics'!X70)))</f>
        <v>398</v>
      </c>
      <c r="AN8" s="225"/>
      <c r="AO8" s="226" t="str">
        <f t="shared" si="3"/>
        <v>JS2026</v>
      </c>
    </row>
    <row r="9" ht="18.0" customHeight="1">
      <c r="A9" s="142" t="s">
        <v>242</v>
      </c>
      <c r="B9" s="142" t="s">
        <v>971</v>
      </c>
      <c r="C9" s="142" t="s">
        <v>243</v>
      </c>
      <c r="D9" s="142" t="s">
        <v>1245</v>
      </c>
      <c r="E9" s="131" t="s">
        <v>191</v>
      </c>
      <c r="F9" s="199">
        <f>4+5+4+4+5+4</f>
        <v>26</v>
      </c>
      <c r="G9" s="199">
        <f>3+5+5+4+5+5</f>
        <v>27</v>
      </c>
      <c r="H9" s="200">
        <f>'計分版'!D84</f>
        <v>0.00000000285</v>
      </c>
      <c r="I9" s="201">
        <f t="shared" si="1"/>
        <v>-26</v>
      </c>
      <c r="J9" s="202">
        <f t="shared" si="2"/>
        <v>-9122807017</v>
      </c>
      <c r="K9" s="132">
        <v>28.0</v>
      </c>
      <c r="L9" s="203">
        <f>'入學要求'!S63</f>
        <v>0</v>
      </c>
      <c r="M9" s="131" t="s">
        <v>1246</v>
      </c>
      <c r="N9" s="131">
        <v>3.0</v>
      </c>
      <c r="O9" s="131">
        <v>3.0</v>
      </c>
      <c r="P9" s="131">
        <v>2.0</v>
      </c>
      <c r="Q9" s="131">
        <v>2.0</v>
      </c>
      <c r="R9" s="131">
        <v>3.0</v>
      </c>
      <c r="S9" s="131">
        <v>3.0</v>
      </c>
      <c r="T9" s="204">
        <f>'入學要求'!L63</f>
        <v>0</v>
      </c>
      <c r="U9" s="204">
        <f>'入學要求'!M63</f>
        <v>0</v>
      </c>
      <c r="V9" s="204">
        <f>'入學要求'!N63</f>
        <v>0</v>
      </c>
      <c r="W9" s="204">
        <f>'入學要求'!O63</f>
        <v>0</v>
      </c>
      <c r="X9" s="204">
        <f>'入學要求'!P63</f>
        <v>0</v>
      </c>
      <c r="Y9" s="204">
        <f>'入學要求'!Q63</f>
        <v>0</v>
      </c>
      <c r="Z9" s="205"/>
      <c r="AA9" s="132">
        <f>IF($Z$2="2018年",'Offer Statistics'!AG9,IF($Z$2="2019年",'Offer Statistics'!AG40,IF($Z$2="2020年",'Offer Statistics'!AG71)))</f>
        <v>12</v>
      </c>
      <c r="AB9" s="206">
        <f>IF($Z$2="2018年",'Offer Statistics'!AB9,IF($Z$2="2019年",'Offer Statistics'!AB40,IF($Z$2="2020年",'Offer Statistics'!AB71)))</f>
        <v>12</v>
      </c>
      <c r="AC9" s="206">
        <f>IF($Z$2="2018年",'Offer Statistics'!AC9,IF($Z$2="2019年",'Offer Statistics'!AC40,IF($Z$2="2020年",'Offer Statistics'!AC71)))</f>
        <v>0</v>
      </c>
      <c r="AD9" s="206">
        <f>IF($Z$2="2018年",'Offer Statistics'!AD9,IF($Z$2="2019年",'Offer Statistics'!AD40,IF($Z$2="2020年",'Offer Statistics'!AD71)))</f>
        <v>0</v>
      </c>
      <c r="AE9" s="206">
        <f>IF($Z$2="2018年",'Offer Statistics'!AE9,IF($Z$2="2019年",'Offer Statistics'!AE40,IF($Z$2="2020年",'Offer Statistics'!AE71)))</f>
        <v>0</v>
      </c>
      <c r="AF9" s="206">
        <f>IF($Z$2="2018年",'Offer Statistics'!AF9,IF($Z$2="2019年",'Offer Statistics'!AF40,IF($Z$2="2020年",'Offer Statistics'!AF71)))</f>
        <v>0</v>
      </c>
      <c r="AG9" s="205"/>
      <c r="AH9" s="132">
        <f>IF($AG$2="2018年",'Offer Statistics'!Y9,IF($AG$2="2019年",'Offer Statistics'!Y40,IF($AG$2="2020年",'Offer Statistics'!Y71)))</f>
        <v>920</v>
      </c>
      <c r="AI9" s="206">
        <f>IF($AG$2="2018年",'Offer Statistics'!T9,IF($AG$2="2019年",'Offer Statistics'!T40,IF($AG$2="2020年",'Offer Statistics'!T71)))</f>
        <v>237</v>
      </c>
      <c r="AJ9" s="206">
        <f>IF($AG$2="2018年",'Offer Statistics'!U9,IF($AG$2="2019年",'Offer Statistics'!U40,IF($AG$2="2020年",'Offer Statistics'!U71)))</f>
        <v>121</v>
      </c>
      <c r="AK9" s="206">
        <f>IF($AG$2="2018年",'Offer Statistics'!V9,IF($AG$2="2019年",'Offer Statistics'!V40,IF($AG$2="2020年",'Offer Statistics'!V71)))</f>
        <v>145</v>
      </c>
      <c r="AL9" s="206">
        <f>IF($AG$2="2018年",'Offer Statistics'!W9,IF($AG$2="2019年",'Offer Statistics'!W40,IF($AG$2="2020年",'Offer Statistics'!W71)))</f>
        <v>215</v>
      </c>
      <c r="AM9" s="206">
        <f>IF($AG$2="2018年",'Offer Statistics'!X9,IF($AG$2="2019年",'Offer Statistics'!X40,IF($AG$2="2020年",'Offer Statistics'!X71)))</f>
        <v>202</v>
      </c>
      <c r="AN9" s="142"/>
      <c r="AO9" s="131" t="str">
        <f t="shared" si="3"/>
        <v>JS2030</v>
      </c>
    </row>
    <row r="10" ht="18.0" customHeight="1">
      <c r="A10" s="225" t="s">
        <v>244</v>
      </c>
      <c r="B10" s="225" t="s">
        <v>1247</v>
      </c>
      <c r="C10" s="225" t="s">
        <v>245</v>
      </c>
      <c r="D10" s="225" t="s">
        <v>1248</v>
      </c>
      <c r="E10" s="231" t="s">
        <v>191</v>
      </c>
      <c r="F10" s="227">
        <f>4*1.5+5*2+3*1.5+4*1.5+4*2+4*1.5</f>
        <v>40.5</v>
      </c>
      <c r="G10" s="227">
        <f>3*1.5+5*2+4*1.5+3*1.5+4*2+4*1.5</f>
        <v>39</v>
      </c>
      <c r="H10" s="228">
        <f>'計分版'!D85</f>
        <v>0.00000000345</v>
      </c>
      <c r="I10" s="229">
        <f t="shared" si="1"/>
        <v>-40.5</v>
      </c>
      <c r="J10" s="230">
        <f t="shared" si="2"/>
        <v>-11739130434</v>
      </c>
      <c r="K10" s="231">
        <v>40.0</v>
      </c>
      <c r="L10" s="235">
        <f>'入學要求'!S64</f>
        <v>0</v>
      </c>
      <c r="M10" s="236" t="s">
        <v>1249</v>
      </c>
      <c r="N10" s="226">
        <v>3.0</v>
      </c>
      <c r="O10" s="226">
        <v>3.0</v>
      </c>
      <c r="P10" s="226">
        <v>2.0</v>
      </c>
      <c r="Q10" s="226">
        <v>2.0</v>
      </c>
      <c r="R10" s="226">
        <v>3.0</v>
      </c>
      <c r="S10" s="226">
        <v>3.0</v>
      </c>
      <c r="T10" s="233">
        <f>'入學要求'!L64</f>
        <v>0</v>
      </c>
      <c r="U10" s="233">
        <f>'入學要求'!M64</f>
        <v>0</v>
      </c>
      <c r="V10" s="233">
        <f>'入學要求'!N64</f>
        <v>0</v>
      </c>
      <c r="W10" s="233">
        <f>'入學要求'!O64</f>
        <v>0</v>
      </c>
      <c r="X10" s="233">
        <f>'入學要求'!P64</f>
        <v>0</v>
      </c>
      <c r="Y10" s="233">
        <f>'入學要求'!Q64</f>
        <v>0</v>
      </c>
      <c r="Z10" s="205"/>
      <c r="AA10" s="231">
        <f>IF($Z$2="2018年",'Offer Statistics'!AG10,IF($Z$2="2019年",'Offer Statistics'!AG41,IF($Z$2="2020年",'Offer Statistics'!AG72)))</f>
        <v>38</v>
      </c>
      <c r="AB10" s="234">
        <f>IF($Z$2="2018年",'Offer Statistics'!AB10,IF($Z$2="2019年",'Offer Statistics'!AB41,IF($Z$2="2020年",'Offer Statistics'!AB72)))</f>
        <v>34</v>
      </c>
      <c r="AC10" s="234">
        <f>IF($Z$2="2018年",'Offer Statistics'!AC10,IF($Z$2="2019年",'Offer Statistics'!AC41,IF($Z$2="2020年",'Offer Statistics'!AC72)))</f>
        <v>4</v>
      </c>
      <c r="AD10" s="234">
        <f>IF($Z$2="2018年",'Offer Statistics'!AD10,IF($Z$2="2019年",'Offer Statistics'!AD41,IF($Z$2="2020年",'Offer Statistics'!AD72)))</f>
        <v>0</v>
      </c>
      <c r="AE10" s="234">
        <f>IF($Z$2="2018年",'Offer Statistics'!AE10,IF($Z$2="2019年",'Offer Statistics'!AE41,IF($Z$2="2020年",'Offer Statistics'!AE72)))</f>
        <v>0</v>
      </c>
      <c r="AF10" s="234">
        <f>IF($Z$2="2018年",'Offer Statistics'!AF10,IF($Z$2="2019年",'Offer Statistics'!AF41,IF($Z$2="2020年",'Offer Statistics'!AF72)))</f>
        <v>0</v>
      </c>
      <c r="AG10" s="205"/>
      <c r="AH10" s="231">
        <f>IF($AG$2="2018年",'Offer Statistics'!Y10,IF($AG$2="2019年",'Offer Statistics'!Y41,IF($AG$2="2020年",'Offer Statistics'!Y72)))</f>
        <v>1305</v>
      </c>
      <c r="AI10" s="234">
        <f>IF($AG$2="2018年",'Offer Statistics'!T10,IF($AG$2="2019年",'Offer Statistics'!T41,IF($AG$2="2020年",'Offer Statistics'!T72)))</f>
        <v>234</v>
      </c>
      <c r="AJ10" s="234">
        <f>IF($AG$2="2018年",'Offer Statistics'!U10,IF($AG$2="2019年",'Offer Statistics'!U41,IF($AG$2="2020年",'Offer Statistics'!U72)))</f>
        <v>264</v>
      </c>
      <c r="AK10" s="234">
        <f>IF($AG$2="2018年",'Offer Statistics'!V10,IF($AG$2="2019年",'Offer Statistics'!V41,IF($AG$2="2020年",'Offer Statistics'!V72)))</f>
        <v>284</v>
      </c>
      <c r="AL10" s="234">
        <f>IF($AG$2="2018年",'Offer Statistics'!W10,IF($AG$2="2019年",'Offer Statistics'!W41,IF($AG$2="2020年",'Offer Statistics'!W72)))</f>
        <v>298</v>
      </c>
      <c r="AM10" s="234">
        <f>IF($AG$2="2018年",'Offer Statistics'!X10,IF($AG$2="2019年",'Offer Statistics'!X41,IF($AG$2="2020年",'Offer Statistics'!X72)))</f>
        <v>225</v>
      </c>
      <c r="AN10" s="225"/>
      <c r="AO10" s="226" t="str">
        <f t="shared" si="3"/>
        <v>JS2040</v>
      </c>
    </row>
    <row r="11" ht="18.0" customHeight="1">
      <c r="A11" s="142" t="s">
        <v>246</v>
      </c>
      <c r="B11" s="142" t="s">
        <v>971</v>
      </c>
      <c r="C11" s="142" t="s">
        <v>247</v>
      </c>
      <c r="D11" s="142" t="s">
        <v>1250</v>
      </c>
      <c r="E11" s="131" t="s">
        <v>191</v>
      </c>
      <c r="F11" s="199">
        <f>4+4+5+4+5+5</f>
        <v>27</v>
      </c>
      <c r="G11" s="199">
        <f>3+5+5+3+5+3</f>
        <v>24</v>
      </c>
      <c r="H11" s="200">
        <f>'計分版'!D86</f>
        <v>0.00000000285</v>
      </c>
      <c r="I11" s="201">
        <f t="shared" si="1"/>
        <v>-27</v>
      </c>
      <c r="J11" s="202">
        <f t="shared" si="2"/>
        <v>-9473684210</v>
      </c>
      <c r="K11" s="132">
        <v>15.0</v>
      </c>
      <c r="L11" s="203">
        <f>'入學要求'!S65</f>
        <v>0</v>
      </c>
      <c r="M11" s="131" t="s">
        <v>1246</v>
      </c>
      <c r="N11" s="131">
        <v>3.0</v>
      </c>
      <c r="O11" s="131">
        <v>3.0</v>
      </c>
      <c r="P11" s="131">
        <v>2.0</v>
      </c>
      <c r="Q11" s="131">
        <v>2.0</v>
      </c>
      <c r="R11" s="131">
        <v>3.0</v>
      </c>
      <c r="S11" s="131">
        <v>3.0</v>
      </c>
      <c r="T11" s="204">
        <f>'入學要求'!L65</f>
        <v>0</v>
      </c>
      <c r="U11" s="204">
        <f>'入學要求'!M65</f>
        <v>0</v>
      </c>
      <c r="V11" s="204">
        <f>'入學要求'!N65</f>
        <v>0</v>
      </c>
      <c r="W11" s="204">
        <f>'入學要求'!O65</f>
        <v>0</v>
      </c>
      <c r="X11" s="204">
        <f>'入學要求'!P65</f>
        <v>0</v>
      </c>
      <c r="Y11" s="204">
        <f>'入學要求'!Q65</f>
        <v>0</v>
      </c>
      <c r="Z11" s="205"/>
      <c r="AA11" s="132">
        <f>IF($Z$2="2018年",'Offer Statistics'!AG11,IF($Z$2="2019年",'Offer Statistics'!AG42,IF($Z$2="2020年",'Offer Statistics'!AG73)))</f>
        <v>7</v>
      </c>
      <c r="AB11" s="206">
        <f>IF($Z$2="2018年",'Offer Statistics'!AB11,IF($Z$2="2019年",'Offer Statistics'!AB42,IF($Z$2="2020年",'Offer Statistics'!AB73)))</f>
        <v>7</v>
      </c>
      <c r="AC11" s="206">
        <f>IF($Z$2="2018年",'Offer Statistics'!AC11,IF($Z$2="2019年",'Offer Statistics'!AC42,IF($Z$2="2020年",'Offer Statistics'!AC73)))</f>
        <v>0</v>
      </c>
      <c r="AD11" s="206">
        <f>IF($Z$2="2018年",'Offer Statistics'!AD11,IF($Z$2="2019年",'Offer Statistics'!AD42,IF($Z$2="2020年",'Offer Statistics'!AD73)))</f>
        <v>0</v>
      </c>
      <c r="AE11" s="206">
        <f>IF($Z$2="2018年",'Offer Statistics'!AE11,IF($Z$2="2019年",'Offer Statistics'!AE42,IF($Z$2="2020年",'Offer Statistics'!AE73)))</f>
        <v>0</v>
      </c>
      <c r="AF11" s="206">
        <f>IF($Z$2="2018年",'Offer Statistics'!AF11,IF($Z$2="2019年",'Offer Statistics'!AF42,IF($Z$2="2020年",'Offer Statistics'!AF73)))</f>
        <v>0</v>
      </c>
      <c r="AG11" s="205"/>
      <c r="AH11" s="132">
        <f>IF($AG$2="2018年",'Offer Statistics'!Y11,IF($AG$2="2019年",'Offer Statistics'!Y42,IF($AG$2="2020年",'Offer Statistics'!Y73)))</f>
        <v>735</v>
      </c>
      <c r="AI11" s="206">
        <f>IF($AG$2="2018年",'Offer Statistics'!T11,IF($AG$2="2019年",'Offer Statistics'!T42,IF($AG$2="2020年",'Offer Statistics'!T73)))</f>
        <v>135</v>
      </c>
      <c r="AJ11" s="206">
        <f>IF($AG$2="2018年",'Offer Statistics'!U11,IF($AG$2="2019年",'Offer Statistics'!U42,IF($AG$2="2020年",'Offer Statistics'!U73)))</f>
        <v>97</v>
      </c>
      <c r="AK11" s="206">
        <f>IF($AG$2="2018年",'Offer Statistics'!V11,IF($AG$2="2019年",'Offer Statistics'!V42,IF($AG$2="2020年",'Offer Statistics'!V73)))</f>
        <v>141</v>
      </c>
      <c r="AL11" s="206">
        <f>IF($AG$2="2018年",'Offer Statistics'!W11,IF($AG$2="2019年",'Offer Statistics'!W42,IF($AG$2="2020年",'Offer Statistics'!W73)))</f>
        <v>176</v>
      </c>
      <c r="AM11" s="206">
        <f>IF($AG$2="2018年",'Offer Statistics'!X11,IF($AG$2="2019年",'Offer Statistics'!X42,IF($AG$2="2020年",'Offer Statistics'!X73)))</f>
        <v>186</v>
      </c>
      <c r="AN11" s="142"/>
      <c r="AO11" s="131" t="str">
        <f t="shared" si="3"/>
        <v>JS2050</v>
      </c>
    </row>
    <row r="12" ht="18.0" customHeight="1">
      <c r="A12" s="225" t="s">
        <v>248</v>
      </c>
      <c r="B12" s="225" t="s">
        <v>1051</v>
      </c>
      <c r="C12" s="225" t="s">
        <v>249</v>
      </c>
      <c r="D12" s="225" t="s">
        <v>1251</v>
      </c>
      <c r="E12" s="231" t="s">
        <v>24</v>
      </c>
      <c r="F12" s="227">
        <f>4+4*1.5+5+4+3+3</f>
        <v>25</v>
      </c>
      <c r="G12" s="227">
        <f>4+4*1.5+4+3+4+4</f>
        <v>25</v>
      </c>
      <c r="H12" s="228">
        <f>'計分版'!D87</f>
        <v>0.00000000445</v>
      </c>
      <c r="I12" s="229">
        <f t="shared" si="1"/>
        <v>-25</v>
      </c>
      <c r="J12" s="230">
        <f t="shared" si="2"/>
        <v>-5617977527</v>
      </c>
      <c r="K12" s="231">
        <v>50.0</v>
      </c>
      <c r="L12" s="235">
        <f>'入學要求'!S66</f>
        <v>0</v>
      </c>
      <c r="M12" s="226" t="s">
        <v>1077</v>
      </c>
      <c r="N12" s="226">
        <v>3.0</v>
      </c>
      <c r="O12" s="226">
        <v>3.0</v>
      </c>
      <c r="P12" s="226">
        <v>2.0</v>
      </c>
      <c r="Q12" s="226">
        <v>2.0</v>
      </c>
      <c r="R12" s="226">
        <v>3.0</v>
      </c>
      <c r="S12" s="226">
        <v>3.0</v>
      </c>
      <c r="T12" s="233">
        <f>'入學要求'!L66</f>
        <v>0</v>
      </c>
      <c r="U12" s="233">
        <f>'入學要求'!M66</f>
        <v>0</v>
      </c>
      <c r="V12" s="233">
        <f>'入學要求'!N66</f>
        <v>0</v>
      </c>
      <c r="W12" s="233">
        <f>'入學要求'!O66</f>
        <v>0</v>
      </c>
      <c r="X12" s="233">
        <f>'入學要求'!P66</f>
        <v>0</v>
      </c>
      <c r="Y12" s="233">
        <f>'入學要求'!Q66</f>
        <v>0</v>
      </c>
      <c r="Z12" s="205"/>
      <c r="AA12" s="231">
        <f>IF($Z$2="2018年",'Offer Statistics'!AG12,IF($Z$2="2019年",'Offer Statistics'!AG43,IF($Z$2="2020年",'Offer Statistics'!AG74)))</f>
        <v>29</v>
      </c>
      <c r="AB12" s="234">
        <f>IF($Z$2="2018年",'Offer Statistics'!AB12,IF($Z$2="2019年",'Offer Statistics'!AB43,IF($Z$2="2020年",'Offer Statistics'!AB74)))</f>
        <v>23</v>
      </c>
      <c r="AC12" s="234">
        <f>IF($Z$2="2018年",'Offer Statistics'!AC12,IF($Z$2="2019年",'Offer Statistics'!AC43,IF($Z$2="2020年",'Offer Statistics'!AC74)))</f>
        <v>4</v>
      </c>
      <c r="AD12" s="234">
        <f>IF($Z$2="2018年",'Offer Statistics'!AD12,IF($Z$2="2019年",'Offer Statistics'!AD43,IF($Z$2="2020年",'Offer Statistics'!AD74)))</f>
        <v>1</v>
      </c>
      <c r="AE12" s="234">
        <f>IF($Z$2="2018年",'Offer Statistics'!AE12,IF($Z$2="2019年",'Offer Statistics'!AE43,IF($Z$2="2020年",'Offer Statistics'!AE74)))</f>
        <v>1</v>
      </c>
      <c r="AF12" s="234">
        <f>IF($Z$2="2018年",'Offer Statistics'!AF12,IF($Z$2="2019年",'Offer Statistics'!AF43,IF($Z$2="2020年",'Offer Statistics'!AF74)))</f>
        <v>0</v>
      </c>
      <c r="AG12" s="205"/>
      <c r="AH12" s="231">
        <f>IF($AG$2="2018年",'Offer Statistics'!Y12,IF($AG$2="2019年",'Offer Statistics'!Y43,IF($AG$2="2020年",'Offer Statistics'!Y74)))</f>
        <v>3216</v>
      </c>
      <c r="AI12" s="234">
        <f>IF($AG$2="2018年",'Offer Statistics'!T12,IF($AG$2="2019年",'Offer Statistics'!T43,IF($AG$2="2020年",'Offer Statistics'!T74)))</f>
        <v>553</v>
      </c>
      <c r="AJ12" s="234">
        <f>IF($AG$2="2018年",'Offer Statistics'!U12,IF($AG$2="2019年",'Offer Statistics'!U43,IF($AG$2="2020年",'Offer Statistics'!U74)))</f>
        <v>640</v>
      </c>
      <c r="AK12" s="234">
        <f>IF($AG$2="2018年",'Offer Statistics'!V12,IF($AG$2="2019年",'Offer Statistics'!V43,IF($AG$2="2020年",'Offer Statistics'!V74)))</f>
        <v>714</v>
      </c>
      <c r="AL12" s="234">
        <f>IF($AG$2="2018年",'Offer Statistics'!W12,IF($AG$2="2019年",'Offer Statistics'!W43,IF($AG$2="2020年",'Offer Statistics'!W74)))</f>
        <v>765</v>
      </c>
      <c r="AM12" s="234">
        <f>IF($AG$2="2018年",'Offer Statistics'!X12,IF($AG$2="2019年",'Offer Statistics'!X43,IF($AG$2="2020年",'Offer Statistics'!X74)))</f>
        <v>544</v>
      </c>
      <c r="AN12" s="225"/>
      <c r="AO12" s="226" t="str">
        <f t="shared" si="3"/>
        <v>JS2110</v>
      </c>
    </row>
    <row r="13" ht="18.0" customHeight="1">
      <c r="A13" s="142" t="s">
        <v>250</v>
      </c>
      <c r="B13" s="142" t="s">
        <v>1051</v>
      </c>
      <c r="C13" s="142" t="s">
        <v>251</v>
      </c>
      <c r="D13" s="142" t="s">
        <v>1252</v>
      </c>
      <c r="E13" s="132" t="s">
        <v>24</v>
      </c>
      <c r="F13" s="199">
        <f>4+4*1.5+4+5+3+3</f>
        <v>25</v>
      </c>
      <c r="G13" s="199">
        <f>4+3*1.5+4+4+4+4</f>
        <v>24.5</v>
      </c>
      <c r="H13" s="200">
        <f>'計分版'!D88</f>
        <v>0.00000000445</v>
      </c>
      <c r="I13" s="201">
        <f t="shared" si="1"/>
        <v>-25</v>
      </c>
      <c r="J13" s="202">
        <f t="shared" si="2"/>
        <v>-5617977527</v>
      </c>
      <c r="K13" s="132">
        <v>193.0</v>
      </c>
      <c r="L13" s="203">
        <f>'入學要求'!S67</f>
        <v>0</v>
      </c>
      <c r="M13" s="131" t="s">
        <v>1077</v>
      </c>
      <c r="N13" s="131">
        <v>3.0</v>
      </c>
      <c r="O13" s="131">
        <v>3.0</v>
      </c>
      <c r="P13" s="131">
        <v>2.0</v>
      </c>
      <c r="Q13" s="131">
        <v>2.0</v>
      </c>
      <c r="R13" s="131">
        <v>3.0</v>
      </c>
      <c r="S13" s="131">
        <v>3.0</v>
      </c>
      <c r="T13" s="204">
        <f>'入學要求'!L67</f>
        <v>0</v>
      </c>
      <c r="U13" s="204">
        <f>'入學要求'!M67</f>
        <v>0</v>
      </c>
      <c r="V13" s="204">
        <f>'入學要求'!N67</f>
        <v>0</v>
      </c>
      <c r="W13" s="204">
        <f>'入學要求'!O67</f>
        <v>0</v>
      </c>
      <c r="X13" s="204">
        <f>'入學要求'!P67</f>
        <v>0</v>
      </c>
      <c r="Y13" s="204">
        <f>'入學要求'!Q67</f>
        <v>0</v>
      </c>
      <c r="Z13" s="205"/>
      <c r="AA13" s="132">
        <f>IF($Z$2="2018年",'Offer Statistics'!AG13,IF($Z$2="2019年",'Offer Statistics'!AG44,IF($Z$2="2020年",'Offer Statistics'!AG75)))</f>
        <v>167</v>
      </c>
      <c r="AB13" s="206">
        <f>IF($Z$2="2018年",'Offer Statistics'!AB13,IF($Z$2="2019年",'Offer Statistics'!AB44,IF($Z$2="2020年",'Offer Statistics'!AB75)))</f>
        <v>157</v>
      </c>
      <c r="AC13" s="206">
        <f>IF($Z$2="2018年",'Offer Statistics'!AC13,IF($Z$2="2019年",'Offer Statistics'!AC44,IF($Z$2="2020年",'Offer Statistics'!AC75)))</f>
        <v>7</v>
      </c>
      <c r="AD13" s="206">
        <f>IF($Z$2="2018年",'Offer Statistics'!AD13,IF($Z$2="2019年",'Offer Statistics'!AD44,IF($Z$2="2020年",'Offer Statistics'!AD75)))</f>
        <v>1</v>
      </c>
      <c r="AE13" s="206">
        <f>IF($Z$2="2018年",'Offer Statistics'!AE13,IF($Z$2="2019年",'Offer Statistics'!AE44,IF($Z$2="2020年",'Offer Statistics'!AE75)))</f>
        <v>2</v>
      </c>
      <c r="AF13" s="206">
        <f>IF($Z$2="2018年",'Offer Statistics'!AF13,IF($Z$2="2019年",'Offer Statistics'!AF44,IF($Z$2="2020年",'Offer Statistics'!AF75)))</f>
        <v>0</v>
      </c>
      <c r="AG13" s="205"/>
      <c r="AH13" s="132">
        <f>IF($AG$2="2018年",'Offer Statistics'!Y13,IF($AG$2="2019年",'Offer Statistics'!Y44,IF($AG$2="2020年",'Offer Statistics'!Y75)))</f>
        <v>7370</v>
      </c>
      <c r="AI13" s="206">
        <f>IF($AG$2="2018年",'Offer Statistics'!T13,IF($AG$2="2019年",'Offer Statistics'!T44,IF($AG$2="2020年",'Offer Statistics'!T75)))</f>
        <v>1873</v>
      </c>
      <c r="AJ13" s="206">
        <f>IF($AG$2="2018年",'Offer Statistics'!U13,IF($AG$2="2019年",'Offer Statistics'!U44,IF($AG$2="2020年",'Offer Statistics'!U75)))</f>
        <v>1371</v>
      </c>
      <c r="AK13" s="206">
        <f>IF($AG$2="2018年",'Offer Statistics'!V13,IF($AG$2="2019年",'Offer Statistics'!V44,IF($AG$2="2020年",'Offer Statistics'!V75)))</f>
        <v>1531</v>
      </c>
      <c r="AL13" s="206">
        <f>IF($AG$2="2018年",'Offer Statistics'!W13,IF($AG$2="2019年",'Offer Statistics'!W44,IF($AG$2="2020年",'Offer Statistics'!W75)))</f>
        <v>1528</v>
      </c>
      <c r="AM13" s="206">
        <f>IF($AG$2="2018年",'Offer Statistics'!X13,IF($AG$2="2019年",'Offer Statistics'!X44,IF($AG$2="2020年",'Offer Statistics'!X75)))</f>
        <v>1067</v>
      </c>
      <c r="AN13" s="142"/>
      <c r="AO13" s="131" t="str">
        <f t="shared" si="3"/>
        <v>JS2120</v>
      </c>
    </row>
    <row r="14" ht="18.0" customHeight="1">
      <c r="A14" s="225" t="s">
        <v>252</v>
      </c>
      <c r="B14" s="225" t="s">
        <v>1253</v>
      </c>
      <c r="C14" s="225" t="s">
        <v>253</v>
      </c>
      <c r="D14" s="225" t="s">
        <v>1254</v>
      </c>
      <c r="E14" s="231" t="s">
        <v>21</v>
      </c>
      <c r="F14" s="227">
        <f>5*1.25+3*1.25+4+4+4</f>
        <v>22</v>
      </c>
      <c r="G14" s="227">
        <f>3*1.5+3*1.5+4+5+4</f>
        <v>22</v>
      </c>
      <c r="H14" s="228">
        <f>'計分版'!D89</f>
        <v>0.000000003025</v>
      </c>
      <c r="I14" s="229">
        <f t="shared" si="1"/>
        <v>-22</v>
      </c>
      <c r="J14" s="230">
        <f t="shared" si="2"/>
        <v>-7272727272</v>
      </c>
      <c r="K14" s="231">
        <v>13.0</v>
      </c>
      <c r="L14" s="235">
        <f>'入學要求'!S68</f>
        <v>0</v>
      </c>
      <c r="M14" s="236" t="s">
        <v>1249</v>
      </c>
      <c r="N14" s="226">
        <v>3.0</v>
      </c>
      <c r="O14" s="226">
        <v>3.0</v>
      </c>
      <c r="P14" s="226">
        <v>2.0</v>
      </c>
      <c r="Q14" s="226">
        <v>2.0</v>
      </c>
      <c r="R14" s="226">
        <v>3.0</v>
      </c>
      <c r="S14" s="226">
        <v>3.0</v>
      </c>
      <c r="T14" s="233">
        <f>'入學要求'!L68</f>
        <v>0</v>
      </c>
      <c r="U14" s="233">
        <f>'入學要求'!M68</f>
        <v>0</v>
      </c>
      <c r="V14" s="233">
        <f>'入學要求'!N68</f>
        <v>0</v>
      </c>
      <c r="W14" s="233">
        <f>'入學要求'!O68</f>
        <v>0</v>
      </c>
      <c r="X14" s="233">
        <f>'入學要求'!P68</f>
        <v>0</v>
      </c>
      <c r="Y14" s="233">
        <f>'入學要求'!Q68</f>
        <v>0</v>
      </c>
      <c r="Z14" s="205"/>
      <c r="AA14" s="231">
        <f>IF($Z$2="2018年",'Offer Statistics'!AG14,IF($Z$2="2019年",'Offer Statistics'!AG45,IF($Z$2="2020年",'Offer Statistics'!AG76)))</f>
        <v>14</v>
      </c>
      <c r="AB14" s="234">
        <f>IF($Z$2="2018年",'Offer Statistics'!AB14,IF($Z$2="2019年",'Offer Statistics'!AB45,IF($Z$2="2020年",'Offer Statistics'!AB76)))</f>
        <v>14</v>
      </c>
      <c r="AC14" s="234">
        <f>IF($Z$2="2018年",'Offer Statistics'!AC14,IF($Z$2="2019年",'Offer Statistics'!AC45,IF($Z$2="2020年",'Offer Statistics'!AC76)))</f>
        <v>0</v>
      </c>
      <c r="AD14" s="234">
        <f>IF($Z$2="2018年",'Offer Statistics'!AD14,IF($Z$2="2019年",'Offer Statistics'!AD45,IF($Z$2="2020年",'Offer Statistics'!AD76)))</f>
        <v>0</v>
      </c>
      <c r="AE14" s="234">
        <f>IF($Z$2="2018年",'Offer Statistics'!AE14,IF($Z$2="2019年",'Offer Statistics'!AE45,IF($Z$2="2020年",'Offer Statistics'!AE76)))</f>
        <v>0</v>
      </c>
      <c r="AF14" s="234">
        <f>IF($Z$2="2018年",'Offer Statistics'!AF14,IF($Z$2="2019年",'Offer Statistics'!AF45,IF($Z$2="2020年",'Offer Statistics'!AF76)))</f>
        <v>0</v>
      </c>
      <c r="AG14" s="205"/>
      <c r="AH14" s="231">
        <f>IF($AG$2="2018年",'Offer Statistics'!Y14,IF($AG$2="2019年",'Offer Statistics'!Y45,IF($AG$2="2020年",'Offer Statistics'!Y76)))</f>
        <v>3140</v>
      </c>
      <c r="AI14" s="234">
        <f>IF($AG$2="2018年",'Offer Statistics'!T14,IF($AG$2="2019年",'Offer Statistics'!T45,IF($AG$2="2020年",'Offer Statistics'!T76)))</f>
        <v>550</v>
      </c>
      <c r="AJ14" s="234">
        <f>IF($AG$2="2018年",'Offer Statistics'!U14,IF($AG$2="2019年",'Offer Statistics'!U45,IF($AG$2="2020年",'Offer Statistics'!U76)))</f>
        <v>571</v>
      </c>
      <c r="AK14" s="234">
        <f>IF($AG$2="2018年",'Offer Statistics'!V14,IF($AG$2="2019年",'Offer Statistics'!V45,IF($AG$2="2020年",'Offer Statistics'!V76)))</f>
        <v>737</v>
      </c>
      <c r="AL14" s="234">
        <f>IF($AG$2="2018年",'Offer Statistics'!W14,IF($AG$2="2019年",'Offer Statistics'!W45,IF($AG$2="2020年",'Offer Statistics'!W76)))</f>
        <v>736</v>
      </c>
      <c r="AM14" s="234">
        <f>IF($AG$2="2018年",'Offer Statistics'!X14,IF($AG$2="2019年",'Offer Statistics'!X45,IF($AG$2="2020年",'Offer Statistics'!X76)))</f>
        <v>546</v>
      </c>
      <c r="AN14" s="225"/>
      <c r="AO14" s="226" t="str">
        <f t="shared" si="3"/>
        <v>JS2320</v>
      </c>
    </row>
    <row r="15" ht="18.0" customHeight="1">
      <c r="A15" s="142" t="s">
        <v>254</v>
      </c>
      <c r="B15" s="142" t="s">
        <v>1253</v>
      </c>
      <c r="C15" s="142" t="s">
        <v>255</v>
      </c>
      <c r="D15" s="142" t="s">
        <v>1255</v>
      </c>
      <c r="E15" s="132" t="s">
        <v>21</v>
      </c>
      <c r="F15" s="199">
        <f>5*1.25+4*1.25+4+4+5</f>
        <v>24.25</v>
      </c>
      <c r="G15" s="199">
        <f>4*1.25+3*1.25+4+4+4</f>
        <v>20.75</v>
      </c>
      <c r="H15" s="200">
        <f>'計分版'!D90</f>
        <v>0.000000003025</v>
      </c>
      <c r="I15" s="201">
        <f t="shared" si="1"/>
        <v>-24.25</v>
      </c>
      <c r="J15" s="202">
        <f t="shared" si="2"/>
        <v>-8016528925</v>
      </c>
      <c r="K15" s="132">
        <v>20.0</v>
      </c>
      <c r="L15" s="203">
        <f>'入學要求'!S69</f>
        <v>0</v>
      </c>
      <c r="M15" s="135" t="s">
        <v>1249</v>
      </c>
      <c r="N15" s="131">
        <v>3.0</v>
      </c>
      <c r="O15" s="131">
        <v>3.0</v>
      </c>
      <c r="P15" s="131">
        <v>2.0</v>
      </c>
      <c r="Q15" s="131">
        <v>2.0</v>
      </c>
      <c r="R15" s="131">
        <v>3.0</v>
      </c>
      <c r="S15" s="131">
        <v>3.0</v>
      </c>
      <c r="T15" s="204">
        <f>'入學要求'!L69</f>
        <v>0</v>
      </c>
      <c r="U15" s="204">
        <f>'入學要求'!M69</f>
        <v>0</v>
      </c>
      <c r="V15" s="204">
        <f>'入學要求'!N69</f>
        <v>0</v>
      </c>
      <c r="W15" s="204">
        <f>'入學要求'!O69</f>
        <v>0</v>
      </c>
      <c r="X15" s="204">
        <f>'入學要求'!P69</f>
        <v>0</v>
      </c>
      <c r="Y15" s="204">
        <f>'入學要求'!Q69</f>
        <v>0</v>
      </c>
      <c r="Z15" s="205"/>
      <c r="AA15" s="132">
        <f>IF($Z$2="2018年",'Offer Statistics'!AG15,IF($Z$2="2019年",'Offer Statistics'!AG46,IF($Z$2="2020年",'Offer Statistics'!AG77)))</f>
        <v>16</v>
      </c>
      <c r="AB15" s="206">
        <f>IF($Z$2="2018年",'Offer Statistics'!AB15,IF($Z$2="2019年",'Offer Statistics'!AB46,IF($Z$2="2020年",'Offer Statistics'!AB77)))</f>
        <v>16</v>
      </c>
      <c r="AC15" s="206">
        <f>IF($Z$2="2018年",'Offer Statistics'!AC15,IF($Z$2="2019年",'Offer Statistics'!AC46,IF($Z$2="2020年",'Offer Statistics'!AC77)))</f>
        <v>0</v>
      </c>
      <c r="AD15" s="206">
        <f>IF($Z$2="2018年",'Offer Statistics'!AD15,IF($Z$2="2019年",'Offer Statistics'!AD46,IF($Z$2="2020年",'Offer Statistics'!AD77)))</f>
        <v>0</v>
      </c>
      <c r="AE15" s="206">
        <f>IF($Z$2="2018年",'Offer Statistics'!AE15,IF($Z$2="2019年",'Offer Statistics'!AE46,IF($Z$2="2020年",'Offer Statistics'!AE77)))</f>
        <v>0</v>
      </c>
      <c r="AF15" s="206">
        <f>IF($Z$2="2018年",'Offer Statistics'!AF15,IF($Z$2="2019年",'Offer Statistics'!AF46,IF($Z$2="2020年",'Offer Statistics'!AF77)))</f>
        <v>0</v>
      </c>
      <c r="AG15" s="205"/>
      <c r="AH15" s="132">
        <f>IF($AG$2="2018年",'Offer Statistics'!Y15,IF($AG$2="2019年",'Offer Statistics'!Y46,IF($AG$2="2020年",'Offer Statistics'!Y77)))</f>
        <v>2872</v>
      </c>
      <c r="AI15" s="206">
        <f>IF($AG$2="2018年",'Offer Statistics'!T15,IF($AG$2="2019年",'Offer Statistics'!T46,IF($AG$2="2020年",'Offer Statistics'!T77)))</f>
        <v>590</v>
      </c>
      <c r="AJ15" s="206">
        <f>IF($AG$2="2018年",'Offer Statistics'!U15,IF($AG$2="2019年",'Offer Statistics'!U46,IF($AG$2="2020年",'Offer Statistics'!U77)))</f>
        <v>425</v>
      </c>
      <c r="AK15" s="206">
        <f>IF($AG$2="2018年",'Offer Statistics'!V15,IF($AG$2="2019年",'Offer Statistics'!V46,IF($AG$2="2020年",'Offer Statistics'!V77)))</f>
        <v>624</v>
      </c>
      <c r="AL15" s="206">
        <f>IF($AG$2="2018年",'Offer Statistics'!W15,IF($AG$2="2019年",'Offer Statistics'!W46,IF($AG$2="2020年",'Offer Statistics'!W77)))</f>
        <v>716</v>
      </c>
      <c r="AM15" s="206">
        <f>IF($AG$2="2018年",'Offer Statistics'!X15,IF($AG$2="2019年",'Offer Statistics'!X46,IF($AG$2="2020年",'Offer Statistics'!X77)))</f>
        <v>517</v>
      </c>
      <c r="AN15" s="142"/>
      <c r="AO15" s="131" t="str">
        <f t="shared" si="3"/>
        <v>JS2330</v>
      </c>
    </row>
    <row r="16" ht="18.0" customHeight="1">
      <c r="A16" s="225" t="s">
        <v>256</v>
      </c>
      <c r="B16" s="225" t="s">
        <v>1253</v>
      </c>
      <c r="C16" s="225" t="s">
        <v>257</v>
      </c>
      <c r="D16" s="225" t="s">
        <v>1256</v>
      </c>
      <c r="E16" s="231" t="s">
        <v>21</v>
      </c>
      <c r="F16" s="227">
        <f>4+4+5+4+4</f>
        <v>21</v>
      </c>
      <c r="G16" s="227">
        <f>3+5+5+4+4</f>
        <v>21</v>
      </c>
      <c r="H16" s="228">
        <f>'計分版'!D91</f>
        <v>0.00000000355</v>
      </c>
      <c r="I16" s="229">
        <f t="shared" si="1"/>
        <v>-21</v>
      </c>
      <c r="J16" s="230">
        <f t="shared" si="2"/>
        <v>-5915492957</v>
      </c>
      <c r="K16" s="231">
        <v>8.0</v>
      </c>
      <c r="L16" s="235">
        <f>'入學要求'!S70</f>
        <v>0</v>
      </c>
      <c r="M16" s="226" t="s">
        <v>1257</v>
      </c>
      <c r="N16" s="226">
        <v>3.0</v>
      </c>
      <c r="O16" s="226">
        <v>3.0</v>
      </c>
      <c r="P16" s="226">
        <v>2.0</v>
      </c>
      <c r="Q16" s="226">
        <v>2.0</v>
      </c>
      <c r="R16" s="226">
        <v>3.0</v>
      </c>
      <c r="S16" s="226">
        <v>3.0</v>
      </c>
      <c r="T16" s="233">
        <f>'入學要求'!L70</f>
        <v>0</v>
      </c>
      <c r="U16" s="233">
        <f>'入學要求'!M70</f>
        <v>0</v>
      </c>
      <c r="V16" s="233">
        <f>'入學要求'!N70</f>
        <v>0</v>
      </c>
      <c r="W16" s="233">
        <f>'入學要求'!O70</f>
        <v>0</v>
      </c>
      <c r="X16" s="233">
        <f>'入學要求'!P70</f>
        <v>0</v>
      </c>
      <c r="Y16" s="233">
        <f>'入學要求'!Q70</f>
        <v>0</v>
      </c>
      <c r="Z16" s="205"/>
      <c r="AA16" s="231">
        <f>IF($Z$2="2018年",'Offer Statistics'!AG16,IF($Z$2="2019年",'Offer Statistics'!AG47,IF($Z$2="2020年",'Offer Statistics'!AG78)))</f>
        <v>10</v>
      </c>
      <c r="AB16" s="234">
        <f>IF($Z$2="2018年",'Offer Statistics'!AB16,IF($Z$2="2019年",'Offer Statistics'!AB47,IF($Z$2="2020年",'Offer Statistics'!AB78)))</f>
        <v>10</v>
      </c>
      <c r="AC16" s="234">
        <f>IF($Z$2="2018年",'Offer Statistics'!AC16,IF($Z$2="2019年",'Offer Statistics'!AC47,IF($Z$2="2020年",'Offer Statistics'!AC78)))</f>
        <v>0</v>
      </c>
      <c r="AD16" s="234">
        <f>IF($Z$2="2018年",'Offer Statistics'!AD16,IF($Z$2="2019年",'Offer Statistics'!AD47,IF($Z$2="2020年",'Offer Statistics'!AD78)))</f>
        <v>0</v>
      </c>
      <c r="AE16" s="234">
        <f>IF($Z$2="2018年",'Offer Statistics'!AE16,IF($Z$2="2019年",'Offer Statistics'!AE47,IF($Z$2="2020年",'Offer Statistics'!AE78)))</f>
        <v>0</v>
      </c>
      <c r="AF16" s="234">
        <f>IF($Z$2="2018年",'Offer Statistics'!AF16,IF($Z$2="2019年",'Offer Statistics'!AF47,IF($Z$2="2020年",'Offer Statistics'!AF78)))</f>
        <v>0</v>
      </c>
      <c r="AG16" s="205"/>
      <c r="AH16" s="231">
        <f>IF($AG$2="2018年",'Offer Statistics'!Y16,IF($AG$2="2019年",'Offer Statistics'!Y47,IF($AG$2="2020年",'Offer Statistics'!Y78)))</f>
        <v>696</v>
      </c>
      <c r="AI16" s="234">
        <f>IF($AG$2="2018年",'Offer Statistics'!T16,IF($AG$2="2019年",'Offer Statistics'!T47,IF($AG$2="2020年",'Offer Statistics'!T78)))</f>
        <v>121</v>
      </c>
      <c r="AJ16" s="234">
        <f>IF($AG$2="2018年",'Offer Statistics'!U16,IF($AG$2="2019年",'Offer Statistics'!U47,IF($AG$2="2020年",'Offer Statistics'!U78)))</f>
        <v>115</v>
      </c>
      <c r="AK16" s="234">
        <f>IF($AG$2="2018年",'Offer Statistics'!V16,IF($AG$2="2019年",'Offer Statistics'!V47,IF($AG$2="2020年",'Offer Statistics'!V78)))</f>
        <v>127</v>
      </c>
      <c r="AL16" s="234">
        <f>IF($AG$2="2018年",'Offer Statistics'!W16,IF($AG$2="2019年",'Offer Statistics'!W47,IF($AG$2="2020年",'Offer Statistics'!W78)))</f>
        <v>162</v>
      </c>
      <c r="AM16" s="234">
        <f>IF($AG$2="2018年",'Offer Statistics'!X16,IF($AG$2="2019年",'Offer Statistics'!X47,IF($AG$2="2020年",'Offer Statistics'!X78)))</f>
        <v>171</v>
      </c>
      <c r="AN16" s="225"/>
      <c r="AO16" s="226" t="str">
        <f t="shared" si="3"/>
        <v>JS2340</v>
      </c>
    </row>
    <row r="17" ht="18.0" customHeight="1">
      <c r="A17" s="142" t="s">
        <v>258</v>
      </c>
      <c r="B17" s="142" t="s">
        <v>1253</v>
      </c>
      <c r="C17" s="142" t="s">
        <v>259</v>
      </c>
      <c r="D17" s="142" t="s">
        <v>1258</v>
      </c>
      <c r="E17" s="132" t="s">
        <v>21</v>
      </c>
      <c r="F17" s="199" t="s">
        <v>541</v>
      </c>
      <c r="G17" s="199" t="s">
        <v>541</v>
      </c>
      <c r="H17" s="200">
        <f>'計分版'!D92</f>
        <v>0.000000003025</v>
      </c>
      <c r="I17" s="215" t="s">
        <v>541</v>
      </c>
      <c r="J17" s="237" t="s">
        <v>541</v>
      </c>
      <c r="K17" s="132">
        <v>41.0</v>
      </c>
      <c r="L17" s="203">
        <f>'入學要求'!S71</f>
        <v>0</v>
      </c>
      <c r="M17" s="131" t="s">
        <v>541</v>
      </c>
      <c r="N17" s="131">
        <v>3.0</v>
      </c>
      <c r="O17" s="131">
        <v>3.0</v>
      </c>
      <c r="P17" s="131">
        <v>2.0</v>
      </c>
      <c r="Q17" s="131">
        <v>2.0</v>
      </c>
      <c r="R17" s="131">
        <v>3.0</v>
      </c>
      <c r="S17" s="131">
        <v>3.0</v>
      </c>
      <c r="T17" s="204">
        <f>'入學要求'!L71</f>
        <v>0</v>
      </c>
      <c r="U17" s="204">
        <f>'入學要求'!M71</f>
        <v>0</v>
      </c>
      <c r="V17" s="204">
        <f>'入學要求'!N71</f>
        <v>0</v>
      </c>
      <c r="W17" s="204">
        <f>'入學要求'!O71</f>
        <v>0</v>
      </c>
      <c r="X17" s="204">
        <f>'入學要求'!P71</f>
        <v>0</v>
      </c>
      <c r="Y17" s="204">
        <f>'入學要求'!Q71</f>
        <v>0</v>
      </c>
      <c r="Z17" s="205"/>
      <c r="AA17" s="132" t="str">
        <f>IF($Z$2="2018年",'Offer Statistics'!AG17,IF($Z$2="2019年",'Offer Statistics'!AG48,IF($Z$2="2020年",'Offer Statistics'!AG79)))</f>
        <v>/</v>
      </c>
      <c r="AB17" s="206" t="str">
        <f>IF($Z$2="2018年",'Offer Statistics'!AB17,IF($Z$2="2019年",'Offer Statistics'!AB48,IF($Z$2="2020年",'Offer Statistics'!AB79)))</f>
        <v>/</v>
      </c>
      <c r="AC17" s="206" t="str">
        <f>IF($Z$2="2018年",'Offer Statistics'!AC17,IF($Z$2="2019年",'Offer Statistics'!AC48,IF($Z$2="2020年",'Offer Statistics'!AC79)))</f>
        <v>/</v>
      </c>
      <c r="AD17" s="206" t="str">
        <f>IF($Z$2="2018年",'Offer Statistics'!AD17,IF($Z$2="2019年",'Offer Statistics'!AD48,IF($Z$2="2020年",'Offer Statistics'!AD79)))</f>
        <v>/</v>
      </c>
      <c r="AE17" s="206" t="str">
        <f>IF($Z$2="2018年",'Offer Statistics'!AE17,IF($Z$2="2019年",'Offer Statistics'!AE48,IF($Z$2="2020年",'Offer Statistics'!AE79)))</f>
        <v>/</v>
      </c>
      <c r="AF17" s="206" t="str">
        <f>IF($Z$2="2018年",'Offer Statistics'!AF17,IF($Z$2="2019年",'Offer Statistics'!AF48,IF($Z$2="2020年",'Offer Statistics'!AF79)))</f>
        <v>/</v>
      </c>
      <c r="AG17" s="205"/>
      <c r="AH17" s="132" t="str">
        <f>IF($AG$2="2018年",'Offer Statistics'!Y17,IF($AG$2="2019年",'Offer Statistics'!Y48,IF($AG$2="2020年",'Offer Statistics'!Y79)))</f>
        <v>/</v>
      </c>
      <c r="AI17" s="206" t="str">
        <f>IF($AG$2="2018年",'Offer Statistics'!T17,IF($AG$2="2019年",'Offer Statistics'!T48,IF($AG$2="2020年",'Offer Statistics'!T79)))</f>
        <v>/</v>
      </c>
      <c r="AJ17" s="206" t="str">
        <f>IF($AG$2="2018年",'Offer Statistics'!U17,IF($AG$2="2019年",'Offer Statistics'!U48,IF($AG$2="2020年",'Offer Statistics'!U79)))</f>
        <v>/</v>
      </c>
      <c r="AK17" s="206" t="str">
        <f>IF($AG$2="2018年",'Offer Statistics'!V17,IF($AG$2="2019年",'Offer Statistics'!V48,IF($AG$2="2020年",'Offer Statistics'!V79)))</f>
        <v>/</v>
      </c>
      <c r="AL17" s="206" t="str">
        <f>IF($AG$2="2018年",'Offer Statistics'!W17,IF($AG$2="2019年",'Offer Statistics'!W48,IF($AG$2="2020年",'Offer Statistics'!W79)))</f>
        <v>/</v>
      </c>
      <c r="AM17" s="206" t="str">
        <f>IF($AG$2="2018年",'Offer Statistics'!X17,IF($AG$2="2019年",'Offer Statistics'!X48,IF($AG$2="2020年",'Offer Statistics'!X79)))</f>
        <v>/</v>
      </c>
      <c r="AN17" s="142"/>
      <c r="AO17" s="131" t="str">
        <f t="shared" si="3"/>
        <v>JS2350</v>
      </c>
    </row>
    <row r="18" ht="18.0" customHeight="1">
      <c r="A18" s="225" t="s">
        <v>260</v>
      </c>
      <c r="B18" s="225" t="s">
        <v>1253</v>
      </c>
      <c r="C18" s="225" t="s">
        <v>261</v>
      </c>
      <c r="D18" s="225" t="s">
        <v>1259</v>
      </c>
      <c r="E18" s="231" t="s">
        <v>21</v>
      </c>
      <c r="F18" s="227" t="s">
        <v>541</v>
      </c>
      <c r="G18" s="227" t="s">
        <v>541</v>
      </c>
      <c r="H18" s="228">
        <f>'計分版'!D93</f>
        <v>0.000000003025</v>
      </c>
      <c r="I18" s="238" t="s">
        <v>541</v>
      </c>
      <c r="J18" s="239" t="s">
        <v>541</v>
      </c>
      <c r="K18" s="231">
        <v>40.0</v>
      </c>
      <c r="L18" s="235">
        <f>'入學要求'!S72</f>
        <v>0</v>
      </c>
      <c r="M18" s="226" t="s">
        <v>541</v>
      </c>
      <c r="N18" s="226">
        <v>3.0</v>
      </c>
      <c r="O18" s="226">
        <v>3.0</v>
      </c>
      <c r="P18" s="226">
        <v>2.0</v>
      </c>
      <c r="Q18" s="226">
        <v>2.0</v>
      </c>
      <c r="R18" s="226">
        <v>3.0</v>
      </c>
      <c r="S18" s="226">
        <v>3.0</v>
      </c>
      <c r="T18" s="233">
        <f>'入學要求'!L72</f>
        <v>0</v>
      </c>
      <c r="U18" s="233">
        <f>'入學要求'!M72</f>
        <v>0</v>
      </c>
      <c r="V18" s="233">
        <f>'入學要求'!N72</f>
        <v>0</v>
      </c>
      <c r="W18" s="233">
        <f>'入學要求'!O72</f>
        <v>0</v>
      </c>
      <c r="X18" s="233">
        <f>'入學要求'!P72</f>
        <v>0</v>
      </c>
      <c r="Y18" s="233">
        <f>'入學要求'!Q72</f>
        <v>0</v>
      </c>
      <c r="Z18" s="205"/>
      <c r="AA18" s="231" t="str">
        <f>IF($Z$2="2018年",'Offer Statistics'!AG18,IF($Z$2="2019年",'Offer Statistics'!AG49,IF($Z$2="2020年",'Offer Statistics'!AG80)))</f>
        <v>/</v>
      </c>
      <c r="AB18" s="234" t="str">
        <f>IF($Z$2="2018年",'Offer Statistics'!AB18,IF($Z$2="2019年",'Offer Statistics'!AB49,IF($Z$2="2020年",'Offer Statistics'!AB80)))</f>
        <v>/</v>
      </c>
      <c r="AC18" s="234" t="str">
        <f>IF($Z$2="2018年",'Offer Statistics'!AC18,IF($Z$2="2019年",'Offer Statistics'!AC49,IF($Z$2="2020年",'Offer Statistics'!AC80)))</f>
        <v>/</v>
      </c>
      <c r="AD18" s="234" t="str">
        <f>IF($Z$2="2018年",'Offer Statistics'!AD18,IF($Z$2="2019年",'Offer Statistics'!AD49,IF($Z$2="2020年",'Offer Statistics'!AD80)))</f>
        <v>/</v>
      </c>
      <c r="AE18" s="234" t="str">
        <f>IF($Z$2="2018年",'Offer Statistics'!AE18,IF($Z$2="2019年",'Offer Statistics'!AE49,IF($Z$2="2020年",'Offer Statistics'!AE80)))</f>
        <v>/</v>
      </c>
      <c r="AF18" s="234" t="str">
        <f>IF($Z$2="2018年",'Offer Statistics'!AF18,IF($Z$2="2019年",'Offer Statistics'!AF49,IF($Z$2="2020年",'Offer Statistics'!AF80)))</f>
        <v>/</v>
      </c>
      <c r="AG18" s="205"/>
      <c r="AH18" s="231" t="str">
        <f>IF($AG$2="2018年",'Offer Statistics'!Y18,IF($AG$2="2019年",'Offer Statistics'!Y49,IF($AG$2="2020年",'Offer Statistics'!Y80)))</f>
        <v>/</v>
      </c>
      <c r="AI18" s="234" t="str">
        <f>IF($AG$2="2018年",'Offer Statistics'!T18,IF($AG$2="2019年",'Offer Statistics'!T49,IF($AG$2="2020年",'Offer Statistics'!T80)))</f>
        <v>/</v>
      </c>
      <c r="AJ18" s="234" t="str">
        <f>IF($AG$2="2018年",'Offer Statistics'!U18,IF($AG$2="2019年",'Offer Statistics'!U49,IF($AG$2="2020年",'Offer Statistics'!U80)))</f>
        <v>/</v>
      </c>
      <c r="AK18" s="234" t="str">
        <f>IF($AG$2="2018年",'Offer Statistics'!V18,IF($AG$2="2019年",'Offer Statistics'!V49,IF($AG$2="2020年",'Offer Statistics'!V80)))</f>
        <v>/</v>
      </c>
      <c r="AL18" s="234" t="str">
        <f>IF($AG$2="2018年",'Offer Statistics'!W18,IF($AG$2="2019年",'Offer Statistics'!W49,IF($AG$2="2020年",'Offer Statistics'!W80)))</f>
        <v>/</v>
      </c>
      <c r="AM18" s="234" t="str">
        <f>IF($AG$2="2018年",'Offer Statistics'!X18,IF($AG$2="2019年",'Offer Statistics'!X49,IF($AG$2="2020年",'Offer Statistics'!X80)))</f>
        <v>/</v>
      </c>
      <c r="AN18" s="225"/>
      <c r="AO18" s="226" t="str">
        <f t="shared" si="3"/>
        <v>JS2360</v>
      </c>
    </row>
    <row r="19" ht="18.0" customHeight="1">
      <c r="A19" s="142" t="s">
        <v>262</v>
      </c>
      <c r="B19" s="142" t="s">
        <v>1260</v>
      </c>
      <c r="C19" s="142" t="s">
        <v>263</v>
      </c>
      <c r="D19" s="142" t="s">
        <v>1261</v>
      </c>
      <c r="E19" s="132" t="s">
        <v>21</v>
      </c>
      <c r="F19" s="199">
        <f>6*1.5+4*1.5+5*1.25+4*1.5+4*1.25</f>
        <v>32.25</v>
      </c>
      <c r="G19" s="199">
        <f>6*1.5+4*1.5+4*1.25+5+4*1.5</f>
        <v>31</v>
      </c>
      <c r="H19" s="200">
        <f>'計分版'!D94</f>
        <v>0.00000000395</v>
      </c>
      <c r="I19" s="201">
        <f t="shared" ref="I19:I30" si="4">IF(I$1="差距(Median)",H19-F19,IF(I$1="差距(LQ)",H19-G19))</f>
        <v>-32.25</v>
      </c>
      <c r="J19" s="202">
        <f t="shared" ref="J19:J30" si="5">IF(I$1="差距(Median)",(H19-F19)/H19,IF(I$1="差距(LQ)",(H19-G19)/H19))</f>
        <v>-8164556961</v>
      </c>
      <c r="K19" s="132">
        <v>30.0</v>
      </c>
      <c r="L19" s="203">
        <f>'入學要求'!S73</f>
        <v>0</v>
      </c>
      <c r="M19" s="131" t="s">
        <v>1246</v>
      </c>
      <c r="N19" s="131">
        <v>3.0</v>
      </c>
      <c r="O19" s="131">
        <v>3.0</v>
      </c>
      <c r="P19" s="131">
        <v>2.0</v>
      </c>
      <c r="Q19" s="131">
        <v>2.0</v>
      </c>
      <c r="R19" s="131">
        <v>3.0</v>
      </c>
      <c r="S19" s="131">
        <v>3.0</v>
      </c>
      <c r="T19" s="204">
        <f>'入學要求'!L73</f>
        <v>0</v>
      </c>
      <c r="U19" s="204">
        <f>'入學要求'!M73</f>
        <v>0</v>
      </c>
      <c r="V19" s="204">
        <f>'入學要求'!N73</f>
        <v>0</v>
      </c>
      <c r="W19" s="204">
        <f>'入學要求'!O73</f>
        <v>0</v>
      </c>
      <c r="X19" s="204">
        <f>'入學要求'!P73</f>
        <v>0</v>
      </c>
      <c r="Y19" s="204">
        <f>'入學要求'!Q73</f>
        <v>0</v>
      </c>
      <c r="Z19" s="205"/>
      <c r="AA19" s="132">
        <f>IF($Z$2="2018年",'Offer Statistics'!AG19,IF($Z$2="2019年",'Offer Statistics'!AG50,IF($Z$2="2020年",'Offer Statistics'!AG81)))</f>
        <v>29</v>
      </c>
      <c r="AB19" s="206">
        <f>IF($Z$2="2018年",'Offer Statistics'!AB19,IF($Z$2="2019年",'Offer Statistics'!AB50,IF($Z$2="2020年",'Offer Statistics'!AB81)))</f>
        <v>28</v>
      </c>
      <c r="AC19" s="206">
        <f>IF($Z$2="2018年",'Offer Statistics'!AC19,IF($Z$2="2019年",'Offer Statistics'!AC50,IF($Z$2="2020年",'Offer Statistics'!AC81)))</f>
        <v>1</v>
      </c>
      <c r="AD19" s="206">
        <f>IF($Z$2="2018年",'Offer Statistics'!AD19,IF($Z$2="2019年",'Offer Statistics'!AD50,IF($Z$2="2020年",'Offer Statistics'!AD81)))</f>
        <v>0</v>
      </c>
      <c r="AE19" s="206">
        <f>IF($Z$2="2018年",'Offer Statistics'!AE19,IF($Z$2="2019年",'Offer Statistics'!AE50,IF($Z$2="2020年",'Offer Statistics'!AE81)))</f>
        <v>0</v>
      </c>
      <c r="AF19" s="206">
        <f>IF($Z$2="2018年",'Offer Statistics'!AF19,IF($Z$2="2019年",'Offer Statistics'!AF50,IF($Z$2="2020年",'Offer Statistics'!AF81)))</f>
        <v>0</v>
      </c>
      <c r="AG19" s="205"/>
      <c r="AH19" s="132">
        <f>IF($AG$2="2018年",'Offer Statistics'!Y19,IF($AG$2="2019年",'Offer Statistics'!Y50,IF($AG$2="2020年",'Offer Statistics'!Y81)))</f>
        <v>1319</v>
      </c>
      <c r="AI19" s="206">
        <f>IF($AG$2="2018年",'Offer Statistics'!T19,IF($AG$2="2019年",'Offer Statistics'!T50,IF($AG$2="2020年",'Offer Statistics'!T81)))</f>
        <v>193</v>
      </c>
      <c r="AJ19" s="206">
        <f>IF($AG$2="2018年",'Offer Statistics'!U19,IF($AG$2="2019年",'Offer Statistics'!U50,IF($AG$2="2020年",'Offer Statistics'!U81)))</f>
        <v>139</v>
      </c>
      <c r="AK19" s="206">
        <f>IF($AG$2="2018年",'Offer Statistics'!V19,IF($AG$2="2019年",'Offer Statistics'!V50,IF($AG$2="2020年",'Offer Statistics'!V81)))</f>
        <v>247</v>
      </c>
      <c r="AL19" s="206">
        <f>IF($AG$2="2018年",'Offer Statistics'!W19,IF($AG$2="2019年",'Offer Statistics'!W50,IF($AG$2="2020年",'Offer Statistics'!W81)))</f>
        <v>408</v>
      </c>
      <c r="AM19" s="206">
        <f>IF($AG$2="2018年",'Offer Statistics'!X19,IF($AG$2="2019年",'Offer Statistics'!X50,IF($AG$2="2020年",'Offer Statistics'!X81)))</f>
        <v>332</v>
      </c>
      <c r="AN19" s="142"/>
      <c r="AO19" s="131" t="str">
        <f t="shared" si="3"/>
        <v>JS2410</v>
      </c>
    </row>
    <row r="20" ht="18.0" customHeight="1">
      <c r="A20" s="225" t="s">
        <v>264</v>
      </c>
      <c r="B20" s="225" t="s">
        <v>1260</v>
      </c>
      <c r="C20" s="225" t="s">
        <v>265</v>
      </c>
      <c r="D20" s="225" t="s">
        <v>1262</v>
      </c>
      <c r="E20" s="231" t="s">
        <v>21</v>
      </c>
      <c r="F20" s="227">
        <f>3*1.5+4*1.5+4+5*1.5+4*1.25</f>
        <v>27</v>
      </c>
      <c r="G20" s="227">
        <f>4*1.5+4*1.5+4*1.25+4+4*1.5</f>
        <v>27</v>
      </c>
      <c r="H20" s="228">
        <f>'計分版'!D95</f>
        <v>0.00000000395</v>
      </c>
      <c r="I20" s="229">
        <f t="shared" si="4"/>
        <v>-27</v>
      </c>
      <c r="J20" s="230">
        <f t="shared" si="5"/>
        <v>-6835443037</v>
      </c>
      <c r="K20" s="231">
        <v>15.0</v>
      </c>
      <c r="L20" s="235">
        <f>'入學要求'!S74</f>
        <v>0</v>
      </c>
      <c r="M20" s="226" t="s">
        <v>1246</v>
      </c>
      <c r="N20" s="226">
        <v>3.0</v>
      </c>
      <c r="O20" s="226">
        <v>3.0</v>
      </c>
      <c r="P20" s="226">
        <v>2.0</v>
      </c>
      <c r="Q20" s="226">
        <v>2.0</v>
      </c>
      <c r="R20" s="226">
        <v>3.0</v>
      </c>
      <c r="S20" s="226">
        <v>3.0</v>
      </c>
      <c r="T20" s="233">
        <f>'入學要求'!L74</f>
        <v>0</v>
      </c>
      <c r="U20" s="233">
        <f>'入學要求'!M74</f>
        <v>0</v>
      </c>
      <c r="V20" s="233">
        <f>'入學要求'!N74</f>
        <v>0</v>
      </c>
      <c r="W20" s="233">
        <f>'入學要求'!O74</f>
        <v>0</v>
      </c>
      <c r="X20" s="233">
        <f>'入學要求'!P74</f>
        <v>0</v>
      </c>
      <c r="Y20" s="233">
        <f>'入學要求'!Q74</f>
        <v>0</v>
      </c>
      <c r="Z20" s="205"/>
      <c r="AA20" s="231">
        <f>IF($Z$2="2018年",'Offer Statistics'!AG20,IF($Z$2="2019年",'Offer Statistics'!AG51,IF($Z$2="2020年",'Offer Statistics'!AG82)))</f>
        <v>22</v>
      </c>
      <c r="AB20" s="234">
        <f>IF($Z$2="2018年",'Offer Statistics'!AB20,IF($Z$2="2019年",'Offer Statistics'!AB51,IF($Z$2="2020年",'Offer Statistics'!AB82)))</f>
        <v>20</v>
      </c>
      <c r="AC20" s="234">
        <f>IF($Z$2="2018年",'Offer Statistics'!AC20,IF($Z$2="2019年",'Offer Statistics'!AC51,IF($Z$2="2020年",'Offer Statistics'!AC82)))</f>
        <v>1</v>
      </c>
      <c r="AD20" s="234">
        <f>IF($Z$2="2018年",'Offer Statistics'!AD20,IF($Z$2="2019年",'Offer Statistics'!AD51,IF($Z$2="2020年",'Offer Statistics'!AD82)))</f>
        <v>1</v>
      </c>
      <c r="AE20" s="234">
        <f>IF($Z$2="2018年",'Offer Statistics'!AE20,IF($Z$2="2019年",'Offer Statistics'!AE51,IF($Z$2="2020年",'Offer Statistics'!AE82)))</f>
        <v>0</v>
      </c>
      <c r="AF20" s="234">
        <f>IF($Z$2="2018年",'Offer Statistics'!AF20,IF($Z$2="2019年",'Offer Statistics'!AF51,IF($Z$2="2020年",'Offer Statistics'!AF82)))</f>
        <v>0</v>
      </c>
      <c r="AG20" s="205"/>
      <c r="AH20" s="231">
        <f>IF($AG$2="2018年",'Offer Statistics'!Y20,IF($AG$2="2019年",'Offer Statistics'!Y51,IF($AG$2="2020年",'Offer Statistics'!Y82)))</f>
        <v>1887</v>
      </c>
      <c r="AI20" s="234">
        <f>IF($AG$2="2018年",'Offer Statistics'!T20,IF($AG$2="2019年",'Offer Statistics'!T51,IF($AG$2="2020年",'Offer Statistics'!T82)))</f>
        <v>197</v>
      </c>
      <c r="AJ20" s="234">
        <f>IF($AG$2="2018年",'Offer Statistics'!U20,IF($AG$2="2019年",'Offer Statistics'!U51,IF($AG$2="2020年",'Offer Statistics'!U82)))</f>
        <v>257</v>
      </c>
      <c r="AK20" s="234">
        <f>IF($AG$2="2018年",'Offer Statistics'!V20,IF($AG$2="2019年",'Offer Statistics'!V51,IF($AG$2="2020年",'Offer Statistics'!V82)))</f>
        <v>430</v>
      </c>
      <c r="AL20" s="234">
        <f>IF($AG$2="2018年",'Offer Statistics'!W20,IF($AG$2="2019年",'Offer Statistics'!W51,IF($AG$2="2020年",'Offer Statistics'!W82)))</f>
        <v>531</v>
      </c>
      <c r="AM20" s="234">
        <f>IF($AG$2="2018年",'Offer Statistics'!X20,IF($AG$2="2019年",'Offer Statistics'!X51,IF($AG$2="2020年",'Offer Statistics'!X82)))</f>
        <v>472</v>
      </c>
      <c r="AN20" s="225"/>
      <c r="AO20" s="226" t="str">
        <f t="shared" si="3"/>
        <v>JS2420</v>
      </c>
    </row>
    <row r="21" ht="18.0" customHeight="1">
      <c r="A21" s="142" t="s">
        <v>266</v>
      </c>
      <c r="B21" s="142" t="s">
        <v>1026</v>
      </c>
      <c r="C21" s="142" t="s">
        <v>267</v>
      </c>
      <c r="D21" s="142" t="s">
        <v>1263</v>
      </c>
      <c r="E21" s="135" t="s">
        <v>24</v>
      </c>
      <c r="F21" s="199">
        <f>5+4+4+3+3+3</f>
        <v>22</v>
      </c>
      <c r="G21" s="199">
        <f>4+4+4+4+3+3</f>
        <v>22</v>
      </c>
      <c r="H21" s="200">
        <f>'計分版'!D96</f>
        <v>0.0000000039</v>
      </c>
      <c r="I21" s="201">
        <f t="shared" si="4"/>
        <v>-22</v>
      </c>
      <c r="J21" s="202">
        <f t="shared" si="5"/>
        <v>-5641025640</v>
      </c>
      <c r="K21" s="132">
        <v>206.0</v>
      </c>
      <c r="L21" s="203">
        <f>'入學要求'!S75</f>
        <v>0</v>
      </c>
      <c r="M21" s="131" t="s">
        <v>541</v>
      </c>
      <c r="N21" s="131">
        <v>3.0</v>
      </c>
      <c r="O21" s="131">
        <v>3.0</v>
      </c>
      <c r="P21" s="131">
        <v>2.0</v>
      </c>
      <c r="Q21" s="131">
        <v>2.0</v>
      </c>
      <c r="R21" s="131">
        <v>3.0</v>
      </c>
      <c r="S21" s="131">
        <v>3.0</v>
      </c>
      <c r="T21" s="204">
        <f>'入學要求'!L75</f>
        <v>0</v>
      </c>
      <c r="U21" s="204">
        <f>'入學要求'!M75</f>
        <v>0</v>
      </c>
      <c r="V21" s="204">
        <f>'入學要求'!N75</f>
        <v>0</v>
      </c>
      <c r="W21" s="204">
        <f>'入學要求'!O75</f>
        <v>0</v>
      </c>
      <c r="X21" s="204">
        <f>'入學要求'!P75</f>
        <v>0</v>
      </c>
      <c r="Y21" s="204">
        <f>'入學要求'!Q75</f>
        <v>0</v>
      </c>
      <c r="Z21" s="205"/>
      <c r="AA21" s="132">
        <f>IF($Z$2="2018年",'Offer Statistics'!AG21,IF($Z$2="2019年",'Offer Statistics'!AG52,IF($Z$2="2020年",'Offer Statistics'!AG83)))</f>
        <v>218</v>
      </c>
      <c r="AB21" s="206">
        <f>IF($Z$2="2018年",'Offer Statistics'!AB21,IF($Z$2="2019年",'Offer Statistics'!AB52,IF($Z$2="2020年",'Offer Statistics'!AB83)))</f>
        <v>184</v>
      </c>
      <c r="AC21" s="206">
        <f>IF($Z$2="2018年",'Offer Statistics'!AC21,IF($Z$2="2019年",'Offer Statistics'!AC52,IF($Z$2="2020年",'Offer Statistics'!AC83)))</f>
        <v>21</v>
      </c>
      <c r="AD21" s="206">
        <f>IF($Z$2="2018年",'Offer Statistics'!AD21,IF($Z$2="2019年",'Offer Statistics'!AD52,IF($Z$2="2020年",'Offer Statistics'!AD83)))</f>
        <v>8</v>
      </c>
      <c r="AE21" s="206">
        <f>IF($Z$2="2018年",'Offer Statistics'!AE21,IF($Z$2="2019年",'Offer Statistics'!AE52,IF($Z$2="2020年",'Offer Statistics'!AE83)))</f>
        <v>3</v>
      </c>
      <c r="AF21" s="206">
        <f>IF($Z$2="2018年",'Offer Statistics'!AF21,IF($Z$2="2019年",'Offer Statistics'!AF52,IF($Z$2="2020年",'Offer Statistics'!AF83)))</f>
        <v>2</v>
      </c>
      <c r="AG21" s="205"/>
      <c r="AH21" s="132">
        <f>IF($AG$2="2018年",'Offer Statistics'!Y21,IF($AG$2="2019年",'Offer Statistics'!Y52,IF($AG$2="2020年",'Offer Statistics'!Y83)))</f>
        <v>5575</v>
      </c>
      <c r="AI21" s="206">
        <f>IF($AG$2="2018年",'Offer Statistics'!T21,IF($AG$2="2019年",'Offer Statistics'!T52,IF($AG$2="2020年",'Offer Statistics'!T83)))</f>
        <v>1075</v>
      </c>
      <c r="AJ21" s="206">
        <f>IF($AG$2="2018年",'Offer Statistics'!U21,IF($AG$2="2019年",'Offer Statistics'!U52,IF($AG$2="2020年",'Offer Statistics'!U83)))</f>
        <v>1200</v>
      </c>
      <c r="AK21" s="206">
        <f>IF($AG$2="2018年",'Offer Statistics'!V21,IF($AG$2="2019年",'Offer Statistics'!V52,IF($AG$2="2020年",'Offer Statistics'!V83)))</f>
        <v>1206</v>
      </c>
      <c r="AL21" s="206">
        <f>IF($AG$2="2018年",'Offer Statistics'!W21,IF($AG$2="2019年",'Offer Statistics'!W52,IF($AG$2="2020年",'Offer Statistics'!W83)))</f>
        <v>1156</v>
      </c>
      <c r="AM21" s="206">
        <f>IF($AG$2="2018年",'Offer Statistics'!X21,IF($AG$2="2019年",'Offer Statistics'!X52,IF($AG$2="2020年",'Offer Statistics'!X83)))</f>
        <v>938</v>
      </c>
      <c r="AN21" s="142"/>
      <c r="AO21" s="131" t="str">
        <f t="shared" si="3"/>
        <v>JS2510</v>
      </c>
    </row>
    <row r="22" ht="18.0" customHeight="1">
      <c r="A22" s="225" t="s">
        <v>268</v>
      </c>
      <c r="B22" s="225" t="s">
        <v>1033</v>
      </c>
      <c r="C22" s="225" t="s">
        <v>269</v>
      </c>
      <c r="D22" s="225" t="s">
        <v>1264</v>
      </c>
      <c r="E22" s="231" t="s">
        <v>191</v>
      </c>
      <c r="F22" s="227">
        <f>4+4*2+4+4+4+4</f>
        <v>28</v>
      </c>
      <c r="G22" s="227">
        <f>3+3*2+3+5+6+4</f>
        <v>27</v>
      </c>
      <c r="H22" s="228">
        <f>'計分版'!D97</f>
        <v>0.00000000305</v>
      </c>
      <c r="I22" s="229">
        <f t="shared" si="4"/>
        <v>-28</v>
      </c>
      <c r="J22" s="230">
        <f t="shared" si="5"/>
        <v>-9180327868</v>
      </c>
      <c r="K22" s="231">
        <v>105.0</v>
      </c>
      <c r="L22" s="235">
        <f>'入學要求'!S76</f>
        <v>0</v>
      </c>
      <c r="M22" s="226" t="s">
        <v>541</v>
      </c>
      <c r="N22" s="226">
        <v>3.0</v>
      </c>
      <c r="O22" s="226">
        <v>3.0</v>
      </c>
      <c r="P22" s="226">
        <v>2.0</v>
      </c>
      <c r="Q22" s="226">
        <v>2.0</v>
      </c>
      <c r="R22" s="226">
        <v>3.0</v>
      </c>
      <c r="S22" s="226">
        <v>3.0</v>
      </c>
      <c r="T22" s="233">
        <f>'入學要求'!L76</f>
        <v>0</v>
      </c>
      <c r="U22" s="233">
        <f>'入學要求'!M76</f>
        <v>0</v>
      </c>
      <c r="V22" s="233">
        <f>'入學要求'!N76</f>
        <v>0</v>
      </c>
      <c r="W22" s="233">
        <f>'入學要求'!O76</f>
        <v>0</v>
      </c>
      <c r="X22" s="233">
        <f>'入學要求'!P76</f>
        <v>0</v>
      </c>
      <c r="Y22" s="233">
        <f>'入學要求'!Q76</f>
        <v>0</v>
      </c>
      <c r="Z22" s="205"/>
      <c r="AA22" s="231">
        <f>IF($Z$2="2018年",'Offer Statistics'!AG22,IF($Z$2="2019年",'Offer Statistics'!AG53,IF($Z$2="2020年",'Offer Statistics'!AG84)))</f>
        <v>108</v>
      </c>
      <c r="AB22" s="234">
        <f>IF($Z$2="2018年",'Offer Statistics'!AB22,IF($Z$2="2019年",'Offer Statistics'!AB53,IF($Z$2="2020年",'Offer Statistics'!AB84)))</f>
        <v>104</v>
      </c>
      <c r="AC22" s="234">
        <f>IF($Z$2="2018年",'Offer Statistics'!AC22,IF($Z$2="2019年",'Offer Statistics'!AC53,IF($Z$2="2020年",'Offer Statistics'!AC84)))</f>
        <v>3</v>
      </c>
      <c r="AD22" s="234">
        <f>IF($Z$2="2018年",'Offer Statistics'!AD22,IF($Z$2="2019年",'Offer Statistics'!AD53,IF($Z$2="2020年",'Offer Statistics'!AD84)))</f>
        <v>0</v>
      </c>
      <c r="AE22" s="234">
        <f>IF($Z$2="2018年",'Offer Statistics'!AE22,IF($Z$2="2019年",'Offer Statistics'!AE53,IF($Z$2="2020年",'Offer Statistics'!AE84)))</f>
        <v>1</v>
      </c>
      <c r="AF22" s="234">
        <f>IF($Z$2="2018年",'Offer Statistics'!AF22,IF($Z$2="2019年",'Offer Statistics'!AF53,IF($Z$2="2020年",'Offer Statistics'!AF84)))</f>
        <v>0</v>
      </c>
      <c r="AG22" s="205"/>
      <c r="AH22" s="231">
        <f>IF($AG$2="2018年",'Offer Statistics'!Y22,IF($AG$2="2019年",'Offer Statistics'!Y53,IF($AG$2="2020年",'Offer Statistics'!Y84)))</f>
        <v>5496</v>
      </c>
      <c r="AI22" s="234">
        <f>IF($AG$2="2018年",'Offer Statistics'!T22,IF($AG$2="2019年",'Offer Statistics'!T53,IF($AG$2="2020年",'Offer Statistics'!T84)))</f>
        <v>1346</v>
      </c>
      <c r="AJ22" s="234">
        <f>IF($AG$2="2018年",'Offer Statistics'!U22,IF($AG$2="2019年",'Offer Statistics'!U53,IF($AG$2="2020年",'Offer Statistics'!U84)))</f>
        <v>980</v>
      </c>
      <c r="AK22" s="234">
        <f>IF($AG$2="2018年",'Offer Statistics'!V22,IF($AG$2="2019年",'Offer Statistics'!V53,IF($AG$2="2020年",'Offer Statistics'!V84)))</f>
        <v>1117</v>
      </c>
      <c r="AL22" s="234">
        <f>IF($AG$2="2018年",'Offer Statistics'!W22,IF($AG$2="2019年",'Offer Statistics'!W53,IF($AG$2="2020年",'Offer Statistics'!W84)))</f>
        <v>1214</v>
      </c>
      <c r="AM22" s="234">
        <f>IF($AG$2="2018年",'Offer Statistics'!X22,IF($AG$2="2019年",'Offer Statistics'!X53,IF($AG$2="2020年",'Offer Statistics'!X84)))</f>
        <v>839</v>
      </c>
      <c r="AN22" s="225"/>
      <c r="AO22" s="226" t="str">
        <f t="shared" si="3"/>
        <v>JS2610</v>
      </c>
    </row>
    <row r="23" ht="18.0" customHeight="1">
      <c r="A23" s="142" t="s">
        <v>270</v>
      </c>
      <c r="B23" s="142" t="s">
        <v>1033</v>
      </c>
      <c r="C23" s="142" t="s">
        <v>271</v>
      </c>
      <c r="D23" s="142" t="s">
        <v>1265</v>
      </c>
      <c r="E23" s="131" t="s">
        <v>191</v>
      </c>
      <c r="F23" s="199">
        <f>3+4+6+4+5+5</f>
        <v>27</v>
      </c>
      <c r="G23" s="199">
        <f>4+5+4+5+4+4</f>
        <v>26</v>
      </c>
      <c r="H23" s="200">
        <f>'計分版'!D98</f>
        <v>0.00000000285</v>
      </c>
      <c r="I23" s="201">
        <f t="shared" si="4"/>
        <v>-27</v>
      </c>
      <c r="J23" s="202">
        <f t="shared" si="5"/>
        <v>-9473684210</v>
      </c>
      <c r="K23" s="132">
        <v>26.0</v>
      </c>
      <c r="L23" s="203">
        <f>'入學要求'!S77</f>
        <v>0</v>
      </c>
      <c r="M23" s="131" t="s">
        <v>541</v>
      </c>
      <c r="N23" s="131">
        <v>3.0</v>
      </c>
      <c r="O23" s="131">
        <v>3.0</v>
      </c>
      <c r="P23" s="131">
        <v>2.0</v>
      </c>
      <c r="Q23" s="131">
        <v>2.0</v>
      </c>
      <c r="R23" s="131">
        <v>3.0</v>
      </c>
      <c r="S23" s="131">
        <v>3.0</v>
      </c>
      <c r="T23" s="204">
        <f>'入學要求'!L77</f>
        <v>0</v>
      </c>
      <c r="U23" s="204">
        <f>'入學要求'!M77</f>
        <v>0</v>
      </c>
      <c r="V23" s="204">
        <f>'入學要求'!N77</f>
        <v>0</v>
      </c>
      <c r="W23" s="204">
        <f>'入學要求'!O77</f>
        <v>0</v>
      </c>
      <c r="X23" s="204">
        <f>'入學要求'!P77</f>
        <v>0</v>
      </c>
      <c r="Y23" s="204">
        <f>'入學要求'!Q77</f>
        <v>0</v>
      </c>
      <c r="Z23" s="205"/>
      <c r="AA23" s="132">
        <f>IF($Z$2="2018年",'Offer Statistics'!AG23,IF($Z$2="2019年",'Offer Statistics'!AG54,IF($Z$2="2020年",'Offer Statistics'!AG85)))</f>
        <v>13</v>
      </c>
      <c r="AB23" s="206">
        <f>IF($Z$2="2018年",'Offer Statistics'!AB23,IF($Z$2="2019年",'Offer Statistics'!AB54,IF($Z$2="2020年",'Offer Statistics'!AB85)))</f>
        <v>13</v>
      </c>
      <c r="AC23" s="206">
        <f>IF($Z$2="2018年",'Offer Statistics'!AC23,IF($Z$2="2019年",'Offer Statistics'!AC54,IF($Z$2="2020年",'Offer Statistics'!AC85)))</f>
        <v>0</v>
      </c>
      <c r="AD23" s="206">
        <f>IF($Z$2="2018年",'Offer Statistics'!AD23,IF($Z$2="2019年",'Offer Statistics'!AD54,IF($Z$2="2020年",'Offer Statistics'!AD85)))</f>
        <v>0</v>
      </c>
      <c r="AE23" s="206">
        <f>IF($Z$2="2018年",'Offer Statistics'!AE23,IF($Z$2="2019年",'Offer Statistics'!AE54,IF($Z$2="2020年",'Offer Statistics'!AE85)))</f>
        <v>0</v>
      </c>
      <c r="AF23" s="206">
        <f>IF($Z$2="2018年",'Offer Statistics'!AF23,IF($Z$2="2019年",'Offer Statistics'!AF54,IF($Z$2="2020年",'Offer Statistics'!AF85)))</f>
        <v>0</v>
      </c>
      <c r="AG23" s="205"/>
      <c r="AH23" s="132">
        <f>IF($AG$2="2018年",'Offer Statistics'!Y23,IF($AG$2="2019年",'Offer Statistics'!Y54,IF($AG$2="2020年",'Offer Statistics'!Y85)))</f>
        <v>2489</v>
      </c>
      <c r="AI23" s="206">
        <f>IF($AG$2="2018年",'Offer Statistics'!T23,IF($AG$2="2019年",'Offer Statistics'!T54,IF($AG$2="2020年",'Offer Statistics'!T85)))</f>
        <v>716</v>
      </c>
      <c r="AJ23" s="206">
        <f>IF($AG$2="2018年",'Offer Statistics'!U23,IF($AG$2="2019年",'Offer Statistics'!U54,IF($AG$2="2020年",'Offer Statistics'!U85)))</f>
        <v>415</v>
      </c>
      <c r="AK23" s="206">
        <f>IF($AG$2="2018年",'Offer Statistics'!V23,IF($AG$2="2019年",'Offer Statistics'!V54,IF($AG$2="2020年",'Offer Statistics'!V85)))</f>
        <v>463</v>
      </c>
      <c r="AL23" s="206">
        <f>IF($AG$2="2018年",'Offer Statistics'!W23,IF($AG$2="2019年",'Offer Statistics'!W54,IF($AG$2="2020年",'Offer Statistics'!W85)))</f>
        <v>500</v>
      </c>
      <c r="AM23" s="206">
        <f>IF($AG$2="2018年",'Offer Statistics'!X23,IF($AG$2="2019年",'Offer Statistics'!X54,IF($AG$2="2020年",'Offer Statistics'!X85)))</f>
        <v>395</v>
      </c>
      <c r="AN23" s="142"/>
      <c r="AO23" s="131" t="str">
        <f t="shared" si="3"/>
        <v>JS2620</v>
      </c>
    </row>
    <row r="24" ht="18.0" customHeight="1">
      <c r="A24" s="225" t="s">
        <v>272</v>
      </c>
      <c r="B24" s="225" t="s">
        <v>1033</v>
      </c>
      <c r="C24" s="225" t="s">
        <v>273</v>
      </c>
      <c r="D24" s="225" t="s">
        <v>1266</v>
      </c>
      <c r="E24" s="231" t="s">
        <v>21</v>
      </c>
      <c r="F24" s="227">
        <f>4*1.2+4+4+5+4</f>
        <v>21.8</v>
      </c>
      <c r="G24" s="227">
        <f>4*1.2+6+4+3+3</f>
        <v>20.8</v>
      </c>
      <c r="H24" s="228">
        <f>'計分版'!D99</f>
        <v>0.00000000299</v>
      </c>
      <c r="I24" s="229">
        <f t="shared" si="4"/>
        <v>-21.8</v>
      </c>
      <c r="J24" s="230">
        <f t="shared" si="5"/>
        <v>-7290969899</v>
      </c>
      <c r="K24" s="231">
        <v>15.0</v>
      </c>
      <c r="L24" s="235">
        <f>'入學要求'!S78</f>
        <v>0</v>
      </c>
      <c r="M24" s="226" t="s">
        <v>541</v>
      </c>
      <c r="N24" s="226">
        <v>3.0</v>
      </c>
      <c r="O24" s="226">
        <v>3.0</v>
      </c>
      <c r="P24" s="226">
        <v>2.0</v>
      </c>
      <c r="Q24" s="226">
        <v>2.0</v>
      </c>
      <c r="R24" s="226">
        <v>3.0</v>
      </c>
      <c r="S24" s="226">
        <v>3.0</v>
      </c>
      <c r="T24" s="233">
        <f>'入學要求'!L78</f>
        <v>0</v>
      </c>
      <c r="U24" s="233">
        <f>'入學要求'!M78</f>
        <v>0</v>
      </c>
      <c r="V24" s="233">
        <f>'入學要求'!N78</f>
        <v>0</v>
      </c>
      <c r="W24" s="233">
        <f>'入學要求'!O78</f>
        <v>0</v>
      </c>
      <c r="X24" s="233">
        <f>'入學要求'!P78</f>
        <v>0</v>
      </c>
      <c r="Y24" s="233">
        <f>'入學要求'!Q78</f>
        <v>0</v>
      </c>
      <c r="Z24" s="205"/>
      <c r="AA24" s="231">
        <f>IF($Z$2="2018年",'Offer Statistics'!AG24,IF($Z$2="2019年",'Offer Statistics'!AG55,IF($Z$2="2020年",'Offer Statistics'!AG86)))</f>
        <v>12</v>
      </c>
      <c r="AB24" s="234">
        <f>IF($Z$2="2018年",'Offer Statistics'!AB24,IF($Z$2="2019年",'Offer Statistics'!AB55,IF($Z$2="2020年",'Offer Statistics'!AB86)))</f>
        <v>11</v>
      </c>
      <c r="AC24" s="234">
        <f>IF($Z$2="2018年",'Offer Statistics'!AC24,IF($Z$2="2019年",'Offer Statistics'!AC55,IF($Z$2="2020年",'Offer Statistics'!AC86)))</f>
        <v>0</v>
      </c>
      <c r="AD24" s="234">
        <f>IF($Z$2="2018年",'Offer Statistics'!AD24,IF($Z$2="2019年",'Offer Statistics'!AD55,IF($Z$2="2020年",'Offer Statistics'!AD86)))</f>
        <v>1</v>
      </c>
      <c r="AE24" s="234">
        <f>IF($Z$2="2018年",'Offer Statistics'!AE24,IF($Z$2="2019年",'Offer Statistics'!AE55,IF($Z$2="2020年",'Offer Statistics'!AE86)))</f>
        <v>0</v>
      </c>
      <c r="AF24" s="234">
        <f>IF($Z$2="2018年",'Offer Statistics'!AF24,IF($Z$2="2019年",'Offer Statistics'!AF55,IF($Z$2="2020年",'Offer Statistics'!AF86)))</f>
        <v>0</v>
      </c>
      <c r="AG24" s="205"/>
      <c r="AH24" s="231">
        <f>IF($AG$2="2018年",'Offer Statistics'!Y24,IF($AG$2="2019年",'Offer Statistics'!Y55,IF($AG$2="2020年",'Offer Statistics'!Y86)))</f>
        <v>1296</v>
      </c>
      <c r="AI24" s="234">
        <f>IF($AG$2="2018年",'Offer Statistics'!T24,IF($AG$2="2019年",'Offer Statistics'!T55,IF($AG$2="2020年",'Offer Statistics'!T86)))</f>
        <v>139</v>
      </c>
      <c r="AJ24" s="234">
        <f>IF($AG$2="2018年",'Offer Statistics'!U24,IF($AG$2="2019年",'Offer Statistics'!U55,IF($AG$2="2020年",'Offer Statistics'!U86)))</f>
        <v>207</v>
      </c>
      <c r="AK24" s="234">
        <f>IF($AG$2="2018年",'Offer Statistics'!V24,IF($AG$2="2019年",'Offer Statistics'!V55,IF($AG$2="2020年",'Offer Statistics'!V86)))</f>
        <v>327</v>
      </c>
      <c r="AL24" s="234">
        <f>IF($AG$2="2018年",'Offer Statistics'!W24,IF($AG$2="2019年",'Offer Statistics'!W55,IF($AG$2="2020年",'Offer Statistics'!W86)))</f>
        <v>343</v>
      </c>
      <c r="AM24" s="234">
        <f>IF($AG$2="2018年",'Offer Statistics'!X24,IF($AG$2="2019年",'Offer Statistics'!X55,IF($AG$2="2020年",'Offer Statistics'!X86)))</f>
        <v>280</v>
      </c>
      <c r="AN24" s="225"/>
      <c r="AO24" s="226" t="str">
        <f t="shared" si="3"/>
        <v>JS2630</v>
      </c>
    </row>
    <row r="25" ht="18.0" customHeight="1">
      <c r="A25" s="142" t="s">
        <v>274</v>
      </c>
      <c r="B25" s="142" t="s">
        <v>1033</v>
      </c>
      <c r="C25" s="142" t="s">
        <v>275</v>
      </c>
      <c r="D25" s="142" t="s">
        <v>1267</v>
      </c>
      <c r="E25" s="132" t="s">
        <v>21</v>
      </c>
      <c r="F25" s="199">
        <f>3*1.2+6+5+4+3</f>
        <v>21.6</v>
      </c>
      <c r="G25" s="199">
        <f>4*1.2+4+4+4+4</f>
        <v>20.8</v>
      </c>
      <c r="H25" s="200">
        <f>'計分版'!D100</f>
        <v>0.00000000299</v>
      </c>
      <c r="I25" s="201">
        <f t="shared" si="4"/>
        <v>-21.6</v>
      </c>
      <c r="J25" s="202">
        <f t="shared" si="5"/>
        <v>-7224080267</v>
      </c>
      <c r="K25" s="132">
        <v>15.0</v>
      </c>
      <c r="L25" s="203">
        <f>'入學要求'!S79</f>
        <v>0</v>
      </c>
      <c r="M25" s="131" t="s">
        <v>541</v>
      </c>
      <c r="N25" s="131">
        <v>3.0</v>
      </c>
      <c r="O25" s="131">
        <v>3.0</v>
      </c>
      <c r="P25" s="131">
        <v>2.0</v>
      </c>
      <c r="Q25" s="131">
        <v>2.0</v>
      </c>
      <c r="R25" s="131">
        <v>3.0</v>
      </c>
      <c r="S25" s="131">
        <v>3.0</v>
      </c>
      <c r="T25" s="204">
        <f>'入學要求'!L79</f>
        <v>0</v>
      </c>
      <c r="U25" s="204">
        <f>'入學要求'!M79</f>
        <v>0</v>
      </c>
      <c r="V25" s="204">
        <f>'入學要求'!N79</f>
        <v>0</v>
      </c>
      <c r="W25" s="204">
        <f>'入學要求'!O79</f>
        <v>0</v>
      </c>
      <c r="X25" s="204">
        <f>'入學要求'!P79</f>
        <v>0</v>
      </c>
      <c r="Y25" s="204">
        <f>'入學要求'!Q79</f>
        <v>0</v>
      </c>
      <c r="Z25" s="205"/>
      <c r="AA25" s="132">
        <f>IF($Z$2="2018年",'Offer Statistics'!AG25,IF($Z$2="2019年",'Offer Statistics'!AG56,IF($Z$2="2020年",'Offer Statistics'!AG87)))</f>
        <v>16</v>
      </c>
      <c r="AB25" s="206">
        <f>IF($Z$2="2018年",'Offer Statistics'!AB25,IF($Z$2="2019年",'Offer Statistics'!AB56,IF($Z$2="2020年",'Offer Statistics'!AB87)))</f>
        <v>13</v>
      </c>
      <c r="AC25" s="206">
        <f>IF($Z$2="2018年",'Offer Statistics'!AC25,IF($Z$2="2019年",'Offer Statistics'!AC56,IF($Z$2="2020年",'Offer Statistics'!AC87)))</f>
        <v>3</v>
      </c>
      <c r="AD25" s="206">
        <f>IF($Z$2="2018年",'Offer Statistics'!AD25,IF($Z$2="2019年",'Offer Statistics'!AD56,IF($Z$2="2020年",'Offer Statistics'!AD87)))</f>
        <v>0</v>
      </c>
      <c r="AE25" s="206">
        <f>IF($Z$2="2018年",'Offer Statistics'!AE25,IF($Z$2="2019年",'Offer Statistics'!AE56,IF($Z$2="2020年",'Offer Statistics'!AE87)))</f>
        <v>0</v>
      </c>
      <c r="AF25" s="206">
        <f>IF($Z$2="2018年",'Offer Statistics'!AF25,IF($Z$2="2019年",'Offer Statistics'!AF56,IF($Z$2="2020年",'Offer Statistics'!AF87)))</f>
        <v>0</v>
      </c>
      <c r="AG25" s="205"/>
      <c r="AH25" s="132">
        <f>IF($AG$2="2018年",'Offer Statistics'!Y25,IF($AG$2="2019年",'Offer Statistics'!Y56,IF($AG$2="2020年",'Offer Statistics'!Y87)))</f>
        <v>1229</v>
      </c>
      <c r="AI25" s="206">
        <f>IF($AG$2="2018年",'Offer Statistics'!T25,IF($AG$2="2019年",'Offer Statistics'!T56,IF($AG$2="2020年",'Offer Statistics'!T87)))</f>
        <v>122</v>
      </c>
      <c r="AJ25" s="206">
        <f>IF($AG$2="2018年",'Offer Statistics'!U25,IF($AG$2="2019年",'Offer Statistics'!U56,IF($AG$2="2020年",'Offer Statistics'!U87)))</f>
        <v>210</v>
      </c>
      <c r="AK25" s="206">
        <f>IF($AG$2="2018年",'Offer Statistics'!V25,IF($AG$2="2019年",'Offer Statistics'!V56,IF($AG$2="2020年",'Offer Statistics'!V87)))</f>
        <v>279</v>
      </c>
      <c r="AL25" s="206">
        <f>IF($AG$2="2018年",'Offer Statistics'!W25,IF($AG$2="2019年",'Offer Statistics'!W56,IF($AG$2="2020年",'Offer Statistics'!W87)))</f>
        <v>360</v>
      </c>
      <c r="AM25" s="206">
        <f>IF($AG$2="2018年",'Offer Statistics'!X25,IF($AG$2="2019年",'Offer Statistics'!X56,IF($AG$2="2020年",'Offer Statistics'!X87)))</f>
        <v>258</v>
      </c>
      <c r="AN25" s="142"/>
      <c r="AO25" s="131" t="str">
        <f t="shared" si="3"/>
        <v>JS2640</v>
      </c>
    </row>
    <row r="26" ht="18.0" customHeight="1">
      <c r="A26" s="225" t="s">
        <v>276</v>
      </c>
      <c r="B26" s="225" t="s">
        <v>1033</v>
      </c>
      <c r="C26" s="225" t="s">
        <v>277</v>
      </c>
      <c r="D26" s="225" t="s">
        <v>1268</v>
      </c>
      <c r="E26" s="231" t="s">
        <v>191</v>
      </c>
      <c r="F26" s="227">
        <f>4+3*2+4+5*1.5+6+4</f>
        <v>31.5</v>
      </c>
      <c r="G26" s="227">
        <f>4+4*2+4+6*1.5+4+3</f>
        <v>32</v>
      </c>
      <c r="H26" s="228">
        <f>'計分版'!D101</f>
        <v>0.00000000325</v>
      </c>
      <c r="I26" s="229">
        <f t="shared" si="4"/>
        <v>-31.5</v>
      </c>
      <c r="J26" s="230">
        <f t="shared" si="5"/>
        <v>-9692307691</v>
      </c>
      <c r="K26" s="231">
        <v>43.0</v>
      </c>
      <c r="L26" s="235">
        <f>'入學要求'!S80</f>
        <v>0</v>
      </c>
      <c r="M26" s="226" t="s">
        <v>541</v>
      </c>
      <c r="N26" s="226">
        <v>3.0</v>
      </c>
      <c r="O26" s="226">
        <v>3.0</v>
      </c>
      <c r="P26" s="226">
        <v>2.0</v>
      </c>
      <c r="Q26" s="226">
        <v>2.0</v>
      </c>
      <c r="R26" s="226">
        <v>3.0</v>
      </c>
      <c r="S26" s="226">
        <v>3.0</v>
      </c>
      <c r="T26" s="233">
        <f>'入學要求'!L80</f>
        <v>0</v>
      </c>
      <c r="U26" s="233">
        <f>'入學要求'!M80</f>
        <v>0</v>
      </c>
      <c r="V26" s="233">
        <f>'入學要求'!N80</f>
        <v>0</v>
      </c>
      <c r="W26" s="233">
        <f>'入學要求'!O80</f>
        <v>0</v>
      </c>
      <c r="X26" s="233">
        <f>'入學要求'!P80</f>
        <v>0</v>
      </c>
      <c r="Y26" s="233">
        <f>'入學要求'!Q80</f>
        <v>0</v>
      </c>
      <c r="Z26" s="205"/>
      <c r="AA26" s="231">
        <f>IF($Z$2="2018年",'Offer Statistics'!AG26,IF($Z$2="2019年",'Offer Statistics'!AG57,IF($Z$2="2020年",'Offer Statistics'!AG88)))</f>
        <v>33</v>
      </c>
      <c r="AB26" s="234">
        <f>IF($Z$2="2018年",'Offer Statistics'!AB26,IF($Z$2="2019年",'Offer Statistics'!AB57,IF($Z$2="2020年",'Offer Statistics'!AB88)))</f>
        <v>32</v>
      </c>
      <c r="AC26" s="234">
        <f>IF($Z$2="2018年",'Offer Statistics'!AC26,IF($Z$2="2019年",'Offer Statistics'!AC57,IF($Z$2="2020年",'Offer Statistics'!AC88)))</f>
        <v>1</v>
      </c>
      <c r="AD26" s="234">
        <f>IF($Z$2="2018年",'Offer Statistics'!AD26,IF($Z$2="2019年",'Offer Statistics'!AD57,IF($Z$2="2020年",'Offer Statistics'!AD88)))</f>
        <v>0</v>
      </c>
      <c r="AE26" s="234">
        <f>IF($Z$2="2018年",'Offer Statistics'!AE26,IF($Z$2="2019年",'Offer Statistics'!AE57,IF($Z$2="2020年",'Offer Statistics'!AE88)))</f>
        <v>0</v>
      </c>
      <c r="AF26" s="234">
        <f>IF($Z$2="2018年",'Offer Statistics'!AF26,IF($Z$2="2019年",'Offer Statistics'!AF57,IF($Z$2="2020年",'Offer Statistics'!AF88)))</f>
        <v>0</v>
      </c>
      <c r="AG26" s="205"/>
      <c r="AH26" s="231">
        <f>IF($AG$2="2018年",'Offer Statistics'!Y26,IF($AG$2="2019年",'Offer Statistics'!Y57,IF($AG$2="2020年",'Offer Statistics'!Y88)))</f>
        <v>6388</v>
      </c>
      <c r="AI26" s="234">
        <f>IF($AG$2="2018年",'Offer Statistics'!T26,IF($AG$2="2019年",'Offer Statistics'!T57,IF($AG$2="2020年",'Offer Statistics'!T88)))</f>
        <v>1101</v>
      </c>
      <c r="AJ26" s="234">
        <f>IF($AG$2="2018年",'Offer Statistics'!U26,IF($AG$2="2019年",'Offer Statistics'!U57,IF($AG$2="2020年",'Offer Statistics'!U88)))</f>
        <v>966</v>
      </c>
      <c r="AK26" s="234">
        <f>IF($AG$2="2018年",'Offer Statistics'!V26,IF($AG$2="2019年",'Offer Statistics'!V57,IF($AG$2="2020年",'Offer Statistics'!V88)))</f>
        <v>1374</v>
      </c>
      <c r="AL26" s="234">
        <f>IF($AG$2="2018年",'Offer Statistics'!W26,IF($AG$2="2019年",'Offer Statistics'!W57,IF($AG$2="2020年",'Offer Statistics'!W88)))</f>
        <v>1713</v>
      </c>
      <c r="AM26" s="234">
        <f>IF($AG$2="2018年",'Offer Statistics'!X26,IF($AG$2="2019年",'Offer Statistics'!X57,IF($AG$2="2020年",'Offer Statistics'!X88)))</f>
        <v>1234</v>
      </c>
      <c r="AN26" s="225"/>
      <c r="AO26" s="226" t="str">
        <f t="shared" si="3"/>
        <v>JS2660</v>
      </c>
    </row>
    <row r="27" ht="18.0" customHeight="1">
      <c r="A27" s="142" t="s">
        <v>278</v>
      </c>
      <c r="B27" s="142" t="s">
        <v>1033</v>
      </c>
      <c r="C27" s="142" t="s">
        <v>279</v>
      </c>
      <c r="D27" s="142" t="s">
        <v>1269</v>
      </c>
      <c r="E27" s="132" t="s">
        <v>191</v>
      </c>
      <c r="F27" s="199">
        <f>4*1.5+3*1.5+4+5+4+4</f>
        <v>27.5</v>
      </c>
      <c r="G27" s="199">
        <f>4*1.5+3*1.5+4+4+5+3</f>
        <v>26.5</v>
      </c>
      <c r="H27" s="200">
        <f>'計分版'!D102</f>
        <v>0.000000003</v>
      </c>
      <c r="I27" s="201">
        <f t="shared" si="4"/>
        <v>-27.5</v>
      </c>
      <c r="J27" s="202">
        <f t="shared" si="5"/>
        <v>-9166666666</v>
      </c>
      <c r="K27" s="132">
        <v>20.0</v>
      </c>
      <c r="L27" s="203">
        <f>'入學要求'!S81</f>
        <v>0</v>
      </c>
      <c r="M27" s="135" t="s">
        <v>1249</v>
      </c>
      <c r="N27" s="131">
        <v>3.0</v>
      </c>
      <c r="O27" s="131">
        <v>3.0</v>
      </c>
      <c r="P27" s="131">
        <v>2.0</v>
      </c>
      <c r="Q27" s="131">
        <v>2.0</v>
      </c>
      <c r="R27" s="131">
        <v>3.0</v>
      </c>
      <c r="S27" s="131">
        <v>3.0</v>
      </c>
      <c r="T27" s="204">
        <f>'入學要求'!L81</f>
        <v>0</v>
      </c>
      <c r="U27" s="204">
        <f>'入學要求'!M81</f>
        <v>0</v>
      </c>
      <c r="V27" s="204">
        <f>'入學要求'!N81</f>
        <v>0</v>
      </c>
      <c r="W27" s="204">
        <f>'入學要求'!O81</f>
        <v>0</v>
      </c>
      <c r="X27" s="204">
        <f>'入學要求'!P81</f>
        <v>0</v>
      </c>
      <c r="Y27" s="204">
        <f>'入學要求'!Q81</f>
        <v>0</v>
      </c>
      <c r="Z27" s="205"/>
      <c r="AA27" s="132">
        <f>IF($Z$2="2018年",'Offer Statistics'!AG27,IF($Z$2="2019年",'Offer Statistics'!AG58,IF($Z$2="2020年",'Offer Statistics'!AG89)))</f>
        <v>25</v>
      </c>
      <c r="AB27" s="206">
        <f>IF($Z$2="2018年",'Offer Statistics'!AB27,IF($Z$2="2019年",'Offer Statistics'!AB58,IF($Z$2="2020年",'Offer Statistics'!AB89)))</f>
        <v>21</v>
      </c>
      <c r="AC27" s="206">
        <f>IF($Z$2="2018年",'Offer Statistics'!AC27,IF($Z$2="2019年",'Offer Statistics'!AC58,IF($Z$2="2020年",'Offer Statistics'!AC89)))</f>
        <v>3</v>
      </c>
      <c r="AD27" s="206">
        <f>IF($Z$2="2018年",'Offer Statistics'!AD27,IF($Z$2="2019年",'Offer Statistics'!AD58,IF($Z$2="2020年",'Offer Statistics'!AD89)))</f>
        <v>1</v>
      </c>
      <c r="AE27" s="206">
        <f>IF($Z$2="2018年",'Offer Statistics'!AE27,IF($Z$2="2019年",'Offer Statistics'!AE58,IF($Z$2="2020年",'Offer Statistics'!AE89)))</f>
        <v>0</v>
      </c>
      <c r="AF27" s="206">
        <f>IF($Z$2="2018年",'Offer Statistics'!AF27,IF($Z$2="2019年",'Offer Statistics'!AF58,IF($Z$2="2020年",'Offer Statistics'!AF89)))</f>
        <v>0</v>
      </c>
      <c r="AG27" s="205"/>
      <c r="AH27" s="132">
        <f>IF($AG$2="2018年",'Offer Statistics'!Y27,IF($AG$2="2019年",'Offer Statistics'!Y58,IF($AG$2="2020年",'Offer Statistics'!Y89)))</f>
        <v>1650</v>
      </c>
      <c r="AI27" s="206">
        <f>IF($AG$2="2018年",'Offer Statistics'!T27,IF($AG$2="2019年",'Offer Statistics'!T58,IF($AG$2="2020年",'Offer Statistics'!T89)))</f>
        <v>201</v>
      </c>
      <c r="AJ27" s="206">
        <f>IF($AG$2="2018年",'Offer Statistics'!U27,IF($AG$2="2019年",'Offer Statistics'!U58,IF($AG$2="2020年",'Offer Statistics'!U89)))</f>
        <v>250</v>
      </c>
      <c r="AK27" s="206">
        <f>IF($AG$2="2018年",'Offer Statistics'!V27,IF($AG$2="2019年",'Offer Statistics'!V58,IF($AG$2="2020年",'Offer Statistics'!V89)))</f>
        <v>374</v>
      </c>
      <c r="AL27" s="206">
        <f>IF($AG$2="2018年",'Offer Statistics'!W27,IF($AG$2="2019年",'Offer Statistics'!W58,IF($AG$2="2020年",'Offer Statistics'!W89)))</f>
        <v>451</v>
      </c>
      <c r="AM27" s="206">
        <f>IF($AG$2="2018年",'Offer Statistics'!X27,IF($AG$2="2019年",'Offer Statistics'!X58,IF($AG$2="2020年",'Offer Statistics'!X89)))</f>
        <v>374</v>
      </c>
      <c r="AN27" s="142"/>
      <c r="AO27" s="131" t="str">
        <f t="shared" si="3"/>
        <v>JS2670</v>
      </c>
    </row>
    <row r="28" ht="18.0" customHeight="1">
      <c r="A28" s="225" t="s">
        <v>280</v>
      </c>
      <c r="B28" s="225" t="s">
        <v>1270</v>
      </c>
      <c r="C28" s="225" t="s">
        <v>281</v>
      </c>
      <c r="D28" s="225" t="s">
        <v>1271</v>
      </c>
      <c r="E28" s="240" t="s">
        <v>191</v>
      </c>
      <c r="F28" s="227">
        <f>4+4*2+4+5+5*1.2+4*1.2</f>
        <v>31.8</v>
      </c>
      <c r="G28" s="227">
        <f>5+3*2+3+6+5*1.2+3*1.2</f>
        <v>29.6</v>
      </c>
      <c r="H28" s="228">
        <f>'計分版'!D103</f>
        <v>0.00000000285</v>
      </c>
      <c r="I28" s="229">
        <f t="shared" si="4"/>
        <v>-31.8</v>
      </c>
      <c r="J28" s="230">
        <f t="shared" si="5"/>
        <v>-11157894736</v>
      </c>
      <c r="K28" s="231">
        <v>18.0</v>
      </c>
      <c r="L28" s="235">
        <f>'入學要求'!S82</f>
        <v>0</v>
      </c>
      <c r="M28" s="226" t="s">
        <v>541</v>
      </c>
      <c r="N28" s="226">
        <v>3.0</v>
      </c>
      <c r="O28" s="226">
        <v>3.0</v>
      </c>
      <c r="P28" s="226">
        <v>2.0</v>
      </c>
      <c r="Q28" s="226">
        <v>2.0</v>
      </c>
      <c r="R28" s="226">
        <v>3.0</v>
      </c>
      <c r="S28" s="226">
        <v>3.0</v>
      </c>
      <c r="T28" s="233">
        <f>'入學要求'!L82</f>
        <v>0</v>
      </c>
      <c r="U28" s="233">
        <f>'入學要求'!M82</f>
        <v>0</v>
      </c>
      <c r="V28" s="233">
        <f>'入學要求'!N82</f>
        <v>0</v>
      </c>
      <c r="W28" s="233">
        <f>'入學要求'!O82</f>
        <v>0</v>
      </c>
      <c r="X28" s="233">
        <f>'入學要求'!P82</f>
        <v>0</v>
      </c>
      <c r="Y28" s="233">
        <f>'入學要求'!Q82</f>
        <v>0</v>
      </c>
      <c r="Z28" s="205"/>
      <c r="AA28" s="231">
        <f>IF($Z$2="2018年",'Offer Statistics'!AG29,IF($Z$2="2019年",'Offer Statistics'!AG60,IF($Z$2="2020年",'Offer Statistics'!AG91)))</f>
        <v>10</v>
      </c>
      <c r="AB28" s="234">
        <f>IF($Z$2="2018年",'Offer Statistics'!AB29,IF($Z$2="2019年",'Offer Statistics'!AB60,IF($Z$2="2020年",'Offer Statistics'!AB91)))</f>
        <v>9</v>
      </c>
      <c r="AC28" s="234">
        <f>IF($Z$2="2018年",'Offer Statistics'!AC29,IF($Z$2="2019年",'Offer Statistics'!AC60,IF($Z$2="2020年",'Offer Statistics'!AC91)))</f>
        <v>1</v>
      </c>
      <c r="AD28" s="234">
        <f>IF($Z$2="2018年",'Offer Statistics'!AD29,IF($Z$2="2019年",'Offer Statistics'!AD60,IF($Z$2="2020年",'Offer Statistics'!AD91)))</f>
        <v>0</v>
      </c>
      <c r="AE28" s="234">
        <f>IF($Z$2="2018年",'Offer Statistics'!AE29,IF($Z$2="2019年",'Offer Statistics'!AE60,IF($Z$2="2020年",'Offer Statistics'!AE91)))</f>
        <v>0</v>
      </c>
      <c r="AF28" s="234">
        <f>IF($Z$2="2018年",'Offer Statistics'!AF29,IF($Z$2="2019年",'Offer Statistics'!AF60,IF($Z$2="2020年",'Offer Statistics'!AF91)))</f>
        <v>0</v>
      </c>
      <c r="AG28" s="205"/>
      <c r="AH28" s="231">
        <f>IF($AG$2="2018年",'Offer Statistics'!Y29,IF($AG$2="2019年",'Offer Statistics'!Y60,IF($AG$2="2020年",'Offer Statistics'!Y91)))</f>
        <v>2262</v>
      </c>
      <c r="AI28" s="234">
        <f>IF($AG$2="2018年",'Offer Statistics'!T29,IF($AG$2="2019年",'Offer Statistics'!T60,IF($AG$2="2020年",'Offer Statistics'!T91)))</f>
        <v>203</v>
      </c>
      <c r="AJ28" s="234">
        <f>IF($AG$2="2018年",'Offer Statistics'!U29,IF($AG$2="2019年",'Offer Statistics'!U60,IF($AG$2="2020年",'Offer Statistics'!U91)))</f>
        <v>379</v>
      </c>
      <c r="AK28" s="234">
        <f>IF($AG$2="2018年",'Offer Statistics'!V29,IF($AG$2="2019年",'Offer Statistics'!V60,IF($AG$2="2020年",'Offer Statistics'!V91)))</f>
        <v>557</v>
      </c>
      <c r="AL28" s="234">
        <f>IF($AG$2="2018年",'Offer Statistics'!W29,IF($AG$2="2019年",'Offer Statistics'!W60,IF($AG$2="2020年",'Offer Statistics'!W91)))</f>
        <v>669</v>
      </c>
      <c r="AM28" s="234">
        <f>IF($AG$2="2018年",'Offer Statistics'!X29,IF($AG$2="2019年",'Offer Statistics'!X60,IF($AG$2="2020年",'Offer Statistics'!X91)))</f>
        <v>454</v>
      </c>
      <c r="AN28" s="225"/>
      <c r="AO28" s="226" t="str">
        <f t="shared" si="3"/>
        <v>JS2690</v>
      </c>
    </row>
    <row r="29" ht="18.0" customHeight="1">
      <c r="A29" s="142" t="s">
        <v>282</v>
      </c>
      <c r="B29" s="142" t="s">
        <v>1272</v>
      </c>
      <c r="C29" s="142" t="s">
        <v>283</v>
      </c>
      <c r="D29" s="142" t="s">
        <v>1273</v>
      </c>
      <c r="E29" s="132" t="s">
        <v>21</v>
      </c>
      <c r="F29" s="199">
        <f>4+4+4+4+3</f>
        <v>19</v>
      </c>
      <c r="G29" s="199">
        <f>3+5+4+4+4</f>
        <v>20</v>
      </c>
      <c r="H29" s="200">
        <f>'計分版'!D104</f>
        <v>0.00000000355</v>
      </c>
      <c r="I29" s="201">
        <f t="shared" si="4"/>
        <v>-19</v>
      </c>
      <c r="J29" s="202">
        <f t="shared" si="5"/>
        <v>-5352112675</v>
      </c>
      <c r="K29" s="132">
        <v>52.0</v>
      </c>
      <c r="L29" s="203">
        <f>'入學要求'!S83</f>
        <v>0</v>
      </c>
      <c r="M29" s="131" t="s">
        <v>1246</v>
      </c>
      <c r="N29" s="131">
        <v>3.0</v>
      </c>
      <c r="O29" s="131">
        <v>3.0</v>
      </c>
      <c r="P29" s="131">
        <v>2.0</v>
      </c>
      <c r="Q29" s="131">
        <v>2.0</v>
      </c>
      <c r="R29" s="131">
        <v>3.0</v>
      </c>
      <c r="S29" s="131">
        <v>3.0</v>
      </c>
      <c r="T29" s="204">
        <f>'入學要求'!L83</f>
        <v>0</v>
      </c>
      <c r="U29" s="204">
        <f>'入學要求'!M83</f>
        <v>0</v>
      </c>
      <c r="V29" s="204">
        <f>'入學要求'!N83</f>
        <v>0</v>
      </c>
      <c r="W29" s="204">
        <f>'入學要求'!O83</f>
        <v>0</v>
      </c>
      <c r="X29" s="204">
        <f>'入學要求'!P83</f>
        <v>0</v>
      </c>
      <c r="Y29" s="204">
        <f>'入學要求'!Q83</f>
        <v>0</v>
      </c>
      <c r="Z29" s="205"/>
      <c r="AA29" s="132">
        <f>IF($Z$2="2018年",'Offer Statistics'!AG30,IF($Z$2="2019年",'Offer Statistics'!AG61,IF($Z$2="2020年",'Offer Statistics'!AG92)))</f>
        <v>49</v>
      </c>
      <c r="AB29" s="206">
        <f>IF($Z$2="2018年",'Offer Statistics'!AB30,IF($Z$2="2019年",'Offer Statistics'!AB61,IF($Z$2="2020年",'Offer Statistics'!AB92)))</f>
        <v>49</v>
      </c>
      <c r="AC29" s="206">
        <f>IF($Z$2="2018年",'Offer Statistics'!AC30,IF($Z$2="2019年",'Offer Statistics'!AC61,IF($Z$2="2020年",'Offer Statistics'!AC92)))</f>
        <v>0</v>
      </c>
      <c r="AD29" s="206">
        <f>IF($Z$2="2018年",'Offer Statistics'!AD30,IF($Z$2="2019年",'Offer Statistics'!AD61,IF($Z$2="2020年",'Offer Statistics'!AD92)))</f>
        <v>0</v>
      </c>
      <c r="AE29" s="206">
        <f>IF($Z$2="2018年",'Offer Statistics'!AE30,IF($Z$2="2019年",'Offer Statistics'!AE61,IF($Z$2="2020年",'Offer Statistics'!AE92)))</f>
        <v>0</v>
      </c>
      <c r="AF29" s="206">
        <f>IF($Z$2="2018年",'Offer Statistics'!AF30,IF($Z$2="2019年",'Offer Statistics'!AF61,IF($Z$2="2020年",'Offer Statistics'!AF92)))</f>
        <v>0</v>
      </c>
      <c r="AG29" s="205"/>
      <c r="AH29" s="132">
        <f>IF($AG$2="2018年",'Offer Statistics'!Y30,IF($AG$2="2019年",'Offer Statistics'!Y61,IF($AG$2="2020年",'Offer Statistics'!Y92)))</f>
        <v>2182</v>
      </c>
      <c r="AI29" s="206">
        <f>IF($AG$2="2018年",'Offer Statistics'!T30,IF($AG$2="2019年",'Offer Statistics'!T61,IF($AG$2="2020年",'Offer Statistics'!T92)))</f>
        <v>725</v>
      </c>
      <c r="AJ29" s="206">
        <f>IF($AG$2="2018年",'Offer Statistics'!U30,IF($AG$2="2019年",'Offer Statistics'!U61,IF($AG$2="2020年",'Offer Statistics'!U92)))</f>
        <v>409</v>
      </c>
      <c r="AK29" s="206">
        <f>IF($AG$2="2018年",'Offer Statistics'!V30,IF($AG$2="2019年",'Offer Statistics'!V61,IF($AG$2="2020年",'Offer Statistics'!V92)))</f>
        <v>418</v>
      </c>
      <c r="AL29" s="206">
        <f>IF($AG$2="2018年",'Offer Statistics'!W30,IF($AG$2="2019年",'Offer Statistics'!W61,IF($AG$2="2020年",'Offer Statistics'!W92)))</f>
        <v>394</v>
      </c>
      <c r="AM29" s="206">
        <f>IF($AG$2="2018年",'Offer Statistics'!X30,IF($AG$2="2019年",'Offer Statistics'!X61,IF($AG$2="2020年",'Offer Statistics'!X92)))</f>
        <v>236</v>
      </c>
      <c r="AN29" s="142"/>
      <c r="AO29" s="131" t="str">
        <f t="shared" si="3"/>
        <v>JS2810</v>
      </c>
    </row>
    <row r="30" ht="18.0" customHeight="1">
      <c r="A30" s="225" t="s">
        <v>284</v>
      </c>
      <c r="B30" s="225" t="s">
        <v>1274</v>
      </c>
      <c r="C30" s="225" t="s">
        <v>285</v>
      </c>
      <c r="D30" s="225" t="s">
        <v>1275</v>
      </c>
      <c r="E30" s="226" t="s">
        <v>24</v>
      </c>
      <c r="F30" s="227">
        <f>3+3+5+4+4+4</f>
        <v>23</v>
      </c>
      <c r="G30" s="227">
        <f>3+5+4+3+4+4</f>
        <v>23</v>
      </c>
      <c r="H30" s="228">
        <f>'計分版'!D105</f>
        <v>0.0000000039</v>
      </c>
      <c r="I30" s="229">
        <f t="shared" si="4"/>
        <v>-23</v>
      </c>
      <c r="J30" s="230">
        <f t="shared" si="5"/>
        <v>-5897435896</v>
      </c>
      <c r="K30" s="231">
        <v>15.0</v>
      </c>
      <c r="L30" s="241">
        <f>'入學要求'!S84</f>
        <v>0</v>
      </c>
      <c r="M30" s="226" t="s">
        <v>1246</v>
      </c>
      <c r="N30" s="226">
        <v>3.0</v>
      </c>
      <c r="O30" s="226">
        <v>3.0</v>
      </c>
      <c r="P30" s="226">
        <v>2.0</v>
      </c>
      <c r="Q30" s="226">
        <v>2.0</v>
      </c>
      <c r="R30" s="226">
        <v>3.0</v>
      </c>
      <c r="S30" s="226">
        <v>3.0</v>
      </c>
      <c r="T30" s="233">
        <f>'入學要求'!L84</f>
        <v>0</v>
      </c>
      <c r="U30" s="233">
        <f>'入學要求'!M84</f>
        <v>0</v>
      </c>
      <c r="V30" s="233">
        <f>'入學要求'!N84</f>
        <v>0</v>
      </c>
      <c r="W30" s="233">
        <f>'入學要求'!O84</f>
        <v>0</v>
      </c>
      <c r="X30" s="233">
        <f>'入學要求'!P84</f>
        <v>0</v>
      </c>
      <c r="Y30" s="233">
        <f>'入學要求'!Q84</f>
        <v>0</v>
      </c>
      <c r="Z30" s="205"/>
      <c r="AA30" s="231">
        <f>IF($Z$2="2018年",'Offer Statistics'!AG31,IF($Z$2="2019年",'Offer Statistics'!AG62,IF($Z$2="2020年",'Offer Statistics'!AG93)))</f>
        <v>16</v>
      </c>
      <c r="AB30" s="234">
        <f>IF($Z$2="2018年",'Offer Statistics'!AB31,IF($Z$2="2019年",'Offer Statistics'!AB62,IF($Z$2="2020年",'Offer Statistics'!AB93)))</f>
        <v>13</v>
      </c>
      <c r="AC30" s="234">
        <f>IF($Z$2="2018年",'Offer Statistics'!AC31,IF($Z$2="2019年",'Offer Statistics'!AC62,IF($Z$2="2020年",'Offer Statistics'!AC93)))</f>
        <v>2</v>
      </c>
      <c r="AD30" s="234">
        <f>IF($Z$2="2018年",'Offer Statistics'!AD31,IF($Z$2="2019年",'Offer Statistics'!AD62,IF($Z$2="2020年",'Offer Statistics'!AD93)))</f>
        <v>1</v>
      </c>
      <c r="AE30" s="234">
        <f>IF($Z$2="2018年",'Offer Statistics'!AE31,IF($Z$2="2019年",'Offer Statistics'!AE62,IF($Z$2="2020年",'Offer Statistics'!AE93)))</f>
        <v>0</v>
      </c>
      <c r="AF30" s="234">
        <f>IF($Z$2="2018年",'Offer Statistics'!AF31,IF($Z$2="2019年",'Offer Statistics'!AF62,IF($Z$2="2020年",'Offer Statistics'!AF93)))</f>
        <v>0</v>
      </c>
      <c r="AG30" s="205"/>
      <c r="AH30" s="231">
        <f>IF($AG$2="2018年",'Offer Statistics'!Y31,IF($AG$2="2019年",'Offer Statistics'!Y62,IF($AG$2="2020年",'Offer Statistics'!Y93)))</f>
        <v>2926</v>
      </c>
      <c r="AI30" s="234">
        <f>IF($AG$2="2018年",'Offer Statistics'!T31,IF($AG$2="2019年",'Offer Statistics'!T62,IF($AG$2="2020年",'Offer Statistics'!T93)))</f>
        <v>611</v>
      </c>
      <c r="AJ30" s="234">
        <f>IF($AG$2="2018年",'Offer Statistics'!U31,IF($AG$2="2019年",'Offer Statistics'!U62,IF($AG$2="2020年",'Offer Statistics'!U93)))</f>
        <v>601</v>
      </c>
      <c r="AK30" s="234">
        <f>IF($AG$2="2018年",'Offer Statistics'!V31,IF($AG$2="2019年",'Offer Statistics'!V62,IF($AG$2="2020年",'Offer Statistics'!V93)))</f>
        <v>536</v>
      </c>
      <c r="AL30" s="234">
        <f>IF($AG$2="2018年",'Offer Statistics'!W31,IF($AG$2="2019年",'Offer Statistics'!W62,IF($AG$2="2020年",'Offer Statistics'!W93)))</f>
        <v>650</v>
      </c>
      <c r="AM30" s="234">
        <f>IF($AG$2="2018年",'Offer Statistics'!X31,IF($AG$2="2019年",'Offer Statistics'!X62,IF($AG$2="2020年",'Offer Statistics'!X93)))</f>
        <v>528</v>
      </c>
      <c r="AN30" s="225"/>
      <c r="AO30" s="226" t="str">
        <f t="shared" si="3"/>
        <v>JS2910</v>
      </c>
    </row>
    <row r="31" ht="18.0" customHeight="1">
      <c r="A31" s="142"/>
      <c r="B31" s="142"/>
      <c r="C31" s="142"/>
      <c r="D31" s="142"/>
      <c r="E31" s="131"/>
      <c r="F31" s="142"/>
      <c r="G31" s="142"/>
      <c r="H31" s="142"/>
      <c r="I31" s="142"/>
      <c r="J31" s="142"/>
      <c r="K31" s="132"/>
      <c r="L31" s="131"/>
      <c r="M31" s="131"/>
      <c r="N31" s="142"/>
      <c r="O31" s="142"/>
      <c r="P31" s="142"/>
      <c r="Q31" s="142"/>
      <c r="R31" s="142"/>
      <c r="S31" s="142"/>
      <c r="T31" s="131"/>
      <c r="U31" s="131"/>
      <c r="V31" s="131"/>
      <c r="W31" s="131"/>
      <c r="X31" s="131"/>
      <c r="Y31" s="131"/>
      <c r="Z31" s="142"/>
      <c r="AA31" s="142"/>
      <c r="AB31" s="142"/>
      <c r="AC31" s="142"/>
      <c r="AD31" s="142"/>
      <c r="AE31" s="142"/>
      <c r="AF31" s="142"/>
      <c r="AG31" s="142"/>
      <c r="AH31" s="142"/>
      <c r="AI31" s="142"/>
      <c r="AJ31" s="142"/>
      <c r="AK31" s="142"/>
      <c r="AL31" s="142"/>
      <c r="AM31" s="142"/>
      <c r="AN31" s="142"/>
      <c r="AO31" s="142"/>
    </row>
    <row r="32" ht="18.0" customHeight="1">
      <c r="A32" s="142" t="s">
        <v>1276</v>
      </c>
      <c r="B32" s="142"/>
      <c r="C32" s="142"/>
      <c r="D32" s="142"/>
      <c r="E32" s="131"/>
      <c r="F32" s="142"/>
      <c r="G32" s="142"/>
      <c r="H32" s="142"/>
      <c r="I32" s="142"/>
      <c r="J32" s="142"/>
      <c r="K32" s="132"/>
      <c r="L32" s="131"/>
      <c r="M32" s="131"/>
      <c r="N32" s="142"/>
      <c r="O32" s="142"/>
      <c r="P32" s="142"/>
      <c r="Q32" s="142"/>
      <c r="R32" s="142"/>
      <c r="S32" s="142"/>
      <c r="T32" s="131"/>
      <c r="U32" s="131"/>
      <c r="V32" s="131"/>
      <c r="W32" s="131"/>
      <c r="X32" s="131"/>
      <c r="Y32" s="131"/>
      <c r="Z32" s="142"/>
      <c r="AA32" s="142"/>
      <c r="AB32" s="142"/>
      <c r="AC32" s="142"/>
      <c r="AD32" s="142"/>
      <c r="AE32" s="142"/>
      <c r="AF32" s="142"/>
      <c r="AG32" s="142"/>
      <c r="AH32" s="142"/>
      <c r="AI32" s="142"/>
      <c r="AJ32" s="142"/>
      <c r="AK32" s="142"/>
      <c r="AL32" s="142"/>
      <c r="AM32" s="142"/>
      <c r="AN32" s="142"/>
      <c r="AO32" s="142"/>
    </row>
    <row r="33" ht="18.0" customHeight="1">
      <c r="A33" s="142" t="s">
        <v>1277</v>
      </c>
      <c r="B33" s="142"/>
      <c r="C33" s="142"/>
      <c r="D33" s="142"/>
      <c r="E33" s="131"/>
      <c r="F33" s="142"/>
      <c r="G33" s="142"/>
      <c r="H33" s="142"/>
      <c r="I33" s="142"/>
      <c r="J33" s="142"/>
      <c r="K33" s="132"/>
      <c r="L33" s="131"/>
      <c r="M33" s="131"/>
      <c r="N33" s="142"/>
      <c r="O33" s="142"/>
      <c r="P33" s="142"/>
      <c r="Q33" s="142"/>
      <c r="R33" s="142"/>
      <c r="S33" s="142"/>
      <c r="T33" s="131"/>
      <c r="U33" s="131"/>
      <c r="V33" s="131"/>
      <c r="W33" s="131"/>
      <c r="X33" s="131"/>
      <c r="Y33" s="131"/>
      <c r="Z33" s="142"/>
      <c r="AA33" s="142"/>
      <c r="AB33" s="142"/>
      <c r="AC33" s="142"/>
      <c r="AD33" s="142"/>
      <c r="AE33" s="142"/>
      <c r="AF33" s="142"/>
      <c r="AG33" s="142"/>
      <c r="AH33" s="142"/>
      <c r="AI33" s="142"/>
      <c r="AJ33" s="142"/>
      <c r="AK33" s="142"/>
      <c r="AL33" s="142"/>
      <c r="AM33" s="142"/>
      <c r="AN33" s="142"/>
      <c r="AO33" s="142"/>
    </row>
    <row r="34" ht="18.0" customHeight="1">
      <c r="A34" s="142"/>
      <c r="B34" s="142"/>
      <c r="C34" s="198"/>
      <c r="D34" s="142"/>
      <c r="E34" s="131"/>
      <c r="F34" s="142"/>
      <c r="G34" s="142"/>
      <c r="H34" s="131"/>
      <c r="I34" s="142"/>
      <c r="J34" s="142"/>
      <c r="K34" s="132"/>
      <c r="L34" s="131"/>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row>
    <row r="35" ht="18.0" customHeight="1">
      <c r="A35" s="142" t="s">
        <v>1229</v>
      </c>
      <c r="B35" s="142"/>
      <c r="C35" s="142"/>
      <c r="D35" s="142"/>
      <c r="E35" s="132"/>
      <c r="F35" s="131"/>
      <c r="G35" s="131"/>
      <c r="H35" s="131"/>
      <c r="I35" s="131"/>
      <c r="J35" s="219"/>
      <c r="K35" s="198"/>
      <c r="L35" s="131"/>
      <c r="M35" s="142"/>
      <c r="N35" s="131"/>
      <c r="O35" s="131"/>
      <c r="P35" s="131"/>
      <c r="Q35" s="131"/>
      <c r="R35" s="131"/>
      <c r="S35" s="131"/>
      <c r="T35" s="142"/>
      <c r="U35" s="142"/>
      <c r="V35" s="142"/>
      <c r="W35" s="142"/>
      <c r="X35" s="142"/>
      <c r="Y35" s="142"/>
      <c r="Z35" s="131"/>
      <c r="AA35" s="131"/>
      <c r="AB35" s="131"/>
      <c r="AC35" s="131"/>
      <c r="AD35" s="131"/>
      <c r="AE35" s="131"/>
      <c r="AF35" s="131"/>
      <c r="AG35" s="131"/>
      <c r="AH35" s="131"/>
      <c r="AI35" s="131"/>
      <c r="AJ35" s="131"/>
      <c r="AK35" s="131"/>
      <c r="AL35" s="131"/>
      <c r="AM35" s="131"/>
      <c r="AN35" s="131"/>
      <c r="AO35" s="142"/>
    </row>
    <row r="36" ht="18.0" customHeight="1">
      <c r="A36" s="142"/>
      <c r="B36" s="142"/>
      <c r="C36" s="142"/>
      <c r="D36" s="142"/>
      <c r="E36" s="131"/>
      <c r="F36" s="142"/>
      <c r="G36" s="142"/>
      <c r="H36" s="142"/>
      <c r="I36" s="142"/>
      <c r="J36" s="142"/>
      <c r="K36" s="132"/>
      <c r="L36" s="131"/>
      <c r="M36" s="131"/>
      <c r="N36" s="142"/>
      <c r="O36" s="142"/>
      <c r="P36" s="142"/>
      <c r="Q36" s="142"/>
      <c r="R36" s="142"/>
      <c r="S36" s="142"/>
      <c r="T36" s="131"/>
      <c r="U36" s="131"/>
      <c r="V36" s="131"/>
      <c r="W36" s="131"/>
      <c r="X36" s="131"/>
      <c r="Y36" s="131"/>
      <c r="Z36" s="142"/>
      <c r="AA36" s="142"/>
      <c r="AB36" s="142"/>
      <c r="AC36" s="142"/>
      <c r="AD36" s="142"/>
      <c r="AE36" s="142"/>
      <c r="AF36" s="142"/>
      <c r="AG36" s="142"/>
      <c r="AH36" s="142"/>
      <c r="AI36" s="142"/>
      <c r="AJ36" s="142"/>
      <c r="AK36" s="142"/>
      <c r="AL36" s="142"/>
      <c r="AM36" s="142"/>
      <c r="AN36" s="142"/>
      <c r="AO36" s="142"/>
    </row>
    <row r="37" ht="18.0" customHeight="1">
      <c r="A37" s="220" t="s">
        <v>1230</v>
      </c>
      <c r="B37" s="142"/>
      <c r="C37" s="142"/>
      <c r="D37" s="142"/>
      <c r="E37" s="131"/>
      <c r="F37" s="142"/>
      <c r="G37" s="142"/>
      <c r="H37" s="142"/>
      <c r="I37" s="142"/>
      <c r="J37" s="142"/>
      <c r="K37" s="132"/>
      <c r="L37" s="131"/>
      <c r="M37" s="131"/>
      <c r="N37" s="142"/>
      <c r="O37" s="142"/>
      <c r="P37" s="142"/>
      <c r="Q37" s="142"/>
      <c r="R37" s="142"/>
      <c r="S37" s="142"/>
      <c r="T37" s="131"/>
      <c r="U37" s="131"/>
      <c r="V37" s="131"/>
      <c r="W37" s="131"/>
      <c r="X37" s="131"/>
      <c r="Y37" s="131"/>
      <c r="Z37" s="142"/>
      <c r="AA37" s="142"/>
      <c r="AB37" s="142"/>
      <c r="AC37" s="142"/>
      <c r="AD37" s="142"/>
      <c r="AE37" s="142"/>
      <c r="AF37" s="142"/>
      <c r="AG37" s="142"/>
      <c r="AH37" s="142"/>
      <c r="AI37" s="142"/>
      <c r="AJ37" s="142"/>
      <c r="AK37" s="142"/>
      <c r="AL37" s="142"/>
      <c r="AM37" s="142"/>
      <c r="AN37" s="142"/>
      <c r="AO37" s="142"/>
    </row>
    <row r="38" ht="18.0" customHeight="1">
      <c r="A38" s="142" t="s">
        <v>1278</v>
      </c>
      <c r="B38" s="142"/>
      <c r="C38" s="142"/>
      <c r="D38" s="142"/>
      <c r="E38" s="131"/>
      <c r="F38" s="142"/>
      <c r="G38" s="142"/>
      <c r="H38" s="142"/>
      <c r="I38" s="142"/>
      <c r="J38" s="142"/>
      <c r="K38" s="132"/>
      <c r="L38" s="131"/>
      <c r="M38" s="131"/>
      <c r="N38" s="142"/>
      <c r="O38" s="142"/>
      <c r="P38" s="142"/>
      <c r="Q38" s="142"/>
      <c r="R38" s="142"/>
      <c r="S38" s="142"/>
      <c r="T38" s="131"/>
      <c r="U38" s="131"/>
      <c r="V38" s="131"/>
      <c r="W38" s="131"/>
      <c r="X38" s="131"/>
      <c r="Y38" s="131"/>
      <c r="Z38" s="142"/>
      <c r="AA38" s="142"/>
      <c r="AB38" s="142"/>
      <c r="AC38" s="142"/>
      <c r="AD38" s="142"/>
      <c r="AE38" s="142"/>
      <c r="AF38" s="142"/>
      <c r="AG38" s="142"/>
      <c r="AH38" s="142"/>
      <c r="AI38" s="142"/>
      <c r="AJ38" s="142"/>
      <c r="AK38" s="142"/>
      <c r="AL38" s="142"/>
      <c r="AM38" s="142"/>
      <c r="AN38" s="142"/>
      <c r="AO38" s="142"/>
    </row>
    <row r="39" ht="18.0" customHeight="1">
      <c r="A39" s="142"/>
      <c r="B39" s="142"/>
      <c r="C39" s="142"/>
      <c r="D39" s="142"/>
      <c r="E39" s="131"/>
      <c r="F39" s="142"/>
      <c r="G39" s="142"/>
      <c r="H39" s="142"/>
      <c r="I39" s="142"/>
      <c r="J39" s="142"/>
      <c r="K39" s="132"/>
      <c r="L39" s="131"/>
      <c r="M39" s="131"/>
      <c r="N39" s="142"/>
      <c r="O39" s="142"/>
      <c r="P39" s="142"/>
      <c r="Q39" s="142"/>
      <c r="R39" s="142"/>
      <c r="S39" s="142"/>
      <c r="T39" s="131"/>
      <c r="U39" s="131"/>
      <c r="V39" s="131"/>
      <c r="W39" s="131"/>
      <c r="X39" s="131"/>
      <c r="Y39" s="131"/>
      <c r="Z39" s="142"/>
      <c r="AA39" s="142"/>
      <c r="AB39" s="142"/>
      <c r="AC39" s="142"/>
      <c r="AD39" s="142"/>
      <c r="AE39" s="142"/>
      <c r="AF39" s="142"/>
      <c r="AG39" s="142"/>
      <c r="AH39" s="142"/>
      <c r="AI39" s="142"/>
      <c r="AJ39" s="142"/>
      <c r="AK39" s="142"/>
      <c r="AL39" s="142"/>
      <c r="AM39" s="142"/>
      <c r="AN39" s="142"/>
      <c r="AO39" s="142"/>
    </row>
    <row r="40" ht="18.0" customHeight="1">
      <c r="A40" s="142" t="s">
        <v>1279</v>
      </c>
      <c r="B40" s="142"/>
      <c r="C40" s="142"/>
      <c r="D40" s="142"/>
      <c r="E40" s="131"/>
      <c r="F40" s="142"/>
      <c r="G40" s="142"/>
      <c r="H40" s="142"/>
      <c r="I40" s="142"/>
      <c r="J40" s="142"/>
      <c r="K40" s="132"/>
      <c r="L40" s="131"/>
      <c r="M40" s="131"/>
      <c r="N40" s="142"/>
      <c r="O40" s="142"/>
      <c r="P40" s="142"/>
      <c r="Q40" s="142"/>
      <c r="R40" s="142"/>
      <c r="S40" s="142"/>
      <c r="T40" s="131"/>
      <c r="U40" s="131"/>
      <c r="V40" s="131"/>
      <c r="W40" s="131"/>
      <c r="X40" s="131"/>
      <c r="Y40" s="131"/>
      <c r="Z40" s="142"/>
      <c r="AA40" s="142"/>
      <c r="AB40" s="142"/>
      <c r="AC40" s="142"/>
      <c r="AD40" s="142"/>
      <c r="AE40" s="142"/>
      <c r="AF40" s="142"/>
      <c r="AG40" s="142"/>
      <c r="AH40" s="142"/>
      <c r="AI40" s="142"/>
      <c r="AJ40" s="142"/>
      <c r="AK40" s="142"/>
      <c r="AL40" s="142"/>
      <c r="AM40" s="142"/>
      <c r="AN40" s="142"/>
      <c r="AO40" s="142"/>
    </row>
    <row r="41" ht="18.0" customHeight="1">
      <c r="A41" s="142" t="s">
        <v>1280</v>
      </c>
      <c r="B41" s="142"/>
      <c r="C41" s="142"/>
      <c r="D41" s="142"/>
      <c r="E41" s="131"/>
      <c r="F41" s="142"/>
      <c r="G41" s="142"/>
      <c r="H41" s="142"/>
      <c r="I41" s="142"/>
      <c r="J41" s="142"/>
      <c r="K41" s="132"/>
      <c r="L41" s="131"/>
      <c r="M41" s="131"/>
      <c r="N41" s="142"/>
      <c r="O41" s="142"/>
      <c r="P41" s="142"/>
      <c r="Q41" s="142"/>
      <c r="R41" s="142"/>
      <c r="S41" s="142"/>
      <c r="T41" s="131"/>
      <c r="U41" s="131"/>
      <c r="V41" s="131"/>
      <c r="W41" s="131"/>
      <c r="X41" s="131"/>
      <c r="Y41" s="131"/>
      <c r="Z41" s="142"/>
      <c r="AA41" s="142"/>
      <c r="AB41" s="142"/>
      <c r="AC41" s="142"/>
      <c r="AD41" s="142"/>
      <c r="AE41" s="142"/>
      <c r="AF41" s="142"/>
      <c r="AG41" s="142"/>
      <c r="AH41" s="142"/>
      <c r="AI41" s="142"/>
      <c r="AJ41" s="142"/>
      <c r="AK41" s="142"/>
      <c r="AL41" s="142"/>
      <c r="AM41" s="142"/>
      <c r="AN41" s="142"/>
      <c r="AO41" s="142"/>
    </row>
    <row r="42" ht="18.0" customHeight="1">
      <c r="A42" s="142"/>
      <c r="B42" s="142"/>
      <c r="C42" s="142"/>
      <c r="D42" s="142"/>
      <c r="E42" s="131"/>
      <c r="F42" s="142"/>
      <c r="G42" s="142"/>
      <c r="H42" s="142"/>
      <c r="I42" s="142"/>
      <c r="J42" s="142"/>
      <c r="K42" s="132"/>
      <c r="L42" s="131"/>
      <c r="M42" s="131"/>
      <c r="N42" s="142"/>
      <c r="O42" s="142"/>
      <c r="P42" s="142"/>
      <c r="Q42" s="142"/>
      <c r="R42" s="142"/>
      <c r="S42" s="142"/>
      <c r="T42" s="131"/>
      <c r="U42" s="131"/>
      <c r="V42" s="131"/>
      <c r="W42" s="131"/>
      <c r="X42" s="131"/>
      <c r="Y42" s="131"/>
      <c r="Z42" s="142"/>
      <c r="AA42" s="142"/>
      <c r="AB42" s="142"/>
      <c r="AC42" s="142"/>
      <c r="AD42" s="142"/>
      <c r="AE42" s="142"/>
      <c r="AF42" s="142"/>
      <c r="AG42" s="142"/>
      <c r="AH42" s="142"/>
      <c r="AI42" s="142"/>
      <c r="AJ42" s="142"/>
      <c r="AK42" s="142"/>
      <c r="AL42" s="142"/>
      <c r="AM42" s="142"/>
      <c r="AN42" s="142"/>
      <c r="AO42" s="142"/>
    </row>
    <row r="43" ht="18.0" customHeight="1">
      <c r="A43" s="142" t="s">
        <v>1281</v>
      </c>
      <c r="B43" s="142"/>
      <c r="C43" s="142"/>
      <c r="D43" s="142"/>
      <c r="E43" s="131"/>
      <c r="F43" s="142"/>
      <c r="G43" s="142"/>
      <c r="H43" s="142"/>
      <c r="I43" s="142"/>
      <c r="J43" s="142"/>
      <c r="K43" s="132"/>
      <c r="L43" s="131"/>
      <c r="M43" s="131"/>
      <c r="N43" s="142"/>
      <c r="O43" s="142"/>
      <c r="P43" s="142"/>
      <c r="Q43" s="142"/>
      <c r="R43" s="142"/>
      <c r="S43" s="142"/>
      <c r="T43" s="131"/>
      <c r="U43" s="131"/>
      <c r="V43" s="131"/>
      <c r="W43" s="131"/>
      <c r="X43" s="131"/>
      <c r="Y43" s="131"/>
      <c r="Z43" s="142"/>
      <c r="AA43" s="142"/>
      <c r="AB43" s="142"/>
      <c r="AC43" s="142"/>
      <c r="AD43" s="142"/>
      <c r="AE43" s="142"/>
      <c r="AF43" s="142"/>
      <c r="AG43" s="142"/>
      <c r="AH43" s="142"/>
      <c r="AI43" s="142"/>
      <c r="AJ43" s="142"/>
      <c r="AK43" s="142"/>
      <c r="AL43" s="142"/>
      <c r="AM43" s="142"/>
      <c r="AN43" s="142"/>
      <c r="AO43" s="142"/>
    </row>
    <row r="44" ht="18.0" customHeight="1">
      <c r="A44" s="142"/>
      <c r="B44" s="142" t="s">
        <v>1282</v>
      </c>
      <c r="C44" s="142"/>
      <c r="D44" s="142"/>
      <c r="E44" s="131"/>
      <c r="F44" s="142"/>
      <c r="G44" s="142"/>
      <c r="H44" s="142"/>
      <c r="I44" s="142"/>
      <c r="J44" s="142"/>
      <c r="K44" s="132"/>
      <c r="L44" s="131"/>
      <c r="M44" s="131"/>
      <c r="N44" s="142"/>
      <c r="O44" s="142"/>
      <c r="P44" s="142"/>
      <c r="Q44" s="142"/>
      <c r="R44" s="142"/>
      <c r="S44" s="142"/>
      <c r="T44" s="131"/>
      <c r="U44" s="131"/>
      <c r="V44" s="131"/>
      <c r="W44" s="131"/>
      <c r="X44" s="131"/>
      <c r="Y44" s="131"/>
      <c r="Z44" s="142"/>
      <c r="AA44" s="142"/>
      <c r="AB44" s="142"/>
      <c r="AC44" s="142"/>
      <c r="AD44" s="142"/>
      <c r="AE44" s="142"/>
      <c r="AF44" s="142"/>
      <c r="AG44" s="142"/>
      <c r="AH44" s="142"/>
      <c r="AI44" s="142"/>
      <c r="AJ44" s="142"/>
      <c r="AK44" s="142"/>
      <c r="AL44" s="142"/>
      <c r="AM44" s="142"/>
      <c r="AN44" s="142"/>
      <c r="AO44" s="142"/>
    </row>
    <row r="45" ht="18.0" customHeight="1">
      <c r="A45" s="142"/>
      <c r="B45" s="142" t="s">
        <v>1283</v>
      </c>
      <c r="C45" s="142"/>
      <c r="D45" s="142"/>
      <c r="E45" s="131"/>
      <c r="F45" s="142"/>
      <c r="G45" s="142"/>
      <c r="H45" s="142"/>
      <c r="I45" s="142"/>
      <c r="J45" s="142"/>
      <c r="K45" s="132"/>
      <c r="L45" s="131"/>
      <c r="M45" s="131"/>
      <c r="N45" s="142"/>
      <c r="O45" s="142"/>
      <c r="P45" s="142"/>
      <c r="Q45" s="142"/>
      <c r="R45" s="142"/>
      <c r="S45" s="142"/>
      <c r="T45" s="131"/>
      <c r="U45" s="131"/>
      <c r="V45" s="131"/>
      <c r="W45" s="131"/>
      <c r="X45" s="131"/>
      <c r="Y45" s="131"/>
      <c r="Z45" s="142"/>
      <c r="AA45" s="142"/>
      <c r="AB45" s="142"/>
      <c r="AC45" s="142"/>
      <c r="AD45" s="142"/>
      <c r="AE45" s="142"/>
      <c r="AF45" s="142"/>
      <c r="AG45" s="142"/>
      <c r="AH45" s="142"/>
      <c r="AI45" s="142"/>
      <c r="AJ45" s="142"/>
      <c r="AK45" s="142"/>
      <c r="AL45" s="142"/>
      <c r="AM45" s="142"/>
      <c r="AN45" s="142"/>
      <c r="AO45" s="142"/>
    </row>
    <row r="46" ht="18.0" customHeight="1">
      <c r="A46" s="142"/>
      <c r="B46" s="142" t="s">
        <v>1284</v>
      </c>
      <c r="C46" s="142"/>
      <c r="D46" s="142"/>
      <c r="E46" s="131"/>
      <c r="F46" s="142"/>
      <c r="G46" s="142"/>
      <c r="H46" s="142"/>
      <c r="I46" s="142"/>
      <c r="J46" s="142"/>
      <c r="K46" s="132"/>
      <c r="L46" s="131"/>
      <c r="M46" s="131"/>
      <c r="N46" s="142"/>
      <c r="O46" s="142"/>
      <c r="P46" s="142"/>
      <c r="Q46" s="142"/>
      <c r="R46" s="142"/>
      <c r="S46" s="142"/>
      <c r="T46" s="131"/>
      <c r="U46" s="131"/>
      <c r="V46" s="131"/>
      <c r="W46" s="131"/>
      <c r="X46" s="131"/>
      <c r="Y46" s="131"/>
      <c r="Z46" s="142"/>
      <c r="AA46" s="142"/>
      <c r="AB46" s="142"/>
      <c r="AC46" s="142"/>
      <c r="AD46" s="142"/>
      <c r="AE46" s="142"/>
      <c r="AF46" s="142"/>
      <c r="AG46" s="142"/>
      <c r="AH46" s="142"/>
      <c r="AI46" s="142"/>
      <c r="AJ46" s="142"/>
      <c r="AK46" s="142"/>
      <c r="AL46" s="142"/>
      <c r="AM46" s="142"/>
      <c r="AN46" s="142"/>
      <c r="AO46" s="142"/>
    </row>
    <row r="47" ht="18.0" customHeight="1">
      <c r="A47" s="142"/>
      <c r="B47" s="142" t="s">
        <v>1285</v>
      </c>
      <c r="C47" s="142"/>
      <c r="D47" s="142"/>
      <c r="E47" s="131"/>
      <c r="F47" s="142"/>
      <c r="G47" s="142"/>
      <c r="H47" s="142"/>
      <c r="I47" s="142"/>
      <c r="J47" s="142"/>
      <c r="K47" s="132"/>
      <c r="L47" s="131"/>
      <c r="M47" s="131"/>
      <c r="N47" s="142"/>
      <c r="O47" s="142"/>
      <c r="P47" s="142"/>
      <c r="Q47" s="142"/>
      <c r="R47" s="142"/>
      <c r="S47" s="142"/>
      <c r="T47" s="131"/>
      <c r="U47" s="131"/>
      <c r="V47" s="131"/>
      <c r="W47" s="131"/>
      <c r="X47" s="131"/>
      <c r="Y47" s="131"/>
      <c r="Z47" s="142"/>
      <c r="AA47" s="142"/>
      <c r="AB47" s="142"/>
      <c r="AC47" s="142"/>
      <c r="AD47" s="142"/>
      <c r="AE47" s="142"/>
      <c r="AF47" s="142"/>
      <c r="AG47" s="142"/>
      <c r="AH47" s="142"/>
      <c r="AI47" s="142"/>
      <c r="AJ47" s="142"/>
      <c r="AK47" s="142"/>
      <c r="AL47" s="142"/>
      <c r="AM47" s="142"/>
      <c r="AN47" s="142"/>
      <c r="AO47" s="142"/>
    </row>
    <row r="48" ht="18.0" customHeight="1">
      <c r="A48" s="142"/>
      <c r="B48" s="142"/>
      <c r="C48" s="142"/>
      <c r="D48" s="142"/>
      <c r="E48" s="131"/>
      <c r="F48" s="142"/>
      <c r="G48" s="142"/>
      <c r="H48" s="142"/>
      <c r="I48" s="142"/>
      <c r="J48" s="142"/>
      <c r="K48" s="132"/>
      <c r="L48" s="131"/>
      <c r="M48" s="131"/>
      <c r="N48" s="142"/>
      <c r="O48" s="142"/>
      <c r="P48" s="142"/>
      <c r="Q48" s="142"/>
      <c r="R48" s="142"/>
      <c r="S48" s="142"/>
      <c r="T48" s="131"/>
      <c r="U48" s="131"/>
      <c r="V48" s="131"/>
      <c r="W48" s="131"/>
      <c r="X48" s="131"/>
      <c r="Y48" s="131"/>
      <c r="Z48" s="142"/>
      <c r="AA48" s="142"/>
      <c r="AB48" s="142"/>
      <c r="AC48" s="142"/>
      <c r="AD48" s="142"/>
      <c r="AE48" s="142"/>
      <c r="AF48" s="142"/>
      <c r="AG48" s="142"/>
      <c r="AH48" s="142"/>
      <c r="AI48" s="142"/>
      <c r="AJ48" s="142"/>
      <c r="AK48" s="142"/>
      <c r="AL48" s="142"/>
      <c r="AM48" s="142"/>
      <c r="AN48" s="142"/>
      <c r="AO48" s="142"/>
    </row>
    <row r="49" ht="18.0" customHeight="1">
      <c r="A49" s="142" t="s">
        <v>1286</v>
      </c>
      <c r="B49" s="142"/>
      <c r="C49" s="142"/>
      <c r="D49" s="142"/>
      <c r="E49" s="131"/>
      <c r="F49" s="142"/>
      <c r="G49" s="142"/>
      <c r="H49" s="142"/>
      <c r="I49" s="142"/>
      <c r="J49" s="142"/>
      <c r="K49" s="132"/>
      <c r="L49" s="131"/>
      <c r="M49" s="131"/>
      <c r="N49" s="142"/>
      <c r="O49" s="142"/>
      <c r="P49" s="142"/>
      <c r="Q49" s="142"/>
      <c r="R49" s="142"/>
      <c r="S49" s="142"/>
      <c r="T49" s="131"/>
      <c r="U49" s="131"/>
      <c r="V49" s="131"/>
      <c r="W49" s="131"/>
      <c r="X49" s="131"/>
      <c r="Y49" s="131"/>
      <c r="Z49" s="142"/>
      <c r="AA49" s="142"/>
      <c r="AB49" s="142"/>
      <c r="AC49" s="142"/>
      <c r="AD49" s="142"/>
      <c r="AE49" s="142"/>
      <c r="AF49" s="142"/>
      <c r="AG49" s="142"/>
      <c r="AH49" s="142"/>
      <c r="AI49" s="142"/>
      <c r="AJ49" s="142"/>
      <c r="AK49" s="142"/>
      <c r="AL49" s="142"/>
      <c r="AM49" s="142"/>
      <c r="AN49" s="142"/>
      <c r="AO49" s="142"/>
    </row>
    <row r="50" ht="18.0" customHeight="1">
      <c r="A50" s="220"/>
      <c r="B50" s="142"/>
      <c r="C50" s="142"/>
      <c r="D50" s="142"/>
      <c r="E50" s="131"/>
      <c r="F50" s="142"/>
      <c r="G50" s="142"/>
      <c r="H50" s="142"/>
      <c r="I50" s="142"/>
      <c r="J50" s="142"/>
      <c r="K50" s="132"/>
      <c r="L50" s="131"/>
      <c r="M50" s="131"/>
      <c r="N50" s="142"/>
      <c r="O50" s="142"/>
      <c r="P50" s="142"/>
      <c r="Q50" s="142"/>
      <c r="R50" s="142"/>
      <c r="S50" s="142"/>
      <c r="T50" s="131"/>
      <c r="U50" s="131"/>
      <c r="V50" s="131"/>
      <c r="W50" s="131"/>
      <c r="X50" s="131"/>
      <c r="Y50" s="131"/>
      <c r="Z50" s="142"/>
      <c r="AA50" s="142"/>
      <c r="AB50" s="142"/>
      <c r="AC50" s="142"/>
      <c r="AD50" s="142"/>
      <c r="AE50" s="142"/>
      <c r="AF50" s="142"/>
      <c r="AG50" s="142"/>
      <c r="AH50" s="142"/>
      <c r="AI50" s="142"/>
      <c r="AJ50" s="142"/>
      <c r="AK50" s="142"/>
      <c r="AL50" s="142"/>
      <c r="AM50" s="142"/>
      <c r="AN50" s="142"/>
      <c r="AO50" s="142"/>
    </row>
    <row r="51" ht="18.0" customHeight="1">
      <c r="A51" s="220" t="s">
        <v>1232</v>
      </c>
      <c r="B51" s="142"/>
      <c r="C51" s="142"/>
      <c r="D51" s="142"/>
      <c r="E51" s="131"/>
      <c r="F51" s="142"/>
      <c r="G51" s="142"/>
      <c r="H51" s="142"/>
      <c r="I51" s="142"/>
      <c r="J51" s="142"/>
      <c r="K51" s="132"/>
      <c r="L51" s="131"/>
      <c r="M51" s="131"/>
      <c r="N51" s="142"/>
      <c r="O51" s="142"/>
      <c r="P51" s="142"/>
      <c r="Q51" s="142"/>
      <c r="R51" s="142"/>
      <c r="S51" s="142"/>
      <c r="T51" s="131"/>
      <c r="U51" s="131"/>
      <c r="V51" s="131"/>
      <c r="W51" s="131"/>
      <c r="X51" s="131"/>
      <c r="Y51" s="131"/>
      <c r="Z51" s="142"/>
      <c r="AA51" s="142"/>
      <c r="AB51" s="142"/>
      <c r="AC51" s="142"/>
      <c r="AD51" s="142"/>
      <c r="AE51" s="142"/>
      <c r="AF51" s="142"/>
      <c r="AG51" s="142"/>
      <c r="AH51" s="142"/>
      <c r="AI51" s="142"/>
      <c r="AJ51" s="142"/>
      <c r="AK51" s="142"/>
      <c r="AL51" s="142"/>
      <c r="AM51" s="142"/>
      <c r="AN51" s="142"/>
      <c r="AO51" s="142"/>
    </row>
    <row r="52" ht="18.0" customHeight="1">
      <c r="A52" s="221" t="s">
        <v>1287</v>
      </c>
      <c r="B52" s="142"/>
      <c r="C52" s="142"/>
      <c r="D52" s="142"/>
      <c r="E52" s="131"/>
      <c r="F52" s="142"/>
      <c r="G52" s="142"/>
      <c r="H52" s="142"/>
      <c r="I52" s="142"/>
      <c r="J52" s="142"/>
      <c r="K52" s="132"/>
      <c r="L52" s="131"/>
      <c r="M52" s="131"/>
      <c r="N52" s="142"/>
      <c r="O52" s="142"/>
      <c r="P52" s="142"/>
      <c r="Q52" s="142"/>
      <c r="R52" s="142"/>
      <c r="S52" s="142"/>
      <c r="T52" s="131"/>
      <c r="U52" s="131"/>
      <c r="V52" s="131"/>
      <c r="W52" s="131"/>
      <c r="X52" s="131"/>
      <c r="Y52" s="131"/>
      <c r="Z52" s="142"/>
      <c r="AA52" s="142"/>
      <c r="AB52" s="142"/>
      <c r="AC52" s="142"/>
      <c r="AD52" s="142"/>
      <c r="AE52" s="142"/>
      <c r="AF52" s="142"/>
      <c r="AG52" s="142"/>
      <c r="AH52" s="142"/>
      <c r="AI52" s="142"/>
      <c r="AJ52" s="142"/>
      <c r="AK52" s="142"/>
      <c r="AL52" s="142"/>
      <c r="AM52" s="142"/>
      <c r="AN52" s="142"/>
      <c r="AO52" s="142"/>
    </row>
    <row r="53" ht="18.0" customHeight="1">
      <c r="A53" s="242" t="s">
        <v>1288</v>
      </c>
      <c r="B53" s="142"/>
      <c r="C53" s="142"/>
      <c r="D53" s="142"/>
      <c r="E53" s="131"/>
      <c r="F53" s="142"/>
      <c r="G53" s="142"/>
      <c r="H53" s="142"/>
      <c r="I53" s="142"/>
      <c r="J53" s="142"/>
      <c r="K53" s="132"/>
      <c r="L53" s="131"/>
      <c r="M53" s="131"/>
      <c r="N53" s="142"/>
      <c r="O53" s="142"/>
      <c r="P53" s="142"/>
      <c r="Q53" s="142"/>
      <c r="R53" s="142"/>
      <c r="S53" s="142"/>
      <c r="T53" s="131"/>
      <c r="U53" s="131"/>
      <c r="V53" s="131"/>
      <c r="W53" s="131"/>
      <c r="X53" s="131"/>
      <c r="Y53" s="131"/>
      <c r="Z53" s="142"/>
      <c r="AA53" s="142"/>
      <c r="AB53" s="142"/>
      <c r="AC53" s="142"/>
      <c r="AD53" s="142"/>
      <c r="AE53" s="142"/>
      <c r="AF53" s="142"/>
      <c r="AG53" s="142"/>
      <c r="AH53" s="142"/>
      <c r="AI53" s="142"/>
      <c r="AJ53" s="142"/>
      <c r="AK53" s="142"/>
      <c r="AL53" s="142"/>
      <c r="AM53" s="142"/>
      <c r="AN53" s="142"/>
      <c r="AO53" s="142"/>
    </row>
    <row r="54" ht="18.0" customHeight="1">
      <c r="A54" s="221"/>
      <c r="B54" s="142"/>
      <c r="C54" s="142"/>
      <c r="D54" s="142"/>
      <c r="E54" s="131"/>
      <c r="F54" s="142"/>
      <c r="G54" s="142"/>
      <c r="H54" s="142"/>
      <c r="I54" s="142"/>
      <c r="J54" s="142"/>
      <c r="K54" s="132"/>
      <c r="L54" s="131"/>
      <c r="M54" s="131"/>
      <c r="N54" s="142"/>
      <c r="O54" s="142"/>
      <c r="P54" s="142"/>
      <c r="Q54" s="142"/>
      <c r="R54" s="142"/>
      <c r="S54" s="142"/>
      <c r="T54" s="131"/>
      <c r="U54" s="131"/>
      <c r="V54" s="131"/>
      <c r="W54" s="131"/>
      <c r="X54" s="131"/>
      <c r="Y54" s="131"/>
      <c r="Z54" s="142"/>
      <c r="AA54" s="142"/>
      <c r="AB54" s="142"/>
      <c r="AC54" s="142"/>
      <c r="AD54" s="142"/>
      <c r="AE54" s="142"/>
      <c r="AF54" s="142"/>
      <c r="AG54" s="142"/>
      <c r="AH54" s="142"/>
      <c r="AI54" s="142"/>
      <c r="AJ54" s="142"/>
      <c r="AK54" s="142"/>
      <c r="AL54" s="142"/>
      <c r="AM54" s="142"/>
      <c r="AN54" s="142"/>
      <c r="AO54" s="142"/>
    </row>
    <row r="55" ht="18.0" customHeight="1">
      <c r="A55" s="221"/>
      <c r="B55" s="142"/>
      <c r="C55" s="142"/>
      <c r="D55" s="142"/>
      <c r="E55" s="131"/>
      <c r="F55" s="142"/>
      <c r="G55" s="142"/>
      <c r="H55" s="142"/>
      <c r="I55" s="142"/>
      <c r="J55" s="142"/>
      <c r="K55" s="132"/>
      <c r="L55" s="131"/>
      <c r="M55" s="131"/>
      <c r="N55" s="142"/>
      <c r="O55" s="142"/>
      <c r="P55" s="142"/>
      <c r="Q55" s="142"/>
      <c r="R55" s="142"/>
      <c r="S55" s="142"/>
      <c r="T55" s="131"/>
      <c r="U55" s="131"/>
      <c r="V55" s="131"/>
      <c r="W55" s="131"/>
      <c r="X55" s="131"/>
      <c r="Y55" s="131"/>
      <c r="Z55" s="142"/>
      <c r="AA55" s="142"/>
      <c r="AB55" s="142"/>
      <c r="AC55" s="142"/>
      <c r="AD55" s="142"/>
      <c r="AE55" s="142"/>
      <c r="AF55" s="142"/>
      <c r="AG55" s="142"/>
      <c r="AH55" s="142"/>
      <c r="AI55" s="142"/>
      <c r="AJ55" s="142"/>
      <c r="AK55" s="142"/>
      <c r="AL55" s="142"/>
      <c r="AM55" s="142"/>
      <c r="AN55" s="142"/>
      <c r="AO55" s="142"/>
    </row>
    <row r="56" ht="18.0" hidden="1" customHeight="1">
      <c r="A56" s="220"/>
      <c r="B56" s="142"/>
      <c r="C56" s="142"/>
      <c r="D56" s="142"/>
      <c r="E56" s="131"/>
      <c r="F56" s="142"/>
      <c r="G56" s="142"/>
      <c r="H56" s="142"/>
      <c r="I56" s="142"/>
      <c r="J56" s="142"/>
      <c r="K56" s="132"/>
      <c r="L56" s="131"/>
      <c r="M56" s="131"/>
      <c r="N56" s="142"/>
      <c r="O56" s="142"/>
      <c r="P56" s="142"/>
      <c r="Q56" s="142"/>
      <c r="R56" s="142"/>
      <c r="S56" s="142"/>
      <c r="T56" s="131"/>
      <c r="U56" s="131"/>
      <c r="V56" s="131"/>
      <c r="W56" s="131"/>
      <c r="X56" s="131"/>
      <c r="Y56" s="131"/>
      <c r="Z56" s="142"/>
      <c r="AA56" s="142"/>
      <c r="AB56" s="142"/>
      <c r="AC56" s="142"/>
      <c r="AD56" s="142"/>
      <c r="AE56" s="142"/>
      <c r="AF56" s="142"/>
      <c r="AG56" s="142"/>
      <c r="AH56" s="142"/>
      <c r="AI56" s="142"/>
      <c r="AJ56" s="142"/>
      <c r="AK56" s="142"/>
      <c r="AL56" s="142"/>
      <c r="AM56" s="142"/>
      <c r="AN56" s="142"/>
      <c r="AO56" s="142"/>
    </row>
    <row r="57" ht="18.0" hidden="1" customHeight="1">
      <c r="A57" s="220"/>
      <c r="B57" s="142"/>
      <c r="C57" s="142"/>
      <c r="D57" s="142"/>
      <c r="E57" s="131"/>
      <c r="F57" s="142"/>
      <c r="G57" s="142"/>
      <c r="H57" s="142"/>
      <c r="I57" s="142"/>
      <c r="J57" s="142"/>
      <c r="K57" s="132"/>
      <c r="L57" s="131"/>
      <c r="M57" s="131"/>
      <c r="N57" s="142"/>
      <c r="O57" s="142"/>
      <c r="P57" s="142"/>
      <c r="Q57" s="142"/>
      <c r="R57" s="142"/>
      <c r="S57" s="142"/>
      <c r="T57" s="131"/>
      <c r="U57" s="131"/>
      <c r="V57" s="131"/>
      <c r="W57" s="131"/>
      <c r="X57" s="131"/>
      <c r="Y57" s="131"/>
      <c r="Z57" s="142"/>
      <c r="AA57" s="142"/>
      <c r="AB57" s="142"/>
      <c r="AC57" s="142"/>
      <c r="AD57" s="142"/>
      <c r="AE57" s="142"/>
      <c r="AF57" s="142"/>
      <c r="AG57" s="142"/>
      <c r="AH57" s="142"/>
      <c r="AI57" s="142"/>
      <c r="AJ57" s="142"/>
      <c r="AK57" s="142"/>
      <c r="AL57" s="142"/>
      <c r="AM57" s="142"/>
      <c r="AN57" s="142"/>
      <c r="AO57" s="142"/>
    </row>
    <row r="58" ht="18.0" hidden="1" customHeight="1">
      <c r="A58" s="220"/>
      <c r="B58" s="142"/>
      <c r="C58" s="142"/>
      <c r="D58" s="142"/>
      <c r="E58" s="131"/>
      <c r="F58" s="142"/>
      <c r="G58" s="142"/>
      <c r="H58" s="142"/>
      <c r="I58" s="142"/>
      <c r="J58" s="142"/>
      <c r="K58" s="132"/>
      <c r="L58" s="131"/>
      <c r="M58" s="131"/>
      <c r="N58" s="142"/>
      <c r="O58" s="142"/>
      <c r="P58" s="142"/>
      <c r="Q58" s="142"/>
      <c r="R58" s="142"/>
      <c r="S58" s="142"/>
      <c r="T58" s="131"/>
      <c r="U58" s="131"/>
      <c r="V58" s="131"/>
      <c r="W58" s="131"/>
      <c r="X58" s="131"/>
      <c r="Y58" s="131"/>
      <c r="Z58" s="142"/>
      <c r="AA58" s="142"/>
      <c r="AB58" s="142"/>
      <c r="AC58" s="142"/>
      <c r="AD58" s="142"/>
      <c r="AE58" s="142"/>
      <c r="AF58" s="142"/>
      <c r="AG58" s="142"/>
      <c r="AH58" s="142"/>
      <c r="AI58" s="142"/>
      <c r="AJ58" s="142"/>
      <c r="AK58" s="142"/>
      <c r="AL58" s="142"/>
      <c r="AM58" s="142"/>
      <c r="AN58" s="142"/>
      <c r="AO58" s="142"/>
    </row>
    <row r="59" ht="18.0" hidden="1" customHeight="1">
      <c r="A59" s="142"/>
      <c r="B59" s="142"/>
      <c r="C59" s="142"/>
      <c r="D59" s="142"/>
      <c r="E59" s="131"/>
      <c r="F59" s="142"/>
      <c r="G59" s="142"/>
      <c r="H59" s="142"/>
      <c r="I59" s="142"/>
      <c r="J59" s="142"/>
      <c r="K59" s="132"/>
      <c r="L59" s="131"/>
      <c r="M59" s="131"/>
      <c r="N59" s="142"/>
      <c r="O59" s="142"/>
      <c r="P59" s="142"/>
      <c r="Q59" s="142"/>
      <c r="R59" s="142"/>
      <c r="S59" s="142"/>
      <c r="T59" s="131"/>
      <c r="U59" s="131"/>
      <c r="V59" s="131"/>
      <c r="W59" s="131"/>
      <c r="X59" s="131"/>
      <c r="Y59" s="131"/>
      <c r="Z59" s="142"/>
      <c r="AA59" s="142"/>
      <c r="AB59" s="142"/>
      <c r="AC59" s="142"/>
      <c r="AD59" s="142"/>
      <c r="AE59" s="142"/>
      <c r="AF59" s="142"/>
      <c r="AG59" s="142"/>
      <c r="AH59" s="142"/>
      <c r="AI59" s="142"/>
      <c r="AJ59" s="142"/>
      <c r="AK59" s="142"/>
      <c r="AL59" s="142"/>
      <c r="AM59" s="142"/>
      <c r="AN59" s="142"/>
      <c r="AO59" s="142"/>
    </row>
    <row r="60" ht="18.0" hidden="1" customHeight="1">
      <c r="A60" s="142"/>
      <c r="B60" s="142"/>
      <c r="C60" s="142"/>
      <c r="D60" s="142"/>
      <c r="E60" s="131"/>
      <c r="F60" s="142"/>
      <c r="G60" s="142"/>
      <c r="H60" s="142"/>
      <c r="I60" s="142"/>
      <c r="J60" s="142"/>
      <c r="K60" s="132"/>
      <c r="L60" s="131"/>
      <c r="M60" s="131"/>
      <c r="N60" s="142"/>
      <c r="O60" s="142"/>
      <c r="P60" s="142"/>
      <c r="Q60" s="142"/>
      <c r="R60" s="142"/>
      <c r="S60" s="142"/>
      <c r="T60" s="131"/>
      <c r="U60" s="131"/>
      <c r="V60" s="131"/>
      <c r="W60" s="131"/>
      <c r="X60" s="131"/>
      <c r="Y60" s="131"/>
      <c r="Z60" s="142"/>
      <c r="AA60" s="142"/>
      <c r="AB60" s="142"/>
      <c r="AC60" s="142"/>
      <c r="AD60" s="142"/>
      <c r="AE60" s="142"/>
      <c r="AF60" s="142"/>
      <c r="AG60" s="142"/>
      <c r="AH60" s="142"/>
      <c r="AI60" s="142"/>
      <c r="AJ60" s="142"/>
      <c r="AK60" s="142"/>
      <c r="AL60" s="142"/>
      <c r="AM60" s="142"/>
      <c r="AN60" s="142"/>
      <c r="AO60" s="142"/>
    </row>
    <row r="61" ht="18.0" hidden="1" customHeight="1">
      <c r="A61" s="142"/>
      <c r="B61" s="142"/>
      <c r="C61" s="142"/>
      <c r="D61" s="142"/>
      <c r="E61" s="131"/>
      <c r="F61" s="142"/>
      <c r="G61" s="142"/>
      <c r="H61" s="142"/>
      <c r="I61" s="142"/>
      <c r="J61" s="142"/>
      <c r="K61" s="132"/>
      <c r="L61" s="131"/>
      <c r="M61" s="131"/>
      <c r="N61" s="142"/>
      <c r="O61" s="142"/>
      <c r="P61" s="142"/>
      <c r="Q61" s="142"/>
      <c r="R61" s="142"/>
      <c r="S61" s="142"/>
      <c r="T61" s="131"/>
      <c r="U61" s="131"/>
      <c r="V61" s="131"/>
      <c r="W61" s="131"/>
      <c r="X61" s="131"/>
      <c r="Y61" s="131"/>
      <c r="Z61" s="142"/>
      <c r="AA61" s="142"/>
      <c r="AB61" s="142"/>
      <c r="AC61" s="142"/>
      <c r="AD61" s="142"/>
      <c r="AE61" s="142"/>
      <c r="AF61" s="142"/>
      <c r="AG61" s="142"/>
      <c r="AH61" s="142"/>
      <c r="AI61" s="142"/>
      <c r="AJ61" s="142"/>
      <c r="AK61" s="142"/>
      <c r="AL61" s="142"/>
      <c r="AM61" s="142"/>
      <c r="AN61" s="142"/>
      <c r="AO61" s="142"/>
    </row>
    <row r="62" ht="18.0" hidden="1" customHeight="1">
      <c r="A62" s="142"/>
      <c r="B62" s="142"/>
      <c r="C62" s="142"/>
      <c r="D62" s="142"/>
      <c r="E62" s="131"/>
      <c r="F62" s="142"/>
      <c r="G62" s="142"/>
      <c r="H62" s="142"/>
      <c r="I62" s="142"/>
      <c r="J62" s="142"/>
      <c r="K62" s="132"/>
      <c r="L62" s="131"/>
      <c r="M62" s="131"/>
      <c r="N62" s="142"/>
      <c r="O62" s="142"/>
      <c r="P62" s="142"/>
      <c r="Q62" s="142"/>
      <c r="R62" s="142"/>
      <c r="S62" s="142"/>
      <c r="T62" s="131"/>
      <c r="U62" s="131"/>
      <c r="V62" s="131"/>
      <c r="W62" s="131"/>
      <c r="X62" s="131"/>
      <c r="Y62" s="131"/>
      <c r="Z62" s="142"/>
      <c r="AA62" s="142"/>
      <c r="AB62" s="142"/>
      <c r="AC62" s="142"/>
      <c r="AD62" s="142"/>
      <c r="AE62" s="142"/>
      <c r="AF62" s="142"/>
      <c r="AG62" s="142"/>
      <c r="AH62" s="142"/>
      <c r="AI62" s="142"/>
      <c r="AJ62" s="142"/>
      <c r="AK62" s="142"/>
      <c r="AL62" s="142"/>
      <c r="AM62" s="142"/>
      <c r="AN62" s="142"/>
      <c r="AO62" s="142"/>
    </row>
    <row r="63" ht="18.0" hidden="1" customHeight="1">
      <c r="A63" s="142"/>
      <c r="B63" s="142"/>
      <c r="C63" s="142"/>
      <c r="D63" s="142"/>
      <c r="E63" s="131"/>
      <c r="F63" s="142"/>
      <c r="G63" s="142"/>
      <c r="H63" s="142"/>
      <c r="I63" s="142"/>
      <c r="J63" s="142"/>
      <c r="K63" s="132"/>
      <c r="L63" s="131"/>
      <c r="M63" s="131"/>
      <c r="N63" s="142"/>
      <c r="O63" s="142"/>
      <c r="P63" s="142"/>
      <c r="Q63" s="142"/>
      <c r="R63" s="142"/>
      <c r="S63" s="142"/>
      <c r="T63" s="131"/>
      <c r="U63" s="131"/>
      <c r="V63" s="131"/>
      <c r="W63" s="131"/>
      <c r="X63" s="131"/>
      <c r="Y63" s="131"/>
      <c r="Z63" s="142"/>
      <c r="AA63" s="142"/>
      <c r="AB63" s="142"/>
      <c r="AC63" s="142"/>
      <c r="AD63" s="142"/>
      <c r="AE63" s="142"/>
      <c r="AF63" s="142"/>
      <c r="AG63" s="142"/>
      <c r="AH63" s="142"/>
      <c r="AI63" s="142"/>
      <c r="AJ63" s="142"/>
      <c r="AK63" s="142"/>
      <c r="AL63" s="142"/>
      <c r="AM63" s="142"/>
      <c r="AN63" s="142"/>
      <c r="AO63" s="142"/>
    </row>
    <row r="64" ht="18.0" hidden="1" customHeight="1">
      <c r="A64" s="142"/>
      <c r="B64" s="142"/>
      <c r="C64" s="142"/>
      <c r="D64" s="142"/>
      <c r="E64" s="131"/>
      <c r="F64" s="142"/>
      <c r="G64" s="142"/>
      <c r="H64" s="142"/>
      <c r="I64" s="142"/>
      <c r="J64" s="142"/>
      <c r="K64" s="132"/>
      <c r="L64" s="131"/>
      <c r="M64" s="131"/>
      <c r="N64" s="142"/>
      <c r="O64" s="142"/>
      <c r="P64" s="142"/>
      <c r="Q64" s="142"/>
      <c r="R64" s="142"/>
      <c r="S64" s="142"/>
      <c r="T64" s="131"/>
      <c r="U64" s="131"/>
      <c r="V64" s="131"/>
      <c r="W64" s="131"/>
      <c r="X64" s="131"/>
      <c r="Y64" s="131"/>
      <c r="Z64" s="142"/>
      <c r="AA64" s="142"/>
      <c r="AB64" s="142"/>
      <c r="AC64" s="142"/>
      <c r="AD64" s="142"/>
      <c r="AE64" s="142"/>
      <c r="AF64" s="142"/>
      <c r="AG64" s="142"/>
      <c r="AH64" s="142"/>
      <c r="AI64" s="142"/>
      <c r="AJ64" s="142"/>
      <c r="AK64" s="142"/>
      <c r="AL64" s="142"/>
      <c r="AM64" s="142"/>
      <c r="AN64" s="142"/>
      <c r="AO64" s="142"/>
    </row>
    <row r="65" hidden="1">
      <c r="A65" s="142"/>
      <c r="B65" s="142"/>
      <c r="C65" s="142"/>
      <c r="D65" s="142"/>
      <c r="E65" s="131"/>
      <c r="F65" s="142"/>
      <c r="G65" s="142"/>
      <c r="H65" s="142"/>
      <c r="I65" s="142"/>
      <c r="J65" s="142"/>
      <c r="K65" s="132"/>
      <c r="L65" s="131"/>
      <c r="M65" s="131"/>
      <c r="N65" s="142"/>
      <c r="O65" s="142"/>
      <c r="P65" s="142"/>
      <c r="Q65" s="142"/>
      <c r="R65" s="142"/>
      <c r="S65" s="142"/>
      <c r="T65" s="131"/>
      <c r="U65" s="131"/>
      <c r="V65" s="131"/>
      <c r="W65" s="131"/>
      <c r="X65" s="131"/>
      <c r="Y65" s="131"/>
      <c r="Z65" s="220"/>
      <c r="AA65" s="132" t="b">
        <f>IF($S$2="2018年",'Offer Statistics'!I51,IF($S$2="2019年",'Offer Statistics'!I102,IF($S$2="2020年",'Offer Statistics'!I153)))</f>
        <v>0</v>
      </c>
      <c r="AB65" s="131" t="b">
        <f>IF($S$2="2018年",'Offer Statistics'!D51,IF($S$2="2019年",'Offer Statistics'!D102,IF($S$2="2020年",'Offer Statistics'!D153)))</f>
        <v>0</v>
      </c>
      <c r="AC65" s="131" t="b">
        <f>IF($S$2="2018年",'Offer Statistics'!E51,IF($S$2="2019年",'Offer Statistics'!E102,IF($S$2="2020年",'Offer Statistics'!E153)))</f>
        <v>0</v>
      </c>
      <c r="AD65" s="131" t="b">
        <f>IF($S$2="2018年",'Offer Statistics'!F51,IF($S$2="2019年",'Offer Statistics'!F102,IF($S$2="2020年",'Offer Statistics'!F153)))</f>
        <v>0</v>
      </c>
      <c r="AE65" s="131" t="b">
        <f>IF($S$2="2018年",'Offer Statistics'!G51,IF($S$2="2019年",'Offer Statistics'!G102,IF($S$2="2020年",'Offer Statistics'!G153)))</f>
        <v>0</v>
      </c>
      <c r="AF65" s="243" t="b">
        <f>IF($S$2="2018年",'Offer Statistics'!H51,IF($S$2="2019年",'Offer Statistics'!H102,IF($S$2="2020年",'Offer Statistics'!H153)))</f>
        <v>0</v>
      </c>
      <c r="AG65" s="220"/>
      <c r="AH65" s="132" t="str">
        <f>IF(#REF!="2018年",'Offer Statistics'!Q50,IF(#REF!="2019年",'Offer Statistics'!Q100,IF(#REF!="2020年",'Offer Statistics'!Q150)))</f>
        <v>#REF!</v>
      </c>
      <c r="AI65" s="131" t="str">
        <f>IF(#REF!="2018年",'Offer Statistics'!L51,IF(#REF!="2019年",'Offer Statistics'!L102,IF(#REF!="2020年",'Offer Statistics'!L153)))</f>
        <v>#REF!</v>
      </c>
      <c r="AJ65" s="131" t="str">
        <f>IF(#REF!="2018年",'Offer Statistics'!M51,IF(#REF!="2019年",'Offer Statistics'!M102,IF(#REF!="2020年",'Offer Statistics'!M153)))</f>
        <v>#REF!</v>
      </c>
      <c r="AK65" s="131" t="str">
        <f>IF(#REF!="2018年",'Offer Statistics'!N51,IF(#REF!="2019年",'Offer Statistics'!N102,IF(#REF!="2020年",'Offer Statistics'!N153)))</f>
        <v>#REF!</v>
      </c>
      <c r="AL65" s="131" t="str">
        <f>IF(#REF!="2018年",'Offer Statistics'!O51,IF(#REF!="2019年",'Offer Statistics'!O102,IF(#REF!="2020年",'Offer Statistics'!O153)))</f>
        <v>#REF!</v>
      </c>
      <c r="AM65" s="243" t="str">
        <f>IF(#REF!="2018年",'Offer Statistics'!P51,IF(#REF!="2019年",'Offer Statistics'!P102,IF(#REF!="2020年",'Offer Statistics'!P153)))</f>
        <v>#REF!</v>
      </c>
      <c r="AN65" s="131"/>
      <c r="AO65" s="131" t="s">
        <v>1224</v>
      </c>
    </row>
    <row r="66" ht="15.75" customHeight="1">
      <c r="A66" s="142"/>
      <c r="B66" s="142"/>
      <c r="C66" s="142"/>
      <c r="D66" s="142"/>
      <c r="E66" s="131"/>
      <c r="F66" s="142"/>
      <c r="G66" s="142"/>
      <c r="H66" s="142"/>
      <c r="I66" s="142"/>
      <c r="J66" s="142"/>
      <c r="K66" s="132"/>
      <c r="L66" s="131"/>
      <c r="M66" s="131"/>
      <c r="N66" s="142"/>
      <c r="O66" s="142"/>
      <c r="P66" s="142"/>
      <c r="Q66" s="142"/>
      <c r="R66" s="142"/>
      <c r="S66" s="142"/>
      <c r="T66" s="131"/>
      <c r="U66" s="131"/>
      <c r="V66" s="131"/>
      <c r="W66" s="131"/>
      <c r="X66" s="131"/>
      <c r="Y66" s="131"/>
      <c r="Z66" s="142"/>
      <c r="AA66" s="142"/>
      <c r="AB66" s="142"/>
      <c r="AC66" s="142"/>
      <c r="AD66" s="142"/>
      <c r="AE66" s="142"/>
      <c r="AF66" s="142"/>
      <c r="AG66" s="142"/>
      <c r="AH66" s="142"/>
      <c r="AI66" s="142"/>
      <c r="AJ66" s="142"/>
      <c r="AK66" s="142"/>
      <c r="AL66" s="142"/>
      <c r="AM66" s="142"/>
      <c r="AN66" s="142"/>
      <c r="AO66" s="142"/>
    </row>
    <row r="67" ht="15.75" customHeight="1">
      <c r="A67" s="142"/>
      <c r="B67" s="142"/>
      <c r="C67" s="142"/>
      <c r="D67" s="142"/>
      <c r="E67" s="131"/>
      <c r="F67" s="142"/>
      <c r="G67" s="142"/>
      <c r="H67" s="142"/>
      <c r="I67" s="142"/>
      <c r="J67" s="142"/>
      <c r="K67" s="132"/>
      <c r="L67" s="131"/>
      <c r="M67" s="131"/>
      <c r="N67" s="142"/>
      <c r="O67" s="142"/>
      <c r="P67" s="142"/>
      <c r="Q67" s="142"/>
      <c r="R67" s="142"/>
      <c r="S67" s="142"/>
      <c r="T67" s="131"/>
      <c r="U67" s="131"/>
      <c r="V67" s="131"/>
      <c r="W67" s="131"/>
      <c r="X67" s="131"/>
      <c r="Y67" s="131"/>
      <c r="Z67" s="142"/>
      <c r="AA67" s="142"/>
      <c r="AB67" s="142"/>
      <c r="AC67" s="142"/>
      <c r="AD67" s="142"/>
      <c r="AE67" s="142"/>
      <c r="AF67" s="142"/>
      <c r="AG67" s="142"/>
      <c r="AH67" s="142"/>
      <c r="AI67" s="142"/>
      <c r="AJ67" s="142"/>
      <c r="AK67" s="142"/>
      <c r="AL67" s="142"/>
      <c r="AM67" s="142"/>
      <c r="AN67" s="142"/>
      <c r="AO67" s="142"/>
    </row>
    <row r="68" ht="15.75" customHeight="1">
      <c r="A68" s="142"/>
      <c r="B68" s="142"/>
      <c r="C68" s="142"/>
      <c r="D68" s="142"/>
      <c r="E68" s="131"/>
      <c r="F68" s="142"/>
      <c r="G68" s="142"/>
      <c r="H68" s="142"/>
      <c r="I68" s="142"/>
      <c r="J68" s="142"/>
      <c r="K68" s="132"/>
      <c r="L68" s="131"/>
      <c r="M68" s="131"/>
      <c r="N68" s="142"/>
      <c r="O68" s="142"/>
      <c r="P68" s="142"/>
      <c r="Q68" s="142"/>
      <c r="R68" s="142"/>
      <c r="S68" s="142"/>
      <c r="T68" s="131"/>
      <c r="U68" s="131"/>
      <c r="V68" s="131"/>
      <c r="W68" s="131"/>
      <c r="X68" s="131"/>
      <c r="Y68" s="131"/>
      <c r="Z68" s="142"/>
      <c r="AA68" s="142"/>
      <c r="AB68" s="142"/>
      <c r="AC68" s="142"/>
      <c r="AD68" s="142"/>
      <c r="AE68" s="142"/>
      <c r="AF68" s="142"/>
      <c r="AG68" s="142"/>
      <c r="AH68" s="142"/>
      <c r="AI68" s="142"/>
      <c r="AJ68" s="142"/>
      <c r="AK68" s="142"/>
      <c r="AL68" s="142"/>
      <c r="AM68" s="142"/>
      <c r="AN68" s="142"/>
      <c r="AO68" s="142"/>
    </row>
    <row r="69" ht="15.75" customHeight="1">
      <c r="A69" s="142"/>
      <c r="B69" s="142"/>
      <c r="C69" s="142"/>
      <c r="D69" s="142"/>
      <c r="E69" s="131"/>
      <c r="F69" s="142"/>
      <c r="G69" s="142"/>
      <c r="H69" s="142"/>
      <c r="I69" s="142"/>
      <c r="J69" s="142"/>
      <c r="K69" s="132"/>
      <c r="L69" s="131"/>
      <c r="M69" s="131"/>
      <c r="N69" s="142"/>
      <c r="O69" s="142"/>
      <c r="P69" s="142"/>
      <c r="Q69" s="142"/>
      <c r="R69" s="142"/>
      <c r="S69" s="142"/>
      <c r="T69" s="131"/>
      <c r="U69" s="131"/>
      <c r="V69" s="131"/>
      <c r="W69" s="131"/>
      <c r="X69" s="131"/>
      <c r="Y69" s="131"/>
      <c r="Z69" s="142"/>
      <c r="AA69" s="142"/>
      <c r="AB69" s="142"/>
      <c r="AC69" s="142"/>
      <c r="AD69" s="142"/>
      <c r="AE69" s="142"/>
      <c r="AF69" s="142"/>
      <c r="AG69" s="142"/>
      <c r="AH69" s="142"/>
      <c r="AI69" s="142"/>
      <c r="AJ69" s="142"/>
      <c r="AK69" s="142"/>
      <c r="AL69" s="142"/>
      <c r="AM69" s="142"/>
      <c r="AN69" s="142"/>
      <c r="AO69" s="142"/>
    </row>
    <row r="70" ht="16.5" hidden="1" customHeight="1">
      <c r="A70" s="142"/>
      <c r="B70" s="142"/>
      <c r="C70" s="142"/>
      <c r="D70" s="142"/>
      <c r="E70" s="132"/>
      <c r="F70" s="131"/>
      <c r="G70" s="131"/>
      <c r="H70" s="131"/>
      <c r="I70" s="219"/>
      <c r="J70" s="198"/>
      <c r="K70" s="132"/>
      <c r="L70" s="131"/>
      <c r="M70" s="131"/>
      <c r="N70" s="131"/>
      <c r="O70" s="131"/>
      <c r="P70" s="131"/>
      <c r="Q70" s="131"/>
      <c r="R70" s="131"/>
      <c r="S70" s="131"/>
      <c r="T70" s="131"/>
      <c r="U70" s="131"/>
      <c r="V70" s="131"/>
      <c r="W70" s="131"/>
      <c r="X70" s="131"/>
      <c r="Y70" s="131"/>
      <c r="Z70" s="142"/>
      <c r="AA70" s="142"/>
      <c r="AB70" s="142"/>
      <c r="AC70" s="142"/>
      <c r="AD70" s="142"/>
      <c r="AE70" s="142"/>
      <c r="AF70" s="142"/>
      <c r="AG70" s="142"/>
      <c r="AH70" s="142"/>
      <c r="AI70" s="142"/>
      <c r="AJ70" s="142"/>
      <c r="AK70" s="142"/>
      <c r="AL70" s="142"/>
      <c r="AM70" s="142"/>
      <c r="AN70" s="142"/>
      <c r="AO70" s="142"/>
    </row>
    <row r="71" ht="16.5" hidden="1" customHeight="1">
      <c r="A71" s="142"/>
      <c r="B71" s="142"/>
      <c r="C71" s="142"/>
      <c r="D71" s="142"/>
      <c r="E71" s="132"/>
      <c r="F71" s="131"/>
      <c r="G71" s="131"/>
      <c r="H71" s="131"/>
      <c r="I71" s="219"/>
      <c r="J71" s="198"/>
      <c r="K71" s="132"/>
      <c r="L71" s="131"/>
      <c r="M71" s="131"/>
      <c r="N71" s="131"/>
      <c r="O71" s="131"/>
      <c r="P71" s="131"/>
      <c r="Q71" s="131"/>
      <c r="R71" s="131"/>
      <c r="S71" s="131"/>
      <c r="T71" s="131"/>
      <c r="U71" s="131"/>
      <c r="V71" s="131"/>
      <c r="W71" s="131"/>
      <c r="X71" s="131"/>
      <c r="Y71" s="131"/>
      <c r="Z71" s="142"/>
      <c r="AA71" s="142"/>
      <c r="AB71" s="142"/>
      <c r="AC71" s="142"/>
      <c r="AD71" s="142"/>
      <c r="AE71" s="142"/>
      <c r="AF71" s="142"/>
      <c r="AG71" s="142"/>
      <c r="AH71" s="142"/>
      <c r="AI71" s="142"/>
      <c r="AJ71" s="142"/>
      <c r="AK71" s="142"/>
      <c r="AL71" s="142"/>
      <c r="AM71" s="142"/>
      <c r="AN71" s="142"/>
      <c r="AO71" s="142"/>
    </row>
    <row r="72" hidden="1">
      <c r="A72" s="220"/>
      <c r="B72" s="142"/>
      <c r="C72" s="142"/>
      <c r="D72" s="142"/>
      <c r="E72" s="131"/>
      <c r="F72" s="142"/>
      <c r="G72" s="142"/>
      <c r="H72" s="142"/>
      <c r="I72" s="142"/>
      <c r="J72" s="142"/>
      <c r="K72" s="132"/>
      <c r="L72" s="131"/>
      <c r="M72" s="131"/>
      <c r="N72" s="142"/>
      <c r="O72" s="142"/>
      <c r="P72" s="142"/>
      <c r="Q72" s="142"/>
      <c r="R72" s="142"/>
      <c r="S72" s="142"/>
      <c r="T72" s="131"/>
      <c r="U72" s="131"/>
      <c r="V72" s="131"/>
      <c r="W72" s="131"/>
      <c r="X72" s="131"/>
      <c r="Y72" s="131"/>
      <c r="Z72" s="142"/>
      <c r="AA72" s="142"/>
      <c r="AB72" s="142"/>
      <c r="AC72" s="142"/>
      <c r="AD72" s="142"/>
      <c r="AE72" s="142"/>
      <c r="AF72" s="142"/>
      <c r="AG72" s="142"/>
      <c r="AH72" s="142"/>
      <c r="AI72" s="142"/>
      <c r="AJ72" s="142"/>
      <c r="AK72" s="142"/>
      <c r="AL72" s="142"/>
      <c r="AM72" s="142"/>
      <c r="AN72" s="142"/>
      <c r="AO72" s="142"/>
    </row>
    <row r="73" hidden="1">
      <c r="A73" s="220"/>
      <c r="B73" s="142"/>
      <c r="C73" s="142"/>
      <c r="D73" s="142"/>
      <c r="E73" s="131"/>
      <c r="F73" s="142"/>
      <c r="G73" s="142"/>
      <c r="H73" s="142"/>
      <c r="I73" s="142"/>
      <c r="J73" s="142"/>
      <c r="K73" s="132"/>
      <c r="L73" s="131"/>
      <c r="M73" s="131"/>
      <c r="N73" s="142"/>
      <c r="O73" s="142"/>
      <c r="P73" s="142"/>
      <c r="Q73" s="142"/>
      <c r="R73" s="142"/>
      <c r="S73" s="142"/>
      <c r="T73" s="131"/>
      <c r="U73" s="131"/>
      <c r="V73" s="131"/>
      <c r="W73" s="131"/>
      <c r="X73" s="131"/>
      <c r="Y73" s="131"/>
      <c r="Z73" s="142"/>
      <c r="AA73" s="142"/>
      <c r="AB73" s="142"/>
      <c r="AC73" s="142"/>
      <c r="AD73" s="142"/>
      <c r="AE73" s="142"/>
      <c r="AF73" s="142"/>
      <c r="AG73" s="142"/>
      <c r="AH73" s="142"/>
      <c r="AI73" s="142"/>
      <c r="AJ73" s="142"/>
      <c r="AK73" s="142"/>
      <c r="AL73" s="142"/>
      <c r="AM73" s="142"/>
      <c r="AN73" s="142"/>
      <c r="AO73" s="142"/>
    </row>
    <row r="74" ht="15.75" customHeight="1">
      <c r="A74" s="142"/>
      <c r="B74" s="142"/>
      <c r="C74" s="142"/>
      <c r="D74" s="142"/>
      <c r="E74" s="131"/>
      <c r="F74" s="142"/>
      <c r="G74" s="142"/>
      <c r="H74" s="142"/>
      <c r="I74" s="142"/>
      <c r="J74" s="142"/>
      <c r="K74" s="132"/>
      <c r="L74" s="131"/>
      <c r="M74" s="131"/>
      <c r="N74" s="142"/>
      <c r="O74" s="142"/>
      <c r="P74" s="142"/>
      <c r="Q74" s="142"/>
      <c r="R74" s="142"/>
      <c r="S74" s="142"/>
      <c r="T74" s="131"/>
      <c r="U74" s="131"/>
      <c r="V74" s="131"/>
      <c r="W74" s="131"/>
      <c r="X74" s="131"/>
      <c r="Y74" s="131"/>
      <c r="Z74" s="142"/>
      <c r="AA74" s="142"/>
      <c r="AB74" s="142"/>
      <c r="AC74" s="142"/>
      <c r="AD74" s="142"/>
      <c r="AE74" s="142"/>
      <c r="AF74" s="142"/>
      <c r="AG74" s="142"/>
      <c r="AH74" s="142"/>
      <c r="AI74" s="142"/>
      <c r="AJ74" s="142"/>
      <c r="AK74" s="142"/>
      <c r="AL74" s="142"/>
      <c r="AM74" s="142"/>
      <c r="AN74" s="142"/>
      <c r="AO74" s="142"/>
    </row>
    <row r="75" ht="15.75" customHeight="1">
      <c r="A75" s="142"/>
      <c r="B75" s="142"/>
      <c r="C75" s="142"/>
      <c r="D75" s="142"/>
      <c r="E75" s="131"/>
      <c r="F75" s="142"/>
      <c r="G75" s="142"/>
      <c r="H75" s="142"/>
      <c r="I75" s="142"/>
      <c r="J75" s="142"/>
      <c r="K75" s="132"/>
      <c r="L75" s="131"/>
      <c r="M75" s="131"/>
      <c r="N75" s="142"/>
      <c r="O75" s="142"/>
      <c r="P75" s="142"/>
      <c r="Q75" s="142"/>
      <c r="R75" s="142"/>
      <c r="S75" s="142"/>
      <c r="T75" s="131"/>
      <c r="U75" s="131"/>
      <c r="V75" s="131"/>
      <c r="W75" s="131"/>
      <c r="X75" s="131"/>
      <c r="Y75" s="131"/>
      <c r="Z75" s="142"/>
      <c r="AA75" s="142"/>
      <c r="AB75" s="142"/>
      <c r="AC75" s="142"/>
      <c r="AD75" s="142"/>
      <c r="AE75" s="142"/>
      <c r="AF75" s="142"/>
      <c r="AG75" s="142"/>
      <c r="AH75" s="142"/>
      <c r="AI75" s="142"/>
      <c r="AJ75" s="142"/>
      <c r="AK75" s="142"/>
      <c r="AL75" s="142"/>
      <c r="AM75" s="142"/>
      <c r="AN75" s="142"/>
      <c r="AO75" s="142"/>
    </row>
    <row r="76" ht="15.75" customHeight="1">
      <c r="A76" s="142"/>
      <c r="B76" s="142"/>
      <c r="C76" s="142"/>
      <c r="D76" s="142"/>
      <c r="E76" s="131"/>
      <c r="F76" s="142"/>
      <c r="G76" s="142"/>
      <c r="H76" s="142"/>
      <c r="I76" s="142"/>
      <c r="J76" s="142"/>
      <c r="K76" s="132"/>
      <c r="L76" s="131"/>
      <c r="M76" s="131"/>
      <c r="N76" s="142"/>
      <c r="O76" s="142"/>
      <c r="P76" s="142"/>
      <c r="Q76" s="142"/>
      <c r="R76" s="142"/>
      <c r="S76" s="142"/>
      <c r="T76" s="131"/>
      <c r="U76" s="131"/>
      <c r="V76" s="131"/>
      <c r="W76" s="131"/>
      <c r="X76" s="131"/>
      <c r="Y76" s="131"/>
      <c r="Z76" s="142"/>
      <c r="AA76" s="142"/>
      <c r="AB76" s="142"/>
      <c r="AC76" s="142"/>
      <c r="AD76" s="142"/>
      <c r="AE76" s="142"/>
      <c r="AF76" s="142"/>
      <c r="AG76" s="142"/>
      <c r="AH76" s="142"/>
      <c r="AI76" s="142"/>
      <c r="AJ76" s="142"/>
      <c r="AK76" s="142"/>
      <c r="AL76" s="142"/>
      <c r="AM76" s="142"/>
      <c r="AN76" s="142"/>
      <c r="AO76" s="142"/>
    </row>
    <row r="77" ht="15.75" customHeight="1">
      <c r="A77" s="142"/>
      <c r="B77" s="142"/>
      <c r="C77" s="142"/>
      <c r="D77" s="142"/>
      <c r="E77" s="131"/>
      <c r="F77" s="142"/>
      <c r="G77" s="142"/>
      <c r="H77" s="142"/>
      <c r="I77" s="142"/>
      <c r="J77" s="142"/>
      <c r="K77" s="132"/>
      <c r="L77" s="131"/>
      <c r="M77" s="131"/>
      <c r="N77" s="142"/>
      <c r="O77" s="142"/>
      <c r="P77" s="142"/>
      <c r="Q77" s="142"/>
      <c r="R77" s="142"/>
      <c r="S77" s="142"/>
      <c r="T77" s="131"/>
      <c r="U77" s="131"/>
      <c r="V77" s="131"/>
      <c r="W77" s="131"/>
      <c r="X77" s="131"/>
      <c r="Y77" s="131"/>
      <c r="Z77" s="142"/>
      <c r="AA77" s="142"/>
      <c r="AB77" s="142"/>
      <c r="AC77" s="142"/>
      <c r="AD77" s="142"/>
      <c r="AE77" s="142"/>
      <c r="AF77" s="142"/>
      <c r="AG77" s="142"/>
      <c r="AH77" s="142"/>
      <c r="AI77" s="142"/>
      <c r="AJ77" s="142"/>
      <c r="AK77" s="142"/>
      <c r="AL77" s="142"/>
      <c r="AM77" s="142"/>
      <c r="AN77" s="142"/>
      <c r="AO77" s="142"/>
    </row>
    <row r="78" ht="15.75" customHeight="1">
      <c r="A78" s="142"/>
      <c r="B78" s="142"/>
      <c r="C78" s="142"/>
      <c r="D78" s="142"/>
      <c r="E78" s="131"/>
      <c r="F78" s="142"/>
      <c r="G78" s="142"/>
      <c r="H78" s="142"/>
      <c r="I78" s="142"/>
      <c r="J78" s="142"/>
      <c r="K78" s="132"/>
      <c r="L78" s="131"/>
      <c r="M78" s="131"/>
      <c r="N78" s="142"/>
      <c r="O78" s="142"/>
      <c r="P78" s="142"/>
      <c r="Q78" s="142"/>
      <c r="R78" s="142"/>
      <c r="S78" s="142"/>
      <c r="T78" s="131"/>
      <c r="U78" s="131"/>
      <c r="V78" s="131"/>
      <c r="W78" s="131"/>
      <c r="X78" s="131"/>
      <c r="Y78" s="131"/>
      <c r="Z78" s="142"/>
      <c r="AA78" s="142"/>
      <c r="AB78" s="142"/>
      <c r="AC78" s="142"/>
      <c r="AD78" s="142"/>
      <c r="AE78" s="142"/>
      <c r="AF78" s="142"/>
      <c r="AG78" s="142"/>
      <c r="AH78" s="142"/>
      <c r="AI78" s="142"/>
      <c r="AJ78" s="142"/>
      <c r="AK78" s="142"/>
      <c r="AL78" s="142"/>
      <c r="AM78" s="142"/>
      <c r="AN78" s="142"/>
      <c r="AO78" s="142"/>
    </row>
    <row r="79" ht="15.75" customHeight="1">
      <c r="A79" s="142"/>
      <c r="B79" s="142"/>
      <c r="C79" s="142"/>
      <c r="D79" s="142"/>
      <c r="E79" s="131"/>
      <c r="F79" s="142"/>
      <c r="G79" s="142"/>
      <c r="H79" s="142"/>
      <c r="I79" s="142"/>
      <c r="J79" s="142"/>
      <c r="K79" s="132"/>
      <c r="L79" s="131"/>
      <c r="M79" s="131"/>
      <c r="N79" s="142"/>
      <c r="O79" s="142"/>
      <c r="P79" s="142"/>
      <c r="Q79" s="142"/>
      <c r="R79" s="142"/>
      <c r="S79" s="142"/>
      <c r="T79" s="131"/>
      <c r="U79" s="131"/>
      <c r="V79" s="131"/>
      <c r="W79" s="131"/>
      <c r="X79" s="131"/>
      <c r="Y79" s="131"/>
      <c r="Z79" s="142"/>
      <c r="AA79" s="142"/>
      <c r="AB79" s="142"/>
      <c r="AC79" s="142"/>
      <c r="AD79" s="142"/>
      <c r="AE79" s="142"/>
      <c r="AF79" s="142"/>
      <c r="AG79" s="142"/>
      <c r="AH79" s="142"/>
      <c r="AI79" s="142"/>
      <c r="AJ79" s="142"/>
      <c r="AK79" s="142"/>
      <c r="AL79" s="142"/>
      <c r="AM79" s="142"/>
      <c r="AN79" s="142"/>
      <c r="AO79" s="142"/>
    </row>
    <row r="80" ht="15.75" customHeight="1">
      <c r="A80" s="142"/>
      <c r="B80" s="142"/>
      <c r="C80" s="142"/>
      <c r="D80" s="142"/>
      <c r="E80" s="131"/>
      <c r="F80" s="142"/>
      <c r="G80" s="142"/>
      <c r="H80" s="142"/>
      <c r="I80" s="142"/>
      <c r="J80" s="142"/>
      <c r="K80" s="132"/>
      <c r="L80" s="131"/>
      <c r="M80" s="131"/>
      <c r="N80" s="142"/>
      <c r="O80" s="142"/>
      <c r="P80" s="142"/>
      <c r="Q80" s="142"/>
      <c r="R80" s="142"/>
      <c r="S80" s="142"/>
      <c r="T80" s="131"/>
      <c r="U80" s="131"/>
      <c r="V80" s="131"/>
      <c r="W80" s="131"/>
      <c r="X80" s="131"/>
      <c r="Y80" s="131"/>
      <c r="Z80" s="142"/>
      <c r="AA80" s="142"/>
      <c r="AB80" s="142"/>
      <c r="AC80" s="142"/>
      <c r="AD80" s="142"/>
      <c r="AE80" s="142"/>
      <c r="AF80" s="142"/>
      <c r="AG80" s="142"/>
      <c r="AH80" s="142"/>
      <c r="AI80" s="142"/>
      <c r="AJ80" s="142"/>
      <c r="AK80" s="142"/>
      <c r="AL80" s="142"/>
      <c r="AM80" s="142"/>
      <c r="AN80" s="142"/>
      <c r="AO80" s="142"/>
    </row>
    <row r="81" ht="15.75" customHeight="1">
      <c r="A81" s="142"/>
      <c r="B81" s="142"/>
      <c r="C81" s="142"/>
      <c r="D81" s="142"/>
      <c r="E81" s="131"/>
      <c r="F81" s="142"/>
      <c r="G81" s="142"/>
      <c r="H81" s="142"/>
      <c r="I81" s="142"/>
      <c r="J81" s="142"/>
      <c r="K81" s="132"/>
      <c r="L81" s="131"/>
      <c r="M81" s="131"/>
      <c r="N81" s="142"/>
      <c r="O81" s="142"/>
      <c r="P81" s="142"/>
      <c r="Q81" s="142"/>
      <c r="R81" s="142"/>
      <c r="S81" s="142"/>
      <c r="T81" s="131"/>
      <c r="U81" s="131"/>
      <c r="V81" s="131"/>
      <c r="W81" s="131"/>
      <c r="X81" s="131"/>
      <c r="Y81" s="131"/>
      <c r="Z81" s="142"/>
      <c r="AA81" s="142"/>
      <c r="AB81" s="142"/>
      <c r="AC81" s="142"/>
      <c r="AD81" s="142"/>
      <c r="AE81" s="142"/>
      <c r="AF81" s="142"/>
      <c r="AG81" s="142"/>
      <c r="AH81" s="142"/>
      <c r="AI81" s="142"/>
      <c r="AJ81" s="142"/>
      <c r="AK81" s="142"/>
      <c r="AL81" s="142"/>
      <c r="AM81" s="142"/>
      <c r="AN81" s="142"/>
      <c r="AO81" s="142"/>
    </row>
    <row r="82" ht="15.75" customHeight="1">
      <c r="A82" s="142"/>
      <c r="B82" s="142"/>
      <c r="C82" s="142"/>
      <c r="D82" s="142"/>
      <c r="E82" s="131"/>
      <c r="F82" s="142"/>
      <c r="G82" s="142"/>
      <c r="H82" s="142"/>
      <c r="I82" s="142"/>
      <c r="J82" s="142"/>
      <c r="K82" s="132"/>
      <c r="L82" s="131"/>
      <c r="M82" s="131"/>
      <c r="N82" s="142"/>
      <c r="O82" s="142"/>
      <c r="P82" s="142"/>
      <c r="Q82" s="142"/>
      <c r="R82" s="142"/>
      <c r="S82" s="142"/>
      <c r="T82" s="131"/>
      <c r="U82" s="131"/>
      <c r="V82" s="131"/>
      <c r="W82" s="131"/>
      <c r="X82" s="131"/>
      <c r="Y82" s="131"/>
      <c r="Z82" s="142"/>
      <c r="AA82" s="142"/>
      <c r="AB82" s="142"/>
      <c r="AC82" s="142"/>
      <c r="AD82" s="142"/>
      <c r="AE82" s="142"/>
      <c r="AF82" s="142"/>
      <c r="AG82" s="142"/>
      <c r="AH82" s="142"/>
      <c r="AI82" s="142"/>
      <c r="AJ82" s="142"/>
      <c r="AK82" s="142"/>
      <c r="AL82" s="142"/>
      <c r="AM82" s="142"/>
      <c r="AN82" s="142"/>
      <c r="AO82" s="142"/>
    </row>
    <row r="83" ht="15.75" customHeight="1">
      <c r="A83" s="142"/>
      <c r="B83" s="142"/>
      <c r="C83" s="142"/>
      <c r="D83" s="142"/>
      <c r="E83" s="131"/>
      <c r="F83" s="142"/>
      <c r="G83" s="142"/>
      <c r="H83" s="142"/>
      <c r="I83" s="142"/>
      <c r="J83" s="142"/>
      <c r="K83" s="132"/>
      <c r="L83" s="131"/>
      <c r="M83" s="131"/>
      <c r="N83" s="142"/>
      <c r="O83" s="142"/>
      <c r="P83" s="142"/>
      <c r="Q83" s="142"/>
      <c r="R83" s="142"/>
      <c r="S83" s="142"/>
      <c r="T83" s="131"/>
      <c r="U83" s="131"/>
      <c r="V83" s="131"/>
      <c r="W83" s="131"/>
      <c r="X83" s="131"/>
      <c r="Y83" s="131"/>
      <c r="Z83" s="142"/>
      <c r="AA83" s="142"/>
      <c r="AB83" s="142"/>
      <c r="AC83" s="142"/>
      <c r="AD83" s="142"/>
      <c r="AE83" s="142"/>
      <c r="AF83" s="142"/>
      <c r="AG83" s="142"/>
      <c r="AH83" s="142"/>
      <c r="AI83" s="142"/>
      <c r="AJ83" s="142"/>
      <c r="AK83" s="142"/>
      <c r="AL83" s="142"/>
      <c r="AM83" s="142"/>
      <c r="AN83" s="142"/>
      <c r="AO83" s="142"/>
    </row>
    <row r="84" ht="15.75" customHeight="1">
      <c r="A84" s="142"/>
      <c r="B84" s="142"/>
      <c r="C84" s="142"/>
      <c r="D84" s="142"/>
      <c r="E84" s="131"/>
      <c r="F84" s="142"/>
      <c r="G84" s="142"/>
      <c r="H84" s="142"/>
      <c r="I84" s="142"/>
      <c r="J84" s="142"/>
      <c r="K84" s="132"/>
      <c r="L84" s="131"/>
      <c r="M84" s="131"/>
      <c r="N84" s="142"/>
      <c r="O84" s="142"/>
      <c r="P84" s="142"/>
      <c r="Q84" s="142"/>
      <c r="R84" s="142"/>
      <c r="S84" s="142"/>
      <c r="T84" s="131"/>
      <c r="U84" s="131"/>
      <c r="V84" s="131"/>
      <c r="W84" s="131"/>
      <c r="X84" s="131"/>
      <c r="Y84" s="131"/>
      <c r="Z84" s="142"/>
      <c r="AA84" s="142"/>
      <c r="AB84" s="142"/>
      <c r="AC84" s="142"/>
      <c r="AD84" s="142"/>
      <c r="AE84" s="142"/>
      <c r="AF84" s="142"/>
      <c r="AG84" s="142"/>
      <c r="AH84" s="142"/>
      <c r="AI84" s="142"/>
      <c r="AJ84" s="142"/>
      <c r="AK84" s="142"/>
      <c r="AL84" s="142"/>
      <c r="AM84" s="142"/>
      <c r="AN84" s="142"/>
      <c r="AO84" s="142"/>
    </row>
    <row r="85" ht="15.75" customHeight="1">
      <c r="A85" s="142"/>
      <c r="B85" s="142"/>
      <c r="C85" s="142"/>
      <c r="D85" s="142"/>
      <c r="E85" s="131"/>
      <c r="F85" s="142"/>
      <c r="G85" s="142"/>
      <c r="H85" s="142"/>
      <c r="I85" s="142"/>
      <c r="J85" s="142"/>
      <c r="K85" s="132"/>
      <c r="L85" s="131"/>
      <c r="M85" s="131"/>
      <c r="N85" s="142"/>
      <c r="O85" s="142"/>
      <c r="P85" s="142"/>
      <c r="Q85" s="142"/>
      <c r="R85" s="142"/>
      <c r="S85" s="142"/>
      <c r="T85" s="131"/>
      <c r="U85" s="131"/>
      <c r="V85" s="131"/>
      <c r="W85" s="131"/>
      <c r="X85" s="131"/>
      <c r="Y85" s="131"/>
      <c r="Z85" s="142"/>
      <c r="AA85" s="142"/>
      <c r="AB85" s="142"/>
      <c r="AC85" s="142"/>
      <c r="AD85" s="142"/>
      <c r="AE85" s="142"/>
      <c r="AF85" s="142"/>
      <c r="AG85" s="142"/>
      <c r="AH85" s="142"/>
      <c r="AI85" s="142"/>
      <c r="AJ85" s="142"/>
      <c r="AK85" s="142"/>
      <c r="AL85" s="142"/>
      <c r="AM85" s="142"/>
      <c r="AN85" s="142"/>
      <c r="AO85" s="142"/>
    </row>
    <row r="86" ht="15.75" customHeight="1">
      <c r="A86" s="142"/>
      <c r="B86" s="142"/>
      <c r="C86" s="142"/>
      <c r="D86" s="142"/>
      <c r="E86" s="131"/>
      <c r="F86" s="142"/>
      <c r="G86" s="142"/>
      <c r="H86" s="142"/>
      <c r="I86" s="142"/>
      <c r="J86" s="142"/>
      <c r="K86" s="132"/>
      <c r="L86" s="131"/>
      <c r="M86" s="131"/>
      <c r="N86" s="142"/>
      <c r="O86" s="142"/>
      <c r="P86" s="142"/>
      <c r="Q86" s="142"/>
      <c r="R86" s="142"/>
      <c r="S86" s="142"/>
      <c r="T86" s="131"/>
      <c r="U86" s="131"/>
      <c r="V86" s="131"/>
      <c r="W86" s="131"/>
      <c r="X86" s="131"/>
      <c r="Y86" s="131"/>
      <c r="Z86" s="142"/>
      <c r="AA86" s="142"/>
      <c r="AB86" s="142"/>
      <c r="AC86" s="142"/>
      <c r="AD86" s="142"/>
      <c r="AE86" s="142"/>
      <c r="AF86" s="142"/>
      <c r="AG86" s="142"/>
      <c r="AH86" s="142"/>
      <c r="AI86" s="142"/>
      <c r="AJ86" s="142"/>
      <c r="AK86" s="142"/>
      <c r="AL86" s="142"/>
      <c r="AM86" s="142"/>
      <c r="AN86" s="142"/>
      <c r="AO86" s="142"/>
    </row>
    <row r="87" ht="15.75" customHeight="1">
      <c r="A87" s="142"/>
      <c r="B87" s="142"/>
      <c r="C87" s="142"/>
      <c r="D87" s="142"/>
      <c r="E87" s="131"/>
      <c r="F87" s="142"/>
      <c r="G87" s="142"/>
      <c r="H87" s="142"/>
      <c r="I87" s="142"/>
      <c r="J87" s="142"/>
      <c r="K87" s="132"/>
      <c r="L87" s="131"/>
      <c r="M87" s="131"/>
      <c r="N87" s="142"/>
      <c r="O87" s="142"/>
      <c r="P87" s="142"/>
      <c r="Q87" s="142"/>
      <c r="R87" s="142"/>
      <c r="S87" s="142"/>
      <c r="T87" s="131"/>
      <c r="U87" s="131"/>
      <c r="V87" s="131"/>
      <c r="W87" s="131"/>
      <c r="X87" s="131"/>
      <c r="Y87" s="131"/>
      <c r="Z87" s="142"/>
      <c r="AA87" s="142"/>
      <c r="AB87" s="142"/>
      <c r="AC87" s="142"/>
      <c r="AD87" s="142"/>
      <c r="AE87" s="142"/>
      <c r="AF87" s="142"/>
      <c r="AG87" s="142"/>
      <c r="AH87" s="142"/>
      <c r="AI87" s="142"/>
      <c r="AJ87" s="142"/>
      <c r="AK87" s="142"/>
      <c r="AL87" s="142"/>
      <c r="AM87" s="142"/>
      <c r="AN87" s="142"/>
      <c r="AO87" s="142"/>
    </row>
    <row r="88" ht="15.75" customHeight="1">
      <c r="A88" s="142"/>
      <c r="B88" s="142"/>
      <c r="C88" s="142"/>
      <c r="D88" s="142"/>
      <c r="E88" s="131"/>
      <c r="F88" s="142"/>
      <c r="G88" s="142"/>
      <c r="H88" s="142"/>
      <c r="I88" s="142"/>
      <c r="J88" s="142"/>
      <c r="K88" s="132"/>
      <c r="L88" s="131"/>
      <c r="M88" s="131"/>
      <c r="N88" s="142"/>
      <c r="O88" s="142"/>
      <c r="P88" s="142"/>
      <c r="Q88" s="142"/>
      <c r="R88" s="142"/>
      <c r="S88" s="142"/>
      <c r="T88" s="131"/>
      <c r="U88" s="131"/>
      <c r="V88" s="131"/>
      <c r="W88" s="131"/>
      <c r="X88" s="131"/>
      <c r="Y88" s="131"/>
      <c r="Z88" s="142"/>
      <c r="AA88" s="142"/>
      <c r="AB88" s="142"/>
      <c r="AC88" s="142"/>
      <c r="AD88" s="142"/>
      <c r="AE88" s="142"/>
      <c r="AF88" s="142"/>
      <c r="AG88" s="142"/>
      <c r="AH88" s="142"/>
      <c r="AI88" s="142"/>
      <c r="AJ88" s="142"/>
      <c r="AK88" s="142"/>
      <c r="AL88" s="142"/>
      <c r="AM88" s="142"/>
      <c r="AN88" s="142"/>
      <c r="AO88" s="142"/>
    </row>
    <row r="89" ht="15.75" customHeight="1">
      <c r="A89" s="142"/>
      <c r="B89" s="142"/>
      <c r="C89" s="142"/>
      <c r="D89" s="142"/>
      <c r="E89" s="131"/>
      <c r="F89" s="142"/>
      <c r="G89" s="142"/>
      <c r="H89" s="142"/>
      <c r="I89" s="142"/>
      <c r="J89" s="142"/>
      <c r="K89" s="132"/>
      <c r="L89" s="131"/>
      <c r="M89" s="131"/>
      <c r="N89" s="142"/>
      <c r="O89" s="142"/>
      <c r="P89" s="142"/>
      <c r="Q89" s="142"/>
      <c r="R89" s="142"/>
      <c r="S89" s="142"/>
      <c r="T89" s="131"/>
      <c r="U89" s="131"/>
      <c r="V89" s="131"/>
      <c r="W89" s="131"/>
      <c r="X89" s="131"/>
      <c r="Y89" s="131"/>
      <c r="Z89" s="142"/>
      <c r="AA89" s="142"/>
      <c r="AB89" s="142"/>
      <c r="AC89" s="142"/>
      <c r="AD89" s="142"/>
      <c r="AE89" s="142"/>
      <c r="AF89" s="142"/>
      <c r="AG89" s="142"/>
      <c r="AH89" s="142"/>
      <c r="AI89" s="142"/>
      <c r="AJ89" s="142"/>
      <c r="AK89" s="142"/>
      <c r="AL89" s="142"/>
      <c r="AM89" s="142"/>
      <c r="AN89" s="142"/>
      <c r="AO89" s="142"/>
    </row>
    <row r="90" ht="15.75" customHeight="1">
      <c r="A90" s="142"/>
      <c r="B90" s="142"/>
      <c r="C90" s="142"/>
      <c r="D90" s="142"/>
      <c r="E90" s="131"/>
      <c r="F90" s="142"/>
      <c r="G90" s="142"/>
      <c r="H90" s="142"/>
      <c r="I90" s="142"/>
      <c r="J90" s="142"/>
      <c r="K90" s="132"/>
      <c r="L90" s="131"/>
      <c r="M90" s="131"/>
      <c r="N90" s="142"/>
      <c r="O90" s="142"/>
      <c r="P90" s="142"/>
      <c r="Q90" s="142"/>
      <c r="R90" s="142"/>
      <c r="S90" s="142"/>
      <c r="T90" s="131"/>
      <c r="U90" s="131"/>
      <c r="V90" s="131"/>
      <c r="W90" s="131"/>
      <c r="X90" s="131"/>
      <c r="Y90" s="131"/>
      <c r="Z90" s="142"/>
      <c r="AA90" s="142"/>
      <c r="AB90" s="142"/>
      <c r="AC90" s="142"/>
      <c r="AD90" s="142"/>
      <c r="AE90" s="142"/>
      <c r="AF90" s="142"/>
      <c r="AG90" s="142"/>
      <c r="AH90" s="142"/>
      <c r="AI90" s="142"/>
      <c r="AJ90" s="142"/>
      <c r="AK90" s="142"/>
      <c r="AL90" s="142"/>
      <c r="AM90" s="142"/>
      <c r="AN90" s="142"/>
      <c r="AO90" s="142"/>
    </row>
    <row r="91" ht="15.75" customHeight="1">
      <c r="A91" s="142"/>
      <c r="B91" s="142"/>
      <c r="C91" s="142"/>
      <c r="D91" s="142"/>
      <c r="E91" s="131"/>
      <c r="F91" s="142"/>
      <c r="G91" s="142"/>
      <c r="H91" s="142"/>
      <c r="I91" s="142"/>
      <c r="J91" s="142"/>
      <c r="K91" s="132"/>
      <c r="L91" s="131"/>
      <c r="M91" s="131"/>
      <c r="N91" s="142"/>
      <c r="O91" s="142"/>
      <c r="P91" s="142"/>
      <c r="Q91" s="142"/>
      <c r="R91" s="142"/>
      <c r="S91" s="142"/>
      <c r="T91" s="131"/>
      <c r="U91" s="131"/>
      <c r="V91" s="131"/>
      <c r="W91" s="131"/>
      <c r="X91" s="131"/>
      <c r="Y91" s="131"/>
      <c r="Z91" s="142"/>
      <c r="AA91" s="142"/>
      <c r="AB91" s="142"/>
      <c r="AC91" s="142"/>
      <c r="AD91" s="142"/>
      <c r="AE91" s="142"/>
      <c r="AF91" s="142"/>
      <c r="AG91" s="142"/>
      <c r="AH91" s="142"/>
      <c r="AI91" s="142"/>
      <c r="AJ91" s="142"/>
      <c r="AK91" s="142"/>
      <c r="AL91" s="142"/>
      <c r="AM91" s="142"/>
      <c r="AN91" s="142"/>
      <c r="AO91" s="142"/>
    </row>
    <row r="92" ht="15.75" customHeight="1">
      <c r="A92" s="142"/>
      <c r="B92" s="142"/>
      <c r="C92" s="142"/>
      <c r="D92" s="142"/>
      <c r="E92" s="131"/>
      <c r="F92" s="142"/>
      <c r="G92" s="142"/>
      <c r="H92" s="142"/>
      <c r="I92" s="142"/>
      <c r="J92" s="142"/>
      <c r="K92" s="132"/>
      <c r="L92" s="131"/>
      <c r="M92" s="131"/>
      <c r="N92" s="142"/>
      <c r="O92" s="142"/>
      <c r="P92" s="142"/>
      <c r="Q92" s="142"/>
      <c r="R92" s="142"/>
      <c r="S92" s="142"/>
      <c r="T92" s="131"/>
      <c r="U92" s="131"/>
      <c r="V92" s="131"/>
      <c r="W92" s="131"/>
      <c r="X92" s="131"/>
      <c r="Y92" s="131"/>
      <c r="Z92" s="142"/>
      <c r="AA92" s="142"/>
      <c r="AB92" s="142"/>
      <c r="AC92" s="142"/>
      <c r="AD92" s="142"/>
      <c r="AE92" s="142"/>
      <c r="AF92" s="142"/>
      <c r="AG92" s="142"/>
      <c r="AH92" s="142"/>
      <c r="AI92" s="142"/>
      <c r="AJ92" s="142"/>
      <c r="AK92" s="142"/>
      <c r="AL92" s="142"/>
      <c r="AM92" s="142"/>
      <c r="AN92" s="142"/>
      <c r="AO92" s="142"/>
    </row>
    <row r="93" ht="15.75" customHeight="1">
      <c r="A93" s="142"/>
      <c r="B93" s="142"/>
      <c r="C93" s="142"/>
      <c r="D93" s="142"/>
      <c r="E93" s="131"/>
      <c r="F93" s="142"/>
      <c r="G93" s="142"/>
      <c r="H93" s="142"/>
      <c r="I93" s="142"/>
      <c r="J93" s="142"/>
      <c r="K93" s="132"/>
      <c r="L93" s="131"/>
      <c r="M93" s="131"/>
      <c r="N93" s="142"/>
      <c r="O93" s="142"/>
      <c r="P93" s="142"/>
      <c r="Q93" s="142"/>
      <c r="R93" s="142"/>
      <c r="S93" s="142"/>
      <c r="T93" s="131"/>
      <c r="U93" s="131"/>
      <c r="V93" s="131"/>
      <c r="W93" s="131"/>
      <c r="X93" s="131"/>
      <c r="Y93" s="131"/>
      <c r="Z93" s="142"/>
      <c r="AA93" s="142"/>
      <c r="AB93" s="142"/>
      <c r="AC93" s="142"/>
      <c r="AD93" s="142"/>
      <c r="AE93" s="142"/>
      <c r="AF93" s="142"/>
      <c r="AG93" s="142"/>
      <c r="AH93" s="142"/>
      <c r="AI93" s="142"/>
      <c r="AJ93" s="142"/>
      <c r="AK93" s="142"/>
      <c r="AL93" s="142"/>
      <c r="AM93" s="142"/>
      <c r="AN93" s="142"/>
      <c r="AO93" s="142"/>
    </row>
    <row r="94" ht="15.75" customHeight="1">
      <c r="A94" s="142"/>
      <c r="B94" s="142"/>
      <c r="C94" s="142"/>
      <c r="D94" s="142"/>
      <c r="E94" s="131"/>
      <c r="F94" s="142"/>
      <c r="G94" s="142"/>
      <c r="H94" s="142"/>
      <c r="I94" s="142"/>
      <c r="J94" s="142"/>
      <c r="K94" s="132"/>
      <c r="L94" s="131"/>
      <c r="M94" s="131"/>
      <c r="N94" s="142"/>
      <c r="O94" s="142"/>
      <c r="P94" s="142"/>
      <c r="Q94" s="142"/>
      <c r="R94" s="142"/>
      <c r="S94" s="142"/>
      <c r="T94" s="131"/>
      <c r="U94" s="131"/>
      <c r="V94" s="131"/>
      <c r="W94" s="131"/>
      <c r="X94" s="131"/>
      <c r="Y94" s="131"/>
      <c r="Z94" s="142"/>
      <c r="AA94" s="142"/>
      <c r="AB94" s="142"/>
      <c r="AC94" s="142"/>
      <c r="AD94" s="142"/>
      <c r="AE94" s="142"/>
      <c r="AF94" s="142"/>
      <c r="AG94" s="142"/>
      <c r="AH94" s="142"/>
      <c r="AI94" s="142"/>
      <c r="AJ94" s="142"/>
      <c r="AK94" s="142"/>
      <c r="AL94" s="142"/>
      <c r="AM94" s="142"/>
      <c r="AN94" s="142"/>
      <c r="AO94" s="142"/>
    </row>
    <row r="95" ht="15.75" customHeight="1">
      <c r="A95" s="142"/>
      <c r="B95" s="142"/>
      <c r="C95" s="142"/>
      <c r="D95" s="142"/>
      <c r="E95" s="131"/>
      <c r="F95" s="142"/>
      <c r="G95" s="142"/>
      <c r="H95" s="142"/>
      <c r="I95" s="142"/>
      <c r="J95" s="142"/>
      <c r="K95" s="132"/>
      <c r="L95" s="131"/>
      <c r="M95" s="131"/>
      <c r="N95" s="142"/>
      <c r="O95" s="142"/>
      <c r="P95" s="142"/>
      <c r="Q95" s="142"/>
      <c r="R95" s="142"/>
      <c r="S95" s="142"/>
      <c r="T95" s="131"/>
      <c r="U95" s="131"/>
      <c r="V95" s="131"/>
      <c r="W95" s="131"/>
      <c r="X95" s="131"/>
      <c r="Y95" s="131"/>
      <c r="Z95" s="142"/>
      <c r="AA95" s="142"/>
      <c r="AB95" s="142"/>
      <c r="AC95" s="142"/>
      <c r="AD95" s="142"/>
      <c r="AE95" s="142"/>
      <c r="AF95" s="142"/>
      <c r="AG95" s="142"/>
      <c r="AH95" s="142"/>
      <c r="AI95" s="142"/>
      <c r="AJ95" s="142"/>
      <c r="AK95" s="142"/>
      <c r="AL95" s="142"/>
      <c r="AM95" s="142"/>
      <c r="AN95" s="142"/>
      <c r="AO95" s="142"/>
    </row>
    <row r="96" ht="15.75" customHeight="1">
      <c r="A96" s="142"/>
      <c r="B96" s="142"/>
      <c r="C96" s="142"/>
      <c r="D96" s="142"/>
      <c r="E96" s="131"/>
      <c r="F96" s="142"/>
      <c r="G96" s="142"/>
      <c r="H96" s="142"/>
      <c r="I96" s="142"/>
      <c r="J96" s="142"/>
      <c r="K96" s="132"/>
      <c r="L96" s="131"/>
      <c r="M96" s="131"/>
      <c r="N96" s="142"/>
      <c r="O96" s="142"/>
      <c r="P96" s="142"/>
      <c r="Q96" s="142"/>
      <c r="R96" s="142"/>
      <c r="S96" s="142"/>
      <c r="T96" s="131"/>
      <c r="U96" s="131"/>
      <c r="V96" s="131"/>
      <c r="W96" s="131"/>
      <c r="X96" s="131"/>
      <c r="Y96" s="131"/>
      <c r="Z96" s="142"/>
      <c r="AA96" s="142"/>
      <c r="AB96" s="142"/>
      <c r="AC96" s="142"/>
      <c r="AD96" s="142"/>
      <c r="AE96" s="142"/>
      <c r="AF96" s="142"/>
      <c r="AG96" s="142"/>
      <c r="AH96" s="142"/>
      <c r="AI96" s="142"/>
      <c r="AJ96" s="142"/>
      <c r="AK96" s="142"/>
      <c r="AL96" s="142"/>
      <c r="AM96" s="142"/>
      <c r="AN96" s="142"/>
      <c r="AO96" s="142"/>
    </row>
    <row r="97" ht="15.75" customHeight="1">
      <c r="A97" s="142"/>
      <c r="B97" s="142"/>
      <c r="C97" s="142"/>
      <c r="D97" s="142"/>
      <c r="E97" s="131"/>
      <c r="F97" s="142"/>
      <c r="G97" s="142"/>
      <c r="H97" s="142"/>
      <c r="I97" s="142"/>
      <c r="J97" s="142"/>
      <c r="K97" s="132"/>
      <c r="L97" s="131"/>
      <c r="M97" s="131"/>
      <c r="N97" s="142"/>
      <c r="O97" s="142"/>
      <c r="P97" s="142"/>
      <c r="Q97" s="142"/>
      <c r="R97" s="142"/>
      <c r="S97" s="142"/>
      <c r="T97" s="131"/>
      <c r="U97" s="131"/>
      <c r="V97" s="131"/>
      <c r="W97" s="131"/>
      <c r="X97" s="131"/>
      <c r="Y97" s="131"/>
      <c r="Z97" s="142"/>
      <c r="AA97" s="142"/>
      <c r="AB97" s="142"/>
      <c r="AC97" s="142"/>
      <c r="AD97" s="142"/>
      <c r="AE97" s="142"/>
      <c r="AF97" s="142"/>
      <c r="AG97" s="142"/>
      <c r="AH97" s="142"/>
      <c r="AI97" s="142"/>
      <c r="AJ97" s="142"/>
      <c r="AK97" s="142"/>
      <c r="AL97" s="142"/>
      <c r="AM97" s="142"/>
      <c r="AN97" s="142"/>
      <c r="AO97" s="142"/>
    </row>
    <row r="98" ht="15.75" customHeight="1">
      <c r="A98" s="142"/>
      <c r="B98" s="142"/>
      <c r="C98" s="142"/>
      <c r="D98" s="142"/>
      <c r="E98" s="131"/>
      <c r="F98" s="142"/>
      <c r="G98" s="142"/>
      <c r="H98" s="142"/>
      <c r="I98" s="142"/>
      <c r="J98" s="142"/>
      <c r="K98" s="132"/>
      <c r="L98" s="131"/>
      <c r="M98" s="131"/>
      <c r="N98" s="142"/>
      <c r="O98" s="142"/>
      <c r="P98" s="142"/>
      <c r="Q98" s="142"/>
      <c r="R98" s="142"/>
      <c r="S98" s="142"/>
      <c r="T98" s="131"/>
      <c r="U98" s="131"/>
      <c r="V98" s="131"/>
      <c r="W98" s="131"/>
      <c r="X98" s="131"/>
      <c r="Y98" s="131"/>
      <c r="Z98" s="142"/>
      <c r="AA98" s="142"/>
      <c r="AB98" s="142"/>
      <c r="AC98" s="142"/>
      <c r="AD98" s="142"/>
      <c r="AE98" s="142"/>
      <c r="AF98" s="142"/>
      <c r="AG98" s="142"/>
      <c r="AH98" s="142"/>
      <c r="AI98" s="142"/>
      <c r="AJ98" s="142"/>
      <c r="AK98" s="142"/>
      <c r="AL98" s="142"/>
      <c r="AM98" s="142"/>
      <c r="AN98" s="142"/>
      <c r="AO98" s="142"/>
    </row>
    <row r="99" ht="15.75" customHeight="1">
      <c r="A99" s="142"/>
      <c r="B99" s="142"/>
      <c r="C99" s="142"/>
      <c r="D99" s="142"/>
      <c r="E99" s="131"/>
      <c r="F99" s="142"/>
      <c r="G99" s="142"/>
      <c r="H99" s="142"/>
      <c r="I99" s="142"/>
      <c r="J99" s="142"/>
      <c r="K99" s="132"/>
      <c r="L99" s="131"/>
      <c r="M99" s="131"/>
      <c r="N99" s="142"/>
      <c r="O99" s="142"/>
      <c r="P99" s="142"/>
      <c r="Q99" s="142"/>
      <c r="R99" s="142"/>
      <c r="S99" s="142"/>
      <c r="T99" s="131"/>
      <c r="U99" s="131"/>
      <c r="V99" s="131"/>
      <c r="W99" s="131"/>
      <c r="X99" s="131"/>
      <c r="Y99" s="131"/>
      <c r="Z99" s="142"/>
      <c r="AA99" s="142"/>
      <c r="AB99" s="142"/>
      <c r="AC99" s="142"/>
      <c r="AD99" s="142"/>
      <c r="AE99" s="142"/>
      <c r="AF99" s="142"/>
      <c r="AG99" s="142"/>
      <c r="AH99" s="142"/>
      <c r="AI99" s="142"/>
      <c r="AJ99" s="142"/>
      <c r="AK99" s="142"/>
      <c r="AL99" s="142"/>
      <c r="AM99" s="142"/>
      <c r="AN99" s="142"/>
      <c r="AO99" s="142"/>
    </row>
    <row r="100" ht="15.75" customHeight="1">
      <c r="A100" s="142"/>
      <c r="B100" s="142"/>
      <c r="C100" s="142"/>
      <c r="D100" s="142"/>
      <c r="E100" s="131"/>
      <c r="F100" s="142"/>
      <c r="G100" s="142"/>
      <c r="H100" s="142"/>
      <c r="I100" s="142"/>
      <c r="J100" s="142"/>
      <c r="K100" s="132"/>
      <c r="L100" s="131"/>
      <c r="M100" s="131"/>
      <c r="N100" s="142"/>
      <c r="O100" s="142"/>
      <c r="P100" s="142"/>
      <c r="Q100" s="142"/>
      <c r="R100" s="142"/>
      <c r="S100" s="142"/>
      <c r="T100" s="131"/>
      <c r="U100" s="131"/>
      <c r="V100" s="131"/>
      <c r="W100" s="131"/>
      <c r="X100" s="131"/>
      <c r="Y100" s="131"/>
      <c r="Z100" s="142"/>
      <c r="AA100" s="142"/>
      <c r="AB100" s="142"/>
      <c r="AC100" s="142"/>
      <c r="AD100" s="142"/>
      <c r="AE100" s="142"/>
      <c r="AF100" s="142"/>
      <c r="AG100" s="142"/>
      <c r="AH100" s="142"/>
      <c r="AI100" s="142"/>
      <c r="AJ100" s="142"/>
      <c r="AK100" s="142"/>
      <c r="AL100" s="142"/>
      <c r="AM100" s="142"/>
      <c r="AN100" s="142"/>
      <c r="AO100" s="142"/>
    </row>
    <row r="101" ht="15.75" customHeight="1">
      <c r="A101" s="142"/>
      <c r="B101" s="142"/>
      <c r="C101" s="142"/>
      <c r="D101" s="142"/>
      <c r="E101" s="131"/>
      <c r="F101" s="142"/>
      <c r="G101" s="142"/>
      <c r="H101" s="142"/>
      <c r="I101" s="142"/>
      <c r="J101" s="142"/>
      <c r="K101" s="132"/>
      <c r="L101" s="131"/>
      <c r="M101" s="131"/>
      <c r="N101" s="142"/>
      <c r="O101" s="142"/>
      <c r="P101" s="142"/>
      <c r="Q101" s="142"/>
      <c r="R101" s="142"/>
      <c r="S101" s="142"/>
      <c r="T101" s="131"/>
      <c r="U101" s="131"/>
      <c r="V101" s="131"/>
      <c r="W101" s="131"/>
      <c r="X101" s="131"/>
      <c r="Y101" s="131"/>
      <c r="Z101" s="142"/>
      <c r="AA101" s="142"/>
      <c r="AB101" s="142"/>
      <c r="AC101" s="142"/>
      <c r="AD101" s="142"/>
      <c r="AE101" s="142"/>
      <c r="AF101" s="142"/>
      <c r="AG101" s="142"/>
      <c r="AH101" s="142"/>
      <c r="AI101" s="142"/>
      <c r="AJ101" s="142"/>
      <c r="AK101" s="142"/>
      <c r="AL101" s="142"/>
      <c r="AM101" s="142"/>
      <c r="AN101" s="142"/>
      <c r="AO101" s="142"/>
    </row>
    <row r="102" ht="15.75" customHeight="1">
      <c r="A102" s="142"/>
      <c r="B102" s="142"/>
      <c r="C102" s="142"/>
      <c r="D102" s="142"/>
      <c r="E102" s="131"/>
      <c r="F102" s="142"/>
      <c r="G102" s="142"/>
      <c r="H102" s="142"/>
      <c r="I102" s="142"/>
      <c r="J102" s="142"/>
      <c r="K102" s="132"/>
      <c r="L102" s="131"/>
      <c r="M102" s="131"/>
      <c r="N102" s="142"/>
      <c r="O102" s="142"/>
      <c r="P102" s="142"/>
      <c r="Q102" s="142"/>
      <c r="R102" s="142"/>
      <c r="S102" s="142"/>
      <c r="T102" s="131"/>
      <c r="U102" s="131"/>
      <c r="V102" s="131"/>
      <c r="W102" s="131"/>
      <c r="X102" s="131"/>
      <c r="Y102" s="131"/>
      <c r="Z102" s="142"/>
      <c r="AA102" s="142"/>
      <c r="AB102" s="142"/>
      <c r="AC102" s="142"/>
      <c r="AD102" s="142"/>
      <c r="AE102" s="142"/>
      <c r="AF102" s="142"/>
      <c r="AG102" s="142"/>
      <c r="AH102" s="142"/>
      <c r="AI102" s="142"/>
      <c r="AJ102" s="142"/>
      <c r="AK102" s="142"/>
      <c r="AL102" s="142"/>
      <c r="AM102" s="142"/>
      <c r="AN102" s="142"/>
      <c r="AO102" s="142"/>
    </row>
    <row r="103" ht="15.75" customHeight="1">
      <c r="A103" s="142"/>
      <c r="B103" s="142"/>
      <c r="C103" s="142"/>
      <c r="D103" s="142"/>
      <c r="E103" s="131"/>
      <c r="F103" s="142"/>
      <c r="G103" s="142"/>
      <c r="H103" s="142"/>
      <c r="I103" s="142"/>
      <c r="J103" s="142"/>
      <c r="K103" s="132"/>
      <c r="L103" s="131"/>
      <c r="M103" s="131"/>
      <c r="N103" s="142"/>
      <c r="O103" s="142"/>
      <c r="P103" s="142"/>
      <c r="Q103" s="142"/>
      <c r="R103" s="142"/>
      <c r="S103" s="142"/>
      <c r="T103" s="131"/>
      <c r="U103" s="131"/>
      <c r="V103" s="131"/>
      <c r="W103" s="131"/>
      <c r="X103" s="131"/>
      <c r="Y103" s="131"/>
      <c r="Z103" s="142"/>
      <c r="AA103" s="142"/>
      <c r="AB103" s="142"/>
      <c r="AC103" s="142"/>
      <c r="AD103" s="142"/>
      <c r="AE103" s="142"/>
      <c r="AF103" s="142"/>
      <c r="AG103" s="142"/>
      <c r="AH103" s="142"/>
      <c r="AI103" s="142"/>
      <c r="AJ103" s="142"/>
      <c r="AK103" s="142"/>
      <c r="AL103" s="142"/>
      <c r="AM103" s="142"/>
      <c r="AN103" s="142"/>
      <c r="AO103" s="142"/>
    </row>
    <row r="104" ht="15.75" customHeight="1">
      <c r="A104" s="142"/>
      <c r="B104" s="142"/>
      <c r="C104" s="142"/>
      <c r="D104" s="142"/>
      <c r="E104" s="131"/>
      <c r="F104" s="142"/>
      <c r="G104" s="142"/>
      <c r="H104" s="142"/>
      <c r="I104" s="142"/>
      <c r="J104" s="142"/>
      <c r="K104" s="132"/>
      <c r="L104" s="131"/>
      <c r="M104" s="131"/>
      <c r="N104" s="142"/>
      <c r="O104" s="142"/>
      <c r="P104" s="142"/>
      <c r="Q104" s="142"/>
      <c r="R104" s="142"/>
      <c r="S104" s="142"/>
      <c r="T104" s="131"/>
      <c r="U104" s="131"/>
      <c r="V104" s="131"/>
      <c r="W104" s="131"/>
      <c r="X104" s="131"/>
      <c r="Y104" s="131"/>
      <c r="Z104" s="142"/>
      <c r="AA104" s="142"/>
      <c r="AB104" s="142"/>
      <c r="AC104" s="142"/>
      <c r="AD104" s="142"/>
      <c r="AE104" s="142"/>
      <c r="AF104" s="142"/>
      <c r="AG104" s="142"/>
      <c r="AH104" s="142"/>
      <c r="AI104" s="142"/>
      <c r="AJ104" s="142"/>
      <c r="AK104" s="142"/>
      <c r="AL104" s="142"/>
      <c r="AM104" s="142"/>
      <c r="AN104" s="142"/>
      <c r="AO104" s="142"/>
    </row>
    <row r="105" ht="15.75" customHeight="1">
      <c r="A105" s="142"/>
      <c r="B105" s="142"/>
      <c r="C105" s="142"/>
      <c r="D105" s="142"/>
      <c r="E105" s="131"/>
      <c r="F105" s="142"/>
      <c r="G105" s="142"/>
      <c r="H105" s="142"/>
      <c r="I105" s="142"/>
      <c r="J105" s="142"/>
      <c r="K105" s="132"/>
      <c r="L105" s="131"/>
      <c r="M105" s="131"/>
      <c r="N105" s="142"/>
      <c r="O105" s="142"/>
      <c r="P105" s="142"/>
      <c r="Q105" s="142"/>
      <c r="R105" s="142"/>
      <c r="S105" s="142"/>
      <c r="T105" s="131"/>
      <c r="U105" s="131"/>
      <c r="V105" s="131"/>
      <c r="W105" s="131"/>
      <c r="X105" s="131"/>
      <c r="Y105" s="131"/>
      <c r="Z105" s="142"/>
      <c r="AA105" s="142"/>
      <c r="AB105" s="142"/>
      <c r="AC105" s="142"/>
      <c r="AD105" s="142"/>
      <c r="AE105" s="142"/>
      <c r="AF105" s="142"/>
      <c r="AG105" s="142"/>
      <c r="AH105" s="142"/>
      <c r="AI105" s="142"/>
      <c r="AJ105" s="142"/>
      <c r="AK105" s="142"/>
      <c r="AL105" s="142"/>
      <c r="AM105" s="142"/>
      <c r="AN105" s="142"/>
      <c r="AO105" s="142"/>
    </row>
    <row r="106" ht="15.75" customHeight="1">
      <c r="A106" s="142"/>
      <c r="B106" s="142"/>
      <c r="C106" s="142"/>
      <c r="D106" s="142"/>
      <c r="E106" s="131"/>
      <c r="F106" s="142"/>
      <c r="G106" s="142"/>
      <c r="H106" s="142"/>
      <c r="I106" s="142"/>
      <c r="J106" s="142"/>
      <c r="K106" s="132"/>
      <c r="L106" s="131"/>
      <c r="M106" s="131"/>
      <c r="N106" s="142"/>
      <c r="O106" s="142"/>
      <c r="P106" s="142"/>
      <c r="Q106" s="142"/>
      <c r="R106" s="142"/>
      <c r="S106" s="142"/>
      <c r="T106" s="131"/>
      <c r="U106" s="131"/>
      <c r="V106" s="131"/>
      <c r="W106" s="131"/>
      <c r="X106" s="131"/>
      <c r="Y106" s="131"/>
      <c r="Z106" s="142"/>
      <c r="AA106" s="142"/>
      <c r="AB106" s="142"/>
      <c r="AC106" s="142"/>
      <c r="AD106" s="142"/>
      <c r="AE106" s="142"/>
      <c r="AF106" s="142"/>
      <c r="AG106" s="142"/>
      <c r="AH106" s="142"/>
      <c r="AI106" s="142"/>
      <c r="AJ106" s="142"/>
      <c r="AK106" s="142"/>
      <c r="AL106" s="142"/>
      <c r="AM106" s="142"/>
      <c r="AN106" s="142"/>
      <c r="AO106" s="142"/>
    </row>
    <row r="107" ht="15.75" customHeight="1">
      <c r="A107" s="142"/>
      <c r="B107" s="142"/>
      <c r="C107" s="142"/>
      <c r="D107" s="142"/>
      <c r="E107" s="131"/>
      <c r="F107" s="142"/>
      <c r="G107" s="142"/>
      <c r="H107" s="142"/>
      <c r="I107" s="142"/>
      <c r="J107" s="142"/>
      <c r="K107" s="132"/>
      <c r="L107" s="131"/>
      <c r="M107" s="131"/>
      <c r="N107" s="142"/>
      <c r="O107" s="142"/>
      <c r="P107" s="142"/>
      <c r="Q107" s="142"/>
      <c r="R107" s="142"/>
      <c r="S107" s="142"/>
      <c r="T107" s="131"/>
      <c r="U107" s="131"/>
      <c r="V107" s="131"/>
      <c r="W107" s="131"/>
      <c r="X107" s="131"/>
      <c r="Y107" s="131"/>
      <c r="Z107" s="142"/>
      <c r="AA107" s="142"/>
      <c r="AB107" s="142"/>
      <c r="AC107" s="142"/>
      <c r="AD107" s="142"/>
      <c r="AE107" s="142"/>
      <c r="AF107" s="142"/>
      <c r="AG107" s="142"/>
      <c r="AH107" s="142"/>
      <c r="AI107" s="142"/>
      <c r="AJ107" s="142"/>
      <c r="AK107" s="142"/>
      <c r="AL107" s="142"/>
      <c r="AM107" s="142"/>
      <c r="AN107" s="142"/>
      <c r="AO107" s="142"/>
    </row>
    <row r="108" ht="15.75" customHeight="1">
      <c r="A108" s="142"/>
      <c r="B108" s="142"/>
      <c r="C108" s="142"/>
      <c r="D108" s="142"/>
      <c r="E108" s="131"/>
      <c r="F108" s="142"/>
      <c r="G108" s="142"/>
      <c r="H108" s="142"/>
      <c r="I108" s="142"/>
      <c r="J108" s="142"/>
      <c r="K108" s="132"/>
      <c r="L108" s="131"/>
      <c r="M108" s="131"/>
      <c r="N108" s="142"/>
      <c r="O108" s="142"/>
      <c r="P108" s="142"/>
      <c r="Q108" s="142"/>
      <c r="R108" s="142"/>
      <c r="S108" s="142"/>
      <c r="T108" s="131"/>
      <c r="U108" s="131"/>
      <c r="V108" s="131"/>
      <c r="W108" s="131"/>
      <c r="X108" s="131"/>
      <c r="Y108" s="131"/>
      <c r="Z108" s="142"/>
      <c r="AA108" s="142"/>
      <c r="AB108" s="142"/>
      <c r="AC108" s="142"/>
      <c r="AD108" s="142"/>
      <c r="AE108" s="142"/>
      <c r="AF108" s="142"/>
      <c r="AG108" s="142"/>
      <c r="AH108" s="142"/>
      <c r="AI108" s="142"/>
      <c r="AJ108" s="142"/>
      <c r="AK108" s="142"/>
      <c r="AL108" s="142"/>
      <c r="AM108" s="142"/>
      <c r="AN108" s="142"/>
      <c r="AO108" s="142"/>
    </row>
    <row r="109" ht="15.75" customHeight="1">
      <c r="A109" s="142"/>
      <c r="B109" s="142"/>
      <c r="C109" s="142"/>
      <c r="D109" s="142"/>
      <c r="E109" s="131"/>
      <c r="F109" s="142"/>
      <c r="G109" s="142"/>
      <c r="H109" s="142"/>
      <c r="I109" s="142"/>
      <c r="J109" s="142"/>
      <c r="K109" s="132"/>
      <c r="L109" s="131"/>
      <c r="M109" s="131"/>
      <c r="N109" s="142"/>
      <c r="O109" s="142"/>
      <c r="P109" s="142"/>
      <c r="Q109" s="142"/>
      <c r="R109" s="142"/>
      <c r="S109" s="142"/>
      <c r="T109" s="131"/>
      <c r="U109" s="131"/>
      <c r="V109" s="131"/>
      <c r="W109" s="131"/>
      <c r="X109" s="131"/>
      <c r="Y109" s="131"/>
      <c r="Z109" s="142"/>
      <c r="AA109" s="142"/>
      <c r="AB109" s="142"/>
      <c r="AC109" s="142"/>
      <c r="AD109" s="142"/>
      <c r="AE109" s="142"/>
      <c r="AF109" s="142"/>
      <c r="AG109" s="142"/>
      <c r="AH109" s="142"/>
      <c r="AI109" s="142"/>
      <c r="AJ109" s="142"/>
      <c r="AK109" s="142"/>
      <c r="AL109" s="142"/>
      <c r="AM109" s="142"/>
      <c r="AN109" s="142"/>
      <c r="AO109" s="142"/>
    </row>
    <row r="110" ht="15.75" customHeight="1">
      <c r="A110" s="142"/>
      <c r="B110" s="142"/>
      <c r="C110" s="142"/>
      <c r="D110" s="142"/>
      <c r="E110" s="131"/>
      <c r="F110" s="142"/>
      <c r="G110" s="142"/>
      <c r="H110" s="142"/>
      <c r="I110" s="142"/>
      <c r="J110" s="142"/>
      <c r="K110" s="132"/>
      <c r="L110" s="131"/>
      <c r="M110" s="131"/>
      <c r="N110" s="142"/>
      <c r="O110" s="142"/>
      <c r="P110" s="142"/>
      <c r="Q110" s="142"/>
      <c r="R110" s="142"/>
      <c r="S110" s="142"/>
      <c r="T110" s="131"/>
      <c r="U110" s="131"/>
      <c r="V110" s="131"/>
      <c r="W110" s="131"/>
      <c r="X110" s="131"/>
      <c r="Y110" s="131"/>
      <c r="Z110" s="142"/>
      <c r="AA110" s="142"/>
      <c r="AB110" s="142"/>
      <c r="AC110" s="142"/>
      <c r="AD110" s="142"/>
      <c r="AE110" s="142"/>
      <c r="AF110" s="142"/>
      <c r="AG110" s="142"/>
      <c r="AH110" s="142"/>
      <c r="AI110" s="142"/>
      <c r="AJ110" s="142"/>
      <c r="AK110" s="142"/>
      <c r="AL110" s="142"/>
      <c r="AM110" s="142"/>
      <c r="AN110" s="142"/>
      <c r="AO110" s="142"/>
    </row>
    <row r="111" ht="15.75" customHeight="1">
      <c r="A111" s="142"/>
      <c r="B111" s="142"/>
      <c r="C111" s="142"/>
      <c r="D111" s="142"/>
      <c r="E111" s="131"/>
      <c r="F111" s="142"/>
      <c r="G111" s="142"/>
      <c r="H111" s="142"/>
      <c r="I111" s="142"/>
      <c r="J111" s="142"/>
      <c r="K111" s="132"/>
      <c r="L111" s="131"/>
      <c r="M111" s="131"/>
      <c r="N111" s="142"/>
      <c r="O111" s="142"/>
      <c r="P111" s="142"/>
      <c r="Q111" s="142"/>
      <c r="R111" s="142"/>
      <c r="S111" s="142"/>
      <c r="T111" s="131"/>
      <c r="U111" s="131"/>
      <c r="V111" s="131"/>
      <c r="W111" s="131"/>
      <c r="X111" s="131"/>
      <c r="Y111" s="131"/>
      <c r="Z111" s="142"/>
      <c r="AA111" s="142"/>
      <c r="AB111" s="142"/>
      <c r="AC111" s="142"/>
      <c r="AD111" s="142"/>
      <c r="AE111" s="142"/>
      <c r="AF111" s="142"/>
      <c r="AG111" s="142"/>
      <c r="AH111" s="142"/>
      <c r="AI111" s="142"/>
      <c r="AJ111" s="142"/>
      <c r="AK111" s="142"/>
      <c r="AL111" s="142"/>
      <c r="AM111" s="142"/>
      <c r="AN111" s="142"/>
      <c r="AO111" s="142"/>
    </row>
    <row r="112" ht="15.75" customHeight="1">
      <c r="A112" s="142"/>
      <c r="B112" s="142"/>
      <c r="C112" s="142"/>
      <c r="D112" s="142"/>
      <c r="E112" s="131"/>
      <c r="F112" s="142"/>
      <c r="G112" s="142"/>
      <c r="H112" s="142"/>
      <c r="I112" s="142"/>
      <c r="J112" s="142"/>
      <c r="K112" s="132"/>
      <c r="L112" s="131"/>
      <c r="M112" s="131"/>
      <c r="N112" s="142"/>
      <c r="O112" s="142"/>
      <c r="P112" s="142"/>
      <c r="Q112" s="142"/>
      <c r="R112" s="142"/>
      <c r="S112" s="142"/>
      <c r="T112" s="131"/>
      <c r="U112" s="131"/>
      <c r="V112" s="131"/>
      <c r="W112" s="131"/>
      <c r="X112" s="131"/>
      <c r="Y112" s="131"/>
      <c r="Z112" s="142"/>
      <c r="AA112" s="142"/>
      <c r="AB112" s="142"/>
      <c r="AC112" s="142"/>
      <c r="AD112" s="142"/>
      <c r="AE112" s="142"/>
      <c r="AF112" s="142"/>
      <c r="AG112" s="142"/>
      <c r="AH112" s="142"/>
      <c r="AI112" s="142"/>
      <c r="AJ112" s="142"/>
      <c r="AK112" s="142"/>
      <c r="AL112" s="142"/>
      <c r="AM112" s="142"/>
      <c r="AN112" s="142"/>
      <c r="AO112" s="142"/>
    </row>
    <row r="113" ht="15.75" customHeight="1">
      <c r="A113" s="142"/>
      <c r="B113" s="142"/>
      <c r="C113" s="142"/>
      <c r="D113" s="142"/>
      <c r="E113" s="131"/>
      <c r="F113" s="142"/>
      <c r="G113" s="142"/>
      <c r="H113" s="142"/>
      <c r="I113" s="142"/>
      <c r="J113" s="142"/>
      <c r="K113" s="132"/>
      <c r="L113" s="131"/>
      <c r="M113" s="131"/>
      <c r="N113" s="142"/>
      <c r="O113" s="142"/>
      <c r="P113" s="142"/>
      <c r="Q113" s="142"/>
      <c r="R113" s="142"/>
      <c r="S113" s="142"/>
      <c r="T113" s="131"/>
      <c r="U113" s="131"/>
      <c r="V113" s="131"/>
      <c r="W113" s="131"/>
      <c r="X113" s="131"/>
      <c r="Y113" s="131"/>
      <c r="Z113" s="142"/>
      <c r="AA113" s="142"/>
      <c r="AB113" s="142"/>
      <c r="AC113" s="142"/>
      <c r="AD113" s="142"/>
      <c r="AE113" s="142"/>
      <c r="AF113" s="142"/>
      <c r="AG113" s="142"/>
      <c r="AH113" s="142"/>
      <c r="AI113" s="142"/>
      <c r="AJ113" s="142"/>
      <c r="AK113" s="142"/>
      <c r="AL113" s="142"/>
      <c r="AM113" s="142"/>
      <c r="AN113" s="142"/>
      <c r="AO113" s="142"/>
    </row>
    <row r="114" ht="15.75" customHeight="1">
      <c r="A114" s="142"/>
      <c r="B114" s="142"/>
      <c r="C114" s="142"/>
      <c r="D114" s="142"/>
      <c r="E114" s="131"/>
      <c r="F114" s="142"/>
      <c r="G114" s="142"/>
      <c r="H114" s="142"/>
      <c r="I114" s="142"/>
      <c r="J114" s="142"/>
      <c r="K114" s="132"/>
      <c r="L114" s="131"/>
      <c r="M114" s="131"/>
      <c r="N114" s="142"/>
      <c r="O114" s="142"/>
      <c r="P114" s="142"/>
      <c r="Q114" s="142"/>
      <c r="R114" s="142"/>
      <c r="S114" s="142"/>
      <c r="T114" s="131"/>
      <c r="U114" s="131"/>
      <c r="V114" s="131"/>
      <c r="W114" s="131"/>
      <c r="X114" s="131"/>
      <c r="Y114" s="131"/>
      <c r="Z114" s="142"/>
      <c r="AA114" s="142"/>
      <c r="AB114" s="142"/>
      <c r="AC114" s="142"/>
      <c r="AD114" s="142"/>
      <c r="AE114" s="142"/>
      <c r="AF114" s="142"/>
      <c r="AG114" s="142"/>
      <c r="AH114" s="142"/>
      <c r="AI114" s="142"/>
      <c r="AJ114" s="142"/>
      <c r="AK114" s="142"/>
      <c r="AL114" s="142"/>
      <c r="AM114" s="142"/>
      <c r="AN114" s="142"/>
      <c r="AO114" s="142"/>
    </row>
    <row r="115" ht="15.75" customHeight="1">
      <c r="A115" s="142"/>
      <c r="B115" s="142"/>
      <c r="C115" s="142"/>
      <c r="D115" s="142"/>
      <c r="E115" s="131"/>
      <c r="F115" s="142"/>
      <c r="G115" s="142"/>
      <c r="H115" s="142"/>
      <c r="I115" s="142"/>
      <c r="J115" s="142"/>
      <c r="K115" s="132"/>
      <c r="L115" s="131"/>
      <c r="M115" s="131"/>
      <c r="N115" s="142"/>
      <c r="O115" s="142"/>
      <c r="P115" s="142"/>
      <c r="Q115" s="142"/>
      <c r="R115" s="142"/>
      <c r="S115" s="142"/>
      <c r="T115" s="131"/>
      <c r="U115" s="131"/>
      <c r="V115" s="131"/>
      <c r="W115" s="131"/>
      <c r="X115" s="131"/>
      <c r="Y115" s="131"/>
      <c r="Z115" s="142"/>
      <c r="AA115" s="142"/>
      <c r="AB115" s="142"/>
      <c r="AC115" s="142"/>
      <c r="AD115" s="142"/>
      <c r="AE115" s="142"/>
      <c r="AF115" s="142"/>
      <c r="AG115" s="142"/>
      <c r="AH115" s="142"/>
      <c r="AI115" s="142"/>
      <c r="AJ115" s="142"/>
      <c r="AK115" s="142"/>
      <c r="AL115" s="142"/>
      <c r="AM115" s="142"/>
      <c r="AN115" s="142"/>
      <c r="AO115" s="142"/>
    </row>
    <row r="116" ht="15.75" customHeight="1">
      <c r="A116" s="142"/>
      <c r="B116" s="142"/>
      <c r="C116" s="142"/>
      <c r="D116" s="142"/>
      <c r="E116" s="131"/>
      <c r="F116" s="142"/>
      <c r="G116" s="142"/>
      <c r="H116" s="142"/>
      <c r="I116" s="142"/>
      <c r="J116" s="142"/>
      <c r="K116" s="132"/>
      <c r="L116" s="131"/>
      <c r="M116" s="131"/>
      <c r="N116" s="142"/>
      <c r="O116" s="142"/>
      <c r="P116" s="142"/>
      <c r="Q116" s="142"/>
      <c r="R116" s="142"/>
      <c r="S116" s="142"/>
      <c r="T116" s="131"/>
      <c r="U116" s="131"/>
      <c r="V116" s="131"/>
      <c r="W116" s="131"/>
      <c r="X116" s="131"/>
      <c r="Y116" s="131"/>
      <c r="Z116" s="142"/>
      <c r="AA116" s="142"/>
      <c r="AB116" s="142"/>
      <c r="AC116" s="142"/>
      <c r="AD116" s="142"/>
      <c r="AE116" s="142"/>
      <c r="AF116" s="142"/>
      <c r="AG116" s="142"/>
      <c r="AH116" s="142"/>
      <c r="AI116" s="142"/>
      <c r="AJ116" s="142"/>
      <c r="AK116" s="142"/>
      <c r="AL116" s="142"/>
      <c r="AM116" s="142"/>
      <c r="AN116" s="142"/>
      <c r="AO116" s="142"/>
    </row>
    <row r="117" ht="15.75" customHeight="1">
      <c r="A117" s="142"/>
      <c r="B117" s="142"/>
      <c r="C117" s="142"/>
      <c r="D117" s="142"/>
      <c r="E117" s="131"/>
      <c r="F117" s="142"/>
      <c r="G117" s="142"/>
      <c r="H117" s="142"/>
      <c r="I117" s="142"/>
      <c r="J117" s="142"/>
      <c r="K117" s="132"/>
      <c r="L117" s="131"/>
      <c r="M117" s="131"/>
      <c r="N117" s="142"/>
      <c r="O117" s="142"/>
      <c r="P117" s="142"/>
      <c r="Q117" s="142"/>
      <c r="R117" s="142"/>
      <c r="S117" s="142"/>
      <c r="T117" s="131"/>
      <c r="U117" s="131"/>
      <c r="V117" s="131"/>
      <c r="W117" s="131"/>
      <c r="X117" s="131"/>
      <c r="Y117" s="131"/>
      <c r="Z117" s="142"/>
      <c r="AA117" s="142"/>
      <c r="AB117" s="142"/>
      <c r="AC117" s="142"/>
      <c r="AD117" s="142"/>
      <c r="AE117" s="142"/>
      <c r="AF117" s="142"/>
      <c r="AG117" s="142"/>
      <c r="AH117" s="142"/>
      <c r="AI117" s="142"/>
      <c r="AJ117" s="142"/>
      <c r="AK117" s="142"/>
      <c r="AL117" s="142"/>
      <c r="AM117" s="142"/>
      <c r="AN117" s="142"/>
      <c r="AO117" s="142"/>
    </row>
    <row r="118" ht="15.75" customHeight="1">
      <c r="A118" s="142"/>
      <c r="B118" s="142"/>
      <c r="C118" s="142"/>
      <c r="D118" s="142"/>
      <c r="E118" s="131"/>
      <c r="F118" s="142"/>
      <c r="G118" s="142"/>
      <c r="H118" s="142"/>
      <c r="I118" s="142"/>
      <c r="J118" s="142"/>
      <c r="K118" s="132"/>
      <c r="L118" s="131"/>
      <c r="M118" s="131"/>
      <c r="N118" s="142"/>
      <c r="O118" s="142"/>
      <c r="P118" s="142"/>
      <c r="Q118" s="142"/>
      <c r="R118" s="142"/>
      <c r="S118" s="142"/>
      <c r="T118" s="131"/>
      <c r="U118" s="131"/>
      <c r="V118" s="131"/>
      <c r="W118" s="131"/>
      <c r="X118" s="131"/>
      <c r="Y118" s="131"/>
      <c r="Z118" s="142"/>
      <c r="AA118" s="142"/>
      <c r="AB118" s="142"/>
      <c r="AC118" s="142"/>
      <c r="AD118" s="142"/>
      <c r="AE118" s="142"/>
      <c r="AF118" s="142"/>
      <c r="AG118" s="142"/>
      <c r="AH118" s="142"/>
      <c r="AI118" s="142"/>
      <c r="AJ118" s="142"/>
      <c r="AK118" s="142"/>
      <c r="AL118" s="142"/>
      <c r="AM118" s="142"/>
      <c r="AN118" s="142"/>
      <c r="AO118" s="142"/>
    </row>
    <row r="119" ht="15.75" customHeight="1">
      <c r="A119" s="142"/>
      <c r="B119" s="142"/>
      <c r="C119" s="142"/>
      <c r="D119" s="142"/>
      <c r="E119" s="131"/>
      <c r="F119" s="142"/>
      <c r="G119" s="142"/>
      <c r="H119" s="142"/>
      <c r="I119" s="142"/>
      <c r="J119" s="142"/>
      <c r="K119" s="132"/>
      <c r="L119" s="131"/>
      <c r="M119" s="131"/>
      <c r="N119" s="142"/>
      <c r="O119" s="142"/>
      <c r="P119" s="142"/>
      <c r="Q119" s="142"/>
      <c r="R119" s="142"/>
      <c r="S119" s="142"/>
      <c r="T119" s="131"/>
      <c r="U119" s="131"/>
      <c r="V119" s="131"/>
      <c r="W119" s="131"/>
      <c r="X119" s="131"/>
      <c r="Y119" s="131"/>
      <c r="Z119" s="142"/>
      <c r="AA119" s="142"/>
      <c r="AB119" s="142"/>
      <c r="AC119" s="142"/>
      <c r="AD119" s="142"/>
      <c r="AE119" s="142"/>
      <c r="AF119" s="142"/>
      <c r="AG119" s="142"/>
      <c r="AH119" s="142"/>
      <c r="AI119" s="142"/>
      <c r="AJ119" s="142"/>
      <c r="AK119" s="142"/>
      <c r="AL119" s="142"/>
      <c r="AM119" s="142"/>
      <c r="AN119" s="142"/>
      <c r="AO119" s="142"/>
    </row>
    <row r="120" ht="15.75" customHeight="1">
      <c r="A120" s="142"/>
      <c r="B120" s="142"/>
      <c r="C120" s="142"/>
      <c r="D120" s="142"/>
      <c r="E120" s="131"/>
      <c r="F120" s="142"/>
      <c r="G120" s="142"/>
      <c r="H120" s="142"/>
      <c r="I120" s="142"/>
      <c r="J120" s="142"/>
      <c r="K120" s="132"/>
      <c r="L120" s="131"/>
      <c r="M120" s="131"/>
      <c r="N120" s="142"/>
      <c r="O120" s="142"/>
      <c r="P120" s="142"/>
      <c r="Q120" s="142"/>
      <c r="R120" s="142"/>
      <c r="S120" s="142"/>
      <c r="T120" s="131"/>
      <c r="U120" s="131"/>
      <c r="V120" s="131"/>
      <c r="W120" s="131"/>
      <c r="X120" s="131"/>
      <c r="Y120" s="131"/>
      <c r="Z120" s="142"/>
      <c r="AA120" s="142"/>
      <c r="AB120" s="142"/>
      <c r="AC120" s="142"/>
      <c r="AD120" s="142"/>
      <c r="AE120" s="142"/>
      <c r="AF120" s="142"/>
      <c r="AG120" s="142"/>
      <c r="AH120" s="142"/>
      <c r="AI120" s="142"/>
      <c r="AJ120" s="142"/>
      <c r="AK120" s="142"/>
      <c r="AL120" s="142"/>
      <c r="AM120" s="142"/>
      <c r="AN120" s="142"/>
      <c r="AO120" s="142"/>
    </row>
    <row r="121" ht="15.75" customHeight="1">
      <c r="A121" s="142"/>
      <c r="B121" s="142"/>
      <c r="C121" s="142"/>
      <c r="D121" s="142"/>
      <c r="E121" s="131"/>
      <c r="F121" s="142"/>
      <c r="G121" s="142"/>
      <c r="H121" s="142"/>
      <c r="I121" s="142"/>
      <c r="J121" s="142"/>
      <c r="K121" s="132"/>
      <c r="L121" s="131"/>
      <c r="M121" s="131"/>
      <c r="N121" s="142"/>
      <c r="O121" s="142"/>
      <c r="P121" s="142"/>
      <c r="Q121" s="142"/>
      <c r="R121" s="142"/>
      <c r="S121" s="142"/>
      <c r="T121" s="131"/>
      <c r="U121" s="131"/>
      <c r="V121" s="131"/>
      <c r="W121" s="131"/>
      <c r="X121" s="131"/>
      <c r="Y121" s="131"/>
      <c r="Z121" s="142"/>
      <c r="AA121" s="142"/>
      <c r="AB121" s="142"/>
      <c r="AC121" s="142"/>
      <c r="AD121" s="142"/>
      <c r="AE121" s="142"/>
      <c r="AF121" s="142"/>
      <c r="AG121" s="142"/>
      <c r="AH121" s="142"/>
      <c r="AI121" s="142"/>
      <c r="AJ121" s="142"/>
      <c r="AK121" s="142"/>
      <c r="AL121" s="142"/>
      <c r="AM121" s="142"/>
      <c r="AN121" s="142"/>
      <c r="AO121" s="142"/>
    </row>
    <row r="122" ht="15.75" customHeight="1">
      <c r="A122" s="142"/>
      <c r="B122" s="142"/>
      <c r="C122" s="142"/>
      <c r="D122" s="142"/>
      <c r="E122" s="131"/>
      <c r="F122" s="142"/>
      <c r="G122" s="142"/>
      <c r="H122" s="142"/>
      <c r="I122" s="142"/>
      <c r="J122" s="142"/>
      <c r="K122" s="132"/>
      <c r="L122" s="131"/>
      <c r="M122" s="131"/>
      <c r="N122" s="142"/>
      <c r="O122" s="142"/>
      <c r="P122" s="142"/>
      <c r="Q122" s="142"/>
      <c r="R122" s="142"/>
      <c r="S122" s="142"/>
      <c r="T122" s="131"/>
      <c r="U122" s="131"/>
      <c r="V122" s="131"/>
      <c r="W122" s="131"/>
      <c r="X122" s="131"/>
      <c r="Y122" s="131"/>
      <c r="Z122" s="142"/>
      <c r="AA122" s="142"/>
      <c r="AB122" s="142"/>
      <c r="AC122" s="142"/>
      <c r="AD122" s="142"/>
      <c r="AE122" s="142"/>
      <c r="AF122" s="142"/>
      <c r="AG122" s="142"/>
      <c r="AH122" s="142"/>
      <c r="AI122" s="142"/>
      <c r="AJ122" s="142"/>
      <c r="AK122" s="142"/>
      <c r="AL122" s="142"/>
      <c r="AM122" s="142"/>
      <c r="AN122" s="142"/>
      <c r="AO122" s="142"/>
    </row>
    <row r="123" ht="15.75" customHeight="1">
      <c r="A123" s="142"/>
      <c r="B123" s="142"/>
      <c r="C123" s="142"/>
      <c r="D123" s="142"/>
      <c r="E123" s="131"/>
      <c r="F123" s="142"/>
      <c r="G123" s="142"/>
      <c r="H123" s="142"/>
      <c r="I123" s="142"/>
      <c r="J123" s="142"/>
      <c r="K123" s="132"/>
      <c r="L123" s="131"/>
      <c r="M123" s="131"/>
      <c r="N123" s="142"/>
      <c r="O123" s="142"/>
      <c r="P123" s="142"/>
      <c r="Q123" s="142"/>
      <c r="R123" s="142"/>
      <c r="S123" s="142"/>
      <c r="T123" s="131"/>
      <c r="U123" s="131"/>
      <c r="V123" s="131"/>
      <c r="W123" s="131"/>
      <c r="X123" s="131"/>
      <c r="Y123" s="131"/>
      <c r="Z123" s="142"/>
      <c r="AA123" s="142"/>
      <c r="AB123" s="142"/>
      <c r="AC123" s="142"/>
      <c r="AD123" s="142"/>
      <c r="AE123" s="142"/>
      <c r="AF123" s="142"/>
      <c r="AG123" s="142"/>
      <c r="AH123" s="142"/>
      <c r="AI123" s="142"/>
      <c r="AJ123" s="142"/>
      <c r="AK123" s="142"/>
      <c r="AL123" s="142"/>
      <c r="AM123" s="142"/>
      <c r="AN123" s="142"/>
      <c r="AO123" s="142"/>
    </row>
    <row r="124" ht="15.75" customHeight="1">
      <c r="A124" s="142"/>
      <c r="B124" s="142"/>
      <c r="C124" s="142"/>
      <c r="D124" s="142"/>
      <c r="E124" s="131"/>
      <c r="F124" s="142"/>
      <c r="G124" s="142"/>
      <c r="H124" s="142"/>
      <c r="I124" s="142"/>
      <c r="J124" s="142"/>
      <c r="K124" s="132"/>
      <c r="L124" s="131"/>
      <c r="M124" s="131"/>
      <c r="N124" s="142"/>
      <c r="O124" s="142"/>
      <c r="P124" s="142"/>
      <c r="Q124" s="142"/>
      <c r="R124" s="142"/>
      <c r="S124" s="142"/>
      <c r="T124" s="131"/>
      <c r="U124" s="131"/>
      <c r="V124" s="131"/>
      <c r="W124" s="131"/>
      <c r="X124" s="131"/>
      <c r="Y124" s="131"/>
      <c r="Z124" s="142"/>
      <c r="AA124" s="142"/>
      <c r="AB124" s="142"/>
      <c r="AC124" s="142"/>
      <c r="AD124" s="142"/>
      <c r="AE124" s="142"/>
      <c r="AF124" s="142"/>
      <c r="AG124" s="142"/>
      <c r="AH124" s="142"/>
      <c r="AI124" s="142"/>
      <c r="AJ124" s="142"/>
      <c r="AK124" s="142"/>
      <c r="AL124" s="142"/>
      <c r="AM124" s="142"/>
      <c r="AN124" s="142"/>
      <c r="AO124" s="142"/>
    </row>
    <row r="125" ht="15.75" customHeight="1">
      <c r="A125" s="142"/>
      <c r="B125" s="142"/>
      <c r="C125" s="142"/>
      <c r="D125" s="142"/>
      <c r="E125" s="131"/>
      <c r="F125" s="142"/>
      <c r="G125" s="142"/>
      <c r="H125" s="142"/>
      <c r="I125" s="142"/>
      <c r="J125" s="142"/>
      <c r="K125" s="132"/>
      <c r="L125" s="131"/>
      <c r="M125" s="131"/>
      <c r="N125" s="142"/>
      <c r="O125" s="142"/>
      <c r="P125" s="142"/>
      <c r="Q125" s="142"/>
      <c r="R125" s="142"/>
      <c r="S125" s="142"/>
      <c r="T125" s="131"/>
      <c r="U125" s="131"/>
      <c r="V125" s="131"/>
      <c r="W125" s="131"/>
      <c r="X125" s="131"/>
      <c r="Y125" s="131"/>
      <c r="Z125" s="142"/>
      <c r="AA125" s="142"/>
      <c r="AB125" s="142"/>
      <c r="AC125" s="142"/>
      <c r="AD125" s="142"/>
      <c r="AE125" s="142"/>
      <c r="AF125" s="142"/>
      <c r="AG125" s="142"/>
      <c r="AH125" s="142"/>
      <c r="AI125" s="142"/>
      <c r="AJ125" s="142"/>
      <c r="AK125" s="142"/>
      <c r="AL125" s="142"/>
      <c r="AM125" s="142"/>
      <c r="AN125" s="142"/>
      <c r="AO125" s="142"/>
    </row>
    <row r="126" ht="15.75" customHeight="1">
      <c r="A126" s="142"/>
      <c r="B126" s="142"/>
      <c r="C126" s="142"/>
      <c r="D126" s="142"/>
      <c r="E126" s="131"/>
      <c r="F126" s="142"/>
      <c r="G126" s="142"/>
      <c r="H126" s="142"/>
      <c r="I126" s="142"/>
      <c r="J126" s="142"/>
      <c r="K126" s="132"/>
      <c r="L126" s="131"/>
      <c r="M126" s="131"/>
      <c r="N126" s="142"/>
      <c r="O126" s="142"/>
      <c r="P126" s="142"/>
      <c r="Q126" s="142"/>
      <c r="R126" s="142"/>
      <c r="S126" s="142"/>
      <c r="T126" s="131"/>
      <c r="U126" s="131"/>
      <c r="V126" s="131"/>
      <c r="W126" s="131"/>
      <c r="X126" s="131"/>
      <c r="Y126" s="131"/>
      <c r="Z126" s="142"/>
      <c r="AA126" s="142"/>
      <c r="AB126" s="142"/>
      <c r="AC126" s="142"/>
      <c r="AD126" s="142"/>
      <c r="AE126" s="142"/>
      <c r="AF126" s="142"/>
      <c r="AG126" s="142"/>
      <c r="AH126" s="142"/>
      <c r="AI126" s="142"/>
      <c r="AJ126" s="142"/>
      <c r="AK126" s="142"/>
      <c r="AL126" s="142"/>
      <c r="AM126" s="142"/>
      <c r="AN126" s="142"/>
      <c r="AO126" s="142"/>
    </row>
    <row r="127" ht="15.75" customHeight="1">
      <c r="A127" s="142"/>
      <c r="B127" s="142"/>
      <c r="C127" s="142"/>
      <c r="D127" s="142"/>
      <c r="E127" s="131"/>
      <c r="F127" s="142"/>
      <c r="G127" s="142"/>
      <c r="H127" s="142"/>
      <c r="I127" s="142"/>
      <c r="J127" s="142"/>
      <c r="K127" s="132"/>
      <c r="L127" s="131"/>
      <c r="M127" s="131"/>
      <c r="N127" s="142"/>
      <c r="O127" s="142"/>
      <c r="P127" s="142"/>
      <c r="Q127" s="142"/>
      <c r="R127" s="142"/>
      <c r="S127" s="142"/>
      <c r="T127" s="131"/>
      <c r="U127" s="131"/>
      <c r="V127" s="131"/>
      <c r="W127" s="131"/>
      <c r="X127" s="131"/>
      <c r="Y127" s="131"/>
      <c r="Z127" s="142"/>
      <c r="AA127" s="142"/>
      <c r="AB127" s="142"/>
      <c r="AC127" s="142"/>
      <c r="AD127" s="142"/>
      <c r="AE127" s="142"/>
      <c r="AF127" s="142"/>
      <c r="AG127" s="142"/>
      <c r="AH127" s="142"/>
      <c r="AI127" s="142"/>
      <c r="AJ127" s="142"/>
      <c r="AK127" s="142"/>
      <c r="AL127" s="142"/>
      <c r="AM127" s="142"/>
      <c r="AN127" s="142"/>
      <c r="AO127" s="142"/>
    </row>
    <row r="128" ht="15.75" customHeight="1">
      <c r="A128" s="142"/>
      <c r="B128" s="142"/>
      <c r="C128" s="142"/>
      <c r="D128" s="142"/>
      <c r="E128" s="131"/>
      <c r="F128" s="142"/>
      <c r="G128" s="142"/>
      <c r="H128" s="142"/>
      <c r="I128" s="142"/>
      <c r="J128" s="142"/>
      <c r="K128" s="132"/>
      <c r="L128" s="131"/>
      <c r="M128" s="131"/>
      <c r="N128" s="142"/>
      <c r="O128" s="142"/>
      <c r="P128" s="142"/>
      <c r="Q128" s="142"/>
      <c r="R128" s="142"/>
      <c r="S128" s="142"/>
      <c r="T128" s="131"/>
      <c r="U128" s="131"/>
      <c r="V128" s="131"/>
      <c r="W128" s="131"/>
      <c r="X128" s="131"/>
      <c r="Y128" s="131"/>
      <c r="Z128" s="142"/>
      <c r="AA128" s="142"/>
      <c r="AB128" s="142"/>
      <c r="AC128" s="142"/>
      <c r="AD128" s="142"/>
      <c r="AE128" s="142"/>
      <c r="AF128" s="142"/>
      <c r="AG128" s="142"/>
      <c r="AH128" s="142"/>
      <c r="AI128" s="142"/>
      <c r="AJ128" s="142"/>
      <c r="AK128" s="142"/>
      <c r="AL128" s="142"/>
      <c r="AM128" s="142"/>
      <c r="AN128" s="142"/>
      <c r="AO128" s="142"/>
    </row>
    <row r="129" ht="15.75" customHeight="1">
      <c r="A129" s="142"/>
      <c r="B129" s="142"/>
      <c r="C129" s="142"/>
      <c r="D129" s="142"/>
      <c r="E129" s="131"/>
      <c r="F129" s="142"/>
      <c r="G129" s="142"/>
      <c r="H129" s="142"/>
      <c r="I129" s="142"/>
      <c r="J129" s="142"/>
      <c r="K129" s="132"/>
      <c r="L129" s="131"/>
      <c r="M129" s="131"/>
      <c r="N129" s="142"/>
      <c r="O129" s="142"/>
      <c r="P129" s="142"/>
      <c r="Q129" s="142"/>
      <c r="R129" s="142"/>
      <c r="S129" s="142"/>
      <c r="T129" s="131"/>
      <c r="U129" s="131"/>
      <c r="V129" s="131"/>
      <c r="W129" s="131"/>
      <c r="X129" s="131"/>
      <c r="Y129" s="131"/>
      <c r="Z129" s="142"/>
      <c r="AA129" s="142"/>
      <c r="AB129" s="142"/>
      <c r="AC129" s="142"/>
      <c r="AD129" s="142"/>
      <c r="AE129" s="142"/>
      <c r="AF129" s="142"/>
      <c r="AG129" s="142"/>
      <c r="AH129" s="142"/>
      <c r="AI129" s="142"/>
      <c r="AJ129" s="142"/>
      <c r="AK129" s="142"/>
      <c r="AL129" s="142"/>
      <c r="AM129" s="142"/>
      <c r="AN129" s="142"/>
      <c r="AO129" s="142"/>
    </row>
    <row r="130" ht="15.75" customHeight="1">
      <c r="A130" s="142"/>
      <c r="B130" s="142"/>
      <c r="C130" s="142"/>
      <c r="D130" s="142"/>
      <c r="E130" s="131"/>
      <c r="F130" s="142"/>
      <c r="G130" s="142"/>
      <c r="H130" s="142"/>
      <c r="I130" s="142"/>
      <c r="J130" s="142"/>
      <c r="K130" s="132"/>
      <c r="L130" s="131"/>
      <c r="M130" s="131"/>
      <c r="N130" s="142"/>
      <c r="O130" s="142"/>
      <c r="P130" s="142"/>
      <c r="Q130" s="142"/>
      <c r="R130" s="142"/>
      <c r="S130" s="142"/>
      <c r="T130" s="131"/>
      <c r="U130" s="131"/>
      <c r="V130" s="131"/>
      <c r="W130" s="131"/>
      <c r="X130" s="131"/>
      <c r="Y130" s="131"/>
      <c r="Z130" s="142"/>
      <c r="AA130" s="142"/>
      <c r="AB130" s="142"/>
      <c r="AC130" s="142"/>
      <c r="AD130" s="142"/>
      <c r="AE130" s="142"/>
      <c r="AF130" s="142"/>
      <c r="AG130" s="142"/>
      <c r="AH130" s="142"/>
      <c r="AI130" s="142"/>
      <c r="AJ130" s="142"/>
      <c r="AK130" s="142"/>
      <c r="AL130" s="142"/>
      <c r="AM130" s="142"/>
      <c r="AN130" s="142"/>
      <c r="AO130" s="142"/>
    </row>
    <row r="131" ht="15.75" customHeight="1">
      <c r="A131" s="142"/>
      <c r="B131" s="142"/>
      <c r="C131" s="142"/>
      <c r="D131" s="142"/>
      <c r="E131" s="131"/>
      <c r="F131" s="142"/>
      <c r="G131" s="142"/>
      <c r="H131" s="142"/>
      <c r="I131" s="142"/>
      <c r="J131" s="142"/>
      <c r="K131" s="132"/>
      <c r="L131" s="131"/>
      <c r="M131" s="131"/>
      <c r="N131" s="142"/>
      <c r="O131" s="142"/>
      <c r="P131" s="142"/>
      <c r="Q131" s="142"/>
      <c r="R131" s="142"/>
      <c r="S131" s="142"/>
      <c r="T131" s="131"/>
      <c r="U131" s="131"/>
      <c r="V131" s="131"/>
      <c r="W131" s="131"/>
      <c r="X131" s="131"/>
      <c r="Y131" s="131"/>
      <c r="Z131" s="142"/>
      <c r="AA131" s="142"/>
      <c r="AB131" s="142"/>
      <c r="AC131" s="142"/>
      <c r="AD131" s="142"/>
      <c r="AE131" s="142"/>
      <c r="AF131" s="142"/>
      <c r="AG131" s="142"/>
      <c r="AH131" s="142"/>
      <c r="AI131" s="142"/>
      <c r="AJ131" s="142"/>
      <c r="AK131" s="142"/>
      <c r="AL131" s="142"/>
      <c r="AM131" s="142"/>
      <c r="AN131" s="142"/>
      <c r="AO131" s="142"/>
    </row>
    <row r="132" ht="15.75" customHeight="1">
      <c r="A132" s="142"/>
      <c r="B132" s="142"/>
      <c r="C132" s="142"/>
      <c r="D132" s="142"/>
      <c r="E132" s="131"/>
      <c r="F132" s="142"/>
      <c r="G132" s="142"/>
      <c r="H132" s="142"/>
      <c r="I132" s="142"/>
      <c r="J132" s="142"/>
      <c r="K132" s="132"/>
      <c r="L132" s="131"/>
      <c r="M132" s="131"/>
      <c r="N132" s="142"/>
      <c r="O132" s="142"/>
      <c r="P132" s="142"/>
      <c r="Q132" s="142"/>
      <c r="R132" s="142"/>
      <c r="S132" s="142"/>
      <c r="T132" s="131"/>
      <c r="U132" s="131"/>
      <c r="V132" s="131"/>
      <c r="W132" s="131"/>
      <c r="X132" s="131"/>
      <c r="Y132" s="131"/>
      <c r="Z132" s="142"/>
      <c r="AA132" s="142"/>
      <c r="AB132" s="142"/>
      <c r="AC132" s="142"/>
      <c r="AD132" s="142"/>
      <c r="AE132" s="142"/>
      <c r="AF132" s="142"/>
      <c r="AG132" s="142"/>
      <c r="AH132" s="142"/>
      <c r="AI132" s="142"/>
      <c r="AJ132" s="142"/>
      <c r="AK132" s="142"/>
      <c r="AL132" s="142"/>
      <c r="AM132" s="142"/>
      <c r="AN132" s="142"/>
      <c r="AO132" s="142"/>
    </row>
    <row r="133" ht="15.75" customHeight="1">
      <c r="A133" s="142"/>
      <c r="B133" s="142"/>
      <c r="C133" s="142"/>
      <c r="D133" s="142"/>
      <c r="E133" s="131"/>
      <c r="F133" s="142"/>
      <c r="G133" s="142"/>
      <c r="H133" s="142"/>
      <c r="I133" s="142"/>
      <c r="J133" s="142"/>
      <c r="K133" s="132"/>
      <c r="L133" s="131"/>
      <c r="M133" s="131"/>
      <c r="N133" s="142"/>
      <c r="O133" s="142"/>
      <c r="P133" s="142"/>
      <c r="Q133" s="142"/>
      <c r="R133" s="142"/>
      <c r="S133" s="142"/>
      <c r="T133" s="131"/>
      <c r="U133" s="131"/>
      <c r="V133" s="131"/>
      <c r="W133" s="131"/>
      <c r="X133" s="131"/>
      <c r="Y133" s="131"/>
      <c r="Z133" s="142"/>
      <c r="AA133" s="142"/>
      <c r="AB133" s="142"/>
      <c r="AC133" s="142"/>
      <c r="AD133" s="142"/>
      <c r="AE133" s="142"/>
      <c r="AF133" s="142"/>
      <c r="AG133" s="142"/>
      <c r="AH133" s="142"/>
      <c r="AI133" s="142"/>
      <c r="AJ133" s="142"/>
      <c r="AK133" s="142"/>
      <c r="AL133" s="142"/>
      <c r="AM133" s="142"/>
      <c r="AN133" s="142"/>
      <c r="AO133" s="142"/>
    </row>
    <row r="134" ht="15.75" customHeight="1">
      <c r="A134" s="142"/>
      <c r="B134" s="142"/>
      <c r="C134" s="142"/>
      <c r="D134" s="142"/>
      <c r="E134" s="131"/>
      <c r="F134" s="142"/>
      <c r="G134" s="142"/>
      <c r="H134" s="142"/>
      <c r="I134" s="142"/>
      <c r="J134" s="142"/>
      <c r="K134" s="132"/>
      <c r="L134" s="131"/>
      <c r="M134" s="131"/>
      <c r="N134" s="142"/>
      <c r="O134" s="142"/>
      <c r="P134" s="142"/>
      <c r="Q134" s="142"/>
      <c r="R134" s="142"/>
      <c r="S134" s="142"/>
      <c r="T134" s="131"/>
      <c r="U134" s="131"/>
      <c r="V134" s="131"/>
      <c r="W134" s="131"/>
      <c r="X134" s="131"/>
      <c r="Y134" s="131"/>
      <c r="Z134" s="142"/>
      <c r="AA134" s="142"/>
      <c r="AB134" s="142"/>
      <c r="AC134" s="142"/>
      <c r="AD134" s="142"/>
      <c r="AE134" s="142"/>
      <c r="AF134" s="142"/>
      <c r="AG134" s="142"/>
      <c r="AH134" s="142"/>
      <c r="AI134" s="142"/>
      <c r="AJ134" s="142"/>
      <c r="AK134" s="142"/>
      <c r="AL134" s="142"/>
      <c r="AM134" s="142"/>
      <c r="AN134" s="142"/>
      <c r="AO134" s="142"/>
    </row>
    <row r="135" ht="15.75" customHeight="1">
      <c r="A135" s="142"/>
      <c r="B135" s="142"/>
      <c r="C135" s="142"/>
      <c r="D135" s="142"/>
      <c r="E135" s="131"/>
      <c r="F135" s="142"/>
      <c r="G135" s="142"/>
      <c r="H135" s="142"/>
      <c r="I135" s="142"/>
      <c r="J135" s="142"/>
      <c r="K135" s="132"/>
      <c r="L135" s="131"/>
      <c r="M135" s="131"/>
      <c r="N135" s="142"/>
      <c r="O135" s="142"/>
      <c r="P135" s="142"/>
      <c r="Q135" s="142"/>
      <c r="R135" s="142"/>
      <c r="S135" s="142"/>
      <c r="T135" s="131"/>
      <c r="U135" s="131"/>
      <c r="V135" s="131"/>
      <c r="W135" s="131"/>
      <c r="X135" s="131"/>
      <c r="Y135" s="131"/>
      <c r="Z135" s="142"/>
      <c r="AA135" s="142"/>
      <c r="AB135" s="142"/>
      <c r="AC135" s="142"/>
      <c r="AD135" s="142"/>
      <c r="AE135" s="142"/>
      <c r="AF135" s="142"/>
      <c r="AG135" s="142"/>
      <c r="AH135" s="142"/>
      <c r="AI135" s="142"/>
      <c r="AJ135" s="142"/>
      <c r="AK135" s="142"/>
      <c r="AL135" s="142"/>
      <c r="AM135" s="142"/>
      <c r="AN135" s="142"/>
      <c r="AO135" s="142"/>
    </row>
    <row r="136" ht="15.75" customHeight="1">
      <c r="A136" s="142"/>
      <c r="B136" s="142"/>
      <c r="C136" s="142"/>
      <c r="D136" s="142"/>
      <c r="E136" s="131"/>
      <c r="F136" s="142"/>
      <c r="G136" s="142"/>
      <c r="H136" s="142"/>
      <c r="I136" s="142"/>
      <c r="J136" s="142"/>
      <c r="K136" s="132"/>
      <c r="L136" s="131"/>
      <c r="M136" s="131"/>
      <c r="N136" s="142"/>
      <c r="O136" s="142"/>
      <c r="P136" s="142"/>
      <c r="Q136" s="142"/>
      <c r="R136" s="142"/>
      <c r="S136" s="142"/>
      <c r="T136" s="131"/>
      <c r="U136" s="131"/>
      <c r="V136" s="131"/>
      <c r="W136" s="131"/>
      <c r="X136" s="131"/>
      <c r="Y136" s="131"/>
      <c r="Z136" s="142"/>
      <c r="AA136" s="142"/>
      <c r="AB136" s="142"/>
      <c r="AC136" s="142"/>
      <c r="AD136" s="142"/>
      <c r="AE136" s="142"/>
      <c r="AF136" s="142"/>
      <c r="AG136" s="142"/>
      <c r="AH136" s="142"/>
      <c r="AI136" s="142"/>
      <c r="AJ136" s="142"/>
      <c r="AK136" s="142"/>
      <c r="AL136" s="142"/>
      <c r="AM136" s="142"/>
      <c r="AN136" s="142"/>
      <c r="AO136" s="142"/>
    </row>
    <row r="137" ht="15.75" customHeight="1">
      <c r="A137" s="142"/>
      <c r="B137" s="142"/>
      <c r="C137" s="142"/>
      <c r="D137" s="142"/>
      <c r="E137" s="131"/>
      <c r="F137" s="142"/>
      <c r="G137" s="142"/>
      <c r="H137" s="142"/>
      <c r="I137" s="142"/>
      <c r="J137" s="142"/>
      <c r="K137" s="132"/>
      <c r="L137" s="131"/>
      <c r="M137" s="131"/>
      <c r="N137" s="142"/>
      <c r="O137" s="142"/>
      <c r="P137" s="142"/>
      <c r="Q137" s="142"/>
      <c r="R137" s="142"/>
      <c r="S137" s="142"/>
      <c r="T137" s="131"/>
      <c r="U137" s="131"/>
      <c r="V137" s="131"/>
      <c r="W137" s="131"/>
      <c r="X137" s="131"/>
      <c r="Y137" s="131"/>
      <c r="Z137" s="142"/>
      <c r="AA137" s="142"/>
      <c r="AB137" s="142"/>
      <c r="AC137" s="142"/>
      <c r="AD137" s="142"/>
      <c r="AE137" s="142"/>
      <c r="AF137" s="142"/>
      <c r="AG137" s="142"/>
      <c r="AH137" s="142"/>
      <c r="AI137" s="142"/>
      <c r="AJ137" s="142"/>
      <c r="AK137" s="142"/>
      <c r="AL137" s="142"/>
      <c r="AM137" s="142"/>
      <c r="AN137" s="142"/>
      <c r="AO137" s="142"/>
    </row>
    <row r="138" ht="15.75" customHeight="1">
      <c r="A138" s="142"/>
      <c r="B138" s="142"/>
      <c r="C138" s="142"/>
      <c r="D138" s="142"/>
      <c r="E138" s="131"/>
      <c r="F138" s="142"/>
      <c r="G138" s="142"/>
      <c r="H138" s="142"/>
      <c r="I138" s="142"/>
      <c r="J138" s="142"/>
      <c r="K138" s="132"/>
      <c r="L138" s="131"/>
      <c r="M138" s="131"/>
      <c r="N138" s="142"/>
      <c r="O138" s="142"/>
      <c r="P138" s="142"/>
      <c r="Q138" s="142"/>
      <c r="R138" s="142"/>
      <c r="S138" s="142"/>
      <c r="T138" s="131"/>
      <c r="U138" s="131"/>
      <c r="V138" s="131"/>
      <c r="W138" s="131"/>
      <c r="X138" s="131"/>
      <c r="Y138" s="131"/>
      <c r="Z138" s="142"/>
      <c r="AA138" s="142"/>
      <c r="AB138" s="142"/>
      <c r="AC138" s="142"/>
      <c r="AD138" s="142"/>
      <c r="AE138" s="142"/>
      <c r="AF138" s="142"/>
      <c r="AG138" s="142"/>
      <c r="AH138" s="142"/>
      <c r="AI138" s="142"/>
      <c r="AJ138" s="142"/>
      <c r="AK138" s="142"/>
      <c r="AL138" s="142"/>
      <c r="AM138" s="142"/>
      <c r="AN138" s="142"/>
      <c r="AO138" s="142"/>
    </row>
    <row r="139" ht="15.75" customHeight="1">
      <c r="A139" s="142"/>
      <c r="B139" s="142"/>
      <c r="C139" s="142"/>
      <c r="D139" s="142"/>
      <c r="E139" s="131"/>
      <c r="F139" s="142"/>
      <c r="G139" s="142"/>
      <c r="H139" s="142"/>
      <c r="I139" s="142"/>
      <c r="J139" s="142"/>
      <c r="K139" s="132"/>
      <c r="L139" s="131"/>
      <c r="M139" s="131"/>
      <c r="N139" s="142"/>
      <c r="O139" s="142"/>
      <c r="P139" s="142"/>
      <c r="Q139" s="142"/>
      <c r="R139" s="142"/>
      <c r="S139" s="142"/>
      <c r="T139" s="131"/>
      <c r="U139" s="131"/>
      <c r="V139" s="131"/>
      <c r="W139" s="131"/>
      <c r="X139" s="131"/>
      <c r="Y139" s="131"/>
      <c r="Z139" s="142"/>
      <c r="AA139" s="142"/>
      <c r="AB139" s="142"/>
      <c r="AC139" s="142"/>
      <c r="AD139" s="142"/>
      <c r="AE139" s="142"/>
      <c r="AF139" s="142"/>
      <c r="AG139" s="142"/>
      <c r="AH139" s="142"/>
      <c r="AI139" s="142"/>
      <c r="AJ139" s="142"/>
      <c r="AK139" s="142"/>
      <c r="AL139" s="142"/>
      <c r="AM139" s="142"/>
      <c r="AN139" s="142"/>
      <c r="AO139" s="142"/>
    </row>
    <row r="140" ht="15.75" customHeight="1">
      <c r="A140" s="142"/>
      <c r="B140" s="142"/>
      <c r="C140" s="142"/>
      <c r="D140" s="142"/>
      <c r="E140" s="131"/>
      <c r="F140" s="142"/>
      <c r="G140" s="142"/>
      <c r="H140" s="142"/>
      <c r="I140" s="142"/>
      <c r="J140" s="142"/>
      <c r="K140" s="132"/>
      <c r="L140" s="131"/>
      <c r="M140" s="131"/>
      <c r="N140" s="142"/>
      <c r="O140" s="142"/>
      <c r="P140" s="142"/>
      <c r="Q140" s="142"/>
      <c r="R140" s="142"/>
      <c r="S140" s="142"/>
      <c r="T140" s="131"/>
      <c r="U140" s="131"/>
      <c r="V140" s="131"/>
      <c r="W140" s="131"/>
      <c r="X140" s="131"/>
      <c r="Y140" s="131"/>
      <c r="Z140" s="142"/>
      <c r="AA140" s="142"/>
      <c r="AB140" s="142"/>
      <c r="AC140" s="142"/>
      <c r="AD140" s="142"/>
      <c r="AE140" s="142"/>
      <c r="AF140" s="142"/>
      <c r="AG140" s="142"/>
      <c r="AH140" s="142"/>
      <c r="AI140" s="142"/>
      <c r="AJ140" s="142"/>
      <c r="AK140" s="142"/>
      <c r="AL140" s="142"/>
      <c r="AM140" s="142"/>
      <c r="AN140" s="142"/>
      <c r="AO140" s="142"/>
    </row>
    <row r="141" ht="15.75" customHeight="1">
      <c r="A141" s="142"/>
      <c r="B141" s="142"/>
      <c r="C141" s="142"/>
      <c r="D141" s="142"/>
      <c r="E141" s="131"/>
      <c r="F141" s="142"/>
      <c r="G141" s="142"/>
      <c r="H141" s="142"/>
      <c r="I141" s="142"/>
      <c r="J141" s="142"/>
      <c r="K141" s="132"/>
      <c r="L141" s="131"/>
      <c r="M141" s="131"/>
      <c r="N141" s="142"/>
      <c r="O141" s="142"/>
      <c r="P141" s="142"/>
      <c r="Q141" s="142"/>
      <c r="R141" s="142"/>
      <c r="S141" s="142"/>
      <c r="T141" s="131"/>
      <c r="U141" s="131"/>
      <c r="V141" s="131"/>
      <c r="W141" s="131"/>
      <c r="X141" s="131"/>
      <c r="Y141" s="131"/>
      <c r="Z141" s="142"/>
      <c r="AA141" s="142"/>
      <c r="AB141" s="142"/>
      <c r="AC141" s="142"/>
      <c r="AD141" s="142"/>
      <c r="AE141" s="142"/>
      <c r="AF141" s="142"/>
      <c r="AG141" s="142"/>
      <c r="AH141" s="142"/>
      <c r="AI141" s="142"/>
      <c r="AJ141" s="142"/>
      <c r="AK141" s="142"/>
      <c r="AL141" s="142"/>
      <c r="AM141" s="142"/>
      <c r="AN141" s="142"/>
      <c r="AO141" s="142"/>
    </row>
    <row r="142" ht="15.75" customHeight="1">
      <c r="A142" s="142"/>
      <c r="B142" s="142"/>
      <c r="C142" s="142"/>
      <c r="D142" s="142"/>
      <c r="E142" s="131"/>
      <c r="F142" s="142"/>
      <c r="G142" s="142"/>
      <c r="H142" s="142"/>
      <c r="I142" s="142"/>
      <c r="J142" s="142"/>
      <c r="K142" s="132"/>
      <c r="L142" s="131"/>
      <c r="M142" s="131"/>
      <c r="N142" s="142"/>
      <c r="O142" s="142"/>
      <c r="P142" s="142"/>
      <c r="Q142" s="142"/>
      <c r="R142" s="142"/>
      <c r="S142" s="142"/>
      <c r="T142" s="131"/>
      <c r="U142" s="131"/>
      <c r="V142" s="131"/>
      <c r="W142" s="131"/>
      <c r="X142" s="131"/>
      <c r="Y142" s="131"/>
      <c r="Z142" s="142"/>
      <c r="AA142" s="142"/>
      <c r="AB142" s="142"/>
      <c r="AC142" s="142"/>
      <c r="AD142" s="142"/>
      <c r="AE142" s="142"/>
      <c r="AF142" s="142"/>
      <c r="AG142" s="142"/>
      <c r="AH142" s="142"/>
      <c r="AI142" s="142"/>
      <c r="AJ142" s="142"/>
      <c r="AK142" s="142"/>
      <c r="AL142" s="142"/>
      <c r="AM142" s="142"/>
      <c r="AN142" s="142"/>
      <c r="AO142" s="142"/>
    </row>
    <row r="143" ht="15.75" customHeight="1">
      <c r="A143" s="142"/>
      <c r="B143" s="142"/>
      <c r="C143" s="142"/>
      <c r="D143" s="142"/>
      <c r="E143" s="131"/>
      <c r="F143" s="142"/>
      <c r="G143" s="142"/>
      <c r="H143" s="142"/>
      <c r="I143" s="142"/>
      <c r="J143" s="142"/>
      <c r="K143" s="132"/>
      <c r="L143" s="131"/>
      <c r="M143" s="131"/>
      <c r="N143" s="142"/>
      <c r="O143" s="142"/>
      <c r="P143" s="142"/>
      <c r="Q143" s="142"/>
      <c r="R143" s="142"/>
      <c r="S143" s="142"/>
      <c r="T143" s="131"/>
      <c r="U143" s="131"/>
      <c r="V143" s="131"/>
      <c r="W143" s="131"/>
      <c r="X143" s="131"/>
      <c r="Y143" s="131"/>
      <c r="Z143" s="142"/>
      <c r="AA143" s="142"/>
      <c r="AB143" s="142"/>
      <c r="AC143" s="142"/>
      <c r="AD143" s="142"/>
      <c r="AE143" s="142"/>
      <c r="AF143" s="142"/>
      <c r="AG143" s="142"/>
      <c r="AH143" s="142"/>
      <c r="AI143" s="142"/>
      <c r="AJ143" s="142"/>
      <c r="AK143" s="142"/>
      <c r="AL143" s="142"/>
      <c r="AM143" s="142"/>
      <c r="AN143" s="142"/>
      <c r="AO143" s="142"/>
    </row>
    <row r="144" ht="15.75" customHeight="1">
      <c r="A144" s="142"/>
      <c r="B144" s="142"/>
      <c r="C144" s="142"/>
      <c r="D144" s="142"/>
      <c r="E144" s="131"/>
      <c r="F144" s="142"/>
      <c r="G144" s="142"/>
      <c r="H144" s="142"/>
      <c r="I144" s="142"/>
      <c r="J144" s="142"/>
      <c r="K144" s="132"/>
      <c r="L144" s="131"/>
      <c r="M144" s="131"/>
      <c r="N144" s="142"/>
      <c r="O144" s="142"/>
      <c r="P144" s="142"/>
      <c r="Q144" s="142"/>
      <c r="R144" s="142"/>
      <c r="S144" s="142"/>
      <c r="T144" s="131"/>
      <c r="U144" s="131"/>
      <c r="V144" s="131"/>
      <c r="W144" s="131"/>
      <c r="X144" s="131"/>
      <c r="Y144" s="131"/>
      <c r="Z144" s="142"/>
      <c r="AA144" s="142"/>
      <c r="AB144" s="142"/>
      <c r="AC144" s="142"/>
      <c r="AD144" s="142"/>
      <c r="AE144" s="142"/>
      <c r="AF144" s="142"/>
      <c r="AG144" s="142"/>
      <c r="AH144" s="142"/>
      <c r="AI144" s="142"/>
      <c r="AJ144" s="142"/>
      <c r="AK144" s="142"/>
      <c r="AL144" s="142"/>
      <c r="AM144" s="142"/>
      <c r="AN144" s="142"/>
      <c r="AO144" s="142"/>
    </row>
    <row r="145" ht="15.75" customHeight="1">
      <c r="A145" s="142"/>
      <c r="B145" s="142"/>
      <c r="C145" s="142"/>
      <c r="D145" s="142"/>
      <c r="E145" s="131"/>
      <c r="F145" s="142"/>
      <c r="G145" s="142"/>
      <c r="H145" s="142"/>
      <c r="I145" s="142"/>
      <c r="J145" s="142"/>
      <c r="K145" s="132"/>
      <c r="L145" s="131"/>
      <c r="M145" s="131"/>
      <c r="N145" s="142"/>
      <c r="O145" s="142"/>
      <c r="P145" s="142"/>
      <c r="Q145" s="142"/>
      <c r="R145" s="142"/>
      <c r="S145" s="142"/>
      <c r="T145" s="131"/>
      <c r="U145" s="131"/>
      <c r="V145" s="131"/>
      <c r="W145" s="131"/>
      <c r="X145" s="131"/>
      <c r="Y145" s="131"/>
      <c r="Z145" s="142"/>
      <c r="AA145" s="142"/>
      <c r="AB145" s="142"/>
      <c r="AC145" s="142"/>
      <c r="AD145" s="142"/>
      <c r="AE145" s="142"/>
      <c r="AF145" s="142"/>
      <c r="AG145" s="142"/>
      <c r="AH145" s="142"/>
      <c r="AI145" s="142"/>
      <c r="AJ145" s="142"/>
      <c r="AK145" s="142"/>
      <c r="AL145" s="142"/>
      <c r="AM145" s="142"/>
      <c r="AN145" s="142"/>
      <c r="AO145" s="142"/>
    </row>
    <row r="146" ht="15.75" customHeight="1">
      <c r="A146" s="142"/>
      <c r="B146" s="142"/>
      <c r="C146" s="142"/>
      <c r="D146" s="142"/>
      <c r="E146" s="131"/>
      <c r="F146" s="142"/>
      <c r="G146" s="142"/>
      <c r="H146" s="142"/>
      <c r="I146" s="142"/>
      <c r="J146" s="142"/>
      <c r="K146" s="132"/>
      <c r="L146" s="131"/>
      <c r="M146" s="131"/>
      <c r="N146" s="142"/>
      <c r="O146" s="142"/>
      <c r="P146" s="142"/>
      <c r="Q146" s="142"/>
      <c r="R146" s="142"/>
      <c r="S146" s="142"/>
      <c r="T146" s="131"/>
      <c r="U146" s="131"/>
      <c r="V146" s="131"/>
      <c r="W146" s="131"/>
      <c r="X146" s="131"/>
      <c r="Y146" s="131"/>
      <c r="Z146" s="142"/>
      <c r="AA146" s="142"/>
      <c r="AB146" s="142"/>
      <c r="AC146" s="142"/>
      <c r="AD146" s="142"/>
      <c r="AE146" s="142"/>
      <c r="AF146" s="142"/>
      <c r="AG146" s="142"/>
      <c r="AH146" s="142"/>
      <c r="AI146" s="142"/>
      <c r="AJ146" s="142"/>
      <c r="AK146" s="142"/>
      <c r="AL146" s="142"/>
      <c r="AM146" s="142"/>
      <c r="AN146" s="142"/>
      <c r="AO146" s="142"/>
    </row>
    <row r="147" ht="15.75" customHeight="1">
      <c r="A147" s="142"/>
      <c r="B147" s="142"/>
      <c r="C147" s="142"/>
      <c r="D147" s="142"/>
      <c r="E147" s="131"/>
      <c r="F147" s="142"/>
      <c r="G147" s="142"/>
      <c r="H147" s="142"/>
      <c r="I147" s="142"/>
      <c r="J147" s="142"/>
      <c r="K147" s="132"/>
      <c r="L147" s="131"/>
      <c r="M147" s="131"/>
      <c r="N147" s="142"/>
      <c r="O147" s="142"/>
      <c r="P147" s="142"/>
      <c r="Q147" s="142"/>
      <c r="R147" s="142"/>
      <c r="S147" s="142"/>
      <c r="T147" s="131"/>
      <c r="U147" s="131"/>
      <c r="V147" s="131"/>
      <c r="W147" s="131"/>
      <c r="X147" s="131"/>
      <c r="Y147" s="131"/>
      <c r="Z147" s="142"/>
      <c r="AA147" s="142"/>
      <c r="AB147" s="142"/>
      <c r="AC147" s="142"/>
      <c r="AD147" s="142"/>
      <c r="AE147" s="142"/>
      <c r="AF147" s="142"/>
      <c r="AG147" s="142"/>
      <c r="AH147" s="142"/>
      <c r="AI147" s="142"/>
      <c r="AJ147" s="142"/>
      <c r="AK147" s="142"/>
      <c r="AL147" s="142"/>
      <c r="AM147" s="142"/>
      <c r="AN147" s="142"/>
      <c r="AO147" s="142"/>
    </row>
    <row r="148" ht="15.75" customHeight="1">
      <c r="A148" s="142"/>
      <c r="B148" s="142"/>
      <c r="C148" s="142"/>
      <c r="D148" s="142"/>
      <c r="E148" s="131"/>
      <c r="F148" s="142"/>
      <c r="G148" s="142"/>
      <c r="H148" s="142"/>
      <c r="I148" s="142"/>
      <c r="J148" s="142"/>
      <c r="K148" s="132"/>
      <c r="L148" s="131"/>
      <c r="M148" s="131"/>
      <c r="N148" s="142"/>
      <c r="O148" s="142"/>
      <c r="P148" s="142"/>
      <c r="Q148" s="142"/>
      <c r="R148" s="142"/>
      <c r="S148" s="142"/>
      <c r="T148" s="131"/>
      <c r="U148" s="131"/>
      <c r="V148" s="131"/>
      <c r="W148" s="131"/>
      <c r="X148" s="131"/>
      <c r="Y148" s="131"/>
      <c r="Z148" s="142"/>
      <c r="AA148" s="142"/>
      <c r="AB148" s="142"/>
      <c r="AC148" s="142"/>
      <c r="AD148" s="142"/>
      <c r="AE148" s="142"/>
      <c r="AF148" s="142"/>
      <c r="AG148" s="142"/>
      <c r="AH148" s="142"/>
      <c r="AI148" s="142"/>
      <c r="AJ148" s="142"/>
      <c r="AK148" s="142"/>
      <c r="AL148" s="142"/>
      <c r="AM148" s="142"/>
      <c r="AN148" s="142"/>
      <c r="AO148" s="142"/>
    </row>
    <row r="149" ht="15.75" customHeight="1">
      <c r="A149" s="142"/>
      <c r="B149" s="142"/>
      <c r="C149" s="142"/>
      <c r="D149" s="142"/>
      <c r="E149" s="131"/>
      <c r="F149" s="142"/>
      <c r="G149" s="142"/>
      <c r="H149" s="142"/>
      <c r="I149" s="142"/>
      <c r="J149" s="142"/>
      <c r="K149" s="132"/>
      <c r="L149" s="131"/>
      <c r="M149" s="131"/>
      <c r="N149" s="142"/>
      <c r="O149" s="142"/>
      <c r="P149" s="142"/>
      <c r="Q149" s="142"/>
      <c r="R149" s="142"/>
      <c r="S149" s="142"/>
      <c r="T149" s="131"/>
      <c r="U149" s="131"/>
      <c r="V149" s="131"/>
      <c r="W149" s="131"/>
      <c r="X149" s="131"/>
      <c r="Y149" s="131"/>
      <c r="Z149" s="142"/>
      <c r="AA149" s="142"/>
      <c r="AB149" s="142"/>
      <c r="AC149" s="142"/>
      <c r="AD149" s="142"/>
      <c r="AE149" s="142"/>
      <c r="AF149" s="142"/>
      <c r="AG149" s="142"/>
      <c r="AH149" s="142"/>
      <c r="AI149" s="142"/>
      <c r="AJ149" s="142"/>
      <c r="AK149" s="142"/>
      <c r="AL149" s="142"/>
      <c r="AM149" s="142"/>
      <c r="AN149" s="142"/>
      <c r="AO149" s="142"/>
    </row>
    <row r="150" ht="15.75" customHeight="1">
      <c r="A150" s="142"/>
      <c r="B150" s="142"/>
      <c r="C150" s="142"/>
      <c r="D150" s="142"/>
      <c r="E150" s="131"/>
      <c r="F150" s="142"/>
      <c r="G150" s="142"/>
      <c r="H150" s="142"/>
      <c r="I150" s="142"/>
      <c r="J150" s="142"/>
      <c r="K150" s="132"/>
      <c r="L150" s="131"/>
      <c r="M150" s="131"/>
      <c r="N150" s="142"/>
      <c r="O150" s="142"/>
      <c r="P150" s="142"/>
      <c r="Q150" s="142"/>
      <c r="R150" s="142"/>
      <c r="S150" s="142"/>
      <c r="T150" s="131"/>
      <c r="U150" s="131"/>
      <c r="V150" s="131"/>
      <c r="W150" s="131"/>
      <c r="X150" s="131"/>
      <c r="Y150" s="131"/>
      <c r="Z150" s="142"/>
      <c r="AA150" s="142"/>
      <c r="AB150" s="142"/>
      <c r="AC150" s="142"/>
      <c r="AD150" s="142"/>
      <c r="AE150" s="142"/>
      <c r="AF150" s="142"/>
      <c r="AG150" s="142"/>
      <c r="AH150" s="142"/>
      <c r="AI150" s="142"/>
      <c r="AJ150" s="142"/>
      <c r="AK150" s="142"/>
      <c r="AL150" s="142"/>
      <c r="AM150" s="142"/>
      <c r="AN150" s="142"/>
      <c r="AO150" s="142"/>
    </row>
    <row r="151" ht="15.75" customHeight="1">
      <c r="A151" s="142"/>
      <c r="B151" s="142"/>
      <c r="C151" s="142"/>
      <c r="D151" s="142"/>
      <c r="E151" s="131"/>
      <c r="F151" s="142"/>
      <c r="G151" s="142"/>
      <c r="H151" s="142"/>
      <c r="I151" s="142"/>
      <c r="J151" s="142"/>
      <c r="K151" s="132"/>
      <c r="L151" s="131"/>
      <c r="M151" s="131"/>
      <c r="N151" s="142"/>
      <c r="O151" s="142"/>
      <c r="P151" s="142"/>
      <c r="Q151" s="142"/>
      <c r="R151" s="142"/>
      <c r="S151" s="142"/>
      <c r="T151" s="131"/>
      <c r="U151" s="131"/>
      <c r="V151" s="131"/>
      <c r="W151" s="131"/>
      <c r="X151" s="131"/>
      <c r="Y151" s="131"/>
      <c r="Z151" s="142"/>
      <c r="AA151" s="142"/>
      <c r="AB151" s="142"/>
      <c r="AC151" s="142"/>
      <c r="AD151" s="142"/>
      <c r="AE151" s="142"/>
      <c r="AF151" s="142"/>
      <c r="AG151" s="142"/>
      <c r="AH151" s="142"/>
      <c r="AI151" s="142"/>
      <c r="AJ151" s="142"/>
      <c r="AK151" s="142"/>
      <c r="AL151" s="142"/>
      <c r="AM151" s="142"/>
      <c r="AN151" s="142"/>
      <c r="AO151" s="142"/>
    </row>
    <row r="152" ht="15.75" customHeight="1">
      <c r="A152" s="142"/>
      <c r="B152" s="142"/>
      <c r="C152" s="142"/>
      <c r="D152" s="142"/>
      <c r="E152" s="131"/>
      <c r="F152" s="142"/>
      <c r="G152" s="142"/>
      <c r="H152" s="142"/>
      <c r="I152" s="142"/>
      <c r="J152" s="142"/>
      <c r="K152" s="132"/>
      <c r="L152" s="131"/>
      <c r="M152" s="131"/>
      <c r="N152" s="142"/>
      <c r="O152" s="142"/>
      <c r="P152" s="142"/>
      <c r="Q152" s="142"/>
      <c r="R152" s="142"/>
      <c r="S152" s="142"/>
      <c r="T152" s="131"/>
      <c r="U152" s="131"/>
      <c r="V152" s="131"/>
      <c r="W152" s="131"/>
      <c r="X152" s="131"/>
      <c r="Y152" s="131"/>
      <c r="Z152" s="142"/>
      <c r="AA152" s="142"/>
      <c r="AB152" s="142"/>
      <c r="AC152" s="142"/>
      <c r="AD152" s="142"/>
      <c r="AE152" s="142"/>
      <c r="AF152" s="142"/>
      <c r="AG152" s="142"/>
      <c r="AH152" s="142"/>
      <c r="AI152" s="142"/>
      <c r="AJ152" s="142"/>
      <c r="AK152" s="142"/>
      <c r="AL152" s="142"/>
      <c r="AM152" s="142"/>
      <c r="AN152" s="142"/>
      <c r="AO152" s="142"/>
    </row>
    <row r="153" ht="15.75" customHeight="1">
      <c r="A153" s="142"/>
      <c r="B153" s="142"/>
      <c r="C153" s="142"/>
      <c r="D153" s="142"/>
      <c r="E153" s="131"/>
      <c r="F153" s="142"/>
      <c r="G153" s="142"/>
      <c r="H153" s="142"/>
      <c r="I153" s="142"/>
      <c r="J153" s="142"/>
      <c r="K153" s="132"/>
      <c r="L153" s="131"/>
      <c r="M153" s="131"/>
      <c r="N153" s="142"/>
      <c r="O153" s="142"/>
      <c r="P153" s="142"/>
      <c r="Q153" s="142"/>
      <c r="R153" s="142"/>
      <c r="S153" s="142"/>
      <c r="T153" s="131"/>
      <c r="U153" s="131"/>
      <c r="V153" s="131"/>
      <c r="W153" s="131"/>
      <c r="X153" s="131"/>
      <c r="Y153" s="131"/>
      <c r="Z153" s="142"/>
      <c r="AA153" s="142"/>
      <c r="AB153" s="142"/>
      <c r="AC153" s="142"/>
      <c r="AD153" s="142"/>
      <c r="AE153" s="142"/>
      <c r="AF153" s="142"/>
      <c r="AG153" s="142"/>
      <c r="AH153" s="142"/>
      <c r="AI153" s="142"/>
      <c r="AJ153" s="142"/>
      <c r="AK153" s="142"/>
      <c r="AL153" s="142"/>
      <c r="AM153" s="142"/>
      <c r="AN153" s="142"/>
      <c r="AO153" s="142"/>
    </row>
    <row r="154" ht="15.75" customHeight="1">
      <c r="A154" s="142"/>
      <c r="B154" s="142"/>
      <c r="C154" s="142"/>
      <c r="D154" s="142"/>
      <c r="E154" s="131"/>
      <c r="F154" s="142"/>
      <c r="G154" s="142"/>
      <c r="H154" s="142"/>
      <c r="I154" s="142"/>
      <c r="J154" s="142"/>
      <c r="K154" s="132"/>
      <c r="L154" s="131"/>
      <c r="M154" s="131"/>
      <c r="N154" s="142"/>
      <c r="O154" s="142"/>
      <c r="P154" s="142"/>
      <c r="Q154" s="142"/>
      <c r="R154" s="142"/>
      <c r="S154" s="142"/>
      <c r="T154" s="131"/>
      <c r="U154" s="131"/>
      <c r="V154" s="131"/>
      <c r="W154" s="131"/>
      <c r="X154" s="131"/>
      <c r="Y154" s="131"/>
      <c r="Z154" s="142"/>
      <c r="AA154" s="142"/>
      <c r="AB154" s="142"/>
      <c r="AC154" s="142"/>
      <c r="AD154" s="142"/>
      <c r="AE154" s="142"/>
      <c r="AF154" s="142"/>
      <c r="AG154" s="142"/>
      <c r="AH154" s="142"/>
      <c r="AI154" s="142"/>
      <c r="AJ154" s="142"/>
      <c r="AK154" s="142"/>
      <c r="AL154" s="142"/>
      <c r="AM154" s="142"/>
      <c r="AN154" s="142"/>
      <c r="AO154" s="142"/>
    </row>
    <row r="155" ht="15.75" customHeight="1">
      <c r="A155" s="142"/>
      <c r="B155" s="142"/>
      <c r="C155" s="142"/>
      <c r="D155" s="142"/>
      <c r="E155" s="131"/>
      <c r="F155" s="142"/>
      <c r="G155" s="142"/>
      <c r="H155" s="142"/>
      <c r="I155" s="142"/>
      <c r="J155" s="142"/>
      <c r="K155" s="132"/>
      <c r="L155" s="131"/>
      <c r="M155" s="131"/>
      <c r="N155" s="142"/>
      <c r="O155" s="142"/>
      <c r="P155" s="142"/>
      <c r="Q155" s="142"/>
      <c r="R155" s="142"/>
      <c r="S155" s="142"/>
      <c r="T155" s="131"/>
      <c r="U155" s="131"/>
      <c r="V155" s="131"/>
      <c r="W155" s="131"/>
      <c r="X155" s="131"/>
      <c r="Y155" s="131"/>
      <c r="Z155" s="142"/>
      <c r="AA155" s="142"/>
      <c r="AB155" s="142"/>
      <c r="AC155" s="142"/>
      <c r="AD155" s="142"/>
      <c r="AE155" s="142"/>
      <c r="AF155" s="142"/>
      <c r="AG155" s="142"/>
      <c r="AH155" s="142"/>
      <c r="AI155" s="142"/>
      <c r="AJ155" s="142"/>
      <c r="AK155" s="142"/>
      <c r="AL155" s="142"/>
      <c r="AM155" s="142"/>
      <c r="AN155" s="142"/>
      <c r="AO155" s="142"/>
    </row>
    <row r="156" ht="15.75" customHeight="1">
      <c r="A156" s="142"/>
      <c r="B156" s="142"/>
      <c r="C156" s="142"/>
      <c r="D156" s="142"/>
      <c r="E156" s="131"/>
      <c r="F156" s="142"/>
      <c r="G156" s="142"/>
      <c r="H156" s="142"/>
      <c r="I156" s="142"/>
      <c r="J156" s="142"/>
      <c r="K156" s="132"/>
      <c r="L156" s="131"/>
      <c r="M156" s="131"/>
      <c r="N156" s="142"/>
      <c r="O156" s="142"/>
      <c r="P156" s="142"/>
      <c r="Q156" s="142"/>
      <c r="R156" s="142"/>
      <c r="S156" s="142"/>
      <c r="T156" s="131"/>
      <c r="U156" s="131"/>
      <c r="V156" s="131"/>
      <c r="W156" s="131"/>
      <c r="X156" s="131"/>
      <c r="Y156" s="131"/>
      <c r="Z156" s="142"/>
      <c r="AA156" s="142"/>
      <c r="AB156" s="142"/>
      <c r="AC156" s="142"/>
      <c r="AD156" s="142"/>
      <c r="AE156" s="142"/>
      <c r="AF156" s="142"/>
      <c r="AG156" s="142"/>
      <c r="AH156" s="142"/>
      <c r="AI156" s="142"/>
      <c r="AJ156" s="142"/>
      <c r="AK156" s="142"/>
      <c r="AL156" s="142"/>
      <c r="AM156" s="142"/>
      <c r="AN156" s="142"/>
      <c r="AO156" s="142"/>
    </row>
    <row r="157" ht="15.75" customHeight="1">
      <c r="A157" s="142"/>
      <c r="B157" s="142"/>
      <c r="C157" s="142"/>
      <c r="D157" s="142"/>
      <c r="E157" s="131"/>
      <c r="F157" s="142"/>
      <c r="G157" s="142"/>
      <c r="H157" s="142"/>
      <c r="I157" s="142"/>
      <c r="J157" s="142"/>
      <c r="K157" s="132"/>
      <c r="L157" s="131"/>
      <c r="M157" s="131"/>
      <c r="N157" s="142"/>
      <c r="O157" s="142"/>
      <c r="P157" s="142"/>
      <c r="Q157" s="142"/>
      <c r="R157" s="142"/>
      <c r="S157" s="142"/>
      <c r="T157" s="131"/>
      <c r="U157" s="131"/>
      <c r="V157" s="131"/>
      <c r="W157" s="131"/>
      <c r="X157" s="131"/>
      <c r="Y157" s="131"/>
      <c r="Z157" s="142"/>
      <c r="AA157" s="142"/>
      <c r="AB157" s="142"/>
      <c r="AC157" s="142"/>
      <c r="AD157" s="142"/>
      <c r="AE157" s="142"/>
      <c r="AF157" s="142"/>
      <c r="AG157" s="142"/>
      <c r="AH157" s="142"/>
      <c r="AI157" s="142"/>
      <c r="AJ157" s="142"/>
      <c r="AK157" s="142"/>
      <c r="AL157" s="142"/>
      <c r="AM157" s="142"/>
      <c r="AN157" s="142"/>
      <c r="AO157" s="142"/>
    </row>
    <row r="158" ht="15.75" customHeight="1">
      <c r="A158" s="142"/>
      <c r="B158" s="142"/>
      <c r="C158" s="142"/>
      <c r="D158" s="142"/>
      <c r="E158" s="131"/>
      <c r="F158" s="142"/>
      <c r="G158" s="142"/>
      <c r="H158" s="142"/>
      <c r="I158" s="142"/>
      <c r="J158" s="142"/>
      <c r="K158" s="132"/>
      <c r="L158" s="131"/>
      <c r="M158" s="131"/>
      <c r="N158" s="142"/>
      <c r="O158" s="142"/>
      <c r="P158" s="142"/>
      <c r="Q158" s="142"/>
      <c r="R158" s="142"/>
      <c r="S158" s="142"/>
      <c r="T158" s="131"/>
      <c r="U158" s="131"/>
      <c r="V158" s="131"/>
      <c r="W158" s="131"/>
      <c r="X158" s="131"/>
      <c r="Y158" s="131"/>
      <c r="Z158" s="142"/>
      <c r="AA158" s="142"/>
      <c r="AB158" s="142"/>
      <c r="AC158" s="142"/>
      <c r="AD158" s="142"/>
      <c r="AE158" s="142"/>
      <c r="AF158" s="142"/>
      <c r="AG158" s="142"/>
      <c r="AH158" s="142"/>
      <c r="AI158" s="142"/>
      <c r="AJ158" s="142"/>
      <c r="AK158" s="142"/>
      <c r="AL158" s="142"/>
      <c r="AM158" s="142"/>
      <c r="AN158" s="142"/>
      <c r="AO158" s="142"/>
    </row>
    <row r="159" ht="15.75" customHeight="1">
      <c r="A159" s="142"/>
      <c r="B159" s="142"/>
      <c r="C159" s="142"/>
      <c r="D159" s="142"/>
      <c r="E159" s="131"/>
      <c r="F159" s="142"/>
      <c r="G159" s="142"/>
      <c r="H159" s="142"/>
      <c r="I159" s="142"/>
      <c r="J159" s="142"/>
      <c r="K159" s="132"/>
      <c r="L159" s="131"/>
      <c r="M159" s="131"/>
      <c r="N159" s="142"/>
      <c r="O159" s="142"/>
      <c r="P159" s="142"/>
      <c r="Q159" s="142"/>
      <c r="R159" s="142"/>
      <c r="S159" s="142"/>
      <c r="T159" s="131"/>
      <c r="U159" s="131"/>
      <c r="V159" s="131"/>
      <c r="W159" s="131"/>
      <c r="X159" s="131"/>
      <c r="Y159" s="131"/>
      <c r="Z159" s="142"/>
      <c r="AA159" s="142"/>
      <c r="AB159" s="142"/>
      <c r="AC159" s="142"/>
      <c r="AD159" s="142"/>
      <c r="AE159" s="142"/>
      <c r="AF159" s="142"/>
      <c r="AG159" s="142"/>
      <c r="AH159" s="142"/>
      <c r="AI159" s="142"/>
      <c r="AJ159" s="142"/>
      <c r="AK159" s="142"/>
      <c r="AL159" s="142"/>
      <c r="AM159" s="142"/>
      <c r="AN159" s="142"/>
      <c r="AO159" s="142"/>
    </row>
    <row r="160" ht="15.75" customHeight="1">
      <c r="A160" s="142"/>
      <c r="B160" s="142"/>
      <c r="C160" s="142"/>
      <c r="D160" s="142"/>
      <c r="E160" s="131"/>
      <c r="F160" s="142"/>
      <c r="G160" s="142"/>
      <c r="H160" s="142"/>
      <c r="I160" s="142"/>
      <c r="J160" s="142"/>
      <c r="K160" s="132"/>
      <c r="L160" s="131"/>
      <c r="M160" s="131"/>
      <c r="N160" s="142"/>
      <c r="O160" s="142"/>
      <c r="P160" s="142"/>
      <c r="Q160" s="142"/>
      <c r="R160" s="142"/>
      <c r="S160" s="142"/>
      <c r="T160" s="131"/>
      <c r="U160" s="131"/>
      <c r="V160" s="131"/>
      <c r="W160" s="131"/>
      <c r="X160" s="131"/>
      <c r="Y160" s="131"/>
      <c r="Z160" s="142"/>
      <c r="AA160" s="142"/>
      <c r="AB160" s="142"/>
      <c r="AC160" s="142"/>
      <c r="AD160" s="142"/>
      <c r="AE160" s="142"/>
      <c r="AF160" s="142"/>
      <c r="AG160" s="142"/>
      <c r="AH160" s="142"/>
      <c r="AI160" s="142"/>
      <c r="AJ160" s="142"/>
      <c r="AK160" s="142"/>
      <c r="AL160" s="142"/>
      <c r="AM160" s="142"/>
      <c r="AN160" s="142"/>
      <c r="AO160" s="142"/>
    </row>
    <row r="161" ht="15.75" customHeight="1">
      <c r="A161" s="142"/>
      <c r="B161" s="142"/>
      <c r="C161" s="142"/>
      <c r="D161" s="142"/>
      <c r="E161" s="131"/>
      <c r="F161" s="142"/>
      <c r="G161" s="142"/>
      <c r="H161" s="142"/>
      <c r="I161" s="142"/>
      <c r="J161" s="142"/>
      <c r="K161" s="132"/>
      <c r="L161" s="131"/>
      <c r="M161" s="131"/>
      <c r="N161" s="142"/>
      <c r="O161" s="142"/>
      <c r="P161" s="142"/>
      <c r="Q161" s="142"/>
      <c r="R161" s="142"/>
      <c r="S161" s="142"/>
      <c r="T161" s="131"/>
      <c r="U161" s="131"/>
      <c r="V161" s="131"/>
      <c r="W161" s="131"/>
      <c r="X161" s="131"/>
      <c r="Y161" s="131"/>
      <c r="Z161" s="142"/>
      <c r="AA161" s="142"/>
      <c r="AB161" s="142"/>
      <c r="AC161" s="142"/>
      <c r="AD161" s="142"/>
      <c r="AE161" s="142"/>
      <c r="AF161" s="142"/>
      <c r="AG161" s="142"/>
      <c r="AH161" s="142"/>
      <c r="AI161" s="142"/>
      <c r="AJ161" s="142"/>
      <c r="AK161" s="142"/>
      <c r="AL161" s="142"/>
      <c r="AM161" s="142"/>
      <c r="AN161" s="142"/>
      <c r="AO161" s="142"/>
    </row>
    <row r="162" ht="15.75" customHeight="1">
      <c r="A162" s="142"/>
      <c r="B162" s="142"/>
      <c r="C162" s="142"/>
      <c r="D162" s="142"/>
      <c r="E162" s="131"/>
      <c r="F162" s="142"/>
      <c r="G162" s="142"/>
      <c r="H162" s="142"/>
      <c r="I162" s="142"/>
      <c r="J162" s="142"/>
      <c r="K162" s="132"/>
      <c r="L162" s="131"/>
      <c r="M162" s="131"/>
      <c r="N162" s="142"/>
      <c r="O162" s="142"/>
      <c r="P162" s="142"/>
      <c r="Q162" s="142"/>
      <c r="R162" s="142"/>
      <c r="S162" s="142"/>
      <c r="T162" s="131"/>
      <c r="U162" s="131"/>
      <c r="V162" s="131"/>
      <c r="W162" s="131"/>
      <c r="X162" s="131"/>
      <c r="Y162" s="131"/>
      <c r="Z162" s="142"/>
      <c r="AA162" s="142"/>
      <c r="AB162" s="142"/>
      <c r="AC162" s="142"/>
      <c r="AD162" s="142"/>
      <c r="AE162" s="142"/>
      <c r="AF162" s="142"/>
      <c r="AG162" s="142"/>
      <c r="AH162" s="142"/>
      <c r="AI162" s="142"/>
      <c r="AJ162" s="142"/>
      <c r="AK162" s="142"/>
      <c r="AL162" s="142"/>
      <c r="AM162" s="142"/>
      <c r="AN162" s="142"/>
      <c r="AO162" s="142"/>
    </row>
    <row r="163" ht="15.75" customHeight="1">
      <c r="A163" s="142"/>
      <c r="B163" s="142"/>
      <c r="C163" s="142"/>
      <c r="D163" s="142"/>
      <c r="E163" s="131"/>
      <c r="F163" s="142"/>
      <c r="G163" s="142"/>
      <c r="H163" s="142"/>
      <c r="I163" s="142"/>
      <c r="J163" s="142"/>
      <c r="K163" s="132"/>
      <c r="L163" s="131"/>
      <c r="M163" s="131"/>
      <c r="N163" s="142"/>
      <c r="O163" s="142"/>
      <c r="P163" s="142"/>
      <c r="Q163" s="142"/>
      <c r="R163" s="142"/>
      <c r="S163" s="142"/>
      <c r="T163" s="131"/>
      <c r="U163" s="131"/>
      <c r="V163" s="131"/>
      <c r="W163" s="131"/>
      <c r="X163" s="131"/>
      <c r="Y163" s="131"/>
      <c r="Z163" s="142"/>
      <c r="AA163" s="142"/>
      <c r="AB163" s="142"/>
      <c r="AC163" s="142"/>
      <c r="AD163" s="142"/>
      <c r="AE163" s="142"/>
      <c r="AF163" s="142"/>
      <c r="AG163" s="142"/>
      <c r="AH163" s="142"/>
      <c r="AI163" s="142"/>
      <c r="AJ163" s="142"/>
      <c r="AK163" s="142"/>
      <c r="AL163" s="142"/>
      <c r="AM163" s="142"/>
      <c r="AN163" s="142"/>
      <c r="AO163" s="142"/>
    </row>
    <row r="164" ht="15.75" customHeight="1">
      <c r="A164" s="142"/>
      <c r="B164" s="142"/>
      <c r="C164" s="142"/>
      <c r="D164" s="142"/>
      <c r="E164" s="131"/>
      <c r="F164" s="142"/>
      <c r="G164" s="142"/>
      <c r="H164" s="142"/>
      <c r="I164" s="142"/>
      <c r="J164" s="142"/>
      <c r="K164" s="132"/>
      <c r="L164" s="131"/>
      <c r="M164" s="131"/>
      <c r="N164" s="142"/>
      <c r="O164" s="142"/>
      <c r="P164" s="142"/>
      <c r="Q164" s="142"/>
      <c r="R164" s="142"/>
      <c r="S164" s="142"/>
      <c r="T164" s="131"/>
      <c r="U164" s="131"/>
      <c r="V164" s="131"/>
      <c r="W164" s="131"/>
      <c r="X164" s="131"/>
      <c r="Y164" s="131"/>
      <c r="Z164" s="142"/>
      <c r="AA164" s="142"/>
      <c r="AB164" s="142"/>
      <c r="AC164" s="142"/>
      <c r="AD164" s="142"/>
      <c r="AE164" s="142"/>
      <c r="AF164" s="142"/>
      <c r="AG164" s="142"/>
      <c r="AH164" s="142"/>
      <c r="AI164" s="142"/>
      <c r="AJ164" s="142"/>
      <c r="AK164" s="142"/>
      <c r="AL164" s="142"/>
      <c r="AM164" s="142"/>
      <c r="AN164" s="142"/>
      <c r="AO164" s="142"/>
    </row>
    <row r="165" ht="15.75" customHeight="1">
      <c r="A165" s="142"/>
      <c r="B165" s="142"/>
      <c r="C165" s="142"/>
      <c r="D165" s="142"/>
      <c r="E165" s="131"/>
      <c r="F165" s="142"/>
      <c r="G165" s="142"/>
      <c r="H165" s="142"/>
      <c r="I165" s="142"/>
      <c r="J165" s="142"/>
      <c r="K165" s="132"/>
      <c r="L165" s="131"/>
      <c r="M165" s="131"/>
      <c r="N165" s="142"/>
      <c r="O165" s="142"/>
      <c r="P165" s="142"/>
      <c r="Q165" s="142"/>
      <c r="R165" s="142"/>
      <c r="S165" s="142"/>
      <c r="T165" s="131"/>
      <c r="U165" s="131"/>
      <c r="V165" s="131"/>
      <c r="W165" s="131"/>
      <c r="X165" s="131"/>
      <c r="Y165" s="131"/>
      <c r="Z165" s="142"/>
      <c r="AA165" s="142"/>
      <c r="AB165" s="142"/>
      <c r="AC165" s="142"/>
      <c r="AD165" s="142"/>
      <c r="AE165" s="142"/>
      <c r="AF165" s="142"/>
      <c r="AG165" s="142"/>
      <c r="AH165" s="142"/>
      <c r="AI165" s="142"/>
      <c r="AJ165" s="142"/>
      <c r="AK165" s="142"/>
      <c r="AL165" s="142"/>
      <c r="AM165" s="142"/>
      <c r="AN165" s="142"/>
      <c r="AO165" s="142"/>
    </row>
    <row r="166" ht="15.75" customHeight="1">
      <c r="A166" s="142"/>
      <c r="B166" s="142"/>
      <c r="C166" s="142"/>
      <c r="D166" s="142"/>
      <c r="E166" s="131"/>
      <c r="F166" s="142"/>
      <c r="G166" s="142"/>
      <c r="H166" s="142"/>
      <c r="I166" s="142"/>
      <c r="J166" s="142"/>
      <c r="K166" s="132"/>
      <c r="L166" s="131"/>
      <c r="M166" s="131"/>
      <c r="N166" s="142"/>
      <c r="O166" s="142"/>
      <c r="P166" s="142"/>
      <c r="Q166" s="142"/>
      <c r="R166" s="142"/>
      <c r="S166" s="142"/>
      <c r="T166" s="131"/>
      <c r="U166" s="131"/>
      <c r="V166" s="131"/>
      <c r="W166" s="131"/>
      <c r="X166" s="131"/>
      <c r="Y166" s="131"/>
      <c r="Z166" s="142"/>
      <c r="AA166" s="142"/>
      <c r="AB166" s="142"/>
      <c r="AC166" s="142"/>
      <c r="AD166" s="142"/>
      <c r="AE166" s="142"/>
      <c r="AF166" s="142"/>
      <c r="AG166" s="142"/>
      <c r="AH166" s="142"/>
      <c r="AI166" s="142"/>
      <c r="AJ166" s="142"/>
      <c r="AK166" s="142"/>
      <c r="AL166" s="142"/>
      <c r="AM166" s="142"/>
      <c r="AN166" s="142"/>
      <c r="AO166" s="142"/>
    </row>
    <row r="167" ht="15.75" customHeight="1">
      <c r="A167" s="142"/>
      <c r="B167" s="142"/>
      <c r="C167" s="142"/>
      <c r="D167" s="142"/>
      <c r="E167" s="131"/>
      <c r="F167" s="142"/>
      <c r="G167" s="142"/>
      <c r="H167" s="142"/>
      <c r="I167" s="142"/>
      <c r="J167" s="142"/>
      <c r="K167" s="132"/>
      <c r="L167" s="131"/>
      <c r="M167" s="131"/>
      <c r="N167" s="142"/>
      <c r="O167" s="142"/>
      <c r="P167" s="142"/>
      <c r="Q167" s="142"/>
      <c r="R167" s="142"/>
      <c r="S167" s="142"/>
      <c r="T167" s="131"/>
      <c r="U167" s="131"/>
      <c r="V167" s="131"/>
      <c r="W167" s="131"/>
      <c r="X167" s="131"/>
      <c r="Y167" s="131"/>
      <c r="Z167" s="142"/>
      <c r="AA167" s="142"/>
      <c r="AB167" s="142"/>
      <c r="AC167" s="142"/>
      <c r="AD167" s="142"/>
      <c r="AE167" s="142"/>
      <c r="AF167" s="142"/>
      <c r="AG167" s="142"/>
      <c r="AH167" s="142"/>
      <c r="AI167" s="142"/>
      <c r="AJ167" s="142"/>
      <c r="AK167" s="142"/>
      <c r="AL167" s="142"/>
      <c r="AM167" s="142"/>
      <c r="AN167" s="142"/>
      <c r="AO167" s="142"/>
    </row>
    <row r="168" ht="15.75" customHeight="1">
      <c r="A168" s="142"/>
      <c r="B168" s="142"/>
      <c r="C168" s="142"/>
      <c r="D168" s="142"/>
      <c r="E168" s="131"/>
      <c r="F168" s="142"/>
      <c r="G168" s="142"/>
      <c r="H168" s="142"/>
      <c r="I168" s="142"/>
      <c r="J168" s="142"/>
      <c r="K168" s="132"/>
      <c r="L168" s="131"/>
      <c r="M168" s="131"/>
      <c r="N168" s="142"/>
      <c r="O168" s="142"/>
      <c r="P168" s="142"/>
      <c r="Q168" s="142"/>
      <c r="R168" s="142"/>
      <c r="S168" s="142"/>
      <c r="T168" s="131"/>
      <c r="U168" s="131"/>
      <c r="V168" s="131"/>
      <c r="W168" s="131"/>
      <c r="X168" s="131"/>
      <c r="Y168" s="131"/>
      <c r="Z168" s="142"/>
      <c r="AA168" s="142"/>
      <c r="AB168" s="142"/>
      <c r="AC168" s="142"/>
      <c r="AD168" s="142"/>
      <c r="AE168" s="142"/>
      <c r="AF168" s="142"/>
      <c r="AG168" s="142"/>
      <c r="AH168" s="142"/>
      <c r="AI168" s="142"/>
      <c r="AJ168" s="142"/>
      <c r="AK168" s="142"/>
      <c r="AL168" s="142"/>
      <c r="AM168" s="142"/>
      <c r="AN168" s="142"/>
      <c r="AO168" s="142"/>
    </row>
    <row r="169" ht="15.75" customHeight="1">
      <c r="A169" s="142"/>
      <c r="B169" s="142"/>
      <c r="C169" s="142"/>
      <c r="D169" s="142"/>
      <c r="E169" s="131"/>
      <c r="F169" s="142"/>
      <c r="G169" s="142"/>
      <c r="H169" s="142"/>
      <c r="I169" s="142"/>
      <c r="J169" s="142"/>
      <c r="K169" s="132"/>
      <c r="L169" s="131"/>
      <c r="M169" s="131"/>
      <c r="N169" s="142"/>
      <c r="O169" s="142"/>
      <c r="P169" s="142"/>
      <c r="Q169" s="142"/>
      <c r="R169" s="142"/>
      <c r="S169" s="142"/>
      <c r="T169" s="131"/>
      <c r="U169" s="131"/>
      <c r="V169" s="131"/>
      <c r="W169" s="131"/>
      <c r="X169" s="131"/>
      <c r="Y169" s="131"/>
      <c r="Z169" s="142"/>
      <c r="AA169" s="142"/>
      <c r="AB169" s="142"/>
      <c r="AC169" s="142"/>
      <c r="AD169" s="142"/>
      <c r="AE169" s="142"/>
      <c r="AF169" s="142"/>
      <c r="AG169" s="142"/>
      <c r="AH169" s="142"/>
      <c r="AI169" s="142"/>
      <c r="AJ169" s="142"/>
      <c r="AK169" s="142"/>
      <c r="AL169" s="142"/>
      <c r="AM169" s="142"/>
      <c r="AN169" s="142"/>
      <c r="AO169" s="142"/>
    </row>
    <row r="170" ht="15.75" customHeight="1">
      <c r="A170" s="142"/>
      <c r="B170" s="142"/>
      <c r="C170" s="142"/>
      <c r="D170" s="142"/>
      <c r="E170" s="131"/>
      <c r="F170" s="142"/>
      <c r="G170" s="142"/>
      <c r="H170" s="142"/>
      <c r="I170" s="142"/>
      <c r="J170" s="142"/>
      <c r="K170" s="132"/>
      <c r="L170" s="131"/>
      <c r="M170" s="131"/>
      <c r="N170" s="142"/>
      <c r="O170" s="142"/>
      <c r="P170" s="142"/>
      <c r="Q170" s="142"/>
      <c r="R170" s="142"/>
      <c r="S170" s="142"/>
      <c r="T170" s="131"/>
      <c r="U170" s="131"/>
      <c r="V170" s="131"/>
      <c r="W170" s="131"/>
      <c r="X170" s="131"/>
      <c r="Y170" s="131"/>
      <c r="Z170" s="142"/>
      <c r="AA170" s="142"/>
      <c r="AB170" s="142"/>
      <c r="AC170" s="142"/>
      <c r="AD170" s="142"/>
      <c r="AE170" s="142"/>
      <c r="AF170" s="142"/>
      <c r="AG170" s="142"/>
      <c r="AH170" s="142"/>
      <c r="AI170" s="142"/>
      <c r="AJ170" s="142"/>
      <c r="AK170" s="142"/>
      <c r="AL170" s="142"/>
      <c r="AM170" s="142"/>
      <c r="AN170" s="142"/>
      <c r="AO170" s="142"/>
    </row>
    <row r="171" ht="15.75" customHeight="1">
      <c r="A171" s="142"/>
      <c r="B171" s="142"/>
      <c r="C171" s="142"/>
      <c r="D171" s="142"/>
      <c r="E171" s="131"/>
      <c r="F171" s="142"/>
      <c r="G171" s="142"/>
      <c r="H171" s="142"/>
      <c r="I171" s="142"/>
      <c r="J171" s="142"/>
      <c r="K171" s="132"/>
      <c r="L171" s="131"/>
      <c r="M171" s="131"/>
      <c r="N171" s="142"/>
      <c r="O171" s="142"/>
      <c r="P171" s="142"/>
      <c r="Q171" s="142"/>
      <c r="R171" s="142"/>
      <c r="S171" s="142"/>
      <c r="T171" s="131"/>
      <c r="U171" s="131"/>
      <c r="V171" s="131"/>
      <c r="W171" s="131"/>
      <c r="X171" s="131"/>
      <c r="Y171" s="131"/>
      <c r="Z171" s="142"/>
      <c r="AA171" s="142"/>
      <c r="AB171" s="142"/>
      <c r="AC171" s="142"/>
      <c r="AD171" s="142"/>
      <c r="AE171" s="142"/>
      <c r="AF171" s="142"/>
      <c r="AG171" s="142"/>
      <c r="AH171" s="142"/>
      <c r="AI171" s="142"/>
      <c r="AJ171" s="142"/>
      <c r="AK171" s="142"/>
      <c r="AL171" s="142"/>
      <c r="AM171" s="142"/>
      <c r="AN171" s="142"/>
      <c r="AO171" s="142"/>
    </row>
    <row r="172" ht="15.75" customHeight="1">
      <c r="A172" s="142"/>
      <c r="B172" s="142"/>
      <c r="C172" s="142"/>
      <c r="D172" s="142"/>
      <c r="E172" s="131"/>
      <c r="F172" s="142"/>
      <c r="G172" s="142"/>
      <c r="H172" s="142"/>
      <c r="I172" s="142"/>
      <c r="J172" s="142"/>
      <c r="K172" s="132"/>
      <c r="L172" s="131"/>
      <c r="M172" s="131"/>
      <c r="N172" s="142"/>
      <c r="O172" s="142"/>
      <c r="P172" s="142"/>
      <c r="Q172" s="142"/>
      <c r="R172" s="142"/>
      <c r="S172" s="142"/>
      <c r="T172" s="131"/>
      <c r="U172" s="131"/>
      <c r="V172" s="131"/>
      <c r="W172" s="131"/>
      <c r="X172" s="131"/>
      <c r="Y172" s="131"/>
      <c r="Z172" s="142"/>
      <c r="AA172" s="142"/>
      <c r="AB172" s="142"/>
      <c r="AC172" s="142"/>
      <c r="AD172" s="142"/>
      <c r="AE172" s="142"/>
      <c r="AF172" s="142"/>
      <c r="AG172" s="142"/>
      <c r="AH172" s="142"/>
      <c r="AI172" s="142"/>
      <c r="AJ172" s="142"/>
      <c r="AK172" s="142"/>
      <c r="AL172" s="142"/>
      <c r="AM172" s="142"/>
      <c r="AN172" s="142"/>
      <c r="AO172" s="142"/>
    </row>
    <row r="173" ht="15.75" customHeight="1">
      <c r="A173" s="142"/>
      <c r="B173" s="142"/>
      <c r="C173" s="142"/>
      <c r="D173" s="142"/>
      <c r="E173" s="131"/>
      <c r="F173" s="142"/>
      <c r="G173" s="142"/>
      <c r="H173" s="142"/>
      <c r="I173" s="142"/>
      <c r="J173" s="142"/>
      <c r="K173" s="132"/>
      <c r="L173" s="131"/>
      <c r="M173" s="131"/>
      <c r="N173" s="142"/>
      <c r="O173" s="142"/>
      <c r="P173" s="142"/>
      <c r="Q173" s="142"/>
      <c r="R173" s="142"/>
      <c r="S173" s="142"/>
      <c r="T173" s="131"/>
      <c r="U173" s="131"/>
      <c r="V173" s="131"/>
      <c r="W173" s="131"/>
      <c r="X173" s="131"/>
      <c r="Y173" s="131"/>
      <c r="Z173" s="142"/>
      <c r="AA173" s="142"/>
      <c r="AB173" s="142"/>
      <c r="AC173" s="142"/>
      <c r="AD173" s="142"/>
      <c r="AE173" s="142"/>
      <c r="AF173" s="142"/>
      <c r="AG173" s="142"/>
      <c r="AH173" s="142"/>
      <c r="AI173" s="142"/>
      <c r="AJ173" s="142"/>
      <c r="AK173" s="142"/>
      <c r="AL173" s="142"/>
      <c r="AM173" s="142"/>
      <c r="AN173" s="142"/>
      <c r="AO173" s="142"/>
    </row>
    <row r="174" ht="15.75" customHeight="1">
      <c r="A174" s="142"/>
      <c r="B174" s="142"/>
      <c r="C174" s="142"/>
      <c r="D174" s="142"/>
      <c r="E174" s="131"/>
      <c r="F174" s="142"/>
      <c r="G174" s="142"/>
      <c r="H174" s="142"/>
      <c r="I174" s="142"/>
      <c r="J174" s="142"/>
      <c r="K174" s="132"/>
      <c r="L174" s="131"/>
      <c r="M174" s="131"/>
      <c r="N174" s="142"/>
      <c r="O174" s="142"/>
      <c r="P174" s="142"/>
      <c r="Q174" s="142"/>
      <c r="R174" s="142"/>
      <c r="S174" s="142"/>
      <c r="T174" s="131"/>
      <c r="U174" s="131"/>
      <c r="V174" s="131"/>
      <c r="W174" s="131"/>
      <c r="X174" s="131"/>
      <c r="Y174" s="131"/>
      <c r="Z174" s="142"/>
      <c r="AA174" s="142"/>
      <c r="AB174" s="142"/>
      <c r="AC174" s="142"/>
      <c r="AD174" s="142"/>
      <c r="AE174" s="142"/>
      <c r="AF174" s="142"/>
      <c r="AG174" s="142"/>
      <c r="AH174" s="142"/>
      <c r="AI174" s="142"/>
      <c r="AJ174" s="142"/>
      <c r="AK174" s="142"/>
      <c r="AL174" s="142"/>
      <c r="AM174" s="142"/>
      <c r="AN174" s="142"/>
      <c r="AO174" s="142"/>
    </row>
    <row r="175" ht="15.75" customHeight="1">
      <c r="A175" s="142"/>
      <c r="B175" s="142"/>
      <c r="C175" s="142"/>
      <c r="D175" s="142"/>
      <c r="E175" s="131"/>
      <c r="F175" s="142"/>
      <c r="G175" s="142"/>
      <c r="H175" s="142"/>
      <c r="I175" s="142"/>
      <c r="J175" s="142"/>
      <c r="K175" s="132"/>
      <c r="L175" s="131"/>
      <c r="M175" s="131"/>
      <c r="N175" s="142"/>
      <c r="O175" s="142"/>
      <c r="P175" s="142"/>
      <c r="Q175" s="142"/>
      <c r="R175" s="142"/>
      <c r="S175" s="142"/>
      <c r="T175" s="131"/>
      <c r="U175" s="131"/>
      <c r="V175" s="131"/>
      <c r="W175" s="131"/>
      <c r="X175" s="131"/>
      <c r="Y175" s="131"/>
      <c r="Z175" s="142"/>
      <c r="AA175" s="142"/>
      <c r="AB175" s="142"/>
      <c r="AC175" s="142"/>
      <c r="AD175" s="142"/>
      <c r="AE175" s="142"/>
      <c r="AF175" s="142"/>
      <c r="AG175" s="142"/>
      <c r="AH175" s="142"/>
      <c r="AI175" s="142"/>
      <c r="AJ175" s="142"/>
      <c r="AK175" s="142"/>
      <c r="AL175" s="142"/>
      <c r="AM175" s="142"/>
      <c r="AN175" s="142"/>
      <c r="AO175" s="142"/>
    </row>
    <row r="176" ht="15.75" customHeight="1">
      <c r="A176" s="142"/>
      <c r="B176" s="142"/>
      <c r="C176" s="142"/>
      <c r="D176" s="142"/>
      <c r="E176" s="131"/>
      <c r="F176" s="142"/>
      <c r="G176" s="142"/>
      <c r="H176" s="142"/>
      <c r="I176" s="142"/>
      <c r="J176" s="142"/>
      <c r="K176" s="132"/>
      <c r="L176" s="131"/>
      <c r="M176" s="131"/>
      <c r="N176" s="142"/>
      <c r="O176" s="142"/>
      <c r="P176" s="142"/>
      <c r="Q176" s="142"/>
      <c r="R176" s="142"/>
      <c r="S176" s="142"/>
      <c r="T176" s="131"/>
      <c r="U176" s="131"/>
      <c r="V176" s="131"/>
      <c r="W176" s="131"/>
      <c r="X176" s="131"/>
      <c r="Y176" s="131"/>
      <c r="Z176" s="142"/>
      <c r="AA176" s="142"/>
      <c r="AB176" s="142"/>
      <c r="AC176" s="142"/>
      <c r="AD176" s="142"/>
      <c r="AE176" s="142"/>
      <c r="AF176" s="142"/>
      <c r="AG176" s="142"/>
      <c r="AH176" s="142"/>
      <c r="AI176" s="142"/>
      <c r="AJ176" s="142"/>
      <c r="AK176" s="142"/>
      <c r="AL176" s="142"/>
      <c r="AM176" s="142"/>
      <c r="AN176" s="142"/>
      <c r="AO176" s="142"/>
    </row>
    <row r="177" ht="15.75" customHeight="1">
      <c r="A177" s="142"/>
      <c r="B177" s="142"/>
      <c r="C177" s="142"/>
      <c r="D177" s="142"/>
      <c r="E177" s="131"/>
      <c r="F177" s="142"/>
      <c r="G177" s="142"/>
      <c r="H177" s="142"/>
      <c r="I177" s="142"/>
      <c r="J177" s="142"/>
      <c r="K177" s="132"/>
      <c r="L177" s="131"/>
      <c r="M177" s="131"/>
      <c r="N177" s="142"/>
      <c r="O177" s="142"/>
      <c r="P177" s="142"/>
      <c r="Q177" s="142"/>
      <c r="R177" s="142"/>
      <c r="S177" s="142"/>
      <c r="T177" s="131"/>
      <c r="U177" s="131"/>
      <c r="V177" s="131"/>
      <c r="W177" s="131"/>
      <c r="X177" s="131"/>
      <c r="Y177" s="131"/>
      <c r="Z177" s="142"/>
      <c r="AA177" s="142"/>
      <c r="AB177" s="142"/>
      <c r="AC177" s="142"/>
      <c r="AD177" s="142"/>
      <c r="AE177" s="142"/>
      <c r="AF177" s="142"/>
      <c r="AG177" s="142"/>
      <c r="AH177" s="142"/>
      <c r="AI177" s="142"/>
      <c r="AJ177" s="142"/>
      <c r="AK177" s="142"/>
      <c r="AL177" s="142"/>
      <c r="AM177" s="142"/>
      <c r="AN177" s="142"/>
      <c r="AO177" s="142"/>
    </row>
    <row r="178" ht="15.75" customHeight="1">
      <c r="A178" s="142"/>
      <c r="B178" s="142"/>
      <c r="C178" s="142"/>
      <c r="D178" s="142"/>
      <c r="E178" s="131"/>
      <c r="F178" s="142"/>
      <c r="G178" s="142"/>
      <c r="H178" s="142"/>
      <c r="I178" s="142"/>
      <c r="J178" s="142"/>
      <c r="K178" s="132"/>
      <c r="L178" s="131"/>
      <c r="M178" s="131"/>
      <c r="N178" s="142"/>
      <c r="O178" s="142"/>
      <c r="P178" s="142"/>
      <c r="Q178" s="142"/>
      <c r="R178" s="142"/>
      <c r="S178" s="142"/>
      <c r="T178" s="131"/>
      <c r="U178" s="131"/>
      <c r="V178" s="131"/>
      <c r="W178" s="131"/>
      <c r="X178" s="131"/>
      <c r="Y178" s="131"/>
      <c r="Z178" s="142"/>
      <c r="AA178" s="142"/>
      <c r="AB178" s="142"/>
      <c r="AC178" s="142"/>
      <c r="AD178" s="142"/>
      <c r="AE178" s="142"/>
      <c r="AF178" s="142"/>
      <c r="AG178" s="142"/>
      <c r="AH178" s="142"/>
      <c r="AI178" s="142"/>
      <c r="AJ178" s="142"/>
      <c r="AK178" s="142"/>
      <c r="AL178" s="142"/>
      <c r="AM178" s="142"/>
      <c r="AN178" s="142"/>
      <c r="AO178" s="142"/>
    </row>
    <row r="179" ht="15.75" customHeight="1">
      <c r="A179" s="142"/>
      <c r="B179" s="142"/>
      <c r="C179" s="142"/>
      <c r="D179" s="142"/>
      <c r="E179" s="131"/>
      <c r="F179" s="142"/>
      <c r="G179" s="142"/>
      <c r="H179" s="142"/>
      <c r="I179" s="142"/>
      <c r="J179" s="142"/>
      <c r="K179" s="132"/>
      <c r="L179" s="131"/>
      <c r="M179" s="131"/>
      <c r="N179" s="142"/>
      <c r="O179" s="142"/>
      <c r="P179" s="142"/>
      <c r="Q179" s="142"/>
      <c r="R179" s="142"/>
      <c r="S179" s="142"/>
      <c r="T179" s="131"/>
      <c r="U179" s="131"/>
      <c r="V179" s="131"/>
      <c r="W179" s="131"/>
      <c r="X179" s="131"/>
      <c r="Y179" s="131"/>
      <c r="Z179" s="142"/>
      <c r="AA179" s="142"/>
      <c r="AB179" s="142"/>
      <c r="AC179" s="142"/>
      <c r="AD179" s="142"/>
      <c r="AE179" s="142"/>
      <c r="AF179" s="142"/>
      <c r="AG179" s="142"/>
      <c r="AH179" s="142"/>
      <c r="AI179" s="142"/>
      <c r="AJ179" s="142"/>
      <c r="AK179" s="142"/>
      <c r="AL179" s="142"/>
      <c r="AM179" s="142"/>
      <c r="AN179" s="142"/>
      <c r="AO179" s="142"/>
    </row>
    <row r="180" ht="15.75" customHeight="1">
      <c r="A180" s="142"/>
      <c r="B180" s="142"/>
      <c r="C180" s="142"/>
      <c r="D180" s="142"/>
      <c r="E180" s="131"/>
      <c r="F180" s="142"/>
      <c r="G180" s="142"/>
      <c r="H180" s="142"/>
      <c r="I180" s="142"/>
      <c r="J180" s="142"/>
      <c r="K180" s="132"/>
      <c r="L180" s="131"/>
      <c r="M180" s="131"/>
      <c r="N180" s="142"/>
      <c r="O180" s="142"/>
      <c r="P180" s="142"/>
      <c r="Q180" s="142"/>
      <c r="R180" s="142"/>
      <c r="S180" s="142"/>
      <c r="T180" s="131"/>
      <c r="U180" s="131"/>
      <c r="V180" s="131"/>
      <c r="W180" s="131"/>
      <c r="X180" s="131"/>
      <c r="Y180" s="131"/>
      <c r="Z180" s="142"/>
      <c r="AA180" s="142"/>
      <c r="AB180" s="142"/>
      <c r="AC180" s="142"/>
      <c r="AD180" s="142"/>
      <c r="AE180" s="142"/>
      <c r="AF180" s="142"/>
      <c r="AG180" s="142"/>
      <c r="AH180" s="142"/>
      <c r="AI180" s="142"/>
      <c r="AJ180" s="142"/>
      <c r="AK180" s="142"/>
      <c r="AL180" s="142"/>
      <c r="AM180" s="142"/>
      <c r="AN180" s="142"/>
      <c r="AO180" s="142"/>
    </row>
    <row r="181" ht="15.75" customHeight="1">
      <c r="A181" s="142"/>
      <c r="B181" s="142"/>
      <c r="C181" s="142"/>
      <c r="D181" s="142"/>
      <c r="E181" s="131"/>
      <c r="F181" s="142"/>
      <c r="G181" s="142"/>
      <c r="H181" s="142"/>
      <c r="I181" s="142"/>
      <c r="J181" s="142"/>
      <c r="K181" s="132"/>
      <c r="L181" s="131"/>
      <c r="M181" s="131"/>
      <c r="N181" s="142"/>
      <c r="O181" s="142"/>
      <c r="P181" s="142"/>
      <c r="Q181" s="142"/>
      <c r="R181" s="142"/>
      <c r="S181" s="142"/>
      <c r="T181" s="131"/>
      <c r="U181" s="131"/>
      <c r="V181" s="131"/>
      <c r="W181" s="131"/>
      <c r="X181" s="131"/>
      <c r="Y181" s="131"/>
      <c r="Z181" s="142"/>
      <c r="AA181" s="142"/>
      <c r="AB181" s="142"/>
      <c r="AC181" s="142"/>
      <c r="AD181" s="142"/>
      <c r="AE181" s="142"/>
      <c r="AF181" s="142"/>
      <c r="AG181" s="142"/>
      <c r="AH181" s="142"/>
      <c r="AI181" s="142"/>
      <c r="AJ181" s="142"/>
      <c r="AK181" s="142"/>
      <c r="AL181" s="142"/>
      <c r="AM181" s="142"/>
      <c r="AN181" s="142"/>
      <c r="AO181" s="142"/>
    </row>
    <row r="182" ht="15.75" customHeight="1">
      <c r="A182" s="142"/>
      <c r="B182" s="142"/>
      <c r="C182" s="142"/>
      <c r="D182" s="142"/>
      <c r="E182" s="131"/>
      <c r="F182" s="142"/>
      <c r="G182" s="142"/>
      <c r="H182" s="142"/>
      <c r="I182" s="142"/>
      <c r="J182" s="142"/>
      <c r="K182" s="132"/>
      <c r="L182" s="131"/>
      <c r="M182" s="131"/>
      <c r="N182" s="142"/>
      <c r="O182" s="142"/>
      <c r="P182" s="142"/>
      <c r="Q182" s="142"/>
      <c r="R182" s="142"/>
      <c r="S182" s="142"/>
      <c r="T182" s="131"/>
      <c r="U182" s="131"/>
      <c r="V182" s="131"/>
      <c r="W182" s="131"/>
      <c r="X182" s="131"/>
      <c r="Y182" s="131"/>
      <c r="Z182" s="142"/>
      <c r="AA182" s="142"/>
      <c r="AB182" s="142"/>
      <c r="AC182" s="142"/>
      <c r="AD182" s="142"/>
      <c r="AE182" s="142"/>
      <c r="AF182" s="142"/>
      <c r="AG182" s="142"/>
      <c r="AH182" s="142"/>
      <c r="AI182" s="142"/>
      <c r="AJ182" s="142"/>
      <c r="AK182" s="142"/>
      <c r="AL182" s="142"/>
      <c r="AM182" s="142"/>
      <c r="AN182" s="142"/>
      <c r="AO182" s="142"/>
    </row>
    <row r="183" ht="15.75" customHeight="1">
      <c r="A183" s="142"/>
      <c r="B183" s="142"/>
      <c r="C183" s="142"/>
      <c r="D183" s="142"/>
      <c r="E183" s="131"/>
      <c r="F183" s="142"/>
      <c r="G183" s="142"/>
      <c r="H183" s="142"/>
      <c r="I183" s="142"/>
      <c r="J183" s="142"/>
      <c r="K183" s="132"/>
      <c r="L183" s="131"/>
      <c r="M183" s="131"/>
      <c r="N183" s="142"/>
      <c r="O183" s="142"/>
      <c r="P183" s="142"/>
      <c r="Q183" s="142"/>
      <c r="R183" s="142"/>
      <c r="S183" s="142"/>
      <c r="T183" s="131"/>
      <c r="U183" s="131"/>
      <c r="V183" s="131"/>
      <c r="W183" s="131"/>
      <c r="X183" s="131"/>
      <c r="Y183" s="131"/>
      <c r="Z183" s="142"/>
      <c r="AA183" s="142"/>
      <c r="AB183" s="142"/>
      <c r="AC183" s="142"/>
      <c r="AD183" s="142"/>
      <c r="AE183" s="142"/>
      <c r="AF183" s="142"/>
      <c r="AG183" s="142"/>
      <c r="AH183" s="142"/>
      <c r="AI183" s="142"/>
      <c r="AJ183" s="142"/>
      <c r="AK183" s="142"/>
      <c r="AL183" s="142"/>
      <c r="AM183" s="142"/>
      <c r="AN183" s="142"/>
      <c r="AO183" s="142"/>
    </row>
    <row r="184" ht="15.75" customHeight="1">
      <c r="A184" s="142"/>
      <c r="B184" s="142"/>
      <c r="C184" s="142"/>
      <c r="D184" s="142"/>
      <c r="E184" s="131"/>
      <c r="F184" s="142"/>
      <c r="G184" s="142"/>
      <c r="H184" s="142"/>
      <c r="I184" s="142"/>
      <c r="J184" s="142"/>
      <c r="K184" s="132"/>
      <c r="L184" s="131"/>
      <c r="M184" s="131"/>
      <c r="N184" s="142"/>
      <c r="O184" s="142"/>
      <c r="P184" s="142"/>
      <c r="Q184" s="142"/>
      <c r="R184" s="142"/>
      <c r="S184" s="142"/>
      <c r="T184" s="131"/>
      <c r="U184" s="131"/>
      <c r="V184" s="131"/>
      <c r="W184" s="131"/>
      <c r="X184" s="131"/>
      <c r="Y184" s="131"/>
      <c r="Z184" s="142"/>
      <c r="AA184" s="142"/>
      <c r="AB184" s="142"/>
      <c r="AC184" s="142"/>
      <c r="AD184" s="142"/>
      <c r="AE184" s="142"/>
      <c r="AF184" s="142"/>
      <c r="AG184" s="142"/>
      <c r="AH184" s="142"/>
      <c r="AI184" s="142"/>
      <c r="AJ184" s="142"/>
      <c r="AK184" s="142"/>
      <c r="AL184" s="142"/>
      <c r="AM184" s="142"/>
      <c r="AN184" s="142"/>
      <c r="AO184" s="142"/>
    </row>
    <row r="185" ht="15.75" customHeight="1">
      <c r="A185" s="142"/>
      <c r="B185" s="142"/>
      <c r="C185" s="142"/>
      <c r="D185" s="142"/>
      <c r="E185" s="131"/>
      <c r="F185" s="142"/>
      <c r="G185" s="142"/>
      <c r="H185" s="142"/>
      <c r="I185" s="142"/>
      <c r="J185" s="142"/>
      <c r="K185" s="132"/>
      <c r="L185" s="131"/>
      <c r="M185" s="131"/>
      <c r="N185" s="142"/>
      <c r="O185" s="142"/>
      <c r="P185" s="142"/>
      <c r="Q185" s="142"/>
      <c r="R185" s="142"/>
      <c r="S185" s="142"/>
      <c r="T185" s="131"/>
      <c r="U185" s="131"/>
      <c r="V185" s="131"/>
      <c r="W185" s="131"/>
      <c r="X185" s="131"/>
      <c r="Y185" s="131"/>
      <c r="Z185" s="142"/>
      <c r="AA185" s="142"/>
      <c r="AB185" s="142"/>
      <c r="AC185" s="142"/>
      <c r="AD185" s="142"/>
      <c r="AE185" s="142"/>
      <c r="AF185" s="142"/>
      <c r="AG185" s="142"/>
      <c r="AH185" s="142"/>
      <c r="AI185" s="142"/>
      <c r="AJ185" s="142"/>
      <c r="AK185" s="142"/>
      <c r="AL185" s="142"/>
      <c r="AM185" s="142"/>
      <c r="AN185" s="142"/>
      <c r="AO185" s="142"/>
    </row>
    <row r="186" ht="15.75" customHeight="1">
      <c r="A186" s="142"/>
      <c r="B186" s="142"/>
      <c r="C186" s="142"/>
      <c r="D186" s="142"/>
      <c r="E186" s="131"/>
      <c r="F186" s="142"/>
      <c r="G186" s="142"/>
      <c r="H186" s="142"/>
      <c r="I186" s="142"/>
      <c r="J186" s="142"/>
      <c r="K186" s="132"/>
      <c r="L186" s="131"/>
      <c r="M186" s="131"/>
      <c r="N186" s="142"/>
      <c r="O186" s="142"/>
      <c r="P186" s="142"/>
      <c r="Q186" s="142"/>
      <c r="R186" s="142"/>
      <c r="S186" s="142"/>
      <c r="T186" s="131"/>
      <c r="U186" s="131"/>
      <c r="V186" s="131"/>
      <c r="W186" s="131"/>
      <c r="X186" s="131"/>
      <c r="Y186" s="131"/>
      <c r="Z186" s="142"/>
      <c r="AA186" s="142"/>
      <c r="AB186" s="142"/>
      <c r="AC186" s="142"/>
      <c r="AD186" s="142"/>
      <c r="AE186" s="142"/>
      <c r="AF186" s="142"/>
      <c r="AG186" s="142"/>
      <c r="AH186" s="142"/>
      <c r="AI186" s="142"/>
      <c r="AJ186" s="142"/>
      <c r="AK186" s="142"/>
      <c r="AL186" s="142"/>
      <c r="AM186" s="142"/>
      <c r="AN186" s="142"/>
      <c r="AO186" s="142"/>
    </row>
    <row r="187" ht="15.75" customHeight="1">
      <c r="A187" s="142"/>
      <c r="B187" s="142"/>
      <c r="C187" s="142"/>
      <c r="D187" s="142"/>
      <c r="E187" s="131"/>
      <c r="F187" s="142"/>
      <c r="G187" s="142"/>
      <c r="H187" s="142"/>
      <c r="I187" s="142"/>
      <c r="J187" s="142"/>
      <c r="K187" s="132"/>
      <c r="L187" s="131"/>
      <c r="M187" s="131"/>
      <c r="N187" s="142"/>
      <c r="O187" s="142"/>
      <c r="P187" s="142"/>
      <c r="Q187" s="142"/>
      <c r="R187" s="142"/>
      <c r="S187" s="142"/>
      <c r="T187" s="131"/>
      <c r="U187" s="131"/>
      <c r="V187" s="131"/>
      <c r="W187" s="131"/>
      <c r="X187" s="131"/>
      <c r="Y187" s="131"/>
      <c r="Z187" s="142"/>
      <c r="AA187" s="142"/>
      <c r="AB187" s="142"/>
      <c r="AC187" s="142"/>
      <c r="AD187" s="142"/>
      <c r="AE187" s="142"/>
      <c r="AF187" s="142"/>
      <c r="AG187" s="142"/>
      <c r="AH187" s="142"/>
      <c r="AI187" s="142"/>
      <c r="AJ187" s="142"/>
      <c r="AK187" s="142"/>
      <c r="AL187" s="142"/>
      <c r="AM187" s="142"/>
      <c r="AN187" s="142"/>
      <c r="AO187" s="142"/>
    </row>
    <row r="188" ht="15.75" customHeight="1">
      <c r="A188" s="142"/>
      <c r="B188" s="142"/>
      <c r="C188" s="142"/>
      <c r="D188" s="142"/>
      <c r="E188" s="131"/>
      <c r="F188" s="142"/>
      <c r="G188" s="142"/>
      <c r="H188" s="142"/>
      <c r="I188" s="142"/>
      <c r="J188" s="142"/>
      <c r="K188" s="132"/>
      <c r="L188" s="131"/>
      <c r="M188" s="131"/>
      <c r="N188" s="142"/>
      <c r="O188" s="142"/>
      <c r="P188" s="142"/>
      <c r="Q188" s="142"/>
      <c r="R188" s="142"/>
      <c r="S188" s="142"/>
      <c r="T188" s="131"/>
      <c r="U188" s="131"/>
      <c r="V188" s="131"/>
      <c r="W188" s="131"/>
      <c r="X188" s="131"/>
      <c r="Y188" s="131"/>
      <c r="Z188" s="142"/>
      <c r="AA188" s="142"/>
      <c r="AB188" s="142"/>
      <c r="AC188" s="142"/>
      <c r="AD188" s="142"/>
      <c r="AE188" s="142"/>
      <c r="AF188" s="142"/>
      <c r="AG188" s="142"/>
      <c r="AH188" s="142"/>
      <c r="AI188" s="142"/>
      <c r="AJ188" s="142"/>
      <c r="AK188" s="142"/>
      <c r="AL188" s="142"/>
      <c r="AM188" s="142"/>
      <c r="AN188" s="142"/>
      <c r="AO188" s="142"/>
    </row>
    <row r="189" ht="15.75" customHeight="1">
      <c r="A189" s="142"/>
      <c r="B189" s="142"/>
      <c r="C189" s="142"/>
      <c r="D189" s="142"/>
      <c r="E189" s="131"/>
      <c r="F189" s="142"/>
      <c r="G189" s="142"/>
      <c r="H189" s="142"/>
      <c r="I189" s="142"/>
      <c r="J189" s="142"/>
      <c r="K189" s="132"/>
      <c r="L189" s="131"/>
      <c r="M189" s="131"/>
      <c r="N189" s="142"/>
      <c r="O189" s="142"/>
      <c r="P189" s="142"/>
      <c r="Q189" s="142"/>
      <c r="R189" s="142"/>
      <c r="S189" s="142"/>
      <c r="T189" s="131"/>
      <c r="U189" s="131"/>
      <c r="V189" s="131"/>
      <c r="W189" s="131"/>
      <c r="X189" s="131"/>
      <c r="Y189" s="131"/>
      <c r="Z189" s="142"/>
      <c r="AA189" s="142"/>
      <c r="AB189" s="142"/>
      <c r="AC189" s="142"/>
      <c r="AD189" s="142"/>
      <c r="AE189" s="142"/>
      <c r="AF189" s="142"/>
      <c r="AG189" s="142"/>
      <c r="AH189" s="142"/>
      <c r="AI189" s="142"/>
      <c r="AJ189" s="142"/>
      <c r="AK189" s="142"/>
      <c r="AL189" s="142"/>
      <c r="AM189" s="142"/>
      <c r="AN189" s="142"/>
      <c r="AO189" s="142"/>
    </row>
    <row r="190" ht="15.75" customHeight="1">
      <c r="A190" s="142"/>
      <c r="B190" s="142"/>
      <c r="C190" s="142"/>
      <c r="D190" s="142"/>
      <c r="E190" s="131"/>
      <c r="F190" s="142"/>
      <c r="G190" s="142"/>
      <c r="H190" s="142"/>
      <c r="I190" s="142"/>
      <c r="J190" s="142"/>
      <c r="K190" s="132"/>
      <c r="L190" s="131"/>
      <c r="M190" s="131"/>
      <c r="N190" s="142"/>
      <c r="O190" s="142"/>
      <c r="P190" s="142"/>
      <c r="Q190" s="142"/>
      <c r="R190" s="142"/>
      <c r="S190" s="142"/>
      <c r="T190" s="131"/>
      <c r="U190" s="131"/>
      <c r="V190" s="131"/>
      <c r="W190" s="131"/>
      <c r="X190" s="131"/>
      <c r="Y190" s="131"/>
      <c r="Z190" s="142"/>
      <c r="AA190" s="142"/>
      <c r="AB190" s="142"/>
      <c r="AC190" s="142"/>
      <c r="AD190" s="142"/>
      <c r="AE190" s="142"/>
      <c r="AF190" s="142"/>
      <c r="AG190" s="142"/>
      <c r="AH190" s="142"/>
      <c r="AI190" s="142"/>
      <c r="AJ190" s="142"/>
      <c r="AK190" s="142"/>
      <c r="AL190" s="142"/>
      <c r="AM190" s="142"/>
      <c r="AN190" s="142"/>
      <c r="AO190" s="142"/>
    </row>
    <row r="191" ht="15.75" customHeight="1">
      <c r="A191" s="142"/>
      <c r="B191" s="142"/>
      <c r="C191" s="142"/>
      <c r="D191" s="142"/>
      <c r="E191" s="131"/>
      <c r="F191" s="142"/>
      <c r="G191" s="142"/>
      <c r="H191" s="142"/>
      <c r="I191" s="142"/>
      <c r="J191" s="142"/>
      <c r="K191" s="132"/>
      <c r="L191" s="131"/>
      <c r="M191" s="131"/>
      <c r="N191" s="142"/>
      <c r="O191" s="142"/>
      <c r="P191" s="142"/>
      <c r="Q191" s="142"/>
      <c r="R191" s="142"/>
      <c r="S191" s="142"/>
      <c r="T191" s="131"/>
      <c r="U191" s="131"/>
      <c r="V191" s="131"/>
      <c r="W191" s="131"/>
      <c r="X191" s="131"/>
      <c r="Y191" s="131"/>
      <c r="Z191" s="142"/>
      <c r="AA191" s="142"/>
      <c r="AB191" s="142"/>
      <c r="AC191" s="142"/>
      <c r="AD191" s="142"/>
      <c r="AE191" s="142"/>
      <c r="AF191" s="142"/>
      <c r="AG191" s="142"/>
      <c r="AH191" s="142"/>
      <c r="AI191" s="142"/>
      <c r="AJ191" s="142"/>
      <c r="AK191" s="142"/>
      <c r="AL191" s="142"/>
      <c r="AM191" s="142"/>
      <c r="AN191" s="142"/>
      <c r="AO191" s="142"/>
    </row>
    <row r="192" ht="15.75" customHeight="1">
      <c r="A192" s="142"/>
      <c r="B192" s="142"/>
      <c r="C192" s="142"/>
      <c r="D192" s="142"/>
      <c r="E192" s="131"/>
      <c r="F192" s="142"/>
      <c r="G192" s="142"/>
      <c r="H192" s="142"/>
      <c r="I192" s="142"/>
      <c r="J192" s="142"/>
      <c r="K192" s="132"/>
      <c r="L192" s="131"/>
      <c r="M192" s="131"/>
      <c r="N192" s="142"/>
      <c r="O192" s="142"/>
      <c r="P192" s="142"/>
      <c r="Q192" s="142"/>
      <c r="R192" s="142"/>
      <c r="S192" s="142"/>
      <c r="T192" s="131"/>
      <c r="U192" s="131"/>
      <c r="V192" s="131"/>
      <c r="W192" s="131"/>
      <c r="X192" s="131"/>
      <c r="Y192" s="131"/>
      <c r="Z192" s="142"/>
      <c r="AA192" s="142"/>
      <c r="AB192" s="142"/>
      <c r="AC192" s="142"/>
      <c r="AD192" s="142"/>
      <c r="AE192" s="142"/>
      <c r="AF192" s="142"/>
      <c r="AG192" s="142"/>
      <c r="AH192" s="142"/>
      <c r="AI192" s="142"/>
      <c r="AJ192" s="142"/>
      <c r="AK192" s="142"/>
      <c r="AL192" s="142"/>
      <c r="AM192" s="142"/>
      <c r="AN192" s="142"/>
      <c r="AO192" s="142"/>
    </row>
    <row r="193" ht="15.75" customHeight="1">
      <c r="A193" s="142"/>
      <c r="B193" s="142"/>
      <c r="C193" s="142"/>
      <c r="D193" s="142"/>
      <c r="E193" s="131"/>
      <c r="F193" s="142"/>
      <c r="G193" s="142"/>
      <c r="H193" s="142"/>
      <c r="I193" s="142"/>
      <c r="J193" s="142"/>
      <c r="K193" s="132"/>
      <c r="L193" s="131"/>
      <c r="M193" s="131"/>
      <c r="N193" s="142"/>
      <c r="O193" s="142"/>
      <c r="P193" s="142"/>
      <c r="Q193" s="142"/>
      <c r="R193" s="142"/>
      <c r="S193" s="142"/>
      <c r="T193" s="131"/>
      <c r="U193" s="131"/>
      <c r="V193" s="131"/>
      <c r="W193" s="131"/>
      <c r="X193" s="131"/>
      <c r="Y193" s="131"/>
      <c r="Z193" s="142"/>
      <c r="AA193" s="142"/>
      <c r="AB193" s="142"/>
      <c r="AC193" s="142"/>
      <c r="AD193" s="142"/>
      <c r="AE193" s="142"/>
      <c r="AF193" s="142"/>
      <c r="AG193" s="142"/>
      <c r="AH193" s="142"/>
      <c r="AI193" s="142"/>
      <c r="AJ193" s="142"/>
      <c r="AK193" s="142"/>
      <c r="AL193" s="142"/>
      <c r="AM193" s="142"/>
      <c r="AN193" s="142"/>
      <c r="AO193" s="142"/>
    </row>
    <row r="194" ht="15.75" customHeight="1">
      <c r="A194" s="142"/>
      <c r="B194" s="142"/>
      <c r="C194" s="142"/>
      <c r="D194" s="142"/>
      <c r="E194" s="131"/>
      <c r="F194" s="142"/>
      <c r="G194" s="142"/>
      <c r="H194" s="142"/>
      <c r="I194" s="142"/>
      <c r="J194" s="142"/>
      <c r="K194" s="132"/>
      <c r="L194" s="131"/>
      <c r="M194" s="131"/>
      <c r="N194" s="142"/>
      <c r="O194" s="142"/>
      <c r="P194" s="142"/>
      <c r="Q194" s="142"/>
      <c r="R194" s="142"/>
      <c r="S194" s="142"/>
      <c r="T194" s="131"/>
      <c r="U194" s="131"/>
      <c r="V194" s="131"/>
      <c r="W194" s="131"/>
      <c r="X194" s="131"/>
      <c r="Y194" s="131"/>
      <c r="Z194" s="142"/>
      <c r="AA194" s="142"/>
      <c r="AB194" s="142"/>
      <c r="AC194" s="142"/>
      <c r="AD194" s="142"/>
      <c r="AE194" s="142"/>
      <c r="AF194" s="142"/>
      <c r="AG194" s="142"/>
      <c r="AH194" s="142"/>
      <c r="AI194" s="142"/>
      <c r="AJ194" s="142"/>
      <c r="AK194" s="142"/>
      <c r="AL194" s="142"/>
      <c r="AM194" s="142"/>
      <c r="AN194" s="142"/>
      <c r="AO194" s="142"/>
    </row>
    <row r="195" ht="15.75" customHeight="1">
      <c r="A195" s="142"/>
      <c r="B195" s="142"/>
      <c r="C195" s="142"/>
      <c r="D195" s="142"/>
      <c r="E195" s="131"/>
      <c r="F195" s="142"/>
      <c r="G195" s="142"/>
      <c r="H195" s="142"/>
      <c r="I195" s="142"/>
      <c r="J195" s="142"/>
      <c r="K195" s="132"/>
      <c r="L195" s="131"/>
      <c r="M195" s="131"/>
      <c r="N195" s="142"/>
      <c r="O195" s="142"/>
      <c r="P195" s="142"/>
      <c r="Q195" s="142"/>
      <c r="R195" s="142"/>
      <c r="S195" s="142"/>
      <c r="T195" s="131"/>
      <c r="U195" s="131"/>
      <c r="V195" s="131"/>
      <c r="W195" s="131"/>
      <c r="X195" s="131"/>
      <c r="Y195" s="131"/>
      <c r="Z195" s="142"/>
      <c r="AA195" s="142"/>
      <c r="AB195" s="142"/>
      <c r="AC195" s="142"/>
      <c r="AD195" s="142"/>
      <c r="AE195" s="142"/>
      <c r="AF195" s="142"/>
      <c r="AG195" s="142"/>
      <c r="AH195" s="142"/>
      <c r="AI195" s="142"/>
      <c r="AJ195" s="142"/>
      <c r="AK195" s="142"/>
      <c r="AL195" s="142"/>
      <c r="AM195" s="142"/>
      <c r="AN195" s="142"/>
      <c r="AO195" s="142"/>
    </row>
    <row r="196" ht="15.75" customHeight="1">
      <c r="A196" s="142"/>
      <c r="B196" s="142"/>
      <c r="C196" s="142"/>
      <c r="D196" s="142"/>
      <c r="E196" s="131"/>
      <c r="F196" s="142"/>
      <c r="G196" s="142"/>
      <c r="H196" s="142"/>
      <c r="I196" s="142"/>
      <c r="J196" s="142"/>
      <c r="K196" s="132"/>
      <c r="L196" s="131"/>
      <c r="M196" s="131"/>
      <c r="N196" s="142"/>
      <c r="O196" s="142"/>
      <c r="P196" s="142"/>
      <c r="Q196" s="142"/>
      <c r="R196" s="142"/>
      <c r="S196" s="142"/>
      <c r="T196" s="131"/>
      <c r="U196" s="131"/>
      <c r="V196" s="131"/>
      <c r="W196" s="131"/>
      <c r="X196" s="131"/>
      <c r="Y196" s="131"/>
      <c r="Z196" s="142"/>
      <c r="AA196" s="142"/>
      <c r="AB196" s="142"/>
      <c r="AC196" s="142"/>
      <c r="AD196" s="142"/>
      <c r="AE196" s="142"/>
      <c r="AF196" s="142"/>
      <c r="AG196" s="142"/>
      <c r="AH196" s="142"/>
      <c r="AI196" s="142"/>
      <c r="AJ196" s="142"/>
      <c r="AK196" s="142"/>
      <c r="AL196" s="142"/>
      <c r="AM196" s="142"/>
      <c r="AN196" s="142"/>
      <c r="AO196" s="142"/>
    </row>
    <row r="197" ht="15.75" customHeight="1">
      <c r="A197" s="142"/>
      <c r="B197" s="142"/>
      <c r="C197" s="142"/>
      <c r="D197" s="142"/>
      <c r="E197" s="131"/>
      <c r="F197" s="142"/>
      <c r="G197" s="142"/>
      <c r="H197" s="142"/>
      <c r="I197" s="142"/>
      <c r="J197" s="142"/>
      <c r="K197" s="132"/>
      <c r="L197" s="131"/>
      <c r="M197" s="131"/>
      <c r="N197" s="142"/>
      <c r="O197" s="142"/>
      <c r="P197" s="142"/>
      <c r="Q197" s="142"/>
      <c r="R197" s="142"/>
      <c r="S197" s="142"/>
      <c r="T197" s="131"/>
      <c r="U197" s="131"/>
      <c r="V197" s="131"/>
      <c r="W197" s="131"/>
      <c r="X197" s="131"/>
      <c r="Y197" s="131"/>
      <c r="Z197" s="142"/>
      <c r="AA197" s="142"/>
      <c r="AB197" s="142"/>
      <c r="AC197" s="142"/>
      <c r="AD197" s="142"/>
      <c r="AE197" s="142"/>
      <c r="AF197" s="142"/>
      <c r="AG197" s="142"/>
      <c r="AH197" s="142"/>
      <c r="AI197" s="142"/>
      <c r="AJ197" s="142"/>
      <c r="AK197" s="142"/>
      <c r="AL197" s="142"/>
      <c r="AM197" s="142"/>
      <c r="AN197" s="142"/>
      <c r="AO197" s="142"/>
    </row>
    <row r="198" ht="15.75" customHeight="1">
      <c r="A198" s="142"/>
      <c r="B198" s="142"/>
      <c r="C198" s="142"/>
      <c r="D198" s="142"/>
      <c r="E198" s="131"/>
      <c r="F198" s="142"/>
      <c r="G198" s="142"/>
      <c r="H198" s="142"/>
      <c r="I198" s="142"/>
      <c r="J198" s="142"/>
      <c r="K198" s="132"/>
      <c r="L198" s="131"/>
      <c r="M198" s="131"/>
      <c r="N198" s="142"/>
      <c r="O198" s="142"/>
      <c r="P198" s="142"/>
      <c r="Q198" s="142"/>
      <c r="R198" s="142"/>
      <c r="S198" s="142"/>
      <c r="T198" s="131"/>
      <c r="U198" s="131"/>
      <c r="V198" s="131"/>
      <c r="W198" s="131"/>
      <c r="X198" s="131"/>
      <c r="Y198" s="131"/>
      <c r="Z198" s="142"/>
      <c r="AA198" s="142"/>
      <c r="AB198" s="142"/>
      <c r="AC198" s="142"/>
      <c r="AD198" s="142"/>
      <c r="AE198" s="142"/>
      <c r="AF198" s="142"/>
      <c r="AG198" s="142"/>
      <c r="AH198" s="142"/>
      <c r="AI198" s="142"/>
      <c r="AJ198" s="142"/>
      <c r="AK198" s="142"/>
      <c r="AL198" s="142"/>
      <c r="AM198" s="142"/>
      <c r="AN198" s="142"/>
      <c r="AO198" s="142"/>
    </row>
    <row r="199" ht="15.75" customHeight="1">
      <c r="A199" s="142"/>
      <c r="B199" s="142"/>
      <c r="C199" s="142"/>
      <c r="D199" s="142"/>
      <c r="E199" s="131"/>
      <c r="F199" s="142"/>
      <c r="G199" s="142"/>
      <c r="H199" s="142"/>
      <c r="I199" s="142"/>
      <c r="J199" s="142"/>
      <c r="K199" s="132"/>
      <c r="L199" s="131"/>
      <c r="M199" s="131"/>
      <c r="N199" s="142"/>
      <c r="O199" s="142"/>
      <c r="P199" s="142"/>
      <c r="Q199" s="142"/>
      <c r="R199" s="142"/>
      <c r="S199" s="142"/>
      <c r="T199" s="131"/>
      <c r="U199" s="131"/>
      <c r="V199" s="131"/>
      <c r="W199" s="131"/>
      <c r="X199" s="131"/>
      <c r="Y199" s="131"/>
      <c r="Z199" s="142"/>
      <c r="AA199" s="142"/>
      <c r="AB199" s="142"/>
      <c r="AC199" s="142"/>
      <c r="AD199" s="142"/>
      <c r="AE199" s="142"/>
      <c r="AF199" s="142"/>
      <c r="AG199" s="142"/>
      <c r="AH199" s="142"/>
      <c r="AI199" s="142"/>
      <c r="AJ199" s="142"/>
      <c r="AK199" s="142"/>
      <c r="AL199" s="142"/>
      <c r="AM199" s="142"/>
      <c r="AN199" s="142"/>
      <c r="AO199" s="142"/>
    </row>
    <row r="200" ht="15.75" customHeight="1">
      <c r="A200" s="142"/>
      <c r="B200" s="142"/>
      <c r="C200" s="142"/>
      <c r="D200" s="142"/>
      <c r="E200" s="131"/>
      <c r="F200" s="142"/>
      <c r="G200" s="142"/>
      <c r="H200" s="142"/>
      <c r="I200" s="142"/>
      <c r="J200" s="142"/>
      <c r="K200" s="132"/>
      <c r="L200" s="131"/>
      <c r="M200" s="131"/>
      <c r="N200" s="142"/>
      <c r="O200" s="142"/>
      <c r="P200" s="142"/>
      <c r="Q200" s="142"/>
      <c r="R200" s="142"/>
      <c r="S200" s="142"/>
      <c r="T200" s="131"/>
      <c r="U200" s="131"/>
      <c r="V200" s="131"/>
      <c r="W200" s="131"/>
      <c r="X200" s="131"/>
      <c r="Y200" s="131"/>
      <c r="Z200" s="142"/>
      <c r="AA200" s="142"/>
      <c r="AB200" s="142"/>
      <c r="AC200" s="142"/>
      <c r="AD200" s="142"/>
      <c r="AE200" s="142"/>
      <c r="AF200" s="142"/>
      <c r="AG200" s="142"/>
      <c r="AH200" s="142"/>
      <c r="AI200" s="142"/>
      <c r="AJ200" s="142"/>
      <c r="AK200" s="142"/>
      <c r="AL200" s="142"/>
      <c r="AM200" s="142"/>
      <c r="AN200" s="142"/>
      <c r="AO200" s="142"/>
    </row>
    <row r="201" ht="15.75" customHeight="1">
      <c r="A201" s="142"/>
      <c r="B201" s="142"/>
      <c r="C201" s="142"/>
      <c r="D201" s="142"/>
      <c r="E201" s="131"/>
      <c r="F201" s="142"/>
      <c r="G201" s="142"/>
      <c r="H201" s="142"/>
      <c r="I201" s="142"/>
      <c r="J201" s="142"/>
      <c r="K201" s="132"/>
      <c r="L201" s="131"/>
      <c r="M201" s="131"/>
      <c r="N201" s="142"/>
      <c r="O201" s="142"/>
      <c r="P201" s="142"/>
      <c r="Q201" s="142"/>
      <c r="R201" s="142"/>
      <c r="S201" s="142"/>
      <c r="T201" s="131"/>
      <c r="U201" s="131"/>
      <c r="V201" s="131"/>
      <c r="W201" s="131"/>
      <c r="X201" s="131"/>
      <c r="Y201" s="131"/>
      <c r="Z201" s="142"/>
      <c r="AA201" s="142"/>
      <c r="AB201" s="142"/>
      <c r="AC201" s="142"/>
      <c r="AD201" s="142"/>
      <c r="AE201" s="142"/>
      <c r="AF201" s="142"/>
      <c r="AG201" s="142"/>
      <c r="AH201" s="142"/>
      <c r="AI201" s="142"/>
      <c r="AJ201" s="142"/>
      <c r="AK201" s="142"/>
      <c r="AL201" s="142"/>
      <c r="AM201" s="142"/>
      <c r="AN201" s="142"/>
      <c r="AO201" s="142"/>
    </row>
    <row r="202" ht="15.75" customHeight="1">
      <c r="A202" s="142"/>
      <c r="B202" s="142"/>
      <c r="C202" s="142"/>
      <c r="D202" s="142"/>
      <c r="E202" s="131"/>
      <c r="F202" s="142"/>
      <c r="G202" s="142"/>
      <c r="H202" s="142"/>
      <c r="I202" s="142"/>
      <c r="J202" s="142"/>
      <c r="K202" s="132"/>
      <c r="L202" s="131"/>
      <c r="M202" s="131"/>
      <c r="N202" s="142"/>
      <c r="O202" s="142"/>
      <c r="P202" s="142"/>
      <c r="Q202" s="142"/>
      <c r="R202" s="142"/>
      <c r="S202" s="142"/>
      <c r="T202" s="131"/>
      <c r="U202" s="131"/>
      <c r="V202" s="131"/>
      <c r="W202" s="131"/>
      <c r="X202" s="131"/>
      <c r="Y202" s="131"/>
      <c r="Z202" s="142"/>
      <c r="AA202" s="142"/>
      <c r="AB202" s="142"/>
      <c r="AC202" s="142"/>
      <c r="AD202" s="142"/>
      <c r="AE202" s="142"/>
      <c r="AF202" s="142"/>
      <c r="AG202" s="142"/>
      <c r="AH202" s="142"/>
      <c r="AI202" s="142"/>
      <c r="AJ202" s="142"/>
      <c r="AK202" s="142"/>
      <c r="AL202" s="142"/>
      <c r="AM202" s="142"/>
      <c r="AN202" s="142"/>
      <c r="AO202" s="142"/>
    </row>
    <row r="203" ht="15.75" customHeight="1">
      <c r="A203" s="142"/>
      <c r="B203" s="142"/>
      <c r="C203" s="142"/>
      <c r="D203" s="142"/>
      <c r="E203" s="131"/>
      <c r="F203" s="142"/>
      <c r="G203" s="142"/>
      <c r="H203" s="142"/>
      <c r="I203" s="142"/>
      <c r="J203" s="142"/>
      <c r="K203" s="132"/>
      <c r="L203" s="131"/>
      <c r="M203" s="131"/>
      <c r="N203" s="142"/>
      <c r="O203" s="142"/>
      <c r="P203" s="142"/>
      <c r="Q203" s="142"/>
      <c r="R203" s="142"/>
      <c r="S203" s="142"/>
      <c r="T203" s="131"/>
      <c r="U203" s="131"/>
      <c r="V203" s="131"/>
      <c r="W203" s="131"/>
      <c r="X203" s="131"/>
      <c r="Y203" s="131"/>
      <c r="Z203" s="142"/>
      <c r="AA203" s="142"/>
      <c r="AB203" s="142"/>
      <c r="AC203" s="142"/>
      <c r="AD203" s="142"/>
      <c r="AE203" s="142"/>
      <c r="AF203" s="142"/>
      <c r="AG203" s="142"/>
      <c r="AH203" s="142"/>
      <c r="AI203" s="142"/>
      <c r="AJ203" s="142"/>
      <c r="AK203" s="142"/>
      <c r="AL203" s="142"/>
      <c r="AM203" s="142"/>
      <c r="AN203" s="142"/>
      <c r="AO203" s="142"/>
    </row>
    <row r="204" ht="15.75" customHeight="1">
      <c r="A204" s="142"/>
      <c r="B204" s="142"/>
      <c r="C204" s="142"/>
      <c r="D204" s="142"/>
      <c r="E204" s="131"/>
      <c r="F204" s="142"/>
      <c r="G204" s="142"/>
      <c r="H204" s="142"/>
      <c r="I204" s="142"/>
      <c r="J204" s="142"/>
      <c r="K204" s="132"/>
      <c r="L204" s="131"/>
      <c r="M204" s="131"/>
      <c r="N204" s="142"/>
      <c r="O204" s="142"/>
      <c r="P204" s="142"/>
      <c r="Q204" s="142"/>
      <c r="R204" s="142"/>
      <c r="S204" s="142"/>
      <c r="T204" s="131"/>
      <c r="U204" s="131"/>
      <c r="V204" s="131"/>
      <c r="W204" s="131"/>
      <c r="X204" s="131"/>
      <c r="Y204" s="131"/>
      <c r="Z204" s="142"/>
      <c r="AA204" s="142"/>
      <c r="AB204" s="142"/>
      <c r="AC204" s="142"/>
      <c r="AD204" s="142"/>
      <c r="AE204" s="142"/>
      <c r="AF204" s="142"/>
      <c r="AG204" s="142"/>
      <c r="AH204" s="142"/>
      <c r="AI204" s="142"/>
      <c r="AJ204" s="142"/>
      <c r="AK204" s="142"/>
      <c r="AL204" s="142"/>
      <c r="AM204" s="142"/>
      <c r="AN204" s="142"/>
      <c r="AO204" s="142"/>
    </row>
    <row r="205" ht="15.75" customHeight="1">
      <c r="A205" s="142"/>
      <c r="B205" s="142"/>
      <c r="C205" s="142"/>
      <c r="D205" s="142"/>
      <c r="E205" s="131"/>
      <c r="F205" s="142"/>
      <c r="G205" s="142"/>
      <c r="H205" s="142"/>
      <c r="I205" s="142"/>
      <c r="J205" s="142"/>
      <c r="K205" s="132"/>
      <c r="L205" s="131"/>
      <c r="M205" s="131"/>
      <c r="N205" s="142"/>
      <c r="O205" s="142"/>
      <c r="P205" s="142"/>
      <c r="Q205" s="142"/>
      <c r="R205" s="142"/>
      <c r="S205" s="142"/>
      <c r="T205" s="131"/>
      <c r="U205" s="131"/>
      <c r="V205" s="131"/>
      <c r="W205" s="131"/>
      <c r="X205" s="131"/>
      <c r="Y205" s="131"/>
      <c r="Z205" s="142"/>
      <c r="AA205" s="142"/>
      <c r="AB205" s="142"/>
      <c r="AC205" s="142"/>
      <c r="AD205" s="142"/>
      <c r="AE205" s="142"/>
      <c r="AF205" s="142"/>
      <c r="AG205" s="142"/>
      <c r="AH205" s="142"/>
      <c r="AI205" s="142"/>
      <c r="AJ205" s="142"/>
      <c r="AK205" s="142"/>
      <c r="AL205" s="142"/>
      <c r="AM205" s="142"/>
      <c r="AN205" s="142"/>
      <c r="AO205" s="142"/>
    </row>
    <row r="206" ht="15.75" customHeight="1">
      <c r="A206" s="142"/>
      <c r="B206" s="142"/>
      <c r="C206" s="142"/>
      <c r="D206" s="142"/>
      <c r="E206" s="131"/>
      <c r="F206" s="142"/>
      <c r="G206" s="142"/>
      <c r="H206" s="142"/>
      <c r="I206" s="142"/>
      <c r="J206" s="142"/>
      <c r="K206" s="132"/>
      <c r="L206" s="131"/>
      <c r="M206" s="131"/>
      <c r="N206" s="142"/>
      <c r="O206" s="142"/>
      <c r="P206" s="142"/>
      <c r="Q206" s="142"/>
      <c r="R206" s="142"/>
      <c r="S206" s="142"/>
      <c r="T206" s="131"/>
      <c r="U206" s="131"/>
      <c r="V206" s="131"/>
      <c r="W206" s="131"/>
      <c r="X206" s="131"/>
      <c r="Y206" s="131"/>
      <c r="Z206" s="142"/>
      <c r="AA206" s="142"/>
      <c r="AB206" s="142"/>
      <c r="AC206" s="142"/>
      <c r="AD206" s="142"/>
      <c r="AE206" s="142"/>
      <c r="AF206" s="142"/>
      <c r="AG206" s="142"/>
      <c r="AH206" s="142"/>
      <c r="AI206" s="142"/>
      <c r="AJ206" s="142"/>
      <c r="AK206" s="142"/>
      <c r="AL206" s="142"/>
      <c r="AM206" s="142"/>
      <c r="AN206" s="142"/>
      <c r="AO206" s="142"/>
    </row>
    <row r="207" ht="15.75" customHeight="1">
      <c r="A207" s="142"/>
      <c r="B207" s="142"/>
      <c r="C207" s="142"/>
      <c r="D207" s="142"/>
      <c r="E207" s="131"/>
      <c r="F207" s="142"/>
      <c r="G207" s="142"/>
      <c r="H207" s="142"/>
      <c r="I207" s="142"/>
      <c r="J207" s="142"/>
      <c r="K207" s="132"/>
      <c r="L207" s="131"/>
      <c r="M207" s="131"/>
      <c r="N207" s="142"/>
      <c r="O207" s="142"/>
      <c r="P207" s="142"/>
      <c r="Q207" s="142"/>
      <c r="R207" s="142"/>
      <c r="S207" s="142"/>
      <c r="T207" s="131"/>
      <c r="U207" s="131"/>
      <c r="V207" s="131"/>
      <c r="W207" s="131"/>
      <c r="X207" s="131"/>
      <c r="Y207" s="131"/>
      <c r="Z207" s="142"/>
      <c r="AA207" s="142"/>
      <c r="AB207" s="142"/>
      <c r="AC207" s="142"/>
      <c r="AD207" s="142"/>
      <c r="AE207" s="142"/>
      <c r="AF207" s="142"/>
      <c r="AG207" s="142"/>
      <c r="AH207" s="142"/>
      <c r="AI207" s="142"/>
      <c r="AJ207" s="142"/>
      <c r="AK207" s="142"/>
      <c r="AL207" s="142"/>
      <c r="AM207" s="142"/>
      <c r="AN207" s="142"/>
      <c r="AO207" s="142"/>
    </row>
    <row r="208" ht="15.75" customHeight="1">
      <c r="A208" s="142"/>
      <c r="B208" s="142"/>
      <c r="C208" s="142"/>
      <c r="D208" s="142"/>
      <c r="E208" s="131"/>
      <c r="F208" s="142"/>
      <c r="G208" s="142"/>
      <c r="H208" s="142"/>
      <c r="I208" s="142"/>
      <c r="J208" s="142"/>
      <c r="K208" s="132"/>
      <c r="L208" s="131"/>
      <c r="M208" s="131"/>
      <c r="N208" s="142"/>
      <c r="O208" s="142"/>
      <c r="P208" s="142"/>
      <c r="Q208" s="142"/>
      <c r="R208" s="142"/>
      <c r="S208" s="142"/>
      <c r="T208" s="131"/>
      <c r="U208" s="131"/>
      <c r="V208" s="131"/>
      <c r="W208" s="131"/>
      <c r="X208" s="131"/>
      <c r="Y208" s="131"/>
      <c r="Z208" s="142"/>
      <c r="AA208" s="142"/>
      <c r="AB208" s="142"/>
      <c r="AC208" s="142"/>
      <c r="AD208" s="142"/>
      <c r="AE208" s="142"/>
      <c r="AF208" s="142"/>
      <c r="AG208" s="142"/>
      <c r="AH208" s="142"/>
      <c r="AI208" s="142"/>
      <c r="AJ208" s="142"/>
      <c r="AK208" s="142"/>
      <c r="AL208" s="142"/>
      <c r="AM208" s="142"/>
      <c r="AN208" s="142"/>
      <c r="AO208" s="142"/>
    </row>
    <row r="209" ht="15.75" customHeight="1">
      <c r="A209" s="142"/>
      <c r="B209" s="142"/>
      <c r="C209" s="142"/>
      <c r="D209" s="142"/>
      <c r="E209" s="131"/>
      <c r="F209" s="142"/>
      <c r="G209" s="142"/>
      <c r="H209" s="142"/>
      <c r="I209" s="142"/>
      <c r="J209" s="142"/>
      <c r="K209" s="132"/>
      <c r="L209" s="131"/>
      <c r="M209" s="131"/>
      <c r="N209" s="142"/>
      <c r="O209" s="142"/>
      <c r="P209" s="142"/>
      <c r="Q209" s="142"/>
      <c r="R209" s="142"/>
      <c r="S209" s="142"/>
      <c r="T209" s="131"/>
      <c r="U209" s="131"/>
      <c r="V209" s="131"/>
      <c r="W209" s="131"/>
      <c r="X209" s="131"/>
      <c r="Y209" s="131"/>
      <c r="Z209" s="142"/>
      <c r="AA209" s="142"/>
      <c r="AB209" s="142"/>
      <c r="AC209" s="142"/>
      <c r="AD209" s="142"/>
      <c r="AE209" s="142"/>
      <c r="AF209" s="142"/>
      <c r="AG209" s="142"/>
      <c r="AH209" s="142"/>
      <c r="AI209" s="142"/>
      <c r="AJ209" s="142"/>
      <c r="AK209" s="142"/>
      <c r="AL209" s="142"/>
      <c r="AM209" s="142"/>
      <c r="AN209" s="142"/>
      <c r="AO209" s="142"/>
    </row>
    <row r="210" ht="15.75" customHeight="1">
      <c r="A210" s="142"/>
      <c r="B210" s="142"/>
      <c r="C210" s="142"/>
      <c r="D210" s="142"/>
      <c r="E210" s="131"/>
      <c r="F210" s="142"/>
      <c r="G210" s="142"/>
      <c r="H210" s="142"/>
      <c r="I210" s="142"/>
      <c r="J210" s="142"/>
      <c r="K210" s="132"/>
      <c r="L210" s="131"/>
      <c r="M210" s="131"/>
      <c r="N210" s="142"/>
      <c r="O210" s="142"/>
      <c r="P210" s="142"/>
      <c r="Q210" s="142"/>
      <c r="R210" s="142"/>
      <c r="S210" s="142"/>
      <c r="T210" s="131"/>
      <c r="U210" s="131"/>
      <c r="V210" s="131"/>
      <c r="W210" s="131"/>
      <c r="X210" s="131"/>
      <c r="Y210" s="131"/>
      <c r="Z210" s="142"/>
      <c r="AA210" s="142"/>
      <c r="AB210" s="142"/>
      <c r="AC210" s="142"/>
      <c r="AD210" s="142"/>
      <c r="AE210" s="142"/>
      <c r="AF210" s="142"/>
      <c r="AG210" s="142"/>
      <c r="AH210" s="142"/>
      <c r="AI210" s="142"/>
      <c r="AJ210" s="142"/>
      <c r="AK210" s="142"/>
      <c r="AL210" s="142"/>
      <c r="AM210" s="142"/>
      <c r="AN210" s="142"/>
      <c r="AO210" s="142"/>
    </row>
    <row r="211" ht="15.75" customHeight="1">
      <c r="A211" s="142"/>
      <c r="B211" s="142"/>
      <c r="C211" s="142"/>
      <c r="D211" s="142"/>
      <c r="E211" s="131"/>
      <c r="F211" s="142"/>
      <c r="G211" s="142"/>
      <c r="H211" s="142"/>
      <c r="I211" s="142"/>
      <c r="J211" s="142"/>
      <c r="K211" s="132"/>
      <c r="L211" s="131"/>
      <c r="M211" s="131"/>
      <c r="N211" s="142"/>
      <c r="O211" s="142"/>
      <c r="P211" s="142"/>
      <c r="Q211" s="142"/>
      <c r="R211" s="142"/>
      <c r="S211" s="142"/>
      <c r="T211" s="131"/>
      <c r="U211" s="131"/>
      <c r="V211" s="131"/>
      <c r="W211" s="131"/>
      <c r="X211" s="131"/>
      <c r="Y211" s="131"/>
      <c r="Z211" s="142"/>
      <c r="AA211" s="142"/>
      <c r="AB211" s="142"/>
      <c r="AC211" s="142"/>
      <c r="AD211" s="142"/>
      <c r="AE211" s="142"/>
      <c r="AF211" s="142"/>
      <c r="AG211" s="142"/>
      <c r="AH211" s="142"/>
      <c r="AI211" s="142"/>
      <c r="AJ211" s="142"/>
      <c r="AK211" s="142"/>
      <c r="AL211" s="142"/>
      <c r="AM211" s="142"/>
      <c r="AN211" s="142"/>
      <c r="AO211" s="142"/>
    </row>
    <row r="212" ht="15.75" customHeight="1">
      <c r="A212" s="142"/>
      <c r="B212" s="142"/>
      <c r="C212" s="142"/>
      <c r="D212" s="142"/>
      <c r="E212" s="131"/>
      <c r="F212" s="142"/>
      <c r="G212" s="142"/>
      <c r="H212" s="142"/>
      <c r="I212" s="142"/>
      <c r="J212" s="142"/>
      <c r="K212" s="132"/>
      <c r="L212" s="131"/>
      <c r="M212" s="131"/>
      <c r="N212" s="142"/>
      <c r="O212" s="142"/>
      <c r="P212" s="142"/>
      <c r="Q212" s="142"/>
      <c r="R212" s="142"/>
      <c r="S212" s="142"/>
      <c r="T212" s="131"/>
      <c r="U212" s="131"/>
      <c r="V212" s="131"/>
      <c r="W212" s="131"/>
      <c r="X212" s="131"/>
      <c r="Y212" s="131"/>
      <c r="Z212" s="142"/>
      <c r="AA212" s="142"/>
      <c r="AB212" s="142"/>
      <c r="AC212" s="142"/>
      <c r="AD212" s="142"/>
      <c r="AE212" s="142"/>
      <c r="AF212" s="142"/>
      <c r="AG212" s="142"/>
      <c r="AH212" s="142"/>
      <c r="AI212" s="142"/>
      <c r="AJ212" s="142"/>
      <c r="AK212" s="142"/>
      <c r="AL212" s="142"/>
      <c r="AM212" s="142"/>
      <c r="AN212" s="142"/>
      <c r="AO212" s="142"/>
    </row>
    <row r="213" ht="15.75" customHeight="1">
      <c r="A213" s="142"/>
      <c r="B213" s="142"/>
      <c r="C213" s="142"/>
      <c r="D213" s="142"/>
      <c r="E213" s="131"/>
      <c r="F213" s="142"/>
      <c r="G213" s="142"/>
      <c r="H213" s="142"/>
      <c r="I213" s="142"/>
      <c r="J213" s="142"/>
      <c r="K213" s="132"/>
      <c r="L213" s="131"/>
      <c r="M213" s="131"/>
      <c r="N213" s="142"/>
      <c r="O213" s="142"/>
      <c r="P213" s="142"/>
      <c r="Q213" s="142"/>
      <c r="R213" s="142"/>
      <c r="S213" s="142"/>
      <c r="T213" s="131"/>
      <c r="U213" s="131"/>
      <c r="V213" s="131"/>
      <c r="W213" s="131"/>
      <c r="X213" s="131"/>
      <c r="Y213" s="131"/>
      <c r="Z213" s="142"/>
      <c r="AA213" s="142"/>
      <c r="AB213" s="142"/>
      <c r="AC213" s="142"/>
      <c r="AD213" s="142"/>
      <c r="AE213" s="142"/>
      <c r="AF213" s="142"/>
      <c r="AG213" s="142"/>
      <c r="AH213" s="142"/>
      <c r="AI213" s="142"/>
      <c r="AJ213" s="142"/>
      <c r="AK213" s="142"/>
      <c r="AL213" s="142"/>
      <c r="AM213" s="142"/>
      <c r="AN213" s="142"/>
      <c r="AO213" s="142"/>
    </row>
    <row r="214" ht="15.75" customHeight="1">
      <c r="A214" s="142"/>
      <c r="B214" s="142"/>
      <c r="C214" s="142"/>
      <c r="D214" s="142"/>
      <c r="E214" s="131"/>
      <c r="F214" s="142"/>
      <c r="G214" s="142"/>
      <c r="H214" s="142"/>
      <c r="I214" s="142"/>
      <c r="J214" s="142"/>
      <c r="K214" s="132"/>
      <c r="L214" s="131"/>
      <c r="M214" s="131"/>
      <c r="N214" s="142"/>
      <c r="O214" s="142"/>
      <c r="P214" s="142"/>
      <c r="Q214" s="142"/>
      <c r="R214" s="142"/>
      <c r="S214" s="142"/>
      <c r="T214" s="131"/>
      <c r="U214" s="131"/>
      <c r="V214" s="131"/>
      <c r="W214" s="131"/>
      <c r="X214" s="131"/>
      <c r="Y214" s="131"/>
      <c r="Z214" s="142"/>
      <c r="AA214" s="142"/>
      <c r="AB214" s="142"/>
      <c r="AC214" s="142"/>
      <c r="AD214" s="142"/>
      <c r="AE214" s="142"/>
      <c r="AF214" s="142"/>
      <c r="AG214" s="142"/>
      <c r="AH214" s="142"/>
      <c r="AI214" s="142"/>
      <c r="AJ214" s="142"/>
      <c r="AK214" s="142"/>
      <c r="AL214" s="142"/>
      <c r="AM214" s="142"/>
      <c r="AN214" s="142"/>
      <c r="AO214" s="142"/>
    </row>
    <row r="215" ht="15.75" customHeight="1">
      <c r="A215" s="142"/>
      <c r="B215" s="142"/>
      <c r="C215" s="142"/>
      <c r="D215" s="142"/>
      <c r="E215" s="131"/>
      <c r="F215" s="142"/>
      <c r="G215" s="142"/>
      <c r="H215" s="142"/>
      <c r="I215" s="142"/>
      <c r="J215" s="142"/>
      <c r="K215" s="132"/>
      <c r="L215" s="131"/>
      <c r="M215" s="131"/>
      <c r="N215" s="142"/>
      <c r="O215" s="142"/>
      <c r="P215" s="142"/>
      <c r="Q215" s="142"/>
      <c r="R215" s="142"/>
      <c r="S215" s="142"/>
      <c r="T215" s="131"/>
      <c r="U215" s="131"/>
      <c r="V215" s="131"/>
      <c r="W215" s="131"/>
      <c r="X215" s="131"/>
      <c r="Y215" s="131"/>
      <c r="Z215" s="142"/>
      <c r="AA215" s="142"/>
      <c r="AB215" s="142"/>
      <c r="AC215" s="142"/>
      <c r="AD215" s="142"/>
      <c r="AE215" s="142"/>
      <c r="AF215" s="142"/>
      <c r="AG215" s="142"/>
      <c r="AH215" s="142"/>
      <c r="AI215" s="142"/>
      <c r="AJ215" s="142"/>
      <c r="AK215" s="142"/>
      <c r="AL215" s="142"/>
      <c r="AM215" s="142"/>
      <c r="AN215" s="142"/>
      <c r="AO215" s="142"/>
    </row>
    <row r="216" ht="15.75" customHeight="1">
      <c r="A216" s="142"/>
      <c r="B216" s="142"/>
      <c r="C216" s="142"/>
      <c r="D216" s="142"/>
      <c r="E216" s="131"/>
      <c r="F216" s="142"/>
      <c r="G216" s="142"/>
      <c r="H216" s="142"/>
      <c r="I216" s="142"/>
      <c r="J216" s="142"/>
      <c r="K216" s="132"/>
      <c r="L216" s="131"/>
      <c r="M216" s="131"/>
      <c r="N216" s="142"/>
      <c r="O216" s="142"/>
      <c r="P216" s="142"/>
      <c r="Q216" s="142"/>
      <c r="R216" s="142"/>
      <c r="S216" s="142"/>
      <c r="T216" s="131"/>
      <c r="U216" s="131"/>
      <c r="V216" s="131"/>
      <c r="W216" s="131"/>
      <c r="X216" s="131"/>
      <c r="Y216" s="131"/>
      <c r="Z216" s="142"/>
      <c r="AA216" s="142"/>
      <c r="AB216" s="142"/>
      <c r="AC216" s="142"/>
      <c r="AD216" s="142"/>
      <c r="AE216" s="142"/>
      <c r="AF216" s="142"/>
      <c r="AG216" s="142"/>
      <c r="AH216" s="142"/>
      <c r="AI216" s="142"/>
      <c r="AJ216" s="142"/>
      <c r="AK216" s="142"/>
      <c r="AL216" s="142"/>
      <c r="AM216" s="142"/>
      <c r="AN216" s="142"/>
      <c r="AO216" s="142"/>
    </row>
    <row r="217" ht="15.75" customHeight="1">
      <c r="A217" s="142"/>
      <c r="B217" s="142"/>
      <c r="C217" s="142"/>
      <c r="D217" s="142"/>
      <c r="E217" s="131"/>
      <c r="F217" s="142"/>
      <c r="G217" s="142"/>
      <c r="H217" s="142"/>
      <c r="I217" s="142"/>
      <c r="J217" s="142"/>
      <c r="K217" s="132"/>
      <c r="L217" s="131"/>
      <c r="M217" s="131"/>
      <c r="N217" s="142"/>
      <c r="O217" s="142"/>
      <c r="P217" s="142"/>
      <c r="Q217" s="142"/>
      <c r="R217" s="142"/>
      <c r="S217" s="142"/>
      <c r="T217" s="131"/>
      <c r="U217" s="131"/>
      <c r="V217" s="131"/>
      <c r="W217" s="131"/>
      <c r="X217" s="131"/>
      <c r="Y217" s="131"/>
      <c r="Z217" s="142"/>
      <c r="AA217" s="142"/>
      <c r="AB217" s="142"/>
      <c r="AC217" s="142"/>
      <c r="AD217" s="142"/>
      <c r="AE217" s="142"/>
      <c r="AF217" s="142"/>
      <c r="AG217" s="142"/>
      <c r="AH217" s="142"/>
      <c r="AI217" s="142"/>
      <c r="AJ217" s="142"/>
      <c r="AK217" s="142"/>
      <c r="AL217" s="142"/>
      <c r="AM217" s="142"/>
      <c r="AN217" s="142"/>
      <c r="AO217" s="142"/>
    </row>
    <row r="218" ht="15.75" customHeight="1">
      <c r="A218" s="142"/>
      <c r="B218" s="142"/>
      <c r="C218" s="142"/>
      <c r="D218" s="142"/>
      <c r="E218" s="131"/>
      <c r="F218" s="142"/>
      <c r="G218" s="142"/>
      <c r="H218" s="142"/>
      <c r="I218" s="142"/>
      <c r="J218" s="142"/>
      <c r="K218" s="132"/>
      <c r="L218" s="131"/>
      <c r="M218" s="131"/>
      <c r="N218" s="142"/>
      <c r="O218" s="142"/>
      <c r="P218" s="142"/>
      <c r="Q218" s="142"/>
      <c r="R218" s="142"/>
      <c r="S218" s="142"/>
      <c r="T218" s="131"/>
      <c r="U218" s="131"/>
      <c r="V218" s="131"/>
      <c r="W218" s="131"/>
      <c r="X218" s="131"/>
      <c r="Y218" s="131"/>
      <c r="Z218" s="142"/>
      <c r="AA218" s="142"/>
      <c r="AB218" s="142"/>
      <c r="AC218" s="142"/>
      <c r="AD218" s="142"/>
      <c r="AE218" s="142"/>
      <c r="AF218" s="142"/>
      <c r="AG218" s="142"/>
      <c r="AH218" s="142"/>
      <c r="AI218" s="142"/>
      <c r="AJ218" s="142"/>
      <c r="AK218" s="142"/>
      <c r="AL218" s="142"/>
      <c r="AM218" s="142"/>
      <c r="AN218" s="142"/>
      <c r="AO218" s="142"/>
    </row>
    <row r="219" ht="15.75" customHeight="1">
      <c r="A219" s="142"/>
      <c r="B219" s="142"/>
      <c r="C219" s="142"/>
      <c r="D219" s="142"/>
      <c r="E219" s="131"/>
      <c r="F219" s="142"/>
      <c r="G219" s="142"/>
      <c r="H219" s="142"/>
      <c r="I219" s="142"/>
      <c r="J219" s="142"/>
      <c r="K219" s="132"/>
      <c r="L219" s="131"/>
      <c r="M219" s="131"/>
      <c r="N219" s="142"/>
      <c r="O219" s="142"/>
      <c r="P219" s="142"/>
      <c r="Q219" s="142"/>
      <c r="R219" s="142"/>
      <c r="S219" s="142"/>
      <c r="T219" s="131"/>
      <c r="U219" s="131"/>
      <c r="V219" s="131"/>
      <c r="W219" s="131"/>
      <c r="X219" s="131"/>
      <c r="Y219" s="131"/>
      <c r="Z219" s="142"/>
      <c r="AA219" s="142"/>
      <c r="AB219" s="142"/>
      <c r="AC219" s="142"/>
      <c r="AD219" s="142"/>
      <c r="AE219" s="142"/>
      <c r="AF219" s="142"/>
      <c r="AG219" s="142"/>
      <c r="AH219" s="142"/>
      <c r="AI219" s="142"/>
      <c r="AJ219" s="142"/>
      <c r="AK219" s="142"/>
      <c r="AL219" s="142"/>
      <c r="AM219" s="142"/>
      <c r="AN219" s="142"/>
      <c r="AO219" s="142"/>
    </row>
    <row r="220" ht="15.75" customHeight="1">
      <c r="A220" s="142"/>
      <c r="B220" s="142"/>
      <c r="C220" s="142"/>
      <c r="D220" s="142"/>
      <c r="E220" s="131"/>
      <c r="F220" s="142"/>
      <c r="G220" s="142"/>
      <c r="H220" s="142"/>
      <c r="I220" s="142"/>
      <c r="J220" s="142"/>
      <c r="K220" s="132"/>
      <c r="L220" s="131"/>
      <c r="M220" s="131"/>
      <c r="N220" s="142"/>
      <c r="O220" s="142"/>
      <c r="P220" s="142"/>
      <c r="Q220" s="142"/>
      <c r="R220" s="142"/>
      <c r="S220" s="142"/>
      <c r="T220" s="131"/>
      <c r="U220" s="131"/>
      <c r="V220" s="131"/>
      <c r="W220" s="131"/>
      <c r="X220" s="131"/>
      <c r="Y220" s="131"/>
      <c r="Z220" s="142"/>
      <c r="AA220" s="142"/>
      <c r="AB220" s="142"/>
      <c r="AC220" s="142"/>
      <c r="AD220" s="142"/>
      <c r="AE220" s="142"/>
      <c r="AF220" s="142"/>
      <c r="AG220" s="142"/>
      <c r="AH220" s="142"/>
      <c r="AI220" s="142"/>
      <c r="AJ220" s="142"/>
      <c r="AK220" s="142"/>
      <c r="AL220" s="142"/>
      <c r="AM220" s="142"/>
      <c r="AN220" s="142"/>
      <c r="AO220" s="142"/>
    </row>
    <row r="221" ht="15.75" customHeight="1">
      <c r="A221" s="142"/>
      <c r="B221" s="142"/>
      <c r="C221" s="142"/>
      <c r="D221" s="142"/>
      <c r="E221" s="131"/>
      <c r="F221" s="142"/>
      <c r="G221" s="142"/>
      <c r="H221" s="142"/>
      <c r="I221" s="142"/>
      <c r="J221" s="142"/>
      <c r="K221" s="132"/>
      <c r="L221" s="131"/>
      <c r="M221" s="131"/>
      <c r="N221" s="142"/>
      <c r="O221" s="142"/>
      <c r="P221" s="142"/>
      <c r="Q221" s="142"/>
      <c r="R221" s="142"/>
      <c r="S221" s="142"/>
      <c r="T221" s="131"/>
      <c r="U221" s="131"/>
      <c r="V221" s="131"/>
      <c r="W221" s="131"/>
      <c r="X221" s="131"/>
      <c r="Y221" s="131"/>
      <c r="Z221" s="142"/>
      <c r="AA221" s="142"/>
      <c r="AB221" s="142"/>
      <c r="AC221" s="142"/>
      <c r="AD221" s="142"/>
      <c r="AE221" s="142"/>
      <c r="AF221" s="142"/>
      <c r="AG221" s="142"/>
      <c r="AH221" s="142"/>
      <c r="AI221" s="142"/>
      <c r="AJ221" s="142"/>
      <c r="AK221" s="142"/>
      <c r="AL221" s="142"/>
      <c r="AM221" s="142"/>
      <c r="AN221" s="142"/>
      <c r="AO221" s="142"/>
    </row>
    <row r="222" ht="15.75" customHeight="1">
      <c r="A222" s="142"/>
      <c r="B222" s="142"/>
      <c r="C222" s="142"/>
      <c r="D222" s="142"/>
      <c r="E222" s="131"/>
      <c r="F222" s="142"/>
      <c r="G222" s="142"/>
      <c r="H222" s="142"/>
      <c r="I222" s="142"/>
      <c r="J222" s="142"/>
      <c r="K222" s="132"/>
      <c r="L222" s="131"/>
      <c r="M222" s="131"/>
      <c r="N222" s="142"/>
      <c r="O222" s="142"/>
      <c r="P222" s="142"/>
      <c r="Q222" s="142"/>
      <c r="R222" s="142"/>
      <c r="S222" s="142"/>
      <c r="T222" s="131"/>
      <c r="U222" s="131"/>
      <c r="V222" s="131"/>
      <c r="W222" s="131"/>
      <c r="X222" s="131"/>
      <c r="Y222" s="131"/>
      <c r="Z222" s="142"/>
      <c r="AA222" s="142"/>
      <c r="AB222" s="142"/>
      <c r="AC222" s="142"/>
      <c r="AD222" s="142"/>
      <c r="AE222" s="142"/>
      <c r="AF222" s="142"/>
      <c r="AG222" s="142"/>
      <c r="AH222" s="142"/>
      <c r="AI222" s="142"/>
      <c r="AJ222" s="142"/>
      <c r="AK222" s="142"/>
      <c r="AL222" s="142"/>
      <c r="AM222" s="142"/>
      <c r="AN222" s="142"/>
      <c r="AO222" s="142"/>
    </row>
    <row r="223" ht="15.75" customHeight="1">
      <c r="A223" s="142"/>
      <c r="B223" s="142"/>
      <c r="C223" s="142"/>
      <c r="D223" s="142"/>
      <c r="E223" s="131"/>
      <c r="F223" s="142"/>
      <c r="G223" s="142"/>
      <c r="H223" s="142"/>
      <c r="I223" s="142"/>
      <c r="J223" s="142"/>
      <c r="K223" s="132"/>
      <c r="L223" s="131"/>
      <c r="M223" s="131"/>
      <c r="N223" s="142"/>
      <c r="O223" s="142"/>
      <c r="P223" s="142"/>
      <c r="Q223" s="142"/>
      <c r="R223" s="142"/>
      <c r="S223" s="142"/>
      <c r="T223" s="131"/>
      <c r="U223" s="131"/>
      <c r="V223" s="131"/>
      <c r="W223" s="131"/>
      <c r="X223" s="131"/>
      <c r="Y223" s="131"/>
      <c r="Z223" s="142"/>
      <c r="AA223" s="142"/>
      <c r="AB223" s="142"/>
      <c r="AC223" s="142"/>
      <c r="AD223" s="142"/>
      <c r="AE223" s="142"/>
      <c r="AF223" s="142"/>
      <c r="AG223" s="142"/>
      <c r="AH223" s="142"/>
      <c r="AI223" s="142"/>
      <c r="AJ223" s="142"/>
      <c r="AK223" s="142"/>
      <c r="AL223" s="142"/>
      <c r="AM223" s="142"/>
      <c r="AN223" s="142"/>
      <c r="AO223" s="142"/>
    </row>
    <row r="224" ht="15.75" customHeight="1">
      <c r="A224" s="142"/>
      <c r="B224" s="142"/>
      <c r="C224" s="142"/>
      <c r="D224" s="142"/>
      <c r="E224" s="131"/>
      <c r="F224" s="142"/>
      <c r="G224" s="142"/>
      <c r="H224" s="142"/>
      <c r="I224" s="142"/>
      <c r="J224" s="142"/>
      <c r="K224" s="132"/>
      <c r="L224" s="131"/>
      <c r="M224" s="131"/>
      <c r="N224" s="142"/>
      <c r="O224" s="142"/>
      <c r="P224" s="142"/>
      <c r="Q224" s="142"/>
      <c r="R224" s="142"/>
      <c r="S224" s="142"/>
      <c r="T224" s="131"/>
      <c r="U224" s="131"/>
      <c r="V224" s="131"/>
      <c r="W224" s="131"/>
      <c r="X224" s="131"/>
      <c r="Y224" s="131"/>
      <c r="Z224" s="142"/>
      <c r="AA224" s="142"/>
      <c r="AB224" s="142"/>
      <c r="AC224" s="142"/>
      <c r="AD224" s="142"/>
      <c r="AE224" s="142"/>
      <c r="AF224" s="142"/>
      <c r="AG224" s="142"/>
      <c r="AH224" s="142"/>
      <c r="AI224" s="142"/>
      <c r="AJ224" s="142"/>
      <c r="AK224" s="142"/>
      <c r="AL224" s="142"/>
      <c r="AM224" s="142"/>
      <c r="AN224" s="142"/>
      <c r="AO224" s="142"/>
    </row>
    <row r="225" ht="15.75" customHeight="1">
      <c r="A225" s="142"/>
      <c r="B225" s="142"/>
      <c r="C225" s="142"/>
      <c r="D225" s="142"/>
      <c r="E225" s="131"/>
      <c r="F225" s="142"/>
      <c r="G225" s="142"/>
      <c r="H225" s="142"/>
      <c r="I225" s="142"/>
      <c r="J225" s="142"/>
      <c r="K225" s="132"/>
      <c r="L225" s="131"/>
      <c r="M225" s="131"/>
      <c r="N225" s="142"/>
      <c r="O225" s="142"/>
      <c r="P225" s="142"/>
      <c r="Q225" s="142"/>
      <c r="R225" s="142"/>
      <c r="S225" s="142"/>
      <c r="T225" s="131"/>
      <c r="U225" s="131"/>
      <c r="V225" s="131"/>
      <c r="W225" s="131"/>
      <c r="X225" s="131"/>
      <c r="Y225" s="131"/>
      <c r="Z225" s="142"/>
      <c r="AA225" s="142"/>
      <c r="AB225" s="142"/>
      <c r="AC225" s="142"/>
      <c r="AD225" s="142"/>
      <c r="AE225" s="142"/>
      <c r="AF225" s="142"/>
      <c r="AG225" s="142"/>
      <c r="AH225" s="142"/>
      <c r="AI225" s="142"/>
      <c r="AJ225" s="142"/>
      <c r="AK225" s="142"/>
      <c r="AL225" s="142"/>
      <c r="AM225" s="142"/>
      <c r="AN225" s="142"/>
      <c r="AO225" s="142"/>
    </row>
    <row r="226" ht="15.75" customHeight="1">
      <c r="A226" s="142"/>
      <c r="B226" s="142"/>
      <c r="C226" s="142"/>
      <c r="D226" s="142"/>
      <c r="E226" s="131"/>
      <c r="F226" s="142"/>
      <c r="G226" s="142"/>
      <c r="H226" s="142"/>
      <c r="I226" s="142"/>
      <c r="J226" s="142"/>
      <c r="K226" s="132"/>
      <c r="L226" s="131"/>
      <c r="M226" s="131"/>
      <c r="N226" s="142"/>
      <c r="O226" s="142"/>
      <c r="P226" s="142"/>
      <c r="Q226" s="142"/>
      <c r="R226" s="142"/>
      <c r="S226" s="142"/>
      <c r="T226" s="131"/>
      <c r="U226" s="131"/>
      <c r="V226" s="131"/>
      <c r="W226" s="131"/>
      <c r="X226" s="131"/>
      <c r="Y226" s="131"/>
      <c r="Z226" s="142"/>
      <c r="AA226" s="142"/>
      <c r="AB226" s="142"/>
      <c r="AC226" s="142"/>
      <c r="AD226" s="142"/>
      <c r="AE226" s="142"/>
      <c r="AF226" s="142"/>
      <c r="AG226" s="142"/>
      <c r="AH226" s="142"/>
      <c r="AI226" s="142"/>
      <c r="AJ226" s="142"/>
      <c r="AK226" s="142"/>
      <c r="AL226" s="142"/>
      <c r="AM226" s="142"/>
      <c r="AN226" s="142"/>
      <c r="AO226" s="142"/>
    </row>
    <row r="227" ht="15.75" customHeight="1">
      <c r="A227" s="142"/>
      <c r="B227" s="142"/>
      <c r="C227" s="142"/>
      <c r="D227" s="142"/>
      <c r="E227" s="131"/>
      <c r="F227" s="142"/>
      <c r="G227" s="142"/>
      <c r="H227" s="142"/>
      <c r="I227" s="142"/>
      <c r="J227" s="142"/>
      <c r="K227" s="132"/>
      <c r="L227" s="131"/>
      <c r="M227" s="131"/>
      <c r="N227" s="142"/>
      <c r="O227" s="142"/>
      <c r="P227" s="142"/>
      <c r="Q227" s="142"/>
      <c r="R227" s="142"/>
      <c r="S227" s="142"/>
      <c r="T227" s="131"/>
      <c r="U227" s="131"/>
      <c r="V227" s="131"/>
      <c r="W227" s="131"/>
      <c r="X227" s="131"/>
      <c r="Y227" s="131"/>
      <c r="Z227" s="142"/>
      <c r="AA227" s="142"/>
      <c r="AB227" s="142"/>
      <c r="AC227" s="142"/>
      <c r="AD227" s="142"/>
      <c r="AE227" s="142"/>
      <c r="AF227" s="142"/>
      <c r="AG227" s="142"/>
      <c r="AH227" s="142"/>
      <c r="AI227" s="142"/>
      <c r="AJ227" s="142"/>
      <c r="AK227" s="142"/>
      <c r="AL227" s="142"/>
      <c r="AM227" s="142"/>
      <c r="AN227" s="142"/>
      <c r="AO227" s="142"/>
    </row>
    <row r="228" ht="15.75" customHeight="1">
      <c r="A228" s="142"/>
      <c r="B228" s="142"/>
      <c r="C228" s="142"/>
      <c r="D228" s="142"/>
      <c r="E228" s="131"/>
      <c r="F228" s="142"/>
      <c r="G228" s="142"/>
      <c r="H228" s="142"/>
      <c r="I228" s="142"/>
      <c r="J228" s="142"/>
      <c r="K228" s="132"/>
      <c r="L228" s="131"/>
      <c r="M228" s="131"/>
      <c r="N228" s="142"/>
      <c r="O228" s="142"/>
      <c r="P228" s="142"/>
      <c r="Q228" s="142"/>
      <c r="R228" s="142"/>
      <c r="S228" s="142"/>
      <c r="T228" s="131"/>
      <c r="U228" s="131"/>
      <c r="V228" s="131"/>
      <c r="W228" s="131"/>
      <c r="X228" s="131"/>
      <c r="Y228" s="131"/>
      <c r="Z228" s="142"/>
      <c r="AA228" s="142"/>
      <c r="AB228" s="142"/>
      <c r="AC228" s="142"/>
      <c r="AD228" s="142"/>
      <c r="AE228" s="142"/>
      <c r="AF228" s="142"/>
      <c r="AG228" s="142"/>
      <c r="AH228" s="142"/>
      <c r="AI228" s="142"/>
      <c r="AJ228" s="142"/>
      <c r="AK228" s="142"/>
      <c r="AL228" s="142"/>
      <c r="AM228" s="142"/>
      <c r="AN228" s="142"/>
      <c r="AO228" s="142"/>
    </row>
    <row r="229" ht="15.75" customHeight="1">
      <c r="A229" s="142"/>
      <c r="B229" s="142"/>
      <c r="C229" s="142"/>
      <c r="D229" s="142"/>
      <c r="E229" s="131"/>
      <c r="F229" s="142"/>
      <c r="G229" s="142"/>
      <c r="H229" s="142"/>
      <c r="I229" s="142"/>
      <c r="J229" s="142"/>
      <c r="K229" s="132"/>
      <c r="L229" s="131"/>
      <c r="M229" s="131"/>
      <c r="N229" s="142"/>
      <c r="O229" s="142"/>
      <c r="P229" s="142"/>
      <c r="Q229" s="142"/>
      <c r="R229" s="142"/>
      <c r="S229" s="142"/>
      <c r="T229" s="131"/>
      <c r="U229" s="131"/>
      <c r="V229" s="131"/>
      <c r="W229" s="131"/>
      <c r="X229" s="131"/>
      <c r="Y229" s="131"/>
      <c r="Z229" s="142"/>
      <c r="AA229" s="142"/>
      <c r="AB229" s="142"/>
      <c r="AC229" s="142"/>
      <c r="AD229" s="142"/>
      <c r="AE229" s="142"/>
      <c r="AF229" s="142"/>
      <c r="AG229" s="142"/>
      <c r="AH229" s="142"/>
      <c r="AI229" s="142"/>
      <c r="AJ229" s="142"/>
      <c r="AK229" s="142"/>
      <c r="AL229" s="142"/>
      <c r="AM229" s="142"/>
      <c r="AN229" s="142"/>
      <c r="AO229" s="142"/>
    </row>
    <row r="230" ht="15.75" customHeight="1">
      <c r="A230" s="142"/>
      <c r="B230" s="142"/>
      <c r="C230" s="142"/>
      <c r="D230" s="142"/>
      <c r="E230" s="131"/>
      <c r="F230" s="142"/>
      <c r="G230" s="142"/>
      <c r="H230" s="142"/>
      <c r="I230" s="142"/>
      <c r="J230" s="142"/>
      <c r="K230" s="132"/>
      <c r="L230" s="131"/>
      <c r="M230" s="131"/>
      <c r="N230" s="142"/>
      <c r="O230" s="142"/>
      <c r="P230" s="142"/>
      <c r="Q230" s="142"/>
      <c r="R230" s="142"/>
      <c r="S230" s="142"/>
      <c r="T230" s="131"/>
      <c r="U230" s="131"/>
      <c r="V230" s="131"/>
      <c r="W230" s="131"/>
      <c r="X230" s="131"/>
      <c r="Y230" s="131"/>
      <c r="Z230" s="142"/>
      <c r="AA230" s="142"/>
      <c r="AB230" s="142"/>
      <c r="AC230" s="142"/>
      <c r="AD230" s="142"/>
      <c r="AE230" s="142"/>
      <c r="AF230" s="142"/>
      <c r="AG230" s="142"/>
      <c r="AH230" s="142"/>
      <c r="AI230" s="142"/>
      <c r="AJ230" s="142"/>
      <c r="AK230" s="142"/>
      <c r="AL230" s="142"/>
      <c r="AM230" s="142"/>
      <c r="AN230" s="142"/>
      <c r="AO230" s="142"/>
    </row>
    <row r="231" ht="15.75" customHeight="1">
      <c r="A231" s="142"/>
      <c r="B231" s="142"/>
      <c r="C231" s="142"/>
      <c r="D231" s="142"/>
      <c r="E231" s="131"/>
      <c r="F231" s="142"/>
      <c r="G231" s="142"/>
      <c r="H231" s="142"/>
      <c r="I231" s="142"/>
      <c r="J231" s="142"/>
      <c r="K231" s="132"/>
      <c r="L231" s="131"/>
      <c r="M231" s="131"/>
      <c r="N231" s="142"/>
      <c r="O231" s="142"/>
      <c r="P231" s="142"/>
      <c r="Q231" s="142"/>
      <c r="R231" s="142"/>
      <c r="S231" s="142"/>
      <c r="T231" s="131"/>
      <c r="U231" s="131"/>
      <c r="V231" s="131"/>
      <c r="W231" s="131"/>
      <c r="X231" s="131"/>
      <c r="Y231" s="131"/>
      <c r="Z231" s="142"/>
      <c r="AA231" s="142"/>
      <c r="AB231" s="142"/>
      <c r="AC231" s="142"/>
      <c r="AD231" s="142"/>
      <c r="AE231" s="142"/>
      <c r="AF231" s="142"/>
      <c r="AG231" s="142"/>
      <c r="AH231" s="142"/>
      <c r="AI231" s="142"/>
      <c r="AJ231" s="142"/>
      <c r="AK231" s="142"/>
      <c r="AL231" s="142"/>
      <c r="AM231" s="142"/>
      <c r="AN231" s="142"/>
      <c r="AO231" s="142"/>
    </row>
    <row r="232" ht="15.75" customHeight="1">
      <c r="A232" s="142"/>
      <c r="B232" s="142"/>
      <c r="C232" s="142"/>
      <c r="D232" s="142"/>
      <c r="E232" s="131"/>
      <c r="F232" s="142"/>
      <c r="G232" s="142"/>
      <c r="H232" s="142"/>
      <c r="I232" s="142"/>
      <c r="J232" s="142"/>
      <c r="K232" s="132"/>
      <c r="L232" s="131"/>
      <c r="M232" s="131"/>
      <c r="N232" s="142"/>
      <c r="O232" s="142"/>
      <c r="P232" s="142"/>
      <c r="Q232" s="142"/>
      <c r="R232" s="142"/>
      <c r="S232" s="142"/>
      <c r="T232" s="131"/>
      <c r="U232" s="131"/>
      <c r="V232" s="131"/>
      <c r="W232" s="131"/>
      <c r="X232" s="131"/>
      <c r="Y232" s="131"/>
      <c r="Z232" s="142"/>
      <c r="AA232" s="142"/>
      <c r="AB232" s="142"/>
      <c r="AC232" s="142"/>
      <c r="AD232" s="142"/>
      <c r="AE232" s="142"/>
      <c r="AF232" s="142"/>
      <c r="AG232" s="142"/>
      <c r="AH232" s="142"/>
      <c r="AI232" s="142"/>
      <c r="AJ232" s="142"/>
      <c r="AK232" s="142"/>
      <c r="AL232" s="142"/>
      <c r="AM232" s="142"/>
      <c r="AN232" s="142"/>
      <c r="AO232" s="142"/>
    </row>
    <row r="233" ht="15.75" customHeight="1">
      <c r="A233" s="142"/>
      <c r="B233" s="142"/>
      <c r="C233" s="142"/>
      <c r="D233" s="142"/>
      <c r="E233" s="131"/>
      <c r="F233" s="142"/>
      <c r="G233" s="142"/>
      <c r="H233" s="142"/>
      <c r="I233" s="142"/>
      <c r="J233" s="142"/>
      <c r="K233" s="132"/>
      <c r="L233" s="131"/>
      <c r="M233" s="131"/>
      <c r="N233" s="142"/>
      <c r="O233" s="142"/>
      <c r="P233" s="142"/>
      <c r="Q233" s="142"/>
      <c r="R233" s="142"/>
      <c r="S233" s="142"/>
      <c r="T233" s="131"/>
      <c r="U233" s="131"/>
      <c r="V233" s="131"/>
      <c r="W233" s="131"/>
      <c r="X233" s="131"/>
      <c r="Y233" s="131"/>
      <c r="Z233" s="142"/>
      <c r="AA233" s="142"/>
      <c r="AB233" s="142"/>
      <c r="AC233" s="142"/>
      <c r="AD233" s="142"/>
      <c r="AE233" s="142"/>
      <c r="AF233" s="142"/>
      <c r="AG233" s="142"/>
      <c r="AH233" s="142"/>
      <c r="AI233" s="142"/>
      <c r="AJ233" s="142"/>
      <c r="AK233" s="142"/>
      <c r="AL233" s="142"/>
      <c r="AM233" s="142"/>
      <c r="AN233" s="142"/>
      <c r="AO233" s="142"/>
    </row>
    <row r="234" ht="15.75" customHeight="1">
      <c r="A234" s="142"/>
      <c r="B234" s="142"/>
      <c r="C234" s="142"/>
      <c r="D234" s="142"/>
      <c r="E234" s="131"/>
      <c r="F234" s="142"/>
      <c r="G234" s="142"/>
      <c r="H234" s="142"/>
      <c r="I234" s="142"/>
      <c r="J234" s="142"/>
      <c r="K234" s="132"/>
      <c r="L234" s="131"/>
      <c r="M234" s="131"/>
      <c r="N234" s="142"/>
      <c r="O234" s="142"/>
      <c r="P234" s="142"/>
      <c r="Q234" s="142"/>
      <c r="R234" s="142"/>
      <c r="S234" s="142"/>
      <c r="T234" s="131"/>
      <c r="U234" s="131"/>
      <c r="V234" s="131"/>
      <c r="W234" s="131"/>
      <c r="X234" s="131"/>
      <c r="Y234" s="131"/>
      <c r="Z234" s="142"/>
      <c r="AA234" s="142"/>
      <c r="AB234" s="142"/>
      <c r="AC234" s="142"/>
      <c r="AD234" s="142"/>
      <c r="AE234" s="142"/>
      <c r="AF234" s="142"/>
      <c r="AG234" s="142"/>
      <c r="AH234" s="142"/>
      <c r="AI234" s="142"/>
      <c r="AJ234" s="142"/>
      <c r="AK234" s="142"/>
      <c r="AL234" s="142"/>
      <c r="AM234" s="142"/>
      <c r="AN234" s="142"/>
      <c r="AO234" s="142"/>
    </row>
    <row r="235" ht="15.75" customHeight="1">
      <c r="A235" s="142"/>
      <c r="B235" s="142"/>
      <c r="C235" s="142"/>
      <c r="D235" s="142"/>
      <c r="E235" s="131"/>
      <c r="F235" s="142"/>
      <c r="G235" s="142"/>
      <c r="H235" s="142"/>
      <c r="I235" s="142"/>
      <c r="J235" s="142"/>
      <c r="K235" s="132"/>
      <c r="L235" s="131"/>
      <c r="M235" s="131"/>
      <c r="N235" s="142"/>
      <c r="O235" s="142"/>
      <c r="P235" s="142"/>
      <c r="Q235" s="142"/>
      <c r="R235" s="142"/>
      <c r="S235" s="142"/>
      <c r="T235" s="131"/>
      <c r="U235" s="131"/>
      <c r="V235" s="131"/>
      <c r="W235" s="131"/>
      <c r="X235" s="131"/>
      <c r="Y235" s="131"/>
      <c r="Z235" s="142"/>
      <c r="AA235" s="142"/>
      <c r="AB235" s="142"/>
      <c r="AC235" s="142"/>
      <c r="AD235" s="142"/>
      <c r="AE235" s="142"/>
      <c r="AF235" s="142"/>
      <c r="AG235" s="142"/>
      <c r="AH235" s="142"/>
      <c r="AI235" s="142"/>
      <c r="AJ235" s="142"/>
      <c r="AK235" s="142"/>
      <c r="AL235" s="142"/>
      <c r="AM235" s="142"/>
      <c r="AN235" s="142"/>
      <c r="AO235" s="142"/>
    </row>
    <row r="236" ht="15.75" customHeight="1">
      <c r="A236" s="142"/>
      <c r="B236" s="142"/>
      <c r="C236" s="142"/>
      <c r="D236" s="142"/>
      <c r="E236" s="131"/>
      <c r="F236" s="142"/>
      <c r="G236" s="142"/>
      <c r="H236" s="142"/>
      <c r="I236" s="142"/>
      <c r="J236" s="142"/>
      <c r="K236" s="132"/>
      <c r="L236" s="131"/>
      <c r="M236" s="131"/>
      <c r="N236" s="142"/>
      <c r="O236" s="142"/>
      <c r="P236" s="142"/>
      <c r="Q236" s="142"/>
      <c r="R236" s="142"/>
      <c r="S236" s="142"/>
      <c r="T236" s="131"/>
      <c r="U236" s="131"/>
      <c r="V236" s="131"/>
      <c r="W236" s="131"/>
      <c r="X236" s="131"/>
      <c r="Y236" s="131"/>
      <c r="Z236" s="142"/>
      <c r="AA236" s="142"/>
      <c r="AB236" s="142"/>
      <c r="AC236" s="142"/>
      <c r="AD236" s="142"/>
      <c r="AE236" s="142"/>
      <c r="AF236" s="142"/>
      <c r="AG236" s="142"/>
      <c r="AH236" s="142"/>
      <c r="AI236" s="142"/>
      <c r="AJ236" s="142"/>
      <c r="AK236" s="142"/>
      <c r="AL236" s="142"/>
      <c r="AM236" s="142"/>
      <c r="AN236" s="142"/>
      <c r="AO236" s="142"/>
    </row>
    <row r="237" ht="15.75" customHeight="1">
      <c r="A237" s="142"/>
      <c r="B237" s="142"/>
      <c r="C237" s="142"/>
      <c r="D237" s="142"/>
      <c r="E237" s="131"/>
      <c r="F237" s="142"/>
      <c r="G237" s="142"/>
      <c r="H237" s="142"/>
      <c r="I237" s="142"/>
      <c r="J237" s="142"/>
      <c r="K237" s="132"/>
      <c r="L237" s="131"/>
      <c r="M237" s="131"/>
      <c r="N237" s="142"/>
      <c r="O237" s="142"/>
      <c r="P237" s="142"/>
      <c r="Q237" s="142"/>
      <c r="R237" s="142"/>
      <c r="S237" s="142"/>
      <c r="T237" s="131"/>
      <c r="U237" s="131"/>
      <c r="V237" s="131"/>
      <c r="W237" s="131"/>
      <c r="X237" s="131"/>
      <c r="Y237" s="131"/>
      <c r="Z237" s="142"/>
      <c r="AA237" s="142"/>
      <c r="AB237" s="142"/>
      <c r="AC237" s="142"/>
      <c r="AD237" s="142"/>
      <c r="AE237" s="142"/>
      <c r="AF237" s="142"/>
      <c r="AG237" s="142"/>
      <c r="AH237" s="142"/>
      <c r="AI237" s="142"/>
      <c r="AJ237" s="142"/>
      <c r="AK237" s="142"/>
      <c r="AL237" s="142"/>
      <c r="AM237" s="142"/>
      <c r="AN237" s="142"/>
      <c r="AO237" s="142"/>
    </row>
    <row r="238" ht="15.75" customHeight="1">
      <c r="A238" s="142"/>
      <c r="B238" s="142"/>
      <c r="C238" s="142"/>
      <c r="D238" s="142"/>
      <c r="E238" s="131"/>
      <c r="F238" s="142"/>
      <c r="G238" s="142"/>
      <c r="H238" s="142"/>
      <c r="I238" s="142"/>
      <c r="J238" s="142"/>
      <c r="K238" s="132"/>
      <c r="L238" s="131"/>
      <c r="M238" s="131"/>
      <c r="N238" s="142"/>
      <c r="O238" s="142"/>
      <c r="P238" s="142"/>
      <c r="Q238" s="142"/>
      <c r="R238" s="142"/>
      <c r="S238" s="142"/>
      <c r="T238" s="131"/>
      <c r="U238" s="131"/>
      <c r="V238" s="131"/>
      <c r="W238" s="131"/>
      <c r="X238" s="131"/>
      <c r="Y238" s="131"/>
      <c r="Z238" s="142"/>
      <c r="AA238" s="142"/>
      <c r="AB238" s="142"/>
      <c r="AC238" s="142"/>
      <c r="AD238" s="142"/>
      <c r="AE238" s="142"/>
      <c r="AF238" s="142"/>
      <c r="AG238" s="142"/>
      <c r="AH238" s="142"/>
      <c r="AI238" s="142"/>
      <c r="AJ238" s="142"/>
      <c r="AK238" s="142"/>
      <c r="AL238" s="142"/>
      <c r="AM238" s="142"/>
      <c r="AN238" s="142"/>
      <c r="AO238" s="142"/>
    </row>
    <row r="239" ht="15.75" customHeight="1">
      <c r="A239" s="142"/>
      <c r="B239" s="142"/>
      <c r="C239" s="142"/>
      <c r="D239" s="142"/>
      <c r="E239" s="131"/>
      <c r="F239" s="142"/>
      <c r="G239" s="142"/>
      <c r="H239" s="142"/>
      <c r="I239" s="142"/>
      <c r="J239" s="142"/>
      <c r="K239" s="132"/>
      <c r="L239" s="131"/>
      <c r="M239" s="131"/>
      <c r="N239" s="142"/>
      <c r="O239" s="142"/>
      <c r="P239" s="142"/>
      <c r="Q239" s="142"/>
      <c r="R239" s="142"/>
      <c r="S239" s="142"/>
      <c r="T239" s="131"/>
      <c r="U239" s="131"/>
      <c r="V239" s="131"/>
      <c r="W239" s="131"/>
      <c r="X239" s="131"/>
      <c r="Y239" s="131"/>
      <c r="Z239" s="142"/>
      <c r="AA239" s="142"/>
      <c r="AB239" s="142"/>
      <c r="AC239" s="142"/>
      <c r="AD239" s="142"/>
      <c r="AE239" s="142"/>
      <c r="AF239" s="142"/>
      <c r="AG239" s="142"/>
      <c r="AH239" s="142"/>
      <c r="AI239" s="142"/>
      <c r="AJ239" s="142"/>
      <c r="AK239" s="142"/>
      <c r="AL239" s="142"/>
      <c r="AM239" s="142"/>
      <c r="AN239" s="142"/>
      <c r="AO239" s="142"/>
    </row>
    <row r="240" ht="15.75" customHeight="1">
      <c r="A240" s="142"/>
      <c r="B240" s="142"/>
      <c r="C240" s="142"/>
      <c r="D240" s="142"/>
      <c r="E240" s="131"/>
      <c r="F240" s="142"/>
      <c r="G240" s="142"/>
      <c r="H240" s="142"/>
      <c r="I240" s="142"/>
      <c r="J240" s="142"/>
      <c r="K240" s="132"/>
      <c r="L240" s="131"/>
      <c r="M240" s="131"/>
      <c r="N240" s="142"/>
      <c r="O240" s="142"/>
      <c r="P240" s="142"/>
      <c r="Q240" s="142"/>
      <c r="R240" s="142"/>
      <c r="S240" s="142"/>
      <c r="T240" s="131"/>
      <c r="U240" s="131"/>
      <c r="V240" s="131"/>
      <c r="W240" s="131"/>
      <c r="X240" s="131"/>
      <c r="Y240" s="131"/>
      <c r="Z240" s="142"/>
      <c r="AA240" s="142"/>
      <c r="AB240" s="142"/>
      <c r="AC240" s="142"/>
      <c r="AD240" s="142"/>
      <c r="AE240" s="142"/>
      <c r="AF240" s="142"/>
      <c r="AG240" s="142"/>
      <c r="AH240" s="142"/>
      <c r="AI240" s="142"/>
      <c r="AJ240" s="142"/>
      <c r="AK240" s="142"/>
      <c r="AL240" s="142"/>
      <c r="AM240" s="142"/>
      <c r="AN240" s="142"/>
      <c r="AO240" s="142"/>
    </row>
    <row r="241" ht="15.75" customHeight="1">
      <c r="A241" s="142"/>
      <c r="B241" s="142"/>
      <c r="C241" s="142"/>
      <c r="D241" s="142"/>
      <c r="E241" s="131"/>
      <c r="F241" s="142"/>
      <c r="G241" s="142"/>
      <c r="H241" s="142"/>
      <c r="I241" s="142"/>
      <c r="J241" s="142"/>
      <c r="K241" s="132"/>
      <c r="L241" s="131"/>
      <c r="M241" s="131"/>
      <c r="N241" s="142"/>
      <c r="O241" s="142"/>
      <c r="P241" s="142"/>
      <c r="Q241" s="142"/>
      <c r="R241" s="142"/>
      <c r="S241" s="142"/>
      <c r="T241" s="131"/>
      <c r="U241" s="131"/>
      <c r="V241" s="131"/>
      <c r="W241" s="131"/>
      <c r="X241" s="131"/>
      <c r="Y241" s="131"/>
      <c r="Z241" s="142"/>
      <c r="AA241" s="142"/>
      <c r="AB241" s="142"/>
      <c r="AC241" s="142"/>
      <c r="AD241" s="142"/>
      <c r="AE241" s="142"/>
      <c r="AF241" s="142"/>
      <c r="AG241" s="142"/>
      <c r="AH241" s="142"/>
      <c r="AI241" s="142"/>
      <c r="AJ241" s="142"/>
      <c r="AK241" s="142"/>
      <c r="AL241" s="142"/>
      <c r="AM241" s="142"/>
      <c r="AN241" s="142"/>
      <c r="AO241" s="142"/>
    </row>
    <row r="242" ht="15.75" customHeight="1">
      <c r="A242" s="142"/>
      <c r="B242" s="142"/>
      <c r="C242" s="142"/>
      <c r="D242" s="142"/>
      <c r="E242" s="131"/>
      <c r="F242" s="142"/>
      <c r="G242" s="142"/>
      <c r="H242" s="142"/>
      <c r="I242" s="142"/>
      <c r="J242" s="142"/>
      <c r="K242" s="132"/>
      <c r="L242" s="131"/>
      <c r="M242" s="131"/>
      <c r="N242" s="142"/>
      <c r="O242" s="142"/>
      <c r="P242" s="142"/>
      <c r="Q242" s="142"/>
      <c r="R242" s="142"/>
      <c r="S242" s="142"/>
      <c r="T242" s="131"/>
      <c r="U242" s="131"/>
      <c r="V242" s="131"/>
      <c r="W242" s="131"/>
      <c r="X242" s="131"/>
      <c r="Y242" s="131"/>
      <c r="Z242" s="142"/>
      <c r="AA242" s="142"/>
      <c r="AB242" s="142"/>
      <c r="AC242" s="142"/>
      <c r="AD242" s="142"/>
      <c r="AE242" s="142"/>
      <c r="AF242" s="142"/>
      <c r="AG242" s="142"/>
      <c r="AH242" s="142"/>
      <c r="AI242" s="142"/>
      <c r="AJ242" s="142"/>
      <c r="AK242" s="142"/>
      <c r="AL242" s="142"/>
      <c r="AM242" s="142"/>
      <c r="AN242" s="142"/>
      <c r="AO242" s="142"/>
    </row>
    <row r="243" ht="15.75" customHeight="1">
      <c r="A243" s="142"/>
      <c r="B243" s="142"/>
      <c r="C243" s="142"/>
      <c r="D243" s="142"/>
      <c r="E243" s="131"/>
      <c r="F243" s="142"/>
      <c r="G243" s="142"/>
      <c r="H243" s="142"/>
      <c r="I243" s="142"/>
      <c r="J243" s="142"/>
      <c r="K243" s="132"/>
      <c r="L243" s="131"/>
      <c r="M243" s="131"/>
      <c r="N243" s="142"/>
      <c r="O243" s="142"/>
      <c r="P243" s="142"/>
      <c r="Q243" s="142"/>
      <c r="R243" s="142"/>
      <c r="S243" s="142"/>
      <c r="T243" s="131"/>
      <c r="U243" s="131"/>
      <c r="V243" s="131"/>
      <c r="W243" s="131"/>
      <c r="X243" s="131"/>
      <c r="Y243" s="131"/>
      <c r="Z243" s="142"/>
      <c r="AA243" s="142"/>
      <c r="AB243" s="142"/>
      <c r="AC243" s="142"/>
      <c r="AD243" s="142"/>
      <c r="AE243" s="142"/>
      <c r="AF243" s="142"/>
      <c r="AG243" s="142"/>
      <c r="AH243" s="142"/>
      <c r="AI243" s="142"/>
      <c r="AJ243" s="142"/>
      <c r="AK243" s="142"/>
      <c r="AL243" s="142"/>
      <c r="AM243" s="142"/>
      <c r="AN243" s="142"/>
      <c r="AO243" s="142"/>
    </row>
    <row r="244" ht="15.75" customHeight="1">
      <c r="A244" s="142"/>
      <c r="B244" s="142"/>
      <c r="C244" s="142"/>
      <c r="D244" s="142"/>
      <c r="E244" s="131"/>
      <c r="F244" s="142"/>
      <c r="G244" s="142"/>
      <c r="H244" s="142"/>
      <c r="I244" s="142"/>
      <c r="J244" s="142"/>
      <c r="K244" s="132"/>
      <c r="L244" s="131"/>
      <c r="M244" s="131"/>
      <c r="N244" s="142"/>
      <c r="O244" s="142"/>
      <c r="P244" s="142"/>
      <c r="Q244" s="142"/>
      <c r="R244" s="142"/>
      <c r="S244" s="142"/>
      <c r="T244" s="131"/>
      <c r="U244" s="131"/>
      <c r="V244" s="131"/>
      <c r="W244" s="131"/>
      <c r="X244" s="131"/>
      <c r="Y244" s="131"/>
      <c r="Z244" s="142"/>
      <c r="AA244" s="142"/>
      <c r="AB244" s="142"/>
      <c r="AC244" s="142"/>
      <c r="AD244" s="142"/>
      <c r="AE244" s="142"/>
      <c r="AF244" s="142"/>
      <c r="AG244" s="142"/>
      <c r="AH244" s="142"/>
      <c r="AI244" s="142"/>
      <c r="AJ244" s="142"/>
      <c r="AK244" s="142"/>
      <c r="AL244" s="142"/>
      <c r="AM244" s="142"/>
      <c r="AN244" s="142"/>
      <c r="AO244" s="142"/>
    </row>
    <row r="245" ht="15.75" customHeight="1">
      <c r="A245" s="142"/>
      <c r="B245" s="142"/>
      <c r="C245" s="142"/>
      <c r="D245" s="142"/>
      <c r="E245" s="131"/>
      <c r="F245" s="142"/>
      <c r="G245" s="142"/>
      <c r="H245" s="142"/>
      <c r="I245" s="142"/>
      <c r="J245" s="142"/>
      <c r="K245" s="132"/>
      <c r="L245" s="131"/>
      <c r="M245" s="131"/>
      <c r="N245" s="142"/>
      <c r="O245" s="142"/>
      <c r="P245" s="142"/>
      <c r="Q245" s="142"/>
      <c r="R245" s="142"/>
      <c r="S245" s="142"/>
      <c r="T245" s="131"/>
      <c r="U245" s="131"/>
      <c r="V245" s="131"/>
      <c r="W245" s="131"/>
      <c r="X245" s="131"/>
      <c r="Y245" s="131"/>
      <c r="Z245" s="142"/>
      <c r="AA245" s="142"/>
      <c r="AB245" s="142"/>
      <c r="AC245" s="142"/>
      <c r="AD245" s="142"/>
      <c r="AE245" s="142"/>
      <c r="AF245" s="142"/>
      <c r="AG245" s="142"/>
      <c r="AH245" s="142"/>
      <c r="AI245" s="142"/>
      <c r="AJ245" s="142"/>
      <c r="AK245" s="142"/>
      <c r="AL245" s="142"/>
      <c r="AM245" s="142"/>
      <c r="AN245" s="142"/>
      <c r="AO245" s="142"/>
    </row>
    <row r="246" ht="15.75" customHeight="1">
      <c r="A246" s="142"/>
      <c r="B246" s="142"/>
      <c r="C246" s="142"/>
      <c r="D246" s="142"/>
      <c r="E246" s="131"/>
      <c r="F246" s="142"/>
      <c r="G246" s="142"/>
      <c r="H246" s="142"/>
      <c r="I246" s="142"/>
      <c r="J246" s="142"/>
      <c r="K246" s="132"/>
      <c r="L246" s="131"/>
      <c r="M246" s="131"/>
      <c r="N246" s="142"/>
      <c r="O246" s="142"/>
      <c r="P246" s="142"/>
      <c r="Q246" s="142"/>
      <c r="R246" s="142"/>
      <c r="S246" s="142"/>
      <c r="T246" s="131"/>
      <c r="U246" s="131"/>
      <c r="V246" s="131"/>
      <c r="W246" s="131"/>
      <c r="X246" s="131"/>
      <c r="Y246" s="131"/>
      <c r="Z246" s="142"/>
      <c r="AA246" s="142"/>
      <c r="AB246" s="142"/>
      <c r="AC246" s="142"/>
      <c r="AD246" s="142"/>
      <c r="AE246" s="142"/>
      <c r="AF246" s="142"/>
      <c r="AG246" s="142"/>
      <c r="AH246" s="142"/>
      <c r="AI246" s="142"/>
      <c r="AJ246" s="142"/>
      <c r="AK246" s="142"/>
      <c r="AL246" s="142"/>
      <c r="AM246" s="142"/>
      <c r="AN246" s="142"/>
      <c r="AO246" s="142"/>
    </row>
    <row r="247" ht="15.75" customHeight="1">
      <c r="A247" s="142"/>
      <c r="B247" s="142"/>
      <c r="C247" s="142"/>
      <c r="D247" s="142"/>
      <c r="E247" s="131"/>
      <c r="F247" s="142"/>
      <c r="G247" s="142"/>
      <c r="H247" s="142"/>
      <c r="I247" s="142"/>
      <c r="J247" s="142"/>
      <c r="K247" s="132"/>
      <c r="L247" s="131"/>
      <c r="M247" s="131"/>
      <c r="N247" s="142"/>
      <c r="O247" s="142"/>
      <c r="P247" s="142"/>
      <c r="Q247" s="142"/>
      <c r="R247" s="142"/>
      <c r="S247" s="142"/>
      <c r="T247" s="131"/>
      <c r="U247" s="131"/>
      <c r="V247" s="131"/>
      <c r="W247" s="131"/>
      <c r="X247" s="131"/>
      <c r="Y247" s="131"/>
      <c r="Z247" s="142"/>
      <c r="AA247" s="142"/>
      <c r="AB247" s="142"/>
      <c r="AC247" s="142"/>
      <c r="AD247" s="142"/>
      <c r="AE247" s="142"/>
      <c r="AF247" s="142"/>
      <c r="AG247" s="142"/>
      <c r="AH247" s="142"/>
      <c r="AI247" s="142"/>
      <c r="AJ247" s="142"/>
      <c r="AK247" s="142"/>
      <c r="AL247" s="142"/>
      <c r="AM247" s="142"/>
      <c r="AN247" s="142"/>
      <c r="AO247" s="142"/>
    </row>
    <row r="248" ht="15.75" customHeight="1">
      <c r="A248" s="142"/>
      <c r="B248" s="142"/>
      <c r="C248" s="142"/>
      <c r="D248" s="142"/>
      <c r="E248" s="131"/>
      <c r="F248" s="142"/>
      <c r="G248" s="142"/>
      <c r="H248" s="142"/>
      <c r="I248" s="142"/>
      <c r="J248" s="142"/>
      <c r="K248" s="132"/>
      <c r="L248" s="131"/>
      <c r="M248" s="131"/>
      <c r="N248" s="142"/>
      <c r="O248" s="142"/>
      <c r="P248" s="142"/>
      <c r="Q248" s="142"/>
      <c r="R248" s="142"/>
      <c r="S248" s="142"/>
      <c r="T248" s="131"/>
      <c r="U248" s="131"/>
      <c r="V248" s="131"/>
      <c r="W248" s="131"/>
      <c r="X248" s="131"/>
      <c r="Y248" s="131"/>
      <c r="Z248" s="142"/>
      <c r="AA248" s="142"/>
      <c r="AB248" s="142"/>
      <c r="AC248" s="142"/>
      <c r="AD248" s="142"/>
      <c r="AE248" s="142"/>
      <c r="AF248" s="142"/>
      <c r="AG248" s="142"/>
      <c r="AH248" s="142"/>
      <c r="AI248" s="142"/>
      <c r="AJ248" s="142"/>
      <c r="AK248" s="142"/>
      <c r="AL248" s="142"/>
      <c r="AM248" s="142"/>
      <c r="AN248" s="142"/>
      <c r="AO248" s="142"/>
    </row>
    <row r="249" ht="15.75" customHeight="1">
      <c r="A249" s="142"/>
      <c r="B249" s="142"/>
      <c r="C249" s="142"/>
      <c r="D249" s="142"/>
      <c r="E249" s="131"/>
      <c r="F249" s="142"/>
      <c r="G249" s="142"/>
      <c r="H249" s="142"/>
      <c r="I249" s="142"/>
      <c r="J249" s="142"/>
      <c r="K249" s="132"/>
      <c r="L249" s="131"/>
      <c r="M249" s="131"/>
      <c r="N249" s="142"/>
      <c r="O249" s="142"/>
      <c r="P249" s="142"/>
      <c r="Q249" s="142"/>
      <c r="R249" s="142"/>
      <c r="S249" s="142"/>
      <c r="T249" s="131"/>
      <c r="U249" s="131"/>
      <c r="V249" s="131"/>
      <c r="W249" s="131"/>
      <c r="X249" s="131"/>
      <c r="Y249" s="131"/>
      <c r="Z249" s="142"/>
      <c r="AA249" s="142"/>
      <c r="AB249" s="142"/>
      <c r="AC249" s="142"/>
      <c r="AD249" s="142"/>
      <c r="AE249" s="142"/>
      <c r="AF249" s="142"/>
      <c r="AG249" s="142"/>
      <c r="AH249" s="142"/>
      <c r="AI249" s="142"/>
      <c r="AJ249" s="142"/>
      <c r="AK249" s="142"/>
      <c r="AL249" s="142"/>
      <c r="AM249" s="142"/>
      <c r="AN249" s="142"/>
      <c r="AO249" s="142"/>
    </row>
    <row r="250" ht="15.75" customHeight="1">
      <c r="A250" s="142"/>
      <c r="B250" s="142"/>
      <c r="C250" s="142"/>
      <c r="D250" s="142"/>
      <c r="E250" s="131"/>
      <c r="F250" s="142"/>
      <c r="G250" s="142"/>
      <c r="H250" s="142"/>
      <c r="I250" s="142"/>
      <c r="J250" s="142"/>
      <c r="K250" s="132"/>
      <c r="L250" s="131"/>
      <c r="M250" s="131"/>
      <c r="N250" s="142"/>
      <c r="O250" s="142"/>
      <c r="P250" s="142"/>
      <c r="Q250" s="142"/>
      <c r="R250" s="142"/>
      <c r="S250" s="142"/>
      <c r="T250" s="131"/>
      <c r="U250" s="131"/>
      <c r="V250" s="131"/>
      <c r="W250" s="131"/>
      <c r="X250" s="131"/>
      <c r="Y250" s="131"/>
      <c r="Z250" s="142"/>
      <c r="AA250" s="142"/>
      <c r="AB250" s="142"/>
      <c r="AC250" s="142"/>
      <c r="AD250" s="142"/>
      <c r="AE250" s="142"/>
      <c r="AF250" s="142"/>
      <c r="AG250" s="142"/>
      <c r="AH250" s="142"/>
      <c r="AI250" s="142"/>
      <c r="AJ250" s="142"/>
      <c r="AK250" s="142"/>
      <c r="AL250" s="142"/>
      <c r="AM250" s="142"/>
      <c r="AN250" s="142"/>
      <c r="AO250" s="142"/>
    </row>
    <row r="251" ht="15.75" customHeight="1">
      <c r="A251" s="142"/>
      <c r="B251" s="142"/>
      <c r="C251" s="142"/>
      <c r="D251" s="142"/>
      <c r="E251" s="131"/>
      <c r="F251" s="142"/>
      <c r="G251" s="142"/>
      <c r="H251" s="142"/>
      <c r="I251" s="142"/>
      <c r="J251" s="142"/>
      <c r="K251" s="132"/>
      <c r="L251" s="131"/>
      <c r="M251" s="131"/>
      <c r="N251" s="142"/>
      <c r="O251" s="142"/>
      <c r="P251" s="142"/>
      <c r="Q251" s="142"/>
      <c r="R251" s="142"/>
      <c r="S251" s="142"/>
      <c r="T251" s="131"/>
      <c r="U251" s="131"/>
      <c r="V251" s="131"/>
      <c r="W251" s="131"/>
      <c r="X251" s="131"/>
      <c r="Y251" s="131"/>
      <c r="Z251" s="142"/>
      <c r="AA251" s="142"/>
      <c r="AB251" s="142"/>
      <c r="AC251" s="142"/>
      <c r="AD251" s="142"/>
      <c r="AE251" s="142"/>
      <c r="AF251" s="142"/>
      <c r="AG251" s="142"/>
      <c r="AH251" s="142"/>
      <c r="AI251" s="142"/>
      <c r="AJ251" s="142"/>
      <c r="AK251" s="142"/>
      <c r="AL251" s="142"/>
      <c r="AM251" s="142"/>
      <c r="AN251" s="142"/>
      <c r="AO251" s="142"/>
    </row>
    <row r="252" ht="15.75" customHeight="1">
      <c r="A252" s="142"/>
      <c r="B252" s="142"/>
      <c r="C252" s="142"/>
      <c r="D252" s="142"/>
      <c r="E252" s="131"/>
      <c r="F252" s="142"/>
      <c r="G252" s="142"/>
      <c r="H252" s="142"/>
      <c r="I252" s="142"/>
      <c r="J252" s="142"/>
      <c r="K252" s="132"/>
      <c r="L252" s="131"/>
      <c r="M252" s="131"/>
      <c r="N252" s="142"/>
      <c r="O252" s="142"/>
      <c r="P252" s="142"/>
      <c r="Q252" s="142"/>
      <c r="R252" s="142"/>
      <c r="S252" s="142"/>
      <c r="T252" s="131"/>
      <c r="U252" s="131"/>
      <c r="V252" s="131"/>
      <c r="W252" s="131"/>
      <c r="X252" s="131"/>
      <c r="Y252" s="131"/>
      <c r="Z252" s="142"/>
      <c r="AA252" s="142"/>
      <c r="AB252" s="142"/>
      <c r="AC252" s="142"/>
      <c r="AD252" s="142"/>
      <c r="AE252" s="142"/>
      <c r="AF252" s="142"/>
      <c r="AG252" s="142"/>
      <c r="AH252" s="142"/>
      <c r="AI252" s="142"/>
      <c r="AJ252" s="142"/>
      <c r="AK252" s="142"/>
      <c r="AL252" s="142"/>
      <c r="AM252" s="142"/>
      <c r="AN252" s="142"/>
      <c r="AO252" s="142"/>
    </row>
    <row r="253" ht="15.75" customHeight="1">
      <c r="A253" s="142"/>
      <c r="B253" s="142"/>
      <c r="C253" s="142"/>
      <c r="D253" s="142"/>
      <c r="E253" s="131"/>
      <c r="F253" s="142"/>
      <c r="G253" s="142"/>
      <c r="H253" s="142"/>
      <c r="I253" s="142"/>
      <c r="J253" s="142"/>
      <c r="K253" s="132"/>
      <c r="L253" s="131"/>
      <c r="M253" s="131"/>
      <c r="N253" s="142"/>
      <c r="O253" s="142"/>
      <c r="P253" s="142"/>
      <c r="Q253" s="142"/>
      <c r="R253" s="142"/>
      <c r="S253" s="142"/>
      <c r="T253" s="131"/>
      <c r="U253" s="131"/>
      <c r="V253" s="131"/>
      <c r="W253" s="131"/>
      <c r="X253" s="131"/>
      <c r="Y253" s="131"/>
      <c r="Z253" s="142"/>
      <c r="AA253" s="142"/>
      <c r="AB253" s="142"/>
      <c r="AC253" s="142"/>
      <c r="AD253" s="142"/>
      <c r="AE253" s="142"/>
      <c r="AF253" s="142"/>
      <c r="AG253" s="142"/>
      <c r="AH253" s="142"/>
      <c r="AI253" s="142"/>
      <c r="AJ253" s="142"/>
      <c r="AK253" s="142"/>
      <c r="AL253" s="142"/>
      <c r="AM253" s="142"/>
      <c r="AN253" s="142"/>
      <c r="AO253" s="142"/>
    </row>
    <row r="254" ht="15.75" customHeight="1">
      <c r="A254" s="142"/>
      <c r="B254" s="142"/>
      <c r="C254" s="142"/>
      <c r="D254" s="142"/>
      <c r="E254" s="131"/>
      <c r="F254" s="142"/>
      <c r="G254" s="142"/>
      <c r="H254" s="142"/>
      <c r="I254" s="142"/>
      <c r="J254" s="142"/>
      <c r="K254" s="132"/>
      <c r="L254" s="131"/>
      <c r="M254" s="131"/>
      <c r="N254" s="142"/>
      <c r="O254" s="142"/>
      <c r="P254" s="142"/>
      <c r="Q254" s="142"/>
      <c r="R254" s="142"/>
      <c r="S254" s="142"/>
      <c r="T254" s="131"/>
      <c r="U254" s="131"/>
      <c r="V254" s="131"/>
      <c r="W254" s="131"/>
      <c r="X254" s="131"/>
      <c r="Y254" s="131"/>
      <c r="Z254" s="142"/>
      <c r="AA254" s="142"/>
      <c r="AB254" s="142"/>
      <c r="AC254" s="142"/>
      <c r="AD254" s="142"/>
      <c r="AE254" s="142"/>
      <c r="AF254" s="142"/>
      <c r="AG254" s="142"/>
      <c r="AH254" s="142"/>
      <c r="AI254" s="142"/>
      <c r="AJ254" s="142"/>
      <c r="AK254" s="142"/>
      <c r="AL254" s="142"/>
      <c r="AM254" s="142"/>
      <c r="AN254" s="142"/>
      <c r="AO254" s="142"/>
    </row>
    <row r="255" ht="15.75" customHeight="1">
      <c r="A255" s="142"/>
      <c r="B255" s="142"/>
      <c r="C255" s="142"/>
      <c r="D255" s="142"/>
      <c r="E255" s="131"/>
      <c r="F255" s="142"/>
      <c r="G255" s="142"/>
      <c r="H255" s="142"/>
      <c r="I255" s="142"/>
      <c r="J255" s="142"/>
      <c r="K255" s="132"/>
      <c r="L255" s="131"/>
      <c r="M255" s="131"/>
      <c r="N255" s="142"/>
      <c r="O255" s="142"/>
      <c r="P255" s="142"/>
      <c r="Q255" s="142"/>
      <c r="R255" s="142"/>
      <c r="S255" s="142"/>
      <c r="T255" s="131"/>
      <c r="U255" s="131"/>
      <c r="V255" s="131"/>
      <c r="W255" s="131"/>
      <c r="X255" s="131"/>
      <c r="Y255" s="131"/>
      <c r="Z255" s="142"/>
      <c r="AA255" s="142"/>
      <c r="AB255" s="142"/>
      <c r="AC255" s="142"/>
      <c r="AD255" s="142"/>
      <c r="AE255" s="142"/>
      <c r="AF255" s="142"/>
      <c r="AG255" s="142"/>
      <c r="AH255" s="142"/>
      <c r="AI255" s="142"/>
      <c r="AJ255" s="142"/>
      <c r="AK255" s="142"/>
      <c r="AL255" s="142"/>
      <c r="AM255" s="142"/>
      <c r="AN255" s="142"/>
      <c r="AO255" s="142"/>
    </row>
    <row r="256" ht="15.75" customHeight="1">
      <c r="A256" s="142"/>
      <c r="B256" s="142"/>
      <c r="C256" s="142"/>
      <c r="D256" s="142"/>
      <c r="E256" s="131"/>
      <c r="F256" s="142"/>
      <c r="G256" s="142"/>
      <c r="H256" s="142"/>
      <c r="I256" s="142"/>
      <c r="J256" s="142"/>
      <c r="K256" s="132"/>
      <c r="L256" s="131"/>
      <c r="M256" s="131"/>
      <c r="N256" s="142"/>
      <c r="O256" s="142"/>
      <c r="P256" s="142"/>
      <c r="Q256" s="142"/>
      <c r="R256" s="142"/>
      <c r="S256" s="142"/>
      <c r="T256" s="131"/>
      <c r="U256" s="131"/>
      <c r="V256" s="131"/>
      <c r="W256" s="131"/>
      <c r="X256" s="131"/>
      <c r="Y256" s="131"/>
      <c r="Z256" s="142"/>
      <c r="AA256" s="142"/>
      <c r="AB256" s="142"/>
      <c r="AC256" s="142"/>
      <c r="AD256" s="142"/>
      <c r="AE256" s="142"/>
      <c r="AF256" s="142"/>
      <c r="AG256" s="142"/>
      <c r="AH256" s="142"/>
      <c r="AI256" s="142"/>
      <c r="AJ256" s="142"/>
      <c r="AK256" s="142"/>
      <c r="AL256" s="142"/>
      <c r="AM256" s="142"/>
      <c r="AN256" s="142"/>
      <c r="AO256" s="142"/>
    </row>
    <row r="257" ht="15.75" customHeight="1">
      <c r="A257" s="142"/>
      <c r="B257" s="142"/>
      <c r="C257" s="142"/>
      <c r="D257" s="142"/>
      <c r="E257" s="131"/>
      <c r="F257" s="142"/>
      <c r="G257" s="142"/>
      <c r="H257" s="142"/>
      <c r="I257" s="142"/>
      <c r="J257" s="142"/>
      <c r="K257" s="132"/>
      <c r="L257" s="131"/>
      <c r="M257" s="131"/>
      <c r="N257" s="142"/>
      <c r="O257" s="142"/>
      <c r="P257" s="142"/>
      <c r="Q257" s="142"/>
      <c r="R257" s="142"/>
      <c r="S257" s="142"/>
      <c r="T257" s="131"/>
      <c r="U257" s="131"/>
      <c r="V257" s="131"/>
      <c r="W257" s="131"/>
      <c r="X257" s="131"/>
      <c r="Y257" s="131"/>
      <c r="Z257" s="142"/>
      <c r="AA257" s="142"/>
      <c r="AB257" s="142"/>
      <c r="AC257" s="142"/>
      <c r="AD257" s="142"/>
      <c r="AE257" s="142"/>
      <c r="AF257" s="142"/>
      <c r="AG257" s="142"/>
      <c r="AH257" s="142"/>
      <c r="AI257" s="142"/>
      <c r="AJ257" s="142"/>
      <c r="AK257" s="142"/>
      <c r="AL257" s="142"/>
      <c r="AM257" s="142"/>
      <c r="AN257" s="142"/>
      <c r="AO257" s="142"/>
    </row>
    <row r="258" ht="15.75" customHeight="1">
      <c r="A258" s="142"/>
      <c r="B258" s="142"/>
      <c r="C258" s="142"/>
      <c r="D258" s="142"/>
      <c r="E258" s="131"/>
      <c r="F258" s="142"/>
      <c r="G258" s="142"/>
      <c r="H258" s="142"/>
      <c r="I258" s="142"/>
      <c r="J258" s="142"/>
      <c r="K258" s="132"/>
      <c r="L258" s="131"/>
      <c r="M258" s="131"/>
      <c r="N258" s="142"/>
      <c r="O258" s="142"/>
      <c r="P258" s="142"/>
      <c r="Q258" s="142"/>
      <c r="R258" s="142"/>
      <c r="S258" s="142"/>
      <c r="T258" s="131"/>
      <c r="U258" s="131"/>
      <c r="V258" s="131"/>
      <c r="W258" s="131"/>
      <c r="X258" s="131"/>
      <c r="Y258" s="131"/>
      <c r="Z258" s="142"/>
      <c r="AA258" s="142"/>
      <c r="AB258" s="142"/>
      <c r="AC258" s="142"/>
      <c r="AD258" s="142"/>
      <c r="AE258" s="142"/>
      <c r="AF258" s="142"/>
      <c r="AG258" s="142"/>
      <c r="AH258" s="142"/>
      <c r="AI258" s="142"/>
      <c r="AJ258" s="142"/>
      <c r="AK258" s="142"/>
      <c r="AL258" s="142"/>
      <c r="AM258" s="142"/>
      <c r="AN258" s="142"/>
      <c r="AO258" s="142"/>
    </row>
    <row r="259" ht="15.75" customHeight="1">
      <c r="A259" s="142"/>
      <c r="B259" s="142"/>
      <c r="C259" s="142"/>
      <c r="D259" s="142"/>
      <c r="E259" s="131"/>
      <c r="F259" s="142"/>
      <c r="G259" s="142"/>
      <c r="H259" s="142"/>
      <c r="I259" s="142"/>
      <c r="J259" s="142"/>
      <c r="K259" s="132"/>
      <c r="L259" s="131"/>
      <c r="M259" s="131"/>
      <c r="N259" s="142"/>
      <c r="O259" s="142"/>
      <c r="P259" s="142"/>
      <c r="Q259" s="142"/>
      <c r="R259" s="142"/>
      <c r="S259" s="142"/>
      <c r="T259" s="131"/>
      <c r="U259" s="131"/>
      <c r="V259" s="131"/>
      <c r="W259" s="131"/>
      <c r="X259" s="131"/>
      <c r="Y259" s="131"/>
      <c r="Z259" s="142"/>
      <c r="AA259" s="142"/>
      <c r="AB259" s="142"/>
      <c r="AC259" s="142"/>
      <c r="AD259" s="142"/>
      <c r="AE259" s="142"/>
      <c r="AF259" s="142"/>
      <c r="AG259" s="142"/>
      <c r="AH259" s="142"/>
      <c r="AI259" s="142"/>
      <c r="AJ259" s="142"/>
      <c r="AK259" s="142"/>
      <c r="AL259" s="142"/>
      <c r="AM259" s="142"/>
      <c r="AN259" s="142"/>
      <c r="AO259" s="142"/>
    </row>
    <row r="260" ht="15.75" customHeight="1">
      <c r="A260" s="142"/>
      <c r="B260" s="142"/>
      <c r="C260" s="142"/>
      <c r="D260" s="142"/>
      <c r="E260" s="131"/>
      <c r="F260" s="142"/>
      <c r="G260" s="142"/>
      <c r="H260" s="142"/>
      <c r="I260" s="142"/>
      <c r="J260" s="142"/>
      <c r="K260" s="132"/>
      <c r="L260" s="131"/>
      <c r="M260" s="131"/>
      <c r="N260" s="142"/>
      <c r="O260" s="142"/>
      <c r="P260" s="142"/>
      <c r="Q260" s="142"/>
      <c r="R260" s="142"/>
      <c r="S260" s="142"/>
      <c r="T260" s="131"/>
      <c r="U260" s="131"/>
      <c r="V260" s="131"/>
      <c r="W260" s="131"/>
      <c r="X260" s="131"/>
      <c r="Y260" s="131"/>
      <c r="Z260" s="142"/>
      <c r="AA260" s="142"/>
      <c r="AB260" s="142"/>
      <c r="AC260" s="142"/>
      <c r="AD260" s="142"/>
      <c r="AE260" s="142"/>
      <c r="AF260" s="142"/>
      <c r="AG260" s="142"/>
      <c r="AH260" s="142"/>
      <c r="AI260" s="142"/>
      <c r="AJ260" s="142"/>
      <c r="AK260" s="142"/>
      <c r="AL260" s="142"/>
      <c r="AM260" s="142"/>
      <c r="AN260" s="142"/>
      <c r="AO260" s="142"/>
    </row>
    <row r="261" ht="15.75" customHeight="1">
      <c r="A261" s="142"/>
      <c r="B261" s="142"/>
      <c r="C261" s="142"/>
      <c r="D261" s="142"/>
      <c r="E261" s="131"/>
      <c r="F261" s="142"/>
      <c r="G261" s="142"/>
      <c r="H261" s="142"/>
      <c r="I261" s="142"/>
      <c r="J261" s="142"/>
      <c r="K261" s="132"/>
      <c r="L261" s="131"/>
      <c r="M261" s="131"/>
      <c r="N261" s="142"/>
      <c r="O261" s="142"/>
      <c r="P261" s="142"/>
      <c r="Q261" s="142"/>
      <c r="R261" s="142"/>
      <c r="S261" s="142"/>
      <c r="T261" s="131"/>
      <c r="U261" s="131"/>
      <c r="V261" s="131"/>
      <c r="W261" s="131"/>
      <c r="X261" s="131"/>
      <c r="Y261" s="131"/>
      <c r="Z261" s="142"/>
      <c r="AA261" s="142"/>
      <c r="AB261" s="142"/>
      <c r="AC261" s="142"/>
      <c r="AD261" s="142"/>
      <c r="AE261" s="142"/>
      <c r="AF261" s="142"/>
      <c r="AG261" s="142"/>
      <c r="AH261" s="142"/>
      <c r="AI261" s="142"/>
      <c r="AJ261" s="142"/>
      <c r="AK261" s="142"/>
      <c r="AL261" s="142"/>
      <c r="AM261" s="142"/>
      <c r="AN261" s="142"/>
      <c r="AO261" s="142"/>
    </row>
    <row r="262" ht="15.75" customHeight="1">
      <c r="A262" s="142"/>
      <c r="B262" s="142"/>
      <c r="C262" s="142"/>
      <c r="D262" s="142"/>
      <c r="E262" s="131"/>
      <c r="F262" s="142"/>
      <c r="G262" s="142"/>
      <c r="H262" s="142"/>
      <c r="I262" s="142"/>
      <c r="J262" s="142"/>
      <c r="K262" s="132"/>
      <c r="L262" s="131"/>
      <c r="M262" s="131"/>
      <c r="N262" s="142"/>
      <c r="O262" s="142"/>
      <c r="P262" s="142"/>
      <c r="Q262" s="142"/>
      <c r="R262" s="142"/>
      <c r="S262" s="142"/>
      <c r="T262" s="131"/>
      <c r="U262" s="131"/>
      <c r="V262" s="131"/>
      <c r="W262" s="131"/>
      <c r="X262" s="131"/>
      <c r="Y262" s="131"/>
      <c r="Z262" s="142"/>
      <c r="AA262" s="142"/>
      <c r="AB262" s="142"/>
      <c r="AC262" s="142"/>
      <c r="AD262" s="142"/>
      <c r="AE262" s="142"/>
      <c r="AF262" s="142"/>
      <c r="AG262" s="142"/>
      <c r="AH262" s="142"/>
      <c r="AI262" s="142"/>
      <c r="AJ262" s="142"/>
      <c r="AK262" s="142"/>
      <c r="AL262" s="142"/>
      <c r="AM262" s="142"/>
      <c r="AN262" s="142"/>
      <c r="AO262" s="142"/>
    </row>
    <row r="263" ht="15.75" customHeight="1">
      <c r="A263" s="142"/>
      <c r="B263" s="142"/>
      <c r="C263" s="142"/>
      <c r="D263" s="142"/>
      <c r="E263" s="131"/>
      <c r="F263" s="142"/>
      <c r="G263" s="142"/>
      <c r="H263" s="142"/>
      <c r="I263" s="142"/>
      <c r="J263" s="142"/>
      <c r="K263" s="132"/>
      <c r="L263" s="131"/>
      <c r="M263" s="131"/>
      <c r="N263" s="142"/>
      <c r="O263" s="142"/>
      <c r="P263" s="142"/>
      <c r="Q263" s="142"/>
      <c r="R263" s="142"/>
      <c r="S263" s="142"/>
      <c r="T263" s="131"/>
      <c r="U263" s="131"/>
      <c r="V263" s="131"/>
      <c r="W263" s="131"/>
      <c r="X263" s="131"/>
      <c r="Y263" s="131"/>
      <c r="Z263" s="142"/>
      <c r="AA263" s="142"/>
      <c r="AB263" s="142"/>
      <c r="AC263" s="142"/>
      <c r="AD263" s="142"/>
      <c r="AE263" s="142"/>
      <c r="AF263" s="142"/>
      <c r="AG263" s="142"/>
      <c r="AH263" s="142"/>
      <c r="AI263" s="142"/>
      <c r="AJ263" s="142"/>
      <c r="AK263" s="142"/>
      <c r="AL263" s="142"/>
      <c r="AM263" s="142"/>
      <c r="AN263" s="142"/>
      <c r="AO263" s="142"/>
    </row>
    <row r="264" ht="15.75" customHeight="1">
      <c r="A264" s="142"/>
      <c r="B264" s="142"/>
      <c r="C264" s="142"/>
      <c r="D264" s="142"/>
      <c r="E264" s="131"/>
      <c r="F264" s="142"/>
      <c r="G264" s="142"/>
      <c r="H264" s="142"/>
      <c r="I264" s="142"/>
      <c r="J264" s="142"/>
      <c r="K264" s="132"/>
      <c r="L264" s="131"/>
      <c r="M264" s="131"/>
      <c r="N264" s="142"/>
      <c r="O264" s="142"/>
      <c r="P264" s="142"/>
      <c r="Q264" s="142"/>
      <c r="R264" s="142"/>
      <c r="S264" s="142"/>
      <c r="T264" s="131"/>
      <c r="U264" s="131"/>
      <c r="V264" s="131"/>
      <c r="W264" s="131"/>
      <c r="X264" s="131"/>
      <c r="Y264" s="131"/>
      <c r="Z264" s="142"/>
      <c r="AA264" s="142"/>
      <c r="AB264" s="142"/>
      <c r="AC264" s="142"/>
      <c r="AD264" s="142"/>
      <c r="AE264" s="142"/>
      <c r="AF264" s="142"/>
      <c r="AG264" s="142"/>
      <c r="AH264" s="142"/>
      <c r="AI264" s="142"/>
      <c r="AJ264" s="142"/>
      <c r="AK264" s="142"/>
      <c r="AL264" s="142"/>
      <c r="AM264" s="142"/>
      <c r="AN264" s="142"/>
      <c r="AO264" s="142"/>
    </row>
    <row r="265" ht="15.75" customHeight="1">
      <c r="A265" s="142"/>
      <c r="B265" s="142"/>
      <c r="C265" s="142"/>
      <c r="D265" s="142"/>
      <c r="E265" s="131"/>
      <c r="F265" s="142"/>
      <c r="G265" s="142"/>
      <c r="H265" s="142"/>
      <c r="I265" s="142"/>
      <c r="J265" s="142"/>
      <c r="K265" s="132"/>
      <c r="L265" s="131"/>
      <c r="M265" s="131"/>
      <c r="N265" s="142"/>
      <c r="O265" s="142"/>
      <c r="P265" s="142"/>
      <c r="Q265" s="142"/>
      <c r="R265" s="142"/>
      <c r="S265" s="142"/>
      <c r="T265" s="131"/>
      <c r="U265" s="131"/>
      <c r="V265" s="131"/>
      <c r="W265" s="131"/>
      <c r="X265" s="131"/>
      <c r="Y265" s="131"/>
      <c r="Z265" s="142"/>
      <c r="AA265" s="142"/>
      <c r="AB265" s="142"/>
      <c r="AC265" s="142"/>
      <c r="AD265" s="142"/>
      <c r="AE265" s="142"/>
      <c r="AF265" s="142"/>
      <c r="AG265" s="142"/>
      <c r="AH265" s="142"/>
      <c r="AI265" s="142"/>
      <c r="AJ265" s="142"/>
      <c r="AK265" s="142"/>
      <c r="AL265" s="142"/>
      <c r="AM265" s="142"/>
      <c r="AN265" s="142"/>
      <c r="AO265" s="142"/>
    </row>
    <row r="266" ht="15.75" customHeight="1">
      <c r="A266" s="142"/>
      <c r="B266" s="142"/>
      <c r="C266" s="142"/>
      <c r="D266" s="142"/>
      <c r="E266" s="131"/>
      <c r="F266" s="142"/>
      <c r="G266" s="142"/>
      <c r="H266" s="142"/>
      <c r="I266" s="142"/>
      <c r="J266" s="142"/>
      <c r="K266" s="132"/>
      <c r="L266" s="131"/>
      <c r="M266" s="131"/>
      <c r="N266" s="142"/>
      <c r="O266" s="142"/>
      <c r="P266" s="142"/>
      <c r="Q266" s="142"/>
      <c r="R266" s="142"/>
      <c r="S266" s="142"/>
      <c r="T266" s="131"/>
      <c r="U266" s="131"/>
      <c r="V266" s="131"/>
      <c r="W266" s="131"/>
      <c r="X266" s="131"/>
      <c r="Y266" s="131"/>
      <c r="Z266" s="142"/>
      <c r="AA266" s="142"/>
      <c r="AB266" s="142"/>
      <c r="AC266" s="142"/>
      <c r="AD266" s="142"/>
      <c r="AE266" s="142"/>
      <c r="AF266" s="142"/>
      <c r="AG266" s="142"/>
      <c r="AH266" s="142"/>
      <c r="AI266" s="142"/>
      <c r="AJ266" s="142"/>
      <c r="AK266" s="142"/>
      <c r="AL266" s="142"/>
      <c r="AM266" s="142"/>
      <c r="AN266" s="142"/>
      <c r="AO266" s="142"/>
    </row>
    <row r="267" ht="15.75" customHeight="1">
      <c r="A267" s="142"/>
      <c r="B267" s="142"/>
      <c r="C267" s="142"/>
      <c r="D267" s="142"/>
      <c r="E267" s="131"/>
      <c r="F267" s="142"/>
      <c r="G267" s="142"/>
      <c r="H267" s="142"/>
      <c r="I267" s="142"/>
      <c r="J267" s="142"/>
      <c r="K267" s="132"/>
      <c r="L267" s="131"/>
      <c r="M267" s="131"/>
      <c r="N267" s="142"/>
      <c r="O267" s="142"/>
      <c r="P267" s="142"/>
      <c r="Q267" s="142"/>
      <c r="R267" s="142"/>
      <c r="S267" s="142"/>
      <c r="T267" s="131"/>
      <c r="U267" s="131"/>
      <c r="V267" s="131"/>
      <c r="W267" s="131"/>
      <c r="X267" s="131"/>
      <c r="Y267" s="131"/>
      <c r="Z267" s="142"/>
      <c r="AA267" s="142"/>
      <c r="AB267" s="142"/>
      <c r="AC267" s="142"/>
      <c r="AD267" s="142"/>
      <c r="AE267" s="142"/>
      <c r="AF267" s="142"/>
      <c r="AG267" s="142"/>
      <c r="AH267" s="142"/>
      <c r="AI267" s="142"/>
      <c r="AJ267" s="142"/>
      <c r="AK267" s="142"/>
      <c r="AL267" s="142"/>
      <c r="AM267" s="142"/>
      <c r="AN267" s="142"/>
      <c r="AO267" s="142"/>
    </row>
    <row r="268" ht="15.75" customHeight="1">
      <c r="A268" s="142"/>
      <c r="B268" s="142"/>
      <c r="C268" s="142"/>
      <c r="D268" s="142"/>
      <c r="E268" s="131"/>
      <c r="F268" s="142"/>
      <c r="G268" s="142"/>
      <c r="H268" s="142"/>
      <c r="I268" s="142"/>
      <c r="J268" s="142"/>
      <c r="K268" s="132"/>
      <c r="L268" s="131"/>
      <c r="M268" s="131"/>
      <c r="N268" s="142"/>
      <c r="O268" s="142"/>
      <c r="P268" s="142"/>
      <c r="Q268" s="142"/>
      <c r="R268" s="142"/>
      <c r="S268" s="142"/>
      <c r="T268" s="131"/>
      <c r="U268" s="131"/>
      <c r="V268" s="131"/>
      <c r="W268" s="131"/>
      <c r="X268" s="131"/>
      <c r="Y268" s="131"/>
      <c r="Z268" s="142"/>
      <c r="AA268" s="142"/>
      <c r="AB268" s="142"/>
      <c r="AC268" s="142"/>
      <c r="AD268" s="142"/>
      <c r="AE268" s="142"/>
      <c r="AF268" s="142"/>
      <c r="AG268" s="142"/>
      <c r="AH268" s="142"/>
      <c r="AI268" s="142"/>
      <c r="AJ268" s="142"/>
      <c r="AK268" s="142"/>
      <c r="AL268" s="142"/>
      <c r="AM268" s="142"/>
      <c r="AN268" s="142"/>
      <c r="AO268" s="142"/>
    </row>
    <row r="269" ht="15.75" customHeight="1">
      <c r="A269" s="142"/>
      <c r="B269" s="142"/>
      <c r="C269" s="142"/>
      <c r="D269" s="142"/>
      <c r="E269" s="131"/>
      <c r="F269" s="142"/>
      <c r="G269" s="142"/>
      <c r="H269" s="142"/>
      <c r="I269" s="142"/>
      <c r="J269" s="142"/>
      <c r="K269" s="132"/>
      <c r="L269" s="131"/>
      <c r="M269" s="131"/>
      <c r="N269" s="142"/>
      <c r="O269" s="142"/>
      <c r="P269" s="142"/>
      <c r="Q269" s="142"/>
      <c r="R269" s="142"/>
      <c r="S269" s="142"/>
      <c r="T269" s="131"/>
      <c r="U269" s="131"/>
      <c r="V269" s="131"/>
      <c r="W269" s="131"/>
      <c r="X269" s="131"/>
      <c r="Y269" s="131"/>
      <c r="Z269" s="142"/>
      <c r="AA269" s="142"/>
      <c r="AB269" s="142"/>
      <c r="AC269" s="142"/>
      <c r="AD269" s="142"/>
      <c r="AE269" s="142"/>
      <c r="AF269" s="142"/>
      <c r="AG269" s="142"/>
      <c r="AH269" s="142"/>
      <c r="AI269" s="142"/>
      <c r="AJ269" s="142"/>
      <c r="AK269" s="142"/>
      <c r="AL269" s="142"/>
      <c r="AM269" s="142"/>
      <c r="AN269" s="142"/>
      <c r="AO269" s="142"/>
    </row>
    <row r="270" ht="15.75" customHeight="1">
      <c r="A270" s="142"/>
      <c r="B270" s="142"/>
      <c r="C270" s="142"/>
      <c r="D270" s="142"/>
      <c r="E270" s="131"/>
      <c r="F270" s="142"/>
      <c r="G270" s="142"/>
      <c r="H270" s="142"/>
      <c r="I270" s="142"/>
      <c r="J270" s="142"/>
      <c r="K270" s="132"/>
      <c r="L270" s="131"/>
      <c r="M270" s="131"/>
      <c r="N270" s="142"/>
      <c r="O270" s="142"/>
      <c r="P270" s="142"/>
      <c r="Q270" s="142"/>
      <c r="R270" s="142"/>
      <c r="S270" s="142"/>
      <c r="T270" s="131"/>
      <c r="U270" s="131"/>
      <c r="V270" s="131"/>
      <c r="W270" s="131"/>
      <c r="X270" s="131"/>
      <c r="Y270" s="131"/>
      <c r="Z270" s="142"/>
      <c r="AA270" s="142"/>
      <c r="AB270" s="142"/>
      <c r="AC270" s="142"/>
      <c r="AD270" s="142"/>
      <c r="AE270" s="142"/>
      <c r="AF270" s="142"/>
      <c r="AG270" s="142"/>
      <c r="AH270" s="142"/>
      <c r="AI270" s="142"/>
      <c r="AJ270" s="142"/>
      <c r="AK270" s="142"/>
      <c r="AL270" s="142"/>
      <c r="AM270" s="142"/>
      <c r="AN270" s="142"/>
      <c r="AO270" s="142"/>
    </row>
    <row r="271" ht="15.75" customHeight="1">
      <c r="A271" s="142"/>
      <c r="B271" s="142"/>
      <c r="C271" s="142"/>
      <c r="D271" s="142"/>
      <c r="E271" s="131"/>
      <c r="F271" s="142"/>
      <c r="G271" s="142"/>
      <c r="H271" s="142"/>
      <c r="I271" s="142"/>
      <c r="J271" s="142"/>
      <c r="K271" s="132"/>
      <c r="L271" s="131"/>
      <c r="M271" s="131"/>
      <c r="N271" s="142"/>
      <c r="O271" s="142"/>
      <c r="P271" s="142"/>
      <c r="Q271" s="142"/>
      <c r="R271" s="142"/>
      <c r="S271" s="142"/>
      <c r="T271" s="131"/>
      <c r="U271" s="131"/>
      <c r="V271" s="131"/>
      <c r="W271" s="131"/>
      <c r="X271" s="131"/>
      <c r="Y271" s="131"/>
      <c r="Z271" s="142"/>
      <c r="AA271" s="142"/>
      <c r="AB271" s="142"/>
      <c r="AC271" s="142"/>
      <c r="AD271" s="142"/>
      <c r="AE271" s="142"/>
      <c r="AF271" s="142"/>
      <c r="AG271" s="142"/>
      <c r="AH271" s="142"/>
      <c r="AI271" s="142"/>
      <c r="AJ271" s="142"/>
      <c r="AK271" s="142"/>
      <c r="AL271" s="142"/>
      <c r="AM271" s="142"/>
      <c r="AN271" s="142"/>
      <c r="AO271" s="142"/>
    </row>
    <row r="272" ht="15.75" customHeight="1">
      <c r="A272" s="142"/>
      <c r="B272" s="142"/>
      <c r="C272" s="142"/>
      <c r="D272" s="142"/>
      <c r="E272" s="131"/>
      <c r="F272" s="142"/>
      <c r="G272" s="142"/>
      <c r="H272" s="142"/>
      <c r="I272" s="142"/>
      <c r="J272" s="142"/>
      <c r="K272" s="132"/>
      <c r="L272" s="131"/>
      <c r="M272" s="131"/>
      <c r="N272" s="142"/>
      <c r="O272" s="142"/>
      <c r="P272" s="142"/>
      <c r="Q272" s="142"/>
      <c r="R272" s="142"/>
      <c r="S272" s="142"/>
      <c r="T272" s="131"/>
      <c r="U272" s="131"/>
      <c r="V272" s="131"/>
      <c r="W272" s="131"/>
      <c r="X272" s="131"/>
      <c r="Y272" s="131"/>
      <c r="Z272" s="142"/>
      <c r="AA272" s="142"/>
      <c r="AB272" s="142"/>
      <c r="AC272" s="142"/>
      <c r="AD272" s="142"/>
      <c r="AE272" s="142"/>
      <c r="AF272" s="142"/>
      <c r="AG272" s="142"/>
      <c r="AH272" s="142"/>
      <c r="AI272" s="142"/>
      <c r="AJ272" s="142"/>
      <c r="AK272" s="142"/>
      <c r="AL272" s="142"/>
      <c r="AM272" s="142"/>
      <c r="AN272" s="142"/>
      <c r="AO272" s="142"/>
    </row>
    <row r="273" ht="15.75" customHeight="1">
      <c r="A273" s="142"/>
      <c r="B273" s="142"/>
      <c r="C273" s="142"/>
      <c r="D273" s="142"/>
      <c r="E273" s="131"/>
      <c r="F273" s="142"/>
      <c r="G273" s="142"/>
      <c r="H273" s="142"/>
      <c r="I273" s="142"/>
      <c r="J273" s="142"/>
      <c r="K273" s="132"/>
      <c r="L273" s="131"/>
      <c r="M273" s="131"/>
      <c r="N273" s="142"/>
      <c r="O273" s="142"/>
      <c r="P273" s="142"/>
      <c r="Q273" s="142"/>
      <c r="R273" s="142"/>
      <c r="S273" s="142"/>
      <c r="T273" s="131"/>
      <c r="U273" s="131"/>
      <c r="V273" s="131"/>
      <c r="W273" s="131"/>
      <c r="X273" s="131"/>
      <c r="Y273" s="131"/>
      <c r="Z273" s="142"/>
      <c r="AA273" s="142"/>
      <c r="AB273" s="142"/>
      <c r="AC273" s="142"/>
      <c r="AD273" s="142"/>
      <c r="AE273" s="142"/>
      <c r="AF273" s="142"/>
      <c r="AG273" s="142"/>
      <c r="AH273" s="142"/>
      <c r="AI273" s="142"/>
      <c r="AJ273" s="142"/>
      <c r="AK273" s="142"/>
      <c r="AL273" s="142"/>
      <c r="AM273" s="142"/>
      <c r="AN273" s="142"/>
      <c r="AO273" s="142"/>
    </row>
    <row r="274" ht="15.75" customHeight="1">
      <c r="A274" s="142"/>
      <c r="B274" s="142"/>
      <c r="C274" s="142"/>
      <c r="D274" s="142"/>
      <c r="E274" s="131"/>
      <c r="F274" s="142"/>
      <c r="G274" s="142"/>
      <c r="H274" s="142"/>
      <c r="I274" s="142"/>
      <c r="J274" s="142"/>
      <c r="K274" s="132"/>
      <c r="L274" s="131"/>
      <c r="M274" s="131"/>
      <c r="N274" s="142"/>
      <c r="O274" s="142"/>
      <c r="P274" s="142"/>
      <c r="Q274" s="142"/>
      <c r="R274" s="142"/>
      <c r="S274" s="142"/>
      <c r="T274" s="131"/>
      <c r="U274" s="131"/>
      <c r="V274" s="131"/>
      <c r="W274" s="131"/>
      <c r="X274" s="131"/>
      <c r="Y274" s="131"/>
      <c r="Z274" s="142"/>
      <c r="AA274" s="142"/>
      <c r="AB274" s="142"/>
      <c r="AC274" s="142"/>
      <c r="AD274" s="142"/>
      <c r="AE274" s="142"/>
      <c r="AF274" s="142"/>
      <c r="AG274" s="142"/>
      <c r="AH274" s="142"/>
      <c r="AI274" s="142"/>
      <c r="AJ274" s="142"/>
      <c r="AK274" s="142"/>
      <c r="AL274" s="142"/>
      <c r="AM274" s="142"/>
      <c r="AN274" s="142"/>
      <c r="AO274" s="142"/>
    </row>
    <row r="275" ht="15.75" customHeight="1">
      <c r="A275" s="142"/>
      <c r="B275" s="142"/>
      <c r="C275" s="142"/>
      <c r="D275" s="142"/>
      <c r="E275" s="131"/>
      <c r="F275" s="142"/>
      <c r="G275" s="142"/>
      <c r="H275" s="142"/>
      <c r="I275" s="142"/>
      <c r="J275" s="142"/>
      <c r="K275" s="132"/>
      <c r="L275" s="131"/>
      <c r="M275" s="131"/>
      <c r="N275" s="142"/>
      <c r="O275" s="142"/>
      <c r="P275" s="142"/>
      <c r="Q275" s="142"/>
      <c r="R275" s="142"/>
      <c r="S275" s="142"/>
      <c r="T275" s="131"/>
      <c r="U275" s="131"/>
      <c r="V275" s="131"/>
      <c r="W275" s="131"/>
      <c r="X275" s="131"/>
      <c r="Y275" s="131"/>
      <c r="Z275" s="142"/>
      <c r="AA275" s="142"/>
      <c r="AB275" s="142"/>
      <c r="AC275" s="142"/>
      <c r="AD275" s="142"/>
      <c r="AE275" s="142"/>
      <c r="AF275" s="142"/>
      <c r="AG275" s="142"/>
      <c r="AH275" s="142"/>
      <c r="AI275" s="142"/>
      <c r="AJ275" s="142"/>
      <c r="AK275" s="142"/>
      <c r="AL275" s="142"/>
      <c r="AM275" s="142"/>
      <c r="AN275" s="142"/>
      <c r="AO275" s="142"/>
    </row>
    <row r="276" ht="15.75" customHeight="1">
      <c r="A276" s="142"/>
      <c r="B276" s="142"/>
      <c r="C276" s="142"/>
      <c r="D276" s="142"/>
      <c r="E276" s="131"/>
      <c r="F276" s="142"/>
      <c r="G276" s="142"/>
      <c r="H276" s="142"/>
      <c r="I276" s="142"/>
      <c r="J276" s="142"/>
      <c r="K276" s="132"/>
      <c r="L276" s="131"/>
      <c r="M276" s="131"/>
      <c r="N276" s="142"/>
      <c r="O276" s="142"/>
      <c r="P276" s="142"/>
      <c r="Q276" s="142"/>
      <c r="R276" s="142"/>
      <c r="S276" s="142"/>
      <c r="T276" s="131"/>
      <c r="U276" s="131"/>
      <c r="V276" s="131"/>
      <c r="W276" s="131"/>
      <c r="X276" s="131"/>
      <c r="Y276" s="131"/>
      <c r="Z276" s="142"/>
      <c r="AA276" s="142"/>
      <c r="AB276" s="142"/>
      <c r="AC276" s="142"/>
      <c r="AD276" s="142"/>
      <c r="AE276" s="142"/>
      <c r="AF276" s="142"/>
      <c r="AG276" s="142"/>
      <c r="AH276" s="142"/>
      <c r="AI276" s="142"/>
      <c r="AJ276" s="142"/>
      <c r="AK276" s="142"/>
      <c r="AL276" s="142"/>
      <c r="AM276" s="142"/>
      <c r="AN276" s="142"/>
      <c r="AO276" s="142"/>
    </row>
    <row r="277" ht="15.75" customHeight="1">
      <c r="A277" s="142"/>
      <c r="B277" s="142"/>
      <c r="C277" s="142"/>
      <c r="D277" s="142"/>
      <c r="E277" s="131"/>
      <c r="F277" s="142"/>
      <c r="G277" s="142"/>
      <c r="H277" s="142"/>
      <c r="I277" s="142"/>
      <c r="J277" s="142"/>
      <c r="K277" s="132"/>
      <c r="L277" s="131"/>
      <c r="M277" s="131"/>
      <c r="N277" s="142"/>
      <c r="O277" s="142"/>
      <c r="P277" s="142"/>
      <c r="Q277" s="142"/>
      <c r="R277" s="142"/>
      <c r="S277" s="142"/>
      <c r="T277" s="131"/>
      <c r="U277" s="131"/>
      <c r="V277" s="131"/>
      <c r="W277" s="131"/>
      <c r="X277" s="131"/>
      <c r="Y277" s="131"/>
      <c r="Z277" s="142"/>
      <c r="AA277" s="142"/>
      <c r="AB277" s="142"/>
      <c r="AC277" s="142"/>
      <c r="AD277" s="142"/>
      <c r="AE277" s="142"/>
      <c r="AF277" s="142"/>
      <c r="AG277" s="142"/>
      <c r="AH277" s="142"/>
      <c r="AI277" s="142"/>
      <c r="AJ277" s="142"/>
      <c r="AK277" s="142"/>
      <c r="AL277" s="142"/>
      <c r="AM277" s="142"/>
      <c r="AN277" s="142"/>
      <c r="AO277" s="142"/>
    </row>
    <row r="278" ht="15.75" customHeight="1">
      <c r="A278" s="142"/>
      <c r="B278" s="142"/>
      <c r="C278" s="142"/>
      <c r="D278" s="142"/>
      <c r="E278" s="131"/>
      <c r="F278" s="142"/>
      <c r="G278" s="142"/>
      <c r="H278" s="142"/>
      <c r="I278" s="142"/>
      <c r="J278" s="142"/>
      <c r="K278" s="132"/>
      <c r="L278" s="131"/>
      <c r="M278" s="131"/>
      <c r="N278" s="142"/>
      <c r="O278" s="142"/>
      <c r="P278" s="142"/>
      <c r="Q278" s="142"/>
      <c r="R278" s="142"/>
      <c r="S278" s="142"/>
      <c r="T278" s="131"/>
      <c r="U278" s="131"/>
      <c r="V278" s="131"/>
      <c r="W278" s="131"/>
      <c r="X278" s="131"/>
      <c r="Y278" s="131"/>
      <c r="Z278" s="142"/>
      <c r="AA278" s="142"/>
      <c r="AB278" s="142"/>
      <c r="AC278" s="142"/>
      <c r="AD278" s="142"/>
      <c r="AE278" s="142"/>
      <c r="AF278" s="142"/>
      <c r="AG278" s="142"/>
      <c r="AH278" s="142"/>
      <c r="AI278" s="142"/>
      <c r="AJ278" s="142"/>
      <c r="AK278" s="142"/>
      <c r="AL278" s="142"/>
      <c r="AM278" s="142"/>
      <c r="AN278" s="142"/>
      <c r="AO278" s="142"/>
    </row>
    <row r="279" ht="15.75" customHeight="1">
      <c r="A279" s="142"/>
      <c r="B279" s="142"/>
      <c r="C279" s="142"/>
      <c r="D279" s="142"/>
      <c r="E279" s="131"/>
      <c r="F279" s="142"/>
      <c r="G279" s="142"/>
      <c r="H279" s="142"/>
      <c r="I279" s="142"/>
      <c r="J279" s="142"/>
      <c r="K279" s="132"/>
      <c r="L279" s="131"/>
      <c r="M279" s="131"/>
      <c r="N279" s="142"/>
      <c r="O279" s="142"/>
      <c r="P279" s="142"/>
      <c r="Q279" s="142"/>
      <c r="R279" s="142"/>
      <c r="S279" s="142"/>
      <c r="T279" s="131"/>
      <c r="U279" s="131"/>
      <c r="V279" s="131"/>
      <c r="W279" s="131"/>
      <c r="X279" s="131"/>
      <c r="Y279" s="131"/>
      <c r="Z279" s="142"/>
      <c r="AA279" s="142"/>
      <c r="AB279" s="142"/>
      <c r="AC279" s="142"/>
      <c r="AD279" s="142"/>
      <c r="AE279" s="142"/>
      <c r="AF279" s="142"/>
      <c r="AG279" s="142"/>
      <c r="AH279" s="142"/>
      <c r="AI279" s="142"/>
      <c r="AJ279" s="142"/>
      <c r="AK279" s="142"/>
      <c r="AL279" s="142"/>
      <c r="AM279" s="142"/>
      <c r="AN279" s="142"/>
      <c r="AO279" s="142"/>
    </row>
    <row r="280" ht="15.75" customHeight="1">
      <c r="A280" s="142"/>
      <c r="B280" s="142"/>
      <c r="C280" s="142"/>
      <c r="D280" s="142"/>
      <c r="E280" s="131"/>
      <c r="F280" s="142"/>
      <c r="G280" s="142"/>
      <c r="H280" s="142"/>
      <c r="I280" s="142"/>
      <c r="J280" s="142"/>
      <c r="K280" s="132"/>
      <c r="L280" s="131"/>
      <c r="M280" s="131"/>
      <c r="N280" s="142"/>
      <c r="O280" s="142"/>
      <c r="P280" s="142"/>
      <c r="Q280" s="142"/>
      <c r="R280" s="142"/>
      <c r="S280" s="142"/>
      <c r="T280" s="131"/>
      <c r="U280" s="131"/>
      <c r="V280" s="131"/>
      <c r="W280" s="131"/>
      <c r="X280" s="131"/>
      <c r="Y280" s="131"/>
      <c r="Z280" s="142"/>
      <c r="AA280" s="142"/>
      <c r="AB280" s="142"/>
      <c r="AC280" s="142"/>
      <c r="AD280" s="142"/>
      <c r="AE280" s="142"/>
      <c r="AF280" s="142"/>
      <c r="AG280" s="142"/>
      <c r="AH280" s="142"/>
      <c r="AI280" s="142"/>
      <c r="AJ280" s="142"/>
      <c r="AK280" s="142"/>
      <c r="AL280" s="142"/>
      <c r="AM280" s="142"/>
      <c r="AN280" s="142"/>
      <c r="AO280" s="142"/>
    </row>
    <row r="281" ht="15.75" customHeight="1">
      <c r="A281" s="142"/>
      <c r="B281" s="142"/>
      <c r="C281" s="142"/>
      <c r="D281" s="142"/>
      <c r="E281" s="131"/>
      <c r="F281" s="142"/>
      <c r="G281" s="142"/>
      <c r="H281" s="142"/>
      <c r="I281" s="142"/>
      <c r="J281" s="142"/>
      <c r="K281" s="132"/>
      <c r="L281" s="131"/>
      <c r="M281" s="131"/>
      <c r="N281" s="142"/>
      <c r="O281" s="142"/>
      <c r="P281" s="142"/>
      <c r="Q281" s="142"/>
      <c r="R281" s="142"/>
      <c r="S281" s="142"/>
      <c r="T281" s="131"/>
      <c r="U281" s="131"/>
      <c r="V281" s="131"/>
      <c r="W281" s="131"/>
      <c r="X281" s="131"/>
      <c r="Y281" s="131"/>
      <c r="Z281" s="142"/>
      <c r="AA281" s="142"/>
      <c r="AB281" s="142"/>
      <c r="AC281" s="142"/>
      <c r="AD281" s="142"/>
      <c r="AE281" s="142"/>
      <c r="AF281" s="142"/>
      <c r="AG281" s="142"/>
      <c r="AH281" s="142"/>
      <c r="AI281" s="142"/>
      <c r="AJ281" s="142"/>
      <c r="AK281" s="142"/>
      <c r="AL281" s="142"/>
      <c r="AM281" s="142"/>
      <c r="AN281" s="142"/>
      <c r="AO281" s="142"/>
    </row>
    <row r="282" ht="15.75" customHeight="1">
      <c r="A282" s="142"/>
      <c r="B282" s="142"/>
      <c r="C282" s="142"/>
      <c r="D282" s="142"/>
      <c r="E282" s="131"/>
      <c r="F282" s="142"/>
      <c r="G282" s="142"/>
      <c r="H282" s="142"/>
      <c r="I282" s="142"/>
      <c r="J282" s="142"/>
      <c r="K282" s="132"/>
      <c r="L282" s="131"/>
      <c r="M282" s="131"/>
      <c r="N282" s="142"/>
      <c r="O282" s="142"/>
      <c r="P282" s="142"/>
      <c r="Q282" s="142"/>
      <c r="R282" s="142"/>
      <c r="S282" s="142"/>
      <c r="T282" s="131"/>
      <c r="U282" s="131"/>
      <c r="V282" s="131"/>
      <c r="W282" s="131"/>
      <c r="X282" s="131"/>
      <c r="Y282" s="131"/>
      <c r="Z282" s="142"/>
      <c r="AA282" s="142"/>
      <c r="AB282" s="142"/>
      <c r="AC282" s="142"/>
      <c r="AD282" s="142"/>
      <c r="AE282" s="142"/>
      <c r="AF282" s="142"/>
      <c r="AG282" s="142"/>
      <c r="AH282" s="142"/>
      <c r="AI282" s="142"/>
      <c r="AJ282" s="142"/>
      <c r="AK282" s="142"/>
      <c r="AL282" s="142"/>
      <c r="AM282" s="142"/>
      <c r="AN282" s="142"/>
      <c r="AO282" s="142"/>
    </row>
    <row r="283" ht="15.75" customHeight="1">
      <c r="A283" s="142"/>
      <c r="B283" s="142"/>
      <c r="C283" s="142"/>
      <c r="D283" s="142"/>
      <c r="E283" s="131"/>
      <c r="F283" s="142"/>
      <c r="G283" s="142"/>
      <c r="H283" s="142"/>
      <c r="I283" s="142"/>
      <c r="J283" s="142"/>
      <c r="K283" s="132"/>
      <c r="L283" s="131"/>
      <c r="M283" s="131"/>
      <c r="N283" s="142"/>
      <c r="O283" s="142"/>
      <c r="P283" s="142"/>
      <c r="Q283" s="142"/>
      <c r="R283" s="142"/>
      <c r="S283" s="142"/>
      <c r="T283" s="131"/>
      <c r="U283" s="131"/>
      <c r="V283" s="131"/>
      <c r="W283" s="131"/>
      <c r="X283" s="131"/>
      <c r="Y283" s="131"/>
      <c r="Z283" s="142"/>
      <c r="AA283" s="142"/>
      <c r="AB283" s="142"/>
      <c r="AC283" s="142"/>
      <c r="AD283" s="142"/>
      <c r="AE283" s="142"/>
      <c r="AF283" s="142"/>
      <c r="AG283" s="142"/>
      <c r="AH283" s="142"/>
      <c r="AI283" s="142"/>
      <c r="AJ283" s="142"/>
      <c r="AK283" s="142"/>
      <c r="AL283" s="142"/>
      <c r="AM283" s="142"/>
      <c r="AN283" s="142"/>
      <c r="AO283" s="142"/>
    </row>
    <row r="284" ht="15.75" customHeight="1">
      <c r="A284" s="142"/>
      <c r="B284" s="142"/>
      <c r="C284" s="142"/>
      <c r="D284" s="142"/>
      <c r="E284" s="131"/>
      <c r="F284" s="142"/>
      <c r="G284" s="142"/>
      <c r="H284" s="142"/>
      <c r="I284" s="142"/>
      <c r="J284" s="142"/>
      <c r="K284" s="132"/>
      <c r="L284" s="131"/>
      <c r="M284" s="131"/>
      <c r="N284" s="142"/>
      <c r="O284" s="142"/>
      <c r="P284" s="142"/>
      <c r="Q284" s="142"/>
      <c r="R284" s="142"/>
      <c r="S284" s="142"/>
      <c r="T284" s="131"/>
      <c r="U284" s="131"/>
      <c r="V284" s="131"/>
      <c r="W284" s="131"/>
      <c r="X284" s="131"/>
      <c r="Y284" s="131"/>
      <c r="Z284" s="142"/>
      <c r="AA284" s="142"/>
      <c r="AB284" s="142"/>
      <c r="AC284" s="142"/>
      <c r="AD284" s="142"/>
      <c r="AE284" s="142"/>
      <c r="AF284" s="142"/>
      <c r="AG284" s="142"/>
      <c r="AH284" s="142"/>
      <c r="AI284" s="142"/>
      <c r="AJ284" s="142"/>
      <c r="AK284" s="142"/>
      <c r="AL284" s="142"/>
      <c r="AM284" s="142"/>
      <c r="AN284" s="142"/>
      <c r="AO284" s="142"/>
    </row>
    <row r="285" ht="15.75" customHeight="1">
      <c r="A285" s="142"/>
      <c r="B285" s="142"/>
      <c r="C285" s="142"/>
      <c r="D285" s="142"/>
      <c r="E285" s="131"/>
      <c r="F285" s="142"/>
      <c r="G285" s="142"/>
      <c r="H285" s="142"/>
      <c r="I285" s="142"/>
      <c r="J285" s="142"/>
      <c r="K285" s="132"/>
      <c r="L285" s="131"/>
      <c r="M285" s="131"/>
      <c r="N285" s="142"/>
      <c r="O285" s="142"/>
      <c r="P285" s="142"/>
      <c r="Q285" s="142"/>
      <c r="R285" s="142"/>
      <c r="S285" s="142"/>
      <c r="T285" s="131"/>
      <c r="U285" s="131"/>
      <c r="V285" s="131"/>
      <c r="W285" s="131"/>
      <c r="X285" s="131"/>
      <c r="Y285" s="131"/>
      <c r="Z285" s="142"/>
      <c r="AA285" s="142"/>
      <c r="AB285" s="142"/>
      <c r="AC285" s="142"/>
      <c r="AD285" s="142"/>
      <c r="AE285" s="142"/>
      <c r="AF285" s="142"/>
      <c r="AG285" s="142"/>
      <c r="AH285" s="142"/>
      <c r="AI285" s="142"/>
      <c r="AJ285" s="142"/>
      <c r="AK285" s="142"/>
      <c r="AL285" s="142"/>
      <c r="AM285" s="142"/>
      <c r="AN285" s="142"/>
      <c r="AO285" s="142"/>
    </row>
    <row r="286" ht="15.75" customHeight="1">
      <c r="A286" s="142"/>
      <c r="B286" s="142"/>
      <c r="C286" s="142"/>
      <c r="D286" s="142"/>
      <c r="E286" s="131"/>
      <c r="F286" s="142"/>
      <c r="G286" s="142"/>
      <c r="H286" s="142"/>
      <c r="I286" s="142"/>
      <c r="J286" s="142"/>
      <c r="K286" s="132"/>
      <c r="L286" s="131"/>
      <c r="M286" s="131"/>
      <c r="N286" s="142"/>
      <c r="O286" s="142"/>
      <c r="P286" s="142"/>
      <c r="Q286" s="142"/>
      <c r="R286" s="142"/>
      <c r="S286" s="142"/>
      <c r="T286" s="131"/>
      <c r="U286" s="131"/>
      <c r="V286" s="131"/>
      <c r="W286" s="131"/>
      <c r="X286" s="131"/>
      <c r="Y286" s="131"/>
      <c r="Z286" s="142"/>
      <c r="AA286" s="142"/>
      <c r="AB286" s="142"/>
      <c r="AC286" s="142"/>
      <c r="AD286" s="142"/>
      <c r="AE286" s="142"/>
      <c r="AF286" s="142"/>
      <c r="AG286" s="142"/>
      <c r="AH286" s="142"/>
      <c r="AI286" s="142"/>
      <c r="AJ286" s="142"/>
      <c r="AK286" s="142"/>
      <c r="AL286" s="142"/>
      <c r="AM286" s="142"/>
      <c r="AN286" s="142"/>
      <c r="AO286" s="142"/>
    </row>
    <row r="287" ht="15.75" customHeight="1">
      <c r="A287" s="142"/>
      <c r="B287" s="142"/>
      <c r="C287" s="142"/>
      <c r="D287" s="142"/>
      <c r="E287" s="131"/>
      <c r="F287" s="142"/>
      <c r="G287" s="142"/>
      <c r="H287" s="142"/>
      <c r="I287" s="142"/>
      <c r="J287" s="142"/>
      <c r="K287" s="132"/>
      <c r="L287" s="131"/>
      <c r="M287" s="131"/>
      <c r="N287" s="142"/>
      <c r="O287" s="142"/>
      <c r="P287" s="142"/>
      <c r="Q287" s="142"/>
      <c r="R287" s="142"/>
      <c r="S287" s="142"/>
      <c r="T287" s="131"/>
      <c r="U287" s="131"/>
      <c r="V287" s="131"/>
      <c r="W287" s="131"/>
      <c r="X287" s="131"/>
      <c r="Y287" s="131"/>
      <c r="Z287" s="142"/>
      <c r="AA287" s="142"/>
      <c r="AB287" s="142"/>
      <c r="AC287" s="142"/>
      <c r="AD287" s="142"/>
      <c r="AE287" s="142"/>
      <c r="AF287" s="142"/>
      <c r="AG287" s="142"/>
      <c r="AH287" s="142"/>
      <c r="AI287" s="142"/>
      <c r="AJ287" s="142"/>
      <c r="AK287" s="142"/>
      <c r="AL287" s="142"/>
      <c r="AM287" s="142"/>
      <c r="AN287" s="142"/>
      <c r="AO287" s="142"/>
    </row>
    <row r="288" ht="15.75" customHeight="1">
      <c r="A288" s="142"/>
      <c r="B288" s="142"/>
      <c r="C288" s="142"/>
      <c r="D288" s="142"/>
      <c r="E288" s="131"/>
      <c r="F288" s="142"/>
      <c r="G288" s="142"/>
      <c r="H288" s="142"/>
      <c r="I288" s="142"/>
      <c r="J288" s="142"/>
      <c r="K288" s="132"/>
      <c r="L288" s="131"/>
      <c r="M288" s="131"/>
      <c r="N288" s="142"/>
      <c r="O288" s="142"/>
      <c r="P288" s="142"/>
      <c r="Q288" s="142"/>
      <c r="R288" s="142"/>
      <c r="S288" s="142"/>
      <c r="T288" s="131"/>
      <c r="U288" s="131"/>
      <c r="V288" s="131"/>
      <c r="W288" s="131"/>
      <c r="X288" s="131"/>
      <c r="Y288" s="131"/>
      <c r="Z288" s="142"/>
      <c r="AA288" s="142"/>
      <c r="AB288" s="142"/>
      <c r="AC288" s="142"/>
      <c r="AD288" s="142"/>
      <c r="AE288" s="142"/>
      <c r="AF288" s="142"/>
      <c r="AG288" s="142"/>
      <c r="AH288" s="142"/>
      <c r="AI288" s="142"/>
      <c r="AJ288" s="142"/>
      <c r="AK288" s="142"/>
      <c r="AL288" s="142"/>
      <c r="AM288" s="142"/>
      <c r="AN288" s="142"/>
      <c r="AO288" s="142"/>
    </row>
    <row r="289" ht="15.75" customHeight="1">
      <c r="A289" s="142"/>
      <c r="B289" s="142"/>
      <c r="C289" s="142"/>
      <c r="D289" s="142"/>
      <c r="E289" s="131"/>
      <c r="F289" s="142"/>
      <c r="G289" s="142"/>
      <c r="H289" s="142"/>
      <c r="I289" s="142"/>
      <c r="J289" s="142"/>
      <c r="K289" s="132"/>
      <c r="L289" s="131"/>
      <c r="M289" s="131"/>
      <c r="N289" s="142"/>
      <c r="O289" s="142"/>
      <c r="P289" s="142"/>
      <c r="Q289" s="142"/>
      <c r="R289" s="142"/>
      <c r="S289" s="142"/>
      <c r="T289" s="131"/>
      <c r="U289" s="131"/>
      <c r="V289" s="131"/>
      <c r="W289" s="131"/>
      <c r="X289" s="131"/>
      <c r="Y289" s="131"/>
      <c r="Z289" s="142"/>
      <c r="AA289" s="142"/>
      <c r="AB289" s="142"/>
      <c r="AC289" s="142"/>
      <c r="AD289" s="142"/>
      <c r="AE289" s="142"/>
      <c r="AF289" s="142"/>
      <c r="AG289" s="142"/>
      <c r="AH289" s="142"/>
      <c r="AI289" s="142"/>
      <c r="AJ289" s="142"/>
      <c r="AK289" s="142"/>
      <c r="AL289" s="142"/>
      <c r="AM289" s="142"/>
      <c r="AN289" s="142"/>
      <c r="AO289" s="142"/>
    </row>
    <row r="290" ht="15.75" customHeight="1">
      <c r="A290" s="142"/>
      <c r="B290" s="142"/>
      <c r="C290" s="142"/>
      <c r="D290" s="142"/>
      <c r="E290" s="131"/>
      <c r="F290" s="142"/>
      <c r="G290" s="142"/>
      <c r="H290" s="142"/>
      <c r="I290" s="142"/>
      <c r="J290" s="142"/>
      <c r="K290" s="132"/>
      <c r="L290" s="131"/>
      <c r="M290" s="131"/>
      <c r="N290" s="142"/>
      <c r="O290" s="142"/>
      <c r="P290" s="142"/>
      <c r="Q290" s="142"/>
      <c r="R290" s="142"/>
      <c r="S290" s="142"/>
      <c r="T290" s="131"/>
      <c r="U290" s="131"/>
      <c r="V290" s="131"/>
      <c r="W290" s="131"/>
      <c r="X290" s="131"/>
      <c r="Y290" s="131"/>
      <c r="Z290" s="142"/>
      <c r="AA290" s="142"/>
      <c r="AB290" s="142"/>
      <c r="AC290" s="142"/>
      <c r="AD290" s="142"/>
      <c r="AE290" s="142"/>
      <c r="AF290" s="142"/>
      <c r="AG290" s="142"/>
      <c r="AH290" s="142"/>
      <c r="AI290" s="142"/>
      <c r="AJ290" s="142"/>
      <c r="AK290" s="142"/>
      <c r="AL290" s="142"/>
      <c r="AM290" s="142"/>
      <c r="AN290" s="142"/>
      <c r="AO290" s="142"/>
    </row>
    <row r="291" ht="15.75" customHeight="1">
      <c r="A291" s="142"/>
      <c r="B291" s="142"/>
      <c r="C291" s="142"/>
      <c r="D291" s="142"/>
      <c r="E291" s="131"/>
      <c r="F291" s="142"/>
      <c r="G291" s="142"/>
      <c r="H291" s="142"/>
      <c r="I291" s="142"/>
      <c r="J291" s="142"/>
      <c r="K291" s="132"/>
      <c r="L291" s="131"/>
      <c r="M291" s="131"/>
      <c r="N291" s="142"/>
      <c r="O291" s="142"/>
      <c r="P291" s="142"/>
      <c r="Q291" s="142"/>
      <c r="R291" s="142"/>
      <c r="S291" s="142"/>
      <c r="T291" s="131"/>
      <c r="U291" s="131"/>
      <c r="V291" s="131"/>
      <c r="W291" s="131"/>
      <c r="X291" s="131"/>
      <c r="Y291" s="131"/>
      <c r="Z291" s="142"/>
      <c r="AA291" s="142"/>
      <c r="AB291" s="142"/>
      <c r="AC291" s="142"/>
      <c r="AD291" s="142"/>
      <c r="AE291" s="142"/>
      <c r="AF291" s="142"/>
      <c r="AG291" s="142"/>
      <c r="AH291" s="142"/>
      <c r="AI291" s="142"/>
      <c r="AJ291" s="142"/>
      <c r="AK291" s="142"/>
      <c r="AL291" s="142"/>
      <c r="AM291" s="142"/>
      <c r="AN291" s="142"/>
      <c r="AO291" s="142"/>
    </row>
    <row r="292" ht="15.75" customHeight="1">
      <c r="A292" s="142"/>
      <c r="B292" s="142"/>
      <c r="C292" s="142"/>
      <c r="D292" s="142"/>
      <c r="E292" s="131"/>
      <c r="F292" s="142"/>
      <c r="G292" s="142"/>
      <c r="H292" s="142"/>
      <c r="I292" s="142"/>
      <c r="J292" s="142"/>
      <c r="K292" s="132"/>
      <c r="L292" s="131"/>
      <c r="M292" s="131"/>
      <c r="N292" s="142"/>
      <c r="O292" s="142"/>
      <c r="P292" s="142"/>
      <c r="Q292" s="142"/>
      <c r="R292" s="142"/>
      <c r="S292" s="142"/>
      <c r="T292" s="131"/>
      <c r="U292" s="131"/>
      <c r="V292" s="131"/>
      <c r="W292" s="131"/>
      <c r="X292" s="131"/>
      <c r="Y292" s="131"/>
      <c r="Z292" s="142"/>
      <c r="AA292" s="142"/>
      <c r="AB292" s="142"/>
      <c r="AC292" s="142"/>
      <c r="AD292" s="142"/>
      <c r="AE292" s="142"/>
      <c r="AF292" s="142"/>
      <c r="AG292" s="142"/>
      <c r="AH292" s="142"/>
      <c r="AI292" s="142"/>
      <c r="AJ292" s="142"/>
      <c r="AK292" s="142"/>
      <c r="AL292" s="142"/>
      <c r="AM292" s="142"/>
      <c r="AN292" s="142"/>
      <c r="AO292" s="142"/>
    </row>
    <row r="293" ht="15.75" customHeight="1">
      <c r="A293" s="142"/>
      <c r="B293" s="142"/>
      <c r="C293" s="142"/>
      <c r="D293" s="142"/>
      <c r="E293" s="131"/>
      <c r="F293" s="142"/>
      <c r="G293" s="142"/>
      <c r="H293" s="142"/>
      <c r="I293" s="142"/>
      <c r="J293" s="142"/>
      <c r="K293" s="132"/>
      <c r="L293" s="131"/>
      <c r="M293" s="131"/>
      <c r="N293" s="142"/>
      <c r="O293" s="142"/>
      <c r="P293" s="142"/>
      <c r="Q293" s="142"/>
      <c r="R293" s="142"/>
      <c r="S293" s="142"/>
      <c r="T293" s="131"/>
      <c r="U293" s="131"/>
      <c r="V293" s="131"/>
      <c r="W293" s="131"/>
      <c r="X293" s="131"/>
      <c r="Y293" s="131"/>
      <c r="Z293" s="142"/>
      <c r="AA293" s="142"/>
      <c r="AB293" s="142"/>
      <c r="AC293" s="142"/>
      <c r="AD293" s="142"/>
      <c r="AE293" s="142"/>
      <c r="AF293" s="142"/>
      <c r="AG293" s="142"/>
      <c r="AH293" s="142"/>
      <c r="AI293" s="142"/>
      <c r="AJ293" s="142"/>
      <c r="AK293" s="142"/>
      <c r="AL293" s="142"/>
      <c r="AM293" s="142"/>
      <c r="AN293" s="142"/>
      <c r="AO293" s="142"/>
    </row>
    <row r="294" ht="15.75" customHeight="1">
      <c r="A294" s="142"/>
      <c r="B294" s="142"/>
      <c r="C294" s="142"/>
      <c r="D294" s="142"/>
      <c r="E294" s="131"/>
      <c r="F294" s="142"/>
      <c r="G294" s="142"/>
      <c r="H294" s="142"/>
      <c r="I294" s="142"/>
      <c r="J294" s="142"/>
      <c r="K294" s="132"/>
      <c r="L294" s="131"/>
      <c r="M294" s="131"/>
      <c r="N294" s="142"/>
      <c r="O294" s="142"/>
      <c r="P294" s="142"/>
      <c r="Q294" s="142"/>
      <c r="R294" s="142"/>
      <c r="S294" s="142"/>
      <c r="T294" s="131"/>
      <c r="U294" s="131"/>
      <c r="V294" s="131"/>
      <c r="W294" s="131"/>
      <c r="X294" s="131"/>
      <c r="Y294" s="131"/>
      <c r="Z294" s="142"/>
      <c r="AA294" s="142"/>
      <c r="AB294" s="142"/>
      <c r="AC294" s="142"/>
      <c r="AD294" s="142"/>
      <c r="AE294" s="142"/>
      <c r="AF294" s="142"/>
      <c r="AG294" s="142"/>
      <c r="AH294" s="142"/>
      <c r="AI294" s="142"/>
      <c r="AJ294" s="142"/>
      <c r="AK294" s="142"/>
      <c r="AL294" s="142"/>
      <c r="AM294" s="142"/>
      <c r="AN294" s="142"/>
      <c r="AO294" s="142"/>
    </row>
    <row r="295" ht="15.75" customHeight="1">
      <c r="A295" s="142"/>
      <c r="B295" s="142"/>
      <c r="C295" s="142"/>
      <c r="D295" s="142"/>
      <c r="E295" s="131"/>
      <c r="F295" s="142"/>
      <c r="G295" s="142"/>
      <c r="H295" s="142"/>
      <c r="I295" s="142"/>
      <c r="J295" s="142"/>
      <c r="K295" s="132"/>
      <c r="L295" s="131"/>
      <c r="M295" s="131"/>
      <c r="N295" s="142"/>
      <c r="O295" s="142"/>
      <c r="P295" s="142"/>
      <c r="Q295" s="142"/>
      <c r="R295" s="142"/>
      <c r="S295" s="142"/>
      <c r="T295" s="131"/>
      <c r="U295" s="131"/>
      <c r="V295" s="131"/>
      <c r="W295" s="131"/>
      <c r="X295" s="131"/>
      <c r="Y295" s="131"/>
      <c r="Z295" s="142"/>
      <c r="AA295" s="142"/>
      <c r="AB295" s="142"/>
      <c r="AC295" s="142"/>
      <c r="AD295" s="142"/>
      <c r="AE295" s="142"/>
      <c r="AF295" s="142"/>
      <c r="AG295" s="142"/>
      <c r="AH295" s="142"/>
      <c r="AI295" s="142"/>
      <c r="AJ295" s="142"/>
      <c r="AK295" s="142"/>
      <c r="AL295" s="142"/>
      <c r="AM295" s="142"/>
      <c r="AN295" s="142"/>
      <c r="AO295" s="142"/>
    </row>
    <row r="296" ht="15.75" customHeight="1">
      <c r="A296" s="142"/>
      <c r="B296" s="142"/>
      <c r="C296" s="142"/>
      <c r="D296" s="142"/>
      <c r="E296" s="131"/>
      <c r="F296" s="142"/>
      <c r="G296" s="142"/>
      <c r="H296" s="142"/>
      <c r="I296" s="142"/>
      <c r="J296" s="142"/>
      <c r="K296" s="132"/>
      <c r="L296" s="131"/>
      <c r="M296" s="131"/>
      <c r="N296" s="142"/>
      <c r="O296" s="142"/>
      <c r="P296" s="142"/>
      <c r="Q296" s="142"/>
      <c r="R296" s="142"/>
      <c r="S296" s="142"/>
      <c r="T296" s="131"/>
      <c r="U296" s="131"/>
      <c r="V296" s="131"/>
      <c r="W296" s="131"/>
      <c r="X296" s="131"/>
      <c r="Y296" s="131"/>
      <c r="Z296" s="142"/>
      <c r="AA296" s="142"/>
      <c r="AB296" s="142"/>
      <c r="AC296" s="142"/>
      <c r="AD296" s="142"/>
      <c r="AE296" s="142"/>
      <c r="AF296" s="142"/>
      <c r="AG296" s="142"/>
      <c r="AH296" s="142"/>
      <c r="AI296" s="142"/>
      <c r="AJ296" s="142"/>
      <c r="AK296" s="142"/>
      <c r="AL296" s="142"/>
      <c r="AM296" s="142"/>
      <c r="AN296" s="142"/>
      <c r="AO296" s="142"/>
    </row>
    <row r="297" ht="15.75" customHeight="1">
      <c r="A297" s="142"/>
      <c r="B297" s="142"/>
      <c r="C297" s="142"/>
      <c r="D297" s="142"/>
      <c r="E297" s="131"/>
      <c r="F297" s="142"/>
      <c r="G297" s="142"/>
      <c r="H297" s="142"/>
      <c r="I297" s="142"/>
      <c r="J297" s="142"/>
      <c r="K297" s="132"/>
      <c r="L297" s="131"/>
      <c r="M297" s="131"/>
      <c r="N297" s="142"/>
      <c r="O297" s="142"/>
      <c r="P297" s="142"/>
      <c r="Q297" s="142"/>
      <c r="R297" s="142"/>
      <c r="S297" s="142"/>
      <c r="T297" s="131"/>
      <c r="U297" s="131"/>
      <c r="V297" s="131"/>
      <c r="W297" s="131"/>
      <c r="X297" s="131"/>
      <c r="Y297" s="131"/>
      <c r="Z297" s="142"/>
      <c r="AA297" s="142"/>
      <c r="AB297" s="142"/>
      <c r="AC297" s="142"/>
      <c r="AD297" s="142"/>
      <c r="AE297" s="142"/>
      <c r="AF297" s="142"/>
      <c r="AG297" s="142"/>
      <c r="AH297" s="142"/>
      <c r="AI297" s="142"/>
      <c r="AJ297" s="142"/>
      <c r="AK297" s="142"/>
      <c r="AL297" s="142"/>
      <c r="AM297" s="142"/>
      <c r="AN297" s="142"/>
      <c r="AO297" s="142"/>
    </row>
    <row r="298" ht="15.75" customHeight="1">
      <c r="A298" s="142"/>
      <c r="B298" s="142"/>
      <c r="C298" s="142"/>
      <c r="D298" s="142"/>
      <c r="E298" s="131"/>
      <c r="F298" s="142"/>
      <c r="G298" s="142"/>
      <c r="H298" s="142"/>
      <c r="I298" s="142"/>
      <c r="J298" s="142"/>
      <c r="K298" s="132"/>
      <c r="L298" s="131"/>
      <c r="M298" s="131"/>
      <c r="N298" s="142"/>
      <c r="O298" s="142"/>
      <c r="P298" s="142"/>
      <c r="Q298" s="142"/>
      <c r="R298" s="142"/>
      <c r="S298" s="142"/>
      <c r="T298" s="131"/>
      <c r="U298" s="131"/>
      <c r="V298" s="131"/>
      <c r="W298" s="131"/>
      <c r="X298" s="131"/>
      <c r="Y298" s="131"/>
      <c r="Z298" s="142"/>
      <c r="AA298" s="142"/>
      <c r="AB298" s="142"/>
      <c r="AC298" s="142"/>
      <c r="AD298" s="142"/>
      <c r="AE298" s="142"/>
      <c r="AF298" s="142"/>
      <c r="AG298" s="142"/>
      <c r="AH298" s="142"/>
      <c r="AI298" s="142"/>
      <c r="AJ298" s="142"/>
      <c r="AK298" s="142"/>
      <c r="AL298" s="142"/>
      <c r="AM298" s="142"/>
      <c r="AN298" s="142"/>
      <c r="AO298" s="142"/>
    </row>
    <row r="299" ht="15.75" customHeight="1">
      <c r="A299" s="142"/>
      <c r="B299" s="142"/>
      <c r="C299" s="142"/>
      <c r="D299" s="142"/>
      <c r="E299" s="131"/>
      <c r="F299" s="142"/>
      <c r="G299" s="142"/>
      <c r="H299" s="142"/>
      <c r="I299" s="142"/>
      <c r="J299" s="142"/>
      <c r="K299" s="132"/>
      <c r="L299" s="131"/>
      <c r="M299" s="131"/>
      <c r="N299" s="142"/>
      <c r="O299" s="142"/>
      <c r="P299" s="142"/>
      <c r="Q299" s="142"/>
      <c r="R299" s="142"/>
      <c r="S299" s="142"/>
      <c r="T299" s="131"/>
      <c r="U299" s="131"/>
      <c r="V299" s="131"/>
      <c r="W299" s="131"/>
      <c r="X299" s="131"/>
      <c r="Y299" s="131"/>
      <c r="Z299" s="142"/>
      <c r="AA299" s="142"/>
      <c r="AB299" s="142"/>
      <c r="AC299" s="142"/>
      <c r="AD299" s="142"/>
      <c r="AE299" s="142"/>
      <c r="AF299" s="142"/>
      <c r="AG299" s="142"/>
      <c r="AH299" s="142"/>
      <c r="AI299" s="142"/>
      <c r="AJ299" s="142"/>
      <c r="AK299" s="142"/>
      <c r="AL299" s="142"/>
      <c r="AM299" s="142"/>
      <c r="AN299" s="142"/>
      <c r="AO299" s="142"/>
    </row>
    <row r="300" ht="15.75" customHeight="1">
      <c r="A300" s="142"/>
      <c r="B300" s="142"/>
      <c r="C300" s="142"/>
      <c r="D300" s="142"/>
      <c r="E300" s="131"/>
      <c r="F300" s="142"/>
      <c r="G300" s="142"/>
      <c r="H300" s="142"/>
      <c r="I300" s="142"/>
      <c r="J300" s="142"/>
      <c r="K300" s="132"/>
      <c r="L300" s="131"/>
      <c r="M300" s="131"/>
      <c r="N300" s="142"/>
      <c r="O300" s="142"/>
      <c r="P300" s="142"/>
      <c r="Q300" s="142"/>
      <c r="R300" s="142"/>
      <c r="S300" s="142"/>
      <c r="T300" s="131"/>
      <c r="U300" s="131"/>
      <c r="V300" s="131"/>
      <c r="W300" s="131"/>
      <c r="X300" s="131"/>
      <c r="Y300" s="131"/>
      <c r="Z300" s="142"/>
      <c r="AA300" s="142"/>
      <c r="AB300" s="142"/>
      <c r="AC300" s="142"/>
      <c r="AD300" s="142"/>
      <c r="AE300" s="142"/>
      <c r="AF300" s="142"/>
      <c r="AG300" s="142"/>
      <c r="AH300" s="142"/>
      <c r="AI300" s="142"/>
      <c r="AJ300" s="142"/>
      <c r="AK300" s="142"/>
      <c r="AL300" s="142"/>
      <c r="AM300" s="142"/>
      <c r="AN300" s="142"/>
      <c r="AO300" s="142"/>
    </row>
    <row r="301" ht="15.75" customHeight="1">
      <c r="A301" s="142"/>
      <c r="B301" s="142"/>
      <c r="C301" s="142"/>
      <c r="D301" s="142"/>
      <c r="E301" s="131"/>
      <c r="F301" s="142"/>
      <c r="G301" s="142"/>
      <c r="H301" s="142"/>
      <c r="I301" s="142"/>
      <c r="J301" s="142"/>
      <c r="K301" s="132"/>
      <c r="L301" s="131"/>
      <c r="M301" s="131"/>
      <c r="N301" s="142"/>
      <c r="O301" s="142"/>
      <c r="P301" s="142"/>
      <c r="Q301" s="142"/>
      <c r="R301" s="142"/>
      <c r="S301" s="142"/>
      <c r="T301" s="131"/>
      <c r="U301" s="131"/>
      <c r="V301" s="131"/>
      <c r="W301" s="131"/>
      <c r="X301" s="131"/>
      <c r="Y301" s="131"/>
      <c r="Z301" s="142"/>
      <c r="AA301" s="142"/>
      <c r="AB301" s="142"/>
      <c r="AC301" s="142"/>
      <c r="AD301" s="142"/>
      <c r="AE301" s="142"/>
      <c r="AF301" s="142"/>
      <c r="AG301" s="142"/>
      <c r="AH301" s="142"/>
      <c r="AI301" s="142"/>
      <c r="AJ301" s="142"/>
      <c r="AK301" s="142"/>
      <c r="AL301" s="142"/>
      <c r="AM301" s="142"/>
      <c r="AN301" s="142"/>
      <c r="AO301" s="142"/>
    </row>
    <row r="302" ht="15.75" customHeight="1">
      <c r="A302" s="142"/>
      <c r="B302" s="142"/>
      <c r="C302" s="142"/>
      <c r="D302" s="142"/>
      <c r="E302" s="131"/>
      <c r="F302" s="142"/>
      <c r="G302" s="142"/>
      <c r="H302" s="142"/>
      <c r="I302" s="142"/>
      <c r="J302" s="142"/>
      <c r="K302" s="132"/>
      <c r="L302" s="131"/>
      <c r="M302" s="131"/>
      <c r="N302" s="142"/>
      <c r="O302" s="142"/>
      <c r="P302" s="142"/>
      <c r="Q302" s="142"/>
      <c r="R302" s="142"/>
      <c r="S302" s="142"/>
      <c r="T302" s="131"/>
      <c r="U302" s="131"/>
      <c r="V302" s="131"/>
      <c r="W302" s="131"/>
      <c r="X302" s="131"/>
      <c r="Y302" s="131"/>
      <c r="Z302" s="142"/>
      <c r="AA302" s="142"/>
      <c r="AB302" s="142"/>
      <c r="AC302" s="142"/>
      <c r="AD302" s="142"/>
      <c r="AE302" s="142"/>
      <c r="AF302" s="142"/>
      <c r="AG302" s="142"/>
      <c r="AH302" s="142"/>
      <c r="AI302" s="142"/>
      <c r="AJ302" s="142"/>
      <c r="AK302" s="142"/>
      <c r="AL302" s="142"/>
      <c r="AM302" s="142"/>
      <c r="AN302" s="142"/>
      <c r="AO302" s="142"/>
    </row>
    <row r="303" ht="15.75" customHeight="1">
      <c r="A303" s="142"/>
      <c r="B303" s="142"/>
      <c r="C303" s="142"/>
      <c r="D303" s="142"/>
      <c r="E303" s="131"/>
      <c r="F303" s="142"/>
      <c r="G303" s="142"/>
      <c r="H303" s="142"/>
      <c r="I303" s="142"/>
      <c r="J303" s="142"/>
      <c r="K303" s="132"/>
      <c r="L303" s="131"/>
      <c r="M303" s="131"/>
      <c r="N303" s="142"/>
      <c r="O303" s="142"/>
      <c r="P303" s="142"/>
      <c r="Q303" s="142"/>
      <c r="R303" s="142"/>
      <c r="S303" s="142"/>
      <c r="T303" s="131"/>
      <c r="U303" s="131"/>
      <c r="V303" s="131"/>
      <c r="W303" s="131"/>
      <c r="X303" s="131"/>
      <c r="Y303" s="131"/>
      <c r="Z303" s="142"/>
      <c r="AA303" s="142"/>
      <c r="AB303" s="142"/>
      <c r="AC303" s="142"/>
      <c r="AD303" s="142"/>
      <c r="AE303" s="142"/>
      <c r="AF303" s="142"/>
      <c r="AG303" s="142"/>
      <c r="AH303" s="142"/>
      <c r="AI303" s="142"/>
      <c r="AJ303" s="142"/>
      <c r="AK303" s="142"/>
      <c r="AL303" s="142"/>
      <c r="AM303" s="142"/>
      <c r="AN303" s="142"/>
      <c r="AO303" s="142"/>
    </row>
    <row r="304" ht="15.75" customHeight="1">
      <c r="A304" s="142"/>
      <c r="B304" s="142"/>
      <c r="C304" s="142"/>
      <c r="D304" s="142"/>
      <c r="E304" s="131"/>
      <c r="F304" s="142"/>
      <c r="G304" s="142"/>
      <c r="H304" s="142"/>
      <c r="I304" s="142"/>
      <c r="J304" s="142"/>
      <c r="K304" s="132"/>
      <c r="L304" s="131"/>
      <c r="M304" s="131"/>
      <c r="N304" s="142"/>
      <c r="O304" s="142"/>
      <c r="P304" s="142"/>
      <c r="Q304" s="142"/>
      <c r="R304" s="142"/>
      <c r="S304" s="142"/>
      <c r="T304" s="131"/>
      <c r="U304" s="131"/>
      <c r="V304" s="131"/>
      <c r="W304" s="131"/>
      <c r="X304" s="131"/>
      <c r="Y304" s="131"/>
      <c r="Z304" s="142"/>
      <c r="AA304" s="142"/>
      <c r="AB304" s="142"/>
      <c r="AC304" s="142"/>
      <c r="AD304" s="142"/>
      <c r="AE304" s="142"/>
      <c r="AF304" s="142"/>
      <c r="AG304" s="142"/>
      <c r="AH304" s="142"/>
      <c r="AI304" s="142"/>
      <c r="AJ304" s="142"/>
      <c r="AK304" s="142"/>
      <c r="AL304" s="142"/>
      <c r="AM304" s="142"/>
      <c r="AN304" s="142"/>
      <c r="AO304" s="142"/>
    </row>
    <row r="305" ht="15.75" customHeight="1">
      <c r="A305" s="142"/>
      <c r="B305" s="142"/>
      <c r="C305" s="142"/>
      <c r="D305" s="142"/>
      <c r="E305" s="131"/>
      <c r="F305" s="142"/>
      <c r="G305" s="142"/>
      <c r="H305" s="142"/>
      <c r="I305" s="142"/>
      <c r="J305" s="142"/>
      <c r="K305" s="132"/>
      <c r="L305" s="131"/>
      <c r="M305" s="131"/>
      <c r="N305" s="142"/>
      <c r="O305" s="142"/>
      <c r="P305" s="142"/>
      <c r="Q305" s="142"/>
      <c r="R305" s="142"/>
      <c r="S305" s="142"/>
      <c r="T305" s="131"/>
      <c r="U305" s="131"/>
      <c r="V305" s="131"/>
      <c r="W305" s="131"/>
      <c r="X305" s="131"/>
      <c r="Y305" s="131"/>
      <c r="Z305" s="142"/>
      <c r="AA305" s="142"/>
      <c r="AB305" s="142"/>
      <c r="AC305" s="142"/>
      <c r="AD305" s="142"/>
      <c r="AE305" s="142"/>
      <c r="AF305" s="142"/>
      <c r="AG305" s="142"/>
      <c r="AH305" s="142"/>
      <c r="AI305" s="142"/>
      <c r="AJ305" s="142"/>
      <c r="AK305" s="142"/>
      <c r="AL305" s="142"/>
      <c r="AM305" s="142"/>
      <c r="AN305" s="142"/>
      <c r="AO305" s="142"/>
    </row>
    <row r="306" ht="15.75" customHeight="1">
      <c r="A306" s="142"/>
      <c r="B306" s="142"/>
      <c r="C306" s="142"/>
      <c r="D306" s="142"/>
      <c r="E306" s="131"/>
      <c r="F306" s="142"/>
      <c r="G306" s="142"/>
      <c r="H306" s="142"/>
      <c r="I306" s="142"/>
      <c r="J306" s="142"/>
      <c r="K306" s="132"/>
      <c r="L306" s="131"/>
      <c r="M306" s="131"/>
      <c r="N306" s="142"/>
      <c r="O306" s="142"/>
      <c r="P306" s="142"/>
      <c r="Q306" s="142"/>
      <c r="R306" s="142"/>
      <c r="S306" s="142"/>
      <c r="T306" s="131"/>
      <c r="U306" s="131"/>
      <c r="V306" s="131"/>
      <c r="W306" s="131"/>
      <c r="X306" s="131"/>
      <c r="Y306" s="131"/>
      <c r="Z306" s="142"/>
      <c r="AA306" s="142"/>
      <c r="AB306" s="142"/>
      <c r="AC306" s="142"/>
      <c r="AD306" s="142"/>
      <c r="AE306" s="142"/>
      <c r="AF306" s="142"/>
      <c r="AG306" s="142"/>
      <c r="AH306" s="142"/>
      <c r="AI306" s="142"/>
      <c r="AJ306" s="142"/>
      <c r="AK306" s="142"/>
      <c r="AL306" s="142"/>
      <c r="AM306" s="142"/>
      <c r="AN306" s="142"/>
      <c r="AO306" s="142"/>
    </row>
    <row r="307" ht="15.75" customHeight="1">
      <c r="A307" s="142"/>
      <c r="B307" s="142"/>
      <c r="C307" s="142"/>
      <c r="D307" s="142"/>
      <c r="E307" s="131"/>
      <c r="F307" s="142"/>
      <c r="G307" s="142"/>
      <c r="H307" s="142"/>
      <c r="I307" s="142"/>
      <c r="J307" s="142"/>
      <c r="K307" s="132"/>
      <c r="L307" s="131"/>
      <c r="M307" s="131"/>
      <c r="N307" s="142"/>
      <c r="O307" s="142"/>
      <c r="P307" s="142"/>
      <c r="Q307" s="142"/>
      <c r="R307" s="142"/>
      <c r="S307" s="142"/>
      <c r="T307" s="131"/>
      <c r="U307" s="131"/>
      <c r="V307" s="131"/>
      <c r="W307" s="131"/>
      <c r="X307" s="131"/>
      <c r="Y307" s="131"/>
      <c r="Z307" s="142"/>
      <c r="AA307" s="142"/>
      <c r="AB307" s="142"/>
      <c r="AC307" s="142"/>
      <c r="AD307" s="142"/>
      <c r="AE307" s="142"/>
      <c r="AF307" s="142"/>
      <c r="AG307" s="142"/>
      <c r="AH307" s="142"/>
      <c r="AI307" s="142"/>
      <c r="AJ307" s="142"/>
      <c r="AK307" s="142"/>
      <c r="AL307" s="142"/>
      <c r="AM307" s="142"/>
      <c r="AN307" s="142"/>
      <c r="AO307" s="142"/>
    </row>
    <row r="308" ht="15.75" customHeight="1">
      <c r="A308" s="142"/>
      <c r="B308" s="142"/>
      <c r="C308" s="142"/>
      <c r="D308" s="142"/>
      <c r="E308" s="131"/>
      <c r="F308" s="142"/>
      <c r="G308" s="142"/>
      <c r="H308" s="142"/>
      <c r="I308" s="142"/>
      <c r="J308" s="142"/>
      <c r="K308" s="132"/>
      <c r="L308" s="131"/>
      <c r="M308" s="131"/>
      <c r="N308" s="142"/>
      <c r="O308" s="142"/>
      <c r="P308" s="142"/>
      <c r="Q308" s="142"/>
      <c r="R308" s="142"/>
      <c r="S308" s="142"/>
      <c r="T308" s="131"/>
      <c r="U308" s="131"/>
      <c r="V308" s="131"/>
      <c r="W308" s="131"/>
      <c r="X308" s="131"/>
      <c r="Y308" s="131"/>
      <c r="Z308" s="142"/>
      <c r="AA308" s="142"/>
      <c r="AB308" s="142"/>
      <c r="AC308" s="142"/>
      <c r="AD308" s="142"/>
      <c r="AE308" s="142"/>
      <c r="AF308" s="142"/>
      <c r="AG308" s="142"/>
      <c r="AH308" s="142"/>
      <c r="AI308" s="142"/>
      <c r="AJ308" s="142"/>
      <c r="AK308" s="142"/>
      <c r="AL308" s="142"/>
      <c r="AM308" s="142"/>
      <c r="AN308" s="142"/>
      <c r="AO308" s="142"/>
    </row>
    <row r="309" ht="15.75" customHeight="1">
      <c r="A309" s="142"/>
      <c r="B309" s="142"/>
      <c r="C309" s="142"/>
      <c r="D309" s="142"/>
      <c r="E309" s="131"/>
      <c r="F309" s="142"/>
      <c r="G309" s="142"/>
      <c r="H309" s="142"/>
      <c r="I309" s="142"/>
      <c r="J309" s="142"/>
      <c r="K309" s="132"/>
      <c r="L309" s="131"/>
      <c r="M309" s="131"/>
      <c r="N309" s="142"/>
      <c r="O309" s="142"/>
      <c r="P309" s="142"/>
      <c r="Q309" s="142"/>
      <c r="R309" s="142"/>
      <c r="S309" s="142"/>
      <c r="T309" s="131"/>
      <c r="U309" s="131"/>
      <c r="V309" s="131"/>
      <c r="W309" s="131"/>
      <c r="X309" s="131"/>
      <c r="Y309" s="131"/>
      <c r="Z309" s="142"/>
      <c r="AA309" s="142"/>
      <c r="AB309" s="142"/>
      <c r="AC309" s="142"/>
      <c r="AD309" s="142"/>
      <c r="AE309" s="142"/>
      <c r="AF309" s="142"/>
      <c r="AG309" s="142"/>
      <c r="AH309" s="142"/>
      <c r="AI309" s="142"/>
      <c r="AJ309" s="142"/>
      <c r="AK309" s="142"/>
      <c r="AL309" s="142"/>
      <c r="AM309" s="142"/>
      <c r="AN309" s="142"/>
      <c r="AO309" s="142"/>
    </row>
    <row r="310" ht="15.75" customHeight="1">
      <c r="A310" s="142"/>
      <c r="B310" s="142"/>
      <c r="C310" s="142"/>
      <c r="D310" s="142"/>
      <c r="E310" s="131"/>
      <c r="F310" s="142"/>
      <c r="G310" s="142"/>
      <c r="H310" s="142"/>
      <c r="I310" s="142"/>
      <c r="J310" s="142"/>
      <c r="K310" s="132"/>
      <c r="L310" s="131"/>
      <c r="M310" s="131"/>
      <c r="N310" s="142"/>
      <c r="O310" s="142"/>
      <c r="P310" s="142"/>
      <c r="Q310" s="142"/>
      <c r="R310" s="142"/>
      <c r="S310" s="142"/>
      <c r="T310" s="131"/>
      <c r="U310" s="131"/>
      <c r="V310" s="131"/>
      <c r="W310" s="131"/>
      <c r="X310" s="131"/>
      <c r="Y310" s="131"/>
      <c r="Z310" s="142"/>
      <c r="AA310" s="142"/>
      <c r="AB310" s="142"/>
      <c r="AC310" s="142"/>
      <c r="AD310" s="142"/>
      <c r="AE310" s="142"/>
      <c r="AF310" s="142"/>
      <c r="AG310" s="142"/>
      <c r="AH310" s="142"/>
      <c r="AI310" s="142"/>
      <c r="AJ310" s="142"/>
      <c r="AK310" s="142"/>
      <c r="AL310" s="142"/>
      <c r="AM310" s="142"/>
      <c r="AN310" s="142"/>
      <c r="AO310" s="142"/>
    </row>
    <row r="311" ht="15.75" customHeight="1">
      <c r="A311" s="142"/>
      <c r="B311" s="142"/>
      <c r="C311" s="142"/>
      <c r="D311" s="142"/>
      <c r="E311" s="131"/>
      <c r="F311" s="142"/>
      <c r="G311" s="142"/>
      <c r="H311" s="142"/>
      <c r="I311" s="142"/>
      <c r="J311" s="142"/>
      <c r="K311" s="132"/>
      <c r="L311" s="131"/>
      <c r="M311" s="131"/>
      <c r="N311" s="142"/>
      <c r="O311" s="142"/>
      <c r="P311" s="142"/>
      <c r="Q311" s="142"/>
      <c r="R311" s="142"/>
      <c r="S311" s="142"/>
      <c r="T311" s="131"/>
      <c r="U311" s="131"/>
      <c r="V311" s="131"/>
      <c r="W311" s="131"/>
      <c r="X311" s="131"/>
      <c r="Y311" s="131"/>
      <c r="Z311" s="142"/>
      <c r="AA311" s="142"/>
      <c r="AB311" s="142"/>
      <c r="AC311" s="142"/>
      <c r="AD311" s="142"/>
      <c r="AE311" s="142"/>
      <c r="AF311" s="142"/>
      <c r="AG311" s="142"/>
      <c r="AH311" s="142"/>
      <c r="AI311" s="142"/>
      <c r="AJ311" s="142"/>
      <c r="AK311" s="142"/>
      <c r="AL311" s="142"/>
      <c r="AM311" s="142"/>
      <c r="AN311" s="142"/>
      <c r="AO311" s="142"/>
    </row>
    <row r="312" ht="15.75" customHeight="1">
      <c r="A312" s="142"/>
      <c r="B312" s="142"/>
      <c r="C312" s="142"/>
      <c r="D312" s="142"/>
      <c r="E312" s="131"/>
      <c r="F312" s="142"/>
      <c r="G312" s="142"/>
      <c r="H312" s="142"/>
      <c r="I312" s="142"/>
      <c r="J312" s="142"/>
      <c r="K312" s="132"/>
      <c r="L312" s="131"/>
      <c r="M312" s="131"/>
      <c r="N312" s="142"/>
      <c r="O312" s="142"/>
      <c r="P312" s="142"/>
      <c r="Q312" s="142"/>
      <c r="R312" s="142"/>
      <c r="S312" s="142"/>
      <c r="T312" s="131"/>
      <c r="U312" s="131"/>
      <c r="V312" s="131"/>
      <c r="W312" s="131"/>
      <c r="X312" s="131"/>
      <c r="Y312" s="131"/>
      <c r="Z312" s="142"/>
      <c r="AA312" s="142"/>
      <c r="AB312" s="142"/>
      <c r="AC312" s="142"/>
      <c r="AD312" s="142"/>
      <c r="AE312" s="142"/>
      <c r="AF312" s="142"/>
      <c r="AG312" s="142"/>
      <c r="AH312" s="142"/>
      <c r="AI312" s="142"/>
      <c r="AJ312" s="142"/>
      <c r="AK312" s="142"/>
      <c r="AL312" s="142"/>
      <c r="AM312" s="142"/>
      <c r="AN312" s="142"/>
      <c r="AO312" s="142"/>
    </row>
    <row r="313" ht="15.75" customHeight="1">
      <c r="A313" s="142"/>
      <c r="B313" s="142"/>
      <c r="C313" s="142"/>
      <c r="D313" s="142"/>
      <c r="E313" s="131"/>
      <c r="F313" s="142"/>
      <c r="G313" s="142"/>
      <c r="H313" s="142"/>
      <c r="I313" s="142"/>
      <c r="J313" s="142"/>
      <c r="K313" s="132"/>
      <c r="L313" s="131"/>
      <c r="M313" s="131"/>
      <c r="N313" s="142"/>
      <c r="O313" s="142"/>
      <c r="P313" s="142"/>
      <c r="Q313" s="142"/>
      <c r="R313" s="142"/>
      <c r="S313" s="142"/>
      <c r="T313" s="131"/>
      <c r="U313" s="131"/>
      <c r="V313" s="131"/>
      <c r="W313" s="131"/>
      <c r="X313" s="131"/>
      <c r="Y313" s="131"/>
      <c r="Z313" s="142"/>
      <c r="AA313" s="142"/>
      <c r="AB313" s="142"/>
      <c r="AC313" s="142"/>
      <c r="AD313" s="142"/>
      <c r="AE313" s="142"/>
      <c r="AF313" s="142"/>
      <c r="AG313" s="142"/>
      <c r="AH313" s="142"/>
      <c r="AI313" s="142"/>
      <c r="AJ313" s="142"/>
      <c r="AK313" s="142"/>
      <c r="AL313" s="142"/>
      <c r="AM313" s="142"/>
      <c r="AN313" s="142"/>
      <c r="AO313" s="142"/>
    </row>
    <row r="314" ht="15.75" customHeight="1">
      <c r="A314" s="142"/>
      <c r="B314" s="142"/>
      <c r="C314" s="142"/>
      <c r="D314" s="142"/>
      <c r="E314" s="131"/>
      <c r="F314" s="142"/>
      <c r="G314" s="142"/>
      <c r="H314" s="142"/>
      <c r="I314" s="142"/>
      <c r="J314" s="142"/>
      <c r="K314" s="132"/>
      <c r="L314" s="131"/>
      <c r="M314" s="131"/>
      <c r="N314" s="142"/>
      <c r="O314" s="142"/>
      <c r="P314" s="142"/>
      <c r="Q314" s="142"/>
      <c r="R314" s="142"/>
      <c r="S314" s="142"/>
      <c r="T314" s="131"/>
      <c r="U314" s="131"/>
      <c r="V314" s="131"/>
      <c r="W314" s="131"/>
      <c r="X314" s="131"/>
      <c r="Y314" s="131"/>
      <c r="Z314" s="142"/>
      <c r="AA314" s="142"/>
      <c r="AB314" s="142"/>
      <c r="AC314" s="142"/>
      <c r="AD314" s="142"/>
      <c r="AE314" s="142"/>
      <c r="AF314" s="142"/>
      <c r="AG314" s="142"/>
      <c r="AH314" s="142"/>
      <c r="AI314" s="142"/>
      <c r="AJ314" s="142"/>
      <c r="AK314" s="142"/>
      <c r="AL314" s="142"/>
      <c r="AM314" s="142"/>
      <c r="AN314" s="142"/>
      <c r="AO314" s="142"/>
    </row>
    <row r="315" ht="15.75" customHeight="1">
      <c r="A315" s="142"/>
      <c r="B315" s="142"/>
      <c r="C315" s="142"/>
      <c r="D315" s="142"/>
      <c r="E315" s="131"/>
      <c r="F315" s="142"/>
      <c r="G315" s="142"/>
      <c r="H315" s="142"/>
      <c r="I315" s="142"/>
      <c r="J315" s="142"/>
      <c r="K315" s="132"/>
      <c r="L315" s="131"/>
      <c r="M315" s="131"/>
      <c r="N315" s="142"/>
      <c r="O315" s="142"/>
      <c r="P315" s="142"/>
      <c r="Q315" s="142"/>
      <c r="R315" s="142"/>
      <c r="S315" s="142"/>
      <c r="T315" s="131"/>
      <c r="U315" s="131"/>
      <c r="V315" s="131"/>
      <c r="W315" s="131"/>
      <c r="X315" s="131"/>
      <c r="Y315" s="131"/>
      <c r="Z315" s="142"/>
      <c r="AA315" s="142"/>
      <c r="AB315" s="142"/>
      <c r="AC315" s="142"/>
      <c r="AD315" s="142"/>
      <c r="AE315" s="142"/>
      <c r="AF315" s="142"/>
      <c r="AG315" s="142"/>
      <c r="AH315" s="142"/>
      <c r="AI315" s="142"/>
      <c r="AJ315" s="142"/>
      <c r="AK315" s="142"/>
      <c r="AL315" s="142"/>
      <c r="AM315" s="142"/>
      <c r="AN315" s="142"/>
      <c r="AO315" s="142"/>
    </row>
    <row r="316" ht="15.75" customHeight="1">
      <c r="A316" s="142"/>
      <c r="B316" s="142"/>
      <c r="C316" s="142"/>
      <c r="D316" s="142"/>
      <c r="E316" s="131"/>
      <c r="F316" s="142"/>
      <c r="G316" s="142"/>
      <c r="H316" s="142"/>
      <c r="I316" s="142"/>
      <c r="J316" s="142"/>
      <c r="K316" s="132"/>
      <c r="L316" s="131"/>
      <c r="M316" s="131"/>
      <c r="N316" s="142"/>
      <c r="O316" s="142"/>
      <c r="P316" s="142"/>
      <c r="Q316" s="142"/>
      <c r="R316" s="142"/>
      <c r="S316" s="142"/>
      <c r="T316" s="131"/>
      <c r="U316" s="131"/>
      <c r="V316" s="131"/>
      <c r="W316" s="131"/>
      <c r="X316" s="131"/>
      <c r="Y316" s="131"/>
      <c r="Z316" s="142"/>
      <c r="AA316" s="142"/>
      <c r="AB316" s="142"/>
      <c r="AC316" s="142"/>
      <c r="AD316" s="142"/>
      <c r="AE316" s="142"/>
      <c r="AF316" s="142"/>
      <c r="AG316" s="142"/>
      <c r="AH316" s="142"/>
      <c r="AI316" s="142"/>
      <c r="AJ316" s="142"/>
      <c r="AK316" s="142"/>
      <c r="AL316" s="142"/>
      <c r="AM316" s="142"/>
      <c r="AN316" s="142"/>
      <c r="AO316" s="142"/>
    </row>
    <row r="317" ht="15.75" customHeight="1">
      <c r="A317" s="142"/>
      <c r="B317" s="142"/>
      <c r="C317" s="142"/>
      <c r="D317" s="142"/>
      <c r="E317" s="131"/>
      <c r="F317" s="142"/>
      <c r="G317" s="142"/>
      <c r="H317" s="142"/>
      <c r="I317" s="142"/>
      <c r="J317" s="142"/>
      <c r="K317" s="132"/>
      <c r="L317" s="131"/>
      <c r="M317" s="131"/>
      <c r="N317" s="142"/>
      <c r="O317" s="142"/>
      <c r="P317" s="142"/>
      <c r="Q317" s="142"/>
      <c r="R317" s="142"/>
      <c r="S317" s="142"/>
      <c r="T317" s="131"/>
      <c r="U317" s="131"/>
      <c r="V317" s="131"/>
      <c r="W317" s="131"/>
      <c r="X317" s="131"/>
      <c r="Y317" s="131"/>
      <c r="Z317" s="142"/>
      <c r="AA317" s="142"/>
      <c r="AB317" s="142"/>
      <c r="AC317" s="142"/>
      <c r="AD317" s="142"/>
      <c r="AE317" s="142"/>
      <c r="AF317" s="142"/>
      <c r="AG317" s="142"/>
      <c r="AH317" s="142"/>
      <c r="AI317" s="142"/>
      <c r="AJ317" s="142"/>
      <c r="AK317" s="142"/>
      <c r="AL317" s="142"/>
      <c r="AM317" s="142"/>
      <c r="AN317" s="142"/>
      <c r="AO317" s="142"/>
    </row>
    <row r="318" ht="15.75" customHeight="1">
      <c r="A318" s="142"/>
      <c r="B318" s="142"/>
      <c r="C318" s="142"/>
      <c r="D318" s="142"/>
      <c r="E318" s="131"/>
      <c r="F318" s="142"/>
      <c r="G318" s="142"/>
      <c r="H318" s="142"/>
      <c r="I318" s="142"/>
      <c r="J318" s="142"/>
      <c r="K318" s="132"/>
      <c r="L318" s="131"/>
      <c r="M318" s="131"/>
      <c r="N318" s="142"/>
      <c r="O318" s="142"/>
      <c r="P318" s="142"/>
      <c r="Q318" s="142"/>
      <c r="R318" s="142"/>
      <c r="S318" s="142"/>
      <c r="T318" s="131"/>
      <c r="U318" s="131"/>
      <c r="V318" s="131"/>
      <c r="W318" s="131"/>
      <c r="X318" s="131"/>
      <c r="Y318" s="131"/>
      <c r="Z318" s="142"/>
      <c r="AA318" s="142"/>
      <c r="AB318" s="142"/>
      <c r="AC318" s="142"/>
      <c r="AD318" s="142"/>
      <c r="AE318" s="142"/>
      <c r="AF318" s="142"/>
      <c r="AG318" s="142"/>
      <c r="AH318" s="142"/>
      <c r="AI318" s="142"/>
      <c r="AJ318" s="142"/>
      <c r="AK318" s="142"/>
      <c r="AL318" s="142"/>
      <c r="AM318" s="142"/>
      <c r="AN318" s="142"/>
      <c r="AO318" s="142"/>
    </row>
    <row r="319" ht="15.75" customHeight="1">
      <c r="A319" s="142"/>
      <c r="B319" s="142"/>
      <c r="C319" s="142"/>
      <c r="D319" s="142"/>
      <c r="E319" s="131"/>
      <c r="F319" s="142"/>
      <c r="G319" s="142"/>
      <c r="H319" s="142"/>
      <c r="I319" s="142"/>
      <c r="J319" s="142"/>
      <c r="K319" s="132"/>
      <c r="L319" s="131"/>
      <c r="M319" s="131"/>
      <c r="N319" s="142"/>
      <c r="O319" s="142"/>
      <c r="P319" s="142"/>
      <c r="Q319" s="142"/>
      <c r="R319" s="142"/>
      <c r="S319" s="142"/>
      <c r="T319" s="131"/>
      <c r="U319" s="131"/>
      <c r="V319" s="131"/>
      <c r="W319" s="131"/>
      <c r="X319" s="131"/>
      <c r="Y319" s="131"/>
      <c r="Z319" s="142"/>
      <c r="AA319" s="142"/>
      <c r="AB319" s="142"/>
      <c r="AC319" s="142"/>
      <c r="AD319" s="142"/>
      <c r="AE319" s="142"/>
      <c r="AF319" s="142"/>
      <c r="AG319" s="142"/>
      <c r="AH319" s="142"/>
      <c r="AI319" s="142"/>
      <c r="AJ319" s="142"/>
      <c r="AK319" s="142"/>
      <c r="AL319" s="142"/>
      <c r="AM319" s="142"/>
      <c r="AN319" s="142"/>
      <c r="AO319" s="142"/>
    </row>
    <row r="320" ht="15.75" customHeight="1">
      <c r="A320" s="142"/>
      <c r="B320" s="142"/>
      <c r="C320" s="142"/>
      <c r="D320" s="142"/>
      <c r="E320" s="131"/>
      <c r="F320" s="142"/>
      <c r="G320" s="142"/>
      <c r="H320" s="142"/>
      <c r="I320" s="142"/>
      <c r="J320" s="142"/>
      <c r="K320" s="132"/>
      <c r="L320" s="131"/>
      <c r="M320" s="131"/>
      <c r="N320" s="142"/>
      <c r="O320" s="142"/>
      <c r="P320" s="142"/>
      <c r="Q320" s="142"/>
      <c r="R320" s="142"/>
      <c r="S320" s="142"/>
      <c r="T320" s="131"/>
      <c r="U320" s="131"/>
      <c r="V320" s="131"/>
      <c r="W320" s="131"/>
      <c r="X320" s="131"/>
      <c r="Y320" s="131"/>
      <c r="Z320" s="142"/>
      <c r="AA320" s="142"/>
      <c r="AB320" s="142"/>
      <c r="AC320" s="142"/>
      <c r="AD320" s="142"/>
      <c r="AE320" s="142"/>
      <c r="AF320" s="142"/>
      <c r="AG320" s="142"/>
      <c r="AH320" s="142"/>
      <c r="AI320" s="142"/>
      <c r="AJ320" s="142"/>
      <c r="AK320" s="142"/>
      <c r="AL320" s="142"/>
      <c r="AM320" s="142"/>
      <c r="AN320" s="142"/>
      <c r="AO320" s="142"/>
    </row>
    <row r="321" ht="15.75" customHeight="1">
      <c r="A321" s="142"/>
      <c r="B321" s="142"/>
      <c r="C321" s="142"/>
      <c r="D321" s="142"/>
      <c r="E321" s="131"/>
      <c r="F321" s="142"/>
      <c r="G321" s="142"/>
      <c r="H321" s="142"/>
      <c r="I321" s="142"/>
      <c r="J321" s="142"/>
      <c r="K321" s="132"/>
      <c r="L321" s="131"/>
      <c r="M321" s="131"/>
      <c r="N321" s="142"/>
      <c r="O321" s="142"/>
      <c r="P321" s="142"/>
      <c r="Q321" s="142"/>
      <c r="R321" s="142"/>
      <c r="S321" s="142"/>
      <c r="T321" s="131"/>
      <c r="U321" s="131"/>
      <c r="V321" s="131"/>
      <c r="W321" s="131"/>
      <c r="X321" s="131"/>
      <c r="Y321" s="131"/>
      <c r="Z321" s="142"/>
      <c r="AA321" s="142"/>
      <c r="AB321" s="142"/>
      <c r="AC321" s="142"/>
      <c r="AD321" s="142"/>
      <c r="AE321" s="142"/>
      <c r="AF321" s="142"/>
      <c r="AG321" s="142"/>
      <c r="AH321" s="142"/>
      <c r="AI321" s="142"/>
      <c r="AJ321" s="142"/>
      <c r="AK321" s="142"/>
      <c r="AL321" s="142"/>
      <c r="AM321" s="142"/>
      <c r="AN321" s="142"/>
      <c r="AO321" s="142"/>
    </row>
    <row r="322" ht="15.75" customHeight="1">
      <c r="A322" s="142"/>
      <c r="B322" s="142"/>
      <c r="C322" s="142"/>
      <c r="D322" s="142"/>
      <c r="E322" s="131"/>
      <c r="F322" s="142"/>
      <c r="G322" s="142"/>
      <c r="H322" s="142"/>
      <c r="I322" s="142"/>
      <c r="J322" s="142"/>
      <c r="K322" s="132"/>
      <c r="L322" s="131"/>
      <c r="M322" s="131"/>
      <c r="N322" s="142"/>
      <c r="O322" s="142"/>
      <c r="P322" s="142"/>
      <c r="Q322" s="142"/>
      <c r="R322" s="142"/>
      <c r="S322" s="142"/>
      <c r="T322" s="131"/>
      <c r="U322" s="131"/>
      <c r="V322" s="131"/>
      <c r="W322" s="131"/>
      <c r="X322" s="131"/>
      <c r="Y322" s="131"/>
      <c r="Z322" s="142"/>
      <c r="AA322" s="142"/>
      <c r="AB322" s="142"/>
      <c r="AC322" s="142"/>
      <c r="AD322" s="142"/>
      <c r="AE322" s="142"/>
      <c r="AF322" s="142"/>
      <c r="AG322" s="142"/>
      <c r="AH322" s="142"/>
      <c r="AI322" s="142"/>
      <c r="AJ322" s="142"/>
      <c r="AK322" s="142"/>
      <c r="AL322" s="142"/>
      <c r="AM322" s="142"/>
      <c r="AN322" s="142"/>
      <c r="AO322" s="142"/>
    </row>
    <row r="323" ht="15.75" customHeight="1">
      <c r="A323" s="142"/>
      <c r="B323" s="142"/>
      <c r="C323" s="142"/>
      <c r="D323" s="142"/>
      <c r="E323" s="131"/>
      <c r="F323" s="142"/>
      <c r="G323" s="142"/>
      <c r="H323" s="142"/>
      <c r="I323" s="142"/>
      <c r="J323" s="142"/>
      <c r="K323" s="132"/>
      <c r="L323" s="131"/>
      <c r="M323" s="131"/>
      <c r="N323" s="142"/>
      <c r="O323" s="142"/>
      <c r="P323" s="142"/>
      <c r="Q323" s="142"/>
      <c r="R323" s="142"/>
      <c r="S323" s="142"/>
      <c r="T323" s="131"/>
      <c r="U323" s="131"/>
      <c r="V323" s="131"/>
      <c r="W323" s="131"/>
      <c r="X323" s="131"/>
      <c r="Y323" s="131"/>
      <c r="Z323" s="142"/>
      <c r="AA323" s="142"/>
      <c r="AB323" s="142"/>
      <c r="AC323" s="142"/>
      <c r="AD323" s="142"/>
      <c r="AE323" s="142"/>
      <c r="AF323" s="142"/>
      <c r="AG323" s="142"/>
      <c r="AH323" s="142"/>
      <c r="AI323" s="142"/>
      <c r="AJ323" s="142"/>
      <c r="AK323" s="142"/>
      <c r="AL323" s="142"/>
      <c r="AM323" s="142"/>
      <c r="AN323" s="142"/>
      <c r="AO323" s="142"/>
    </row>
    <row r="324" ht="15.75" customHeight="1">
      <c r="A324" s="142"/>
      <c r="B324" s="142"/>
      <c r="C324" s="142"/>
      <c r="D324" s="142"/>
      <c r="E324" s="131"/>
      <c r="F324" s="142"/>
      <c r="G324" s="142"/>
      <c r="H324" s="142"/>
      <c r="I324" s="142"/>
      <c r="J324" s="142"/>
      <c r="K324" s="132"/>
      <c r="L324" s="131"/>
      <c r="M324" s="131"/>
      <c r="N324" s="142"/>
      <c r="O324" s="142"/>
      <c r="P324" s="142"/>
      <c r="Q324" s="142"/>
      <c r="R324" s="142"/>
      <c r="S324" s="142"/>
      <c r="T324" s="131"/>
      <c r="U324" s="131"/>
      <c r="V324" s="131"/>
      <c r="W324" s="131"/>
      <c r="X324" s="131"/>
      <c r="Y324" s="131"/>
      <c r="Z324" s="142"/>
      <c r="AA324" s="142"/>
      <c r="AB324" s="142"/>
      <c r="AC324" s="142"/>
      <c r="AD324" s="142"/>
      <c r="AE324" s="142"/>
      <c r="AF324" s="142"/>
      <c r="AG324" s="142"/>
      <c r="AH324" s="142"/>
      <c r="AI324" s="142"/>
      <c r="AJ324" s="142"/>
      <c r="AK324" s="142"/>
      <c r="AL324" s="142"/>
      <c r="AM324" s="142"/>
      <c r="AN324" s="142"/>
      <c r="AO324" s="142"/>
    </row>
    <row r="325" ht="15.75" customHeight="1">
      <c r="A325" s="142"/>
      <c r="B325" s="142"/>
      <c r="C325" s="142"/>
      <c r="D325" s="142"/>
      <c r="E325" s="131"/>
      <c r="F325" s="142"/>
      <c r="G325" s="142"/>
      <c r="H325" s="142"/>
      <c r="I325" s="142"/>
      <c r="J325" s="142"/>
      <c r="K325" s="132"/>
      <c r="L325" s="131"/>
      <c r="M325" s="131"/>
      <c r="N325" s="142"/>
      <c r="O325" s="142"/>
      <c r="P325" s="142"/>
      <c r="Q325" s="142"/>
      <c r="R325" s="142"/>
      <c r="S325" s="142"/>
      <c r="T325" s="131"/>
      <c r="U325" s="131"/>
      <c r="V325" s="131"/>
      <c r="W325" s="131"/>
      <c r="X325" s="131"/>
      <c r="Y325" s="131"/>
      <c r="Z325" s="142"/>
      <c r="AA325" s="142"/>
      <c r="AB325" s="142"/>
      <c r="AC325" s="142"/>
      <c r="AD325" s="142"/>
      <c r="AE325" s="142"/>
      <c r="AF325" s="142"/>
      <c r="AG325" s="142"/>
      <c r="AH325" s="142"/>
      <c r="AI325" s="142"/>
      <c r="AJ325" s="142"/>
      <c r="AK325" s="142"/>
      <c r="AL325" s="142"/>
      <c r="AM325" s="142"/>
      <c r="AN325" s="142"/>
      <c r="AO325" s="142"/>
    </row>
    <row r="326" ht="15.75" customHeight="1">
      <c r="A326" s="142"/>
      <c r="B326" s="142"/>
      <c r="C326" s="142"/>
      <c r="D326" s="142"/>
      <c r="E326" s="131"/>
      <c r="F326" s="142"/>
      <c r="G326" s="142"/>
      <c r="H326" s="142"/>
      <c r="I326" s="142"/>
      <c r="J326" s="142"/>
      <c r="K326" s="132"/>
      <c r="L326" s="131"/>
      <c r="M326" s="131"/>
      <c r="N326" s="142"/>
      <c r="O326" s="142"/>
      <c r="P326" s="142"/>
      <c r="Q326" s="142"/>
      <c r="R326" s="142"/>
      <c r="S326" s="142"/>
      <c r="T326" s="131"/>
      <c r="U326" s="131"/>
      <c r="V326" s="131"/>
      <c r="W326" s="131"/>
      <c r="X326" s="131"/>
      <c r="Y326" s="131"/>
      <c r="Z326" s="142"/>
      <c r="AA326" s="142"/>
      <c r="AB326" s="142"/>
      <c r="AC326" s="142"/>
      <c r="AD326" s="142"/>
      <c r="AE326" s="142"/>
      <c r="AF326" s="142"/>
      <c r="AG326" s="142"/>
      <c r="AH326" s="142"/>
      <c r="AI326" s="142"/>
      <c r="AJ326" s="142"/>
      <c r="AK326" s="142"/>
      <c r="AL326" s="142"/>
      <c r="AM326" s="142"/>
      <c r="AN326" s="142"/>
      <c r="AO326" s="142"/>
    </row>
    <row r="327" ht="15.75" customHeight="1">
      <c r="A327" s="142"/>
      <c r="B327" s="142"/>
      <c r="C327" s="142"/>
      <c r="D327" s="142"/>
      <c r="E327" s="131"/>
      <c r="F327" s="142"/>
      <c r="G327" s="142"/>
      <c r="H327" s="142"/>
      <c r="I327" s="142"/>
      <c r="J327" s="142"/>
      <c r="K327" s="132"/>
      <c r="L327" s="131"/>
      <c r="M327" s="131"/>
      <c r="N327" s="142"/>
      <c r="O327" s="142"/>
      <c r="P327" s="142"/>
      <c r="Q327" s="142"/>
      <c r="R327" s="142"/>
      <c r="S327" s="142"/>
      <c r="T327" s="131"/>
      <c r="U327" s="131"/>
      <c r="V327" s="131"/>
      <c r="W327" s="131"/>
      <c r="X327" s="131"/>
      <c r="Y327" s="131"/>
      <c r="Z327" s="142"/>
      <c r="AA327" s="142"/>
      <c r="AB327" s="142"/>
      <c r="AC327" s="142"/>
      <c r="AD327" s="142"/>
      <c r="AE327" s="142"/>
      <c r="AF327" s="142"/>
      <c r="AG327" s="142"/>
      <c r="AH327" s="142"/>
      <c r="AI327" s="142"/>
      <c r="AJ327" s="142"/>
      <c r="AK327" s="142"/>
      <c r="AL327" s="142"/>
      <c r="AM327" s="142"/>
      <c r="AN327" s="142"/>
      <c r="AO327" s="142"/>
    </row>
    <row r="328" ht="15.75" customHeight="1">
      <c r="A328" s="142"/>
      <c r="B328" s="142"/>
      <c r="C328" s="142"/>
      <c r="D328" s="142"/>
      <c r="E328" s="131"/>
      <c r="F328" s="142"/>
      <c r="G328" s="142"/>
      <c r="H328" s="142"/>
      <c r="I328" s="142"/>
      <c r="J328" s="142"/>
      <c r="K328" s="132"/>
      <c r="L328" s="131"/>
      <c r="M328" s="131"/>
      <c r="N328" s="142"/>
      <c r="O328" s="142"/>
      <c r="P328" s="142"/>
      <c r="Q328" s="142"/>
      <c r="R328" s="142"/>
      <c r="S328" s="142"/>
      <c r="T328" s="131"/>
      <c r="U328" s="131"/>
      <c r="V328" s="131"/>
      <c r="W328" s="131"/>
      <c r="X328" s="131"/>
      <c r="Y328" s="131"/>
      <c r="Z328" s="142"/>
      <c r="AA328" s="142"/>
      <c r="AB328" s="142"/>
      <c r="AC328" s="142"/>
      <c r="AD328" s="142"/>
      <c r="AE328" s="142"/>
      <c r="AF328" s="142"/>
      <c r="AG328" s="142"/>
      <c r="AH328" s="142"/>
      <c r="AI328" s="142"/>
      <c r="AJ328" s="142"/>
      <c r="AK328" s="142"/>
      <c r="AL328" s="142"/>
      <c r="AM328" s="142"/>
      <c r="AN328" s="142"/>
      <c r="AO328" s="142"/>
    </row>
    <row r="329" ht="15.75" customHeight="1">
      <c r="A329" s="142"/>
      <c r="B329" s="142"/>
      <c r="C329" s="142"/>
      <c r="D329" s="142"/>
      <c r="E329" s="131"/>
      <c r="F329" s="142"/>
      <c r="G329" s="142"/>
      <c r="H329" s="142"/>
      <c r="I329" s="142"/>
      <c r="J329" s="142"/>
      <c r="K329" s="132"/>
      <c r="L329" s="131"/>
      <c r="M329" s="131"/>
      <c r="N329" s="142"/>
      <c r="O329" s="142"/>
      <c r="P329" s="142"/>
      <c r="Q329" s="142"/>
      <c r="R329" s="142"/>
      <c r="S329" s="142"/>
      <c r="T329" s="131"/>
      <c r="U329" s="131"/>
      <c r="V329" s="131"/>
      <c r="W329" s="131"/>
      <c r="X329" s="131"/>
      <c r="Y329" s="131"/>
      <c r="Z329" s="142"/>
      <c r="AA329" s="142"/>
      <c r="AB329" s="142"/>
      <c r="AC329" s="142"/>
      <c r="AD329" s="142"/>
      <c r="AE329" s="142"/>
      <c r="AF329" s="142"/>
      <c r="AG329" s="142"/>
      <c r="AH329" s="142"/>
      <c r="AI329" s="142"/>
      <c r="AJ329" s="142"/>
      <c r="AK329" s="142"/>
      <c r="AL329" s="142"/>
      <c r="AM329" s="142"/>
      <c r="AN329" s="142"/>
      <c r="AO329" s="142"/>
    </row>
    <row r="330" ht="15.75" customHeight="1">
      <c r="A330" s="142"/>
      <c r="B330" s="142"/>
      <c r="C330" s="142"/>
      <c r="D330" s="142"/>
      <c r="E330" s="131"/>
      <c r="F330" s="142"/>
      <c r="G330" s="142"/>
      <c r="H330" s="142"/>
      <c r="I330" s="142"/>
      <c r="J330" s="142"/>
      <c r="K330" s="132"/>
      <c r="L330" s="131"/>
      <c r="M330" s="131"/>
      <c r="N330" s="142"/>
      <c r="O330" s="142"/>
      <c r="P330" s="142"/>
      <c r="Q330" s="142"/>
      <c r="R330" s="142"/>
      <c r="S330" s="142"/>
      <c r="T330" s="131"/>
      <c r="U330" s="131"/>
      <c r="V330" s="131"/>
      <c r="W330" s="131"/>
      <c r="X330" s="131"/>
      <c r="Y330" s="131"/>
      <c r="Z330" s="142"/>
      <c r="AA330" s="142"/>
      <c r="AB330" s="142"/>
      <c r="AC330" s="142"/>
      <c r="AD330" s="142"/>
      <c r="AE330" s="142"/>
      <c r="AF330" s="142"/>
      <c r="AG330" s="142"/>
      <c r="AH330" s="142"/>
      <c r="AI330" s="142"/>
      <c r="AJ330" s="142"/>
      <c r="AK330" s="142"/>
      <c r="AL330" s="142"/>
      <c r="AM330" s="142"/>
      <c r="AN330" s="142"/>
      <c r="AO330" s="142"/>
    </row>
    <row r="331" ht="15.75" customHeight="1">
      <c r="A331" s="142"/>
      <c r="B331" s="142"/>
      <c r="C331" s="142"/>
      <c r="D331" s="142"/>
      <c r="E331" s="131"/>
      <c r="F331" s="142"/>
      <c r="G331" s="142"/>
      <c r="H331" s="142"/>
      <c r="I331" s="142"/>
      <c r="J331" s="142"/>
      <c r="K331" s="132"/>
      <c r="L331" s="131"/>
      <c r="M331" s="131"/>
      <c r="N331" s="142"/>
      <c r="O331" s="142"/>
      <c r="P331" s="142"/>
      <c r="Q331" s="142"/>
      <c r="R331" s="142"/>
      <c r="S331" s="142"/>
      <c r="T331" s="131"/>
      <c r="U331" s="131"/>
      <c r="V331" s="131"/>
      <c r="W331" s="131"/>
      <c r="X331" s="131"/>
      <c r="Y331" s="131"/>
      <c r="Z331" s="142"/>
      <c r="AA331" s="142"/>
      <c r="AB331" s="142"/>
      <c r="AC331" s="142"/>
      <c r="AD331" s="142"/>
      <c r="AE331" s="142"/>
      <c r="AF331" s="142"/>
      <c r="AG331" s="142"/>
      <c r="AH331" s="142"/>
      <c r="AI331" s="142"/>
      <c r="AJ331" s="142"/>
      <c r="AK331" s="142"/>
      <c r="AL331" s="142"/>
      <c r="AM331" s="142"/>
      <c r="AN331" s="142"/>
      <c r="AO331" s="142"/>
    </row>
    <row r="332" ht="15.75" customHeight="1">
      <c r="A332" s="142"/>
      <c r="B332" s="142"/>
      <c r="C332" s="142"/>
      <c r="D332" s="142"/>
      <c r="E332" s="131"/>
      <c r="F332" s="142"/>
      <c r="G332" s="142"/>
      <c r="H332" s="142"/>
      <c r="I332" s="142"/>
      <c r="J332" s="142"/>
      <c r="K332" s="132"/>
      <c r="L332" s="131"/>
      <c r="M332" s="131"/>
      <c r="N332" s="142"/>
      <c r="O332" s="142"/>
      <c r="P332" s="142"/>
      <c r="Q332" s="142"/>
      <c r="R332" s="142"/>
      <c r="S332" s="142"/>
      <c r="T332" s="131"/>
      <c r="U332" s="131"/>
      <c r="V332" s="131"/>
      <c r="W332" s="131"/>
      <c r="X332" s="131"/>
      <c r="Y332" s="131"/>
      <c r="Z332" s="142"/>
      <c r="AA332" s="142"/>
      <c r="AB332" s="142"/>
      <c r="AC332" s="142"/>
      <c r="AD332" s="142"/>
      <c r="AE332" s="142"/>
      <c r="AF332" s="142"/>
      <c r="AG332" s="142"/>
      <c r="AH332" s="142"/>
      <c r="AI332" s="142"/>
      <c r="AJ332" s="142"/>
      <c r="AK332" s="142"/>
      <c r="AL332" s="142"/>
      <c r="AM332" s="142"/>
      <c r="AN332" s="142"/>
      <c r="AO332" s="142"/>
    </row>
    <row r="333" ht="15.75" customHeight="1">
      <c r="A333" s="142"/>
      <c r="B333" s="142"/>
      <c r="C333" s="142"/>
      <c r="D333" s="142"/>
      <c r="E333" s="131"/>
      <c r="F333" s="142"/>
      <c r="G333" s="142"/>
      <c r="H333" s="142"/>
      <c r="I333" s="142"/>
      <c r="J333" s="142"/>
      <c r="K333" s="132"/>
      <c r="L333" s="131"/>
      <c r="M333" s="131"/>
      <c r="N333" s="142"/>
      <c r="O333" s="142"/>
      <c r="P333" s="142"/>
      <c r="Q333" s="142"/>
      <c r="R333" s="142"/>
      <c r="S333" s="142"/>
      <c r="T333" s="131"/>
      <c r="U333" s="131"/>
      <c r="V333" s="131"/>
      <c r="W333" s="131"/>
      <c r="X333" s="131"/>
      <c r="Y333" s="131"/>
      <c r="Z333" s="142"/>
      <c r="AA333" s="142"/>
      <c r="AB333" s="142"/>
      <c r="AC333" s="142"/>
      <c r="AD333" s="142"/>
      <c r="AE333" s="142"/>
      <c r="AF333" s="142"/>
      <c r="AG333" s="142"/>
      <c r="AH333" s="142"/>
      <c r="AI333" s="142"/>
      <c r="AJ333" s="142"/>
      <c r="AK333" s="142"/>
      <c r="AL333" s="142"/>
      <c r="AM333" s="142"/>
      <c r="AN333" s="142"/>
      <c r="AO333" s="142"/>
    </row>
    <row r="334" ht="15.75" customHeight="1">
      <c r="A334" s="142"/>
      <c r="B334" s="142"/>
      <c r="C334" s="142"/>
      <c r="D334" s="142"/>
      <c r="E334" s="131"/>
      <c r="F334" s="142"/>
      <c r="G334" s="142"/>
      <c r="H334" s="142"/>
      <c r="I334" s="142"/>
      <c r="J334" s="142"/>
      <c r="K334" s="132"/>
      <c r="L334" s="131"/>
      <c r="M334" s="131"/>
      <c r="N334" s="142"/>
      <c r="O334" s="142"/>
      <c r="P334" s="142"/>
      <c r="Q334" s="142"/>
      <c r="R334" s="142"/>
      <c r="S334" s="142"/>
      <c r="T334" s="131"/>
      <c r="U334" s="131"/>
      <c r="V334" s="131"/>
      <c r="W334" s="131"/>
      <c r="X334" s="131"/>
      <c r="Y334" s="131"/>
      <c r="Z334" s="142"/>
      <c r="AA334" s="142"/>
      <c r="AB334" s="142"/>
      <c r="AC334" s="142"/>
      <c r="AD334" s="142"/>
      <c r="AE334" s="142"/>
      <c r="AF334" s="142"/>
      <c r="AG334" s="142"/>
      <c r="AH334" s="142"/>
      <c r="AI334" s="142"/>
      <c r="AJ334" s="142"/>
      <c r="AK334" s="142"/>
      <c r="AL334" s="142"/>
      <c r="AM334" s="142"/>
      <c r="AN334" s="142"/>
      <c r="AO334" s="142"/>
    </row>
    <row r="335" ht="15.75" customHeight="1">
      <c r="A335" s="142"/>
      <c r="B335" s="142"/>
      <c r="C335" s="142"/>
      <c r="D335" s="142"/>
      <c r="E335" s="131"/>
      <c r="F335" s="142"/>
      <c r="G335" s="142"/>
      <c r="H335" s="142"/>
      <c r="I335" s="142"/>
      <c r="J335" s="142"/>
      <c r="K335" s="132"/>
      <c r="L335" s="131"/>
      <c r="M335" s="131"/>
      <c r="N335" s="142"/>
      <c r="O335" s="142"/>
      <c r="P335" s="142"/>
      <c r="Q335" s="142"/>
      <c r="R335" s="142"/>
      <c r="S335" s="142"/>
      <c r="T335" s="131"/>
      <c r="U335" s="131"/>
      <c r="V335" s="131"/>
      <c r="W335" s="131"/>
      <c r="X335" s="131"/>
      <c r="Y335" s="131"/>
      <c r="Z335" s="142"/>
      <c r="AA335" s="142"/>
      <c r="AB335" s="142"/>
      <c r="AC335" s="142"/>
      <c r="AD335" s="142"/>
      <c r="AE335" s="142"/>
      <c r="AF335" s="142"/>
      <c r="AG335" s="142"/>
      <c r="AH335" s="142"/>
      <c r="AI335" s="142"/>
      <c r="AJ335" s="142"/>
      <c r="AK335" s="142"/>
      <c r="AL335" s="142"/>
      <c r="AM335" s="142"/>
      <c r="AN335" s="142"/>
      <c r="AO335" s="142"/>
    </row>
    <row r="336" ht="15.75" customHeight="1">
      <c r="A336" s="142"/>
      <c r="B336" s="142"/>
      <c r="C336" s="142"/>
      <c r="D336" s="142"/>
      <c r="E336" s="131"/>
      <c r="F336" s="142"/>
      <c r="G336" s="142"/>
      <c r="H336" s="142"/>
      <c r="I336" s="142"/>
      <c r="J336" s="142"/>
      <c r="K336" s="132"/>
      <c r="L336" s="131"/>
      <c r="M336" s="131"/>
      <c r="N336" s="142"/>
      <c r="O336" s="142"/>
      <c r="P336" s="142"/>
      <c r="Q336" s="142"/>
      <c r="R336" s="142"/>
      <c r="S336" s="142"/>
      <c r="T336" s="131"/>
      <c r="U336" s="131"/>
      <c r="V336" s="131"/>
      <c r="W336" s="131"/>
      <c r="X336" s="131"/>
      <c r="Y336" s="131"/>
      <c r="Z336" s="142"/>
      <c r="AA336" s="142"/>
      <c r="AB336" s="142"/>
      <c r="AC336" s="142"/>
      <c r="AD336" s="142"/>
      <c r="AE336" s="142"/>
      <c r="AF336" s="142"/>
      <c r="AG336" s="142"/>
      <c r="AH336" s="142"/>
      <c r="AI336" s="142"/>
      <c r="AJ336" s="142"/>
      <c r="AK336" s="142"/>
      <c r="AL336" s="142"/>
      <c r="AM336" s="142"/>
      <c r="AN336" s="142"/>
      <c r="AO336" s="142"/>
    </row>
    <row r="337" ht="15.75" customHeight="1">
      <c r="A337" s="142"/>
      <c r="B337" s="142"/>
      <c r="C337" s="142"/>
      <c r="D337" s="142"/>
      <c r="E337" s="131"/>
      <c r="F337" s="142"/>
      <c r="G337" s="142"/>
      <c r="H337" s="142"/>
      <c r="I337" s="142"/>
      <c r="J337" s="142"/>
      <c r="K337" s="132"/>
      <c r="L337" s="131"/>
      <c r="M337" s="131"/>
      <c r="N337" s="142"/>
      <c r="O337" s="142"/>
      <c r="P337" s="142"/>
      <c r="Q337" s="142"/>
      <c r="R337" s="142"/>
      <c r="S337" s="142"/>
      <c r="T337" s="131"/>
      <c r="U337" s="131"/>
      <c r="V337" s="131"/>
      <c r="W337" s="131"/>
      <c r="X337" s="131"/>
      <c r="Y337" s="131"/>
      <c r="Z337" s="142"/>
      <c r="AA337" s="142"/>
      <c r="AB337" s="142"/>
      <c r="AC337" s="142"/>
      <c r="AD337" s="142"/>
      <c r="AE337" s="142"/>
      <c r="AF337" s="142"/>
      <c r="AG337" s="142"/>
      <c r="AH337" s="142"/>
      <c r="AI337" s="142"/>
      <c r="AJ337" s="142"/>
      <c r="AK337" s="142"/>
      <c r="AL337" s="142"/>
      <c r="AM337" s="142"/>
      <c r="AN337" s="142"/>
      <c r="AO337" s="142"/>
    </row>
    <row r="338" ht="15.75" customHeight="1">
      <c r="A338" s="142"/>
      <c r="B338" s="142"/>
      <c r="C338" s="142"/>
      <c r="D338" s="142"/>
      <c r="E338" s="131"/>
      <c r="F338" s="142"/>
      <c r="G338" s="142"/>
      <c r="H338" s="142"/>
      <c r="I338" s="142"/>
      <c r="J338" s="142"/>
      <c r="K338" s="132"/>
      <c r="L338" s="131"/>
      <c r="M338" s="131"/>
      <c r="N338" s="142"/>
      <c r="O338" s="142"/>
      <c r="P338" s="142"/>
      <c r="Q338" s="142"/>
      <c r="R338" s="142"/>
      <c r="S338" s="142"/>
      <c r="T338" s="131"/>
      <c r="U338" s="131"/>
      <c r="V338" s="131"/>
      <c r="W338" s="131"/>
      <c r="X338" s="131"/>
      <c r="Y338" s="131"/>
      <c r="Z338" s="142"/>
      <c r="AA338" s="142"/>
      <c r="AB338" s="142"/>
      <c r="AC338" s="142"/>
      <c r="AD338" s="142"/>
      <c r="AE338" s="142"/>
      <c r="AF338" s="142"/>
      <c r="AG338" s="142"/>
      <c r="AH338" s="142"/>
      <c r="AI338" s="142"/>
      <c r="AJ338" s="142"/>
      <c r="AK338" s="142"/>
      <c r="AL338" s="142"/>
      <c r="AM338" s="142"/>
      <c r="AN338" s="142"/>
      <c r="AO338" s="142"/>
    </row>
    <row r="339" ht="15.75" customHeight="1">
      <c r="A339" s="142"/>
      <c r="B339" s="142"/>
      <c r="C339" s="142"/>
      <c r="D339" s="142"/>
      <c r="E339" s="131"/>
      <c r="F339" s="142"/>
      <c r="G339" s="142"/>
      <c r="H339" s="142"/>
      <c r="I339" s="142"/>
      <c r="J339" s="142"/>
      <c r="K339" s="132"/>
      <c r="L339" s="131"/>
      <c r="M339" s="131"/>
      <c r="N339" s="142"/>
      <c r="O339" s="142"/>
      <c r="P339" s="142"/>
      <c r="Q339" s="142"/>
      <c r="R339" s="142"/>
      <c r="S339" s="142"/>
      <c r="T339" s="131"/>
      <c r="U339" s="131"/>
      <c r="V339" s="131"/>
      <c r="W339" s="131"/>
      <c r="X339" s="131"/>
      <c r="Y339" s="131"/>
      <c r="Z339" s="142"/>
      <c r="AA339" s="142"/>
      <c r="AB339" s="142"/>
      <c r="AC339" s="142"/>
      <c r="AD339" s="142"/>
      <c r="AE339" s="142"/>
      <c r="AF339" s="142"/>
      <c r="AG339" s="142"/>
      <c r="AH339" s="142"/>
      <c r="AI339" s="142"/>
      <c r="AJ339" s="142"/>
      <c r="AK339" s="142"/>
      <c r="AL339" s="142"/>
      <c r="AM339" s="142"/>
      <c r="AN339" s="142"/>
      <c r="AO339" s="142"/>
    </row>
    <row r="340" ht="15.75" customHeight="1">
      <c r="A340" s="142"/>
      <c r="B340" s="142"/>
      <c r="C340" s="142"/>
      <c r="D340" s="142"/>
      <c r="E340" s="131"/>
      <c r="F340" s="142"/>
      <c r="G340" s="142"/>
      <c r="H340" s="142"/>
      <c r="I340" s="142"/>
      <c r="J340" s="142"/>
      <c r="K340" s="132"/>
      <c r="L340" s="131"/>
      <c r="M340" s="131"/>
      <c r="N340" s="142"/>
      <c r="O340" s="142"/>
      <c r="P340" s="142"/>
      <c r="Q340" s="142"/>
      <c r="R340" s="142"/>
      <c r="S340" s="142"/>
      <c r="T340" s="131"/>
      <c r="U340" s="131"/>
      <c r="V340" s="131"/>
      <c r="W340" s="131"/>
      <c r="X340" s="131"/>
      <c r="Y340" s="131"/>
      <c r="Z340" s="142"/>
      <c r="AA340" s="142"/>
      <c r="AB340" s="142"/>
      <c r="AC340" s="142"/>
      <c r="AD340" s="142"/>
      <c r="AE340" s="142"/>
      <c r="AF340" s="142"/>
      <c r="AG340" s="142"/>
      <c r="AH340" s="142"/>
      <c r="AI340" s="142"/>
      <c r="AJ340" s="142"/>
      <c r="AK340" s="142"/>
      <c r="AL340" s="142"/>
      <c r="AM340" s="142"/>
      <c r="AN340" s="142"/>
      <c r="AO340" s="142"/>
    </row>
    <row r="341" ht="15.75" customHeight="1">
      <c r="A341" s="142"/>
      <c r="B341" s="142"/>
      <c r="C341" s="142"/>
      <c r="D341" s="142"/>
      <c r="E341" s="131"/>
      <c r="F341" s="142"/>
      <c r="G341" s="142"/>
      <c r="H341" s="142"/>
      <c r="I341" s="142"/>
      <c r="J341" s="142"/>
      <c r="K341" s="132"/>
      <c r="L341" s="131"/>
      <c r="M341" s="131"/>
      <c r="N341" s="142"/>
      <c r="O341" s="142"/>
      <c r="P341" s="142"/>
      <c r="Q341" s="142"/>
      <c r="R341" s="142"/>
      <c r="S341" s="142"/>
      <c r="T341" s="131"/>
      <c r="U341" s="131"/>
      <c r="V341" s="131"/>
      <c r="W341" s="131"/>
      <c r="X341" s="131"/>
      <c r="Y341" s="131"/>
      <c r="Z341" s="142"/>
      <c r="AA341" s="142"/>
      <c r="AB341" s="142"/>
      <c r="AC341" s="142"/>
      <c r="AD341" s="142"/>
      <c r="AE341" s="142"/>
      <c r="AF341" s="142"/>
      <c r="AG341" s="142"/>
      <c r="AH341" s="142"/>
      <c r="AI341" s="142"/>
      <c r="AJ341" s="142"/>
      <c r="AK341" s="142"/>
      <c r="AL341" s="142"/>
      <c r="AM341" s="142"/>
      <c r="AN341" s="142"/>
      <c r="AO341" s="142"/>
    </row>
    <row r="342" ht="15.75" customHeight="1">
      <c r="A342" s="142"/>
      <c r="B342" s="142"/>
      <c r="C342" s="142"/>
      <c r="D342" s="142"/>
      <c r="E342" s="131"/>
      <c r="F342" s="142"/>
      <c r="G342" s="142"/>
      <c r="H342" s="142"/>
      <c r="I342" s="142"/>
      <c r="J342" s="142"/>
      <c r="K342" s="132"/>
      <c r="L342" s="131"/>
      <c r="M342" s="131"/>
      <c r="N342" s="142"/>
      <c r="O342" s="142"/>
      <c r="P342" s="142"/>
      <c r="Q342" s="142"/>
      <c r="R342" s="142"/>
      <c r="S342" s="142"/>
      <c r="T342" s="131"/>
      <c r="U342" s="131"/>
      <c r="V342" s="131"/>
      <c r="W342" s="131"/>
      <c r="X342" s="131"/>
      <c r="Y342" s="131"/>
      <c r="Z342" s="142"/>
      <c r="AA342" s="142"/>
      <c r="AB342" s="142"/>
      <c r="AC342" s="142"/>
      <c r="AD342" s="142"/>
      <c r="AE342" s="142"/>
      <c r="AF342" s="142"/>
      <c r="AG342" s="142"/>
      <c r="AH342" s="142"/>
      <c r="AI342" s="142"/>
      <c r="AJ342" s="142"/>
      <c r="AK342" s="142"/>
      <c r="AL342" s="142"/>
      <c r="AM342" s="142"/>
      <c r="AN342" s="142"/>
      <c r="AO342" s="142"/>
    </row>
    <row r="343" ht="15.75" customHeight="1">
      <c r="A343" s="142"/>
      <c r="B343" s="142"/>
      <c r="C343" s="142"/>
      <c r="D343" s="142"/>
      <c r="E343" s="131"/>
      <c r="F343" s="142"/>
      <c r="G343" s="142"/>
      <c r="H343" s="142"/>
      <c r="I343" s="142"/>
      <c r="J343" s="142"/>
      <c r="K343" s="132"/>
      <c r="L343" s="131"/>
      <c r="M343" s="131"/>
      <c r="N343" s="142"/>
      <c r="O343" s="142"/>
      <c r="P343" s="142"/>
      <c r="Q343" s="142"/>
      <c r="R343" s="142"/>
      <c r="S343" s="142"/>
      <c r="T343" s="131"/>
      <c r="U343" s="131"/>
      <c r="V343" s="131"/>
      <c r="W343" s="131"/>
      <c r="X343" s="131"/>
      <c r="Y343" s="131"/>
      <c r="Z343" s="142"/>
      <c r="AA343" s="142"/>
      <c r="AB343" s="142"/>
      <c r="AC343" s="142"/>
      <c r="AD343" s="142"/>
      <c r="AE343" s="142"/>
      <c r="AF343" s="142"/>
      <c r="AG343" s="142"/>
      <c r="AH343" s="142"/>
      <c r="AI343" s="142"/>
      <c r="AJ343" s="142"/>
      <c r="AK343" s="142"/>
      <c r="AL343" s="142"/>
      <c r="AM343" s="142"/>
      <c r="AN343" s="142"/>
      <c r="AO343" s="142"/>
    </row>
    <row r="344" ht="15.75" customHeight="1">
      <c r="A344" s="142"/>
      <c r="B344" s="142"/>
      <c r="C344" s="142"/>
      <c r="D344" s="142"/>
      <c r="E344" s="131"/>
      <c r="F344" s="142"/>
      <c r="G344" s="142"/>
      <c r="H344" s="142"/>
      <c r="I344" s="142"/>
      <c r="J344" s="142"/>
      <c r="K344" s="132"/>
      <c r="L344" s="131"/>
      <c r="M344" s="131"/>
      <c r="N344" s="142"/>
      <c r="O344" s="142"/>
      <c r="P344" s="142"/>
      <c r="Q344" s="142"/>
      <c r="R344" s="142"/>
      <c r="S344" s="142"/>
      <c r="T344" s="131"/>
      <c r="U344" s="131"/>
      <c r="V344" s="131"/>
      <c r="W344" s="131"/>
      <c r="X344" s="131"/>
      <c r="Y344" s="131"/>
      <c r="Z344" s="142"/>
      <c r="AA344" s="142"/>
      <c r="AB344" s="142"/>
      <c r="AC344" s="142"/>
      <c r="AD344" s="142"/>
      <c r="AE344" s="142"/>
      <c r="AF344" s="142"/>
      <c r="AG344" s="142"/>
      <c r="AH344" s="142"/>
      <c r="AI344" s="142"/>
      <c r="AJ344" s="142"/>
      <c r="AK344" s="142"/>
      <c r="AL344" s="142"/>
      <c r="AM344" s="142"/>
      <c r="AN344" s="142"/>
      <c r="AO344" s="142"/>
    </row>
    <row r="345" ht="15.75" customHeight="1">
      <c r="A345" s="142"/>
      <c r="B345" s="142"/>
      <c r="C345" s="142"/>
      <c r="D345" s="142"/>
      <c r="E345" s="131"/>
      <c r="F345" s="142"/>
      <c r="G345" s="142"/>
      <c r="H345" s="142"/>
      <c r="I345" s="142"/>
      <c r="J345" s="142"/>
      <c r="K345" s="132"/>
      <c r="L345" s="131"/>
      <c r="M345" s="131"/>
      <c r="N345" s="142"/>
      <c r="O345" s="142"/>
      <c r="P345" s="142"/>
      <c r="Q345" s="142"/>
      <c r="R345" s="142"/>
      <c r="S345" s="142"/>
      <c r="T345" s="131"/>
      <c r="U345" s="131"/>
      <c r="V345" s="131"/>
      <c r="W345" s="131"/>
      <c r="X345" s="131"/>
      <c r="Y345" s="131"/>
      <c r="Z345" s="142"/>
      <c r="AA345" s="142"/>
      <c r="AB345" s="142"/>
      <c r="AC345" s="142"/>
      <c r="AD345" s="142"/>
      <c r="AE345" s="142"/>
      <c r="AF345" s="142"/>
      <c r="AG345" s="142"/>
      <c r="AH345" s="142"/>
      <c r="AI345" s="142"/>
      <c r="AJ345" s="142"/>
      <c r="AK345" s="142"/>
      <c r="AL345" s="142"/>
      <c r="AM345" s="142"/>
      <c r="AN345" s="142"/>
      <c r="AO345" s="142"/>
    </row>
    <row r="346" ht="15.75" customHeight="1">
      <c r="A346" s="142"/>
      <c r="B346" s="142"/>
      <c r="C346" s="142"/>
      <c r="D346" s="142"/>
      <c r="E346" s="131"/>
      <c r="F346" s="142"/>
      <c r="G346" s="142"/>
      <c r="H346" s="142"/>
      <c r="I346" s="142"/>
      <c r="J346" s="142"/>
      <c r="K346" s="132"/>
      <c r="L346" s="131"/>
      <c r="M346" s="131"/>
      <c r="N346" s="142"/>
      <c r="O346" s="142"/>
      <c r="P346" s="142"/>
      <c r="Q346" s="142"/>
      <c r="R346" s="142"/>
      <c r="S346" s="142"/>
      <c r="T346" s="131"/>
      <c r="U346" s="131"/>
      <c r="V346" s="131"/>
      <c r="W346" s="131"/>
      <c r="X346" s="131"/>
      <c r="Y346" s="131"/>
      <c r="Z346" s="142"/>
      <c r="AA346" s="142"/>
      <c r="AB346" s="142"/>
      <c r="AC346" s="142"/>
      <c r="AD346" s="142"/>
      <c r="AE346" s="142"/>
      <c r="AF346" s="142"/>
      <c r="AG346" s="142"/>
      <c r="AH346" s="142"/>
      <c r="AI346" s="142"/>
      <c r="AJ346" s="142"/>
      <c r="AK346" s="142"/>
      <c r="AL346" s="142"/>
      <c r="AM346" s="142"/>
      <c r="AN346" s="142"/>
      <c r="AO346" s="142"/>
    </row>
    <row r="347" ht="15.75" customHeight="1">
      <c r="A347" s="142"/>
      <c r="B347" s="142"/>
      <c r="C347" s="142"/>
      <c r="D347" s="142"/>
      <c r="E347" s="131"/>
      <c r="F347" s="142"/>
      <c r="G347" s="142"/>
      <c r="H347" s="142"/>
      <c r="I347" s="142"/>
      <c r="J347" s="142"/>
      <c r="K347" s="132"/>
      <c r="L347" s="131"/>
      <c r="M347" s="131"/>
      <c r="N347" s="142"/>
      <c r="O347" s="142"/>
      <c r="P347" s="142"/>
      <c r="Q347" s="142"/>
      <c r="R347" s="142"/>
      <c r="S347" s="142"/>
      <c r="T347" s="131"/>
      <c r="U347" s="131"/>
      <c r="V347" s="131"/>
      <c r="W347" s="131"/>
      <c r="X347" s="131"/>
      <c r="Y347" s="131"/>
      <c r="Z347" s="142"/>
      <c r="AA347" s="142"/>
      <c r="AB347" s="142"/>
      <c r="AC347" s="142"/>
      <c r="AD347" s="142"/>
      <c r="AE347" s="142"/>
      <c r="AF347" s="142"/>
      <c r="AG347" s="142"/>
      <c r="AH347" s="142"/>
      <c r="AI347" s="142"/>
      <c r="AJ347" s="142"/>
      <c r="AK347" s="142"/>
      <c r="AL347" s="142"/>
      <c r="AM347" s="142"/>
      <c r="AN347" s="142"/>
      <c r="AO347" s="142"/>
    </row>
    <row r="348" ht="15.75" customHeight="1">
      <c r="A348" s="142"/>
      <c r="B348" s="142"/>
      <c r="C348" s="142"/>
      <c r="D348" s="142"/>
      <c r="E348" s="131"/>
      <c r="F348" s="142"/>
      <c r="G348" s="142"/>
      <c r="H348" s="142"/>
      <c r="I348" s="142"/>
      <c r="J348" s="142"/>
      <c r="K348" s="132"/>
      <c r="L348" s="131"/>
      <c r="M348" s="131"/>
      <c r="N348" s="142"/>
      <c r="O348" s="142"/>
      <c r="P348" s="142"/>
      <c r="Q348" s="142"/>
      <c r="R348" s="142"/>
      <c r="S348" s="142"/>
      <c r="T348" s="131"/>
      <c r="U348" s="131"/>
      <c r="V348" s="131"/>
      <c r="W348" s="131"/>
      <c r="X348" s="131"/>
      <c r="Y348" s="131"/>
      <c r="Z348" s="142"/>
      <c r="AA348" s="142"/>
      <c r="AB348" s="142"/>
      <c r="AC348" s="142"/>
      <c r="AD348" s="142"/>
      <c r="AE348" s="142"/>
      <c r="AF348" s="142"/>
      <c r="AG348" s="142"/>
      <c r="AH348" s="142"/>
      <c r="AI348" s="142"/>
      <c r="AJ348" s="142"/>
      <c r="AK348" s="142"/>
      <c r="AL348" s="142"/>
      <c r="AM348" s="142"/>
      <c r="AN348" s="142"/>
      <c r="AO348" s="142"/>
    </row>
    <row r="349" ht="15.75" customHeight="1">
      <c r="A349" s="142"/>
      <c r="B349" s="142"/>
      <c r="C349" s="142"/>
      <c r="D349" s="142"/>
      <c r="E349" s="131"/>
      <c r="F349" s="142"/>
      <c r="G349" s="142"/>
      <c r="H349" s="142"/>
      <c r="I349" s="142"/>
      <c r="J349" s="142"/>
      <c r="K349" s="132"/>
      <c r="L349" s="131"/>
      <c r="M349" s="131"/>
      <c r="N349" s="142"/>
      <c r="O349" s="142"/>
      <c r="P349" s="142"/>
      <c r="Q349" s="142"/>
      <c r="R349" s="142"/>
      <c r="S349" s="142"/>
      <c r="T349" s="131"/>
      <c r="U349" s="131"/>
      <c r="V349" s="131"/>
      <c r="W349" s="131"/>
      <c r="X349" s="131"/>
      <c r="Y349" s="131"/>
      <c r="Z349" s="142"/>
      <c r="AA349" s="142"/>
      <c r="AB349" s="142"/>
      <c r="AC349" s="142"/>
      <c r="AD349" s="142"/>
      <c r="AE349" s="142"/>
      <c r="AF349" s="142"/>
      <c r="AG349" s="142"/>
      <c r="AH349" s="142"/>
      <c r="AI349" s="142"/>
      <c r="AJ349" s="142"/>
      <c r="AK349" s="142"/>
      <c r="AL349" s="142"/>
      <c r="AM349" s="142"/>
      <c r="AN349" s="142"/>
      <c r="AO349" s="142"/>
    </row>
    <row r="350" ht="15.75" customHeight="1">
      <c r="A350" s="142"/>
      <c r="B350" s="142"/>
      <c r="C350" s="142"/>
      <c r="D350" s="142"/>
      <c r="E350" s="131"/>
      <c r="F350" s="142"/>
      <c r="G350" s="142"/>
      <c r="H350" s="142"/>
      <c r="I350" s="142"/>
      <c r="J350" s="142"/>
      <c r="K350" s="132"/>
      <c r="L350" s="131"/>
      <c r="M350" s="131"/>
      <c r="N350" s="142"/>
      <c r="O350" s="142"/>
      <c r="P350" s="142"/>
      <c r="Q350" s="142"/>
      <c r="R350" s="142"/>
      <c r="S350" s="142"/>
      <c r="T350" s="131"/>
      <c r="U350" s="131"/>
      <c r="V350" s="131"/>
      <c r="W350" s="131"/>
      <c r="X350" s="131"/>
      <c r="Y350" s="131"/>
      <c r="Z350" s="142"/>
      <c r="AA350" s="142"/>
      <c r="AB350" s="142"/>
      <c r="AC350" s="142"/>
      <c r="AD350" s="142"/>
      <c r="AE350" s="142"/>
      <c r="AF350" s="142"/>
      <c r="AG350" s="142"/>
      <c r="AH350" s="142"/>
      <c r="AI350" s="142"/>
      <c r="AJ350" s="142"/>
      <c r="AK350" s="142"/>
      <c r="AL350" s="142"/>
      <c r="AM350" s="142"/>
      <c r="AN350" s="142"/>
      <c r="AO350" s="142"/>
    </row>
    <row r="351" ht="15.75" customHeight="1">
      <c r="A351" s="142"/>
      <c r="B351" s="142"/>
      <c r="C351" s="142"/>
      <c r="D351" s="142"/>
      <c r="E351" s="131"/>
      <c r="F351" s="142"/>
      <c r="G351" s="142"/>
      <c r="H351" s="142"/>
      <c r="I351" s="142"/>
      <c r="J351" s="142"/>
      <c r="K351" s="132"/>
      <c r="L351" s="131"/>
      <c r="M351" s="131"/>
      <c r="N351" s="142"/>
      <c r="O351" s="142"/>
      <c r="P351" s="142"/>
      <c r="Q351" s="142"/>
      <c r="R351" s="142"/>
      <c r="S351" s="142"/>
      <c r="T351" s="131"/>
      <c r="U351" s="131"/>
      <c r="V351" s="131"/>
      <c r="W351" s="131"/>
      <c r="X351" s="131"/>
      <c r="Y351" s="131"/>
      <c r="Z351" s="142"/>
      <c r="AA351" s="142"/>
      <c r="AB351" s="142"/>
      <c r="AC351" s="142"/>
      <c r="AD351" s="142"/>
      <c r="AE351" s="142"/>
      <c r="AF351" s="142"/>
      <c r="AG351" s="142"/>
      <c r="AH351" s="142"/>
      <c r="AI351" s="142"/>
      <c r="AJ351" s="142"/>
      <c r="AK351" s="142"/>
      <c r="AL351" s="142"/>
      <c r="AM351" s="142"/>
      <c r="AN351" s="142"/>
      <c r="AO351" s="142"/>
    </row>
    <row r="352" ht="15.75" customHeight="1">
      <c r="A352" s="142"/>
      <c r="B352" s="142"/>
      <c r="C352" s="142"/>
      <c r="D352" s="142"/>
      <c r="E352" s="131"/>
      <c r="F352" s="142"/>
      <c r="G352" s="142"/>
      <c r="H352" s="142"/>
      <c r="I352" s="142"/>
      <c r="J352" s="142"/>
      <c r="K352" s="132"/>
      <c r="L352" s="131"/>
      <c r="M352" s="131"/>
      <c r="N352" s="142"/>
      <c r="O352" s="142"/>
      <c r="P352" s="142"/>
      <c r="Q352" s="142"/>
      <c r="R352" s="142"/>
      <c r="S352" s="142"/>
      <c r="T352" s="131"/>
      <c r="U352" s="131"/>
      <c r="V352" s="131"/>
      <c r="W352" s="131"/>
      <c r="X352" s="131"/>
      <c r="Y352" s="131"/>
      <c r="Z352" s="142"/>
      <c r="AA352" s="142"/>
      <c r="AB352" s="142"/>
      <c r="AC352" s="142"/>
      <c r="AD352" s="142"/>
      <c r="AE352" s="142"/>
      <c r="AF352" s="142"/>
      <c r="AG352" s="142"/>
      <c r="AH352" s="142"/>
      <c r="AI352" s="142"/>
      <c r="AJ352" s="142"/>
      <c r="AK352" s="142"/>
      <c r="AL352" s="142"/>
      <c r="AM352" s="142"/>
      <c r="AN352" s="142"/>
      <c r="AO352" s="142"/>
    </row>
    <row r="353" ht="15.75" customHeight="1">
      <c r="A353" s="142"/>
      <c r="B353" s="142"/>
      <c r="C353" s="142"/>
      <c r="D353" s="142"/>
      <c r="E353" s="131"/>
      <c r="F353" s="142"/>
      <c r="G353" s="142"/>
      <c r="H353" s="142"/>
      <c r="I353" s="142"/>
      <c r="J353" s="142"/>
      <c r="K353" s="132"/>
      <c r="L353" s="131"/>
      <c r="M353" s="131"/>
      <c r="N353" s="142"/>
      <c r="O353" s="142"/>
      <c r="P353" s="142"/>
      <c r="Q353" s="142"/>
      <c r="R353" s="142"/>
      <c r="S353" s="142"/>
      <c r="T353" s="131"/>
      <c r="U353" s="131"/>
      <c r="V353" s="131"/>
      <c r="W353" s="131"/>
      <c r="X353" s="131"/>
      <c r="Y353" s="131"/>
      <c r="Z353" s="142"/>
      <c r="AA353" s="142"/>
      <c r="AB353" s="142"/>
      <c r="AC353" s="142"/>
      <c r="AD353" s="142"/>
      <c r="AE353" s="142"/>
      <c r="AF353" s="142"/>
      <c r="AG353" s="142"/>
      <c r="AH353" s="142"/>
      <c r="AI353" s="142"/>
      <c r="AJ353" s="142"/>
      <c r="AK353" s="142"/>
      <c r="AL353" s="142"/>
      <c r="AM353" s="142"/>
      <c r="AN353" s="142"/>
      <c r="AO353" s="142"/>
    </row>
    <row r="354" ht="15.75" customHeight="1">
      <c r="A354" s="142"/>
      <c r="B354" s="142"/>
      <c r="C354" s="142"/>
      <c r="D354" s="142"/>
      <c r="E354" s="131"/>
      <c r="F354" s="142"/>
      <c r="G354" s="142"/>
      <c r="H354" s="142"/>
      <c r="I354" s="142"/>
      <c r="J354" s="142"/>
      <c r="K354" s="132"/>
      <c r="L354" s="131"/>
      <c r="M354" s="131"/>
      <c r="N354" s="142"/>
      <c r="O354" s="142"/>
      <c r="P354" s="142"/>
      <c r="Q354" s="142"/>
      <c r="R354" s="142"/>
      <c r="S354" s="142"/>
      <c r="T354" s="131"/>
      <c r="U354" s="131"/>
      <c r="V354" s="131"/>
      <c r="W354" s="131"/>
      <c r="X354" s="131"/>
      <c r="Y354" s="131"/>
      <c r="Z354" s="142"/>
      <c r="AA354" s="142"/>
      <c r="AB354" s="142"/>
      <c r="AC354" s="142"/>
      <c r="AD354" s="142"/>
      <c r="AE354" s="142"/>
      <c r="AF354" s="142"/>
      <c r="AG354" s="142"/>
      <c r="AH354" s="142"/>
      <c r="AI354" s="142"/>
      <c r="AJ354" s="142"/>
      <c r="AK354" s="142"/>
      <c r="AL354" s="142"/>
      <c r="AM354" s="142"/>
      <c r="AN354" s="142"/>
      <c r="AO354" s="142"/>
    </row>
    <row r="355" ht="15.75" customHeight="1">
      <c r="A355" s="142"/>
      <c r="B355" s="142"/>
      <c r="C355" s="142"/>
      <c r="D355" s="142"/>
      <c r="E355" s="131"/>
      <c r="F355" s="142"/>
      <c r="G355" s="142"/>
      <c r="H355" s="142"/>
      <c r="I355" s="142"/>
      <c r="J355" s="142"/>
      <c r="K355" s="132"/>
      <c r="L355" s="131"/>
      <c r="M355" s="131"/>
      <c r="N355" s="142"/>
      <c r="O355" s="142"/>
      <c r="P355" s="142"/>
      <c r="Q355" s="142"/>
      <c r="R355" s="142"/>
      <c r="S355" s="142"/>
      <c r="T355" s="131"/>
      <c r="U355" s="131"/>
      <c r="V355" s="131"/>
      <c r="W355" s="131"/>
      <c r="X355" s="131"/>
      <c r="Y355" s="131"/>
      <c r="Z355" s="142"/>
      <c r="AA355" s="142"/>
      <c r="AB355" s="142"/>
      <c r="AC355" s="142"/>
      <c r="AD355" s="142"/>
      <c r="AE355" s="142"/>
      <c r="AF355" s="142"/>
      <c r="AG355" s="142"/>
      <c r="AH355" s="142"/>
      <c r="AI355" s="142"/>
      <c r="AJ355" s="142"/>
      <c r="AK355" s="142"/>
      <c r="AL355" s="142"/>
      <c r="AM355" s="142"/>
      <c r="AN355" s="142"/>
      <c r="AO355" s="142"/>
    </row>
    <row r="356" ht="15.75" customHeight="1">
      <c r="A356" s="142"/>
      <c r="B356" s="142"/>
      <c r="C356" s="142"/>
      <c r="D356" s="142"/>
      <c r="E356" s="131"/>
      <c r="F356" s="142"/>
      <c r="G356" s="142"/>
      <c r="H356" s="142"/>
      <c r="I356" s="142"/>
      <c r="J356" s="142"/>
      <c r="K356" s="132"/>
      <c r="L356" s="131"/>
      <c r="M356" s="131"/>
      <c r="N356" s="142"/>
      <c r="O356" s="142"/>
      <c r="P356" s="142"/>
      <c r="Q356" s="142"/>
      <c r="R356" s="142"/>
      <c r="S356" s="142"/>
      <c r="T356" s="131"/>
      <c r="U356" s="131"/>
      <c r="V356" s="131"/>
      <c r="W356" s="131"/>
      <c r="X356" s="131"/>
      <c r="Y356" s="131"/>
      <c r="Z356" s="142"/>
      <c r="AA356" s="142"/>
      <c r="AB356" s="142"/>
      <c r="AC356" s="142"/>
      <c r="AD356" s="142"/>
      <c r="AE356" s="142"/>
      <c r="AF356" s="142"/>
      <c r="AG356" s="142"/>
      <c r="AH356" s="142"/>
      <c r="AI356" s="142"/>
      <c r="AJ356" s="142"/>
      <c r="AK356" s="142"/>
      <c r="AL356" s="142"/>
      <c r="AM356" s="142"/>
      <c r="AN356" s="142"/>
      <c r="AO356" s="142"/>
    </row>
    <row r="357" ht="15.75" customHeight="1">
      <c r="A357" s="142"/>
      <c r="B357" s="142"/>
      <c r="C357" s="142"/>
      <c r="D357" s="142"/>
      <c r="E357" s="131"/>
      <c r="F357" s="142"/>
      <c r="G357" s="142"/>
      <c r="H357" s="142"/>
      <c r="I357" s="142"/>
      <c r="J357" s="142"/>
      <c r="K357" s="132"/>
      <c r="L357" s="131"/>
      <c r="M357" s="131"/>
      <c r="N357" s="142"/>
      <c r="O357" s="142"/>
      <c r="P357" s="142"/>
      <c r="Q357" s="142"/>
      <c r="R357" s="142"/>
      <c r="S357" s="142"/>
      <c r="T357" s="131"/>
      <c r="U357" s="131"/>
      <c r="V357" s="131"/>
      <c r="W357" s="131"/>
      <c r="X357" s="131"/>
      <c r="Y357" s="131"/>
      <c r="Z357" s="142"/>
      <c r="AA357" s="142"/>
      <c r="AB357" s="142"/>
      <c r="AC357" s="142"/>
      <c r="AD357" s="142"/>
      <c r="AE357" s="142"/>
      <c r="AF357" s="142"/>
      <c r="AG357" s="142"/>
      <c r="AH357" s="142"/>
      <c r="AI357" s="142"/>
      <c r="AJ357" s="142"/>
      <c r="AK357" s="142"/>
      <c r="AL357" s="142"/>
      <c r="AM357" s="142"/>
      <c r="AN357" s="142"/>
      <c r="AO357" s="142"/>
    </row>
    <row r="358" ht="15.75" customHeight="1">
      <c r="A358" s="142"/>
      <c r="B358" s="142"/>
      <c r="C358" s="142"/>
      <c r="D358" s="142"/>
      <c r="E358" s="131"/>
      <c r="F358" s="142"/>
      <c r="G358" s="142"/>
      <c r="H358" s="142"/>
      <c r="I358" s="142"/>
      <c r="J358" s="142"/>
      <c r="K358" s="132"/>
      <c r="L358" s="131"/>
      <c r="M358" s="131"/>
      <c r="N358" s="142"/>
      <c r="O358" s="142"/>
      <c r="P358" s="142"/>
      <c r="Q358" s="142"/>
      <c r="R358" s="142"/>
      <c r="S358" s="142"/>
      <c r="T358" s="131"/>
      <c r="U358" s="131"/>
      <c r="V358" s="131"/>
      <c r="W358" s="131"/>
      <c r="X358" s="131"/>
      <c r="Y358" s="131"/>
      <c r="Z358" s="142"/>
      <c r="AA358" s="142"/>
      <c r="AB358" s="142"/>
      <c r="AC358" s="142"/>
      <c r="AD358" s="142"/>
      <c r="AE358" s="142"/>
      <c r="AF358" s="142"/>
      <c r="AG358" s="142"/>
      <c r="AH358" s="142"/>
      <c r="AI358" s="142"/>
      <c r="AJ358" s="142"/>
      <c r="AK358" s="142"/>
      <c r="AL358" s="142"/>
      <c r="AM358" s="142"/>
      <c r="AN358" s="142"/>
      <c r="AO358" s="142"/>
    </row>
    <row r="359" ht="15.75" customHeight="1">
      <c r="A359" s="142"/>
      <c r="B359" s="142"/>
      <c r="C359" s="142"/>
      <c r="D359" s="142"/>
      <c r="E359" s="131"/>
      <c r="F359" s="142"/>
      <c r="G359" s="142"/>
      <c r="H359" s="142"/>
      <c r="I359" s="142"/>
      <c r="J359" s="142"/>
      <c r="K359" s="132"/>
      <c r="L359" s="131"/>
      <c r="M359" s="131"/>
      <c r="N359" s="142"/>
      <c r="O359" s="142"/>
      <c r="P359" s="142"/>
      <c r="Q359" s="142"/>
      <c r="R359" s="142"/>
      <c r="S359" s="142"/>
      <c r="T359" s="131"/>
      <c r="U359" s="131"/>
      <c r="V359" s="131"/>
      <c r="W359" s="131"/>
      <c r="X359" s="131"/>
      <c r="Y359" s="131"/>
      <c r="Z359" s="142"/>
      <c r="AA359" s="142"/>
      <c r="AB359" s="142"/>
      <c r="AC359" s="142"/>
      <c r="AD359" s="142"/>
      <c r="AE359" s="142"/>
      <c r="AF359" s="142"/>
      <c r="AG359" s="142"/>
      <c r="AH359" s="142"/>
      <c r="AI359" s="142"/>
      <c r="AJ359" s="142"/>
      <c r="AK359" s="142"/>
      <c r="AL359" s="142"/>
      <c r="AM359" s="142"/>
      <c r="AN359" s="142"/>
      <c r="AO359" s="142"/>
    </row>
    <row r="360" ht="15.75" customHeight="1">
      <c r="A360" s="142"/>
      <c r="B360" s="142"/>
      <c r="C360" s="142"/>
      <c r="D360" s="142"/>
      <c r="E360" s="131"/>
      <c r="F360" s="142"/>
      <c r="G360" s="142"/>
      <c r="H360" s="142"/>
      <c r="I360" s="142"/>
      <c r="J360" s="142"/>
      <c r="K360" s="132"/>
      <c r="L360" s="131"/>
      <c r="M360" s="131"/>
      <c r="N360" s="142"/>
      <c r="O360" s="142"/>
      <c r="P360" s="142"/>
      <c r="Q360" s="142"/>
      <c r="R360" s="142"/>
      <c r="S360" s="142"/>
      <c r="T360" s="131"/>
      <c r="U360" s="131"/>
      <c r="V360" s="131"/>
      <c r="W360" s="131"/>
      <c r="X360" s="131"/>
      <c r="Y360" s="131"/>
      <c r="Z360" s="142"/>
      <c r="AA360" s="142"/>
      <c r="AB360" s="142"/>
      <c r="AC360" s="142"/>
      <c r="AD360" s="142"/>
      <c r="AE360" s="142"/>
      <c r="AF360" s="142"/>
      <c r="AG360" s="142"/>
      <c r="AH360" s="142"/>
      <c r="AI360" s="142"/>
      <c r="AJ360" s="142"/>
      <c r="AK360" s="142"/>
      <c r="AL360" s="142"/>
      <c r="AM360" s="142"/>
      <c r="AN360" s="142"/>
      <c r="AO360" s="142"/>
    </row>
    <row r="361" ht="15.75" customHeight="1">
      <c r="A361" s="142"/>
      <c r="B361" s="142"/>
      <c r="C361" s="142"/>
      <c r="D361" s="142"/>
      <c r="E361" s="131"/>
      <c r="F361" s="142"/>
      <c r="G361" s="142"/>
      <c r="H361" s="142"/>
      <c r="I361" s="142"/>
      <c r="J361" s="142"/>
      <c r="K361" s="132"/>
      <c r="L361" s="131"/>
      <c r="M361" s="131"/>
      <c r="N361" s="142"/>
      <c r="O361" s="142"/>
      <c r="P361" s="142"/>
      <c r="Q361" s="142"/>
      <c r="R361" s="142"/>
      <c r="S361" s="142"/>
      <c r="T361" s="131"/>
      <c r="U361" s="131"/>
      <c r="V361" s="131"/>
      <c r="W361" s="131"/>
      <c r="X361" s="131"/>
      <c r="Y361" s="131"/>
      <c r="Z361" s="142"/>
      <c r="AA361" s="142"/>
      <c r="AB361" s="142"/>
      <c r="AC361" s="142"/>
      <c r="AD361" s="142"/>
      <c r="AE361" s="142"/>
      <c r="AF361" s="142"/>
      <c r="AG361" s="142"/>
      <c r="AH361" s="142"/>
      <c r="AI361" s="142"/>
      <c r="AJ361" s="142"/>
      <c r="AK361" s="142"/>
      <c r="AL361" s="142"/>
      <c r="AM361" s="142"/>
      <c r="AN361" s="142"/>
      <c r="AO361" s="142"/>
    </row>
    <row r="362" ht="15.75" customHeight="1">
      <c r="A362" s="142"/>
      <c r="B362" s="142"/>
      <c r="C362" s="142"/>
      <c r="D362" s="142"/>
      <c r="E362" s="131"/>
      <c r="F362" s="142"/>
      <c r="G362" s="142"/>
      <c r="H362" s="142"/>
      <c r="I362" s="142"/>
      <c r="J362" s="142"/>
      <c r="K362" s="132"/>
      <c r="L362" s="131"/>
      <c r="M362" s="131"/>
      <c r="N362" s="142"/>
      <c r="O362" s="142"/>
      <c r="P362" s="142"/>
      <c r="Q362" s="142"/>
      <c r="R362" s="142"/>
      <c r="S362" s="142"/>
      <c r="T362" s="131"/>
      <c r="U362" s="131"/>
      <c r="V362" s="131"/>
      <c r="W362" s="131"/>
      <c r="X362" s="131"/>
      <c r="Y362" s="131"/>
      <c r="Z362" s="142"/>
      <c r="AA362" s="142"/>
      <c r="AB362" s="142"/>
      <c r="AC362" s="142"/>
      <c r="AD362" s="142"/>
      <c r="AE362" s="142"/>
      <c r="AF362" s="142"/>
      <c r="AG362" s="142"/>
      <c r="AH362" s="142"/>
      <c r="AI362" s="142"/>
      <c r="AJ362" s="142"/>
      <c r="AK362" s="142"/>
      <c r="AL362" s="142"/>
      <c r="AM362" s="142"/>
      <c r="AN362" s="142"/>
      <c r="AO362" s="142"/>
    </row>
    <row r="363" ht="15.75" customHeight="1">
      <c r="A363" s="142"/>
      <c r="B363" s="142"/>
      <c r="C363" s="142"/>
      <c r="D363" s="142"/>
      <c r="E363" s="131"/>
      <c r="F363" s="142"/>
      <c r="G363" s="142"/>
      <c r="H363" s="142"/>
      <c r="I363" s="142"/>
      <c r="J363" s="142"/>
      <c r="K363" s="132"/>
      <c r="L363" s="131"/>
      <c r="M363" s="131"/>
      <c r="N363" s="142"/>
      <c r="O363" s="142"/>
      <c r="P363" s="142"/>
      <c r="Q363" s="142"/>
      <c r="R363" s="142"/>
      <c r="S363" s="142"/>
      <c r="T363" s="131"/>
      <c r="U363" s="131"/>
      <c r="V363" s="131"/>
      <c r="W363" s="131"/>
      <c r="X363" s="131"/>
      <c r="Y363" s="131"/>
      <c r="Z363" s="142"/>
      <c r="AA363" s="142"/>
      <c r="AB363" s="142"/>
      <c r="AC363" s="142"/>
      <c r="AD363" s="142"/>
      <c r="AE363" s="142"/>
      <c r="AF363" s="142"/>
      <c r="AG363" s="142"/>
      <c r="AH363" s="142"/>
      <c r="AI363" s="142"/>
      <c r="AJ363" s="142"/>
      <c r="AK363" s="142"/>
      <c r="AL363" s="142"/>
      <c r="AM363" s="142"/>
      <c r="AN363" s="142"/>
      <c r="AO363" s="142"/>
    </row>
    <row r="364" ht="15.75" customHeight="1">
      <c r="A364" s="142"/>
      <c r="B364" s="142"/>
      <c r="C364" s="142"/>
      <c r="D364" s="142"/>
      <c r="E364" s="131"/>
      <c r="F364" s="142"/>
      <c r="G364" s="142"/>
      <c r="H364" s="142"/>
      <c r="I364" s="142"/>
      <c r="J364" s="142"/>
      <c r="K364" s="132"/>
      <c r="L364" s="131"/>
      <c r="M364" s="131"/>
      <c r="N364" s="142"/>
      <c r="O364" s="142"/>
      <c r="P364" s="142"/>
      <c r="Q364" s="142"/>
      <c r="R364" s="142"/>
      <c r="S364" s="142"/>
      <c r="T364" s="131"/>
      <c r="U364" s="131"/>
      <c r="V364" s="131"/>
      <c r="W364" s="131"/>
      <c r="X364" s="131"/>
      <c r="Y364" s="131"/>
      <c r="Z364" s="142"/>
      <c r="AA364" s="142"/>
      <c r="AB364" s="142"/>
      <c r="AC364" s="142"/>
      <c r="AD364" s="142"/>
      <c r="AE364" s="142"/>
      <c r="AF364" s="142"/>
      <c r="AG364" s="142"/>
      <c r="AH364" s="142"/>
      <c r="AI364" s="142"/>
      <c r="AJ364" s="142"/>
      <c r="AK364" s="142"/>
      <c r="AL364" s="142"/>
      <c r="AM364" s="142"/>
      <c r="AN364" s="142"/>
      <c r="AO364" s="142"/>
    </row>
    <row r="365" ht="15.75" customHeight="1">
      <c r="A365" s="142"/>
      <c r="B365" s="142"/>
      <c r="C365" s="142"/>
      <c r="D365" s="142"/>
      <c r="E365" s="131"/>
      <c r="F365" s="142"/>
      <c r="G365" s="142"/>
      <c r="H365" s="142"/>
      <c r="I365" s="142"/>
      <c r="J365" s="142"/>
      <c r="K365" s="132"/>
      <c r="L365" s="131"/>
      <c r="M365" s="131"/>
      <c r="N365" s="142"/>
      <c r="O365" s="142"/>
      <c r="P365" s="142"/>
      <c r="Q365" s="142"/>
      <c r="R365" s="142"/>
      <c r="S365" s="142"/>
      <c r="T365" s="131"/>
      <c r="U365" s="131"/>
      <c r="V365" s="131"/>
      <c r="W365" s="131"/>
      <c r="X365" s="131"/>
      <c r="Y365" s="131"/>
      <c r="Z365" s="142"/>
      <c r="AA365" s="142"/>
      <c r="AB365" s="142"/>
      <c r="AC365" s="142"/>
      <c r="AD365" s="142"/>
      <c r="AE365" s="142"/>
      <c r="AF365" s="142"/>
      <c r="AG365" s="142"/>
      <c r="AH365" s="142"/>
      <c r="AI365" s="142"/>
      <c r="AJ365" s="142"/>
      <c r="AK365" s="142"/>
      <c r="AL365" s="142"/>
      <c r="AM365" s="142"/>
      <c r="AN365" s="142"/>
      <c r="AO365" s="142"/>
    </row>
    <row r="366" ht="15.75" customHeight="1">
      <c r="A366" s="142"/>
      <c r="B366" s="142"/>
      <c r="C366" s="142"/>
      <c r="D366" s="142"/>
      <c r="E366" s="131"/>
      <c r="F366" s="142"/>
      <c r="G366" s="142"/>
      <c r="H366" s="142"/>
      <c r="I366" s="142"/>
      <c r="J366" s="142"/>
      <c r="K366" s="132"/>
      <c r="L366" s="131"/>
      <c r="M366" s="131"/>
      <c r="N366" s="142"/>
      <c r="O366" s="142"/>
      <c r="P366" s="142"/>
      <c r="Q366" s="142"/>
      <c r="R366" s="142"/>
      <c r="S366" s="142"/>
      <c r="T366" s="131"/>
      <c r="U366" s="131"/>
      <c r="V366" s="131"/>
      <c r="W366" s="131"/>
      <c r="X366" s="131"/>
      <c r="Y366" s="131"/>
      <c r="Z366" s="142"/>
      <c r="AA366" s="142"/>
      <c r="AB366" s="142"/>
      <c r="AC366" s="142"/>
      <c r="AD366" s="142"/>
      <c r="AE366" s="142"/>
      <c r="AF366" s="142"/>
      <c r="AG366" s="142"/>
      <c r="AH366" s="142"/>
      <c r="AI366" s="142"/>
      <c r="AJ366" s="142"/>
      <c r="AK366" s="142"/>
      <c r="AL366" s="142"/>
      <c r="AM366" s="142"/>
      <c r="AN366" s="142"/>
      <c r="AO366" s="142"/>
    </row>
    <row r="367" ht="15.75" customHeight="1">
      <c r="A367" s="142"/>
      <c r="B367" s="142"/>
      <c r="C367" s="142"/>
      <c r="D367" s="142"/>
      <c r="E367" s="131"/>
      <c r="F367" s="142"/>
      <c r="G367" s="142"/>
      <c r="H367" s="142"/>
      <c r="I367" s="142"/>
      <c r="J367" s="142"/>
      <c r="K367" s="132"/>
      <c r="L367" s="131"/>
      <c r="M367" s="131"/>
      <c r="N367" s="142"/>
      <c r="O367" s="142"/>
      <c r="P367" s="142"/>
      <c r="Q367" s="142"/>
      <c r="R367" s="142"/>
      <c r="S367" s="142"/>
      <c r="T367" s="131"/>
      <c r="U367" s="131"/>
      <c r="V367" s="131"/>
      <c r="W367" s="131"/>
      <c r="X367" s="131"/>
      <c r="Y367" s="131"/>
      <c r="Z367" s="142"/>
      <c r="AA367" s="142"/>
      <c r="AB367" s="142"/>
      <c r="AC367" s="142"/>
      <c r="AD367" s="142"/>
      <c r="AE367" s="142"/>
      <c r="AF367" s="142"/>
      <c r="AG367" s="142"/>
      <c r="AH367" s="142"/>
      <c r="AI367" s="142"/>
      <c r="AJ367" s="142"/>
      <c r="AK367" s="142"/>
      <c r="AL367" s="142"/>
      <c r="AM367" s="142"/>
      <c r="AN367" s="142"/>
      <c r="AO367" s="142"/>
    </row>
    <row r="368" ht="15.75" customHeight="1">
      <c r="A368" s="142"/>
      <c r="B368" s="142"/>
      <c r="C368" s="142"/>
      <c r="D368" s="142"/>
      <c r="E368" s="131"/>
      <c r="F368" s="142"/>
      <c r="G368" s="142"/>
      <c r="H368" s="142"/>
      <c r="I368" s="142"/>
      <c r="J368" s="142"/>
      <c r="K368" s="132"/>
      <c r="L368" s="131"/>
      <c r="M368" s="131"/>
      <c r="N368" s="142"/>
      <c r="O368" s="142"/>
      <c r="P368" s="142"/>
      <c r="Q368" s="142"/>
      <c r="R368" s="142"/>
      <c r="S368" s="142"/>
      <c r="T368" s="131"/>
      <c r="U368" s="131"/>
      <c r="V368" s="131"/>
      <c r="W368" s="131"/>
      <c r="X368" s="131"/>
      <c r="Y368" s="131"/>
      <c r="Z368" s="142"/>
      <c r="AA368" s="142"/>
      <c r="AB368" s="142"/>
      <c r="AC368" s="142"/>
      <c r="AD368" s="142"/>
      <c r="AE368" s="142"/>
      <c r="AF368" s="142"/>
      <c r="AG368" s="142"/>
      <c r="AH368" s="142"/>
      <c r="AI368" s="142"/>
      <c r="AJ368" s="142"/>
      <c r="AK368" s="142"/>
      <c r="AL368" s="142"/>
      <c r="AM368" s="142"/>
      <c r="AN368" s="142"/>
      <c r="AO368" s="142"/>
    </row>
    <row r="369" ht="15.75" customHeight="1">
      <c r="A369" s="142"/>
      <c r="B369" s="142"/>
      <c r="C369" s="142"/>
      <c r="D369" s="142"/>
      <c r="E369" s="131"/>
      <c r="F369" s="142"/>
      <c r="G369" s="142"/>
      <c r="H369" s="142"/>
      <c r="I369" s="142"/>
      <c r="J369" s="142"/>
      <c r="K369" s="132"/>
      <c r="L369" s="131"/>
      <c r="M369" s="131"/>
      <c r="N369" s="142"/>
      <c r="O369" s="142"/>
      <c r="P369" s="142"/>
      <c r="Q369" s="142"/>
      <c r="R369" s="142"/>
      <c r="S369" s="142"/>
      <c r="T369" s="131"/>
      <c r="U369" s="131"/>
      <c r="V369" s="131"/>
      <c r="W369" s="131"/>
      <c r="X369" s="131"/>
      <c r="Y369" s="131"/>
      <c r="Z369" s="142"/>
      <c r="AA369" s="142"/>
      <c r="AB369" s="142"/>
      <c r="AC369" s="142"/>
      <c r="AD369" s="142"/>
      <c r="AE369" s="142"/>
      <c r="AF369" s="142"/>
      <c r="AG369" s="142"/>
      <c r="AH369" s="142"/>
      <c r="AI369" s="142"/>
      <c r="AJ369" s="142"/>
      <c r="AK369" s="142"/>
      <c r="AL369" s="142"/>
      <c r="AM369" s="142"/>
      <c r="AN369" s="142"/>
      <c r="AO369" s="142"/>
    </row>
    <row r="370" ht="15.75" customHeight="1">
      <c r="A370" s="142"/>
      <c r="B370" s="142"/>
      <c r="C370" s="142"/>
      <c r="D370" s="142"/>
      <c r="E370" s="131"/>
      <c r="F370" s="142"/>
      <c r="G370" s="142"/>
      <c r="H370" s="142"/>
      <c r="I370" s="142"/>
      <c r="J370" s="142"/>
      <c r="K370" s="132"/>
      <c r="L370" s="131"/>
      <c r="M370" s="131"/>
      <c r="N370" s="142"/>
      <c r="O370" s="142"/>
      <c r="P370" s="142"/>
      <c r="Q370" s="142"/>
      <c r="R370" s="142"/>
      <c r="S370" s="142"/>
      <c r="T370" s="131"/>
      <c r="U370" s="131"/>
      <c r="V370" s="131"/>
      <c r="W370" s="131"/>
      <c r="X370" s="131"/>
      <c r="Y370" s="131"/>
      <c r="Z370" s="142"/>
      <c r="AA370" s="142"/>
      <c r="AB370" s="142"/>
      <c r="AC370" s="142"/>
      <c r="AD370" s="142"/>
      <c r="AE370" s="142"/>
      <c r="AF370" s="142"/>
      <c r="AG370" s="142"/>
      <c r="AH370" s="142"/>
      <c r="AI370" s="142"/>
      <c r="AJ370" s="142"/>
      <c r="AK370" s="142"/>
      <c r="AL370" s="142"/>
      <c r="AM370" s="142"/>
      <c r="AN370" s="142"/>
      <c r="AO370" s="142"/>
    </row>
    <row r="371" ht="15.75" customHeight="1">
      <c r="A371" s="142"/>
      <c r="B371" s="142"/>
      <c r="C371" s="142"/>
      <c r="D371" s="142"/>
      <c r="E371" s="131"/>
      <c r="F371" s="142"/>
      <c r="G371" s="142"/>
      <c r="H371" s="142"/>
      <c r="I371" s="142"/>
      <c r="J371" s="142"/>
      <c r="K371" s="132"/>
      <c r="L371" s="131"/>
      <c r="M371" s="131"/>
      <c r="N371" s="142"/>
      <c r="O371" s="142"/>
      <c r="P371" s="142"/>
      <c r="Q371" s="142"/>
      <c r="R371" s="142"/>
      <c r="S371" s="142"/>
      <c r="T371" s="131"/>
      <c r="U371" s="131"/>
      <c r="V371" s="131"/>
      <c r="W371" s="131"/>
      <c r="X371" s="131"/>
      <c r="Y371" s="131"/>
      <c r="Z371" s="142"/>
      <c r="AA371" s="142"/>
      <c r="AB371" s="142"/>
      <c r="AC371" s="142"/>
      <c r="AD371" s="142"/>
      <c r="AE371" s="142"/>
      <c r="AF371" s="142"/>
      <c r="AG371" s="142"/>
      <c r="AH371" s="142"/>
      <c r="AI371" s="142"/>
      <c r="AJ371" s="142"/>
      <c r="AK371" s="142"/>
      <c r="AL371" s="142"/>
      <c r="AM371" s="142"/>
      <c r="AN371" s="142"/>
      <c r="AO371" s="142"/>
    </row>
    <row r="372" ht="15.75" customHeight="1">
      <c r="A372" s="142"/>
      <c r="B372" s="142"/>
      <c r="C372" s="142"/>
      <c r="D372" s="142"/>
      <c r="E372" s="131"/>
      <c r="F372" s="142"/>
      <c r="G372" s="142"/>
      <c r="H372" s="142"/>
      <c r="I372" s="142"/>
      <c r="J372" s="142"/>
      <c r="K372" s="132"/>
      <c r="L372" s="131"/>
      <c r="M372" s="131"/>
      <c r="N372" s="142"/>
      <c r="O372" s="142"/>
      <c r="P372" s="142"/>
      <c r="Q372" s="142"/>
      <c r="R372" s="142"/>
      <c r="S372" s="142"/>
      <c r="T372" s="131"/>
      <c r="U372" s="131"/>
      <c r="V372" s="131"/>
      <c r="W372" s="131"/>
      <c r="X372" s="131"/>
      <c r="Y372" s="131"/>
      <c r="Z372" s="142"/>
      <c r="AA372" s="142"/>
      <c r="AB372" s="142"/>
      <c r="AC372" s="142"/>
      <c r="AD372" s="142"/>
      <c r="AE372" s="142"/>
      <c r="AF372" s="142"/>
      <c r="AG372" s="142"/>
      <c r="AH372" s="142"/>
      <c r="AI372" s="142"/>
      <c r="AJ372" s="142"/>
      <c r="AK372" s="142"/>
      <c r="AL372" s="142"/>
      <c r="AM372" s="142"/>
      <c r="AN372" s="142"/>
      <c r="AO372" s="142"/>
    </row>
    <row r="373" ht="15.75" customHeight="1">
      <c r="A373" s="142"/>
      <c r="B373" s="142"/>
      <c r="C373" s="142"/>
      <c r="D373" s="142"/>
      <c r="E373" s="131"/>
      <c r="F373" s="142"/>
      <c r="G373" s="142"/>
      <c r="H373" s="142"/>
      <c r="I373" s="142"/>
      <c r="J373" s="142"/>
      <c r="K373" s="132"/>
      <c r="L373" s="131"/>
      <c r="M373" s="131"/>
      <c r="N373" s="142"/>
      <c r="O373" s="142"/>
      <c r="P373" s="142"/>
      <c r="Q373" s="142"/>
      <c r="R373" s="142"/>
      <c r="S373" s="142"/>
      <c r="T373" s="131"/>
      <c r="U373" s="131"/>
      <c r="V373" s="131"/>
      <c r="W373" s="131"/>
      <c r="X373" s="131"/>
      <c r="Y373" s="131"/>
      <c r="Z373" s="142"/>
      <c r="AA373" s="142"/>
      <c r="AB373" s="142"/>
      <c r="AC373" s="142"/>
      <c r="AD373" s="142"/>
      <c r="AE373" s="142"/>
      <c r="AF373" s="142"/>
      <c r="AG373" s="142"/>
      <c r="AH373" s="142"/>
      <c r="AI373" s="142"/>
      <c r="AJ373" s="142"/>
      <c r="AK373" s="142"/>
      <c r="AL373" s="142"/>
      <c r="AM373" s="142"/>
      <c r="AN373" s="142"/>
      <c r="AO373" s="142"/>
    </row>
    <row r="374" ht="15.75" customHeight="1">
      <c r="A374" s="142"/>
      <c r="B374" s="142"/>
      <c r="C374" s="142"/>
      <c r="D374" s="142"/>
      <c r="E374" s="131"/>
      <c r="F374" s="142"/>
      <c r="G374" s="142"/>
      <c r="H374" s="142"/>
      <c r="I374" s="142"/>
      <c r="J374" s="142"/>
      <c r="K374" s="132"/>
      <c r="L374" s="131"/>
      <c r="M374" s="131"/>
      <c r="N374" s="142"/>
      <c r="O374" s="142"/>
      <c r="P374" s="142"/>
      <c r="Q374" s="142"/>
      <c r="R374" s="142"/>
      <c r="S374" s="142"/>
      <c r="T374" s="131"/>
      <c r="U374" s="131"/>
      <c r="V374" s="131"/>
      <c r="W374" s="131"/>
      <c r="X374" s="131"/>
      <c r="Y374" s="131"/>
      <c r="Z374" s="142"/>
      <c r="AA374" s="142"/>
      <c r="AB374" s="142"/>
      <c r="AC374" s="142"/>
      <c r="AD374" s="142"/>
      <c r="AE374" s="142"/>
      <c r="AF374" s="142"/>
      <c r="AG374" s="142"/>
      <c r="AH374" s="142"/>
      <c r="AI374" s="142"/>
      <c r="AJ374" s="142"/>
      <c r="AK374" s="142"/>
      <c r="AL374" s="142"/>
      <c r="AM374" s="142"/>
      <c r="AN374" s="142"/>
      <c r="AO374" s="142"/>
    </row>
    <row r="375" ht="15.75" customHeight="1">
      <c r="A375" s="142"/>
      <c r="B375" s="142"/>
      <c r="C375" s="142"/>
      <c r="D375" s="142"/>
      <c r="E375" s="131"/>
      <c r="F375" s="142"/>
      <c r="G375" s="142"/>
      <c r="H375" s="142"/>
      <c r="I375" s="142"/>
      <c r="J375" s="142"/>
      <c r="K375" s="132"/>
      <c r="L375" s="131"/>
      <c r="M375" s="131"/>
      <c r="N375" s="142"/>
      <c r="O375" s="142"/>
      <c r="P375" s="142"/>
      <c r="Q375" s="142"/>
      <c r="R375" s="142"/>
      <c r="S375" s="142"/>
      <c r="T375" s="131"/>
      <c r="U375" s="131"/>
      <c r="V375" s="131"/>
      <c r="W375" s="131"/>
      <c r="X375" s="131"/>
      <c r="Y375" s="131"/>
      <c r="Z375" s="142"/>
      <c r="AA375" s="142"/>
      <c r="AB375" s="142"/>
      <c r="AC375" s="142"/>
      <c r="AD375" s="142"/>
      <c r="AE375" s="142"/>
      <c r="AF375" s="142"/>
      <c r="AG375" s="142"/>
      <c r="AH375" s="142"/>
      <c r="AI375" s="142"/>
      <c r="AJ375" s="142"/>
      <c r="AK375" s="142"/>
      <c r="AL375" s="142"/>
      <c r="AM375" s="142"/>
      <c r="AN375" s="142"/>
      <c r="AO375" s="142"/>
    </row>
    <row r="376" ht="15.75" customHeight="1">
      <c r="A376" s="142"/>
      <c r="B376" s="142"/>
      <c r="C376" s="142"/>
      <c r="D376" s="142"/>
      <c r="E376" s="131"/>
      <c r="F376" s="142"/>
      <c r="G376" s="142"/>
      <c r="H376" s="142"/>
      <c r="I376" s="142"/>
      <c r="J376" s="142"/>
      <c r="K376" s="132"/>
      <c r="L376" s="131"/>
      <c r="M376" s="131"/>
      <c r="N376" s="142"/>
      <c r="O376" s="142"/>
      <c r="P376" s="142"/>
      <c r="Q376" s="142"/>
      <c r="R376" s="142"/>
      <c r="S376" s="142"/>
      <c r="T376" s="131"/>
      <c r="U376" s="131"/>
      <c r="V376" s="131"/>
      <c r="W376" s="131"/>
      <c r="X376" s="131"/>
      <c r="Y376" s="131"/>
      <c r="Z376" s="142"/>
      <c r="AA376" s="142"/>
      <c r="AB376" s="142"/>
      <c r="AC376" s="142"/>
      <c r="AD376" s="142"/>
      <c r="AE376" s="142"/>
      <c r="AF376" s="142"/>
      <c r="AG376" s="142"/>
      <c r="AH376" s="142"/>
      <c r="AI376" s="142"/>
      <c r="AJ376" s="142"/>
      <c r="AK376" s="142"/>
      <c r="AL376" s="142"/>
      <c r="AM376" s="142"/>
      <c r="AN376" s="142"/>
      <c r="AO376" s="142"/>
    </row>
    <row r="377" ht="15.75" customHeight="1">
      <c r="A377" s="142"/>
      <c r="B377" s="142"/>
      <c r="C377" s="142"/>
      <c r="D377" s="142"/>
      <c r="E377" s="131"/>
      <c r="F377" s="142"/>
      <c r="G377" s="142"/>
      <c r="H377" s="142"/>
      <c r="I377" s="142"/>
      <c r="J377" s="142"/>
      <c r="K377" s="132"/>
      <c r="L377" s="131"/>
      <c r="M377" s="131"/>
      <c r="N377" s="142"/>
      <c r="O377" s="142"/>
      <c r="P377" s="142"/>
      <c r="Q377" s="142"/>
      <c r="R377" s="142"/>
      <c r="S377" s="142"/>
      <c r="T377" s="131"/>
      <c r="U377" s="131"/>
      <c r="V377" s="131"/>
      <c r="W377" s="131"/>
      <c r="X377" s="131"/>
      <c r="Y377" s="131"/>
      <c r="Z377" s="142"/>
      <c r="AA377" s="142"/>
      <c r="AB377" s="142"/>
      <c r="AC377" s="142"/>
      <c r="AD377" s="142"/>
      <c r="AE377" s="142"/>
      <c r="AF377" s="142"/>
      <c r="AG377" s="142"/>
      <c r="AH377" s="142"/>
      <c r="AI377" s="142"/>
      <c r="AJ377" s="142"/>
      <c r="AK377" s="142"/>
      <c r="AL377" s="142"/>
      <c r="AM377" s="142"/>
      <c r="AN377" s="142"/>
      <c r="AO377" s="142"/>
    </row>
    <row r="378" ht="15.75" customHeight="1">
      <c r="A378" s="142"/>
      <c r="B378" s="142"/>
      <c r="C378" s="142"/>
      <c r="D378" s="142"/>
      <c r="E378" s="131"/>
      <c r="F378" s="142"/>
      <c r="G378" s="142"/>
      <c r="H378" s="142"/>
      <c r="I378" s="142"/>
      <c r="J378" s="142"/>
      <c r="K378" s="132"/>
      <c r="L378" s="131"/>
      <c r="M378" s="131"/>
      <c r="N378" s="142"/>
      <c r="O378" s="142"/>
      <c r="P378" s="142"/>
      <c r="Q378" s="142"/>
      <c r="R378" s="142"/>
      <c r="S378" s="142"/>
      <c r="T378" s="131"/>
      <c r="U378" s="131"/>
      <c r="V378" s="131"/>
      <c r="W378" s="131"/>
      <c r="X378" s="131"/>
      <c r="Y378" s="131"/>
      <c r="Z378" s="142"/>
      <c r="AA378" s="142"/>
      <c r="AB378" s="142"/>
      <c r="AC378" s="142"/>
      <c r="AD378" s="142"/>
      <c r="AE378" s="142"/>
      <c r="AF378" s="142"/>
      <c r="AG378" s="142"/>
      <c r="AH378" s="142"/>
      <c r="AI378" s="142"/>
      <c r="AJ378" s="142"/>
      <c r="AK378" s="142"/>
      <c r="AL378" s="142"/>
      <c r="AM378" s="142"/>
      <c r="AN378" s="142"/>
      <c r="AO378" s="142"/>
    </row>
    <row r="379" ht="15.75" customHeight="1">
      <c r="A379" s="142"/>
      <c r="B379" s="142"/>
      <c r="C379" s="142"/>
      <c r="D379" s="142"/>
      <c r="E379" s="131"/>
      <c r="F379" s="142"/>
      <c r="G379" s="142"/>
      <c r="H379" s="142"/>
      <c r="I379" s="142"/>
      <c r="J379" s="142"/>
      <c r="K379" s="132"/>
      <c r="L379" s="131"/>
      <c r="M379" s="131"/>
      <c r="N379" s="142"/>
      <c r="O379" s="142"/>
      <c r="P379" s="142"/>
      <c r="Q379" s="142"/>
      <c r="R379" s="142"/>
      <c r="S379" s="142"/>
      <c r="T379" s="131"/>
      <c r="U379" s="131"/>
      <c r="V379" s="131"/>
      <c r="W379" s="131"/>
      <c r="X379" s="131"/>
      <c r="Y379" s="131"/>
      <c r="Z379" s="142"/>
      <c r="AA379" s="142"/>
      <c r="AB379" s="142"/>
      <c r="AC379" s="142"/>
      <c r="AD379" s="142"/>
      <c r="AE379" s="142"/>
      <c r="AF379" s="142"/>
      <c r="AG379" s="142"/>
      <c r="AH379" s="142"/>
      <c r="AI379" s="142"/>
      <c r="AJ379" s="142"/>
      <c r="AK379" s="142"/>
      <c r="AL379" s="142"/>
      <c r="AM379" s="142"/>
      <c r="AN379" s="142"/>
      <c r="AO379" s="142"/>
    </row>
    <row r="380" ht="15.75" customHeight="1">
      <c r="A380" s="142"/>
      <c r="B380" s="142"/>
      <c r="C380" s="142"/>
      <c r="D380" s="142"/>
      <c r="E380" s="131"/>
      <c r="F380" s="142"/>
      <c r="G380" s="142"/>
      <c r="H380" s="142"/>
      <c r="I380" s="142"/>
      <c r="J380" s="142"/>
      <c r="K380" s="132"/>
      <c r="L380" s="131"/>
      <c r="M380" s="131"/>
      <c r="N380" s="142"/>
      <c r="O380" s="142"/>
      <c r="P380" s="142"/>
      <c r="Q380" s="142"/>
      <c r="R380" s="142"/>
      <c r="S380" s="142"/>
      <c r="T380" s="131"/>
      <c r="U380" s="131"/>
      <c r="V380" s="131"/>
      <c r="W380" s="131"/>
      <c r="X380" s="131"/>
      <c r="Y380" s="131"/>
      <c r="Z380" s="142"/>
      <c r="AA380" s="142"/>
      <c r="AB380" s="142"/>
      <c r="AC380" s="142"/>
      <c r="AD380" s="142"/>
      <c r="AE380" s="142"/>
      <c r="AF380" s="142"/>
      <c r="AG380" s="142"/>
      <c r="AH380" s="142"/>
      <c r="AI380" s="142"/>
      <c r="AJ380" s="142"/>
      <c r="AK380" s="142"/>
      <c r="AL380" s="142"/>
      <c r="AM380" s="142"/>
      <c r="AN380" s="142"/>
      <c r="AO380" s="142"/>
    </row>
    <row r="381" ht="15.75" customHeight="1">
      <c r="A381" s="142"/>
      <c r="B381" s="142"/>
      <c r="C381" s="142"/>
      <c r="D381" s="142"/>
      <c r="E381" s="131"/>
      <c r="F381" s="142"/>
      <c r="G381" s="142"/>
      <c r="H381" s="142"/>
      <c r="I381" s="142"/>
      <c r="J381" s="142"/>
      <c r="K381" s="132"/>
      <c r="L381" s="131"/>
      <c r="M381" s="131"/>
      <c r="N381" s="142"/>
      <c r="O381" s="142"/>
      <c r="P381" s="142"/>
      <c r="Q381" s="142"/>
      <c r="R381" s="142"/>
      <c r="S381" s="142"/>
      <c r="T381" s="131"/>
      <c r="U381" s="131"/>
      <c r="V381" s="131"/>
      <c r="W381" s="131"/>
      <c r="X381" s="131"/>
      <c r="Y381" s="131"/>
      <c r="Z381" s="142"/>
      <c r="AA381" s="142"/>
      <c r="AB381" s="142"/>
      <c r="AC381" s="142"/>
      <c r="AD381" s="142"/>
      <c r="AE381" s="142"/>
      <c r="AF381" s="142"/>
      <c r="AG381" s="142"/>
      <c r="AH381" s="142"/>
      <c r="AI381" s="142"/>
      <c r="AJ381" s="142"/>
      <c r="AK381" s="142"/>
      <c r="AL381" s="142"/>
      <c r="AM381" s="142"/>
      <c r="AN381" s="142"/>
      <c r="AO381" s="142"/>
    </row>
    <row r="382" ht="15.75" customHeight="1">
      <c r="A382" s="142"/>
      <c r="B382" s="142"/>
      <c r="C382" s="142"/>
      <c r="D382" s="142"/>
      <c r="E382" s="131"/>
      <c r="F382" s="142"/>
      <c r="G382" s="142"/>
      <c r="H382" s="142"/>
      <c r="I382" s="142"/>
      <c r="J382" s="142"/>
      <c r="K382" s="132"/>
      <c r="L382" s="131"/>
      <c r="M382" s="131"/>
      <c r="N382" s="142"/>
      <c r="O382" s="142"/>
      <c r="P382" s="142"/>
      <c r="Q382" s="142"/>
      <c r="R382" s="142"/>
      <c r="S382" s="142"/>
      <c r="T382" s="131"/>
      <c r="U382" s="131"/>
      <c r="V382" s="131"/>
      <c r="W382" s="131"/>
      <c r="X382" s="131"/>
      <c r="Y382" s="131"/>
      <c r="Z382" s="142"/>
      <c r="AA382" s="142"/>
      <c r="AB382" s="142"/>
      <c r="AC382" s="142"/>
      <c r="AD382" s="142"/>
      <c r="AE382" s="142"/>
      <c r="AF382" s="142"/>
      <c r="AG382" s="142"/>
      <c r="AH382" s="142"/>
      <c r="AI382" s="142"/>
      <c r="AJ382" s="142"/>
      <c r="AK382" s="142"/>
      <c r="AL382" s="142"/>
      <c r="AM382" s="142"/>
      <c r="AN382" s="142"/>
      <c r="AO382" s="142"/>
    </row>
    <row r="383" ht="15.75" customHeight="1">
      <c r="A383" s="142"/>
      <c r="B383" s="142"/>
      <c r="C383" s="142"/>
      <c r="D383" s="142"/>
      <c r="E383" s="131"/>
      <c r="F383" s="142"/>
      <c r="G383" s="142"/>
      <c r="H383" s="142"/>
      <c r="I383" s="142"/>
      <c r="J383" s="142"/>
      <c r="K383" s="132"/>
      <c r="L383" s="131"/>
      <c r="M383" s="131"/>
      <c r="N383" s="142"/>
      <c r="O383" s="142"/>
      <c r="P383" s="142"/>
      <c r="Q383" s="142"/>
      <c r="R383" s="142"/>
      <c r="S383" s="142"/>
      <c r="T383" s="131"/>
      <c r="U383" s="131"/>
      <c r="V383" s="131"/>
      <c r="W383" s="131"/>
      <c r="X383" s="131"/>
      <c r="Y383" s="131"/>
      <c r="Z383" s="142"/>
      <c r="AA383" s="142"/>
      <c r="AB383" s="142"/>
      <c r="AC383" s="142"/>
      <c r="AD383" s="142"/>
      <c r="AE383" s="142"/>
      <c r="AF383" s="142"/>
      <c r="AG383" s="142"/>
      <c r="AH383" s="142"/>
      <c r="AI383" s="142"/>
      <c r="AJ383" s="142"/>
      <c r="AK383" s="142"/>
      <c r="AL383" s="142"/>
      <c r="AM383" s="142"/>
      <c r="AN383" s="142"/>
      <c r="AO383" s="142"/>
    </row>
    <row r="384" ht="15.75" customHeight="1">
      <c r="A384" s="142"/>
      <c r="B384" s="142"/>
      <c r="C384" s="142"/>
      <c r="D384" s="142"/>
      <c r="E384" s="131"/>
      <c r="F384" s="142"/>
      <c r="G384" s="142"/>
      <c r="H384" s="142"/>
      <c r="I384" s="142"/>
      <c r="J384" s="142"/>
      <c r="K384" s="132"/>
      <c r="L384" s="131"/>
      <c r="M384" s="131"/>
      <c r="N384" s="142"/>
      <c r="O384" s="142"/>
      <c r="P384" s="142"/>
      <c r="Q384" s="142"/>
      <c r="R384" s="142"/>
      <c r="S384" s="142"/>
      <c r="T384" s="131"/>
      <c r="U384" s="131"/>
      <c r="V384" s="131"/>
      <c r="W384" s="131"/>
      <c r="X384" s="131"/>
      <c r="Y384" s="131"/>
      <c r="Z384" s="142"/>
      <c r="AA384" s="142"/>
      <c r="AB384" s="142"/>
      <c r="AC384" s="142"/>
      <c r="AD384" s="142"/>
      <c r="AE384" s="142"/>
      <c r="AF384" s="142"/>
      <c r="AG384" s="142"/>
      <c r="AH384" s="142"/>
      <c r="AI384" s="142"/>
      <c r="AJ384" s="142"/>
      <c r="AK384" s="142"/>
      <c r="AL384" s="142"/>
      <c r="AM384" s="142"/>
      <c r="AN384" s="142"/>
      <c r="AO384" s="142"/>
    </row>
    <row r="385" ht="15.75" customHeight="1">
      <c r="A385" s="142"/>
      <c r="B385" s="142"/>
      <c r="C385" s="142"/>
      <c r="D385" s="142"/>
      <c r="E385" s="131"/>
      <c r="F385" s="142"/>
      <c r="G385" s="142"/>
      <c r="H385" s="142"/>
      <c r="I385" s="142"/>
      <c r="J385" s="142"/>
      <c r="K385" s="132"/>
      <c r="L385" s="131"/>
      <c r="M385" s="131"/>
      <c r="N385" s="142"/>
      <c r="O385" s="142"/>
      <c r="P385" s="142"/>
      <c r="Q385" s="142"/>
      <c r="R385" s="142"/>
      <c r="S385" s="142"/>
      <c r="T385" s="131"/>
      <c r="U385" s="131"/>
      <c r="V385" s="131"/>
      <c r="W385" s="131"/>
      <c r="X385" s="131"/>
      <c r="Y385" s="131"/>
      <c r="Z385" s="142"/>
      <c r="AA385" s="142"/>
      <c r="AB385" s="142"/>
      <c r="AC385" s="142"/>
      <c r="AD385" s="142"/>
      <c r="AE385" s="142"/>
      <c r="AF385" s="142"/>
      <c r="AG385" s="142"/>
      <c r="AH385" s="142"/>
      <c r="AI385" s="142"/>
      <c r="AJ385" s="142"/>
      <c r="AK385" s="142"/>
      <c r="AL385" s="142"/>
      <c r="AM385" s="142"/>
      <c r="AN385" s="142"/>
      <c r="AO385" s="142"/>
    </row>
    <row r="386" ht="15.75" customHeight="1">
      <c r="A386" s="142"/>
      <c r="B386" s="142"/>
      <c r="C386" s="142"/>
      <c r="D386" s="142"/>
      <c r="E386" s="131"/>
      <c r="F386" s="142"/>
      <c r="G386" s="142"/>
      <c r="H386" s="142"/>
      <c r="I386" s="142"/>
      <c r="J386" s="142"/>
      <c r="K386" s="132"/>
      <c r="L386" s="131"/>
      <c r="M386" s="131"/>
      <c r="N386" s="142"/>
      <c r="O386" s="142"/>
      <c r="P386" s="142"/>
      <c r="Q386" s="142"/>
      <c r="R386" s="142"/>
      <c r="S386" s="142"/>
      <c r="T386" s="131"/>
      <c r="U386" s="131"/>
      <c r="V386" s="131"/>
      <c r="W386" s="131"/>
      <c r="X386" s="131"/>
      <c r="Y386" s="131"/>
      <c r="Z386" s="142"/>
      <c r="AA386" s="142"/>
      <c r="AB386" s="142"/>
      <c r="AC386" s="142"/>
      <c r="AD386" s="142"/>
      <c r="AE386" s="142"/>
      <c r="AF386" s="142"/>
      <c r="AG386" s="142"/>
      <c r="AH386" s="142"/>
      <c r="AI386" s="142"/>
      <c r="AJ386" s="142"/>
      <c r="AK386" s="142"/>
      <c r="AL386" s="142"/>
      <c r="AM386" s="142"/>
      <c r="AN386" s="142"/>
      <c r="AO386" s="142"/>
    </row>
    <row r="387" ht="15.75" customHeight="1">
      <c r="A387" s="142"/>
      <c r="B387" s="142"/>
      <c r="C387" s="142"/>
      <c r="D387" s="142"/>
      <c r="E387" s="131"/>
      <c r="F387" s="142"/>
      <c r="G387" s="142"/>
      <c r="H387" s="142"/>
      <c r="I387" s="142"/>
      <c r="J387" s="142"/>
      <c r="K387" s="132"/>
      <c r="L387" s="131"/>
      <c r="M387" s="131"/>
      <c r="N387" s="142"/>
      <c r="O387" s="142"/>
      <c r="P387" s="142"/>
      <c r="Q387" s="142"/>
      <c r="R387" s="142"/>
      <c r="S387" s="142"/>
      <c r="T387" s="131"/>
      <c r="U387" s="131"/>
      <c r="V387" s="131"/>
      <c r="W387" s="131"/>
      <c r="X387" s="131"/>
      <c r="Y387" s="131"/>
      <c r="Z387" s="142"/>
      <c r="AA387" s="142"/>
      <c r="AB387" s="142"/>
      <c r="AC387" s="142"/>
      <c r="AD387" s="142"/>
      <c r="AE387" s="142"/>
      <c r="AF387" s="142"/>
      <c r="AG387" s="142"/>
      <c r="AH387" s="142"/>
      <c r="AI387" s="142"/>
      <c r="AJ387" s="142"/>
      <c r="AK387" s="142"/>
      <c r="AL387" s="142"/>
      <c r="AM387" s="142"/>
      <c r="AN387" s="142"/>
      <c r="AO387" s="142"/>
    </row>
    <row r="388" ht="15.75" customHeight="1">
      <c r="A388" s="142"/>
      <c r="B388" s="142"/>
      <c r="C388" s="142"/>
      <c r="D388" s="142"/>
      <c r="E388" s="131"/>
      <c r="F388" s="142"/>
      <c r="G388" s="142"/>
      <c r="H388" s="142"/>
      <c r="I388" s="142"/>
      <c r="J388" s="142"/>
      <c r="K388" s="132"/>
      <c r="L388" s="131"/>
      <c r="M388" s="131"/>
      <c r="N388" s="142"/>
      <c r="O388" s="142"/>
      <c r="P388" s="142"/>
      <c r="Q388" s="142"/>
      <c r="R388" s="142"/>
      <c r="S388" s="142"/>
      <c r="T388" s="131"/>
      <c r="U388" s="131"/>
      <c r="V388" s="131"/>
      <c r="W388" s="131"/>
      <c r="X388" s="131"/>
      <c r="Y388" s="131"/>
      <c r="Z388" s="142"/>
      <c r="AA388" s="142"/>
      <c r="AB388" s="142"/>
      <c r="AC388" s="142"/>
      <c r="AD388" s="142"/>
      <c r="AE388" s="142"/>
      <c r="AF388" s="142"/>
      <c r="AG388" s="142"/>
      <c r="AH388" s="142"/>
      <c r="AI388" s="142"/>
      <c r="AJ388" s="142"/>
      <c r="AK388" s="142"/>
      <c r="AL388" s="142"/>
      <c r="AM388" s="142"/>
      <c r="AN388" s="142"/>
      <c r="AO388" s="142"/>
    </row>
    <row r="389" ht="15.75" customHeight="1">
      <c r="A389" s="142"/>
      <c r="B389" s="142"/>
      <c r="C389" s="142"/>
      <c r="D389" s="142"/>
      <c r="E389" s="131"/>
      <c r="F389" s="142"/>
      <c r="G389" s="142"/>
      <c r="H389" s="142"/>
      <c r="I389" s="142"/>
      <c r="J389" s="142"/>
      <c r="K389" s="132"/>
      <c r="L389" s="131"/>
      <c r="M389" s="131"/>
      <c r="N389" s="142"/>
      <c r="O389" s="142"/>
      <c r="P389" s="142"/>
      <c r="Q389" s="142"/>
      <c r="R389" s="142"/>
      <c r="S389" s="142"/>
      <c r="T389" s="131"/>
      <c r="U389" s="131"/>
      <c r="V389" s="131"/>
      <c r="W389" s="131"/>
      <c r="X389" s="131"/>
      <c r="Y389" s="131"/>
      <c r="Z389" s="142"/>
      <c r="AA389" s="142"/>
      <c r="AB389" s="142"/>
      <c r="AC389" s="142"/>
      <c r="AD389" s="142"/>
      <c r="AE389" s="142"/>
      <c r="AF389" s="142"/>
      <c r="AG389" s="142"/>
      <c r="AH389" s="142"/>
      <c r="AI389" s="142"/>
      <c r="AJ389" s="142"/>
      <c r="AK389" s="142"/>
      <c r="AL389" s="142"/>
      <c r="AM389" s="142"/>
      <c r="AN389" s="142"/>
      <c r="AO389" s="142"/>
    </row>
    <row r="390" ht="15.75" customHeight="1">
      <c r="A390" s="142"/>
      <c r="B390" s="142"/>
      <c r="C390" s="142"/>
      <c r="D390" s="142"/>
      <c r="E390" s="131"/>
      <c r="F390" s="142"/>
      <c r="G390" s="142"/>
      <c r="H390" s="142"/>
      <c r="I390" s="142"/>
      <c r="J390" s="142"/>
      <c r="K390" s="132"/>
      <c r="L390" s="131"/>
      <c r="M390" s="131"/>
      <c r="N390" s="142"/>
      <c r="O390" s="142"/>
      <c r="P390" s="142"/>
      <c r="Q390" s="142"/>
      <c r="R390" s="142"/>
      <c r="S390" s="142"/>
      <c r="T390" s="131"/>
      <c r="U390" s="131"/>
      <c r="V390" s="131"/>
      <c r="W390" s="131"/>
      <c r="X390" s="131"/>
      <c r="Y390" s="131"/>
      <c r="Z390" s="142"/>
      <c r="AA390" s="142"/>
      <c r="AB390" s="142"/>
      <c r="AC390" s="142"/>
      <c r="AD390" s="142"/>
      <c r="AE390" s="142"/>
      <c r="AF390" s="142"/>
      <c r="AG390" s="142"/>
      <c r="AH390" s="142"/>
      <c r="AI390" s="142"/>
      <c r="AJ390" s="142"/>
      <c r="AK390" s="142"/>
      <c r="AL390" s="142"/>
      <c r="AM390" s="142"/>
      <c r="AN390" s="142"/>
      <c r="AO390" s="142"/>
    </row>
    <row r="391" ht="15.75" customHeight="1">
      <c r="A391" s="142"/>
      <c r="B391" s="142"/>
      <c r="C391" s="142"/>
      <c r="D391" s="142"/>
      <c r="E391" s="131"/>
      <c r="F391" s="142"/>
      <c r="G391" s="142"/>
      <c r="H391" s="142"/>
      <c r="I391" s="142"/>
      <c r="J391" s="142"/>
      <c r="K391" s="132"/>
      <c r="L391" s="131"/>
      <c r="M391" s="131"/>
      <c r="N391" s="142"/>
      <c r="O391" s="142"/>
      <c r="P391" s="142"/>
      <c r="Q391" s="142"/>
      <c r="R391" s="142"/>
      <c r="S391" s="142"/>
      <c r="T391" s="131"/>
      <c r="U391" s="131"/>
      <c r="V391" s="131"/>
      <c r="W391" s="131"/>
      <c r="X391" s="131"/>
      <c r="Y391" s="131"/>
      <c r="Z391" s="142"/>
      <c r="AA391" s="142"/>
      <c r="AB391" s="142"/>
      <c r="AC391" s="142"/>
      <c r="AD391" s="142"/>
      <c r="AE391" s="142"/>
      <c r="AF391" s="142"/>
      <c r="AG391" s="142"/>
      <c r="AH391" s="142"/>
      <c r="AI391" s="142"/>
      <c r="AJ391" s="142"/>
      <c r="AK391" s="142"/>
      <c r="AL391" s="142"/>
      <c r="AM391" s="142"/>
      <c r="AN391" s="142"/>
      <c r="AO391" s="142"/>
    </row>
    <row r="392" ht="15.75" customHeight="1">
      <c r="A392" s="142"/>
      <c r="B392" s="142"/>
      <c r="C392" s="142"/>
      <c r="D392" s="142"/>
      <c r="E392" s="131"/>
      <c r="F392" s="142"/>
      <c r="G392" s="142"/>
      <c r="H392" s="142"/>
      <c r="I392" s="142"/>
      <c r="J392" s="142"/>
      <c r="K392" s="132"/>
      <c r="L392" s="131"/>
      <c r="M392" s="131"/>
      <c r="N392" s="142"/>
      <c r="O392" s="142"/>
      <c r="P392" s="142"/>
      <c r="Q392" s="142"/>
      <c r="R392" s="142"/>
      <c r="S392" s="142"/>
      <c r="T392" s="131"/>
      <c r="U392" s="131"/>
      <c r="V392" s="131"/>
      <c r="W392" s="131"/>
      <c r="X392" s="131"/>
      <c r="Y392" s="131"/>
      <c r="Z392" s="142"/>
      <c r="AA392" s="142"/>
      <c r="AB392" s="142"/>
      <c r="AC392" s="142"/>
      <c r="AD392" s="142"/>
      <c r="AE392" s="142"/>
      <c r="AF392" s="142"/>
      <c r="AG392" s="142"/>
      <c r="AH392" s="142"/>
      <c r="AI392" s="142"/>
      <c r="AJ392" s="142"/>
      <c r="AK392" s="142"/>
      <c r="AL392" s="142"/>
      <c r="AM392" s="142"/>
      <c r="AN392" s="142"/>
      <c r="AO392" s="142"/>
    </row>
    <row r="393" ht="15.75" customHeight="1">
      <c r="A393" s="142"/>
      <c r="B393" s="142"/>
      <c r="C393" s="142"/>
      <c r="D393" s="142"/>
      <c r="E393" s="131"/>
      <c r="F393" s="142"/>
      <c r="G393" s="142"/>
      <c r="H393" s="142"/>
      <c r="I393" s="142"/>
      <c r="J393" s="142"/>
      <c r="K393" s="132"/>
      <c r="L393" s="131"/>
      <c r="M393" s="131"/>
      <c r="N393" s="142"/>
      <c r="O393" s="142"/>
      <c r="P393" s="142"/>
      <c r="Q393" s="142"/>
      <c r="R393" s="142"/>
      <c r="S393" s="142"/>
      <c r="T393" s="131"/>
      <c r="U393" s="131"/>
      <c r="V393" s="131"/>
      <c r="W393" s="131"/>
      <c r="X393" s="131"/>
      <c r="Y393" s="131"/>
      <c r="Z393" s="142"/>
      <c r="AA393" s="142"/>
      <c r="AB393" s="142"/>
      <c r="AC393" s="142"/>
      <c r="AD393" s="142"/>
      <c r="AE393" s="142"/>
      <c r="AF393" s="142"/>
      <c r="AG393" s="142"/>
      <c r="AH393" s="142"/>
      <c r="AI393" s="142"/>
      <c r="AJ393" s="142"/>
      <c r="AK393" s="142"/>
      <c r="AL393" s="142"/>
      <c r="AM393" s="142"/>
      <c r="AN393" s="142"/>
      <c r="AO393" s="142"/>
    </row>
    <row r="394" ht="15.75" customHeight="1">
      <c r="A394" s="142"/>
      <c r="B394" s="142"/>
      <c r="C394" s="142"/>
      <c r="D394" s="142"/>
      <c r="E394" s="131"/>
      <c r="F394" s="142"/>
      <c r="G394" s="142"/>
      <c r="H394" s="142"/>
      <c r="I394" s="142"/>
      <c r="J394" s="142"/>
      <c r="K394" s="132"/>
      <c r="L394" s="131"/>
      <c r="M394" s="131"/>
      <c r="N394" s="142"/>
      <c r="O394" s="142"/>
      <c r="P394" s="142"/>
      <c r="Q394" s="142"/>
      <c r="R394" s="142"/>
      <c r="S394" s="142"/>
      <c r="T394" s="131"/>
      <c r="U394" s="131"/>
      <c r="V394" s="131"/>
      <c r="W394" s="131"/>
      <c r="X394" s="131"/>
      <c r="Y394" s="131"/>
      <c r="Z394" s="142"/>
      <c r="AA394" s="142"/>
      <c r="AB394" s="142"/>
      <c r="AC394" s="142"/>
      <c r="AD394" s="142"/>
      <c r="AE394" s="142"/>
      <c r="AF394" s="142"/>
      <c r="AG394" s="142"/>
      <c r="AH394" s="142"/>
      <c r="AI394" s="142"/>
      <c r="AJ394" s="142"/>
      <c r="AK394" s="142"/>
      <c r="AL394" s="142"/>
      <c r="AM394" s="142"/>
      <c r="AN394" s="142"/>
      <c r="AO394" s="142"/>
    </row>
    <row r="395" ht="15.75" customHeight="1">
      <c r="A395" s="142"/>
      <c r="B395" s="142"/>
      <c r="C395" s="142"/>
      <c r="D395" s="142"/>
      <c r="E395" s="131"/>
      <c r="F395" s="142"/>
      <c r="G395" s="142"/>
      <c r="H395" s="142"/>
      <c r="I395" s="142"/>
      <c r="J395" s="142"/>
      <c r="K395" s="132"/>
      <c r="L395" s="131"/>
      <c r="M395" s="131"/>
      <c r="N395" s="142"/>
      <c r="O395" s="142"/>
      <c r="P395" s="142"/>
      <c r="Q395" s="142"/>
      <c r="R395" s="142"/>
      <c r="S395" s="142"/>
      <c r="T395" s="131"/>
      <c r="U395" s="131"/>
      <c r="V395" s="131"/>
      <c r="W395" s="131"/>
      <c r="X395" s="131"/>
      <c r="Y395" s="131"/>
      <c r="Z395" s="142"/>
      <c r="AA395" s="142"/>
      <c r="AB395" s="142"/>
      <c r="AC395" s="142"/>
      <c r="AD395" s="142"/>
      <c r="AE395" s="142"/>
      <c r="AF395" s="142"/>
      <c r="AG395" s="142"/>
      <c r="AH395" s="142"/>
      <c r="AI395" s="142"/>
      <c r="AJ395" s="142"/>
      <c r="AK395" s="142"/>
      <c r="AL395" s="142"/>
      <c r="AM395" s="142"/>
      <c r="AN395" s="142"/>
      <c r="AO395" s="142"/>
    </row>
    <row r="396" ht="15.75" customHeight="1">
      <c r="A396" s="142"/>
      <c r="B396" s="142"/>
      <c r="C396" s="142"/>
      <c r="D396" s="142"/>
      <c r="E396" s="131"/>
      <c r="F396" s="142"/>
      <c r="G396" s="142"/>
      <c r="H396" s="142"/>
      <c r="I396" s="142"/>
      <c r="J396" s="142"/>
      <c r="K396" s="132"/>
      <c r="L396" s="131"/>
      <c r="M396" s="131"/>
      <c r="N396" s="142"/>
      <c r="O396" s="142"/>
      <c r="P396" s="142"/>
      <c r="Q396" s="142"/>
      <c r="R396" s="142"/>
      <c r="S396" s="142"/>
      <c r="T396" s="131"/>
      <c r="U396" s="131"/>
      <c r="V396" s="131"/>
      <c r="W396" s="131"/>
      <c r="X396" s="131"/>
      <c r="Y396" s="131"/>
      <c r="Z396" s="142"/>
      <c r="AA396" s="142"/>
      <c r="AB396" s="142"/>
      <c r="AC396" s="142"/>
      <c r="AD396" s="142"/>
      <c r="AE396" s="142"/>
      <c r="AF396" s="142"/>
      <c r="AG396" s="142"/>
      <c r="AH396" s="142"/>
      <c r="AI396" s="142"/>
      <c r="AJ396" s="142"/>
      <c r="AK396" s="142"/>
      <c r="AL396" s="142"/>
      <c r="AM396" s="142"/>
      <c r="AN396" s="142"/>
      <c r="AO396" s="142"/>
    </row>
    <row r="397" ht="15.75" customHeight="1">
      <c r="A397" s="142"/>
      <c r="B397" s="142"/>
      <c r="C397" s="142"/>
      <c r="D397" s="142"/>
      <c r="E397" s="131"/>
      <c r="F397" s="142"/>
      <c r="G397" s="142"/>
      <c r="H397" s="142"/>
      <c r="I397" s="142"/>
      <c r="J397" s="142"/>
      <c r="K397" s="132"/>
      <c r="L397" s="131"/>
      <c r="M397" s="131"/>
      <c r="N397" s="142"/>
      <c r="O397" s="142"/>
      <c r="P397" s="142"/>
      <c r="Q397" s="142"/>
      <c r="R397" s="142"/>
      <c r="S397" s="142"/>
      <c r="T397" s="131"/>
      <c r="U397" s="131"/>
      <c r="V397" s="131"/>
      <c r="W397" s="131"/>
      <c r="X397" s="131"/>
      <c r="Y397" s="131"/>
      <c r="Z397" s="142"/>
      <c r="AA397" s="142"/>
      <c r="AB397" s="142"/>
      <c r="AC397" s="142"/>
      <c r="AD397" s="142"/>
      <c r="AE397" s="142"/>
      <c r="AF397" s="142"/>
      <c r="AG397" s="142"/>
      <c r="AH397" s="142"/>
      <c r="AI397" s="142"/>
      <c r="AJ397" s="142"/>
      <c r="AK397" s="142"/>
      <c r="AL397" s="142"/>
      <c r="AM397" s="142"/>
      <c r="AN397" s="142"/>
      <c r="AO397" s="142"/>
    </row>
    <row r="398" ht="15.75" customHeight="1">
      <c r="A398" s="142"/>
      <c r="B398" s="142"/>
      <c r="C398" s="142"/>
      <c r="D398" s="142"/>
      <c r="E398" s="131"/>
      <c r="F398" s="142"/>
      <c r="G398" s="142"/>
      <c r="H398" s="142"/>
      <c r="I398" s="142"/>
      <c r="J398" s="142"/>
      <c r="K398" s="132"/>
      <c r="L398" s="131"/>
      <c r="M398" s="131"/>
      <c r="N398" s="142"/>
      <c r="O398" s="142"/>
      <c r="P398" s="142"/>
      <c r="Q398" s="142"/>
      <c r="R398" s="142"/>
      <c r="S398" s="142"/>
      <c r="T398" s="131"/>
      <c r="U398" s="131"/>
      <c r="V398" s="131"/>
      <c r="W398" s="131"/>
      <c r="X398" s="131"/>
      <c r="Y398" s="131"/>
      <c r="Z398" s="142"/>
      <c r="AA398" s="142"/>
      <c r="AB398" s="142"/>
      <c r="AC398" s="142"/>
      <c r="AD398" s="142"/>
      <c r="AE398" s="142"/>
      <c r="AF398" s="142"/>
      <c r="AG398" s="142"/>
      <c r="AH398" s="142"/>
      <c r="AI398" s="142"/>
      <c r="AJ398" s="142"/>
      <c r="AK398" s="142"/>
      <c r="AL398" s="142"/>
      <c r="AM398" s="142"/>
      <c r="AN398" s="142"/>
      <c r="AO398" s="142"/>
    </row>
    <row r="399" ht="15.75" customHeight="1">
      <c r="A399" s="142"/>
      <c r="B399" s="142"/>
      <c r="C399" s="142"/>
      <c r="D399" s="142"/>
      <c r="E399" s="131"/>
      <c r="F399" s="142"/>
      <c r="G399" s="142"/>
      <c r="H399" s="142"/>
      <c r="I399" s="142"/>
      <c r="J399" s="142"/>
      <c r="K399" s="132"/>
      <c r="L399" s="131"/>
      <c r="M399" s="131"/>
      <c r="N399" s="142"/>
      <c r="O399" s="142"/>
      <c r="P399" s="142"/>
      <c r="Q399" s="142"/>
      <c r="R399" s="142"/>
      <c r="S399" s="142"/>
      <c r="T399" s="131"/>
      <c r="U399" s="131"/>
      <c r="V399" s="131"/>
      <c r="W399" s="131"/>
      <c r="X399" s="131"/>
      <c r="Y399" s="131"/>
      <c r="Z399" s="142"/>
      <c r="AA399" s="142"/>
      <c r="AB399" s="142"/>
      <c r="AC399" s="142"/>
      <c r="AD399" s="142"/>
      <c r="AE399" s="142"/>
      <c r="AF399" s="142"/>
      <c r="AG399" s="142"/>
      <c r="AH399" s="142"/>
      <c r="AI399" s="142"/>
      <c r="AJ399" s="142"/>
      <c r="AK399" s="142"/>
      <c r="AL399" s="142"/>
      <c r="AM399" s="142"/>
      <c r="AN399" s="142"/>
      <c r="AO399" s="142"/>
    </row>
    <row r="400" ht="15.75" customHeight="1">
      <c r="A400" s="142"/>
      <c r="B400" s="142"/>
      <c r="C400" s="142"/>
      <c r="D400" s="142"/>
      <c r="E400" s="131"/>
      <c r="F400" s="142"/>
      <c r="G400" s="142"/>
      <c r="H400" s="142"/>
      <c r="I400" s="142"/>
      <c r="J400" s="142"/>
      <c r="K400" s="132"/>
      <c r="L400" s="131"/>
      <c r="M400" s="131"/>
      <c r="N400" s="142"/>
      <c r="O400" s="142"/>
      <c r="P400" s="142"/>
      <c r="Q400" s="142"/>
      <c r="R400" s="142"/>
      <c r="S400" s="142"/>
      <c r="T400" s="131"/>
      <c r="U400" s="131"/>
      <c r="V400" s="131"/>
      <c r="W400" s="131"/>
      <c r="X400" s="131"/>
      <c r="Y400" s="131"/>
      <c r="Z400" s="142"/>
      <c r="AA400" s="142"/>
      <c r="AB400" s="142"/>
      <c r="AC400" s="142"/>
      <c r="AD400" s="142"/>
      <c r="AE400" s="142"/>
      <c r="AF400" s="142"/>
      <c r="AG400" s="142"/>
      <c r="AH400" s="142"/>
      <c r="AI400" s="142"/>
      <c r="AJ400" s="142"/>
      <c r="AK400" s="142"/>
      <c r="AL400" s="142"/>
      <c r="AM400" s="142"/>
      <c r="AN400" s="142"/>
      <c r="AO400" s="142"/>
    </row>
    <row r="401" ht="15.75" customHeight="1">
      <c r="A401" s="142"/>
      <c r="B401" s="142"/>
      <c r="C401" s="142"/>
      <c r="D401" s="142"/>
      <c r="E401" s="131"/>
      <c r="F401" s="142"/>
      <c r="G401" s="142"/>
      <c r="H401" s="142"/>
      <c r="I401" s="142"/>
      <c r="J401" s="142"/>
      <c r="K401" s="132"/>
      <c r="L401" s="131"/>
      <c r="M401" s="131"/>
      <c r="N401" s="142"/>
      <c r="O401" s="142"/>
      <c r="P401" s="142"/>
      <c r="Q401" s="142"/>
      <c r="R401" s="142"/>
      <c r="S401" s="142"/>
      <c r="T401" s="131"/>
      <c r="U401" s="131"/>
      <c r="V401" s="131"/>
      <c r="W401" s="131"/>
      <c r="X401" s="131"/>
      <c r="Y401" s="131"/>
      <c r="Z401" s="142"/>
      <c r="AA401" s="142"/>
      <c r="AB401" s="142"/>
      <c r="AC401" s="142"/>
      <c r="AD401" s="142"/>
      <c r="AE401" s="142"/>
      <c r="AF401" s="142"/>
      <c r="AG401" s="142"/>
      <c r="AH401" s="142"/>
      <c r="AI401" s="142"/>
      <c r="AJ401" s="142"/>
      <c r="AK401" s="142"/>
      <c r="AL401" s="142"/>
      <c r="AM401" s="142"/>
      <c r="AN401" s="142"/>
      <c r="AO401" s="142"/>
    </row>
    <row r="402" ht="15.75" customHeight="1">
      <c r="A402" s="142"/>
      <c r="B402" s="142"/>
      <c r="C402" s="142"/>
      <c r="D402" s="142"/>
      <c r="E402" s="131"/>
      <c r="F402" s="142"/>
      <c r="G402" s="142"/>
      <c r="H402" s="142"/>
      <c r="I402" s="142"/>
      <c r="J402" s="142"/>
      <c r="K402" s="132"/>
      <c r="L402" s="131"/>
      <c r="M402" s="131"/>
      <c r="N402" s="142"/>
      <c r="O402" s="142"/>
      <c r="P402" s="142"/>
      <c r="Q402" s="142"/>
      <c r="R402" s="142"/>
      <c r="S402" s="142"/>
      <c r="T402" s="131"/>
      <c r="U402" s="131"/>
      <c r="V402" s="131"/>
      <c r="W402" s="131"/>
      <c r="X402" s="131"/>
      <c r="Y402" s="131"/>
      <c r="Z402" s="142"/>
      <c r="AA402" s="142"/>
      <c r="AB402" s="142"/>
      <c r="AC402" s="142"/>
      <c r="AD402" s="142"/>
      <c r="AE402" s="142"/>
      <c r="AF402" s="142"/>
      <c r="AG402" s="142"/>
      <c r="AH402" s="142"/>
      <c r="AI402" s="142"/>
      <c r="AJ402" s="142"/>
      <c r="AK402" s="142"/>
      <c r="AL402" s="142"/>
      <c r="AM402" s="142"/>
      <c r="AN402" s="142"/>
      <c r="AO402" s="142"/>
    </row>
    <row r="403" ht="15.75" customHeight="1">
      <c r="A403" s="142"/>
      <c r="B403" s="142"/>
      <c r="C403" s="142"/>
      <c r="D403" s="142"/>
      <c r="E403" s="131"/>
      <c r="F403" s="142"/>
      <c r="G403" s="142"/>
      <c r="H403" s="142"/>
      <c r="I403" s="142"/>
      <c r="J403" s="142"/>
      <c r="K403" s="132"/>
      <c r="L403" s="131"/>
      <c r="M403" s="131"/>
      <c r="N403" s="142"/>
      <c r="O403" s="142"/>
      <c r="P403" s="142"/>
      <c r="Q403" s="142"/>
      <c r="R403" s="142"/>
      <c r="S403" s="142"/>
      <c r="T403" s="131"/>
      <c r="U403" s="131"/>
      <c r="V403" s="131"/>
      <c r="W403" s="131"/>
      <c r="X403" s="131"/>
      <c r="Y403" s="131"/>
      <c r="Z403" s="142"/>
      <c r="AA403" s="142"/>
      <c r="AB403" s="142"/>
      <c r="AC403" s="142"/>
      <c r="AD403" s="142"/>
      <c r="AE403" s="142"/>
      <c r="AF403" s="142"/>
      <c r="AG403" s="142"/>
      <c r="AH403" s="142"/>
      <c r="AI403" s="142"/>
      <c r="AJ403" s="142"/>
      <c r="AK403" s="142"/>
      <c r="AL403" s="142"/>
      <c r="AM403" s="142"/>
      <c r="AN403" s="142"/>
      <c r="AO403" s="142"/>
    </row>
    <row r="404" ht="15.75" customHeight="1">
      <c r="A404" s="142"/>
      <c r="B404" s="142"/>
      <c r="C404" s="142"/>
      <c r="D404" s="142"/>
      <c r="E404" s="131"/>
      <c r="F404" s="142"/>
      <c r="G404" s="142"/>
      <c r="H404" s="142"/>
      <c r="I404" s="142"/>
      <c r="J404" s="142"/>
      <c r="K404" s="132"/>
      <c r="L404" s="131"/>
      <c r="M404" s="131"/>
      <c r="N404" s="142"/>
      <c r="O404" s="142"/>
      <c r="P404" s="142"/>
      <c r="Q404" s="142"/>
      <c r="R404" s="142"/>
      <c r="S404" s="142"/>
      <c r="T404" s="131"/>
      <c r="U404" s="131"/>
      <c r="V404" s="131"/>
      <c r="W404" s="131"/>
      <c r="X404" s="131"/>
      <c r="Y404" s="131"/>
      <c r="Z404" s="142"/>
      <c r="AA404" s="142"/>
      <c r="AB404" s="142"/>
      <c r="AC404" s="142"/>
      <c r="AD404" s="142"/>
      <c r="AE404" s="142"/>
      <c r="AF404" s="142"/>
      <c r="AG404" s="142"/>
      <c r="AH404" s="142"/>
      <c r="AI404" s="142"/>
      <c r="AJ404" s="142"/>
      <c r="AK404" s="142"/>
      <c r="AL404" s="142"/>
      <c r="AM404" s="142"/>
      <c r="AN404" s="142"/>
      <c r="AO404" s="142"/>
    </row>
    <row r="405" ht="15.75" customHeight="1">
      <c r="A405" s="142"/>
      <c r="B405" s="142"/>
      <c r="C405" s="142"/>
      <c r="D405" s="142"/>
      <c r="E405" s="131"/>
      <c r="F405" s="142"/>
      <c r="G405" s="142"/>
      <c r="H405" s="142"/>
      <c r="I405" s="142"/>
      <c r="J405" s="142"/>
      <c r="K405" s="132"/>
      <c r="L405" s="131"/>
      <c r="M405" s="131"/>
      <c r="N405" s="142"/>
      <c r="O405" s="142"/>
      <c r="P405" s="142"/>
      <c r="Q405" s="142"/>
      <c r="R405" s="142"/>
      <c r="S405" s="142"/>
      <c r="T405" s="131"/>
      <c r="U405" s="131"/>
      <c r="V405" s="131"/>
      <c r="W405" s="131"/>
      <c r="X405" s="131"/>
      <c r="Y405" s="131"/>
      <c r="Z405" s="142"/>
      <c r="AA405" s="142"/>
      <c r="AB405" s="142"/>
      <c r="AC405" s="142"/>
      <c r="AD405" s="142"/>
      <c r="AE405" s="142"/>
      <c r="AF405" s="142"/>
      <c r="AG405" s="142"/>
      <c r="AH405" s="142"/>
      <c r="AI405" s="142"/>
      <c r="AJ405" s="142"/>
      <c r="AK405" s="142"/>
      <c r="AL405" s="142"/>
      <c r="AM405" s="142"/>
      <c r="AN405" s="142"/>
      <c r="AO405" s="142"/>
    </row>
    <row r="406" ht="15.75" customHeight="1">
      <c r="A406" s="142"/>
      <c r="B406" s="142"/>
      <c r="C406" s="142"/>
      <c r="D406" s="142"/>
      <c r="E406" s="131"/>
      <c r="F406" s="142"/>
      <c r="G406" s="142"/>
      <c r="H406" s="142"/>
      <c r="I406" s="142"/>
      <c r="J406" s="142"/>
      <c r="K406" s="132"/>
      <c r="L406" s="131"/>
      <c r="M406" s="131"/>
      <c r="N406" s="142"/>
      <c r="O406" s="142"/>
      <c r="P406" s="142"/>
      <c r="Q406" s="142"/>
      <c r="R406" s="142"/>
      <c r="S406" s="142"/>
      <c r="T406" s="131"/>
      <c r="U406" s="131"/>
      <c r="V406" s="131"/>
      <c r="W406" s="131"/>
      <c r="X406" s="131"/>
      <c r="Y406" s="131"/>
      <c r="Z406" s="142"/>
      <c r="AA406" s="142"/>
      <c r="AB406" s="142"/>
      <c r="AC406" s="142"/>
      <c r="AD406" s="142"/>
      <c r="AE406" s="142"/>
      <c r="AF406" s="142"/>
      <c r="AG406" s="142"/>
      <c r="AH406" s="142"/>
      <c r="AI406" s="142"/>
      <c r="AJ406" s="142"/>
      <c r="AK406" s="142"/>
      <c r="AL406" s="142"/>
      <c r="AM406" s="142"/>
      <c r="AN406" s="142"/>
      <c r="AO406" s="142"/>
    </row>
    <row r="407" ht="15.75" customHeight="1">
      <c r="A407" s="142"/>
      <c r="B407" s="142"/>
      <c r="C407" s="142"/>
      <c r="D407" s="142"/>
      <c r="E407" s="131"/>
      <c r="F407" s="142"/>
      <c r="G407" s="142"/>
      <c r="H407" s="142"/>
      <c r="I407" s="142"/>
      <c r="J407" s="142"/>
      <c r="K407" s="132"/>
      <c r="L407" s="131"/>
      <c r="M407" s="131"/>
      <c r="N407" s="142"/>
      <c r="O407" s="142"/>
      <c r="P407" s="142"/>
      <c r="Q407" s="142"/>
      <c r="R407" s="142"/>
      <c r="S407" s="142"/>
      <c r="T407" s="131"/>
      <c r="U407" s="131"/>
      <c r="V407" s="131"/>
      <c r="W407" s="131"/>
      <c r="X407" s="131"/>
      <c r="Y407" s="131"/>
      <c r="Z407" s="142"/>
      <c r="AA407" s="142"/>
      <c r="AB407" s="142"/>
      <c r="AC407" s="142"/>
      <c r="AD407" s="142"/>
      <c r="AE407" s="142"/>
      <c r="AF407" s="142"/>
      <c r="AG407" s="142"/>
      <c r="AH407" s="142"/>
      <c r="AI407" s="142"/>
      <c r="AJ407" s="142"/>
      <c r="AK407" s="142"/>
      <c r="AL407" s="142"/>
      <c r="AM407" s="142"/>
      <c r="AN407" s="142"/>
      <c r="AO407" s="142"/>
    </row>
    <row r="408" ht="15.75" customHeight="1">
      <c r="A408" s="142"/>
      <c r="B408" s="142"/>
      <c r="C408" s="142"/>
      <c r="D408" s="142"/>
      <c r="E408" s="131"/>
      <c r="F408" s="142"/>
      <c r="G408" s="142"/>
      <c r="H408" s="142"/>
      <c r="I408" s="142"/>
      <c r="J408" s="142"/>
      <c r="K408" s="132"/>
      <c r="L408" s="131"/>
      <c r="M408" s="131"/>
      <c r="N408" s="142"/>
      <c r="O408" s="142"/>
      <c r="P408" s="142"/>
      <c r="Q408" s="142"/>
      <c r="R408" s="142"/>
      <c r="S408" s="142"/>
      <c r="T408" s="131"/>
      <c r="U408" s="131"/>
      <c r="V408" s="131"/>
      <c r="W408" s="131"/>
      <c r="X408" s="131"/>
      <c r="Y408" s="131"/>
      <c r="Z408" s="142"/>
      <c r="AA408" s="142"/>
      <c r="AB408" s="142"/>
      <c r="AC408" s="142"/>
      <c r="AD408" s="142"/>
      <c r="AE408" s="142"/>
      <c r="AF408" s="142"/>
      <c r="AG408" s="142"/>
      <c r="AH408" s="142"/>
      <c r="AI408" s="142"/>
      <c r="AJ408" s="142"/>
      <c r="AK408" s="142"/>
      <c r="AL408" s="142"/>
      <c r="AM408" s="142"/>
      <c r="AN408" s="142"/>
      <c r="AO408" s="142"/>
    </row>
    <row r="409" ht="15.75" customHeight="1">
      <c r="A409" s="142"/>
      <c r="B409" s="142"/>
      <c r="C409" s="142"/>
      <c r="D409" s="142"/>
      <c r="E409" s="131"/>
      <c r="F409" s="142"/>
      <c r="G409" s="142"/>
      <c r="H409" s="142"/>
      <c r="I409" s="142"/>
      <c r="J409" s="142"/>
      <c r="K409" s="132"/>
      <c r="L409" s="131"/>
      <c r="M409" s="131"/>
      <c r="N409" s="142"/>
      <c r="O409" s="142"/>
      <c r="P409" s="142"/>
      <c r="Q409" s="142"/>
      <c r="R409" s="142"/>
      <c r="S409" s="142"/>
      <c r="T409" s="131"/>
      <c r="U409" s="131"/>
      <c r="V409" s="131"/>
      <c r="W409" s="131"/>
      <c r="X409" s="131"/>
      <c r="Y409" s="131"/>
      <c r="Z409" s="142"/>
      <c r="AA409" s="142"/>
      <c r="AB409" s="142"/>
      <c r="AC409" s="142"/>
      <c r="AD409" s="142"/>
      <c r="AE409" s="142"/>
      <c r="AF409" s="142"/>
      <c r="AG409" s="142"/>
      <c r="AH409" s="142"/>
      <c r="AI409" s="142"/>
      <c r="AJ409" s="142"/>
      <c r="AK409" s="142"/>
      <c r="AL409" s="142"/>
      <c r="AM409" s="142"/>
      <c r="AN409" s="142"/>
      <c r="AO409" s="142"/>
    </row>
    <row r="410" ht="15.75" customHeight="1">
      <c r="A410" s="142"/>
      <c r="B410" s="142"/>
      <c r="C410" s="142"/>
      <c r="D410" s="142"/>
      <c r="E410" s="131"/>
      <c r="F410" s="142"/>
      <c r="G410" s="142"/>
      <c r="H410" s="142"/>
      <c r="I410" s="142"/>
      <c r="J410" s="142"/>
      <c r="K410" s="132"/>
      <c r="L410" s="131"/>
      <c r="M410" s="131"/>
      <c r="N410" s="142"/>
      <c r="O410" s="142"/>
      <c r="P410" s="142"/>
      <c r="Q410" s="142"/>
      <c r="R410" s="142"/>
      <c r="S410" s="142"/>
      <c r="T410" s="131"/>
      <c r="U410" s="131"/>
      <c r="V410" s="131"/>
      <c r="W410" s="131"/>
      <c r="X410" s="131"/>
      <c r="Y410" s="131"/>
      <c r="Z410" s="142"/>
      <c r="AA410" s="142"/>
      <c r="AB410" s="142"/>
      <c r="AC410" s="142"/>
      <c r="AD410" s="142"/>
      <c r="AE410" s="142"/>
      <c r="AF410" s="142"/>
      <c r="AG410" s="142"/>
      <c r="AH410" s="142"/>
      <c r="AI410" s="142"/>
      <c r="AJ410" s="142"/>
      <c r="AK410" s="142"/>
      <c r="AL410" s="142"/>
      <c r="AM410" s="142"/>
      <c r="AN410" s="142"/>
      <c r="AO410" s="142"/>
    </row>
    <row r="411" ht="15.75" customHeight="1">
      <c r="A411" s="142"/>
      <c r="B411" s="142"/>
      <c r="C411" s="142"/>
      <c r="D411" s="142"/>
      <c r="E411" s="131"/>
      <c r="F411" s="142"/>
      <c r="G411" s="142"/>
      <c r="H411" s="142"/>
      <c r="I411" s="142"/>
      <c r="J411" s="142"/>
      <c r="K411" s="132"/>
      <c r="L411" s="131"/>
      <c r="M411" s="131"/>
      <c r="N411" s="142"/>
      <c r="O411" s="142"/>
      <c r="P411" s="142"/>
      <c r="Q411" s="142"/>
      <c r="R411" s="142"/>
      <c r="S411" s="142"/>
      <c r="T411" s="131"/>
      <c r="U411" s="131"/>
      <c r="V411" s="131"/>
      <c r="W411" s="131"/>
      <c r="X411" s="131"/>
      <c r="Y411" s="131"/>
      <c r="Z411" s="142"/>
      <c r="AA411" s="142"/>
      <c r="AB411" s="142"/>
      <c r="AC411" s="142"/>
      <c r="AD411" s="142"/>
      <c r="AE411" s="142"/>
      <c r="AF411" s="142"/>
      <c r="AG411" s="142"/>
      <c r="AH411" s="142"/>
      <c r="AI411" s="142"/>
      <c r="AJ411" s="142"/>
      <c r="AK411" s="142"/>
      <c r="AL411" s="142"/>
      <c r="AM411" s="142"/>
      <c r="AN411" s="142"/>
      <c r="AO411" s="142"/>
    </row>
    <row r="412" ht="15.75" customHeight="1">
      <c r="A412" s="142"/>
      <c r="B412" s="142"/>
      <c r="C412" s="142"/>
      <c r="D412" s="142"/>
      <c r="E412" s="131"/>
      <c r="F412" s="142"/>
      <c r="G412" s="142"/>
      <c r="H412" s="142"/>
      <c r="I412" s="142"/>
      <c r="J412" s="142"/>
      <c r="K412" s="132"/>
      <c r="L412" s="131"/>
      <c r="M412" s="131"/>
      <c r="N412" s="142"/>
      <c r="O412" s="142"/>
      <c r="P412" s="142"/>
      <c r="Q412" s="142"/>
      <c r="R412" s="142"/>
      <c r="S412" s="142"/>
      <c r="T412" s="131"/>
      <c r="U412" s="131"/>
      <c r="V412" s="131"/>
      <c r="W412" s="131"/>
      <c r="X412" s="131"/>
      <c r="Y412" s="131"/>
      <c r="Z412" s="142"/>
      <c r="AA412" s="142"/>
      <c r="AB412" s="142"/>
      <c r="AC412" s="142"/>
      <c r="AD412" s="142"/>
      <c r="AE412" s="142"/>
      <c r="AF412" s="142"/>
      <c r="AG412" s="142"/>
      <c r="AH412" s="142"/>
      <c r="AI412" s="142"/>
      <c r="AJ412" s="142"/>
      <c r="AK412" s="142"/>
      <c r="AL412" s="142"/>
      <c r="AM412" s="142"/>
      <c r="AN412" s="142"/>
      <c r="AO412" s="142"/>
    </row>
    <row r="413" ht="15.75" customHeight="1">
      <c r="A413" s="142"/>
      <c r="B413" s="142"/>
      <c r="C413" s="142"/>
      <c r="D413" s="142"/>
      <c r="E413" s="131"/>
      <c r="F413" s="142"/>
      <c r="G413" s="142"/>
      <c r="H413" s="142"/>
      <c r="I413" s="142"/>
      <c r="J413" s="142"/>
      <c r="K413" s="132"/>
      <c r="L413" s="131"/>
      <c r="M413" s="131"/>
      <c r="N413" s="142"/>
      <c r="O413" s="142"/>
      <c r="P413" s="142"/>
      <c r="Q413" s="142"/>
      <c r="R413" s="142"/>
      <c r="S413" s="142"/>
      <c r="T413" s="131"/>
      <c r="U413" s="131"/>
      <c r="V413" s="131"/>
      <c r="W413" s="131"/>
      <c r="X413" s="131"/>
      <c r="Y413" s="131"/>
      <c r="Z413" s="142"/>
      <c r="AA413" s="142"/>
      <c r="AB413" s="142"/>
      <c r="AC413" s="142"/>
      <c r="AD413" s="142"/>
      <c r="AE413" s="142"/>
      <c r="AF413" s="142"/>
      <c r="AG413" s="142"/>
      <c r="AH413" s="142"/>
      <c r="AI413" s="142"/>
      <c r="AJ413" s="142"/>
      <c r="AK413" s="142"/>
      <c r="AL413" s="142"/>
      <c r="AM413" s="142"/>
      <c r="AN413" s="142"/>
      <c r="AO413" s="142"/>
    </row>
    <row r="414" ht="15.75" customHeight="1">
      <c r="A414" s="142"/>
      <c r="B414" s="142"/>
      <c r="C414" s="142"/>
      <c r="D414" s="142"/>
      <c r="E414" s="131"/>
      <c r="F414" s="142"/>
      <c r="G414" s="142"/>
      <c r="H414" s="142"/>
      <c r="I414" s="142"/>
      <c r="J414" s="142"/>
      <c r="K414" s="132"/>
      <c r="L414" s="131"/>
      <c r="M414" s="131"/>
      <c r="N414" s="142"/>
      <c r="O414" s="142"/>
      <c r="P414" s="142"/>
      <c r="Q414" s="142"/>
      <c r="R414" s="142"/>
      <c r="S414" s="142"/>
      <c r="T414" s="131"/>
      <c r="U414" s="131"/>
      <c r="V414" s="131"/>
      <c r="W414" s="131"/>
      <c r="X414" s="131"/>
      <c r="Y414" s="131"/>
      <c r="Z414" s="142"/>
      <c r="AA414" s="142"/>
      <c r="AB414" s="142"/>
      <c r="AC414" s="142"/>
      <c r="AD414" s="142"/>
      <c r="AE414" s="142"/>
      <c r="AF414" s="142"/>
      <c r="AG414" s="142"/>
      <c r="AH414" s="142"/>
      <c r="AI414" s="142"/>
      <c r="AJ414" s="142"/>
      <c r="AK414" s="142"/>
      <c r="AL414" s="142"/>
      <c r="AM414" s="142"/>
      <c r="AN414" s="142"/>
      <c r="AO414" s="142"/>
    </row>
    <row r="415" ht="15.75" customHeight="1">
      <c r="A415" s="142"/>
      <c r="B415" s="142"/>
      <c r="C415" s="142"/>
      <c r="D415" s="142"/>
      <c r="E415" s="131"/>
      <c r="F415" s="142"/>
      <c r="G415" s="142"/>
      <c r="H415" s="142"/>
      <c r="I415" s="142"/>
      <c r="J415" s="142"/>
      <c r="K415" s="132"/>
      <c r="L415" s="131"/>
      <c r="M415" s="131"/>
      <c r="N415" s="142"/>
      <c r="O415" s="142"/>
      <c r="P415" s="142"/>
      <c r="Q415" s="142"/>
      <c r="R415" s="142"/>
      <c r="S415" s="142"/>
      <c r="T415" s="131"/>
      <c r="U415" s="131"/>
      <c r="V415" s="131"/>
      <c r="W415" s="131"/>
      <c r="X415" s="131"/>
      <c r="Y415" s="131"/>
      <c r="Z415" s="142"/>
      <c r="AA415" s="142"/>
      <c r="AB415" s="142"/>
      <c r="AC415" s="142"/>
      <c r="AD415" s="142"/>
      <c r="AE415" s="142"/>
      <c r="AF415" s="142"/>
      <c r="AG415" s="142"/>
      <c r="AH415" s="142"/>
      <c r="AI415" s="142"/>
      <c r="AJ415" s="142"/>
      <c r="AK415" s="142"/>
      <c r="AL415" s="142"/>
      <c r="AM415" s="142"/>
      <c r="AN415" s="142"/>
      <c r="AO415" s="142"/>
    </row>
    <row r="416" ht="15.75" customHeight="1">
      <c r="A416" s="142"/>
      <c r="B416" s="142"/>
      <c r="C416" s="142"/>
      <c r="D416" s="142"/>
      <c r="E416" s="131"/>
      <c r="F416" s="142"/>
      <c r="G416" s="142"/>
      <c r="H416" s="142"/>
      <c r="I416" s="142"/>
      <c r="J416" s="142"/>
      <c r="K416" s="132"/>
      <c r="L416" s="131"/>
      <c r="M416" s="131"/>
      <c r="N416" s="142"/>
      <c r="O416" s="142"/>
      <c r="P416" s="142"/>
      <c r="Q416" s="142"/>
      <c r="R416" s="142"/>
      <c r="S416" s="142"/>
      <c r="T416" s="131"/>
      <c r="U416" s="131"/>
      <c r="V416" s="131"/>
      <c r="W416" s="131"/>
      <c r="X416" s="131"/>
      <c r="Y416" s="131"/>
      <c r="Z416" s="142"/>
      <c r="AA416" s="142"/>
      <c r="AB416" s="142"/>
      <c r="AC416" s="142"/>
      <c r="AD416" s="142"/>
      <c r="AE416" s="142"/>
      <c r="AF416" s="142"/>
      <c r="AG416" s="142"/>
      <c r="AH416" s="142"/>
      <c r="AI416" s="142"/>
      <c r="AJ416" s="142"/>
      <c r="AK416" s="142"/>
      <c r="AL416" s="142"/>
      <c r="AM416" s="142"/>
      <c r="AN416" s="142"/>
      <c r="AO416" s="142"/>
    </row>
    <row r="417" ht="15.75" customHeight="1">
      <c r="A417" s="142"/>
      <c r="B417" s="142"/>
      <c r="C417" s="142"/>
      <c r="D417" s="142"/>
      <c r="E417" s="131"/>
      <c r="F417" s="142"/>
      <c r="G417" s="142"/>
      <c r="H417" s="142"/>
      <c r="I417" s="142"/>
      <c r="J417" s="142"/>
      <c r="K417" s="132"/>
      <c r="L417" s="131"/>
      <c r="M417" s="131"/>
      <c r="N417" s="142"/>
      <c r="O417" s="142"/>
      <c r="P417" s="142"/>
      <c r="Q417" s="142"/>
      <c r="R417" s="142"/>
      <c r="S417" s="142"/>
      <c r="T417" s="131"/>
      <c r="U417" s="131"/>
      <c r="V417" s="131"/>
      <c r="W417" s="131"/>
      <c r="X417" s="131"/>
      <c r="Y417" s="131"/>
      <c r="Z417" s="142"/>
      <c r="AA417" s="142"/>
      <c r="AB417" s="142"/>
      <c r="AC417" s="142"/>
      <c r="AD417" s="142"/>
      <c r="AE417" s="142"/>
      <c r="AF417" s="142"/>
      <c r="AG417" s="142"/>
      <c r="AH417" s="142"/>
      <c r="AI417" s="142"/>
      <c r="AJ417" s="142"/>
      <c r="AK417" s="142"/>
      <c r="AL417" s="142"/>
      <c r="AM417" s="142"/>
      <c r="AN417" s="142"/>
      <c r="AO417" s="142"/>
    </row>
    <row r="418" ht="15.75" customHeight="1">
      <c r="A418" s="142"/>
      <c r="B418" s="142"/>
      <c r="C418" s="142"/>
      <c r="D418" s="142"/>
      <c r="E418" s="131"/>
      <c r="F418" s="142"/>
      <c r="G418" s="142"/>
      <c r="H418" s="142"/>
      <c r="I418" s="142"/>
      <c r="J418" s="142"/>
      <c r="K418" s="132"/>
      <c r="L418" s="131"/>
      <c r="M418" s="131"/>
      <c r="N418" s="142"/>
      <c r="O418" s="142"/>
      <c r="P418" s="142"/>
      <c r="Q418" s="142"/>
      <c r="R418" s="142"/>
      <c r="S418" s="142"/>
      <c r="T418" s="131"/>
      <c r="U418" s="131"/>
      <c r="V418" s="131"/>
      <c r="W418" s="131"/>
      <c r="X418" s="131"/>
      <c r="Y418" s="131"/>
      <c r="Z418" s="142"/>
      <c r="AA418" s="142"/>
      <c r="AB418" s="142"/>
      <c r="AC418" s="142"/>
      <c r="AD418" s="142"/>
      <c r="AE418" s="142"/>
      <c r="AF418" s="142"/>
      <c r="AG418" s="142"/>
      <c r="AH418" s="142"/>
      <c r="AI418" s="142"/>
      <c r="AJ418" s="142"/>
      <c r="AK418" s="142"/>
      <c r="AL418" s="142"/>
      <c r="AM418" s="142"/>
      <c r="AN418" s="142"/>
      <c r="AO418" s="142"/>
    </row>
    <row r="419" ht="15.75" customHeight="1">
      <c r="A419" s="142"/>
      <c r="B419" s="142"/>
      <c r="C419" s="142"/>
      <c r="D419" s="142"/>
      <c r="E419" s="131"/>
      <c r="F419" s="142"/>
      <c r="G419" s="142"/>
      <c r="H419" s="142"/>
      <c r="I419" s="142"/>
      <c r="J419" s="142"/>
      <c r="K419" s="132"/>
      <c r="L419" s="131"/>
      <c r="M419" s="131"/>
      <c r="N419" s="142"/>
      <c r="O419" s="142"/>
      <c r="P419" s="142"/>
      <c r="Q419" s="142"/>
      <c r="R419" s="142"/>
      <c r="S419" s="142"/>
      <c r="T419" s="131"/>
      <c r="U419" s="131"/>
      <c r="V419" s="131"/>
      <c r="W419" s="131"/>
      <c r="X419" s="131"/>
      <c r="Y419" s="131"/>
      <c r="Z419" s="142"/>
      <c r="AA419" s="142"/>
      <c r="AB419" s="142"/>
      <c r="AC419" s="142"/>
      <c r="AD419" s="142"/>
      <c r="AE419" s="142"/>
      <c r="AF419" s="142"/>
      <c r="AG419" s="142"/>
      <c r="AH419" s="142"/>
      <c r="AI419" s="142"/>
      <c r="AJ419" s="142"/>
      <c r="AK419" s="142"/>
      <c r="AL419" s="142"/>
      <c r="AM419" s="142"/>
      <c r="AN419" s="142"/>
      <c r="AO419" s="142"/>
    </row>
    <row r="420" ht="15.75" customHeight="1">
      <c r="A420" s="142"/>
      <c r="B420" s="142"/>
      <c r="C420" s="142"/>
      <c r="D420" s="142"/>
      <c r="E420" s="131"/>
      <c r="F420" s="142"/>
      <c r="G420" s="142"/>
      <c r="H420" s="142"/>
      <c r="I420" s="142"/>
      <c r="J420" s="142"/>
      <c r="K420" s="132"/>
      <c r="L420" s="131"/>
      <c r="M420" s="131"/>
      <c r="N420" s="142"/>
      <c r="O420" s="142"/>
      <c r="P420" s="142"/>
      <c r="Q420" s="142"/>
      <c r="R420" s="142"/>
      <c r="S420" s="142"/>
      <c r="T420" s="131"/>
      <c r="U420" s="131"/>
      <c r="V420" s="131"/>
      <c r="W420" s="131"/>
      <c r="X420" s="131"/>
      <c r="Y420" s="131"/>
      <c r="Z420" s="142"/>
      <c r="AA420" s="142"/>
      <c r="AB420" s="142"/>
      <c r="AC420" s="142"/>
      <c r="AD420" s="142"/>
      <c r="AE420" s="142"/>
      <c r="AF420" s="142"/>
      <c r="AG420" s="142"/>
      <c r="AH420" s="142"/>
      <c r="AI420" s="142"/>
      <c r="AJ420" s="142"/>
      <c r="AK420" s="142"/>
      <c r="AL420" s="142"/>
      <c r="AM420" s="142"/>
      <c r="AN420" s="142"/>
      <c r="AO420" s="142"/>
    </row>
    <row r="421" ht="15.75" customHeight="1">
      <c r="A421" s="142"/>
      <c r="B421" s="142"/>
      <c r="C421" s="142"/>
      <c r="D421" s="142"/>
      <c r="E421" s="131"/>
      <c r="F421" s="142"/>
      <c r="G421" s="142"/>
      <c r="H421" s="142"/>
      <c r="I421" s="142"/>
      <c r="J421" s="142"/>
      <c r="K421" s="132"/>
      <c r="L421" s="131"/>
      <c r="M421" s="131"/>
      <c r="N421" s="142"/>
      <c r="O421" s="142"/>
      <c r="P421" s="142"/>
      <c r="Q421" s="142"/>
      <c r="R421" s="142"/>
      <c r="S421" s="142"/>
      <c r="T421" s="131"/>
      <c r="U421" s="131"/>
      <c r="V421" s="131"/>
      <c r="W421" s="131"/>
      <c r="X421" s="131"/>
      <c r="Y421" s="131"/>
      <c r="Z421" s="142"/>
      <c r="AA421" s="142"/>
      <c r="AB421" s="142"/>
      <c r="AC421" s="142"/>
      <c r="AD421" s="142"/>
      <c r="AE421" s="142"/>
      <c r="AF421" s="142"/>
      <c r="AG421" s="142"/>
      <c r="AH421" s="142"/>
      <c r="AI421" s="142"/>
      <c r="AJ421" s="142"/>
      <c r="AK421" s="142"/>
      <c r="AL421" s="142"/>
      <c r="AM421" s="142"/>
      <c r="AN421" s="142"/>
      <c r="AO421" s="142"/>
    </row>
    <row r="422" ht="15.75" customHeight="1">
      <c r="A422" s="142"/>
      <c r="B422" s="142"/>
      <c r="C422" s="142"/>
      <c r="D422" s="142"/>
      <c r="E422" s="131"/>
      <c r="F422" s="142"/>
      <c r="G422" s="142"/>
      <c r="H422" s="142"/>
      <c r="I422" s="142"/>
      <c r="J422" s="142"/>
      <c r="K422" s="132"/>
      <c r="L422" s="131"/>
      <c r="M422" s="131"/>
      <c r="N422" s="142"/>
      <c r="O422" s="142"/>
      <c r="P422" s="142"/>
      <c r="Q422" s="142"/>
      <c r="R422" s="142"/>
      <c r="S422" s="142"/>
      <c r="T422" s="131"/>
      <c r="U422" s="131"/>
      <c r="V422" s="131"/>
      <c r="W422" s="131"/>
      <c r="X422" s="131"/>
      <c r="Y422" s="131"/>
      <c r="Z422" s="142"/>
      <c r="AA422" s="142"/>
      <c r="AB422" s="142"/>
      <c r="AC422" s="142"/>
      <c r="AD422" s="142"/>
      <c r="AE422" s="142"/>
      <c r="AF422" s="142"/>
      <c r="AG422" s="142"/>
      <c r="AH422" s="142"/>
      <c r="AI422" s="142"/>
      <c r="AJ422" s="142"/>
      <c r="AK422" s="142"/>
      <c r="AL422" s="142"/>
      <c r="AM422" s="142"/>
      <c r="AN422" s="142"/>
      <c r="AO422" s="142"/>
    </row>
    <row r="423" ht="15.75" customHeight="1">
      <c r="A423" s="142"/>
      <c r="B423" s="142"/>
      <c r="C423" s="142"/>
      <c r="D423" s="142"/>
      <c r="E423" s="131"/>
      <c r="F423" s="142"/>
      <c r="G423" s="142"/>
      <c r="H423" s="142"/>
      <c r="I423" s="142"/>
      <c r="J423" s="142"/>
      <c r="K423" s="132"/>
      <c r="L423" s="131"/>
      <c r="M423" s="131"/>
      <c r="N423" s="142"/>
      <c r="O423" s="142"/>
      <c r="P423" s="142"/>
      <c r="Q423" s="142"/>
      <c r="R423" s="142"/>
      <c r="S423" s="142"/>
      <c r="T423" s="131"/>
      <c r="U423" s="131"/>
      <c r="V423" s="131"/>
      <c r="W423" s="131"/>
      <c r="X423" s="131"/>
      <c r="Y423" s="131"/>
      <c r="Z423" s="142"/>
      <c r="AA423" s="142"/>
      <c r="AB423" s="142"/>
      <c r="AC423" s="142"/>
      <c r="AD423" s="142"/>
      <c r="AE423" s="142"/>
      <c r="AF423" s="142"/>
      <c r="AG423" s="142"/>
      <c r="AH423" s="142"/>
      <c r="AI423" s="142"/>
      <c r="AJ423" s="142"/>
      <c r="AK423" s="142"/>
      <c r="AL423" s="142"/>
      <c r="AM423" s="142"/>
      <c r="AN423" s="142"/>
      <c r="AO423" s="142"/>
    </row>
    <row r="424" ht="15.75" customHeight="1">
      <c r="A424" s="142"/>
      <c r="B424" s="142"/>
      <c r="C424" s="142"/>
      <c r="D424" s="142"/>
      <c r="E424" s="131"/>
      <c r="F424" s="142"/>
      <c r="G424" s="142"/>
      <c r="H424" s="142"/>
      <c r="I424" s="142"/>
      <c r="J424" s="142"/>
      <c r="K424" s="132"/>
      <c r="L424" s="131"/>
      <c r="M424" s="131"/>
      <c r="N424" s="142"/>
      <c r="O424" s="142"/>
      <c r="P424" s="142"/>
      <c r="Q424" s="142"/>
      <c r="R424" s="142"/>
      <c r="S424" s="142"/>
      <c r="T424" s="131"/>
      <c r="U424" s="131"/>
      <c r="V424" s="131"/>
      <c r="W424" s="131"/>
      <c r="X424" s="131"/>
      <c r="Y424" s="131"/>
      <c r="Z424" s="142"/>
      <c r="AA424" s="142"/>
      <c r="AB424" s="142"/>
      <c r="AC424" s="142"/>
      <c r="AD424" s="142"/>
      <c r="AE424" s="142"/>
      <c r="AF424" s="142"/>
      <c r="AG424" s="142"/>
      <c r="AH424" s="142"/>
      <c r="AI424" s="142"/>
      <c r="AJ424" s="142"/>
      <c r="AK424" s="142"/>
      <c r="AL424" s="142"/>
      <c r="AM424" s="142"/>
      <c r="AN424" s="142"/>
      <c r="AO424" s="142"/>
    </row>
    <row r="425" ht="15.75" customHeight="1">
      <c r="A425" s="142"/>
      <c r="B425" s="142"/>
      <c r="C425" s="142"/>
      <c r="D425" s="142"/>
      <c r="E425" s="131"/>
      <c r="F425" s="142"/>
      <c r="G425" s="142"/>
      <c r="H425" s="142"/>
      <c r="I425" s="142"/>
      <c r="J425" s="142"/>
      <c r="K425" s="132"/>
      <c r="L425" s="131"/>
      <c r="M425" s="131"/>
      <c r="N425" s="142"/>
      <c r="O425" s="142"/>
      <c r="P425" s="142"/>
      <c r="Q425" s="142"/>
      <c r="R425" s="142"/>
      <c r="S425" s="142"/>
      <c r="T425" s="131"/>
      <c r="U425" s="131"/>
      <c r="V425" s="131"/>
      <c r="W425" s="131"/>
      <c r="X425" s="131"/>
      <c r="Y425" s="131"/>
      <c r="Z425" s="142"/>
      <c r="AA425" s="142"/>
      <c r="AB425" s="142"/>
      <c r="AC425" s="142"/>
      <c r="AD425" s="142"/>
      <c r="AE425" s="142"/>
      <c r="AF425" s="142"/>
      <c r="AG425" s="142"/>
      <c r="AH425" s="142"/>
      <c r="AI425" s="142"/>
      <c r="AJ425" s="142"/>
      <c r="AK425" s="142"/>
      <c r="AL425" s="142"/>
      <c r="AM425" s="142"/>
      <c r="AN425" s="142"/>
      <c r="AO425" s="142"/>
    </row>
    <row r="426" ht="15.75" customHeight="1">
      <c r="A426" s="142"/>
      <c r="B426" s="142"/>
      <c r="C426" s="142"/>
      <c r="D426" s="142"/>
      <c r="E426" s="131"/>
      <c r="F426" s="142"/>
      <c r="G426" s="142"/>
      <c r="H426" s="142"/>
      <c r="I426" s="142"/>
      <c r="J426" s="142"/>
      <c r="K426" s="132"/>
      <c r="L426" s="131"/>
      <c r="M426" s="131"/>
      <c r="N426" s="142"/>
      <c r="O426" s="142"/>
      <c r="P426" s="142"/>
      <c r="Q426" s="142"/>
      <c r="R426" s="142"/>
      <c r="S426" s="142"/>
      <c r="T426" s="131"/>
      <c r="U426" s="131"/>
      <c r="V426" s="131"/>
      <c r="W426" s="131"/>
      <c r="X426" s="131"/>
      <c r="Y426" s="131"/>
      <c r="Z426" s="142"/>
      <c r="AA426" s="142"/>
      <c r="AB426" s="142"/>
      <c r="AC426" s="142"/>
      <c r="AD426" s="142"/>
      <c r="AE426" s="142"/>
      <c r="AF426" s="142"/>
      <c r="AG426" s="142"/>
      <c r="AH426" s="142"/>
      <c r="AI426" s="142"/>
      <c r="AJ426" s="142"/>
      <c r="AK426" s="142"/>
      <c r="AL426" s="142"/>
      <c r="AM426" s="142"/>
      <c r="AN426" s="142"/>
      <c r="AO426" s="142"/>
    </row>
    <row r="427" ht="15.75" customHeight="1">
      <c r="A427" s="142"/>
      <c r="B427" s="142"/>
      <c r="C427" s="142"/>
      <c r="D427" s="142"/>
      <c r="E427" s="131"/>
      <c r="F427" s="142"/>
      <c r="G427" s="142"/>
      <c r="H427" s="142"/>
      <c r="I427" s="142"/>
      <c r="J427" s="142"/>
      <c r="K427" s="132"/>
      <c r="L427" s="131"/>
      <c r="M427" s="131"/>
      <c r="N427" s="142"/>
      <c r="O427" s="142"/>
      <c r="P427" s="142"/>
      <c r="Q427" s="142"/>
      <c r="R427" s="142"/>
      <c r="S427" s="142"/>
      <c r="T427" s="131"/>
      <c r="U427" s="131"/>
      <c r="V427" s="131"/>
      <c r="W427" s="131"/>
      <c r="X427" s="131"/>
      <c r="Y427" s="131"/>
      <c r="Z427" s="142"/>
      <c r="AA427" s="142"/>
      <c r="AB427" s="142"/>
      <c r="AC427" s="142"/>
      <c r="AD427" s="142"/>
      <c r="AE427" s="142"/>
      <c r="AF427" s="142"/>
      <c r="AG427" s="142"/>
      <c r="AH427" s="142"/>
      <c r="AI427" s="142"/>
      <c r="AJ427" s="142"/>
      <c r="AK427" s="142"/>
      <c r="AL427" s="142"/>
      <c r="AM427" s="142"/>
      <c r="AN427" s="142"/>
      <c r="AO427" s="142"/>
    </row>
    <row r="428" ht="15.75" customHeight="1">
      <c r="A428" s="142"/>
      <c r="B428" s="142"/>
      <c r="C428" s="142"/>
      <c r="D428" s="142"/>
      <c r="E428" s="131"/>
      <c r="F428" s="142"/>
      <c r="G428" s="142"/>
      <c r="H428" s="142"/>
      <c r="I428" s="142"/>
      <c r="J428" s="142"/>
      <c r="K428" s="132"/>
      <c r="L428" s="131"/>
      <c r="M428" s="131"/>
      <c r="N428" s="142"/>
      <c r="O428" s="142"/>
      <c r="P428" s="142"/>
      <c r="Q428" s="142"/>
      <c r="R428" s="142"/>
      <c r="S428" s="142"/>
      <c r="T428" s="131"/>
      <c r="U428" s="131"/>
      <c r="V428" s="131"/>
      <c r="W428" s="131"/>
      <c r="X428" s="131"/>
      <c r="Y428" s="131"/>
      <c r="Z428" s="142"/>
      <c r="AA428" s="142"/>
      <c r="AB428" s="142"/>
      <c r="AC428" s="142"/>
      <c r="AD428" s="142"/>
      <c r="AE428" s="142"/>
      <c r="AF428" s="142"/>
      <c r="AG428" s="142"/>
      <c r="AH428" s="142"/>
      <c r="AI428" s="142"/>
      <c r="AJ428" s="142"/>
      <c r="AK428" s="142"/>
      <c r="AL428" s="142"/>
      <c r="AM428" s="142"/>
      <c r="AN428" s="142"/>
      <c r="AO428" s="142"/>
    </row>
    <row r="429" ht="15.75" customHeight="1">
      <c r="A429" s="142"/>
      <c r="B429" s="142"/>
      <c r="C429" s="142"/>
      <c r="D429" s="142"/>
      <c r="E429" s="131"/>
      <c r="F429" s="142"/>
      <c r="G429" s="142"/>
      <c r="H429" s="142"/>
      <c r="I429" s="142"/>
      <c r="J429" s="142"/>
      <c r="K429" s="132"/>
      <c r="L429" s="131"/>
      <c r="M429" s="131"/>
      <c r="N429" s="142"/>
      <c r="O429" s="142"/>
      <c r="P429" s="142"/>
      <c r="Q429" s="142"/>
      <c r="R429" s="142"/>
      <c r="S429" s="142"/>
      <c r="T429" s="131"/>
      <c r="U429" s="131"/>
      <c r="V429" s="131"/>
      <c r="W429" s="131"/>
      <c r="X429" s="131"/>
      <c r="Y429" s="131"/>
      <c r="Z429" s="142"/>
      <c r="AA429" s="142"/>
      <c r="AB429" s="142"/>
      <c r="AC429" s="142"/>
      <c r="AD429" s="142"/>
      <c r="AE429" s="142"/>
      <c r="AF429" s="142"/>
      <c r="AG429" s="142"/>
      <c r="AH429" s="142"/>
      <c r="AI429" s="142"/>
      <c r="AJ429" s="142"/>
      <c r="AK429" s="142"/>
      <c r="AL429" s="142"/>
      <c r="AM429" s="142"/>
      <c r="AN429" s="142"/>
      <c r="AO429" s="142"/>
    </row>
    <row r="430" ht="15.75" customHeight="1">
      <c r="A430" s="142"/>
      <c r="B430" s="142"/>
      <c r="C430" s="142"/>
      <c r="D430" s="142"/>
      <c r="E430" s="131"/>
      <c r="F430" s="142"/>
      <c r="G430" s="142"/>
      <c r="H430" s="142"/>
      <c r="I430" s="142"/>
      <c r="J430" s="142"/>
      <c r="K430" s="132"/>
      <c r="L430" s="131"/>
      <c r="M430" s="131"/>
      <c r="N430" s="142"/>
      <c r="O430" s="142"/>
      <c r="P430" s="142"/>
      <c r="Q430" s="142"/>
      <c r="R430" s="142"/>
      <c r="S430" s="142"/>
      <c r="T430" s="131"/>
      <c r="U430" s="131"/>
      <c r="V430" s="131"/>
      <c r="W430" s="131"/>
      <c r="X430" s="131"/>
      <c r="Y430" s="131"/>
      <c r="Z430" s="142"/>
      <c r="AA430" s="142"/>
      <c r="AB430" s="142"/>
      <c r="AC430" s="142"/>
      <c r="AD430" s="142"/>
      <c r="AE430" s="142"/>
      <c r="AF430" s="142"/>
      <c r="AG430" s="142"/>
      <c r="AH430" s="142"/>
      <c r="AI430" s="142"/>
      <c r="AJ430" s="142"/>
      <c r="AK430" s="142"/>
      <c r="AL430" s="142"/>
      <c r="AM430" s="142"/>
      <c r="AN430" s="142"/>
      <c r="AO430" s="142"/>
    </row>
    <row r="431" ht="15.75" customHeight="1">
      <c r="A431" s="142"/>
      <c r="B431" s="142"/>
      <c r="C431" s="142"/>
      <c r="D431" s="142"/>
      <c r="E431" s="131"/>
      <c r="F431" s="142"/>
      <c r="G431" s="142"/>
      <c r="H431" s="142"/>
      <c r="I431" s="142"/>
      <c r="J431" s="142"/>
      <c r="K431" s="132"/>
      <c r="L431" s="131"/>
      <c r="M431" s="131"/>
      <c r="N431" s="142"/>
      <c r="O431" s="142"/>
      <c r="P431" s="142"/>
      <c r="Q431" s="142"/>
      <c r="R431" s="142"/>
      <c r="S431" s="142"/>
      <c r="T431" s="131"/>
      <c r="U431" s="131"/>
      <c r="V431" s="131"/>
      <c r="W431" s="131"/>
      <c r="X431" s="131"/>
      <c r="Y431" s="131"/>
      <c r="Z431" s="142"/>
      <c r="AA431" s="142"/>
      <c r="AB431" s="142"/>
      <c r="AC431" s="142"/>
      <c r="AD431" s="142"/>
      <c r="AE431" s="142"/>
      <c r="AF431" s="142"/>
      <c r="AG431" s="142"/>
      <c r="AH431" s="142"/>
      <c r="AI431" s="142"/>
      <c r="AJ431" s="142"/>
      <c r="AK431" s="142"/>
      <c r="AL431" s="142"/>
      <c r="AM431" s="142"/>
      <c r="AN431" s="142"/>
      <c r="AO431" s="142"/>
    </row>
    <row r="432" ht="15.75" customHeight="1">
      <c r="A432" s="142"/>
      <c r="B432" s="142"/>
      <c r="C432" s="142"/>
      <c r="D432" s="142"/>
      <c r="E432" s="131"/>
      <c r="F432" s="142"/>
      <c r="G432" s="142"/>
      <c r="H432" s="142"/>
      <c r="I432" s="142"/>
      <c r="J432" s="142"/>
      <c r="K432" s="132"/>
      <c r="L432" s="131"/>
      <c r="M432" s="131"/>
      <c r="N432" s="142"/>
      <c r="O432" s="142"/>
      <c r="P432" s="142"/>
      <c r="Q432" s="142"/>
      <c r="R432" s="142"/>
      <c r="S432" s="142"/>
      <c r="T432" s="131"/>
      <c r="U432" s="131"/>
      <c r="V432" s="131"/>
      <c r="W432" s="131"/>
      <c r="X432" s="131"/>
      <c r="Y432" s="131"/>
      <c r="Z432" s="142"/>
      <c r="AA432" s="142"/>
      <c r="AB432" s="142"/>
      <c r="AC432" s="142"/>
      <c r="AD432" s="142"/>
      <c r="AE432" s="142"/>
      <c r="AF432" s="142"/>
      <c r="AG432" s="142"/>
      <c r="AH432" s="142"/>
      <c r="AI432" s="142"/>
      <c r="AJ432" s="142"/>
      <c r="AK432" s="142"/>
      <c r="AL432" s="142"/>
      <c r="AM432" s="142"/>
      <c r="AN432" s="142"/>
      <c r="AO432" s="142"/>
    </row>
    <row r="433" ht="15.75" customHeight="1">
      <c r="A433" s="142"/>
      <c r="B433" s="142"/>
      <c r="C433" s="142"/>
      <c r="D433" s="142"/>
      <c r="E433" s="131"/>
      <c r="F433" s="142"/>
      <c r="G433" s="142"/>
      <c r="H433" s="142"/>
      <c r="I433" s="142"/>
      <c r="J433" s="142"/>
      <c r="K433" s="132"/>
      <c r="L433" s="131"/>
      <c r="M433" s="131"/>
      <c r="N433" s="142"/>
      <c r="O433" s="142"/>
      <c r="P433" s="142"/>
      <c r="Q433" s="142"/>
      <c r="R433" s="142"/>
      <c r="S433" s="142"/>
      <c r="T433" s="131"/>
      <c r="U433" s="131"/>
      <c r="V433" s="131"/>
      <c r="W433" s="131"/>
      <c r="X433" s="131"/>
      <c r="Y433" s="131"/>
      <c r="Z433" s="142"/>
      <c r="AA433" s="142"/>
      <c r="AB433" s="142"/>
      <c r="AC433" s="142"/>
      <c r="AD433" s="142"/>
      <c r="AE433" s="142"/>
      <c r="AF433" s="142"/>
      <c r="AG433" s="142"/>
      <c r="AH433" s="142"/>
      <c r="AI433" s="142"/>
      <c r="AJ433" s="142"/>
      <c r="AK433" s="142"/>
      <c r="AL433" s="142"/>
      <c r="AM433" s="142"/>
      <c r="AN433" s="142"/>
      <c r="AO433" s="142"/>
    </row>
    <row r="434" ht="15.75" customHeight="1">
      <c r="A434" s="142"/>
      <c r="B434" s="142"/>
      <c r="C434" s="142"/>
      <c r="D434" s="142"/>
      <c r="E434" s="131"/>
      <c r="F434" s="142"/>
      <c r="G434" s="142"/>
      <c r="H434" s="142"/>
      <c r="I434" s="142"/>
      <c r="J434" s="142"/>
      <c r="K434" s="132"/>
      <c r="L434" s="131"/>
      <c r="M434" s="131"/>
      <c r="N434" s="142"/>
      <c r="O434" s="142"/>
      <c r="P434" s="142"/>
      <c r="Q434" s="142"/>
      <c r="R434" s="142"/>
      <c r="S434" s="142"/>
      <c r="T434" s="131"/>
      <c r="U434" s="131"/>
      <c r="V434" s="131"/>
      <c r="W434" s="131"/>
      <c r="X434" s="131"/>
      <c r="Y434" s="131"/>
      <c r="Z434" s="142"/>
      <c r="AA434" s="142"/>
      <c r="AB434" s="142"/>
      <c r="AC434" s="142"/>
      <c r="AD434" s="142"/>
      <c r="AE434" s="142"/>
      <c r="AF434" s="142"/>
      <c r="AG434" s="142"/>
      <c r="AH434" s="142"/>
      <c r="AI434" s="142"/>
      <c r="AJ434" s="142"/>
      <c r="AK434" s="142"/>
      <c r="AL434" s="142"/>
      <c r="AM434" s="142"/>
      <c r="AN434" s="142"/>
      <c r="AO434" s="142"/>
    </row>
    <row r="435" ht="15.75" customHeight="1">
      <c r="A435" s="142"/>
      <c r="B435" s="142"/>
      <c r="C435" s="142"/>
      <c r="D435" s="142"/>
      <c r="E435" s="131"/>
      <c r="F435" s="142"/>
      <c r="G435" s="142"/>
      <c r="H435" s="142"/>
      <c r="I435" s="142"/>
      <c r="J435" s="142"/>
      <c r="K435" s="132"/>
      <c r="L435" s="131"/>
      <c r="M435" s="131"/>
      <c r="N435" s="142"/>
      <c r="O435" s="142"/>
      <c r="P435" s="142"/>
      <c r="Q435" s="142"/>
      <c r="R435" s="142"/>
      <c r="S435" s="142"/>
      <c r="T435" s="131"/>
      <c r="U435" s="131"/>
      <c r="V435" s="131"/>
      <c r="W435" s="131"/>
      <c r="X435" s="131"/>
      <c r="Y435" s="131"/>
      <c r="Z435" s="142"/>
      <c r="AA435" s="142"/>
      <c r="AB435" s="142"/>
      <c r="AC435" s="142"/>
      <c r="AD435" s="142"/>
      <c r="AE435" s="142"/>
      <c r="AF435" s="142"/>
      <c r="AG435" s="142"/>
      <c r="AH435" s="142"/>
      <c r="AI435" s="142"/>
      <c r="AJ435" s="142"/>
      <c r="AK435" s="142"/>
      <c r="AL435" s="142"/>
      <c r="AM435" s="142"/>
      <c r="AN435" s="142"/>
      <c r="AO435" s="142"/>
    </row>
    <row r="436" ht="15.75" customHeight="1">
      <c r="A436" s="142"/>
      <c r="B436" s="142"/>
      <c r="C436" s="142"/>
      <c r="D436" s="142"/>
      <c r="E436" s="131"/>
      <c r="F436" s="142"/>
      <c r="G436" s="142"/>
      <c r="H436" s="142"/>
      <c r="I436" s="142"/>
      <c r="J436" s="142"/>
      <c r="K436" s="132"/>
      <c r="L436" s="131"/>
      <c r="M436" s="131"/>
      <c r="N436" s="142"/>
      <c r="O436" s="142"/>
      <c r="P436" s="142"/>
      <c r="Q436" s="142"/>
      <c r="R436" s="142"/>
      <c r="S436" s="142"/>
      <c r="T436" s="131"/>
      <c r="U436" s="131"/>
      <c r="V436" s="131"/>
      <c r="W436" s="131"/>
      <c r="X436" s="131"/>
      <c r="Y436" s="131"/>
      <c r="Z436" s="142"/>
      <c r="AA436" s="142"/>
      <c r="AB436" s="142"/>
      <c r="AC436" s="142"/>
      <c r="AD436" s="142"/>
      <c r="AE436" s="142"/>
      <c r="AF436" s="142"/>
      <c r="AG436" s="142"/>
      <c r="AH436" s="142"/>
      <c r="AI436" s="142"/>
      <c r="AJ436" s="142"/>
      <c r="AK436" s="142"/>
      <c r="AL436" s="142"/>
      <c r="AM436" s="142"/>
      <c r="AN436" s="142"/>
      <c r="AO436" s="142"/>
    </row>
    <row r="437" ht="15.75" customHeight="1">
      <c r="A437" s="142"/>
      <c r="B437" s="142"/>
      <c r="C437" s="142"/>
      <c r="D437" s="142"/>
      <c r="E437" s="131"/>
      <c r="F437" s="142"/>
      <c r="G437" s="142"/>
      <c r="H437" s="142"/>
      <c r="I437" s="142"/>
      <c r="J437" s="142"/>
      <c r="K437" s="132"/>
      <c r="L437" s="131"/>
      <c r="M437" s="131"/>
      <c r="N437" s="142"/>
      <c r="O437" s="142"/>
      <c r="P437" s="142"/>
      <c r="Q437" s="142"/>
      <c r="R437" s="142"/>
      <c r="S437" s="142"/>
      <c r="T437" s="131"/>
      <c r="U437" s="131"/>
      <c r="V437" s="131"/>
      <c r="W437" s="131"/>
      <c r="X437" s="131"/>
      <c r="Y437" s="131"/>
      <c r="Z437" s="142"/>
      <c r="AA437" s="142"/>
      <c r="AB437" s="142"/>
      <c r="AC437" s="142"/>
      <c r="AD437" s="142"/>
      <c r="AE437" s="142"/>
      <c r="AF437" s="142"/>
      <c r="AG437" s="142"/>
      <c r="AH437" s="142"/>
      <c r="AI437" s="142"/>
      <c r="AJ437" s="142"/>
      <c r="AK437" s="142"/>
      <c r="AL437" s="142"/>
      <c r="AM437" s="142"/>
      <c r="AN437" s="142"/>
      <c r="AO437" s="142"/>
    </row>
    <row r="438" ht="15.75" customHeight="1">
      <c r="A438" s="142"/>
      <c r="B438" s="142"/>
      <c r="C438" s="142"/>
      <c r="D438" s="142"/>
      <c r="E438" s="131"/>
      <c r="F438" s="142"/>
      <c r="G438" s="142"/>
      <c r="H438" s="142"/>
      <c r="I438" s="142"/>
      <c r="J438" s="142"/>
      <c r="K438" s="132"/>
      <c r="L438" s="131"/>
      <c r="M438" s="131"/>
      <c r="N438" s="142"/>
      <c r="O438" s="142"/>
      <c r="P438" s="142"/>
      <c r="Q438" s="142"/>
      <c r="R438" s="142"/>
      <c r="S438" s="142"/>
      <c r="T438" s="131"/>
      <c r="U438" s="131"/>
      <c r="V438" s="131"/>
      <c r="W438" s="131"/>
      <c r="X438" s="131"/>
      <c r="Y438" s="131"/>
      <c r="Z438" s="142"/>
      <c r="AA438" s="142"/>
      <c r="AB438" s="142"/>
      <c r="AC438" s="142"/>
      <c r="AD438" s="142"/>
      <c r="AE438" s="142"/>
      <c r="AF438" s="142"/>
      <c r="AG438" s="142"/>
      <c r="AH438" s="142"/>
      <c r="AI438" s="142"/>
      <c r="AJ438" s="142"/>
      <c r="AK438" s="142"/>
      <c r="AL438" s="142"/>
      <c r="AM438" s="142"/>
      <c r="AN438" s="142"/>
      <c r="AO438" s="142"/>
    </row>
    <row r="439" ht="15.75" customHeight="1">
      <c r="A439" s="142"/>
      <c r="B439" s="142"/>
      <c r="C439" s="142"/>
      <c r="D439" s="142"/>
      <c r="E439" s="131"/>
      <c r="F439" s="142"/>
      <c r="G439" s="142"/>
      <c r="H439" s="142"/>
      <c r="I439" s="142"/>
      <c r="J439" s="142"/>
      <c r="K439" s="132"/>
      <c r="L439" s="131"/>
      <c r="M439" s="131"/>
      <c r="N439" s="142"/>
      <c r="O439" s="142"/>
      <c r="P439" s="142"/>
      <c r="Q439" s="142"/>
      <c r="R439" s="142"/>
      <c r="S439" s="142"/>
      <c r="T439" s="131"/>
      <c r="U439" s="131"/>
      <c r="V439" s="131"/>
      <c r="W439" s="131"/>
      <c r="X439" s="131"/>
      <c r="Y439" s="131"/>
      <c r="Z439" s="142"/>
      <c r="AA439" s="142"/>
      <c r="AB439" s="142"/>
      <c r="AC439" s="142"/>
      <c r="AD439" s="142"/>
      <c r="AE439" s="142"/>
      <c r="AF439" s="142"/>
      <c r="AG439" s="142"/>
      <c r="AH439" s="142"/>
      <c r="AI439" s="142"/>
      <c r="AJ439" s="142"/>
      <c r="AK439" s="142"/>
      <c r="AL439" s="142"/>
      <c r="AM439" s="142"/>
      <c r="AN439" s="142"/>
      <c r="AO439" s="142"/>
    </row>
    <row r="440" ht="15.75" customHeight="1">
      <c r="A440" s="142"/>
      <c r="B440" s="142"/>
      <c r="C440" s="142"/>
      <c r="D440" s="142"/>
      <c r="E440" s="131"/>
      <c r="F440" s="142"/>
      <c r="G440" s="142"/>
      <c r="H440" s="142"/>
      <c r="I440" s="142"/>
      <c r="J440" s="142"/>
      <c r="K440" s="132"/>
      <c r="L440" s="131"/>
      <c r="M440" s="131"/>
      <c r="N440" s="142"/>
      <c r="O440" s="142"/>
      <c r="P440" s="142"/>
      <c r="Q440" s="142"/>
      <c r="R440" s="142"/>
      <c r="S440" s="142"/>
      <c r="T440" s="131"/>
      <c r="U440" s="131"/>
      <c r="V440" s="131"/>
      <c r="W440" s="131"/>
      <c r="X440" s="131"/>
      <c r="Y440" s="131"/>
      <c r="Z440" s="142"/>
      <c r="AA440" s="142"/>
      <c r="AB440" s="142"/>
      <c r="AC440" s="142"/>
      <c r="AD440" s="142"/>
      <c r="AE440" s="142"/>
      <c r="AF440" s="142"/>
      <c r="AG440" s="142"/>
      <c r="AH440" s="142"/>
      <c r="AI440" s="142"/>
      <c r="AJ440" s="142"/>
      <c r="AK440" s="142"/>
      <c r="AL440" s="142"/>
      <c r="AM440" s="142"/>
      <c r="AN440" s="142"/>
      <c r="AO440" s="142"/>
    </row>
    <row r="441" ht="15.75" customHeight="1">
      <c r="A441" s="142"/>
      <c r="B441" s="142"/>
      <c r="C441" s="142"/>
      <c r="D441" s="142"/>
      <c r="E441" s="131"/>
      <c r="F441" s="142"/>
      <c r="G441" s="142"/>
      <c r="H441" s="142"/>
      <c r="I441" s="142"/>
      <c r="J441" s="142"/>
      <c r="K441" s="132"/>
      <c r="L441" s="131"/>
      <c r="M441" s="131"/>
      <c r="N441" s="142"/>
      <c r="O441" s="142"/>
      <c r="P441" s="142"/>
      <c r="Q441" s="142"/>
      <c r="R441" s="142"/>
      <c r="S441" s="142"/>
      <c r="T441" s="131"/>
      <c r="U441" s="131"/>
      <c r="V441" s="131"/>
      <c r="W441" s="131"/>
      <c r="X441" s="131"/>
      <c r="Y441" s="131"/>
      <c r="Z441" s="142"/>
      <c r="AA441" s="142"/>
      <c r="AB441" s="142"/>
      <c r="AC441" s="142"/>
      <c r="AD441" s="142"/>
      <c r="AE441" s="142"/>
      <c r="AF441" s="142"/>
      <c r="AG441" s="142"/>
      <c r="AH441" s="142"/>
      <c r="AI441" s="142"/>
      <c r="AJ441" s="142"/>
      <c r="AK441" s="142"/>
      <c r="AL441" s="142"/>
      <c r="AM441" s="142"/>
      <c r="AN441" s="142"/>
      <c r="AO441" s="142"/>
    </row>
    <row r="442" ht="15.75" customHeight="1">
      <c r="A442" s="142"/>
      <c r="B442" s="142"/>
      <c r="C442" s="142"/>
      <c r="D442" s="142"/>
      <c r="E442" s="131"/>
      <c r="F442" s="142"/>
      <c r="G442" s="142"/>
      <c r="H442" s="142"/>
      <c r="I442" s="142"/>
      <c r="J442" s="142"/>
      <c r="K442" s="132"/>
      <c r="L442" s="131"/>
      <c r="M442" s="131"/>
      <c r="N442" s="142"/>
      <c r="O442" s="142"/>
      <c r="P442" s="142"/>
      <c r="Q442" s="142"/>
      <c r="R442" s="142"/>
      <c r="S442" s="142"/>
      <c r="T442" s="131"/>
      <c r="U442" s="131"/>
      <c r="V442" s="131"/>
      <c r="W442" s="131"/>
      <c r="X442" s="131"/>
      <c r="Y442" s="131"/>
      <c r="Z442" s="142"/>
      <c r="AA442" s="142"/>
      <c r="AB442" s="142"/>
      <c r="AC442" s="142"/>
      <c r="AD442" s="142"/>
      <c r="AE442" s="142"/>
      <c r="AF442" s="142"/>
      <c r="AG442" s="142"/>
      <c r="AH442" s="142"/>
      <c r="AI442" s="142"/>
      <c r="AJ442" s="142"/>
      <c r="AK442" s="142"/>
      <c r="AL442" s="142"/>
      <c r="AM442" s="142"/>
      <c r="AN442" s="142"/>
      <c r="AO442" s="142"/>
    </row>
    <row r="443" ht="15.75" customHeight="1">
      <c r="A443" s="142"/>
      <c r="B443" s="142"/>
      <c r="C443" s="142"/>
      <c r="D443" s="142"/>
      <c r="E443" s="131"/>
      <c r="F443" s="142"/>
      <c r="G443" s="142"/>
      <c r="H443" s="142"/>
      <c r="I443" s="142"/>
      <c r="J443" s="142"/>
      <c r="K443" s="132"/>
      <c r="L443" s="131"/>
      <c r="M443" s="131"/>
      <c r="N443" s="142"/>
      <c r="O443" s="142"/>
      <c r="P443" s="142"/>
      <c r="Q443" s="142"/>
      <c r="R443" s="142"/>
      <c r="S443" s="142"/>
      <c r="T443" s="131"/>
      <c r="U443" s="131"/>
      <c r="V443" s="131"/>
      <c r="W443" s="131"/>
      <c r="X443" s="131"/>
      <c r="Y443" s="131"/>
      <c r="Z443" s="142"/>
      <c r="AA443" s="142"/>
      <c r="AB443" s="142"/>
      <c r="AC443" s="142"/>
      <c r="AD443" s="142"/>
      <c r="AE443" s="142"/>
      <c r="AF443" s="142"/>
      <c r="AG443" s="142"/>
      <c r="AH443" s="142"/>
      <c r="AI443" s="142"/>
      <c r="AJ443" s="142"/>
      <c r="AK443" s="142"/>
      <c r="AL443" s="142"/>
      <c r="AM443" s="142"/>
      <c r="AN443" s="142"/>
      <c r="AO443" s="142"/>
    </row>
    <row r="444" ht="15.75" customHeight="1">
      <c r="A444" s="142"/>
      <c r="B444" s="142"/>
      <c r="C444" s="142"/>
      <c r="D444" s="142"/>
      <c r="E444" s="131"/>
      <c r="F444" s="142"/>
      <c r="G444" s="142"/>
      <c r="H444" s="142"/>
      <c r="I444" s="142"/>
      <c r="J444" s="142"/>
      <c r="K444" s="132"/>
      <c r="L444" s="131"/>
      <c r="M444" s="131"/>
      <c r="N444" s="142"/>
      <c r="O444" s="142"/>
      <c r="P444" s="142"/>
      <c r="Q444" s="142"/>
      <c r="R444" s="142"/>
      <c r="S444" s="142"/>
      <c r="T444" s="131"/>
      <c r="U444" s="131"/>
      <c r="V444" s="131"/>
      <c r="W444" s="131"/>
      <c r="X444" s="131"/>
      <c r="Y444" s="131"/>
      <c r="Z444" s="142"/>
      <c r="AA444" s="142"/>
      <c r="AB444" s="142"/>
      <c r="AC444" s="142"/>
      <c r="AD444" s="142"/>
      <c r="AE444" s="142"/>
      <c r="AF444" s="142"/>
      <c r="AG444" s="142"/>
      <c r="AH444" s="142"/>
      <c r="AI444" s="142"/>
      <c r="AJ444" s="142"/>
      <c r="AK444" s="142"/>
      <c r="AL444" s="142"/>
      <c r="AM444" s="142"/>
      <c r="AN444" s="142"/>
      <c r="AO444" s="142"/>
    </row>
    <row r="445" ht="15.75" customHeight="1">
      <c r="A445" s="142"/>
      <c r="B445" s="142"/>
      <c r="C445" s="142"/>
      <c r="D445" s="142"/>
      <c r="E445" s="131"/>
      <c r="F445" s="142"/>
      <c r="G445" s="142"/>
      <c r="H445" s="142"/>
      <c r="I445" s="142"/>
      <c r="J445" s="142"/>
      <c r="K445" s="132"/>
      <c r="L445" s="131"/>
      <c r="M445" s="131"/>
      <c r="N445" s="142"/>
      <c r="O445" s="142"/>
      <c r="P445" s="142"/>
      <c r="Q445" s="142"/>
      <c r="R445" s="142"/>
      <c r="S445" s="142"/>
      <c r="T445" s="131"/>
      <c r="U445" s="131"/>
      <c r="V445" s="131"/>
      <c r="W445" s="131"/>
      <c r="X445" s="131"/>
      <c r="Y445" s="131"/>
      <c r="Z445" s="142"/>
      <c r="AA445" s="142"/>
      <c r="AB445" s="142"/>
      <c r="AC445" s="142"/>
      <c r="AD445" s="142"/>
      <c r="AE445" s="142"/>
      <c r="AF445" s="142"/>
      <c r="AG445" s="142"/>
      <c r="AH445" s="142"/>
      <c r="AI445" s="142"/>
      <c r="AJ445" s="142"/>
      <c r="AK445" s="142"/>
      <c r="AL445" s="142"/>
      <c r="AM445" s="142"/>
      <c r="AN445" s="142"/>
      <c r="AO445" s="142"/>
    </row>
    <row r="446" ht="15.75" customHeight="1">
      <c r="A446" s="142"/>
      <c r="B446" s="142"/>
      <c r="C446" s="142"/>
      <c r="D446" s="142"/>
      <c r="E446" s="131"/>
      <c r="F446" s="142"/>
      <c r="G446" s="142"/>
      <c r="H446" s="142"/>
      <c r="I446" s="142"/>
      <c r="J446" s="142"/>
      <c r="K446" s="132"/>
      <c r="L446" s="131"/>
      <c r="M446" s="131"/>
      <c r="N446" s="142"/>
      <c r="O446" s="142"/>
      <c r="P446" s="142"/>
      <c r="Q446" s="142"/>
      <c r="R446" s="142"/>
      <c r="S446" s="142"/>
      <c r="T446" s="131"/>
      <c r="U446" s="131"/>
      <c r="V446" s="131"/>
      <c r="W446" s="131"/>
      <c r="X446" s="131"/>
      <c r="Y446" s="131"/>
      <c r="Z446" s="142"/>
      <c r="AA446" s="142"/>
      <c r="AB446" s="142"/>
      <c r="AC446" s="142"/>
      <c r="AD446" s="142"/>
      <c r="AE446" s="142"/>
      <c r="AF446" s="142"/>
      <c r="AG446" s="142"/>
      <c r="AH446" s="142"/>
      <c r="AI446" s="142"/>
      <c r="AJ446" s="142"/>
      <c r="AK446" s="142"/>
      <c r="AL446" s="142"/>
      <c r="AM446" s="142"/>
      <c r="AN446" s="142"/>
      <c r="AO446" s="142"/>
    </row>
    <row r="447" ht="15.75" customHeight="1">
      <c r="A447" s="142"/>
      <c r="B447" s="142"/>
      <c r="C447" s="142"/>
      <c r="D447" s="142"/>
      <c r="E447" s="131"/>
      <c r="F447" s="142"/>
      <c r="G447" s="142"/>
      <c r="H447" s="142"/>
      <c r="I447" s="142"/>
      <c r="J447" s="142"/>
      <c r="K447" s="132"/>
      <c r="L447" s="131"/>
      <c r="M447" s="131"/>
      <c r="N447" s="142"/>
      <c r="O447" s="142"/>
      <c r="P447" s="142"/>
      <c r="Q447" s="142"/>
      <c r="R447" s="142"/>
      <c r="S447" s="142"/>
      <c r="T447" s="131"/>
      <c r="U447" s="131"/>
      <c r="V447" s="131"/>
      <c r="W447" s="131"/>
      <c r="X447" s="131"/>
      <c r="Y447" s="131"/>
      <c r="Z447" s="142"/>
      <c r="AA447" s="142"/>
      <c r="AB447" s="142"/>
      <c r="AC447" s="142"/>
      <c r="AD447" s="142"/>
      <c r="AE447" s="142"/>
      <c r="AF447" s="142"/>
      <c r="AG447" s="142"/>
      <c r="AH447" s="142"/>
      <c r="AI447" s="142"/>
      <c r="AJ447" s="142"/>
      <c r="AK447" s="142"/>
      <c r="AL447" s="142"/>
      <c r="AM447" s="142"/>
      <c r="AN447" s="142"/>
      <c r="AO447" s="142"/>
    </row>
    <row r="448" ht="15.75" customHeight="1">
      <c r="A448" s="142"/>
      <c r="B448" s="142"/>
      <c r="C448" s="142"/>
      <c r="D448" s="142"/>
      <c r="E448" s="131"/>
      <c r="F448" s="142"/>
      <c r="G448" s="142"/>
      <c r="H448" s="142"/>
      <c r="I448" s="142"/>
      <c r="J448" s="142"/>
      <c r="K448" s="132"/>
      <c r="L448" s="131"/>
      <c r="M448" s="131"/>
      <c r="N448" s="142"/>
      <c r="O448" s="142"/>
      <c r="P448" s="142"/>
      <c r="Q448" s="142"/>
      <c r="R448" s="142"/>
      <c r="S448" s="142"/>
      <c r="T448" s="131"/>
      <c r="U448" s="131"/>
      <c r="V448" s="131"/>
      <c r="W448" s="131"/>
      <c r="X448" s="131"/>
      <c r="Y448" s="131"/>
      <c r="Z448" s="142"/>
      <c r="AA448" s="142"/>
      <c r="AB448" s="142"/>
      <c r="AC448" s="142"/>
      <c r="AD448" s="142"/>
      <c r="AE448" s="142"/>
      <c r="AF448" s="142"/>
      <c r="AG448" s="142"/>
      <c r="AH448" s="142"/>
      <c r="AI448" s="142"/>
      <c r="AJ448" s="142"/>
      <c r="AK448" s="142"/>
      <c r="AL448" s="142"/>
      <c r="AM448" s="142"/>
      <c r="AN448" s="142"/>
      <c r="AO448" s="142"/>
    </row>
    <row r="449" ht="15.75" customHeight="1">
      <c r="A449" s="142"/>
      <c r="B449" s="142"/>
      <c r="C449" s="142"/>
      <c r="D449" s="142"/>
      <c r="E449" s="131"/>
      <c r="F449" s="142"/>
      <c r="G449" s="142"/>
      <c r="H449" s="142"/>
      <c r="I449" s="142"/>
      <c r="J449" s="142"/>
      <c r="K449" s="132"/>
      <c r="L449" s="131"/>
      <c r="M449" s="131"/>
      <c r="N449" s="142"/>
      <c r="O449" s="142"/>
      <c r="P449" s="142"/>
      <c r="Q449" s="142"/>
      <c r="R449" s="142"/>
      <c r="S449" s="142"/>
      <c r="T449" s="131"/>
      <c r="U449" s="131"/>
      <c r="V449" s="131"/>
      <c r="W449" s="131"/>
      <c r="X449" s="131"/>
      <c r="Y449" s="131"/>
      <c r="Z449" s="142"/>
      <c r="AA449" s="142"/>
      <c r="AB449" s="142"/>
      <c r="AC449" s="142"/>
      <c r="AD449" s="142"/>
      <c r="AE449" s="142"/>
      <c r="AF449" s="142"/>
      <c r="AG449" s="142"/>
      <c r="AH449" s="142"/>
      <c r="AI449" s="142"/>
      <c r="AJ449" s="142"/>
      <c r="AK449" s="142"/>
      <c r="AL449" s="142"/>
      <c r="AM449" s="142"/>
      <c r="AN449" s="142"/>
      <c r="AO449" s="142"/>
    </row>
    <row r="450" ht="15.75" customHeight="1">
      <c r="A450" s="142"/>
      <c r="B450" s="142"/>
      <c r="C450" s="142"/>
      <c r="D450" s="142"/>
      <c r="E450" s="131"/>
      <c r="F450" s="142"/>
      <c r="G450" s="142"/>
      <c r="H450" s="142"/>
      <c r="I450" s="142"/>
      <c r="J450" s="142"/>
      <c r="K450" s="132"/>
      <c r="L450" s="131"/>
      <c r="M450" s="131"/>
      <c r="N450" s="142"/>
      <c r="O450" s="142"/>
      <c r="P450" s="142"/>
      <c r="Q450" s="142"/>
      <c r="R450" s="142"/>
      <c r="S450" s="142"/>
      <c r="T450" s="131"/>
      <c r="U450" s="131"/>
      <c r="V450" s="131"/>
      <c r="W450" s="131"/>
      <c r="X450" s="131"/>
      <c r="Y450" s="131"/>
      <c r="Z450" s="142"/>
      <c r="AA450" s="142"/>
      <c r="AB450" s="142"/>
      <c r="AC450" s="142"/>
      <c r="AD450" s="142"/>
      <c r="AE450" s="142"/>
      <c r="AF450" s="142"/>
      <c r="AG450" s="142"/>
      <c r="AH450" s="142"/>
      <c r="AI450" s="142"/>
      <c r="AJ450" s="142"/>
      <c r="AK450" s="142"/>
      <c r="AL450" s="142"/>
      <c r="AM450" s="142"/>
      <c r="AN450" s="142"/>
      <c r="AO450" s="142"/>
    </row>
    <row r="451" ht="15.75" customHeight="1">
      <c r="A451" s="142"/>
      <c r="B451" s="142"/>
      <c r="C451" s="142"/>
      <c r="D451" s="142"/>
      <c r="E451" s="131"/>
      <c r="F451" s="142"/>
      <c r="G451" s="142"/>
      <c r="H451" s="142"/>
      <c r="I451" s="142"/>
      <c r="J451" s="142"/>
      <c r="K451" s="132"/>
      <c r="L451" s="131"/>
      <c r="M451" s="131"/>
      <c r="N451" s="142"/>
      <c r="O451" s="142"/>
      <c r="P451" s="142"/>
      <c r="Q451" s="142"/>
      <c r="R451" s="142"/>
      <c r="S451" s="142"/>
      <c r="T451" s="131"/>
      <c r="U451" s="131"/>
      <c r="V451" s="131"/>
      <c r="W451" s="131"/>
      <c r="X451" s="131"/>
      <c r="Y451" s="131"/>
      <c r="Z451" s="142"/>
      <c r="AA451" s="142"/>
      <c r="AB451" s="142"/>
      <c r="AC451" s="142"/>
      <c r="AD451" s="142"/>
      <c r="AE451" s="142"/>
      <c r="AF451" s="142"/>
      <c r="AG451" s="142"/>
      <c r="AH451" s="142"/>
      <c r="AI451" s="142"/>
      <c r="AJ451" s="142"/>
      <c r="AK451" s="142"/>
      <c r="AL451" s="142"/>
      <c r="AM451" s="142"/>
      <c r="AN451" s="142"/>
      <c r="AO451" s="142"/>
    </row>
    <row r="452" ht="15.75" customHeight="1">
      <c r="A452" s="142"/>
      <c r="B452" s="142"/>
      <c r="C452" s="142"/>
      <c r="D452" s="142"/>
      <c r="E452" s="131"/>
      <c r="F452" s="142"/>
      <c r="G452" s="142"/>
      <c r="H452" s="142"/>
      <c r="I452" s="142"/>
      <c r="J452" s="142"/>
      <c r="K452" s="132"/>
      <c r="L452" s="131"/>
      <c r="M452" s="131"/>
      <c r="N452" s="142"/>
      <c r="O452" s="142"/>
      <c r="P452" s="142"/>
      <c r="Q452" s="142"/>
      <c r="R452" s="142"/>
      <c r="S452" s="142"/>
      <c r="T452" s="131"/>
      <c r="U452" s="131"/>
      <c r="V452" s="131"/>
      <c r="W452" s="131"/>
      <c r="X452" s="131"/>
      <c r="Y452" s="131"/>
      <c r="Z452" s="142"/>
      <c r="AA452" s="142"/>
      <c r="AB452" s="142"/>
      <c r="AC452" s="142"/>
      <c r="AD452" s="142"/>
      <c r="AE452" s="142"/>
      <c r="AF452" s="142"/>
      <c r="AG452" s="142"/>
      <c r="AH452" s="142"/>
      <c r="AI452" s="142"/>
      <c r="AJ452" s="142"/>
      <c r="AK452" s="142"/>
      <c r="AL452" s="142"/>
      <c r="AM452" s="142"/>
      <c r="AN452" s="142"/>
      <c r="AO452" s="142"/>
    </row>
    <row r="453" ht="15.75" customHeight="1">
      <c r="A453" s="142"/>
      <c r="B453" s="142"/>
      <c r="C453" s="142"/>
      <c r="D453" s="142"/>
      <c r="E453" s="131"/>
      <c r="F453" s="142"/>
      <c r="G453" s="142"/>
      <c r="H453" s="142"/>
      <c r="I453" s="142"/>
      <c r="J453" s="142"/>
      <c r="K453" s="132"/>
      <c r="L453" s="131"/>
      <c r="M453" s="131"/>
      <c r="N453" s="142"/>
      <c r="O453" s="142"/>
      <c r="P453" s="142"/>
      <c r="Q453" s="142"/>
      <c r="R453" s="142"/>
      <c r="S453" s="142"/>
      <c r="T453" s="131"/>
      <c r="U453" s="131"/>
      <c r="V453" s="131"/>
      <c r="W453" s="131"/>
      <c r="X453" s="131"/>
      <c r="Y453" s="131"/>
      <c r="Z453" s="142"/>
      <c r="AA453" s="142"/>
      <c r="AB453" s="142"/>
      <c r="AC453" s="142"/>
      <c r="AD453" s="142"/>
      <c r="AE453" s="142"/>
      <c r="AF453" s="142"/>
      <c r="AG453" s="142"/>
      <c r="AH453" s="142"/>
      <c r="AI453" s="142"/>
      <c r="AJ453" s="142"/>
      <c r="AK453" s="142"/>
      <c r="AL453" s="142"/>
      <c r="AM453" s="142"/>
      <c r="AN453" s="142"/>
      <c r="AO453" s="142"/>
    </row>
    <row r="454" ht="15.75" customHeight="1">
      <c r="A454" s="142"/>
      <c r="B454" s="142"/>
      <c r="C454" s="142"/>
      <c r="D454" s="142"/>
      <c r="E454" s="131"/>
      <c r="F454" s="142"/>
      <c r="G454" s="142"/>
      <c r="H454" s="142"/>
      <c r="I454" s="142"/>
      <c r="J454" s="142"/>
      <c r="K454" s="132"/>
      <c r="L454" s="131"/>
      <c r="M454" s="131"/>
      <c r="N454" s="142"/>
      <c r="O454" s="142"/>
      <c r="P454" s="142"/>
      <c r="Q454" s="142"/>
      <c r="R454" s="142"/>
      <c r="S454" s="142"/>
      <c r="T454" s="131"/>
      <c r="U454" s="131"/>
      <c r="V454" s="131"/>
      <c r="W454" s="131"/>
      <c r="X454" s="131"/>
      <c r="Y454" s="131"/>
      <c r="Z454" s="142"/>
      <c r="AA454" s="142"/>
      <c r="AB454" s="142"/>
      <c r="AC454" s="142"/>
      <c r="AD454" s="142"/>
      <c r="AE454" s="142"/>
      <c r="AF454" s="142"/>
      <c r="AG454" s="142"/>
      <c r="AH454" s="142"/>
      <c r="AI454" s="142"/>
      <c r="AJ454" s="142"/>
      <c r="AK454" s="142"/>
      <c r="AL454" s="142"/>
      <c r="AM454" s="142"/>
      <c r="AN454" s="142"/>
      <c r="AO454" s="142"/>
    </row>
    <row r="455" ht="15.75" customHeight="1">
      <c r="A455" s="142"/>
      <c r="B455" s="142"/>
      <c r="C455" s="142"/>
      <c r="D455" s="142"/>
      <c r="E455" s="131"/>
      <c r="F455" s="142"/>
      <c r="G455" s="142"/>
      <c r="H455" s="142"/>
      <c r="I455" s="142"/>
      <c r="J455" s="142"/>
      <c r="K455" s="132"/>
      <c r="L455" s="131"/>
      <c r="M455" s="131"/>
      <c r="N455" s="142"/>
      <c r="O455" s="142"/>
      <c r="P455" s="142"/>
      <c r="Q455" s="142"/>
      <c r="R455" s="142"/>
      <c r="S455" s="142"/>
      <c r="T455" s="131"/>
      <c r="U455" s="131"/>
      <c r="V455" s="131"/>
      <c r="W455" s="131"/>
      <c r="X455" s="131"/>
      <c r="Y455" s="131"/>
      <c r="Z455" s="142"/>
      <c r="AA455" s="142"/>
      <c r="AB455" s="142"/>
      <c r="AC455" s="142"/>
      <c r="AD455" s="142"/>
      <c r="AE455" s="142"/>
      <c r="AF455" s="142"/>
      <c r="AG455" s="142"/>
      <c r="AH455" s="142"/>
      <c r="AI455" s="142"/>
      <c r="AJ455" s="142"/>
      <c r="AK455" s="142"/>
      <c r="AL455" s="142"/>
      <c r="AM455" s="142"/>
      <c r="AN455" s="142"/>
      <c r="AO455" s="142"/>
    </row>
    <row r="456" ht="15.75" customHeight="1">
      <c r="A456" s="142"/>
      <c r="B456" s="142"/>
      <c r="C456" s="142"/>
      <c r="D456" s="142"/>
      <c r="E456" s="131"/>
      <c r="F456" s="142"/>
      <c r="G456" s="142"/>
      <c r="H456" s="142"/>
      <c r="I456" s="142"/>
      <c r="J456" s="142"/>
      <c r="K456" s="132"/>
      <c r="L456" s="131"/>
      <c r="M456" s="131"/>
      <c r="N456" s="142"/>
      <c r="O456" s="142"/>
      <c r="P456" s="142"/>
      <c r="Q456" s="142"/>
      <c r="R456" s="142"/>
      <c r="S456" s="142"/>
      <c r="T456" s="131"/>
      <c r="U456" s="131"/>
      <c r="V456" s="131"/>
      <c r="W456" s="131"/>
      <c r="X456" s="131"/>
      <c r="Y456" s="131"/>
      <c r="Z456" s="142"/>
      <c r="AA456" s="142"/>
      <c r="AB456" s="142"/>
      <c r="AC456" s="142"/>
      <c r="AD456" s="142"/>
      <c r="AE456" s="142"/>
      <c r="AF456" s="142"/>
      <c r="AG456" s="142"/>
      <c r="AH456" s="142"/>
      <c r="AI456" s="142"/>
      <c r="AJ456" s="142"/>
      <c r="AK456" s="142"/>
      <c r="AL456" s="142"/>
      <c r="AM456" s="142"/>
      <c r="AN456" s="142"/>
      <c r="AO456" s="142"/>
    </row>
    <row r="457" ht="15.75" customHeight="1">
      <c r="A457" s="142"/>
      <c r="B457" s="142"/>
      <c r="C457" s="142"/>
      <c r="D457" s="142"/>
      <c r="E457" s="131"/>
      <c r="F457" s="142"/>
      <c r="G457" s="142"/>
      <c r="H457" s="142"/>
      <c r="I457" s="142"/>
      <c r="J457" s="142"/>
      <c r="K457" s="132"/>
      <c r="L457" s="131"/>
      <c r="M457" s="131"/>
      <c r="N457" s="142"/>
      <c r="O457" s="142"/>
      <c r="P457" s="142"/>
      <c r="Q457" s="142"/>
      <c r="R457" s="142"/>
      <c r="S457" s="142"/>
      <c r="T457" s="131"/>
      <c r="U457" s="131"/>
      <c r="V457" s="131"/>
      <c r="W457" s="131"/>
      <c r="X457" s="131"/>
      <c r="Y457" s="131"/>
      <c r="Z457" s="142"/>
      <c r="AA457" s="142"/>
      <c r="AB457" s="142"/>
      <c r="AC457" s="142"/>
      <c r="AD457" s="142"/>
      <c r="AE457" s="142"/>
      <c r="AF457" s="142"/>
      <c r="AG457" s="142"/>
      <c r="AH457" s="142"/>
      <c r="AI457" s="142"/>
      <c r="AJ457" s="142"/>
      <c r="AK457" s="142"/>
      <c r="AL457" s="142"/>
      <c r="AM457" s="142"/>
      <c r="AN457" s="142"/>
      <c r="AO457" s="142"/>
    </row>
    <row r="458" ht="15.75" customHeight="1">
      <c r="A458" s="142"/>
      <c r="B458" s="142"/>
      <c r="C458" s="142"/>
      <c r="D458" s="142"/>
      <c r="E458" s="131"/>
      <c r="F458" s="142"/>
      <c r="G458" s="142"/>
      <c r="H458" s="142"/>
      <c r="I458" s="142"/>
      <c r="J458" s="142"/>
      <c r="K458" s="132"/>
      <c r="L458" s="131"/>
      <c r="M458" s="131"/>
      <c r="N458" s="142"/>
      <c r="O458" s="142"/>
      <c r="P458" s="142"/>
      <c r="Q458" s="142"/>
      <c r="R458" s="142"/>
      <c r="S458" s="142"/>
      <c r="T458" s="131"/>
      <c r="U458" s="131"/>
      <c r="V458" s="131"/>
      <c r="W458" s="131"/>
      <c r="X458" s="131"/>
      <c r="Y458" s="131"/>
      <c r="Z458" s="142"/>
      <c r="AA458" s="142"/>
      <c r="AB458" s="142"/>
      <c r="AC458" s="142"/>
      <c r="AD458" s="142"/>
      <c r="AE458" s="142"/>
      <c r="AF458" s="142"/>
      <c r="AG458" s="142"/>
      <c r="AH458" s="142"/>
      <c r="AI458" s="142"/>
      <c r="AJ458" s="142"/>
      <c r="AK458" s="142"/>
      <c r="AL458" s="142"/>
      <c r="AM458" s="142"/>
      <c r="AN458" s="142"/>
      <c r="AO458" s="142"/>
    </row>
    <row r="459" ht="15.75" customHeight="1">
      <c r="A459" s="142"/>
      <c r="B459" s="142"/>
      <c r="C459" s="142"/>
      <c r="D459" s="142"/>
      <c r="E459" s="131"/>
      <c r="F459" s="142"/>
      <c r="G459" s="142"/>
      <c r="H459" s="142"/>
      <c r="I459" s="142"/>
      <c r="J459" s="142"/>
      <c r="K459" s="132"/>
      <c r="L459" s="131"/>
      <c r="M459" s="131"/>
      <c r="N459" s="142"/>
      <c r="O459" s="142"/>
      <c r="P459" s="142"/>
      <c r="Q459" s="142"/>
      <c r="R459" s="142"/>
      <c r="S459" s="142"/>
      <c r="T459" s="131"/>
      <c r="U459" s="131"/>
      <c r="V459" s="131"/>
      <c r="W459" s="131"/>
      <c r="X459" s="131"/>
      <c r="Y459" s="131"/>
      <c r="Z459" s="142"/>
      <c r="AA459" s="142"/>
      <c r="AB459" s="142"/>
      <c r="AC459" s="142"/>
      <c r="AD459" s="142"/>
      <c r="AE459" s="142"/>
      <c r="AF459" s="142"/>
      <c r="AG459" s="142"/>
      <c r="AH459" s="142"/>
      <c r="AI459" s="142"/>
      <c r="AJ459" s="142"/>
      <c r="AK459" s="142"/>
      <c r="AL459" s="142"/>
      <c r="AM459" s="142"/>
      <c r="AN459" s="142"/>
      <c r="AO459" s="142"/>
    </row>
    <row r="460" ht="15.75" customHeight="1">
      <c r="A460" s="142"/>
      <c r="B460" s="142"/>
      <c r="C460" s="142"/>
      <c r="D460" s="142"/>
      <c r="E460" s="131"/>
      <c r="F460" s="142"/>
      <c r="G460" s="142"/>
      <c r="H460" s="142"/>
      <c r="I460" s="142"/>
      <c r="J460" s="142"/>
      <c r="K460" s="132"/>
      <c r="L460" s="131"/>
      <c r="M460" s="131"/>
      <c r="N460" s="142"/>
      <c r="O460" s="142"/>
      <c r="P460" s="142"/>
      <c r="Q460" s="142"/>
      <c r="R460" s="142"/>
      <c r="S460" s="142"/>
      <c r="T460" s="131"/>
      <c r="U460" s="131"/>
      <c r="V460" s="131"/>
      <c r="W460" s="131"/>
      <c r="X460" s="131"/>
      <c r="Y460" s="131"/>
      <c r="Z460" s="142"/>
      <c r="AA460" s="142"/>
      <c r="AB460" s="142"/>
      <c r="AC460" s="142"/>
      <c r="AD460" s="142"/>
      <c r="AE460" s="142"/>
      <c r="AF460" s="142"/>
      <c r="AG460" s="142"/>
      <c r="AH460" s="142"/>
      <c r="AI460" s="142"/>
      <c r="AJ460" s="142"/>
      <c r="AK460" s="142"/>
      <c r="AL460" s="142"/>
      <c r="AM460" s="142"/>
      <c r="AN460" s="142"/>
      <c r="AO460" s="142"/>
    </row>
    <row r="461" ht="15.75" customHeight="1">
      <c r="A461" s="142"/>
      <c r="B461" s="142"/>
      <c r="C461" s="142"/>
      <c r="D461" s="142"/>
      <c r="E461" s="131"/>
      <c r="F461" s="142"/>
      <c r="G461" s="142"/>
      <c r="H461" s="142"/>
      <c r="I461" s="142"/>
      <c r="J461" s="142"/>
      <c r="K461" s="132"/>
      <c r="L461" s="131"/>
      <c r="M461" s="131"/>
      <c r="N461" s="142"/>
      <c r="O461" s="142"/>
      <c r="P461" s="142"/>
      <c r="Q461" s="142"/>
      <c r="R461" s="142"/>
      <c r="S461" s="142"/>
      <c r="T461" s="131"/>
      <c r="U461" s="131"/>
      <c r="V461" s="131"/>
      <c r="W461" s="131"/>
      <c r="X461" s="131"/>
      <c r="Y461" s="131"/>
      <c r="Z461" s="142"/>
      <c r="AA461" s="142"/>
      <c r="AB461" s="142"/>
      <c r="AC461" s="142"/>
      <c r="AD461" s="142"/>
      <c r="AE461" s="142"/>
      <c r="AF461" s="142"/>
      <c r="AG461" s="142"/>
      <c r="AH461" s="142"/>
      <c r="AI461" s="142"/>
      <c r="AJ461" s="142"/>
      <c r="AK461" s="142"/>
      <c r="AL461" s="142"/>
      <c r="AM461" s="142"/>
      <c r="AN461" s="142"/>
      <c r="AO461" s="142"/>
    </row>
    <row r="462" ht="15.75" customHeight="1">
      <c r="A462" s="142"/>
      <c r="B462" s="142"/>
      <c r="C462" s="142"/>
      <c r="D462" s="142"/>
      <c r="E462" s="131"/>
      <c r="F462" s="142"/>
      <c r="G462" s="142"/>
      <c r="H462" s="142"/>
      <c r="I462" s="142"/>
      <c r="J462" s="142"/>
      <c r="K462" s="132"/>
      <c r="L462" s="131"/>
      <c r="M462" s="131"/>
      <c r="N462" s="142"/>
      <c r="O462" s="142"/>
      <c r="P462" s="142"/>
      <c r="Q462" s="142"/>
      <c r="R462" s="142"/>
      <c r="S462" s="142"/>
      <c r="T462" s="131"/>
      <c r="U462" s="131"/>
      <c r="V462" s="131"/>
      <c r="W462" s="131"/>
      <c r="X462" s="131"/>
      <c r="Y462" s="131"/>
      <c r="Z462" s="142"/>
      <c r="AA462" s="142"/>
      <c r="AB462" s="142"/>
      <c r="AC462" s="142"/>
      <c r="AD462" s="142"/>
      <c r="AE462" s="142"/>
      <c r="AF462" s="142"/>
      <c r="AG462" s="142"/>
      <c r="AH462" s="142"/>
      <c r="AI462" s="142"/>
      <c r="AJ462" s="142"/>
      <c r="AK462" s="142"/>
      <c r="AL462" s="142"/>
      <c r="AM462" s="142"/>
      <c r="AN462" s="142"/>
      <c r="AO462" s="142"/>
    </row>
    <row r="463" ht="15.75" customHeight="1">
      <c r="A463" s="142"/>
      <c r="B463" s="142"/>
      <c r="C463" s="142"/>
      <c r="D463" s="142"/>
      <c r="E463" s="131"/>
      <c r="F463" s="142"/>
      <c r="G463" s="142"/>
      <c r="H463" s="142"/>
      <c r="I463" s="142"/>
      <c r="J463" s="142"/>
      <c r="K463" s="132"/>
      <c r="L463" s="131"/>
      <c r="M463" s="131"/>
      <c r="N463" s="142"/>
      <c r="O463" s="142"/>
      <c r="P463" s="142"/>
      <c r="Q463" s="142"/>
      <c r="R463" s="142"/>
      <c r="S463" s="142"/>
      <c r="T463" s="131"/>
      <c r="U463" s="131"/>
      <c r="V463" s="131"/>
      <c r="W463" s="131"/>
      <c r="X463" s="131"/>
      <c r="Y463" s="131"/>
      <c r="Z463" s="142"/>
      <c r="AA463" s="142"/>
      <c r="AB463" s="142"/>
      <c r="AC463" s="142"/>
      <c r="AD463" s="142"/>
      <c r="AE463" s="142"/>
      <c r="AF463" s="142"/>
      <c r="AG463" s="142"/>
      <c r="AH463" s="142"/>
      <c r="AI463" s="142"/>
      <c r="AJ463" s="142"/>
      <c r="AK463" s="142"/>
      <c r="AL463" s="142"/>
      <c r="AM463" s="142"/>
      <c r="AN463" s="142"/>
      <c r="AO463" s="142"/>
    </row>
    <row r="464" ht="15.75" customHeight="1">
      <c r="A464" s="142"/>
      <c r="B464" s="142"/>
      <c r="C464" s="142"/>
      <c r="D464" s="142"/>
      <c r="E464" s="131"/>
      <c r="F464" s="142"/>
      <c r="G464" s="142"/>
      <c r="H464" s="142"/>
      <c r="I464" s="142"/>
      <c r="J464" s="142"/>
      <c r="K464" s="132"/>
      <c r="L464" s="131"/>
      <c r="M464" s="131"/>
      <c r="N464" s="142"/>
      <c r="O464" s="142"/>
      <c r="P464" s="142"/>
      <c r="Q464" s="142"/>
      <c r="R464" s="142"/>
      <c r="S464" s="142"/>
      <c r="T464" s="131"/>
      <c r="U464" s="131"/>
      <c r="V464" s="131"/>
      <c r="W464" s="131"/>
      <c r="X464" s="131"/>
      <c r="Y464" s="131"/>
      <c r="Z464" s="142"/>
      <c r="AA464" s="142"/>
      <c r="AB464" s="142"/>
      <c r="AC464" s="142"/>
      <c r="AD464" s="142"/>
      <c r="AE464" s="142"/>
      <c r="AF464" s="142"/>
      <c r="AG464" s="142"/>
      <c r="AH464" s="142"/>
      <c r="AI464" s="142"/>
      <c r="AJ464" s="142"/>
      <c r="AK464" s="142"/>
      <c r="AL464" s="142"/>
      <c r="AM464" s="142"/>
      <c r="AN464" s="142"/>
      <c r="AO464" s="142"/>
    </row>
    <row r="465" ht="15.75" customHeight="1">
      <c r="A465" s="142"/>
      <c r="B465" s="142"/>
      <c r="C465" s="142"/>
      <c r="D465" s="142"/>
      <c r="E465" s="131"/>
      <c r="F465" s="142"/>
      <c r="G465" s="142"/>
      <c r="H465" s="142"/>
      <c r="I465" s="142"/>
      <c r="J465" s="142"/>
      <c r="K465" s="132"/>
      <c r="L465" s="131"/>
      <c r="M465" s="131"/>
      <c r="N465" s="142"/>
      <c r="O465" s="142"/>
      <c r="P465" s="142"/>
      <c r="Q465" s="142"/>
      <c r="R465" s="142"/>
      <c r="S465" s="142"/>
      <c r="T465" s="131"/>
      <c r="U465" s="131"/>
      <c r="V465" s="131"/>
      <c r="W465" s="131"/>
      <c r="X465" s="131"/>
      <c r="Y465" s="131"/>
      <c r="Z465" s="142"/>
      <c r="AA465" s="142"/>
      <c r="AB465" s="142"/>
      <c r="AC465" s="142"/>
      <c r="AD465" s="142"/>
      <c r="AE465" s="142"/>
      <c r="AF465" s="142"/>
      <c r="AG465" s="142"/>
      <c r="AH465" s="142"/>
      <c r="AI465" s="142"/>
      <c r="AJ465" s="142"/>
      <c r="AK465" s="142"/>
      <c r="AL465" s="142"/>
      <c r="AM465" s="142"/>
      <c r="AN465" s="142"/>
      <c r="AO465" s="142"/>
    </row>
    <row r="466" ht="15.75" customHeight="1">
      <c r="A466" s="142"/>
      <c r="B466" s="142"/>
      <c r="C466" s="142"/>
      <c r="D466" s="142"/>
      <c r="E466" s="131"/>
      <c r="F466" s="142"/>
      <c r="G466" s="142"/>
      <c r="H466" s="142"/>
      <c r="I466" s="142"/>
      <c r="J466" s="142"/>
      <c r="K466" s="132"/>
      <c r="L466" s="131"/>
      <c r="M466" s="131"/>
      <c r="N466" s="142"/>
      <c r="O466" s="142"/>
      <c r="P466" s="142"/>
      <c r="Q466" s="142"/>
      <c r="R466" s="142"/>
      <c r="S466" s="142"/>
      <c r="T466" s="131"/>
      <c r="U466" s="131"/>
      <c r="V466" s="131"/>
      <c r="W466" s="131"/>
      <c r="X466" s="131"/>
      <c r="Y466" s="131"/>
      <c r="Z466" s="142"/>
      <c r="AA466" s="142"/>
      <c r="AB466" s="142"/>
      <c r="AC466" s="142"/>
      <c r="AD466" s="142"/>
      <c r="AE466" s="142"/>
      <c r="AF466" s="142"/>
      <c r="AG466" s="142"/>
      <c r="AH466" s="142"/>
      <c r="AI466" s="142"/>
      <c r="AJ466" s="142"/>
      <c r="AK466" s="142"/>
      <c r="AL466" s="142"/>
      <c r="AM466" s="142"/>
      <c r="AN466" s="142"/>
      <c r="AO466" s="142"/>
    </row>
    <row r="467" ht="15.75" customHeight="1">
      <c r="A467" s="142"/>
      <c r="B467" s="142"/>
      <c r="C467" s="142"/>
      <c r="D467" s="142"/>
      <c r="E467" s="131"/>
      <c r="F467" s="142"/>
      <c r="G467" s="142"/>
      <c r="H467" s="142"/>
      <c r="I467" s="142"/>
      <c r="J467" s="142"/>
      <c r="K467" s="132"/>
      <c r="L467" s="131"/>
      <c r="M467" s="131"/>
      <c r="N467" s="142"/>
      <c r="O467" s="142"/>
      <c r="P467" s="142"/>
      <c r="Q467" s="142"/>
      <c r="R467" s="142"/>
      <c r="S467" s="142"/>
      <c r="T467" s="131"/>
      <c r="U467" s="131"/>
      <c r="V467" s="131"/>
      <c r="W467" s="131"/>
      <c r="X467" s="131"/>
      <c r="Y467" s="131"/>
      <c r="Z467" s="142"/>
      <c r="AA467" s="142"/>
      <c r="AB467" s="142"/>
      <c r="AC467" s="142"/>
      <c r="AD467" s="142"/>
      <c r="AE467" s="142"/>
      <c r="AF467" s="142"/>
      <c r="AG467" s="142"/>
      <c r="AH467" s="142"/>
      <c r="AI467" s="142"/>
      <c r="AJ467" s="142"/>
      <c r="AK467" s="142"/>
      <c r="AL467" s="142"/>
      <c r="AM467" s="142"/>
      <c r="AN467" s="142"/>
      <c r="AO467" s="142"/>
    </row>
    <row r="468" ht="15.75" customHeight="1">
      <c r="A468" s="142"/>
      <c r="B468" s="142"/>
      <c r="C468" s="142"/>
      <c r="D468" s="142"/>
      <c r="E468" s="131"/>
      <c r="F468" s="142"/>
      <c r="G468" s="142"/>
      <c r="H468" s="142"/>
      <c r="I468" s="142"/>
      <c r="J468" s="142"/>
      <c r="K468" s="132"/>
      <c r="L468" s="131"/>
      <c r="M468" s="131"/>
      <c r="N468" s="142"/>
      <c r="O468" s="142"/>
      <c r="P468" s="142"/>
      <c r="Q468" s="142"/>
      <c r="R468" s="142"/>
      <c r="S468" s="142"/>
      <c r="T468" s="131"/>
      <c r="U468" s="131"/>
      <c r="V468" s="131"/>
      <c r="W468" s="131"/>
      <c r="X468" s="131"/>
      <c r="Y468" s="131"/>
      <c r="Z468" s="142"/>
      <c r="AA468" s="142"/>
      <c r="AB468" s="142"/>
      <c r="AC468" s="142"/>
      <c r="AD468" s="142"/>
      <c r="AE468" s="142"/>
      <c r="AF468" s="142"/>
      <c r="AG468" s="142"/>
      <c r="AH468" s="142"/>
      <c r="AI468" s="142"/>
      <c r="AJ468" s="142"/>
      <c r="AK468" s="142"/>
      <c r="AL468" s="142"/>
      <c r="AM468" s="142"/>
      <c r="AN468" s="142"/>
      <c r="AO468" s="142"/>
    </row>
    <row r="469" ht="15.75" customHeight="1">
      <c r="A469" s="142"/>
      <c r="B469" s="142"/>
      <c r="C469" s="142"/>
      <c r="D469" s="142"/>
      <c r="E469" s="131"/>
      <c r="F469" s="142"/>
      <c r="G469" s="142"/>
      <c r="H469" s="142"/>
      <c r="I469" s="142"/>
      <c r="J469" s="142"/>
      <c r="K469" s="132"/>
      <c r="L469" s="131"/>
      <c r="M469" s="131"/>
      <c r="N469" s="142"/>
      <c r="O469" s="142"/>
      <c r="P469" s="142"/>
      <c r="Q469" s="142"/>
      <c r="R469" s="142"/>
      <c r="S469" s="142"/>
      <c r="T469" s="131"/>
      <c r="U469" s="131"/>
      <c r="V469" s="131"/>
      <c r="W469" s="131"/>
      <c r="X469" s="131"/>
      <c r="Y469" s="131"/>
      <c r="Z469" s="142"/>
      <c r="AA469" s="142"/>
      <c r="AB469" s="142"/>
      <c r="AC469" s="142"/>
      <c r="AD469" s="142"/>
      <c r="AE469" s="142"/>
      <c r="AF469" s="142"/>
      <c r="AG469" s="142"/>
      <c r="AH469" s="142"/>
      <c r="AI469" s="142"/>
      <c r="AJ469" s="142"/>
      <c r="AK469" s="142"/>
      <c r="AL469" s="142"/>
      <c r="AM469" s="142"/>
      <c r="AN469" s="142"/>
      <c r="AO469" s="142"/>
    </row>
    <row r="470" ht="15.75" customHeight="1">
      <c r="A470" s="142"/>
      <c r="B470" s="142"/>
      <c r="C470" s="142"/>
      <c r="D470" s="142"/>
      <c r="E470" s="131"/>
      <c r="F470" s="142"/>
      <c r="G470" s="142"/>
      <c r="H470" s="142"/>
      <c r="I470" s="142"/>
      <c r="J470" s="142"/>
      <c r="K470" s="132"/>
      <c r="L470" s="131"/>
      <c r="M470" s="131"/>
      <c r="N470" s="142"/>
      <c r="O470" s="142"/>
      <c r="P470" s="142"/>
      <c r="Q470" s="142"/>
      <c r="R470" s="142"/>
      <c r="S470" s="142"/>
      <c r="T470" s="131"/>
      <c r="U470" s="131"/>
      <c r="V470" s="131"/>
      <c r="W470" s="131"/>
      <c r="X470" s="131"/>
      <c r="Y470" s="131"/>
      <c r="Z470" s="142"/>
      <c r="AA470" s="142"/>
      <c r="AB470" s="142"/>
      <c r="AC470" s="142"/>
      <c r="AD470" s="142"/>
      <c r="AE470" s="142"/>
      <c r="AF470" s="142"/>
      <c r="AG470" s="142"/>
      <c r="AH470" s="142"/>
      <c r="AI470" s="142"/>
      <c r="AJ470" s="142"/>
      <c r="AK470" s="142"/>
      <c r="AL470" s="142"/>
      <c r="AM470" s="142"/>
      <c r="AN470" s="142"/>
      <c r="AO470" s="142"/>
    </row>
    <row r="471" ht="15.75" customHeight="1">
      <c r="A471" s="142"/>
      <c r="B471" s="142"/>
      <c r="C471" s="142"/>
      <c r="D471" s="142"/>
      <c r="E471" s="131"/>
      <c r="F471" s="142"/>
      <c r="G471" s="142"/>
      <c r="H471" s="142"/>
      <c r="I471" s="142"/>
      <c r="J471" s="142"/>
      <c r="K471" s="132"/>
      <c r="L471" s="131"/>
      <c r="M471" s="131"/>
      <c r="N471" s="142"/>
      <c r="O471" s="142"/>
      <c r="P471" s="142"/>
      <c r="Q471" s="142"/>
      <c r="R471" s="142"/>
      <c r="S471" s="142"/>
      <c r="T471" s="131"/>
      <c r="U471" s="131"/>
      <c r="V471" s="131"/>
      <c r="W471" s="131"/>
      <c r="X471" s="131"/>
      <c r="Y471" s="131"/>
      <c r="Z471" s="142"/>
      <c r="AA471" s="142"/>
      <c r="AB471" s="142"/>
      <c r="AC471" s="142"/>
      <c r="AD471" s="142"/>
      <c r="AE471" s="142"/>
      <c r="AF471" s="142"/>
      <c r="AG471" s="142"/>
      <c r="AH471" s="142"/>
      <c r="AI471" s="142"/>
      <c r="AJ471" s="142"/>
      <c r="AK471" s="142"/>
      <c r="AL471" s="142"/>
      <c r="AM471" s="142"/>
      <c r="AN471" s="142"/>
      <c r="AO471" s="142"/>
    </row>
    <row r="472" ht="15.75" customHeight="1">
      <c r="A472" s="142"/>
      <c r="B472" s="142"/>
      <c r="C472" s="142"/>
      <c r="D472" s="142"/>
      <c r="E472" s="131"/>
      <c r="F472" s="142"/>
      <c r="G472" s="142"/>
      <c r="H472" s="142"/>
      <c r="I472" s="142"/>
      <c r="J472" s="142"/>
      <c r="K472" s="132"/>
      <c r="L472" s="131"/>
      <c r="M472" s="131"/>
      <c r="N472" s="142"/>
      <c r="O472" s="142"/>
      <c r="P472" s="142"/>
      <c r="Q472" s="142"/>
      <c r="R472" s="142"/>
      <c r="S472" s="142"/>
      <c r="T472" s="131"/>
      <c r="U472" s="131"/>
      <c r="V472" s="131"/>
      <c r="W472" s="131"/>
      <c r="X472" s="131"/>
      <c r="Y472" s="131"/>
      <c r="Z472" s="142"/>
      <c r="AA472" s="142"/>
      <c r="AB472" s="142"/>
      <c r="AC472" s="142"/>
      <c r="AD472" s="142"/>
      <c r="AE472" s="142"/>
      <c r="AF472" s="142"/>
      <c r="AG472" s="142"/>
      <c r="AH472" s="142"/>
      <c r="AI472" s="142"/>
      <c r="AJ472" s="142"/>
      <c r="AK472" s="142"/>
      <c r="AL472" s="142"/>
      <c r="AM472" s="142"/>
      <c r="AN472" s="142"/>
      <c r="AO472" s="142"/>
    </row>
    <row r="473" ht="15.75" customHeight="1">
      <c r="A473" s="142"/>
      <c r="B473" s="142"/>
      <c r="C473" s="142"/>
      <c r="D473" s="142"/>
      <c r="E473" s="131"/>
      <c r="F473" s="142"/>
      <c r="G473" s="142"/>
      <c r="H473" s="142"/>
      <c r="I473" s="142"/>
      <c r="J473" s="142"/>
      <c r="K473" s="132"/>
      <c r="L473" s="131"/>
      <c r="M473" s="131"/>
      <c r="N473" s="142"/>
      <c r="O473" s="142"/>
      <c r="P473" s="142"/>
      <c r="Q473" s="142"/>
      <c r="R473" s="142"/>
      <c r="S473" s="142"/>
      <c r="T473" s="131"/>
      <c r="U473" s="131"/>
      <c r="V473" s="131"/>
      <c r="W473" s="131"/>
      <c r="X473" s="131"/>
      <c r="Y473" s="131"/>
      <c r="Z473" s="142"/>
      <c r="AA473" s="142"/>
      <c r="AB473" s="142"/>
      <c r="AC473" s="142"/>
      <c r="AD473" s="142"/>
      <c r="AE473" s="142"/>
      <c r="AF473" s="142"/>
      <c r="AG473" s="142"/>
      <c r="AH473" s="142"/>
      <c r="AI473" s="142"/>
      <c r="AJ473" s="142"/>
      <c r="AK473" s="142"/>
      <c r="AL473" s="142"/>
      <c r="AM473" s="142"/>
      <c r="AN473" s="142"/>
      <c r="AO473" s="142"/>
    </row>
    <row r="474" ht="15.75" customHeight="1">
      <c r="A474" s="142"/>
      <c r="B474" s="142"/>
      <c r="C474" s="142"/>
      <c r="D474" s="142"/>
      <c r="E474" s="131"/>
      <c r="F474" s="142"/>
      <c r="G474" s="142"/>
      <c r="H474" s="142"/>
      <c r="I474" s="142"/>
      <c r="J474" s="142"/>
      <c r="K474" s="132"/>
      <c r="L474" s="131"/>
      <c r="M474" s="131"/>
      <c r="N474" s="142"/>
      <c r="O474" s="142"/>
      <c r="P474" s="142"/>
      <c r="Q474" s="142"/>
      <c r="R474" s="142"/>
      <c r="S474" s="142"/>
      <c r="T474" s="131"/>
      <c r="U474" s="131"/>
      <c r="V474" s="131"/>
      <c r="W474" s="131"/>
      <c r="X474" s="131"/>
      <c r="Y474" s="131"/>
      <c r="Z474" s="142"/>
      <c r="AA474" s="142"/>
      <c r="AB474" s="142"/>
      <c r="AC474" s="142"/>
      <c r="AD474" s="142"/>
      <c r="AE474" s="142"/>
      <c r="AF474" s="142"/>
      <c r="AG474" s="142"/>
      <c r="AH474" s="142"/>
      <c r="AI474" s="142"/>
      <c r="AJ474" s="142"/>
      <c r="AK474" s="142"/>
      <c r="AL474" s="142"/>
      <c r="AM474" s="142"/>
      <c r="AN474" s="142"/>
      <c r="AO474" s="142"/>
    </row>
    <row r="475" ht="15.75" customHeight="1">
      <c r="A475" s="142"/>
      <c r="B475" s="142"/>
      <c r="C475" s="142"/>
      <c r="D475" s="142"/>
      <c r="E475" s="131"/>
      <c r="F475" s="142"/>
      <c r="G475" s="142"/>
      <c r="H475" s="142"/>
      <c r="I475" s="142"/>
      <c r="J475" s="142"/>
      <c r="K475" s="132"/>
      <c r="L475" s="131"/>
      <c r="M475" s="131"/>
      <c r="N475" s="142"/>
      <c r="O475" s="142"/>
      <c r="P475" s="142"/>
      <c r="Q475" s="142"/>
      <c r="R475" s="142"/>
      <c r="S475" s="142"/>
      <c r="T475" s="131"/>
      <c r="U475" s="131"/>
      <c r="V475" s="131"/>
      <c r="W475" s="131"/>
      <c r="X475" s="131"/>
      <c r="Y475" s="131"/>
      <c r="Z475" s="142"/>
      <c r="AA475" s="142"/>
      <c r="AB475" s="142"/>
      <c r="AC475" s="142"/>
      <c r="AD475" s="142"/>
      <c r="AE475" s="142"/>
      <c r="AF475" s="142"/>
      <c r="AG475" s="142"/>
      <c r="AH475" s="142"/>
      <c r="AI475" s="142"/>
      <c r="AJ475" s="142"/>
      <c r="AK475" s="142"/>
      <c r="AL475" s="142"/>
      <c r="AM475" s="142"/>
      <c r="AN475" s="142"/>
      <c r="AO475" s="142"/>
    </row>
    <row r="476" ht="15.75" customHeight="1">
      <c r="A476" s="142"/>
      <c r="B476" s="142"/>
      <c r="C476" s="142"/>
      <c r="D476" s="142"/>
      <c r="E476" s="131"/>
      <c r="F476" s="142"/>
      <c r="G476" s="142"/>
      <c r="H476" s="142"/>
      <c r="I476" s="142"/>
      <c r="J476" s="142"/>
      <c r="K476" s="132"/>
      <c r="L476" s="131"/>
      <c r="M476" s="131"/>
      <c r="N476" s="142"/>
      <c r="O476" s="142"/>
      <c r="P476" s="142"/>
      <c r="Q476" s="142"/>
      <c r="R476" s="142"/>
      <c r="S476" s="142"/>
      <c r="T476" s="131"/>
      <c r="U476" s="131"/>
      <c r="V476" s="131"/>
      <c r="W476" s="131"/>
      <c r="X476" s="131"/>
      <c r="Y476" s="131"/>
      <c r="Z476" s="142"/>
      <c r="AA476" s="142"/>
      <c r="AB476" s="142"/>
      <c r="AC476" s="142"/>
      <c r="AD476" s="142"/>
      <c r="AE476" s="142"/>
      <c r="AF476" s="142"/>
      <c r="AG476" s="142"/>
      <c r="AH476" s="142"/>
      <c r="AI476" s="142"/>
      <c r="AJ476" s="142"/>
      <c r="AK476" s="142"/>
      <c r="AL476" s="142"/>
      <c r="AM476" s="142"/>
      <c r="AN476" s="142"/>
      <c r="AO476" s="142"/>
    </row>
    <row r="477" ht="15.75" customHeight="1">
      <c r="A477" s="142"/>
      <c r="B477" s="142"/>
      <c r="C477" s="142"/>
      <c r="D477" s="142"/>
      <c r="E477" s="131"/>
      <c r="F477" s="142"/>
      <c r="G477" s="142"/>
      <c r="H477" s="142"/>
      <c r="I477" s="142"/>
      <c r="J477" s="142"/>
      <c r="K477" s="132"/>
      <c r="L477" s="131"/>
      <c r="M477" s="131"/>
      <c r="N477" s="142"/>
      <c r="O477" s="142"/>
      <c r="P477" s="142"/>
      <c r="Q477" s="142"/>
      <c r="R477" s="142"/>
      <c r="S477" s="142"/>
      <c r="T477" s="131"/>
      <c r="U477" s="131"/>
      <c r="V477" s="131"/>
      <c r="W477" s="131"/>
      <c r="X477" s="131"/>
      <c r="Y477" s="131"/>
      <c r="Z477" s="142"/>
      <c r="AA477" s="142"/>
      <c r="AB477" s="142"/>
      <c r="AC477" s="142"/>
      <c r="AD477" s="142"/>
      <c r="AE477" s="142"/>
      <c r="AF477" s="142"/>
      <c r="AG477" s="142"/>
      <c r="AH477" s="142"/>
      <c r="AI477" s="142"/>
      <c r="AJ477" s="142"/>
      <c r="AK477" s="142"/>
      <c r="AL477" s="142"/>
      <c r="AM477" s="142"/>
      <c r="AN477" s="142"/>
      <c r="AO477" s="142"/>
    </row>
    <row r="478" ht="15.75" customHeight="1">
      <c r="A478" s="142"/>
      <c r="B478" s="142"/>
      <c r="C478" s="142"/>
      <c r="D478" s="142"/>
      <c r="E478" s="131"/>
      <c r="F478" s="142"/>
      <c r="G478" s="142"/>
      <c r="H478" s="142"/>
      <c r="I478" s="142"/>
      <c r="J478" s="142"/>
      <c r="K478" s="132"/>
      <c r="L478" s="131"/>
      <c r="M478" s="131"/>
      <c r="N478" s="142"/>
      <c r="O478" s="142"/>
      <c r="P478" s="142"/>
      <c r="Q478" s="142"/>
      <c r="R478" s="142"/>
      <c r="S478" s="142"/>
      <c r="T478" s="131"/>
      <c r="U478" s="131"/>
      <c r="V478" s="131"/>
      <c r="W478" s="131"/>
      <c r="X478" s="131"/>
      <c r="Y478" s="131"/>
      <c r="Z478" s="142"/>
      <c r="AA478" s="142"/>
      <c r="AB478" s="142"/>
      <c r="AC478" s="142"/>
      <c r="AD478" s="142"/>
      <c r="AE478" s="142"/>
      <c r="AF478" s="142"/>
      <c r="AG478" s="142"/>
      <c r="AH478" s="142"/>
      <c r="AI478" s="142"/>
      <c r="AJ478" s="142"/>
      <c r="AK478" s="142"/>
      <c r="AL478" s="142"/>
      <c r="AM478" s="142"/>
      <c r="AN478" s="142"/>
      <c r="AO478" s="142"/>
    </row>
    <row r="479" ht="15.75" customHeight="1">
      <c r="A479" s="142"/>
      <c r="B479" s="142"/>
      <c r="C479" s="142"/>
      <c r="D479" s="142"/>
      <c r="E479" s="131"/>
      <c r="F479" s="142"/>
      <c r="G479" s="142"/>
      <c r="H479" s="142"/>
      <c r="I479" s="142"/>
      <c r="J479" s="142"/>
      <c r="K479" s="132"/>
      <c r="L479" s="131"/>
      <c r="M479" s="131"/>
      <c r="N479" s="142"/>
      <c r="O479" s="142"/>
      <c r="P479" s="142"/>
      <c r="Q479" s="142"/>
      <c r="R479" s="142"/>
      <c r="S479" s="142"/>
      <c r="T479" s="131"/>
      <c r="U479" s="131"/>
      <c r="V479" s="131"/>
      <c r="W479" s="131"/>
      <c r="X479" s="131"/>
      <c r="Y479" s="131"/>
      <c r="Z479" s="142"/>
      <c r="AA479" s="142"/>
      <c r="AB479" s="142"/>
      <c r="AC479" s="142"/>
      <c r="AD479" s="142"/>
      <c r="AE479" s="142"/>
      <c r="AF479" s="142"/>
      <c r="AG479" s="142"/>
      <c r="AH479" s="142"/>
      <c r="AI479" s="142"/>
      <c r="AJ479" s="142"/>
      <c r="AK479" s="142"/>
      <c r="AL479" s="142"/>
      <c r="AM479" s="142"/>
      <c r="AN479" s="142"/>
      <c r="AO479" s="142"/>
    </row>
    <row r="480" ht="15.75" customHeight="1">
      <c r="A480" s="142"/>
      <c r="B480" s="142"/>
      <c r="C480" s="142"/>
      <c r="D480" s="142"/>
      <c r="E480" s="131"/>
      <c r="F480" s="142"/>
      <c r="G480" s="142"/>
      <c r="H480" s="142"/>
      <c r="I480" s="142"/>
      <c r="J480" s="142"/>
      <c r="K480" s="132"/>
      <c r="L480" s="131"/>
      <c r="M480" s="131"/>
      <c r="N480" s="142"/>
      <c r="O480" s="142"/>
      <c r="P480" s="142"/>
      <c r="Q480" s="142"/>
      <c r="R480" s="142"/>
      <c r="S480" s="142"/>
      <c r="T480" s="131"/>
      <c r="U480" s="131"/>
      <c r="V480" s="131"/>
      <c r="W480" s="131"/>
      <c r="X480" s="131"/>
      <c r="Y480" s="131"/>
      <c r="Z480" s="142"/>
      <c r="AA480" s="142"/>
      <c r="AB480" s="142"/>
      <c r="AC480" s="142"/>
      <c r="AD480" s="142"/>
      <c r="AE480" s="142"/>
      <c r="AF480" s="142"/>
      <c r="AG480" s="142"/>
      <c r="AH480" s="142"/>
      <c r="AI480" s="142"/>
      <c r="AJ480" s="142"/>
      <c r="AK480" s="142"/>
      <c r="AL480" s="142"/>
      <c r="AM480" s="142"/>
      <c r="AN480" s="142"/>
      <c r="AO480" s="142"/>
    </row>
    <row r="481" ht="15.75" customHeight="1">
      <c r="A481" s="142"/>
      <c r="B481" s="142"/>
      <c r="C481" s="142"/>
      <c r="D481" s="142"/>
      <c r="E481" s="131"/>
      <c r="F481" s="142"/>
      <c r="G481" s="142"/>
      <c r="H481" s="142"/>
      <c r="I481" s="142"/>
      <c r="J481" s="142"/>
      <c r="K481" s="132"/>
      <c r="L481" s="131"/>
      <c r="M481" s="131"/>
      <c r="N481" s="142"/>
      <c r="O481" s="142"/>
      <c r="P481" s="142"/>
      <c r="Q481" s="142"/>
      <c r="R481" s="142"/>
      <c r="S481" s="142"/>
      <c r="T481" s="131"/>
      <c r="U481" s="131"/>
      <c r="V481" s="131"/>
      <c r="W481" s="131"/>
      <c r="X481" s="131"/>
      <c r="Y481" s="131"/>
      <c r="Z481" s="142"/>
      <c r="AA481" s="142"/>
      <c r="AB481" s="142"/>
      <c r="AC481" s="142"/>
      <c r="AD481" s="142"/>
      <c r="AE481" s="142"/>
      <c r="AF481" s="142"/>
      <c r="AG481" s="142"/>
      <c r="AH481" s="142"/>
      <c r="AI481" s="142"/>
      <c r="AJ481" s="142"/>
      <c r="AK481" s="142"/>
      <c r="AL481" s="142"/>
      <c r="AM481" s="142"/>
      <c r="AN481" s="142"/>
      <c r="AO481" s="142"/>
    </row>
    <row r="482" ht="15.75" customHeight="1">
      <c r="A482" s="142"/>
      <c r="B482" s="142"/>
      <c r="C482" s="142"/>
      <c r="D482" s="142"/>
      <c r="E482" s="131"/>
      <c r="F482" s="142"/>
      <c r="G482" s="142"/>
      <c r="H482" s="142"/>
      <c r="I482" s="142"/>
      <c r="J482" s="142"/>
      <c r="K482" s="132"/>
      <c r="L482" s="131"/>
      <c r="M482" s="131"/>
      <c r="N482" s="142"/>
      <c r="O482" s="142"/>
      <c r="P482" s="142"/>
      <c r="Q482" s="142"/>
      <c r="R482" s="142"/>
      <c r="S482" s="142"/>
      <c r="T482" s="131"/>
      <c r="U482" s="131"/>
      <c r="V482" s="131"/>
      <c r="W482" s="131"/>
      <c r="X482" s="131"/>
      <c r="Y482" s="131"/>
      <c r="Z482" s="142"/>
      <c r="AA482" s="142"/>
      <c r="AB482" s="142"/>
      <c r="AC482" s="142"/>
      <c r="AD482" s="142"/>
      <c r="AE482" s="142"/>
      <c r="AF482" s="142"/>
      <c r="AG482" s="142"/>
      <c r="AH482" s="142"/>
      <c r="AI482" s="142"/>
      <c r="AJ482" s="142"/>
      <c r="AK482" s="142"/>
      <c r="AL482" s="142"/>
      <c r="AM482" s="142"/>
      <c r="AN482" s="142"/>
      <c r="AO482" s="142"/>
    </row>
    <row r="483" ht="15.75" customHeight="1">
      <c r="A483" s="142"/>
      <c r="B483" s="142"/>
      <c r="C483" s="142"/>
      <c r="D483" s="142"/>
      <c r="E483" s="131"/>
      <c r="F483" s="142"/>
      <c r="G483" s="142"/>
      <c r="H483" s="142"/>
      <c r="I483" s="142"/>
      <c r="J483" s="142"/>
      <c r="K483" s="132"/>
      <c r="L483" s="131"/>
      <c r="M483" s="131"/>
      <c r="N483" s="142"/>
      <c r="O483" s="142"/>
      <c r="P483" s="142"/>
      <c r="Q483" s="142"/>
      <c r="R483" s="142"/>
      <c r="S483" s="142"/>
      <c r="T483" s="131"/>
      <c r="U483" s="131"/>
      <c r="V483" s="131"/>
      <c r="W483" s="131"/>
      <c r="X483" s="131"/>
      <c r="Y483" s="131"/>
      <c r="Z483" s="142"/>
      <c r="AA483" s="142"/>
      <c r="AB483" s="142"/>
      <c r="AC483" s="142"/>
      <c r="AD483" s="142"/>
      <c r="AE483" s="142"/>
      <c r="AF483" s="142"/>
      <c r="AG483" s="142"/>
      <c r="AH483" s="142"/>
      <c r="AI483" s="142"/>
      <c r="AJ483" s="142"/>
      <c r="AK483" s="142"/>
      <c r="AL483" s="142"/>
      <c r="AM483" s="142"/>
      <c r="AN483" s="142"/>
      <c r="AO483" s="142"/>
    </row>
    <row r="484" ht="15.75" customHeight="1">
      <c r="A484" s="142"/>
      <c r="B484" s="142"/>
      <c r="C484" s="142"/>
      <c r="D484" s="142"/>
      <c r="E484" s="131"/>
      <c r="F484" s="142"/>
      <c r="G484" s="142"/>
      <c r="H484" s="142"/>
      <c r="I484" s="142"/>
      <c r="J484" s="142"/>
      <c r="K484" s="132"/>
      <c r="L484" s="131"/>
      <c r="M484" s="131"/>
      <c r="N484" s="142"/>
      <c r="O484" s="142"/>
      <c r="P484" s="142"/>
      <c r="Q484" s="142"/>
      <c r="R484" s="142"/>
      <c r="S484" s="142"/>
      <c r="T484" s="131"/>
      <c r="U484" s="131"/>
      <c r="V484" s="131"/>
      <c r="W484" s="131"/>
      <c r="X484" s="131"/>
      <c r="Y484" s="131"/>
      <c r="Z484" s="142"/>
      <c r="AA484" s="142"/>
      <c r="AB484" s="142"/>
      <c r="AC484" s="142"/>
      <c r="AD484" s="142"/>
      <c r="AE484" s="142"/>
      <c r="AF484" s="142"/>
      <c r="AG484" s="142"/>
      <c r="AH484" s="142"/>
      <c r="AI484" s="142"/>
      <c r="AJ484" s="142"/>
      <c r="AK484" s="142"/>
      <c r="AL484" s="142"/>
      <c r="AM484" s="142"/>
      <c r="AN484" s="142"/>
      <c r="AO484" s="142"/>
    </row>
    <row r="485" ht="15.75" customHeight="1">
      <c r="A485" s="142"/>
      <c r="B485" s="142"/>
      <c r="C485" s="142"/>
      <c r="D485" s="142"/>
      <c r="E485" s="131"/>
      <c r="F485" s="142"/>
      <c r="G485" s="142"/>
      <c r="H485" s="142"/>
      <c r="I485" s="142"/>
      <c r="J485" s="142"/>
      <c r="K485" s="132"/>
      <c r="L485" s="131"/>
      <c r="M485" s="131"/>
      <c r="N485" s="142"/>
      <c r="O485" s="142"/>
      <c r="P485" s="142"/>
      <c r="Q485" s="142"/>
      <c r="R485" s="142"/>
      <c r="S485" s="142"/>
      <c r="T485" s="131"/>
      <c r="U485" s="131"/>
      <c r="V485" s="131"/>
      <c r="W485" s="131"/>
      <c r="X485" s="131"/>
      <c r="Y485" s="131"/>
      <c r="Z485" s="142"/>
      <c r="AA485" s="142"/>
      <c r="AB485" s="142"/>
      <c r="AC485" s="142"/>
      <c r="AD485" s="142"/>
      <c r="AE485" s="142"/>
      <c r="AF485" s="142"/>
      <c r="AG485" s="142"/>
      <c r="AH485" s="142"/>
      <c r="AI485" s="142"/>
      <c r="AJ485" s="142"/>
      <c r="AK485" s="142"/>
      <c r="AL485" s="142"/>
      <c r="AM485" s="142"/>
      <c r="AN485" s="142"/>
      <c r="AO485" s="142"/>
    </row>
    <row r="486" ht="15.75" customHeight="1">
      <c r="A486" s="142"/>
      <c r="B486" s="142"/>
      <c r="C486" s="142"/>
      <c r="D486" s="142"/>
      <c r="E486" s="131"/>
      <c r="F486" s="142"/>
      <c r="G486" s="142"/>
      <c r="H486" s="142"/>
      <c r="I486" s="142"/>
      <c r="J486" s="142"/>
      <c r="K486" s="132"/>
      <c r="L486" s="131"/>
      <c r="M486" s="131"/>
      <c r="N486" s="142"/>
      <c r="O486" s="142"/>
      <c r="P486" s="142"/>
      <c r="Q486" s="142"/>
      <c r="R486" s="142"/>
      <c r="S486" s="142"/>
      <c r="T486" s="131"/>
      <c r="U486" s="131"/>
      <c r="V486" s="131"/>
      <c r="W486" s="131"/>
      <c r="X486" s="131"/>
      <c r="Y486" s="131"/>
      <c r="Z486" s="142"/>
      <c r="AA486" s="142"/>
      <c r="AB486" s="142"/>
      <c r="AC486" s="142"/>
      <c r="AD486" s="142"/>
      <c r="AE486" s="142"/>
      <c r="AF486" s="142"/>
      <c r="AG486" s="142"/>
      <c r="AH486" s="142"/>
      <c r="AI486" s="142"/>
      <c r="AJ486" s="142"/>
      <c r="AK486" s="142"/>
      <c r="AL486" s="142"/>
      <c r="AM486" s="142"/>
      <c r="AN486" s="142"/>
      <c r="AO486" s="142"/>
    </row>
    <row r="487" ht="15.75" customHeight="1">
      <c r="A487" s="142"/>
      <c r="B487" s="142"/>
      <c r="C487" s="142"/>
      <c r="D487" s="142"/>
      <c r="E487" s="131"/>
      <c r="F487" s="142"/>
      <c r="G487" s="142"/>
      <c r="H487" s="142"/>
      <c r="I487" s="142"/>
      <c r="J487" s="142"/>
      <c r="K487" s="132"/>
      <c r="L487" s="131"/>
      <c r="M487" s="131"/>
      <c r="N487" s="142"/>
      <c r="O487" s="142"/>
      <c r="P487" s="142"/>
      <c r="Q487" s="142"/>
      <c r="R487" s="142"/>
      <c r="S487" s="142"/>
      <c r="T487" s="131"/>
      <c r="U487" s="131"/>
      <c r="V487" s="131"/>
      <c r="W487" s="131"/>
      <c r="X487" s="131"/>
      <c r="Y487" s="131"/>
      <c r="Z487" s="142"/>
      <c r="AA487" s="142"/>
      <c r="AB487" s="142"/>
      <c r="AC487" s="142"/>
      <c r="AD487" s="142"/>
      <c r="AE487" s="142"/>
      <c r="AF487" s="142"/>
      <c r="AG487" s="142"/>
      <c r="AH487" s="142"/>
      <c r="AI487" s="142"/>
      <c r="AJ487" s="142"/>
      <c r="AK487" s="142"/>
      <c r="AL487" s="142"/>
      <c r="AM487" s="142"/>
      <c r="AN487" s="142"/>
      <c r="AO487" s="142"/>
    </row>
    <row r="488" ht="15.75" customHeight="1">
      <c r="A488" s="142"/>
      <c r="B488" s="142"/>
      <c r="C488" s="142"/>
      <c r="D488" s="142"/>
      <c r="E488" s="131"/>
      <c r="F488" s="142"/>
      <c r="G488" s="142"/>
      <c r="H488" s="142"/>
      <c r="I488" s="142"/>
      <c r="J488" s="142"/>
      <c r="K488" s="132"/>
      <c r="L488" s="131"/>
      <c r="M488" s="131"/>
      <c r="N488" s="142"/>
      <c r="O488" s="142"/>
      <c r="P488" s="142"/>
      <c r="Q488" s="142"/>
      <c r="R488" s="142"/>
      <c r="S488" s="142"/>
      <c r="T488" s="131"/>
      <c r="U488" s="131"/>
      <c r="V488" s="131"/>
      <c r="W488" s="131"/>
      <c r="X488" s="131"/>
      <c r="Y488" s="131"/>
      <c r="Z488" s="142"/>
      <c r="AA488" s="142"/>
      <c r="AB488" s="142"/>
      <c r="AC488" s="142"/>
      <c r="AD488" s="142"/>
      <c r="AE488" s="142"/>
      <c r="AF488" s="142"/>
      <c r="AG488" s="142"/>
      <c r="AH488" s="142"/>
      <c r="AI488" s="142"/>
      <c r="AJ488" s="142"/>
      <c r="AK488" s="142"/>
      <c r="AL488" s="142"/>
      <c r="AM488" s="142"/>
      <c r="AN488" s="142"/>
      <c r="AO488" s="142"/>
    </row>
    <row r="489" ht="15.75" customHeight="1">
      <c r="A489" s="142"/>
      <c r="B489" s="142"/>
      <c r="C489" s="142"/>
      <c r="D489" s="142"/>
      <c r="E489" s="131"/>
      <c r="F489" s="142"/>
      <c r="G489" s="142"/>
      <c r="H489" s="142"/>
      <c r="I489" s="142"/>
      <c r="J489" s="142"/>
      <c r="K489" s="132"/>
      <c r="L489" s="131"/>
      <c r="M489" s="131"/>
      <c r="N489" s="142"/>
      <c r="O489" s="142"/>
      <c r="P489" s="142"/>
      <c r="Q489" s="142"/>
      <c r="R489" s="142"/>
      <c r="S489" s="142"/>
      <c r="T489" s="131"/>
      <c r="U489" s="131"/>
      <c r="V489" s="131"/>
      <c r="W489" s="131"/>
      <c r="X489" s="131"/>
      <c r="Y489" s="131"/>
      <c r="Z489" s="142"/>
      <c r="AA489" s="142"/>
      <c r="AB489" s="142"/>
      <c r="AC489" s="142"/>
      <c r="AD489" s="142"/>
      <c r="AE489" s="142"/>
      <c r="AF489" s="142"/>
      <c r="AG489" s="142"/>
      <c r="AH489" s="142"/>
      <c r="AI489" s="142"/>
      <c r="AJ489" s="142"/>
      <c r="AK489" s="142"/>
      <c r="AL489" s="142"/>
      <c r="AM489" s="142"/>
      <c r="AN489" s="142"/>
      <c r="AO489" s="142"/>
    </row>
    <row r="490" ht="15.75" customHeight="1">
      <c r="A490" s="142"/>
      <c r="B490" s="142"/>
      <c r="C490" s="142"/>
      <c r="D490" s="142"/>
      <c r="E490" s="131"/>
      <c r="F490" s="142"/>
      <c r="G490" s="142"/>
      <c r="H490" s="142"/>
      <c r="I490" s="142"/>
      <c r="J490" s="142"/>
      <c r="K490" s="132"/>
      <c r="L490" s="131"/>
      <c r="M490" s="131"/>
      <c r="N490" s="142"/>
      <c r="O490" s="142"/>
      <c r="P490" s="142"/>
      <c r="Q490" s="142"/>
      <c r="R490" s="142"/>
      <c r="S490" s="142"/>
      <c r="T490" s="131"/>
      <c r="U490" s="131"/>
      <c r="V490" s="131"/>
      <c r="W490" s="131"/>
      <c r="X490" s="131"/>
      <c r="Y490" s="131"/>
      <c r="Z490" s="142"/>
      <c r="AA490" s="142"/>
      <c r="AB490" s="142"/>
      <c r="AC490" s="142"/>
      <c r="AD490" s="142"/>
      <c r="AE490" s="142"/>
      <c r="AF490" s="142"/>
      <c r="AG490" s="142"/>
      <c r="AH490" s="142"/>
      <c r="AI490" s="142"/>
      <c r="AJ490" s="142"/>
      <c r="AK490" s="142"/>
      <c r="AL490" s="142"/>
      <c r="AM490" s="142"/>
      <c r="AN490" s="142"/>
      <c r="AO490" s="142"/>
    </row>
    <row r="491" ht="15.75" customHeight="1">
      <c r="A491" s="142"/>
      <c r="B491" s="142"/>
      <c r="C491" s="142"/>
      <c r="D491" s="142"/>
      <c r="E491" s="131"/>
      <c r="F491" s="142"/>
      <c r="G491" s="142"/>
      <c r="H491" s="142"/>
      <c r="I491" s="142"/>
      <c r="J491" s="142"/>
      <c r="K491" s="132"/>
      <c r="L491" s="131"/>
      <c r="M491" s="131"/>
      <c r="N491" s="142"/>
      <c r="O491" s="142"/>
      <c r="P491" s="142"/>
      <c r="Q491" s="142"/>
      <c r="R491" s="142"/>
      <c r="S491" s="142"/>
      <c r="T491" s="131"/>
      <c r="U491" s="131"/>
      <c r="V491" s="131"/>
      <c r="W491" s="131"/>
      <c r="X491" s="131"/>
      <c r="Y491" s="131"/>
      <c r="Z491" s="142"/>
      <c r="AA491" s="142"/>
      <c r="AB491" s="142"/>
      <c r="AC491" s="142"/>
      <c r="AD491" s="142"/>
      <c r="AE491" s="142"/>
      <c r="AF491" s="142"/>
      <c r="AG491" s="142"/>
      <c r="AH491" s="142"/>
      <c r="AI491" s="142"/>
      <c r="AJ491" s="142"/>
      <c r="AK491" s="142"/>
      <c r="AL491" s="142"/>
      <c r="AM491" s="142"/>
      <c r="AN491" s="142"/>
      <c r="AO491" s="142"/>
    </row>
    <row r="492" ht="15.75" customHeight="1">
      <c r="A492" s="142"/>
      <c r="B492" s="142"/>
      <c r="C492" s="142"/>
      <c r="D492" s="142"/>
      <c r="E492" s="131"/>
      <c r="F492" s="142"/>
      <c r="G492" s="142"/>
      <c r="H492" s="142"/>
      <c r="I492" s="142"/>
      <c r="J492" s="142"/>
      <c r="K492" s="132"/>
      <c r="L492" s="131"/>
      <c r="M492" s="131"/>
      <c r="N492" s="142"/>
      <c r="O492" s="142"/>
      <c r="P492" s="142"/>
      <c r="Q492" s="142"/>
      <c r="R492" s="142"/>
      <c r="S492" s="142"/>
      <c r="T492" s="131"/>
      <c r="U492" s="131"/>
      <c r="V492" s="131"/>
      <c r="W492" s="131"/>
      <c r="X492" s="131"/>
      <c r="Y492" s="131"/>
      <c r="Z492" s="142"/>
      <c r="AA492" s="142"/>
      <c r="AB492" s="142"/>
      <c r="AC492" s="142"/>
      <c r="AD492" s="142"/>
      <c r="AE492" s="142"/>
      <c r="AF492" s="142"/>
      <c r="AG492" s="142"/>
      <c r="AH492" s="142"/>
      <c r="AI492" s="142"/>
      <c r="AJ492" s="142"/>
      <c r="AK492" s="142"/>
      <c r="AL492" s="142"/>
      <c r="AM492" s="142"/>
      <c r="AN492" s="142"/>
      <c r="AO492" s="142"/>
    </row>
    <row r="493" ht="15.75" customHeight="1">
      <c r="A493" s="142"/>
      <c r="B493" s="142"/>
      <c r="C493" s="142"/>
      <c r="D493" s="142"/>
      <c r="E493" s="131"/>
      <c r="F493" s="142"/>
      <c r="G493" s="142"/>
      <c r="H493" s="142"/>
      <c r="I493" s="142"/>
      <c r="J493" s="142"/>
      <c r="K493" s="132"/>
      <c r="L493" s="131"/>
      <c r="M493" s="131"/>
      <c r="N493" s="142"/>
      <c r="O493" s="142"/>
      <c r="P493" s="142"/>
      <c r="Q493" s="142"/>
      <c r="R493" s="142"/>
      <c r="S493" s="142"/>
      <c r="T493" s="131"/>
      <c r="U493" s="131"/>
      <c r="V493" s="131"/>
      <c r="W493" s="131"/>
      <c r="X493" s="131"/>
      <c r="Y493" s="131"/>
      <c r="Z493" s="142"/>
      <c r="AA493" s="142"/>
      <c r="AB493" s="142"/>
      <c r="AC493" s="142"/>
      <c r="AD493" s="142"/>
      <c r="AE493" s="142"/>
      <c r="AF493" s="142"/>
      <c r="AG493" s="142"/>
      <c r="AH493" s="142"/>
      <c r="AI493" s="142"/>
      <c r="AJ493" s="142"/>
      <c r="AK493" s="142"/>
      <c r="AL493" s="142"/>
      <c r="AM493" s="142"/>
      <c r="AN493" s="142"/>
      <c r="AO493" s="142"/>
    </row>
    <row r="494" ht="15.75" customHeight="1">
      <c r="A494" s="142"/>
      <c r="B494" s="142"/>
      <c r="C494" s="142"/>
      <c r="D494" s="142"/>
      <c r="E494" s="131"/>
      <c r="F494" s="142"/>
      <c r="G494" s="142"/>
      <c r="H494" s="142"/>
      <c r="I494" s="142"/>
      <c r="J494" s="142"/>
      <c r="K494" s="132"/>
      <c r="L494" s="131"/>
      <c r="M494" s="131"/>
      <c r="N494" s="142"/>
      <c r="O494" s="142"/>
      <c r="P494" s="142"/>
      <c r="Q494" s="142"/>
      <c r="R494" s="142"/>
      <c r="S494" s="142"/>
      <c r="T494" s="131"/>
      <c r="U494" s="131"/>
      <c r="V494" s="131"/>
      <c r="W494" s="131"/>
      <c r="X494" s="131"/>
      <c r="Y494" s="131"/>
      <c r="Z494" s="142"/>
      <c r="AA494" s="142"/>
      <c r="AB494" s="142"/>
      <c r="AC494" s="142"/>
      <c r="AD494" s="142"/>
      <c r="AE494" s="142"/>
      <c r="AF494" s="142"/>
      <c r="AG494" s="142"/>
      <c r="AH494" s="142"/>
      <c r="AI494" s="142"/>
      <c r="AJ494" s="142"/>
      <c r="AK494" s="142"/>
      <c r="AL494" s="142"/>
      <c r="AM494" s="142"/>
      <c r="AN494" s="142"/>
      <c r="AO494" s="142"/>
    </row>
    <row r="495" ht="15.75" customHeight="1">
      <c r="A495" s="142"/>
      <c r="B495" s="142"/>
      <c r="C495" s="142"/>
      <c r="D495" s="142"/>
      <c r="E495" s="131"/>
      <c r="F495" s="142"/>
      <c r="G495" s="142"/>
      <c r="H495" s="142"/>
      <c r="I495" s="142"/>
      <c r="J495" s="142"/>
      <c r="K495" s="132"/>
      <c r="L495" s="131"/>
      <c r="M495" s="131"/>
      <c r="N495" s="142"/>
      <c r="O495" s="142"/>
      <c r="P495" s="142"/>
      <c r="Q495" s="142"/>
      <c r="R495" s="142"/>
      <c r="S495" s="142"/>
      <c r="T495" s="131"/>
      <c r="U495" s="131"/>
      <c r="V495" s="131"/>
      <c r="W495" s="131"/>
      <c r="X495" s="131"/>
      <c r="Y495" s="131"/>
      <c r="Z495" s="142"/>
      <c r="AA495" s="142"/>
      <c r="AB495" s="142"/>
      <c r="AC495" s="142"/>
      <c r="AD495" s="142"/>
      <c r="AE495" s="142"/>
      <c r="AF495" s="142"/>
      <c r="AG495" s="142"/>
      <c r="AH495" s="142"/>
      <c r="AI495" s="142"/>
      <c r="AJ495" s="142"/>
      <c r="AK495" s="142"/>
      <c r="AL495" s="142"/>
      <c r="AM495" s="142"/>
      <c r="AN495" s="142"/>
      <c r="AO495" s="142"/>
    </row>
    <row r="496" ht="15.75" customHeight="1">
      <c r="A496" s="142"/>
      <c r="B496" s="142"/>
      <c r="C496" s="142"/>
      <c r="D496" s="142"/>
      <c r="E496" s="131"/>
      <c r="F496" s="142"/>
      <c r="G496" s="142"/>
      <c r="H496" s="142"/>
      <c r="I496" s="142"/>
      <c r="J496" s="142"/>
      <c r="K496" s="132"/>
      <c r="L496" s="131"/>
      <c r="M496" s="131"/>
      <c r="N496" s="142"/>
      <c r="O496" s="142"/>
      <c r="P496" s="142"/>
      <c r="Q496" s="142"/>
      <c r="R496" s="142"/>
      <c r="S496" s="142"/>
      <c r="T496" s="131"/>
      <c r="U496" s="131"/>
      <c r="V496" s="131"/>
      <c r="W496" s="131"/>
      <c r="X496" s="131"/>
      <c r="Y496" s="131"/>
      <c r="Z496" s="142"/>
      <c r="AA496" s="142"/>
      <c r="AB496" s="142"/>
      <c r="AC496" s="142"/>
      <c r="AD496" s="142"/>
      <c r="AE496" s="142"/>
      <c r="AF496" s="142"/>
      <c r="AG496" s="142"/>
      <c r="AH496" s="142"/>
      <c r="AI496" s="142"/>
      <c r="AJ496" s="142"/>
      <c r="AK496" s="142"/>
      <c r="AL496" s="142"/>
      <c r="AM496" s="142"/>
      <c r="AN496" s="142"/>
      <c r="AO496" s="142"/>
    </row>
    <row r="497" ht="15.75" customHeight="1">
      <c r="A497" s="142"/>
      <c r="B497" s="142"/>
      <c r="C497" s="142"/>
      <c r="D497" s="142"/>
      <c r="E497" s="131"/>
      <c r="F497" s="142"/>
      <c r="G497" s="142"/>
      <c r="H497" s="142"/>
      <c r="I497" s="142"/>
      <c r="J497" s="142"/>
      <c r="K497" s="132"/>
      <c r="L497" s="131"/>
      <c r="M497" s="131"/>
      <c r="N497" s="142"/>
      <c r="O497" s="142"/>
      <c r="P497" s="142"/>
      <c r="Q497" s="142"/>
      <c r="R497" s="142"/>
      <c r="S497" s="142"/>
      <c r="T497" s="131"/>
      <c r="U497" s="131"/>
      <c r="V497" s="131"/>
      <c r="W497" s="131"/>
      <c r="X497" s="131"/>
      <c r="Y497" s="131"/>
      <c r="Z497" s="142"/>
      <c r="AA497" s="142"/>
      <c r="AB497" s="142"/>
      <c r="AC497" s="142"/>
      <c r="AD497" s="142"/>
      <c r="AE497" s="142"/>
      <c r="AF497" s="142"/>
      <c r="AG497" s="142"/>
      <c r="AH497" s="142"/>
      <c r="AI497" s="142"/>
      <c r="AJ497" s="142"/>
      <c r="AK497" s="142"/>
      <c r="AL497" s="142"/>
      <c r="AM497" s="142"/>
      <c r="AN497" s="142"/>
      <c r="AO497" s="142"/>
    </row>
    <row r="498" ht="15.75" customHeight="1">
      <c r="A498" s="142"/>
      <c r="B498" s="142"/>
      <c r="C498" s="142"/>
      <c r="D498" s="142"/>
      <c r="E498" s="131"/>
      <c r="F498" s="142"/>
      <c r="G498" s="142"/>
      <c r="H498" s="142"/>
      <c r="I498" s="142"/>
      <c r="J498" s="142"/>
      <c r="K498" s="132"/>
      <c r="L498" s="131"/>
      <c r="M498" s="131"/>
      <c r="N498" s="142"/>
      <c r="O498" s="142"/>
      <c r="P498" s="142"/>
      <c r="Q498" s="142"/>
      <c r="R498" s="142"/>
      <c r="S498" s="142"/>
      <c r="T498" s="131"/>
      <c r="U498" s="131"/>
      <c r="V498" s="131"/>
      <c r="W498" s="131"/>
      <c r="X498" s="131"/>
      <c r="Y498" s="131"/>
      <c r="Z498" s="142"/>
      <c r="AA498" s="142"/>
      <c r="AB498" s="142"/>
      <c r="AC498" s="142"/>
      <c r="AD498" s="142"/>
      <c r="AE498" s="142"/>
      <c r="AF498" s="142"/>
      <c r="AG498" s="142"/>
      <c r="AH498" s="142"/>
      <c r="AI498" s="142"/>
      <c r="AJ498" s="142"/>
      <c r="AK498" s="142"/>
      <c r="AL498" s="142"/>
      <c r="AM498" s="142"/>
      <c r="AN498" s="142"/>
      <c r="AO498" s="142"/>
    </row>
    <row r="499" ht="15.75" customHeight="1">
      <c r="A499" s="142"/>
      <c r="B499" s="142"/>
      <c r="C499" s="142"/>
      <c r="D499" s="142"/>
      <c r="E499" s="131"/>
      <c r="F499" s="142"/>
      <c r="G499" s="142"/>
      <c r="H499" s="142"/>
      <c r="I499" s="142"/>
      <c r="J499" s="142"/>
      <c r="K499" s="132"/>
      <c r="L499" s="131"/>
      <c r="M499" s="131"/>
      <c r="N499" s="142"/>
      <c r="O499" s="142"/>
      <c r="P499" s="142"/>
      <c r="Q499" s="142"/>
      <c r="R499" s="142"/>
      <c r="S499" s="142"/>
      <c r="T499" s="131"/>
      <c r="U499" s="131"/>
      <c r="V499" s="131"/>
      <c r="W499" s="131"/>
      <c r="X499" s="131"/>
      <c r="Y499" s="131"/>
      <c r="Z499" s="142"/>
      <c r="AA499" s="142"/>
      <c r="AB499" s="142"/>
      <c r="AC499" s="142"/>
      <c r="AD499" s="142"/>
      <c r="AE499" s="142"/>
      <c r="AF499" s="142"/>
      <c r="AG499" s="142"/>
      <c r="AH499" s="142"/>
      <c r="AI499" s="142"/>
      <c r="AJ499" s="142"/>
      <c r="AK499" s="142"/>
      <c r="AL499" s="142"/>
      <c r="AM499" s="142"/>
      <c r="AN499" s="142"/>
      <c r="AO499" s="142"/>
    </row>
    <row r="500" ht="15.75" customHeight="1">
      <c r="A500" s="142"/>
      <c r="B500" s="142"/>
      <c r="C500" s="142"/>
      <c r="D500" s="142"/>
      <c r="E500" s="131"/>
      <c r="F500" s="142"/>
      <c r="G500" s="142"/>
      <c r="H500" s="142"/>
      <c r="I500" s="142"/>
      <c r="J500" s="142"/>
      <c r="K500" s="132"/>
      <c r="L500" s="131"/>
      <c r="M500" s="131"/>
      <c r="N500" s="142"/>
      <c r="O500" s="142"/>
      <c r="P500" s="142"/>
      <c r="Q500" s="142"/>
      <c r="R500" s="142"/>
      <c r="S500" s="142"/>
      <c r="T500" s="131"/>
      <c r="U500" s="131"/>
      <c r="V500" s="131"/>
      <c r="W500" s="131"/>
      <c r="X500" s="131"/>
      <c r="Y500" s="131"/>
      <c r="Z500" s="142"/>
      <c r="AA500" s="142"/>
      <c r="AB500" s="142"/>
      <c r="AC500" s="142"/>
      <c r="AD500" s="142"/>
      <c r="AE500" s="142"/>
      <c r="AF500" s="142"/>
      <c r="AG500" s="142"/>
      <c r="AH500" s="142"/>
      <c r="AI500" s="142"/>
      <c r="AJ500" s="142"/>
      <c r="AK500" s="142"/>
      <c r="AL500" s="142"/>
      <c r="AM500" s="142"/>
      <c r="AN500" s="142"/>
      <c r="AO500" s="142"/>
    </row>
    <row r="501" ht="15.75" customHeight="1">
      <c r="A501" s="142"/>
      <c r="B501" s="142"/>
      <c r="C501" s="142"/>
      <c r="D501" s="142"/>
      <c r="E501" s="131"/>
      <c r="F501" s="142"/>
      <c r="G501" s="142"/>
      <c r="H501" s="142"/>
      <c r="I501" s="142"/>
      <c r="J501" s="142"/>
      <c r="K501" s="132"/>
      <c r="L501" s="131"/>
      <c r="M501" s="131"/>
      <c r="N501" s="142"/>
      <c r="O501" s="142"/>
      <c r="P501" s="142"/>
      <c r="Q501" s="142"/>
      <c r="R501" s="142"/>
      <c r="S501" s="142"/>
      <c r="T501" s="131"/>
      <c r="U501" s="131"/>
      <c r="V501" s="131"/>
      <c r="W501" s="131"/>
      <c r="X501" s="131"/>
      <c r="Y501" s="131"/>
      <c r="Z501" s="142"/>
      <c r="AA501" s="142"/>
      <c r="AB501" s="142"/>
      <c r="AC501" s="142"/>
      <c r="AD501" s="142"/>
      <c r="AE501" s="142"/>
      <c r="AF501" s="142"/>
      <c r="AG501" s="142"/>
      <c r="AH501" s="142"/>
      <c r="AI501" s="142"/>
      <c r="AJ501" s="142"/>
      <c r="AK501" s="142"/>
      <c r="AL501" s="142"/>
      <c r="AM501" s="142"/>
      <c r="AN501" s="142"/>
      <c r="AO501" s="142"/>
    </row>
    <row r="502" ht="15.75" customHeight="1">
      <c r="A502" s="142"/>
      <c r="B502" s="142"/>
      <c r="C502" s="142"/>
      <c r="D502" s="142"/>
      <c r="E502" s="131"/>
      <c r="F502" s="142"/>
      <c r="G502" s="142"/>
      <c r="H502" s="142"/>
      <c r="I502" s="142"/>
      <c r="J502" s="142"/>
      <c r="K502" s="132"/>
      <c r="L502" s="131"/>
      <c r="M502" s="131"/>
      <c r="N502" s="142"/>
      <c r="O502" s="142"/>
      <c r="P502" s="142"/>
      <c r="Q502" s="142"/>
      <c r="R502" s="142"/>
      <c r="S502" s="142"/>
      <c r="T502" s="131"/>
      <c r="U502" s="131"/>
      <c r="V502" s="131"/>
      <c r="W502" s="131"/>
      <c r="X502" s="131"/>
      <c r="Y502" s="131"/>
      <c r="Z502" s="142"/>
      <c r="AA502" s="142"/>
      <c r="AB502" s="142"/>
      <c r="AC502" s="142"/>
      <c r="AD502" s="142"/>
      <c r="AE502" s="142"/>
      <c r="AF502" s="142"/>
      <c r="AG502" s="142"/>
      <c r="AH502" s="142"/>
      <c r="AI502" s="142"/>
      <c r="AJ502" s="142"/>
      <c r="AK502" s="142"/>
      <c r="AL502" s="142"/>
      <c r="AM502" s="142"/>
      <c r="AN502" s="142"/>
      <c r="AO502" s="142"/>
    </row>
    <row r="503" ht="15.75" customHeight="1">
      <c r="A503" s="142"/>
      <c r="B503" s="142"/>
      <c r="C503" s="142"/>
      <c r="D503" s="142"/>
      <c r="E503" s="131"/>
      <c r="F503" s="142"/>
      <c r="G503" s="142"/>
      <c r="H503" s="142"/>
      <c r="I503" s="142"/>
      <c r="J503" s="142"/>
      <c r="K503" s="132"/>
      <c r="L503" s="131"/>
      <c r="M503" s="131"/>
      <c r="N503" s="142"/>
      <c r="O503" s="142"/>
      <c r="P503" s="142"/>
      <c r="Q503" s="142"/>
      <c r="R503" s="142"/>
      <c r="S503" s="142"/>
      <c r="T503" s="131"/>
      <c r="U503" s="131"/>
      <c r="V503" s="131"/>
      <c r="W503" s="131"/>
      <c r="X503" s="131"/>
      <c r="Y503" s="131"/>
      <c r="Z503" s="142"/>
      <c r="AA503" s="142"/>
      <c r="AB503" s="142"/>
      <c r="AC503" s="142"/>
      <c r="AD503" s="142"/>
      <c r="AE503" s="142"/>
      <c r="AF503" s="142"/>
      <c r="AG503" s="142"/>
      <c r="AH503" s="142"/>
      <c r="AI503" s="142"/>
      <c r="AJ503" s="142"/>
      <c r="AK503" s="142"/>
      <c r="AL503" s="142"/>
      <c r="AM503" s="142"/>
      <c r="AN503" s="142"/>
      <c r="AO503" s="142"/>
    </row>
    <row r="504" ht="15.75" customHeight="1">
      <c r="A504" s="142"/>
      <c r="B504" s="142"/>
      <c r="C504" s="142"/>
      <c r="D504" s="142"/>
      <c r="E504" s="131"/>
      <c r="F504" s="142"/>
      <c r="G504" s="142"/>
      <c r="H504" s="142"/>
      <c r="I504" s="142"/>
      <c r="J504" s="142"/>
      <c r="K504" s="132"/>
      <c r="L504" s="131"/>
      <c r="M504" s="131"/>
      <c r="N504" s="142"/>
      <c r="O504" s="142"/>
      <c r="P504" s="142"/>
      <c r="Q504" s="142"/>
      <c r="R504" s="142"/>
      <c r="S504" s="142"/>
      <c r="T504" s="131"/>
      <c r="U504" s="131"/>
      <c r="V504" s="131"/>
      <c r="W504" s="131"/>
      <c r="X504" s="131"/>
      <c r="Y504" s="131"/>
      <c r="Z504" s="142"/>
      <c r="AA504" s="142"/>
      <c r="AB504" s="142"/>
      <c r="AC504" s="142"/>
      <c r="AD504" s="142"/>
      <c r="AE504" s="142"/>
      <c r="AF504" s="142"/>
      <c r="AG504" s="142"/>
      <c r="AH504" s="142"/>
      <c r="AI504" s="142"/>
      <c r="AJ504" s="142"/>
      <c r="AK504" s="142"/>
      <c r="AL504" s="142"/>
      <c r="AM504" s="142"/>
      <c r="AN504" s="142"/>
      <c r="AO504" s="142"/>
    </row>
    <row r="505" ht="15.75" customHeight="1">
      <c r="A505" s="142"/>
      <c r="B505" s="142"/>
      <c r="C505" s="142"/>
      <c r="D505" s="142"/>
      <c r="E505" s="131"/>
      <c r="F505" s="142"/>
      <c r="G505" s="142"/>
      <c r="H505" s="142"/>
      <c r="I505" s="142"/>
      <c r="J505" s="142"/>
      <c r="K505" s="132"/>
      <c r="L505" s="131"/>
      <c r="M505" s="131"/>
      <c r="N505" s="142"/>
      <c r="O505" s="142"/>
      <c r="P505" s="142"/>
      <c r="Q505" s="142"/>
      <c r="R505" s="142"/>
      <c r="S505" s="142"/>
      <c r="T505" s="131"/>
      <c r="U505" s="131"/>
      <c r="V505" s="131"/>
      <c r="W505" s="131"/>
      <c r="X505" s="131"/>
      <c r="Y505" s="131"/>
      <c r="Z505" s="142"/>
      <c r="AA505" s="142"/>
      <c r="AB505" s="142"/>
      <c r="AC505" s="142"/>
      <c r="AD505" s="142"/>
      <c r="AE505" s="142"/>
      <c r="AF505" s="142"/>
      <c r="AG505" s="142"/>
      <c r="AH505" s="142"/>
      <c r="AI505" s="142"/>
      <c r="AJ505" s="142"/>
      <c r="AK505" s="142"/>
      <c r="AL505" s="142"/>
      <c r="AM505" s="142"/>
      <c r="AN505" s="142"/>
      <c r="AO505" s="142"/>
    </row>
    <row r="506" ht="15.75" customHeight="1">
      <c r="A506" s="142"/>
      <c r="B506" s="142"/>
      <c r="C506" s="142"/>
      <c r="D506" s="142"/>
      <c r="E506" s="131"/>
      <c r="F506" s="142"/>
      <c r="G506" s="142"/>
      <c r="H506" s="142"/>
      <c r="I506" s="142"/>
      <c r="J506" s="142"/>
      <c r="K506" s="132"/>
      <c r="L506" s="131"/>
      <c r="M506" s="131"/>
      <c r="N506" s="142"/>
      <c r="O506" s="142"/>
      <c r="P506" s="142"/>
      <c r="Q506" s="142"/>
      <c r="R506" s="142"/>
      <c r="S506" s="142"/>
      <c r="T506" s="131"/>
      <c r="U506" s="131"/>
      <c r="V506" s="131"/>
      <c r="W506" s="131"/>
      <c r="X506" s="131"/>
      <c r="Y506" s="131"/>
      <c r="Z506" s="142"/>
      <c r="AA506" s="142"/>
      <c r="AB506" s="142"/>
      <c r="AC506" s="142"/>
      <c r="AD506" s="142"/>
      <c r="AE506" s="142"/>
      <c r="AF506" s="142"/>
      <c r="AG506" s="142"/>
      <c r="AH506" s="142"/>
      <c r="AI506" s="142"/>
      <c r="AJ506" s="142"/>
      <c r="AK506" s="142"/>
      <c r="AL506" s="142"/>
      <c r="AM506" s="142"/>
      <c r="AN506" s="142"/>
      <c r="AO506" s="142"/>
    </row>
    <row r="507" ht="15.75" customHeight="1">
      <c r="A507" s="142"/>
      <c r="B507" s="142"/>
      <c r="C507" s="142"/>
      <c r="D507" s="142"/>
      <c r="E507" s="131"/>
      <c r="F507" s="142"/>
      <c r="G507" s="142"/>
      <c r="H507" s="142"/>
      <c r="I507" s="142"/>
      <c r="J507" s="142"/>
      <c r="K507" s="132"/>
      <c r="L507" s="131"/>
      <c r="M507" s="131"/>
      <c r="N507" s="142"/>
      <c r="O507" s="142"/>
      <c r="P507" s="142"/>
      <c r="Q507" s="142"/>
      <c r="R507" s="142"/>
      <c r="S507" s="142"/>
      <c r="T507" s="131"/>
      <c r="U507" s="131"/>
      <c r="V507" s="131"/>
      <c r="W507" s="131"/>
      <c r="X507" s="131"/>
      <c r="Y507" s="131"/>
      <c r="Z507" s="142"/>
      <c r="AA507" s="142"/>
      <c r="AB507" s="142"/>
      <c r="AC507" s="142"/>
      <c r="AD507" s="142"/>
      <c r="AE507" s="142"/>
      <c r="AF507" s="142"/>
      <c r="AG507" s="142"/>
      <c r="AH507" s="142"/>
      <c r="AI507" s="142"/>
      <c r="AJ507" s="142"/>
      <c r="AK507" s="142"/>
      <c r="AL507" s="142"/>
      <c r="AM507" s="142"/>
      <c r="AN507" s="142"/>
      <c r="AO507" s="142"/>
    </row>
    <row r="508" ht="15.75" customHeight="1">
      <c r="A508" s="142"/>
      <c r="B508" s="142"/>
      <c r="C508" s="142"/>
      <c r="D508" s="142"/>
      <c r="E508" s="131"/>
      <c r="F508" s="142"/>
      <c r="G508" s="142"/>
      <c r="H508" s="142"/>
      <c r="I508" s="142"/>
      <c r="J508" s="142"/>
      <c r="K508" s="132"/>
      <c r="L508" s="131"/>
      <c r="M508" s="131"/>
      <c r="N508" s="142"/>
      <c r="O508" s="142"/>
      <c r="P508" s="142"/>
      <c r="Q508" s="142"/>
      <c r="R508" s="142"/>
      <c r="S508" s="142"/>
      <c r="T508" s="131"/>
      <c r="U508" s="131"/>
      <c r="V508" s="131"/>
      <c r="W508" s="131"/>
      <c r="X508" s="131"/>
      <c r="Y508" s="131"/>
      <c r="Z508" s="142"/>
      <c r="AA508" s="142"/>
      <c r="AB508" s="142"/>
      <c r="AC508" s="142"/>
      <c r="AD508" s="142"/>
      <c r="AE508" s="142"/>
      <c r="AF508" s="142"/>
      <c r="AG508" s="142"/>
      <c r="AH508" s="142"/>
      <c r="AI508" s="142"/>
      <c r="AJ508" s="142"/>
      <c r="AK508" s="142"/>
      <c r="AL508" s="142"/>
      <c r="AM508" s="142"/>
      <c r="AN508" s="142"/>
      <c r="AO508" s="142"/>
    </row>
    <row r="509" ht="15.75" customHeight="1">
      <c r="A509" s="142"/>
      <c r="B509" s="142"/>
      <c r="C509" s="142"/>
      <c r="D509" s="142"/>
      <c r="E509" s="131"/>
      <c r="F509" s="142"/>
      <c r="G509" s="142"/>
      <c r="H509" s="142"/>
      <c r="I509" s="142"/>
      <c r="J509" s="142"/>
      <c r="K509" s="132"/>
      <c r="L509" s="131"/>
      <c r="M509" s="131"/>
      <c r="N509" s="142"/>
      <c r="O509" s="142"/>
      <c r="P509" s="142"/>
      <c r="Q509" s="142"/>
      <c r="R509" s="142"/>
      <c r="S509" s="142"/>
      <c r="T509" s="131"/>
      <c r="U509" s="131"/>
      <c r="V509" s="131"/>
      <c r="W509" s="131"/>
      <c r="X509" s="131"/>
      <c r="Y509" s="131"/>
      <c r="Z509" s="142"/>
      <c r="AA509" s="142"/>
      <c r="AB509" s="142"/>
      <c r="AC509" s="142"/>
      <c r="AD509" s="142"/>
      <c r="AE509" s="142"/>
      <c r="AF509" s="142"/>
      <c r="AG509" s="142"/>
      <c r="AH509" s="142"/>
      <c r="AI509" s="142"/>
      <c r="AJ509" s="142"/>
      <c r="AK509" s="142"/>
      <c r="AL509" s="142"/>
      <c r="AM509" s="142"/>
      <c r="AN509" s="142"/>
      <c r="AO509" s="142"/>
    </row>
    <row r="510" ht="15.75" customHeight="1">
      <c r="A510" s="142"/>
      <c r="B510" s="142"/>
      <c r="C510" s="142"/>
      <c r="D510" s="142"/>
      <c r="E510" s="131"/>
      <c r="F510" s="142"/>
      <c r="G510" s="142"/>
      <c r="H510" s="142"/>
      <c r="I510" s="142"/>
      <c r="J510" s="142"/>
      <c r="K510" s="132"/>
      <c r="L510" s="131"/>
      <c r="M510" s="131"/>
      <c r="N510" s="142"/>
      <c r="O510" s="142"/>
      <c r="P510" s="142"/>
      <c r="Q510" s="142"/>
      <c r="R510" s="142"/>
      <c r="S510" s="142"/>
      <c r="T510" s="131"/>
      <c r="U510" s="131"/>
      <c r="V510" s="131"/>
      <c r="W510" s="131"/>
      <c r="X510" s="131"/>
      <c r="Y510" s="131"/>
      <c r="Z510" s="142"/>
      <c r="AA510" s="142"/>
      <c r="AB510" s="142"/>
      <c r="AC510" s="142"/>
      <c r="AD510" s="142"/>
      <c r="AE510" s="142"/>
      <c r="AF510" s="142"/>
      <c r="AG510" s="142"/>
      <c r="AH510" s="142"/>
      <c r="AI510" s="142"/>
      <c r="AJ510" s="142"/>
      <c r="AK510" s="142"/>
      <c r="AL510" s="142"/>
      <c r="AM510" s="142"/>
      <c r="AN510" s="142"/>
      <c r="AO510" s="142"/>
    </row>
    <row r="511" ht="15.75" customHeight="1">
      <c r="A511" s="142"/>
      <c r="B511" s="142"/>
      <c r="C511" s="142"/>
      <c r="D511" s="142"/>
      <c r="E511" s="131"/>
      <c r="F511" s="142"/>
      <c r="G511" s="142"/>
      <c r="H511" s="142"/>
      <c r="I511" s="142"/>
      <c r="J511" s="142"/>
      <c r="K511" s="132"/>
      <c r="L511" s="131"/>
      <c r="M511" s="131"/>
      <c r="N511" s="142"/>
      <c r="O511" s="142"/>
      <c r="P511" s="142"/>
      <c r="Q511" s="142"/>
      <c r="R511" s="142"/>
      <c r="S511" s="142"/>
      <c r="T511" s="131"/>
      <c r="U511" s="131"/>
      <c r="V511" s="131"/>
      <c r="W511" s="131"/>
      <c r="X511" s="131"/>
      <c r="Y511" s="131"/>
      <c r="Z511" s="142"/>
      <c r="AA511" s="142"/>
      <c r="AB511" s="142"/>
      <c r="AC511" s="142"/>
      <c r="AD511" s="142"/>
      <c r="AE511" s="142"/>
      <c r="AF511" s="142"/>
      <c r="AG511" s="142"/>
      <c r="AH511" s="142"/>
      <c r="AI511" s="142"/>
      <c r="AJ511" s="142"/>
      <c r="AK511" s="142"/>
      <c r="AL511" s="142"/>
      <c r="AM511" s="142"/>
      <c r="AN511" s="142"/>
      <c r="AO511" s="142"/>
    </row>
    <row r="512" ht="15.75" customHeight="1">
      <c r="A512" s="142"/>
      <c r="B512" s="142"/>
      <c r="C512" s="142"/>
      <c r="D512" s="142"/>
      <c r="E512" s="131"/>
      <c r="F512" s="142"/>
      <c r="G512" s="142"/>
      <c r="H512" s="142"/>
      <c r="I512" s="142"/>
      <c r="J512" s="142"/>
      <c r="K512" s="132"/>
      <c r="L512" s="131"/>
      <c r="M512" s="131"/>
      <c r="N512" s="142"/>
      <c r="O512" s="142"/>
      <c r="P512" s="142"/>
      <c r="Q512" s="142"/>
      <c r="R512" s="142"/>
      <c r="S512" s="142"/>
      <c r="T512" s="131"/>
      <c r="U512" s="131"/>
      <c r="V512" s="131"/>
      <c r="W512" s="131"/>
      <c r="X512" s="131"/>
      <c r="Y512" s="131"/>
      <c r="Z512" s="142"/>
      <c r="AA512" s="142"/>
      <c r="AB512" s="142"/>
      <c r="AC512" s="142"/>
      <c r="AD512" s="142"/>
      <c r="AE512" s="142"/>
      <c r="AF512" s="142"/>
      <c r="AG512" s="142"/>
      <c r="AH512" s="142"/>
      <c r="AI512" s="142"/>
      <c r="AJ512" s="142"/>
      <c r="AK512" s="142"/>
      <c r="AL512" s="142"/>
      <c r="AM512" s="142"/>
      <c r="AN512" s="142"/>
      <c r="AO512" s="142"/>
    </row>
    <row r="513" ht="15.75" customHeight="1">
      <c r="A513" s="142"/>
      <c r="B513" s="142"/>
      <c r="C513" s="142"/>
      <c r="D513" s="142"/>
      <c r="E513" s="131"/>
      <c r="F513" s="142"/>
      <c r="G513" s="142"/>
      <c r="H513" s="142"/>
      <c r="I513" s="142"/>
      <c r="J513" s="142"/>
      <c r="K513" s="132"/>
      <c r="L513" s="131"/>
      <c r="M513" s="131"/>
      <c r="N513" s="142"/>
      <c r="O513" s="142"/>
      <c r="P513" s="142"/>
      <c r="Q513" s="142"/>
      <c r="R513" s="142"/>
      <c r="S513" s="142"/>
      <c r="T513" s="131"/>
      <c r="U513" s="131"/>
      <c r="V513" s="131"/>
      <c r="W513" s="131"/>
      <c r="X513" s="131"/>
      <c r="Y513" s="131"/>
      <c r="Z513" s="142"/>
      <c r="AA513" s="142"/>
      <c r="AB513" s="142"/>
      <c r="AC513" s="142"/>
      <c r="AD513" s="142"/>
      <c r="AE513" s="142"/>
      <c r="AF513" s="142"/>
      <c r="AG513" s="142"/>
      <c r="AH513" s="142"/>
      <c r="AI513" s="142"/>
      <c r="AJ513" s="142"/>
      <c r="AK513" s="142"/>
      <c r="AL513" s="142"/>
      <c r="AM513" s="142"/>
      <c r="AN513" s="142"/>
      <c r="AO513" s="142"/>
    </row>
    <row r="514" ht="15.75" customHeight="1">
      <c r="A514" s="142"/>
      <c r="B514" s="142"/>
      <c r="C514" s="142"/>
      <c r="D514" s="142"/>
      <c r="E514" s="131"/>
      <c r="F514" s="142"/>
      <c r="G514" s="142"/>
      <c r="H514" s="142"/>
      <c r="I514" s="142"/>
      <c r="J514" s="142"/>
      <c r="K514" s="132"/>
      <c r="L514" s="131"/>
      <c r="M514" s="131"/>
      <c r="N514" s="142"/>
      <c r="O514" s="142"/>
      <c r="P514" s="142"/>
      <c r="Q514" s="142"/>
      <c r="R514" s="142"/>
      <c r="S514" s="142"/>
      <c r="T514" s="131"/>
      <c r="U514" s="131"/>
      <c r="V514" s="131"/>
      <c r="W514" s="131"/>
      <c r="X514" s="131"/>
      <c r="Y514" s="131"/>
      <c r="Z514" s="142"/>
      <c r="AA514" s="142"/>
      <c r="AB514" s="142"/>
      <c r="AC514" s="142"/>
      <c r="AD514" s="142"/>
      <c r="AE514" s="142"/>
      <c r="AF514" s="142"/>
      <c r="AG514" s="142"/>
      <c r="AH514" s="142"/>
      <c r="AI514" s="142"/>
      <c r="AJ514" s="142"/>
      <c r="AK514" s="142"/>
      <c r="AL514" s="142"/>
      <c r="AM514" s="142"/>
      <c r="AN514" s="142"/>
      <c r="AO514" s="142"/>
    </row>
    <row r="515" ht="15.75" customHeight="1">
      <c r="A515" s="142"/>
      <c r="B515" s="142"/>
      <c r="C515" s="142"/>
      <c r="D515" s="142"/>
      <c r="E515" s="131"/>
      <c r="F515" s="142"/>
      <c r="G515" s="142"/>
      <c r="H515" s="142"/>
      <c r="I515" s="142"/>
      <c r="J515" s="142"/>
      <c r="K515" s="132"/>
      <c r="L515" s="131"/>
      <c r="M515" s="131"/>
      <c r="N515" s="142"/>
      <c r="O515" s="142"/>
      <c r="P515" s="142"/>
      <c r="Q515" s="142"/>
      <c r="R515" s="142"/>
      <c r="S515" s="142"/>
      <c r="T515" s="131"/>
      <c r="U515" s="131"/>
      <c r="V515" s="131"/>
      <c r="W515" s="131"/>
      <c r="X515" s="131"/>
      <c r="Y515" s="131"/>
      <c r="Z515" s="142"/>
      <c r="AA515" s="142"/>
      <c r="AB515" s="142"/>
      <c r="AC515" s="142"/>
      <c r="AD515" s="142"/>
      <c r="AE515" s="142"/>
      <c r="AF515" s="142"/>
      <c r="AG515" s="142"/>
      <c r="AH515" s="142"/>
      <c r="AI515" s="142"/>
      <c r="AJ515" s="142"/>
      <c r="AK515" s="142"/>
      <c r="AL515" s="142"/>
      <c r="AM515" s="142"/>
      <c r="AN515" s="142"/>
      <c r="AO515" s="142"/>
    </row>
    <row r="516" ht="15.75" customHeight="1">
      <c r="A516" s="142"/>
      <c r="B516" s="142"/>
      <c r="C516" s="142"/>
      <c r="D516" s="142"/>
      <c r="E516" s="131"/>
      <c r="F516" s="142"/>
      <c r="G516" s="142"/>
      <c r="H516" s="142"/>
      <c r="I516" s="142"/>
      <c r="J516" s="142"/>
      <c r="K516" s="132"/>
      <c r="L516" s="131"/>
      <c r="M516" s="131"/>
      <c r="N516" s="142"/>
      <c r="O516" s="142"/>
      <c r="P516" s="142"/>
      <c r="Q516" s="142"/>
      <c r="R516" s="142"/>
      <c r="S516" s="142"/>
      <c r="T516" s="131"/>
      <c r="U516" s="131"/>
      <c r="V516" s="131"/>
      <c r="W516" s="131"/>
      <c r="X516" s="131"/>
      <c r="Y516" s="131"/>
      <c r="Z516" s="142"/>
      <c r="AA516" s="142"/>
      <c r="AB516" s="142"/>
      <c r="AC516" s="142"/>
      <c r="AD516" s="142"/>
      <c r="AE516" s="142"/>
      <c r="AF516" s="142"/>
      <c r="AG516" s="142"/>
      <c r="AH516" s="142"/>
      <c r="AI516" s="142"/>
      <c r="AJ516" s="142"/>
      <c r="AK516" s="142"/>
      <c r="AL516" s="142"/>
      <c r="AM516" s="142"/>
      <c r="AN516" s="142"/>
      <c r="AO516" s="142"/>
    </row>
    <row r="517" ht="15.75" customHeight="1">
      <c r="A517" s="142"/>
      <c r="B517" s="142"/>
      <c r="C517" s="142"/>
      <c r="D517" s="142"/>
      <c r="E517" s="131"/>
      <c r="F517" s="142"/>
      <c r="G517" s="142"/>
      <c r="H517" s="142"/>
      <c r="I517" s="142"/>
      <c r="J517" s="142"/>
      <c r="K517" s="132"/>
      <c r="L517" s="131"/>
      <c r="M517" s="131"/>
      <c r="N517" s="142"/>
      <c r="O517" s="142"/>
      <c r="P517" s="142"/>
      <c r="Q517" s="142"/>
      <c r="R517" s="142"/>
      <c r="S517" s="142"/>
      <c r="T517" s="131"/>
      <c r="U517" s="131"/>
      <c r="V517" s="131"/>
      <c r="W517" s="131"/>
      <c r="X517" s="131"/>
      <c r="Y517" s="131"/>
      <c r="Z517" s="142"/>
      <c r="AA517" s="142"/>
      <c r="AB517" s="142"/>
      <c r="AC517" s="142"/>
      <c r="AD517" s="142"/>
      <c r="AE517" s="142"/>
      <c r="AF517" s="142"/>
      <c r="AG517" s="142"/>
      <c r="AH517" s="142"/>
      <c r="AI517" s="142"/>
      <c r="AJ517" s="142"/>
      <c r="AK517" s="142"/>
      <c r="AL517" s="142"/>
      <c r="AM517" s="142"/>
      <c r="AN517" s="142"/>
      <c r="AO517" s="142"/>
    </row>
    <row r="518" ht="15.75" customHeight="1">
      <c r="A518" s="142"/>
      <c r="B518" s="142"/>
      <c r="C518" s="142"/>
      <c r="D518" s="142"/>
      <c r="E518" s="131"/>
      <c r="F518" s="142"/>
      <c r="G518" s="142"/>
      <c r="H518" s="142"/>
      <c r="I518" s="142"/>
      <c r="J518" s="142"/>
      <c r="K518" s="132"/>
      <c r="L518" s="131"/>
      <c r="M518" s="131"/>
      <c r="N518" s="142"/>
      <c r="O518" s="142"/>
      <c r="P518" s="142"/>
      <c r="Q518" s="142"/>
      <c r="R518" s="142"/>
      <c r="S518" s="142"/>
      <c r="T518" s="131"/>
      <c r="U518" s="131"/>
      <c r="V518" s="131"/>
      <c r="W518" s="131"/>
      <c r="X518" s="131"/>
      <c r="Y518" s="131"/>
      <c r="Z518" s="142"/>
      <c r="AA518" s="142"/>
      <c r="AB518" s="142"/>
      <c r="AC518" s="142"/>
      <c r="AD518" s="142"/>
      <c r="AE518" s="142"/>
      <c r="AF518" s="142"/>
      <c r="AG518" s="142"/>
      <c r="AH518" s="142"/>
      <c r="AI518" s="142"/>
      <c r="AJ518" s="142"/>
      <c r="AK518" s="142"/>
      <c r="AL518" s="142"/>
      <c r="AM518" s="142"/>
      <c r="AN518" s="142"/>
      <c r="AO518" s="142"/>
    </row>
    <row r="519" ht="15.75" customHeight="1">
      <c r="A519" s="142"/>
      <c r="B519" s="142"/>
      <c r="C519" s="142"/>
      <c r="D519" s="142"/>
      <c r="E519" s="131"/>
      <c r="F519" s="142"/>
      <c r="G519" s="142"/>
      <c r="H519" s="142"/>
      <c r="I519" s="142"/>
      <c r="J519" s="142"/>
      <c r="K519" s="132"/>
      <c r="L519" s="131"/>
      <c r="M519" s="131"/>
      <c r="N519" s="142"/>
      <c r="O519" s="142"/>
      <c r="P519" s="142"/>
      <c r="Q519" s="142"/>
      <c r="R519" s="142"/>
      <c r="S519" s="142"/>
      <c r="T519" s="131"/>
      <c r="U519" s="131"/>
      <c r="V519" s="131"/>
      <c r="W519" s="131"/>
      <c r="X519" s="131"/>
      <c r="Y519" s="131"/>
      <c r="Z519" s="142"/>
      <c r="AA519" s="142"/>
      <c r="AB519" s="142"/>
      <c r="AC519" s="142"/>
      <c r="AD519" s="142"/>
      <c r="AE519" s="142"/>
      <c r="AF519" s="142"/>
      <c r="AG519" s="142"/>
      <c r="AH519" s="142"/>
      <c r="AI519" s="142"/>
      <c r="AJ519" s="142"/>
      <c r="AK519" s="142"/>
      <c r="AL519" s="142"/>
      <c r="AM519" s="142"/>
      <c r="AN519" s="142"/>
      <c r="AO519" s="142"/>
    </row>
    <row r="520" ht="15.75" customHeight="1">
      <c r="A520" s="142"/>
      <c r="B520" s="142"/>
      <c r="C520" s="142"/>
      <c r="D520" s="142"/>
      <c r="E520" s="131"/>
      <c r="F520" s="142"/>
      <c r="G520" s="142"/>
      <c r="H520" s="142"/>
      <c r="I520" s="142"/>
      <c r="J520" s="142"/>
      <c r="K520" s="132"/>
      <c r="L520" s="131"/>
      <c r="M520" s="131"/>
      <c r="N520" s="142"/>
      <c r="O520" s="142"/>
      <c r="P520" s="142"/>
      <c r="Q520" s="142"/>
      <c r="R520" s="142"/>
      <c r="S520" s="142"/>
      <c r="T520" s="131"/>
      <c r="U520" s="131"/>
      <c r="V520" s="131"/>
      <c r="W520" s="131"/>
      <c r="X520" s="131"/>
      <c r="Y520" s="131"/>
      <c r="Z520" s="142"/>
      <c r="AA520" s="142"/>
      <c r="AB520" s="142"/>
      <c r="AC520" s="142"/>
      <c r="AD520" s="142"/>
      <c r="AE520" s="142"/>
      <c r="AF520" s="142"/>
      <c r="AG520" s="142"/>
      <c r="AH520" s="142"/>
      <c r="AI520" s="142"/>
      <c r="AJ520" s="142"/>
      <c r="AK520" s="142"/>
      <c r="AL520" s="142"/>
      <c r="AM520" s="142"/>
      <c r="AN520" s="142"/>
      <c r="AO520" s="142"/>
    </row>
    <row r="521" ht="15.75" customHeight="1">
      <c r="A521" s="142"/>
      <c r="B521" s="142"/>
      <c r="C521" s="142"/>
      <c r="D521" s="142"/>
      <c r="E521" s="131"/>
      <c r="F521" s="142"/>
      <c r="G521" s="142"/>
      <c r="H521" s="142"/>
      <c r="I521" s="142"/>
      <c r="J521" s="142"/>
      <c r="K521" s="132"/>
      <c r="L521" s="131"/>
      <c r="M521" s="131"/>
      <c r="N521" s="142"/>
      <c r="O521" s="142"/>
      <c r="P521" s="142"/>
      <c r="Q521" s="142"/>
      <c r="R521" s="142"/>
      <c r="S521" s="142"/>
      <c r="T521" s="131"/>
      <c r="U521" s="131"/>
      <c r="V521" s="131"/>
      <c r="W521" s="131"/>
      <c r="X521" s="131"/>
      <c r="Y521" s="131"/>
      <c r="Z521" s="142"/>
      <c r="AA521" s="142"/>
      <c r="AB521" s="142"/>
      <c r="AC521" s="142"/>
      <c r="AD521" s="142"/>
      <c r="AE521" s="142"/>
      <c r="AF521" s="142"/>
      <c r="AG521" s="142"/>
      <c r="AH521" s="142"/>
      <c r="AI521" s="142"/>
      <c r="AJ521" s="142"/>
      <c r="AK521" s="142"/>
      <c r="AL521" s="142"/>
      <c r="AM521" s="142"/>
      <c r="AN521" s="142"/>
      <c r="AO521" s="142"/>
    </row>
    <row r="522" ht="15.75" customHeight="1">
      <c r="A522" s="142"/>
      <c r="B522" s="142"/>
      <c r="C522" s="142"/>
      <c r="D522" s="142"/>
      <c r="E522" s="131"/>
      <c r="F522" s="142"/>
      <c r="G522" s="142"/>
      <c r="H522" s="142"/>
      <c r="I522" s="142"/>
      <c r="J522" s="142"/>
      <c r="K522" s="132"/>
      <c r="L522" s="131"/>
      <c r="M522" s="131"/>
      <c r="N522" s="142"/>
      <c r="O522" s="142"/>
      <c r="P522" s="142"/>
      <c r="Q522" s="142"/>
      <c r="R522" s="142"/>
      <c r="S522" s="142"/>
      <c r="T522" s="131"/>
      <c r="U522" s="131"/>
      <c r="V522" s="131"/>
      <c r="W522" s="131"/>
      <c r="X522" s="131"/>
      <c r="Y522" s="131"/>
      <c r="Z522" s="142"/>
      <c r="AA522" s="142"/>
      <c r="AB522" s="142"/>
      <c r="AC522" s="142"/>
      <c r="AD522" s="142"/>
      <c r="AE522" s="142"/>
      <c r="AF522" s="142"/>
      <c r="AG522" s="142"/>
      <c r="AH522" s="142"/>
      <c r="AI522" s="142"/>
      <c r="AJ522" s="142"/>
      <c r="AK522" s="142"/>
      <c r="AL522" s="142"/>
      <c r="AM522" s="142"/>
      <c r="AN522" s="142"/>
      <c r="AO522" s="142"/>
    </row>
    <row r="523" ht="15.75" customHeight="1">
      <c r="A523" s="142"/>
      <c r="B523" s="142"/>
      <c r="C523" s="142"/>
      <c r="D523" s="142"/>
      <c r="E523" s="131"/>
      <c r="F523" s="142"/>
      <c r="G523" s="142"/>
      <c r="H523" s="142"/>
      <c r="I523" s="142"/>
      <c r="J523" s="142"/>
      <c r="K523" s="132"/>
      <c r="L523" s="131"/>
      <c r="M523" s="131"/>
      <c r="N523" s="142"/>
      <c r="O523" s="142"/>
      <c r="P523" s="142"/>
      <c r="Q523" s="142"/>
      <c r="R523" s="142"/>
      <c r="S523" s="142"/>
      <c r="T523" s="131"/>
      <c r="U523" s="131"/>
      <c r="V523" s="131"/>
      <c r="W523" s="131"/>
      <c r="X523" s="131"/>
      <c r="Y523" s="131"/>
      <c r="Z523" s="142"/>
      <c r="AA523" s="142"/>
      <c r="AB523" s="142"/>
      <c r="AC523" s="142"/>
      <c r="AD523" s="142"/>
      <c r="AE523" s="142"/>
      <c r="AF523" s="142"/>
      <c r="AG523" s="142"/>
      <c r="AH523" s="142"/>
      <c r="AI523" s="142"/>
      <c r="AJ523" s="142"/>
      <c r="AK523" s="142"/>
      <c r="AL523" s="142"/>
      <c r="AM523" s="142"/>
      <c r="AN523" s="142"/>
      <c r="AO523" s="142"/>
    </row>
    <row r="524" ht="15.75" customHeight="1">
      <c r="A524" s="142"/>
      <c r="B524" s="142"/>
      <c r="C524" s="142"/>
      <c r="D524" s="142"/>
      <c r="E524" s="131"/>
      <c r="F524" s="142"/>
      <c r="G524" s="142"/>
      <c r="H524" s="142"/>
      <c r="I524" s="142"/>
      <c r="J524" s="142"/>
      <c r="K524" s="132"/>
      <c r="L524" s="131"/>
      <c r="M524" s="131"/>
      <c r="N524" s="142"/>
      <c r="O524" s="142"/>
      <c r="P524" s="142"/>
      <c r="Q524" s="142"/>
      <c r="R524" s="142"/>
      <c r="S524" s="142"/>
      <c r="T524" s="131"/>
      <c r="U524" s="131"/>
      <c r="V524" s="131"/>
      <c r="W524" s="131"/>
      <c r="X524" s="131"/>
      <c r="Y524" s="131"/>
      <c r="Z524" s="142"/>
      <c r="AA524" s="142"/>
      <c r="AB524" s="142"/>
      <c r="AC524" s="142"/>
      <c r="AD524" s="142"/>
      <c r="AE524" s="142"/>
      <c r="AF524" s="142"/>
      <c r="AG524" s="142"/>
      <c r="AH524" s="142"/>
      <c r="AI524" s="142"/>
      <c r="AJ524" s="142"/>
      <c r="AK524" s="142"/>
      <c r="AL524" s="142"/>
      <c r="AM524" s="142"/>
      <c r="AN524" s="142"/>
      <c r="AO524" s="142"/>
    </row>
    <row r="525" ht="15.75" customHeight="1">
      <c r="A525" s="142"/>
      <c r="B525" s="142"/>
      <c r="C525" s="142"/>
      <c r="D525" s="142"/>
      <c r="E525" s="131"/>
      <c r="F525" s="142"/>
      <c r="G525" s="142"/>
      <c r="H525" s="142"/>
      <c r="I525" s="142"/>
      <c r="J525" s="142"/>
      <c r="K525" s="132"/>
      <c r="L525" s="131"/>
      <c r="M525" s="131"/>
      <c r="N525" s="142"/>
      <c r="O525" s="142"/>
      <c r="P525" s="142"/>
      <c r="Q525" s="142"/>
      <c r="R525" s="142"/>
      <c r="S525" s="142"/>
      <c r="T525" s="131"/>
      <c r="U525" s="131"/>
      <c r="V525" s="131"/>
      <c r="W525" s="131"/>
      <c r="X525" s="131"/>
      <c r="Y525" s="131"/>
      <c r="Z525" s="142"/>
      <c r="AA525" s="142"/>
      <c r="AB525" s="142"/>
      <c r="AC525" s="142"/>
      <c r="AD525" s="142"/>
      <c r="AE525" s="142"/>
      <c r="AF525" s="142"/>
      <c r="AG525" s="142"/>
      <c r="AH525" s="142"/>
      <c r="AI525" s="142"/>
      <c r="AJ525" s="142"/>
      <c r="AK525" s="142"/>
      <c r="AL525" s="142"/>
      <c r="AM525" s="142"/>
      <c r="AN525" s="142"/>
      <c r="AO525" s="142"/>
    </row>
    <row r="526" ht="15.75" customHeight="1">
      <c r="A526" s="142"/>
      <c r="B526" s="142"/>
      <c r="C526" s="142"/>
      <c r="D526" s="142"/>
      <c r="E526" s="131"/>
      <c r="F526" s="142"/>
      <c r="G526" s="142"/>
      <c r="H526" s="142"/>
      <c r="I526" s="142"/>
      <c r="J526" s="142"/>
      <c r="K526" s="132"/>
      <c r="L526" s="131"/>
      <c r="M526" s="131"/>
      <c r="N526" s="142"/>
      <c r="O526" s="142"/>
      <c r="P526" s="142"/>
      <c r="Q526" s="142"/>
      <c r="R526" s="142"/>
      <c r="S526" s="142"/>
      <c r="T526" s="131"/>
      <c r="U526" s="131"/>
      <c r="V526" s="131"/>
      <c r="W526" s="131"/>
      <c r="X526" s="131"/>
      <c r="Y526" s="131"/>
      <c r="Z526" s="142"/>
      <c r="AA526" s="142"/>
      <c r="AB526" s="142"/>
      <c r="AC526" s="142"/>
      <c r="AD526" s="142"/>
      <c r="AE526" s="142"/>
      <c r="AF526" s="142"/>
      <c r="AG526" s="142"/>
      <c r="AH526" s="142"/>
      <c r="AI526" s="142"/>
      <c r="AJ526" s="142"/>
      <c r="AK526" s="142"/>
      <c r="AL526" s="142"/>
      <c r="AM526" s="142"/>
      <c r="AN526" s="142"/>
      <c r="AO526" s="142"/>
    </row>
    <row r="527" ht="15.75" customHeight="1">
      <c r="A527" s="142"/>
      <c r="B527" s="142"/>
      <c r="C527" s="142"/>
      <c r="D527" s="142"/>
      <c r="E527" s="131"/>
      <c r="F527" s="142"/>
      <c r="G527" s="142"/>
      <c r="H527" s="142"/>
      <c r="I527" s="142"/>
      <c r="J527" s="142"/>
      <c r="K527" s="132"/>
      <c r="L527" s="131"/>
      <c r="M527" s="131"/>
      <c r="N527" s="142"/>
      <c r="O527" s="142"/>
      <c r="P527" s="142"/>
      <c r="Q527" s="142"/>
      <c r="R527" s="142"/>
      <c r="S527" s="142"/>
      <c r="T527" s="131"/>
      <c r="U527" s="131"/>
      <c r="V527" s="131"/>
      <c r="W527" s="131"/>
      <c r="X527" s="131"/>
      <c r="Y527" s="131"/>
      <c r="Z527" s="142"/>
      <c r="AA527" s="142"/>
      <c r="AB527" s="142"/>
      <c r="AC527" s="142"/>
      <c r="AD527" s="142"/>
      <c r="AE527" s="142"/>
      <c r="AF527" s="142"/>
      <c r="AG527" s="142"/>
      <c r="AH527" s="142"/>
      <c r="AI527" s="142"/>
      <c r="AJ527" s="142"/>
      <c r="AK527" s="142"/>
      <c r="AL527" s="142"/>
      <c r="AM527" s="142"/>
      <c r="AN527" s="142"/>
      <c r="AO527" s="142"/>
    </row>
    <row r="528" ht="15.75" customHeight="1">
      <c r="A528" s="142"/>
      <c r="B528" s="142"/>
      <c r="C528" s="142"/>
      <c r="D528" s="142"/>
      <c r="E528" s="131"/>
      <c r="F528" s="142"/>
      <c r="G528" s="142"/>
      <c r="H528" s="142"/>
      <c r="I528" s="142"/>
      <c r="J528" s="142"/>
      <c r="K528" s="132"/>
      <c r="L528" s="131"/>
      <c r="M528" s="131"/>
      <c r="N528" s="142"/>
      <c r="O528" s="142"/>
      <c r="P528" s="142"/>
      <c r="Q528" s="142"/>
      <c r="R528" s="142"/>
      <c r="S528" s="142"/>
      <c r="T528" s="131"/>
      <c r="U528" s="131"/>
      <c r="V528" s="131"/>
      <c r="W528" s="131"/>
      <c r="X528" s="131"/>
      <c r="Y528" s="131"/>
      <c r="Z528" s="142"/>
      <c r="AA528" s="142"/>
      <c r="AB528" s="142"/>
      <c r="AC528" s="142"/>
      <c r="AD528" s="142"/>
      <c r="AE528" s="142"/>
      <c r="AF528" s="142"/>
      <c r="AG528" s="142"/>
      <c r="AH528" s="142"/>
      <c r="AI528" s="142"/>
      <c r="AJ528" s="142"/>
      <c r="AK528" s="142"/>
      <c r="AL528" s="142"/>
      <c r="AM528" s="142"/>
      <c r="AN528" s="142"/>
      <c r="AO528" s="142"/>
    </row>
    <row r="529" ht="15.75" customHeight="1">
      <c r="A529" s="142"/>
      <c r="B529" s="142"/>
      <c r="C529" s="142"/>
      <c r="D529" s="142"/>
      <c r="E529" s="131"/>
      <c r="F529" s="142"/>
      <c r="G529" s="142"/>
      <c r="H529" s="142"/>
      <c r="I529" s="142"/>
      <c r="J529" s="142"/>
      <c r="K529" s="132"/>
      <c r="L529" s="131"/>
      <c r="M529" s="131"/>
      <c r="N529" s="142"/>
      <c r="O529" s="142"/>
      <c r="P529" s="142"/>
      <c r="Q529" s="142"/>
      <c r="R529" s="142"/>
      <c r="S529" s="142"/>
      <c r="T529" s="131"/>
      <c r="U529" s="131"/>
      <c r="V529" s="131"/>
      <c r="W529" s="131"/>
      <c r="X529" s="131"/>
      <c r="Y529" s="131"/>
      <c r="Z529" s="142"/>
      <c r="AA529" s="142"/>
      <c r="AB529" s="142"/>
      <c r="AC529" s="142"/>
      <c r="AD529" s="142"/>
      <c r="AE529" s="142"/>
      <c r="AF529" s="142"/>
      <c r="AG529" s="142"/>
      <c r="AH529" s="142"/>
      <c r="AI529" s="142"/>
      <c r="AJ529" s="142"/>
      <c r="AK529" s="142"/>
      <c r="AL529" s="142"/>
      <c r="AM529" s="142"/>
      <c r="AN529" s="142"/>
      <c r="AO529" s="142"/>
    </row>
    <row r="530" ht="15.75" customHeight="1">
      <c r="A530" s="142"/>
      <c r="B530" s="142"/>
      <c r="C530" s="142"/>
      <c r="D530" s="142"/>
      <c r="E530" s="131"/>
      <c r="F530" s="142"/>
      <c r="G530" s="142"/>
      <c r="H530" s="142"/>
      <c r="I530" s="142"/>
      <c r="J530" s="142"/>
      <c r="K530" s="132"/>
      <c r="L530" s="131"/>
      <c r="M530" s="131"/>
      <c r="N530" s="142"/>
      <c r="O530" s="142"/>
      <c r="P530" s="142"/>
      <c r="Q530" s="142"/>
      <c r="R530" s="142"/>
      <c r="S530" s="142"/>
      <c r="T530" s="131"/>
      <c r="U530" s="131"/>
      <c r="V530" s="131"/>
      <c r="W530" s="131"/>
      <c r="X530" s="131"/>
      <c r="Y530" s="131"/>
      <c r="Z530" s="142"/>
      <c r="AA530" s="142"/>
      <c r="AB530" s="142"/>
      <c r="AC530" s="142"/>
      <c r="AD530" s="142"/>
      <c r="AE530" s="142"/>
      <c r="AF530" s="142"/>
      <c r="AG530" s="142"/>
      <c r="AH530" s="142"/>
      <c r="AI530" s="142"/>
      <c r="AJ530" s="142"/>
      <c r="AK530" s="142"/>
      <c r="AL530" s="142"/>
      <c r="AM530" s="142"/>
      <c r="AN530" s="142"/>
      <c r="AO530" s="142"/>
    </row>
    <row r="531" ht="15.75" customHeight="1">
      <c r="A531" s="142"/>
      <c r="B531" s="142"/>
      <c r="C531" s="142"/>
      <c r="D531" s="142"/>
      <c r="E531" s="131"/>
      <c r="F531" s="142"/>
      <c r="G531" s="142"/>
      <c r="H531" s="142"/>
      <c r="I531" s="142"/>
      <c r="J531" s="142"/>
      <c r="K531" s="132"/>
      <c r="L531" s="131"/>
      <c r="M531" s="131"/>
      <c r="N531" s="142"/>
      <c r="O531" s="142"/>
      <c r="P531" s="142"/>
      <c r="Q531" s="142"/>
      <c r="R531" s="142"/>
      <c r="S531" s="142"/>
      <c r="T531" s="131"/>
      <c r="U531" s="131"/>
      <c r="V531" s="131"/>
      <c r="W531" s="131"/>
      <c r="X531" s="131"/>
      <c r="Y531" s="131"/>
      <c r="Z531" s="142"/>
      <c r="AA531" s="142"/>
      <c r="AB531" s="142"/>
      <c r="AC531" s="142"/>
      <c r="AD531" s="142"/>
      <c r="AE531" s="142"/>
      <c r="AF531" s="142"/>
      <c r="AG531" s="142"/>
      <c r="AH531" s="142"/>
      <c r="AI531" s="142"/>
      <c r="AJ531" s="142"/>
      <c r="AK531" s="142"/>
      <c r="AL531" s="142"/>
      <c r="AM531" s="142"/>
      <c r="AN531" s="142"/>
      <c r="AO531" s="142"/>
    </row>
    <row r="532" ht="15.75" customHeight="1">
      <c r="A532" s="142"/>
      <c r="B532" s="142"/>
      <c r="C532" s="142"/>
      <c r="D532" s="142"/>
      <c r="E532" s="131"/>
      <c r="F532" s="142"/>
      <c r="G532" s="142"/>
      <c r="H532" s="142"/>
      <c r="I532" s="142"/>
      <c r="J532" s="142"/>
      <c r="K532" s="132"/>
      <c r="L532" s="131"/>
      <c r="M532" s="131"/>
      <c r="N532" s="142"/>
      <c r="O532" s="142"/>
      <c r="P532" s="142"/>
      <c r="Q532" s="142"/>
      <c r="R532" s="142"/>
      <c r="S532" s="142"/>
      <c r="T532" s="131"/>
      <c r="U532" s="131"/>
      <c r="V532" s="131"/>
      <c r="W532" s="131"/>
      <c r="X532" s="131"/>
      <c r="Y532" s="131"/>
      <c r="Z532" s="142"/>
      <c r="AA532" s="142"/>
      <c r="AB532" s="142"/>
      <c r="AC532" s="142"/>
      <c r="AD532" s="142"/>
      <c r="AE532" s="142"/>
      <c r="AF532" s="142"/>
      <c r="AG532" s="142"/>
      <c r="AH532" s="142"/>
      <c r="AI532" s="142"/>
      <c r="AJ532" s="142"/>
      <c r="AK532" s="142"/>
      <c r="AL532" s="142"/>
      <c r="AM532" s="142"/>
      <c r="AN532" s="142"/>
      <c r="AO532" s="142"/>
    </row>
    <row r="533" ht="15.75" customHeight="1">
      <c r="A533" s="142"/>
      <c r="B533" s="142"/>
      <c r="C533" s="142"/>
      <c r="D533" s="142"/>
      <c r="E533" s="131"/>
      <c r="F533" s="142"/>
      <c r="G533" s="142"/>
      <c r="H533" s="142"/>
      <c r="I533" s="142"/>
      <c r="J533" s="142"/>
      <c r="K533" s="132"/>
      <c r="L533" s="131"/>
      <c r="M533" s="131"/>
      <c r="N533" s="142"/>
      <c r="O533" s="142"/>
      <c r="P533" s="142"/>
      <c r="Q533" s="142"/>
      <c r="R533" s="142"/>
      <c r="S533" s="142"/>
      <c r="T533" s="131"/>
      <c r="U533" s="131"/>
      <c r="V533" s="131"/>
      <c r="W533" s="131"/>
      <c r="X533" s="131"/>
      <c r="Y533" s="131"/>
      <c r="Z533" s="142"/>
      <c r="AA533" s="142"/>
      <c r="AB533" s="142"/>
      <c r="AC533" s="142"/>
      <c r="AD533" s="142"/>
      <c r="AE533" s="142"/>
      <c r="AF533" s="142"/>
      <c r="AG533" s="142"/>
      <c r="AH533" s="142"/>
      <c r="AI533" s="142"/>
      <c r="AJ533" s="142"/>
      <c r="AK533" s="142"/>
      <c r="AL533" s="142"/>
      <c r="AM533" s="142"/>
      <c r="AN533" s="142"/>
      <c r="AO533" s="142"/>
    </row>
    <row r="534" ht="15.75" customHeight="1">
      <c r="A534" s="142"/>
      <c r="B534" s="142"/>
      <c r="C534" s="142"/>
      <c r="D534" s="142"/>
      <c r="E534" s="131"/>
      <c r="F534" s="142"/>
      <c r="G534" s="142"/>
      <c r="H534" s="142"/>
      <c r="I534" s="142"/>
      <c r="J534" s="142"/>
      <c r="K534" s="132"/>
      <c r="L534" s="131"/>
      <c r="M534" s="131"/>
      <c r="N534" s="142"/>
      <c r="O534" s="142"/>
      <c r="P534" s="142"/>
      <c r="Q534" s="142"/>
      <c r="R534" s="142"/>
      <c r="S534" s="142"/>
      <c r="T534" s="131"/>
      <c r="U534" s="131"/>
      <c r="V534" s="131"/>
      <c r="W534" s="131"/>
      <c r="X534" s="131"/>
      <c r="Y534" s="131"/>
      <c r="Z534" s="142"/>
      <c r="AA534" s="142"/>
      <c r="AB534" s="142"/>
      <c r="AC534" s="142"/>
      <c r="AD534" s="142"/>
      <c r="AE534" s="142"/>
      <c r="AF534" s="142"/>
      <c r="AG534" s="142"/>
      <c r="AH534" s="142"/>
      <c r="AI534" s="142"/>
      <c r="AJ534" s="142"/>
      <c r="AK534" s="142"/>
      <c r="AL534" s="142"/>
      <c r="AM534" s="142"/>
      <c r="AN534" s="142"/>
      <c r="AO534" s="142"/>
    </row>
    <row r="535" ht="15.75" customHeight="1">
      <c r="A535" s="142"/>
      <c r="B535" s="142"/>
      <c r="C535" s="142"/>
      <c r="D535" s="142"/>
      <c r="E535" s="131"/>
      <c r="F535" s="142"/>
      <c r="G535" s="142"/>
      <c r="H535" s="142"/>
      <c r="I535" s="142"/>
      <c r="J535" s="142"/>
      <c r="K535" s="132"/>
      <c r="L535" s="131"/>
      <c r="M535" s="131"/>
      <c r="N535" s="142"/>
      <c r="O535" s="142"/>
      <c r="P535" s="142"/>
      <c r="Q535" s="142"/>
      <c r="R535" s="142"/>
      <c r="S535" s="142"/>
      <c r="T535" s="131"/>
      <c r="U535" s="131"/>
      <c r="V535" s="131"/>
      <c r="W535" s="131"/>
      <c r="X535" s="131"/>
      <c r="Y535" s="131"/>
      <c r="Z535" s="142"/>
      <c r="AA535" s="142"/>
      <c r="AB535" s="142"/>
      <c r="AC535" s="142"/>
      <c r="AD535" s="142"/>
      <c r="AE535" s="142"/>
      <c r="AF535" s="142"/>
      <c r="AG535" s="142"/>
      <c r="AH535" s="142"/>
      <c r="AI535" s="142"/>
      <c r="AJ535" s="142"/>
      <c r="AK535" s="142"/>
      <c r="AL535" s="142"/>
      <c r="AM535" s="142"/>
      <c r="AN535" s="142"/>
      <c r="AO535" s="142"/>
    </row>
    <row r="536" ht="15.75" customHeight="1">
      <c r="A536" s="142"/>
      <c r="B536" s="142"/>
      <c r="C536" s="142"/>
      <c r="D536" s="142"/>
      <c r="E536" s="131"/>
      <c r="F536" s="142"/>
      <c r="G536" s="142"/>
      <c r="H536" s="142"/>
      <c r="I536" s="142"/>
      <c r="J536" s="142"/>
      <c r="K536" s="132"/>
      <c r="L536" s="131"/>
      <c r="M536" s="131"/>
      <c r="N536" s="142"/>
      <c r="O536" s="142"/>
      <c r="P536" s="142"/>
      <c r="Q536" s="142"/>
      <c r="R536" s="142"/>
      <c r="S536" s="142"/>
      <c r="T536" s="131"/>
      <c r="U536" s="131"/>
      <c r="V536" s="131"/>
      <c r="W536" s="131"/>
      <c r="X536" s="131"/>
      <c r="Y536" s="131"/>
      <c r="Z536" s="142"/>
      <c r="AA536" s="142"/>
      <c r="AB536" s="142"/>
      <c r="AC536" s="142"/>
      <c r="AD536" s="142"/>
      <c r="AE536" s="142"/>
      <c r="AF536" s="142"/>
      <c r="AG536" s="142"/>
      <c r="AH536" s="142"/>
      <c r="AI536" s="142"/>
      <c r="AJ536" s="142"/>
      <c r="AK536" s="142"/>
      <c r="AL536" s="142"/>
      <c r="AM536" s="142"/>
      <c r="AN536" s="142"/>
      <c r="AO536" s="142"/>
    </row>
    <row r="537" ht="15.75" customHeight="1">
      <c r="A537" s="142"/>
      <c r="B537" s="142"/>
      <c r="C537" s="142"/>
      <c r="D537" s="142"/>
      <c r="E537" s="131"/>
      <c r="F537" s="142"/>
      <c r="G537" s="142"/>
      <c r="H537" s="142"/>
      <c r="I537" s="142"/>
      <c r="J537" s="142"/>
      <c r="K537" s="132"/>
      <c r="L537" s="131"/>
      <c r="M537" s="131"/>
      <c r="N537" s="142"/>
      <c r="O537" s="142"/>
      <c r="P537" s="142"/>
      <c r="Q537" s="142"/>
      <c r="R537" s="142"/>
      <c r="S537" s="142"/>
      <c r="T537" s="131"/>
      <c r="U537" s="131"/>
      <c r="V537" s="131"/>
      <c r="W537" s="131"/>
      <c r="X537" s="131"/>
      <c r="Y537" s="131"/>
      <c r="Z537" s="142"/>
      <c r="AA537" s="142"/>
      <c r="AB537" s="142"/>
      <c r="AC537" s="142"/>
      <c r="AD537" s="142"/>
      <c r="AE537" s="142"/>
      <c r="AF537" s="142"/>
      <c r="AG537" s="142"/>
      <c r="AH537" s="142"/>
      <c r="AI537" s="142"/>
      <c r="AJ537" s="142"/>
      <c r="AK537" s="142"/>
      <c r="AL537" s="142"/>
      <c r="AM537" s="142"/>
      <c r="AN537" s="142"/>
      <c r="AO537" s="142"/>
    </row>
    <row r="538" ht="15.75" customHeight="1">
      <c r="A538" s="142"/>
      <c r="B538" s="142"/>
      <c r="C538" s="142"/>
      <c r="D538" s="142"/>
      <c r="E538" s="131"/>
      <c r="F538" s="142"/>
      <c r="G538" s="142"/>
      <c r="H538" s="142"/>
      <c r="I538" s="142"/>
      <c r="J538" s="142"/>
      <c r="K538" s="132"/>
      <c r="L538" s="131"/>
      <c r="M538" s="131"/>
      <c r="N538" s="142"/>
      <c r="O538" s="142"/>
      <c r="P538" s="142"/>
      <c r="Q538" s="142"/>
      <c r="R538" s="142"/>
      <c r="S538" s="142"/>
      <c r="T538" s="131"/>
      <c r="U538" s="131"/>
      <c r="V538" s="131"/>
      <c r="W538" s="131"/>
      <c r="X538" s="131"/>
      <c r="Y538" s="131"/>
      <c r="Z538" s="142"/>
      <c r="AA538" s="142"/>
      <c r="AB538" s="142"/>
      <c r="AC538" s="142"/>
      <c r="AD538" s="142"/>
      <c r="AE538" s="142"/>
      <c r="AF538" s="142"/>
      <c r="AG538" s="142"/>
      <c r="AH538" s="142"/>
      <c r="AI538" s="142"/>
      <c r="AJ538" s="142"/>
      <c r="AK538" s="142"/>
      <c r="AL538" s="142"/>
      <c r="AM538" s="142"/>
      <c r="AN538" s="142"/>
      <c r="AO538" s="142"/>
    </row>
    <row r="539" ht="15.75" customHeight="1">
      <c r="A539" s="142"/>
      <c r="B539" s="142"/>
      <c r="C539" s="142"/>
      <c r="D539" s="142"/>
      <c r="E539" s="131"/>
      <c r="F539" s="142"/>
      <c r="G539" s="142"/>
      <c r="H539" s="142"/>
      <c r="I539" s="142"/>
      <c r="J539" s="142"/>
      <c r="K539" s="132"/>
      <c r="L539" s="131"/>
      <c r="M539" s="131"/>
      <c r="N539" s="142"/>
      <c r="O539" s="142"/>
      <c r="P539" s="142"/>
      <c r="Q539" s="142"/>
      <c r="R539" s="142"/>
      <c r="S539" s="142"/>
      <c r="T539" s="131"/>
      <c r="U539" s="131"/>
      <c r="V539" s="131"/>
      <c r="W539" s="131"/>
      <c r="X539" s="131"/>
      <c r="Y539" s="131"/>
      <c r="Z539" s="142"/>
      <c r="AA539" s="142"/>
      <c r="AB539" s="142"/>
      <c r="AC539" s="142"/>
      <c r="AD539" s="142"/>
      <c r="AE539" s="142"/>
      <c r="AF539" s="142"/>
      <c r="AG539" s="142"/>
      <c r="AH539" s="142"/>
      <c r="AI539" s="142"/>
      <c r="AJ539" s="142"/>
      <c r="AK539" s="142"/>
      <c r="AL539" s="142"/>
      <c r="AM539" s="142"/>
      <c r="AN539" s="142"/>
      <c r="AO539" s="142"/>
    </row>
    <row r="540" ht="15.75" customHeight="1">
      <c r="A540" s="142"/>
      <c r="B540" s="142"/>
      <c r="C540" s="142"/>
      <c r="D540" s="142"/>
      <c r="E540" s="131"/>
      <c r="F540" s="142"/>
      <c r="G540" s="142"/>
      <c r="H540" s="142"/>
      <c r="I540" s="142"/>
      <c r="J540" s="142"/>
      <c r="K540" s="132"/>
      <c r="L540" s="131"/>
      <c r="M540" s="131"/>
      <c r="N540" s="142"/>
      <c r="O540" s="142"/>
      <c r="P540" s="142"/>
      <c r="Q540" s="142"/>
      <c r="R540" s="142"/>
      <c r="S540" s="142"/>
      <c r="T540" s="131"/>
      <c r="U540" s="131"/>
      <c r="V540" s="131"/>
      <c r="W540" s="131"/>
      <c r="X540" s="131"/>
      <c r="Y540" s="131"/>
      <c r="Z540" s="142"/>
      <c r="AA540" s="142"/>
      <c r="AB540" s="142"/>
      <c r="AC540" s="142"/>
      <c r="AD540" s="142"/>
      <c r="AE540" s="142"/>
      <c r="AF540" s="142"/>
      <c r="AG540" s="142"/>
      <c r="AH540" s="142"/>
      <c r="AI540" s="142"/>
      <c r="AJ540" s="142"/>
      <c r="AK540" s="142"/>
      <c r="AL540" s="142"/>
      <c r="AM540" s="142"/>
      <c r="AN540" s="142"/>
      <c r="AO540" s="142"/>
    </row>
    <row r="541" ht="15.75" customHeight="1">
      <c r="A541" s="142"/>
      <c r="B541" s="142"/>
      <c r="C541" s="142"/>
      <c r="D541" s="142"/>
      <c r="E541" s="131"/>
      <c r="F541" s="142"/>
      <c r="G541" s="142"/>
      <c r="H541" s="142"/>
      <c r="I541" s="142"/>
      <c r="J541" s="142"/>
      <c r="K541" s="132"/>
      <c r="L541" s="131"/>
      <c r="M541" s="131"/>
      <c r="N541" s="142"/>
      <c r="O541" s="142"/>
      <c r="P541" s="142"/>
      <c r="Q541" s="142"/>
      <c r="R541" s="142"/>
      <c r="S541" s="142"/>
      <c r="T541" s="131"/>
      <c r="U541" s="131"/>
      <c r="V541" s="131"/>
      <c r="W541" s="131"/>
      <c r="X541" s="131"/>
      <c r="Y541" s="131"/>
      <c r="Z541" s="142"/>
      <c r="AA541" s="142"/>
      <c r="AB541" s="142"/>
      <c r="AC541" s="142"/>
      <c r="AD541" s="142"/>
      <c r="AE541" s="142"/>
      <c r="AF541" s="142"/>
      <c r="AG541" s="142"/>
      <c r="AH541" s="142"/>
      <c r="AI541" s="142"/>
      <c r="AJ541" s="142"/>
      <c r="AK541" s="142"/>
      <c r="AL541" s="142"/>
      <c r="AM541" s="142"/>
      <c r="AN541" s="142"/>
      <c r="AO541" s="142"/>
    </row>
    <row r="542" ht="15.75" customHeight="1">
      <c r="A542" s="142"/>
      <c r="B542" s="142"/>
      <c r="C542" s="142"/>
      <c r="D542" s="142"/>
      <c r="E542" s="131"/>
      <c r="F542" s="142"/>
      <c r="G542" s="142"/>
      <c r="H542" s="142"/>
      <c r="I542" s="142"/>
      <c r="J542" s="142"/>
      <c r="K542" s="132"/>
      <c r="L542" s="131"/>
      <c r="M542" s="131"/>
      <c r="N542" s="142"/>
      <c r="O542" s="142"/>
      <c r="P542" s="142"/>
      <c r="Q542" s="142"/>
      <c r="R542" s="142"/>
      <c r="S542" s="142"/>
      <c r="T542" s="131"/>
      <c r="U542" s="131"/>
      <c r="V542" s="131"/>
      <c r="W542" s="131"/>
      <c r="X542" s="131"/>
      <c r="Y542" s="131"/>
      <c r="Z542" s="142"/>
      <c r="AA542" s="142"/>
      <c r="AB542" s="142"/>
      <c r="AC542" s="142"/>
      <c r="AD542" s="142"/>
      <c r="AE542" s="142"/>
      <c r="AF542" s="142"/>
      <c r="AG542" s="142"/>
      <c r="AH542" s="142"/>
      <c r="AI542" s="142"/>
      <c r="AJ542" s="142"/>
      <c r="AK542" s="142"/>
      <c r="AL542" s="142"/>
      <c r="AM542" s="142"/>
      <c r="AN542" s="142"/>
      <c r="AO542" s="142"/>
    </row>
    <row r="543" ht="15.75" customHeight="1">
      <c r="A543" s="142"/>
      <c r="B543" s="142"/>
      <c r="C543" s="142"/>
      <c r="D543" s="142"/>
      <c r="E543" s="131"/>
      <c r="F543" s="142"/>
      <c r="G543" s="142"/>
      <c r="H543" s="142"/>
      <c r="I543" s="142"/>
      <c r="J543" s="142"/>
      <c r="K543" s="132"/>
      <c r="L543" s="131"/>
      <c r="M543" s="131"/>
      <c r="N543" s="142"/>
      <c r="O543" s="142"/>
      <c r="P543" s="142"/>
      <c r="Q543" s="142"/>
      <c r="R543" s="142"/>
      <c r="S543" s="142"/>
      <c r="T543" s="131"/>
      <c r="U543" s="131"/>
      <c r="V543" s="131"/>
      <c r="W543" s="131"/>
      <c r="X543" s="131"/>
      <c r="Y543" s="131"/>
      <c r="Z543" s="142"/>
      <c r="AA543" s="142"/>
      <c r="AB543" s="142"/>
      <c r="AC543" s="142"/>
      <c r="AD543" s="142"/>
      <c r="AE543" s="142"/>
      <c r="AF543" s="142"/>
      <c r="AG543" s="142"/>
      <c r="AH543" s="142"/>
      <c r="AI543" s="142"/>
      <c r="AJ543" s="142"/>
      <c r="AK543" s="142"/>
      <c r="AL543" s="142"/>
      <c r="AM543" s="142"/>
      <c r="AN543" s="142"/>
      <c r="AO543" s="142"/>
    </row>
    <row r="544" ht="15.75" customHeight="1">
      <c r="A544" s="142"/>
      <c r="B544" s="142"/>
      <c r="C544" s="142"/>
      <c r="D544" s="142"/>
      <c r="E544" s="131"/>
      <c r="F544" s="142"/>
      <c r="G544" s="142"/>
      <c r="H544" s="142"/>
      <c r="I544" s="142"/>
      <c r="J544" s="142"/>
      <c r="K544" s="132"/>
      <c r="L544" s="131"/>
      <c r="M544" s="131"/>
      <c r="N544" s="142"/>
      <c r="O544" s="142"/>
      <c r="P544" s="142"/>
      <c r="Q544" s="142"/>
      <c r="R544" s="142"/>
      <c r="S544" s="142"/>
      <c r="T544" s="131"/>
      <c r="U544" s="131"/>
      <c r="V544" s="131"/>
      <c r="W544" s="131"/>
      <c r="X544" s="131"/>
      <c r="Y544" s="131"/>
      <c r="Z544" s="142"/>
      <c r="AA544" s="142"/>
      <c r="AB544" s="142"/>
      <c r="AC544" s="142"/>
      <c r="AD544" s="142"/>
      <c r="AE544" s="142"/>
      <c r="AF544" s="142"/>
      <c r="AG544" s="142"/>
      <c r="AH544" s="142"/>
      <c r="AI544" s="142"/>
      <c r="AJ544" s="142"/>
      <c r="AK544" s="142"/>
      <c r="AL544" s="142"/>
      <c r="AM544" s="142"/>
      <c r="AN544" s="142"/>
      <c r="AO544" s="142"/>
    </row>
    <row r="545" ht="15.75" customHeight="1">
      <c r="A545" s="142"/>
      <c r="B545" s="142"/>
      <c r="C545" s="142"/>
      <c r="D545" s="142"/>
      <c r="E545" s="131"/>
      <c r="F545" s="142"/>
      <c r="G545" s="142"/>
      <c r="H545" s="142"/>
      <c r="I545" s="142"/>
      <c r="J545" s="142"/>
      <c r="K545" s="132"/>
      <c r="L545" s="131"/>
      <c r="M545" s="131"/>
      <c r="N545" s="142"/>
      <c r="O545" s="142"/>
      <c r="P545" s="142"/>
      <c r="Q545" s="142"/>
      <c r="R545" s="142"/>
      <c r="S545" s="142"/>
      <c r="T545" s="131"/>
      <c r="U545" s="131"/>
      <c r="V545" s="131"/>
      <c r="W545" s="131"/>
      <c r="X545" s="131"/>
      <c r="Y545" s="131"/>
      <c r="Z545" s="142"/>
      <c r="AA545" s="142"/>
      <c r="AB545" s="142"/>
      <c r="AC545" s="142"/>
      <c r="AD545" s="142"/>
      <c r="AE545" s="142"/>
      <c r="AF545" s="142"/>
      <c r="AG545" s="142"/>
      <c r="AH545" s="142"/>
      <c r="AI545" s="142"/>
      <c r="AJ545" s="142"/>
      <c r="AK545" s="142"/>
      <c r="AL545" s="142"/>
      <c r="AM545" s="142"/>
      <c r="AN545" s="142"/>
      <c r="AO545" s="142"/>
    </row>
    <row r="546" ht="15.75" customHeight="1">
      <c r="A546" s="142"/>
      <c r="B546" s="142"/>
      <c r="C546" s="142"/>
      <c r="D546" s="142"/>
      <c r="E546" s="131"/>
      <c r="F546" s="142"/>
      <c r="G546" s="142"/>
      <c r="H546" s="142"/>
      <c r="I546" s="142"/>
      <c r="J546" s="142"/>
      <c r="K546" s="132"/>
      <c r="L546" s="131"/>
      <c r="M546" s="131"/>
      <c r="N546" s="142"/>
      <c r="O546" s="142"/>
      <c r="P546" s="142"/>
      <c r="Q546" s="142"/>
      <c r="R546" s="142"/>
      <c r="S546" s="142"/>
      <c r="T546" s="131"/>
      <c r="U546" s="131"/>
      <c r="V546" s="131"/>
      <c r="W546" s="131"/>
      <c r="X546" s="131"/>
      <c r="Y546" s="131"/>
      <c r="Z546" s="142"/>
      <c r="AA546" s="142"/>
      <c r="AB546" s="142"/>
      <c r="AC546" s="142"/>
      <c r="AD546" s="142"/>
      <c r="AE546" s="142"/>
      <c r="AF546" s="142"/>
      <c r="AG546" s="142"/>
      <c r="AH546" s="142"/>
      <c r="AI546" s="142"/>
      <c r="AJ546" s="142"/>
      <c r="AK546" s="142"/>
      <c r="AL546" s="142"/>
      <c r="AM546" s="142"/>
      <c r="AN546" s="142"/>
      <c r="AO546" s="142"/>
    </row>
    <row r="547" ht="15.75" customHeight="1">
      <c r="A547" s="142"/>
      <c r="B547" s="142"/>
      <c r="C547" s="142"/>
      <c r="D547" s="142"/>
      <c r="E547" s="131"/>
      <c r="F547" s="142"/>
      <c r="G547" s="142"/>
      <c r="H547" s="142"/>
      <c r="I547" s="142"/>
      <c r="J547" s="142"/>
      <c r="K547" s="132"/>
      <c r="L547" s="131"/>
      <c r="M547" s="131"/>
      <c r="N547" s="142"/>
      <c r="O547" s="142"/>
      <c r="P547" s="142"/>
      <c r="Q547" s="142"/>
      <c r="R547" s="142"/>
      <c r="S547" s="142"/>
      <c r="T547" s="131"/>
      <c r="U547" s="131"/>
      <c r="V547" s="131"/>
      <c r="W547" s="131"/>
      <c r="X547" s="131"/>
      <c r="Y547" s="131"/>
      <c r="Z547" s="142"/>
      <c r="AA547" s="142"/>
      <c r="AB547" s="142"/>
      <c r="AC547" s="142"/>
      <c r="AD547" s="142"/>
      <c r="AE547" s="142"/>
      <c r="AF547" s="142"/>
      <c r="AG547" s="142"/>
      <c r="AH547" s="142"/>
      <c r="AI547" s="142"/>
      <c r="AJ547" s="142"/>
      <c r="AK547" s="142"/>
      <c r="AL547" s="142"/>
      <c r="AM547" s="142"/>
      <c r="AN547" s="142"/>
      <c r="AO547" s="142"/>
    </row>
    <row r="548" ht="15.75" customHeight="1">
      <c r="A548" s="142"/>
      <c r="B548" s="142"/>
      <c r="C548" s="142"/>
      <c r="D548" s="142"/>
      <c r="E548" s="131"/>
      <c r="F548" s="142"/>
      <c r="G548" s="142"/>
      <c r="H548" s="142"/>
      <c r="I548" s="142"/>
      <c r="J548" s="142"/>
      <c r="K548" s="132"/>
      <c r="L548" s="131"/>
      <c r="M548" s="131"/>
      <c r="N548" s="142"/>
      <c r="O548" s="142"/>
      <c r="P548" s="142"/>
      <c r="Q548" s="142"/>
      <c r="R548" s="142"/>
      <c r="S548" s="142"/>
      <c r="T548" s="131"/>
      <c r="U548" s="131"/>
      <c r="V548" s="131"/>
      <c r="W548" s="131"/>
      <c r="X548" s="131"/>
      <c r="Y548" s="131"/>
      <c r="Z548" s="142"/>
      <c r="AA548" s="142"/>
      <c r="AB548" s="142"/>
      <c r="AC548" s="142"/>
      <c r="AD548" s="142"/>
      <c r="AE548" s="142"/>
      <c r="AF548" s="142"/>
      <c r="AG548" s="142"/>
      <c r="AH548" s="142"/>
      <c r="AI548" s="142"/>
      <c r="AJ548" s="142"/>
      <c r="AK548" s="142"/>
      <c r="AL548" s="142"/>
      <c r="AM548" s="142"/>
      <c r="AN548" s="142"/>
      <c r="AO548" s="142"/>
    </row>
    <row r="549" ht="15.75" customHeight="1">
      <c r="A549" s="142"/>
      <c r="B549" s="142"/>
      <c r="C549" s="142"/>
      <c r="D549" s="142"/>
      <c r="E549" s="131"/>
      <c r="F549" s="142"/>
      <c r="G549" s="142"/>
      <c r="H549" s="142"/>
      <c r="I549" s="142"/>
      <c r="J549" s="142"/>
      <c r="K549" s="132"/>
      <c r="L549" s="131"/>
      <c r="M549" s="131"/>
      <c r="N549" s="142"/>
      <c r="O549" s="142"/>
      <c r="P549" s="142"/>
      <c r="Q549" s="142"/>
      <c r="R549" s="142"/>
      <c r="S549" s="142"/>
      <c r="T549" s="131"/>
      <c r="U549" s="131"/>
      <c r="V549" s="131"/>
      <c r="W549" s="131"/>
      <c r="X549" s="131"/>
      <c r="Y549" s="131"/>
      <c r="Z549" s="142"/>
      <c r="AA549" s="142"/>
      <c r="AB549" s="142"/>
      <c r="AC549" s="142"/>
      <c r="AD549" s="142"/>
      <c r="AE549" s="142"/>
      <c r="AF549" s="142"/>
      <c r="AG549" s="142"/>
      <c r="AH549" s="142"/>
      <c r="AI549" s="142"/>
      <c r="AJ549" s="142"/>
      <c r="AK549" s="142"/>
      <c r="AL549" s="142"/>
      <c r="AM549" s="142"/>
      <c r="AN549" s="142"/>
      <c r="AO549" s="142"/>
    </row>
    <row r="550" ht="15.75" customHeight="1">
      <c r="A550" s="142"/>
      <c r="B550" s="142"/>
      <c r="C550" s="142"/>
      <c r="D550" s="142"/>
      <c r="E550" s="131"/>
      <c r="F550" s="142"/>
      <c r="G550" s="142"/>
      <c r="H550" s="142"/>
      <c r="I550" s="142"/>
      <c r="J550" s="142"/>
      <c r="K550" s="132"/>
      <c r="L550" s="131"/>
      <c r="M550" s="131"/>
      <c r="N550" s="142"/>
      <c r="O550" s="142"/>
      <c r="P550" s="142"/>
      <c r="Q550" s="142"/>
      <c r="R550" s="142"/>
      <c r="S550" s="142"/>
      <c r="T550" s="131"/>
      <c r="U550" s="131"/>
      <c r="V550" s="131"/>
      <c r="W550" s="131"/>
      <c r="X550" s="131"/>
      <c r="Y550" s="131"/>
      <c r="Z550" s="142"/>
      <c r="AA550" s="142"/>
      <c r="AB550" s="142"/>
      <c r="AC550" s="142"/>
      <c r="AD550" s="142"/>
      <c r="AE550" s="142"/>
      <c r="AF550" s="142"/>
      <c r="AG550" s="142"/>
      <c r="AH550" s="142"/>
      <c r="AI550" s="142"/>
      <c r="AJ550" s="142"/>
      <c r="AK550" s="142"/>
      <c r="AL550" s="142"/>
      <c r="AM550" s="142"/>
      <c r="AN550" s="142"/>
      <c r="AO550" s="142"/>
    </row>
    <row r="551" ht="15.75" customHeight="1">
      <c r="A551" s="142"/>
      <c r="B551" s="142"/>
      <c r="C551" s="142"/>
      <c r="D551" s="142"/>
      <c r="E551" s="131"/>
      <c r="F551" s="142"/>
      <c r="G551" s="142"/>
      <c r="H551" s="142"/>
      <c r="I551" s="142"/>
      <c r="J551" s="142"/>
      <c r="K551" s="132"/>
      <c r="L551" s="131"/>
      <c r="M551" s="131"/>
      <c r="N551" s="142"/>
      <c r="O551" s="142"/>
      <c r="P551" s="142"/>
      <c r="Q551" s="142"/>
      <c r="R551" s="142"/>
      <c r="S551" s="142"/>
      <c r="T551" s="131"/>
      <c r="U551" s="131"/>
      <c r="V551" s="131"/>
      <c r="W551" s="131"/>
      <c r="X551" s="131"/>
      <c r="Y551" s="131"/>
      <c r="Z551" s="142"/>
      <c r="AA551" s="142"/>
      <c r="AB551" s="142"/>
      <c r="AC551" s="142"/>
      <c r="AD551" s="142"/>
      <c r="AE551" s="142"/>
      <c r="AF551" s="142"/>
      <c r="AG551" s="142"/>
      <c r="AH551" s="142"/>
      <c r="AI551" s="142"/>
      <c r="AJ551" s="142"/>
      <c r="AK551" s="142"/>
      <c r="AL551" s="142"/>
      <c r="AM551" s="142"/>
      <c r="AN551" s="142"/>
      <c r="AO551" s="142"/>
    </row>
    <row r="552" ht="15.75" customHeight="1">
      <c r="A552" s="142"/>
      <c r="B552" s="142"/>
      <c r="C552" s="142"/>
      <c r="D552" s="142"/>
      <c r="E552" s="131"/>
      <c r="F552" s="142"/>
      <c r="G552" s="142"/>
      <c r="H552" s="142"/>
      <c r="I552" s="142"/>
      <c r="J552" s="142"/>
      <c r="K552" s="132"/>
      <c r="L552" s="131"/>
      <c r="M552" s="131"/>
      <c r="N552" s="142"/>
      <c r="O552" s="142"/>
      <c r="P552" s="142"/>
      <c r="Q552" s="142"/>
      <c r="R552" s="142"/>
      <c r="S552" s="142"/>
      <c r="T552" s="131"/>
      <c r="U552" s="131"/>
      <c r="V552" s="131"/>
      <c r="W552" s="131"/>
      <c r="X552" s="131"/>
      <c r="Y552" s="131"/>
      <c r="Z552" s="142"/>
      <c r="AA552" s="142"/>
      <c r="AB552" s="142"/>
      <c r="AC552" s="142"/>
      <c r="AD552" s="142"/>
      <c r="AE552" s="142"/>
      <c r="AF552" s="142"/>
      <c r="AG552" s="142"/>
      <c r="AH552" s="142"/>
      <c r="AI552" s="142"/>
      <c r="AJ552" s="142"/>
      <c r="AK552" s="142"/>
      <c r="AL552" s="142"/>
      <c r="AM552" s="142"/>
      <c r="AN552" s="142"/>
      <c r="AO552" s="142"/>
    </row>
    <row r="553" ht="15.75" customHeight="1">
      <c r="A553" s="142"/>
      <c r="B553" s="142"/>
      <c r="C553" s="142"/>
      <c r="D553" s="142"/>
      <c r="E553" s="131"/>
      <c r="F553" s="142"/>
      <c r="G553" s="142"/>
      <c r="H553" s="142"/>
      <c r="I553" s="142"/>
      <c r="J553" s="142"/>
      <c r="K553" s="132"/>
      <c r="L553" s="131"/>
      <c r="M553" s="131"/>
      <c r="N553" s="142"/>
      <c r="O553" s="142"/>
      <c r="P553" s="142"/>
      <c r="Q553" s="142"/>
      <c r="R553" s="142"/>
      <c r="S553" s="142"/>
      <c r="T553" s="131"/>
      <c r="U553" s="131"/>
      <c r="V553" s="131"/>
      <c r="W553" s="131"/>
      <c r="X553" s="131"/>
      <c r="Y553" s="131"/>
      <c r="Z553" s="142"/>
      <c r="AA553" s="142"/>
      <c r="AB553" s="142"/>
      <c r="AC553" s="142"/>
      <c r="AD553" s="142"/>
      <c r="AE553" s="142"/>
      <c r="AF553" s="142"/>
      <c r="AG553" s="142"/>
      <c r="AH553" s="142"/>
      <c r="AI553" s="142"/>
      <c r="AJ553" s="142"/>
      <c r="AK553" s="142"/>
      <c r="AL553" s="142"/>
      <c r="AM553" s="142"/>
      <c r="AN553" s="142"/>
      <c r="AO553" s="142"/>
    </row>
    <row r="554" ht="15.75" customHeight="1">
      <c r="A554" s="142"/>
      <c r="B554" s="142"/>
      <c r="C554" s="142"/>
      <c r="D554" s="142"/>
      <c r="E554" s="131"/>
      <c r="F554" s="142"/>
      <c r="G554" s="142"/>
      <c r="H554" s="142"/>
      <c r="I554" s="142"/>
      <c r="J554" s="142"/>
      <c r="K554" s="132"/>
      <c r="L554" s="131"/>
      <c r="M554" s="131"/>
      <c r="N554" s="142"/>
      <c r="O554" s="142"/>
      <c r="P554" s="142"/>
      <c r="Q554" s="142"/>
      <c r="R554" s="142"/>
      <c r="S554" s="142"/>
      <c r="T554" s="131"/>
      <c r="U554" s="131"/>
      <c r="V554" s="131"/>
      <c r="W554" s="131"/>
      <c r="X554" s="131"/>
      <c r="Y554" s="131"/>
      <c r="Z554" s="142"/>
      <c r="AA554" s="142"/>
      <c r="AB554" s="142"/>
      <c r="AC554" s="142"/>
      <c r="AD554" s="142"/>
      <c r="AE554" s="142"/>
      <c r="AF554" s="142"/>
      <c r="AG554" s="142"/>
      <c r="AH554" s="142"/>
      <c r="AI554" s="142"/>
      <c r="AJ554" s="142"/>
      <c r="AK554" s="142"/>
      <c r="AL554" s="142"/>
      <c r="AM554" s="142"/>
      <c r="AN554" s="142"/>
      <c r="AO554" s="142"/>
    </row>
    <row r="555" ht="15.75" customHeight="1">
      <c r="A555" s="142"/>
      <c r="B555" s="142"/>
      <c r="C555" s="142"/>
      <c r="D555" s="142"/>
      <c r="E555" s="131"/>
      <c r="F555" s="142"/>
      <c r="G555" s="142"/>
      <c r="H555" s="142"/>
      <c r="I555" s="142"/>
      <c r="J555" s="142"/>
      <c r="K555" s="132"/>
      <c r="L555" s="131"/>
      <c r="M555" s="131"/>
      <c r="N555" s="142"/>
      <c r="O555" s="142"/>
      <c r="P555" s="142"/>
      <c r="Q555" s="142"/>
      <c r="R555" s="142"/>
      <c r="S555" s="142"/>
      <c r="T555" s="131"/>
      <c r="U555" s="131"/>
      <c r="V555" s="131"/>
      <c r="W555" s="131"/>
      <c r="X555" s="131"/>
      <c r="Y555" s="131"/>
      <c r="Z555" s="142"/>
      <c r="AA555" s="142"/>
      <c r="AB555" s="142"/>
      <c r="AC555" s="142"/>
      <c r="AD555" s="142"/>
      <c r="AE555" s="142"/>
      <c r="AF555" s="142"/>
      <c r="AG555" s="142"/>
      <c r="AH555" s="142"/>
      <c r="AI555" s="142"/>
      <c r="AJ555" s="142"/>
      <c r="AK555" s="142"/>
      <c r="AL555" s="142"/>
      <c r="AM555" s="142"/>
      <c r="AN555" s="142"/>
      <c r="AO555" s="142"/>
    </row>
    <row r="556" ht="15.75" customHeight="1">
      <c r="A556" s="142"/>
      <c r="B556" s="142"/>
      <c r="C556" s="142"/>
      <c r="D556" s="142"/>
      <c r="E556" s="131"/>
      <c r="F556" s="142"/>
      <c r="G556" s="142"/>
      <c r="H556" s="142"/>
      <c r="I556" s="142"/>
      <c r="J556" s="142"/>
      <c r="K556" s="132"/>
      <c r="L556" s="131"/>
      <c r="M556" s="131"/>
      <c r="N556" s="142"/>
      <c r="O556" s="142"/>
      <c r="P556" s="142"/>
      <c r="Q556" s="142"/>
      <c r="R556" s="142"/>
      <c r="S556" s="142"/>
      <c r="T556" s="131"/>
      <c r="U556" s="131"/>
      <c r="V556" s="131"/>
      <c r="W556" s="131"/>
      <c r="X556" s="131"/>
      <c r="Y556" s="131"/>
      <c r="Z556" s="142"/>
      <c r="AA556" s="142"/>
      <c r="AB556" s="142"/>
      <c r="AC556" s="142"/>
      <c r="AD556" s="142"/>
      <c r="AE556" s="142"/>
      <c r="AF556" s="142"/>
      <c r="AG556" s="142"/>
      <c r="AH556" s="142"/>
      <c r="AI556" s="142"/>
      <c r="AJ556" s="142"/>
      <c r="AK556" s="142"/>
      <c r="AL556" s="142"/>
      <c r="AM556" s="142"/>
      <c r="AN556" s="142"/>
      <c r="AO556" s="142"/>
    </row>
    <row r="557" ht="15.75" customHeight="1">
      <c r="A557" s="142"/>
      <c r="B557" s="142"/>
      <c r="C557" s="142"/>
      <c r="D557" s="142"/>
      <c r="E557" s="131"/>
      <c r="F557" s="142"/>
      <c r="G557" s="142"/>
      <c r="H557" s="142"/>
      <c r="I557" s="142"/>
      <c r="J557" s="142"/>
      <c r="K557" s="132"/>
      <c r="L557" s="131"/>
      <c r="M557" s="131"/>
      <c r="N557" s="142"/>
      <c r="O557" s="142"/>
      <c r="P557" s="142"/>
      <c r="Q557" s="142"/>
      <c r="R557" s="142"/>
      <c r="S557" s="142"/>
      <c r="T557" s="131"/>
      <c r="U557" s="131"/>
      <c r="V557" s="131"/>
      <c r="W557" s="131"/>
      <c r="X557" s="131"/>
      <c r="Y557" s="131"/>
      <c r="Z557" s="142"/>
      <c r="AA557" s="142"/>
      <c r="AB557" s="142"/>
      <c r="AC557" s="142"/>
      <c r="AD557" s="142"/>
      <c r="AE557" s="142"/>
      <c r="AF557" s="142"/>
      <c r="AG557" s="142"/>
      <c r="AH557" s="142"/>
      <c r="AI557" s="142"/>
      <c r="AJ557" s="142"/>
      <c r="AK557" s="142"/>
      <c r="AL557" s="142"/>
      <c r="AM557" s="142"/>
      <c r="AN557" s="142"/>
      <c r="AO557" s="142"/>
    </row>
    <row r="558" ht="15.75" customHeight="1">
      <c r="A558" s="142"/>
      <c r="B558" s="142"/>
      <c r="C558" s="142"/>
      <c r="D558" s="142"/>
      <c r="E558" s="131"/>
      <c r="F558" s="142"/>
      <c r="G558" s="142"/>
      <c r="H558" s="142"/>
      <c r="I558" s="142"/>
      <c r="J558" s="142"/>
      <c r="K558" s="132"/>
      <c r="L558" s="131"/>
      <c r="M558" s="131"/>
      <c r="N558" s="142"/>
      <c r="O558" s="142"/>
      <c r="P558" s="142"/>
      <c r="Q558" s="142"/>
      <c r="R558" s="142"/>
      <c r="S558" s="142"/>
      <c r="T558" s="131"/>
      <c r="U558" s="131"/>
      <c r="V558" s="131"/>
      <c r="W558" s="131"/>
      <c r="X558" s="131"/>
      <c r="Y558" s="131"/>
      <c r="Z558" s="142"/>
      <c r="AA558" s="142"/>
      <c r="AB558" s="142"/>
      <c r="AC558" s="142"/>
      <c r="AD558" s="142"/>
      <c r="AE558" s="142"/>
      <c r="AF558" s="142"/>
      <c r="AG558" s="142"/>
      <c r="AH558" s="142"/>
      <c r="AI558" s="142"/>
      <c r="AJ558" s="142"/>
      <c r="AK558" s="142"/>
      <c r="AL558" s="142"/>
      <c r="AM558" s="142"/>
      <c r="AN558" s="142"/>
      <c r="AO558" s="142"/>
    </row>
    <row r="559" ht="15.75" customHeight="1">
      <c r="A559" s="142"/>
      <c r="B559" s="142"/>
      <c r="C559" s="142"/>
      <c r="D559" s="142"/>
      <c r="E559" s="131"/>
      <c r="F559" s="142"/>
      <c r="G559" s="142"/>
      <c r="H559" s="142"/>
      <c r="I559" s="142"/>
      <c r="J559" s="142"/>
      <c r="K559" s="132"/>
      <c r="L559" s="131"/>
      <c r="M559" s="131"/>
      <c r="N559" s="142"/>
      <c r="O559" s="142"/>
      <c r="P559" s="142"/>
      <c r="Q559" s="142"/>
      <c r="R559" s="142"/>
      <c r="S559" s="142"/>
      <c r="T559" s="131"/>
      <c r="U559" s="131"/>
      <c r="V559" s="131"/>
      <c r="W559" s="131"/>
      <c r="X559" s="131"/>
      <c r="Y559" s="131"/>
      <c r="Z559" s="142"/>
      <c r="AA559" s="142"/>
      <c r="AB559" s="142"/>
      <c r="AC559" s="142"/>
      <c r="AD559" s="142"/>
      <c r="AE559" s="142"/>
      <c r="AF559" s="142"/>
      <c r="AG559" s="142"/>
      <c r="AH559" s="142"/>
      <c r="AI559" s="142"/>
      <c r="AJ559" s="142"/>
      <c r="AK559" s="142"/>
      <c r="AL559" s="142"/>
      <c r="AM559" s="142"/>
      <c r="AN559" s="142"/>
      <c r="AO559" s="142"/>
    </row>
    <row r="560" ht="15.75" customHeight="1">
      <c r="A560" s="142"/>
      <c r="B560" s="142"/>
      <c r="C560" s="142"/>
      <c r="D560" s="142"/>
      <c r="E560" s="131"/>
      <c r="F560" s="142"/>
      <c r="G560" s="142"/>
      <c r="H560" s="142"/>
      <c r="I560" s="142"/>
      <c r="J560" s="142"/>
      <c r="K560" s="132"/>
      <c r="L560" s="131"/>
      <c r="M560" s="131"/>
      <c r="N560" s="142"/>
      <c r="O560" s="142"/>
      <c r="P560" s="142"/>
      <c r="Q560" s="142"/>
      <c r="R560" s="142"/>
      <c r="S560" s="142"/>
      <c r="T560" s="131"/>
      <c r="U560" s="131"/>
      <c r="V560" s="131"/>
      <c r="W560" s="131"/>
      <c r="X560" s="131"/>
      <c r="Y560" s="131"/>
      <c r="Z560" s="142"/>
      <c r="AA560" s="142"/>
      <c r="AB560" s="142"/>
      <c r="AC560" s="142"/>
      <c r="AD560" s="142"/>
      <c r="AE560" s="142"/>
      <c r="AF560" s="142"/>
      <c r="AG560" s="142"/>
      <c r="AH560" s="142"/>
      <c r="AI560" s="142"/>
      <c r="AJ560" s="142"/>
      <c r="AK560" s="142"/>
      <c r="AL560" s="142"/>
      <c r="AM560" s="142"/>
      <c r="AN560" s="142"/>
      <c r="AO560" s="142"/>
    </row>
    <row r="561" ht="15.75" customHeight="1">
      <c r="A561" s="142"/>
      <c r="B561" s="142"/>
      <c r="C561" s="142"/>
      <c r="D561" s="142"/>
      <c r="E561" s="131"/>
      <c r="F561" s="142"/>
      <c r="G561" s="142"/>
      <c r="H561" s="142"/>
      <c r="I561" s="142"/>
      <c r="J561" s="142"/>
      <c r="K561" s="132"/>
      <c r="L561" s="131"/>
      <c r="M561" s="131"/>
      <c r="N561" s="142"/>
      <c r="O561" s="142"/>
      <c r="P561" s="142"/>
      <c r="Q561" s="142"/>
      <c r="R561" s="142"/>
      <c r="S561" s="142"/>
      <c r="T561" s="131"/>
      <c r="U561" s="131"/>
      <c r="V561" s="131"/>
      <c r="W561" s="131"/>
      <c r="X561" s="131"/>
      <c r="Y561" s="131"/>
      <c r="Z561" s="142"/>
      <c r="AA561" s="142"/>
      <c r="AB561" s="142"/>
      <c r="AC561" s="142"/>
      <c r="AD561" s="142"/>
      <c r="AE561" s="142"/>
      <c r="AF561" s="142"/>
      <c r="AG561" s="142"/>
      <c r="AH561" s="142"/>
      <c r="AI561" s="142"/>
      <c r="AJ561" s="142"/>
      <c r="AK561" s="142"/>
      <c r="AL561" s="142"/>
      <c r="AM561" s="142"/>
      <c r="AN561" s="142"/>
      <c r="AO561" s="142"/>
    </row>
    <row r="562" ht="15.75" customHeight="1">
      <c r="A562" s="142"/>
      <c r="B562" s="142"/>
      <c r="C562" s="142"/>
      <c r="D562" s="142"/>
      <c r="E562" s="131"/>
      <c r="F562" s="142"/>
      <c r="G562" s="142"/>
      <c r="H562" s="142"/>
      <c r="I562" s="142"/>
      <c r="J562" s="142"/>
      <c r="K562" s="132"/>
      <c r="L562" s="131"/>
      <c r="M562" s="131"/>
      <c r="N562" s="142"/>
      <c r="O562" s="142"/>
      <c r="P562" s="142"/>
      <c r="Q562" s="142"/>
      <c r="R562" s="142"/>
      <c r="S562" s="142"/>
      <c r="T562" s="131"/>
      <c r="U562" s="131"/>
      <c r="V562" s="131"/>
      <c r="W562" s="131"/>
      <c r="X562" s="131"/>
      <c r="Y562" s="131"/>
      <c r="Z562" s="142"/>
      <c r="AA562" s="142"/>
      <c r="AB562" s="142"/>
      <c r="AC562" s="142"/>
      <c r="AD562" s="142"/>
      <c r="AE562" s="142"/>
      <c r="AF562" s="142"/>
      <c r="AG562" s="142"/>
      <c r="AH562" s="142"/>
      <c r="AI562" s="142"/>
      <c r="AJ562" s="142"/>
      <c r="AK562" s="142"/>
      <c r="AL562" s="142"/>
      <c r="AM562" s="142"/>
      <c r="AN562" s="142"/>
      <c r="AO562" s="142"/>
    </row>
    <row r="563" ht="15.75" customHeight="1">
      <c r="A563" s="142"/>
      <c r="B563" s="142"/>
      <c r="C563" s="142"/>
      <c r="D563" s="142"/>
      <c r="E563" s="131"/>
      <c r="F563" s="142"/>
      <c r="G563" s="142"/>
      <c r="H563" s="142"/>
      <c r="I563" s="142"/>
      <c r="J563" s="142"/>
      <c r="K563" s="132"/>
      <c r="L563" s="131"/>
      <c r="M563" s="131"/>
      <c r="N563" s="142"/>
      <c r="O563" s="142"/>
      <c r="P563" s="142"/>
      <c r="Q563" s="142"/>
      <c r="R563" s="142"/>
      <c r="S563" s="142"/>
      <c r="T563" s="131"/>
      <c r="U563" s="131"/>
      <c r="V563" s="131"/>
      <c r="W563" s="131"/>
      <c r="X563" s="131"/>
      <c r="Y563" s="131"/>
      <c r="Z563" s="142"/>
      <c r="AA563" s="142"/>
      <c r="AB563" s="142"/>
      <c r="AC563" s="142"/>
      <c r="AD563" s="142"/>
      <c r="AE563" s="142"/>
      <c r="AF563" s="142"/>
      <c r="AG563" s="142"/>
      <c r="AH563" s="142"/>
      <c r="AI563" s="142"/>
      <c r="AJ563" s="142"/>
      <c r="AK563" s="142"/>
      <c r="AL563" s="142"/>
      <c r="AM563" s="142"/>
      <c r="AN563" s="142"/>
      <c r="AO563" s="142"/>
    </row>
    <row r="564" ht="15.75" customHeight="1">
      <c r="A564" s="142"/>
      <c r="B564" s="142"/>
      <c r="C564" s="142"/>
      <c r="D564" s="142"/>
      <c r="E564" s="131"/>
      <c r="F564" s="142"/>
      <c r="G564" s="142"/>
      <c r="H564" s="142"/>
      <c r="I564" s="142"/>
      <c r="J564" s="142"/>
      <c r="K564" s="132"/>
      <c r="L564" s="131"/>
      <c r="M564" s="131"/>
      <c r="N564" s="142"/>
      <c r="O564" s="142"/>
      <c r="P564" s="142"/>
      <c r="Q564" s="142"/>
      <c r="R564" s="142"/>
      <c r="S564" s="142"/>
      <c r="T564" s="131"/>
      <c r="U564" s="131"/>
      <c r="V564" s="131"/>
      <c r="W564" s="131"/>
      <c r="X564" s="131"/>
      <c r="Y564" s="131"/>
      <c r="Z564" s="142"/>
      <c r="AA564" s="142"/>
      <c r="AB564" s="142"/>
      <c r="AC564" s="142"/>
      <c r="AD564" s="142"/>
      <c r="AE564" s="142"/>
      <c r="AF564" s="142"/>
      <c r="AG564" s="142"/>
      <c r="AH564" s="142"/>
      <c r="AI564" s="142"/>
      <c r="AJ564" s="142"/>
      <c r="AK564" s="142"/>
      <c r="AL564" s="142"/>
      <c r="AM564" s="142"/>
      <c r="AN564" s="142"/>
      <c r="AO564" s="142"/>
    </row>
    <row r="565" ht="15.75" customHeight="1">
      <c r="A565" s="142"/>
      <c r="B565" s="142"/>
      <c r="C565" s="142"/>
      <c r="D565" s="142"/>
      <c r="E565" s="131"/>
      <c r="F565" s="142"/>
      <c r="G565" s="142"/>
      <c r="H565" s="142"/>
      <c r="I565" s="142"/>
      <c r="J565" s="142"/>
      <c r="K565" s="132"/>
      <c r="L565" s="131"/>
      <c r="M565" s="131"/>
      <c r="N565" s="142"/>
      <c r="O565" s="142"/>
      <c r="P565" s="142"/>
      <c r="Q565" s="142"/>
      <c r="R565" s="142"/>
      <c r="S565" s="142"/>
      <c r="T565" s="131"/>
      <c r="U565" s="131"/>
      <c r="V565" s="131"/>
      <c r="W565" s="131"/>
      <c r="X565" s="131"/>
      <c r="Y565" s="131"/>
      <c r="Z565" s="142"/>
      <c r="AA565" s="142"/>
      <c r="AB565" s="142"/>
      <c r="AC565" s="142"/>
      <c r="AD565" s="142"/>
      <c r="AE565" s="142"/>
      <c r="AF565" s="142"/>
      <c r="AG565" s="142"/>
      <c r="AH565" s="142"/>
      <c r="AI565" s="142"/>
      <c r="AJ565" s="142"/>
      <c r="AK565" s="142"/>
      <c r="AL565" s="142"/>
      <c r="AM565" s="142"/>
      <c r="AN565" s="142"/>
      <c r="AO565" s="142"/>
    </row>
    <row r="566" ht="15.75" customHeight="1">
      <c r="A566" s="142"/>
      <c r="B566" s="142"/>
      <c r="C566" s="142"/>
      <c r="D566" s="142"/>
      <c r="E566" s="131"/>
      <c r="F566" s="142"/>
      <c r="G566" s="142"/>
      <c r="H566" s="142"/>
      <c r="I566" s="142"/>
      <c r="J566" s="142"/>
      <c r="K566" s="132"/>
      <c r="L566" s="131"/>
      <c r="M566" s="131"/>
      <c r="N566" s="142"/>
      <c r="O566" s="142"/>
      <c r="P566" s="142"/>
      <c r="Q566" s="142"/>
      <c r="R566" s="142"/>
      <c r="S566" s="142"/>
      <c r="T566" s="131"/>
      <c r="U566" s="131"/>
      <c r="V566" s="131"/>
      <c r="W566" s="131"/>
      <c r="X566" s="131"/>
      <c r="Y566" s="131"/>
      <c r="Z566" s="142"/>
      <c r="AA566" s="142"/>
      <c r="AB566" s="142"/>
      <c r="AC566" s="142"/>
      <c r="AD566" s="142"/>
      <c r="AE566" s="142"/>
      <c r="AF566" s="142"/>
      <c r="AG566" s="142"/>
      <c r="AH566" s="142"/>
      <c r="AI566" s="142"/>
      <c r="AJ566" s="142"/>
      <c r="AK566" s="142"/>
      <c r="AL566" s="142"/>
      <c r="AM566" s="142"/>
      <c r="AN566" s="142"/>
      <c r="AO566" s="142"/>
    </row>
    <row r="567" ht="15.75" customHeight="1">
      <c r="A567" s="142"/>
      <c r="B567" s="142"/>
      <c r="C567" s="142"/>
      <c r="D567" s="142"/>
      <c r="E567" s="131"/>
      <c r="F567" s="142"/>
      <c r="G567" s="142"/>
      <c r="H567" s="142"/>
      <c r="I567" s="142"/>
      <c r="J567" s="142"/>
      <c r="K567" s="132"/>
      <c r="L567" s="131"/>
      <c r="M567" s="131"/>
      <c r="N567" s="142"/>
      <c r="O567" s="142"/>
      <c r="P567" s="142"/>
      <c r="Q567" s="142"/>
      <c r="R567" s="142"/>
      <c r="S567" s="142"/>
      <c r="T567" s="131"/>
      <c r="U567" s="131"/>
      <c r="V567" s="131"/>
      <c r="W567" s="131"/>
      <c r="X567" s="131"/>
      <c r="Y567" s="131"/>
      <c r="Z567" s="142"/>
      <c r="AA567" s="142"/>
      <c r="AB567" s="142"/>
      <c r="AC567" s="142"/>
      <c r="AD567" s="142"/>
      <c r="AE567" s="142"/>
      <c r="AF567" s="142"/>
      <c r="AG567" s="142"/>
      <c r="AH567" s="142"/>
      <c r="AI567" s="142"/>
      <c r="AJ567" s="142"/>
      <c r="AK567" s="142"/>
      <c r="AL567" s="142"/>
      <c r="AM567" s="142"/>
      <c r="AN567" s="142"/>
      <c r="AO567" s="142"/>
    </row>
    <row r="568" ht="15.75" customHeight="1">
      <c r="A568" s="142"/>
      <c r="B568" s="142"/>
      <c r="C568" s="142"/>
      <c r="D568" s="142"/>
      <c r="E568" s="131"/>
      <c r="F568" s="142"/>
      <c r="G568" s="142"/>
      <c r="H568" s="142"/>
      <c r="I568" s="142"/>
      <c r="J568" s="142"/>
      <c r="K568" s="132"/>
      <c r="L568" s="131"/>
      <c r="M568" s="131"/>
      <c r="N568" s="142"/>
      <c r="O568" s="142"/>
      <c r="P568" s="142"/>
      <c r="Q568" s="142"/>
      <c r="R568" s="142"/>
      <c r="S568" s="142"/>
      <c r="T568" s="131"/>
      <c r="U568" s="131"/>
      <c r="V568" s="131"/>
      <c r="W568" s="131"/>
      <c r="X568" s="131"/>
      <c r="Y568" s="131"/>
      <c r="Z568" s="142"/>
      <c r="AA568" s="142"/>
      <c r="AB568" s="142"/>
      <c r="AC568" s="142"/>
      <c r="AD568" s="142"/>
      <c r="AE568" s="142"/>
      <c r="AF568" s="142"/>
      <c r="AG568" s="142"/>
      <c r="AH568" s="142"/>
      <c r="AI568" s="142"/>
      <c r="AJ568" s="142"/>
      <c r="AK568" s="142"/>
      <c r="AL568" s="142"/>
      <c r="AM568" s="142"/>
      <c r="AN568" s="142"/>
      <c r="AO568" s="142"/>
    </row>
    <row r="569" ht="15.75" customHeight="1">
      <c r="A569" s="142"/>
      <c r="B569" s="142"/>
      <c r="C569" s="142"/>
      <c r="D569" s="142"/>
      <c r="E569" s="131"/>
      <c r="F569" s="142"/>
      <c r="G569" s="142"/>
      <c r="H569" s="142"/>
      <c r="I569" s="142"/>
      <c r="J569" s="142"/>
      <c r="K569" s="132"/>
      <c r="L569" s="131"/>
      <c r="M569" s="131"/>
      <c r="N569" s="142"/>
      <c r="O569" s="142"/>
      <c r="P569" s="142"/>
      <c r="Q569" s="142"/>
      <c r="R569" s="142"/>
      <c r="S569" s="142"/>
      <c r="T569" s="131"/>
      <c r="U569" s="131"/>
      <c r="V569" s="131"/>
      <c r="W569" s="131"/>
      <c r="X569" s="131"/>
      <c r="Y569" s="131"/>
      <c r="Z569" s="142"/>
      <c r="AA569" s="142"/>
      <c r="AB569" s="142"/>
      <c r="AC569" s="142"/>
      <c r="AD569" s="142"/>
      <c r="AE569" s="142"/>
      <c r="AF569" s="142"/>
      <c r="AG569" s="142"/>
      <c r="AH569" s="142"/>
      <c r="AI569" s="142"/>
      <c r="AJ569" s="142"/>
      <c r="AK569" s="142"/>
      <c r="AL569" s="142"/>
      <c r="AM569" s="142"/>
      <c r="AN569" s="142"/>
      <c r="AO569" s="142"/>
    </row>
    <row r="570" ht="15.75" customHeight="1">
      <c r="A570" s="142"/>
      <c r="B570" s="142"/>
      <c r="C570" s="142"/>
      <c r="D570" s="142"/>
      <c r="E570" s="131"/>
      <c r="F570" s="142"/>
      <c r="G570" s="142"/>
      <c r="H570" s="142"/>
      <c r="I570" s="142"/>
      <c r="J570" s="142"/>
      <c r="K570" s="132"/>
      <c r="L570" s="131"/>
      <c r="M570" s="131"/>
      <c r="N570" s="142"/>
      <c r="O570" s="142"/>
      <c r="P570" s="142"/>
      <c r="Q570" s="142"/>
      <c r="R570" s="142"/>
      <c r="S570" s="142"/>
      <c r="T570" s="131"/>
      <c r="U570" s="131"/>
      <c r="V570" s="131"/>
      <c r="W570" s="131"/>
      <c r="X570" s="131"/>
      <c r="Y570" s="131"/>
      <c r="Z570" s="142"/>
      <c r="AA570" s="142"/>
      <c r="AB570" s="142"/>
      <c r="AC570" s="142"/>
      <c r="AD570" s="142"/>
      <c r="AE570" s="142"/>
      <c r="AF570" s="142"/>
      <c r="AG570" s="142"/>
      <c r="AH570" s="142"/>
      <c r="AI570" s="142"/>
      <c r="AJ570" s="142"/>
      <c r="AK570" s="142"/>
      <c r="AL570" s="142"/>
      <c r="AM570" s="142"/>
      <c r="AN570" s="142"/>
      <c r="AO570" s="142"/>
    </row>
    <row r="571" ht="15.75" customHeight="1">
      <c r="A571" s="142"/>
      <c r="B571" s="142"/>
      <c r="C571" s="142"/>
      <c r="D571" s="142"/>
      <c r="E571" s="131"/>
      <c r="F571" s="142"/>
      <c r="G571" s="142"/>
      <c r="H571" s="142"/>
      <c r="I571" s="142"/>
      <c r="J571" s="142"/>
      <c r="K571" s="132"/>
      <c r="L571" s="131"/>
      <c r="M571" s="131"/>
      <c r="N571" s="142"/>
      <c r="O571" s="142"/>
      <c r="P571" s="142"/>
      <c r="Q571" s="142"/>
      <c r="R571" s="142"/>
      <c r="S571" s="142"/>
      <c r="T571" s="131"/>
      <c r="U571" s="131"/>
      <c r="V571" s="131"/>
      <c r="W571" s="131"/>
      <c r="X571" s="131"/>
      <c r="Y571" s="131"/>
      <c r="Z571" s="142"/>
      <c r="AA571" s="142"/>
      <c r="AB571" s="142"/>
      <c r="AC571" s="142"/>
      <c r="AD571" s="142"/>
      <c r="AE571" s="142"/>
      <c r="AF571" s="142"/>
      <c r="AG571" s="142"/>
      <c r="AH571" s="142"/>
      <c r="AI571" s="142"/>
      <c r="AJ571" s="142"/>
      <c r="AK571" s="142"/>
      <c r="AL571" s="142"/>
      <c r="AM571" s="142"/>
      <c r="AN571" s="142"/>
      <c r="AO571" s="142"/>
    </row>
    <row r="572" ht="15.75" customHeight="1">
      <c r="A572" s="142"/>
      <c r="B572" s="142"/>
      <c r="C572" s="142"/>
      <c r="D572" s="142"/>
      <c r="E572" s="131"/>
      <c r="F572" s="142"/>
      <c r="G572" s="142"/>
      <c r="H572" s="142"/>
      <c r="I572" s="142"/>
      <c r="J572" s="142"/>
      <c r="K572" s="132"/>
      <c r="L572" s="131"/>
      <c r="M572" s="131"/>
      <c r="N572" s="142"/>
      <c r="O572" s="142"/>
      <c r="P572" s="142"/>
      <c r="Q572" s="142"/>
      <c r="R572" s="142"/>
      <c r="S572" s="142"/>
      <c r="T572" s="131"/>
      <c r="U572" s="131"/>
      <c r="V572" s="131"/>
      <c r="W572" s="131"/>
      <c r="X572" s="131"/>
      <c r="Y572" s="131"/>
      <c r="Z572" s="142"/>
      <c r="AA572" s="142"/>
      <c r="AB572" s="142"/>
      <c r="AC572" s="142"/>
      <c r="AD572" s="142"/>
      <c r="AE572" s="142"/>
      <c r="AF572" s="142"/>
      <c r="AG572" s="142"/>
      <c r="AH572" s="142"/>
      <c r="AI572" s="142"/>
      <c r="AJ572" s="142"/>
      <c r="AK572" s="142"/>
      <c r="AL572" s="142"/>
      <c r="AM572" s="142"/>
      <c r="AN572" s="142"/>
      <c r="AO572" s="142"/>
    </row>
    <row r="573" ht="15.75" customHeight="1">
      <c r="A573" s="142"/>
      <c r="B573" s="142"/>
      <c r="C573" s="142"/>
      <c r="D573" s="142"/>
      <c r="E573" s="131"/>
      <c r="F573" s="142"/>
      <c r="G573" s="142"/>
      <c r="H573" s="142"/>
      <c r="I573" s="142"/>
      <c r="J573" s="142"/>
      <c r="K573" s="132"/>
      <c r="L573" s="131"/>
      <c r="M573" s="131"/>
      <c r="N573" s="142"/>
      <c r="O573" s="142"/>
      <c r="P573" s="142"/>
      <c r="Q573" s="142"/>
      <c r="R573" s="142"/>
      <c r="S573" s="142"/>
      <c r="T573" s="131"/>
      <c r="U573" s="131"/>
      <c r="V573" s="131"/>
      <c r="W573" s="131"/>
      <c r="X573" s="131"/>
      <c r="Y573" s="131"/>
      <c r="Z573" s="142"/>
      <c r="AA573" s="142"/>
      <c r="AB573" s="142"/>
      <c r="AC573" s="142"/>
      <c r="AD573" s="142"/>
      <c r="AE573" s="142"/>
      <c r="AF573" s="142"/>
      <c r="AG573" s="142"/>
      <c r="AH573" s="142"/>
      <c r="AI573" s="142"/>
      <c r="AJ573" s="142"/>
      <c r="AK573" s="142"/>
      <c r="AL573" s="142"/>
      <c r="AM573" s="142"/>
      <c r="AN573" s="142"/>
      <c r="AO573" s="142"/>
    </row>
    <row r="574" ht="15.75" customHeight="1">
      <c r="A574" s="142"/>
      <c r="B574" s="142"/>
      <c r="C574" s="142"/>
      <c r="D574" s="142"/>
      <c r="E574" s="131"/>
      <c r="F574" s="142"/>
      <c r="G574" s="142"/>
      <c r="H574" s="142"/>
      <c r="I574" s="142"/>
      <c r="J574" s="142"/>
      <c r="K574" s="132"/>
      <c r="L574" s="131"/>
      <c r="M574" s="131"/>
      <c r="N574" s="142"/>
      <c r="O574" s="142"/>
      <c r="P574" s="142"/>
      <c r="Q574" s="142"/>
      <c r="R574" s="142"/>
      <c r="S574" s="142"/>
      <c r="T574" s="131"/>
      <c r="U574" s="131"/>
      <c r="V574" s="131"/>
      <c r="W574" s="131"/>
      <c r="X574" s="131"/>
      <c r="Y574" s="131"/>
      <c r="Z574" s="142"/>
      <c r="AA574" s="142"/>
      <c r="AB574" s="142"/>
      <c r="AC574" s="142"/>
      <c r="AD574" s="142"/>
      <c r="AE574" s="142"/>
      <c r="AF574" s="142"/>
      <c r="AG574" s="142"/>
      <c r="AH574" s="142"/>
      <c r="AI574" s="142"/>
      <c r="AJ574" s="142"/>
      <c r="AK574" s="142"/>
      <c r="AL574" s="142"/>
      <c r="AM574" s="142"/>
      <c r="AN574" s="142"/>
      <c r="AO574" s="142"/>
    </row>
    <row r="575" ht="15.75" customHeight="1">
      <c r="A575" s="142"/>
      <c r="B575" s="142"/>
      <c r="C575" s="142"/>
      <c r="D575" s="142"/>
      <c r="E575" s="131"/>
      <c r="F575" s="142"/>
      <c r="G575" s="142"/>
      <c r="H575" s="142"/>
      <c r="I575" s="142"/>
      <c r="J575" s="142"/>
      <c r="K575" s="132"/>
      <c r="L575" s="131"/>
      <c r="M575" s="131"/>
      <c r="N575" s="142"/>
      <c r="O575" s="142"/>
      <c r="P575" s="142"/>
      <c r="Q575" s="142"/>
      <c r="R575" s="142"/>
      <c r="S575" s="142"/>
      <c r="T575" s="131"/>
      <c r="U575" s="131"/>
      <c r="V575" s="131"/>
      <c r="W575" s="131"/>
      <c r="X575" s="131"/>
      <c r="Y575" s="131"/>
      <c r="Z575" s="142"/>
      <c r="AA575" s="142"/>
      <c r="AB575" s="142"/>
      <c r="AC575" s="142"/>
      <c r="AD575" s="142"/>
      <c r="AE575" s="142"/>
      <c r="AF575" s="142"/>
      <c r="AG575" s="142"/>
      <c r="AH575" s="142"/>
      <c r="AI575" s="142"/>
      <c r="AJ575" s="142"/>
      <c r="AK575" s="142"/>
      <c r="AL575" s="142"/>
      <c r="AM575" s="142"/>
      <c r="AN575" s="142"/>
      <c r="AO575" s="142"/>
    </row>
    <row r="576" ht="15.75" customHeight="1">
      <c r="A576" s="142"/>
      <c r="B576" s="142"/>
      <c r="C576" s="142"/>
      <c r="D576" s="142"/>
      <c r="E576" s="131"/>
      <c r="F576" s="142"/>
      <c r="G576" s="142"/>
      <c r="H576" s="142"/>
      <c r="I576" s="142"/>
      <c r="J576" s="142"/>
      <c r="K576" s="132"/>
      <c r="L576" s="131"/>
      <c r="M576" s="131"/>
      <c r="N576" s="142"/>
      <c r="O576" s="142"/>
      <c r="P576" s="142"/>
      <c r="Q576" s="142"/>
      <c r="R576" s="142"/>
      <c r="S576" s="142"/>
      <c r="T576" s="131"/>
      <c r="U576" s="131"/>
      <c r="V576" s="131"/>
      <c r="W576" s="131"/>
      <c r="X576" s="131"/>
      <c r="Y576" s="131"/>
      <c r="Z576" s="142"/>
      <c r="AA576" s="142"/>
      <c r="AB576" s="142"/>
      <c r="AC576" s="142"/>
      <c r="AD576" s="142"/>
      <c r="AE576" s="142"/>
      <c r="AF576" s="142"/>
      <c r="AG576" s="142"/>
      <c r="AH576" s="142"/>
      <c r="AI576" s="142"/>
      <c r="AJ576" s="142"/>
      <c r="AK576" s="142"/>
      <c r="AL576" s="142"/>
      <c r="AM576" s="142"/>
      <c r="AN576" s="142"/>
      <c r="AO576" s="142"/>
    </row>
    <row r="577" ht="15.75" customHeight="1">
      <c r="A577" s="142"/>
      <c r="B577" s="142"/>
      <c r="C577" s="142"/>
      <c r="D577" s="142"/>
      <c r="E577" s="131"/>
      <c r="F577" s="142"/>
      <c r="G577" s="142"/>
      <c r="H577" s="142"/>
      <c r="I577" s="142"/>
      <c r="J577" s="142"/>
      <c r="K577" s="132"/>
      <c r="L577" s="131"/>
      <c r="M577" s="131"/>
      <c r="N577" s="142"/>
      <c r="O577" s="142"/>
      <c r="P577" s="142"/>
      <c r="Q577" s="142"/>
      <c r="R577" s="142"/>
      <c r="S577" s="142"/>
      <c r="T577" s="131"/>
      <c r="U577" s="131"/>
      <c r="V577" s="131"/>
      <c r="W577" s="131"/>
      <c r="X577" s="131"/>
      <c r="Y577" s="131"/>
      <c r="Z577" s="142"/>
      <c r="AA577" s="142"/>
      <c r="AB577" s="142"/>
      <c r="AC577" s="142"/>
      <c r="AD577" s="142"/>
      <c r="AE577" s="142"/>
      <c r="AF577" s="142"/>
      <c r="AG577" s="142"/>
      <c r="AH577" s="142"/>
      <c r="AI577" s="142"/>
      <c r="AJ577" s="142"/>
      <c r="AK577" s="142"/>
      <c r="AL577" s="142"/>
      <c r="AM577" s="142"/>
      <c r="AN577" s="142"/>
      <c r="AO577" s="142"/>
    </row>
    <row r="578" ht="15.75" customHeight="1">
      <c r="A578" s="142"/>
      <c r="B578" s="142"/>
      <c r="C578" s="142"/>
      <c r="D578" s="142"/>
      <c r="E578" s="131"/>
      <c r="F578" s="142"/>
      <c r="G578" s="142"/>
      <c r="H578" s="142"/>
      <c r="I578" s="142"/>
      <c r="J578" s="142"/>
      <c r="K578" s="132"/>
      <c r="L578" s="131"/>
      <c r="M578" s="131"/>
      <c r="N578" s="142"/>
      <c r="O578" s="142"/>
      <c r="P578" s="142"/>
      <c r="Q578" s="142"/>
      <c r="R578" s="142"/>
      <c r="S578" s="142"/>
      <c r="T578" s="131"/>
      <c r="U578" s="131"/>
      <c r="V578" s="131"/>
      <c r="W578" s="131"/>
      <c r="X578" s="131"/>
      <c r="Y578" s="131"/>
      <c r="Z578" s="142"/>
      <c r="AA578" s="142"/>
      <c r="AB578" s="142"/>
      <c r="AC578" s="142"/>
      <c r="AD578" s="142"/>
      <c r="AE578" s="142"/>
      <c r="AF578" s="142"/>
      <c r="AG578" s="142"/>
      <c r="AH578" s="142"/>
      <c r="AI578" s="142"/>
      <c r="AJ578" s="142"/>
      <c r="AK578" s="142"/>
      <c r="AL578" s="142"/>
      <c r="AM578" s="142"/>
      <c r="AN578" s="142"/>
      <c r="AO578" s="142"/>
    </row>
    <row r="579" ht="15.75" customHeight="1">
      <c r="A579" s="142"/>
      <c r="B579" s="142"/>
      <c r="C579" s="142"/>
      <c r="D579" s="142"/>
      <c r="E579" s="131"/>
      <c r="F579" s="142"/>
      <c r="G579" s="142"/>
      <c r="H579" s="142"/>
      <c r="I579" s="142"/>
      <c r="J579" s="142"/>
      <c r="K579" s="132"/>
      <c r="L579" s="131"/>
      <c r="M579" s="131"/>
      <c r="N579" s="142"/>
      <c r="O579" s="142"/>
      <c r="P579" s="142"/>
      <c r="Q579" s="142"/>
      <c r="R579" s="142"/>
      <c r="S579" s="142"/>
      <c r="T579" s="131"/>
      <c r="U579" s="131"/>
      <c r="V579" s="131"/>
      <c r="W579" s="131"/>
      <c r="X579" s="131"/>
      <c r="Y579" s="131"/>
      <c r="Z579" s="142"/>
      <c r="AA579" s="142"/>
      <c r="AB579" s="142"/>
      <c r="AC579" s="142"/>
      <c r="AD579" s="142"/>
      <c r="AE579" s="142"/>
      <c r="AF579" s="142"/>
      <c r="AG579" s="142"/>
      <c r="AH579" s="142"/>
      <c r="AI579" s="142"/>
      <c r="AJ579" s="142"/>
      <c r="AK579" s="142"/>
      <c r="AL579" s="142"/>
      <c r="AM579" s="142"/>
      <c r="AN579" s="142"/>
      <c r="AO579" s="142"/>
    </row>
    <row r="580" ht="15.75" customHeight="1">
      <c r="A580" s="142"/>
      <c r="B580" s="142"/>
      <c r="C580" s="142"/>
      <c r="D580" s="142"/>
      <c r="E580" s="131"/>
      <c r="F580" s="142"/>
      <c r="G580" s="142"/>
      <c r="H580" s="142"/>
      <c r="I580" s="142"/>
      <c r="J580" s="142"/>
      <c r="K580" s="132"/>
      <c r="L580" s="131"/>
      <c r="M580" s="131"/>
      <c r="N580" s="142"/>
      <c r="O580" s="142"/>
      <c r="P580" s="142"/>
      <c r="Q580" s="142"/>
      <c r="R580" s="142"/>
      <c r="S580" s="142"/>
      <c r="T580" s="131"/>
      <c r="U580" s="131"/>
      <c r="V580" s="131"/>
      <c r="W580" s="131"/>
      <c r="X580" s="131"/>
      <c r="Y580" s="131"/>
      <c r="Z580" s="142"/>
      <c r="AA580" s="142"/>
      <c r="AB580" s="142"/>
      <c r="AC580" s="142"/>
      <c r="AD580" s="142"/>
      <c r="AE580" s="142"/>
      <c r="AF580" s="142"/>
      <c r="AG580" s="142"/>
      <c r="AH580" s="142"/>
      <c r="AI580" s="142"/>
      <c r="AJ580" s="142"/>
      <c r="AK580" s="142"/>
      <c r="AL580" s="142"/>
      <c r="AM580" s="142"/>
      <c r="AN580" s="142"/>
      <c r="AO580" s="142"/>
    </row>
    <row r="581" ht="15.75" customHeight="1">
      <c r="A581" s="142"/>
      <c r="B581" s="142"/>
      <c r="C581" s="142"/>
      <c r="D581" s="142"/>
      <c r="E581" s="131"/>
      <c r="F581" s="142"/>
      <c r="G581" s="142"/>
      <c r="H581" s="142"/>
      <c r="I581" s="142"/>
      <c r="J581" s="142"/>
      <c r="K581" s="132"/>
      <c r="L581" s="131"/>
      <c r="M581" s="131"/>
      <c r="N581" s="142"/>
      <c r="O581" s="142"/>
      <c r="P581" s="142"/>
      <c r="Q581" s="142"/>
      <c r="R581" s="142"/>
      <c r="S581" s="142"/>
      <c r="T581" s="131"/>
      <c r="U581" s="131"/>
      <c r="V581" s="131"/>
      <c r="W581" s="131"/>
      <c r="X581" s="131"/>
      <c r="Y581" s="131"/>
      <c r="Z581" s="142"/>
      <c r="AA581" s="142"/>
      <c r="AB581" s="142"/>
      <c r="AC581" s="142"/>
      <c r="AD581" s="142"/>
      <c r="AE581" s="142"/>
      <c r="AF581" s="142"/>
      <c r="AG581" s="142"/>
      <c r="AH581" s="142"/>
      <c r="AI581" s="142"/>
      <c r="AJ581" s="142"/>
      <c r="AK581" s="142"/>
      <c r="AL581" s="142"/>
      <c r="AM581" s="142"/>
      <c r="AN581" s="142"/>
      <c r="AO581" s="142"/>
    </row>
    <row r="582" ht="15.75" customHeight="1">
      <c r="A582" s="142"/>
      <c r="B582" s="142"/>
      <c r="C582" s="142"/>
      <c r="D582" s="142"/>
      <c r="E582" s="131"/>
      <c r="F582" s="142"/>
      <c r="G582" s="142"/>
      <c r="H582" s="142"/>
      <c r="I582" s="142"/>
      <c r="J582" s="142"/>
      <c r="K582" s="132"/>
      <c r="L582" s="131"/>
      <c r="M582" s="131"/>
      <c r="N582" s="142"/>
      <c r="O582" s="142"/>
      <c r="P582" s="142"/>
      <c r="Q582" s="142"/>
      <c r="R582" s="142"/>
      <c r="S582" s="142"/>
      <c r="T582" s="131"/>
      <c r="U582" s="131"/>
      <c r="V582" s="131"/>
      <c r="W582" s="131"/>
      <c r="X582" s="131"/>
      <c r="Y582" s="131"/>
      <c r="Z582" s="142"/>
      <c r="AA582" s="142"/>
      <c r="AB582" s="142"/>
      <c r="AC582" s="142"/>
      <c r="AD582" s="142"/>
      <c r="AE582" s="142"/>
      <c r="AF582" s="142"/>
      <c r="AG582" s="142"/>
      <c r="AH582" s="142"/>
      <c r="AI582" s="142"/>
      <c r="AJ582" s="142"/>
      <c r="AK582" s="142"/>
      <c r="AL582" s="142"/>
      <c r="AM582" s="142"/>
      <c r="AN582" s="142"/>
      <c r="AO582" s="142"/>
    </row>
    <row r="583" ht="15.75" customHeight="1">
      <c r="A583" s="142"/>
      <c r="B583" s="142"/>
      <c r="C583" s="142"/>
      <c r="D583" s="142"/>
      <c r="E583" s="131"/>
      <c r="F583" s="142"/>
      <c r="G583" s="142"/>
      <c r="H583" s="142"/>
      <c r="I583" s="142"/>
      <c r="J583" s="142"/>
      <c r="K583" s="132"/>
      <c r="L583" s="131"/>
      <c r="M583" s="131"/>
      <c r="N583" s="142"/>
      <c r="O583" s="142"/>
      <c r="P583" s="142"/>
      <c r="Q583" s="142"/>
      <c r="R583" s="142"/>
      <c r="S583" s="142"/>
      <c r="T583" s="131"/>
      <c r="U583" s="131"/>
      <c r="V583" s="131"/>
      <c r="W583" s="131"/>
      <c r="X583" s="131"/>
      <c r="Y583" s="131"/>
      <c r="Z583" s="142"/>
      <c r="AA583" s="142"/>
      <c r="AB583" s="142"/>
      <c r="AC583" s="142"/>
      <c r="AD583" s="142"/>
      <c r="AE583" s="142"/>
      <c r="AF583" s="142"/>
      <c r="AG583" s="142"/>
      <c r="AH583" s="142"/>
      <c r="AI583" s="142"/>
      <c r="AJ583" s="142"/>
      <c r="AK583" s="142"/>
      <c r="AL583" s="142"/>
      <c r="AM583" s="142"/>
      <c r="AN583" s="142"/>
      <c r="AO583" s="142"/>
    </row>
    <row r="584" ht="15.75" customHeight="1">
      <c r="A584" s="142"/>
      <c r="B584" s="142"/>
      <c r="C584" s="142"/>
      <c r="D584" s="142"/>
      <c r="E584" s="131"/>
      <c r="F584" s="142"/>
      <c r="G584" s="142"/>
      <c r="H584" s="142"/>
      <c r="I584" s="142"/>
      <c r="J584" s="142"/>
      <c r="K584" s="132"/>
      <c r="L584" s="131"/>
      <c r="M584" s="131"/>
      <c r="N584" s="142"/>
      <c r="O584" s="142"/>
      <c r="P584" s="142"/>
      <c r="Q584" s="142"/>
      <c r="R584" s="142"/>
      <c r="S584" s="142"/>
      <c r="T584" s="131"/>
      <c r="U584" s="131"/>
      <c r="V584" s="131"/>
      <c r="W584" s="131"/>
      <c r="X584" s="131"/>
      <c r="Y584" s="131"/>
      <c r="Z584" s="142"/>
      <c r="AA584" s="142"/>
      <c r="AB584" s="142"/>
      <c r="AC584" s="142"/>
      <c r="AD584" s="142"/>
      <c r="AE584" s="142"/>
      <c r="AF584" s="142"/>
      <c r="AG584" s="142"/>
      <c r="AH584" s="142"/>
      <c r="AI584" s="142"/>
      <c r="AJ584" s="142"/>
      <c r="AK584" s="142"/>
      <c r="AL584" s="142"/>
      <c r="AM584" s="142"/>
      <c r="AN584" s="142"/>
      <c r="AO584" s="142"/>
    </row>
    <row r="585" ht="15.75" customHeight="1">
      <c r="A585" s="142"/>
      <c r="B585" s="142"/>
      <c r="C585" s="142"/>
      <c r="D585" s="142"/>
      <c r="E585" s="131"/>
      <c r="F585" s="142"/>
      <c r="G585" s="142"/>
      <c r="H585" s="142"/>
      <c r="I585" s="142"/>
      <c r="J585" s="142"/>
      <c r="K585" s="132"/>
      <c r="L585" s="131"/>
      <c r="M585" s="131"/>
      <c r="N585" s="142"/>
      <c r="O585" s="142"/>
      <c r="P585" s="142"/>
      <c r="Q585" s="142"/>
      <c r="R585" s="142"/>
      <c r="S585" s="142"/>
      <c r="T585" s="131"/>
      <c r="U585" s="131"/>
      <c r="V585" s="131"/>
      <c r="W585" s="131"/>
      <c r="X585" s="131"/>
      <c r="Y585" s="131"/>
      <c r="Z585" s="142"/>
      <c r="AA585" s="142"/>
      <c r="AB585" s="142"/>
      <c r="AC585" s="142"/>
      <c r="AD585" s="142"/>
      <c r="AE585" s="142"/>
      <c r="AF585" s="142"/>
      <c r="AG585" s="142"/>
      <c r="AH585" s="142"/>
      <c r="AI585" s="142"/>
      <c r="AJ585" s="142"/>
      <c r="AK585" s="142"/>
      <c r="AL585" s="142"/>
      <c r="AM585" s="142"/>
      <c r="AN585" s="142"/>
      <c r="AO585" s="142"/>
    </row>
    <row r="586" ht="15.75" customHeight="1">
      <c r="A586" s="142"/>
      <c r="B586" s="142"/>
      <c r="C586" s="142"/>
      <c r="D586" s="142"/>
      <c r="E586" s="131"/>
      <c r="F586" s="142"/>
      <c r="G586" s="142"/>
      <c r="H586" s="142"/>
      <c r="I586" s="142"/>
      <c r="J586" s="142"/>
      <c r="K586" s="132"/>
      <c r="L586" s="131"/>
      <c r="M586" s="131"/>
      <c r="N586" s="142"/>
      <c r="O586" s="142"/>
      <c r="P586" s="142"/>
      <c r="Q586" s="142"/>
      <c r="R586" s="142"/>
      <c r="S586" s="142"/>
      <c r="T586" s="131"/>
      <c r="U586" s="131"/>
      <c r="V586" s="131"/>
      <c r="W586" s="131"/>
      <c r="X586" s="131"/>
      <c r="Y586" s="131"/>
      <c r="Z586" s="142"/>
      <c r="AA586" s="142"/>
      <c r="AB586" s="142"/>
      <c r="AC586" s="142"/>
      <c r="AD586" s="142"/>
      <c r="AE586" s="142"/>
      <c r="AF586" s="142"/>
      <c r="AG586" s="142"/>
      <c r="AH586" s="142"/>
      <c r="AI586" s="142"/>
      <c r="AJ586" s="142"/>
      <c r="AK586" s="142"/>
      <c r="AL586" s="142"/>
      <c r="AM586" s="142"/>
      <c r="AN586" s="142"/>
      <c r="AO586" s="142"/>
    </row>
    <row r="587" ht="15.75" customHeight="1">
      <c r="A587" s="142"/>
      <c r="B587" s="142"/>
      <c r="C587" s="142"/>
      <c r="D587" s="142"/>
      <c r="E587" s="131"/>
      <c r="F587" s="142"/>
      <c r="G587" s="142"/>
      <c r="H587" s="142"/>
      <c r="I587" s="142"/>
      <c r="J587" s="142"/>
      <c r="K587" s="132"/>
      <c r="L587" s="131"/>
      <c r="M587" s="131"/>
      <c r="N587" s="142"/>
      <c r="O587" s="142"/>
      <c r="P587" s="142"/>
      <c r="Q587" s="142"/>
      <c r="R587" s="142"/>
      <c r="S587" s="142"/>
      <c r="T587" s="131"/>
      <c r="U587" s="131"/>
      <c r="V587" s="131"/>
      <c r="W587" s="131"/>
      <c r="X587" s="131"/>
      <c r="Y587" s="131"/>
      <c r="Z587" s="142"/>
      <c r="AA587" s="142"/>
      <c r="AB587" s="142"/>
      <c r="AC587" s="142"/>
      <c r="AD587" s="142"/>
      <c r="AE587" s="142"/>
      <c r="AF587" s="142"/>
      <c r="AG587" s="142"/>
      <c r="AH587" s="142"/>
      <c r="AI587" s="142"/>
      <c r="AJ587" s="142"/>
      <c r="AK587" s="142"/>
      <c r="AL587" s="142"/>
      <c r="AM587" s="142"/>
      <c r="AN587" s="142"/>
      <c r="AO587" s="142"/>
    </row>
    <row r="588" ht="15.75" customHeight="1">
      <c r="A588" s="142"/>
      <c r="B588" s="142"/>
      <c r="C588" s="142"/>
      <c r="D588" s="142"/>
      <c r="E588" s="131"/>
      <c r="F588" s="142"/>
      <c r="G588" s="142"/>
      <c r="H588" s="142"/>
      <c r="I588" s="142"/>
      <c r="J588" s="142"/>
      <c r="K588" s="132"/>
      <c r="L588" s="131"/>
      <c r="M588" s="131"/>
      <c r="N588" s="142"/>
      <c r="O588" s="142"/>
      <c r="P588" s="142"/>
      <c r="Q588" s="142"/>
      <c r="R588" s="142"/>
      <c r="S588" s="142"/>
      <c r="T588" s="131"/>
      <c r="U588" s="131"/>
      <c r="V588" s="131"/>
      <c r="W588" s="131"/>
      <c r="X588" s="131"/>
      <c r="Y588" s="131"/>
      <c r="Z588" s="142"/>
      <c r="AA588" s="142"/>
      <c r="AB588" s="142"/>
      <c r="AC588" s="142"/>
      <c r="AD588" s="142"/>
      <c r="AE588" s="142"/>
      <c r="AF588" s="142"/>
      <c r="AG588" s="142"/>
      <c r="AH588" s="142"/>
      <c r="AI588" s="142"/>
      <c r="AJ588" s="142"/>
      <c r="AK588" s="142"/>
      <c r="AL588" s="142"/>
      <c r="AM588" s="142"/>
      <c r="AN588" s="142"/>
      <c r="AO588" s="142"/>
    </row>
    <row r="589" ht="15.75" customHeight="1">
      <c r="A589" s="142"/>
      <c r="B589" s="142"/>
      <c r="C589" s="142"/>
      <c r="D589" s="142"/>
      <c r="E589" s="131"/>
      <c r="F589" s="142"/>
      <c r="G589" s="142"/>
      <c r="H589" s="142"/>
      <c r="I589" s="142"/>
      <c r="J589" s="142"/>
      <c r="K589" s="132"/>
      <c r="L589" s="131"/>
      <c r="M589" s="131"/>
      <c r="N589" s="142"/>
      <c r="O589" s="142"/>
      <c r="P589" s="142"/>
      <c r="Q589" s="142"/>
      <c r="R589" s="142"/>
      <c r="S589" s="142"/>
      <c r="T589" s="131"/>
      <c r="U589" s="131"/>
      <c r="V589" s="131"/>
      <c r="W589" s="131"/>
      <c r="X589" s="131"/>
      <c r="Y589" s="131"/>
      <c r="Z589" s="142"/>
      <c r="AA589" s="142"/>
      <c r="AB589" s="142"/>
      <c r="AC589" s="142"/>
      <c r="AD589" s="142"/>
      <c r="AE589" s="142"/>
      <c r="AF589" s="142"/>
      <c r="AG589" s="142"/>
      <c r="AH589" s="142"/>
      <c r="AI589" s="142"/>
      <c r="AJ589" s="142"/>
      <c r="AK589" s="142"/>
      <c r="AL589" s="142"/>
      <c r="AM589" s="142"/>
      <c r="AN589" s="142"/>
      <c r="AO589" s="142"/>
    </row>
    <row r="590" ht="15.75" customHeight="1">
      <c r="A590" s="142"/>
      <c r="B590" s="142"/>
      <c r="C590" s="142"/>
      <c r="D590" s="142"/>
      <c r="E590" s="131"/>
      <c r="F590" s="142"/>
      <c r="G590" s="142"/>
      <c r="H590" s="142"/>
      <c r="I590" s="142"/>
      <c r="J590" s="142"/>
      <c r="K590" s="132"/>
      <c r="L590" s="131"/>
      <c r="M590" s="131"/>
      <c r="N590" s="142"/>
      <c r="O590" s="142"/>
      <c r="P590" s="142"/>
      <c r="Q590" s="142"/>
      <c r="R590" s="142"/>
      <c r="S590" s="142"/>
      <c r="T590" s="131"/>
      <c r="U590" s="131"/>
      <c r="V590" s="131"/>
      <c r="W590" s="131"/>
      <c r="X590" s="131"/>
      <c r="Y590" s="131"/>
      <c r="Z590" s="142"/>
      <c r="AA590" s="142"/>
      <c r="AB590" s="142"/>
      <c r="AC590" s="142"/>
      <c r="AD590" s="142"/>
      <c r="AE590" s="142"/>
      <c r="AF590" s="142"/>
      <c r="AG590" s="142"/>
      <c r="AH590" s="142"/>
      <c r="AI590" s="142"/>
      <c r="AJ590" s="142"/>
      <c r="AK590" s="142"/>
      <c r="AL590" s="142"/>
      <c r="AM590" s="142"/>
      <c r="AN590" s="142"/>
      <c r="AO590" s="142"/>
    </row>
    <row r="591" ht="15.75" customHeight="1">
      <c r="A591" s="142"/>
      <c r="B591" s="142"/>
      <c r="C591" s="142"/>
      <c r="D591" s="142"/>
      <c r="E591" s="131"/>
      <c r="F591" s="142"/>
      <c r="G591" s="142"/>
      <c r="H591" s="142"/>
      <c r="I591" s="142"/>
      <c r="J591" s="142"/>
      <c r="K591" s="132"/>
      <c r="L591" s="131"/>
      <c r="M591" s="131"/>
      <c r="N591" s="142"/>
      <c r="O591" s="142"/>
      <c r="P591" s="142"/>
      <c r="Q591" s="142"/>
      <c r="R591" s="142"/>
      <c r="S591" s="142"/>
      <c r="T591" s="131"/>
      <c r="U591" s="131"/>
      <c r="V591" s="131"/>
      <c r="W591" s="131"/>
      <c r="X591" s="131"/>
      <c r="Y591" s="131"/>
      <c r="Z591" s="142"/>
      <c r="AA591" s="142"/>
      <c r="AB591" s="142"/>
      <c r="AC591" s="142"/>
      <c r="AD591" s="142"/>
      <c r="AE591" s="142"/>
      <c r="AF591" s="142"/>
      <c r="AG591" s="142"/>
      <c r="AH591" s="142"/>
      <c r="AI591" s="142"/>
      <c r="AJ591" s="142"/>
      <c r="AK591" s="142"/>
      <c r="AL591" s="142"/>
      <c r="AM591" s="142"/>
      <c r="AN591" s="142"/>
      <c r="AO591" s="142"/>
    </row>
    <row r="592" ht="15.75" customHeight="1">
      <c r="A592" s="142"/>
      <c r="B592" s="142"/>
      <c r="C592" s="142"/>
      <c r="D592" s="142"/>
      <c r="E592" s="131"/>
      <c r="F592" s="142"/>
      <c r="G592" s="142"/>
      <c r="H592" s="142"/>
      <c r="I592" s="142"/>
      <c r="J592" s="142"/>
      <c r="K592" s="132"/>
      <c r="L592" s="131"/>
      <c r="M592" s="131"/>
      <c r="N592" s="142"/>
      <c r="O592" s="142"/>
      <c r="P592" s="142"/>
      <c r="Q592" s="142"/>
      <c r="R592" s="142"/>
      <c r="S592" s="142"/>
      <c r="T592" s="131"/>
      <c r="U592" s="131"/>
      <c r="V592" s="131"/>
      <c r="W592" s="131"/>
      <c r="X592" s="131"/>
      <c r="Y592" s="131"/>
      <c r="Z592" s="142"/>
      <c r="AA592" s="142"/>
      <c r="AB592" s="142"/>
      <c r="AC592" s="142"/>
      <c r="AD592" s="142"/>
      <c r="AE592" s="142"/>
      <c r="AF592" s="142"/>
      <c r="AG592" s="142"/>
      <c r="AH592" s="142"/>
      <c r="AI592" s="142"/>
      <c r="AJ592" s="142"/>
      <c r="AK592" s="142"/>
      <c r="AL592" s="142"/>
      <c r="AM592" s="142"/>
      <c r="AN592" s="142"/>
      <c r="AO592" s="142"/>
    </row>
    <row r="593" ht="15.75" customHeight="1">
      <c r="A593" s="142"/>
      <c r="B593" s="142"/>
      <c r="C593" s="142"/>
      <c r="D593" s="142"/>
      <c r="E593" s="131"/>
      <c r="F593" s="142"/>
      <c r="G593" s="142"/>
      <c r="H593" s="142"/>
      <c r="I593" s="142"/>
      <c r="J593" s="142"/>
      <c r="K593" s="132"/>
      <c r="L593" s="131"/>
      <c r="M593" s="131"/>
      <c r="N593" s="142"/>
      <c r="O593" s="142"/>
      <c r="P593" s="142"/>
      <c r="Q593" s="142"/>
      <c r="R593" s="142"/>
      <c r="S593" s="142"/>
      <c r="T593" s="131"/>
      <c r="U593" s="131"/>
      <c r="V593" s="131"/>
      <c r="W593" s="131"/>
      <c r="X593" s="131"/>
      <c r="Y593" s="131"/>
      <c r="Z593" s="142"/>
      <c r="AA593" s="142"/>
      <c r="AB593" s="142"/>
      <c r="AC593" s="142"/>
      <c r="AD593" s="142"/>
      <c r="AE593" s="142"/>
      <c r="AF593" s="142"/>
      <c r="AG593" s="142"/>
      <c r="AH593" s="142"/>
      <c r="AI593" s="142"/>
      <c r="AJ593" s="142"/>
      <c r="AK593" s="142"/>
      <c r="AL593" s="142"/>
      <c r="AM593" s="142"/>
      <c r="AN593" s="142"/>
      <c r="AO593" s="142"/>
    </row>
    <row r="594" ht="15.75" customHeight="1">
      <c r="A594" s="142"/>
      <c r="B594" s="142"/>
      <c r="C594" s="142"/>
      <c r="D594" s="142"/>
      <c r="E594" s="131"/>
      <c r="F594" s="142"/>
      <c r="G594" s="142"/>
      <c r="H594" s="142"/>
      <c r="I594" s="142"/>
      <c r="J594" s="142"/>
      <c r="K594" s="132"/>
      <c r="L594" s="131"/>
      <c r="M594" s="131"/>
      <c r="N594" s="142"/>
      <c r="O594" s="142"/>
      <c r="P594" s="142"/>
      <c r="Q594" s="142"/>
      <c r="R594" s="142"/>
      <c r="S594" s="142"/>
      <c r="T594" s="131"/>
      <c r="U594" s="131"/>
      <c r="V594" s="131"/>
      <c r="W594" s="131"/>
      <c r="X594" s="131"/>
      <c r="Y594" s="131"/>
      <c r="Z594" s="142"/>
      <c r="AA594" s="142"/>
      <c r="AB594" s="142"/>
      <c r="AC594" s="142"/>
      <c r="AD594" s="142"/>
      <c r="AE594" s="142"/>
      <c r="AF594" s="142"/>
      <c r="AG594" s="142"/>
      <c r="AH594" s="142"/>
      <c r="AI594" s="142"/>
      <c r="AJ594" s="142"/>
      <c r="AK594" s="142"/>
      <c r="AL594" s="142"/>
      <c r="AM594" s="142"/>
      <c r="AN594" s="142"/>
      <c r="AO594" s="142"/>
    </row>
    <row r="595" ht="15.75" customHeight="1">
      <c r="A595" s="142"/>
      <c r="B595" s="142"/>
      <c r="C595" s="142"/>
      <c r="D595" s="142"/>
      <c r="E595" s="131"/>
      <c r="F595" s="142"/>
      <c r="G595" s="142"/>
      <c r="H595" s="142"/>
      <c r="I595" s="142"/>
      <c r="J595" s="142"/>
      <c r="K595" s="132"/>
      <c r="L595" s="131"/>
      <c r="M595" s="131"/>
      <c r="N595" s="142"/>
      <c r="O595" s="142"/>
      <c r="P595" s="142"/>
      <c r="Q595" s="142"/>
      <c r="R595" s="142"/>
      <c r="S595" s="142"/>
      <c r="T595" s="131"/>
      <c r="U595" s="131"/>
      <c r="V595" s="131"/>
      <c r="W595" s="131"/>
      <c r="X595" s="131"/>
      <c r="Y595" s="131"/>
      <c r="Z595" s="142"/>
      <c r="AA595" s="142"/>
      <c r="AB595" s="142"/>
      <c r="AC595" s="142"/>
      <c r="AD595" s="142"/>
      <c r="AE595" s="142"/>
      <c r="AF595" s="142"/>
      <c r="AG595" s="142"/>
      <c r="AH595" s="142"/>
      <c r="AI595" s="142"/>
      <c r="AJ595" s="142"/>
      <c r="AK595" s="142"/>
      <c r="AL595" s="142"/>
      <c r="AM595" s="142"/>
      <c r="AN595" s="142"/>
      <c r="AO595" s="142"/>
    </row>
    <row r="596" ht="15.75" customHeight="1">
      <c r="A596" s="142"/>
      <c r="B596" s="142"/>
      <c r="C596" s="142"/>
      <c r="D596" s="142"/>
      <c r="E596" s="131"/>
      <c r="F596" s="142"/>
      <c r="G596" s="142"/>
      <c r="H596" s="142"/>
      <c r="I596" s="142"/>
      <c r="J596" s="142"/>
      <c r="K596" s="132"/>
      <c r="L596" s="131"/>
      <c r="M596" s="131"/>
      <c r="N596" s="142"/>
      <c r="O596" s="142"/>
      <c r="P596" s="142"/>
      <c r="Q596" s="142"/>
      <c r="R596" s="142"/>
      <c r="S596" s="142"/>
      <c r="T596" s="131"/>
      <c r="U596" s="131"/>
      <c r="V596" s="131"/>
      <c r="W596" s="131"/>
      <c r="X596" s="131"/>
      <c r="Y596" s="131"/>
      <c r="Z596" s="142"/>
      <c r="AA596" s="142"/>
      <c r="AB596" s="142"/>
      <c r="AC596" s="142"/>
      <c r="AD596" s="142"/>
      <c r="AE596" s="142"/>
      <c r="AF596" s="142"/>
      <c r="AG596" s="142"/>
      <c r="AH596" s="142"/>
      <c r="AI596" s="142"/>
      <c r="AJ596" s="142"/>
      <c r="AK596" s="142"/>
      <c r="AL596" s="142"/>
      <c r="AM596" s="142"/>
      <c r="AN596" s="142"/>
      <c r="AO596" s="142"/>
    </row>
    <row r="597" ht="15.75" customHeight="1">
      <c r="A597" s="142"/>
      <c r="B597" s="142"/>
      <c r="C597" s="142"/>
      <c r="D597" s="142"/>
      <c r="E597" s="131"/>
      <c r="F597" s="142"/>
      <c r="G597" s="142"/>
      <c r="H597" s="142"/>
      <c r="I597" s="142"/>
      <c r="J597" s="142"/>
      <c r="K597" s="132"/>
      <c r="L597" s="131"/>
      <c r="M597" s="131"/>
      <c r="N597" s="142"/>
      <c r="O597" s="142"/>
      <c r="P597" s="142"/>
      <c r="Q597" s="142"/>
      <c r="R597" s="142"/>
      <c r="S597" s="142"/>
      <c r="T597" s="131"/>
      <c r="U597" s="131"/>
      <c r="V597" s="131"/>
      <c r="W597" s="131"/>
      <c r="X597" s="131"/>
      <c r="Y597" s="131"/>
      <c r="Z597" s="142"/>
      <c r="AA597" s="142"/>
      <c r="AB597" s="142"/>
      <c r="AC597" s="142"/>
      <c r="AD597" s="142"/>
      <c r="AE597" s="142"/>
      <c r="AF597" s="142"/>
      <c r="AG597" s="142"/>
      <c r="AH597" s="142"/>
      <c r="AI597" s="142"/>
      <c r="AJ597" s="142"/>
      <c r="AK597" s="142"/>
      <c r="AL597" s="142"/>
      <c r="AM597" s="142"/>
      <c r="AN597" s="142"/>
      <c r="AO597" s="142"/>
    </row>
    <row r="598" ht="15.75" customHeight="1">
      <c r="A598" s="142"/>
      <c r="B598" s="142"/>
      <c r="C598" s="142"/>
      <c r="D598" s="142"/>
      <c r="E598" s="131"/>
      <c r="F598" s="142"/>
      <c r="G598" s="142"/>
      <c r="H598" s="142"/>
      <c r="I598" s="142"/>
      <c r="J598" s="142"/>
      <c r="K598" s="132"/>
      <c r="L598" s="131"/>
      <c r="M598" s="131"/>
      <c r="N598" s="142"/>
      <c r="O598" s="142"/>
      <c r="P598" s="142"/>
      <c r="Q598" s="142"/>
      <c r="R598" s="142"/>
      <c r="S598" s="142"/>
      <c r="T598" s="131"/>
      <c r="U598" s="131"/>
      <c r="V598" s="131"/>
      <c r="W598" s="131"/>
      <c r="X598" s="131"/>
      <c r="Y598" s="131"/>
      <c r="Z598" s="142"/>
      <c r="AA598" s="142"/>
      <c r="AB598" s="142"/>
      <c r="AC598" s="142"/>
      <c r="AD598" s="142"/>
      <c r="AE598" s="142"/>
      <c r="AF598" s="142"/>
      <c r="AG598" s="142"/>
      <c r="AH598" s="142"/>
      <c r="AI598" s="142"/>
      <c r="AJ598" s="142"/>
      <c r="AK598" s="142"/>
      <c r="AL598" s="142"/>
      <c r="AM598" s="142"/>
      <c r="AN598" s="142"/>
      <c r="AO598" s="142"/>
    </row>
    <row r="599" ht="15.75" customHeight="1">
      <c r="A599" s="142"/>
      <c r="B599" s="142"/>
      <c r="C599" s="142"/>
      <c r="D599" s="142"/>
      <c r="E599" s="131"/>
      <c r="F599" s="142"/>
      <c r="G599" s="142"/>
      <c r="H599" s="142"/>
      <c r="I599" s="142"/>
      <c r="J599" s="142"/>
      <c r="K599" s="132"/>
      <c r="L599" s="131"/>
      <c r="M599" s="131"/>
      <c r="N599" s="142"/>
      <c r="O599" s="142"/>
      <c r="P599" s="142"/>
      <c r="Q599" s="142"/>
      <c r="R599" s="142"/>
      <c r="S599" s="142"/>
      <c r="T599" s="131"/>
      <c r="U599" s="131"/>
      <c r="V599" s="131"/>
      <c r="W599" s="131"/>
      <c r="X599" s="131"/>
      <c r="Y599" s="131"/>
      <c r="Z599" s="142"/>
      <c r="AA599" s="142"/>
      <c r="AB599" s="142"/>
      <c r="AC599" s="142"/>
      <c r="AD599" s="142"/>
      <c r="AE599" s="142"/>
      <c r="AF599" s="142"/>
      <c r="AG599" s="142"/>
      <c r="AH599" s="142"/>
      <c r="AI599" s="142"/>
      <c r="AJ599" s="142"/>
      <c r="AK599" s="142"/>
      <c r="AL599" s="142"/>
      <c r="AM599" s="142"/>
      <c r="AN599" s="142"/>
      <c r="AO599" s="142"/>
    </row>
    <row r="600" ht="15.75" customHeight="1">
      <c r="A600" s="142"/>
      <c r="B600" s="142"/>
      <c r="C600" s="142"/>
      <c r="D600" s="142"/>
      <c r="E600" s="131"/>
      <c r="F600" s="142"/>
      <c r="G600" s="142"/>
      <c r="H600" s="142"/>
      <c r="I600" s="142"/>
      <c r="J600" s="142"/>
      <c r="K600" s="132"/>
      <c r="L600" s="131"/>
      <c r="M600" s="131"/>
      <c r="N600" s="142"/>
      <c r="O600" s="142"/>
      <c r="P600" s="142"/>
      <c r="Q600" s="142"/>
      <c r="R600" s="142"/>
      <c r="S600" s="142"/>
      <c r="T600" s="131"/>
      <c r="U600" s="131"/>
      <c r="V600" s="131"/>
      <c r="W600" s="131"/>
      <c r="X600" s="131"/>
      <c r="Y600" s="131"/>
      <c r="Z600" s="142"/>
      <c r="AA600" s="142"/>
      <c r="AB600" s="142"/>
      <c r="AC600" s="142"/>
      <c r="AD600" s="142"/>
      <c r="AE600" s="142"/>
      <c r="AF600" s="142"/>
      <c r="AG600" s="142"/>
      <c r="AH600" s="142"/>
      <c r="AI600" s="142"/>
      <c r="AJ600" s="142"/>
      <c r="AK600" s="142"/>
      <c r="AL600" s="142"/>
      <c r="AM600" s="142"/>
      <c r="AN600" s="142"/>
      <c r="AO600" s="142"/>
    </row>
    <row r="601" ht="15.75" customHeight="1">
      <c r="A601" s="142"/>
      <c r="B601" s="142"/>
      <c r="C601" s="142"/>
      <c r="D601" s="142"/>
      <c r="E601" s="131"/>
      <c r="F601" s="142"/>
      <c r="G601" s="142"/>
      <c r="H601" s="142"/>
      <c r="I601" s="142"/>
      <c r="J601" s="142"/>
      <c r="K601" s="132"/>
      <c r="L601" s="131"/>
      <c r="M601" s="131"/>
      <c r="N601" s="142"/>
      <c r="O601" s="142"/>
      <c r="P601" s="142"/>
      <c r="Q601" s="142"/>
      <c r="R601" s="142"/>
      <c r="S601" s="142"/>
      <c r="T601" s="131"/>
      <c r="U601" s="131"/>
      <c r="V601" s="131"/>
      <c r="W601" s="131"/>
      <c r="X601" s="131"/>
      <c r="Y601" s="131"/>
      <c r="Z601" s="142"/>
      <c r="AA601" s="142"/>
      <c r="AB601" s="142"/>
      <c r="AC601" s="142"/>
      <c r="AD601" s="142"/>
      <c r="AE601" s="142"/>
      <c r="AF601" s="142"/>
      <c r="AG601" s="142"/>
      <c r="AH601" s="142"/>
      <c r="AI601" s="142"/>
      <c r="AJ601" s="142"/>
      <c r="AK601" s="142"/>
      <c r="AL601" s="142"/>
      <c r="AM601" s="142"/>
      <c r="AN601" s="142"/>
      <c r="AO601" s="142"/>
    </row>
    <row r="602" ht="15.75" customHeight="1">
      <c r="A602" s="142"/>
      <c r="B602" s="142"/>
      <c r="C602" s="142"/>
      <c r="D602" s="142"/>
      <c r="E602" s="131"/>
      <c r="F602" s="142"/>
      <c r="G602" s="142"/>
      <c r="H602" s="142"/>
      <c r="I602" s="142"/>
      <c r="J602" s="142"/>
      <c r="K602" s="132"/>
      <c r="L602" s="131"/>
      <c r="M602" s="131"/>
      <c r="N602" s="142"/>
      <c r="O602" s="142"/>
      <c r="P602" s="142"/>
      <c r="Q602" s="142"/>
      <c r="R602" s="142"/>
      <c r="S602" s="142"/>
      <c r="T602" s="131"/>
      <c r="U602" s="131"/>
      <c r="V602" s="131"/>
      <c r="W602" s="131"/>
      <c r="X602" s="131"/>
      <c r="Y602" s="131"/>
      <c r="Z602" s="142"/>
      <c r="AA602" s="142"/>
      <c r="AB602" s="142"/>
      <c r="AC602" s="142"/>
      <c r="AD602" s="142"/>
      <c r="AE602" s="142"/>
      <c r="AF602" s="142"/>
      <c r="AG602" s="142"/>
      <c r="AH602" s="142"/>
      <c r="AI602" s="142"/>
      <c r="AJ602" s="142"/>
      <c r="AK602" s="142"/>
      <c r="AL602" s="142"/>
      <c r="AM602" s="142"/>
      <c r="AN602" s="142"/>
      <c r="AO602" s="142"/>
    </row>
    <row r="603" ht="15.75" customHeight="1">
      <c r="A603" s="142"/>
      <c r="B603" s="142"/>
      <c r="C603" s="142"/>
      <c r="D603" s="142"/>
      <c r="E603" s="131"/>
      <c r="F603" s="142"/>
      <c r="G603" s="142"/>
      <c r="H603" s="142"/>
      <c r="I603" s="142"/>
      <c r="J603" s="142"/>
      <c r="K603" s="132"/>
      <c r="L603" s="131"/>
      <c r="M603" s="131"/>
      <c r="N603" s="142"/>
      <c r="O603" s="142"/>
      <c r="P603" s="142"/>
      <c r="Q603" s="142"/>
      <c r="R603" s="142"/>
      <c r="S603" s="142"/>
      <c r="T603" s="131"/>
      <c r="U603" s="131"/>
      <c r="V603" s="131"/>
      <c r="W603" s="131"/>
      <c r="X603" s="131"/>
      <c r="Y603" s="131"/>
      <c r="Z603" s="142"/>
      <c r="AA603" s="142"/>
      <c r="AB603" s="142"/>
      <c r="AC603" s="142"/>
      <c r="AD603" s="142"/>
      <c r="AE603" s="142"/>
      <c r="AF603" s="142"/>
      <c r="AG603" s="142"/>
      <c r="AH603" s="142"/>
      <c r="AI603" s="142"/>
      <c r="AJ603" s="142"/>
      <c r="AK603" s="142"/>
      <c r="AL603" s="142"/>
      <c r="AM603" s="142"/>
      <c r="AN603" s="142"/>
      <c r="AO603" s="142"/>
    </row>
    <row r="604" ht="15.75" customHeight="1">
      <c r="A604" s="142"/>
      <c r="B604" s="142"/>
      <c r="C604" s="142"/>
      <c r="D604" s="142"/>
      <c r="E604" s="131"/>
      <c r="F604" s="142"/>
      <c r="G604" s="142"/>
      <c r="H604" s="142"/>
      <c r="I604" s="142"/>
      <c r="J604" s="142"/>
      <c r="K604" s="132"/>
      <c r="L604" s="131"/>
      <c r="M604" s="131"/>
      <c r="N604" s="142"/>
      <c r="O604" s="142"/>
      <c r="P604" s="142"/>
      <c r="Q604" s="142"/>
      <c r="R604" s="142"/>
      <c r="S604" s="142"/>
      <c r="T604" s="131"/>
      <c r="U604" s="131"/>
      <c r="V604" s="131"/>
      <c r="W604" s="131"/>
      <c r="X604" s="131"/>
      <c r="Y604" s="131"/>
      <c r="Z604" s="142"/>
      <c r="AA604" s="142"/>
      <c r="AB604" s="142"/>
      <c r="AC604" s="142"/>
      <c r="AD604" s="142"/>
      <c r="AE604" s="142"/>
      <c r="AF604" s="142"/>
      <c r="AG604" s="142"/>
      <c r="AH604" s="142"/>
      <c r="AI604" s="142"/>
      <c r="AJ604" s="142"/>
      <c r="AK604" s="142"/>
      <c r="AL604" s="142"/>
      <c r="AM604" s="142"/>
      <c r="AN604" s="142"/>
      <c r="AO604" s="142"/>
    </row>
    <row r="605" ht="15.75" customHeight="1">
      <c r="A605" s="142"/>
      <c r="B605" s="142"/>
      <c r="C605" s="142"/>
      <c r="D605" s="142"/>
      <c r="E605" s="131"/>
      <c r="F605" s="142"/>
      <c r="G605" s="142"/>
      <c r="H605" s="142"/>
      <c r="I605" s="142"/>
      <c r="J605" s="142"/>
      <c r="K605" s="132"/>
      <c r="L605" s="131"/>
      <c r="M605" s="131"/>
      <c r="N605" s="142"/>
      <c r="O605" s="142"/>
      <c r="P605" s="142"/>
      <c r="Q605" s="142"/>
      <c r="R605" s="142"/>
      <c r="S605" s="142"/>
      <c r="T605" s="131"/>
      <c r="U605" s="131"/>
      <c r="V605" s="131"/>
      <c r="W605" s="131"/>
      <c r="X605" s="131"/>
      <c r="Y605" s="131"/>
      <c r="Z605" s="142"/>
      <c r="AA605" s="142"/>
      <c r="AB605" s="142"/>
      <c r="AC605" s="142"/>
      <c r="AD605" s="142"/>
      <c r="AE605" s="142"/>
      <c r="AF605" s="142"/>
      <c r="AG605" s="142"/>
      <c r="AH605" s="142"/>
      <c r="AI605" s="142"/>
      <c r="AJ605" s="142"/>
      <c r="AK605" s="142"/>
      <c r="AL605" s="142"/>
      <c r="AM605" s="142"/>
      <c r="AN605" s="142"/>
      <c r="AO605" s="142"/>
    </row>
    <row r="606" ht="15.75" customHeight="1">
      <c r="A606" s="142"/>
      <c r="B606" s="142"/>
      <c r="C606" s="142"/>
      <c r="D606" s="142"/>
      <c r="E606" s="131"/>
      <c r="F606" s="142"/>
      <c r="G606" s="142"/>
      <c r="H606" s="142"/>
      <c r="I606" s="142"/>
      <c r="J606" s="142"/>
      <c r="K606" s="132"/>
      <c r="L606" s="131"/>
      <c r="M606" s="131"/>
      <c r="N606" s="142"/>
      <c r="O606" s="142"/>
      <c r="P606" s="142"/>
      <c r="Q606" s="142"/>
      <c r="R606" s="142"/>
      <c r="S606" s="142"/>
      <c r="T606" s="131"/>
      <c r="U606" s="131"/>
      <c r="V606" s="131"/>
      <c r="W606" s="131"/>
      <c r="X606" s="131"/>
      <c r="Y606" s="131"/>
      <c r="Z606" s="142"/>
      <c r="AA606" s="142"/>
      <c r="AB606" s="142"/>
      <c r="AC606" s="142"/>
      <c r="AD606" s="142"/>
      <c r="AE606" s="142"/>
      <c r="AF606" s="142"/>
      <c r="AG606" s="142"/>
      <c r="AH606" s="142"/>
      <c r="AI606" s="142"/>
      <c r="AJ606" s="142"/>
      <c r="AK606" s="142"/>
      <c r="AL606" s="142"/>
      <c r="AM606" s="142"/>
      <c r="AN606" s="142"/>
      <c r="AO606" s="142"/>
    </row>
    <row r="607" ht="15.75" customHeight="1">
      <c r="A607" s="142"/>
      <c r="B607" s="142"/>
      <c r="C607" s="142"/>
      <c r="D607" s="142"/>
      <c r="E607" s="131"/>
      <c r="F607" s="142"/>
      <c r="G607" s="142"/>
      <c r="H607" s="142"/>
      <c r="I607" s="142"/>
      <c r="J607" s="142"/>
      <c r="K607" s="132"/>
      <c r="L607" s="131"/>
      <c r="M607" s="131"/>
      <c r="N607" s="142"/>
      <c r="O607" s="142"/>
      <c r="P607" s="142"/>
      <c r="Q607" s="142"/>
      <c r="R607" s="142"/>
      <c r="S607" s="142"/>
      <c r="T607" s="131"/>
      <c r="U607" s="131"/>
      <c r="V607" s="131"/>
      <c r="W607" s="131"/>
      <c r="X607" s="131"/>
      <c r="Y607" s="131"/>
      <c r="Z607" s="142"/>
      <c r="AA607" s="142"/>
      <c r="AB607" s="142"/>
      <c r="AC607" s="142"/>
      <c r="AD607" s="142"/>
      <c r="AE607" s="142"/>
      <c r="AF607" s="142"/>
      <c r="AG607" s="142"/>
      <c r="AH607" s="142"/>
      <c r="AI607" s="142"/>
      <c r="AJ607" s="142"/>
      <c r="AK607" s="142"/>
      <c r="AL607" s="142"/>
      <c r="AM607" s="142"/>
      <c r="AN607" s="142"/>
      <c r="AO607" s="142"/>
    </row>
    <row r="608" ht="15.75" customHeight="1">
      <c r="A608" s="142"/>
      <c r="B608" s="142"/>
      <c r="C608" s="142"/>
      <c r="D608" s="142"/>
      <c r="E608" s="131"/>
      <c r="F608" s="142"/>
      <c r="G608" s="142"/>
      <c r="H608" s="142"/>
      <c r="I608" s="142"/>
      <c r="J608" s="142"/>
      <c r="K608" s="132"/>
      <c r="L608" s="131"/>
      <c r="M608" s="131"/>
      <c r="N608" s="142"/>
      <c r="O608" s="142"/>
      <c r="P608" s="142"/>
      <c r="Q608" s="142"/>
      <c r="R608" s="142"/>
      <c r="S608" s="142"/>
      <c r="T608" s="131"/>
      <c r="U608" s="131"/>
      <c r="V608" s="131"/>
      <c r="W608" s="131"/>
      <c r="X608" s="131"/>
      <c r="Y608" s="131"/>
      <c r="Z608" s="142"/>
      <c r="AA608" s="142"/>
      <c r="AB608" s="142"/>
      <c r="AC608" s="142"/>
      <c r="AD608" s="142"/>
      <c r="AE608" s="142"/>
      <c r="AF608" s="142"/>
      <c r="AG608" s="142"/>
      <c r="AH608" s="142"/>
      <c r="AI608" s="142"/>
      <c r="AJ608" s="142"/>
      <c r="AK608" s="142"/>
      <c r="AL608" s="142"/>
      <c r="AM608" s="142"/>
      <c r="AN608" s="142"/>
      <c r="AO608" s="142"/>
    </row>
    <row r="609" ht="15.75" customHeight="1">
      <c r="A609" s="142"/>
      <c r="B609" s="142"/>
      <c r="C609" s="142"/>
      <c r="D609" s="142"/>
      <c r="E609" s="131"/>
      <c r="F609" s="142"/>
      <c r="G609" s="142"/>
      <c r="H609" s="142"/>
      <c r="I609" s="142"/>
      <c r="J609" s="142"/>
      <c r="K609" s="132"/>
      <c r="L609" s="131"/>
      <c r="M609" s="131"/>
      <c r="N609" s="142"/>
      <c r="O609" s="142"/>
      <c r="P609" s="142"/>
      <c r="Q609" s="142"/>
      <c r="R609" s="142"/>
      <c r="S609" s="142"/>
      <c r="T609" s="131"/>
      <c r="U609" s="131"/>
      <c r="V609" s="131"/>
      <c r="W609" s="131"/>
      <c r="X609" s="131"/>
      <c r="Y609" s="131"/>
      <c r="Z609" s="142"/>
      <c r="AA609" s="142"/>
      <c r="AB609" s="142"/>
      <c r="AC609" s="142"/>
      <c r="AD609" s="142"/>
      <c r="AE609" s="142"/>
      <c r="AF609" s="142"/>
      <c r="AG609" s="142"/>
      <c r="AH609" s="142"/>
      <c r="AI609" s="142"/>
      <c r="AJ609" s="142"/>
      <c r="AK609" s="142"/>
      <c r="AL609" s="142"/>
      <c r="AM609" s="142"/>
      <c r="AN609" s="142"/>
      <c r="AO609" s="142"/>
    </row>
    <row r="610" ht="15.75" customHeight="1">
      <c r="A610" s="142"/>
      <c r="B610" s="142"/>
      <c r="C610" s="142"/>
      <c r="D610" s="142"/>
      <c r="E610" s="131"/>
      <c r="F610" s="142"/>
      <c r="G610" s="142"/>
      <c r="H610" s="142"/>
      <c r="I610" s="142"/>
      <c r="J610" s="142"/>
      <c r="K610" s="132"/>
      <c r="L610" s="131"/>
      <c r="M610" s="131"/>
      <c r="N610" s="142"/>
      <c r="O610" s="142"/>
      <c r="P610" s="142"/>
      <c r="Q610" s="142"/>
      <c r="R610" s="142"/>
      <c r="S610" s="142"/>
      <c r="T610" s="131"/>
      <c r="U610" s="131"/>
      <c r="V610" s="131"/>
      <c r="W610" s="131"/>
      <c r="X610" s="131"/>
      <c r="Y610" s="131"/>
      <c r="Z610" s="142"/>
      <c r="AA610" s="142"/>
      <c r="AB610" s="142"/>
      <c r="AC610" s="142"/>
      <c r="AD610" s="142"/>
      <c r="AE610" s="142"/>
      <c r="AF610" s="142"/>
      <c r="AG610" s="142"/>
      <c r="AH610" s="142"/>
      <c r="AI610" s="142"/>
      <c r="AJ610" s="142"/>
      <c r="AK610" s="142"/>
      <c r="AL610" s="142"/>
      <c r="AM610" s="142"/>
      <c r="AN610" s="142"/>
      <c r="AO610" s="142"/>
    </row>
    <row r="611" ht="15.75" customHeight="1">
      <c r="A611" s="142"/>
      <c r="B611" s="142"/>
      <c r="C611" s="142"/>
      <c r="D611" s="142"/>
      <c r="E611" s="131"/>
      <c r="F611" s="142"/>
      <c r="G611" s="142"/>
      <c r="H611" s="142"/>
      <c r="I611" s="142"/>
      <c r="J611" s="142"/>
      <c r="K611" s="132"/>
      <c r="L611" s="131"/>
      <c r="M611" s="131"/>
      <c r="N611" s="142"/>
      <c r="O611" s="142"/>
      <c r="P611" s="142"/>
      <c r="Q611" s="142"/>
      <c r="R611" s="142"/>
      <c r="S611" s="142"/>
      <c r="T611" s="131"/>
      <c r="U611" s="131"/>
      <c r="V611" s="131"/>
      <c r="W611" s="131"/>
      <c r="X611" s="131"/>
      <c r="Y611" s="131"/>
      <c r="Z611" s="142"/>
      <c r="AA611" s="142"/>
      <c r="AB611" s="142"/>
      <c r="AC611" s="142"/>
      <c r="AD611" s="142"/>
      <c r="AE611" s="142"/>
      <c r="AF611" s="142"/>
      <c r="AG611" s="142"/>
      <c r="AH611" s="142"/>
      <c r="AI611" s="142"/>
      <c r="AJ611" s="142"/>
      <c r="AK611" s="142"/>
      <c r="AL611" s="142"/>
      <c r="AM611" s="142"/>
      <c r="AN611" s="142"/>
      <c r="AO611" s="142"/>
    </row>
    <row r="612" ht="15.75" customHeight="1">
      <c r="A612" s="142"/>
      <c r="B612" s="142"/>
      <c r="C612" s="142"/>
      <c r="D612" s="142"/>
      <c r="E612" s="131"/>
      <c r="F612" s="142"/>
      <c r="G612" s="142"/>
      <c r="H612" s="142"/>
      <c r="I612" s="142"/>
      <c r="J612" s="142"/>
      <c r="K612" s="132"/>
      <c r="L612" s="131"/>
      <c r="M612" s="131"/>
      <c r="N612" s="142"/>
      <c r="O612" s="142"/>
      <c r="P612" s="142"/>
      <c r="Q612" s="142"/>
      <c r="R612" s="142"/>
      <c r="S612" s="142"/>
      <c r="T612" s="131"/>
      <c r="U612" s="131"/>
      <c r="V612" s="131"/>
      <c r="W612" s="131"/>
      <c r="X612" s="131"/>
      <c r="Y612" s="131"/>
      <c r="Z612" s="142"/>
      <c r="AA612" s="142"/>
      <c r="AB612" s="142"/>
      <c r="AC612" s="142"/>
      <c r="AD612" s="142"/>
      <c r="AE612" s="142"/>
      <c r="AF612" s="142"/>
      <c r="AG612" s="142"/>
      <c r="AH612" s="142"/>
      <c r="AI612" s="142"/>
      <c r="AJ612" s="142"/>
      <c r="AK612" s="142"/>
      <c r="AL612" s="142"/>
      <c r="AM612" s="142"/>
      <c r="AN612" s="142"/>
      <c r="AO612" s="142"/>
    </row>
    <row r="613" ht="15.75" customHeight="1">
      <c r="A613" s="142"/>
      <c r="B613" s="142"/>
      <c r="C613" s="142"/>
      <c r="D613" s="142"/>
      <c r="E613" s="131"/>
      <c r="F613" s="142"/>
      <c r="G613" s="142"/>
      <c r="H613" s="142"/>
      <c r="I613" s="142"/>
      <c r="J613" s="142"/>
      <c r="K613" s="132"/>
      <c r="L613" s="131"/>
      <c r="M613" s="131"/>
      <c r="N613" s="142"/>
      <c r="O613" s="142"/>
      <c r="P613" s="142"/>
      <c r="Q613" s="142"/>
      <c r="R613" s="142"/>
      <c r="S613" s="142"/>
      <c r="T613" s="131"/>
      <c r="U613" s="131"/>
      <c r="V613" s="131"/>
      <c r="W613" s="131"/>
      <c r="X613" s="131"/>
      <c r="Y613" s="131"/>
      <c r="Z613" s="142"/>
      <c r="AA613" s="142"/>
      <c r="AB613" s="142"/>
      <c r="AC613" s="142"/>
      <c r="AD613" s="142"/>
      <c r="AE613" s="142"/>
      <c r="AF613" s="142"/>
      <c r="AG613" s="142"/>
      <c r="AH613" s="142"/>
      <c r="AI613" s="142"/>
      <c r="AJ613" s="142"/>
      <c r="AK613" s="142"/>
      <c r="AL613" s="142"/>
      <c r="AM613" s="142"/>
      <c r="AN613" s="142"/>
      <c r="AO613" s="142"/>
    </row>
    <row r="614" ht="15.75" customHeight="1">
      <c r="A614" s="142"/>
      <c r="B614" s="142"/>
      <c r="C614" s="142"/>
      <c r="D614" s="142"/>
      <c r="E614" s="131"/>
      <c r="F614" s="142"/>
      <c r="G614" s="142"/>
      <c r="H614" s="142"/>
      <c r="I614" s="142"/>
      <c r="J614" s="142"/>
      <c r="K614" s="132"/>
      <c r="L614" s="131"/>
      <c r="M614" s="131"/>
      <c r="N614" s="142"/>
      <c r="O614" s="142"/>
      <c r="P614" s="142"/>
      <c r="Q614" s="142"/>
      <c r="R614" s="142"/>
      <c r="S614" s="142"/>
      <c r="T614" s="131"/>
      <c r="U614" s="131"/>
      <c r="V614" s="131"/>
      <c r="W614" s="131"/>
      <c r="X614" s="131"/>
      <c r="Y614" s="131"/>
      <c r="Z614" s="142"/>
      <c r="AA614" s="142"/>
      <c r="AB614" s="142"/>
      <c r="AC614" s="142"/>
      <c r="AD614" s="142"/>
      <c r="AE614" s="142"/>
      <c r="AF614" s="142"/>
      <c r="AG614" s="142"/>
      <c r="AH614" s="142"/>
      <c r="AI614" s="142"/>
      <c r="AJ614" s="142"/>
      <c r="AK614" s="142"/>
      <c r="AL614" s="142"/>
      <c r="AM614" s="142"/>
      <c r="AN614" s="142"/>
      <c r="AO614" s="142"/>
    </row>
    <row r="615" ht="15.75" customHeight="1">
      <c r="A615" s="142"/>
      <c r="B615" s="142"/>
      <c r="C615" s="142"/>
      <c r="D615" s="142"/>
      <c r="E615" s="131"/>
      <c r="F615" s="142"/>
      <c r="G615" s="142"/>
      <c r="H615" s="142"/>
      <c r="I615" s="142"/>
      <c r="J615" s="142"/>
      <c r="K615" s="132"/>
      <c r="L615" s="131"/>
      <c r="M615" s="131"/>
      <c r="N615" s="142"/>
      <c r="O615" s="142"/>
      <c r="P615" s="142"/>
      <c r="Q615" s="142"/>
      <c r="R615" s="142"/>
      <c r="S615" s="142"/>
      <c r="T615" s="131"/>
      <c r="U615" s="131"/>
      <c r="V615" s="131"/>
      <c r="W615" s="131"/>
      <c r="X615" s="131"/>
      <c r="Y615" s="131"/>
      <c r="Z615" s="142"/>
      <c r="AA615" s="142"/>
      <c r="AB615" s="142"/>
      <c r="AC615" s="142"/>
      <c r="AD615" s="142"/>
      <c r="AE615" s="142"/>
      <c r="AF615" s="142"/>
      <c r="AG615" s="142"/>
      <c r="AH615" s="142"/>
      <c r="AI615" s="142"/>
      <c r="AJ615" s="142"/>
      <c r="AK615" s="142"/>
      <c r="AL615" s="142"/>
      <c r="AM615" s="142"/>
      <c r="AN615" s="142"/>
      <c r="AO615" s="142"/>
    </row>
    <row r="616" ht="15.75" customHeight="1">
      <c r="A616" s="142"/>
      <c r="B616" s="142"/>
      <c r="C616" s="142"/>
      <c r="D616" s="142"/>
      <c r="E616" s="131"/>
      <c r="F616" s="142"/>
      <c r="G616" s="142"/>
      <c r="H616" s="142"/>
      <c r="I616" s="142"/>
      <c r="J616" s="142"/>
      <c r="K616" s="132"/>
      <c r="L616" s="131"/>
      <c r="M616" s="131"/>
      <c r="N616" s="142"/>
      <c r="O616" s="142"/>
      <c r="P616" s="142"/>
      <c r="Q616" s="142"/>
      <c r="R616" s="142"/>
      <c r="S616" s="142"/>
      <c r="T616" s="131"/>
      <c r="U616" s="131"/>
      <c r="V616" s="131"/>
      <c r="W616" s="131"/>
      <c r="X616" s="131"/>
      <c r="Y616" s="131"/>
      <c r="Z616" s="142"/>
      <c r="AA616" s="142"/>
      <c r="AB616" s="142"/>
      <c r="AC616" s="142"/>
      <c r="AD616" s="142"/>
      <c r="AE616" s="142"/>
      <c r="AF616" s="142"/>
      <c r="AG616" s="142"/>
      <c r="AH616" s="142"/>
      <c r="AI616" s="142"/>
      <c r="AJ616" s="142"/>
      <c r="AK616" s="142"/>
      <c r="AL616" s="142"/>
      <c r="AM616" s="142"/>
      <c r="AN616" s="142"/>
      <c r="AO616" s="142"/>
    </row>
    <row r="617" ht="15.75" customHeight="1">
      <c r="A617" s="142"/>
      <c r="B617" s="142"/>
      <c r="C617" s="142"/>
      <c r="D617" s="142"/>
      <c r="E617" s="131"/>
      <c r="F617" s="142"/>
      <c r="G617" s="142"/>
      <c r="H617" s="142"/>
      <c r="I617" s="142"/>
      <c r="J617" s="142"/>
      <c r="K617" s="132"/>
      <c r="L617" s="131"/>
      <c r="M617" s="131"/>
      <c r="N617" s="142"/>
      <c r="O617" s="142"/>
      <c r="P617" s="142"/>
      <c r="Q617" s="142"/>
      <c r="R617" s="142"/>
      <c r="S617" s="142"/>
      <c r="T617" s="131"/>
      <c r="U617" s="131"/>
      <c r="V617" s="131"/>
      <c r="W617" s="131"/>
      <c r="X617" s="131"/>
      <c r="Y617" s="131"/>
      <c r="Z617" s="142"/>
      <c r="AA617" s="142"/>
      <c r="AB617" s="142"/>
      <c r="AC617" s="142"/>
      <c r="AD617" s="142"/>
      <c r="AE617" s="142"/>
      <c r="AF617" s="142"/>
      <c r="AG617" s="142"/>
      <c r="AH617" s="142"/>
      <c r="AI617" s="142"/>
      <c r="AJ617" s="142"/>
      <c r="AK617" s="142"/>
      <c r="AL617" s="142"/>
      <c r="AM617" s="142"/>
      <c r="AN617" s="142"/>
      <c r="AO617" s="142"/>
    </row>
    <row r="618" ht="15.75" customHeight="1">
      <c r="A618" s="142"/>
      <c r="B618" s="142"/>
      <c r="C618" s="142"/>
      <c r="D618" s="142"/>
      <c r="E618" s="131"/>
      <c r="F618" s="142"/>
      <c r="G618" s="142"/>
      <c r="H618" s="142"/>
      <c r="I618" s="142"/>
      <c r="J618" s="142"/>
      <c r="K618" s="132"/>
      <c r="L618" s="131"/>
      <c r="M618" s="131"/>
      <c r="N618" s="142"/>
      <c r="O618" s="142"/>
      <c r="P618" s="142"/>
      <c r="Q618" s="142"/>
      <c r="R618" s="142"/>
      <c r="S618" s="142"/>
      <c r="T618" s="131"/>
      <c r="U618" s="131"/>
      <c r="V618" s="131"/>
      <c r="W618" s="131"/>
      <c r="X618" s="131"/>
      <c r="Y618" s="131"/>
      <c r="Z618" s="142"/>
      <c r="AA618" s="142"/>
      <c r="AB618" s="142"/>
      <c r="AC618" s="142"/>
      <c r="AD618" s="142"/>
      <c r="AE618" s="142"/>
      <c r="AF618" s="142"/>
      <c r="AG618" s="142"/>
      <c r="AH618" s="142"/>
      <c r="AI618" s="142"/>
      <c r="AJ618" s="142"/>
      <c r="AK618" s="142"/>
      <c r="AL618" s="142"/>
      <c r="AM618" s="142"/>
      <c r="AN618" s="142"/>
      <c r="AO618" s="142"/>
    </row>
    <row r="619" ht="15.75" customHeight="1">
      <c r="A619" s="142"/>
      <c r="B619" s="142"/>
      <c r="C619" s="142"/>
      <c r="D619" s="142"/>
      <c r="E619" s="131"/>
      <c r="F619" s="142"/>
      <c r="G619" s="142"/>
      <c r="H619" s="142"/>
      <c r="I619" s="142"/>
      <c r="J619" s="142"/>
      <c r="K619" s="132"/>
      <c r="L619" s="131"/>
      <c r="M619" s="131"/>
      <c r="N619" s="142"/>
      <c r="O619" s="142"/>
      <c r="P619" s="142"/>
      <c r="Q619" s="142"/>
      <c r="R619" s="142"/>
      <c r="S619" s="142"/>
      <c r="T619" s="131"/>
      <c r="U619" s="131"/>
      <c r="V619" s="131"/>
      <c r="W619" s="131"/>
      <c r="X619" s="131"/>
      <c r="Y619" s="131"/>
      <c r="Z619" s="142"/>
      <c r="AA619" s="142"/>
      <c r="AB619" s="142"/>
      <c r="AC619" s="142"/>
      <c r="AD619" s="142"/>
      <c r="AE619" s="142"/>
      <c r="AF619" s="142"/>
      <c r="AG619" s="142"/>
      <c r="AH619" s="142"/>
      <c r="AI619" s="142"/>
      <c r="AJ619" s="142"/>
      <c r="AK619" s="142"/>
      <c r="AL619" s="142"/>
      <c r="AM619" s="142"/>
      <c r="AN619" s="142"/>
      <c r="AO619" s="142"/>
    </row>
    <row r="620" ht="15.75" customHeight="1">
      <c r="A620" s="142"/>
      <c r="B620" s="142"/>
      <c r="C620" s="142"/>
      <c r="D620" s="142"/>
      <c r="E620" s="131"/>
      <c r="F620" s="142"/>
      <c r="G620" s="142"/>
      <c r="H620" s="142"/>
      <c r="I620" s="142"/>
      <c r="J620" s="142"/>
      <c r="K620" s="132"/>
      <c r="L620" s="131"/>
      <c r="M620" s="131"/>
      <c r="N620" s="142"/>
      <c r="O620" s="142"/>
      <c r="P620" s="142"/>
      <c r="Q620" s="142"/>
      <c r="R620" s="142"/>
      <c r="S620" s="142"/>
      <c r="T620" s="131"/>
      <c r="U620" s="131"/>
      <c r="V620" s="131"/>
      <c r="W620" s="131"/>
      <c r="X620" s="131"/>
      <c r="Y620" s="131"/>
      <c r="Z620" s="142"/>
      <c r="AA620" s="142"/>
      <c r="AB620" s="142"/>
      <c r="AC620" s="142"/>
      <c r="AD620" s="142"/>
      <c r="AE620" s="142"/>
      <c r="AF620" s="142"/>
      <c r="AG620" s="142"/>
      <c r="AH620" s="142"/>
      <c r="AI620" s="142"/>
      <c r="AJ620" s="142"/>
      <c r="AK620" s="142"/>
      <c r="AL620" s="142"/>
      <c r="AM620" s="142"/>
      <c r="AN620" s="142"/>
      <c r="AO620" s="142"/>
    </row>
    <row r="621" ht="15.75" customHeight="1">
      <c r="A621" s="142"/>
      <c r="B621" s="142"/>
      <c r="C621" s="142"/>
      <c r="D621" s="142"/>
      <c r="E621" s="131"/>
      <c r="F621" s="142"/>
      <c r="G621" s="142"/>
      <c r="H621" s="142"/>
      <c r="I621" s="142"/>
      <c r="J621" s="142"/>
      <c r="K621" s="132"/>
      <c r="L621" s="131"/>
      <c r="M621" s="131"/>
      <c r="N621" s="142"/>
      <c r="O621" s="142"/>
      <c r="P621" s="142"/>
      <c r="Q621" s="142"/>
      <c r="R621" s="142"/>
      <c r="S621" s="142"/>
      <c r="T621" s="131"/>
      <c r="U621" s="131"/>
      <c r="V621" s="131"/>
      <c r="W621" s="131"/>
      <c r="X621" s="131"/>
      <c r="Y621" s="131"/>
      <c r="Z621" s="142"/>
      <c r="AA621" s="142"/>
      <c r="AB621" s="142"/>
      <c r="AC621" s="142"/>
      <c r="AD621" s="142"/>
      <c r="AE621" s="142"/>
      <c r="AF621" s="142"/>
      <c r="AG621" s="142"/>
      <c r="AH621" s="142"/>
      <c r="AI621" s="142"/>
      <c r="AJ621" s="142"/>
      <c r="AK621" s="142"/>
      <c r="AL621" s="142"/>
      <c r="AM621" s="142"/>
      <c r="AN621" s="142"/>
      <c r="AO621" s="142"/>
    </row>
    <row r="622" ht="15.75" customHeight="1">
      <c r="A622" s="142"/>
      <c r="B622" s="142"/>
      <c r="C622" s="142"/>
      <c r="D622" s="142"/>
      <c r="E622" s="131"/>
      <c r="F622" s="142"/>
      <c r="G622" s="142"/>
      <c r="H622" s="142"/>
      <c r="I622" s="142"/>
      <c r="J622" s="142"/>
      <c r="K622" s="132"/>
      <c r="L622" s="131"/>
      <c r="M622" s="131"/>
      <c r="N622" s="142"/>
      <c r="O622" s="142"/>
      <c r="P622" s="142"/>
      <c r="Q622" s="142"/>
      <c r="R622" s="142"/>
      <c r="S622" s="142"/>
      <c r="T622" s="131"/>
      <c r="U622" s="131"/>
      <c r="V622" s="131"/>
      <c r="W622" s="131"/>
      <c r="X622" s="131"/>
      <c r="Y622" s="131"/>
      <c r="Z622" s="142"/>
      <c r="AA622" s="142"/>
      <c r="AB622" s="142"/>
      <c r="AC622" s="142"/>
      <c r="AD622" s="142"/>
      <c r="AE622" s="142"/>
      <c r="AF622" s="142"/>
      <c r="AG622" s="142"/>
      <c r="AH622" s="142"/>
      <c r="AI622" s="142"/>
      <c r="AJ622" s="142"/>
      <c r="AK622" s="142"/>
      <c r="AL622" s="142"/>
      <c r="AM622" s="142"/>
      <c r="AN622" s="142"/>
      <c r="AO622" s="142"/>
    </row>
    <row r="623" ht="15.75" customHeight="1">
      <c r="A623" s="142"/>
      <c r="B623" s="142"/>
      <c r="C623" s="142"/>
      <c r="D623" s="142"/>
      <c r="E623" s="131"/>
      <c r="F623" s="142"/>
      <c r="G623" s="142"/>
      <c r="H623" s="142"/>
      <c r="I623" s="142"/>
      <c r="J623" s="142"/>
      <c r="K623" s="132"/>
      <c r="L623" s="131"/>
      <c r="M623" s="131"/>
      <c r="N623" s="142"/>
      <c r="O623" s="142"/>
      <c r="P623" s="142"/>
      <c r="Q623" s="142"/>
      <c r="R623" s="142"/>
      <c r="S623" s="142"/>
      <c r="T623" s="131"/>
      <c r="U623" s="131"/>
      <c r="V623" s="131"/>
      <c r="W623" s="131"/>
      <c r="X623" s="131"/>
      <c r="Y623" s="131"/>
      <c r="Z623" s="142"/>
      <c r="AA623" s="142"/>
      <c r="AB623" s="142"/>
      <c r="AC623" s="142"/>
      <c r="AD623" s="142"/>
      <c r="AE623" s="142"/>
      <c r="AF623" s="142"/>
      <c r="AG623" s="142"/>
      <c r="AH623" s="142"/>
      <c r="AI623" s="142"/>
      <c r="AJ623" s="142"/>
      <c r="AK623" s="142"/>
      <c r="AL623" s="142"/>
      <c r="AM623" s="142"/>
      <c r="AN623" s="142"/>
      <c r="AO623" s="142"/>
    </row>
    <row r="624" ht="15.75" customHeight="1">
      <c r="A624" s="142"/>
      <c r="B624" s="142"/>
      <c r="C624" s="142"/>
      <c r="D624" s="142"/>
      <c r="E624" s="131"/>
      <c r="F624" s="142"/>
      <c r="G624" s="142"/>
      <c r="H624" s="142"/>
      <c r="I624" s="142"/>
      <c r="J624" s="142"/>
      <c r="K624" s="132"/>
      <c r="L624" s="131"/>
      <c r="M624" s="131"/>
      <c r="N624" s="142"/>
      <c r="O624" s="142"/>
      <c r="P624" s="142"/>
      <c r="Q624" s="142"/>
      <c r="R624" s="142"/>
      <c r="S624" s="142"/>
      <c r="T624" s="131"/>
      <c r="U624" s="131"/>
      <c r="V624" s="131"/>
      <c r="W624" s="131"/>
      <c r="X624" s="131"/>
      <c r="Y624" s="131"/>
      <c r="Z624" s="142"/>
      <c r="AA624" s="142"/>
      <c r="AB624" s="142"/>
      <c r="AC624" s="142"/>
      <c r="AD624" s="142"/>
      <c r="AE624" s="142"/>
      <c r="AF624" s="142"/>
      <c r="AG624" s="142"/>
      <c r="AH624" s="142"/>
      <c r="AI624" s="142"/>
      <c r="AJ624" s="142"/>
      <c r="AK624" s="142"/>
      <c r="AL624" s="142"/>
      <c r="AM624" s="142"/>
      <c r="AN624" s="142"/>
      <c r="AO624" s="142"/>
    </row>
    <row r="625" ht="15.75" customHeight="1">
      <c r="A625" s="142"/>
      <c r="B625" s="142"/>
      <c r="C625" s="142"/>
      <c r="D625" s="142"/>
      <c r="E625" s="131"/>
      <c r="F625" s="142"/>
      <c r="G625" s="142"/>
      <c r="H625" s="142"/>
      <c r="I625" s="142"/>
      <c r="J625" s="142"/>
      <c r="K625" s="132"/>
      <c r="L625" s="131"/>
      <c r="M625" s="131"/>
      <c r="N625" s="142"/>
      <c r="O625" s="142"/>
      <c r="P625" s="142"/>
      <c r="Q625" s="142"/>
      <c r="R625" s="142"/>
      <c r="S625" s="142"/>
      <c r="T625" s="131"/>
      <c r="U625" s="131"/>
      <c r="V625" s="131"/>
      <c r="W625" s="131"/>
      <c r="X625" s="131"/>
      <c r="Y625" s="131"/>
      <c r="Z625" s="142"/>
      <c r="AA625" s="142"/>
      <c r="AB625" s="142"/>
      <c r="AC625" s="142"/>
      <c r="AD625" s="142"/>
      <c r="AE625" s="142"/>
      <c r="AF625" s="142"/>
      <c r="AG625" s="142"/>
      <c r="AH625" s="142"/>
      <c r="AI625" s="142"/>
      <c r="AJ625" s="142"/>
      <c r="AK625" s="142"/>
      <c r="AL625" s="142"/>
      <c r="AM625" s="142"/>
      <c r="AN625" s="142"/>
      <c r="AO625" s="142"/>
    </row>
    <row r="626" ht="15.75" customHeight="1">
      <c r="A626" s="142"/>
      <c r="B626" s="142"/>
      <c r="C626" s="142"/>
      <c r="D626" s="142"/>
      <c r="E626" s="131"/>
      <c r="F626" s="142"/>
      <c r="G626" s="142"/>
      <c r="H626" s="142"/>
      <c r="I626" s="142"/>
      <c r="J626" s="142"/>
      <c r="K626" s="132"/>
      <c r="L626" s="131"/>
      <c r="M626" s="131"/>
      <c r="N626" s="142"/>
      <c r="O626" s="142"/>
      <c r="P626" s="142"/>
      <c r="Q626" s="142"/>
      <c r="R626" s="142"/>
      <c r="S626" s="142"/>
      <c r="T626" s="131"/>
      <c r="U626" s="131"/>
      <c r="V626" s="131"/>
      <c r="W626" s="131"/>
      <c r="X626" s="131"/>
      <c r="Y626" s="131"/>
      <c r="Z626" s="142"/>
      <c r="AA626" s="142"/>
      <c r="AB626" s="142"/>
      <c r="AC626" s="142"/>
      <c r="AD626" s="142"/>
      <c r="AE626" s="142"/>
      <c r="AF626" s="142"/>
      <c r="AG626" s="142"/>
      <c r="AH626" s="142"/>
      <c r="AI626" s="142"/>
      <c r="AJ626" s="142"/>
      <c r="AK626" s="142"/>
      <c r="AL626" s="142"/>
      <c r="AM626" s="142"/>
      <c r="AN626" s="142"/>
      <c r="AO626" s="142"/>
    </row>
    <row r="627" ht="15.75" customHeight="1">
      <c r="A627" s="142"/>
      <c r="B627" s="142"/>
      <c r="C627" s="142"/>
      <c r="D627" s="142"/>
      <c r="E627" s="131"/>
      <c r="F627" s="142"/>
      <c r="G627" s="142"/>
      <c r="H627" s="142"/>
      <c r="I627" s="142"/>
      <c r="J627" s="142"/>
      <c r="K627" s="132"/>
      <c r="L627" s="131"/>
      <c r="M627" s="131"/>
      <c r="N627" s="142"/>
      <c r="O627" s="142"/>
      <c r="P627" s="142"/>
      <c r="Q627" s="142"/>
      <c r="R627" s="142"/>
      <c r="S627" s="142"/>
      <c r="T627" s="131"/>
      <c r="U627" s="131"/>
      <c r="V627" s="131"/>
      <c r="W627" s="131"/>
      <c r="X627" s="131"/>
      <c r="Y627" s="131"/>
      <c r="Z627" s="142"/>
      <c r="AA627" s="142"/>
      <c r="AB627" s="142"/>
      <c r="AC627" s="142"/>
      <c r="AD627" s="142"/>
      <c r="AE627" s="142"/>
      <c r="AF627" s="142"/>
      <c r="AG627" s="142"/>
      <c r="AH627" s="142"/>
      <c r="AI627" s="142"/>
      <c r="AJ627" s="142"/>
      <c r="AK627" s="142"/>
      <c r="AL627" s="142"/>
      <c r="AM627" s="142"/>
      <c r="AN627" s="142"/>
      <c r="AO627" s="142"/>
    </row>
    <row r="628" ht="15.75" customHeight="1">
      <c r="A628" s="142"/>
      <c r="B628" s="142"/>
      <c r="C628" s="142"/>
      <c r="D628" s="142"/>
      <c r="E628" s="131"/>
      <c r="F628" s="142"/>
      <c r="G628" s="142"/>
      <c r="H628" s="142"/>
      <c r="I628" s="142"/>
      <c r="J628" s="142"/>
      <c r="K628" s="132"/>
      <c r="L628" s="131"/>
      <c r="M628" s="131"/>
      <c r="N628" s="142"/>
      <c r="O628" s="142"/>
      <c r="P628" s="142"/>
      <c r="Q628" s="142"/>
      <c r="R628" s="142"/>
      <c r="S628" s="142"/>
      <c r="T628" s="131"/>
      <c r="U628" s="131"/>
      <c r="V628" s="131"/>
      <c r="W628" s="131"/>
      <c r="X628" s="131"/>
      <c r="Y628" s="131"/>
      <c r="Z628" s="142"/>
      <c r="AA628" s="142"/>
      <c r="AB628" s="142"/>
      <c r="AC628" s="142"/>
      <c r="AD628" s="142"/>
      <c r="AE628" s="142"/>
      <c r="AF628" s="142"/>
      <c r="AG628" s="142"/>
      <c r="AH628" s="142"/>
      <c r="AI628" s="142"/>
      <c r="AJ628" s="142"/>
      <c r="AK628" s="142"/>
      <c r="AL628" s="142"/>
      <c r="AM628" s="142"/>
      <c r="AN628" s="142"/>
      <c r="AO628" s="142"/>
    </row>
    <row r="629" ht="15.75" customHeight="1">
      <c r="A629" s="142"/>
      <c r="B629" s="142"/>
      <c r="C629" s="142"/>
      <c r="D629" s="142"/>
      <c r="E629" s="131"/>
      <c r="F629" s="142"/>
      <c r="G629" s="142"/>
      <c r="H629" s="142"/>
      <c r="I629" s="142"/>
      <c r="J629" s="142"/>
      <c r="K629" s="132"/>
      <c r="L629" s="131"/>
      <c r="M629" s="131"/>
      <c r="N629" s="142"/>
      <c r="O629" s="142"/>
      <c r="P629" s="142"/>
      <c r="Q629" s="142"/>
      <c r="R629" s="142"/>
      <c r="S629" s="142"/>
      <c r="T629" s="131"/>
      <c r="U629" s="131"/>
      <c r="V629" s="131"/>
      <c r="W629" s="131"/>
      <c r="X629" s="131"/>
      <c r="Y629" s="131"/>
      <c r="Z629" s="142"/>
      <c r="AA629" s="142"/>
      <c r="AB629" s="142"/>
      <c r="AC629" s="142"/>
      <c r="AD629" s="142"/>
      <c r="AE629" s="142"/>
      <c r="AF629" s="142"/>
      <c r="AG629" s="142"/>
      <c r="AH629" s="142"/>
      <c r="AI629" s="142"/>
      <c r="AJ629" s="142"/>
      <c r="AK629" s="142"/>
      <c r="AL629" s="142"/>
      <c r="AM629" s="142"/>
      <c r="AN629" s="142"/>
      <c r="AO629" s="142"/>
    </row>
    <row r="630" ht="15.75" customHeight="1">
      <c r="A630" s="142"/>
      <c r="B630" s="142"/>
      <c r="C630" s="142"/>
      <c r="D630" s="142"/>
      <c r="E630" s="131"/>
      <c r="F630" s="142"/>
      <c r="G630" s="142"/>
      <c r="H630" s="142"/>
      <c r="I630" s="142"/>
      <c r="J630" s="142"/>
      <c r="K630" s="132"/>
      <c r="L630" s="131"/>
      <c r="M630" s="131"/>
      <c r="N630" s="142"/>
      <c r="O630" s="142"/>
      <c r="P630" s="142"/>
      <c r="Q630" s="142"/>
      <c r="R630" s="142"/>
      <c r="S630" s="142"/>
      <c r="T630" s="131"/>
      <c r="U630" s="131"/>
      <c r="V630" s="131"/>
      <c r="W630" s="131"/>
      <c r="X630" s="131"/>
      <c r="Y630" s="131"/>
      <c r="Z630" s="142"/>
      <c r="AA630" s="142"/>
      <c r="AB630" s="142"/>
      <c r="AC630" s="142"/>
      <c r="AD630" s="142"/>
      <c r="AE630" s="142"/>
      <c r="AF630" s="142"/>
      <c r="AG630" s="142"/>
      <c r="AH630" s="142"/>
      <c r="AI630" s="142"/>
      <c r="AJ630" s="142"/>
      <c r="AK630" s="142"/>
      <c r="AL630" s="142"/>
      <c r="AM630" s="142"/>
      <c r="AN630" s="142"/>
      <c r="AO630" s="142"/>
    </row>
    <row r="631" ht="15.75" customHeight="1">
      <c r="A631" s="142"/>
      <c r="B631" s="142"/>
      <c r="C631" s="142"/>
      <c r="D631" s="142"/>
      <c r="E631" s="131"/>
      <c r="F631" s="142"/>
      <c r="G631" s="142"/>
      <c r="H631" s="142"/>
      <c r="I631" s="142"/>
      <c r="J631" s="142"/>
      <c r="K631" s="132"/>
      <c r="L631" s="131"/>
      <c r="M631" s="131"/>
      <c r="N631" s="142"/>
      <c r="O631" s="142"/>
      <c r="P631" s="142"/>
      <c r="Q631" s="142"/>
      <c r="R631" s="142"/>
      <c r="S631" s="142"/>
      <c r="T631" s="131"/>
      <c r="U631" s="131"/>
      <c r="V631" s="131"/>
      <c r="W631" s="131"/>
      <c r="X631" s="131"/>
      <c r="Y631" s="131"/>
      <c r="Z631" s="142"/>
      <c r="AA631" s="142"/>
      <c r="AB631" s="142"/>
      <c r="AC631" s="142"/>
      <c r="AD631" s="142"/>
      <c r="AE631" s="142"/>
      <c r="AF631" s="142"/>
      <c r="AG631" s="142"/>
      <c r="AH631" s="142"/>
      <c r="AI631" s="142"/>
      <c r="AJ631" s="142"/>
      <c r="AK631" s="142"/>
      <c r="AL631" s="142"/>
      <c r="AM631" s="142"/>
      <c r="AN631" s="142"/>
      <c r="AO631" s="142"/>
    </row>
    <row r="632" ht="15.75" customHeight="1">
      <c r="A632" s="142"/>
      <c r="B632" s="142"/>
      <c r="C632" s="142"/>
      <c r="D632" s="142"/>
      <c r="E632" s="131"/>
      <c r="F632" s="142"/>
      <c r="G632" s="142"/>
      <c r="H632" s="142"/>
      <c r="I632" s="142"/>
      <c r="J632" s="142"/>
      <c r="K632" s="132"/>
      <c r="L632" s="131"/>
      <c r="M632" s="131"/>
      <c r="N632" s="142"/>
      <c r="O632" s="142"/>
      <c r="P632" s="142"/>
      <c r="Q632" s="142"/>
      <c r="R632" s="142"/>
      <c r="S632" s="142"/>
      <c r="T632" s="131"/>
      <c r="U632" s="131"/>
      <c r="V632" s="131"/>
      <c r="W632" s="131"/>
      <c r="X632" s="131"/>
      <c r="Y632" s="131"/>
      <c r="Z632" s="142"/>
      <c r="AA632" s="142"/>
      <c r="AB632" s="142"/>
      <c r="AC632" s="142"/>
      <c r="AD632" s="142"/>
      <c r="AE632" s="142"/>
      <c r="AF632" s="142"/>
      <c r="AG632" s="142"/>
      <c r="AH632" s="142"/>
      <c r="AI632" s="142"/>
      <c r="AJ632" s="142"/>
      <c r="AK632" s="142"/>
      <c r="AL632" s="142"/>
      <c r="AM632" s="142"/>
      <c r="AN632" s="142"/>
      <c r="AO632" s="142"/>
    </row>
    <row r="633" ht="15.75" customHeight="1">
      <c r="A633" s="142"/>
      <c r="B633" s="142"/>
      <c r="C633" s="142"/>
      <c r="D633" s="142"/>
      <c r="E633" s="131"/>
      <c r="F633" s="142"/>
      <c r="G633" s="142"/>
      <c r="H633" s="142"/>
      <c r="I633" s="142"/>
      <c r="J633" s="142"/>
      <c r="K633" s="132"/>
      <c r="L633" s="131"/>
      <c r="M633" s="131"/>
      <c r="N633" s="142"/>
      <c r="O633" s="142"/>
      <c r="P633" s="142"/>
      <c r="Q633" s="142"/>
      <c r="R633" s="142"/>
      <c r="S633" s="142"/>
      <c r="T633" s="131"/>
      <c r="U633" s="131"/>
      <c r="V633" s="131"/>
      <c r="W633" s="131"/>
      <c r="X633" s="131"/>
      <c r="Y633" s="131"/>
      <c r="Z633" s="142"/>
      <c r="AA633" s="142"/>
      <c r="AB633" s="142"/>
      <c r="AC633" s="142"/>
      <c r="AD633" s="142"/>
      <c r="AE633" s="142"/>
      <c r="AF633" s="142"/>
      <c r="AG633" s="142"/>
      <c r="AH633" s="142"/>
      <c r="AI633" s="142"/>
      <c r="AJ633" s="142"/>
      <c r="AK633" s="142"/>
      <c r="AL633" s="142"/>
      <c r="AM633" s="142"/>
      <c r="AN633" s="142"/>
      <c r="AO633" s="142"/>
    </row>
    <row r="634" ht="15.75" customHeight="1">
      <c r="A634" s="142"/>
      <c r="B634" s="142"/>
      <c r="C634" s="142"/>
      <c r="D634" s="142"/>
      <c r="E634" s="131"/>
      <c r="F634" s="142"/>
      <c r="G634" s="142"/>
      <c r="H634" s="142"/>
      <c r="I634" s="142"/>
      <c r="J634" s="142"/>
      <c r="K634" s="132"/>
      <c r="L634" s="131"/>
      <c r="M634" s="131"/>
      <c r="N634" s="142"/>
      <c r="O634" s="142"/>
      <c r="P634" s="142"/>
      <c r="Q634" s="142"/>
      <c r="R634" s="142"/>
      <c r="S634" s="142"/>
      <c r="T634" s="131"/>
      <c r="U634" s="131"/>
      <c r="V634" s="131"/>
      <c r="W634" s="131"/>
      <c r="X634" s="131"/>
      <c r="Y634" s="131"/>
      <c r="Z634" s="142"/>
      <c r="AA634" s="142"/>
      <c r="AB634" s="142"/>
      <c r="AC634" s="142"/>
      <c r="AD634" s="142"/>
      <c r="AE634" s="142"/>
      <c r="AF634" s="142"/>
      <c r="AG634" s="142"/>
      <c r="AH634" s="142"/>
      <c r="AI634" s="142"/>
      <c r="AJ634" s="142"/>
      <c r="AK634" s="142"/>
      <c r="AL634" s="142"/>
      <c r="AM634" s="142"/>
      <c r="AN634" s="142"/>
      <c r="AO634" s="142"/>
    </row>
    <row r="635" ht="15.75" customHeight="1">
      <c r="A635" s="142"/>
      <c r="B635" s="142"/>
      <c r="C635" s="142"/>
      <c r="D635" s="142"/>
      <c r="E635" s="131"/>
      <c r="F635" s="142"/>
      <c r="G635" s="142"/>
      <c r="H635" s="142"/>
      <c r="I635" s="142"/>
      <c r="J635" s="142"/>
      <c r="K635" s="132"/>
      <c r="L635" s="131"/>
      <c r="M635" s="131"/>
      <c r="N635" s="142"/>
      <c r="O635" s="142"/>
      <c r="P635" s="142"/>
      <c r="Q635" s="142"/>
      <c r="R635" s="142"/>
      <c r="S635" s="142"/>
      <c r="T635" s="131"/>
      <c r="U635" s="131"/>
      <c r="V635" s="131"/>
      <c r="W635" s="131"/>
      <c r="X635" s="131"/>
      <c r="Y635" s="131"/>
      <c r="Z635" s="142"/>
      <c r="AA635" s="142"/>
      <c r="AB635" s="142"/>
      <c r="AC635" s="142"/>
      <c r="AD635" s="142"/>
      <c r="AE635" s="142"/>
      <c r="AF635" s="142"/>
      <c r="AG635" s="142"/>
      <c r="AH635" s="142"/>
      <c r="AI635" s="142"/>
      <c r="AJ635" s="142"/>
      <c r="AK635" s="142"/>
      <c r="AL635" s="142"/>
      <c r="AM635" s="142"/>
      <c r="AN635" s="142"/>
      <c r="AO635" s="142"/>
    </row>
    <row r="636" ht="15.75" customHeight="1">
      <c r="A636" s="142"/>
      <c r="B636" s="142"/>
      <c r="C636" s="142"/>
      <c r="D636" s="142"/>
      <c r="E636" s="131"/>
      <c r="F636" s="142"/>
      <c r="G636" s="142"/>
      <c r="H636" s="142"/>
      <c r="I636" s="142"/>
      <c r="J636" s="142"/>
      <c r="K636" s="132"/>
      <c r="L636" s="131"/>
      <c r="M636" s="131"/>
      <c r="N636" s="142"/>
      <c r="O636" s="142"/>
      <c r="P636" s="142"/>
      <c r="Q636" s="142"/>
      <c r="R636" s="142"/>
      <c r="S636" s="142"/>
      <c r="T636" s="131"/>
      <c r="U636" s="131"/>
      <c r="V636" s="131"/>
      <c r="W636" s="131"/>
      <c r="X636" s="131"/>
      <c r="Y636" s="131"/>
      <c r="Z636" s="142"/>
      <c r="AA636" s="142"/>
      <c r="AB636" s="142"/>
      <c r="AC636" s="142"/>
      <c r="AD636" s="142"/>
      <c r="AE636" s="142"/>
      <c r="AF636" s="142"/>
      <c r="AG636" s="142"/>
      <c r="AH636" s="142"/>
      <c r="AI636" s="142"/>
      <c r="AJ636" s="142"/>
      <c r="AK636" s="142"/>
      <c r="AL636" s="142"/>
      <c r="AM636" s="142"/>
      <c r="AN636" s="142"/>
      <c r="AO636" s="142"/>
    </row>
    <row r="637" ht="15.75" customHeight="1">
      <c r="A637" s="142"/>
      <c r="B637" s="142"/>
      <c r="C637" s="142"/>
      <c r="D637" s="142"/>
      <c r="E637" s="131"/>
      <c r="F637" s="142"/>
      <c r="G637" s="142"/>
      <c r="H637" s="142"/>
      <c r="I637" s="142"/>
      <c r="J637" s="142"/>
      <c r="K637" s="132"/>
      <c r="L637" s="131"/>
      <c r="M637" s="131"/>
      <c r="N637" s="142"/>
      <c r="O637" s="142"/>
      <c r="P637" s="142"/>
      <c r="Q637" s="142"/>
      <c r="R637" s="142"/>
      <c r="S637" s="142"/>
      <c r="T637" s="131"/>
      <c r="U637" s="131"/>
      <c r="V637" s="131"/>
      <c r="W637" s="131"/>
      <c r="X637" s="131"/>
      <c r="Y637" s="131"/>
      <c r="Z637" s="142"/>
      <c r="AA637" s="142"/>
      <c r="AB637" s="142"/>
      <c r="AC637" s="142"/>
      <c r="AD637" s="142"/>
      <c r="AE637" s="142"/>
      <c r="AF637" s="142"/>
      <c r="AG637" s="142"/>
      <c r="AH637" s="142"/>
      <c r="AI637" s="142"/>
      <c r="AJ637" s="142"/>
      <c r="AK637" s="142"/>
      <c r="AL637" s="142"/>
      <c r="AM637" s="142"/>
      <c r="AN637" s="142"/>
      <c r="AO637" s="142"/>
    </row>
    <row r="638" ht="15.75" customHeight="1">
      <c r="A638" s="142"/>
      <c r="B638" s="142"/>
      <c r="C638" s="142"/>
      <c r="D638" s="142"/>
      <c r="E638" s="131"/>
      <c r="F638" s="142"/>
      <c r="G638" s="142"/>
      <c r="H638" s="142"/>
      <c r="I638" s="142"/>
      <c r="J638" s="142"/>
      <c r="K638" s="132"/>
      <c r="L638" s="131"/>
      <c r="M638" s="131"/>
      <c r="N638" s="142"/>
      <c r="O638" s="142"/>
      <c r="P638" s="142"/>
      <c r="Q638" s="142"/>
      <c r="R638" s="142"/>
      <c r="S638" s="142"/>
      <c r="T638" s="131"/>
      <c r="U638" s="131"/>
      <c r="V638" s="131"/>
      <c r="W638" s="131"/>
      <c r="X638" s="131"/>
      <c r="Y638" s="131"/>
      <c r="Z638" s="142"/>
      <c r="AA638" s="142"/>
      <c r="AB638" s="142"/>
      <c r="AC638" s="142"/>
      <c r="AD638" s="142"/>
      <c r="AE638" s="142"/>
      <c r="AF638" s="142"/>
      <c r="AG638" s="142"/>
      <c r="AH638" s="142"/>
      <c r="AI638" s="142"/>
      <c r="AJ638" s="142"/>
      <c r="AK638" s="142"/>
      <c r="AL638" s="142"/>
      <c r="AM638" s="142"/>
      <c r="AN638" s="142"/>
      <c r="AO638" s="142"/>
    </row>
    <row r="639" ht="15.75" customHeight="1">
      <c r="A639" s="142"/>
      <c r="B639" s="142"/>
      <c r="C639" s="142"/>
      <c r="D639" s="142"/>
      <c r="E639" s="131"/>
      <c r="F639" s="142"/>
      <c r="G639" s="142"/>
      <c r="H639" s="142"/>
      <c r="I639" s="142"/>
      <c r="J639" s="142"/>
      <c r="K639" s="132"/>
      <c r="L639" s="131"/>
      <c r="M639" s="131"/>
      <c r="N639" s="142"/>
      <c r="O639" s="142"/>
      <c r="P639" s="142"/>
      <c r="Q639" s="142"/>
      <c r="R639" s="142"/>
      <c r="S639" s="142"/>
      <c r="T639" s="131"/>
      <c r="U639" s="131"/>
      <c r="V639" s="131"/>
      <c r="W639" s="131"/>
      <c r="X639" s="131"/>
      <c r="Y639" s="131"/>
      <c r="Z639" s="142"/>
      <c r="AA639" s="142"/>
      <c r="AB639" s="142"/>
      <c r="AC639" s="142"/>
      <c r="AD639" s="142"/>
      <c r="AE639" s="142"/>
      <c r="AF639" s="142"/>
      <c r="AG639" s="142"/>
      <c r="AH639" s="142"/>
      <c r="AI639" s="142"/>
      <c r="AJ639" s="142"/>
      <c r="AK639" s="142"/>
      <c r="AL639" s="142"/>
      <c r="AM639" s="142"/>
      <c r="AN639" s="142"/>
      <c r="AO639" s="142"/>
    </row>
    <row r="640" ht="15.75" customHeight="1">
      <c r="A640" s="142"/>
      <c r="B640" s="142"/>
      <c r="C640" s="142"/>
      <c r="D640" s="142"/>
      <c r="E640" s="131"/>
      <c r="F640" s="142"/>
      <c r="G640" s="142"/>
      <c r="H640" s="142"/>
      <c r="I640" s="142"/>
      <c r="J640" s="142"/>
      <c r="K640" s="132"/>
      <c r="L640" s="131"/>
      <c r="M640" s="131"/>
      <c r="N640" s="142"/>
      <c r="O640" s="142"/>
      <c r="P640" s="142"/>
      <c r="Q640" s="142"/>
      <c r="R640" s="142"/>
      <c r="S640" s="142"/>
      <c r="T640" s="131"/>
      <c r="U640" s="131"/>
      <c r="V640" s="131"/>
      <c r="W640" s="131"/>
      <c r="X640" s="131"/>
      <c r="Y640" s="131"/>
      <c r="Z640" s="142"/>
      <c r="AA640" s="142"/>
      <c r="AB640" s="142"/>
      <c r="AC640" s="142"/>
      <c r="AD640" s="142"/>
      <c r="AE640" s="142"/>
      <c r="AF640" s="142"/>
      <c r="AG640" s="142"/>
      <c r="AH640" s="142"/>
      <c r="AI640" s="142"/>
      <c r="AJ640" s="142"/>
      <c r="AK640" s="142"/>
      <c r="AL640" s="142"/>
      <c r="AM640" s="142"/>
      <c r="AN640" s="142"/>
      <c r="AO640" s="142"/>
    </row>
    <row r="641" ht="15.75" customHeight="1">
      <c r="A641" s="142"/>
      <c r="B641" s="142"/>
      <c r="C641" s="142"/>
      <c r="D641" s="142"/>
      <c r="E641" s="131"/>
      <c r="F641" s="142"/>
      <c r="G641" s="142"/>
      <c r="H641" s="142"/>
      <c r="I641" s="142"/>
      <c r="J641" s="142"/>
      <c r="K641" s="132"/>
      <c r="L641" s="131"/>
      <c r="M641" s="131"/>
      <c r="N641" s="142"/>
      <c r="O641" s="142"/>
      <c r="P641" s="142"/>
      <c r="Q641" s="142"/>
      <c r="R641" s="142"/>
      <c r="S641" s="142"/>
      <c r="T641" s="131"/>
      <c r="U641" s="131"/>
      <c r="V641" s="131"/>
      <c r="W641" s="131"/>
      <c r="X641" s="131"/>
      <c r="Y641" s="131"/>
      <c r="Z641" s="142"/>
      <c r="AA641" s="142"/>
      <c r="AB641" s="142"/>
      <c r="AC641" s="142"/>
      <c r="AD641" s="142"/>
      <c r="AE641" s="142"/>
      <c r="AF641" s="142"/>
      <c r="AG641" s="142"/>
      <c r="AH641" s="142"/>
      <c r="AI641" s="142"/>
      <c r="AJ641" s="142"/>
      <c r="AK641" s="142"/>
      <c r="AL641" s="142"/>
      <c r="AM641" s="142"/>
      <c r="AN641" s="142"/>
      <c r="AO641" s="142"/>
    </row>
    <row r="642" ht="15.75" customHeight="1">
      <c r="A642" s="142"/>
      <c r="B642" s="142"/>
      <c r="C642" s="142"/>
      <c r="D642" s="142"/>
      <c r="E642" s="131"/>
      <c r="F642" s="142"/>
      <c r="G642" s="142"/>
      <c r="H642" s="142"/>
      <c r="I642" s="142"/>
      <c r="J642" s="142"/>
      <c r="K642" s="132"/>
      <c r="L642" s="131"/>
      <c r="M642" s="131"/>
      <c r="N642" s="142"/>
      <c r="O642" s="142"/>
      <c r="P642" s="142"/>
      <c r="Q642" s="142"/>
      <c r="R642" s="142"/>
      <c r="S642" s="142"/>
      <c r="T642" s="131"/>
      <c r="U642" s="131"/>
      <c r="V642" s="131"/>
      <c r="W642" s="131"/>
      <c r="X642" s="131"/>
      <c r="Y642" s="131"/>
      <c r="Z642" s="142"/>
      <c r="AA642" s="142"/>
      <c r="AB642" s="142"/>
      <c r="AC642" s="142"/>
      <c r="AD642" s="142"/>
      <c r="AE642" s="142"/>
      <c r="AF642" s="142"/>
      <c r="AG642" s="142"/>
      <c r="AH642" s="142"/>
      <c r="AI642" s="142"/>
      <c r="AJ642" s="142"/>
      <c r="AK642" s="142"/>
      <c r="AL642" s="142"/>
      <c r="AM642" s="142"/>
      <c r="AN642" s="142"/>
      <c r="AO642" s="142"/>
    </row>
    <row r="643" ht="15.75" customHeight="1">
      <c r="A643" s="142"/>
      <c r="B643" s="142"/>
      <c r="C643" s="142"/>
      <c r="D643" s="142"/>
      <c r="E643" s="131"/>
      <c r="F643" s="142"/>
      <c r="G643" s="142"/>
      <c r="H643" s="142"/>
      <c r="I643" s="142"/>
      <c r="J643" s="142"/>
      <c r="K643" s="132"/>
      <c r="L643" s="131"/>
      <c r="M643" s="131"/>
      <c r="N643" s="142"/>
      <c r="O643" s="142"/>
      <c r="P643" s="142"/>
      <c r="Q643" s="142"/>
      <c r="R643" s="142"/>
      <c r="S643" s="142"/>
      <c r="T643" s="131"/>
      <c r="U643" s="131"/>
      <c r="V643" s="131"/>
      <c r="W643" s="131"/>
      <c r="X643" s="131"/>
      <c r="Y643" s="131"/>
      <c r="Z643" s="142"/>
      <c r="AA643" s="142"/>
      <c r="AB643" s="142"/>
      <c r="AC643" s="142"/>
      <c r="AD643" s="142"/>
      <c r="AE643" s="142"/>
      <c r="AF643" s="142"/>
      <c r="AG643" s="142"/>
      <c r="AH643" s="142"/>
      <c r="AI643" s="142"/>
      <c r="AJ643" s="142"/>
      <c r="AK643" s="142"/>
      <c r="AL643" s="142"/>
      <c r="AM643" s="142"/>
      <c r="AN643" s="142"/>
      <c r="AO643" s="142"/>
    </row>
    <row r="644" ht="15.75" customHeight="1">
      <c r="A644" s="142"/>
      <c r="B644" s="142"/>
      <c r="C644" s="142"/>
      <c r="D644" s="142"/>
      <c r="E644" s="131"/>
      <c r="F644" s="142"/>
      <c r="G644" s="142"/>
      <c r="H644" s="142"/>
      <c r="I644" s="142"/>
      <c r="J644" s="142"/>
      <c r="K644" s="132"/>
      <c r="L644" s="131"/>
      <c r="M644" s="131"/>
      <c r="N644" s="142"/>
      <c r="O644" s="142"/>
      <c r="P644" s="142"/>
      <c r="Q644" s="142"/>
      <c r="R644" s="142"/>
      <c r="S644" s="142"/>
      <c r="T644" s="131"/>
      <c r="U644" s="131"/>
      <c r="V644" s="131"/>
      <c r="W644" s="131"/>
      <c r="X644" s="131"/>
      <c r="Y644" s="131"/>
      <c r="Z644" s="142"/>
      <c r="AA644" s="142"/>
      <c r="AB644" s="142"/>
      <c r="AC644" s="142"/>
      <c r="AD644" s="142"/>
      <c r="AE644" s="142"/>
      <c r="AF644" s="142"/>
      <c r="AG644" s="142"/>
      <c r="AH644" s="142"/>
      <c r="AI644" s="142"/>
      <c r="AJ644" s="142"/>
      <c r="AK644" s="142"/>
      <c r="AL644" s="142"/>
      <c r="AM644" s="142"/>
      <c r="AN644" s="142"/>
      <c r="AO644" s="142"/>
    </row>
    <row r="645" ht="15.75" customHeight="1">
      <c r="A645" s="142"/>
      <c r="B645" s="142"/>
      <c r="C645" s="142"/>
      <c r="D645" s="142"/>
      <c r="E645" s="131"/>
      <c r="F645" s="142"/>
      <c r="G645" s="142"/>
      <c r="H645" s="142"/>
      <c r="I645" s="142"/>
      <c r="J645" s="142"/>
      <c r="K645" s="132"/>
      <c r="L645" s="131"/>
      <c r="M645" s="131"/>
      <c r="N645" s="142"/>
      <c r="O645" s="142"/>
      <c r="P645" s="142"/>
      <c r="Q645" s="142"/>
      <c r="R645" s="142"/>
      <c r="S645" s="142"/>
      <c r="T645" s="131"/>
      <c r="U645" s="131"/>
      <c r="V645" s="131"/>
      <c r="W645" s="131"/>
      <c r="X645" s="131"/>
      <c r="Y645" s="131"/>
      <c r="Z645" s="142"/>
      <c r="AA645" s="142"/>
      <c r="AB645" s="142"/>
      <c r="AC645" s="142"/>
      <c r="AD645" s="142"/>
      <c r="AE645" s="142"/>
      <c r="AF645" s="142"/>
      <c r="AG645" s="142"/>
      <c r="AH645" s="142"/>
      <c r="AI645" s="142"/>
      <c r="AJ645" s="142"/>
      <c r="AK645" s="142"/>
      <c r="AL645" s="142"/>
      <c r="AM645" s="142"/>
      <c r="AN645" s="142"/>
      <c r="AO645" s="142"/>
    </row>
    <row r="646" ht="15.75" customHeight="1">
      <c r="A646" s="142"/>
      <c r="B646" s="142"/>
      <c r="C646" s="142"/>
      <c r="D646" s="142"/>
      <c r="E646" s="131"/>
      <c r="F646" s="142"/>
      <c r="G646" s="142"/>
      <c r="H646" s="142"/>
      <c r="I646" s="142"/>
      <c r="J646" s="142"/>
      <c r="K646" s="132"/>
      <c r="L646" s="131"/>
      <c r="M646" s="131"/>
      <c r="N646" s="142"/>
      <c r="O646" s="142"/>
      <c r="P646" s="142"/>
      <c r="Q646" s="142"/>
      <c r="R646" s="142"/>
      <c r="S646" s="142"/>
      <c r="T646" s="131"/>
      <c r="U646" s="131"/>
      <c r="V646" s="131"/>
      <c r="W646" s="131"/>
      <c r="X646" s="131"/>
      <c r="Y646" s="131"/>
      <c r="Z646" s="142"/>
      <c r="AA646" s="142"/>
      <c r="AB646" s="142"/>
      <c r="AC646" s="142"/>
      <c r="AD646" s="142"/>
      <c r="AE646" s="142"/>
      <c r="AF646" s="142"/>
      <c r="AG646" s="142"/>
      <c r="AH646" s="142"/>
      <c r="AI646" s="142"/>
      <c r="AJ646" s="142"/>
      <c r="AK646" s="142"/>
      <c r="AL646" s="142"/>
      <c r="AM646" s="142"/>
      <c r="AN646" s="142"/>
      <c r="AO646" s="142"/>
    </row>
    <row r="647" ht="15.75" customHeight="1">
      <c r="A647" s="142"/>
      <c r="B647" s="142"/>
      <c r="C647" s="142"/>
      <c r="D647" s="142"/>
      <c r="E647" s="131"/>
      <c r="F647" s="142"/>
      <c r="G647" s="142"/>
      <c r="H647" s="142"/>
      <c r="I647" s="142"/>
      <c r="J647" s="142"/>
      <c r="K647" s="132"/>
      <c r="L647" s="131"/>
      <c r="M647" s="131"/>
      <c r="N647" s="142"/>
      <c r="O647" s="142"/>
      <c r="P647" s="142"/>
      <c r="Q647" s="142"/>
      <c r="R647" s="142"/>
      <c r="S647" s="142"/>
      <c r="T647" s="131"/>
      <c r="U647" s="131"/>
      <c r="V647" s="131"/>
      <c r="W647" s="131"/>
      <c r="X647" s="131"/>
      <c r="Y647" s="131"/>
      <c r="Z647" s="142"/>
      <c r="AA647" s="142"/>
      <c r="AB647" s="142"/>
      <c r="AC647" s="142"/>
      <c r="AD647" s="142"/>
      <c r="AE647" s="142"/>
      <c r="AF647" s="142"/>
      <c r="AG647" s="142"/>
      <c r="AH647" s="142"/>
      <c r="AI647" s="142"/>
      <c r="AJ647" s="142"/>
      <c r="AK647" s="142"/>
      <c r="AL647" s="142"/>
      <c r="AM647" s="142"/>
      <c r="AN647" s="142"/>
      <c r="AO647" s="142"/>
    </row>
    <row r="648" ht="15.75" customHeight="1">
      <c r="A648" s="142"/>
      <c r="B648" s="142"/>
      <c r="C648" s="142"/>
      <c r="D648" s="142"/>
      <c r="E648" s="131"/>
      <c r="F648" s="142"/>
      <c r="G648" s="142"/>
      <c r="H648" s="142"/>
      <c r="I648" s="142"/>
      <c r="J648" s="142"/>
      <c r="K648" s="132"/>
      <c r="L648" s="131"/>
      <c r="M648" s="131"/>
      <c r="N648" s="142"/>
      <c r="O648" s="142"/>
      <c r="P648" s="142"/>
      <c r="Q648" s="142"/>
      <c r="R648" s="142"/>
      <c r="S648" s="142"/>
      <c r="T648" s="131"/>
      <c r="U648" s="131"/>
      <c r="V648" s="131"/>
      <c r="W648" s="131"/>
      <c r="X648" s="131"/>
      <c r="Y648" s="131"/>
      <c r="Z648" s="142"/>
      <c r="AA648" s="142"/>
      <c r="AB648" s="142"/>
      <c r="AC648" s="142"/>
      <c r="AD648" s="142"/>
      <c r="AE648" s="142"/>
      <c r="AF648" s="142"/>
      <c r="AG648" s="142"/>
      <c r="AH648" s="142"/>
      <c r="AI648" s="142"/>
      <c r="AJ648" s="142"/>
      <c r="AK648" s="142"/>
      <c r="AL648" s="142"/>
      <c r="AM648" s="142"/>
      <c r="AN648" s="142"/>
      <c r="AO648" s="142"/>
    </row>
    <row r="649" ht="15.75" customHeight="1">
      <c r="A649" s="142"/>
      <c r="B649" s="142"/>
      <c r="C649" s="142"/>
      <c r="D649" s="142"/>
      <c r="E649" s="131"/>
      <c r="F649" s="142"/>
      <c r="G649" s="142"/>
      <c r="H649" s="142"/>
      <c r="I649" s="142"/>
      <c r="J649" s="142"/>
      <c r="K649" s="132"/>
      <c r="L649" s="131"/>
      <c r="M649" s="131"/>
      <c r="N649" s="142"/>
      <c r="O649" s="142"/>
      <c r="P649" s="142"/>
      <c r="Q649" s="142"/>
      <c r="R649" s="142"/>
      <c r="S649" s="142"/>
      <c r="T649" s="131"/>
      <c r="U649" s="131"/>
      <c r="V649" s="131"/>
      <c r="W649" s="131"/>
      <c r="X649" s="131"/>
      <c r="Y649" s="131"/>
      <c r="Z649" s="142"/>
      <c r="AA649" s="142"/>
      <c r="AB649" s="142"/>
      <c r="AC649" s="142"/>
      <c r="AD649" s="142"/>
      <c r="AE649" s="142"/>
      <c r="AF649" s="142"/>
      <c r="AG649" s="142"/>
      <c r="AH649" s="142"/>
      <c r="AI649" s="142"/>
      <c r="AJ649" s="142"/>
      <c r="AK649" s="142"/>
      <c r="AL649" s="142"/>
      <c r="AM649" s="142"/>
      <c r="AN649" s="142"/>
      <c r="AO649" s="142"/>
    </row>
    <row r="650" ht="15.75" customHeight="1">
      <c r="A650" s="142"/>
      <c r="B650" s="142"/>
      <c r="C650" s="142"/>
      <c r="D650" s="142"/>
      <c r="E650" s="131"/>
      <c r="F650" s="142"/>
      <c r="G650" s="142"/>
      <c r="H650" s="142"/>
      <c r="I650" s="142"/>
      <c r="J650" s="142"/>
      <c r="K650" s="132"/>
      <c r="L650" s="131"/>
      <c r="M650" s="131"/>
      <c r="N650" s="142"/>
      <c r="O650" s="142"/>
      <c r="P650" s="142"/>
      <c r="Q650" s="142"/>
      <c r="R650" s="142"/>
      <c r="S650" s="142"/>
      <c r="T650" s="131"/>
      <c r="U650" s="131"/>
      <c r="V650" s="131"/>
      <c r="W650" s="131"/>
      <c r="X650" s="131"/>
      <c r="Y650" s="131"/>
      <c r="Z650" s="142"/>
      <c r="AA650" s="142"/>
      <c r="AB650" s="142"/>
      <c r="AC650" s="142"/>
      <c r="AD650" s="142"/>
      <c r="AE650" s="142"/>
      <c r="AF650" s="142"/>
      <c r="AG650" s="142"/>
      <c r="AH650" s="142"/>
      <c r="AI650" s="142"/>
      <c r="AJ650" s="142"/>
      <c r="AK650" s="142"/>
      <c r="AL650" s="142"/>
      <c r="AM650" s="142"/>
      <c r="AN650" s="142"/>
      <c r="AO650" s="142"/>
    </row>
    <row r="651" ht="15.75" customHeight="1">
      <c r="A651" s="142"/>
      <c r="B651" s="142"/>
      <c r="C651" s="142"/>
      <c r="D651" s="142"/>
      <c r="E651" s="131"/>
      <c r="F651" s="142"/>
      <c r="G651" s="142"/>
      <c r="H651" s="142"/>
      <c r="I651" s="142"/>
      <c r="J651" s="142"/>
      <c r="K651" s="132"/>
      <c r="L651" s="131"/>
      <c r="M651" s="131"/>
      <c r="N651" s="142"/>
      <c r="O651" s="142"/>
      <c r="P651" s="142"/>
      <c r="Q651" s="142"/>
      <c r="R651" s="142"/>
      <c r="S651" s="142"/>
      <c r="T651" s="131"/>
      <c r="U651" s="131"/>
      <c r="V651" s="131"/>
      <c r="W651" s="131"/>
      <c r="X651" s="131"/>
      <c r="Y651" s="131"/>
      <c r="Z651" s="142"/>
      <c r="AA651" s="142"/>
      <c r="AB651" s="142"/>
      <c r="AC651" s="142"/>
      <c r="AD651" s="142"/>
      <c r="AE651" s="142"/>
      <c r="AF651" s="142"/>
      <c r="AG651" s="142"/>
      <c r="AH651" s="142"/>
      <c r="AI651" s="142"/>
      <c r="AJ651" s="142"/>
      <c r="AK651" s="142"/>
      <c r="AL651" s="142"/>
      <c r="AM651" s="142"/>
      <c r="AN651" s="142"/>
      <c r="AO651" s="142"/>
    </row>
    <row r="652" ht="15.75" customHeight="1">
      <c r="A652" s="142"/>
      <c r="B652" s="142"/>
      <c r="C652" s="142"/>
      <c r="D652" s="142"/>
      <c r="E652" s="131"/>
      <c r="F652" s="142"/>
      <c r="G652" s="142"/>
      <c r="H652" s="142"/>
      <c r="I652" s="142"/>
      <c r="J652" s="142"/>
      <c r="K652" s="132"/>
      <c r="L652" s="131"/>
      <c r="M652" s="131"/>
      <c r="N652" s="142"/>
      <c r="O652" s="142"/>
      <c r="P652" s="142"/>
      <c r="Q652" s="142"/>
      <c r="R652" s="142"/>
      <c r="S652" s="142"/>
      <c r="T652" s="131"/>
      <c r="U652" s="131"/>
      <c r="V652" s="131"/>
      <c r="W652" s="131"/>
      <c r="X652" s="131"/>
      <c r="Y652" s="131"/>
      <c r="Z652" s="142"/>
      <c r="AA652" s="142"/>
      <c r="AB652" s="142"/>
      <c r="AC652" s="142"/>
      <c r="AD652" s="142"/>
      <c r="AE652" s="142"/>
      <c r="AF652" s="142"/>
      <c r="AG652" s="142"/>
      <c r="AH652" s="142"/>
      <c r="AI652" s="142"/>
      <c r="AJ652" s="142"/>
      <c r="AK652" s="142"/>
      <c r="AL652" s="142"/>
      <c r="AM652" s="142"/>
      <c r="AN652" s="142"/>
      <c r="AO652" s="142"/>
    </row>
    <row r="653" ht="15.75" customHeight="1">
      <c r="A653" s="142"/>
      <c r="B653" s="142"/>
      <c r="C653" s="142"/>
      <c r="D653" s="142"/>
      <c r="E653" s="131"/>
      <c r="F653" s="142"/>
      <c r="G653" s="142"/>
      <c r="H653" s="142"/>
      <c r="I653" s="142"/>
      <c r="J653" s="142"/>
      <c r="K653" s="132"/>
      <c r="L653" s="131"/>
      <c r="M653" s="131"/>
      <c r="N653" s="142"/>
      <c r="O653" s="142"/>
      <c r="P653" s="142"/>
      <c r="Q653" s="142"/>
      <c r="R653" s="142"/>
      <c r="S653" s="142"/>
      <c r="T653" s="131"/>
      <c r="U653" s="131"/>
      <c r="V653" s="131"/>
      <c r="W653" s="131"/>
      <c r="X653" s="131"/>
      <c r="Y653" s="131"/>
      <c r="Z653" s="142"/>
      <c r="AA653" s="142"/>
      <c r="AB653" s="142"/>
      <c r="AC653" s="142"/>
      <c r="AD653" s="142"/>
      <c r="AE653" s="142"/>
      <c r="AF653" s="142"/>
      <c r="AG653" s="142"/>
      <c r="AH653" s="142"/>
      <c r="AI653" s="142"/>
      <c r="AJ653" s="142"/>
      <c r="AK653" s="142"/>
      <c r="AL653" s="142"/>
      <c r="AM653" s="142"/>
      <c r="AN653" s="142"/>
      <c r="AO653" s="142"/>
    </row>
    <row r="654" ht="15.75" customHeight="1">
      <c r="A654" s="142"/>
      <c r="B654" s="142"/>
      <c r="C654" s="142"/>
      <c r="D654" s="142"/>
      <c r="E654" s="131"/>
      <c r="F654" s="142"/>
      <c r="G654" s="142"/>
      <c r="H654" s="142"/>
      <c r="I654" s="142"/>
      <c r="J654" s="142"/>
      <c r="K654" s="132"/>
      <c r="L654" s="131"/>
      <c r="M654" s="131"/>
      <c r="N654" s="142"/>
      <c r="O654" s="142"/>
      <c r="P654" s="142"/>
      <c r="Q654" s="142"/>
      <c r="R654" s="142"/>
      <c r="S654" s="142"/>
      <c r="T654" s="131"/>
      <c r="U654" s="131"/>
      <c r="V654" s="131"/>
      <c r="W654" s="131"/>
      <c r="X654" s="131"/>
      <c r="Y654" s="131"/>
      <c r="Z654" s="142"/>
      <c r="AA654" s="142"/>
      <c r="AB654" s="142"/>
      <c r="AC654" s="142"/>
      <c r="AD654" s="142"/>
      <c r="AE654" s="142"/>
      <c r="AF654" s="142"/>
      <c r="AG654" s="142"/>
      <c r="AH654" s="142"/>
      <c r="AI654" s="142"/>
      <c r="AJ654" s="142"/>
      <c r="AK654" s="142"/>
      <c r="AL654" s="142"/>
      <c r="AM654" s="142"/>
      <c r="AN654" s="142"/>
      <c r="AO654" s="142"/>
    </row>
    <row r="655" ht="15.75" customHeight="1">
      <c r="A655" s="142"/>
      <c r="B655" s="142"/>
      <c r="C655" s="142"/>
      <c r="D655" s="142"/>
      <c r="E655" s="131"/>
      <c r="F655" s="142"/>
      <c r="G655" s="142"/>
      <c r="H655" s="142"/>
      <c r="I655" s="142"/>
      <c r="J655" s="142"/>
      <c r="K655" s="132"/>
      <c r="L655" s="131"/>
      <c r="M655" s="131"/>
      <c r="N655" s="142"/>
      <c r="O655" s="142"/>
      <c r="P655" s="142"/>
      <c r="Q655" s="142"/>
      <c r="R655" s="142"/>
      <c r="S655" s="142"/>
      <c r="T655" s="131"/>
      <c r="U655" s="131"/>
      <c r="V655" s="131"/>
      <c r="W655" s="131"/>
      <c r="X655" s="131"/>
      <c r="Y655" s="131"/>
      <c r="Z655" s="142"/>
      <c r="AA655" s="142"/>
      <c r="AB655" s="142"/>
      <c r="AC655" s="142"/>
      <c r="AD655" s="142"/>
      <c r="AE655" s="142"/>
      <c r="AF655" s="142"/>
      <c r="AG655" s="142"/>
      <c r="AH655" s="142"/>
      <c r="AI655" s="142"/>
      <c r="AJ655" s="142"/>
      <c r="AK655" s="142"/>
      <c r="AL655" s="142"/>
      <c r="AM655" s="142"/>
      <c r="AN655" s="142"/>
      <c r="AO655" s="142"/>
    </row>
    <row r="656" ht="15.75" customHeight="1">
      <c r="A656" s="142"/>
      <c r="B656" s="142"/>
      <c r="C656" s="142"/>
      <c r="D656" s="142"/>
      <c r="E656" s="131"/>
      <c r="F656" s="142"/>
      <c r="G656" s="142"/>
      <c r="H656" s="142"/>
      <c r="I656" s="142"/>
      <c r="J656" s="142"/>
      <c r="K656" s="132"/>
      <c r="L656" s="131"/>
      <c r="M656" s="131"/>
      <c r="N656" s="142"/>
      <c r="O656" s="142"/>
      <c r="P656" s="142"/>
      <c r="Q656" s="142"/>
      <c r="R656" s="142"/>
      <c r="S656" s="142"/>
      <c r="T656" s="131"/>
      <c r="U656" s="131"/>
      <c r="V656" s="131"/>
      <c r="W656" s="131"/>
      <c r="X656" s="131"/>
      <c r="Y656" s="131"/>
      <c r="Z656" s="142"/>
      <c r="AA656" s="142"/>
      <c r="AB656" s="142"/>
      <c r="AC656" s="142"/>
      <c r="AD656" s="142"/>
      <c r="AE656" s="142"/>
      <c r="AF656" s="142"/>
      <c r="AG656" s="142"/>
      <c r="AH656" s="142"/>
      <c r="AI656" s="142"/>
      <c r="AJ656" s="142"/>
      <c r="AK656" s="142"/>
      <c r="AL656" s="142"/>
      <c r="AM656" s="142"/>
      <c r="AN656" s="142"/>
      <c r="AO656" s="142"/>
    </row>
    <row r="657" ht="15.75" customHeight="1">
      <c r="A657" s="142"/>
      <c r="B657" s="142"/>
      <c r="C657" s="142"/>
      <c r="D657" s="142"/>
      <c r="E657" s="131"/>
      <c r="F657" s="142"/>
      <c r="G657" s="142"/>
      <c r="H657" s="142"/>
      <c r="I657" s="142"/>
      <c r="J657" s="142"/>
      <c r="K657" s="132"/>
      <c r="L657" s="131"/>
      <c r="M657" s="131"/>
      <c r="N657" s="142"/>
      <c r="O657" s="142"/>
      <c r="P657" s="142"/>
      <c r="Q657" s="142"/>
      <c r="R657" s="142"/>
      <c r="S657" s="142"/>
      <c r="T657" s="131"/>
      <c r="U657" s="131"/>
      <c r="V657" s="131"/>
      <c r="W657" s="131"/>
      <c r="X657" s="131"/>
      <c r="Y657" s="131"/>
      <c r="Z657" s="142"/>
      <c r="AA657" s="142"/>
      <c r="AB657" s="142"/>
      <c r="AC657" s="142"/>
      <c r="AD657" s="142"/>
      <c r="AE657" s="142"/>
      <c r="AF657" s="142"/>
      <c r="AG657" s="142"/>
      <c r="AH657" s="142"/>
      <c r="AI657" s="142"/>
      <c r="AJ657" s="142"/>
      <c r="AK657" s="142"/>
      <c r="AL657" s="142"/>
      <c r="AM657" s="142"/>
      <c r="AN657" s="142"/>
      <c r="AO657" s="142"/>
    </row>
    <row r="658" ht="15.75" customHeight="1">
      <c r="A658" s="142"/>
      <c r="B658" s="142"/>
      <c r="C658" s="142"/>
      <c r="D658" s="142"/>
      <c r="E658" s="131"/>
      <c r="F658" s="142"/>
      <c r="G658" s="142"/>
      <c r="H658" s="142"/>
      <c r="I658" s="142"/>
      <c r="J658" s="142"/>
      <c r="K658" s="132"/>
      <c r="L658" s="131"/>
      <c r="M658" s="131"/>
      <c r="N658" s="142"/>
      <c r="O658" s="142"/>
      <c r="P658" s="142"/>
      <c r="Q658" s="142"/>
      <c r="R658" s="142"/>
      <c r="S658" s="142"/>
      <c r="T658" s="131"/>
      <c r="U658" s="131"/>
      <c r="V658" s="131"/>
      <c r="W658" s="131"/>
      <c r="X658" s="131"/>
      <c r="Y658" s="131"/>
      <c r="Z658" s="142"/>
      <c r="AA658" s="142"/>
      <c r="AB658" s="142"/>
      <c r="AC658" s="142"/>
      <c r="AD658" s="142"/>
      <c r="AE658" s="142"/>
      <c r="AF658" s="142"/>
      <c r="AG658" s="142"/>
      <c r="AH658" s="142"/>
      <c r="AI658" s="142"/>
      <c r="AJ658" s="142"/>
      <c r="AK658" s="142"/>
      <c r="AL658" s="142"/>
      <c r="AM658" s="142"/>
      <c r="AN658" s="142"/>
      <c r="AO658" s="142"/>
    </row>
    <row r="659" ht="15.75" customHeight="1">
      <c r="A659" s="142"/>
      <c r="B659" s="142"/>
      <c r="C659" s="142"/>
      <c r="D659" s="142"/>
      <c r="E659" s="131"/>
      <c r="F659" s="142"/>
      <c r="G659" s="142"/>
      <c r="H659" s="142"/>
      <c r="I659" s="142"/>
      <c r="J659" s="142"/>
      <c r="K659" s="132"/>
      <c r="L659" s="131"/>
      <c r="M659" s="131"/>
      <c r="N659" s="142"/>
      <c r="O659" s="142"/>
      <c r="P659" s="142"/>
      <c r="Q659" s="142"/>
      <c r="R659" s="142"/>
      <c r="S659" s="142"/>
      <c r="T659" s="131"/>
      <c r="U659" s="131"/>
      <c r="V659" s="131"/>
      <c r="W659" s="131"/>
      <c r="X659" s="131"/>
      <c r="Y659" s="131"/>
      <c r="Z659" s="142"/>
      <c r="AA659" s="142"/>
      <c r="AB659" s="142"/>
      <c r="AC659" s="142"/>
      <c r="AD659" s="142"/>
      <c r="AE659" s="142"/>
      <c r="AF659" s="142"/>
      <c r="AG659" s="142"/>
      <c r="AH659" s="142"/>
      <c r="AI659" s="142"/>
      <c r="AJ659" s="142"/>
      <c r="AK659" s="142"/>
      <c r="AL659" s="142"/>
      <c r="AM659" s="142"/>
      <c r="AN659" s="142"/>
      <c r="AO659" s="142"/>
    </row>
    <row r="660" ht="15.75" customHeight="1">
      <c r="A660" s="142"/>
      <c r="B660" s="142"/>
      <c r="C660" s="142"/>
      <c r="D660" s="142"/>
      <c r="E660" s="131"/>
      <c r="F660" s="142"/>
      <c r="G660" s="142"/>
      <c r="H660" s="142"/>
      <c r="I660" s="142"/>
      <c r="J660" s="142"/>
      <c r="K660" s="132"/>
      <c r="L660" s="131"/>
      <c r="M660" s="131"/>
      <c r="N660" s="142"/>
      <c r="O660" s="142"/>
      <c r="P660" s="142"/>
      <c r="Q660" s="142"/>
      <c r="R660" s="142"/>
      <c r="S660" s="142"/>
      <c r="T660" s="131"/>
      <c r="U660" s="131"/>
      <c r="V660" s="131"/>
      <c r="W660" s="131"/>
      <c r="X660" s="131"/>
      <c r="Y660" s="131"/>
      <c r="Z660" s="142"/>
      <c r="AA660" s="142"/>
      <c r="AB660" s="142"/>
      <c r="AC660" s="142"/>
      <c r="AD660" s="142"/>
      <c r="AE660" s="142"/>
      <c r="AF660" s="142"/>
      <c r="AG660" s="142"/>
      <c r="AH660" s="142"/>
      <c r="AI660" s="142"/>
      <c r="AJ660" s="142"/>
      <c r="AK660" s="142"/>
      <c r="AL660" s="142"/>
      <c r="AM660" s="142"/>
      <c r="AN660" s="142"/>
      <c r="AO660" s="142"/>
    </row>
    <row r="661" ht="15.75" customHeight="1">
      <c r="A661" s="142"/>
      <c r="B661" s="142"/>
      <c r="C661" s="142"/>
      <c r="D661" s="142"/>
      <c r="E661" s="131"/>
      <c r="F661" s="142"/>
      <c r="G661" s="142"/>
      <c r="H661" s="142"/>
      <c r="I661" s="142"/>
      <c r="J661" s="142"/>
      <c r="K661" s="132"/>
      <c r="L661" s="131"/>
      <c r="M661" s="131"/>
      <c r="N661" s="142"/>
      <c r="O661" s="142"/>
      <c r="P661" s="142"/>
      <c r="Q661" s="142"/>
      <c r="R661" s="142"/>
      <c r="S661" s="142"/>
      <c r="T661" s="131"/>
      <c r="U661" s="131"/>
      <c r="V661" s="131"/>
      <c r="W661" s="131"/>
      <c r="X661" s="131"/>
      <c r="Y661" s="131"/>
      <c r="Z661" s="142"/>
      <c r="AA661" s="142"/>
      <c r="AB661" s="142"/>
      <c r="AC661" s="142"/>
      <c r="AD661" s="142"/>
      <c r="AE661" s="142"/>
      <c r="AF661" s="142"/>
      <c r="AG661" s="142"/>
      <c r="AH661" s="142"/>
      <c r="AI661" s="142"/>
      <c r="AJ661" s="142"/>
      <c r="AK661" s="142"/>
      <c r="AL661" s="142"/>
      <c r="AM661" s="142"/>
      <c r="AN661" s="142"/>
      <c r="AO661" s="142"/>
    </row>
    <row r="662" ht="15.75" customHeight="1">
      <c r="A662" s="142"/>
      <c r="B662" s="142"/>
      <c r="C662" s="142"/>
      <c r="D662" s="142"/>
      <c r="E662" s="131"/>
      <c r="F662" s="142"/>
      <c r="G662" s="142"/>
      <c r="H662" s="142"/>
      <c r="I662" s="142"/>
      <c r="J662" s="142"/>
      <c r="K662" s="132"/>
      <c r="L662" s="131"/>
      <c r="M662" s="131"/>
      <c r="N662" s="142"/>
      <c r="O662" s="142"/>
      <c r="P662" s="142"/>
      <c r="Q662" s="142"/>
      <c r="R662" s="142"/>
      <c r="S662" s="142"/>
      <c r="T662" s="131"/>
      <c r="U662" s="131"/>
      <c r="V662" s="131"/>
      <c r="W662" s="131"/>
      <c r="X662" s="131"/>
      <c r="Y662" s="131"/>
      <c r="Z662" s="142"/>
      <c r="AA662" s="142"/>
      <c r="AB662" s="142"/>
      <c r="AC662" s="142"/>
      <c r="AD662" s="142"/>
      <c r="AE662" s="142"/>
      <c r="AF662" s="142"/>
      <c r="AG662" s="142"/>
      <c r="AH662" s="142"/>
      <c r="AI662" s="142"/>
      <c r="AJ662" s="142"/>
      <c r="AK662" s="142"/>
      <c r="AL662" s="142"/>
      <c r="AM662" s="142"/>
      <c r="AN662" s="142"/>
      <c r="AO662" s="142"/>
    </row>
    <row r="663" ht="15.75" customHeight="1">
      <c r="A663" s="142"/>
      <c r="B663" s="142"/>
      <c r="C663" s="142"/>
      <c r="D663" s="142"/>
      <c r="E663" s="131"/>
      <c r="F663" s="142"/>
      <c r="G663" s="142"/>
      <c r="H663" s="142"/>
      <c r="I663" s="142"/>
      <c r="J663" s="142"/>
      <c r="K663" s="132"/>
      <c r="L663" s="131"/>
      <c r="M663" s="131"/>
      <c r="N663" s="142"/>
      <c r="O663" s="142"/>
      <c r="P663" s="142"/>
      <c r="Q663" s="142"/>
      <c r="R663" s="142"/>
      <c r="S663" s="142"/>
      <c r="T663" s="131"/>
      <c r="U663" s="131"/>
      <c r="V663" s="131"/>
      <c r="W663" s="131"/>
      <c r="X663" s="131"/>
      <c r="Y663" s="131"/>
      <c r="Z663" s="142"/>
      <c r="AA663" s="142"/>
      <c r="AB663" s="142"/>
      <c r="AC663" s="142"/>
      <c r="AD663" s="142"/>
      <c r="AE663" s="142"/>
      <c r="AF663" s="142"/>
      <c r="AG663" s="142"/>
      <c r="AH663" s="142"/>
      <c r="AI663" s="142"/>
      <c r="AJ663" s="142"/>
      <c r="AK663" s="142"/>
      <c r="AL663" s="142"/>
      <c r="AM663" s="142"/>
      <c r="AN663" s="142"/>
      <c r="AO663" s="142"/>
    </row>
    <row r="664" ht="15.75" customHeight="1">
      <c r="A664" s="142"/>
      <c r="B664" s="142"/>
      <c r="C664" s="142"/>
      <c r="D664" s="142"/>
      <c r="E664" s="131"/>
      <c r="F664" s="142"/>
      <c r="G664" s="142"/>
      <c r="H664" s="142"/>
      <c r="I664" s="142"/>
      <c r="J664" s="142"/>
      <c r="K664" s="132"/>
      <c r="L664" s="131"/>
      <c r="M664" s="131"/>
      <c r="N664" s="142"/>
      <c r="O664" s="142"/>
      <c r="P664" s="142"/>
      <c r="Q664" s="142"/>
      <c r="R664" s="142"/>
      <c r="S664" s="142"/>
      <c r="T664" s="131"/>
      <c r="U664" s="131"/>
      <c r="V664" s="131"/>
      <c r="W664" s="131"/>
      <c r="X664" s="131"/>
      <c r="Y664" s="131"/>
      <c r="Z664" s="142"/>
      <c r="AA664" s="142"/>
      <c r="AB664" s="142"/>
      <c r="AC664" s="142"/>
      <c r="AD664" s="142"/>
      <c r="AE664" s="142"/>
      <c r="AF664" s="142"/>
      <c r="AG664" s="142"/>
      <c r="AH664" s="142"/>
      <c r="AI664" s="142"/>
      <c r="AJ664" s="142"/>
      <c r="AK664" s="142"/>
      <c r="AL664" s="142"/>
      <c r="AM664" s="142"/>
      <c r="AN664" s="142"/>
      <c r="AO664" s="142"/>
    </row>
    <row r="665" ht="15.75" customHeight="1">
      <c r="A665" s="142"/>
      <c r="B665" s="142"/>
      <c r="C665" s="142"/>
      <c r="D665" s="142"/>
      <c r="E665" s="131"/>
      <c r="F665" s="142"/>
      <c r="G665" s="142"/>
      <c r="H665" s="142"/>
      <c r="I665" s="142"/>
      <c r="J665" s="142"/>
      <c r="K665" s="132"/>
      <c r="L665" s="131"/>
      <c r="M665" s="131"/>
      <c r="N665" s="142"/>
      <c r="O665" s="142"/>
      <c r="P665" s="142"/>
      <c r="Q665" s="142"/>
      <c r="R665" s="142"/>
      <c r="S665" s="142"/>
      <c r="T665" s="131"/>
      <c r="U665" s="131"/>
      <c r="V665" s="131"/>
      <c r="W665" s="131"/>
      <c r="X665" s="131"/>
      <c r="Y665" s="131"/>
      <c r="Z665" s="142"/>
      <c r="AA665" s="142"/>
      <c r="AB665" s="142"/>
      <c r="AC665" s="142"/>
      <c r="AD665" s="142"/>
      <c r="AE665" s="142"/>
      <c r="AF665" s="142"/>
      <c r="AG665" s="142"/>
      <c r="AH665" s="142"/>
      <c r="AI665" s="142"/>
      <c r="AJ665" s="142"/>
      <c r="AK665" s="142"/>
      <c r="AL665" s="142"/>
      <c r="AM665" s="142"/>
      <c r="AN665" s="142"/>
      <c r="AO665" s="142"/>
    </row>
    <row r="666" ht="15.75" customHeight="1">
      <c r="A666" s="142"/>
      <c r="B666" s="142"/>
      <c r="C666" s="142"/>
      <c r="D666" s="142"/>
      <c r="E666" s="131"/>
      <c r="F666" s="142"/>
      <c r="G666" s="142"/>
      <c r="H666" s="142"/>
      <c r="I666" s="142"/>
      <c r="J666" s="142"/>
      <c r="K666" s="132"/>
      <c r="L666" s="131"/>
      <c r="M666" s="131"/>
      <c r="N666" s="142"/>
      <c r="O666" s="142"/>
      <c r="P666" s="142"/>
      <c r="Q666" s="142"/>
      <c r="R666" s="142"/>
      <c r="S666" s="142"/>
      <c r="T666" s="131"/>
      <c r="U666" s="131"/>
      <c r="V666" s="131"/>
      <c r="W666" s="131"/>
      <c r="X666" s="131"/>
      <c r="Y666" s="131"/>
      <c r="Z666" s="142"/>
      <c r="AA666" s="142"/>
      <c r="AB666" s="142"/>
      <c r="AC666" s="142"/>
      <c r="AD666" s="142"/>
      <c r="AE666" s="142"/>
      <c r="AF666" s="142"/>
      <c r="AG666" s="142"/>
      <c r="AH666" s="142"/>
      <c r="AI666" s="142"/>
      <c r="AJ666" s="142"/>
      <c r="AK666" s="142"/>
      <c r="AL666" s="142"/>
      <c r="AM666" s="142"/>
      <c r="AN666" s="142"/>
      <c r="AO666" s="142"/>
    </row>
    <row r="667" ht="15.75" customHeight="1">
      <c r="A667" s="142"/>
      <c r="B667" s="142"/>
      <c r="C667" s="142"/>
      <c r="D667" s="142"/>
      <c r="E667" s="131"/>
      <c r="F667" s="142"/>
      <c r="G667" s="142"/>
      <c r="H667" s="142"/>
      <c r="I667" s="142"/>
      <c r="J667" s="142"/>
      <c r="K667" s="132"/>
      <c r="L667" s="131"/>
      <c r="M667" s="131"/>
      <c r="N667" s="142"/>
      <c r="O667" s="142"/>
      <c r="P667" s="142"/>
      <c r="Q667" s="142"/>
      <c r="R667" s="142"/>
      <c r="S667" s="142"/>
      <c r="T667" s="131"/>
      <c r="U667" s="131"/>
      <c r="V667" s="131"/>
      <c r="W667" s="131"/>
      <c r="X667" s="131"/>
      <c r="Y667" s="131"/>
      <c r="Z667" s="142"/>
      <c r="AA667" s="142"/>
      <c r="AB667" s="142"/>
      <c r="AC667" s="142"/>
      <c r="AD667" s="142"/>
      <c r="AE667" s="142"/>
      <c r="AF667" s="142"/>
      <c r="AG667" s="142"/>
      <c r="AH667" s="142"/>
      <c r="AI667" s="142"/>
      <c r="AJ667" s="142"/>
      <c r="AK667" s="142"/>
      <c r="AL667" s="142"/>
      <c r="AM667" s="142"/>
      <c r="AN667" s="142"/>
      <c r="AO667" s="142"/>
    </row>
    <row r="668" ht="15.75" customHeight="1">
      <c r="A668" s="142"/>
      <c r="B668" s="142"/>
      <c r="C668" s="142"/>
      <c r="D668" s="142"/>
      <c r="E668" s="131"/>
      <c r="F668" s="142"/>
      <c r="G668" s="142"/>
      <c r="H668" s="142"/>
      <c r="I668" s="142"/>
      <c r="J668" s="142"/>
      <c r="K668" s="132"/>
      <c r="L668" s="131"/>
      <c r="M668" s="131"/>
      <c r="N668" s="142"/>
      <c r="O668" s="142"/>
      <c r="P668" s="142"/>
      <c r="Q668" s="142"/>
      <c r="R668" s="142"/>
      <c r="S668" s="142"/>
      <c r="T668" s="131"/>
      <c r="U668" s="131"/>
      <c r="V668" s="131"/>
      <c r="W668" s="131"/>
      <c r="X668" s="131"/>
      <c r="Y668" s="131"/>
      <c r="Z668" s="142"/>
      <c r="AA668" s="142"/>
      <c r="AB668" s="142"/>
      <c r="AC668" s="142"/>
      <c r="AD668" s="142"/>
      <c r="AE668" s="142"/>
      <c r="AF668" s="142"/>
      <c r="AG668" s="142"/>
      <c r="AH668" s="142"/>
      <c r="AI668" s="142"/>
      <c r="AJ668" s="142"/>
      <c r="AK668" s="142"/>
      <c r="AL668" s="142"/>
      <c r="AM668" s="142"/>
      <c r="AN668" s="142"/>
      <c r="AO668" s="142"/>
    </row>
    <row r="669" ht="15.75" customHeight="1">
      <c r="A669" s="142"/>
      <c r="B669" s="142"/>
      <c r="C669" s="142"/>
      <c r="D669" s="142"/>
      <c r="E669" s="131"/>
      <c r="F669" s="142"/>
      <c r="G669" s="142"/>
      <c r="H669" s="142"/>
      <c r="I669" s="142"/>
      <c r="J669" s="142"/>
      <c r="K669" s="132"/>
      <c r="L669" s="131"/>
      <c r="M669" s="131"/>
      <c r="N669" s="142"/>
      <c r="O669" s="142"/>
      <c r="P669" s="142"/>
      <c r="Q669" s="142"/>
      <c r="R669" s="142"/>
      <c r="S669" s="142"/>
      <c r="T669" s="131"/>
      <c r="U669" s="131"/>
      <c r="V669" s="131"/>
      <c r="W669" s="131"/>
      <c r="X669" s="131"/>
      <c r="Y669" s="131"/>
      <c r="Z669" s="142"/>
      <c r="AA669" s="142"/>
      <c r="AB669" s="142"/>
      <c r="AC669" s="142"/>
      <c r="AD669" s="142"/>
      <c r="AE669" s="142"/>
      <c r="AF669" s="142"/>
      <c r="AG669" s="142"/>
      <c r="AH669" s="142"/>
      <c r="AI669" s="142"/>
      <c r="AJ669" s="142"/>
      <c r="AK669" s="142"/>
      <c r="AL669" s="142"/>
      <c r="AM669" s="142"/>
      <c r="AN669" s="142"/>
      <c r="AO669" s="142"/>
    </row>
    <row r="670" ht="15.75" customHeight="1">
      <c r="A670" s="142"/>
      <c r="B670" s="142"/>
      <c r="C670" s="142"/>
      <c r="D670" s="142"/>
      <c r="E670" s="131"/>
      <c r="F670" s="142"/>
      <c r="G670" s="142"/>
      <c r="H670" s="142"/>
      <c r="I670" s="142"/>
      <c r="J670" s="142"/>
      <c r="K670" s="132"/>
      <c r="L670" s="131"/>
      <c r="M670" s="131"/>
      <c r="N670" s="142"/>
      <c r="O670" s="142"/>
      <c r="P670" s="142"/>
      <c r="Q670" s="142"/>
      <c r="R670" s="142"/>
      <c r="S670" s="142"/>
      <c r="T670" s="131"/>
      <c r="U670" s="131"/>
      <c r="V670" s="131"/>
      <c r="W670" s="131"/>
      <c r="X670" s="131"/>
      <c r="Y670" s="131"/>
      <c r="Z670" s="142"/>
      <c r="AA670" s="142"/>
      <c r="AB670" s="142"/>
      <c r="AC670" s="142"/>
      <c r="AD670" s="142"/>
      <c r="AE670" s="142"/>
      <c r="AF670" s="142"/>
      <c r="AG670" s="142"/>
      <c r="AH670" s="142"/>
      <c r="AI670" s="142"/>
      <c r="AJ670" s="142"/>
      <c r="AK670" s="142"/>
      <c r="AL670" s="142"/>
      <c r="AM670" s="142"/>
      <c r="AN670" s="142"/>
      <c r="AO670" s="142"/>
    </row>
    <row r="671" ht="15.75" customHeight="1">
      <c r="A671" s="142"/>
      <c r="B671" s="142"/>
      <c r="C671" s="142"/>
      <c r="D671" s="142"/>
      <c r="E671" s="131"/>
      <c r="F671" s="142"/>
      <c r="G671" s="142"/>
      <c r="H671" s="142"/>
      <c r="I671" s="142"/>
      <c r="J671" s="142"/>
      <c r="K671" s="132"/>
      <c r="L671" s="131"/>
      <c r="M671" s="131"/>
      <c r="N671" s="142"/>
      <c r="O671" s="142"/>
      <c r="P671" s="142"/>
      <c r="Q671" s="142"/>
      <c r="R671" s="142"/>
      <c r="S671" s="142"/>
      <c r="T671" s="131"/>
      <c r="U671" s="131"/>
      <c r="V671" s="131"/>
      <c r="W671" s="131"/>
      <c r="X671" s="131"/>
      <c r="Y671" s="131"/>
      <c r="Z671" s="142"/>
      <c r="AA671" s="142"/>
      <c r="AB671" s="142"/>
      <c r="AC671" s="142"/>
      <c r="AD671" s="142"/>
      <c r="AE671" s="142"/>
      <c r="AF671" s="142"/>
      <c r="AG671" s="142"/>
      <c r="AH671" s="142"/>
      <c r="AI671" s="142"/>
      <c r="AJ671" s="142"/>
      <c r="AK671" s="142"/>
      <c r="AL671" s="142"/>
      <c r="AM671" s="142"/>
      <c r="AN671" s="142"/>
      <c r="AO671" s="142"/>
    </row>
    <row r="672" ht="15.75" customHeight="1">
      <c r="A672" s="142"/>
      <c r="B672" s="142"/>
      <c r="C672" s="142"/>
      <c r="D672" s="142"/>
      <c r="E672" s="131"/>
      <c r="F672" s="142"/>
      <c r="G672" s="142"/>
      <c r="H672" s="142"/>
      <c r="I672" s="142"/>
      <c r="J672" s="142"/>
      <c r="K672" s="132"/>
      <c r="L672" s="131"/>
      <c r="M672" s="131"/>
      <c r="N672" s="142"/>
      <c r="O672" s="142"/>
      <c r="P672" s="142"/>
      <c r="Q672" s="142"/>
      <c r="R672" s="142"/>
      <c r="S672" s="142"/>
      <c r="T672" s="131"/>
      <c r="U672" s="131"/>
      <c r="V672" s="131"/>
      <c r="W672" s="131"/>
      <c r="X672" s="131"/>
      <c r="Y672" s="131"/>
      <c r="Z672" s="142"/>
      <c r="AA672" s="142"/>
      <c r="AB672" s="142"/>
      <c r="AC672" s="142"/>
      <c r="AD672" s="142"/>
      <c r="AE672" s="142"/>
      <c r="AF672" s="142"/>
      <c r="AG672" s="142"/>
      <c r="AH672" s="142"/>
      <c r="AI672" s="142"/>
      <c r="AJ672" s="142"/>
      <c r="AK672" s="142"/>
      <c r="AL672" s="142"/>
      <c r="AM672" s="142"/>
      <c r="AN672" s="142"/>
      <c r="AO672" s="142"/>
    </row>
    <row r="673" ht="15.75" customHeight="1">
      <c r="A673" s="142"/>
      <c r="B673" s="142"/>
      <c r="C673" s="142"/>
      <c r="D673" s="142"/>
      <c r="E673" s="131"/>
      <c r="F673" s="142"/>
      <c r="G673" s="142"/>
      <c r="H673" s="142"/>
      <c r="I673" s="142"/>
      <c r="J673" s="142"/>
      <c r="K673" s="132"/>
      <c r="L673" s="131"/>
      <c r="M673" s="131"/>
      <c r="N673" s="142"/>
      <c r="O673" s="142"/>
      <c r="P673" s="142"/>
      <c r="Q673" s="142"/>
      <c r="R673" s="142"/>
      <c r="S673" s="142"/>
      <c r="T673" s="131"/>
      <c r="U673" s="131"/>
      <c r="V673" s="131"/>
      <c r="W673" s="131"/>
      <c r="X673" s="131"/>
      <c r="Y673" s="131"/>
      <c r="Z673" s="142"/>
      <c r="AA673" s="142"/>
      <c r="AB673" s="142"/>
      <c r="AC673" s="142"/>
      <c r="AD673" s="142"/>
      <c r="AE673" s="142"/>
      <c r="AF673" s="142"/>
      <c r="AG673" s="142"/>
      <c r="AH673" s="142"/>
      <c r="AI673" s="142"/>
      <c r="AJ673" s="142"/>
      <c r="AK673" s="142"/>
      <c r="AL673" s="142"/>
      <c r="AM673" s="142"/>
      <c r="AN673" s="142"/>
      <c r="AO673" s="142"/>
    </row>
    <row r="674" ht="15.75" customHeight="1">
      <c r="A674" s="142"/>
      <c r="B674" s="142"/>
      <c r="C674" s="142"/>
      <c r="D674" s="142"/>
      <c r="E674" s="131"/>
      <c r="F674" s="142"/>
      <c r="G674" s="142"/>
      <c r="H674" s="142"/>
      <c r="I674" s="142"/>
      <c r="J674" s="142"/>
      <c r="K674" s="132"/>
      <c r="L674" s="131"/>
      <c r="M674" s="131"/>
      <c r="N674" s="142"/>
      <c r="O674" s="142"/>
      <c r="P674" s="142"/>
      <c r="Q674" s="142"/>
      <c r="R674" s="142"/>
      <c r="S674" s="142"/>
      <c r="T674" s="131"/>
      <c r="U674" s="131"/>
      <c r="V674" s="131"/>
      <c r="W674" s="131"/>
      <c r="X674" s="131"/>
      <c r="Y674" s="131"/>
      <c r="Z674" s="142"/>
      <c r="AA674" s="142"/>
      <c r="AB674" s="142"/>
      <c r="AC674" s="142"/>
      <c r="AD674" s="142"/>
      <c r="AE674" s="142"/>
      <c r="AF674" s="142"/>
      <c r="AG674" s="142"/>
      <c r="AH674" s="142"/>
      <c r="AI674" s="142"/>
      <c r="AJ674" s="142"/>
      <c r="AK674" s="142"/>
      <c r="AL674" s="142"/>
      <c r="AM674" s="142"/>
      <c r="AN674" s="142"/>
      <c r="AO674" s="142"/>
    </row>
    <row r="675" ht="15.75" customHeight="1">
      <c r="A675" s="142"/>
      <c r="B675" s="142"/>
      <c r="C675" s="142"/>
      <c r="D675" s="142"/>
      <c r="E675" s="131"/>
      <c r="F675" s="142"/>
      <c r="G675" s="142"/>
      <c r="H675" s="142"/>
      <c r="I675" s="142"/>
      <c r="J675" s="142"/>
      <c r="K675" s="132"/>
      <c r="L675" s="131"/>
      <c r="M675" s="131"/>
      <c r="N675" s="142"/>
      <c r="O675" s="142"/>
      <c r="P675" s="142"/>
      <c r="Q675" s="142"/>
      <c r="R675" s="142"/>
      <c r="S675" s="142"/>
      <c r="T675" s="131"/>
      <c r="U675" s="131"/>
      <c r="V675" s="131"/>
      <c r="W675" s="131"/>
      <c r="X675" s="131"/>
      <c r="Y675" s="131"/>
      <c r="Z675" s="142"/>
      <c r="AA675" s="142"/>
      <c r="AB675" s="142"/>
      <c r="AC675" s="142"/>
      <c r="AD675" s="142"/>
      <c r="AE675" s="142"/>
      <c r="AF675" s="142"/>
      <c r="AG675" s="142"/>
      <c r="AH675" s="142"/>
      <c r="AI675" s="142"/>
      <c r="AJ675" s="142"/>
      <c r="AK675" s="142"/>
      <c r="AL675" s="142"/>
      <c r="AM675" s="142"/>
      <c r="AN675" s="142"/>
      <c r="AO675" s="142"/>
    </row>
    <row r="676" ht="15.75" customHeight="1">
      <c r="A676" s="142"/>
      <c r="B676" s="142"/>
      <c r="C676" s="142"/>
      <c r="D676" s="142"/>
      <c r="E676" s="131"/>
      <c r="F676" s="142"/>
      <c r="G676" s="142"/>
      <c r="H676" s="142"/>
      <c r="I676" s="142"/>
      <c r="J676" s="142"/>
      <c r="K676" s="132"/>
      <c r="L676" s="131"/>
      <c r="M676" s="131"/>
      <c r="N676" s="142"/>
      <c r="O676" s="142"/>
      <c r="P676" s="142"/>
      <c r="Q676" s="142"/>
      <c r="R676" s="142"/>
      <c r="S676" s="142"/>
      <c r="T676" s="131"/>
      <c r="U676" s="131"/>
      <c r="V676" s="131"/>
      <c r="W676" s="131"/>
      <c r="X676" s="131"/>
      <c r="Y676" s="131"/>
      <c r="Z676" s="142"/>
      <c r="AA676" s="142"/>
      <c r="AB676" s="142"/>
      <c r="AC676" s="142"/>
      <c r="AD676" s="142"/>
      <c r="AE676" s="142"/>
      <c r="AF676" s="142"/>
      <c r="AG676" s="142"/>
      <c r="AH676" s="142"/>
      <c r="AI676" s="142"/>
      <c r="AJ676" s="142"/>
      <c r="AK676" s="142"/>
      <c r="AL676" s="142"/>
      <c r="AM676" s="142"/>
      <c r="AN676" s="142"/>
      <c r="AO676" s="142"/>
    </row>
    <row r="677" ht="15.75" customHeight="1">
      <c r="A677" s="142"/>
      <c r="B677" s="142"/>
      <c r="C677" s="142"/>
      <c r="D677" s="142"/>
      <c r="E677" s="131"/>
      <c r="F677" s="142"/>
      <c r="G677" s="142"/>
      <c r="H677" s="142"/>
      <c r="I677" s="142"/>
      <c r="J677" s="142"/>
      <c r="K677" s="132"/>
      <c r="L677" s="131"/>
      <c r="M677" s="131"/>
      <c r="N677" s="142"/>
      <c r="O677" s="142"/>
      <c r="P677" s="142"/>
      <c r="Q677" s="142"/>
      <c r="R677" s="142"/>
      <c r="S677" s="142"/>
      <c r="T677" s="131"/>
      <c r="U677" s="131"/>
      <c r="V677" s="131"/>
      <c r="W677" s="131"/>
      <c r="X677" s="131"/>
      <c r="Y677" s="131"/>
      <c r="Z677" s="142"/>
      <c r="AA677" s="142"/>
      <c r="AB677" s="142"/>
      <c r="AC677" s="142"/>
      <c r="AD677" s="142"/>
      <c r="AE677" s="142"/>
      <c r="AF677" s="142"/>
      <c r="AG677" s="142"/>
      <c r="AH677" s="142"/>
      <c r="AI677" s="142"/>
      <c r="AJ677" s="142"/>
      <c r="AK677" s="142"/>
      <c r="AL677" s="142"/>
      <c r="AM677" s="142"/>
      <c r="AN677" s="142"/>
      <c r="AO677" s="142"/>
    </row>
    <row r="678" ht="15.75" customHeight="1">
      <c r="A678" s="142"/>
      <c r="B678" s="142"/>
      <c r="C678" s="142"/>
      <c r="D678" s="142"/>
      <c r="E678" s="131"/>
      <c r="F678" s="142"/>
      <c r="G678" s="142"/>
      <c r="H678" s="142"/>
      <c r="I678" s="142"/>
      <c r="J678" s="142"/>
      <c r="K678" s="132"/>
      <c r="L678" s="131"/>
      <c r="M678" s="131"/>
      <c r="N678" s="142"/>
      <c r="O678" s="142"/>
      <c r="P678" s="142"/>
      <c r="Q678" s="142"/>
      <c r="R678" s="142"/>
      <c r="S678" s="142"/>
      <c r="T678" s="131"/>
      <c r="U678" s="131"/>
      <c r="V678" s="131"/>
      <c r="W678" s="131"/>
      <c r="X678" s="131"/>
      <c r="Y678" s="131"/>
      <c r="Z678" s="142"/>
      <c r="AA678" s="142"/>
      <c r="AB678" s="142"/>
      <c r="AC678" s="142"/>
      <c r="AD678" s="142"/>
      <c r="AE678" s="142"/>
      <c r="AF678" s="142"/>
      <c r="AG678" s="142"/>
      <c r="AH678" s="142"/>
      <c r="AI678" s="142"/>
      <c r="AJ678" s="142"/>
      <c r="AK678" s="142"/>
      <c r="AL678" s="142"/>
      <c r="AM678" s="142"/>
      <c r="AN678" s="142"/>
      <c r="AO678" s="142"/>
    </row>
    <row r="679" ht="15.75" customHeight="1">
      <c r="A679" s="142"/>
      <c r="B679" s="142"/>
      <c r="C679" s="142"/>
      <c r="D679" s="142"/>
      <c r="E679" s="131"/>
      <c r="F679" s="142"/>
      <c r="G679" s="142"/>
      <c r="H679" s="142"/>
      <c r="I679" s="142"/>
      <c r="J679" s="142"/>
      <c r="K679" s="132"/>
      <c r="L679" s="131"/>
      <c r="M679" s="131"/>
      <c r="N679" s="142"/>
      <c r="O679" s="142"/>
      <c r="P679" s="142"/>
      <c r="Q679" s="142"/>
      <c r="R679" s="142"/>
      <c r="S679" s="142"/>
      <c r="T679" s="131"/>
      <c r="U679" s="131"/>
      <c r="V679" s="131"/>
      <c r="W679" s="131"/>
      <c r="X679" s="131"/>
      <c r="Y679" s="131"/>
      <c r="Z679" s="142"/>
      <c r="AA679" s="142"/>
      <c r="AB679" s="142"/>
      <c r="AC679" s="142"/>
      <c r="AD679" s="142"/>
      <c r="AE679" s="142"/>
      <c r="AF679" s="142"/>
      <c r="AG679" s="142"/>
      <c r="AH679" s="142"/>
      <c r="AI679" s="142"/>
      <c r="AJ679" s="142"/>
      <c r="AK679" s="142"/>
      <c r="AL679" s="142"/>
      <c r="AM679" s="142"/>
      <c r="AN679" s="142"/>
      <c r="AO679" s="142"/>
    </row>
    <row r="680" ht="15.75" customHeight="1">
      <c r="A680" s="142"/>
      <c r="B680" s="142"/>
      <c r="C680" s="142"/>
      <c r="D680" s="142"/>
      <c r="E680" s="131"/>
      <c r="F680" s="142"/>
      <c r="G680" s="142"/>
      <c r="H680" s="142"/>
      <c r="I680" s="142"/>
      <c r="J680" s="142"/>
      <c r="K680" s="132"/>
      <c r="L680" s="131"/>
      <c r="M680" s="131"/>
      <c r="N680" s="142"/>
      <c r="O680" s="142"/>
      <c r="P680" s="142"/>
      <c r="Q680" s="142"/>
      <c r="R680" s="142"/>
      <c r="S680" s="142"/>
      <c r="T680" s="131"/>
      <c r="U680" s="131"/>
      <c r="V680" s="131"/>
      <c r="W680" s="131"/>
      <c r="X680" s="131"/>
      <c r="Y680" s="131"/>
      <c r="Z680" s="142"/>
      <c r="AA680" s="142"/>
      <c r="AB680" s="142"/>
      <c r="AC680" s="142"/>
      <c r="AD680" s="142"/>
      <c r="AE680" s="142"/>
      <c r="AF680" s="142"/>
      <c r="AG680" s="142"/>
      <c r="AH680" s="142"/>
      <c r="AI680" s="142"/>
      <c r="AJ680" s="142"/>
      <c r="AK680" s="142"/>
      <c r="AL680" s="142"/>
      <c r="AM680" s="142"/>
      <c r="AN680" s="142"/>
      <c r="AO680" s="142"/>
    </row>
    <row r="681" ht="15.75" customHeight="1">
      <c r="A681" s="142"/>
      <c r="B681" s="142"/>
      <c r="C681" s="142"/>
      <c r="D681" s="142"/>
      <c r="E681" s="131"/>
      <c r="F681" s="142"/>
      <c r="G681" s="142"/>
      <c r="H681" s="142"/>
      <c r="I681" s="142"/>
      <c r="J681" s="142"/>
      <c r="K681" s="132"/>
      <c r="L681" s="131"/>
      <c r="M681" s="131"/>
      <c r="N681" s="142"/>
      <c r="O681" s="142"/>
      <c r="P681" s="142"/>
      <c r="Q681" s="142"/>
      <c r="R681" s="142"/>
      <c r="S681" s="142"/>
      <c r="T681" s="131"/>
      <c r="U681" s="131"/>
      <c r="V681" s="131"/>
      <c r="W681" s="131"/>
      <c r="X681" s="131"/>
      <c r="Y681" s="131"/>
      <c r="Z681" s="142"/>
      <c r="AA681" s="142"/>
      <c r="AB681" s="142"/>
      <c r="AC681" s="142"/>
      <c r="AD681" s="142"/>
      <c r="AE681" s="142"/>
      <c r="AF681" s="142"/>
      <c r="AG681" s="142"/>
      <c r="AH681" s="142"/>
      <c r="AI681" s="142"/>
      <c r="AJ681" s="142"/>
      <c r="AK681" s="142"/>
      <c r="AL681" s="142"/>
      <c r="AM681" s="142"/>
      <c r="AN681" s="142"/>
      <c r="AO681" s="142"/>
    </row>
    <row r="682" ht="15.75" customHeight="1">
      <c r="A682" s="142"/>
      <c r="B682" s="142"/>
      <c r="C682" s="142"/>
      <c r="D682" s="142"/>
      <c r="E682" s="131"/>
      <c r="F682" s="142"/>
      <c r="G682" s="142"/>
      <c r="H682" s="142"/>
      <c r="I682" s="142"/>
      <c r="J682" s="142"/>
      <c r="K682" s="132"/>
      <c r="L682" s="131"/>
      <c r="M682" s="131"/>
      <c r="N682" s="142"/>
      <c r="O682" s="142"/>
      <c r="P682" s="142"/>
      <c r="Q682" s="142"/>
      <c r="R682" s="142"/>
      <c r="S682" s="142"/>
      <c r="T682" s="131"/>
      <c r="U682" s="131"/>
      <c r="V682" s="131"/>
      <c r="W682" s="131"/>
      <c r="X682" s="131"/>
      <c r="Y682" s="131"/>
      <c r="Z682" s="142"/>
      <c r="AA682" s="142"/>
      <c r="AB682" s="142"/>
      <c r="AC682" s="142"/>
      <c r="AD682" s="142"/>
      <c r="AE682" s="142"/>
      <c r="AF682" s="142"/>
      <c r="AG682" s="142"/>
      <c r="AH682" s="142"/>
      <c r="AI682" s="142"/>
      <c r="AJ682" s="142"/>
      <c r="AK682" s="142"/>
      <c r="AL682" s="142"/>
      <c r="AM682" s="142"/>
      <c r="AN682" s="142"/>
      <c r="AO682" s="142"/>
    </row>
    <row r="683" ht="15.75" customHeight="1">
      <c r="A683" s="142"/>
      <c r="B683" s="142"/>
      <c r="C683" s="142"/>
      <c r="D683" s="142"/>
      <c r="E683" s="131"/>
      <c r="F683" s="142"/>
      <c r="G683" s="142"/>
      <c r="H683" s="142"/>
      <c r="I683" s="142"/>
      <c r="J683" s="142"/>
      <c r="K683" s="132"/>
      <c r="L683" s="131"/>
      <c r="M683" s="131"/>
      <c r="N683" s="142"/>
      <c r="O683" s="142"/>
      <c r="P683" s="142"/>
      <c r="Q683" s="142"/>
      <c r="R683" s="142"/>
      <c r="S683" s="142"/>
      <c r="T683" s="131"/>
      <c r="U683" s="131"/>
      <c r="V683" s="131"/>
      <c r="W683" s="131"/>
      <c r="X683" s="131"/>
      <c r="Y683" s="131"/>
      <c r="Z683" s="142"/>
      <c r="AA683" s="142"/>
      <c r="AB683" s="142"/>
      <c r="AC683" s="142"/>
      <c r="AD683" s="142"/>
      <c r="AE683" s="142"/>
      <c r="AF683" s="142"/>
      <c r="AG683" s="142"/>
      <c r="AH683" s="142"/>
      <c r="AI683" s="142"/>
      <c r="AJ683" s="142"/>
      <c r="AK683" s="142"/>
      <c r="AL683" s="142"/>
      <c r="AM683" s="142"/>
      <c r="AN683" s="142"/>
      <c r="AO683" s="142"/>
    </row>
    <row r="684" ht="15.75" customHeight="1">
      <c r="A684" s="142"/>
      <c r="B684" s="142"/>
      <c r="C684" s="142"/>
      <c r="D684" s="142"/>
      <c r="E684" s="131"/>
      <c r="F684" s="142"/>
      <c r="G684" s="142"/>
      <c r="H684" s="142"/>
      <c r="I684" s="142"/>
      <c r="J684" s="142"/>
      <c r="K684" s="132"/>
      <c r="L684" s="131"/>
      <c r="M684" s="131"/>
      <c r="N684" s="142"/>
      <c r="O684" s="142"/>
      <c r="P684" s="142"/>
      <c r="Q684" s="142"/>
      <c r="R684" s="142"/>
      <c r="S684" s="142"/>
      <c r="T684" s="131"/>
      <c r="U684" s="131"/>
      <c r="V684" s="131"/>
      <c r="W684" s="131"/>
      <c r="X684" s="131"/>
      <c r="Y684" s="131"/>
      <c r="Z684" s="142"/>
      <c r="AA684" s="142"/>
      <c r="AB684" s="142"/>
      <c r="AC684" s="142"/>
      <c r="AD684" s="142"/>
      <c r="AE684" s="142"/>
      <c r="AF684" s="142"/>
      <c r="AG684" s="142"/>
      <c r="AH684" s="142"/>
      <c r="AI684" s="142"/>
      <c r="AJ684" s="142"/>
      <c r="AK684" s="142"/>
      <c r="AL684" s="142"/>
      <c r="AM684" s="142"/>
      <c r="AN684" s="142"/>
      <c r="AO684" s="142"/>
    </row>
    <row r="685" ht="15.75" customHeight="1">
      <c r="A685" s="142"/>
      <c r="B685" s="142"/>
      <c r="C685" s="142"/>
      <c r="D685" s="142"/>
      <c r="E685" s="131"/>
      <c r="F685" s="142"/>
      <c r="G685" s="142"/>
      <c r="H685" s="142"/>
      <c r="I685" s="142"/>
      <c r="J685" s="142"/>
      <c r="K685" s="132"/>
      <c r="L685" s="131"/>
      <c r="M685" s="131"/>
      <c r="N685" s="142"/>
      <c r="O685" s="142"/>
      <c r="P685" s="142"/>
      <c r="Q685" s="142"/>
      <c r="R685" s="142"/>
      <c r="S685" s="142"/>
      <c r="T685" s="131"/>
      <c r="U685" s="131"/>
      <c r="V685" s="131"/>
      <c r="W685" s="131"/>
      <c r="X685" s="131"/>
      <c r="Y685" s="131"/>
      <c r="Z685" s="142"/>
      <c r="AA685" s="142"/>
      <c r="AB685" s="142"/>
      <c r="AC685" s="142"/>
      <c r="AD685" s="142"/>
      <c r="AE685" s="142"/>
      <c r="AF685" s="142"/>
      <c r="AG685" s="142"/>
      <c r="AH685" s="142"/>
      <c r="AI685" s="142"/>
      <c r="AJ685" s="142"/>
      <c r="AK685" s="142"/>
      <c r="AL685" s="142"/>
      <c r="AM685" s="142"/>
      <c r="AN685" s="142"/>
      <c r="AO685" s="142"/>
    </row>
    <row r="686" ht="15.75" customHeight="1">
      <c r="A686" s="142"/>
      <c r="B686" s="142"/>
      <c r="C686" s="142"/>
      <c r="D686" s="142"/>
      <c r="E686" s="131"/>
      <c r="F686" s="142"/>
      <c r="G686" s="142"/>
      <c r="H686" s="142"/>
      <c r="I686" s="142"/>
      <c r="J686" s="142"/>
      <c r="K686" s="132"/>
      <c r="L686" s="131"/>
      <c r="M686" s="131"/>
      <c r="N686" s="142"/>
      <c r="O686" s="142"/>
      <c r="P686" s="142"/>
      <c r="Q686" s="142"/>
      <c r="R686" s="142"/>
      <c r="S686" s="142"/>
      <c r="T686" s="131"/>
      <c r="U686" s="131"/>
      <c r="V686" s="131"/>
      <c r="W686" s="131"/>
      <c r="X686" s="131"/>
      <c r="Y686" s="131"/>
      <c r="Z686" s="142"/>
      <c r="AA686" s="142"/>
      <c r="AB686" s="142"/>
      <c r="AC686" s="142"/>
      <c r="AD686" s="142"/>
      <c r="AE686" s="142"/>
      <c r="AF686" s="142"/>
      <c r="AG686" s="142"/>
      <c r="AH686" s="142"/>
      <c r="AI686" s="142"/>
      <c r="AJ686" s="142"/>
      <c r="AK686" s="142"/>
      <c r="AL686" s="142"/>
      <c r="AM686" s="142"/>
      <c r="AN686" s="142"/>
      <c r="AO686" s="142"/>
    </row>
    <row r="687" ht="15.75" customHeight="1">
      <c r="A687" s="142"/>
      <c r="B687" s="142"/>
      <c r="C687" s="142"/>
      <c r="D687" s="142"/>
      <c r="E687" s="131"/>
      <c r="F687" s="142"/>
      <c r="G687" s="142"/>
      <c r="H687" s="142"/>
      <c r="I687" s="142"/>
      <c r="J687" s="142"/>
      <c r="K687" s="132"/>
      <c r="L687" s="131"/>
      <c r="M687" s="131"/>
      <c r="N687" s="142"/>
      <c r="O687" s="142"/>
      <c r="P687" s="142"/>
      <c r="Q687" s="142"/>
      <c r="R687" s="142"/>
      <c r="S687" s="142"/>
      <c r="T687" s="131"/>
      <c r="U687" s="131"/>
      <c r="V687" s="131"/>
      <c r="W687" s="131"/>
      <c r="X687" s="131"/>
      <c r="Y687" s="131"/>
      <c r="Z687" s="142"/>
      <c r="AA687" s="142"/>
      <c r="AB687" s="142"/>
      <c r="AC687" s="142"/>
      <c r="AD687" s="142"/>
      <c r="AE687" s="142"/>
      <c r="AF687" s="142"/>
      <c r="AG687" s="142"/>
      <c r="AH687" s="142"/>
      <c r="AI687" s="142"/>
      <c r="AJ687" s="142"/>
      <c r="AK687" s="142"/>
      <c r="AL687" s="142"/>
      <c r="AM687" s="142"/>
      <c r="AN687" s="142"/>
      <c r="AO687" s="142"/>
    </row>
    <row r="688" ht="15.75" customHeight="1">
      <c r="A688" s="142"/>
      <c r="B688" s="142"/>
      <c r="C688" s="142"/>
      <c r="D688" s="142"/>
      <c r="E688" s="131"/>
      <c r="F688" s="142"/>
      <c r="G688" s="142"/>
      <c r="H688" s="142"/>
      <c r="I688" s="142"/>
      <c r="J688" s="142"/>
      <c r="K688" s="132"/>
      <c r="L688" s="131"/>
      <c r="M688" s="131"/>
      <c r="N688" s="142"/>
      <c r="O688" s="142"/>
      <c r="P688" s="142"/>
      <c r="Q688" s="142"/>
      <c r="R688" s="142"/>
      <c r="S688" s="142"/>
      <c r="T688" s="131"/>
      <c r="U688" s="131"/>
      <c r="V688" s="131"/>
      <c r="W688" s="131"/>
      <c r="X688" s="131"/>
      <c r="Y688" s="131"/>
      <c r="Z688" s="142"/>
      <c r="AA688" s="142"/>
      <c r="AB688" s="142"/>
      <c r="AC688" s="142"/>
      <c r="AD688" s="142"/>
      <c r="AE688" s="142"/>
      <c r="AF688" s="142"/>
      <c r="AG688" s="142"/>
      <c r="AH688" s="142"/>
      <c r="AI688" s="142"/>
      <c r="AJ688" s="142"/>
      <c r="AK688" s="142"/>
      <c r="AL688" s="142"/>
      <c r="AM688" s="142"/>
      <c r="AN688" s="142"/>
      <c r="AO688" s="142"/>
    </row>
    <row r="689" ht="15.75" customHeight="1">
      <c r="A689" s="142"/>
      <c r="B689" s="142"/>
      <c r="C689" s="142"/>
      <c r="D689" s="142"/>
      <c r="E689" s="131"/>
      <c r="F689" s="142"/>
      <c r="G689" s="142"/>
      <c r="H689" s="142"/>
      <c r="I689" s="142"/>
      <c r="J689" s="142"/>
      <c r="K689" s="132"/>
      <c r="L689" s="131"/>
      <c r="M689" s="131"/>
      <c r="N689" s="142"/>
      <c r="O689" s="142"/>
      <c r="P689" s="142"/>
      <c r="Q689" s="142"/>
      <c r="R689" s="142"/>
      <c r="S689" s="142"/>
      <c r="T689" s="131"/>
      <c r="U689" s="131"/>
      <c r="V689" s="131"/>
      <c r="W689" s="131"/>
      <c r="X689" s="131"/>
      <c r="Y689" s="131"/>
      <c r="Z689" s="142"/>
      <c r="AA689" s="142"/>
      <c r="AB689" s="142"/>
      <c r="AC689" s="142"/>
      <c r="AD689" s="142"/>
      <c r="AE689" s="142"/>
      <c r="AF689" s="142"/>
      <c r="AG689" s="142"/>
      <c r="AH689" s="142"/>
      <c r="AI689" s="142"/>
      <c r="AJ689" s="142"/>
      <c r="AK689" s="142"/>
      <c r="AL689" s="142"/>
      <c r="AM689" s="142"/>
      <c r="AN689" s="142"/>
      <c r="AO689" s="142"/>
    </row>
    <row r="690" ht="15.75" customHeight="1">
      <c r="A690" s="142"/>
      <c r="B690" s="142"/>
      <c r="C690" s="142"/>
      <c r="D690" s="142"/>
      <c r="E690" s="131"/>
      <c r="F690" s="142"/>
      <c r="G690" s="142"/>
      <c r="H690" s="142"/>
      <c r="I690" s="142"/>
      <c r="J690" s="142"/>
      <c r="K690" s="132"/>
      <c r="L690" s="131"/>
      <c r="M690" s="131"/>
      <c r="N690" s="142"/>
      <c r="O690" s="142"/>
      <c r="P690" s="142"/>
      <c r="Q690" s="142"/>
      <c r="R690" s="142"/>
      <c r="S690" s="142"/>
      <c r="T690" s="131"/>
      <c r="U690" s="131"/>
      <c r="V690" s="131"/>
      <c r="W690" s="131"/>
      <c r="X690" s="131"/>
      <c r="Y690" s="131"/>
      <c r="Z690" s="142"/>
      <c r="AA690" s="142"/>
      <c r="AB690" s="142"/>
      <c r="AC690" s="142"/>
      <c r="AD690" s="142"/>
      <c r="AE690" s="142"/>
      <c r="AF690" s="142"/>
      <c r="AG690" s="142"/>
      <c r="AH690" s="142"/>
      <c r="AI690" s="142"/>
      <c r="AJ690" s="142"/>
      <c r="AK690" s="142"/>
      <c r="AL690" s="142"/>
      <c r="AM690" s="142"/>
      <c r="AN690" s="142"/>
      <c r="AO690" s="142"/>
    </row>
    <row r="691" ht="15.75" customHeight="1">
      <c r="A691" s="142"/>
      <c r="B691" s="142"/>
      <c r="C691" s="142"/>
      <c r="D691" s="142"/>
      <c r="E691" s="131"/>
      <c r="F691" s="142"/>
      <c r="G691" s="142"/>
      <c r="H691" s="142"/>
      <c r="I691" s="142"/>
      <c r="J691" s="142"/>
      <c r="K691" s="132"/>
      <c r="L691" s="131"/>
      <c r="M691" s="131"/>
      <c r="N691" s="142"/>
      <c r="O691" s="142"/>
      <c r="P691" s="142"/>
      <c r="Q691" s="142"/>
      <c r="R691" s="142"/>
      <c r="S691" s="142"/>
      <c r="T691" s="131"/>
      <c r="U691" s="131"/>
      <c r="V691" s="131"/>
      <c r="W691" s="131"/>
      <c r="X691" s="131"/>
      <c r="Y691" s="131"/>
      <c r="Z691" s="142"/>
      <c r="AA691" s="142"/>
      <c r="AB691" s="142"/>
      <c r="AC691" s="142"/>
      <c r="AD691" s="142"/>
      <c r="AE691" s="142"/>
      <c r="AF691" s="142"/>
      <c r="AG691" s="142"/>
      <c r="AH691" s="142"/>
      <c r="AI691" s="142"/>
      <c r="AJ691" s="142"/>
      <c r="AK691" s="142"/>
      <c r="AL691" s="142"/>
      <c r="AM691" s="142"/>
      <c r="AN691" s="142"/>
      <c r="AO691" s="142"/>
    </row>
    <row r="692" ht="15.75" customHeight="1">
      <c r="A692" s="142"/>
      <c r="B692" s="142"/>
      <c r="C692" s="142"/>
      <c r="D692" s="142"/>
      <c r="E692" s="131"/>
      <c r="F692" s="142"/>
      <c r="G692" s="142"/>
      <c r="H692" s="142"/>
      <c r="I692" s="142"/>
      <c r="J692" s="142"/>
      <c r="K692" s="132"/>
      <c r="L692" s="131"/>
      <c r="M692" s="131"/>
      <c r="N692" s="142"/>
      <c r="O692" s="142"/>
      <c r="P692" s="142"/>
      <c r="Q692" s="142"/>
      <c r="R692" s="142"/>
      <c r="S692" s="142"/>
      <c r="T692" s="131"/>
      <c r="U692" s="131"/>
      <c r="V692" s="131"/>
      <c r="W692" s="131"/>
      <c r="X692" s="131"/>
      <c r="Y692" s="131"/>
      <c r="Z692" s="142"/>
      <c r="AA692" s="142"/>
      <c r="AB692" s="142"/>
      <c r="AC692" s="142"/>
      <c r="AD692" s="142"/>
      <c r="AE692" s="142"/>
      <c r="AF692" s="142"/>
      <c r="AG692" s="142"/>
      <c r="AH692" s="142"/>
      <c r="AI692" s="142"/>
      <c r="AJ692" s="142"/>
      <c r="AK692" s="142"/>
      <c r="AL692" s="142"/>
      <c r="AM692" s="142"/>
      <c r="AN692" s="142"/>
      <c r="AO692" s="142"/>
    </row>
    <row r="693" ht="15.75" customHeight="1">
      <c r="A693" s="142"/>
      <c r="B693" s="142"/>
      <c r="C693" s="142"/>
      <c r="D693" s="142"/>
      <c r="E693" s="131"/>
      <c r="F693" s="142"/>
      <c r="G693" s="142"/>
      <c r="H693" s="142"/>
      <c r="I693" s="142"/>
      <c r="J693" s="142"/>
      <c r="K693" s="132"/>
      <c r="L693" s="131"/>
      <c r="M693" s="131"/>
      <c r="N693" s="142"/>
      <c r="O693" s="142"/>
      <c r="P693" s="142"/>
      <c r="Q693" s="142"/>
      <c r="R693" s="142"/>
      <c r="S693" s="142"/>
      <c r="T693" s="131"/>
      <c r="U693" s="131"/>
      <c r="V693" s="131"/>
      <c r="W693" s="131"/>
      <c r="X693" s="131"/>
      <c r="Y693" s="131"/>
      <c r="Z693" s="142"/>
      <c r="AA693" s="142"/>
      <c r="AB693" s="142"/>
      <c r="AC693" s="142"/>
      <c r="AD693" s="142"/>
      <c r="AE693" s="142"/>
      <c r="AF693" s="142"/>
      <c r="AG693" s="142"/>
      <c r="AH693" s="142"/>
      <c r="AI693" s="142"/>
      <c r="AJ693" s="142"/>
      <c r="AK693" s="142"/>
      <c r="AL693" s="142"/>
      <c r="AM693" s="142"/>
      <c r="AN693" s="142"/>
      <c r="AO693" s="142"/>
    </row>
    <row r="694" ht="15.75" customHeight="1">
      <c r="A694" s="142"/>
      <c r="B694" s="142"/>
      <c r="C694" s="142"/>
      <c r="D694" s="142"/>
      <c r="E694" s="131"/>
      <c r="F694" s="142"/>
      <c r="G694" s="142"/>
      <c r="H694" s="142"/>
      <c r="I694" s="142"/>
      <c r="J694" s="142"/>
      <c r="K694" s="132"/>
      <c r="L694" s="131"/>
      <c r="M694" s="131"/>
      <c r="N694" s="142"/>
      <c r="O694" s="142"/>
      <c r="P694" s="142"/>
      <c r="Q694" s="142"/>
      <c r="R694" s="142"/>
      <c r="S694" s="142"/>
      <c r="T694" s="131"/>
      <c r="U694" s="131"/>
      <c r="V694" s="131"/>
      <c r="W694" s="131"/>
      <c r="X694" s="131"/>
      <c r="Y694" s="131"/>
      <c r="Z694" s="142"/>
      <c r="AA694" s="142"/>
      <c r="AB694" s="142"/>
      <c r="AC694" s="142"/>
      <c r="AD694" s="142"/>
      <c r="AE694" s="142"/>
      <c r="AF694" s="142"/>
      <c r="AG694" s="142"/>
      <c r="AH694" s="142"/>
      <c r="AI694" s="142"/>
      <c r="AJ694" s="142"/>
      <c r="AK694" s="142"/>
      <c r="AL694" s="142"/>
      <c r="AM694" s="142"/>
      <c r="AN694" s="142"/>
      <c r="AO694" s="142"/>
    </row>
    <row r="695" ht="15.75" customHeight="1">
      <c r="A695" s="142"/>
      <c r="B695" s="142"/>
      <c r="C695" s="142"/>
      <c r="D695" s="142"/>
      <c r="E695" s="131"/>
      <c r="F695" s="142"/>
      <c r="G695" s="142"/>
      <c r="H695" s="142"/>
      <c r="I695" s="142"/>
      <c r="J695" s="142"/>
      <c r="K695" s="132"/>
      <c r="L695" s="131"/>
      <c r="M695" s="131"/>
      <c r="N695" s="142"/>
      <c r="O695" s="142"/>
      <c r="P695" s="142"/>
      <c r="Q695" s="142"/>
      <c r="R695" s="142"/>
      <c r="S695" s="142"/>
      <c r="T695" s="131"/>
      <c r="U695" s="131"/>
      <c r="V695" s="131"/>
      <c r="W695" s="131"/>
      <c r="X695" s="131"/>
      <c r="Y695" s="131"/>
      <c r="Z695" s="142"/>
      <c r="AA695" s="142"/>
      <c r="AB695" s="142"/>
      <c r="AC695" s="142"/>
      <c r="AD695" s="142"/>
      <c r="AE695" s="142"/>
      <c r="AF695" s="142"/>
      <c r="AG695" s="142"/>
      <c r="AH695" s="142"/>
      <c r="AI695" s="142"/>
      <c r="AJ695" s="142"/>
      <c r="AK695" s="142"/>
      <c r="AL695" s="142"/>
      <c r="AM695" s="142"/>
      <c r="AN695" s="142"/>
      <c r="AO695" s="142"/>
    </row>
    <row r="696" ht="15.75" customHeight="1">
      <c r="A696" s="142"/>
      <c r="B696" s="142"/>
      <c r="C696" s="142"/>
      <c r="D696" s="142"/>
      <c r="E696" s="131"/>
      <c r="F696" s="142"/>
      <c r="G696" s="142"/>
      <c r="H696" s="142"/>
      <c r="I696" s="142"/>
      <c r="J696" s="142"/>
      <c r="K696" s="132"/>
      <c r="L696" s="131"/>
      <c r="M696" s="131"/>
      <c r="N696" s="142"/>
      <c r="O696" s="142"/>
      <c r="P696" s="142"/>
      <c r="Q696" s="142"/>
      <c r="R696" s="142"/>
      <c r="S696" s="142"/>
      <c r="T696" s="131"/>
      <c r="U696" s="131"/>
      <c r="V696" s="131"/>
      <c r="W696" s="131"/>
      <c r="X696" s="131"/>
      <c r="Y696" s="131"/>
      <c r="Z696" s="142"/>
      <c r="AA696" s="142"/>
      <c r="AB696" s="142"/>
      <c r="AC696" s="142"/>
      <c r="AD696" s="142"/>
      <c r="AE696" s="142"/>
      <c r="AF696" s="142"/>
      <c r="AG696" s="142"/>
      <c r="AH696" s="142"/>
      <c r="AI696" s="142"/>
      <c r="AJ696" s="142"/>
      <c r="AK696" s="142"/>
      <c r="AL696" s="142"/>
      <c r="AM696" s="142"/>
      <c r="AN696" s="142"/>
      <c r="AO696" s="142"/>
    </row>
    <row r="697" ht="15.75" customHeight="1">
      <c r="A697" s="142"/>
      <c r="B697" s="142"/>
      <c r="C697" s="142"/>
      <c r="D697" s="142"/>
      <c r="E697" s="131"/>
      <c r="F697" s="142"/>
      <c r="G697" s="142"/>
      <c r="H697" s="142"/>
      <c r="I697" s="142"/>
      <c r="J697" s="142"/>
      <c r="K697" s="132"/>
      <c r="L697" s="131"/>
      <c r="M697" s="131"/>
      <c r="N697" s="142"/>
      <c r="O697" s="142"/>
      <c r="P697" s="142"/>
      <c r="Q697" s="142"/>
      <c r="R697" s="142"/>
      <c r="S697" s="142"/>
      <c r="T697" s="131"/>
      <c r="U697" s="131"/>
      <c r="V697" s="131"/>
      <c r="W697" s="131"/>
      <c r="X697" s="131"/>
      <c r="Y697" s="131"/>
      <c r="Z697" s="142"/>
      <c r="AA697" s="142"/>
      <c r="AB697" s="142"/>
      <c r="AC697" s="142"/>
      <c r="AD697" s="142"/>
      <c r="AE697" s="142"/>
      <c r="AF697" s="142"/>
      <c r="AG697" s="142"/>
      <c r="AH697" s="142"/>
      <c r="AI697" s="142"/>
      <c r="AJ697" s="142"/>
      <c r="AK697" s="142"/>
      <c r="AL697" s="142"/>
      <c r="AM697" s="142"/>
      <c r="AN697" s="142"/>
      <c r="AO697" s="142"/>
    </row>
    <row r="698" ht="15.75" customHeight="1">
      <c r="A698" s="142"/>
      <c r="B698" s="142"/>
      <c r="C698" s="142"/>
      <c r="D698" s="142"/>
      <c r="E698" s="131"/>
      <c r="F698" s="142"/>
      <c r="G698" s="142"/>
      <c r="H698" s="142"/>
      <c r="I698" s="142"/>
      <c r="J698" s="142"/>
      <c r="K698" s="132"/>
      <c r="L698" s="131"/>
      <c r="M698" s="131"/>
      <c r="N698" s="142"/>
      <c r="O698" s="142"/>
      <c r="P698" s="142"/>
      <c r="Q698" s="142"/>
      <c r="R698" s="142"/>
      <c r="S698" s="142"/>
      <c r="T698" s="131"/>
      <c r="U698" s="131"/>
      <c r="V698" s="131"/>
      <c r="W698" s="131"/>
      <c r="X698" s="131"/>
      <c r="Y698" s="131"/>
      <c r="Z698" s="142"/>
      <c r="AA698" s="142"/>
      <c r="AB698" s="142"/>
      <c r="AC698" s="142"/>
      <c r="AD698" s="142"/>
      <c r="AE698" s="142"/>
      <c r="AF698" s="142"/>
      <c r="AG698" s="142"/>
      <c r="AH698" s="142"/>
      <c r="AI698" s="142"/>
      <c r="AJ698" s="142"/>
      <c r="AK698" s="142"/>
      <c r="AL698" s="142"/>
      <c r="AM698" s="142"/>
      <c r="AN698" s="142"/>
      <c r="AO698" s="142"/>
    </row>
    <row r="699" ht="15.75" customHeight="1">
      <c r="A699" s="142"/>
      <c r="B699" s="142"/>
      <c r="C699" s="142"/>
      <c r="D699" s="142"/>
      <c r="E699" s="131"/>
      <c r="F699" s="142"/>
      <c r="G699" s="142"/>
      <c r="H699" s="142"/>
      <c r="I699" s="142"/>
      <c r="J699" s="142"/>
      <c r="K699" s="132"/>
      <c r="L699" s="131"/>
      <c r="M699" s="131"/>
      <c r="N699" s="142"/>
      <c r="O699" s="142"/>
      <c r="P699" s="142"/>
      <c r="Q699" s="142"/>
      <c r="R699" s="142"/>
      <c r="S699" s="142"/>
      <c r="T699" s="131"/>
      <c r="U699" s="131"/>
      <c r="V699" s="131"/>
      <c r="W699" s="131"/>
      <c r="X699" s="131"/>
      <c r="Y699" s="131"/>
      <c r="Z699" s="142"/>
      <c r="AA699" s="142"/>
      <c r="AB699" s="142"/>
      <c r="AC699" s="142"/>
      <c r="AD699" s="142"/>
      <c r="AE699" s="142"/>
      <c r="AF699" s="142"/>
      <c r="AG699" s="142"/>
      <c r="AH699" s="142"/>
      <c r="AI699" s="142"/>
      <c r="AJ699" s="142"/>
      <c r="AK699" s="142"/>
      <c r="AL699" s="142"/>
      <c r="AM699" s="142"/>
      <c r="AN699" s="142"/>
      <c r="AO699" s="142"/>
    </row>
    <row r="700" ht="15.75" customHeight="1">
      <c r="A700" s="142"/>
      <c r="B700" s="142"/>
      <c r="C700" s="142"/>
      <c r="D700" s="142"/>
      <c r="E700" s="131"/>
      <c r="F700" s="142"/>
      <c r="G700" s="142"/>
      <c r="H700" s="142"/>
      <c r="I700" s="142"/>
      <c r="J700" s="142"/>
      <c r="K700" s="132"/>
      <c r="L700" s="131"/>
      <c r="M700" s="131"/>
      <c r="N700" s="142"/>
      <c r="O700" s="142"/>
      <c r="P700" s="142"/>
      <c r="Q700" s="142"/>
      <c r="R700" s="142"/>
      <c r="S700" s="142"/>
      <c r="T700" s="131"/>
      <c r="U700" s="131"/>
      <c r="V700" s="131"/>
      <c r="W700" s="131"/>
      <c r="X700" s="131"/>
      <c r="Y700" s="131"/>
      <c r="Z700" s="142"/>
      <c r="AA700" s="142"/>
      <c r="AB700" s="142"/>
      <c r="AC700" s="142"/>
      <c r="AD700" s="142"/>
      <c r="AE700" s="142"/>
      <c r="AF700" s="142"/>
      <c r="AG700" s="142"/>
      <c r="AH700" s="142"/>
      <c r="AI700" s="142"/>
      <c r="AJ700" s="142"/>
      <c r="AK700" s="142"/>
      <c r="AL700" s="142"/>
      <c r="AM700" s="142"/>
      <c r="AN700" s="142"/>
      <c r="AO700" s="142"/>
    </row>
    <row r="701" ht="15.75" customHeight="1">
      <c r="A701" s="142"/>
      <c r="B701" s="142"/>
      <c r="C701" s="142"/>
      <c r="D701" s="142"/>
      <c r="E701" s="131"/>
      <c r="F701" s="142"/>
      <c r="G701" s="142"/>
      <c r="H701" s="142"/>
      <c r="I701" s="142"/>
      <c r="J701" s="142"/>
      <c r="K701" s="132"/>
      <c r="L701" s="131"/>
      <c r="M701" s="131"/>
      <c r="N701" s="142"/>
      <c r="O701" s="142"/>
      <c r="P701" s="142"/>
      <c r="Q701" s="142"/>
      <c r="R701" s="142"/>
      <c r="S701" s="142"/>
      <c r="T701" s="131"/>
      <c r="U701" s="131"/>
      <c r="V701" s="131"/>
      <c r="W701" s="131"/>
      <c r="X701" s="131"/>
      <c r="Y701" s="131"/>
      <c r="Z701" s="142"/>
      <c r="AA701" s="142"/>
      <c r="AB701" s="142"/>
      <c r="AC701" s="142"/>
      <c r="AD701" s="142"/>
      <c r="AE701" s="142"/>
      <c r="AF701" s="142"/>
      <c r="AG701" s="142"/>
      <c r="AH701" s="142"/>
      <c r="AI701" s="142"/>
      <c r="AJ701" s="142"/>
      <c r="AK701" s="142"/>
      <c r="AL701" s="142"/>
      <c r="AM701" s="142"/>
      <c r="AN701" s="142"/>
      <c r="AO701" s="142"/>
    </row>
    <row r="702" ht="15.75" customHeight="1">
      <c r="A702" s="142"/>
      <c r="B702" s="142"/>
      <c r="C702" s="142"/>
      <c r="D702" s="142"/>
      <c r="E702" s="131"/>
      <c r="F702" s="142"/>
      <c r="G702" s="142"/>
      <c r="H702" s="142"/>
      <c r="I702" s="142"/>
      <c r="J702" s="142"/>
      <c r="K702" s="132"/>
      <c r="L702" s="131"/>
      <c r="M702" s="131"/>
      <c r="N702" s="142"/>
      <c r="O702" s="142"/>
      <c r="P702" s="142"/>
      <c r="Q702" s="142"/>
      <c r="R702" s="142"/>
      <c r="S702" s="142"/>
      <c r="T702" s="131"/>
      <c r="U702" s="131"/>
      <c r="V702" s="131"/>
      <c r="W702" s="131"/>
      <c r="X702" s="131"/>
      <c r="Y702" s="131"/>
      <c r="Z702" s="142"/>
      <c r="AA702" s="142"/>
      <c r="AB702" s="142"/>
      <c r="AC702" s="142"/>
      <c r="AD702" s="142"/>
      <c r="AE702" s="142"/>
      <c r="AF702" s="142"/>
      <c r="AG702" s="142"/>
      <c r="AH702" s="142"/>
      <c r="AI702" s="142"/>
      <c r="AJ702" s="142"/>
      <c r="AK702" s="142"/>
      <c r="AL702" s="142"/>
      <c r="AM702" s="142"/>
      <c r="AN702" s="142"/>
      <c r="AO702" s="142"/>
    </row>
    <row r="703" ht="15.75" customHeight="1">
      <c r="A703" s="142"/>
      <c r="B703" s="142"/>
      <c r="C703" s="142"/>
      <c r="D703" s="142"/>
      <c r="E703" s="131"/>
      <c r="F703" s="142"/>
      <c r="G703" s="142"/>
      <c r="H703" s="142"/>
      <c r="I703" s="142"/>
      <c r="J703" s="142"/>
      <c r="K703" s="132"/>
      <c r="L703" s="131"/>
      <c r="M703" s="131"/>
      <c r="N703" s="142"/>
      <c r="O703" s="142"/>
      <c r="P703" s="142"/>
      <c r="Q703" s="142"/>
      <c r="R703" s="142"/>
      <c r="S703" s="142"/>
      <c r="T703" s="131"/>
      <c r="U703" s="131"/>
      <c r="V703" s="131"/>
      <c r="W703" s="131"/>
      <c r="X703" s="131"/>
      <c r="Y703" s="131"/>
      <c r="Z703" s="142"/>
      <c r="AA703" s="142"/>
      <c r="AB703" s="142"/>
      <c r="AC703" s="142"/>
      <c r="AD703" s="142"/>
      <c r="AE703" s="142"/>
      <c r="AF703" s="142"/>
      <c r="AG703" s="142"/>
      <c r="AH703" s="142"/>
      <c r="AI703" s="142"/>
      <c r="AJ703" s="142"/>
      <c r="AK703" s="142"/>
      <c r="AL703" s="142"/>
      <c r="AM703" s="142"/>
      <c r="AN703" s="142"/>
      <c r="AO703" s="142"/>
    </row>
    <row r="704" ht="15.75" customHeight="1">
      <c r="A704" s="142"/>
      <c r="B704" s="142"/>
      <c r="C704" s="142"/>
      <c r="D704" s="142"/>
      <c r="E704" s="131"/>
      <c r="F704" s="142"/>
      <c r="G704" s="142"/>
      <c r="H704" s="142"/>
      <c r="I704" s="142"/>
      <c r="J704" s="142"/>
      <c r="K704" s="132"/>
      <c r="L704" s="131"/>
      <c r="M704" s="131"/>
      <c r="N704" s="142"/>
      <c r="O704" s="142"/>
      <c r="P704" s="142"/>
      <c r="Q704" s="142"/>
      <c r="R704" s="142"/>
      <c r="S704" s="142"/>
      <c r="T704" s="131"/>
      <c r="U704" s="131"/>
      <c r="V704" s="131"/>
      <c r="W704" s="131"/>
      <c r="X704" s="131"/>
      <c r="Y704" s="131"/>
      <c r="Z704" s="142"/>
      <c r="AA704" s="142"/>
      <c r="AB704" s="142"/>
      <c r="AC704" s="142"/>
      <c r="AD704" s="142"/>
      <c r="AE704" s="142"/>
      <c r="AF704" s="142"/>
      <c r="AG704" s="142"/>
      <c r="AH704" s="142"/>
      <c r="AI704" s="142"/>
      <c r="AJ704" s="142"/>
      <c r="AK704" s="142"/>
      <c r="AL704" s="142"/>
      <c r="AM704" s="142"/>
      <c r="AN704" s="142"/>
      <c r="AO704" s="142"/>
    </row>
    <row r="705" ht="15.75" customHeight="1">
      <c r="A705" s="142"/>
      <c r="B705" s="142"/>
      <c r="C705" s="142"/>
      <c r="D705" s="142"/>
      <c r="E705" s="131"/>
      <c r="F705" s="142"/>
      <c r="G705" s="142"/>
      <c r="H705" s="142"/>
      <c r="I705" s="142"/>
      <c r="J705" s="142"/>
      <c r="K705" s="132"/>
      <c r="L705" s="131"/>
      <c r="M705" s="131"/>
      <c r="N705" s="142"/>
      <c r="O705" s="142"/>
      <c r="P705" s="142"/>
      <c r="Q705" s="142"/>
      <c r="R705" s="142"/>
      <c r="S705" s="142"/>
      <c r="T705" s="131"/>
      <c r="U705" s="131"/>
      <c r="V705" s="131"/>
      <c r="W705" s="131"/>
      <c r="X705" s="131"/>
      <c r="Y705" s="131"/>
      <c r="Z705" s="142"/>
      <c r="AA705" s="142"/>
      <c r="AB705" s="142"/>
      <c r="AC705" s="142"/>
      <c r="AD705" s="142"/>
      <c r="AE705" s="142"/>
      <c r="AF705" s="142"/>
      <c r="AG705" s="142"/>
      <c r="AH705" s="142"/>
      <c r="AI705" s="142"/>
      <c r="AJ705" s="142"/>
      <c r="AK705" s="142"/>
      <c r="AL705" s="142"/>
      <c r="AM705" s="142"/>
      <c r="AN705" s="142"/>
      <c r="AO705" s="142"/>
    </row>
    <row r="706" ht="15.75" customHeight="1">
      <c r="A706" s="142"/>
      <c r="B706" s="142"/>
      <c r="C706" s="142"/>
      <c r="D706" s="142"/>
      <c r="E706" s="131"/>
      <c r="F706" s="142"/>
      <c r="G706" s="142"/>
      <c r="H706" s="142"/>
      <c r="I706" s="142"/>
      <c r="J706" s="142"/>
      <c r="K706" s="132"/>
      <c r="L706" s="131"/>
      <c r="M706" s="131"/>
      <c r="N706" s="142"/>
      <c r="O706" s="142"/>
      <c r="P706" s="142"/>
      <c r="Q706" s="142"/>
      <c r="R706" s="142"/>
      <c r="S706" s="142"/>
      <c r="T706" s="131"/>
      <c r="U706" s="131"/>
      <c r="V706" s="131"/>
      <c r="W706" s="131"/>
      <c r="X706" s="131"/>
      <c r="Y706" s="131"/>
      <c r="Z706" s="142"/>
      <c r="AA706" s="142"/>
      <c r="AB706" s="142"/>
      <c r="AC706" s="142"/>
      <c r="AD706" s="142"/>
      <c r="AE706" s="142"/>
      <c r="AF706" s="142"/>
      <c r="AG706" s="142"/>
      <c r="AH706" s="142"/>
      <c r="AI706" s="142"/>
      <c r="AJ706" s="142"/>
      <c r="AK706" s="142"/>
      <c r="AL706" s="142"/>
      <c r="AM706" s="142"/>
      <c r="AN706" s="142"/>
      <c r="AO706" s="142"/>
    </row>
    <row r="707" ht="15.75" customHeight="1">
      <c r="A707" s="142"/>
      <c r="B707" s="142"/>
      <c r="C707" s="142"/>
      <c r="D707" s="142"/>
      <c r="E707" s="131"/>
      <c r="F707" s="142"/>
      <c r="G707" s="142"/>
      <c r="H707" s="142"/>
      <c r="I707" s="142"/>
      <c r="J707" s="142"/>
      <c r="K707" s="132"/>
      <c r="L707" s="131"/>
      <c r="M707" s="131"/>
      <c r="N707" s="142"/>
      <c r="O707" s="142"/>
      <c r="P707" s="142"/>
      <c r="Q707" s="142"/>
      <c r="R707" s="142"/>
      <c r="S707" s="142"/>
      <c r="T707" s="131"/>
      <c r="U707" s="131"/>
      <c r="V707" s="131"/>
      <c r="W707" s="131"/>
      <c r="X707" s="131"/>
      <c r="Y707" s="131"/>
      <c r="Z707" s="142"/>
      <c r="AA707" s="142"/>
      <c r="AB707" s="142"/>
      <c r="AC707" s="142"/>
      <c r="AD707" s="142"/>
      <c r="AE707" s="142"/>
      <c r="AF707" s="142"/>
      <c r="AG707" s="142"/>
      <c r="AH707" s="142"/>
      <c r="AI707" s="142"/>
      <c r="AJ707" s="142"/>
      <c r="AK707" s="142"/>
      <c r="AL707" s="142"/>
      <c r="AM707" s="142"/>
      <c r="AN707" s="142"/>
      <c r="AO707" s="142"/>
    </row>
    <row r="708" ht="15.75" customHeight="1">
      <c r="A708" s="142"/>
      <c r="B708" s="142"/>
      <c r="C708" s="142"/>
      <c r="D708" s="142"/>
      <c r="E708" s="131"/>
      <c r="F708" s="142"/>
      <c r="G708" s="142"/>
      <c r="H708" s="142"/>
      <c r="I708" s="142"/>
      <c r="J708" s="142"/>
      <c r="K708" s="132"/>
      <c r="L708" s="131"/>
      <c r="M708" s="131"/>
      <c r="N708" s="142"/>
      <c r="O708" s="142"/>
      <c r="P708" s="142"/>
      <c r="Q708" s="142"/>
      <c r="R708" s="142"/>
      <c r="S708" s="142"/>
      <c r="T708" s="131"/>
      <c r="U708" s="131"/>
      <c r="V708" s="131"/>
      <c r="W708" s="131"/>
      <c r="X708" s="131"/>
      <c r="Y708" s="131"/>
      <c r="Z708" s="142"/>
      <c r="AA708" s="142"/>
      <c r="AB708" s="142"/>
      <c r="AC708" s="142"/>
      <c r="AD708" s="142"/>
      <c r="AE708" s="142"/>
      <c r="AF708" s="142"/>
      <c r="AG708" s="142"/>
      <c r="AH708" s="142"/>
      <c r="AI708" s="142"/>
      <c r="AJ708" s="142"/>
      <c r="AK708" s="142"/>
      <c r="AL708" s="142"/>
      <c r="AM708" s="142"/>
      <c r="AN708" s="142"/>
      <c r="AO708" s="142"/>
    </row>
    <row r="709" ht="15.75" customHeight="1">
      <c r="A709" s="142"/>
      <c r="B709" s="142"/>
      <c r="C709" s="142"/>
      <c r="D709" s="142"/>
      <c r="E709" s="131"/>
      <c r="F709" s="142"/>
      <c r="G709" s="142"/>
      <c r="H709" s="142"/>
      <c r="I709" s="142"/>
      <c r="J709" s="142"/>
      <c r="K709" s="132"/>
      <c r="L709" s="131"/>
      <c r="M709" s="131"/>
      <c r="N709" s="142"/>
      <c r="O709" s="142"/>
      <c r="P709" s="142"/>
      <c r="Q709" s="142"/>
      <c r="R709" s="142"/>
      <c r="S709" s="142"/>
      <c r="T709" s="131"/>
      <c r="U709" s="131"/>
      <c r="V709" s="131"/>
      <c r="W709" s="131"/>
      <c r="X709" s="131"/>
      <c r="Y709" s="131"/>
      <c r="Z709" s="142"/>
      <c r="AA709" s="142"/>
      <c r="AB709" s="142"/>
      <c r="AC709" s="142"/>
      <c r="AD709" s="142"/>
      <c r="AE709" s="142"/>
      <c r="AF709" s="142"/>
      <c r="AG709" s="142"/>
      <c r="AH709" s="142"/>
      <c r="AI709" s="142"/>
      <c r="AJ709" s="142"/>
      <c r="AK709" s="142"/>
      <c r="AL709" s="142"/>
      <c r="AM709" s="142"/>
      <c r="AN709" s="142"/>
      <c r="AO709" s="142"/>
    </row>
    <row r="710" ht="15.75" customHeight="1">
      <c r="A710" s="142"/>
      <c r="B710" s="142"/>
      <c r="C710" s="142"/>
      <c r="D710" s="142"/>
      <c r="E710" s="131"/>
      <c r="F710" s="142"/>
      <c r="G710" s="142"/>
      <c r="H710" s="142"/>
      <c r="I710" s="142"/>
      <c r="J710" s="142"/>
      <c r="K710" s="132"/>
      <c r="L710" s="131"/>
      <c r="M710" s="131"/>
      <c r="N710" s="142"/>
      <c r="O710" s="142"/>
      <c r="P710" s="142"/>
      <c r="Q710" s="142"/>
      <c r="R710" s="142"/>
      <c r="S710" s="142"/>
      <c r="T710" s="131"/>
      <c r="U710" s="131"/>
      <c r="V710" s="131"/>
      <c r="W710" s="131"/>
      <c r="X710" s="131"/>
      <c r="Y710" s="131"/>
      <c r="Z710" s="142"/>
      <c r="AA710" s="142"/>
      <c r="AB710" s="142"/>
      <c r="AC710" s="142"/>
      <c r="AD710" s="142"/>
      <c r="AE710" s="142"/>
      <c r="AF710" s="142"/>
      <c r="AG710" s="142"/>
      <c r="AH710" s="142"/>
      <c r="AI710" s="142"/>
      <c r="AJ710" s="142"/>
      <c r="AK710" s="142"/>
      <c r="AL710" s="142"/>
      <c r="AM710" s="142"/>
      <c r="AN710" s="142"/>
      <c r="AO710" s="142"/>
    </row>
    <row r="711" ht="15.75" customHeight="1">
      <c r="A711" s="142"/>
      <c r="B711" s="142"/>
      <c r="C711" s="142"/>
      <c r="D711" s="142"/>
      <c r="E711" s="131"/>
      <c r="F711" s="142"/>
      <c r="G711" s="142"/>
      <c r="H711" s="142"/>
      <c r="I711" s="142"/>
      <c r="J711" s="142"/>
      <c r="K711" s="132"/>
      <c r="L711" s="131"/>
      <c r="M711" s="131"/>
      <c r="N711" s="142"/>
      <c r="O711" s="142"/>
      <c r="P711" s="142"/>
      <c r="Q711" s="142"/>
      <c r="R711" s="142"/>
      <c r="S711" s="142"/>
      <c r="T711" s="131"/>
      <c r="U711" s="131"/>
      <c r="V711" s="131"/>
      <c r="W711" s="131"/>
      <c r="X711" s="131"/>
      <c r="Y711" s="131"/>
      <c r="Z711" s="142"/>
      <c r="AA711" s="142"/>
      <c r="AB711" s="142"/>
      <c r="AC711" s="142"/>
      <c r="AD711" s="142"/>
      <c r="AE711" s="142"/>
      <c r="AF711" s="142"/>
      <c r="AG711" s="142"/>
      <c r="AH711" s="142"/>
      <c r="AI711" s="142"/>
      <c r="AJ711" s="142"/>
      <c r="AK711" s="142"/>
      <c r="AL711" s="142"/>
      <c r="AM711" s="142"/>
      <c r="AN711" s="142"/>
      <c r="AO711" s="142"/>
    </row>
    <row r="712" ht="15.75" customHeight="1">
      <c r="A712" s="142"/>
      <c r="B712" s="142"/>
      <c r="C712" s="142"/>
      <c r="D712" s="142"/>
      <c r="E712" s="131"/>
      <c r="F712" s="142"/>
      <c r="G712" s="142"/>
      <c r="H712" s="142"/>
      <c r="I712" s="142"/>
      <c r="J712" s="142"/>
      <c r="K712" s="132"/>
      <c r="L712" s="131"/>
      <c r="M712" s="131"/>
      <c r="N712" s="142"/>
      <c r="O712" s="142"/>
      <c r="P712" s="142"/>
      <c r="Q712" s="142"/>
      <c r="R712" s="142"/>
      <c r="S712" s="142"/>
      <c r="T712" s="131"/>
      <c r="U712" s="131"/>
      <c r="V712" s="131"/>
      <c r="W712" s="131"/>
      <c r="X712" s="131"/>
      <c r="Y712" s="131"/>
      <c r="Z712" s="142"/>
      <c r="AA712" s="142"/>
      <c r="AB712" s="142"/>
      <c r="AC712" s="142"/>
      <c r="AD712" s="142"/>
      <c r="AE712" s="142"/>
      <c r="AF712" s="142"/>
      <c r="AG712" s="142"/>
      <c r="AH712" s="142"/>
      <c r="AI712" s="142"/>
      <c r="AJ712" s="142"/>
      <c r="AK712" s="142"/>
      <c r="AL712" s="142"/>
      <c r="AM712" s="142"/>
      <c r="AN712" s="142"/>
      <c r="AO712" s="142"/>
    </row>
    <row r="713" ht="15.75" customHeight="1">
      <c r="A713" s="142"/>
      <c r="B713" s="142"/>
      <c r="C713" s="142"/>
      <c r="D713" s="142"/>
      <c r="E713" s="131"/>
      <c r="F713" s="142"/>
      <c r="G713" s="142"/>
      <c r="H713" s="142"/>
      <c r="I713" s="142"/>
      <c r="J713" s="142"/>
      <c r="K713" s="132"/>
      <c r="L713" s="131"/>
      <c r="M713" s="131"/>
      <c r="N713" s="142"/>
      <c r="O713" s="142"/>
      <c r="P713" s="142"/>
      <c r="Q713" s="142"/>
      <c r="R713" s="142"/>
      <c r="S713" s="142"/>
      <c r="T713" s="131"/>
      <c r="U713" s="131"/>
      <c r="V713" s="131"/>
      <c r="W713" s="131"/>
      <c r="X713" s="131"/>
      <c r="Y713" s="131"/>
      <c r="Z713" s="142"/>
      <c r="AA713" s="142"/>
      <c r="AB713" s="142"/>
      <c r="AC713" s="142"/>
      <c r="AD713" s="142"/>
      <c r="AE713" s="142"/>
      <c r="AF713" s="142"/>
      <c r="AG713" s="142"/>
      <c r="AH713" s="142"/>
      <c r="AI713" s="142"/>
      <c r="AJ713" s="142"/>
      <c r="AK713" s="142"/>
      <c r="AL713" s="142"/>
      <c r="AM713" s="142"/>
      <c r="AN713" s="142"/>
      <c r="AO713" s="142"/>
    </row>
    <row r="714" ht="15.75" customHeight="1">
      <c r="A714" s="142"/>
      <c r="B714" s="142"/>
      <c r="C714" s="142"/>
      <c r="D714" s="142"/>
      <c r="E714" s="131"/>
      <c r="F714" s="142"/>
      <c r="G714" s="142"/>
      <c r="H714" s="142"/>
      <c r="I714" s="142"/>
      <c r="J714" s="142"/>
      <c r="K714" s="132"/>
      <c r="L714" s="131"/>
      <c r="M714" s="131"/>
      <c r="N714" s="142"/>
      <c r="O714" s="142"/>
      <c r="P714" s="142"/>
      <c r="Q714" s="142"/>
      <c r="R714" s="142"/>
      <c r="S714" s="142"/>
      <c r="T714" s="131"/>
      <c r="U714" s="131"/>
      <c r="V714" s="131"/>
      <c r="W714" s="131"/>
      <c r="X714" s="131"/>
      <c r="Y714" s="131"/>
      <c r="Z714" s="142"/>
      <c r="AA714" s="142"/>
      <c r="AB714" s="142"/>
      <c r="AC714" s="142"/>
      <c r="AD714" s="142"/>
      <c r="AE714" s="142"/>
      <c r="AF714" s="142"/>
      <c r="AG714" s="142"/>
      <c r="AH714" s="142"/>
      <c r="AI714" s="142"/>
      <c r="AJ714" s="142"/>
      <c r="AK714" s="142"/>
      <c r="AL714" s="142"/>
      <c r="AM714" s="142"/>
      <c r="AN714" s="142"/>
      <c r="AO714" s="142"/>
    </row>
    <row r="715" ht="15.75" customHeight="1">
      <c r="A715" s="142"/>
      <c r="B715" s="142"/>
      <c r="C715" s="142"/>
      <c r="D715" s="142"/>
      <c r="E715" s="131"/>
      <c r="F715" s="142"/>
      <c r="G715" s="142"/>
      <c r="H715" s="142"/>
      <c r="I715" s="142"/>
      <c r="J715" s="142"/>
      <c r="K715" s="132"/>
      <c r="L715" s="131"/>
      <c r="M715" s="131"/>
      <c r="N715" s="142"/>
      <c r="O715" s="142"/>
      <c r="P715" s="142"/>
      <c r="Q715" s="142"/>
      <c r="R715" s="142"/>
      <c r="S715" s="142"/>
      <c r="T715" s="131"/>
      <c r="U715" s="131"/>
      <c r="V715" s="131"/>
      <c r="W715" s="131"/>
      <c r="X715" s="131"/>
      <c r="Y715" s="131"/>
      <c r="Z715" s="142"/>
      <c r="AA715" s="142"/>
      <c r="AB715" s="142"/>
      <c r="AC715" s="142"/>
      <c r="AD715" s="142"/>
      <c r="AE715" s="142"/>
      <c r="AF715" s="142"/>
      <c r="AG715" s="142"/>
      <c r="AH715" s="142"/>
      <c r="AI715" s="142"/>
      <c r="AJ715" s="142"/>
      <c r="AK715" s="142"/>
      <c r="AL715" s="142"/>
      <c r="AM715" s="142"/>
      <c r="AN715" s="142"/>
      <c r="AO715" s="142"/>
    </row>
    <row r="716" ht="15.75" customHeight="1">
      <c r="A716" s="142"/>
      <c r="B716" s="142"/>
      <c r="C716" s="142"/>
      <c r="D716" s="142"/>
      <c r="E716" s="131"/>
      <c r="F716" s="142"/>
      <c r="G716" s="142"/>
      <c r="H716" s="142"/>
      <c r="I716" s="142"/>
      <c r="J716" s="142"/>
      <c r="K716" s="132"/>
      <c r="L716" s="131"/>
      <c r="M716" s="131"/>
      <c r="N716" s="142"/>
      <c r="O716" s="142"/>
      <c r="P716" s="142"/>
      <c r="Q716" s="142"/>
      <c r="R716" s="142"/>
      <c r="S716" s="142"/>
      <c r="T716" s="131"/>
      <c r="U716" s="131"/>
      <c r="V716" s="131"/>
      <c r="W716" s="131"/>
      <c r="X716" s="131"/>
      <c r="Y716" s="131"/>
      <c r="Z716" s="142"/>
      <c r="AA716" s="142"/>
      <c r="AB716" s="142"/>
      <c r="AC716" s="142"/>
      <c r="AD716" s="142"/>
      <c r="AE716" s="142"/>
      <c r="AF716" s="142"/>
      <c r="AG716" s="142"/>
      <c r="AH716" s="142"/>
      <c r="AI716" s="142"/>
      <c r="AJ716" s="142"/>
      <c r="AK716" s="142"/>
      <c r="AL716" s="142"/>
      <c r="AM716" s="142"/>
      <c r="AN716" s="142"/>
      <c r="AO716" s="142"/>
    </row>
    <row r="717" ht="15.75" customHeight="1">
      <c r="A717" s="142"/>
      <c r="B717" s="142"/>
      <c r="C717" s="142"/>
      <c r="D717" s="142"/>
      <c r="E717" s="131"/>
      <c r="F717" s="142"/>
      <c r="G717" s="142"/>
      <c r="H717" s="142"/>
      <c r="I717" s="142"/>
      <c r="J717" s="142"/>
      <c r="K717" s="132"/>
      <c r="L717" s="131"/>
      <c r="M717" s="131"/>
      <c r="N717" s="142"/>
      <c r="O717" s="142"/>
      <c r="P717" s="142"/>
      <c r="Q717" s="142"/>
      <c r="R717" s="142"/>
      <c r="S717" s="142"/>
      <c r="T717" s="131"/>
      <c r="U717" s="131"/>
      <c r="V717" s="131"/>
      <c r="W717" s="131"/>
      <c r="X717" s="131"/>
      <c r="Y717" s="131"/>
      <c r="Z717" s="142"/>
      <c r="AA717" s="142"/>
      <c r="AB717" s="142"/>
      <c r="AC717" s="142"/>
      <c r="AD717" s="142"/>
      <c r="AE717" s="142"/>
      <c r="AF717" s="142"/>
      <c r="AG717" s="142"/>
      <c r="AH717" s="142"/>
      <c r="AI717" s="142"/>
      <c r="AJ717" s="142"/>
      <c r="AK717" s="142"/>
      <c r="AL717" s="142"/>
      <c r="AM717" s="142"/>
      <c r="AN717" s="142"/>
      <c r="AO717" s="142"/>
    </row>
    <row r="718" ht="15.75" customHeight="1">
      <c r="A718" s="142"/>
      <c r="B718" s="142"/>
      <c r="C718" s="142"/>
      <c r="D718" s="142"/>
      <c r="E718" s="131"/>
      <c r="F718" s="142"/>
      <c r="G718" s="142"/>
      <c r="H718" s="142"/>
      <c r="I718" s="142"/>
      <c r="J718" s="142"/>
      <c r="K718" s="132"/>
      <c r="L718" s="131"/>
      <c r="M718" s="131"/>
      <c r="N718" s="142"/>
      <c r="O718" s="142"/>
      <c r="P718" s="142"/>
      <c r="Q718" s="142"/>
      <c r="R718" s="142"/>
      <c r="S718" s="142"/>
      <c r="T718" s="131"/>
      <c r="U718" s="131"/>
      <c r="V718" s="131"/>
      <c r="W718" s="131"/>
      <c r="X718" s="131"/>
      <c r="Y718" s="131"/>
      <c r="Z718" s="142"/>
      <c r="AA718" s="142"/>
      <c r="AB718" s="142"/>
      <c r="AC718" s="142"/>
      <c r="AD718" s="142"/>
      <c r="AE718" s="142"/>
      <c r="AF718" s="142"/>
      <c r="AG718" s="142"/>
      <c r="AH718" s="142"/>
      <c r="AI718" s="142"/>
      <c r="AJ718" s="142"/>
      <c r="AK718" s="142"/>
      <c r="AL718" s="142"/>
      <c r="AM718" s="142"/>
      <c r="AN718" s="142"/>
      <c r="AO718" s="142"/>
    </row>
    <row r="719" ht="15.75" customHeight="1">
      <c r="A719" s="142"/>
      <c r="B719" s="142"/>
      <c r="C719" s="142"/>
      <c r="D719" s="142"/>
      <c r="E719" s="131"/>
      <c r="F719" s="142"/>
      <c r="G719" s="142"/>
      <c r="H719" s="142"/>
      <c r="I719" s="142"/>
      <c r="J719" s="142"/>
      <c r="K719" s="132"/>
      <c r="L719" s="131"/>
      <c r="M719" s="131"/>
      <c r="N719" s="142"/>
      <c r="O719" s="142"/>
      <c r="P719" s="142"/>
      <c r="Q719" s="142"/>
      <c r="R719" s="142"/>
      <c r="S719" s="142"/>
      <c r="T719" s="131"/>
      <c r="U719" s="131"/>
      <c r="V719" s="131"/>
      <c r="W719" s="131"/>
      <c r="X719" s="131"/>
      <c r="Y719" s="131"/>
      <c r="Z719" s="142"/>
      <c r="AA719" s="142"/>
      <c r="AB719" s="142"/>
      <c r="AC719" s="142"/>
      <c r="AD719" s="142"/>
      <c r="AE719" s="142"/>
      <c r="AF719" s="142"/>
      <c r="AG719" s="142"/>
      <c r="AH719" s="142"/>
      <c r="AI719" s="142"/>
      <c r="AJ719" s="142"/>
      <c r="AK719" s="142"/>
      <c r="AL719" s="142"/>
      <c r="AM719" s="142"/>
      <c r="AN719" s="142"/>
      <c r="AO719" s="142"/>
    </row>
    <row r="720" ht="15.75" customHeight="1">
      <c r="A720" s="142"/>
      <c r="B720" s="142"/>
      <c r="C720" s="142"/>
      <c r="D720" s="142"/>
      <c r="E720" s="131"/>
      <c r="F720" s="142"/>
      <c r="G720" s="142"/>
      <c r="H720" s="142"/>
      <c r="I720" s="142"/>
      <c r="J720" s="142"/>
      <c r="K720" s="132"/>
      <c r="L720" s="131"/>
      <c r="M720" s="131"/>
      <c r="N720" s="142"/>
      <c r="O720" s="142"/>
      <c r="P720" s="142"/>
      <c r="Q720" s="142"/>
      <c r="R720" s="142"/>
      <c r="S720" s="142"/>
      <c r="T720" s="131"/>
      <c r="U720" s="131"/>
      <c r="V720" s="131"/>
      <c r="W720" s="131"/>
      <c r="X720" s="131"/>
      <c r="Y720" s="131"/>
      <c r="Z720" s="142"/>
      <c r="AA720" s="142"/>
      <c r="AB720" s="142"/>
      <c r="AC720" s="142"/>
      <c r="AD720" s="142"/>
      <c r="AE720" s="142"/>
      <c r="AF720" s="142"/>
      <c r="AG720" s="142"/>
      <c r="AH720" s="142"/>
      <c r="AI720" s="142"/>
      <c r="AJ720" s="142"/>
      <c r="AK720" s="142"/>
      <c r="AL720" s="142"/>
      <c r="AM720" s="142"/>
      <c r="AN720" s="142"/>
      <c r="AO720" s="142"/>
    </row>
    <row r="721" ht="15.75" customHeight="1">
      <c r="A721" s="142"/>
      <c r="B721" s="142"/>
      <c r="C721" s="142"/>
      <c r="D721" s="142"/>
      <c r="E721" s="131"/>
      <c r="F721" s="142"/>
      <c r="G721" s="142"/>
      <c r="H721" s="142"/>
      <c r="I721" s="142"/>
      <c r="J721" s="142"/>
      <c r="K721" s="132"/>
      <c r="L721" s="131"/>
      <c r="M721" s="131"/>
      <c r="N721" s="142"/>
      <c r="O721" s="142"/>
      <c r="P721" s="142"/>
      <c r="Q721" s="142"/>
      <c r="R721" s="142"/>
      <c r="S721" s="142"/>
      <c r="T721" s="131"/>
      <c r="U721" s="131"/>
      <c r="V721" s="131"/>
      <c r="W721" s="131"/>
      <c r="X721" s="131"/>
      <c r="Y721" s="131"/>
      <c r="Z721" s="142"/>
      <c r="AA721" s="142"/>
      <c r="AB721" s="142"/>
      <c r="AC721" s="142"/>
      <c r="AD721" s="142"/>
      <c r="AE721" s="142"/>
      <c r="AF721" s="142"/>
      <c r="AG721" s="142"/>
      <c r="AH721" s="142"/>
      <c r="AI721" s="142"/>
      <c r="AJ721" s="142"/>
      <c r="AK721" s="142"/>
      <c r="AL721" s="142"/>
      <c r="AM721" s="142"/>
      <c r="AN721" s="142"/>
      <c r="AO721" s="142"/>
    </row>
    <row r="722" ht="15.75" customHeight="1">
      <c r="A722" s="142"/>
      <c r="B722" s="142"/>
      <c r="C722" s="142"/>
      <c r="D722" s="142"/>
      <c r="E722" s="131"/>
      <c r="F722" s="142"/>
      <c r="G722" s="142"/>
      <c r="H722" s="142"/>
      <c r="I722" s="142"/>
      <c r="J722" s="142"/>
      <c r="K722" s="132"/>
      <c r="L722" s="131"/>
      <c r="M722" s="131"/>
      <c r="N722" s="142"/>
      <c r="O722" s="142"/>
      <c r="P722" s="142"/>
      <c r="Q722" s="142"/>
      <c r="R722" s="142"/>
      <c r="S722" s="142"/>
      <c r="T722" s="131"/>
      <c r="U722" s="131"/>
      <c r="V722" s="131"/>
      <c r="W722" s="131"/>
      <c r="X722" s="131"/>
      <c r="Y722" s="131"/>
      <c r="Z722" s="142"/>
      <c r="AA722" s="142"/>
      <c r="AB722" s="142"/>
      <c r="AC722" s="142"/>
      <c r="AD722" s="142"/>
      <c r="AE722" s="142"/>
      <c r="AF722" s="142"/>
      <c r="AG722" s="142"/>
      <c r="AH722" s="142"/>
      <c r="AI722" s="142"/>
      <c r="AJ722" s="142"/>
      <c r="AK722" s="142"/>
      <c r="AL722" s="142"/>
      <c r="AM722" s="142"/>
      <c r="AN722" s="142"/>
      <c r="AO722" s="142"/>
    </row>
    <row r="723" ht="15.75" customHeight="1">
      <c r="A723" s="142"/>
      <c r="B723" s="142"/>
      <c r="C723" s="142"/>
      <c r="D723" s="142"/>
      <c r="E723" s="131"/>
      <c r="F723" s="142"/>
      <c r="G723" s="142"/>
      <c r="H723" s="142"/>
      <c r="I723" s="142"/>
      <c r="J723" s="142"/>
      <c r="K723" s="132"/>
      <c r="L723" s="131"/>
      <c r="M723" s="131"/>
      <c r="N723" s="142"/>
      <c r="O723" s="142"/>
      <c r="P723" s="142"/>
      <c r="Q723" s="142"/>
      <c r="R723" s="142"/>
      <c r="S723" s="142"/>
      <c r="T723" s="131"/>
      <c r="U723" s="131"/>
      <c r="V723" s="131"/>
      <c r="W723" s="131"/>
      <c r="X723" s="131"/>
      <c r="Y723" s="131"/>
      <c r="Z723" s="142"/>
      <c r="AA723" s="142"/>
      <c r="AB723" s="142"/>
      <c r="AC723" s="142"/>
      <c r="AD723" s="142"/>
      <c r="AE723" s="142"/>
      <c r="AF723" s="142"/>
      <c r="AG723" s="142"/>
      <c r="AH723" s="142"/>
      <c r="AI723" s="142"/>
      <c r="AJ723" s="142"/>
      <c r="AK723" s="142"/>
      <c r="AL723" s="142"/>
      <c r="AM723" s="142"/>
      <c r="AN723" s="142"/>
      <c r="AO723" s="142"/>
    </row>
    <row r="724" ht="15.75" customHeight="1">
      <c r="A724" s="142"/>
      <c r="B724" s="142"/>
      <c r="C724" s="142"/>
      <c r="D724" s="142"/>
      <c r="E724" s="131"/>
      <c r="F724" s="142"/>
      <c r="G724" s="142"/>
      <c r="H724" s="142"/>
      <c r="I724" s="142"/>
      <c r="J724" s="142"/>
      <c r="K724" s="132"/>
      <c r="L724" s="131"/>
      <c r="M724" s="131"/>
      <c r="N724" s="142"/>
      <c r="O724" s="142"/>
      <c r="P724" s="142"/>
      <c r="Q724" s="142"/>
      <c r="R724" s="142"/>
      <c r="S724" s="142"/>
      <c r="T724" s="131"/>
      <c r="U724" s="131"/>
      <c r="V724" s="131"/>
      <c r="W724" s="131"/>
      <c r="X724" s="131"/>
      <c r="Y724" s="131"/>
      <c r="Z724" s="142"/>
      <c r="AA724" s="142"/>
      <c r="AB724" s="142"/>
      <c r="AC724" s="142"/>
      <c r="AD724" s="142"/>
      <c r="AE724" s="142"/>
      <c r="AF724" s="142"/>
      <c r="AG724" s="142"/>
      <c r="AH724" s="142"/>
      <c r="AI724" s="142"/>
      <c r="AJ724" s="142"/>
      <c r="AK724" s="142"/>
      <c r="AL724" s="142"/>
      <c r="AM724" s="142"/>
      <c r="AN724" s="142"/>
      <c r="AO724" s="142"/>
    </row>
    <row r="725" ht="15.75" customHeight="1">
      <c r="A725" s="142"/>
      <c r="B725" s="142"/>
      <c r="C725" s="142"/>
      <c r="D725" s="142"/>
      <c r="E725" s="131"/>
      <c r="F725" s="142"/>
      <c r="G725" s="142"/>
      <c r="H725" s="142"/>
      <c r="I725" s="142"/>
      <c r="J725" s="142"/>
      <c r="K725" s="132"/>
      <c r="L725" s="131"/>
      <c r="M725" s="131"/>
      <c r="N725" s="142"/>
      <c r="O725" s="142"/>
      <c r="P725" s="142"/>
      <c r="Q725" s="142"/>
      <c r="R725" s="142"/>
      <c r="S725" s="142"/>
      <c r="T725" s="131"/>
      <c r="U725" s="131"/>
      <c r="V725" s="131"/>
      <c r="W725" s="131"/>
      <c r="X725" s="131"/>
      <c r="Y725" s="131"/>
      <c r="Z725" s="142"/>
      <c r="AA725" s="142"/>
      <c r="AB725" s="142"/>
      <c r="AC725" s="142"/>
      <c r="AD725" s="142"/>
      <c r="AE725" s="142"/>
      <c r="AF725" s="142"/>
      <c r="AG725" s="142"/>
      <c r="AH725" s="142"/>
      <c r="AI725" s="142"/>
      <c r="AJ725" s="142"/>
      <c r="AK725" s="142"/>
      <c r="AL725" s="142"/>
      <c r="AM725" s="142"/>
      <c r="AN725" s="142"/>
      <c r="AO725" s="142"/>
    </row>
    <row r="726" ht="15.75" customHeight="1">
      <c r="A726" s="142"/>
      <c r="B726" s="142"/>
      <c r="C726" s="142"/>
      <c r="D726" s="142"/>
      <c r="E726" s="131"/>
      <c r="F726" s="142"/>
      <c r="G726" s="142"/>
      <c r="H726" s="142"/>
      <c r="I726" s="142"/>
      <c r="J726" s="142"/>
      <c r="K726" s="132"/>
      <c r="L726" s="131"/>
      <c r="M726" s="131"/>
      <c r="N726" s="142"/>
      <c r="O726" s="142"/>
      <c r="P726" s="142"/>
      <c r="Q726" s="142"/>
      <c r="R726" s="142"/>
      <c r="S726" s="142"/>
      <c r="T726" s="131"/>
      <c r="U726" s="131"/>
      <c r="V726" s="131"/>
      <c r="W726" s="131"/>
      <c r="X726" s="131"/>
      <c r="Y726" s="131"/>
      <c r="Z726" s="142"/>
      <c r="AA726" s="142"/>
      <c r="AB726" s="142"/>
      <c r="AC726" s="142"/>
      <c r="AD726" s="142"/>
      <c r="AE726" s="142"/>
      <c r="AF726" s="142"/>
      <c r="AG726" s="142"/>
      <c r="AH726" s="142"/>
      <c r="AI726" s="142"/>
      <c r="AJ726" s="142"/>
      <c r="AK726" s="142"/>
      <c r="AL726" s="142"/>
      <c r="AM726" s="142"/>
      <c r="AN726" s="142"/>
      <c r="AO726" s="142"/>
    </row>
    <row r="727" ht="15.75" customHeight="1">
      <c r="A727" s="142"/>
      <c r="B727" s="142"/>
      <c r="C727" s="142"/>
      <c r="D727" s="142"/>
      <c r="E727" s="131"/>
      <c r="F727" s="142"/>
      <c r="G727" s="142"/>
      <c r="H727" s="142"/>
      <c r="I727" s="142"/>
      <c r="J727" s="142"/>
      <c r="K727" s="132"/>
      <c r="L727" s="131"/>
      <c r="M727" s="131"/>
      <c r="N727" s="142"/>
      <c r="O727" s="142"/>
      <c r="P727" s="142"/>
      <c r="Q727" s="142"/>
      <c r="R727" s="142"/>
      <c r="S727" s="142"/>
      <c r="T727" s="131"/>
      <c r="U727" s="131"/>
      <c r="V727" s="131"/>
      <c r="W727" s="131"/>
      <c r="X727" s="131"/>
      <c r="Y727" s="131"/>
      <c r="Z727" s="142"/>
      <c r="AA727" s="142"/>
      <c r="AB727" s="142"/>
      <c r="AC727" s="142"/>
      <c r="AD727" s="142"/>
      <c r="AE727" s="142"/>
      <c r="AF727" s="142"/>
      <c r="AG727" s="142"/>
      <c r="AH727" s="142"/>
      <c r="AI727" s="142"/>
      <c r="AJ727" s="142"/>
      <c r="AK727" s="142"/>
      <c r="AL727" s="142"/>
      <c r="AM727" s="142"/>
      <c r="AN727" s="142"/>
      <c r="AO727" s="142"/>
    </row>
    <row r="728" ht="15.75" customHeight="1">
      <c r="A728" s="142"/>
      <c r="B728" s="142"/>
      <c r="C728" s="142"/>
      <c r="D728" s="142"/>
      <c r="E728" s="131"/>
      <c r="F728" s="142"/>
      <c r="G728" s="142"/>
      <c r="H728" s="142"/>
      <c r="I728" s="142"/>
      <c r="J728" s="142"/>
      <c r="K728" s="132"/>
      <c r="L728" s="131"/>
      <c r="M728" s="131"/>
      <c r="N728" s="142"/>
      <c r="O728" s="142"/>
      <c r="P728" s="142"/>
      <c r="Q728" s="142"/>
      <c r="R728" s="142"/>
      <c r="S728" s="142"/>
      <c r="T728" s="131"/>
      <c r="U728" s="131"/>
      <c r="V728" s="131"/>
      <c r="W728" s="131"/>
      <c r="X728" s="131"/>
      <c r="Y728" s="131"/>
      <c r="Z728" s="142"/>
      <c r="AA728" s="142"/>
      <c r="AB728" s="142"/>
      <c r="AC728" s="142"/>
      <c r="AD728" s="142"/>
      <c r="AE728" s="142"/>
      <c r="AF728" s="142"/>
      <c r="AG728" s="142"/>
      <c r="AH728" s="142"/>
      <c r="AI728" s="142"/>
      <c r="AJ728" s="142"/>
      <c r="AK728" s="142"/>
      <c r="AL728" s="142"/>
      <c r="AM728" s="142"/>
      <c r="AN728" s="142"/>
      <c r="AO728" s="142"/>
    </row>
    <row r="729" ht="15.75" customHeight="1">
      <c r="A729" s="142"/>
      <c r="B729" s="142"/>
      <c r="C729" s="142"/>
      <c r="D729" s="142"/>
      <c r="E729" s="131"/>
      <c r="F729" s="142"/>
      <c r="G729" s="142"/>
      <c r="H729" s="142"/>
      <c r="I729" s="142"/>
      <c r="J729" s="142"/>
      <c r="K729" s="132"/>
      <c r="L729" s="131"/>
      <c r="M729" s="131"/>
      <c r="N729" s="142"/>
      <c r="O729" s="142"/>
      <c r="P729" s="142"/>
      <c r="Q729" s="142"/>
      <c r="R729" s="142"/>
      <c r="S729" s="142"/>
      <c r="T729" s="131"/>
      <c r="U729" s="131"/>
      <c r="V729" s="131"/>
      <c r="W729" s="131"/>
      <c r="X729" s="131"/>
      <c r="Y729" s="131"/>
      <c r="Z729" s="142"/>
      <c r="AA729" s="142"/>
      <c r="AB729" s="142"/>
      <c r="AC729" s="142"/>
      <c r="AD729" s="142"/>
      <c r="AE729" s="142"/>
      <c r="AF729" s="142"/>
      <c r="AG729" s="142"/>
      <c r="AH729" s="142"/>
      <c r="AI729" s="142"/>
      <c r="AJ729" s="142"/>
      <c r="AK729" s="142"/>
      <c r="AL729" s="142"/>
      <c r="AM729" s="142"/>
      <c r="AN729" s="142"/>
      <c r="AO729" s="142"/>
    </row>
    <row r="730" ht="15.75" customHeight="1">
      <c r="A730" s="142"/>
      <c r="B730" s="142"/>
      <c r="C730" s="142"/>
      <c r="D730" s="142"/>
      <c r="E730" s="131"/>
      <c r="F730" s="142"/>
      <c r="G730" s="142"/>
      <c r="H730" s="142"/>
      <c r="I730" s="142"/>
      <c r="J730" s="142"/>
      <c r="K730" s="132"/>
      <c r="L730" s="131"/>
      <c r="M730" s="131"/>
      <c r="N730" s="142"/>
      <c r="O730" s="142"/>
      <c r="P730" s="142"/>
      <c r="Q730" s="142"/>
      <c r="R730" s="142"/>
      <c r="S730" s="142"/>
      <c r="T730" s="131"/>
      <c r="U730" s="131"/>
      <c r="V730" s="131"/>
      <c r="W730" s="131"/>
      <c r="X730" s="131"/>
      <c r="Y730" s="131"/>
      <c r="Z730" s="142"/>
      <c r="AA730" s="142"/>
      <c r="AB730" s="142"/>
      <c r="AC730" s="142"/>
      <c r="AD730" s="142"/>
      <c r="AE730" s="142"/>
      <c r="AF730" s="142"/>
      <c r="AG730" s="142"/>
      <c r="AH730" s="142"/>
      <c r="AI730" s="142"/>
      <c r="AJ730" s="142"/>
      <c r="AK730" s="142"/>
      <c r="AL730" s="142"/>
      <c r="AM730" s="142"/>
      <c r="AN730" s="142"/>
      <c r="AO730" s="142"/>
    </row>
    <row r="731" ht="15.75" customHeight="1">
      <c r="A731" s="142"/>
      <c r="B731" s="142"/>
      <c r="C731" s="142"/>
      <c r="D731" s="142"/>
      <c r="E731" s="131"/>
      <c r="F731" s="142"/>
      <c r="G731" s="142"/>
      <c r="H731" s="142"/>
      <c r="I731" s="142"/>
      <c r="J731" s="142"/>
      <c r="K731" s="132"/>
      <c r="L731" s="131"/>
      <c r="M731" s="131"/>
      <c r="N731" s="142"/>
      <c r="O731" s="142"/>
      <c r="P731" s="142"/>
      <c r="Q731" s="142"/>
      <c r="R731" s="142"/>
      <c r="S731" s="142"/>
      <c r="T731" s="131"/>
      <c r="U731" s="131"/>
      <c r="V731" s="131"/>
      <c r="W731" s="131"/>
      <c r="X731" s="131"/>
      <c r="Y731" s="131"/>
      <c r="Z731" s="142"/>
      <c r="AA731" s="142"/>
      <c r="AB731" s="142"/>
      <c r="AC731" s="142"/>
      <c r="AD731" s="142"/>
      <c r="AE731" s="142"/>
      <c r="AF731" s="142"/>
      <c r="AG731" s="142"/>
      <c r="AH731" s="142"/>
      <c r="AI731" s="142"/>
      <c r="AJ731" s="142"/>
      <c r="AK731" s="142"/>
      <c r="AL731" s="142"/>
      <c r="AM731" s="142"/>
      <c r="AN731" s="142"/>
      <c r="AO731" s="142"/>
    </row>
    <row r="732" ht="15.75" customHeight="1">
      <c r="A732" s="142"/>
      <c r="B732" s="142"/>
      <c r="C732" s="142"/>
      <c r="D732" s="142"/>
      <c r="E732" s="131"/>
      <c r="F732" s="142"/>
      <c r="G732" s="142"/>
      <c r="H732" s="142"/>
      <c r="I732" s="142"/>
      <c r="J732" s="142"/>
      <c r="K732" s="132"/>
      <c r="L732" s="131"/>
      <c r="M732" s="131"/>
      <c r="N732" s="142"/>
      <c r="O732" s="142"/>
      <c r="P732" s="142"/>
      <c r="Q732" s="142"/>
      <c r="R732" s="142"/>
      <c r="S732" s="142"/>
      <c r="T732" s="131"/>
      <c r="U732" s="131"/>
      <c r="V732" s="131"/>
      <c r="W732" s="131"/>
      <c r="X732" s="131"/>
      <c r="Y732" s="131"/>
      <c r="Z732" s="142"/>
      <c r="AA732" s="142"/>
      <c r="AB732" s="142"/>
      <c r="AC732" s="142"/>
      <c r="AD732" s="142"/>
      <c r="AE732" s="142"/>
      <c r="AF732" s="142"/>
      <c r="AG732" s="142"/>
      <c r="AH732" s="142"/>
      <c r="AI732" s="142"/>
      <c r="AJ732" s="142"/>
      <c r="AK732" s="142"/>
      <c r="AL732" s="142"/>
      <c r="AM732" s="142"/>
      <c r="AN732" s="142"/>
      <c r="AO732" s="142"/>
    </row>
    <row r="733" ht="15.75" customHeight="1">
      <c r="A733" s="142"/>
      <c r="B733" s="142"/>
      <c r="C733" s="142"/>
      <c r="D733" s="142"/>
      <c r="E733" s="131"/>
      <c r="F733" s="142"/>
      <c r="G733" s="142"/>
      <c r="H733" s="142"/>
      <c r="I733" s="142"/>
      <c r="J733" s="142"/>
      <c r="K733" s="132"/>
      <c r="L733" s="131"/>
      <c r="M733" s="131"/>
      <c r="N733" s="142"/>
      <c r="O733" s="142"/>
      <c r="P733" s="142"/>
      <c r="Q733" s="142"/>
      <c r="R733" s="142"/>
      <c r="S733" s="142"/>
      <c r="T733" s="131"/>
      <c r="U733" s="131"/>
      <c r="V733" s="131"/>
      <c r="W733" s="131"/>
      <c r="X733" s="131"/>
      <c r="Y733" s="131"/>
      <c r="Z733" s="142"/>
      <c r="AA733" s="142"/>
      <c r="AB733" s="142"/>
      <c r="AC733" s="142"/>
      <c r="AD733" s="142"/>
      <c r="AE733" s="142"/>
      <c r="AF733" s="142"/>
      <c r="AG733" s="142"/>
      <c r="AH733" s="142"/>
      <c r="AI733" s="142"/>
      <c r="AJ733" s="142"/>
      <c r="AK733" s="142"/>
      <c r="AL733" s="142"/>
      <c r="AM733" s="142"/>
      <c r="AN733" s="142"/>
      <c r="AO733" s="142"/>
    </row>
    <row r="734" ht="15.75" customHeight="1">
      <c r="A734" s="142"/>
      <c r="B734" s="142"/>
      <c r="C734" s="142"/>
      <c r="D734" s="142"/>
      <c r="E734" s="131"/>
      <c r="F734" s="142"/>
      <c r="G734" s="142"/>
      <c r="H734" s="142"/>
      <c r="I734" s="142"/>
      <c r="J734" s="142"/>
      <c r="K734" s="132"/>
      <c r="L734" s="131"/>
      <c r="M734" s="131"/>
      <c r="N734" s="142"/>
      <c r="O734" s="142"/>
      <c r="P734" s="142"/>
      <c r="Q734" s="142"/>
      <c r="R734" s="142"/>
      <c r="S734" s="142"/>
      <c r="T734" s="131"/>
      <c r="U734" s="131"/>
      <c r="V734" s="131"/>
      <c r="W734" s="131"/>
      <c r="X734" s="131"/>
      <c r="Y734" s="131"/>
      <c r="Z734" s="142"/>
      <c r="AA734" s="142"/>
      <c r="AB734" s="142"/>
      <c r="AC734" s="142"/>
      <c r="AD734" s="142"/>
      <c r="AE734" s="142"/>
      <c r="AF734" s="142"/>
      <c r="AG734" s="142"/>
      <c r="AH734" s="142"/>
      <c r="AI734" s="142"/>
      <c r="AJ734" s="142"/>
      <c r="AK734" s="142"/>
      <c r="AL734" s="142"/>
      <c r="AM734" s="142"/>
      <c r="AN734" s="142"/>
      <c r="AO734" s="142"/>
    </row>
    <row r="735" ht="15.75" customHeight="1">
      <c r="A735" s="142"/>
      <c r="B735" s="142"/>
      <c r="C735" s="142"/>
      <c r="D735" s="142"/>
      <c r="E735" s="131"/>
      <c r="F735" s="142"/>
      <c r="G735" s="142"/>
      <c r="H735" s="142"/>
      <c r="I735" s="142"/>
      <c r="J735" s="142"/>
      <c r="K735" s="132"/>
      <c r="L735" s="131"/>
      <c r="M735" s="131"/>
      <c r="N735" s="142"/>
      <c r="O735" s="142"/>
      <c r="P735" s="142"/>
      <c r="Q735" s="142"/>
      <c r="R735" s="142"/>
      <c r="S735" s="142"/>
      <c r="T735" s="131"/>
      <c r="U735" s="131"/>
      <c r="V735" s="131"/>
      <c r="W735" s="131"/>
      <c r="X735" s="131"/>
      <c r="Y735" s="131"/>
      <c r="Z735" s="142"/>
      <c r="AA735" s="142"/>
      <c r="AB735" s="142"/>
      <c r="AC735" s="142"/>
      <c r="AD735" s="142"/>
      <c r="AE735" s="142"/>
      <c r="AF735" s="142"/>
      <c r="AG735" s="142"/>
      <c r="AH735" s="142"/>
      <c r="AI735" s="142"/>
      <c r="AJ735" s="142"/>
      <c r="AK735" s="142"/>
      <c r="AL735" s="142"/>
      <c r="AM735" s="142"/>
      <c r="AN735" s="142"/>
      <c r="AO735" s="142"/>
    </row>
    <row r="736" ht="15.75" customHeight="1">
      <c r="A736" s="142"/>
      <c r="B736" s="142"/>
      <c r="C736" s="142"/>
      <c r="D736" s="142"/>
      <c r="E736" s="131"/>
      <c r="F736" s="142"/>
      <c r="G736" s="142"/>
      <c r="H736" s="142"/>
      <c r="I736" s="142"/>
      <c r="J736" s="142"/>
      <c r="K736" s="132"/>
      <c r="L736" s="131"/>
      <c r="M736" s="131"/>
      <c r="N736" s="142"/>
      <c r="O736" s="142"/>
      <c r="P736" s="142"/>
      <c r="Q736" s="142"/>
      <c r="R736" s="142"/>
      <c r="S736" s="142"/>
      <c r="T736" s="131"/>
      <c r="U736" s="131"/>
      <c r="V736" s="131"/>
      <c r="W736" s="131"/>
      <c r="X736" s="131"/>
      <c r="Y736" s="131"/>
      <c r="Z736" s="142"/>
      <c r="AA736" s="142"/>
      <c r="AB736" s="142"/>
      <c r="AC736" s="142"/>
      <c r="AD736" s="142"/>
      <c r="AE736" s="142"/>
      <c r="AF736" s="142"/>
      <c r="AG736" s="142"/>
      <c r="AH736" s="142"/>
      <c r="AI736" s="142"/>
      <c r="AJ736" s="142"/>
      <c r="AK736" s="142"/>
      <c r="AL736" s="142"/>
      <c r="AM736" s="142"/>
      <c r="AN736" s="142"/>
      <c r="AO736" s="142"/>
    </row>
    <row r="737" ht="15.75" customHeight="1">
      <c r="A737" s="142"/>
      <c r="B737" s="142"/>
      <c r="C737" s="142"/>
      <c r="D737" s="142"/>
      <c r="E737" s="131"/>
      <c r="F737" s="142"/>
      <c r="G737" s="142"/>
      <c r="H737" s="142"/>
      <c r="I737" s="142"/>
      <c r="J737" s="142"/>
      <c r="K737" s="132"/>
      <c r="L737" s="131"/>
      <c r="M737" s="131"/>
      <c r="N737" s="142"/>
      <c r="O737" s="142"/>
      <c r="P737" s="142"/>
      <c r="Q737" s="142"/>
      <c r="R737" s="142"/>
      <c r="S737" s="142"/>
      <c r="T737" s="131"/>
      <c r="U737" s="131"/>
      <c r="V737" s="131"/>
      <c r="W737" s="131"/>
      <c r="X737" s="131"/>
      <c r="Y737" s="131"/>
      <c r="Z737" s="142"/>
      <c r="AA737" s="142"/>
      <c r="AB737" s="142"/>
      <c r="AC737" s="142"/>
      <c r="AD737" s="142"/>
      <c r="AE737" s="142"/>
      <c r="AF737" s="142"/>
      <c r="AG737" s="142"/>
      <c r="AH737" s="142"/>
      <c r="AI737" s="142"/>
      <c r="AJ737" s="142"/>
      <c r="AK737" s="142"/>
      <c r="AL737" s="142"/>
      <c r="AM737" s="142"/>
      <c r="AN737" s="142"/>
      <c r="AO737" s="142"/>
    </row>
    <row r="738" ht="15.75" customHeight="1">
      <c r="A738" s="142"/>
      <c r="B738" s="142"/>
      <c r="C738" s="142"/>
      <c r="D738" s="142"/>
      <c r="E738" s="131"/>
      <c r="F738" s="142"/>
      <c r="G738" s="142"/>
      <c r="H738" s="142"/>
      <c r="I738" s="142"/>
      <c r="J738" s="142"/>
      <c r="K738" s="132"/>
      <c r="L738" s="131"/>
      <c r="M738" s="131"/>
      <c r="N738" s="142"/>
      <c r="O738" s="142"/>
      <c r="P738" s="142"/>
      <c r="Q738" s="142"/>
      <c r="R738" s="142"/>
      <c r="S738" s="142"/>
      <c r="T738" s="131"/>
      <c r="U738" s="131"/>
      <c r="V738" s="131"/>
      <c r="W738" s="131"/>
      <c r="X738" s="131"/>
      <c r="Y738" s="131"/>
      <c r="Z738" s="142"/>
      <c r="AA738" s="142"/>
      <c r="AB738" s="142"/>
      <c r="AC738" s="142"/>
      <c r="AD738" s="142"/>
      <c r="AE738" s="142"/>
      <c r="AF738" s="142"/>
      <c r="AG738" s="142"/>
      <c r="AH738" s="142"/>
      <c r="AI738" s="142"/>
      <c r="AJ738" s="142"/>
      <c r="AK738" s="142"/>
      <c r="AL738" s="142"/>
      <c r="AM738" s="142"/>
      <c r="AN738" s="142"/>
      <c r="AO738" s="142"/>
    </row>
    <row r="739" ht="15.75" customHeight="1">
      <c r="A739" s="142"/>
      <c r="B739" s="142"/>
      <c r="C739" s="142"/>
      <c r="D739" s="142"/>
      <c r="E739" s="131"/>
      <c r="F739" s="142"/>
      <c r="G739" s="142"/>
      <c r="H739" s="142"/>
      <c r="I739" s="142"/>
      <c r="J739" s="142"/>
      <c r="K739" s="132"/>
      <c r="L739" s="131"/>
      <c r="M739" s="131"/>
      <c r="N739" s="142"/>
      <c r="O739" s="142"/>
      <c r="P739" s="142"/>
      <c r="Q739" s="142"/>
      <c r="R739" s="142"/>
      <c r="S739" s="142"/>
      <c r="T739" s="131"/>
      <c r="U739" s="131"/>
      <c r="V739" s="131"/>
      <c r="W739" s="131"/>
      <c r="X739" s="131"/>
      <c r="Y739" s="131"/>
      <c r="Z739" s="142"/>
      <c r="AA739" s="142"/>
      <c r="AB739" s="142"/>
      <c r="AC739" s="142"/>
      <c r="AD739" s="142"/>
      <c r="AE739" s="142"/>
      <c r="AF739" s="142"/>
      <c r="AG739" s="142"/>
      <c r="AH739" s="142"/>
      <c r="AI739" s="142"/>
      <c r="AJ739" s="142"/>
      <c r="AK739" s="142"/>
      <c r="AL739" s="142"/>
      <c r="AM739" s="142"/>
      <c r="AN739" s="142"/>
      <c r="AO739" s="142"/>
    </row>
    <row r="740" ht="15.75" customHeight="1">
      <c r="A740" s="142"/>
      <c r="B740" s="142"/>
      <c r="C740" s="142"/>
      <c r="D740" s="142"/>
      <c r="E740" s="131"/>
      <c r="F740" s="142"/>
      <c r="G740" s="142"/>
      <c r="H740" s="142"/>
      <c r="I740" s="142"/>
      <c r="J740" s="142"/>
      <c r="K740" s="132"/>
      <c r="L740" s="131"/>
      <c r="M740" s="131"/>
      <c r="N740" s="142"/>
      <c r="O740" s="142"/>
      <c r="P740" s="142"/>
      <c r="Q740" s="142"/>
      <c r="R740" s="142"/>
      <c r="S740" s="142"/>
      <c r="T740" s="131"/>
      <c r="U740" s="131"/>
      <c r="V740" s="131"/>
      <c r="W740" s="131"/>
      <c r="X740" s="131"/>
      <c r="Y740" s="131"/>
      <c r="Z740" s="142"/>
      <c r="AA740" s="142"/>
      <c r="AB740" s="142"/>
      <c r="AC740" s="142"/>
      <c r="AD740" s="142"/>
      <c r="AE740" s="142"/>
      <c r="AF740" s="142"/>
      <c r="AG740" s="142"/>
      <c r="AH740" s="142"/>
      <c r="AI740" s="142"/>
      <c r="AJ740" s="142"/>
      <c r="AK740" s="142"/>
      <c r="AL740" s="142"/>
      <c r="AM740" s="142"/>
      <c r="AN740" s="142"/>
      <c r="AO740" s="142"/>
    </row>
    <row r="741" ht="15.75" customHeight="1">
      <c r="A741" s="142"/>
      <c r="B741" s="142"/>
      <c r="C741" s="142"/>
      <c r="D741" s="142"/>
      <c r="E741" s="131"/>
      <c r="F741" s="142"/>
      <c r="G741" s="142"/>
      <c r="H741" s="142"/>
      <c r="I741" s="142"/>
      <c r="J741" s="142"/>
      <c r="K741" s="132"/>
      <c r="L741" s="131"/>
      <c r="M741" s="131"/>
      <c r="N741" s="142"/>
      <c r="O741" s="142"/>
      <c r="P741" s="142"/>
      <c r="Q741" s="142"/>
      <c r="R741" s="142"/>
      <c r="S741" s="142"/>
      <c r="T741" s="131"/>
      <c r="U741" s="131"/>
      <c r="V741" s="131"/>
      <c r="W741" s="131"/>
      <c r="X741" s="131"/>
      <c r="Y741" s="131"/>
      <c r="Z741" s="142"/>
      <c r="AA741" s="142"/>
      <c r="AB741" s="142"/>
      <c r="AC741" s="142"/>
      <c r="AD741" s="142"/>
      <c r="AE741" s="142"/>
      <c r="AF741" s="142"/>
      <c r="AG741" s="142"/>
      <c r="AH741" s="142"/>
      <c r="AI741" s="142"/>
      <c r="AJ741" s="142"/>
      <c r="AK741" s="142"/>
      <c r="AL741" s="142"/>
      <c r="AM741" s="142"/>
      <c r="AN741" s="142"/>
      <c r="AO741" s="142"/>
    </row>
    <row r="742" ht="15.75" customHeight="1">
      <c r="A742" s="142"/>
      <c r="B742" s="142"/>
      <c r="C742" s="142"/>
      <c r="D742" s="142"/>
      <c r="E742" s="131"/>
      <c r="F742" s="142"/>
      <c r="G742" s="142"/>
      <c r="H742" s="142"/>
      <c r="I742" s="142"/>
      <c r="J742" s="142"/>
      <c r="K742" s="132"/>
      <c r="L742" s="131"/>
      <c r="M742" s="131"/>
      <c r="N742" s="142"/>
      <c r="O742" s="142"/>
      <c r="P742" s="142"/>
      <c r="Q742" s="142"/>
      <c r="R742" s="142"/>
      <c r="S742" s="142"/>
      <c r="T742" s="131"/>
      <c r="U742" s="131"/>
      <c r="V742" s="131"/>
      <c r="W742" s="131"/>
      <c r="X742" s="131"/>
      <c r="Y742" s="131"/>
      <c r="Z742" s="142"/>
      <c r="AA742" s="142"/>
      <c r="AB742" s="142"/>
      <c r="AC742" s="142"/>
      <c r="AD742" s="142"/>
      <c r="AE742" s="142"/>
      <c r="AF742" s="142"/>
      <c r="AG742" s="142"/>
      <c r="AH742" s="142"/>
      <c r="AI742" s="142"/>
      <c r="AJ742" s="142"/>
      <c r="AK742" s="142"/>
      <c r="AL742" s="142"/>
      <c r="AM742" s="142"/>
      <c r="AN742" s="142"/>
      <c r="AO742" s="142"/>
    </row>
    <row r="743" ht="15.75" customHeight="1">
      <c r="A743" s="142"/>
      <c r="B743" s="142"/>
      <c r="C743" s="142"/>
      <c r="D743" s="142"/>
      <c r="E743" s="131"/>
      <c r="F743" s="142"/>
      <c r="G743" s="142"/>
      <c r="H743" s="142"/>
      <c r="I743" s="142"/>
      <c r="J743" s="142"/>
      <c r="K743" s="132"/>
      <c r="L743" s="131"/>
      <c r="M743" s="131"/>
      <c r="N743" s="142"/>
      <c r="O743" s="142"/>
      <c r="P743" s="142"/>
      <c r="Q743" s="142"/>
      <c r="R743" s="142"/>
      <c r="S743" s="142"/>
      <c r="T743" s="131"/>
      <c r="U743" s="131"/>
      <c r="V743" s="131"/>
      <c r="W743" s="131"/>
      <c r="X743" s="131"/>
      <c r="Y743" s="131"/>
      <c r="Z743" s="142"/>
      <c r="AA743" s="142"/>
      <c r="AB743" s="142"/>
      <c r="AC743" s="142"/>
      <c r="AD743" s="142"/>
      <c r="AE743" s="142"/>
      <c r="AF743" s="142"/>
      <c r="AG743" s="142"/>
      <c r="AH743" s="142"/>
      <c r="AI743" s="142"/>
      <c r="AJ743" s="142"/>
      <c r="AK743" s="142"/>
      <c r="AL743" s="142"/>
      <c r="AM743" s="142"/>
      <c r="AN743" s="142"/>
      <c r="AO743" s="142"/>
    </row>
    <row r="744" ht="15.75" customHeight="1">
      <c r="A744" s="142"/>
      <c r="B744" s="142"/>
      <c r="C744" s="142"/>
      <c r="D744" s="142"/>
      <c r="E744" s="131"/>
      <c r="F744" s="142"/>
      <c r="G744" s="142"/>
      <c r="H744" s="142"/>
      <c r="I744" s="142"/>
      <c r="J744" s="142"/>
      <c r="K744" s="132"/>
      <c r="L744" s="131"/>
      <c r="M744" s="131"/>
      <c r="N744" s="142"/>
      <c r="O744" s="142"/>
      <c r="P744" s="142"/>
      <c r="Q744" s="142"/>
      <c r="R744" s="142"/>
      <c r="S744" s="142"/>
      <c r="T744" s="131"/>
      <c r="U744" s="131"/>
      <c r="V744" s="131"/>
      <c r="W744" s="131"/>
      <c r="X744" s="131"/>
      <c r="Y744" s="131"/>
      <c r="Z744" s="142"/>
      <c r="AA744" s="142"/>
      <c r="AB744" s="142"/>
      <c r="AC744" s="142"/>
      <c r="AD744" s="142"/>
      <c r="AE744" s="142"/>
      <c r="AF744" s="142"/>
      <c r="AG744" s="142"/>
      <c r="AH744" s="142"/>
      <c r="AI744" s="142"/>
      <c r="AJ744" s="142"/>
      <c r="AK744" s="142"/>
      <c r="AL744" s="142"/>
      <c r="AM744" s="142"/>
      <c r="AN744" s="142"/>
      <c r="AO744" s="142"/>
    </row>
    <row r="745" ht="15.75" customHeight="1">
      <c r="A745" s="142"/>
      <c r="B745" s="142"/>
      <c r="C745" s="142"/>
      <c r="D745" s="142"/>
      <c r="E745" s="131"/>
      <c r="F745" s="142"/>
      <c r="G745" s="142"/>
      <c r="H745" s="142"/>
      <c r="I745" s="142"/>
      <c r="J745" s="142"/>
      <c r="K745" s="132"/>
      <c r="L745" s="131"/>
      <c r="M745" s="131"/>
      <c r="N745" s="142"/>
      <c r="O745" s="142"/>
      <c r="P745" s="142"/>
      <c r="Q745" s="142"/>
      <c r="R745" s="142"/>
      <c r="S745" s="142"/>
      <c r="T745" s="131"/>
      <c r="U745" s="131"/>
      <c r="V745" s="131"/>
      <c r="W745" s="131"/>
      <c r="X745" s="131"/>
      <c r="Y745" s="131"/>
      <c r="Z745" s="142"/>
      <c r="AA745" s="142"/>
      <c r="AB745" s="142"/>
      <c r="AC745" s="142"/>
      <c r="AD745" s="142"/>
      <c r="AE745" s="142"/>
      <c r="AF745" s="142"/>
      <c r="AG745" s="142"/>
      <c r="AH745" s="142"/>
      <c r="AI745" s="142"/>
      <c r="AJ745" s="142"/>
      <c r="AK745" s="142"/>
      <c r="AL745" s="142"/>
      <c r="AM745" s="142"/>
      <c r="AN745" s="142"/>
      <c r="AO745" s="142"/>
    </row>
    <row r="746" ht="15.75" customHeight="1">
      <c r="A746" s="142"/>
      <c r="B746" s="142"/>
      <c r="C746" s="142"/>
      <c r="D746" s="142"/>
      <c r="E746" s="131"/>
      <c r="F746" s="142"/>
      <c r="G746" s="142"/>
      <c r="H746" s="142"/>
      <c r="I746" s="142"/>
      <c r="J746" s="142"/>
      <c r="K746" s="132"/>
      <c r="L746" s="131"/>
      <c r="M746" s="131"/>
      <c r="N746" s="142"/>
      <c r="O746" s="142"/>
      <c r="P746" s="142"/>
      <c r="Q746" s="142"/>
      <c r="R746" s="142"/>
      <c r="S746" s="142"/>
      <c r="T746" s="131"/>
      <c r="U746" s="131"/>
      <c r="V746" s="131"/>
      <c r="W746" s="131"/>
      <c r="X746" s="131"/>
      <c r="Y746" s="131"/>
      <c r="Z746" s="142"/>
      <c r="AA746" s="142"/>
      <c r="AB746" s="142"/>
      <c r="AC746" s="142"/>
      <c r="AD746" s="142"/>
      <c r="AE746" s="142"/>
      <c r="AF746" s="142"/>
      <c r="AG746" s="142"/>
      <c r="AH746" s="142"/>
      <c r="AI746" s="142"/>
      <c r="AJ746" s="142"/>
      <c r="AK746" s="142"/>
      <c r="AL746" s="142"/>
      <c r="AM746" s="142"/>
      <c r="AN746" s="142"/>
      <c r="AO746" s="142"/>
    </row>
    <row r="747" ht="15.75" customHeight="1">
      <c r="A747" s="142"/>
      <c r="B747" s="142"/>
      <c r="C747" s="142"/>
      <c r="D747" s="142"/>
      <c r="E747" s="131"/>
      <c r="F747" s="142"/>
      <c r="G747" s="142"/>
      <c r="H747" s="142"/>
      <c r="I747" s="142"/>
      <c r="J747" s="142"/>
      <c r="K747" s="132"/>
      <c r="L747" s="131"/>
      <c r="M747" s="131"/>
      <c r="N747" s="142"/>
      <c r="O747" s="142"/>
      <c r="P747" s="142"/>
      <c r="Q747" s="142"/>
      <c r="R747" s="142"/>
      <c r="S747" s="142"/>
      <c r="T747" s="131"/>
      <c r="U747" s="131"/>
      <c r="V747" s="131"/>
      <c r="W747" s="131"/>
      <c r="X747" s="131"/>
      <c r="Y747" s="131"/>
      <c r="Z747" s="142"/>
      <c r="AA747" s="142"/>
      <c r="AB747" s="142"/>
      <c r="AC747" s="142"/>
      <c r="AD747" s="142"/>
      <c r="AE747" s="142"/>
      <c r="AF747" s="142"/>
      <c r="AG747" s="142"/>
      <c r="AH747" s="142"/>
      <c r="AI747" s="142"/>
      <c r="AJ747" s="142"/>
      <c r="AK747" s="142"/>
      <c r="AL747" s="142"/>
      <c r="AM747" s="142"/>
      <c r="AN747" s="142"/>
      <c r="AO747" s="142"/>
    </row>
    <row r="748" ht="15.75" customHeight="1">
      <c r="A748" s="142"/>
      <c r="B748" s="142"/>
      <c r="C748" s="142"/>
      <c r="D748" s="142"/>
      <c r="E748" s="131"/>
      <c r="F748" s="142"/>
      <c r="G748" s="142"/>
      <c r="H748" s="142"/>
      <c r="I748" s="142"/>
      <c r="J748" s="142"/>
      <c r="K748" s="132"/>
      <c r="L748" s="131"/>
      <c r="M748" s="131"/>
      <c r="N748" s="142"/>
      <c r="O748" s="142"/>
      <c r="P748" s="142"/>
      <c r="Q748" s="142"/>
      <c r="R748" s="142"/>
      <c r="S748" s="142"/>
      <c r="T748" s="131"/>
      <c r="U748" s="131"/>
      <c r="V748" s="131"/>
      <c r="W748" s="131"/>
      <c r="X748" s="131"/>
      <c r="Y748" s="131"/>
      <c r="Z748" s="142"/>
      <c r="AA748" s="142"/>
      <c r="AB748" s="142"/>
      <c r="AC748" s="142"/>
      <c r="AD748" s="142"/>
      <c r="AE748" s="142"/>
      <c r="AF748" s="142"/>
      <c r="AG748" s="142"/>
      <c r="AH748" s="142"/>
      <c r="AI748" s="142"/>
      <c r="AJ748" s="142"/>
      <c r="AK748" s="142"/>
      <c r="AL748" s="142"/>
      <c r="AM748" s="142"/>
      <c r="AN748" s="142"/>
      <c r="AO748" s="142"/>
    </row>
    <row r="749" ht="15.75" customHeight="1">
      <c r="A749" s="142"/>
      <c r="B749" s="142"/>
      <c r="C749" s="142"/>
      <c r="D749" s="142"/>
      <c r="E749" s="131"/>
      <c r="F749" s="142"/>
      <c r="G749" s="142"/>
      <c r="H749" s="142"/>
      <c r="I749" s="142"/>
      <c r="J749" s="142"/>
      <c r="K749" s="132"/>
      <c r="L749" s="131"/>
      <c r="M749" s="131"/>
      <c r="N749" s="142"/>
      <c r="O749" s="142"/>
      <c r="P749" s="142"/>
      <c r="Q749" s="142"/>
      <c r="R749" s="142"/>
      <c r="S749" s="142"/>
      <c r="T749" s="131"/>
      <c r="U749" s="131"/>
      <c r="V749" s="131"/>
      <c r="W749" s="131"/>
      <c r="X749" s="131"/>
      <c r="Y749" s="131"/>
      <c r="Z749" s="142"/>
      <c r="AA749" s="142"/>
      <c r="AB749" s="142"/>
      <c r="AC749" s="142"/>
      <c r="AD749" s="142"/>
      <c r="AE749" s="142"/>
      <c r="AF749" s="142"/>
      <c r="AG749" s="142"/>
      <c r="AH749" s="142"/>
      <c r="AI749" s="142"/>
      <c r="AJ749" s="142"/>
      <c r="AK749" s="142"/>
      <c r="AL749" s="142"/>
      <c r="AM749" s="142"/>
      <c r="AN749" s="142"/>
      <c r="AO749" s="142"/>
    </row>
    <row r="750" ht="15.75" customHeight="1">
      <c r="A750" s="142"/>
      <c r="B750" s="142"/>
      <c r="C750" s="142"/>
      <c r="D750" s="142"/>
      <c r="E750" s="131"/>
      <c r="F750" s="142"/>
      <c r="G750" s="142"/>
      <c r="H750" s="142"/>
      <c r="I750" s="142"/>
      <c r="J750" s="142"/>
      <c r="K750" s="132"/>
      <c r="L750" s="131"/>
      <c r="M750" s="131"/>
      <c r="N750" s="142"/>
      <c r="O750" s="142"/>
      <c r="P750" s="142"/>
      <c r="Q750" s="142"/>
      <c r="R750" s="142"/>
      <c r="S750" s="142"/>
      <c r="T750" s="131"/>
      <c r="U750" s="131"/>
      <c r="V750" s="131"/>
      <c r="W750" s="131"/>
      <c r="X750" s="131"/>
      <c r="Y750" s="131"/>
      <c r="Z750" s="142"/>
      <c r="AA750" s="142"/>
      <c r="AB750" s="142"/>
      <c r="AC750" s="142"/>
      <c r="AD750" s="142"/>
      <c r="AE750" s="142"/>
      <c r="AF750" s="142"/>
      <c r="AG750" s="142"/>
      <c r="AH750" s="142"/>
      <c r="AI750" s="142"/>
      <c r="AJ750" s="142"/>
      <c r="AK750" s="142"/>
      <c r="AL750" s="142"/>
      <c r="AM750" s="142"/>
      <c r="AN750" s="142"/>
      <c r="AO750" s="142"/>
    </row>
    <row r="751" ht="15.75" customHeight="1">
      <c r="A751" s="142"/>
      <c r="B751" s="142"/>
      <c r="C751" s="142"/>
      <c r="D751" s="142"/>
      <c r="E751" s="131"/>
      <c r="F751" s="142"/>
      <c r="G751" s="142"/>
      <c r="H751" s="142"/>
      <c r="I751" s="142"/>
      <c r="J751" s="142"/>
      <c r="K751" s="132"/>
      <c r="L751" s="131"/>
      <c r="M751" s="131"/>
      <c r="N751" s="142"/>
      <c r="O751" s="142"/>
      <c r="P751" s="142"/>
      <c r="Q751" s="142"/>
      <c r="R751" s="142"/>
      <c r="S751" s="142"/>
      <c r="T751" s="131"/>
      <c r="U751" s="131"/>
      <c r="V751" s="131"/>
      <c r="W751" s="131"/>
      <c r="X751" s="131"/>
      <c r="Y751" s="131"/>
      <c r="Z751" s="142"/>
      <c r="AA751" s="142"/>
      <c r="AB751" s="142"/>
      <c r="AC751" s="142"/>
      <c r="AD751" s="142"/>
      <c r="AE751" s="142"/>
      <c r="AF751" s="142"/>
      <c r="AG751" s="142"/>
      <c r="AH751" s="142"/>
      <c r="AI751" s="142"/>
      <c r="AJ751" s="142"/>
      <c r="AK751" s="142"/>
      <c r="AL751" s="142"/>
      <c r="AM751" s="142"/>
      <c r="AN751" s="142"/>
      <c r="AO751" s="142"/>
    </row>
    <row r="752" ht="15.75" customHeight="1">
      <c r="A752" s="142"/>
      <c r="B752" s="142"/>
      <c r="C752" s="142"/>
      <c r="D752" s="142"/>
      <c r="E752" s="131"/>
      <c r="F752" s="142"/>
      <c r="G752" s="142"/>
      <c r="H752" s="142"/>
      <c r="I752" s="142"/>
      <c r="J752" s="142"/>
      <c r="K752" s="132"/>
      <c r="L752" s="131"/>
      <c r="M752" s="131"/>
      <c r="N752" s="142"/>
      <c r="O752" s="142"/>
      <c r="P752" s="142"/>
      <c r="Q752" s="142"/>
      <c r="R752" s="142"/>
      <c r="S752" s="142"/>
      <c r="T752" s="131"/>
      <c r="U752" s="131"/>
      <c r="V752" s="131"/>
      <c r="W752" s="131"/>
      <c r="X752" s="131"/>
      <c r="Y752" s="131"/>
      <c r="Z752" s="142"/>
      <c r="AA752" s="142"/>
      <c r="AB752" s="142"/>
      <c r="AC752" s="142"/>
      <c r="AD752" s="142"/>
      <c r="AE752" s="142"/>
      <c r="AF752" s="142"/>
      <c r="AG752" s="142"/>
      <c r="AH752" s="142"/>
      <c r="AI752" s="142"/>
      <c r="AJ752" s="142"/>
      <c r="AK752" s="142"/>
      <c r="AL752" s="142"/>
      <c r="AM752" s="142"/>
      <c r="AN752" s="142"/>
      <c r="AO752" s="142"/>
    </row>
    <row r="753" ht="15.75" customHeight="1">
      <c r="A753" s="142"/>
      <c r="B753" s="142"/>
      <c r="C753" s="142"/>
      <c r="D753" s="142"/>
      <c r="E753" s="131"/>
      <c r="F753" s="142"/>
      <c r="G753" s="142"/>
      <c r="H753" s="142"/>
      <c r="I753" s="142"/>
      <c r="J753" s="142"/>
      <c r="K753" s="132"/>
      <c r="L753" s="131"/>
      <c r="M753" s="131"/>
      <c r="N753" s="142"/>
      <c r="O753" s="142"/>
      <c r="P753" s="142"/>
      <c r="Q753" s="142"/>
      <c r="R753" s="142"/>
      <c r="S753" s="142"/>
      <c r="T753" s="131"/>
      <c r="U753" s="131"/>
      <c r="V753" s="131"/>
      <c r="W753" s="131"/>
      <c r="X753" s="131"/>
      <c r="Y753" s="131"/>
      <c r="Z753" s="142"/>
      <c r="AA753" s="142"/>
      <c r="AB753" s="142"/>
      <c r="AC753" s="142"/>
      <c r="AD753" s="142"/>
      <c r="AE753" s="142"/>
      <c r="AF753" s="142"/>
      <c r="AG753" s="142"/>
      <c r="AH753" s="142"/>
      <c r="AI753" s="142"/>
      <c r="AJ753" s="142"/>
      <c r="AK753" s="142"/>
      <c r="AL753" s="142"/>
      <c r="AM753" s="142"/>
      <c r="AN753" s="142"/>
      <c r="AO753" s="142"/>
    </row>
    <row r="754" ht="15.75" customHeight="1">
      <c r="A754" s="142"/>
      <c r="B754" s="142"/>
      <c r="C754" s="142"/>
      <c r="D754" s="142"/>
      <c r="E754" s="131"/>
      <c r="F754" s="142"/>
      <c r="G754" s="142"/>
      <c r="H754" s="142"/>
      <c r="I754" s="142"/>
      <c r="J754" s="142"/>
      <c r="K754" s="132"/>
      <c r="L754" s="131"/>
      <c r="M754" s="131"/>
      <c r="N754" s="142"/>
      <c r="O754" s="142"/>
      <c r="P754" s="142"/>
      <c r="Q754" s="142"/>
      <c r="R754" s="142"/>
      <c r="S754" s="142"/>
      <c r="T754" s="131"/>
      <c r="U754" s="131"/>
      <c r="V754" s="131"/>
      <c r="W754" s="131"/>
      <c r="X754" s="131"/>
      <c r="Y754" s="131"/>
      <c r="Z754" s="142"/>
      <c r="AA754" s="142"/>
      <c r="AB754" s="142"/>
      <c r="AC754" s="142"/>
      <c r="AD754" s="142"/>
      <c r="AE754" s="142"/>
      <c r="AF754" s="142"/>
      <c r="AG754" s="142"/>
      <c r="AH754" s="142"/>
      <c r="AI754" s="142"/>
      <c r="AJ754" s="142"/>
      <c r="AK754" s="142"/>
      <c r="AL754" s="142"/>
      <c r="AM754" s="142"/>
      <c r="AN754" s="142"/>
      <c r="AO754" s="142"/>
    </row>
    <row r="755" ht="15.75" customHeight="1">
      <c r="A755" s="142"/>
      <c r="B755" s="142"/>
      <c r="C755" s="142"/>
      <c r="D755" s="142"/>
      <c r="E755" s="131"/>
      <c r="F755" s="142"/>
      <c r="G755" s="142"/>
      <c r="H755" s="142"/>
      <c r="I755" s="142"/>
      <c r="J755" s="142"/>
      <c r="K755" s="132"/>
      <c r="L755" s="131"/>
      <c r="M755" s="131"/>
      <c r="N755" s="142"/>
      <c r="O755" s="142"/>
      <c r="P755" s="142"/>
      <c r="Q755" s="142"/>
      <c r="R755" s="142"/>
      <c r="S755" s="142"/>
      <c r="T755" s="131"/>
      <c r="U755" s="131"/>
      <c r="V755" s="131"/>
      <c r="W755" s="131"/>
      <c r="X755" s="131"/>
      <c r="Y755" s="131"/>
      <c r="Z755" s="142"/>
      <c r="AA755" s="142"/>
      <c r="AB755" s="142"/>
      <c r="AC755" s="142"/>
      <c r="AD755" s="142"/>
      <c r="AE755" s="142"/>
      <c r="AF755" s="142"/>
      <c r="AG755" s="142"/>
      <c r="AH755" s="142"/>
      <c r="AI755" s="142"/>
      <c r="AJ755" s="142"/>
      <c r="AK755" s="142"/>
      <c r="AL755" s="142"/>
      <c r="AM755" s="142"/>
      <c r="AN755" s="142"/>
      <c r="AO755" s="142"/>
    </row>
    <row r="756" ht="15.75" customHeight="1">
      <c r="A756" s="142"/>
      <c r="B756" s="142"/>
      <c r="C756" s="142"/>
      <c r="D756" s="142"/>
      <c r="E756" s="131"/>
      <c r="F756" s="142"/>
      <c r="G756" s="142"/>
      <c r="H756" s="142"/>
      <c r="I756" s="142"/>
      <c r="J756" s="142"/>
      <c r="K756" s="132"/>
      <c r="L756" s="131"/>
      <c r="M756" s="131"/>
      <c r="N756" s="142"/>
      <c r="O756" s="142"/>
      <c r="P756" s="142"/>
      <c r="Q756" s="142"/>
      <c r="R756" s="142"/>
      <c r="S756" s="142"/>
      <c r="T756" s="131"/>
      <c r="U756" s="131"/>
      <c r="V756" s="131"/>
      <c r="W756" s="131"/>
      <c r="X756" s="131"/>
      <c r="Y756" s="131"/>
      <c r="Z756" s="142"/>
      <c r="AA756" s="142"/>
      <c r="AB756" s="142"/>
      <c r="AC756" s="142"/>
      <c r="AD756" s="142"/>
      <c r="AE756" s="142"/>
      <c r="AF756" s="142"/>
      <c r="AG756" s="142"/>
      <c r="AH756" s="142"/>
      <c r="AI756" s="142"/>
      <c r="AJ756" s="142"/>
      <c r="AK756" s="142"/>
      <c r="AL756" s="142"/>
      <c r="AM756" s="142"/>
      <c r="AN756" s="142"/>
      <c r="AO756" s="142"/>
    </row>
    <row r="757" ht="15.75" customHeight="1">
      <c r="A757" s="142"/>
      <c r="B757" s="142"/>
      <c r="C757" s="142"/>
      <c r="D757" s="142"/>
      <c r="E757" s="131"/>
      <c r="F757" s="142"/>
      <c r="G757" s="142"/>
      <c r="H757" s="142"/>
      <c r="I757" s="142"/>
      <c r="J757" s="142"/>
      <c r="K757" s="132"/>
      <c r="L757" s="131"/>
      <c r="M757" s="131"/>
      <c r="N757" s="142"/>
      <c r="O757" s="142"/>
      <c r="P757" s="142"/>
      <c r="Q757" s="142"/>
      <c r="R757" s="142"/>
      <c r="S757" s="142"/>
      <c r="T757" s="131"/>
      <c r="U757" s="131"/>
      <c r="V757" s="131"/>
      <c r="W757" s="131"/>
      <c r="X757" s="131"/>
      <c r="Y757" s="131"/>
      <c r="Z757" s="142"/>
      <c r="AA757" s="142"/>
      <c r="AB757" s="142"/>
      <c r="AC757" s="142"/>
      <c r="AD757" s="142"/>
      <c r="AE757" s="142"/>
      <c r="AF757" s="142"/>
      <c r="AG757" s="142"/>
      <c r="AH757" s="142"/>
      <c r="AI757" s="142"/>
      <c r="AJ757" s="142"/>
      <c r="AK757" s="142"/>
      <c r="AL757" s="142"/>
      <c r="AM757" s="142"/>
      <c r="AN757" s="142"/>
      <c r="AO757" s="142"/>
    </row>
    <row r="758" ht="15.75" customHeight="1">
      <c r="A758" s="142"/>
      <c r="B758" s="142"/>
      <c r="C758" s="142"/>
      <c r="D758" s="142"/>
      <c r="E758" s="131"/>
      <c r="F758" s="142"/>
      <c r="G758" s="142"/>
      <c r="H758" s="142"/>
      <c r="I758" s="142"/>
      <c r="J758" s="142"/>
      <c r="K758" s="132"/>
      <c r="L758" s="131"/>
      <c r="M758" s="131"/>
      <c r="N758" s="142"/>
      <c r="O758" s="142"/>
      <c r="P758" s="142"/>
      <c r="Q758" s="142"/>
      <c r="R758" s="142"/>
      <c r="S758" s="142"/>
      <c r="T758" s="131"/>
      <c r="U758" s="131"/>
      <c r="V758" s="131"/>
      <c r="W758" s="131"/>
      <c r="X758" s="131"/>
      <c r="Y758" s="131"/>
      <c r="Z758" s="142"/>
      <c r="AA758" s="142"/>
      <c r="AB758" s="142"/>
      <c r="AC758" s="142"/>
      <c r="AD758" s="142"/>
      <c r="AE758" s="142"/>
      <c r="AF758" s="142"/>
      <c r="AG758" s="142"/>
      <c r="AH758" s="142"/>
      <c r="AI758" s="142"/>
      <c r="AJ758" s="142"/>
      <c r="AK758" s="142"/>
      <c r="AL758" s="142"/>
      <c r="AM758" s="142"/>
      <c r="AN758" s="142"/>
      <c r="AO758" s="142"/>
    </row>
    <row r="759" ht="15.75" customHeight="1">
      <c r="A759" s="142"/>
      <c r="B759" s="142"/>
      <c r="C759" s="142"/>
      <c r="D759" s="142"/>
      <c r="E759" s="131"/>
      <c r="F759" s="142"/>
      <c r="G759" s="142"/>
      <c r="H759" s="142"/>
      <c r="I759" s="142"/>
      <c r="J759" s="142"/>
      <c r="K759" s="132"/>
      <c r="L759" s="131"/>
      <c r="M759" s="131"/>
      <c r="N759" s="142"/>
      <c r="O759" s="142"/>
      <c r="P759" s="142"/>
      <c r="Q759" s="142"/>
      <c r="R759" s="142"/>
      <c r="S759" s="142"/>
      <c r="T759" s="131"/>
      <c r="U759" s="131"/>
      <c r="V759" s="131"/>
      <c r="W759" s="131"/>
      <c r="X759" s="131"/>
      <c r="Y759" s="131"/>
      <c r="Z759" s="142"/>
      <c r="AA759" s="142"/>
      <c r="AB759" s="142"/>
      <c r="AC759" s="142"/>
      <c r="AD759" s="142"/>
      <c r="AE759" s="142"/>
      <c r="AF759" s="142"/>
      <c r="AG759" s="142"/>
      <c r="AH759" s="142"/>
      <c r="AI759" s="142"/>
      <c r="AJ759" s="142"/>
      <c r="AK759" s="142"/>
      <c r="AL759" s="142"/>
      <c r="AM759" s="142"/>
      <c r="AN759" s="142"/>
      <c r="AO759" s="142"/>
    </row>
    <row r="760" ht="15.75" customHeight="1">
      <c r="A760" s="142"/>
      <c r="B760" s="142"/>
      <c r="C760" s="142"/>
      <c r="D760" s="142"/>
      <c r="E760" s="131"/>
      <c r="F760" s="142"/>
      <c r="G760" s="142"/>
      <c r="H760" s="142"/>
      <c r="I760" s="142"/>
      <c r="J760" s="142"/>
      <c r="K760" s="132"/>
      <c r="L760" s="131"/>
      <c r="M760" s="131"/>
      <c r="N760" s="142"/>
      <c r="O760" s="142"/>
      <c r="P760" s="142"/>
      <c r="Q760" s="142"/>
      <c r="R760" s="142"/>
      <c r="S760" s="142"/>
      <c r="T760" s="131"/>
      <c r="U760" s="131"/>
      <c r="V760" s="131"/>
      <c r="W760" s="131"/>
      <c r="X760" s="131"/>
      <c r="Y760" s="131"/>
      <c r="Z760" s="142"/>
      <c r="AA760" s="142"/>
      <c r="AB760" s="142"/>
      <c r="AC760" s="142"/>
      <c r="AD760" s="142"/>
      <c r="AE760" s="142"/>
      <c r="AF760" s="142"/>
      <c r="AG760" s="142"/>
      <c r="AH760" s="142"/>
      <c r="AI760" s="142"/>
      <c r="AJ760" s="142"/>
      <c r="AK760" s="142"/>
      <c r="AL760" s="142"/>
      <c r="AM760" s="142"/>
      <c r="AN760" s="142"/>
      <c r="AO760" s="142"/>
    </row>
    <row r="761" ht="15.75" customHeight="1">
      <c r="A761" s="142"/>
      <c r="B761" s="142"/>
      <c r="C761" s="142"/>
      <c r="D761" s="142"/>
      <c r="E761" s="131"/>
      <c r="F761" s="142"/>
      <c r="G761" s="142"/>
      <c r="H761" s="142"/>
      <c r="I761" s="142"/>
      <c r="J761" s="142"/>
      <c r="K761" s="132"/>
      <c r="L761" s="131"/>
      <c r="M761" s="131"/>
      <c r="N761" s="142"/>
      <c r="O761" s="142"/>
      <c r="P761" s="142"/>
      <c r="Q761" s="142"/>
      <c r="R761" s="142"/>
      <c r="S761" s="142"/>
      <c r="T761" s="131"/>
      <c r="U761" s="131"/>
      <c r="V761" s="131"/>
      <c r="W761" s="131"/>
      <c r="X761" s="131"/>
      <c r="Y761" s="131"/>
      <c r="Z761" s="142"/>
      <c r="AA761" s="142"/>
      <c r="AB761" s="142"/>
      <c r="AC761" s="142"/>
      <c r="AD761" s="142"/>
      <c r="AE761" s="142"/>
      <c r="AF761" s="142"/>
      <c r="AG761" s="142"/>
      <c r="AH761" s="142"/>
      <c r="AI761" s="142"/>
      <c r="AJ761" s="142"/>
      <c r="AK761" s="142"/>
      <c r="AL761" s="142"/>
      <c r="AM761" s="142"/>
      <c r="AN761" s="142"/>
      <c r="AO761" s="142"/>
    </row>
    <row r="762" ht="15.75" customHeight="1">
      <c r="A762" s="142"/>
      <c r="B762" s="142"/>
      <c r="C762" s="142"/>
      <c r="D762" s="142"/>
      <c r="E762" s="131"/>
      <c r="F762" s="142"/>
      <c r="G762" s="142"/>
      <c r="H762" s="142"/>
      <c r="I762" s="142"/>
      <c r="J762" s="142"/>
      <c r="K762" s="132"/>
      <c r="L762" s="131"/>
      <c r="M762" s="131"/>
      <c r="N762" s="142"/>
      <c r="O762" s="142"/>
      <c r="P762" s="142"/>
      <c r="Q762" s="142"/>
      <c r="R762" s="142"/>
      <c r="S762" s="142"/>
      <c r="T762" s="131"/>
      <c r="U762" s="131"/>
      <c r="V762" s="131"/>
      <c r="W762" s="131"/>
      <c r="X762" s="131"/>
      <c r="Y762" s="131"/>
      <c r="Z762" s="142"/>
      <c r="AA762" s="142"/>
      <c r="AB762" s="142"/>
      <c r="AC762" s="142"/>
      <c r="AD762" s="142"/>
      <c r="AE762" s="142"/>
      <c r="AF762" s="142"/>
      <c r="AG762" s="142"/>
      <c r="AH762" s="142"/>
      <c r="AI762" s="142"/>
      <c r="AJ762" s="142"/>
      <c r="AK762" s="142"/>
      <c r="AL762" s="142"/>
      <c r="AM762" s="142"/>
      <c r="AN762" s="142"/>
      <c r="AO762" s="142"/>
    </row>
    <row r="763" ht="15.75" customHeight="1">
      <c r="A763" s="142"/>
      <c r="B763" s="142"/>
      <c r="C763" s="142"/>
      <c r="D763" s="142"/>
      <c r="E763" s="131"/>
      <c r="F763" s="142"/>
      <c r="G763" s="142"/>
      <c r="H763" s="142"/>
      <c r="I763" s="142"/>
      <c r="J763" s="142"/>
      <c r="K763" s="132"/>
      <c r="L763" s="131"/>
      <c r="M763" s="131"/>
      <c r="N763" s="142"/>
      <c r="O763" s="142"/>
      <c r="P763" s="142"/>
      <c r="Q763" s="142"/>
      <c r="R763" s="142"/>
      <c r="S763" s="142"/>
      <c r="T763" s="131"/>
      <c r="U763" s="131"/>
      <c r="V763" s="131"/>
      <c r="W763" s="131"/>
      <c r="X763" s="131"/>
      <c r="Y763" s="131"/>
      <c r="Z763" s="142"/>
      <c r="AA763" s="142"/>
      <c r="AB763" s="142"/>
      <c r="AC763" s="142"/>
      <c r="AD763" s="142"/>
      <c r="AE763" s="142"/>
      <c r="AF763" s="142"/>
      <c r="AG763" s="142"/>
      <c r="AH763" s="142"/>
      <c r="AI763" s="142"/>
      <c r="AJ763" s="142"/>
      <c r="AK763" s="142"/>
      <c r="AL763" s="142"/>
      <c r="AM763" s="142"/>
      <c r="AN763" s="142"/>
      <c r="AO763" s="142"/>
    </row>
    <row r="764" ht="15.75" customHeight="1">
      <c r="A764" s="142"/>
      <c r="B764" s="142"/>
      <c r="C764" s="142"/>
      <c r="D764" s="142"/>
      <c r="E764" s="131"/>
      <c r="F764" s="142"/>
      <c r="G764" s="142"/>
      <c r="H764" s="142"/>
      <c r="I764" s="142"/>
      <c r="J764" s="142"/>
      <c r="K764" s="132"/>
      <c r="L764" s="131"/>
      <c r="M764" s="131"/>
      <c r="N764" s="142"/>
      <c r="O764" s="142"/>
      <c r="P764" s="142"/>
      <c r="Q764" s="142"/>
      <c r="R764" s="142"/>
      <c r="S764" s="142"/>
      <c r="T764" s="131"/>
      <c r="U764" s="131"/>
      <c r="V764" s="131"/>
      <c r="W764" s="131"/>
      <c r="X764" s="131"/>
      <c r="Y764" s="131"/>
      <c r="Z764" s="142"/>
      <c r="AA764" s="142"/>
      <c r="AB764" s="142"/>
      <c r="AC764" s="142"/>
      <c r="AD764" s="142"/>
      <c r="AE764" s="142"/>
      <c r="AF764" s="142"/>
      <c r="AG764" s="142"/>
      <c r="AH764" s="142"/>
      <c r="AI764" s="142"/>
      <c r="AJ764" s="142"/>
      <c r="AK764" s="142"/>
      <c r="AL764" s="142"/>
      <c r="AM764" s="142"/>
      <c r="AN764" s="142"/>
      <c r="AO764" s="142"/>
    </row>
    <row r="765" ht="15.75" customHeight="1">
      <c r="A765" s="142"/>
      <c r="B765" s="142"/>
      <c r="C765" s="142"/>
      <c r="D765" s="142"/>
      <c r="E765" s="131"/>
      <c r="F765" s="142"/>
      <c r="G765" s="142"/>
      <c r="H765" s="142"/>
      <c r="I765" s="142"/>
      <c r="J765" s="142"/>
      <c r="K765" s="132"/>
      <c r="L765" s="131"/>
      <c r="M765" s="131"/>
      <c r="N765" s="142"/>
      <c r="O765" s="142"/>
      <c r="P765" s="142"/>
      <c r="Q765" s="142"/>
      <c r="R765" s="142"/>
      <c r="S765" s="142"/>
      <c r="T765" s="131"/>
      <c r="U765" s="131"/>
      <c r="V765" s="131"/>
      <c r="W765" s="131"/>
      <c r="X765" s="131"/>
      <c r="Y765" s="131"/>
      <c r="Z765" s="142"/>
      <c r="AA765" s="142"/>
      <c r="AB765" s="142"/>
      <c r="AC765" s="142"/>
      <c r="AD765" s="142"/>
      <c r="AE765" s="142"/>
      <c r="AF765" s="142"/>
      <c r="AG765" s="142"/>
      <c r="AH765" s="142"/>
      <c r="AI765" s="142"/>
      <c r="AJ765" s="142"/>
      <c r="AK765" s="142"/>
      <c r="AL765" s="142"/>
      <c r="AM765" s="142"/>
      <c r="AN765" s="142"/>
      <c r="AO765" s="142"/>
    </row>
    <row r="766" ht="15.75" customHeight="1">
      <c r="A766" s="142"/>
      <c r="B766" s="142"/>
      <c r="C766" s="142"/>
      <c r="D766" s="142"/>
      <c r="E766" s="131"/>
      <c r="F766" s="142"/>
      <c r="G766" s="142"/>
      <c r="H766" s="142"/>
      <c r="I766" s="142"/>
      <c r="J766" s="142"/>
      <c r="K766" s="132"/>
      <c r="L766" s="131"/>
      <c r="M766" s="131"/>
      <c r="N766" s="142"/>
      <c r="O766" s="142"/>
      <c r="P766" s="142"/>
      <c r="Q766" s="142"/>
      <c r="R766" s="142"/>
      <c r="S766" s="142"/>
      <c r="T766" s="131"/>
      <c r="U766" s="131"/>
      <c r="V766" s="131"/>
      <c r="W766" s="131"/>
      <c r="X766" s="131"/>
      <c r="Y766" s="131"/>
      <c r="Z766" s="142"/>
      <c r="AA766" s="142"/>
      <c r="AB766" s="142"/>
      <c r="AC766" s="142"/>
      <c r="AD766" s="142"/>
      <c r="AE766" s="142"/>
      <c r="AF766" s="142"/>
      <c r="AG766" s="142"/>
      <c r="AH766" s="142"/>
      <c r="AI766" s="142"/>
      <c r="AJ766" s="142"/>
      <c r="AK766" s="142"/>
      <c r="AL766" s="142"/>
      <c r="AM766" s="142"/>
      <c r="AN766" s="142"/>
      <c r="AO766" s="142"/>
    </row>
    <row r="767" ht="15.75" customHeight="1">
      <c r="A767" s="142"/>
      <c r="B767" s="142"/>
      <c r="C767" s="142"/>
      <c r="D767" s="142"/>
      <c r="E767" s="131"/>
      <c r="F767" s="142"/>
      <c r="G767" s="142"/>
      <c r="H767" s="142"/>
      <c r="I767" s="142"/>
      <c r="J767" s="142"/>
      <c r="K767" s="132"/>
      <c r="L767" s="131"/>
      <c r="M767" s="131"/>
      <c r="N767" s="142"/>
      <c r="O767" s="142"/>
      <c r="P767" s="142"/>
      <c r="Q767" s="142"/>
      <c r="R767" s="142"/>
      <c r="S767" s="142"/>
      <c r="T767" s="131"/>
      <c r="U767" s="131"/>
      <c r="V767" s="131"/>
      <c r="W767" s="131"/>
      <c r="X767" s="131"/>
      <c r="Y767" s="131"/>
      <c r="Z767" s="142"/>
      <c r="AA767" s="142"/>
      <c r="AB767" s="142"/>
      <c r="AC767" s="142"/>
      <c r="AD767" s="142"/>
      <c r="AE767" s="142"/>
      <c r="AF767" s="142"/>
      <c r="AG767" s="142"/>
      <c r="AH767" s="142"/>
      <c r="AI767" s="142"/>
      <c r="AJ767" s="142"/>
      <c r="AK767" s="142"/>
      <c r="AL767" s="142"/>
      <c r="AM767" s="142"/>
      <c r="AN767" s="142"/>
      <c r="AO767" s="142"/>
    </row>
    <row r="768" ht="15.75" customHeight="1">
      <c r="A768" s="142"/>
      <c r="B768" s="142"/>
      <c r="C768" s="142"/>
      <c r="D768" s="142"/>
      <c r="E768" s="131"/>
      <c r="F768" s="142"/>
      <c r="G768" s="142"/>
      <c r="H768" s="142"/>
      <c r="I768" s="142"/>
      <c r="J768" s="142"/>
      <c r="K768" s="132"/>
      <c r="L768" s="131"/>
      <c r="M768" s="131"/>
      <c r="N768" s="142"/>
      <c r="O768" s="142"/>
      <c r="P768" s="142"/>
      <c r="Q768" s="142"/>
      <c r="R768" s="142"/>
      <c r="S768" s="142"/>
      <c r="T768" s="131"/>
      <c r="U768" s="131"/>
      <c r="V768" s="131"/>
      <c r="W768" s="131"/>
      <c r="X768" s="131"/>
      <c r="Y768" s="131"/>
      <c r="Z768" s="142"/>
      <c r="AA768" s="142"/>
      <c r="AB768" s="142"/>
      <c r="AC768" s="142"/>
      <c r="AD768" s="142"/>
      <c r="AE768" s="142"/>
      <c r="AF768" s="142"/>
      <c r="AG768" s="142"/>
      <c r="AH768" s="142"/>
      <c r="AI768" s="142"/>
      <c r="AJ768" s="142"/>
      <c r="AK768" s="142"/>
      <c r="AL768" s="142"/>
      <c r="AM768" s="142"/>
      <c r="AN768" s="142"/>
      <c r="AO768" s="142"/>
    </row>
    <row r="769" ht="15.75" customHeight="1">
      <c r="A769" s="142"/>
      <c r="B769" s="142"/>
      <c r="C769" s="142"/>
      <c r="D769" s="142"/>
      <c r="E769" s="131"/>
      <c r="F769" s="142"/>
      <c r="G769" s="142"/>
      <c r="H769" s="142"/>
      <c r="I769" s="142"/>
      <c r="J769" s="142"/>
      <c r="K769" s="132"/>
      <c r="L769" s="131"/>
      <c r="M769" s="131"/>
      <c r="N769" s="142"/>
      <c r="O769" s="142"/>
      <c r="P769" s="142"/>
      <c r="Q769" s="142"/>
      <c r="R769" s="142"/>
      <c r="S769" s="142"/>
      <c r="T769" s="131"/>
      <c r="U769" s="131"/>
      <c r="V769" s="131"/>
      <c r="W769" s="131"/>
      <c r="X769" s="131"/>
      <c r="Y769" s="131"/>
      <c r="Z769" s="142"/>
      <c r="AA769" s="142"/>
      <c r="AB769" s="142"/>
      <c r="AC769" s="142"/>
      <c r="AD769" s="142"/>
      <c r="AE769" s="142"/>
      <c r="AF769" s="142"/>
      <c r="AG769" s="142"/>
      <c r="AH769" s="142"/>
      <c r="AI769" s="142"/>
      <c r="AJ769" s="142"/>
      <c r="AK769" s="142"/>
      <c r="AL769" s="142"/>
      <c r="AM769" s="142"/>
      <c r="AN769" s="142"/>
      <c r="AO769" s="142"/>
    </row>
    <row r="770" ht="15.75" customHeight="1">
      <c r="A770" s="142"/>
      <c r="B770" s="142"/>
      <c r="C770" s="142"/>
      <c r="D770" s="142"/>
      <c r="E770" s="131"/>
      <c r="F770" s="142"/>
      <c r="G770" s="142"/>
      <c r="H770" s="142"/>
      <c r="I770" s="142"/>
      <c r="J770" s="142"/>
      <c r="K770" s="132"/>
      <c r="L770" s="131"/>
      <c r="M770" s="131"/>
      <c r="N770" s="142"/>
      <c r="O770" s="142"/>
      <c r="P770" s="142"/>
      <c r="Q770" s="142"/>
      <c r="R770" s="142"/>
      <c r="S770" s="142"/>
      <c r="T770" s="131"/>
      <c r="U770" s="131"/>
      <c r="V770" s="131"/>
      <c r="W770" s="131"/>
      <c r="X770" s="131"/>
      <c r="Y770" s="131"/>
      <c r="Z770" s="142"/>
      <c r="AA770" s="142"/>
      <c r="AB770" s="142"/>
      <c r="AC770" s="142"/>
      <c r="AD770" s="142"/>
      <c r="AE770" s="142"/>
      <c r="AF770" s="142"/>
      <c r="AG770" s="142"/>
      <c r="AH770" s="142"/>
      <c r="AI770" s="142"/>
      <c r="AJ770" s="142"/>
      <c r="AK770" s="142"/>
      <c r="AL770" s="142"/>
      <c r="AM770" s="142"/>
      <c r="AN770" s="142"/>
      <c r="AO770" s="142"/>
    </row>
    <row r="771" ht="15.75" customHeight="1">
      <c r="A771" s="142"/>
      <c r="B771" s="142"/>
      <c r="C771" s="142"/>
      <c r="D771" s="142"/>
      <c r="E771" s="131"/>
      <c r="F771" s="142"/>
      <c r="G771" s="142"/>
      <c r="H771" s="142"/>
      <c r="I771" s="142"/>
      <c r="J771" s="142"/>
      <c r="K771" s="132"/>
      <c r="L771" s="131"/>
      <c r="M771" s="131"/>
      <c r="N771" s="142"/>
      <c r="O771" s="142"/>
      <c r="P771" s="142"/>
      <c r="Q771" s="142"/>
      <c r="R771" s="142"/>
      <c r="S771" s="142"/>
      <c r="T771" s="131"/>
      <c r="U771" s="131"/>
      <c r="V771" s="131"/>
      <c r="W771" s="131"/>
      <c r="X771" s="131"/>
      <c r="Y771" s="131"/>
      <c r="Z771" s="142"/>
      <c r="AA771" s="142"/>
      <c r="AB771" s="142"/>
      <c r="AC771" s="142"/>
      <c r="AD771" s="142"/>
      <c r="AE771" s="142"/>
      <c r="AF771" s="142"/>
      <c r="AG771" s="142"/>
      <c r="AH771" s="142"/>
      <c r="AI771" s="142"/>
      <c r="AJ771" s="142"/>
      <c r="AK771" s="142"/>
      <c r="AL771" s="142"/>
      <c r="AM771" s="142"/>
      <c r="AN771" s="142"/>
      <c r="AO771" s="142"/>
    </row>
    <row r="772" ht="15.75" customHeight="1">
      <c r="A772" s="142"/>
      <c r="B772" s="142"/>
      <c r="C772" s="142"/>
      <c r="D772" s="142"/>
      <c r="E772" s="131"/>
      <c r="F772" s="142"/>
      <c r="G772" s="142"/>
      <c r="H772" s="142"/>
      <c r="I772" s="142"/>
      <c r="J772" s="142"/>
      <c r="K772" s="132"/>
      <c r="L772" s="131"/>
      <c r="M772" s="131"/>
      <c r="N772" s="142"/>
      <c r="O772" s="142"/>
      <c r="P772" s="142"/>
      <c r="Q772" s="142"/>
      <c r="R772" s="142"/>
      <c r="S772" s="142"/>
      <c r="T772" s="131"/>
      <c r="U772" s="131"/>
      <c r="V772" s="131"/>
      <c r="W772" s="131"/>
      <c r="X772" s="131"/>
      <c r="Y772" s="131"/>
      <c r="Z772" s="142"/>
      <c r="AA772" s="142"/>
      <c r="AB772" s="142"/>
      <c r="AC772" s="142"/>
      <c r="AD772" s="142"/>
      <c r="AE772" s="142"/>
      <c r="AF772" s="142"/>
      <c r="AG772" s="142"/>
      <c r="AH772" s="142"/>
      <c r="AI772" s="142"/>
      <c r="AJ772" s="142"/>
      <c r="AK772" s="142"/>
      <c r="AL772" s="142"/>
      <c r="AM772" s="142"/>
      <c r="AN772" s="142"/>
      <c r="AO772" s="142"/>
    </row>
    <row r="773" ht="15.75" customHeight="1">
      <c r="A773" s="142"/>
      <c r="B773" s="142"/>
      <c r="C773" s="142"/>
      <c r="D773" s="142"/>
      <c r="E773" s="131"/>
      <c r="F773" s="142"/>
      <c r="G773" s="142"/>
      <c r="H773" s="142"/>
      <c r="I773" s="142"/>
      <c r="J773" s="142"/>
      <c r="K773" s="132"/>
      <c r="L773" s="131"/>
      <c r="M773" s="131"/>
      <c r="N773" s="142"/>
      <c r="O773" s="142"/>
      <c r="P773" s="142"/>
      <c r="Q773" s="142"/>
      <c r="R773" s="142"/>
      <c r="S773" s="142"/>
      <c r="T773" s="131"/>
      <c r="U773" s="131"/>
      <c r="V773" s="131"/>
      <c r="W773" s="131"/>
      <c r="X773" s="131"/>
      <c r="Y773" s="131"/>
      <c r="Z773" s="142"/>
      <c r="AA773" s="142"/>
      <c r="AB773" s="142"/>
      <c r="AC773" s="142"/>
      <c r="AD773" s="142"/>
      <c r="AE773" s="142"/>
      <c r="AF773" s="142"/>
      <c r="AG773" s="142"/>
      <c r="AH773" s="142"/>
      <c r="AI773" s="142"/>
      <c r="AJ773" s="142"/>
      <c r="AK773" s="142"/>
      <c r="AL773" s="142"/>
      <c r="AM773" s="142"/>
      <c r="AN773" s="142"/>
      <c r="AO773" s="142"/>
    </row>
    <row r="774" ht="15.75" customHeight="1">
      <c r="A774" s="142"/>
      <c r="B774" s="142"/>
      <c r="C774" s="142"/>
      <c r="D774" s="142"/>
      <c r="E774" s="131"/>
      <c r="F774" s="142"/>
      <c r="G774" s="142"/>
      <c r="H774" s="142"/>
      <c r="I774" s="142"/>
      <c r="J774" s="142"/>
      <c r="K774" s="132"/>
      <c r="L774" s="131"/>
      <c r="M774" s="131"/>
      <c r="N774" s="142"/>
      <c r="O774" s="142"/>
      <c r="P774" s="142"/>
      <c r="Q774" s="142"/>
      <c r="R774" s="142"/>
      <c r="S774" s="142"/>
      <c r="T774" s="131"/>
      <c r="U774" s="131"/>
      <c r="V774" s="131"/>
      <c r="W774" s="131"/>
      <c r="X774" s="131"/>
      <c r="Y774" s="131"/>
      <c r="Z774" s="142"/>
      <c r="AA774" s="142"/>
      <c r="AB774" s="142"/>
      <c r="AC774" s="142"/>
      <c r="AD774" s="142"/>
      <c r="AE774" s="142"/>
      <c r="AF774" s="142"/>
      <c r="AG774" s="142"/>
      <c r="AH774" s="142"/>
      <c r="AI774" s="142"/>
      <c r="AJ774" s="142"/>
      <c r="AK774" s="142"/>
      <c r="AL774" s="142"/>
      <c r="AM774" s="142"/>
      <c r="AN774" s="142"/>
      <c r="AO774" s="142"/>
    </row>
    <row r="775" ht="15.75" customHeight="1">
      <c r="A775" s="142"/>
      <c r="B775" s="142"/>
      <c r="C775" s="142"/>
      <c r="D775" s="142"/>
      <c r="E775" s="131"/>
      <c r="F775" s="142"/>
      <c r="G775" s="142"/>
      <c r="H775" s="142"/>
      <c r="I775" s="142"/>
      <c r="J775" s="142"/>
      <c r="K775" s="132"/>
      <c r="L775" s="131"/>
      <c r="M775" s="131"/>
      <c r="N775" s="142"/>
      <c r="O775" s="142"/>
      <c r="P775" s="142"/>
      <c r="Q775" s="142"/>
      <c r="R775" s="142"/>
      <c r="S775" s="142"/>
      <c r="T775" s="131"/>
      <c r="U775" s="131"/>
      <c r="V775" s="131"/>
      <c r="W775" s="131"/>
      <c r="X775" s="131"/>
      <c r="Y775" s="131"/>
      <c r="Z775" s="142"/>
      <c r="AA775" s="142"/>
      <c r="AB775" s="142"/>
      <c r="AC775" s="142"/>
      <c r="AD775" s="142"/>
      <c r="AE775" s="142"/>
      <c r="AF775" s="142"/>
      <c r="AG775" s="142"/>
      <c r="AH775" s="142"/>
      <c r="AI775" s="142"/>
      <c r="AJ775" s="142"/>
      <c r="AK775" s="142"/>
      <c r="AL775" s="142"/>
      <c r="AM775" s="142"/>
      <c r="AN775" s="142"/>
      <c r="AO775" s="142"/>
    </row>
    <row r="776" ht="15.75" customHeight="1">
      <c r="A776" s="142"/>
      <c r="B776" s="142"/>
      <c r="C776" s="142"/>
      <c r="D776" s="142"/>
      <c r="E776" s="131"/>
      <c r="F776" s="142"/>
      <c r="G776" s="142"/>
      <c r="H776" s="142"/>
      <c r="I776" s="142"/>
      <c r="J776" s="142"/>
      <c r="K776" s="132"/>
      <c r="L776" s="131"/>
      <c r="M776" s="131"/>
      <c r="N776" s="142"/>
      <c r="O776" s="142"/>
      <c r="P776" s="142"/>
      <c r="Q776" s="142"/>
      <c r="R776" s="142"/>
      <c r="S776" s="142"/>
      <c r="T776" s="131"/>
      <c r="U776" s="131"/>
      <c r="V776" s="131"/>
      <c r="W776" s="131"/>
      <c r="X776" s="131"/>
      <c r="Y776" s="131"/>
      <c r="Z776" s="142"/>
      <c r="AA776" s="142"/>
      <c r="AB776" s="142"/>
      <c r="AC776" s="142"/>
      <c r="AD776" s="142"/>
      <c r="AE776" s="142"/>
      <c r="AF776" s="142"/>
      <c r="AG776" s="142"/>
      <c r="AH776" s="142"/>
      <c r="AI776" s="142"/>
      <c r="AJ776" s="142"/>
      <c r="AK776" s="142"/>
      <c r="AL776" s="142"/>
      <c r="AM776" s="142"/>
      <c r="AN776" s="142"/>
      <c r="AO776" s="142"/>
    </row>
    <row r="777" ht="15.75" customHeight="1">
      <c r="A777" s="142"/>
      <c r="B777" s="142"/>
      <c r="C777" s="142"/>
      <c r="D777" s="142"/>
      <c r="E777" s="131"/>
      <c r="F777" s="142"/>
      <c r="G777" s="142"/>
      <c r="H777" s="142"/>
      <c r="I777" s="142"/>
      <c r="J777" s="142"/>
      <c r="K777" s="132"/>
      <c r="L777" s="131"/>
      <c r="M777" s="131"/>
      <c r="N777" s="142"/>
      <c r="O777" s="142"/>
      <c r="P777" s="142"/>
      <c r="Q777" s="142"/>
      <c r="R777" s="142"/>
      <c r="S777" s="142"/>
      <c r="T777" s="131"/>
      <c r="U777" s="131"/>
      <c r="V777" s="131"/>
      <c r="W777" s="131"/>
      <c r="X777" s="131"/>
      <c r="Y777" s="131"/>
      <c r="Z777" s="142"/>
      <c r="AA777" s="142"/>
      <c r="AB777" s="142"/>
      <c r="AC777" s="142"/>
      <c r="AD777" s="142"/>
      <c r="AE777" s="142"/>
      <c r="AF777" s="142"/>
      <c r="AG777" s="142"/>
      <c r="AH777" s="142"/>
      <c r="AI777" s="142"/>
      <c r="AJ777" s="142"/>
      <c r="AK777" s="142"/>
      <c r="AL777" s="142"/>
      <c r="AM777" s="142"/>
      <c r="AN777" s="142"/>
      <c r="AO777" s="142"/>
    </row>
    <row r="778" ht="15.75" customHeight="1">
      <c r="A778" s="142"/>
      <c r="B778" s="142"/>
      <c r="C778" s="142"/>
      <c r="D778" s="142"/>
      <c r="E778" s="131"/>
      <c r="F778" s="142"/>
      <c r="G778" s="142"/>
      <c r="H778" s="142"/>
      <c r="I778" s="142"/>
      <c r="J778" s="142"/>
      <c r="K778" s="132"/>
      <c r="L778" s="131"/>
      <c r="M778" s="131"/>
      <c r="N778" s="142"/>
      <c r="O778" s="142"/>
      <c r="P778" s="142"/>
      <c r="Q778" s="142"/>
      <c r="R778" s="142"/>
      <c r="S778" s="142"/>
      <c r="T778" s="131"/>
      <c r="U778" s="131"/>
      <c r="V778" s="131"/>
      <c r="W778" s="131"/>
      <c r="X778" s="131"/>
      <c r="Y778" s="131"/>
      <c r="Z778" s="142"/>
      <c r="AA778" s="142"/>
      <c r="AB778" s="142"/>
      <c r="AC778" s="142"/>
      <c r="AD778" s="142"/>
      <c r="AE778" s="142"/>
      <c r="AF778" s="142"/>
      <c r="AG778" s="142"/>
      <c r="AH778" s="142"/>
      <c r="AI778" s="142"/>
      <c r="AJ778" s="142"/>
      <c r="AK778" s="142"/>
      <c r="AL778" s="142"/>
      <c r="AM778" s="142"/>
      <c r="AN778" s="142"/>
      <c r="AO778" s="142"/>
    </row>
    <row r="779" ht="15.75" customHeight="1">
      <c r="A779" s="142"/>
      <c r="B779" s="142"/>
      <c r="C779" s="142"/>
      <c r="D779" s="142"/>
      <c r="E779" s="131"/>
      <c r="F779" s="142"/>
      <c r="G779" s="142"/>
      <c r="H779" s="142"/>
      <c r="I779" s="142"/>
      <c r="J779" s="142"/>
      <c r="K779" s="132"/>
      <c r="L779" s="131"/>
      <c r="M779" s="131"/>
      <c r="N779" s="142"/>
      <c r="O779" s="142"/>
      <c r="P779" s="142"/>
      <c r="Q779" s="142"/>
      <c r="R779" s="142"/>
      <c r="S779" s="142"/>
      <c r="T779" s="131"/>
      <c r="U779" s="131"/>
      <c r="V779" s="131"/>
      <c r="W779" s="131"/>
      <c r="X779" s="131"/>
      <c r="Y779" s="131"/>
      <c r="Z779" s="142"/>
      <c r="AA779" s="142"/>
      <c r="AB779" s="142"/>
      <c r="AC779" s="142"/>
      <c r="AD779" s="142"/>
      <c r="AE779" s="142"/>
      <c r="AF779" s="142"/>
      <c r="AG779" s="142"/>
      <c r="AH779" s="142"/>
      <c r="AI779" s="142"/>
      <c r="AJ779" s="142"/>
      <c r="AK779" s="142"/>
      <c r="AL779" s="142"/>
      <c r="AM779" s="142"/>
      <c r="AN779" s="142"/>
      <c r="AO779" s="142"/>
    </row>
    <row r="780" ht="15.75" customHeight="1">
      <c r="A780" s="142"/>
      <c r="B780" s="142"/>
      <c r="C780" s="142"/>
      <c r="D780" s="142"/>
      <c r="E780" s="131"/>
      <c r="F780" s="142"/>
      <c r="G780" s="142"/>
      <c r="H780" s="142"/>
      <c r="I780" s="142"/>
      <c r="J780" s="142"/>
      <c r="K780" s="132"/>
      <c r="L780" s="131"/>
      <c r="M780" s="131"/>
      <c r="N780" s="142"/>
      <c r="O780" s="142"/>
      <c r="P780" s="142"/>
      <c r="Q780" s="142"/>
      <c r="R780" s="142"/>
      <c r="S780" s="142"/>
      <c r="T780" s="131"/>
      <c r="U780" s="131"/>
      <c r="V780" s="131"/>
      <c r="W780" s="131"/>
      <c r="X780" s="131"/>
      <c r="Y780" s="131"/>
      <c r="Z780" s="142"/>
      <c r="AA780" s="142"/>
      <c r="AB780" s="142"/>
      <c r="AC780" s="142"/>
      <c r="AD780" s="142"/>
      <c r="AE780" s="142"/>
      <c r="AF780" s="142"/>
      <c r="AG780" s="142"/>
      <c r="AH780" s="142"/>
      <c r="AI780" s="142"/>
      <c r="AJ780" s="142"/>
      <c r="AK780" s="142"/>
      <c r="AL780" s="142"/>
      <c r="AM780" s="142"/>
      <c r="AN780" s="142"/>
      <c r="AO780" s="142"/>
    </row>
    <row r="781" ht="15.75" customHeight="1">
      <c r="A781" s="142"/>
      <c r="B781" s="142"/>
      <c r="C781" s="142"/>
      <c r="D781" s="142"/>
      <c r="E781" s="131"/>
      <c r="F781" s="142"/>
      <c r="G781" s="142"/>
      <c r="H781" s="142"/>
      <c r="I781" s="142"/>
      <c r="J781" s="142"/>
      <c r="K781" s="132"/>
      <c r="L781" s="131"/>
      <c r="M781" s="131"/>
      <c r="N781" s="142"/>
      <c r="O781" s="142"/>
      <c r="P781" s="142"/>
      <c r="Q781" s="142"/>
      <c r="R781" s="142"/>
      <c r="S781" s="142"/>
      <c r="T781" s="131"/>
      <c r="U781" s="131"/>
      <c r="V781" s="131"/>
      <c r="W781" s="131"/>
      <c r="X781" s="131"/>
      <c r="Y781" s="131"/>
      <c r="Z781" s="142"/>
      <c r="AA781" s="142"/>
      <c r="AB781" s="142"/>
      <c r="AC781" s="142"/>
      <c r="AD781" s="142"/>
      <c r="AE781" s="142"/>
      <c r="AF781" s="142"/>
      <c r="AG781" s="142"/>
      <c r="AH781" s="142"/>
      <c r="AI781" s="142"/>
      <c r="AJ781" s="142"/>
      <c r="AK781" s="142"/>
      <c r="AL781" s="142"/>
      <c r="AM781" s="142"/>
      <c r="AN781" s="142"/>
      <c r="AO781" s="142"/>
    </row>
    <row r="782" ht="15.75" customHeight="1">
      <c r="A782" s="142"/>
      <c r="B782" s="142"/>
      <c r="C782" s="142"/>
      <c r="D782" s="142"/>
      <c r="E782" s="131"/>
      <c r="F782" s="142"/>
      <c r="G782" s="142"/>
      <c r="H782" s="142"/>
      <c r="I782" s="142"/>
      <c r="J782" s="142"/>
      <c r="K782" s="132"/>
      <c r="L782" s="131"/>
      <c r="M782" s="131"/>
      <c r="N782" s="142"/>
      <c r="O782" s="142"/>
      <c r="P782" s="142"/>
      <c r="Q782" s="142"/>
      <c r="R782" s="142"/>
      <c r="S782" s="142"/>
      <c r="T782" s="131"/>
      <c r="U782" s="131"/>
      <c r="V782" s="131"/>
      <c r="W782" s="131"/>
      <c r="X782" s="131"/>
      <c r="Y782" s="131"/>
      <c r="Z782" s="142"/>
      <c r="AA782" s="142"/>
      <c r="AB782" s="142"/>
      <c r="AC782" s="142"/>
      <c r="AD782" s="142"/>
      <c r="AE782" s="142"/>
      <c r="AF782" s="142"/>
      <c r="AG782" s="142"/>
      <c r="AH782" s="142"/>
      <c r="AI782" s="142"/>
      <c r="AJ782" s="142"/>
      <c r="AK782" s="142"/>
      <c r="AL782" s="142"/>
      <c r="AM782" s="142"/>
      <c r="AN782" s="142"/>
      <c r="AO782" s="142"/>
    </row>
    <row r="783" ht="15.75" customHeight="1">
      <c r="A783" s="142"/>
      <c r="B783" s="142"/>
      <c r="C783" s="142"/>
      <c r="D783" s="142"/>
      <c r="E783" s="131"/>
      <c r="F783" s="142"/>
      <c r="G783" s="142"/>
      <c r="H783" s="142"/>
      <c r="I783" s="142"/>
      <c r="J783" s="142"/>
      <c r="K783" s="132"/>
      <c r="L783" s="131"/>
      <c r="M783" s="131"/>
      <c r="N783" s="142"/>
      <c r="O783" s="142"/>
      <c r="P783" s="142"/>
      <c r="Q783" s="142"/>
      <c r="R783" s="142"/>
      <c r="S783" s="142"/>
      <c r="T783" s="131"/>
      <c r="U783" s="131"/>
      <c r="V783" s="131"/>
      <c r="W783" s="131"/>
      <c r="X783" s="131"/>
      <c r="Y783" s="131"/>
      <c r="Z783" s="142"/>
      <c r="AA783" s="142"/>
      <c r="AB783" s="142"/>
      <c r="AC783" s="142"/>
      <c r="AD783" s="142"/>
      <c r="AE783" s="142"/>
      <c r="AF783" s="142"/>
      <c r="AG783" s="142"/>
      <c r="AH783" s="142"/>
      <c r="AI783" s="142"/>
      <c r="AJ783" s="142"/>
      <c r="AK783" s="142"/>
      <c r="AL783" s="142"/>
      <c r="AM783" s="142"/>
      <c r="AN783" s="142"/>
      <c r="AO783" s="142"/>
    </row>
    <row r="784" ht="15.75" customHeight="1">
      <c r="A784" s="142"/>
      <c r="B784" s="142"/>
      <c r="C784" s="142"/>
      <c r="D784" s="142"/>
      <c r="E784" s="131"/>
      <c r="F784" s="142"/>
      <c r="G784" s="142"/>
      <c r="H784" s="142"/>
      <c r="I784" s="142"/>
      <c r="J784" s="142"/>
      <c r="K784" s="132"/>
      <c r="L784" s="131"/>
      <c r="M784" s="131"/>
      <c r="N784" s="142"/>
      <c r="O784" s="142"/>
      <c r="P784" s="142"/>
      <c r="Q784" s="142"/>
      <c r="R784" s="142"/>
      <c r="S784" s="142"/>
      <c r="T784" s="131"/>
      <c r="U784" s="131"/>
      <c r="V784" s="131"/>
      <c r="W784" s="131"/>
      <c r="X784" s="131"/>
      <c r="Y784" s="131"/>
      <c r="Z784" s="142"/>
      <c r="AA784" s="142"/>
      <c r="AB784" s="142"/>
      <c r="AC784" s="142"/>
      <c r="AD784" s="142"/>
      <c r="AE784" s="142"/>
      <c r="AF784" s="142"/>
      <c r="AG784" s="142"/>
      <c r="AH784" s="142"/>
      <c r="AI784" s="142"/>
      <c r="AJ784" s="142"/>
      <c r="AK784" s="142"/>
      <c r="AL784" s="142"/>
      <c r="AM784" s="142"/>
      <c r="AN784" s="142"/>
      <c r="AO784" s="142"/>
    </row>
    <row r="785" ht="15.75" customHeight="1">
      <c r="A785" s="142"/>
      <c r="B785" s="142"/>
      <c r="C785" s="142"/>
      <c r="D785" s="142"/>
      <c r="E785" s="131"/>
      <c r="F785" s="142"/>
      <c r="G785" s="142"/>
      <c r="H785" s="142"/>
      <c r="I785" s="142"/>
      <c r="J785" s="142"/>
      <c r="K785" s="132"/>
      <c r="L785" s="131"/>
      <c r="M785" s="131"/>
      <c r="N785" s="142"/>
      <c r="O785" s="142"/>
      <c r="P785" s="142"/>
      <c r="Q785" s="142"/>
      <c r="R785" s="142"/>
      <c r="S785" s="142"/>
      <c r="T785" s="131"/>
      <c r="U785" s="131"/>
      <c r="V785" s="131"/>
      <c r="W785" s="131"/>
      <c r="X785" s="131"/>
      <c r="Y785" s="131"/>
      <c r="Z785" s="142"/>
      <c r="AA785" s="142"/>
      <c r="AB785" s="142"/>
      <c r="AC785" s="142"/>
      <c r="AD785" s="142"/>
      <c r="AE785" s="142"/>
      <c r="AF785" s="142"/>
      <c r="AG785" s="142"/>
      <c r="AH785" s="142"/>
      <c r="AI785" s="142"/>
      <c r="AJ785" s="142"/>
      <c r="AK785" s="142"/>
      <c r="AL785" s="142"/>
      <c r="AM785" s="142"/>
      <c r="AN785" s="142"/>
      <c r="AO785" s="142"/>
    </row>
    <row r="786" ht="15.75" customHeight="1">
      <c r="A786" s="142"/>
      <c r="B786" s="142"/>
      <c r="C786" s="142"/>
      <c r="D786" s="142"/>
      <c r="E786" s="131"/>
      <c r="F786" s="142"/>
      <c r="G786" s="142"/>
      <c r="H786" s="142"/>
      <c r="I786" s="142"/>
      <c r="J786" s="142"/>
      <c r="K786" s="132"/>
      <c r="L786" s="131"/>
      <c r="M786" s="131"/>
      <c r="N786" s="142"/>
      <c r="O786" s="142"/>
      <c r="P786" s="142"/>
      <c r="Q786" s="142"/>
      <c r="R786" s="142"/>
      <c r="S786" s="142"/>
      <c r="T786" s="131"/>
      <c r="U786" s="131"/>
      <c r="V786" s="131"/>
      <c r="W786" s="131"/>
      <c r="X786" s="131"/>
      <c r="Y786" s="131"/>
      <c r="Z786" s="142"/>
      <c r="AA786" s="142"/>
      <c r="AB786" s="142"/>
      <c r="AC786" s="142"/>
      <c r="AD786" s="142"/>
      <c r="AE786" s="142"/>
      <c r="AF786" s="142"/>
      <c r="AG786" s="142"/>
      <c r="AH786" s="142"/>
      <c r="AI786" s="142"/>
      <c r="AJ786" s="142"/>
      <c r="AK786" s="142"/>
      <c r="AL786" s="142"/>
      <c r="AM786" s="142"/>
      <c r="AN786" s="142"/>
      <c r="AO786" s="142"/>
    </row>
    <row r="787" ht="15.75" customHeight="1">
      <c r="A787" s="142"/>
      <c r="B787" s="142"/>
      <c r="C787" s="142"/>
      <c r="D787" s="142"/>
      <c r="E787" s="131"/>
      <c r="F787" s="142"/>
      <c r="G787" s="142"/>
      <c r="H787" s="142"/>
      <c r="I787" s="142"/>
      <c r="J787" s="142"/>
      <c r="K787" s="132"/>
      <c r="L787" s="131"/>
      <c r="M787" s="131"/>
      <c r="N787" s="142"/>
      <c r="O787" s="142"/>
      <c r="P787" s="142"/>
      <c r="Q787" s="142"/>
      <c r="R787" s="142"/>
      <c r="S787" s="142"/>
      <c r="T787" s="131"/>
      <c r="U787" s="131"/>
      <c r="V787" s="131"/>
      <c r="W787" s="131"/>
      <c r="X787" s="131"/>
      <c r="Y787" s="131"/>
      <c r="Z787" s="142"/>
      <c r="AA787" s="142"/>
      <c r="AB787" s="142"/>
      <c r="AC787" s="142"/>
      <c r="AD787" s="142"/>
      <c r="AE787" s="142"/>
      <c r="AF787" s="142"/>
      <c r="AG787" s="142"/>
      <c r="AH787" s="142"/>
      <c r="AI787" s="142"/>
      <c r="AJ787" s="142"/>
      <c r="AK787" s="142"/>
      <c r="AL787" s="142"/>
      <c r="AM787" s="142"/>
      <c r="AN787" s="142"/>
      <c r="AO787" s="142"/>
    </row>
    <row r="788" ht="15.75" customHeight="1">
      <c r="A788" s="142"/>
      <c r="B788" s="142"/>
      <c r="C788" s="142"/>
      <c r="D788" s="142"/>
      <c r="E788" s="131"/>
      <c r="F788" s="142"/>
      <c r="G788" s="142"/>
      <c r="H788" s="142"/>
      <c r="I788" s="142"/>
      <c r="J788" s="142"/>
      <c r="K788" s="132"/>
      <c r="L788" s="131"/>
      <c r="M788" s="131"/>
      <c r="N788" s="142"/>
      <c r="O788" s="142"/>
      <c r="P788" s="142"/>
      <c r="Q788" s="142"/>
      <c r="R788" s="142"/>
      <c r="S788" s="142"/>
      <c r="T788" s="131"/>
      <c r="U788" s="131"/>
      <c r="V788" s="131"/>
      <c r="W788" s="131"/>
      <c r="X788" s="131"/>
      <c r="Y788" s="131"/>
      <c r="Z788" s="142"/>
      <c r="AA788" s="142"/>
      <c r="AB788" s="142"/>
      <c r="AC788" s="142"/>
      <c r="AD788" s="142"/>
      <c r="AE788" s="142"/>
      <c r="AF788" s="142"/>
      <c r="AG788" s="142"/>
      <c r="AH788" s="142"/>
      <c r="AI788" s="142"/>
      <c r="AJ788" s="142"/>
      <c r="AK788" s="142"/>
      <c r="AL788" s="142"/>
      <c r="AM788" s="142"/>
      <c r="AN788" s="142"/>
      <c r="AO788" s="142"/>
    </row>
    <row r="789" ht="15.75" customHeight="1">
      <c r="A789" s="142"/>
      <c r="B789" s="142"/>
      <c r="C789" s="142"/>
      <c r="D789" s="142"/>
      <c r="E789" s="131"/>
      <c r="F789" s="142"/>
      <c r="G789" s="142"/>
      <c r="H789" s="142"/>
      <c r="I789" s="142"/>
      <c r="J789" s="142"/>
      <c r="K789" s="132"/>
      <c r="L789" s="131"/>
      <c r="M789" s="131"/>
      <c r="N789" s="142"/>
      <c r="O789" s="142"/>
      <c r="P789" s="142"/>
      <c r="Q789" s="142"/>
      <c r="R789" s="142"/>
      <c r="S789" s="142"/>
      <c r="T789" s="131"/>
      <c r="U789" s="131"/>
      <c r="V789" s="131"/>
      <c r="W789" s="131"/>
      <c r="X789" s="131"/>
      <c r="Y789" s="131"/>
      <c r="Z789" s="142"/>
      <c r="AA789" s="142"/>
      <c r="AB789" s="142"/>
      <c r="AC789" s="142"/>
      <c r="AD789" s="142"/>
      <c r="AE789" s="142"/>
      <c r="AF789" s="142"/>
      <c r="AG789" s="142"/>
      <c r="AH789" s="142"/>
      <c r="AI789" s="142"/>
      <c r="AJ789" s="142"/>
      <c r="AK789" s="142"/>
      <c r="AL789" s="142"/>
      <c r="AM789" s="142"/>
      <c r="AN789" s="142"/>
      <c r="AO789" s="142"/>
    </row>
    <row r="790" ht="15.75" customHeight="1">
      <c r="A790" s="142"/>
      <c r="B790" s="142"/>
      <c r="C790" s="142"/>
      <c r="D790" s="142"/>
      <c r="E790" s="131"/>
      <c r="F790" s="142"/>
      <c r="G790" s="142"/>
      <c r="H790" s="142"/>
      <c r="I790" s="142"/>
      <c r="J790" s="142"/>
      <c r="K790" s="132"/>
      <c r="L790" s="131"/>
      <c r="M790" s="131"/>
      <c r="N790" s="142"/>
      <c r="O790" s="142"/>
      <c r="P790" s="142"/>
      <c r="Q790" s="142"/>
      <c r="R790" s="142"/>
      <c r="S790" s="142"/>
      <c r="T790" s="131"/>
      <c r="U790" s="131"/>
      <c r="V790" s="131"/>
      <c r="W790" s="131"/>
      <c r="X790" s="131"/>
      <c r="Y790" s="131"/>
      <c r="Z790" s="142"/>
      <c r="AA790" s="142"/>
      <c r="AB790" s="142"/>
      <c r="AC790" s="142"/>
      <c r="AD790" s="142"/>
      <c r="AE790" s="142"/>
      <c r="AF790" s="142"/>
      <c r="AG790" s="142"/>
      <c r="AH790" s="142"/>
      <c r="AI790" s="142"/>
      <c r="AJ790" s="142"/>
      <c r="AK790" s="142"/>
      <c r="AL790" s="142"/>
      <c r="AM790" s="142"/>
      <c r="AN790" s="142"/>
      <c r="AO790" s="142"/>
    </row>
    <row r="791" ht="15.75" customHeight="1">
      <c r="A791" s="142"/>
      <c r="B791" s="142"/>
      <c r="C791" s="142"/>
      <c r="D791" s="142"/>
      <c r="E791" s="131"/>
      <c r="F791" s="142"/>
      <c r="G791" s="142"/>
      <c r="H791" s="142"/>
      <c r="I791" s="142"/>
      <c r="J791" s="142"/>
      <c r="K791" s="132"/>
      <c r="L791" s="131"/>
      <c r="M791" s="131"/>
      <c r="N791" s="142"/>
      <c r="O791" s="142"/>
      <c r="P791" s="142"/>
      <c r="Q791" s="142"/>
      <c r="R791" s="142"/>
      <c r="S791" s="142"/>
      <c r="T791" s="131"/>
      <c r="U791" s="131"/>
      <c r="V791" s="131"/>
      <c r="W791" s="131"/>
      <c r="X791" s="131"/>
      <c r="Y791" s="131"/>
      <c r="Z791" s="142"/>
      <c r="AA791" s="142"/>
      <c r="AB791" s="142"/>
      <c r="AC791" s="142"/>
      <c r="AD791" s="142"/>
      <c r="AE791" s="142"/>
      <c r="AF791" s="142"/>
      <c r="AG791" s="142"/>
      <c r="AH791" s="142"/>
      <c r="AI791" s="142"/>
      <c r="AJ791" s="142"/>
      <c r="AK791" s="142"/>
      <c r="AL791" s="142"/>
      <c r="AM791" s="142"/>
      <c r="AN791" s="142"/>
      <c r="AO791" s="142"/>
    </row>
    <row r="792" ht="15.75" customHeight="1">
      <c r="A792" s="142"/>
      <c r="B792" s="142"/>
      <c r="C792" s="142"/>
      <c r="D792" s="142"/>
      <c r="E792" s="131"/>
      <c r="F792" s="142"/>
      <c r="G792" s="142"/>
      <c r="H792" s="142"/>
      <c r="I792" s="142"/>
      <c r="J792" s="142"/>
      <c r="K792" s="132"/>
      <c r="L792" s="131"/>
      <c r="M792" s="131"/>
      <c r="N792" s="142"/>
      <c r="O792" s="142"/>
      <c r="P792" s="142"/>
      <c r="Q792" s="142"/>
      <c r="R792" s="142"/>
      <c r="S792" s="142"/>
      <c r="T792" s="131"/>
      <c r="U792" s="131"/>
      <c r="V792" s="131"/>
      <c r="W792" s="131"/>
      <c r="X792" s="131"/>
      <c r="Y792" s="131"/>
      <c r="Z792" s="142"/>
      <c r="AA792" s="142"/>
      <c r="AB792" s="142"/>
      <c r="AC792" s="142"/>
      <c r="AD792" s="142"/>
      <c r="AE792" s="142"/>
      <c r="AF792" s="142"/>
      <c r="AG792" s="142"/>
      <c r="AH792" s="142"/>
      <c r="AI792" s="142"/>
      <c r="AJ792" s="142"/>
      <c r="AK792" s="142"/>
      <c r="AL792" s="142"/>
      <c r="AM792" s="142"/>
      <c r="AN792" s="142"/>
      <c r="AO792" s="142"/>
    </row>
    <row r="793" ht="15.75" customHeight="1">
      <c r="A793" s="142"/>
      <c r="B793" s="142"/>
      <c r="C793" s="142"/>
      <c r="D793" s="142"/>
      <c r="E793" s="131"/>
      <c r="F793" s="142"/>
      <c r="G793" s="142"/>
      <c r="H793" s="142"/>
      <c r="I793" s="142"/>
      <c r="J793" s="142"/>
      <c r="K793" s="132"/>
      <c r="L793" s="131"/>
      <c r="M793" s="131"/>
      <c r="N793" s="142"/>
      <c r="O793" s="142"/>
      <c r="P793" s="142"/>
      <c r="Q793" s="142"/>
      <c r="R793" s="142"/>
      <c r="S793" s="142"/>
      <c r="T793" s="131"/>
      <c r="U793" s="131"/>
      <c r="V793" s="131"/>
      <c r="W793" s="131"/>
      <c r="X793" s="131"/>
      <c r="Y793" s="131"/>
      <c r="Z793" s="142"/>
      <c r="AA793" s="142"/>
      <c r="AB793" s="142"/>
      <c r="AC793" s="142"/>
      <c r="AD793" s="142"/>
      <c r="AE793" s="142"/>
      <c r="AF793" s="142"/>
      <c r="AG793" s="142"/>
      <c r="AH793" s="142"/>
      <c r="AI793" s="142"/>
      <c r="AJ793" s="142"/>
      <c r="AK793" s="142"/>
      <c r="AL793" s="142"/>
      <c r="AM793" s="142"/>
      <c r="AN793" s="142"/>
      <c r="AO793" s="142"/>
    </row>
    <row r="794" ht="15.75" customHeight="1">
      <c r="A794" s="142"/>
      <c r="B794" s="142"/>
      <c r="C794" s="142"/>
      <c r="D794" s="142"/>
      <c r="E794" s="131"/>
      <c r="F794" s="142"/>
      <c r="G794" s="142"/>
      <c r="H794" s="142"/>
      <c r="I794" s="142"/>
      <c r="J794" s="142"/>
      <c r="K794" s="132"/>
      <c r="L794" s="131"/>
      <c r="M794" s="131"/>
      <c r="N794" s="142"/>
      <c r="O794" s="142"/>
      <c r="P794" s="142"/>
      <c r="Q794" s="142"/>
      <c r="R794" s="142"/>
      <c r="S794" s="142"/>
      <c r="T794" s="131"/>
      <c r="U794" s="131"/>
      <c r="V794" s="131"/>
      <c r="W794" s="131"/>
      <c r="X794" s="131"/>
      <c r="Y794" s="131"/>
      <c r="Z794" s="142"/>
      <c r="AA794" s="142"/>
      <c r="AB794" s="142"/>
      <c r="AC794" s="142"/>
      <c r="AD794" s="142"/>
      <c r="AE794" s="142"/>
      <c r="AF794" s="142"/>
      <c r="AG794" s="142"/>
      <c r="AH794" s="142"/>
      <c r="AI794" s="142"/>
      <c r="AJ794" s="142"/>
      <c r="AK794" s="142"/>
      <c r="AL794" s="142"/>
      <c r="AM794" s="142"/>
      <c r="AN794" s="142"/>
      <c r="AO794" s="142"/>
    </row>
    <row r="795" ht="15.75" customHeight="1">
      <c r="A795" s="142"/>
      <c r="B795" s="142"/>
      <c r="C795" s="142"/>
      <c r="D795" s="142"/>
      <c r="E795" s="131"/>
      <c r="F795" s="142"/>
      <c r="G795" s="142"/>
      <c r="H795" s="142"/>
      <c r="I795" s="142"/>
      <c r="J795" s="142"/>
      <c r="K795" s="132"/>
      <c r="L795" s="131"/>
      <c r="M795" s="131"/>
      <c r="N795" s="142"/>
      <c r="O795" s="142"/>
      <c r="P795" s="142"/>
      <c r="Q795" s="142"/>
      <c r="R795" s="142"/>
      <c r="S795" s="142"/>
      <c r="T795" s="131"/>
      <c r="U795" s="131"/>
      <c r="V795" s="131"/>
      <c r="W795" s="131"/>
      <c r="X795" s="131"/>
      <c r="Y795" s="131"/>
      <c r="Z795" s="142"/>
      <c r="AA795" s="142"/>
      <c r="AB795" s="142"/>
      <c r="AC795" s="142"/>
      <c r="AD795" s="142"/>
      <c r="AE795" s="142"/>
      <c r="AF795" s="142"/>
      <c r="AG795" s="142"/>
      <c r="AH795" s="142"/>
      <c r="AI795" s="142"/>
      <c r="AJ795" s="142"/>
      <c r="AK795" s="142"/>
      <c r="AL795" s="142"/>
      <c r="AM795" s="142"/>
      <c r="AN795" s="142"/>
      <c r="AO795" s="142"/>
    </row>
    <row r="796" ht="15.75" customHeight="1">
      <c r="A796" s="142"/>
      <c r="B796" s="142"/>
      <c r="C796" s="142"/>
      <c r="D796" s="142"/>
      <c r="E796" s="131"/>
      <c r="F796" s="142"/>
      <c r="G796" s="142"/>
      <c r="H796" s="142"/>
      <c r="I796" s="142"/>
      <c r="J796" s="142"/>
      <c r="K796" s="132"/>
      <c r="L796" s="131"/>
      <c r="M796" s="131"/>
      <c r="N796" s="142"/>
      <c r="O796" s="142"/>
      <c r="P796" s="142"/>
      <c r="Q796" s="142"/>
      <c r="R796" s="142"/>
      <c r="S796" s="142"/>
      <c r="T796" s="131"/>
      <c r="U796" s="131"/>
      <c r="V796" s="131"/>
      <c r="W796" s="131"/>
      <c r="X796" s="131"/>
      <c r="Y796" s="131"/>
      <c r="Z796" s="142"/>
      <c r="AA796" s="142"/>
      <c r="AB796" s="142"/>
      <c r="AC796" s="142"/>
      <c r="AD796" s="142"/>
      <c r="AE796" s="142"/>
      <c r="AF796" s="142"/>
      <c r="AG796" s="142"/>
      <c r="AH796" s="142"/>
      <c r="AI796" s="142"/>
      <c r="AJ796" s="142"/>
      <c r="AK796" s="142"/>
      <c r="AL796" s="142"/>
      <c r="AM796" s="142"/>
      <c r="AN796" s="142"/>
      <c r="AO796" s="142"/>
    </row>
    <row r="797" ht="15.75" customHeight="1">
      <c r="A797" s="142"/>
      <c r="B797" s="142"/>
      <c r="C797" s="142"/>
      <c r="D797" s="142"/>
      <c r="E797" s="131"/>
      <c r="F797" s="142"/>
      <c r="G797" s="142"/>
      <c r="H797" s="142"/>
      <c r="I797" s="142"/>
      <c r="J797" s="142"/>
      <c r="K797" s="132"/>
      <c r="L797" s="131"/>
      <c r="M797" s="131"/>
      <c r="N797" s="142"/>
      <c r="O797" s="142"/>
      <c r="P797" s="142"/>
      <c r="Q797" s="142"/>
      <c r="R797" s="142"/>
      <c r="S797" s="142"/>
      <c r="T797" s="131"/>
      <c r="U797" s="131"/>
      <c r="V797" s="131"/>
      <c r="W797" s="131"/>
      <c r="X797" s="131"/>
      <c r="Y797" s="131"/>
      <c r="Z797" s="142"/>
      <c r="AA797" s="142"/>
      <c r="AB797" s="142"/>
      <c r="AC797" s="142"/>
      <c r="AD797" s="142"/>
      <c r="AE797" s="142"/>
      <c r="AF797" s="142"/>
      <c r="AG797" s="142"/>
      <c r="AH797" s="142"/>
      <c r="AI797" s="142"/>
      <c r="AJ797" s="142"/>
      <c r="AK797" s="142"/>
      <c r="AL797" s="142"/>
      <c r="AM797" s="142"/>
      <c r="AN797" s="142"/>
      <c r="AO797" s="142"/>
    </row>
    <row r="798" ht="15.75" customHeight="1">
      <c r="A798" s="142"/>
      <c r="B798" s="142"/>
      <c r="C798" s="142"/>
      <c r="D798" s="142"/>
      <c r="E798" s="131"/>
      <c r="F798" s="142"/>
      <c r="G798" s="142"/>
      <c r="H798" s="142"/>
      <c r="I798" s="142"/>
      <c r="J798" s="142"/>
      <c r="K798" s="132"/>
      <c r="L798" s="131"/>
      <c r="M798" s="131"/>
      <c r="N798" s="142"/>
      <c r="O798" s="142"/>
      <c r="P798" s="142"/>
      <c r="Q798" s="142"/>
      <c r="R798" s="142"/>
      <c r="S798" s="142"/>
      <c r="T798" s="131"/>
      <c r="U798" s="131"/>
      <c r="V798" s="131"/>
      <c r="W798" s="131"/>
      <c r="X798" s="131"/>
      <c r="Y798" s="131"/>
      <c r="Z798" s="142"/>
      <c r="AA798" s="142"/>
      <c r="AB798" s="142"/>
      <c r="AC798" s="142"/>
      <c r="AD798" s="142"/>
      <c r="AE798" s="142"/>
      <c r="AF798" s="142"/>
      <c r="AG798" s="142"/>
      <c r="AH798" s="142"/>
      <c r="AI798" s="142"/>
      <c r="AJ798" s="142"/>
      <c r="AK798" s="142"/>
      <c r="AL798" s="142"/>
      <c r="AM798" s="142"/>
      <c r="AN798" s="142"/>
      <c r="AO798" s="142"/>
    </row>
    <row r="799" ht="15.75" customHeight="1">
      <c r="A799" s="142"/>
      <c r="B799" s="142"/>
      <c r="C799" s="142"/>
      <c r="D799" s="142"/>
      <c r="E799" s="131"/>
      <c r="F799" s="142"/>
      <c r="G799" s="142"/>
      <c r="H799" s="142"/>
      <c r="I799" s="142"/>
      <c r="J799" s="142"/>
      <c r="K799" s="132"/>
      <c r="L799" s="131"/>
      <c r="M799" s="131"/>
      <c r="N799" s="142"/>
      <c r="O799" s="142"/>
      <c r="P799" s="142"/>
      <c r="Q799" s="142"/>
      <c r="R799" s="142"/>
      <c r="S799" s="142"/>
      <c r="T799" s="131"/>
      <c r="U799" s="131"/>
      <c r="V799" s="131"/>
      <c r="W799" s="131"/>
      <c r="X799" s="131"/>
      <c r="Y799" s="131"/>
      <c r="Z799" s="142"/>
      <c r="AA799" s="142"/>
      <c r="AB799" s="142"/>
      <c r="AC799" s="142"/>
      <c r="AD799" s="142"/>
      <c r="AE799" s="142"/>
      <c r="AF799" s="142"/>
      <c r="AG799" s="142"/>
      <c r="AH799" s="142"/>
      <c r="AI799" s="142"/>
      <c r="AJ799" s="142"/>
      <c r="AK799" s="142"/>
      <c r="AL799" s="142"/>
      <c r="AM799" s="142"/>
      <c r="AN799" s="142"/>
      <c r="AO799" s="142"/>
    </row>
    <row r="800" ht="15.75" customHeight="1">
      <c r="A800" s="142"/>
      <c r="B800" s="142"/>
      <c r="C800" s="142"/>
      <c r="D800" s="142"/>
      <c r="E800" s="131"/>
      <c r="F800" s="142"/>
      <c r="G800" s="142"/>
      <c r="H800" s="142"/>
      <c r="I800" s="142"/>
      <c r="J800" s="142"/>
      <c r="K800" s="132"/>
      <c r="L800" s="131"/>
      <c r="M800" s="131"/>
      <c r="N800" s="142"/>
      <c r="O800" s="142"/>
      <c r="P800" s="142"/>
      <c r="Q800" s="142"/>
      <c r="R800" s="142"/>
      <c r="S800" s="142"/>
      <c r="T800" s="131"/>
      <c r="U800" s="131"/>
      <c r="V800" s="131"/>
      <c r="W800" s="131"/>
      <c r="X800" s="131"/>
      <c r="Y800" s="131"/>
      <c r="Z800" s="142"/>
      <c r="AA800" s="142"/>
      <c r="AB800" s="142"/>
      <c r="AC800" s="142"/>
      <c r="AD800" s="142"/>
      <c r="AE800" s="142"/>
      <c r="AF800" s="142"/>
      <c r="AG800" s="142"/>
      <c r="AH800" s="142"/>
      <c r="AI800" s="142"/>
      <c r="AJ800" s="142"/>
      <c r="AK800" s="142"/>
      <c r="AL800" s="142"/>
      <c r="AM800" s="142"/>
      <c r="AN800" s="142"/>
      <c r="AO800" s="142"/>
    </row>
    <row r="801" ht="15.75" customHeight="1">
      <c r="A801" s="142"/>
      <c r="B801" s="142"/>
      <c r="C801" s="142"/>
      <c r="D801" s="142"/>
      <c r="E801" s="131"/>
      <c r="F801" s="142"/>
      <c r="G801" s="142"/>
      <c r="H801" s="142"/>
      <c r="I801" s="142"/>
      <c r="J801" s="142"/>
      <c r="K801" s="132"/>
      <c r="L801" s="131"/>
      <c r="M801" s="131"/>
      <c r="N801" s="142"/>
      <c r="O801" s="142"/>
      <c r="P801" s="142"/>
      <c r="Q801" s="142"/>
      <c r="R801" s="142"/>
      <c r="S801" s="142"/>
      <c r="T801" s="131"/>
      <c r="U801" s="131"/>
      <c r="V801" s="131"/>
      <c r="W801" s="131"/>
      <c r="X801" s="131"/>
      <c r="Y801" s="131"/>
      <c r="Z801" s="142"/>
      <c r="AA801" s="142"/>
      <c r="AB801" s="142"/>
      <c r="AC801" s="142"/>
      <c r="AD801" s="142"/>
      <c r="AE801" s="142"/>
      <c r="AF801" s="142"/>
      <c r="AG801" s="142"/>
      <c r="AH801" s="142"/>
      <c r="AI801" s="142"/>
      <c r="AJ801" s="142"/>
      <c r="AK801" s="142"/>
      <c r="AL801" s="142"/>
      <c r="AM801" s="142"/>
      <c r="AN801" s="142"/>
      <c r="AO801" s="142"/>
    </row>
    <row r="802" ht="15.75" customHeight="1">
      <c r="A802" s="142"/>
      <c r="B802" s="142"/>
      <c r="C802" s="142"/>
      <c r="D802" s="142"/>
      <c r="E802" s="131"/>
      <c r="F802" s="142"/>
      <c r="G802" s="142"/>
      <c r="H802" s="142"/>
      <c r="I802" s="142"/>
      <c r="J802" s="142"/>
      <c r="K802" s="132"/>
      <c r="L802" s="131"/>
      <c r="M802" s="131"/>
      <c r="N802" s="142"/>
      <c r="O802" s="142"/>
      <c r="P802" s="142"/>
      <c r="Q802" s="142"/>
      <c r="R802" s="142"/>
      <c r="S802" s="142"/>
      <c r="T802" s="131"/>
      <c r="U802" s="131"/>
      <c r="V802" s="131"/>
      <c r="W802" s="131"/>
      <c r="X802" s="131"/>
      <c r="Y802" s="131"/>
      <c r="Z802" s="142"/>
      <c r="AA802" s="142"/>
      <c r="AB802" s="142"/>
      <c r="AC802" s="142"/>
      <c r="AD802" s="142"/>
      <c r="AE802" s="142"/>
      <c r="AF802" s="142"/>
      <c r="AG802" s="142"/>
      <c r="AH802" s="142"/>
      <c r="AI802" s="142"/>
      <c r="AJ802" s="142"/>
      <c r="AK802" s="142"/>
      <c r="AL802" s="142"/>
      <c r="AM802" s="142"/>
      <c r="AN802" s="142"/>
      <c r="AO802" s="142"/>
    </row>
    <row r="803" ht="15.75" customHeight="1">
      <c r="A803" s="142"/>
      <c r="B803" s="142"/>
      <c r="C803" s="142"/>
      <c r="D803" s="142"/>
      <c r="E803" s="131"/>
      <c r="F803" s="142"/>
      <c r="G803" s="142"/>
      <c r="H803" s="142"/>
      <c r="I803" s="142"/>
      <c r="J803" s="142"/>
      <c r="K803" s="132"/>
      <c r="L803" s="131"/>
      <c r="M803" s="131"/>
      <c r="N803" s="142"/>
      <c r="O803" s="142"/>
      <c r="P803" s="142"/>
      <c r="Q803" s="142"/>
      <c r="R803" s="142"/>
      <c r="S803" s="142"/>
      <c r="T803" s="131"/>
      <c r="U803" s="131"/>
      <c r="V803" s="131"/>
      <c r="W803" s="131"/>
      <c r="X803" s="131"/>
      <c r="Y803" s="131"/>
      <c r="Z803" s="142"/>
      <c r="AA803" s="142"/>
      <c r="AB803" s="142"/>
      <c r="AC803" s="142"/>
      <c r="AD803" s="142"/>
      <c r="AE803" s="142"/>
      <c r="AF803" s="142"/>
      <c r="AG803" s="142"/>
      <c r="AH803" s="142"/>
      <c r="AI803" s="142"/>
      <c r="AJ803" s="142"/>
      <c r="AK803" s="142"/>
      <c r="AL803" s="142"/>
      <c r="AM803" s="142"/>
      <c r="AN803" s="142"/>
      <c r="AO803" s="142"/>
    </row>
    <row r="804" ht="15.75" customHeight="1">
      <c r="A804" s="142"/>
      <c r="B804" s="142"/>
      <c r="C804" s="142"/>
      <c r="D804" s="142"/>
      <c r="E804" s="131"/>
      <c r="F804" s="142"/>
      <c r="G804" s="142"/>
      <c r="H804" s="142"/>
      <c r="I804" s="142"/>
      <c r="J804" s="142"/>
      <c r="K804" s="132"/>
      <c r="L804" s="131"/>
      <c r="M804" s="131"/>
      <c r="N804" s="142"/>
      <c r="O804" s="142"/>
      <c r="P804" s="142"/>
      <c r="Q804" s="142"/>
      <c r="R804" s="142"/>
      <c r="S804" s="142"/>
      <c r="T804" s="131"/>
      <c r="U804" s="131"/>
      <c r="V804" s="131"/>
      <c r="W804" s="131"/>
      <c r="X804" s="131"/>
      <c r="Y804" s="131"/>
      <c r="Z804" s="142"/>
      <c r="AA804" s="142"/>
      <c r="AB804" s="142"/>
      <c r="AC804" s="142"/>
      <c r="AD804" s="142"/>
      <c r="AE804" s="142"/>
      <c r="AF804" s="142"/>
      <c r="AG804" s="142"/>
      <c r="AH804" s="142"/>
      <c r="AI804" s="142"/>
      <c r="AJ804" s="142"/>
      <c r="AK804" s="142"/>
      <c r="AL804" s="142"/>
      <c r="AM804" s="142"/>
      <c r="AN804" s="142"/>
      <c r="AO804" s="142"/>
    </row>
    <row r="805" ht="15.75" customHeight="1">
      <c r="A805" s="142"/>
      <c r="B805" s="142"/>
      <c r="C805" s="142"/>
      <c r="D805" s="142"/>
      <c r="E805" s="131"/>
      <c r="F805" s="142"/>
      <c r="G805" s="142"/>
      <c r="H805" s="142"/>
      <c r="I805" s="142"/>
      <c r="J805" s="142"/>
      <c r="K805" s="132"/>
      <c r="L805" s="131"/>
      <c r="M805" s="131"/>
      <c r="N805" s="142"/>
      <c r="O805" s="142"/>
      <c r="P805" s="142"/>
      <c r="Q805" s="142"/>
      <c r="R805" s="142"/>
      <c r="S805" s="142"/>
      <c r="T805" s="131"/>
      <c r="U805" s="131"/>
      <c r="V805" s="131"/>
      <c r="W805" s="131"/>
      <c r="X805" s="131"/>
      <c r="Y805" s="131"/>
      <c r="Z805" s="142"/>
      <c r="AA805" s="142"/>
      <c r="AB805" s="142"/>
      <c r="AC805" s="142"/>
      <c r="AD805" s="142"/>
      <c r="AE805" s="142"/>
      <c r="AF805" s="142"/>
      <c r="AG805" s="142"/>
      <c r="AH805" s="142"/>
      <c r="AI805" s="142"/>
      <c r="AJ805" s="142"/>
      <c r="AK805" s="142"/>
      <c r="AL805" s="142"/>
      <c r="AM805" s="142"/>
      <c r="AN805" s="142"/>
      <c r="AO805" s="142"/>
    </row>
    <row r="806" ht="15.75" customHeight="1">
      <c r="A806" s="142"/>
      <c r="B806" s="142"/>
      <c r="C806" s="142"/>
      <c r="D806" s="142"/>
      <c r="E806" s="131"/>
      <c r="F806" s="142"/>
      <c r="G806" s="142"/>
      <c r="H806" s="142"/>
      <c r="I806" s="142"/>
      <c r="J806" s="142"/>
      <c r="K806" s="132"/>
      <c r="L806" s="131"/>
      <c r="M806" s="131"/>
      <c r="N806" s="142"/>
      <c r="O806" s="142"/>
      <c r="P806" s="142"/>
      <c r="Q806" s="142"/>
      <c r="R806" s="142"/>
      <c r="S806" s="142"/>
      <c r="T806" s="131"/>
      <c r="U806" s="131"/>
      <c r="V806" s="131"/>
      <c r="W806" s="131"/>
      <c r="X806" s="131"/>
      <c r="Y806" s="131"/>
      <c r="Z806" s="142"/>
      <c r="AA806" s="142"/>
      <c r="AB806" s="142"/>
      <c r="AC806" s="142"/>
      <c r="AD806" s="142"/>
      <c r="AE806" s="142"/>
      <c r="AF806" s="142"/>
      <c r="AG806" s="142"/>
      <c r="AH806" s="142"/>
      <c r="AI806" s="142"/>
      <c r="AJ806" s="142"/>
      <c r="AK806" s="142"/>
      <c r="AL806" s="142"/>
      <c r="AM806" s="142"/>
      <c r="AN806" s="142"/>
      <c r="AO806" s="142"/>
    </row>
    <row r="807" ht="15.75" customHeight="1">
      <c r="A807" s="142"/>
      <c r="B807" s="142"/>
      <c r="C807" s="142"/>
      <c r="D807" s="142"/>
      <c r="E807" s="131"/>
      <c r="F807" s="142"/>
      <c r="G807" s="142"/>
      <c r="H807" s="142"/>
      <c r="I807" s="142"/>
      <c r="J807" s="142"/>
      <c r="K807" s="132"/>
      <c r="L807" s="131"/>
      <c r="M807" s="131"/>
      <c r="N807" s="142"/>
      <c r="O807" s="142"/>
      <c r="P807" s="142"/>
      <c r="Q807" s="142"/>
      <c r="R807" s="142"/>
      <c r="S807" s="142"/>
      <c r="T807" s="131"/>
      <c r="U807" s="131"/>
      <c r="V807" s="131"/>
      <c r="W807" s="131"/>
      <c r="X807" s="131"/>
      <c r="Y807" s="131"/>
      <c r="Z807" s="142"/>
      <c r="AA807" s="142"/>
      <c r="AB807" s="142"/>
      <c r="AC807" s="142"/>
      <c r="AD807" s="142"/>
      <c r="AE807" s="142"/>
      <c r="AF807" s="142"/>
      <c r="AG807" s="142"/>
      <c r="AH807" s="142"/>
      <c r="AI807" s="142"/>
      <c r="AJ807" s="142"/>
      <c r="AK807" s="142"/>
      <c r="AL807" s="142"/>
      <c r="AM807" s="142"/>
      <c r="AN807" s="142"/>
      <c r="AO807" s="142"/>
    </row>
    <row r="808" ht="15.75" customHeight="1">
      <c r="A808" s="142"/>
      <c r="B808" s="142"/>
      <c r="C808" s="142"/>
      <c r="D808" s="142"/>
      <c r="E808" s="131"/>
      <c r="F808" s="142"/>
      <c r="G808" s="142"/>
      <c r="H808" s="142"/>
      <c r="I808" s="142"/>
      <c r="J808" s="142"/>
      <c r="K808" s="132"/>
      <c r="L808" s="131"/>
      <c r="M808" s="131"/>
      <c r="N808" s="142"/>
      <c r="O808" s="142"/>
      <c r="P808" s="142"/>
      <c r="Q808" s="142"/>
      <c r="R808" s="142"/>
      <c r="S808" s="142"/>
      <c r="T808" s="131"/>
      <c r="U808" s="131"/>
      <c r="V808" s="131"/>
      <c r="W808" s="131"/>
      <c r="X808" s="131"/>
      <c r="Y808" s="131"/>
      <c r="Z808" s="142"/>
      <c r="AA808" s="142"/>
      <c r="AB808" s="142"/>
      <c r="AC808" s="142"/>
      <c r="AD808" s="142"/>
      <c r="AE808" s="142"/>
      <c r="AF808" s="142"/>
      <c r="AG808" s="142"/>
      <c r="AH808" s="142"/>
      <c r="AI808" s="142"/>
      <c r="AJ808" s="142"/>
      <c r="AK808" s="142"/>
      <c r="AL808" s="142"/>
      <c r="AM808" s="142"/>
      <c r="AN808" s="142"/>
      <c r="AO808" s="142"/>
    </row>
    <row r="809" ht="15.75" customHeight="1">
      <c r="A809" s="142"/>
      <c r="B809" s="142"/>
      <c r="C809" s="142"/>
      <c r="D809" s="142"/>
      <c r="E809" s="131"/>
      <c r="F809" s="142"/>
      <c r="G809" s="142"/>
      <c r="H809" s="142"/>
      <c r="I809" s="142"/>
      <c r="J809" s="142"/>
      <c r="K809" s="132"/>
      <c r="L809" s="131"/>
      <c r="M809" s="131"/>
      <c r="N809" s="142"/>
      <c r="O809" s="142"/>
      <c r="P809" s="142"/>
      <c r="Q809" s="142"/>
      <c r="R809" s="142"/>
      <c r="S809" s="142"/>
      <c r="T809" s="131"/>
      <c r="U809" s="131"/>
      <c r="V809" s="131"/>
      <c r="W809" s="131"/>
      <c r="X809" s="131"/>
      <c r="Y809" s="131"/>
      <c r="Z809" s="142"/>
      <c r="AA809" s="142"/>
      <c r="AB809" s="142"/>
      <c r="AC809" s="142"/>
      <c r="AD809" s="142"/>
      <c r="AE809" s="142"/>
      <c r="AF809" s="142"/>
      <c r="AG809" s="142"/>
      <c r="AH809" s="142"/>
      <c r="AI809" s="142"/>
      <c r="AJ809" s="142"/>
      <c r="AK809" s="142"/>
      <c r="AL809" s="142"/>
      <c r="AM809" s="142"/>
      <c r="AN809" s="142"/>
      <c r="AO809" s="142"/>
    </row>
    <row r="810" ht="15.75" customHeight="1">
      <c r="A810" s="142"/>
      <c r="B810" s="142"/>
      <c r="C810" s="142"/>
      <c r="D810" s="142"/>
      <c r="E810" s="131"/>
      <c r="F810" s="142"/>
      <c r="G810" s="142"/>
      <c r="H810" s="142"/>
      <c r="I810" s="142"/>
      <c r="J810" s="142"/>
      <c r="K810" s="132"/>
      <c r="L810" s="131"/>
      <c r="M810" s="131"/>
      <c r="N810" s="142"/>
      <c r="O810" s="142"/>
      <c r="P810" s="142"/>
      <c r="Q810" s="142"/>
      <c r="R810" s="142"/>
      <c r="S810" s="142"/>
      <c r="T810" s="131"/>
      <c r="U810" s="131"/>
      <c r="V810" s="131"/>
      <c r="W810" s="131"/>
      <c r="X810" s="131"/>
      <c r="Y810" s="131"/>
      <c r="Z810" s="142"/>
      <c r="AA810" s="142"/>
      <c r="AB810" s="142"/>
      <c r="AC810" s="142"/>
      <c r="AD810" s="142"/>
      <c r="AE810" s="142"/>
      <c r="AF810" s="142"/>
      <c r="AG810" s="142"/>
      <c r="AH810" s="142"/>
      <c r="AI810" s="142"/>
      <c r="AJ810" s="142"/>
      <c r="AK810" s="142"/>
      <c r="AL810" s="142"/>
      <c r="AM810" s="142"/>
      <c r="AN810" s="142"/>
      <c r="AO810" s="142"/>
    </row>
    <row r="811" ht="15.75" customHeight="1">
      <c r="A811" s="142"/>
      <c r="B811" s="142"/>
      <c r="C811" s="142"/>
      <c r="D811" s="142"/>
      <c r="E811" s="131"/>
      <c r="F811" s="142"/>
      <c r="G811" s="142"/>
      <c r="H811" s="142"/>
      <c r="I811" s="142"/>
      <c r="J811" s="142"/>
      <c r="K811" s="132"/>
      <c r="L811" s="131"/>
      <c r="M811" s="131"/>
      <c r="N811" s="142"/>
      <c r="O811" s="142"/>
      <c r="P811" s="142"/>
      <c r="Q811" s="142"/>
      <c r="R811" s="142"/>
      <c r="S811" s="142"/>
      <c r="T811" s="131"/>
      <c r="U811" s="131"/>
      <c r="V811" s="131"/>
      <c r="W811" s="131"/>
      <c r="X811" s="131"/>
      <c r="Y811" s="131"/>
      <c r="Z811" s="142"/>
      <c r="AA811" s="142"/>
      <c r="AB811" s="142"/>
      <c r="AC811" s="142"/>
      <c r="AD811" s="142"/>
      <c r="AE811" s="142"/>
      <c r="AF811" s="142"/>
      <c r="AG811" s="142"/>
      <c r="AH811" s="142"/>
      <c r="AI811" s="142"/>
      <c r="AJ811" s="142"/>
      <c r="AK811" s="142"/>
      <c r="AL811" s="142"/>
      <c r="AM811" s="142"/>
      <c r="AN811" s="142"/>
      <c r="AO811" s="142"/>
    </row>
    <row r="812" ht="15.75" customHeight="1">
      <c r="A812" s="142"/>
      <c r="B812" s="142"/>
      <c r="C812" s="142"/>
      <c r="D812" s="142"/>
      <c r="E812" s="131"/>
      <c r="F812" s="142"/>
      <c r="G812" s="142"/>
      <c r="H812" s="142"/>
      <c r="I812" s="142"/>
      <c r="J812" s="142"/>
      <c r="K812" s="132"/>
      <c r="L812" s="131"/>
      <c r="M812" s="131"/>
      <c r="N812" s="142"/>
      <c r="O812" s="142"/>
      <c r="P812" s="142"/>
      <c r="Q812" s="142"/>
      <c r="R812" s="142"/>
      <c r="S812" s="142"/>
      <c r="T812" s="131"/>
      <c r="U812" s="131"/>
      <c r="V812" s="131"/>
      <c r="W812" s="131"/>
      <c r="X812" s="131"/>
      <c r="Y812" s="131"/>
      <c r="Z812" s="142"/>
      <c r="AA812" s="142"/>
      <c r="AB812" s="142"/>
      <c r="AC812" s="142"/>
      <c r="AD812" s="142"/>
      <c r="AE812" s="142"/>
      <c r="AF812" s="142"/>
      <c r="AG812" s="142"/>
      <c r="AH812" s="142"/>
      <c r="AI812" s="142"/>
      <c r="AJ812" s="142"/>
      <c r="AK812" s="142"/>
      <c r="AL812" s="142"/>
      <c r="AM812" s="142"/>
      <c r="AN812" s="142"/>
      <c r="AO812" s="142"/>
    </row>
    <row r="813" ht="15.75" customHeight="1">
      <c r="A813" s="142"/>
      <c r="B813" s="142"/>
      <c r="C813" s="142"/>
      <c r="D813" s="142"/>
      <c r="E813" s="131"/>
      <c r="F813" s="142"/>
      <c r="G813" s="142"/>
      <c r="H813" s="142"/>
      <c r="I813" s="142"/>
      <c r="J813" s="142"/>
      <c r="K813" s="132"/>
      <c r="L813" s="131"/>
      <c r="M813" s="131"/>
      <c r="N813" s="142"/>
      <c r="O813" s="142"/>
      <c r="P813" s="142"/>
      <c r="Q813" s="142"/>
      <c r="R813" s="142"/>
      <c r="S813" s="142"/>
      <c r="T813" s="131"/>
      <c r="U813" s="131"/>
      <c r="V813" s="131"/>
      <c r="W813" s="131"/>
      <c r="X813" s="131"/>
      <c r="Y813" s="131"/>
      <c r="Z813" s="142"/>
      <c r="AA813" s="142"/>
      <c r="AB813" s="142"/>
      <c r="AC813" s="142"/>
      <c r="AD813" s="142"/>
      <c r="AE813" s="142"/>
      <c r="AF813" s="142"/>
      <c r="AG813" s="142"/>
      <c r="AH813" s="142"/>
      <c r="AI813" s="142"/>
      <c r="AJ813" s="142"/>
      <c r="AK813" s="142"/>
      <c r="AL813" s="142"/>
      <c r="AM813" s="142"/>
      <c r="AN813" s="142"/>
      <c r="AO813" s="142"/>
    </row>
    <row r="814" ht="15.75" customHeight="1">
      <c r="A814" s="142"/>
      <c r="B814" s="142"/>
      <c r="C814" s="142"/>
      <c r="D814" s="142"/>
      <c r="E814" s="131"/>
      <c r="F814" s="142"/>
      <c r="G814" s="142"/>
      <c r="H814" s="142"/>
      <c r="I814" s="142"/>
      <c r="J814" s="142"/>
      <c r="K814" s="132"/>
      <c r="L814" s="131"/>
      <c r="M814" s="131"/>
      <c r="N814" s="142"/>
      <c r="O814" s="142"/>
      <c r="P814" s="142"/>
      <c r="Q814" s="142"/>
      <c r="R814" s="142"/>
      <c r="S814" s="142"/>
      <c r="T814" s="131"/>
      <c r="U814" s="131"/>
      <c r="V814" s="131"/>
      <c r="W814" s="131"/>
      <c r="X814" s="131"/>
      <c r="Y814" s="131"/>
      <c r="Z814" s="142"/>
      <c r="AA814" s="142"/>
      <c r="AB814" s="142"/>
      <c r="AC814" s="142"/>
      <c r="AD814" s="142"/>
      <c r="AE814" s="142"/>
      <c r="AF814" s="142"/>
      <c r="AG814" s="142"/>
      <c r="AH814" s="142"/>
      <c r="AI814" s="142"/>
      <c r="AJ814" s="142"/>
      <c r="AK814" s="142"/>
      <c r="AL814" s="142"/>
      <c r="AM814" s="142"/>
      <c r="AN814" s="142"/>
      <c r="AO814" s="142"/>
    </row>
    <row r="815" ht="15.75" customHeight="1">
      <c r="A815" s="142"/>
      <c r="B815" s="142"/>
      <c r="C815" s="142"/>
      <c r="D815" s="142"/>
      <c r="E815" s="131"/>
      <c r="F815" s="142"/>
      <c r="G815" s="142"/>
      <c r="H815" s="142"/>
      <c r="I815" s="142"/>
      <c r="J815" s="142"/>
      <c r="K815" s="132"/>
      <c r="L815" s="131"/>
      <c r="M815" s="131"/>
      <c r="N815" s="142"/>
      <c r="O815" s="142"/>
      <c r="P815" s="142"/>
      <c r="Q815" s="142"/>
      <c r="R815" s="142"/>
      <c r="S815" s="142"/>
      <c r="T815" s="131"/>
      <c r="U815" s="131"/>
      <c r="V815" s="131"/>
      <c r="W815" s="131"/>
      <c r="X815" s="131"/>
      <c r="Y815" s="131"/>
      <c r="Z815" s="142"/>
      <c r="AA815" s="142"/>
      <c r="AB815" s="142"/>
      <c r="AC815" s="142"/>
      <c r="AD815" s="142"/>
      <c r="AE815" s="142"/>
      <c r="AF815" s="142"/>
      <c r="AG815" s="142"/>
      <c r="AH815" s="142"/>
      <c r="AI815" s="142"/>
      <c r="AJ815" s="142"/>
      <c r="AK815" s="142"/>
      <c r="AL815" s="142"/>
      <c r="AM815" s="142"/>
      <c r="AN815" s="142"/>
      <c r="AO815" s="142"/>
    </row>
    <row r="816" ht="15.75" customHeight="1">
      <c r="A816" s="142"/>
      <c r="B816" s="142"/>
      <c r="C816" s="142"/>
      <c r="D816" s="142"/>
      <c r="E816" s="131"/>
      <c r="F816" s="142"/>
      <c r="G816" s="142"/>
      <c r="H816" s="142"/>
      <c r="I816" s="142"/>
      <c r="J816" s="142"/>
      <c r="K816" s="132"/>
      <c r="L816" s="131"/>
      <c r="M816" s="131"/>
      <c r="N816" s="142"/>
      <c r="O816" s="142"/>
      <c r="P816" s="142"/>
      <c r="Q816" s="142"/>
      <c r="R816" s="142"/>
      <c r="S816" s="142"/>
      <c r="T816" s="131"/>
      <c r="U816" s="131"/>
      <c r="V816" s="131"/>
      <c r="W816" s="131"/>
      <c r="X816" s="131"/>
      <c r="Y816" s="131"/>
      <c r="Z816" s="142"/>
      <c r="AA816" s="142"/>
      <c r="AB816" s="142"/>
      <c r="AC816" s="142"/>
      <c r="AD816" s="142"/>
      <c r="AE816" s="142"/>
      <c r="AF816" s="142"/>
      <c r="AG816" s="142"/>
      <c r="AH816" s="142"/>
      <c r="AI816" s="142"/>
      <c r="AJ816" s="142"/>
      <c r="AK816" s="142"/>
      <c r="AL816" s="142"/>
      <c r="AM816" s="142"/>
      <c r="AN816" s="142"/>
      <c r="AO816" s="142"/>
    </row>
    <row r="817" ht="15.75" customHeight="1">
      <c r="A817" s="142"/>
      <c r="B817" s="142"/>
      <c r="C817" s="142"/>
      <c r="D817" s="142"/>
      <c r="E817" s="131"/>
      <c r="F817" s="142"/>
      <c r="G817" s="142"/>
      <c r="H817" s="142"/>
      <c r="I817" s="142"/>
      <c r="J817" s="142"/>
      <c r="K817" s="132"/>
      <c r="L817" s="131"/>
      <c r="M817" s="131"/>
      <c r="N817" s="142"/>
      <c r="O817" s="142"/>
      <c r="P817" s="142"/>
      <c r="Q817" s="142"/>
      <c r="R817" s="142"/>
      <c r="S817" s="142"/>
      <c r="T817" s="131"/>
      <c r="U817" s="131"/>
      <c r="V817" s="131"/>
      <c r="W817" s="131"/>
      <c r="X817" s="131"/>
      <c r="Y817" s="131"/>
      <c r="Z817" s="142"/>
      <c r="AA817" s="142"/>
      <c r="AB817" s="142"/>
      <c r="AC817" s="142"/>
      <c r="AD817" s="142"/>
      <c r="AE817" s="142"/>
      <c r="AF817" s="142"/>
      <c r="AG817" s="142"/>
      <c r="AH817" s="142"/>
      <c r="AI817" s="142"/>
      <c r="AJ817" s="142"/>
      <c r="AK817" s="142"/>
      <c r="AL817" s="142"/>
      <c r="AM817" s="142"/>
      <c r="AN817" s="142"/>
      <c r="AO817" s="142"/>
    </row>
    <row r="818" ht="15.75" customHeight="1">
      <c r="A818" s="142"/>
      <c r="B818" s="142"/>
      <c r="C818" s="142"/>
      <c r="D818" s="142"/>
      <c r="E818" s="131"/>
      <c r="F818" s="142"/>
      <c r="G818" s="142"/>
      <c r="H818" s="142"/>
      <c r="I818" s="142"/>
      <c r="J818" s="142"/>
      <c r="K818" s="132"/>
      <c r="L818" s="131"/>
      <c r="M818" s="131"/>
      <c r="N818" s="142"/>
      <c r="O818" s="142"/>
      <c r="P818" s="142"/>
      <c r="Q818" s="142"/>
      <c r="R818" s="142"/>
      <c r="S818" s="142"/>
      <c r="T818" s="131"/>
      <c r="U818" s="131"/>
      <c r="V818" s="131"/>
      <c r="W818" s="131"/>
      <c r="X818" s="131"/>
      <c r="Y818" s="131"/>
      <c r="Z818" s="142"/>
      <c r="AA818" s="142"/>
      <c r="AB818" s="142"/>
      <c r="AC818" s="142"/>
      <c r="AD818" s="142"/>
      <c r="AE818" s="142"/>
      <c r="AF818" s="142"/>
      <c r="AG818" s="142"/>
      <c r="AH818" s="142"/>
      <c r="AI818" s="142"/>
      <c r="AJ818" s="142"/>
      <c r="AK818" s="142"/>
      <c r="AL818" s="142"/>
      <c r="AM818" s="142"/>
      <c r="AN818" s="142"/>
      <c r="AO818" s="142"/>
    </row>
    <row r="819" ht="15.75" customHeight="1">
      <c r="A819" s="142"/>
      <c r="B819" s="142"/>
      <c r="C819" s="142"/>
      <c r="D819" s="142"/>
      <c r="E819" s="131"/>
      <c r="F819" s="142"/>
      <c r="G819" s="142"/>
      <c r="H819" s="142"/>
      <c r="I819" s="142"/>
      <c r="J819" s="142"/>
      <c r="K819" s="132"/>
      <c r="L819" s="131"/>
      <c r="M819" s="131"/>
      <c r="N819" s="142"/>
      <c r="O819" s="142"/>
      <c r="P819" s="142"/>
      <c r="Q819" s="142"/>
      <c r="R819" s="142"/>
      <c r="S819" s="142"/>
      <c r="T819" s="131"/>
      <c r="U819" s="131"/>
      <c r="V819" s="131"/>
      <c r="W819" s="131"/>
      <c r="X819" s="131"/>
      <c r="Y819" s="131"/>
      <c r="Z819" s="142"/>
      <c r="AA819" s="142"/>
      <c r="AB819" s="142"/>
      <c r="AC819" s="142"/>
      <c r="AD819" s="142"/>
      <c r="AE819" s="142"/>
      <c r="AF819" s="142"/>
      <c r="AG819" s="142"/>
      <c r="AH819" s="142"/>
      <c r="AI819" s="142"/>
      <c r="AJ819" s="142"/>
      <c r="AK819" s="142"/>
      <c r="AL819" s="142"/>
      <c r="AM819" s="142"/>
      <c r="AN819" s="142"/>
      <c r="AO819" s="142"/>
    </row>
    <row r="820" ht="15.75" customHeight="1">
      <c r="A820" s="142"/>
      <c r="B820" s="142"/>
      <c r="C820" s="142"/>
      <c r="D820" s="142"/>
      <c r="E820" s="131"/>
      <c r="F820" s="142"/>
      <c r="G820" s="142"/>
      <c r="H820" s="142"/>
      <c r="I820" s="142"/>
      <c r="J820" s="142"/>
      <c r="K820" s="132"/>
      <c r="L820" s="131"/>
      <c r="M820" s="131"/>
      <c r="N820" s="142"/>
      <c r="O820" s="142"/>
      <c r="P820" s="142"/>
      <c r="Q820" s="142"/>
      <c r="R820" s="142"/>
      <c r="S820" s="142"/>
      <c r="T820" s="131"/>
      <c r="U820" s="131"/>
      <c r="V820" s="131"/>
      <c r="W820" s="131"/>
      <c r="X820" s="131"/>
      <c r="Y820" s="131"/>
      <c r="Z820" s="142"/>
      <c r="AA820" s="142"/>
      <c r="AB820" s="142"/>
      <c r="AC820" s="142"/>
      <c r="AD820" s="142"/>
      <c r="AE820" s="142"/>
      <c r="AF820" s="142"/>
      <c r="AG820" s="142"/>
      <c r="AH820" s="142"/>
      <c r="AI820" s="142"/>
      <c r="AJ820" s="142"/>
      <c r="AK820" s="142"/>
      <c r="AL820" s="142"/>
      <c r="AM820" s="142"/>
      <c r="AN820" s="142"/>
      <c r="AO820" s="142"/>
    </row>
    <row r="821" ht="15.75" customHeight="1">
      <c r="A821" s="142"/>
      <c r="B821" s="142"/>
      <c r="C821" s="142"/>
      <c r="D821" s="142"/>
      <c r="E821" s="131"/>
      <c r="F821" s="142"/>
      <c r="G821" s="142"/>
      <c r="H821" s="142"/>
      <c r="I821" s="142"/>
      <c r="J821" s="142"/>
      <c r="K821" s="132"/>
      <c r="L821" s="131"/>
      <c r="M821" s="131"/>
      <c r="N821" s="142"/>
      <c r="O821" s="142"/>
      <c r="P821" s="142"/>
      <c r="Q821" s="142"/>
      <c r="R821" s="142"/>
      <c r="S821" s="142"/>
      <c r="T821" s="131"/>
      <c r="U821" s="131"/>
      <c r="V821" s="131"/>
      <c r="W821" s="131"/>
      <c r="X821" s="131"/>
      <c r="Y821" s="131"/>
      <c r="Z821" s="142"/>
      <c r="AA821" s="142"/>
      <c r="AB821" s="142"/>
      <c r="AC821" s="142"/>
      <c r="AD821" s="142"/>
      <c r="AE821" s="142"/>
      <c r="AF821" s="142"/>
      <c r="AG821" s="142"/>
      <c r="AH821" s="142"/>
      <c r="AI821" s="142"/>
      <c r="AJ821" s="142"/>
      <c r="AK821" s="142"/>
      <c r="AL821" s="142"/>
      <c r="AM821" s="142"/>
      <c r="AN821" s="142"/>
      <c r="AO821" s="142"/>
    </row>
    <row r="822" ht="15.75" customHeight="1">
      <c r="A822" s="142"/>
      <c r="B822" s="142"/>
      <c r="C822" s="142"/>
      <c r="D822" s="142"/>
      <c r="E822" s="131"/>
      <c r="F822" s="142"/>
      <c r="G822" s="142"/>
      <c r="H822" s="142"/>
      <c r="I822" s="142"/>
      <c r="J822" s="142"/>
      <c r="K822" s="132"/>
      <c r="L822" s="131"/>
      <c r="M822" s="131"/>
      <c r="N822" s="142"/>
      <c r="O822" s="142"/>
      <c r="P822" s="142"/>
      <c r="Q822" s="142"/>
      <c r="R822" s="142"/>
      <c r="S822" s="142"/>
      <c r="T822" s="131"/>
      <c r="U822" s="131"/>
      <c r="V822" s="131"/>
      <c r="W822" s="131"/>
      <c r="X822" s="131"/>
      <c r="Y822" s="131"/>
      <c r="Z822" s="142"/>
      <c r="AA822" s="142"/>
      <c r="AB822" s="142"/>
      <c r="AC822" s="142"/>
      <c r="AD822" s="142"/>
      <c r="AE822" s="142"/>
      <c r="AF822" s="142"/>
      <c r="AG822" s="142"/>
      <c r="AH822" s="142"/>
      <c r="AI822" s="142"/>
      <c r="AJ822" s="142"/>
      <c r="AK822" s="142"/>
      <c r="AL822" s="142"/>
      <c r="AM822" s="142"/>
      <c r="AN822" s="142"/>
      <c r="AO822" s="142"/>
    </row>
    <row r="823" ht="15.75" customHeight="1">
      <c r="A823" s="142"/>
      <c r="B823" s="142"/>
      <c r="C823" s="142"/>
      <c r="D823" s="142"/>
      <c r="E823" s="131"/>
      <c r="F823" s="142"/>
      <c r="G823" s="142"/>
      <c r="H823" s="142"/>
      <c r="I823" s="142"/>
      <c r="J823" s="142"/>
      <c r="K823" s="132"/>
      <c r="L823" s="131"/>
      <c r="M823" s="131"/>
      <c r="N823" s="142"/>
      <c r="O823" s="142"/>
      <c r="P823" s="142"/>
      <c r="Q823" s="142"/>
      <c r="R823" s="142"/>
      <c r="S823" s="142"/>
      <c r="T823" s="131"/>
      <c r="U823" s="131"/>
      <c r="V823" s="131"/>
      <c r="W823" s="131"/>
      <c r="X823" s="131"/>
      <c r="Y823" s="131"/>
      <c r="Z823" s="142"/>
      <c r="AA823" s="142"/>
      <c r="AB823" s="142"/>
      <c r="AC823" s="142"/>
      <c r="AD823" s="142"/>
      <c r="AE823" s="142"/>
      <c r="AF823" s="142"/>
      <c r="AG823" s="142"/>
      <c r="AH823" s="142"/>
      <c r="AI823" s="142"/>
      <c r="AJ823" s="142"/>
      <c r="AK823" s="142"/>
      <c r="AL823" s="142"/>
      <c r="AM823" s="142"/>
      <c r="AN823" s="142"/>
      <c r="AO823" s="142"/>
    </row>
    <row r="824" ht="15.75" customHeight="1">
      <c r="A824" s="142"/>
      <c r="B824" s="142"/>
      <c r="C824" s="142"/>
      <c r="D824" s="142"/>
      <c r="E824" s="131"/>
      <c r="F824" s="142"/>
      <c r="G824" s="142"/>
      <c r="H824" s="142"/>
      <c r="I824" s="142"/>
      <c r="J824" s="142"/>
      <c r="K824" s="132"/>
      <c r="L824" s="131"/>
      <c r="M824" s="131"/>
      <c r="N824" s="142"/>
      <c r="O824" s="142"/>
      <c r="P824" s="142"/>
      <c r="Q824" s="142"/>
      <c r="R824" s="142"/>
      <c r="S824" s="142"/>
      <c r="T824" s="131"/>
      <c r="U824" s="131"/>
      <c r="V824" s="131"/>
      <c r="W824" s="131"/>
      <c r="X824" s="131"/>
      <c r="Y824" s="131"/>
      <c r="Z824" s="142"/>
      <c r="AA824" s="142"/>
      <c r="AB824" s="142"/>
      <c r="AC824" s="142"/>
      <c r="AD824" s="142"/>
      <c r="AE824" s="142"/>
      <c r="AF824" s="142"/>
      <c r="AG824" s="142"/>
      <c r="AH824" s="142"/>
      <c r="AI824" s="142"/>
      <c r="AJ824" s="142"/>
      <c r="AK824" s="142"/>
      <c r="AL824" s="142"/>
      <c r="AM824" s="142"/>
      <c r="AN824" s="142"/>
      <c r="AO824" s="142"/>
    </row>
    <row r="825" ht="15.75" customHeight="1">
      <c r="A825" s="142"/>
      <c r="B825" s="142"/>
      <c r="C825" s="142"/>
      <c r="D825" s="142"/>
      <c r="E825" s="131"/>
      <c r="F825" s="142"/>
      <c r="G825" s="142"/>
      <c r="H825" s="142"/>
      <c r="I825" s="142"/>
      <c r="J825" s="142"/>
      <c r="K825" s="132"/>
      <c r="L825" s="131"/>
      <c r="M825" s="131"/>
      <c r="N825" s="142"/>
      <c r="O825" s="142"/>
      <c r="P825" s="142"/>
      <c r="Q825" s="142"/>
      <c r="R825" s="142"/>
      <c r="S825" s="142"/>
      <c r="T825" s="131"/>
      <c r="U825" s="131"/>
      <c r="V825" s="131"/>
      <c r="W825" s="131"/>
      <c r="X825" s="131"/>
      <c r="Y825" s="131"/>
      <c r="Z825" s="142"/>
      <c r="AA825" s="142"/>
      <c r="AB825" s="142"/>
      <c r="AC825" s="142"/>
      <c r="AD825" s="142"/>
      <c r="AE825" s="142"/>
      <c r="AF825" s="142"/>
      <c r="AG825" s="142"/>
      <c r="AH825" s="142"/>
      <c r="AI825" s="142"/>
      <c r="AJ825" s="142"/>
      <c r="AK825" s="142"/>
      <c r="AL825" s="142"/>
      <c r="AM825" s="142"/>
      <c r="AN825" s="142"/>
      <c r="AO825" s="142"/>
    </row>
    <row r="826" ht="15.75" customHeight="1">
      <c r="A826" s="142"/>
      <c r="B826" s="142"/>
      <c r="C826" s="142"/>
      <c r="D826" s="142"/>
      <c r="E826" s="131"/>
      <c r="F826" s="142"/>
      <c r="G826" s="142"/>
      <c r="H826" s="142"/>
      <c r="I826" s="142"/>
      <c r="J826" s="142"/>
      <c r="K826" s="132"/>
      <c r="L826" s="131"/>
      <c r="M826" s="131"/>
      <c r="N826" s="142"/>
      <c r="O826" s="142"/>
      <c r="P826" s="142"/>
      <c r="Q826" s="142"/>
      <c r="R826" s="142"/>
      <c r="S826" s="142"/>
      <c r="T826" s="131"/>
      <c r="U826" s="131"/>
      <c r="V826" s="131"/>
      <c r="W826" s="131"/>
      <c r="X826" s="131"/>
      <c r="Y826" s="131"/>
      <c r="Z826" s="142"/>
      <c r="AA826" s="142"/>
      <c r="AB826" s="142"/>
      <c r="AC826" s="142"/>
      <c r="AD826" s="142"/>
      <c r="AE826" s="142"/>
      <c r="AF826" s="142"/>
      <c r="AG826" s="142"/>
      <c r="AH826" s="142"/>
      <c r="AI826" s="142"/>
      <c r="AJ826" s="142"/>
      <c r="AK826" s="142"/>
      <c r="AL826" s="142"/>
      <c r="AM826" s="142"/>
      <c r="AN826" s="142"/>
      <c r="AO826" s="142"/>
    </row>
    <row r="827" ht="15.75" customHeight="1">
      <c r="A827" s="142"/>
      <c r="B827" s="142"/>
      <c r="C827" s="142"/>
      <c r="D827" s="142"/>
      <c r="E827" s="131"/>
      <c r="F827" s="142"/>
      <c r="G827" s="142"/>
      <c r="H827" s="142"/>
      <c r="I827" s="142"/>
      <c r="J827" s="142"/>
      <c r="K827" s="132"/>
      <c r="L827" s="131"/>
      <c r="M827" s="131"/>
      <c r="N827" s="142"/>
      <c r="O827" s="142"/>
      <c r="P827" s="142"/>
      <c r="Q827" s="142"/>
      <c r="R827" s="142"/>
      <c r="S827" s="142"/>
      <c r="T827" s="131"/>
      <c r="U827" s="131"/>
      <c r="V827" s="131"/>
      <c r="W827" s="131"/>
      <c r="X827" s="131"/>
      <c r="Y827" s="131"/>
      <c r="Z827" s="142"/>
      <c r="AA827" s="142"/>
      <c r="AB827" s="142"/>
      <c r="AC827" s="142"/>
      <c r="AD827" s="142"/>
      <c r="AE827" s="142"/>
      <c r="AF827" s="142"/>
      <c r="AG827" s="142"/>
      <c r="AH827" s="142"/>
      <c r="AI827" s="142"/>
      <c r="AJ827" s="142"/>
      <c r="AK827" s="142"/>
      <c r="AL827" s="142"/>
      <c r="AM827" s="142"/>
      <c r="AN827" s="142"/>
      <c r="AO827" s="142"/>
    </row>
    <row r="828" ht="15.75" customHeight="1">
      <c r="A828" s="142"/>
      <c r="B828" s="142"/>
      <c r="C828" s="142"/>
      <c r="D828" s="142"/>
      <c r="E828" s="131"/>
      <c r="F828" s="142"/>
      <c r="G828" s="142"/>
      <c r="H828" s="142"/>
      <c r="I828" s="142"/>
      <c r="J828" s="142"/>
      <c r="K828" s="132"/>
      <c r="L828" s="131"/>
      <c r="M828" s="131"/>
      <c r="N828" s="142"/>
      <c r="O828" s="142"/>
      <c r="P828" s="142"/>
      <c r="Q828" s="142"/>
      <c r="R828" s="142"/>
      <c r="S828" s="142"/>
      <c r="T828" s="131"/>
      <c r="U828" s="131"/>
      <c r="V828" s="131"/>
      <c r="W828" s="131"/>
      <c r="X828" s="131"/>
      <c r="Y828" s="131"/>
      <c r="Z828" s="142"/>
      <c r="AA828" s="142"/>
      <c r="AB828" s="142"/>
      <c r="AC828" s="142"/>
      <c r="AD828" s="142"/>
      <c r="AE828" s="142"/>
      <c r="AF828" s="142"/>
      <c r="AG828" s="142"/>
      <c r="AH828" s="142"/>
      <c r="AI828" s="142"/>
      <c r="AJ828" s="142"/>
      <c r="AK828" s="142"/>
      <c r="AL828" s="142"/>
      <c r="AM828" s="142"/>
      <c r="AN828" s="142"/>
      <c r="AO828" s="142"/>
    </row>
    <row r="829" ht="15.75" customHeight="1">
      <c r="A829" s="142"/>
      <c r="B829" s="142"/>
      <c r="C829" s="142"/>
      <c r="D829" s="142"/>
      <c r="E829" s="131"/>
      <c r="F829" s="142"/>
      <c r="G829" s="142"/>
      <c r="H829" s="142"/>
      <c r="I829" s="142"/>
      <c r="J829" s="142"/>
      <c r="K829" s="132"/>
      <c r="L829" s="131"/>
      <c r="M829" s="131"/>
      <c r="N829" s="142"/>
      <c r="O829" s="142"/>
      <c r="P829" s="142"/>
      <c r="Q829" s="142"/>
      <c r="R829" s="142"/>
      <c r="S829" s="142"/>
      <c r="T829" s="131"/>
      <c r="U829" s="131"/>
      <c r="V829" s="131"/>
      <c r="W829" s="131"/>
      <c r="X829" s="131"/>
      <c r="Y829" s="131"/>
      <c r="Z829" s="142"/>
      <c r="AA829" s="142"/>
      <c r="AB829" s="142"/>
      <c r="AC829" s="142"/>
      <c r="AD829" s="142"/>
      <c r="AE829" s="142"/>
      <c r="AF829" s="142"/>
      <c r="AG829" s="142"/>
      <c r="AH829" s="142"/>
      <c r="AI829" s="142"/>
      <c r="AJ829" s="142"/>
      <c r="AK829" s="142"/>
      <c r="AL829" s="142"/>
      <c r="AM829" s="142"/>
      <c r="AN829" s="142"/>
      <c r="AO829" s="142"/>
    </row>
    <row r="830" ht="15.75" customHeight="1">
      <c r="A830" s="142"/>
      <c r="B830" s="142"/>
      <c r="C830" s="142"/>
      <c r="D830" s="142"/>
      <c r="E830" s="131"/>
      <c r="F830" s="142"/>
      <c r="G830" s="142"/>
      <c r="H830" s="142"/>
      <c r="I830" s="142"/>
      <c r="J830" s="142"/>
      <c r="K830" s="132"/>
      <c r="L830" s="131"/>
      <c r="M830" s="131"/>
      <c r="N830" s="142"/>
      <c r="O830" s="142"/>
      <c r="P830" s="142"/>
      <c r="Q830" s="142"/>
      <c r="R830" s="142"/>
      <c r="S830" s="142"/>
      <c r="T830" s="131"/>
      <c r="U830" s="131"/>
      <c r="V830" s="131"/>
      <c r="W830" s="131"/>
      <c r="X830" s="131"/>
      <c r="Y830" s="131"/>
      <c r="Z830" s="142"/>
      <c r="AA830" s="142"/>
      <c r="AB830" s="142"/>
      <c r="AC830" s="142"/>
      <c r="AD830" s="142"/>
      <c r="AE830" s="142"/>
      <c r="AF830" s="142"/>
      <c r="AG830" s="142"/>
      <c r="AH830" s="142"/>
      <c r="AI830" s="142"/>
      <c r="AJ830" s="142"/>
      <c r="AK830" s="142"/>
      <c r="AL830" s="142"/>
      <c r="AM830" s="142"/>
      <c r="AN830" s="142"/>
      <c r="AO830" s="142"/>
    </row>
    <row r="831" ht="15.75" customHeight="1">
      <c r="A831" s="142"/>
      <c r="B831" s="142"/>
      <c r="C831" s="142"/>
      <c r="D831" s="142"/>
      <c r="E831" s="131"/>
      <c r="F831" s="142"/>
      <c r="G831" s="142"/>
      <c r="H831" s="142"/>
      <c r="I831" s="142"/>
      <c r="J831" s="142"/>
      <c r="K831" s="132"/>
      <c r="L831" s="131"/>
      <c r="M831" s="131"/>
      <c r="N831" s="142"/>
      <c r="O831" s="142"/>
      <c r="P831" s="142"/>
      <c r="Q831" s="142"/>
      <c r="R831" s="142"/>
      <c r="S831" s="142"/>
      <c r="T831" s="131"/>
      <c r="U831" s="131"/>
      <c r="V831" s="131"/>
      <c r="W831" s="131"/>
      <c r="X831" s="131"/>
      <c r="Y831" s="131"/>
      <c r="Z831" s="142"/>
      <c r="AA831" s="142"/>
      <c r="AB831" s="142"/>
      <c r="AC831" s="142"/>
      <c r="AD831" s="142"/>
      <c r="AE831" s="142"/>
      <c r="AF831" s="142"/>
      <c r="AG831" s="142"/>
      <c r="AH831" s="142"/>
      <c r="AI831" s="142"/>
      <c r="AJ831" s="142"/>
      <c r="AK831" s="142"/>
      <c r="AL831" s="142"/>
      <c r="AM831" s="142"/>
      <c r="AN831" s="142"/>
      <c r="AO831" s="142"/>
    </row>
    <row r="832" ht="15.75" customHeight="1">
      <c r="A832" s="142"/>
      <c r="B832" s="142"/>
      <c r="C832" s="142"/>
      <c r="D832" s="142"/>
      <c r="E832" s="131"/>
      <c r="F832" s="142"/>
      <c r="G832" s="142"/>
      <c r="H832" s="142"/>
      <c r="I832" s="142"/>
      <c r="J832" s="142"/>
      <c r="K832" s="132"/>
      <c r="L832" s="131"/>
      <c r="M832" s="131"/>
      <c r="N832" s="142"/>
      <c r="O832" s="142"/>
      <c r="P832" s="142"/>
      <c r="Q832" s="142"/>
      <c r="R832" s="142"/>
      <c r="S832" s="142"/>
      <c r="T832" s="131"/>
      <c r="U832" s="131"/>
      <c r="V832" s="131"/>
      <c r="W832" s="131"/>
      <c r="X832" s="131"/>
      <c r="Y832" s="131"/>
      <c r="Z832" s="142"/>
      <c r="AA832" s="142"/>
      <c r="AB832" s="142"/>
      <c r="AC832" s="142"/>
      <c r="AD832" s="142"/>
      <c r="AE832" s="142"/>
      <c r="AF832" s="142"/>
      <c r="AG832" s="142"/>
      <c r="AH832" s="142"/>
      <c r="AI832" s="142"/>
      <c r="AJ832" s="142"/>
      <c r="AK832" s="142"/>
      <c r="AL832" s="142"/>
      <c r="AM832" s="142"/>
      <c r="AN832" s="142"/>
      <c r="AO832" s="142"/>
    </row>
    <row r="833" ht="15.75" customHeight="1">
      <c r="A833" s="142"/>
      <c r="B833" s="142"/>
      <c r="C833" s="142"/>
      <c r="D833" s="142"/>
      <c r="E833" s="131"/>
      <c r="F833" s="142"/>
      <c r="G833" s="142"/>
      <c r="H833" s="142"/>
      <c r="I833" s="142"/>
      <c r="J833" s="142"/>
      <c r="K833" s="132"/>
      <c r="L833" s="131"/>
      <c r="M833" s="131"/>
      <c r="N833" s="142"/>
      <c r="O833" s="142"/>
      <c r="P833" s="142"/>
      <c r="Q833" s="142"/>
      <c r="R833" s="142"/>
      <c r="S833" s="142"/>
      <c r="T833" s="131"/>
      <c r="U833" s="131"/>
      <c r="V833" s="131"/>
      <c r="W833" s="131"/>
      <c r="X833" s="131"/>
      <c r="Y833" s="131"/>
      <c r="Z833" s="142"/>
      <c r="AA833" s="142"/>
      <c r="AB833" s="142"/>
      <c r="AC833" s="142"/>
      <c r="AD833" s="142"/>
      <c r="AE833" s="142"/>
      <c r="AF833" s="142"/>
      <c r="AG833" s="142"/>
      <c r="AH833" s="142"/>
      <c r="AI833" s="142"/>
      <c r="AJ833" s="142"/>
      <c r="AK833" s="142"/>
      <c r="AL833" s="142"/>
      <c r="AM833" s="142"/>
      <c r="AN833" s="142"/>
      <c r="AO833" s="142"/>
    </row>
    <row r="834" ht="15.75" customHeight="1">
      <c r="A834" s="142"/>
      <c r="B834" s="142"/>
      <c r="C834" s="142"/>
      <c r="D834" s="142"/>
      <c r="E834" s="131"/>
      <c r="F834" s="142"/>
      <c r="G834" s="142"/>
      <c r="H834" s="142"/>
      <c r="I834" s="142"/>
      <c r="J834" s="142"/>
      <c r="K834" s="132"/>
      <c r="L834" s="131"/>
      <c r="M834" s="131"/>
      <c r="N834" s="142"/>
      <c r="O834" s="142"/>
      <c r="P834" s="142"/>
      <c r="Q834" s="142"/>
      <c r="R834" s="142"/>
      <c r="S834" s="142"/>
      <c r="T834" s="131"/>
      <c r="U834" s="131"/>
      <c r="V834" s="131"/>
      <c r="W834" s="131"/>
      <c r="X834" s="131"/>
      <c r="Y834" s="131"/>
      <c r="Z834" s="142"/>
      <c r="AA834" s="142"/>
      <c r="AB834" s="142"/>
      <c r="AC834" s="142"/>
      <c r="AD834" s="142"/>
      <c r="AE834" s="142"/>
      <c r="AF834" s="142"/>
      <c r="AG834" s="142"/>
      <c r="AH834" s="142"/>
      <c r="AI834" s="142"/>
      <c r="AJ834" s="142"/>
      <c r="AK834" s="142"/>
      <c r="AL834" s="142"/>
      <c r="AM834" s="142"/>
      <c r="AN834" s="142"/>
      <c r="AO834" s="142"/>
    </row>
    <row r="835" ht="15.75" customHeight="1">
      <c r="A835" s="142"/>
      <c r="B835" s="142"/>
      <c r="C835" s="142"/>
      <c r="D835" s="142"/>
      <c r="E835" s="131"/>
      <c r="F835" s="142"/>
      <c r="G835" s="142"/>
      <c r="H835" s="142"/>
      <c r="I835" s="142"/>
      <c r="J835" s="142"/>
      <c r="K835" s="132"/>
      <c r="L835" s="131"/>
      <c r="M835" s="131"/>
      <c r="N835" s="142"/>
      <c r="O835" s="142"/>
      <c r="P835" s="142"/>
      <c r="Q835" s="142"/>
      <c r="R835" s="142"/>
      <c r="S835" s="142"/>
      <c r="T835" s="131"/>
      <c r="U835" s="131"/>
      <c r="V835" s="131"/>
      <c r="W835" s="131"/>
      <c r="X835" s="131"/>
      <c r="Y835" s="131"/>
      <c r="Z835" s="142"/>
      <c r="AA835" s="142"/>
      <c r="AB835" s="142"/>
      <c r="AC835" s="142"/>
      <c r="AD835" s="142"/>
      <c r="AE835" s="142"/>
      <c r="AF835" s="142"/>
      <c r="AG835" s="142"/>
      <c r="AH835" s="142"/>
      <c r="AI835" s="142"/>
      <c r="AJ835" s="142"/>
      <c r="AK835" s="142"/>
      <c r="AL835" s="142"/>
      <c r="AM835" s="142"/>
      <c r="AN835" s="142"/>
      <c r="AO835" s="142"/>
    </row>
    <row r="836" ht="15.75" customHeight="1">
      <c r="A836" s="142"/>
      <c r="B836" s="142"/>
      <c r="C836" s="142"/>
      <c r="D836" s="142"/>
      <c r="E836" s="131"/>
      <c r="F836" s="142"/>
      <c r="G836" s="142"/>
      <c r="H836" s="142"/>
      <c r="I836" s="142"/>
      <c r="J836" s="142"/>
      <c r="K836" s="132"/>
      <c r="L836" s="131"/>
      <c r="M836" s="131"/>
      <c r="N836" s="142"/>
      <c r="O836" s="142"/>
      <c r="P836" s="142"/>
      <c r="Q836" s="142"/>
      <c r="R836" s="142"/>
      <c r="S836" s="142"/>
      <c r="T836" s="131"/>
      <c r="U836" s="131"/>
      <c r="V836" s="131"/>
      <c r="W836" s="131"/>
      <c r="X836" s="131"/>
      <c r="Y836" s="131"/>
      <c r="Z836" s="142"/>
      <c r="AA836" s="142"/>
      <c r="AB836" s="142"/>
      <c r="AC836" s="142"/>
      <c r="AD836" s="142"/>
      <c r="AE836" s="142"/>
      <c r="AF836" s="142"/>
      <c r="AG836" s="142"/>
      <c r="AH836" s="142"/>
      <c r="AI836" s="142"/>
      <c r="AJ836" s="142"/>
      <c r="AK836" s="142"/>
      <c r="AL836" s="142"/>
      <c r="AM836" s="142"/>
      <c r="AN836" s="142"/>
      <c r="AO836" s="142"/>
    </row>
    <row r="837" ht="15.75" customHeight="1">
      <c r="A837" s="142"/>
      <c r="B837" s="142"/>
      <c r="C837" s="142"/>
      <c r="D837" s="142"/>
      <c r="E837" s="131"/>
      <c r="F837" s="142"/>
      <c r="G837" s="142"/>
      <c r="H837" s="142"/>
      <c r="I837" s="142"/>
      <c r="J837" s="142"/>
      <c r="K837" s="132"/>
      <c r="L837" s="131"/>
      <c r="M837" s="131"/>
      <c r="N837" s="142"/>
      <c r="O837" s="142"/>
      <c r="P837" s="142"/>
      <c r="Q837" s="142"/>
      <c r="R837" s="142"/>
      <c r="S837" s="142"/>
      <c r="T837" s="131"/>
      <c r="U837" s="131"/>
      <c r="V837" s="131"/>
      <c r="W837" s="131"/>
      <c r="X837" s="131"/>
      <c r="Y837" s="131"/>
      <c r="Z837" s="142"/>
      <c r="AA837" s="142"/>
      <c r="AB837" s="142"/>
      <c r="AC837" s="142"/>
      <c r="AD837" s="142"/>
      <c r="AE837" s="142"/>
      <c r="AF837" s="142"/>
      <c r="AG837" s="142"/>
      <c r="AH837" s="142"/>
      <c r="AI837" s="142"/>
      <c r="AJ837" s="142"/>
      <c r="AK837" s="142"/>
      <c r="AL837" s="142"/>
      <c r="AM837" s="142"/>
      <c r="AN837" s="142"/>
      <c r="AO837" s="142"/>
    </row>
    <row r="838" ht="15.75" customHeight="1">
      <c r="A838" s="142"/>
      <c r="B838" s="142"/>
      <c r="C838" s="142"/>
      <c r="D838" s="142"/>
      <c r="E838" s="131"/>
      <c r="F838" s="142"/>
      <c r="G838" s="142"/>
      <c r="H838" s="142"/>
      <c r="I838" s="142"/>
      <c r="J838" s="142"/>
      <c r="K838" s="132"/>
      <c r="L838" s="131"/>
      <c r="M838" s="131"/>
      <c r="N838" s="142"/>
      <c r="O838" s="142"/>
      <c r="P838" s="142"/>
      <c r="Q838" s="142"/>
      <c r="R838" s="142"/>
      <c r="S838" s="142"/>
      <c r="T838" s="131"/>
      <c r="U838" s="131"/>
      <c r="V838" s="131"/>
      <c r="W838" s="131"/>
      <c r="X838" s="131"/>
      <c r="Y838" s="131"/>
      <c r="Z838" s="142"/>
      <c r="AA838" s="142"/>
      <c r="AB838" s="142"/>
      <c r="AC838" s="142"/>
      <c r="AD838" s="142"/>
      <c r="AE838" s="142"/>
      <c r="AF838" s="142"/>
      <c r="AG838" s="142"/>
      <c r="AH838" s="142"/>
      <c r="AI838" s="142"/>
      <c r="AJ838" s="142"/>
      <c r="AK838" s="142"/>
      <c r="AL838" s="142"/>
      <c r="AM838" s="142"/>
      <c r="AN838" s="142"/>
      <c r="AO838" s="142"/>
    </row>
    <row r="839" ht="15.75" customHeight="1">
      <c r="A839" s="142"/>
      <c r="B839" s="142"/>
      <c r="C839" s="142"/>
      <c r="D839" s="142"/>
      <c r="E839" s="131"/>
      <c r="F839" s="142"/>
      <c r="G839" s="142"/>
      <c r="H839" s="142"/>
      <c r="I839" s="142"/>
      <c r="J839" s="142"/>
      <c r="K839" s="132"/>
      <c r="L839" s="131"/>
      <c r="M839" s="131"/>
      <c r="N839" s="142"/>
      <c r="O839" s="142"/>
      <c r="P839" s="142"/>
      <c r="Q839" s="142"/>
      <c r="R839" s="142"/>
      <c r="S839" s="142"/>
      <c r="T839" s="131"/>
      <c r="U839" s="131"/>
      <c r="V839" s="131"/>
      <c r="W839" s="131"/>
      <c r="X839" s="131"/>
      <c r="Y839" s="131"/>
      <c r="Z839" s="142"/>
      <c r="AA839" s="142"/>
      <c r="AB839" s="142"/>
      <c r="AC839" s="142"/>
      <c r="AD839" s="142"/>
      <c r="AE839" s="142"/>
      <c r="AF839" s="142"/>
      <c r="AG839" s="142"/>
      <c r="AH839" s="142"/>
      <c r="AI839" s="142"/>
      <c r="AJ839" s="142"/>
      <c r="AK839" s="142"/>
      <c r="AL839" s="142"/>
      <c r="AM839" s="142"/>
      <c r="AN839" s="142"/>
      <c r="AO839" s="142"/>
    </row>
    <row r="840" ht="15.75" customHeight="1">
      <c r="A840" s="142"/>
      <c r="B840" s="142"/>
      <c r="C840" s="142"/>
      <c r="D840" s="142"/>
      <c r="E840" s="131"/>
      <c r="F840" s="142"/>
      <c r="G840" s="142"/>
      <c r="H840" s="142"/>
      <c r="I840" s="142"/>
      <c r="J840" s="142"/>
      <c r="K840" s="132"/>
      <c r="L840" s="131"/>
      <c r="M840" s="131"/>
      <c r="N840" s="142"/>
      <c r="O840" s="142"/>
      <c r="P840" s="142"/>
      <c r="Q840" s="142"/>
      <c r="R840" s="142"/>
      <c r="S840" s="142"/>
      <c r="T840" s="131"/>
      <c r="U840" s="131"/>
      <c r="V840" s="131"/>
      <c r="W840" s="131"/>
      <c r="X840" s="131"/>
      <c r="Y840" s="131"/>
      <c r="Z840" s="142"/>
      <c r="AA840" s="142"/>
      <c r="AB840" s="142"/>
      <c r="AC840" s="142"/>
      <c r="AD840" s="142"/>
      <c r="AE840" s="142"/>
      <c r="AF840" s="142"/>
      <c r="AG840" s="142"/>
      <c r="AH840" s="142"/>
      <c r="AI840" s="142"/>
      <c r="AJ840" s="142"/>
      <c r="AK840" s="142"/>
      <c r="AL840" s="142"/>
      <c r="AM840" s="142"/>
      <c r="AN840" s="142"/>
      <c r="AO840" s="142"/>
    </row>
    <row r="841" ht="15.75" customHeight="1">
      <c r="A841" s="142"/>
      <c r="B841" s="142"/>
      <c r="C841" s="142"/>
      <c r="D841" s="142"/>
      <c r="E841" s="131"/>
      <c r="F841" s="142"/>
      <c r="G841" s="142"/>
      <c r="H841" s="142"/>
      <c r="I841" s="142"/>
      <c r="J841" s="142"/>
      <c r="K841" s="132"/>
      <c r="L841" s="131"/>
      <c r="M841" s="131"/>
      <c r="N841" s="142"/>
      <c r="O841" s="142"/>
      <c r="P841" s="142"/>
      <c r="Q841" s="142"/>
      <c r="R841" s="142"/>
      <c r="S841" s="142"/>
      <c r="T841" s="131"/>
      <c r="U841" s="131"/>
      <c r="V841" s="131"/>
      <c r="W841" s="131"/>
      <c r="X841" s="131"/>
      <c r="Y841" s="131"/>
      <c r="Z841" s="142"/>
      <c r="AA841" s="142"/>
      <c r="AB841" s="142"/>
      <c r="AC841" s="142"/>
      <c r="AD841" s="142"/>
      <c r="AE841" s="142"/>
      <c r="AF841" s="142"/>
      <c r="AG841" s="142"/>
      <c r="AH841" s="142"/>
      <c r="AI841" s="142"/>
      <c r="AJ841" s="142"/>
      <c r="AK841" s="142"/>
      <c r="AL841" s="142"/>
      <c r="AM841" s="142"/>
      <c r="AN841" s="142"/>
      <c r="AO841" s="142"/>
    </row>
    <row r="842" ht="15.75" customHeight="1">
      <c r="A842" s="142"/>
      <c r="B842" s="142"/>
      <c r="C842" s="142"/>
      <c r="D842" s="142"/>
      <c r="E842" s="131"/>
      <c r="F842" s="142"/>
      <c r="G842" s="142"/>
      <c r="H842" s="142"/>
      <c r="I842" s="142"/>
      <c r="J842" s="142"/>
      <c r="K842" s="132"/>
      <c r="L842" s="131"/>
      <c r="M842" s="131"/>
      <c r="N842" s="142"/>
      <c r="O842" s="142"/>
      <c r="P842" s="142"/>
      <c r="Q842" s="142"/>
      <c r="R842" s="142"/>
      <c r="S842" s="142"/>
      <c r="T842" s="131"/>
      <c r="U842" s="131"/>
      <c r="V842" s="131"/>
      <c r="W842" s="131"/>
      <c r="X842" s="131"/>
      <c r="Y842" s="131"/>
      <c r="Z842" s="142"/>
      <c r="AA842" s="142"/>
      <c r="AB842" s="142"/>
      <c r="AC842" s="142"/>
      <c r="AD842" s="142"/>
      <c r="AE842" s="142"/>
      <c r="AF842" s="142"/>
      <c r="AG842" s="142"/>
      <c r="AH842" s="142"/>
      <c r="AI842" s="142"/>
      <c r="AJ842" s="142"/>
      <c r="AK842" s="142"/>
      <c r="AL842" s="142"/>
      <c r="AM842" s="142"/>
      <c r="AN842" s="142"/>
      <c r="AO842" s="142"/>
    </row>
    <row r="843" ht="15.75" customHeight="1">
      <c r="A843" s="142"/>
      <c r="B843" s="142"/>
      <c r="C843" s="142"/>
      <c r="D843" s="142"/>
      <c r="E843" s="131"/>
      <c r="F843" s="142"/>
      <c r="G843" s="142"/>
      <c r="H843" s="142"/>
      <c r="I843" s="142"/>
      <c r="J843" s="142"/>
      <c r="K843" s="132"/>
      <c r="L843" s="131"/>
      <c r="M843" s="131"/>
      <c r="N843" s="142"/>
      <c r="O843" s="142"/>
      <c r="P843" s="142"/>
      <c r="Q843" s="142"/>
      <c r="R843" s="142"/>
      <c r="S843" s="142"/>
      <c r="T843" s="131"/>
      <c r="U843" s="131"/>
      <c r="V843" s="131"/>
      <c r="W843" s="131"/>
      <c r="X843" s="131"/>
      <c r="Y843" s="131"/>
      <c r="Z843" s="142"/>
      <c r="AA843" s="142"/>
      <c r="AB843" s="142"/>
      <c r="AC843" s="142"/>
      <c r="AD843" s="142"/>
      <c r="AE843" s="142"/>
      <c r="AF843" s="142"/>
      <c r="AG843" s="142"/>
      <c r="AH843" s="142"/>
      <c r="AI843" s="142"/>
      <c r="AJ843" s="142"/>
      <c r="AK843" s="142"/>
      <c r="AL843" s="142"/>
      <c r="AM843" s="142"/>
      <c r="AN843" s="142"/>
      <c r="AO843" s="142"/>
    </row>
    <row r="844" ht="15.75" customHeight="1">
      <c r="A844" s="142"/>
      <c r="B844" s="142"/>
      <c r="C844" s="142"/>
      <c r="D844" s="142"/>
      <c r="E844" s="131"/>
      <c r="F844" s="142"/>
      <c r="G844" s="142"/>
      <c r="H844" s="142"/>
      <c r="I844" s="142"/>
      <c r="J844" s="142"/>
      <c r="K844" s="132"/>
      <c r="L844" s="131"/>
      <c r="M844" s="131"/>
      <c r="N844" s="142"/>
      <c r="O844" s="142"/>
      <c r="P844" s="142"/>
      <c r="Q844" s="142"/>
      <c r="R844" s="142"/>
      <c r="S844" s="142"/>
      <c r="T844" s="131"/>
      <c r="U844" s="131"/>
      <c r="V844" s="131"/>
      <c r="W844" s="131"/>
      <c r="X844" s="131"/>
      <c r="Y844" s="131"/>
      <c r="Z844" s="142"/>
      <c r="AA844" s="142"/>
      <c r="AB844" s="142"/>
      <c r="AC844" s="142"/>
      <c r="AD844" s="142"/>
      <c r="AE844" s="142"/>
      <c r="AF844" s="142"/>
      <c r="AG844" s="142"/>
      <c r="AH844" s="142"/>
      <c r="AI844" s="142"/>
      <c r="AJ844" s="142"/>
      <c r="AK844" s="142"/>
      <c r="AL844" s="142"/>
      <c r="AM844" s="142"/>
      <c r="AN844" s="142"/>
      <c r="AO844" s="142"/>
    </row>
    <row r="845" ht="15.75" customHeight="1">
      <c r="A845" s="142"/>
      <c r="B845" s="142"/>
      <c r="C845" s="142"/>
      <c r="D845" s="142"/>
      <c r="E845" s="131"/>
      <c r="F845" s="142"/>
      <c r="G845" s="142"/>
      <c r="H845" s="142"/>
      <c r="I845" s="142"/>
      <c r="J845" s="142"/>
      <c r="K845" s="132"/>
      <c r="L845" s="131"/>
      <c r="M845" s="131"/>
      <c r="N845" s="142"/>
      <c r="O845" s="142"/>
      <c r="P845" s="142"/>
      <c r="Q845" s="142"/>
      <c r="R845" s="142"/>
      <c r="S845" s="142"/>
      <c r="T845" s="131"/>
      <c r="U845" s="131"/>
      <c r="V845" s="131"/>
      <c r="W845" s="131"/>
      <c r="X845" s="131"/>
      <c r="Y845" s="131"/>
      <c r="Z845" s="142"/>
      <c r="AA845" s="142"/>
      <c r="AB845" s="142"/>
      <c r="AC845" s="142"/>
      <c r="AD845" s="142"/>
      <c r="AE845" s="142"/>
      <c r="AF845" s="142"/>
      <c r="AG845" s="142"/>
      <c r="AH845" s="142"/>
      <c r="AI845" s="142"/>
      <c r="AJ845" s="142"/>
      <c r="AK845" s="142"/>
      <c r="AL845" s="142"/>
      <c r="AM845" s="142"/>
      <c r="AN845" s="142"/>
      <c r="AO845" s="142"/>
    </row>
    <row r="846" ht="15.75" customHeight="1">
      <c r="A846" s="142"/>
      <c r="B846" s="142"/>
      <c r="C846" s="142"/>
      <c r="D846" s="142"/>
      <c r="E846" s="131"/>
      <c r="F846" s="142"/>
      <c r="G846" s="142"/>
      <c r="H846" s="142"/>
      <c r="I846" s="142"/>
      <c r="J846" s="142"/>
      <c r="K846" s="132"/>
      <c r="L846" s="131"/>
      <c r="M846" s="131"/>
      <c r="N846" s="142"/>
      <c r="O846" s="142"/>
      <c r="P846" s="142"/>
      <c r="Q846" s="142"/>
      <c r="R846" s="142"/>
      <c r="S846" s="142"/>
      <c r="T846" s="131"/>
      <c r="U846" s="131"/>
      <c r="V846" s="131"/>
      <c r="W846" s="131"/>
      <c r="X846" s="131"/>
      <c r="Y846" s="131"/>
      <c r="Z846" s="142"/>
      <c r="AA846" s="142"/>
      <c r="AB846" s="142"/>
      <c r="AC846" s="142"/>
      <c r="AD846" s="142"/>
      <c r="AE846" s="142"/>
      <c r="AF846" s="142"/>
      <c r="AG846" s="142"/>
      <c r="AH846" s="142"/>
      <c r="AI846" s="142"/>
      <c r="AJ846" s="142"/>
      <c r="AK846" s="142"/>
      <c r="AL846" s="142"/>
      <c r="AM846" s="142"/>
      <c r="AN846" s="142"/>
      <c r="AO846" s="142"/>
    </row>
    <row r="847" ht="15.75" customHeight="1">
      <c r="A847" s="142"/>
      <c r="B847" s="142"/>
      <c r="C847" s="142"/>
      <c r="D847" s="142"/>
      <c r="E847" s="131"/>
      <c r="F847" s="142"/>
      <c r="G847" s="142"/>
      <c r="H847" s="142"/>
      <c r="I847" s="142"/>
      <c r="J847" s="142"/>
      <c r="K847" s="132"/>
      <c r="L847" s="131"/>
      <c r="M847" s="131"/>
      <c r="N847" s="142"/>
      <c r="O847" s="142"/>
      <c r="P847" s="142"/>
      <c r="Q847" s="142"/>
      <c r="R847" s="142"/>
      <c r="S847" s="142"/>
      <c r="T847" s="131"/>
      <c r="U847" s="131"/>
      <c r="V847" s="131"/>
      <c r="W847" s="131"/>
      <c r="X847" s="131"/>
      <c r="Y847" s="131"/>
      <c r="Z847" s="142"/>
      <c r="AA847" s="142"/>
      <c r="AB847" s="142"/>
      <c r="AC847" s="142"/>
      <c r="AD847" s="142"/>
      <c r="AE847" s="142"/>
      <c r="AF847" s="142"/>
      <c r="AG847" s="142"/>
      <c r="AH847" s="142"/>
      <c r="AI847" s="142"/>
      <c r="AJ847" s="142"/>
      <c r="AK847" s="142"/>
      <c r="AL847" s="142"/>
      <c r="AM847" s="142"/>
      <c r="AN847" s="142"/>
      <c r="AO847" s="142"/>
    </row>
    <row r="848" ht="15.75" customHeight="1">
      <c r="A848" s="142"/>
      <c r="B848" s="142"/>
      <c r="C848" s="142"/>
      <c r="D848" s="142"/>
      <c r="E848" s="131"/>
      <c r="F848" s="142"/>
      <c r="G848" s="142"/>
      <c r="H848" s="142"/>
      <c r="I848" s="142"/>
      <c r="J848" s="142"/>
      <c r="K848" s="132"/>
      <c r="L848" s="131"/>
      <c r="M848" s="131"/>
      <c r="N848" s="142"/>
      <c r="O848" s="142"/>
      <c r="P848" s="142"/>
      <c r="Q848" s="142"/>
      <c r="R848" s="142"/>
      <c r="S848" s="142"/>
      <c r="T848" s="131"/>
      <c r="U848" s="131"/>
      <c r="V848" s="131"/>
      <c r="W848" s="131"/>
      <c r="X848" s="131"/>
      <c r="Y848" s="131"/>
      <c r="Z848" s="142"/>
      <c r="AA848" s="142"/>
      <c r="AB848" s="142"/>
      <c r="AC848" s="142"/>
      <c r="AD848" s="142"/>
      <c r="AE848" s="142"/>
      <c r="AF848" s="142"/>
      <c r="AG848" s="142"/>
      <c r="AH848" s="142"/>
      <c r="AI848" s="142"/>
      <c r="AJ848" s="142"/>
      <c r="AK848" s="142"/>
      <c r="AL848" s="142"/>
      <c r="AM848" s="142"/>
      <c r="AN848" s="142"/>
      <c r="AO848" s="142"/>
    </row>
    <row r="849" ht="15.75" customHeight="1">
      <c r="A849" s="142"/>
      <c r="B849" s="142"/>
      <c r="C849" s="142"/>
      <c r="D849" s="142"/>
      <c r="E849" s="131"/>
      <c r="F849" s="142"/>
      <c r="G849" s="142"/>
      <c r="H849" s="142"/>
      <c r="I849" s="142"/>
      <c r="J849" s="142"/>
      <c r="K849" s="132"/>
      <c r="L849" s="131"/>
      <c r="M849" s="131"/>
      <c r="N849" s="142"/>
      <c r="O849" s="142"/>
      <c r="P849" s="142"/>
      <c r="Q849" s="142"/>
      <c r="R849" s="142"/>
      <c r="S849" s="142"/>
      <c r="T849" s="131"/>
      <c r="U849" s="131"/>
      <c r="V849" s="131"/>
      <c r="W849" s="131"/>
      <c r="X849" s="131"/>
      <c r="Y849" s="131"/>
      <c r="Z849" s="142"/>
      <c r="AA849" s="142"/>
      <c r="AB849" s="142"/>
      <c r="AC849" s="142"/>
      <c r="AD849" s="142"/>
      <c r="AE849" s="142"/>
      <c r="AF849" s="142"/>
      <c r="AG849" s="142"/>
      <c r="AH849" s="142"/>
      <c r="AI849" s="142"/>
      <c r="AJ849" s="142"/>
      <c r="AK849" s="142"/>
      <c r="AL849" s="142"/>
      <c r="AM849" s="142"/>
      <c r="AN849" s="142"/>
      <c r="AO849" s="142"/>
    </row>
    <row r="850" ht="15.75" customHeight="1">
      <c r="A850" s="142"/>
      <c r="B850" s="142"/>
      <c r="C850" s="142"/>
      <c r="D850" s="142"/>
      <c r="E850" s="131"/>
      <c r="F850" s="142"/>
      <c r="G850" s="142"/>
      <c r="H850" s="142"/>
      <c r="I850" s="142"/>
      <c r="J850" s="142"/>
      <c r="K850" s="132"/>
      <c r="L850" s="131"/>
      <c r="M850" s="131"/>
      <c r="N850" s="142"/>
      <c r="O850" s="142"/>
      <c r="P850" s="142"/>
      <c r="Q850" s="142"/>
      <c r="R850" s="142"/>
      <c r="S850" s="142"/>
      <c r="T850" s="131"/>
      <c r="U850" s="131"/>
      <c r="V850" s="131"/>
      <c r="W850" s="131"/>
      <c r="X850" s="131"/>
      <c r="Y850" s="131"/>
      <c r="Z850" s="142"/>
      <c r="AA850" s="142"/>
      <c r="AB850" s="142"/>
      <c r="AC850" s="142"/>
      <c r="AD850" s="142"/>
      <c r="AE850" s="142"/>
      <c r="AF850" s="142"/>
      <c r="AG850" s="142"/>
      <c r="AH850" s="142"/>
      <c r="AI850" s="142"/>
      <c r="AJ850" s="142"/>
      <c r="AK850" s="142"/>
      <c r="AL850" s="142"/>
      <c r="AM850" s="142"/>
      <c r="AN850" s="142"/>
      <c r="AO850" s="142"/>
    </row>
    <row r="851" ht="15.75" customHeight="1">
      <c r="A851" s="142"/>
      <c r="B851" s="142"/>
      <c r="C851" s="142"/>
      <c r="D851" s="142"/>
      <c r="E851" s="131"/>
      <c r="F851" s="142"/>
      <c r="G851" s="142"/>
      <c r="H851" s="142"/>
      <c r="I851" s="142"/>
      <c r="J851" s="142"/>
      <c r="K851" s="132"/>
      <c r="L851" s="131"/>
      <c r="M851" s="131"/>
      <c r="N851" s="142"/>
      <c r="O851" s="142"/>
      <c r="P851" s="142"/>
      <c r="Q851" s="142"/>
      <c r="R851" s="142"/>
      <c r="S851" s="142"/>
      <c r="T851" s="131"/>
      <c r="U851" s="131"/>
      <c r="V851" s="131"/>
      <c r="W851" s="131"/>
      <c r="X851" s="131"/>
      <c r="Y851" s="131"/>
      <c r="Z851" s="142"/>
      <c r="AA851" s="142"/>
      <c r="AB851" s="142"/>
      <c r="AC851" s="142"/>
      <c r="AD851" s="142"/>
      <c r="AE851" s="142"/>
      <c r="AF851" s="142"/>
      <c r="AG851" s="142"/>
      <c r="AH851" s="142"/>
      <c r="AI851" s="142"/>
      <c r="AJ851" s="142"/>
      <c r="AK851" s="142"/>
      <c r="AL851" s="142"/>
      <c r="AM851" s="142"/>
      <c r="AN851" s="142"/>
      <c r="AO851" s="142"/>
    </row>
    <row r="852" ht="15.75" customHeight="1">
      <c r="A852" s="142"/>
      <c r="B852" s="142"/>
      <c r="C852" s="142"/>
      <c r="D852" s="142"/>
      <c r="E852" s="131"/>
      <c r="F852" s="142"/>
      <c r="G852" s="142"/>
      <c r="H852" s="142"/>
      <c r="I852" s="142"/>
      <c r="J852" s="142"/>
      <c r="K852" s="132"/>
      <c r="L852" s="131"/>
      <c r="M852" s="131"/>
      <c r="N852" s="142"/>
      <c r="O852" s="142"/>
      <c r="P852" s="142"/>
      <c r="Q852" s="142"/>
      <c r="R852" s="142"/>
      <c r="S852" s="142"/>
      <c r="T852" s="131"/>
      <c r="U852" s="131"/>
      <c r="V852" s="131"/>
      <c r="W852" s="131"/>
      <c r="X852" s="131"/>
      <c r="Y852" s="131"/>
      <c r="Z852" s="142"/>
      <c r="AA852" s="142"/>
      <c r="AB852" s="142"/>
      <c r="AC852" s="142"/>
      <c r="AD852" s="142"/>
      <c r="AE852" s="142"/>
      <c r="AF852" s="142"/>
      <c r="AG852" s="142"/>
      <c r="AH852" s="142"/>
      <c r="AI852" s="142"/>
      <c r="AJ852" s="142"/>
      <c r="AK852" s="142"/>
      <c r="AL852" s="142"/>
      <c r="AM852" s="142"/>
      <c r="AN852" s="142"/>
      <c r="AO852" s="142"/>
    </row>
    <row r="853" ht="15.75" customHeight="1">
      <c r="A853" s="142"/>
      <c r="B853" s="142"/>
      <c r="C853" s="142"/>
      <c r="D853" s="142"/>
      <c r="E853" s="131"/>
      <c r="F853" s="142"/>
      <c r="G853" s="142"/>
      <c r="H853" s="142"/>
      <c r="I853" s="142"/>
      <c r="J853" s="142"/>
      <c r="K853" s="132"/>
      <c r="L853" s="131"/>
      <c r="M853" s="131"/>
      <c r="N853" s="142"/>
      <c r="O853" s="142"/>
      <c r="P853" s="142"/>
      <c r="Q853" s="142"/>
      <c r="R853" s="142"/>
      <c r="S853" s="142"/>
      <c r="T853" s="131"/>
      <c r="U853" s="131"/>
      <c r="V853" s="131"/>
      <c r="W853" s="131"/>
      <c r="X853" s="131"/>
      <c r="Y853" s="131"/>
      <c r="Z853" s="142"/>
      <c r="AA853" s="142"/>
      <c r="AB853" s="142"/>
      <c r="AC853" s="142"/>
      <c r="AD853" s="142"/>
      <c r="AE853" s="142"/>
      <c r="AF853" s="142"/>
      <c r="AG853" s="142"/>
      <c r="AH853" s="142"/>
      <c r="AI853" s="142"/>
      <c r="AJ853" s="142"/>
      <c r="AK853" s="142"/>
      <c r="AL853" s="142"/>
      <c r="AM853" s="142"/>
      <c r="AN853" s="142"/>
      <c r="AO853" s="142"/>
    </row>
    <row r="854" ht="15.75" customHeight="1">
      <c r="A854" s="142"/>
      <c r="B854" s="142"/>
      <c r="C854" s="142"/>
      <c r="D854" s="142"/>
      <c r="E854" s="131"/>
      <c r="F854" s="142"/>
      <c r="G854" s="142"/>
      <c r="H854" s="142"/>
      <c r="I854" s="142"/>
      <c r="J854" s="142"/>
      <c r="K854" s="132"/>
      <c r="L854" s="131"/>
      <c r="M854" s="131"/>
      <c r="N854" s="142"/>
      <c r="O854" s="142"/>
      <c r="P854" s="142"/>
      <c r="Q854" s="142"/>
      <c r="R854" s="142"/>
      <c r="S854" s="142"/>
      <c r="T854" s="131"/>
      <c r="U854" s="131"/>
      <c r="V854" s="131"/>
      <c r="W854" s="131"/>
      <c r="X854" s="131"/>
      <c r="Y854" s="131"/>
      <c r="Z854" s="142"/>
      <c r="AA854" s="142"/>
      <c r="AB854" s="142"/>
      <c r="AC854" s="142"/>
      <c r="AD854" s="142"/>
      <c r="AE854" s="142"/>
      <c r="AF854" s="142"/>
      <c r="AG854" s="142"/>
      <c r="AH854" s="142"/>
      <c r="AI854" s="142"/>
      <c r="AJ854" s="142"/>
      <c r="AK854" s="142"/>
      <c r="AL854" s="142"/>
      <c r="AM854" s="142"/>
      <c r="AN854" s="142"/>
      <c r="AO854" s="142"/>
    </row>
    <row r="855" ht="15.75" customHeight="1">
      <c r="A855" s="142"/>
      <c r="B855" s="142"/>
      <c r="C855" s="142"/>
      <c r="D855" s="142"/>
      <c r="E855" s="131"/>
      <c r="F855" s="142"/>
      <c r="G855" s="142"/>
      <c r="H855" s="142"/>
      <c r="I855" s="142"/>
      <c r="J855" s="142"/>
      <c r="K855" s="132"/>
      <c r="L855" s="131"/>
      <c r="M855" s="131"/>
      <c r="N855" s="142"/>
      <c r="O855" s="142"/>
      <c r="P855" s="142"/>
      <c r="Q855" s="142"/>
      <c r="R855" s="142"/>
      <c r="S855" s="142"/>
      <c r="T855" s="131"/>
      <c r="U855" s="131"/>
      <c r="V855" s="131"/>
      <c r="W855" s="131"/>
      <c r="X855" s="131"/>
      <c r="Y855" s="131"/>
      <c r="Z855" s="142"/>
      <c r="AA855" s="142"/>
      <c r="AB855" s="142"/>
      <c r="AC855" s="142"/>
      <c r="AD855" s="142"/>
      <c r="AE855" s="142"/>
      <c r="AF855" s="142"/>
      <c r="AG855" s="142"/>
      <c r="AH855" s="142"/>
      <c r="AI855" s="142"/>
      <c r="AJ855" s="142"/>
      <c r="AK855" s="142"/>
      <c r="AL855" s="142"/>
      <c r="AM855" s="142"/>
      <c r="AN855" s="142"/>
      <c r="AO855" s="142"/>
    </row>
    <row r="856" ht="15.75" customHeight="1">
      <c r="A856" s="142"/>
      <c r="B856" s="142"/>
      <c r="C856" s="142"/>
      <c r="D856" s="142"/>
      <c r="E856" s="131"/>
      <c r="F856" s="142"/>
      <c r="G856" s="142"/>
      <c r="H856" s="142"/>
      <c r="I856" s="142"/>
      <c r="J856" s="142"/>
      <c r="K856" s="132"/>
      <c r="L856" s="131"/>
      <c r="M856" s="131"/>
      <c r="N856" s="142"/>
      <c r="O856" s="142"/>
      <c r="P856" s="142"/>
      <c r="Q856" s="142"/>
      <c r="R856" s="142"/>
      <c r="S856" s="142"/>
      <c r="T856" s="131"/>
      <c r="U856" s="131"/>
      <c r="V856" s="131"/>
      <c r="W856" s="131"/>
      <c r="X856" s="131"/>
      <c r="Y856" s="131"/>
      <c r="Z856" s="142"/>
      <c r="AA856" s="142"/>
      <c r="AB856" s="142"/>
      <c r="AC856" s="142"/>
      <c r="AD856" s="142"/>
      <c r="AE856" s="142"/>
      <c r="AF856" s="142"/>
      <c r="AG856" s="142"/>
      <c r="AH856" s="142"/>
      <c r="AI856" s="142"/>
      <c r="AJ856" s="142"/>
      <c r="AK856" s="142"/>
      <c r="AL856" s="142"/>
      <c r="AM856" s="142"/>
      <c r="AN856" s="142"/>
      <c r="AO856" s="142"/>
    </row>
    <row r="857" ht="15.75" customHeight="1">
      <c r="A857" s="142"/>
      <c r="B857" s="142"/>
      <c r="C857" s="142"/>
      <c r="D857" s="142"/>
      <c r="E857" s="131"/>
      <c r="F857" s="142"/>
      <c r="G857" s="142"/>
      <c r="H857" s="142"/>
      <c r="I857" s="142"/>
      <c r="J857" s="142"/>
      <c r="K857" s="132"/>
      <c r="L857" s="131"/>
      <c r="M857" s="131"/>
      <c r="N857" s="142"/>
      <c r="O857" s="142"/>
      <c r="P857" s="142"/>
      <c r="Q857" s="142"/>
      <c r="R857" s="142"/>
      <c r="S857" s="142"/>
      <c r="T857" s="131"/>
      <c r="U857" s="131"/>
      <c r="V857" s="131"/>
      <c r="W857" s="131"/>
      <c r="X857" s="131"/>
      <c r="Y857" s="131"/>
      <c r="Z857" s="142"/>
      <c r="AA857" s="142"/>
      <c r="AB857" s="142"/>
      <c r="AC857" s="142"/>
      <c r="AD857" s="142"/>
      <c r="AE857" s="142"/>
      <c r="AF857" s="142"/>
      <c r="AG857" s="142"/>
      <c r="AH857" s="142"/>
      <c r="AI857" s="142"/>
      <c r="AJ857" s="142"/>
      <c r="AK857" s="142"/>
      <c r="AL857" s="142"/>
      <c r="AM857" s="142"/>
      <c r="AN857" s="142"/>
      <c r="AO857" s="142"/>
    </row>
    <row r="858" ht="15.75" customHeight="1">
      <c r="A858" s="142"/>
      <c r="B858" s="142"/>
      <c r="C858" s="142"/>
      <c r="D858" s="142"/>
      <c r="E858" s="131"/>
      <c r="F858" s="142"/>
      <c r="G858" s="142"/>
      <c r="H858" s="142"/>
      <c r="I858" s="142"/>
      <c r="J858" s="142"/>
      <c r="K858" s="132"/>
      <c r="L858" s="131"/>
      <c r="M858" s="131"/>
      <c r="N858" s="142"/>
      <c r="O858" s="142"/>
      <c r="P858" s="142"/>
      <c r="Q858" s="142"/>
      <c r="R858" s="142"/>
      <c r="S858" s="142"/>
      <c r="T858" s="131"/>
      <c r="U858" s="131"/>
      <c r="V858" s="131"/>
      <c r="W858" s="131"/>
      <c r="X858" s="131"/>
      <c r="Y858" s="131"/>
      <c r="Z858" s="142"/>
      <c r="AA858" s="142"/>
      <c r="AB858" s="142"/>
      <c r="AC858" s="142"/>
      <c r="AD858" s="142"/>
      <c r="AE858" s="142"/>
      <c r="AF858" s="142"/>
      <c r="AG858" s="142"/>
      <c r="AH858" s="142"/>
      <c r="AI858" s="142"/>
      <c r="AJ858" s="142"/>
      <c r="AK858" s="142"/>
      <c r="AL858" s="142"/>
      <c r="AM858" s="142"/>
      <c r="AN858" s="142"/>
      <c r="AO858" s="142"/>
    </row>
    <row r="859" ht="15.75" customHeight="1">
      <c r="A859" s="142"/>
      <c r="B859" s="142"/>
      <c r="C859" s="142"/>
      <c r="D859" s="142"/>
      <c r="E859" s="131"/>
      <c r="F859" s="142"/>
      <c r="G859" s="142"/>
      <c r="H859" s="142"/>
      <c r="I859" s="142"/>
      <c r="J859" s="142"/>
      <c r="K859" s="132"/>
      <c r="L859" s="131"/>
      <c r="M859" s="131"/>
      <c r="N859" s="142"/>
      <c r="O859" s="142"/>
      <c r="P859" s="142"/>
      <c r="Q859" s="142"/>
      <c r="R859" s="142"/>
      <c r="S859" s="142"/>
      <c r="T859" s="131"/>
      <c r="U859" s="131"/>
      <c r="V859" s="131"/>
      <c r="W859" s="131"/>
      <c r="X859" s="131"/>
      <c r="Y859" s="131"/>
      <c r="Z859" s="142"/>
      <c r="AA859" s="142"/>
      <c r="AB859" s="142"/>
      <c r="AC859" s="142"/>
      <c r="AD859" s="142"/>
      <c r="AE859" s="142"/>
      <c r="AF859" s="142"/>
      <c r="AG859" s="142"/>
      <c r="AH859" s="142"/>
      <c r="AI859" s="142"/>
      <c r="AJ859" s="142"/>
      <c r="AK859" s="142"/>
      <c r="AL859" s="142"/>
      <c r="AM859" s="142"/>
      <c r="AN859" s="142"/>
      <c r="AO859" s="142"/>
    </row>
    <row r="860" ht="15.75" customHeight="1">
      <c r="A860" s="142"/>
      <c r="B860" s="142"/>
      <c r="C860" s="142"/>
      <c r="D860" s="142"/>
      <c r="E860" s="131"/>
      <c r="F860" s="142"/>
      <c r="G860" s="142"/>
      <c r="H860" s="142"/>
      <c r="I860" s="142"/>
      <c r="J860" s="142"/>
      <c r="K860" s="132"/>
      <c r="L860" s="131"/>
      <c r="M860" s="131"/>
      <c r="N860" s="142"/>
      <c r="O860" s="142"/>
      <c r="P860" s="142"/>
      <c r="Q860" s="142"/>
      <c r="R860" s="142"/>
      <c r="S860" s="142"/>
      <c r="T860" s="131"/>
      <c r="U860" s="131"/>
      <c r="V860" s="131"/>
      <c r="W860" s="131"/>
      <c r="X860" s="131"/>
      <c r="Y860" s="131"/>
      <c r="Z860" s="142"/>
      <c r="AA860" s="142"/>
      <c r="AB860" s="142"/>
      <c r="AC860" s="142"/>
      <c r="AD860" s="142"/>
      <c r="AE860" s="142"/>
      <c r="AF860" s="142"/>
      <c r="AG860" s="142"/>
      <c r="AH860" s="142"/>
      <c r="AI860" s="142"/>
      <c r="AJ860" s="142"/>
      <c r="AK860" s="142"/>
      <c r="AL860" s="142"/>
      <c r="AM860" s="142"/>
      <c r="AN860" s="142"/>
      <c r="AO860" s="142"/>
    </row>
    <row r="861" ht="15.75" customHeight="1">
      <c r="A861" s="142"/>
      <c r="B861" s="142"/>
      <c r="C861" s="142"/>
      <c r="D861" s="142"/>
      <c r="E861" s="131"/>
      <c r="F861" s="142"/>
      <c r="G861" s="142"/>
      <c r="H861" s="142"/>
      <c r="I861" s="142"/>
      <c r="J861" s="142"/>
      <c r="K861" s="132"/>
      <c r="L861" s="131"/>
      <c r="M861" s="131"/>
      <c r="N861" s="142"/>
      <c r="O861" s="142"/>
      <c r="P861" s="142"/>
      <c r="Q861" s="142"/>
      <c r="R861" s="142"/>
      <c r="S861" s="142"/>
      <c r="T861" s="131"/>
      <c r="U861" s="131"/>
      <c r="V861" s="131"/>
      <c r="W861" s="131"/>
      <c r="X861" s="131"/>
      <c r="Y861" s="131"/>
      <c r="Z861" s="142"/>
      <c r="AA861" s="142"/>
      <c r="AB861" s="142"/>
      <c r="AC861" s="142"/>
      <c r="AD861" s="142"/>
      <c r="AE861" s="142"/>
      <c r="AF861" s="142"/>
      <c r="AG861" s="142"/>
      <c r="AH861" s="142"/>
      <c r="AI861" s="142"/>
      <c r="AJ861" s="142"/>
      <c r="AK861" s="142"/>
      <c r="AL861" s="142"/>
      <c r="AM861" s="142"/>
      <c r="AN861" s="142"/>
      <c r="AO861" s="142"/>
    </row>
    <row r="862" ht="15.75" customHeight="1">
      <c r="A862" s="142"/>
      <c r="B862" s="142"/>
      <c r="C862" s="142"/>
      <c r="D862" s="142"/>
      <c r="E862" s="131"/>
      <c r="F862" s="142"/>
      <c r="G862" s="142"/>
      <c r="H862" s="142"/>
      <c r="I862" s="142"/>
      <c r="J862" s="142"/>
      <c r="K862" s="132"/>
      <c r="L862" s="131"/>
      <c r="M862" s="131"/>
      <c r="N862" s="142"/>
      <c r="O862" s="142"/>
      <c r="P862" s="142"/>
      <c r="Q862" s="142"/>
      <c r="R862" s="142"/>
      <c r="S862" s="142"/>
      <c r="T862" s="131"/>
      <c r="U862" s="131"/>
      <c r="V862" s="131"/>
      <c r="W862" s="131"/>
      <c r="X862" s="131"/>
      <c r="Y862" s="131"/>
      <c r="Z862" s="142"/>
      <c r="AA862" s="142"/>
      <c r="AB862" s="142"/>
      <c r="AC862" s="142"/>
      <c r="AD862" s="142"/>
      <c r="AE862" s="142"/>
      <c r="AF862" s="142"/>
      <c r="AG862" s="142"/>
      <c r="AH862" s="142"/>
      <c r="AI862" s="142"/>
      <c r="AJ862" s="142"/>
      <c r="AK862" s="142"/>
      <c r="AL862" s="142"/>
      <c r="AM862" s="142"/>
      <c r="AN862" s="142"/>
      <c r="AO862" s="142"/>
    </row>
    <row r="863" ht="15.75" customHeight="1">
      <c r="A863" s="142"/>
      <c r="B863" s="142"/>
      <c r="C863" s="142"/>
      <c r="D863" s="142"/>
      <c r="E863" s="131"/>
      <c r="F863" s="142"/>
      <c r="G863" s="142"/>
      <c r="H863" s="142"/>
      <c r="I863" s="142"/>
      <c r="J863" s="142"/>
      <c r="K863" s="132"/>
      <c r="L863" s="131"/>
      <c r="M863" s="131"/>
      <c r="N863" s="142"/>
      <c r="O863" s="142"/>
      <c r="P863" s="142"/>
      <c r="Q863" s="142"/>
      <c r="R863" s="142"/>
      <c r="S863" s="142"/>
      <c r="T863" s="131"/>
      <c r="U863" s="131"/>
      <c r="V863" s="131"/>
      <c r="W863" s="131"/>
      <c r="X863" s="131"/>
      <c r="Y863" s="131"/>
      <c r="Z863" s="142"/>
      <c r="AA863" s="142"/>
      <c r="AB863" s="142"/>
      <c r="AC863" s="142"/>
      <c r="AD863" s="142"/>
      <c r="AE863" s="142"/>
      <c r="AF863" s="142"/>
      <c r="AG863" s="142"/>
      <c r="AH863" s="142"/>
      <c r="AI863" s="142"/>
      <c r="AJ863" s="142"/>
      <c r="AK863" s="142"/>
      <c r="AL863" s="142"/>
      <c r="AM863" s="142"/>
      <c r="AN863" s="142"/>
      <c r="AO863" s="142"/>
    </row>
    <row r="864" ht="15.75" customHeight="1">
      <c r="A864" s="142"/>
      <c r="B864" s="142"/>
      <c r="C864" s="142"/>
      <c r="D864" s="142"/>
      <c r="E864" s="131"/>
      <c r="F864" s="142"/>
      <c r="G864" s="142"/>
      <c r="H864" s="142"/>
      <c r="I864" s="142"/>
      <c r="J864" s="142"/>
      <c r="K864" s="132"/>
      <c r="L864" s="131"/>
      <c r="M864" s="131"/>
      <c r="N864" s="142"/>
      <c r="O864" s="142"/>
      <c r="P864" s="142"/>
      <c r="Q864" s="142"/>
      <c r="R864" s="142"/>
      <c r="S864" s="142"/>
      <c r="T864" s="131"/>
      <c r="U864" s="131"/>
      <c r="V864" s="131"/>
      <c r="W864" s="131"/>
      <c r="X864" s="131"/>
      <c r="Y864" s="131"/>
      <c r="Z864" s="142"/>
      <c r="AA864" s="142"/>
      <c r="AB864" s="142"/>
      <c r="AC864" s="142"/>
      <c r="AD864" s="142"/>
      <c r="AE864" s="142"/>
      <c r="AF864" s="142"/>
      <c r="AG864" s="142"/>
      <c r="AH864" s="142"/>
      <c r="AI864" s="142"/>
      <c r="AJ864" s="142"/>
      <c r="AK864" s="142"/>
      <c r="AL864" s="142"/>
      <c r="AM864" s="142"/>
      <c r="AN864" s="142"/>
      <c r="AO864" s="142"/>
    </row>
    <row r="865" ht="15.75" customHeight="1">
      <c r="A865" s="142"/>
      <c r="B865" s="142"/>
      <c r="C865" s="142"/>
      <c r="D865" s="142"/>
      <c r="E865" s="131"/>
      <c r="F865" s="142"/>
      <c r="G865" s="142"/>
      <c r="H865" s="142"/>
      <c r="I865" s="142"/>
      <c r="J865" s="142"/>
      <c r="K865" s="132"/>
      <c r="L865" s="131"/>
      <c r="M865" s="131"/>
      <c r="N865" s="142"/>
      <c r="O865" s="142"/>
      <c r="P865" s="142"/>
      <c r="Q865" s="142"/>
      <c r="R865" s="142"/>
      <c r="S865" s="142"/>
      <c r="T865" s="131"/>
      <c r="U865" s="131"/>
      <c r="V865" s="131"/>
      <c r="W865" s="131"/>
      <c r="X865" s="131"/>
      <c r="Y865" s="131"/>
      <c r="Z865" s="142"/>
      <c r="AA865" s="142"/>
      <c r="AB865" s="142"/>
      <c r="AC865" s="142"/>
      <c r="AD865" s="142"/>
      <c r="AE865" s="142"/>
      <c r="AF865" s="142"/>
      <c r="AG865" s="142"/>
      <c r="AH865" s="142"/>
      <c r="AI865" s="142"/>
      <c r="AJ865" s="142"/>
      <c r="AK865" s="142"/>
      <c r="AL865" s="142"/>
      <c r="AM865" s="142"/>
      <c r="AN865" s="142"/>
      <c r="AO865" s="142"/>
    </row>
    <row r="866" ht="15.75" customHeight="1">
      <c r="A866" s="142"/>
      <c r="B866" s="142"/>
      <c r="C866" s="142"/>
      <c r="D866" s="142"/>
      <c r="E866" s="131"/>
      <c r="F866" s="142"/>
      <c r="G866" s="142"/>
      <c r="H866" s="142"/>
      <c r="I866" s="142"/>
      <c r="J866" s="142"/>
      <c r="K866" s="132"/>
      <c r="L866" s="131"/>
      <c r="M866" s="131"/>
      <c r="N866" s="142"/>
      <c r="O866" s="142"/>
      <c r="P866" s="142"/>
      <c r="Q866" s="142"/>
      <c r="R866" s="142"/>
      <c r="S866" s="142"/>
      <c r="T866" s="131"/>
      <c r="U866" s="131"/>
      <c r="V866" s="131"/>
      <c r="W866" s="131"/>
      <c r="X866" s="131"/>
      <c r="Y866" s="131"/>
      <c r="Z866" s="142"/>
      <c r="AA866" s="142"/>
      <c r="AB866" s="142"/>
      <c r="AC866" s="142"/>
      <c r="AD866" s="142"/>
      <c r="AE866" s="142"/>
      <c r="AF866" s="142"/>
      <c r="AG866" s="142"/>
      <c r="AH866" s="142"/>
      <c r="AI866" s="142"/>
      <c r="AJ866" s="142"/>
      <c r="AK866" s="142"/>
      <c r="AL866" s="142"/>
      <c r="AM866" s="142"/>
      <c r="AN866" s="142"/>
      <c r="AO866" s="142"/>
    </row>
    <row r="867" ht="15.75" customHeight="1">
      <c r="A867" s="142"/>
      <c r="B867" s="142"/>
      <c r="C867" s="142"/>
      <c r="D867" s="142"/>
      <c r="E867" s="131"/>
      <c r="F867" s="142"/>
      <c r="G867" s="142"/>
      <c r="H867" s="142"/>
      <c r="I867" s="142"/>
      <c r="J867" s="142"/>
      <c r="K867" s="132"/>
      <c r="L867" s="131"/>
      <c r="M867" s="131"/>
      <c r="N867" s="142"/>
      <c r="O867" s="142"/>
      <c r="P867" s="142"/>
      <c r="Q867" s="142"/>
      <c r="R867" s="142"/>
      <c r="S867" s="142"/>
      <c r="T867" s="131"/>
      <c r="U867" s="131"/>
      <c r="V867" s="131"/>
      <c r="W867" s="131"/>
      <c r="X867" s="131"/>
      <c r="Y867" s="131"/>
      <c r="Z867" s="142"/>
      <c r="AA867" s="142"/>
      <c r="AB867" s="142"/>
      <c r="AC867" s="142"/>
      <c r="AD867" s="142"/>
      <c r="AE867" s="142"/>
      <c r="AF867" s="142"/>
      <c r="AG867" s="142"/>
      <c r="AH867" s="142"/>
      <c r="AI867" s="142"/>
      <c r="AJ867" s="142"/>
      <c r="AK867" s="142"/>
      <c r="AL867" s="142"/>
      <c r="AM867" s="142"/>
      <c r="AN867" s="142"/>
      <c r="AO867" s="142"/>
    </row>
    <row r="868" ht="15.75" customHeight="1">
      <c r="A868" s="142"/>
      <c r="B868" s="142"/>
      <c r="C868" s="142"/>
      <c r="D868" s="142"/>
      <c r="E868" s="131"/>
      <c r="F868" s="142"/>
      <c r="G868" s="142"/>
      <c r="H868" s="142"/>
      <c r="I868" s="142"/>
      <c r="J868" s="142"/>
      <c r="K868" s="132"/>
      <c r="L868" s="131"/>
      <c r="M868" s="131"/>
      <c r="N868" s="142"/>
      <c r="O868" s="142"/>
      <c r="P868" s="142"/>
      <c r="Q868" s="142"/>
      <c r="R868" s="142"/>
      <c r="S868" s="142"/>
      <c r="T868" s="131"/>
      <c r="U868" s="131"/>
      <c r="V868" s="131"/>
      <c r="W868" s="131"/>
      <c r="X868" s="131"/>
      <c r="Y868" s="131"/>
      <c r="Z868" s="142"/>
      <c r="AA868" s="142"/>
      <c r="AB868" s="142"/>
      <c r="AC868" s="142"/>
      <c r="AD868" s="142"/>
      <c r="AE868" s="142"/>
      <c r="AF868" s="142"/>
      <c r="AG868" s="142"/>
      <c r="AH868" s="142"/>
      <c r="AI868" s="142"/>
      <c r="AJ868" s="142"/>
      <c r="AK868" s="142"/>
      <c r="AL868" s="142"/>
      <c r="AM868" s="142"/>
      <c r="AN868" s="142"/>
      <c r="AO868" s="142"/>
    </row>
    <row r="869" ht="15.75" customHeight="1">
      <c r="A869" s="142"/>
      <c r="B869" s="142"/>
      <c r="C869" s="142"/>
      <c r="D869" s="142"/>
      <c r="E869" s="131"/>
      <c r="F869" s="142"/>
      <c r="G869" s="142"/>
      <c r="H869" s="142"/>
      <c r="I869" s="142"/>
      <c r="J869" s="142"/>
      <c r="K869" s="132"/>
      <c r="L869" s="131"/>
      <c r="M869" s="131"/>
      <c r="N869" s="142"/>
      <c r="O869" s="142"/>
      <c r="P869" s="142"/>
      <c r="Q869" s="142"/>
      <c r="R869" s="142"/>
      <c r="S869" s="142"/>
      <c r="T869" s="131"/>
      <c r="U869" s="131"/>
      <c r="V869" s="131"/>
      <c r="W869" s="131"/>
      <c r="X869" s="131"/>
      <c r="Y869" s="131"/>
      <c r="Z869" s="142"/>
      <c r="AA869" s="142"/>
      <c r="AB869" s="142"/>
      <c r="AC869" s="142"/>
      <c r="AD869" s="142"/>
      <c r="AE869" s="142"/>
      <c r="AF869" s="142"/>
      <c r="AG869" s="142"/>
      <c r="AH869" s="142"/>
      <c r="AI869" s="142"/>
      <c r="AJ869" s="142"/>
      <c r="AK869" s="142"/>
      <c r="AL869" s="142"/>
      <c r="AM869" s="142"/>
      <c r="AN869" s="142"/>
      <c r="AO869" s="142"/>
    </row>
    <row r="870" ht="15.75" customHeight="1">
      <c r="A870" s="142"/>
      <c r="B870" s="142"/>
      <c r="C870" s="142"/>
      <c r="D870" s="142"/>
      <c r="E870" s="131"/>
      <c r="F870" s="142"/>
      <c r="G870" s="142"/>
      <c r="H870" s="142"/>
      <c r="I870" s="142"/>
      <c r="J870" s="142"/>
      <c r="K870" s="132"/>
      <c r="L870" s="131"/>
      <c r="M870" s="131"/>
      <c r="N870" s="142"/>
      <c r="O870" s="142"/>
      <c r="P870" s="142"/>
      <c r="Q870" s="142"/>
      <c r="R870" s="142"/>
      <c r="S870" s="142"/>
      <c r="T870" s="131"/>
      <c r="U870" s="131"/>
      <c r="V870" s="131"/>
      <c r="W870" s="131"/>
      <c r="X870" s="131"/>
      <c r="Y870" s="131"/>
      <c r="Z870" s="142"/>
      <c r="AA870" s="142"/>
      <c r="AB870" s="142"/>
      <c r="AC870" s="142"/>
      <c r="AD870" s="142"/>
      <c r="AE870" s="142"/>
      <c r="AF870" s="142"/>
      <c r="AG870" s="142"/>
      <c r="AH870" s="142"/>
      <c r="AI870" s="142"/>
      <c r="AJ870" s="142"/>
      <c r="AK870" s="142"/>
      <c r="AL870" s="142"/>
      <c r="AM870" s="142"/>
      <c r="AN870" s="142"/>
      <c r="AO870" s="142"/>
    </row>
    <row r="871" ht="15.75" customHeight="1">
      <c r="A871" s="142"/>
      <c r="B871" s="142"/>
      <c r="C871" s="142"/>
      <c r="D871" s="142"/>
      <c r="E871" s="131"/>
      <c r="F871" s="142"/>
      <c r="G871" s="142"/>
      <c r="H871" s="142"/>
      <c r="I871" s="142"/>
      <c r="J871" s="142"/>
      <c r="K871" s="132"/>
      <c r="L871" s="131"/>
      <c r="M871" s="131"/>
      <c r="N871" s="142"/>
      <c r="O871" s="142"/>
      <c r="P871" s="142"/>
      <c r="Q871" s="142"/>
      <c r="R871" s="142"/>
      <c r="S871" s="142"/>
      <c r="T871" s="131"/>
      <c r="U871" s="131"/>
      <c r="V871" s="131"/>
      <c r="W871" s="131"/>
      <c r="X871" s="131"/>
      <c r="Y871" s="131"/>
      <c r="Z871" s="142"/>
      <c r="AA871" s="142"/>
      <c r="AB871" s="142"/>
      <c r="AC871" s="142"/>
      <c r="AD871" s="142"/>
      <c r="AE871" s="142"/>
      <c r="AF871" s="142"/>
      <c r="AG871" s="142"/>
      <c r="AH871" s="142"/>
      <c r="AI871" s="142"/>
      <c r="AJ871" s="142"/>
      <c r="AK871" s="142"/>
      <c r="AL871" s="142"/>
      <c r="AM871" s="142"/>
      <c r="AN871" s="142"/>
      <c r="AO871" s="142"/>
    </row>
    <row r="872" ht="15.75" customHeight="1">
      <c r="A872" s="142"/>
      <c r="B872" s="142"/>
      <c r="C872" s="142"/>
      <c r="D872" s="142"/>
      <c r="E872" s="131"/>
      <c r="F872" s="142"/>
      <c r="G872" s="142"/>
      <c r="H872" s="142"/>
      <c r="I872" s="142"/>
      <c r="J872" s="142"/>
      <c r="K872" s="132"/>
      <c r="L872" s="131"/>
      <c r="M872" s="131"/>
      <c r="N872" s="142"/>
      <c r="O872" s="142"/>
      <c r="P872" s="142"/>
      <c r="Q872" s="142"/>
      <c r="R872" s="142"/>
      <c r="S872" s="142"/>
      <c r="T872" s="131"/>
      <c r="U872" s="131"/>
      <c r="V872" s="131"/>
      <c r="W872" s="131"/>
      <c r="X872" s="131"/>
      <c r="Y872" s="131"/>
      <c r="Z872" s="142"/>
      <c r="AA872" s="142"/>
      <c r="AB872" s="142"/>
      <c r="AC872" s="142"/>
      <c r="AD872" s="142"/>
      <c r="AE872" s="142"/>
      <c r="AF872" s="142"/>
      <c r="AG872" s="142"/>
      <c r="AH872" s="142"/>
      <c r="AI872" s="142"/>
      <c r="AJ872" s="142"/>
      <c r="AK872" s="142"/>
      <c r="AL872" s="142"/>
      <c r="AM872" s="142"/>
      <c r="AN872" s="142"/>
      <c r="AO872" s="142"/>
    </row>
    <row r="873" ht="15.75" customHeight="1">
      <c r="A873" s="142"/>
      <c r="B873" s="142"/>
      <c r="C873" s="142"/>
      <c r="D873" s="142"/>
      <c r="E873" s="131"/>
      <c r="F873" s="142"/>
      <c r="G873" s="142"/>
      <c r="H873" s="142"/>
      <c r="I873" s="142"/>
      <c r="J873" s="142"/>
      <c r="K873" s="132"/>
      <c r="L873" s="131"/>
      <c r="M873" s="131"/>
      <c r="N873" s="142"/>
      <c r="O873" s="142"/>
      <c r="P873" s="142"/>
      <c r="Q873" s="142"/>
      <c r="R873" s="142"/>
      <c r="S873" s="142"/>
      <c r="T873" s="131"/>
      <c r="U873" s="131"/>
      <c r="V873" s="131"/>
      <c r="W873" s="131"/>
      <c r="X873" s="131"/>
      <c r="Y873" s="131"/>
      <c r="Z873" s="142"/>
      <c r="AA873" s="142"/>
      <c r="AB873" s="142"/>
      <c r="AC873" s="142"/>
      <c r="AD873" s="142"/>
      <c r="AE873" s="142"/>
      <c r="AF873" s="142"/>
      <c r="AG873" s="142"/>
      <c r="AH873" s="142"/>
      <c r="AI873" s="142"/>
      <c r="AJ873" s="142"/>
      <c r="AK873" s="142"/>
      <c r="AL873" s="142"/>
      <c r="AM873" s="142"/>
      <c r="AN873" s="142"/>
      <c r="AO873" s="142"/>
    </row>
    <row r="874" ht="15.75" customHeight="1">
      <c r="A874" s="142"/>
      <c r="B874" s="142"/>
      <c r="C874" s="142"/>
      <c r="D874" s="142"/>
      <c r="E874" s="131"/>
      <c r="F874" s="142"/>
      <c r="G874" s="142"/>
      <c r="H874" s="142"/>
      <c r="I874" s="142"/>
      <c r="J874" s="142"/>
      <c r="K874" s="132"/>
      <c r="L874" s="131"/>
      <c r="M874" s="131"/>
      <c r="N874" s="142"/>
      <c r="O874" s="142"/>
      <c r="P874" s="142"/>
      <c r="Q874" s="142"/>
      <c r="R874" s="142"/>
      <c r="S874" s="142"/>
      <c r="T874" s="131"/>
      <c r="U874" s="131"/>
      <c r="V874" s="131"/>
      <c r="W874" s="131"/>
      <c r="X874" s="131"/>
      <c r="Y874" s="131"/>
      <c r="Z874" s="142"/>
      <c r="AA874" s="142"/>
      <c r="AB874" s="142"/>
      <c r="AC874" s="142"/>
      <c r="AD874" s="142"/>
      <c r="AE874" s="142"/>
      <c r="AF874" s="142"/>
      <c r="AG874" s="142"/>
      <c r="AH874" s="142"/>
      <c r="AI874" s="142"/>
      <c r="AJ874" s="142"/>
      <c r="AK874" s="142"/>
      <c r="AL874" s="142"/>
      <c r="AM874" s="142"/>
      <c r="AN874" s="142"/>
      <c r="AO874" s="142"/>
    </row>
    <row r="875" ht="15.75" customHeight="1">
      <c r="A875" s="142"/>
      <c r="B875" s="142"/>
      <c r="C875" s="142"/>
      <c r="D875" s="142"/>
      <c r="E875" s="131"/>
      <c r="F875" s="142"/>
      <c r="G875" s="142"/>
      <c r="H875" s="142"/>
      <c r="I875" s="142"/>
      <c r="J875" s="142"/>
      <c r="K875" s="132"/>
      <c r="L875" s="131"/>
      <c r="M875" s="131"/>
      <c r="N875" s="142"/>
      <c r="O875" s="142"/>
      <c r="P875" s="142"/>
      <c r="Q875" s="142"/>
      <c r="R875" s="142"/>
      <c r="S875" s="142"/>
      <c r="T875" s="131"/>
      <c r="U875" s="131"/>
      <c r="V875" s="131"/>
      <c r="W875" s="131"/>
      <c r="X875" s="131"/>
      <c r="Y875" s="131"/>
      <c r="Z875" s="142"/>
      <c r="AA875" s="142"/>
      <c r="AB875" s="142"/>
      <c r="AC875" s="142"/>
      <c r="AD875" s="142"/>
      <c r="AE875" s="142"/>
      <c r="AF875" s="142"/>
      <c r="AG875" s="142"/>
      <c r="AH875" s="142"/>
      <c r="AI875" s="142"/>
      <c r="AJ875" s="142"/>
      <c r="AK875" s="142"/>
      <c r="AL875" s="142"/>
      <c r="AM875" s="142"/>
      <c r="AN875" s="142"/>
      <c r="AO875" s="142"/>
    </row>
    <row r="876" ht="15.75" customHeight="1">
      <c r="A876" s="142"/>
      <c r="B876" s="142"/>
      <c r="C876" s="142"/>
      <c r="D876" s="142"/>
      <c r="E876" s="131"/>
      <c r="F876" s="142"/>
      <c r="G876" s="142"/>
      <c r="H876" s="142"/>
      <c r="I876" s="142"/>
      <c r="J876" s="142"/>
      <c r="K876" s="132"/>
      <c r="L876" s="131"/>
      <c r="M876" s="131"/>
      <c r="N876" s="142"/>
      <c r="O876" s="142"/>
      <c r="P876" s="142"/>
      <c r="Q876" s="142"/>
      <c r="R876" s="142"/>
      <c r="S876" s="142"/>
      <c r="T876" s="131"/>
      <c r="U876" s="131"/>
      <c r="V876" s="131"/>
      <c r="W876" s="131"/>
      <c r="X876" s="131"/>
      <c r="Y876" s="131"/>
      <c r="Z876" s="142"/>
      <c r="AA876" s="142"/>
      <c r="AB876" s="142"/>
      <c r="AC876" s="142"/>
      <c r="AD876" s="142"/>
      <c r="AE876" s="142"/>
      <c r="AF876" s="142"/>
      <c r="AG876" s="142"/>
      <c r="AH876" s="142"/>
      <c r="AI876" s="142"/>
      <c r="AJ876" s="142"/>
      <c r="AK876" s="142"/>
      <c r="AL876" s="142"/>
      <c r="AM876" s="142"/>
      <c r="AN876" s="142"/>
      <c r="AO876" s="142"/>
    </row>
    <row r="877" ht="15.75" customHeight="1">
      <c r="A877" s="142"/>
      <c r="B877" s="142"/>
      <c r="C877" s="142"/>
      <c r="D877" s="142"/>
      <c r="E877" s="131"/>
      <c r="F877" s="142"/>
      <c r="G877" s="142"/>
      <c r="H877" s="142"/>
      <c r="I877" s="142"/>
      <c r="J877" s="142"/>
      <c r="K877" s="132"/>
      <c r="L877" s="131"/>
      <c r="M877" s="131"/>
      <c r="N877" s="142"/>
      <c r="O877" s="142"/>
      <c r="P877" s="142"/>
      <c r="Q877" s="142"/>
      <c r="R877" s="142"/>
      <c r="S877" s="142"/>
      <c r="T877" s="131"/>
      <c r="U877" s="131"/>
      <c r="V877" s="131"/>
      <c r="W877" s="131"/>
      <c r="X877" s="131"/>
      <c r="Y877" s="131"/>
      <c r="Z877" s="142"/>
      <c r="AA877" s="142"/>
      <c r="AB877" s="142"/>
      <c r="AC877" s="142"/>
      <c r="AD877" s="142"/>
      <c r="AE877" s="142"/>
      <c r="AF877" s="142"/>
      <c r="AG877" s="142"/>
      <c r="AH877" s="142"/>
      <c r="AI877" s="142"/>
      <c r="AJ877" s="142"/>
      <c r="AK877" s="142"/>
      <c r="AL877" s="142"/>
      <c r="AM877" s="142"/>
      <c r="AN877" s="142"/>
      <c r="AO877" s="142"/>
    </row>
    <row r="878" ht="15.75" customHeight="1">
      <c r="A878" s="142"/>
      <c r="B878" s="142"/>
      <c r="C878" s="142"/>
      <c r="D878" s="142"/>
      <c r="E878" s="131"/>
      <c r="F878" s="142"/>
      <c r="G878" s="142"/>
      <c r="H878" s="142"/>
      <c r="I878" s="142"/>
      <c r="J878" s="142"/>
      <c r="K878" s="132"/>
      <c r="L878" s="131"/>
      <c r="M878" s="131"/>
      <c r="N878" s="142"/>
      <c r="O878" s="142"/>
      <c r="P878" s="142"/>
      <c r="Q878" s="142"/>
      <c r="R878" s="142"/>
      <c r="S878" s="142"/>
      <c r="T878" s="131"/>
      <c r="U878" s="131"/>
      <c r="V878" s="131"/>
      <c r="W878" s="131"/>
      <c r="X878" s="131"/>
      <c r="Y878" s="131"/>
      <c r="Z878" s="142"/>
      <c r="AA878" s="142"/>
      <c r="AB878" s="142"/>
      <c r="AC878" s="142"/>
      <c r="AD878" s="142"/>
      <c r="AE878" s="142"/>
      <c r="AF878" s="142"/>
      <c r="AG878" s="142"/>
      <c r="AH878" s="142"/>
      <c r="AI878" s="142"/>
      <c r="AJ878" s="142"/>
      <c r="AK878" s="142"/>
      <c r="AL878" s="142"/>
      <c r="AM878" s="142"/>
      <c r="AN878" s="142"/>
      <c r="AO878" s="142"/>
    </row>
    <row r="879" ht="15.75" customHeight="1">
      <c r="A879" s="142"/>
      <c r="B879" s="142"/>
      <c r="C879" s="142"/>
      <c r="D879" s="142"/>
      <c r="E879" s="131"/>
      <c r="F879" s="142"/>
      <c r="G879" s="142"/>
      <c r="H879" s="142"/>
      <c r="I879" s="142"/>
      <c r="J879" s="142"/>
      <c r="K879" s="132"/>
      <c r="L879" s="131"/>
      <c r="M879" s="131"/>
      <c r="N879" s="142"/>
      <c r="O879" s="142"/>
      <c r="P879" s="142"/>
      <c r="Q879" s="142"/>
      <c r="R879" s="142"/>
      <c r="S879" s="142"/>
      <c r="T879" s="131"/>
      <c r="U879" s="131"/>
      <c r="V879" s="131"/>
      <c r="W879" s="131"/>
      <c r="X879" s="131"/>
      <c r="Y879" s="131"/>
      <c r="Z879" s="142"/>
      <c r="AA879" s="142"/>
      <c r="AB879" s="142"/>
      <c r="AC879" s="142"/>
      <c r="AD879" s="142"/>
      <c r="AE879" s="142"/>
      <c r="AF879" s="142"/>
      <c r="AG879" s="142"/>
      <c r="AH879" s="142"/>
      <c r="AI879" s="142"/>
      <c r="AJ879" s="142"/>
      <c r="AK879" s="142"/>
      <c r="AL879" s="142"/>
      <c r="AM879" s="142"/>
      <c r="AN879" s="142"/>
      <c r="AO879" s="142"/>
    </row>
    <row r="880" ht="15.75" customHeight="1">
      <c r="A880" s="142"/>
      <c r="B880" s="142"/>
      <c r="C880" s="142"/>
      <c r="D880" s="142"/>
      <c r="E880" s="131"/>
      <c r="F880" s="142"/>
      <c r="G880" s="142"/>
      <c r="H880" s="142"/>
      <c r="I880" s="142"/>
      <c r="J880" s="142"/>
      <c r="K880" s="132"/>
      <c r="L880" s="131"/>
      <c r="M880" s="131"/>
      <c r="N880" s="142"/>
      <c r="O880" s="142"/>
      <c r="P880" s="142"/>
      <c r="Q880" s="142"/>
      <c r="R880" s="142"/>
      <c r="S880" s="142"/>
      <c r="T880" s="131"/>
      <c r="U880" s="131"/>
      <c r="V880" s="131"/>
      <c r="W880" s="131"/>
      <c r="X880" s="131"/>
      <c r="Y880" s="131"/>
      <c r="Z880" s="142"/>
      <c r="AA880" s="142"/>
      <c r="AB880" s="142"/>
      <c r="AC880" s="142"/>
      <c r="AD880" s="142"/>
      <c r="AE880" s="142"/>
      <c r="AF880" s="142"/>
      <c r="AG880" s="142"/>
      <c r="AH880" s="142"/>
      <c r="AI880" s="142"/>
      <c r="AJ880" s="142"/>
      <c r="AK880" s="142"/>
      <c r="AL880" s="142"/>
      <c r="AM880" s="142"/>
      <c r="AN880" s="142"/>
      <c r="AO880" s="142"/>
    </row>
    <row r="881" ht="15.75" customHeight="1">
      <c r="A881" s="142"/>
      <c r="B881" s="142"/>
      <c r="C881" s="142"/>
      <c r="D881" s="142"/>
      <c r="E881" s="131"/>
      <c r="F881" s="142"/>
      <c r="G881" s="142"/>
      <c r="H881" s="142"/>
      <c r="I881" s="142"/>
      <c r="J881" s="142"/>
      <c r="K881" s="132"/>
      <c r="L881" s="131"/>
      <c r="M881" s="131"/>
      <c r="N881" s="142"/>
      <c r="O881" s="142"/>
      <c r="P881" s="142"/>
      <c r="Q881" s="142"/>
      <c r="R881" s="142"/>
      <c r="S881" s="142"/>
      <c r="T881" s="131"/>
      <c r="U881" s="131"/>
      <c r="V881" s="131"/>
      <c r="W881" s="131"/>
      <c r="X881" s="131"/>
      <c r="Y881" s="131"/>
      <c r="Z881" s="142"/>
      <c r="AA881" s="142"/>
      <c r="AB881" s="142"/>
      <c r="AC881" s="142"/>
      <c r="AD881" s="142"/>
      <c r="AE881" s="142"/>
      <c r="AF881" s="142"/>
      <c r="AG881" s="142"/>
      <c r="AH881" s="142"/>
      <c r="AI881" s="142"/>
      <c r="AJ881" s="142"/>
      <c r="AK881" s="142"/>
      <c r="AL881" s="142"/>
      <c r="AM881" s="142"/>
      <c r="AN881" s="142"/>
      <c r="AO881" s="142"/>
    </row>
    <row r="882" ht="15.75" customHeight="1">
      <c r="A882" s="142"/>
      <c r="B882" s="142"/>
      <c r="C882" s="142"/>
      <c r="D882" s="142"/>
      <c r="E882" s="131"/>
      <c r="F882" s="142"/>
      <c r="G882" s="142"/>
      <c r="H882" s="142"/>
      <c r="I882" s="142"/>
      <c r="J882" s="142"/>
      <c r="K882" s="132"/>
      <c r="L882" s="131"/>
      <c r="M882" s="131"/>
      <c r="N882" s="142"/>
      <c r="O882" s="142"/>
      <c r="P882" s="142"/>
      <c r="Q882" s="142"/>
      <c r="R882" s="142"/>
      <c r="S882" s="142"/>
      <c r="T882" s="131"/>
      <c r="U882" s="131"/>
      <c r="V882" s="131"/>
      <c r="W882" s="131"/>
      <c r="X882" s="131"/>
      <c r="Y882" s="131"/>
      <c r="Z882" s="142"/>
      <c r="AA882" s="142"/>
      <c r="AB882" s="142"/>
      <c r="AC882" s="142"/>
      <c r="AD882" s="142"/>
      <c r="AE882" s="142"/>
      <c r="AF882" s="142"/>
      <c r="AG882" s="142"/>
      <c r="AH882" s="142"/>
      <c r="AI882" s="142"/>
      <c r="AJ882" s="142"/>
      <c r="AK882" s="142"/>
      <c r="AL882" s="142"/>
      <c r="AM882" s="142"/>
      <c r="AN882" s="142"/>
      <c r="AO882" s="142"/>
    </row>
    <row r="883" ht="15.75" customHeight="1">
      <c r="A883" s="142"/>
      <c r="B883" s="142"/>
      <c r="C883" s="142"/>
      <c r="D883" s="142"/>
      <c r="E883" s="131"/>
      <c r="F883" s="142"/>
      <c r="G883" s="142"/>
      <c r="H883" s="142"/>
      <c r="I883" s="142"/>
      <c r="J883" s="142"/>
      <c r="K883" s="132"/>
      <c r="L883" s="131"/>
      <c r="M883" s="131"/>
      <c r="N883" s="142"/>
      <c r="O883" s="142"/>
      <c r="P883" s="142"/>
      <c r="Q883" s="142"/>
      <c r="R883" s="142"/>
      <c r="S883" s="142"/>
      <c r="T883" s="131"/>
      <c r="U883" s="131"/>
      <c r="V883" s="131"/>
      <c r="W883" s="131"/>
      <c r="X883" s="131"/>
      <c r="Y883" s="131"/>
      <c r="Z883" s="142"/>
      <c r="AA883" s="142"/>
      <c r="AB883" s="142"/>
      <c r="AC883" s="142"/>
      <c r="AD883" s="142"/>
      <c r="AE883" s="142"/>
      <c r="AF883" s="142"/>
      <c r="AG883" s="142"/>
      <c r="AH883" s="142"/>
      <c r="AI883" s="142"/>
      <c r="AJ883" s="142"/>
      <c r="AK883" s="142"/>
      <c r="AL883" s="142"/>
      <c r="AM883" s="142"/>
      <c r="AN883" s="142"/>
      <c r="AO883" s="142"/>
    </row>
    <row r="884" ht="15.75" customHeight="1">
      <c r="A884" s="142"/>
      <c r="B884" s="142"/>
      <c r="C884" s="142"/>
      <c r="D884" s="142"/>
      <c r="E884" s="131"/>
      <c r="F884" s="142"/>
      <c r="G884" s="142"/>
      <c r="H884" s="142"/>
      <c r="I884" s="142"/>
      <c r="J884" s="142"/>
      <c r="K884" s="132"/>
      <c r="L884" s="131"/>
      <c r="M884" s="131"/>
      <c r="N884" s="142"/>
      <c r="O884" s="142"/>
      <c r="P884" s="142"/>
      <c r="Q884" s="142"/>
      <c r="R884" s="142"/>
      <c r="S884" s="142"/>
      <c r="T884" s="131"/>
      <c r="U884" s="131"/>
      <c r="V884" s="131"/>
      <c r="W884" s="131"/>
      <c r="X884" s="131"/>
      <c r="Y884" s="131"/>
      <c r="Z884" s="142"/>
      <c r="AA884" s="142"/>
      <c r="AB884" s="142"/>
      <c r="AC884" s="142"/>
      <c r="AD884" s="142"/>
      <c r="AE884" s="142"/>
      <c r="AF884" s="142"/>
      <c r="AG884" s="142"/>
      <c r="AH884" s="142"/>
      <c r="AI884" s="142"/>
      <c r="AJ884" s="142"/>
      <c r="AK884" s="142"/>
      <c r="AL884" s="142"/>
      <c r="AM884" s="142"/>
      <c r="AN884" s="142"/>
      <c r="AO884" s="142"/>
    </row>
    <row r="885" ht="15.75" customHeight="1">
      <c r="A885" s="142"/>
      <c r="B885" s="142"/>
      <c r="C885" s="142"/>
      <c r="D885" s="142"/>
      <c r="E885" s="131"/>
      <c r="F885" s="142"/>
      <c r="G885" s="142"/>
      <c r="H885" s="142"/>
      <c r="I885" s="142"/>
      <c r="J885" s="142"/>
      <c r="K885" s="132"/>
      <c r="L885" s="131"/>
      <c r="M885" s="131"/>
      <c r="N885" s="142"/>
      <c r="O885" s="142"/>
      <c r="P885" s="142"/>
      <c r="Q885" s="142"/>
      <c r="R885" s="142"/>
      <c r="S885" s="142"/>
      <c r="T885" s="131"/>
      <c r="U885" s="131"/>
      <c r="V885" s="131"/>
      <c r="W885" s="131"/>
      <c r="X885" s="131"/>
      <c r="Y885" s="131"/>
      <c r="Z885" s="142"/>
      <c r="AA885" s="142"/>
      <c r="AB885" s="142"/>
      <c r="AC885" s="142"/>
      <c r="AD885" s="142"/>
      <c r="AE885" s="142"/>
      <c r="AF885" s="142"/>
      <c r="AG885" s="142"/>
      <c r="AH885" s="142"/>
      <c r="AI885" s="142"/>
      <c r="AJ885" s="142"/>
      <c r="AK885" s="142"/>
      <c r="AL885" s="142"/>
      <c r="AM885" s="142"/>
      <c r="AN885" s="142"/>
      <c r="AO885" s="142"/>
    </row>
    <row r="886" ht="15.75" customHeight="1">
      <c r="A886" s="142"/>
      <c r="B886" s="142"/>
      <c r="C886" s="142"/>
      <c r="D886" s="142"/>
      <c r="E886" s="131"/>
      <c r="F886" s="142"/>
      <c r="G886" s="142"/>
      <c r="H886" s="142"/>
      <c r="I886" s="142"/>
      <c r="J886" s="142"/>
      <c r="K886" s="132"/>
      <c r="L886" s="131"/>
      <c r="M886" s="131"/>
      <c r="N886" s="142"/>
      <c r="O886" s="142"/>
      <c r="P886" s="142"/>
      <c r="Q886" s="142"/>
      <c r="R886" s="142"/>
      <c r="S886" s="142"/>
      <c r="T886" s="131"/>
      <c r="U886" s="131"/>
      <c r="V886" s="131"/>
      <c r="W886" s="131"/>
      <c r="X886" s="131"/>
      <c r="Y886" s="131"/>
      <c r="Z886" s="142"/>
      <c r="AA886" s="142"/>
      <c r="AB886" s="142"/>
      <c r="AC886" s="142"/>
      <c r="AD886" s="142"/>
      <c r="AE886" s="142"/>
      <c r="AF886" s="142"/>
      <c r="AG886" s="142"/>
      <c r="AH886" s="142"/>
      <c r="AI886" s="142"/>
      <c r="AJ886" s="142"/>
      <c r="AK886" s="142"/>
      <c r="AL886" s="142"/>
      <c r="AM886" s="142"/>
      <c r="AN886" s="142"/>
      <c r="AO886" s="142"/>
    </row>
    <row r="887" ht="15.75" customHeight="1">
      <c r="A887" s="142"/>
      <c r="B887" s="142"/>
      <c r="C887" s="142"/>
      <c r="D887" s="142"/>
      <c r="E887" s="131"/>
      <c r="F887" s="142"/>
      <c r="G887" s="142"/>
      <c r="H887" s="142"/>
      <c r="I887" s="142"/>
      <c r="J887" s="142"/>
      <c r="K887" s="132"/>
      <c r="L887" s="131"/>
      <c r="M887" s="131"/>
      <c r="N887" s="142"/>
      <c r="O887" s="142"/>
      <c r="P887" s="142"/>
      <c r="Q887" s="142"/>
      <c r="R887" s="142"/>
      <c r="S887" s="142"/>
      <c r="T887" s="131"/>
      <c r="U887" s="131"/>
      <c r="V887" s="131"/>
      <c r="W887" s="131"/>
      <c r="X887" s="131"/>
      <c r="Y887" s="131"/>
      <c r="Z887" s="142"/>
      <c r="AA887" s="142"/>
      <c r="AB887" s="142"/>
      <c r="AC887" s="142"/>
      <c r="AD887" s="142"/>
      <c r="AE887" s="142"/>
      <c r="AF887" s="142"/>
      <c r="AG887" s="142"/>
      <c r="AH887" s="142"/>
      <c r="AI887" s="142"/>
      <c r="AJ887" s="142"/>
      <c r="AK887" s="142"/>
      <c r="AL887" s="142"/>
      <c r="AM887" s="142"/>
      <c r="AN887" s="142"/>
      <c r="AO887" s="142"/>
    </row>
    <row r="888" ht="15.75" customHeight="1">
      <c r="A888" s="142"/>
      <c r="B888" s="142"/>
      <c r="C888" s="142"/>
      <c r="D888" s="142"/>
      <c r="E888" s="131"/>
      <c r="F888" s="142"/>
      <c r="G888" s="142"/>
      <c r="H888" s="142"/>
      <c r="I888" s="142"/>
      <c r="J888" s="142"/>
      <c r="K888" s="132"/>
      <c r="L888" s="131"/>
      <c r="M888" s="131"/>
      <c r="N888" s="142"/>
      <c r="O888" s="142"/>
      <c r="P888" s="142"/>
      <c r="Q888" s="142"/>
      <c r="R888" s="142"/>
      <c r="S888" s="142"/>
      <c r="T888" s="131"/>
      <c r="U888" s="131"/>
      <c r="V888" s="131"/>
      <c r="W888" s="131"/>
      <c r="X888" s="131"/>
      <c r="Y888" s="131"/>
      <c r="Z888" s="142"/>
      <c r="AA888" s="142"/>
      <c r="AB888" s="142"/>
      <c r="AC888" s="142"/>
      <c r="AD888" s="142"/>
      <c r="AE888" s="142"/>
      <c r="AF888" s="142"/>
      <c r="AG888" s="142"/>
      <c r="AH888" s="142"/>
      <c r="AI888" s="142"/>
      <c r="AJ888" s="142"/>
      <c r="AK888" s="142"/>
      <c r="AL888" s="142"/>
      <c r="AM888" s="142"/>
      <c r="AN888" s="142"/>
      <c r="AO888" s="142"/>
    </row>
    <row r="889" ht="15.75" customHeight="1">
      <c r="A889" s="142"/>
      <c r="B889" s="142"/>
      <c r="C889" s="142"/>
      <c r="D889" s="142"/>
      <c r="E889" s="131"/>
      <c r="F889" s="142"/>
      <c r="G889" s="142"/>
      <c r="H889" s="142"/>
      <c r="I889" s="142"/>
      <c r="J889" s="142"/>
      <c r="K889" s="132"/>
      <c r="L889" s="131"/>
      <c r="M889" s="131"/>
      <c r="N889" s="142"/>
      <c r="O889" s="142"/>
      <c r="P889" s="142"/>
      <c r="Q889" s="142"/>
      <c r="R889" s="142"/>
      <c r="S889" s="142"/>
      <c r="T889" s="131"/>
      <c r="U889" s="131"/>
      <c r="V889" s="131"/>
      <c r="W889" s="131"/>
      <c r="X889" s="131"/>
      <c r="Y889" s="131"/>
      <c r="Z889" s="142"/>
      <c r="AA889" s="142"/>
      <c r="AB889" s="142"/>
      <c r="AC889" s="142"/>
      <c r="AD889" s="142"/>
      <c r="AE889" s="142"/>
      <c r="AF889" s="142"/>
      <c r="AG889" s="142"/>
      <c r="AH889" s="142"/>
      <c r="AI889" s="142"/>
      <c r="AJ889" s="142"/>
      <c r="AK889" s="142"/>
      <c r="AL889" s="142"/>
      <c r="AM889" s="142"/>
      <c r="AN889" s="142"/>
      <c r="AO889" s="142"/>
    </row>
    <row r="890" ht="15.75" customHeight="1">
      <c r="A890" s="142"/>
      <c r="B890" s="142"/>
      <c r="C890" s="142"/>
      <c r="D890" s="142"/>
      <c r="E890" s="131"/>
      <c r="F890" s="142"/>
      <c r="G890" s="142"/>
      <c r="H890" s="142"/>
      <c r="I890" s="142"/>
      <c r="J890" s="142"/>
      <c r="K890" s="132"/>
      <c r="L890" s="131"/>
      <c r="M890" s="131"/>
      <c r="N890" s="142"/>
      <c r="O890" s="142"/>
      <c r="P890" s="142"/>
      <c r="Q890" s="142"/>
      <c r="R890" s="142"/>
      <c r="S890" s="142"/>
      <c r="T890" s="131"/>
      <c r="U890" s="131"/>
      <c r="V890" s="131"/>
      <c r="W890" s="131"/>
      <c r="X890" s="131"/>
      <c r="Y890" s="131"/>
      <c r="Z890" s="142"/>
      <c r="AA890" s="142"/>
      <c r="AB890" s="142"/>
      <c r="AC890" s="142"/>
      <c r="AD890" s="142"/>
      <c r="AE890" s="142"/>
      <c r="AF890" s="142"/>
      <c r="AG890" s="142"/>
      <c r="AH890" s="142"/>
      <c r="AI890" s="142"/>
      <c r="AJ890" s="142"/>
      <c r="AK890" s="142"/>
      <c r="AL890" s="142"/>
      <c r="AM890" s="142"/>
      <c r="AN890" s="142"/>
      <c r="AO890" s="142"/>
    </row>
    <row r="891" ht="15.75" customHeight="1">
      <c r="A891" s="142"/>
      <c r="B891" s="142"/>
      <c r="C891" s="142"/>
      <c r="D891" s="142"/>
      <c r="E891" s="131"/>
      <c r="F891" s="142"/>
      <c r="G891" s="142"/>
      <c r="H891" s="142"/>
      <c r="I891" s="142"/>
      <c r="J891" s="142"/>
      <c r="K891" s="132"/>
      <c r="L891" s="131"/>
      <c r="M891" s="131"/>
      <c r="N891" s="142"/>
      <c r="O891" s="142"/>
      <c r="P891" s="142"/>
      <c r="Q891" s="142"/>
      <c r="R891" s="142"/>
      <c r="S891" s="142"/>
      <c r="T891" s="131"/>
      <c r="U891" s="131"/>
      <c r="V891" s="131"/>
      <c r="W891" s="131"/>
      <c r="X891" s="131"/>
      <c r="Y891" s="131"/>
      <c r="Z891" s="142"/>
      <c r="AA891" s="142"/>
      <c r="AB891" s="142"/>
      <c r="AC891" s="142"/>
      <c r="AD891" s="142"/>
      <c r="AE891" s="142"/>
      <c r="AF891" s="142"/>
      <c r="AG891" s="142"/>
      <c r="AH891" s="142"/>
      <c r="AI891" s="142"/>
      <c r="AJ891" s="142"/>
      <c r="AK891" s="142"/>
      <c r="AL891" s="142"/>
      <c r="AM891" s="142"/>
      <c r="AN891" s="142"/>
      <c r="AO891" s="142"/>
    </row>
    <row r="892" ht="15.75" customHeight="1">
      <c r="A892" s="142"/>
      <c r="B892" s="142"/>
      <c r="C892" s="142"/>
      <c r="D892" s="142"/>
      <c r="E892" s="131"/>
      <c r="F892" s="142"/>
      <c r="G892" s="142"/>
      <c r="H892" s="142"/>
      <c r="I892" s="142"/>
      <c r="J892" s="142"/>
      <c r="K892" s="132"/>
      <c r="L892" s="131"/>
      <c r="M892" s="131"/>
      <c r="N892" s="142"/>
      <c r="O892" s="142"/>
      <c r="P892" s="142"/>
      <c r="Q892" s="142"/>
      <c r="R892" s="142"/>
      <c r="S892" s="142"/>
      <c r="T892" s="131"/>
      <c r="U892" s="131"/>
      <c r="V892" s="131"/>
      <c r="W892" s="131"/>
      <c r="X892" s="131"/>
      <c r="Y892" s="131"/>
      <c r="Z892" s="142"/>
      <c r="AA892" s="142"/>
      <c r="AB892" s="142"/>
      <c r="AC892" s="142"/>
      <c r="AD892" s="142"/>
      <c r="AE892" s="142"/>
      <c r="AF892" s="142"/>
      <c r="AG892" s="142"/>
      <c r="AH892" s="142"/>
      <c r="AI892" s="142"/>
      <c r="AJ892" s="142"/>
      <c r="AK892" s="142"/>
      <c r="AL892" s="142"/>
      <c r="AM892" s="142"/>
      <c r="AN892" s="142"/>
      <c r="AO892" s="142"/>
    </row>
    <row r="893" ht="15.75" customHeight="1">
      <c r="A893" s="142"/>
      <c r="B893" s="142"/>
      <c r="C893" s="142"/>
      <c r="D893" s="142"/>
      <c r="E893" s="131"/>
      <c r="F893" s="142"/>
      <c r="G893" s="142"/>
      <c r="H893" s="142"/>
      <c r="I893" s="142"/>
      <c r="J893" s="142"/>
      <c r="K893" s="132"/>
      <c r="L893" s="131"/>
      <c r="M893" s="131"/>
      <c r="N893" s="142"/>
      <c r="O893" s="142"/>
      <c r="P893" s="142"/>
      <c r="Q893" s="142"/>
      <c r="R893" s="142"/>
      <c r="S893" s="142"/>
      <c r="T893" s="131"/>
      <c r="U893" s="131"/>
      <c r="V893" s="131"/>
      <c r="W893" s="131"/>
      <c r="X893" s="131"/>
      <c r="Y893" s="131"/>
      <c r="Z893" s="142"/>
      <c r="AA893" s="142"/>
      <c r="AB893" s="142"/>
      <c r="AC893" s="142"/>
      <c r="AD893" s="142"/>
      <c r="AE893" s="142"/>
      <c r="AF893" s="142"/>
      <c r="AG893" s="142"/>
      <c r="AH893" s="142"/>
      <c r="AI893" s="142"/>
      <c r="AJ893" s="142"/>
      <c r="AK893" s="142"/>
      <c r="AL893" s="142"/>
      <c r="AM893" s="142"/>
      <c r="AN893" s="142"/>
      <c r="AO893" s="142"/>
    </row>
    <row r="894" ht="15.75" customHeight="1">
      <c r="A894" s="142"/>
      <c r="B894" s="142"/>
      <c r="C894" s="142"/>
      <c r="D894" s="142"/>
      <c r="E894" s="131"/>
      <c r="F894" s="142"/>
      <c r="G894" s="142"/>
      <c r="H894" s="142"/>
      <c r="I894" s="142"/>
      <c r="J894" s="142"/>
      <c r="K894" s="132"/>
      <c r="L894" s="131"/>
      <c r="M894" s="131"/>
      <c r="N894" s="142"/>
      <c r="O894" s="142"/>
      <c r="P894" s="142"/>
      <c r="Q894" s="142"/>
      <c r="R894" s="142"/>
      <c r="S894" s="142"/>
      <c r="T894" s="131"/>
      <c r="U894" s="131"/>
      <c r="V894" s="131"/>
      <c r="W894" s="131"/>
      <c r="X894" s="131"/>
      <c r="Y894" s="131"/>
      <c r="Z894" s="142"/>
      <c r="AA894" s="142"/>
      <c r="AB894" s="142"/>
      <c r="AC894" s="142"/>
      <c r="AD894" s="142"/>
      <c r="AE894" s="142"/>
      <c r="AF894" s="142"/>
      <c r="AG894" s="142"/>
      <c r="AH894" s="142"/>
      <c r="AI894" s="142"/>
      <c r="AJ894" s="142"/>
      <c r="AK894" s="142"/>
      <c r="AL894" s="142"/>
      <c r="AM894" s="142"/>
      <c r="AN894" s="142"/>
      <c r="AO894" s="142"/>
    </row>
    <row r="895" ht="15.75" customHeight="1">
      <c r="A895" s="142"/>
      <c r="B895" s="142"/>
      <c r="C895" s="142"/>
      <c r="D895" s="142"/>
      <c r="E895" s="131"/>
      <c r="F895" s="142"/>
      <c r="G895" s="142"/>
      <c r="H895" s="142"/>
      <c r="I895" s="142"/>
      <c r="J895" s="142"/>
      <c r="K895" s="132"/>
      <c r="L895" s="131"/>
      <c r="M895" s="131"/>
      <c r="N895" s="142"/>
      <c r="O895" s="142"/>
      <c r="P895" s="142"/>
      <c r="Q895" s="142"/>
      <c r="R895" s="142"/>
      <c r="S895" s="142"/>
      <c r="T895" s="131"/>
      <c r="U895" s="131"/>
      <c r="V895" s="131"/>
      <c r="W895" s="131"/>
      <c r="X895" s="131"/>
      <c r="Y895" s="131"/>
      <c r="Z895" s="142"/>
      <c r="AA895" s="142"/>
      <c r="AB895" s="142"/>
      <c r="AC895" s="142"/>
      <c r="AD895" s="142"/>
      <c r="AE895" s="142"/>
      <c r="AF895" s="142"/>
      <c r="AG895" s="142"/>
      <c r="AH895" s="142"/>
      <c r="AI895" s="142"/>
      <c r="AJ895" s="142"/>
      <c r="AK895" s="142"/>
      <c r="AL895" s="142"/>
      <c r="AM895" s="142"/>
      <c r="AN895" s="142"/>
      <c r="AO895" s="142"/>
    </row>
    <row r="896" ht="15.75" customHeight="1">
      <c r="A896" s="142"/>
      <c r="B896" s="142"/>
      <c r="C896" s="142"/>
      <c r="D896" s="142"/>
      <c r="E896" s="131"/>
      <c r="F896" s="142"/>
      <c r="G896" s="142"/>
      <c r="H896" s="142"/>
      <c r="I896" s="142"/>
      <c r="J896" s="142"/>
      <c r="K896" s="132"/>
      <c r="L896" s="131"/>
      <c r="M896" s="131"/>
      <c r="N896" s="142"/>
      <c r="O896" s="142"/>
      <c r="P896" s="142"/>
      <c r="Q896" s="142"/>
      <c r="R896" s="142"/>
      <c r="S896" s="142"/>
      <c r="T896" s="131"/>
      <c r="U896" s="131"/>
      <c r="V896" s="131"/>
      <c r="W896" s="131"/>
      <c r="X896" s="131"/>
      <c r="Y896" s="131"/>
      <c r="Z896" s="142"/>
      <c r="AA896" s="142"/>
      <c r="AB896" s="142"/>
      <c r="AC896" s="142"/>
      <c r="AD896" s="142"/>
      <c r="AE896" s="142"/>
      <c r="AF896" s="142"/>
      <c r="AG896" s="142"/>
      <c r="AH896" s="142"/>
      <c r="AI896" s="142"/>
      <c r="AJ896" s="142"/>
      <c r="AK896" s="142"/>
      <c r="AL896" s="142"/>
      <c r="AM896" s="142"/>
      <c r="AN896" s="142"/>
      <c r="AO896" s="142"/>
    </row>
    <row r="897" ht="15.75" customHeight="1">
      <c r="A897" s="142"/>
      <c r="B897" s="142"/>
      <c r="C897" s="142"/>
      <c r="D897" s="142"/>
      <c r="E897" s="131"/>
      <c r="F897" s="142"/>
      <c r="G897" s="142"/>
      <c r="H897" s="142"/>
      <c r="I897" s="142"/>
      <c r="J897" s="142"/>
      <c r="K897" s="132"/>
      <c r="L897" s="131"/>
      <c r="M897" s="131"/>
      <c r="N897" s="142"/>
      <c r="O897" s="142"/>
      <c r="P897" s="142"/>
      <c r="Q897" s="142"/>
      <c r="R897" s="142"/>
      <c r="S897" s="142"/>
      <c r="T897" s="131"/>
      <c r="U897" s="131"/>
      <c r="V897" s="131"/>
      <c r="W897" s="131"/>
      <c r="X897" s="131"/>
      <c r="Y897" s="131"/>
      <c r="Z897" s="142"/>
      <c r="AA897" s="142"/>
      <c r="AB897" s="142"/>
      <c r="AC897" s="142"/>
      <c r="AD897" s="142"/>
      <c r="AE897" s="142"/>
      <c r="AF897" s="142"/>
      <c r="AG897" s="142"/>
      <c r="AH897" s="142"/>
      <c r="AI897" s="142"/>
      <c r="AJ897" s="142"/>
      <c r="AK897" s="142"/>
      <c r="AL897" s="142"/>
      <c r="AM897" s="142"/>
      <c r="AN897" s="142"/>
      <c r="AO897" s="142"/>
    </row>
    <row r="898" ht="15.75" customHeight="1">
      <c r="A898" s="142"/>
      <c r="B898" s="142"/>
      <c r="C898" s="142"/>
      <c r="D898" s="142"/>
      <c r="E898" s="131"/>
      <c r="F898" s="142"/>
      <c r="G898" s="142"/>
      <c r="H898" s="142"/>
      <c r="I898" s="142"/>
      <c r="J898" s="142"/>
      <c r="K898" s="132"/>
      <c r="L898" s="131"/>
      <c r="M898" s="131"/>
      <c r="N898" s="142"/>
      <c r="O898" s="142"/>
      <c r="P898" s="142"/>
      <c r="Q898" s="142"/>
      <c r="R898" s="142"/>
      <c r="S898" s="142"/>
      <c r="T898" s="131"/>
      <c r="U898" s="131"/>
      <c r="V898" s="131"/>
      <c r="W898" s="131"/>
      <c r="X898" s="131"/>
      <c r="Y898" s="131"/>
      <c r="Z898" s="142"/>
      <c r="AA898" s="142"/>
      <c r="AB898" s="142"/>
      <c r="AC898" s="142"/>
      <c r="AD898" s="142"/>
      <c r="AE898" s="142"/>
      <c r="AF898" s="142"/>
      <c r="AG898" s="142"/>
      <c r="AH898" s="142"/>
      <c r="AI898" s="142"/>
      <c r="AJ898" s="142"/>
      <c r="AK898" s="142"/>
      <c r="AL898" s="142"/>
      <c r="AM898" s="142"/>
      <c r="AN898" s="142"/>
      <c r="AO898" s="142"/>
    </row>
    <row r="899" ht="15.75" customHeight="1">
      <c r="A899" s="142"/>
      <c r="B899" s="142"/>
      <c r="C899" s="142"/>
      <c r="D899" s="142"/>
      <c r="E899" s="131"/>
      <c r="F899" s="142"/>
      <c r="G899" s="142"/>
      <c r="H899" s="142"/>
      <c r="I899" s="142"/>
      <c r="J899" s="142"/>
      <c r="K899" s="132"/>
      <c r="L899" s="131"/>
      <c r="M899" s="131"/>
      <c r="N899" s="142"/>
      <c r="O899" s="142"/>
      <c r="P899" s="142"/>
      <c r="Q899" s="142"/>
      <c r="R899" s="142"/>
      <c r="S899" s="142"/>
      <c r="T899" s="131"/>
      <c r="U899" s="131"/>
      <c r="V899" s="131"/>
      <c r="W899" s="131"/>
      <c r="X899" s="131"/>
      <c r="Y899" s="131"/>
      <c r="Z899" s="142"/>
      <c r="AA899" s="142"/>
      <c r="AB899" s="142"/>
      <c r="AC899" s="142"/>
      <c r="AD899" s="142"/>
      <c r="AE899" s="142"/>
      <c r="AF899" s="142"/>
      <c r="AG899" s="142"/>
      <c r="AH899" s="142"/>
      <c r="AI899" s="142"/>
      <c r="AJ899" s="142"/>
      <c r="AK899" s="142"/>
      <c r="AL899" s="142"/>
      <c r="AM899" s="142"/>
      <c r="AN899" s="142"/>
      <c r="AO899" s="142"/>
    </row>
    <row r="900" ht="15.75" customHeight="1">
      <c r="A900" s="142"/>
      <c r="B900" s="142"/>
      <c r="C900" s="142"/>
      <c r="D900" s="142"/>
      <c r="E900" s="131"/>
      <c r="F900" s="142"/>
      <c r="G900" s="142"/>
      <c r="H900" s="142"/>
      <c r="I900" s="142"/>
      <c r="J900" s="142"/>
      <c r="K900" s="132"/>
      <c r="L900" s="131"/>
      <c r="M900" s="131"/>
      <c r="N900" s="142"/>
      <c r="O900" s="142"/>
      <c r="P900" s="142"/>
      <c r="Q900" s="142"/>
      <c r="R900" s="142"/>
      <c r="S900" s="142"/>
      <c r="T900" s="131"/>
      <c r="U900" s="131"/>
      <c r="V900" s="131"/>
      <c r="W900" s="131"/>
      <c r="X900" s="131"/>
      <c r="Y900" s="131"/>
      <c r="Z900" s="142"/>
      <c r="AA900" s="142"/>
      <c r="AB900" s="142"/>
      <c r="AC900" s="142"/>
      <c r="AD900" s="142"/>
      <c r="AE900" s="142"/>
      <c r="AF900" s="142"/>
      <c r="AG900" s="142"/>
      <c r="AH900" s="142"/>
      <c r="AI900" s="142"/>
      <c r="AJ900" s="142"/>
      <c r="AK900" s="142"/>
      <c r="AL900" s="142"/>
      <c r="AM900" s="142"/>
      <c r="AN900" s="142"/>
      <c r="AO900" s="142"/>
    </row>
    <row r="901" ht="15.75" customHeight="1">
      <c r="A901" s="142"/>
      <c r="B901" s="142"/>
      <c r="C901" s="142"/>
      <c r="D901" s="142"/>
      <c r="E901" s="131"/>
      <c r="F901" s="142"/>
      <c r="G901" s="142"/>
      <c r="H901" s="142"/>
      <c r="I901" s="142"/>
      <c r="J901" s="142"/>
      <c r="K901" s="132"/>
      <c r="L901" s="131"/>
      <c r="M901" s="131"/>
      <c r="N901" s="142"/>
      <c r="O901" s="142"/>
      <c r="P901" s="142"/>
      <c r="Q901" s="142"/>
      <c r="R901" s="142"/>
      <c r="S901" s="142"/>
      <c r="T901" s="131"/>
      <c r="U901" s="131"/>
      <c r="V901" s="131"/>
      <c r="W901" s="131"/>
      <c r="X901" s="131"/>
      <c r="Y901" s="131"/>
      <c r="Z901" s="142"/>
      <c r="AA901" s="142"/>
      <c r="AB901" s="142"/>
      <c r="AC901" s="142"/>
      <c r="AD901" s="142"/>
      <c r="AE901" s="142"/>
      <c r="AF901" s="142"/>
      <c r="AG901" s="142"/>
      <c r="AH901" s="142"/>
      <c r="AI901" s="142"/>
      <c r="AJ901" s="142"/>
      <c r="AK901" s="142"/>
      <c r="AL901" s="142"/>
      <c r="AM901" s="142"/>
      <c r="AN901" s="142"/>
      <c r="AO901" s="142"/>
    </row>
    <row r="902" ht="15.75" customHeight="1">
      <c r="A902" s="142"/>
      <c r="B902" s="142"/>
      <c r="C902" s="142"/>
      <c r="D902" s="142"/>
      <c r="E902" s="131"/>
      <c r="F902" s="142"/>
      <c r="G902" s="142"/>
      <c r="H902" s="142"/>
      <c r="I902" s="142"/>
      <c r="J902" s="142"/>
      <c r="K902" s="132"/>
      <c r="L902" s="131"/>
      <c r="M902" s="131"/>
      <c r="N902" s="142"/>
      <c r="O902" s="142"/>
      <c r="P902" s="142"/>
      <c r="Q902" s="142"/>
      <c r="R902" s="142"/>
      <c r="S902" s="142"/>
      <c r="T902" s="131"/>
      <c r="U902" s="131"/>
      <c r="V902" s="131"/>
      <c r="W902" s="131"/>
      <c r="X902" s="131"/>
      <c r="Y902" s="131"/>
      <c r="Z902" s="142"/>
      <c r="AA902" s="142"/>
      <c r="AB902" s="142"/>
      <c r="AC902" s="142"/>
      <c r="AD902" s="142"/>
      <c r="AE902" s="142"/>
      <c r="AF902" s="142"/>
      <c r="AG902" s="142"/>
      <c r="AH902" s="142"/>
      <c r="AI902" s="142"/>
      <c r="AJ902" s="142"/>
      <c r="AK902" s="142"/>
      <c r="AL902" s="142"/>
      <c r="AM902" s="142"/>
      <c r="AN902" s="142"/>
      <c r="AO902" s="142"/>
    </row>
    <row r="903" ht="15.75" customHeight="1">
      <c r="A903" s="142"/>
      <c r="B903" s="142"/>
      <c r="C903" s="142"/>
      <c r="D903" s="142"/>
      <c r="E903" s="131"/>
      <c r="F903" s="142"/>
      <c r="G903" s="142"/>
      <c r="H903" s="142"/>
      <c r="I903" s="142"/>
      <c r="J903" s="142"/>
      <c r="K903" s="132"/>
      <c r="L903" s="131"/>
      <c r="M903" s="131"/>
      <c r="N903" s="142"/>
      <c r="O903" s="142"/>
      <c r="P903" s="142"/>
      <c r="Q903" s="142"/>
      <c r="R903" s="142"/>
      <c r="S903" s="142"/>
      <c r="T903" s="131"/>
      <c r="U903" s="131"/>
      <c r="V903" s="131"/>
      <c r="W903" s="131"/>
      <c r="X903" s="131"/>
      <c r="Y903" s="131"/>
      <c r="Z903" s="142"/>
      <c r="AA903" s="142"/>
      <c r="AB903" s="142"/>
      <c r="AC903" s="142"/>
      <c r="AD903" s="142"/>
      <c r="AE903" s="142"/>
      <c r="AF903" s="142"/>
      <c r="AG903" s="142"/>
      <c r="AH903" s="142"/>
      <c r="AI903" s="142"/>
      <c r="AJ903" s="142"/>
      <c r="AK903" s="142"/>
      <c r="AL903" s="142"/>
      <c r="AM903" s="142"/>
      <c r="AN903" s="142"/>
      <c r="AO903" s="142"/>
    </row>
    <row r="904" ht="15.75" customHeight="1">
      <c r="A904" s="142"/>
      <c r="B904" s="142"/>
      <c r="C904" s="142"/>
      <c r="D904" s="142"/>
      <c r="E904" s="131"/>
      <c r="F904" s="142"/>
      <c r="G904" s="142"/>
      <c r="H904" s="142"/>
      <c r="I904" s="142"/>
      <c r="J904" s="142"/>
      <c r="K904" s="132"/>
      <c r="L904" s="131"/>
      <c r="M904" s="131"/>
      <c r="N904" s="142"/>
      <c r="O904" s="142"/>
      <c r="P904" s="142"/>
      <c r="Q904" s="142"/>
      <c r="R904" s="142"/>
      <c r="S904" s="142"/>
      <c r="T904" s="131"/>
      <c r="U904" s="131"/>
      <c r="V904" s="131"/>
      <c r="W904" s="131"/>
      <c r="X904" s="131"/>
      <c r="Y904" s="131"/>
      <c r="Z904" s="142"/>
      <c r="AA904" s="142"/>
      <c r="AB904" s="142"/>
      <c r="AC904" s="142"/>
      <c r="AD904" s="142"/>
      <c r="AE904" s="142"/>
      <c r="AF904" s="142"/>
      <c r="AG904" s="142"/>
      <c r="AH904" s="142"/>
      <c r="AI904" s="142"/>
      <c r="AJ904" s="142"/>
      <c r="AK904" s="142"/>
      <c r="AL904" s="142"/>
      <c r="AM904" s="142"/>
      <c r="AN904" s="142"/>
      <c r="AO904" s="142"/>
    </row>
    <row r="905" ht="15.75" customHeight="1">
      <c r="A905" s="142"/>
      <c r="B905" s="142"/>
      <c r="C905" s="142"/>
      <c r="D905" s="142"/>
      <c r="E905" s="131"/>
      <c r="F905" s="142"/>
      <c r="G905" s="142"/>
      <c r="H905" s="142"/>
      <c r="I905" s="142"/>
      <c r="J905" s="142"/>
      <c r="K905" s="132"/>
      <c r="L905" s="131"/>
      <c r="M905" s="131"/>
      <c r="N905" s="142"/>
      <c r="O905" s="142"/>
      <c r="P905" s="142"/>
      <c r="Q905" s="142"/>
      <c r="R905" s="142"/>
      <c r="S905" s="142"/>
      <c r="T905" s="131"/>
      <c r="U905" s="131"/>
      <c r="V905" s="131"/>
      <c r="W905" s="131"/>
      <c r="X905" s="131"/>
      <c r="Y905" s="131"/>
      <c r="Z905" s="142"/>
      <c r="AA905" s="142"/>
      <c r="AB905" s="142"/>
      <c r="AC905" s="142"/>
      <c r="AD905" s="142"/>
      <c r="AE905" s="142"/>
      <c r="AF905" s="142"/>
      <c r="AG905" s="142"/>
      <c r="AH905" s="142"/>
      <c r="AI905" s="142"/>
      <c r="AJ905" s="142"/>
      <c r="AK905" s="142"/>
      <c r="AL905" s="142"/>
      <c r="AM905" s="142"/>
      <c r="AN905" s="142"/>
      <c r="AO905" s="142"/>
    </row>
    <row r="906" ht="15.75" customHeight="1">
      <c r="A906" s="142"/>
      <c r="B906" s="142"/>
      <c r="C906" s="142"/>
      <c r="D906" s="142"/>
      <c r="E906" s="131"/>
      <c r="F906" s="142"/>
      <c r="G906" s="142"/>
      <c r="H906" s="142"/>
      <c r="I906" s="142"/>
      <c r="J906" s="142"/>
      <c r="K906" s="132"/>
      <c r="L906" s="131"/>
      <c r="M906" s="131"/>
      <c r="N906" s="142"/>
      <c r="O906" s="142"/>
      <c r="P906" s="142"/>
      <c r="Q906" s="142"/>
      <c r="R906" s="142"/>
      <c r="S906" s="142"/>
      <c r="T906" s="131"/>
      <c r="U906" s="131"/>
      <c r="V906" s="131"/>
      <c r="W906" s="131"/>
      <c r="X906" s="131"/>
      <c r="Y906" s="131"/>
      <c r="Z906" s="142"/>
      <c r="AA906" s="142"/>
      <c r="AB906" s="142"/>
      <c r="AC906" s="142"/>
      <c r="AD906" s="142"/>
      <c r="AE906" s="142"/>
      <c r="AF906" s="142"/>
      <c r="AG906" s="142"/>
      <c r="AH906" s="142"/>
      <c r="AI906" s="142"/>
      <c r="AJ906" s="142"/>
      <c r="AK906" s="142"/>
      <c r="AL906" s="142"/>
      <c r="AM906" s="142"/>
      <c r="AN906" s="142"/>
      <c r="AO906" s="142"/>
    </row>
    <row r="907" ht="15.75" customHeight="1">
      <c r="A907" s="142"/>
      <c r="B907" s="142"/>
      <c r="C907" s="142"/>
      <c r="D907" s="142"/>
      <c r="E907" s="131"/>
      <c r="F907" s="142"/>
      <c r="G907" s="142"/>
      <c r="H907" s="142"/>
      <c r="I907" s="142"/>
      <c r="J907" s="142"/>
      <c r="K907" s="132"/>
      <c r="L907" s="131"/>
      <c r="M907" s="131"/>
      <c r="N907" s="142"/>
      <c r="O907" s="142"/>
      <c r="P907" s="142"/>
      <c r="Q907" s="142"/>
      <c r="R907" s="142"/>
      <c r="S907" s="142"/>
      <c r="T907" s="131"/>
      <c r="U907" s="131"/>
      <c r="V907" s="131"/>
      <c r="W907" s="131"/>
      <c r="X907" s="131"/>
      <c r="Y907" s="131"/>
      <c r="Z907" s="142"/>
      <c r="AA907" s="142"/>
      <c r="AB907" s="142"/>
      <c r="AC907" s="142"/>
      <c r="AD907" s="142"/>
      <c r="AE907" s="142"/>
      <c r="AF907" s="142"/>
      <c r="AG907" s="142"/>
      <c r="AH907" s="142"/>
      <c r="AI907" s="142"/>
      <c r="AJ907" s="142"/>
      <c r="AK907" s="142"/>
      <c r="AL907" s="142"/>
      <c r="AM907" s="142"/>
      <c r="AN907" s="142"/>
      <c r="AO907" s="142"/>
    </row>
    <row r="908" ht="15.75" customHeight="1">
      <c r="A908" s="142"/>
      <c r="B908" s="142"/>
      <c r="C908" s="142"/>
      <c r="D908" s="142"/>
      <c r="E908" s="131"/>
      <c r="F908" s="142"/>
      <c r="G908" s="142"/>
      <c r="H908" s="142"/>
      <c r="I908" s="142"/>
      <c r="J908" s="142"/>
      <c r="K908" s="132"/>
      <c r="L908" s="131"/>
      <c r="M908" s="131"/>
      <c r="N908" s="142"/>
      <c r="O908" s="142"/>
      <c r="P908" s="142"/>
      <c r="Q908" s="142"/>
      <c r="R908" s="142"/>
      <c r="S908" s="142"/>
      <c r="T908" s="131"/>
      <c r="U908" s="131"/>
      <c r="V908" s="131"/>
      <c r="W908" s="131"/>
      <c r="X908" s="131"/>
      <c r="Y908" s="131"/>
      <c r="Z908" s="142"/>
      <c r="AA908" s="142"/>
      <c r="AB908" s="142"/>
      <c r="AC908" s="142"/>
      <c r="AD908" s="142"/>
      <c r="AE908" s="142"/>
      <c r="AF908" s="142"/>
      <c r="AG908" s="142"/>
      <c r="AH908" s="142"/>
      <c r="AI908" s="142"/>
      <c r="AJ908" s="142"/>
      <c r="AK908" s="142"/>
      <c r="AL908" s="142"/>
      <c r="AM908" s="142"/>
      <c r="AN908" s="142"/>
      <c r="AO908" s="142"/>
    </row>
    <row r="909" ht="15.75" customHeight="1">
      <c r="A909" s="142"/>
      <c r="B909" s="142"/>
      <c r="C909" s="142"/>
      <c r="D909" s="142"/>
      <c r="E909" s="131"/>
      <c r="F909" s="142"/>
      <c r="G909" s="142"/>
      <c r="H909" s="142"/>
      <c r="I909" s="142"/>
      <c r="J909" s="142"/>
      <c r="K909" s="132"/>
      <c r="L909" s="131"/>
      <c r="M909" s="131"/>
      <c r="N909" s="142"/>
      <c r="O909" s="142"/>
      <c r="P909" s="142"/>
      <c r="Q909" s="142"/>
      <c r="R909" s="142"/>
      <c r="S909" s="142"/>
      <c r="T909" s="131"/>
      <c r="U909" s="131"/>
      <c r="V909" s="131"/>
      <c r="W909" s="131"/>
      <c r="X909" s="131"/>
      <c r="Y909" s="131"/>
      <c r="Z909" s="142"/>
      <c r="AA909" s="142"/>
      <c r="AB909" s="142"/>
      <c r="AC909" s="142"/>
      <c r="AD909" s="142"/>
      <c r="AE909" s="142"/>
      <c r="AF909" s="142"/>
      <c r="AG909" s="142"/>
      <c r="AH909" s="142"/>
      <c r="AI909" s="142"/>
      <c r="AJ909" s="142"/>
      <c r="AK909" s="142"/>
      <c r="AL909" s="142"/>
      <c r="AM909" s="142"/>
      <c r="AN909" s="142"/>
      <c r="AO909" s="142"/>
    </row>
    <row r="910" ht="15.75" customHeight="1">
      <c r="A910" s="142"/>
      <c r="B910" s="142"/>
      <c r="C910" s="142"/>
      <c r="D910" s="142"/>
      <c r="E910" s="131"/>
      <c r="F910" s="142"/>
      <c r="G910" s="142"/>
      <c r="H910" s="142"/>
      <c r="I910" s="142"/>
      <c r="J910" s="142"/>
      <c r="K910" s="132"/>
      <c r="L910" s="131"/>
      <c r="M910" s="131"/>
      <c r="N910" s="142"/>
      <c r="O910" s="142"/>
      <c r="P910" s="142"/>
      <c r="Q910" s="142"/>
      <c r="R910" s="142"/>
      <c r="S910" s="142"/>
      <c r="T910" s="131"/>
      <c r="U910" s="131"/>
      <c r="V910" s="131"/>
      <c r="W910" s="131"/>
      <c r="X910" s="131"/>
      <c r="Y910" s="131"/>
      <c r="Z910" s="142"/>
      <c r="AA910" s="142"/>
      <c r="AB910" s="142"/>
      <c r="AC910" s="142"/>
      <c r="AD910" s="142"/>
      <c r="AE910" s="142"/>
      <c r="AF910" s="142"/>
      <c r="AG910" s="142"/>
      <c r="AH910" s="142"/>
      <c r="AI910" s="142"/>
      <c r="AJ910" s="142"/>
      <c r="AK910" s="142"/>
      <c r="AL910" s="142"/>
      <c r="AM910" s="142"/>
      <c r="AN910" s="142"/>
      <c r="AO910" s="142"/>
    </row>
    <row r="911" ht="15.75" customHeight="1">
      <c r="A911" s="142"/>
      <c r="B911" s="142"/>
      <c r="C911" s="142"/>
      <c r="D911" s="142"/>
      <c r="E911" s="131"/>
      <c r="F911" s="142"/>
      <c r="G911" s="142"/>
      <c r="H911" s="142"/>
      <c r="I911" s="142"/>
      <c r="J911" s="142"/>
      <c r="K911" s="132"/>
      <c r="L911" s="131"/>
      <c r="M911" s="131"/>
      <c r="N911" s="142"/>
      <c r="O911" s="142"/>
      <c r="P911" s="142"/>
      <c r="Q911" s="142"/>
      <c r="R911" s="142"/>
      <c r="S911" s="142"/>
      <c r="T911" s="131"/>
      <c r="U911" s="131"/>
      <c r="V911" s="131"/>
      <c r="W911" s="131"/>
      <c r="X911" s="131"/>
      <c r="Y911" s="131"/>
      <c r="Z911" s="142"/>
      <c r="AA911" s="142"/>
      <c r="AB911" s="142"/>
      <c r="AC911" s="142"/>
      <c r="AD911" s="142"/>
      <c r="AE911" s="142"/>
      <c r="AF911" s="142"/>
      <c r="AG911" s="142"/>
      <c r="AH911" s="142"/>
      <c r="AI911" s="142"/>
      <c r="AJ911" s="142"/>
      <c r="AK911" s="142"/>
      <c r="AL911" s="142"/>
      <c r="AM911" s="142"/>
      <c r="AN911" s="142"/>
      <c r="AO911" s="142"/>
    </row>
    <row r="912" ht="15.75" customHeight="1">
      <c r="A912" s="142"/>
      <c r="B912" s="142"/>
      <c r="C912" s="142"/>
      <c r="D912" s="142"/>
      <c r="E912" s="131"/>
      <c r="F912" s="142"/>
      <c r="G912" s="142"/>
      <c r="H912" s="142"/>
      <c r="I912" s="142"/>
      <c r="J912" s="142"/>
      <c r="K912" s="132"/>
      <c r="L912" s="131"/>
      <c r="M912" s="131"/>
      <c r="N912" s="142"/>
      <c r="O912" s="142"/>
      <c r="P912" s="142"/>
      <c r="Q912" s="142"/>
      <c r="R912" s="142"/>
      <c r="S912" s="142"/>
      <c r="T912" s="131"/>
      <c r="U912" s="131"/>
      <c r="V912" s="131"/>
      <c r="W912" s="131"/>
      <c r="X912" s="131"/>
      <c r="Y912" s="131"/>
      <c r="Z912" s="142"/>
      <c r="AA912" s="142"/>
      <c r="AB912" s="142"/>
      <c r="AC912" s="142"/>
      <c r="AD912" s="142"/>
      <c r="AE912" s="142"/>
      <c r="AF912" s="142"/>
      <c r="AG912" s="142"/>
      <c r="AH912" s="142"/>
      <c r="AI912" s="142"/>
      <c r="AJ912" s="142"/>
      <c r="AK912" s="142"/>
      <c r="AL912" s="142"/>
      <c r="AM912" s="142"/>
      <c r="AN912" s="142"/>
      <c r="AO912" s="142"/>
    </row>
    <row r="913" ht="15.75" customHeight="1">
      <c r="A913" s="142"/>
      <c r="B913" s="142"/>
      <c r="C913" s="142"/>
      <c r="D913" s="142"/>
      <c r="E913" s="131"/>
      <c r="F913" s="142"/>
      <c r="G913" s="142"/>
      <c r="H913" s="142"/>
      <c r="I913" s="142"/>
      <c r="J913" s="142"/>
      <c r="K913" s="132"/>
      <c r="L913" s="131"/>
      <c r="M913" s="131"/>
      <c r="N913" s="142"/>
      <c r="O913" s="142"/>
      <c r="P913" s="142"/>
      <c r="Q913" s="142"/>
      <c r="R913" s="142"/>
      <c r="S913" s="142"/>
      <c r="T913" s="131"/>
      <c r="U913" s="131"/>
      <c r="V913" s="131"/>
      <c r="W913" s="131"/>
      <c r="X913" s="131"/>
      <c r="Y913" s="131"/>
      <c r="Z913" s="142"/>
      <c r="AA913" s="142"/>
      <c r="AB913" s="142"/>
      <c r="AC913" s="142"/>
      <c r="AD913" s="142"/>
      <c r="AE913" s="142"/>
      <c r="AF913" s="142"/>
      <c r="AG913" s="142"/>
      <c r="AH913" s="142"/>
      <c r="AI913" s="142"/>
      <c r="AJ913" s="142"/>
      <c r="AK913" s="142"/>
      <c r="AL913" s="142"/>
      <c r="AM913" s="142"/>
      <c r="AN913" s="142"/>
      <c r="AO913" s="142"/>
    </row>
    <row r="914" ht="15.75" customHeight="1">
      <c r="A914" s="142"/>
      <c r="B914" s="142"/>
      <c r="C914" s="142"/>
      <c r="D914" s="142"/>
      <c r="E914" s="131"/>
      <c r="F914" s="142"/>
      <c r="G914" s="142"/>
      <c r="H914" s="142"/>
      <c r="I914" s="142"/>
      <c r="J914" s="142"/>
      <c r="K914" s="132"/>
      <c r="L914" s="131"/>
      <c r="M914" s="131"/>
      <c r="N914" s="142"/>
      <c r="O914" s="142"/>
      <c r="P914" s="142"/>
      <c r="Q914" s="142"/>
      <c r="R914" s="142"/>
      <c r="S914" s="142"/>
      <c r="T914" s="131"/>
      <c r="U914" s="131"/>
      <c r="V914" s="131"/>
      <c r="W914" s="131"/>
      <c r="X914" s="131"/>
      <c r="Y914" s="131"/>
      <c r="Z914" s="142"/>
      <c r="AA914" s="142"/>
      <c r="AB914" s="142"/>
      <c r="AC914" s="142"/>
      <c r="AD914" s="142"/>
      <c r="AE914" s="142"/>
      <c r="AF914" s="142"/>
      <c r="AG914" s="142"/>
      <c r="AH914" s="142"/>
      <c r="AI914" s="142"/>
      <c r="AJ914" s="142"/>
      <c r="AK914" s="142"/>
      <c r="AL914" s="142"/>
      <c r="AM914" s="142"/>
      <c r="AN914" s="142"/>
      <c r="AO914" s="142"/>
    </row>
    <row r="915" ht="15.75" customHeight="1">
      <c r="A915" s="142"/>
      <c r="B915" s="142"/>
      <c r="C915" s="142"/>
      <c r="D915" s="142"/>
      <c r="E915" s="131"/>
      <c r="F915" s="142"/>
      <c r="G915" s="142"/>
      <c r="H915" s="142"/>
      <c r="I915" s="142"/>
      <c r="J915" s="142"/>
      <c r="K915" s="132"/>
      <c r="L915" s="131"/>
      <c r="M915" s="131"/>
      <c r="N915" s="142"/>
      <c r="O915" s="142"/>
      <c r="P915" s="142"/>
      <c r="Q915" s="142"/>
      <c r="R915" s="142"/>
      <c r="S915" s="142"/>
      <c r="T915" s="131"/>
      <c r="U915" s="131"/>
      <c r="V915" s="131"/>
      <c r="W915" s="131"/>
      <c r="X915" s="131"/>
      <c r="Y915" s="131"/>
      <c r="Z915" s="142"/>
      <c r="AA915" s="142"/>
      <c r="AB915" s="142"/>
      <c r="AC915" s="142"/>
      <c r="AD915" s="142"/>
      <c r="AE915" s="142"/>
      <c r="AF915" s="142"/>
      <c r="AG915" s="142"/>
      <c r="AH915" s="142"/>
      <c r="AI915" s="142"/>
      <c r="AJ915" s="142"/>
      <c r="AK915" s="142"/>
      <c r="AL915" s="142"/>
      <c r="AM915" s="142"/>
      <c r="AN915" s="142"/>
      <c r="AO915" s="142"/>
    </row>
    <row r="916" ht="15.75" customHeight="1">
      <c r="A916" s="142"/>
      <c r="B916" s="142"/>
      <c r="C916" s="142"/>
      <c r="D916" s="142"/>
      <c r="E916" s="131"/>
      <c r="F916" s="142"/>
      <c r="G916" s="142"/>
      <c r="H916" s="142"/>
      <c r="I916" s="142"/>
      <c r="J916" s="142"/>
      <c r="K916" s="132"/>
      <c r="L916" s="131"/>
      <c r="M916" s="131"/>
      <c r="N916" s="142"/>
      <c r="O916" s="142"/>
      <c r="P916" s="142"/>
      <c r="Q916" s="142"/>
      <c r="R916" s="142"/>
      <c r="S916" s="142"/>
      <c r="T916" s="131"/>
      <c r="U916" s="131"/>
      <c r="V916" s="131"/>
      <c r="W916" s="131"/>
      <c r="X916" s="131"/>
      <c r="Y916" s="131"/>
      <c r="Z916" s="142"/>
      <c r="AA916" s="142"/>
      <c r="AB916" s="142"/>
      <c r="AC916" s="142"/>
      <c r="AD916" s="142"/>
      <c r="AE916" s="142"/>
      <c r="AF916" s="142"/>
      <c r="AG916" s="142"/>
      <c r="AH916" s="142"/>
      <c r="AI916" s="142"/>
      <c r="AJ916" s="142"/>
      <c r="AK916" s="142"/>
      <c r="AL916" s="142"/>
      <c r="AM916" s="142"/>
      <c r="AN916" s="142"/>
      <c r="AO916" s="142"/>
    </row>
    <row r="917" ht="15.75" customHeight="1">
      <c r="A917" s="142"/>
      <c r="B917" s="142"/>
      <c r="C917" s="142"/>
      <c r="D917" s="142"/>
      <c r="E917" s="131"/>
      <c r="F917" s="142"/>
      <c r="G917" s="142"/>
      <c r="H917" s="142"/>
      <c r="I917" s="142"/>
      <c r="J917" s="142"/>
      <c r="K917" s="132"/>
      <c r="L917" s="131"/>
      <c r="M917" s="131"/>
      <c r="N917" s="142"/>
      <c r="O917" s="142"/>
      <c r="P917" s="142"/>
      <c r="Q917" s="142"/>
      <c r="R917" s="142"/>
      <c r="S917" s="142"/>
      <c r="T917" s="131"/>
      <c r="U917" s="131"/>
      <c r="V917" s="131"/>
      <c r="W917" s="131"/>
      <c r="X917" s="131"/>
      <c r="Y917" s="131"/>
      <c r="Z917" s="142"/>
      <c r="AA917" s="142"/>
      <c r="AB917" s="142"/>
      <c r="AC917" s="142"/>
      <c r="AD917" s="142"/>
      <c r="AE917" s="142"/>
      <c r="AF917" s="142"/>
      <c r="AG917" s="142"/>
      <c r="AH917" s="142"/>
      <c r="AI917" s="142"/>
      <c r="AJ917" s="142"/>
      <c r="AK917" s="142"/>
      <c r="AL917" s="142"/>
      <c r="AM917" s="142"/>
      <c r="AN917" s="142"/>
      <c r="AO917" s="142"/>
    </row>
    <row r="918" ht="15.75" customHeight="1">
      <c r="A918" s="142"/>
      <c r="B918" s="142"/>
      <c r="C918" s="142"/>
      <c r="D918" s="142"/>
      <c r="E918" s="131"/>
      <c r="F918" s="142"/>
      <c r="G918" s="142"/>
      <c r="H918" s="142"/>
      <c r="I918" s="142"/>
      <c r="J918" s="142"/>
      <c r="K918" s="132"/>
      <c r="L918" s="131"/>
      <c r="M918" s="131"/>
      <c r="N918" s="142"/>
      <c r="O918" s="142"/>
      <c r="P918" s="142"/>
      <c r="Q918" s="142"/>
      <c r="R918" s="142"/>
      <c r="S918" s="142"/>
      <c r="T918" s="131"/>
      <c r="U918" s="131"/>
      <c r="V918" s="131"/>
      <c r="W918" s="131"/>
      <c r="X918" s="131"/>
      <c r="Y918" s="131"/>
      <c r="Z918" s="142"/>
      <c r="AA918" s="142"/>
      <c r="AB918" s="142"/>
      <c r="AC918" s="142"/>
      <c r="AD918" s="142"/>
      <c r="AE918" s="142"/>
      <c r="AF918" s="142"/>
      <c r="AG918" s="142"/>
      <c r="AH918" s="142"/>
      <c r="AI918" s="142"/>
      <c r="AJ918" s="142"/>
      <c r="AK918" s="142"/>
      <c r="AL918" s="142"/>
      <c r="AM918" s="142"/>
      <c r="AN918" s="142"/>
      <c r="AO918" s="142"/>
    </row>
    <row r="919" ht="15.75" customHeight="1">
      <c r="A919" s="142"/>
      <c r="B919" s="142"/>
      <c r="C919" s="142"/>
      <c r="D919" s="142"/>
      <c r="E919" s="131"/>
      <c r="F919" s="142"/>
      <c r="G919" s="142"/>
      <c r="H919" s="142"/>
      <c r="I919" s="142"/>
      <c r="J919" s="142"/>
      <c r="K919" s="132"/>
      <c r="L919" s="131"/>
      <c r="M919" s="131"/>
      <c r="N919" s="142"/>
      <c r="O919" s="142"/>
      <c r="P919" s="142"/>
      <c r="Q919" s="142"/>
      <c r="R919" s="142"/>
      <c r="S919" s="142"/>
      <c r="T919" s="131"/>
      <c r="U919" s="131"/>
      <c r="V919" s="131"/>
      <c r="W919" s="131"/>
      <c r="X919" s="131"/>
      <c r="Y919" s="131"/>
      <c r="Z919" s="142"/>
      <c r="AA919" s="142"/>
      <c r="AB919" s="142"/>
      <c r="AC919" s="142"/>
      <c r="AD919" s="142"/>
      <c r="AE919" s="142"/>
      <c r="AF919" s="142"/>
      <c r="AG919" s="142"/>
      <c r="AH919" s="142"/>
      <c r="AI919" s="142"/>
      <c r="AJ919" s="142"/>
      <c r="AK919" s="142"/>
      <c r="AL919" s="142"/>
      <c r="AM919" s="142"/>
      <c r="AN919" s="142"/>
      <c r="AO919" s="142"/>
    </row>
    <row r="920" ht="15.75" customHeight="1">
      <c r="A920" s="142"/>
      <c r="B920" s="142"/>
      <c r="C920" s="142"/>
      <c r="D920" s="142"/>
      <c r="E920" s="131"/>
      <c r="F920" s="142"/>
      <c r="G920" s="142"/>
      <c r="H920" s="142"/>
      <c r="I920" s="142"/>
      <c r="J920" s="142"/>
      <c r="K920" s="132"/>
      <c r="L920" s="131"/>
      <c r="M920" s="131"/>
      <c r="N920" s="142"/>
      <c r="O920" s="142"/>
      <c r="P920" s="142"/>
      <c r="Q920" s="142"/>
      <c r="R920" s="142"/>
      <c r="S920" s="142"/>
      <c r="T920" s="131"/>
      <c r="U920" s="131"/>
      <c r="V920" s="131"/>
      <c r="W920" s="131"/>
      <c r="X920" s="131"/>
      <c r="Y920" s="131"/>
      <c r="Z920" s="142"/>
      <c r="AA920" s="142"/>
      <c r="AB920" s="142"/>
      <c r="AC920" s="142"/>
      <c r="AD920" s="142"/>
      <c r="AE920" s="142"/>
      <c r="AF920" s="142"/>
      <c r="AG920" s="142"/>
      <c r="AH920" s="142"/>
      <c r="AI920" s="142"/>
      <c r="AJ920" s="142"/>
      <c r="AK920" s="142"/>
      <c r="AL920" s="142"/>
      <c r="AM920" s="142"/>
      <c r="AN920" s="142"/>
      <c r="AO920" s="142"/>
    </row>
    <row r="921" ht="15.75" customHeight="1">
      <c r="A921" s="142"/>
      <c r="B921" s="142"/>
      <c r="C921" s="142"/>
      <c r="D921" s="142"/>
      <c r="E921" s="131"/>
      <c r="F921" s="142"/>
      <c r="G921" s="142"/>
      <c r="H921" s="142"/>
      <c r="I921" s="142"/>
      <c r="J921" s="142"/>
      <c r="K921" s="132"/>
      <c r="L921" s="131"/>
      <c r="M921" s="131"/>
      <c r="N921" s="142"/>
      <c r="O921" s="142"/>
      <c r="P921" s="142"/>
      <c r="Q921" s="142"/>
      <c r="R921" s="142"/>
      <c r="S921" s="142"/>
      <c r="T921" s="131"/>
      <c r="U921" s="131"/>
      <c r="V921" s="131"/>
      <c r="W921" s="131"/>
      <c r="X921" s="131"/>
      <c r="Y921" s="131"/>
      <c r="Z921" s="142"/>
      <c r="AA921" s="142"/>
      <c r="AB921" s="142"/>
      <c r="AC921" s="142"/>
      <c r="AD921" s="142"/>
      <c r="AE921" s="142"/>
      <c r="AF921" s="142"/>
      <c r="AG921" s="142"/>
      <c r="AH921" s="142"/>
      <c r="AI921" s="142"/>
      <c r="AJ921" s="142"/>
      <c r="AK921" s="142"/>
      <c r="AL921" s="142"/>
      <c r="AM921" s="142"/>
      <c r="AN921" s="142"/>
      <c r="AO921" s="142"/>
    </row>
    <row r="922" ht="15.75" customHeight="1">
      <c r="A922" s="142"/>
      <c r="B922" s="142"/>
      <c r="C922" s="142"/>
      <c r="D922" s="142"/>
      <c r="E922" s="131"/>
      <c r="F922" s="142"/>
      <c r="G922" s="142"/>
      <c r="H922" s="142"/>
      <c r="I922" s="142"/>
      <c r="J922" s="142"/>
      <c r="K922" s="132"/>
      <c r="L922" s="131"/>
      <c r="M922" s="131"/>
      <c r="N922" s="142"/>
      <c r="O922" s="142"/>
      <c r="P922" s="142"/>
      <c r="Q922" s="142"/>
      <c r="R922" s="142"/>
      <c r="S922" s="142"/>
      <c r="T922" s="131"/>
      <c r="U922" s="131"/>
      <c r="V922" s="131"/>
      <c r="W922" s="131"/>
      <c r="X922" s="131"/>
      <c r="Y922" s="131"/>
      <c r="Z922" s="142"/>
      <c r="AA922" s="142"/>
      <c r="AB922" s="142"/>
      <c r="AC922" s="142"/>
      <c r="AD922" s="142"/>
      <c r="AE922" s="142"/>
      <c r="AF922" s="142"/>
      <c r="AG922" s="142"/>
      <c r="AH922" s="142"/>
      <c r="AI922" s="142"/>
      <c r="AJ922" s="142"/>
      <c r="AK922" s="142"/>
      <c r="AL922" s="142"/>
      <c r="AM922" s="142"/>
      <c r="AN922" s="142"/>
      <c r="AO922" s="142"/>
    </row>
    <row r="923" ht="15.75" customHeight="1">
      <c r="A923" s="142"/>
      <c r="B923" s="142"/>
      <c r="C923" s="142"/>
      <c r="D923" s="142"/>
      <c r="E923" s="131"/>
      <c r="F923" s="142"/>
      <c r="G923" s="142"/>
      <c r="H923" s="142"/>
      <c r="I923" s="142"/>
      <c r="J923" s="142"/>
      <c r="K923" s="132"/>
      <c r="L923" s="131"/>
      <c r="M923" s="131"/>
      <c r="N923" s="142"/>
      <c r="O923" s="142"/>
      <c r="P923" s="142"/>
      <c r="Q923" s="142"/>
      <c r="R923" s="142"/>
      <c r="S923" s="142"/>
      <c r="T923" s="131"/>
      <c r="U923" s="131"/>
      <c r="V923" s="131"/>
      <c r="W923" s="131"/>
      <c r="X923" s="131"/>
      <c r="Y923" s="131"/>
      <c r="Z923" s="142"/>
      <c r="AA923" s="142"/>
      <c r="AB923" s="142"/>
      <c r="AC923" s="142"/>
      <c r="AD923" s="142"/>
      <c r="AE923" s="142"/>
      <c r="AF923" s="142"/>
      <c r="AG923" s="142"/>
      <c r="AH923" s="142"/>
      <c r="AI923" s="142"/>
      <c r="AJ923" s="142"/>
      <c r="AK923" s="142"/>
      <c r="AL923" s="142"/>
      <c r="AM923" s="142"/>
      <c r="AN923" s="142"/>
      <c r="AO923" s="142"/>
    </row>
    <row r="924" ht="15.75" customHeight="1">
      <c r="A924" s="142"/>
      <c r="B924" s="142"/>
      <c r="C924" s="142"/>
      <c r="D924" s="142"/>
      <c r="E924" s="131"/>
      <c r="F924" s="142"/>
      <c r="G924" s="142"/>
      <c r="H924" s="142"/>
      <c r="I924" s="142"/>
      <c r="J924" s="142"/>
      <c r="K924" s="132"/>
      <c r="L924" s="131"/>
      <c r="M924" s="131"/>
      <c r="N924" s="142"/>
      <c r="O924" s="142"/>
      <c r="P924" s="142"/>
      <c r="Q924" s="142"/>
      <c r="R924" s="142"/>
      <c r="S924" s="142"/>
      <c r="T924" s="131"/>
      <c r="U924" s="131"/>
      <c r="V924" s="131"/>
      <c r="W924" s="131"/>
      <c r="X924" s="131"/>
      <c r="Y924" s="131"/>
      <c r="Z924" s="142"/>
      <c r="AA924" s="142"/>
      <c r="AB924" s="142"/>
      <c r="AC924" s="142"/>
      <c r="AD924" s="142"/>
      <c r="AE924" s="142"/>
      <c r="AF924" s="142"/>
      <c r="AG924" s="142"/>
      <c r="AH924" s="142"/>
      <c r="AI924" s="142"/>
      <c r="AJ924" s="142"/>
      <c r="AK924" s="142"/>
      <c r="AL924" s="142"/>
      <c r="AM924" s="142"/>
      <c r="AN924" s="142"/>
      <c r="AO924" s="142"/>
    </row>
    <row r="925" ht="15.75" customHeight="1">
      <c r="A925" s="142"/>
      <c r="B925" s="142"/>
      <c r="C925" s="142"/>
      <c r="D925" s="142"/>
      <c r="E925" s="131"/>
      <c r="F925" s="142"/>
      <c r="G925" s="142"/>
      <c r="H925" s="142"/>
      <c r="I925" s="142"/>
      <c r="J925" s="142"/>
      <c r="K925" s="132"/>
      <c r="L925" s="131"/>
      <c r="M925" s="131"/>
      <c r="N925" s="142"/>
      <c r="O925" s="142"/>
      <c r="P925" s="142"/>
      <c r="Q925" s="142"/>
      <c r="R925" s="142"/>
      <c r="S925" s="142"/>
      <c r="T925" s="131"/>
      <c r="U925" s="131"/>
      <c r="V925" s="131"/>
      <c r="W925" s="131"/>
      <c r="X925" s="131"/>
      <c r="Y925" s="131"/>
      <c r="Z925" s="142"/>
      <c r="AA925" s="142"/>
      <c r="AB925" s="142"/>
      <c r="AC925" s="142"/>
      <c r="AD925" s="142"/>
      <c r="AE925" s="142"/>
      <c r="AF925" s="142"/>
      <c r="AG925" s="142"/>
      <c r="AH925" s="142"/>
      <c r="AI925" s="142"/>
      <c r="AJ925" s="142"/>
      <c r="AK925" s="142"/>
      <c r="AL925" s="142"/>
      <c r="AM925" s="142"/>
      <c r="AN925" s="142"/>
      <c r="AO925" s="142"/>
    </row>
    <row r="926" ht="15.75" customHeight="1">
      <c r="A926" s="142"/>
      <c r="B926" s="142"/>
      <c r="C926" s="142"/>
      <c r="D926" s="142"/>
      <c r="E926" s="131"/>
      <c r="F926" s="142"/>
      <c r="G926" s="142"/>
      <c r="H926" s="142"/>
      <c r="I926" s="142"/>
      <c r="J926" s="142"/>
      <c r="K926" s="132"/>
      <c r="L926" s="131"/>
      <c r="M926" s="131"/>
      <c r="N926" s="142"/>
      <c r="O926" s="142"/>
      <c r="P926" s="142"/>
      <c r="Q926" s="142"/>
      <c r="R926" s="142"/>
      <c r="S926" s="142"/>
      <c r="T926" s="131"/>
      <c r="U926" s="131"/>
      <c r="V926" s="131"/>
      <c r="W926" s="131"/>
      <c r="X926" s="131"/>
      <c r="Y926" s="131"/>
      <c r="Z926" s="142"/>
      <c r="AA926" s="142"/>
      <c r="AB926" s="142"/>
      <c r="AC926" s="142"/>
      <c r="AD926" s="142"/>
      <c r="AE926" s="142"/>
      <c r="AF926" s="142"/>
      <c r="AG926" s="142"/>
      <c r="AH926" s="142"/>
      <c r="AI926" s="142"/>
      <c r="AJ926" s="142"/>
      <c r="AK926" s="142"/>
      <c r="AL926" s="142"/>
      <c r="AM926" s="142"/>
      <c r="AN926" s="142"/>
      <c r="AO926" s="142"/>
    </row>
    <row r="927" ht="15.75" customHeight="1">
      <c r="A927" s="142"/>
      <c r="B927" s="142"/>
      <c r="C927" s="142"/>
      <c r="D927" s="142"/>
      <c r="E927" s="131"/>
      <c r="F927" s="142"/>
      <c r="G927" s="142"/>
      <c r="H927" s="142"/>
      <c r="I927" s="142"/>
      <c r="J927" s="142"/>
      <c r="K927" s="132"/>
      <c r="L927" s="131"/>
      <c r="M927" s="131"/>
      <c r="N927" s="142"/>
      <c r="O927" s="142"/>
      <c r="P927" s="142"/>
      <c r="Q927" s="142"/>
      <c r="R927" s="142"/>
      <c r="S927" s="142"/>
      <c r="T927" s="131"/>
      <c r="U927" s="131"/>
      <c r="V927" s="131"/>
      <c r="W927" s="131"/>
      <c r="X927" s="131"/>
      <c r="Y927" s="131"/>
      <c r="Z927" s="142"/>
      <c r="AA927" s="142"/>
      <c r="AB927" s="142"/>
      <c r="AC927" s="142"/>
      <c r="AD927" s="142"/>
      <c r="AE927" s="142"/>
      <c r="AF927" s="142"/>
      <c r="AG927" s="142"/>
      <c r="AH927" s="142"/>
      <c r="AI927" s="142"/>
      <c r="AJ927" s="142"/>
      <c r="AK927" s="142"/>
      <c r="AL927" s="142"/>
      <c r="AM927" s="142"/>
      <c r="AN927" s="142"/>
      <c r="AO927" s="142"/>
    </row>
    <row r="928" ht="15.75" customHeight="1">
      <c r="A928" s="142"/>
      <c r="B928" s="142"/>
      <c r="C928" s="142"/>
      <c r="D928" s="142"/>
      <c r="E928" s="131"/>
      <c r="F928" s="142"/>
      <c r="G928" s="142"/>
      <c r="H928" s="142"/>
      <c r="I928" s="142"/>
      <c r="J928" s="142"/>
      <c r="K928" s="132"/>
      <c r="L928" s="131"/>
      <c r="M928" s="131"/>
      <c r="N928" s="142"/>
      <c r="O928" s="142"/>
      <c r="P928" s="142"/>
      <c r="Q928" s="142"/>
      <c r="R928" s="142"/>
      <c r="S928" s="142"/>
      <c r="T928" s="131"/>
      <c r="U928" s="131"/>
      <c r="V928" s="131"/>
      <c r="W928" s="131"/>
      <c r="X928" s="131"/>
      <c r="Y928" s="131"/>
      <c r="Z928" s="142"/>
      <c r="AA928" s="142"/>
      <c r="AB928" s="142"/>
      <c r="AC928" s="142"/>
      <c r="AD928" s="142"/>
      <c r="AE928" s="142"/>
      <c r="AF928" s="142"/>
      <c r="AG928" s="142"/>
      <c r="AH928" s="142"/>
      <c r="AI928" s="142"/>
      <c r="AJ928" s="142"/>
      <c r="AK928" s="142"/>
      <c r="AL928" s="142"/>
      <c r="AM928" s="142"/>
      <c r="AN928" s="142"/>
      <c r="AO928" s="142"/>
    </row>
    <row r="929" ht="15.75" customHeight="1">
      <c r="A929" s="142"/>
      <c r="B929" s="142"/>
      <c r="C929" s="142"/>
      <c r="D929" s="142"/>
      <c r="E929" s="131"/>
      <c r="F929" s="142"/>
      <c r="G929" s="142"/>
      <c r="H929" s="142"/>
      <c r="I929" s="142"/>
      <c r="J929" s="142"/>
      <c r="K929" s="132"/>
      <c r="L929" s="131"/>
      <c r="M929" s="131"/>
      <c r="N929" s="142"/>
      <c r="O929" s="142"/>
      <c r="P929" s="142"/>
      <c r="Q929" s="142"/>
      <c r="R929" s="142"/>
      <c r="S929" s="142"/>
      <c r="T929" s="131"/>
      <c r="U929" s="131"/>
      <c r="V929" s="131"/>
      <c r="W929" s="131"/>
      <c r="X929" s="131"/>
      <c r="Y929" s="131"/>
      <c r="Z929" s="142"/>
      <c r="AA929" s="142"/>
      <c r="AB929" s="142"/>
      <c r="AC929" s="142"/>
      <c r="AD929" s="142"/>
      <c r="AE929" s="142"/>
      <c r="AF929" s="142"/>
      <c r="AG929" s="142"/>
      <c r="AH929" s="142"/>
      <c r="AI929" s="142"/>
      <c r="AJ929" s="142"/>
      <c r="AK929" s="142"/>
      <c r="AL929" s="142"/>
      <c r="AM929" s="142"/>
      <c r="AN929" s="142"/>
      <c r="AO929" s="142"/>
    </row>
    <row r="930" ht="15.75" customHeight="1">
      <c r="A930" s="142"/>
      <c r="B930" s="142"/>
      <c r="C930" s="142"/>
      <c r="D930" s="142"/>
      <c r="E930" s="131"/>
      <c r="F930" s="142"/>
      <c r="G930" s="142"/>
      <c r="H930" s="142"/>
      <c r="I930" s="142"/>
      <c r="J930" s="142"/>
      <c r="K930" s="132"/>
      <c r="L930" s="131"/>
      <c r="M930" s="131"/>
      <c r="N930" s="142"/>
      <c r="O930" s="142"/>
      <c r="P930" s="142"/>
      <c r="Q930" s="142"/>
      <c r="R930" s="142"/>
      <c r="S930" s="142"/>
      <c r="T930" s="131"/>
      <c r="U930" s="131"/>
      <c r="V930" s="131"/>
      <c r="W930" s="131"/>
      <c r="X930" s="131"/>
      <c r="Y930" s="131"/>
      <c r="Z930" s="142"/>
      <c r="AA930" s="142"/>
      <c r="AB930" s="142"/>
      <c r="AC930" s="142"/>
      <c r="AD930" s="142"/>
      <c r="AE930" s="142"/>
      <c r="AF930" s="142"/>
      <c r="AG930" s="142"/>
      <c r="AH930" s="142"/>
      <c r="AI930" s="142"/>
      <c r="AJ930" s="142"/>
      <c r="AK930" s="142"/>
      <c r="AL930" s="142"/>
      <c r="AM930" s="142"/>
      <c r="AN930" s="142"/>
      <c r="AO930" s="142"/>
    </row>
    <row r="931" ht="15.75" customHeight="1">
      <c r="A931" s="142"/>
      <c r="B931" s="142"/>
      <c r="C931" s="142"/>
      <c r="D931" s="142"/>
      <c r="E931" s="131"/>
      <c r="F931" s="142"/>
      <c r="G931" s="142"/>
      <c r="H931" s="142"/>
      <c r="I931" s="142"/>
      <c r="J931" s="142"/>
      <c r="K931" s="132"/>
      <c r="L931" s="131"/>
      <c r="M931" s="131"/>
      <c r="N931" s="142"/>
      <c r="O931" s="142"/>
      <c r="P931" s="142"/>
      <c r="Q931" s="142"/>
      <c r="R931" s="142"/>
      <c r="S931" s="142"/>
      <c r="T931" s="131"/>
      <c r="U931" s="131"/>
      <c r="V931" s="131"/>
      <c r="W931" s="131"/>
      <c r="X931" s="131"/>
      <c r="Y931" s="131"/>
      <c r="Z931" s="142"/>
      <c r="AA931" s="142"/>
      <c r="AB931" s="142"/>
      <c r="AC931" s="142"/>
      <c r="AD931" s="142"/>
      <c r="AE931" s="142"/>
      <c r="AF931" s="142"/>
      <c r="AG931" s="142"/>
      <c r="AH931" s="142"/>
      <c r="AI931" s="142"/>
      <c r="AJ931" s="142"/>
      <c r="AK931" s="142"/>
      <c r="AL931" s="142"/>
      <c r="AM931" s="142"/>
      <c r="AN931" s="142"/>
      <c r="AO931" s="142"/>
    </row>
    <row r="932" ht="15.75" customHeight="1">
      <c r="A932" s="142"/>
      <c r="B932" s="142"/>
      <c r="C932" s="142"/>
      <c r="D932" s="142"/>
      <c r="E932" s="131"/>
      <c r="F932" s="142"/>
      <c r="G932" s="142"/>
      <c r="H932" s="142"/>
      <c r="I932" s="142"/>
      <c r="J932" s="142"/>
      <c r="K932" s="132"/>
      <c r="L932" s="131"/>
      <c r="M932" s="131"/>
      <c r="N932" s="142"/>
      <c r="O932" s="142"/>
      <c r="P932" s="142"/>
      <c r="Q932" s="142"/>
      <c r="R932" s="142"/>
      <c r="S932" s="142"/>
      <c r="T932" s="131"/>
      <c r="U932" s="131"/>
      <c r="V932" s="131"/>
      <c r="W932" s="131"/>
      <c r="X932" s="131"/>
      <c r="Y932" s="131"/>
      <c r="Z932" s="142"/>
      <c r="AA932" s="142"/>
      <c r="AB932" s="142"/>
      <c r="AC932" s="142"/>
      <c r="AD932" s="142"/>
      <c r="AE932" s="142"/>
      <c r="AF932" s="142"/>
      <c r="AG932" s="142"/>
      <c r="AH932" s="142"/>
      <c r="AI932" s="142"/>
      <c r="AJ932" s="142"/>
      <c r="AK932" s="142"/>
      <c r="AL932" s="142"/>
      <c r="AM932" s="142"/>
      <c r="AN932" s="142"/>
      <c r="AO932" s="142"/>
    </row>
    <row r="933" ht="15.75" customHeight="1">
      <c r="A933" s="142"/>
      <c r="B933" s="142"/>
      <c r="C933" s="142"/>
      <c r="D933" s="142"/>
      <c r="E933" s="131"/>
      <c r="F933" s="142"/>
      <c r="G933" s="142"/>
      <c r="H933" s="142"/>
      <c r="I933" s="142"/>
      <c r="J933" s="142"/>
      <c r="K933" s="132"/>
      <c r="L933" s="131"/>
      <c r="M933" s="131"/>
      <c r="N933" s="142"/>
      <c r="O933" s="142"/>
      <c r="P933" s="142"/>
      <c r="Q933" s="142"/>
      <c r="R933" s="142"/>
      <c r="S933" s="142"/>
      <c r="T933" s="131"/>
      <c r="U933" s="131"/>
      <c r="V933" s="131"/>
      <c r="W933" s="131"/>
      <c r="X933" s="131"/>
      <c r="Y933" s="131"/>
      <c r="Z933" s="142"/>
      <c r="AA933" s="142"/>
      <c r="AB933" s="142"/>
      <c r="AC933" s="142"/>
      <c r="AD933" s="142"/>
      <c r="AE933" s="142"/>
      <c r="AF933" s="142"/>
      <c r="AG933" s="142"/>
      <c r="AH933" s="142"/>
      <c r="AI933" s="142"/>
      <c r="AJ933" s="142"/>
      <c r="AK933" s="142"/>
      <c r="AL933" s="142"/>
      <c r="AM933" s="142"/>
      <c r="AN933" s="142"/>
      <c r="AO933" s="142"/>
    </row>
    <row r="934" ht="15.75" customHeight="1">
      <c r="A934" s="142"/>
      <c r="B934" s="142"/>
      <c r="C934" s="142"/>
      <c r="D934" s="142"/>
      <c r="E934" s="131"/>
      <c r="F934" s="142"/>
      <c r="G934" s="142"/>
      <c r="H934" s="142"/>
      <c r="I934" s="142"/>
      <c r="J934" s="142"/>
      <c r="K934" s="132"/>
      <c r="L934" s="131"/>
      <c r="M934" s="131"/>
      <c r="N934" s="142"/>
      <c r="O934" s="142"/>
      <c r="P934" s="142"/>
      <c r="Q934" s="142"/>
      <c r="R934" s="142"/>
      <c r="S934" s="142"/>
      <c r="T934" s="131"/>
      <c r="U934" s="131"/>
      <c r="V934" s="131"/>
      <c r="W934" s="131"/>
      <c r="X934" s="131"/>
      <c r="Y934" s="131"/>
      <c r="Z934" s="142"/>
      <c r="AA934" s="142"/>
      <c r="AB934" s="142"/>
      <c r="AC934" s="142"/>
      <c r="AD934" s="142"/>
      <c r="AE934" s="142"/>
      <c r="AF934" s="142"/>
      <c r="AG934" s="142"/>
      <c r="AH934" s="142"/>
      <c r="AI934" s="142"/>
      <c r="AJ934" s="142"/>
      <c r="AK934" s="142"/>
      <c r="AL934" s="142"/>
      <c r="AM934" s="142"/>
      <c r="AN934" s="142"/>
      <c r="AO934" s="142"/>
    </row>
    <row r="935" ht="15.75" customHeight="1">
      <c r="A935" s="142"/>
      <c r="B935" s="142"/>
      <c r="C935" s="142"/>
      <c r="D935" s="142"/>
      <c r="E935" s="131"/>
      <c r="F935" s="142"/>
      <c r="G935" s="142"/>
      <c r="H935" s="142"/>
      <c r="I935" s="142"/>
      <c r="J935" s="142"/>
      <c r="K935" s="132"/>
      <c r="L935" s="131"/>
      <c r="M935" s="131"/>
      <c r="N935" s="142"/>
      <c r="O935" s="142"/>
      <c r="P935" s="142"/>
      <c r="Q935" s="142"/>
      <c r="R935" s="142"/>
      <c r="S935" s="142"/>
      <c r="T935" s="131"/>
      <c r="U935" s="131"/>
      <c r="V935" s="131"/>
      <c r="W935" s="131"/>
      <c r="X935" s="131"/>
      <c r="Y935" s="131"/>
      <c r="Z935" s="142"/>
      <c r="AA935" s="142"/>
      <c r="AB935" s="142"/>
      <c r="AC935" s="142"/>
      <c r="AD935" s="142"/>
      <c r="AE935" s="142"/>
      <c r="AF935" s="142"/>
      <c r="AG935" s="142"/>
      <c r="AH935" s="142"/>
      <c r="AI935" s="142"/>
      <c r="AJ935" s="142"/>
      <c r="AK935" s="142"/>
      <c r="AL935" s="142"/>
      <c r="AM935" s="142"/>
      <c r="AN935" s="142"/>
      <c r="AO935" s="142"/>
    </row>
    <row r="936" ht="15.75" customHeight="1">
      <c r="A936" s="142"/>
      <c r="B936" s="142"/>
      <c r="C936" s="142"/>
      <c r="D936" s="142"/>
      <c r="E936" s="131"/>
      <c r="F936" s="142"/>
      <c r="G936" s="142"/>
      <c r="H936" s="142"/>
      <c r="I936" s="142"/>
      <c r="J936" s="142"/>
      <c r="K936" s="132"/>
      <c r="L936" s="131"/>
      <c r="M936" s="131"/>
      <c r="N936" s="142"/>
      <c r="O936" s="142"/>
      <c r="P936" s="142"/>
      <c r="Q936" s="142"/>
      <c r="R936" s="142"/>
      <c r="S936" s="142"/>
      <c r="T936" s="131"/>
      <c r="U936" s="131"/>
      <c r="V936" s="131"/>
      <c r="W936" s="131"/>
      <c r="X936" s="131"/>
      <c r="Y936" s="131"/>
      <c r="Z936" s="142"/>
      <c r="AA936" s="142"/>
      <c r="AB936" s="142"/>
      <c r="AC936" s="142"/>
      <c r="AD936" s="142"/>
      <c r="AE936" s="142"/>
      <c r="AF936" s="142"/>
      <c r="AG936" s="142"/>
      <c r="AH936" s="142"/>
      <c r="AI936" s="142"/>
      <c r="AJ936" s="142"/>
      <c r="AK936" s="142"/>
      <c r="AL936" s="142"/>
      <c r="AM936" s="142"/>
      <c r="AN936" s="142"/>
      <c r="AO936" s="142"/>
    </row>
    <row r="937" ht="15.75" customHeight="1">
      <c r="A937" s="142"/>
      <c r="B937" s="142"/>
      <c r="C937" s="142"/>
      <c r="D937" s="142"/>
      <c r="E937" s="131"/>
      <c r="F937" s="142"/>
      <c r="G937" s="142"/>
      <c r="H937" s="142"/>
      <c r="I937" s="142"/>
      <c r="J937" s="142"/>
      <c r="K937" s="132"/>
      <c r="L937" s="131"/>
      <c r="M937" s="131"/>
      <c r="N937" s="142"/>
      <c r="O937" s="142"/>
      <c r="P937" s="142"/>
      <c r="Q937" s="142"/>
      <c r="R937" s="142"/>
      <c r="S937" s="142"/>
      <c r="T937" s="131"/>
      <c r="U937" s="131"/>
      <c r="V937" s="131"/>
      <c r="W937" s="131"/>
      <c r="X937" s="131"/>
      <c r="Y937" s="131"/>
      <c r="Z937" s="142"/>
      <c r="AA937" s="142"/>
      <c r="AB937" s="142"/>
      <c r="AC937" s="142"/>
      <c r="AD937" s="142"/>
      <c r="AE937" s="142"/>
      <c r="AF937" s="142"/>
      <c r="AG937" s="142"/>
      <c r="AH937" s="142"/>
      <c r="AI937" s="142"/>
      <c r="AJ937" s="142"/>
      <c r="AK937" s="142"/>
      <c r="AL937" s="142"/>
      <c r="AM937" s="142"/>
      <c r="AN937" s="142"/>
      <c r="AO937" s="142"/>
    </row>
    <row r="938" ht="15.75" customHeight="1">
      <c r="A938" s="142"/>
      <c r="B938" s="142"/>
      <c r="C938" s="142"/>
      <c r="D938" s="142"/>
      <c r="E938" s="131"/>
      <c r="F938" s="142"/>
      <c r="G938" s="142"/>
      <c r="H938" s="142"/>
      <c r="I938" s="142"/>
      <c r="J938" s="142"/>
      <c r="K938" s="132"/>
      <c r="L938" s="131"/>
      <c r="M938" s="131"/>
      <c r="N938" s="142"/>
      <c r="O938" s="142"/>
      <c r="P938" s="142"/>
      <c r="Q938" s="142"/>
      <c r="R938" s="142"/>
      <c r="S938" s="142"/>
      <c r="T938" s="131"/>
      <c r="U938" s="131"/>
      <c r="V938" s="131"/>
      <c r="W938" s="131"/>
      <c r="X938" s="131"/>
      <c r="Y938" s="131"/>
      <c r="Z938" s="142"/>
      <c r="AA938" s="142"/>
      <c r="AB938" s="142"/>
      <c r="AC938" s="142"/>
      <c r="AD938" s="142"/>
      <c r="AE938" s="142"/>
      <c r="AF938" s="142"/>
      <c r="AG938" s="142"/>
      <c r="AH938" s="142"/>
      <c r="AI938" s="142"/>
      <c r="AJ938" s="142"/>
      <c r="AK938" s="142"/>
      <c r="AL938" s="142"/>
      <c r="AM938" s="142"/>
      <c r="AN938" s="142"/>
      <c r="AO938" s="142"/>
    </row>
    <row r="939" ht="15.75" customHeight="1">
      <c r="A939" s="142"/>
      <c r="B939" s="142"/>
      <c r="C939" s="142"/>
      <c r="D939" s="142"/>
      <c r="E939" s="131"/>
      <c r="F939" s="142"/>
      <c r="G939" s="142"/>
      <c r="H939" s="142"/>
      <c r="I939" s="142"/>
      <c r="J939" s="142"/>
      <c r="K939" s="132"/>
      <c r="L939" s="131"/>
      <c r="M939" s="131"/>
      <c r="N939" s="142"/>
      <c r="O939" s="142"/>
      <c r="P939" s="142"/>
      <c r="Q939" s="142"/>
      <c r="R939" s="142"/>
      <c r="S939" s="142"/>
      <c r="T939" s="131"/>
      <c r="U939" s="131"/>
      <c r="V939" s="131"/>
      <c r="W939" s="131"/>
      <c r="X939" s="131"/>
      <c r="Y939" s="131"/>
      <c r="Z939" s="142"/>
      <c r="AA939" s="142"/>
      <c r="AB939" s="142"/>
      <c r="AC939" s="142"/>
      <c r="AD939" s="142"/>
      <c r="AE939" s="142"/>
      <c r="AF939" s="142"/>
      <c r="AG939" s="142"/>
      <c r="AH939" s="142"/>
      <c r="AI939" s="142"/>
      <c r="AJ939" s="142"/>
      <c r="AK939" s="142"/>
      <c r="AL939" s="142"/>
      <c r="AM939" s="142"/>
      <c r="AN939" s="142"/>
      <c r="AO939" s="142"/>
    </row>
    <row r="940" ht="15.75" customHeight="1">
      <c r="A940" s="142"/>
      <c r="B940" s="142"/>
      <c r="C940" s="142"/>
      <c r="D940" s="142"/>
      <c r="E940" s="131"/>
      <c r="F940" s="142"/>
      <c r="G940" s="142"/>
      <c r="H940" s="142"/>
      <c r="I940" s="142"/>
      <c r="J940" s="142"/>
      <c r="K940" s="132"/>
      <c r="L940" s="131"/>
      <c r="M940" s="131"/>
      <c r="N940" s="142"/>
      <c r="O940" s="142"/>
      <c r="P940" s="142"/>
      <c r="Q940" s="142"/>
      <c r="R940" s="142"/>
      <c r="S940" s="142"/>
      <c r="T940" s="131"/>
      <c r="U940" s="131"/>
      <c r="V940" s="131"/>
      <c r="W940" s="131"/>
      <c r="X940" s="131"/>
      <c r="Y940" s="131"/>
      <c r="Z940" s="142"/>
      <c r="AA940" s="142"/>
      <c r="AB940" s="142"/>
      <c r="AC940" s="142"/>
      <c r="AD940" s="142"/>
      <c r="AE940" s="142"/>
      <c r="AF940" s="142"/>
      <c r="AG940" s="142"/>
      <c r="AH940" s="142"/>
      <c r="AI940" s="142"/>
      <c r="AJ940" s="142"/>
      <c r="AK940" s="142"/>
      <c r="AL940" s="142"/>
      <c r="AM940" s="142"/>
      <c r="AN940" s="142"/>
      <c r="AO940" s="142"/>
    </row>
    <row r="941" ht="15.75" customHeight="1">
      <c r="A941" s="142"/>
      <c r="B941" s="142"/>
      <c r="C941" s="142"/>
      <c r="D941" s="142"/>
      <c r="E941" s="131"/>
      <c r="F941" s="142"/>
      <c r="G941" s="142"/>
      <c r="H941" s="142"/>
      <c r="I941" s="142"/>
      <c r="J941" s="142"/>
      <c r="K941" s="132"/>
      <c r="L941" s="131"/>
      <c r="M941" s="131"/>
      <c r="N941" s="142"/>
      <c r="O941" s="142"/>
      <c r="P941" s="142"/>
      <c r="Q941" s="142"/>
      <c r="R941" s="142"/>
      <c r="S941" s="142"/>
      <c r="T941" s="131"/>
      <c r="U941" s="131"/>
      <c r="V941" s="131"/>
      <c r="W941" s="131"/>
      <c r="X941" s="131"/>
      <c r="Y941" s="131"/>
      <c r="Z941" s="142"/>
      <c r="AA941" s="142"/>
      <c r="AB941" s="142"/>
      <c r="AC941" s="142"/>
      <c r="AD941" s="142"/>
      <c r="AE941" s="142"/>
      <c r="AF941" s="142"/>
      <c r="AG941" s="142"/>
      <c r="AH941" s="142"/>
      <c r="AI941" s="142"/>
      <c r="AJ941" s="142"/>
      <c r="AK941" s="142"/>
      <c r="AL941" s="142"/>
      <c r="AM941" s="142"/>
      <c r="AN941" s="142"/>
      <c r="AO941" s="142"/>
    </row>
    <row r="942" ht="15.75" customHeight="1">
      <c r="A942" s="142"/>
      <c r="B942" s="142"/>
      <c r="C942" s="142"/>
      <c r="D942" s="142"/>
      <c r="E942" s="131"/>
      <c r="F942" s="142"/>
      <c r="G942" s="142"/>
      <c r="H942" s="142"/>
      <c r="I942" s="142"/>
      <c r="J942" s="142"/>
      <c r="K942" s="132"/>
      <c r="L942" s="131"/>
      <c r="M942" s="131"/>
      <c r="N942" s="142"/>
      <c r="O942" s="142"/>
      <c r="P942" s="142"/>
      <c r="Q942" s="142"/>
      <c r="R942" s="142"/>
      <c r="S942" s="142"/>
      <c r="T942" s="131"/>
      <c r="U942" s="131"/>
      <c r="V942" s="131"/>
      <c r="W942" s="131"/>
      <c r="X942" s="131"/>
      <c r="Y942" s="131"/>
      <c r="Z942" s="142"/>
      <c r="AA942" s="142"/>
      <c r="AB942" s="142"/>
      <c r="AC942" s="142"/>
      <c r="AD942" s="142"/>
      <c r="AE942" s="142"/>
      <c r="AF942" s="142"/>
      <c r="AG942" s="142"/>
      <c r="AH942" s="142"/>
      <c r="AI942" s="142"/>
      <c r="AJ942" s="142"/>
      <c r="AK942" s="142"/>
      <c r="AL942" s="142"/>
      <c r="AM942" s="142"/>
      <c r="AN942" s="142"/>
      <c r="AO942" s="142"/>
    </row>
    <row r="943" ht="15.75" customHeight="1">
      <c r="A943" s="142"/>
      <c r="B943" s="142"/>
      <c r="C943" s="142"/>
      <c r="D943" s="142"/>
      <c r="E943" s="131"/>
      <c r="F943" s="142"/>
      <c r="G943" s="142"/>
      <c r="H943" s="142"/>
      <c r="I943" s="142"/>
      <c r="J943" s="142"/>
      <c r="K943" s="132"/>
      <c r="L943" s="131"/>
      <c r="M943" s="131"/>
      <c r="N943" s="142"/>
      <c r="O943" s="142"/>
      <c r="P943" s="142"/>
      <c r="Q943" s="142"/>
      <c r="R943" s="142"/>
      <c r="S943" s="142"/>
      <c r="T943" s="131"/>
      <c r="U943" s="131"/>
      <c r="V943" s="131"/>
      <c r="W943" s="131"/>
      <c r="X943" s="131"/>
      <c r="Y943" s="131"/>
      <c r="Z943" s="142"/>
      <c r="AA943" s="142"/>
      <c r="AB943" s="142"/>
      <c r="AC943" s="142"/>
      <c r="AD943" s="142"/>
      <c r="AE943" s="142"/>
      <c r="AF943" s="142"/>
      <c r="AG943" s="142"/>
      <c r="AH943" s="142"/>
      <c r="AI943" s="142"/>
      <c r="AJ943" s="142"/>
      <c r="AK943" s="142"/>
      <c r="AL943" s="142"/>
      <c r="AM943" s="142"/>
      <c r="AN943" s="142"/>
      <c r="AO943" s="142"/>
    </row>
    <row r="944" ht="15.75" customHeight="1">
      <c r="A944" s="142"/>
      <c r="B944" s="142"/>
      <c r="C944" s="142"/>
      <c r="D944" s="142"/>
      <c r="E944" s="131"/>
      <c r="F944" s="142"/>
      <c r="G944" s="142"/>
      <c r="H944" s="142"/>
      <c r="I944" s="142"/>
      <c r="J944" s="142"/>
      <c r="K944" s="132"/>
      <c r="L944" s="131"/>
      <c r="M944" s="131"/>
      <c r="N944" s="142"/>
      <c r="O944" s="142"/>
      <c r="P944" s="142"/>
      <c r="Q944" s="142"/>
      <c r="R944" s="142"/>
      <c r="S944" s="142"/>
      <c r="T944" s="131"/>
      <c r="U944" s="131"/>
      <c r="V944" s="131"/>
      <c r="W944" s="131"/>
      <c r="X944" s="131"/>
      <c r="Y944" s="131"/>
      <c r="Z944" s="142"/>
      <c r="AA944" s="142"/>
      <c r="AB944" s="142"/>
      <c r="AC944" s="142"/>
      <c r="AD944" s="142"/>
      <c r="AE944" s="142"/>
      <c r="AF944" s="142"/>
      <c r="AG944" s="142"/>
      <c r="AH944" s="142"/>
      <c r="AI944" s="142"/>
      <c r="AJ944" s="142"/>
      <c r="AK944" s="142"/>
      <c r="AL944" s="142"/>
      <c r="AM944" s="142"/>
      <c r="AN944" s="142"/>
      <c r="AO944" s="142"/>
    </row>
    <row r="945" ht="15.75" customHeight="1">
      <c r="A945" s="142"/>
      <c r="B945" s="142"/>
      <c r="C945" s="142"/>
      <c r="D945" s="142"/>
      <c r="E945" s="131"/>
      <c r="F945" s="142"/>
      <c r="G945" s="142"/>
      <c r="H945" s="142"/>
      <c r="I945" s="142"/>
      <c r="J945" s="142"/>
      <c r="K945" s="132"/>
      <c r="L945" s="131"/>
      <c r="M945" s="131"/>
      <c r="N945" s="142"/>
      <c r="O945" s="142"/>
      <c r="P945" s="142"/>
      <c r="Q945" s="142"/>
      <c r="R945" s="142"/>
      <c r="S945" s="142"/>
      <c r="T945" s="131"/>
      <c r="U945" s="131"/>
      <c r="V945" s="131"/>
      <c r="W945" s="131"/>
      <c r="X945" s="131"/>
      <c r="Y945" s="131"/>
      <c r="Z945" s="142"/>
      <c r="AA945" s="142"/>
      <c r="AB945" s="142"/>
      <c r="AC945" s="142"/>
      <c r="AD945" s="142"/>
      <c r="AE945" s="142"/>
      <c r="AF945" s="142"/>
      <c r="AG945" s="142"/>
      <c r="AH945" s="142"/>
      <c r="AI945" s="142"/>
      <c r="AJ945" s="142"/>
      <c r="AK945" s="142"/>
      <c r="AL945" s="142"/>
      <c r="AM945" s="142"/>
      <c r="AN945" s="142"/>
      <c r="AO945" s="142"/>
    </row>
    <row r="946" ht="15.75" customHeight="1">
      <c r="A946" s="142"/>
      <c r="B946" s="142"/>
      <c r="C946" s="142"/>
      <c r="D946" s="142"/>
      <c r="E946" s="131"/>
      <c r="F946" s="142"/>
      <c r="G946" s="142"/>
      <c r="H946" s="142"/>
      <c r="I946" s="142"/>
      <c r="J946" s="142"/>
      <c r="K946" s="132"/>
      <c r="L946" s="131"/>
      <c r="M946" s="131"/>
      <c r="N946" s="142"/>
      <c r="O946" s="142"/>
      <c r="P946" s="142"/>
      <c r="Q946" s="142"/>
      <c r="R946" s="142"/>
      <c r="S946" s="142"/>
      <c r="T946" s="131"/>
      <c r="U946" s="131"/>
      <c r="V946" s="131"/>
      <c r="W946" s="131"/>
      <c r="X946" s="131"/>
      <c r="Y946" s="131"/>
      <c r="Z946" s="142"/>
      <c r="AA946" s="142"/>
      <c r="AB946" s="142"/>
      <c r="AC946" s="142"/>
      <c r="AD946" s="142"/>
      <c r="AE946" s="142"/>
      <c r="AF946" s="142"/>
      <c r="AG946" s="142"/>
      <c r="AH946" s="142"/>
      <c r="AI946" s="142"/>
      <c r="AJ946" s="142"/>
      <c r="AK946" s="142"/>
      <c r="AL946" s="142"/>
      <c r="AM946" s="142"/>
      <c r="AN946" s="142"/>
      <c r="AO946" s="142"/>
    </row>
    <row r="947" ht="15.75" customHeight="1">
      <c r="A947" s="142"/>
      <c r="B947" s="142"/>
      <c r="C947" s="142"/>
      <c r="D947" s="142"/>
      <c r="E947" s="131"/>
      <c r="F947" s="142"/>
      <c r="G947" s="142"/>
      <c r="H947" s="142"/>
      <c r="I947" s="142"/>
      <c r="J947" s="142"/>
      <c r="K947" s="132"/>
      <c r="L947" s="131"/>
      <c r="M947" s="131"/>
      <c r="N947" s="142"/>
      <c r="O947" s="142"/>
      <c r="P947" s="142"/>
      <c r="Q947" s="142"/>
      <c r="R947" s="142"/>
      <c r="S947" s="142"/>
      <c r="T947" s="131"/>
      <c r="U947" s="131"/>
      <c r="V947" s="131"/>
      <c r="W947" s="131"/>
      <c r="X947" s="131"/>
      <c r="Y947" s="131"/>
      <c r="Z947" s="142"/>
      <c r="AA947" s="142"/>
      <c r="AB947" s="142"/>
      <c r="AC947" s="142"/>
      <c r="AD947" s="142"/>
      <c r="AE947" s="142"/>
      <c r="AF947" s="142"/>
      <c r="AG947" s="142"/>
      <c r="AH947" s="142"/>
      <c r="AI947" s="142"/>
      <c r="AJ947" s="142"/>
      <c r="AK947" s="142"/>
      <c r="AL947" s="142"/>
      <c r="AM947" s="142"/>
      <c r="AN947" s="142"/>
      <c r="AO947" s="142"/>
    </row>
    <row r="948" ht="15.75" customHeight="1">
      <c r="A948" s="142"/>
      <c r="B948" s="142"/>
      <c r="C948" s="142"/>
      <c r="D948" s="142"/>
      <c r="E948" s="131"/>
      <c r="F948" s="142"/>
      <c r="G948" s="142"/>
      <c r="H948" s="142"/>
      <c r="I948" s="142"/>
      <c r="J948" s="142"/>
      <c r="K948" s="132"/>
      <c r="L948" s="131"/>
      <c r="M948" s="131"/>
      <c r="N948" s="142"/>
      <c r="O948" s="142"/>
      <c r="P948" s="142"/>
      <c r="Q948" s="142"/>
      <c r="R948" s="142"/>
      <c r="S948" s="142"/>
      <c r="T948" s="131"/>
      <c r="U948" s="131"/>
      <c r="V948" s="131"/>
      <c r="W948" s="131"/>
      <c r="X948" s="131"/>
      <c r="Y948" s="131"/>
      <c r="Z948" s="142"/>
      <c r="AA948" s="142"/>
      <c r="AB948" s="142"/>
      <c r="AC948" s="142"/>
      <c r="AD948" s="142"/>
      <c r="AE948" s="142"/>
      <c r="AF948" s="142"/>
      <c r="AG948" s="142"/>
      <c r="AH948" s="142"/>
      <c r="AI948" s="142"/>
      <c r="AJ948" s="142"/>
      <c r="AK948" s="142"/>
      <c r="AL948" s="142"/>
      <c r="AM948" s="142"/>
      <c r="AN948" s="142"/>
      <c r="AO948" s="142"/>
    </row>
    <row r="949" ht="15.75" customHeight="1">
      <c r="A949" s="142"/>
      <c r="B949" s="142"/>
      <c r="C949" s="142"/>
      <c r="D949" s="142"/>
      <c r="E949" s="131"/>
      <c r="F949" s="142"/>
      <c r="G949" s="142"/>
      <c r="H949" s="142"/>
      <c r="I949" s="142"/>
      <c r="J949" s="142"/>
      <c r="K949" s="132"/>
      <c r="L949" s="131"/>
      <c r="M949" s="131"/>
      <c r="N949" s="142"/>
      <c r="O949" s="142"/>
      <c r="P949" s="142"/>
      <c r="Q949" s="142"/>
      <c r="R949" s="142"/>
      <c r="S949" s="142"/>
      <c r="T949" s="131"/>
      <c r="U949" s="131"/>
      <c r="V949" s="131"/>
      <c r="W949" s="131"/>
      <c r="X949" s="131"/>
      <c r="Y949" s="131"/>
      <c r="Z949" s="142"/>
      <c r="AA949" s="142"/>
      <c r="AB949" s="142"/>
      <c r="AC949" s="142"/>
      <c r="AD949" s="142"/>
      <c r="AE949" s="142"/>
      <c r="AF949" s="142"/>
      <c r="AG949" s="142"/>
      <c r="AH949" s="142"/>
      <c r="AI949" s="142"/>
      <c r="AJ949" s="142"/>
      <c r="AK949" s="142"/>
      <c r="AL949" s="142"/>
      <c r="AM949" s="142"/>
      <c r="AN949" s="142"/>
      <c r="AO949" s="142"/>
    </row>
    <row r="950" ht="15.75" customHeight="1">
      <c r="A950" s="142"/>
      <c r="B950" s="142"/>
      <c r="C950" s="142"/>
      <c r="D950" s="142"/>
      <c r="E950" s="131"/>
      <c r="F950" s="142"/>
      <c r="G950" s="142"/>
      <c r="H950" s="142"/>
      <c r="I950" s="142"/>
      <c r="J950" s="142"/>
      <c r="K950" s="132"/>
      <c r="L950" s="131"/>
      <c r="M950" s="131"/>
      <c r="N950" s="142"/>
      <c r="O950" s="142"/>
      <c r="P950" s="142"/>
      <c r="Q950" s="142"/>
      <c r="R950" s="142"/>
      <c r="S950" s="142"/>
      <c r="T950" s="131"/>
      <c r="U950" s="131"/>
      <c r="V950" s="131"/>
      <c r="W950" s="131"/>
      <c r="X950" s="131"/>
      <c r="Y950" s="131"/>
      <c r="Z950" s="142"/>
      <c r="AA950" s="142"/>
      <c r="AB950" s="142"/>
      <c r="AC950" s="142"/>
      <c r="AD950" s="142"/>
      <c r="AE950" s="142"/>
      <c r="AF950" s="142"/>
      <c r="AG950" s="142"/>
      <c r="AH950" s="142"/>
      <c r="AI950" s="142"/>
      <c r="AJ950" s="142"/>
      <c r="AK950" s="142"/>
      <c r="AL950" s="142"/>
      <c r="AM950" s="142"/>
      <c r="AN950" s="142"/>
      <c r="AO950" s="142"/>
    </row>
    <row r="951" ht="15.75" customHeight="1">
      <c r="A951" s="142"/>
      <c r="B951" s="142"/>
      <c r="C951" s="142"/>
      <c r="D951" s="142"/>
      <c r="E951" s="131"/>
      <c r="F951" s="142"/>
      <c r="G951" s="142"/>
      <c r="H951" s="142"/>
      <c r="I951" s="142"/>
      <c r="J951" s="142"/>
      <c r="K951" s="132"/>
      <c r="L951" s="131"/>
      <c r="M951" s="131"/>
      <c r="N951" s="142"/>
      <c r="O951" s="142"/>
      <c r="P951" s="142"/>
      <c r="Q951" s="142"/>
      <c r="R951" s="142"/>
      <c r="S951" s="142"/>
      <c r="T951" s="131"/>
      <c r="U951" s="131"/>
      <c r="V951" s="131"/>
      <c r="W951" s="131"/>
      <c r="X951" s="131"/>
      <c r="Y951" s="131"/>
      <c r="Z951" s="142"/>
      <c r="AA951" s="142"/>
      <c r="AB951" s="142"/>
      <c r="AC951" s="142"/>
      <c r="AD951" s="142"/>
      <c r="AE951" s="142"/>
      <c r="AF951" s="142"/>
      <c r="AG951" s="142"/>
      <c r="AH951" s="142"/>
      <c r="AI951" s="142"/>
      <c r="AJ951" s="142"/>
      <c r="AK951" s="142"/>
      <c r="AL951" s="142"/>
      <c r="AM951" s="142"/>
      <c r="AN951" s="142"/>
      <c r="AO951" s="142"/>
    </row>
    <row r="952" ht="15.75" customHeight="1">
      <c r="A952" s="142"/>
      <c r="B952" s="142"/>
      <c r="C952" s="142"/>
      <c r="D952" s="142"/>
      <c r="E952" s="131"/>
      <c r="F952" s="142"/>
      <c r="G952" s="142"/>
      <c r="H952" s="142"/>
      <c r="I952" s="142"/>
      <c r="J952" s="142"/>
      <c r="K952" s="132"/>
      <c r="L952" s="131"/>
      <c r="M952" s="131"/>
      <c r="N952" s="142"/>
      <c r="O952" s="142"/>
      <c r="P952" s="142"/>
      <c r="Q952" s="142"/>
      <c r="R952" s="142"/>
      <c r="S952" s="142"/>
      <c r="T952" s="131"/>
      <c r="U952" s="131"/>
      <c r="V952" s="131"/>
      <c r="W952" s="131"/>
      <c r="X952" s="131"/>
      <c r="Y952" s="131"/>
      <c r="Z952" s="142"/>
      <c r="AA952" s="142"/>
      <c r="AB952" s="142"/>
      <c r="AC952" s="142"/>
      <c r="AD952" s="142"/>
      <c r="AE952" s="142"/>
      <c r="AF952" s="142"/>
      <c r="AG952" s="142"/>
      <c r="AH952" s="142"/>
      <c r="AI952" s="142"/>
      <c r="AJ952" s="142"/>
      <c r="AK952" s="142"/>
      <c r="AL952" s="142"/>
      <c r="AM952" s="142"/>
      <c r="AN952" s="142"/>
      <c r="AO952" s="142"/>
    </row>
    <row r="953" ht="15.75" customHeight="1">
      <c r="A953" s="142"/>
      <c r="B953" s="142"/>
      <c r="C953" s="142"/>
      <c r="D953" s="142"/>
      <c r="E953" s="131"/>
      <c r="F953" s="142"/>
      <c r="G953" s="142"/>
      <c r="H953" s="142"/>
      <c r="I953" s="142"/>
      <c r="J953" s="142"/>
      <c r="K953" s="132"/>
      <c r="L953" s="131"/>
      <c r="M953" s="131"/>
      <c r="N953" s="142"/>
      <c r="O953" s="142"/>
      <c r="P953" s="142"/>
      <c r="Q953" s="142"/>
      <c r="R953" s="142"/>
      <c r="S953" s="142"/>
      <c r="T953" s="131"/>
      <c r="U953" s="131"/>
      <c r="V953" s="131"/>
      <c r="W953" s="131"/>
      <c r="X953" s="131"/>
      <c r="Y953" s="131"/>
      <c r="Z953" s="142"/>
      <c r="AA953" s="142"/>
      <c r="AB953" s="142"/>
      <c r="AC953" s="142"/>
      <c r="AD953" s="142"/>
      <c r="AE953" s="142"/>
      <c r="AF953" s="142"/>
      <c r="AG953" s="142"/>
      <c r="AH953" s="142"/>
      <c r="AI953" s="142"/>
      <c r="AJ953" s="142"/>
      <c r="AK953" s="142"/>
      <c r="AL953" s="142"/>
      <c r="AM953" s="142"/>
      <c r="AN953" s="142"/>
      <c r="AO953" s="142"/>
    </row>
    <row r="954" ht="15.75" customHeight="1">
      <c r="A954" s="142"/>
      <c r="B954" s="142"/>
      <c r="C954" s="142"/>
      <c r="D954" s="142"/>
      <c r="E954" s="131"/>
      <c r="F954" s="142"/>
      <c r="G954" s="142"/>
      <c r="H954" s="142"/>
      <c r="I954" s="142"/>
      <c r="J954" s="142"/>
      <c r="K954" s="132"/>
      <c r="L954" s="131"/>
      <c r="M954" s="131"/>
      <c r="N954" s="142"/>
      <c r="O954" s="142"/>
      <c r="P954" s="142"/>
      <c r="Q954" s="142"/>
      <c r="R954" s="142"/>
      <c r="S954" s="142"/>
      <c r="T954" s="131"/>
      <c r="U954" s="131"/>
      <c r="V954" s="131"/>
      <c r="W954" s="131"/>
      <c r="X954" s="131"/>
      <c r="Y954" s="131"/>
      <c r="Z954" s="142"/>
      <c r="AA954" s="142"/>
      <c r="AB954" s="142"/>
      <c r="AC954" s="142"/>
      <c r="AD954" s="142"/>
      <c r="AE954" s="142"/>
      <c r="AF954" s="142"/>
      <c r="AG954" s="142"/>
      <c r="AH954" s="142"/>
      <c r="AI954" s="142"/>
      <c r="AJ954" s="142"/>
      <c r="AK954" s="142"/>
      <c r="AL954" s="142"/>
      <c r="AM954" s="142"/>
      <c r="AN954" s="142"/>
      <c r="AO954" s="142"/>
    </row>
    <row r="955" ht="15.75" customHeight="1">
      <c r="A955" s="142"/>
      <c r="B955" s="142"/>
      <c r="C955" s="142"/>
      <c r="D955" s="142"/>
      <c r="E955" s="131"/>
      <c r="F955" s="142"/>
      <c r="G955" s="142"/>
      <c r="H955" s="142"/>
      <c r="I955" s="142"/>
      <c r="J955" s="142"/>
      <c r="K955" s="132"/>
      <c r="L955" s="131"/>
      <c r="M955" s="131"/>
      <c r="N955" s="142"/>
      <c r="O955" s="142"/>
      <c r="P955" s="142"/>
      <c r="Q955" s="142"/>
      <c r="R955" s="142"/>
      <c r="S955" s="142"/>
      <c r="T955" s="131"/>
      <c r="U955" s="131"/>
      <c r="V955" s="131"/>
      <c r="W955" s="131"/>
      <c r="X955" s="131"/>
      <c r="Y955" s="131"/>
      <c r="Z955" s="142"/>
      <c r="AA955" s="142"/>
      <c r="AB955" s="142"/>
      <c r="AC955" s="142"/>
      <c r="AD955" s="142"/>
      <c r="AE955" s="142"/>
      <c r="AF955" s="142"/>
      <c r="AG955" s="142"/>
      <c r="AH955" s="142"/>
      <c r="AI955" s="142"/>
      <c r="AJ955" s="142"/>
      <c r="AK955" s="142"/>
      <c r="AL955" s="142"/>
      <c r="AM955" s="142"/>
      <c r="AN955" s="142"/>
      <c r="AO955" s="142"/>
    </row>
    <row r="956" ht="15.75" customHeight="1">
      <c r="A956" s="142"/>
      <c r="B956" s="142"/>
      <c r="C956" s="142"/>
      <c r="D956" s="142"/>
      <c r="E956" s="131"/>
      <c r="F956" s="142"/>
      <c r="G956" s="142"/>
      <c r="H956" s="142"/>
      <c r="I956" s="142"/>
      <c r="J956" s="142"/>
      <c r="K956" s="132"/>
      <c r="L956" s="131"/>
      <c r="M956" s="131"/>
      <c r="N956" s="142"/>
      <c r="O956" s="142"/>
      <c r="P956" s="142"/>
      <c r="Q956" s="142"/>
      <c r="R956" s="142"/>
      <c r="S956" s="142"/>
      <c r="T956" s="131"/>
      <c r="U956" s="131"/>
      <c r="V956" s="131"/>
      <c r="W956" s="131"/>
      <c r="X956" s="131"/>
      <c r="Y956" s="131"/>
      <c r="Z956" s="142"/>
      <c r="AA956" s="142"/>
      <c r="AB956" s="142"/>
      <c r="AC956" s="142"/>
      <c r="AD956" s="142"/>
      <c r="AE956" s="142"/>
      <c r="AF956" s="142"/>
      <c r="AG956" s="142"/>
      <c r="AH956" s="142"/>
      <c r="AI956" s="142"/>
      <c r="AJ956" s="142"/>
      <c r="AK956" s="142"/>
      <c r="AL956" s="142"/>
      <c r="AM956" s="142"/>
      <c r="AN956" s="142"/>
      <c r="AO956" s="142"/>
    </row>
    <row r="957" ht="15.75" customHeight="1">
      <c r="A957" s="142"/>
      <c r="B957" s="142"/>
      <c r="C957" s="142"/>
      <c r="D957" s="142"/>
      <c r="E957" s="131"/>
      <c r="F957" s="142"/>
      <c r="G957" s="142"/>
      <c r="H957" s="142"/>
      <c r="I957" s="142"/>
      <c r="J957" s="142"/>
      <c r="K957" s="132"/>
      <c r="L957" s="131"/>
      <c r="M957" s="131"/>
      <c r="N957" s="142"/>
      <c r="O957" s="142"/>
      <c r="P957" s="142"/>
      <c r="Q957" s="142"/>
      <c r="R957" s="142"/>
      <c r="S957" s="142"/>
      <c r="T957" s="131"/>
      <c r="U957" s="131"/>
      <c r="V957" s="131"/>
      <c r="W957" s="131"/>
      <c r="X957" s="131"/>
      <c r="Y957" s="131"/>
      <c r="Z957" s="142"/>
      <c r="AA957" s="142"/>
      <c r="AB957" s="142"/>
      <c r="AC957" s="142"/>
      <c r="AD957" s="142"/>
      <c r="AE957" s="142"/>
      <c r="AF957" s="142"/>
      <c r="AG957" s="142"/>
      <c r="AH957" s="142"/>
      <c r="AI957" s="142"/>
      <c r="AJ957" s="142"/>
      <c r="AK957" s="142"/>
      <c r="AL957" s="142"/>
      <c r="AM957" s="142"/>
      <c r="AN957" s="142"/>
      <c r="AO957" s="142"/>
    </row>
    <row r="958" ht="15.75" customHeight="1">
      <c r="A958" s="142"/>
      <c r="B958" s="142"/>
      <c r="C958" s="142"/>
      <c r="D958" s="142"/>
      <c r="E958" s="131"/>
      <c r="F958" s="142"/>
      <c r="G958" s="142"/>
      <c r="H958" s="142"/>
      <c r="I958" s="142"/>
      <c r="J958" s="142"/>
      <c r="K958" s="132"/>
      <c r="L958" s="131"/>
      <c r="M958" s="131"/>
      <c r="N958" s="142"/>
      <c r="O958" s="142"/>
      <c r="P958" s="142"/>
      <c r="Q958" s="142"/>
      <c r="R958" s="142"/>
      <c r="S958" s="142"/>
      <c r="T958" s="131"/>
      <c r="U958" s="131"/>
      <c r="V958" s="131"/>
      <c r="W958" s="131"/>
      <c r="X958" s="131"/>
      <c r="Y958" s="131"/>
      <c r="Z958" s="142"/>
      <c r="AA958" s="142"/>
      <c r="AB958" s="142"/>
      <c r="AC958" s="142"/>
      <c r="AD958" s="142"/>
      <c r="AE958" s="142"/>
      <c r="AF958" s="142"/>
      <c r="AG958" s="142"/>
      <c r="AH958" s="142"/>
      <c r="AI958" s="142"/>
      <c r="AJ958" s="142"/>
      <c r="AK958" s="142"/>
      <c r="AL958" s="142"/>
      <c r="AM958" s="142"/>
      <c r="AN958" s="142"/>
      <c r="AO958" s="142"/>
    </row>
    <row r="959" ht="15.75" customHeight="1">
      <c r="A959" s="142"/>
      <c r="B959" s="142"/>
      <c r="C959" s="142"/>
      <c r="D959" s="142"/>
      <c r="E959" s="131"/>
      <c r="F959" s="142"/>
      <c r="G959" s="142"/>
      <c r="H959" s="142"/>
      <c r="I959" s="142"/>
      <c r="J959" s="142"/>
      <c r="K959" s="132"/>
      <c r="L959" s="131"/>
      <c r="M959" s="131"/>
      <c r="N959" s="142"/>
      <c r="O959" s="142"/>
      <c r="P959" s="142"/>
      <c r="Q959" s="142"/>
      <c r="R959" s="142"/>
      <c r="S959" s="142"/>
      <c r="T959" s="131"/>
      <c r="U959" s="131"/>
      <c r="V959" s="131"/>
      <c r="W959" s="131"/>
      <c r="X959" s="131"/>
      <c r="Y959" s="131"/>
      <c r="Z959" s="142"/>
      <c r="AA959" s="142"/>
      <c r="AB959" s="142"/>
      <c r="AC959" s="142"/>
      <c r="AD959" s="142"/>
      <c r="AE959" s="142"/>
      <c r="AF959" s="142"/>
      <c r="AG959" s="142"/>
      <c r="AH959" s="142"/>
      <c r="AI959" s="142"/>
      <c r="AJ959" s="142"/>
      <c r="AK959" s="142"/>
      <c r="AL959" s="142"/>
      <c r="AM959" s="142"/>
      <c r="AN959" s="142"/>
      <c r="AO959" s="142"/>
    </row>
    <row r="960" ht="15.75" customHeight="1">
      <c r="A960" s="142"/>
      <c r="B960" s="142"/>
      <c r="C960" s="142"/>
      <c r="D960" s="142"/>
      <c r="E960" s="131"/>
      <c r="F960" s="142"/>
      <c r="G960" s="142"/>
      <c r="H960" s="142"/>
      <c r="I960" s="142"/>
      <c r="J960" s="142"/>
      <c r="K960" s="132"/>
      <c r="L960" s="131"/>
      <c r="M960" s="131"/>
      <c r="N960" s="142"/>
      <c r="O960" s="142"/>
      <c r="P960" s="142"/>
      <c r="Q960" s="142"/>
      <c r="R960" s="142"/>
      <c r="S960" s="142"/>
      <c r="T960" s="131"/>
      <c r="U960" s="131"/>
      <c r="V960" s="131"/>
      <c r="W960" s="131"/>
      <c r="X960" s="131"/>
      <c r="Y960" s="131"/>
      <c r="Z960" s="142"/>
      <c r="AA960" s="142"/>
      <c r="AB960" s="142"/>
      <c r="AC960" s="142"/>
      <c r="AD960" s="142"/>
      <c r="AE960" s="142"/>
      <c r="AF960" s="142"/>
      <c r="AG960" s="142"/>
      <c r="AH960" s="142"/>
      <c r="AI960" s="142"/>
      <c r="AJ960" s="142"/>
      <c r="AK960" s="142"/>
      <c r="AL960" s="142"/>
      <c r="AM960" s="142"/>
      <c r="AN960" s="142"/>
      <c r="AO960" s="142"/>
    </row>
    <row r="961" ht="15.75" customHeight="1">
      <c r="A961" s="142"/>
      <c r="B961" s="142"/>
      <c r="C961" s="142"/>
      <c r="D961" s="142"/>
      <c r="E961" s="131"/>
      <c r="F961" s="142"/>
      <c r="G961" s="142"/>
      <c r="H961" s="142"/>
      <c r="I961" s="142"/>
      <c r="J961" s="142"/>
      <c r="K961" s="132"/>
      <c r="L961" s="131"/>
      <c r="M961" s="131"/>
      <c r="N961" s="142"/>
      <c r="O961" s="142"/>
      <c r="P961" s="142"/>
      <c r="Q961" s="142"/>
      <c r="R961" s="142"/>
      <c r="S961" s="142"/>
      <c r="T961" s="131"/>
      <c r="U961" s="131"/>
      <c r="V961" s="131"/>
      <c r="W961" s="131"/>
      <c r="X961" s="131"/>
      <c r="Y961" s="131"/>
      <c r="Z961" s="142"/>
      <c r="AA961" s="142"/>
      <c r="AB961" s="142"/>
      <c r="AC961" s="142"/>
      <c r="AD961" s="142"/>
      <c r="AE961" s="142"/>
      <c r="AF961" s="142"/>
      <c r="AG961" s="142"/>
      <c r="AH961" s="142"/>
      <c r="AI961" s="142"/>
      <c r="AJ961" s="142"/>
      <c r="AK961" s="142"/>
      <c r="AL961" s="142"/>
      <c r="AM961" s="142"/>
      <c r="AN961" s="142"/>
      <c r="AO961" s="142"/>
    </row>
    <row r="962" ht="15.75" customHeight="1">
      <c r="A962" s="142"/>
      <c r="B962" s="142"/>
      <c r="C962" s="142"/>
      <c r="D962" s="142"/>
      <c r="E962" s="131"/>
      <c r="F962" s="142"/>
      <c r="G962" s="142"/>
      <c r="H962" s="142"/>
      <c r="I962" s="142"/>
      <c r="J962" s="142"/>
      <c r="K962" s="132"/>
      <c r="L962" s="131"/>
      <c r="M962" s="131"/>
      <c r="N962" s="142"/>
      <c r="O962" s="142"/>
      <c r="P962" s="142"/>
      <c r="Q962" s="142"/>
      <c r="R962" s="142"/>
      <c r="S962" s="142"/>
      <c r="T962" s="131"/>
      <c r="U962" s="131"/>
      <c r="V962" s="131"/>
      <c r="W962" s="131"/>
      <c r="X962" s="131"/>
      <c r="Y962" s="131"/>
      <c r="Z962" s="142"/>
      <c r="AA962" s="142"/>
      <c r="AB962" s="142"/>
      <c r="AC962" s="142"/>
      <c r="AD962" s="142"/>
      <c r="AE962" s="142"/>
      <c r="AF962" s="142"/>
      <c r="AG962" s="142"/>
      <c r="AH962" s="142"/>
      <c r="AI962" s="142"/>
      <c r="AJ962" s="142"/>
      <c r="AK962" s="142"/>
      <c r="AL962" s="142"/>
      <c r="AM962" s="142"/>
      <c r="AN962" s="142"/>
      <c r="AO962" s="142"/>
    </row>
    <row r="963" ht="15.75" customHeight="1">
      <c r="A963" s="142"/>
      <c r="B963" s="142"/>
      <c r="C963" s="142"/>
      <c r="D963" s="142"/>
      <c r="E963" s="131"/>
      <c r="F963" s="142"/>
      <c r="G963" s="142"/>
      <c r="H963" s="142"/>
      <c r="I963" s="142"/>
      <c r="J963" s="142"/>
      <c r="K963" s="132"/>
      <c r="L963" s="131"/>
      <c r="M963" s="131"/>
      <c r="N963" s="142"/>
      <c r="O963" s="142"/>
      <c r="P963" s="142"/>
      <c r="Q963" s="142"/>
      <c r="R963" s="142"/>
      <c r="S963" s="142"/>
      <c r="T963" s="131"/>
      <c r="U963" s="131"/>
      <c r="V963" s="131"/>
      <c r="W963" s="131"/>
      <c r="X963" s="131"/>
      <c r="Y963" s="131"/>
      <c r="Z963" s="142"/>
      <c r="AA963" s="142"/>
      <c r="AB963" s="142"/>
      <c r="AC963" s="142"/>
      <c r="AD963" s="142"/>
      <c r="AE963" s="142"/>
      <c r="AF963" s="142"/>
      <c r="AG963" s="142"/>
      <c r="AH963" s="142"/>
      <c r="AI963" s="142"/>
      <c r="AJ963" s="142"/>
      <c r="AK963" s="142"/>
      <c r="AL963" s="142"/>
      <c r="AM963" s="142"/>
      <c r="AN963" s="142"/>
      <c r="AO963" s="142"/>
    </row>
    <row r="964" ht="15.75" customHeight="1">
      <c r="A964" s="142"/>
      <c r="B964" s="142"/>
      <c r="C964" s="142"/>
      <c r="D964" s="142"/>
      <c r="E964" s="131"/>
      <c r="F964" s="142"/>
      <c r="G964" s="142"/>
      <c r="H964" s="142"/>
      <c r="I964" s="142"/>
      <c r="J964" s="142"/>
      <c r="K964" s="132"/>
      <c r="L964" s="131"/>
      <c r="M964" s="131"/>
      <c r="N964" s="142"/>
      <c r="O964" s="142"/>
      <c r="P964" s="142"/>
      <c r="Q964" s="142"/>
      <c r="R964" s="142"/>
      <c r="S964" s="142"/>
      <c r="T964" s="131"/>
      <c r="U964" s="131"/>
      <c r="V964" s="131"/>
      <c r="W964" s="131"/>
      <c r="X964" s="131"/>
      <c r="Y964" s="131"/>
      <c r="Z964" s="142"/>
      <c r="AA964" s="142"/>
      <c r="AB964" s="142"/>
      <c r="AC964" s="142"/>
      <c r="AD964" s="142"/>
      <c r="AE964" s="142"/>
      <c r="AF964" s="142"/>
      <c r="AG964" s="142"/>
      <c r="AH964" s="142"/>
      <c r="AI964" s="142"/>
      <c r="AJ964" s="142"/>
      <c r="AK964" s="142"/>
      <c r="AL964" s="142"/>
      <c r="AM964" s="142"/>
      <c r="AN964" s="142"/>
      <c r="AO964" s="142"/>
    </row>
    <row r="965" ht="15.75" customHeight="1">
      <c r="A965" s="142"/>
      <c r="B965" s="142"/>
      <c r="C965" s="142"/>
      <c r="D965" s="142"/>
      <c r="E965" s="131"/>
      <c r="F965" s="142"/>
      <c r="G965" s="142"/>
      <c r="H965" s="142"/>
      <c r="I965" s="142"/>
      <c r="J965" s="142"/>
      <c r="K965" s="132"/>
      <c r="L965" s="131"/>
      <c r="M965" s="131"/>
      <c r="N965" s="142"/>
      <c r="O965" s="142"/>
      <c r="P965" s="142"/>
      <c r="Q965" s="142"/>
      <c r="R965" s="142"/>
      <c r="S965" s="142"/>
      <c r="T965" s="131"/>
      <c r="U965" s="131"/>
      <c r="V965" s="131"/>
      <c r="W965" s="131"/>
      <c r="X965" s="131"/>
      <c r="Y965" s="131"/>
      <c r="Z965" s="142"/>
      <c r="AA965" s="142"/>
      <c r="AB965" s="142"/>
      <c r="AC965" s="142"/>
      <c r="AD965" s="142"/>
      <c r="AE965" s="142"/>
      <c r="AF965" s="142"/>
      <c r="AG965" s="142"/>
      <c r="AH965" s="142"/>
      <c r="AI965" s="142"/>
      <c r="AJ965" s="142"/>
      <c r="AK965" s="142"/>
      <c r="AL965" s="142"/>
      <c r="AM965" s="142"/>
      <c r="AN965" s="142"/>
      <c r="AO965" s="142"/>
    </row>
    <row r="966" ht="15.75" customHeight="1">
      <c r="A966" s="142"/>
      <c r="B966" s="142"/>
      <c r="C966" s="142"/>
      <c r="D966" s="142"/>
      <c r="E966" s="131"/>
      <c r="F966" s="142"/>
      <c r="G966" s="142"/>
      <c r="H966" s="142"/>
      <c r="I966" s="142"/>
      <c r="J966" s="142"/>
      <c r="K966" s="132"/>
      <c r="L966" s="131"/>
      <c r="M966" s="131"/>
      <c r="N966" s="142"/>
      <c r="O966" s="142"/>
      <c r="P966" s="142"/>
      <c r="Q966" s="142"/>
      <c r="R966" s="142"/>
      <c r="S966" s="142"/>
      <c r="T966" s="131"/>
      <c r="U966" s="131"/>
      <c r="V966" s="131"/>
      <c r="W966" s="131"/>
      <c r="X966" s="131"/>
      <c r="Y966" s="131"/>
      <c r="Z966" s="142"/>
      <c r="AA966" s="142"/>
      <c r="AB966" s="142"/>
      <c r="AC966" s="142"/>
      <c r="AD966" s="142"/>
      <c r="AE966" s="142"/>
      <c r="AF966" s="142"/>
      <c r="AG966" s="142"/>
      <c r="AH966" s="142"/>
      <c r="AI966" s="142"/>
      <c r="AJ966" s="142"/>
      <c r="AK966" s="142"/>
      <c r="AL966" s="142"/>
      <c r="AM966" s="142"/>
      <c r="AN966" s="142"/>
      <c r="AO966" s="142"/>
    </row>
    <row r="967" ht="15.75" customHeight="1">
      <c r="A967" s="142"/>
      <c r="B967" s="142"/>
      <c r="C967" s="142"/>
      <c r="D967" s="142"/>
      <c r="E967" s="131"/>
      <c r="F967" s="142"/>
      <c r="G967" s="142"/>
      <c r="H967" s="142"/>
      <c r="I967" s="142"/>
      <c r="J967" s="142"/>
      <c r="K967" s="132"/>
      <c r="L967" s="131"/>
      <c r="M967" s="131"/>
      <c r="N967" s="142"/>
      <c r="O967" s="142"/>
      <c r="P967" s="142"/>
      <c r="Q967" s="142"/>
      <c r="R967" s="142"/>
      <c r="S967" s="142"/>
      <c r="T967" s="131"/>
      <c r="U967" s="131"/>
      <c r="V967" s="131"/>
      <c r="W967" s="131"/>
      <c r="X967" s="131"/>
      <c r="Y967" s="131"/>
      <c r="Z967" s="142"/>
      <c r="AA967" s="142"/>
      <c r="AB967" s="142"/>
      <c r="AC967" s="142"/>
      <c r="AD967" s="142"/>
      <c r="AE967" s="142"/>
      <c r="AF967" s="142"/>
      <c r="AG967" s="142"/>
      <c r="AH967" s="142"/>
      <c r="AI967" s="142"/>
      <c r="AJ967" s="142"/>
      <c r="AK967" s="142"/>
      <c r="AL967" s="142"/>
      <c r="AM967" s="142"/>
      <c r="AN967" s="142"/>
      <c r="AO967" s="142"/>
    </row>
    <row r="968" ht="15.75" customHeight="1">
      <c r="A968" s="142"/>
      <c r="B968" s="142"/>
      <c r="C968" s="142"/>
      <c r="D968" s="142"/>
      <c r="E968" s="131"/>
      <c r="F968" s="142"/>
      <c r="G968" s="142"/>
      <c r="H968" s="142"/>
      <c r="I968" s="142"/>
      <c r="J968" s="142"/>
      <c r="K968" s="132"/>
      <c r="L968" s="131"/>
      <c r="M968" s="131"/>
      <c r="N968" s="142"/>
      <c r="O968" s="142"/>
      <c r="P968" s="142"/>
      <c r="Q968" s="142"/>
      <c r="R968" s="142"/>
      <c r="S968" s="142"/>
      <c r="T968" s="131"/>
      <c r="U968" s="131"/>
      <c r="V968" s="131"/>
      <c r="W968" s="131"/>
      <c r="X968" s="131"/>
      <c r="Y968" s="131"/>
      <c r="Z968" s="142"/>
      <c r="AA968" s="142"/>
      <c r="AB968" s="142"/>
      <c r="AC968" s="142"/>
      <c r="AD968" s="142"/>
      <c r="AE968" s="142"/>
      <c r="AF968" s="142"/>
      <c r="AG968" s="142"/>
      <c r="AH968" s="142"/>
      <c r="AI968" s="142"/>
      <c r="AJ968" s="142"/>
      <c r="AK968" s="142"/>
      <c r="AL968" s="142"/>
      <c r="AM968" s="142"/>
      <c r="AN968" s="142"/>
      <c r="AO968" s="142"/>
    </row>
    <row r="969" ht="15.75" customHeight="1">
      <c r="A969" s="142"/>
      <c r="B969" s="142"/>
      <c r="C969" s="142"/>
      <c r="D969" s="142"/>
      <c r="E969" s="131"/>
      <c r="F969" s="142"/>
      <c r="G969" s="142"/>
      <c r="H969" s="142"/>
      <c r="I969" s="142"/>
      <c r="J969" s="142"/>
      <c r="K969" s="132"/>
      <c r="L969" s="131"/>
      <c r="M969" s="131"/>
      <c r="N969" s="142"/>
      <c r="O969" s="142"/>
      <c r="P969" s="142"/>
      <c r="Q969" s="142"/>
      <c r="R969" s="142"/>
      <c r="S969" s="142"/>
      <c r="T969" s="131"/>
      <c r="U969" s="131"/>
      <c r="V969" s="131"/>
      <c r="W969" s="131"/>
      <c r="X969" s="131"/>
      <c r="Y969" s="131"/>
      <c r="Z969" s="142"/>
      <c r="AA969" s="142"/>
      <c r="AB969" s="142"/>
      <c r="AC969" s="142"/>
      <c r="AD969" s="142"/>
      <c r="AE969" s="142"/>
      <c r="AF969" s="142"/>
      <c r="AG969" s="142"/>
      <c r="AH969" s="142"/>
      <c r="AI969" s="142"/>
      <c r="AJ969" s="142"/>
      <c r="AK969" s="142"/>
      <c r="AL969" s="142"/>
      <c r="AM969" s="142"/>
      <c r="AN969" s="142"/>
      <c r="AO969" s="142"/>
    </row>
    <row r="970" ht="15.75" customHeight="1">
      <c r="A970" s="142"/>
      <c r="B970" s="142"/>
      <c r="C970" s="142"/>
      <c r="D970" s="142"/>
      <c r="E970" s="131"/>
      <c r="F970" s="142"/>
      <c r="G970" s="142"/>
      <c r="H970" s="142"/>
      <c r="I970" s="142"/>
      <c r="J970" s="142"/>
      <c r="K970" s="132"/>
      <c r="L970" s="131"/>
      <c r="M970" s="131"/>
      <c r="N970" s="142"/>
      <c r="O970" s="142"/>
      <c r="P970" s="142"/>
      <c r="Q970" s="142"/>
      <c r="R970" s="142"/>
      <c r="S970" s="142"/>
      <c r="T970" s="131"/>
      <c r="U970" s="131"/>
      <c r="V970" s="131"/>
      <c r="W970" s="131"/>
      <c r="X970" s="131"/>
      <c r="Y970" s="131"/>
      <c r="Z970" s="142"/>
      <c r="AA970" s="142"/>
      <c r="AB970" s="142"/>
      <c r="AC970" s="142"/>
      <c r="AD970" s="142"/>
      <c r="AE970" s="142"/>
      <c r="AF970" s="142"/>
      <c r="AG970" s="142"/>
      <c r="AH970" s="142"/>
      <c r="AI970" s="142"/>
      <c r="AJ970" s="142"/>
      <c r="AK970" s="142"/>
      <c r="AL970" s="142"/>
      <c r="AM970" s="142"/>
      <c r="AN970" s="142"/>
      <c r="AO970" s="142"/>
    </row>
    <row r="971" ht="15.75" customHeight="1">
      <c r="A971" s="142"/>
      <c r="B971" s="142"/>
      <c r="C971" s="142"/>
      <c r="D971" s="142"/>
      <c r="E971" s="131"/>
      <c r="F971" s="142"/>
      <c r="G971" s="142"/>
      <c r="H971" s="142"/>
      <c r="I971" s="142"/>
      <c r="J971" s="142"/>
      <c r="K971" s="132"/>
      <c r="L971" s="131"/>
      <c r="M971" s="131"/>
      <c r="N971" s="142"/>
      <c r="O971" s="142"/>
      <c r="P971" s="142"/>
      <c r="Q971" s="142"/>
      <c r="R971" s="142"/>
      <c r="S971" s="142"/>
      <c r="T971" s="131"/>
      <c r="U971" s="131"/>
      <c r="V971" s="131"/>
      <c r="W971" s="131"/>
      <c r="X971" s="131"/>
      <c r="Y971" s="131"/>
      <c r="Z971" s="142"/>
      <c r="AA971" s="142"/>
      <c r="AB971" s="142"/>
      <c r="AC971" s="142"/>
      <c r="AD971" s="142"/>
      <c r="AE971" s="142"/>
      <c r="AF971" s="142"/>
      <c r="AG971" s="142"/>
      <c r="AH971" s="142"/>
      <c r="AI971" s="142"/>
      <c r="AJ971" s="142"/>
      <c r="AK971" s="142"/>
      <c r="AL971" s="142"/>
      <c r="AM971" s="142"/>
      <c r="AN971" s="142"/>
      <c r="AO971" s="142"/>
    </row>
    <row r="972" ht="15.75" customHeight="1">
      <c r="A972" s="142"/>
      <c r="B972" s="142"/>
      <c r="C972" s="142"/>
      <c r="D972" s="142"/>
      <c r="E972" s="131"/>
      <c r="F972" s="142"/>
      <c r="G972" s="142"/>
      <c r="H972" s="142"/>
      <c r="I972" s="142"/>
      <c r="J972" s="142"/>
      <c r="K972" s="132"/>
      <c r="L972" s="131"/>
      <c r="M972" s="131"/>
      <c r="N972" s="142"/>
      <c r="O972" s="142"/>
      <c r="P972" s="142"/>
      <c r="Q972" s="142"/>
      <c r="R972" s="142"/>
      <c r="S972" s="142"/>
      <c r="T972" s="131"/>
      <c r="U972" s="131"/>
      <c r="V972" s="131"/>
      <c r="W972" s="131"/>
      <c r="X972" s="131"/>
      <c r="Y972" s="131"/>
      <c r="Z972" s="142"/>
      <c r="AA972" s="142"/>
      <c r="AB972" s="142"/>
      <c r="AC972" s="142"/>
      <c r="AD972" s="142"/>
      <c r="AE972" s="142"/>
      <c r="AF972" s="142"/>
      <c r="AG972" s="142"/>
      <c r="AH972" s="142"/>
      <c r="AI972" s="142"/>
      <c r="AJ972" s="142"/>
      <c r="AK972" s="142"/>
      <c r="AL972" s="142"/>
      <c r="AM972" s="142"/>
      <c r="AN972" s="142"/>
      <c r="AO972" s="142"/>
    </row>
    <row r="973" ht="15.75" customHeight="1">
      <c r="A973" s="142"/>
      <c r="B973" s="142"/>
      <c r="C973" s="142"/>
      <c r="D973" s="142"/>
      <c r="E973" s="131"/>
      <c r="F973" s="142"/>
      <c r="G973" s="142"/>
      <c r="H973" s="142"/>
      <c r="I973" s="142"/>
      <c r="J973" s="142"/>
      <c r="K973" s="132"/>
      <c r="L973" s="131"/>
      <c r="M973" s="131"/>
      <c r="N973" s="142"/>
      <c r="O973" s="142"/>
      <c r="P973" s="142"/>
      <c r="Q973" s="142"/>
      <c r="R973" s="142"/>
      <c r="S973" s="142"/>
      <c r="T973" s="131"/>
      <c r="U973" s="131"/>
      <c r="V973" s="131"/>
      <c r="W973" s="131"/>
      <c r="X973" s="131"/>
      <c r="Y973" s="131"/>
      <c r="Z973" s="142"/>
      <c r="AA973" s="142"/>
      <c r="AB973" s="142"/>
      <c r="AC973" s="142"/>
      <c r="AD973" s="142"/>
      <c r="AE973" s="142"/>
      <c r="AF973" s="142"/>
      <c r="AG973" s="142"/>
      <c r="AH973" s="142"/>
      <c r="AI973" s="142"/>
      <c r="AJ973" s="142"/>
      <c r="AK973" s="142"/>
      <c r="AL973" s="142"/>
      <c r="AM973" s="142"/>
      <c r="AN973" s="142"/>
      <c r="AO973" s="142"/>
    </row>
    <row r="974" ht="15.75" customHeight="1">
      <c r="A974" s="142"/>
      <c r="B974" s="142"/>
      <c r="C974" s="142"/>
      <c r="D974" s="142"/>
      <c r="E974" s="131"/>
      <c r="F974" s="142"/>
      <c r="G974" s="142"/>
      <c r="H974" s="142"/>
      <c r="I974" s="142"/>
      <c r="J974" s="142"/>
      <c r="K974" s="132"/>
      <c r="L974" s="131"/>
      <c r="M974" s="131"/>
      <c r="N974" s="142"/>
      <c r="O974" s="142"/>
      <c r="P974" s="142"/>
      <c r="Q974" s="142"/>
      <c r="R974" s="142"/>
      <c r="S974" s="142"/>
      <c r="T974" s="131"/>
      <c r="U974" s="131"/>
      <c r="V974" s="131"/>
      <c r="W974" s="131"/>
      <c r="X974" s="131"/>
      <c r="Y974" s="131"/>
      <c r="Z974" s="142"/>
      <c r="AA974" s="142"/>
      <c r="AB974" s="142"/>
      <c r="AC974" s="142"/>
      <c r="AD974" s="142"/>
      <c r="AE974" s="142"/>
      <c r="AF974" s="142"/>
      <c r="AG974" s="142"/>
      <c r="AH974" s="142"/>
      <c r="AI974" s="142"/>
      <c r="AJ974" s="142"/>
      <c r="AK974" s="142"/>
      <c r="AL974" s="142"/>
      <c r="AM974" s="142"/>
      <c r="AN974" s="142"/>
      <c r="AO974" s="142"/>
    </row>
    <row r="975" ht="15.75" customHeight="1">
      <c r="A975" s="142"/>
      <c r="B975" s="142"/>
      <c r="C975" s="142"/>
      <c r="D975" s="142"/>
      <c r="E975" s="131"/>
      <c r="F975" s="142"/>
      <c r="G975" s="142"/>
      <c r="H975" s="142"/>
      <c r="I975" s="142"/>
      <c r="J975" s="142"/>
      <c r="K975" s="132"/>
      <c r="L975" s="131"/>
      <c r="M975" s="131"/>
      <c r="N975" s="142"/>
      <c r="O975" s="142"/>
      <c r="P975" s="142"/>
      <c r="Q975" s="142"/>
      <c r="R975" s="142"/>
      <c r="S975" s="142"/>
      <c r="T975" s="131"/>
      <c r="U975" s="131"/>
      <c r="V975" s="131"/>
      <c r="W975" s="131"/>
      <c r="X975" s="131"/>
      <c r="Y975" s="131"/>
      <c r="Z975" s="142"/>
      <c r="AA975" s="142"/>
      <c r="AB975" s="142"/>
      <c r="AC975" s="142"/>
      <c r="AD975" s="142"/>
      <c r="AE975" s="142"/>
      <c r="AF975" s="142"/>
      <c r="AG975" s="142"/>
      <c r="AH975" s="142"/>
      <c r="AI975" s="142"/>
      <c r="AJ975" s="142"/>
      <c r="AK975" s="142"/>
      <c r="AL975" s="142"/>
      <c r="AM975" s="142"/>
      <c r="AN975" s="142"/>
      <c r="AO975" s="142"/>
    </row>
    <row r="976" ht="15.75" customHeight="1">
      <c r="A976" s="142"/>
      <c r="B976" s="142"/>
      <c r="C976" s="142"/>
      <c r="D976" s="142"/>
      <c r="E976" s="131"/>
      <c r="F976" s="142"/>
      <c r="G976" s="142"/>
      <c r="H976" s="142"/>
      <c r="I976" s="142"/>
      <c r="J976" s="142"/>
      <c r="K976" s="132"/>
      <c r="L976" s="131"/>
      <c r="M976" s="131"/>
      <c r="N976" s="142"/>
      <c r="O976" s="142"/>
      <c r="P976" s="142"/>
      <c r="Q976" s="142"/>
      <c r="R976" s="142"/>
      <c r="S976" s="142"/>
      <c r="T976" s="131"/>
      <c r="U976" s="131"/>
      <c r="V976" s="131"/>
      <c r="W976" s="131"/>
      <c r="X976" s="131"/>
      <c r="Y976" s="131"/>
      <c r="Z976" s="142"/>
      <c r="AA976" s="142"/>
      <c r="AB976" s="142"/>
      <c r="AC976" s="142"/>
      <c r="AD976" s="142"/>
      <c r="AE976" s="142"/>
      <c r="AF976" s="142"/>
      <c r="AG976" s="142"/>
      <c r="AH976" s="142"/>
      <c r="AI976" s="142"/>
      <c r="AJ976" s="142"/>
      <c r="AK976" s="142"/>
      <c r="AL976" s="142"/>
      <c r="AM976" s="142"/>
      <c r="AN976" s="142"/>
      <c r="AO976" s="142"/>
    </row>
    <row r="977" ht="15.75" customHeight="1">
      <c r="A977" s="142"/>
      <c r="B977" s="142"/>
      <c r="C977" s="142"/>
      <c r="D977" s="142"/>
      <c r="E977" s="131"/>
      <c r="F977" s="142"/>
      <c r="G977" s="142"/>
      <c r="H977" s="142"/>
      <c r="I977" s="142"/>
      <c r="J977" s="142"/>
      <c r="K977" s="132"/>
      <c r="L977" s="131"/>
      <c r="M977" s="131"/>
      <c r="N977" s="142"/>
      <c r="O977" s="142"/>
      <c r="P977" s="142"/>
      <c r="Q977" s="142"/>
      <c r="R977" s="142"/>
      <c r="S977" s="142"/>
      <c r="T977" s="131"/>
      <c r="U977" s="131"/>
      <c r="V977" s="131"/>
      <c r="W977" s="131"/>
      <c r="X977" s="131"/>
      <c r="Y977" s="131"/>
      <c r="Z977" s="142"/>
      <c r="AA977" s="142"/>
      <c r="AB977" s="142"/>
      <c r="AC977" s="142"/>
      <c r="AD977" s="142"/>
      <c r="AE977" s="142"/>
      <c r="AF977" s="142"/>
      <c r="AG977" s="142"/>
      <c r="AH977" s="142"/>
      <c r="AI977" s="142"/>
      <c r="AJ977" s="142"/>
      <c r="AK977" s="142"/>
      <c r="AL977" s="142"/>
      <c r="AM977" s="142"/>
      <c r="AN977" s="142"/>
      <c r="AO977" s="142"/>
    </row>
    <row r="978" ht="15.75" customHeight="1">
      <c r="A978" s="142"/>
      <c r="B978" s="142"/>
      <c r="C978" s="142"/>
      <c r="D978" s="142"/>
      <c r="E978" s="131"/>
      <c r="F978" s="142"/>
      <c r="G978" s="142"/>
      <c r="H978" s="142"/>
      <c r="I978" s="142"/>
      <c r="J978" s="142"/>
      <c r="K978" s="132"/>
      <c r="L978" s="131"/>
      <c r="M978" s="131"/>
      <c r="N978" s="142"/>
      <c r="O978" s="142"/>
      <c r="P978" s="142"/>
      <c r="Q978" s="142"/>
      <c r="R978" s="142"/>
      <c r="S978" s="142"/>
      <c r="T978" s="131"/>
      <c r="U978" s="131"/>
      <c r="V978" s="131"/>
      <c r="W978" s="131"/>
      <c r="X978" s="131"/>
      <c r="Y978" s="131"/>
      <c r="Z978" s="142"/>
      <c r="AA978" s="142"/>
      <c r="AB978" s="142"/>
      <c r="AC978" s="142"/>
      <c r="AD978" s="142"/>
      <c r="AE978" s="142"/>
      <c r="AF978" s="142"/>
      <c r="AG978" s="142"/>
      <c r="AH978" s="142"/>
      <c r="AI978" s="142"/>
      <c r="AJ978" s="142"/>
      <c r="AK978" s="142"/>
      <c r="AL978" s="142"/>
      <c r="AM978" s="142"/>
      <c r="AN978" s="142"/>
      <c r="AO978" s="142"/>
    </row>
    <row r="979" ht="15.75" customHeight="1">
      <c r="A979" s="142"/>
      <c r="B979" s="142"/>
      <c r="C979" s="142"/>
      <c r="D979" s="142"/>
      <c r="E979" s="131"/>
      <c r="F979" s="142"/>
      <c r="G979" s="142"/>
      <c r="H979" s="142"/>
      <c r="I979" s="142"/>
      <c r="J979" s="142"/>
      <c r="K979" s="132"/>
      <c r="L979" s="131"/>
      <c r="M979" s="131"/>
      <c r="N979" s="142"/>
      <c r="O979" s="142"/>
      <c r="P979" s="142"/>
      <c r="Q979" s="142"/>
      <c r="R979" s="142"/>
      <c r="S979" s="142"/>
      <c r="T979" s="131"/>
      <c r="U979" s="131"/>
      <c r="V979" s="131"/>
      <c r="W979" s="131"/>
      <c r="X979" s="131"/>
      <c r="Y979" s="131"/>
      <c r="Z979" s="142"/>
      <c r="AA979" s="142"/>
      <c r="AB979" s="142"/>
      <c r="AC979" s="142"/>
      <c r="AD979" s="142"/>
      <c r="AE979" s="142"/>
      <c r="AF979" s="142"/>
      <c r="AG979" s="142"/>
      <c r="AH979" s="142"/>
      <c r="AI979" s="142"/>
      <c r="AJ979" s="142"/>
      <c r="AK979" s="142"/>
      <c r="AL979" s="142"/>
      <c r="AM979" s="142"/>
      <c r="AN979" s="142"/>
      <c r="AO979" s="142"/>
    </row>
    <row r="980" ht="15.75" customHeight="1">
      <c r="A980" s="142"/>
      <c r="B980" s="142"/>
      <c r="C980" s="142"/>
      <c r="D980" s="142"/>
      <c r="E980" s="131"/>
      <c r="F980" s="142"/>
      <c r="G980" s="142"/>
      <c r="H980" s="142"/>
      <c r="I980" s="142"/>
      <c r="J980" s="142"/>
      <c r="K980" s="132"/>
      <c r="L980" s="131"/>
      <c r="M980" s="131"/>
      <c r="N980" s="142"/>
      <c r="O980" s="142"/>
      <c r="P980" s="142"/>
      <c r="Q980" s="142"/>
      <c r="R980" s="142"/>
      <c r="S980" s="142"/>
      <c r="T980" s="131"/>
      <c r="U980" s="131"/>
      <c r="V980" s="131"/>
      <c r="W980" s="131"/>
      <c r="X980" s="131"/>
      <c r="Y980" s="131"/>
      <c r="Z980" s="142"/>
      <c r="AA980" s="142"/>
      <c r="AB980" s="142"/>
      <c r="AC980" s="142"/>
      <c r="AD980" s="142"/>
      <c r="AE980" s="142"/>
      <c r="AF980" s="142"/>
      <c r="AG980" s="142"/>
      <c r="AH980" s="142"/>
      <c r="AI980" s="142"/>
      <c r="AJ980" s="142"/>
      <c r="AK980" s="142"/>
      <c r="AL980" s="142"/>
      <c r="AM980" s="142"/>
      <c r="AN980" s="142"/>
      <c r="AO980" s="142"/>
    </row>
    <row r="981" ht="15.75" customHeight="1">
      <c r="A981" s="142"/>
      <c r="B981" s="142"/>
      <c r="C981" s="142"/>
      <c r="D981" s="142"/>
      <c r="E981" s="131"/>
      <c r="F981" s="142"/>
      <c r="G981" s="142"/>
      <c r="H981" s="142"/>
      <c r="I981" s="142"/>
      <c r="J981" s="142"/>
      <c r="K981" s="132"/>
      <c r="L981" s="131"/>
      <c r="M981" s="131"/>
      <c r="N981" s="142"/>
      <c r="O981" s="142"/>
      <c r="P981" s="142"/>
      <c r="Q981" s="142"/>
      <c r="R981" s="142"/>
      <c r="S981" s="142"/>
      <c r="T981" s="131"/>
      <c r="U981" s="131"/>
      <c r="V981" s="131"/>
      <c r="W981" s="131"/>
      <c r="X981" s="131"/>
      <c r="Y981" s="131"/>
      <c r="Z981" s="142"/>
      <c r="AA981" s="142"/>
      <c r="AB981" s="142"/>
      <c r="AC981" s="142"/>
      <c r="AD981" s="142"/>
      <c r="AE981" s="142"/>
      <c r="AF981" s="142"/>
      <c r="AG981" s="142"/>
      <c r="AH981" s="142"/>
      <c r="AI981" s="142"/>
      <c r="AJ981" s="142"/>
      <c r="AK981" s="142"/>
      <c r="AL981" s="142"/>
      <c r="AM981" s="142"/>
      <c r="AN981" s="142"/>
      <c r="AO981" s="142"/>
    </row>
    <row r="982" ht="15.75" customHeight="1">
      <c r="A982" s="142"/>
      <c r="B982" s="142"/>
      <c r="C982" s="142"/>
      <c r="D982" s="142"/>
      <c r="E982" s="131"/>
      <c r="F982" s="142"/>
      <c r="G982" s="142"/>
      <c r="H982" s="142"/>
      <c r="I982" s="142"/>
      <c r="J982" s="142"/>
      <c r="K982" s="132"/>
      <c r="L982" s="131"/>
      <c r="M982" s="131"/>
      <c r="N982" s="142"/>
      <c r="O982" s="142"/>
      <c r="P982" s="142"/>
      <c r="Q982" s="142"/>
      <c r="R982" s="142"/>
      <c r="S982" s="142"/>
      <c r="T982" s="131"/>
      <c r="U982" s="131"/>
      <c r="V982" s="131"/>
      <c r="W982" s="131"/>
      <c r="X982" s="131"/>
      <c r="Y982" s="131"/>
      <c r="Z982" s="142"/>
      <c r="AA982" s="142"/>
      <c r="AB982" s="142"/>
      <c r="AC982" s="142"/>
      <c r="AD982" s="142"/>
      <c r="AE982" s="142"/>
      <c r="AF982" s="142"/>
      <c r="AG982" s="142"/>
      <c r="AH982" s="142"/>
      <c r="AI982" s="142"/>
      <c r="AJ982" s="142"/>
      <c r="AK982" s="142"/>
      <c r="AL982" s="142"/>
      <c r="AM982" s="142"/>
      <c r="AN982" s="142"/>
      <c r="AO982" s="142"/>
    </row>
    <row r="983" ht="15.75" customHeight="1">
      <c r="A983" s="142"/>
      <c r="B983" s="142"/>
      <c r="C983" s="142"/>
      <c r="D983" s="142"/>
      <c r="E983" s="131"/>
      <c r="F983" s="142"/>
      <c r="G983" s="142"/>
      <c r="H983" s="142"/>
      <c r="I983" s="142"/>
      <c r="J983" s="142"/>
      <c r="K983" s="132"/>
      <c r="L983" s="131"/>
      <c r="M983" s="131"/>
      <c r="N983" s="142"/>
      <c r="O983" s="142"/>
      <c r="P983" s="142"/>
      <c r="Q983" s="142"/>
      <c r="R983" s="142"/>
      <c r="S983" s="142"/>
      <c r="T983" s="131"/>
      <c r="U983" s="131"/>
      <c r="V983" s="131"/>
      <c r="W983" s="131"/>
      <c r="X983" s="131"/>
      <c r="Y983" s="131"/>
      <c r="Z983" s="142"/>
      <c r="AA983" s="142"/>
      <c r="AB983" s="142"/>
      <c r="AC983" s="142"/>
      <c r="AD983" s="142"/>
      <c r="AE983" s="142"/>
      <c r="AF983" s="142"/>
      <c r="AG983" s="142"/>
      <c r="AH983" s="142"/>
      <c r="AI983" s="142"/>
      <c r="AJ983" s="142"/>
      <c r="AK983" s="142"/>
      <c r="AL983" s="142"/>
      <c r="AM983" s="142"/>
      <c r="AN983" s="142"/>
      <c r="AO983" s="142"/>
    </row>
    <row r="984" ht="15.75" customHeight="1">
      <c r="A984" s="142"/>
      <c r="B984" s="142"/>
      <c r="C984" s="142"/>
      <c r="D984" s="142"/>
      <c r="E984" s="131"/>
      <c r="F984" s="142"/>
      <c r="G984" s="142"/>
      <c r="H984" s="142"/>
      <c r="I984" s="142"/>
      <c r="J984" s="142"/>
      <c r="K984" s="132"/>
      <c r="L984" s="131"/>
      <c r="M984" s="131"/>
      <c r="N984" s="142"/>
      <c r="O984" s="142"/>
      <c r="P984" s="142"/>
      <c r="Q984" s="142"/>
      <c r="R984" s="142"/>
      <c r="S984" s="142"/>
      <c r="T984" s="131"/>
      <c r="U984" s="131"/>
      <c r="V984" s="131"/>
      <c r="W984" s="131"/>
      <c r="X984" s="131"/>
      <c r="Y984" s="131"/>
      <c r="Z984" s="142"/>
      <c r="AA984" s="142"/>
      <c r="AB984" s="142"/>
      <c r="AC984" s="142"/>
      <c r="AD984" s="142"/>
      <c r="AE984" s="142"/>
      <c r="AF984" s="142"/>
      <c r="AG984" s="142"/>
      <c r="AH984" s="142"/>
      <c r="AI984" s="142"/>
      <c r="AJ984" s="142"/>
      <c r="AK984" s="142"/>
      <c r="AL984" s="142"/>
      <c r="AM984" s="142"/>
      <c r="AN984" s="142"/>
      <c r="AO984" s="142"/>
    </row>
    <row r="985" ht="15.75" customHeight="1">
      <c r="A985" s="142"/>
      <c r="B985" s="142"/>
      <c r="C985" s="142"/>
      <c r="D985" s="142"/>
      <c r="E985" s="131"/>
      <c r="F985" s="142"/>
      <c r="G985" s="142"/>
      <c r="H985" s="142"/>
      <c r="I985" s="142"/>
      <c r="J985" s="142"/>
      <c r="K985" s="132"/>
      <c r="L985" s="131"/>
      <c r="M985" s="131"/>
      <c r="N985" s="142"/>
      <c r="O985" s="142"/>
      <c r="P985" s="142"/>
      <c r="Q985" s="142"/>
      <c r="R985" s="142"/>
      <c r="S985" s="142"/>
      <c r="T985" s="131"/>
      <c r="U985" s="131"/>
      <c r="V985" s="131"/>
      <c r="W985" s="131"/>
      <c r="X985" s="131"/>
      <c r="Y985" s="131"/>
      <c r="Z985" s="142"/>
      <c r="AA985" s="142"/>
      <c r="AB985" s="142"/>
      <c r="AC985" s="142"/>
      <c r="AD985" s="142"/>
      <c r="AE985" s="142"/>
      <c r="AF985" s="142"/>
      <c r="AG985" s="142"/>
      <c r="AH985" s="142"/>
      <c r="AI985" s="142"/>
      <c r="AJ985" s="142"/>
      <c r="AK985" s="142"/>
      <c r="AL985" s="142"/>
      <c r="AM985" s="142"/>
      <c r="AN985" s="142"/>
      <c r="AO985" s="142"/>
    </row>
    <row r="986" ht="15.75" customHeight="1">
      <c r="A986" s="142"/>
      <c r="B986" s="142"/>
      <c r="C986" s="142"/>
      <c r="D986" s="142"/>
      <c r="E986" s="131"/>
      <c r="F986" s="142"/>
      <c r="G986" s="142"/>
      <c r="H986" s="142"/>
      <c r="I986" s="142"/>
      <c r="J986" s="142"/>
      <c r="K986" s="132"/>
      <c r="L986" s="131"/>
      <c r="M986" s="131"/>
      <c r="N986" s="142"/>
      <c r="O986" s="142"/>
      <c r="P986" s="142"/>
      <c r="Q986" s="142"/>
      <c r="R986" s="142"/>
      <c r="S986" s="142"/>
      <c r="T986" s="131"/>
      <c r="U986" s="131"/>
      <c r="V986" s="131"/>
      <c r="W986" s="131"/>
      <c r="X986" s="131"/>
      <c r="Y986" s="131"/>
      <c r="Z986" s="142"/>
      <c r="AA986" s="142"/>
      <c r="AB986" s="142"/>
      <c r="AC986" s="142"/>
      <c r="AD986" s="142"/>
      <c r="AE986" s="142"/>
      <c r="AF986" s="142"/>
      <c r="AG986" s="142"/>
      <c r="AH986" s="142"/>
      <c r="AI986" s="142"/>
      <c r="AJ986" s="142"/>
      <c r="AK986" s="142"/>
      <c r="AL986" s="142"/>
      <c r="AM986" s="142"/>
      <c r="AN986" s="142"/>
      <c r="AO986" s="142"/>
    </row>
    <row r="987" ht="15.75" customHeight="1">
      <c r="A987" s="142"/>
      <c r="B987" s="142"/>
      <c r="C987" s="142"/>
      <c r="D987" s="142"/>
      <c r="E987" s="131"/>
      <c r="F987" s="142"/>
      <c r="G987" s="142"/>
      <c r="H987" s="142"/>
      <c r="I987" s="142"/>
      <c r="J987" s="142"/>
      <c r="K987" s="132"/>
      <c r="L987" s="131"/>
      <c r="M987" s="131"/>
      <c r="N987" s="142"/>
      <c r="O987" s="142"/>
      <c r="P987" s="142"/>
      <c r="Q987" s="142"/>
      <c r="R987" s="142"/>
      <c r="S987" s="142"/>
      <c r="T987" s="131"/>
      <c r="U987" s="131"/>
      <c r="V987" s="131"/>
      <c r="W987" s="131"/>
      <c r="X987" s="131"/>
      <c r="Y987" s="131"/>
      <c r="Z987" s="142"/>
      <c r="AA987" s="142"/>
      <c r="AB987" s="142"/>
      <c r="AC987" s="142"/>
      <c r="AD987" s="142"/>
      <c r="AE987" s="142"/>
      <c r="AF987" s="142"/>
      <c r="AG987" s="142"/>
      <c r="AH987" s="142"/>
      <c r="AI987" s="142"/>
      <c r="AJ987" s="142"/>
      <c r="AK987" s="142"/>
      <c r="AL987" s="142"/>
      <c r="AM987" s="142"/>
      <c r="AN987" s="142"/>
      <c r="AO987" s="142"/>
    </row>
    <row r="988" ht="15.75" customHeight="1">
      <c r="A988" s="142"/>
      <c r="B988" s="142"/>
      <c r="C988" s="142"/>
      <c r="D988" s="142"/>
      <c r="E988" s="131"/>
      <c r="F988" s="142"/>
      <c r="G988" s="142"/>
      <c r="H988" s="142"/>
      <c r="I988" s="142"/>
      <c r="J988" s="142"/>
      <c r="K988" s="132"/>
      <c r="L988" s="131"/>
      <c r="M988" s="131"/>
      <c r="N988" s="142"/>
      <c r="O988" s="142"/>
      <c r="P988" s="142"/>
      <c r="Q988" s="142"/>
      <c r="R988" s="142"/>
      <c r="S988" s="142"/>
      <c r="T988" s="131"/>
      <c r="U988" s="131"/>
      <c r="V988" s="131"/>
      <c r="W988" s="131"/>
      <c r="X988" s="131"/>
      <c r="Y988" s="131"/>
      <c r="Z988" s="142"/>
      <c r="AA988" s="142"/>
      <c r="AB988" s="142"/>
      <c r="AC988" s="142"/>
      <c r="AD988" s="142"/>
      <c r="AE988" s="142"/>
      <c r="AF988" s="142"/>
      <c r="AG988" s="142"/>
      <c r="AH988" s="142"/>
      <c r="AI988" s="142"/>
      <c r="AJ988" s="142"/>
      <c r="AK988" s="142"/>
      <c r="AL988" s="142"/>
      <c r="AM988" s="142"/>
      <c r="AN988" s="142"/>
      <c r="AO988" s="142"/>
    </row>
    <row r="989" ht="15.75" customHeight="1">
      <c r="A989" s="142"/>
      <c r="B989" s="142"/>
      <c r="C989" s="142"/>
      <c r="D989" s="142"/>
      <c r="E989" s="131"/>
      <c r="F989" s="142"/>
      <c r="G989" s="142"/>
      <c r="H989" s="142"/>
      <c r="I989" s="142"/>
      <c r="J989" s="142"/>
      <c r="K989" s="132"/>
      <c r="L989" s="131"/>
      <c r="M989" s="131"/>
      <c r="N989" s="142"/>
      <c r="O989" s="142"/>
      <c r="P989" s="142"/>
      <c r="Q989" s="142"/>
      <c r="R989" s="142"/>
      <c r="S989" s="142"/>
      <c r="T989" s="131"/>
      <c r="U989" s="131"/>
      <c r="V989" s="131"/>
      <c r="W989" s="131"/>
      <c r="X989" s="131"/>
      <c r="Y989" s="131"/>
      <c r="Z989" s="142"/>
      <c r="AA989" s="142"/>
      <c r="AB989" s="142"/>
      <c r="AC989" s="142"/>
      <c r="AD989" s="142"/>
      <c r="AE989" s="142"/>
      <c r="AF989" s="142"/>
      <c r="AG989" s="142"/>
      <c r="AH989" s="142"/>
      <c r="AI989" s="142"/>
      <c r="AJ989" s="142"/>
      <c r="AK989" s="142"/>
      <c r="AL989" s="142"/>
      <c r="AM989" s="142"/>
      <c r="AN989" s="142"/>
      <c r="AO989" s="142"/>
    </row>
    <row r="990" ht="15.75" customHeight="1">
      <c r="A990" s="142"/>
      <c r="B990" s="142"/>
      <c r="C990" s="142"/>
      <c r="D990" s="142"/>
      <c r="E990" s="131"/>
      <c r="F990" s="142"/>
      <c r="G990" s="142"/>
      <c r="H990" s="142"/>
      <c r="I990" s="142"/>
      <c r="J990" s="142"/>
      <c r="K990" s="132"/>
      <c r="L990" s="131"/>
      <c r="M990" s="131"/>
      <c r="N990" s="142"/>
      <c r="O990" s="142"/>
      <c r="P990" s="142"/>
      <c r="Q990" s="142"/>
      <c r="R990" s="142"/>
      <c r="S990" s="142"/>
      <c r="T990" s="131"/>
      <c r="U990" s="131"/>
      <c r="V990" s="131"/>
      <c r="W990" s="131"/>
      <c r="X990" s="131"/>
      <c r="Y990" s="131"/>
      <c r="Z990" s="142"/>
      <c r="AA990" s="142"/>
      <c r="AB990" s="142"/>
      <c r="AC990" s="142"/>
      <c r="AD990" s="142"/>
      <c r="AE990" s="142"/>
      <c r="AF990" s="142"/>
      <c r="AG990" s="142"/>
      <c r="AH990" s="142"/>
      <c r="AI990" s="142"/>
      <c r="AJ990" s="142"/>
      <c r="AK990" s="142"/>
      <c r="AL990" s="142"/>
      <c r="AM990" s="142"/>
      <c r="AN990" s="142"/>
      <c r="AO990" s="142"/>
    </row>
    <row r="991" ht="15.75" customHeight="1">
      <c r="A991" s="142"/>
      <c r="B991" s="142"/>
      <c r="C991" s="142"/>
      <c r="D991" s="142"/>
      <c r="E991" s="131"/>
      <c r="F991" s="142"/>
      <c r="G991" s="142"/>
      <c r="H991" s="142"/>
      <c r="I991" s="142"/>
      <c r="J991" s="142"/>
      <c r="K991" s="132"/>
      <c r="L991" s="131"/>
      <c r="M991" s="131"/>
      <c r="N991" s="142"/>
      <c r="O991" s="142"/>
      <c r="P991" s="142"/>
      <c r="Q991" s="142"/>
      <c r="R991" s="142"/>
      <c r="S991" s="142"/>
      <c r="T991" s="131"/>
      <c r="U991" s="131"/>
      <c r="V991" s="131"/>
      <c r="W991" s="131"/>
      <c r="X991" s="131"/>
      <c r="Y991" s="131"/>
      <c r="Z991" s="142"/>
      <c r="AA991" s="142"/>
      <c r="AB991" s="142"/>
      <c r="AC991" s="142"/>
      <c r="AD991" s="142"/>
      <c r="AE991" s="142"/>
      <c r="AF991" s="142"/>
      <c r="AG991" s="142"/>
      <c r="AH991" s="142"/>
      <c r="AI991" s="142"/>
      <c r="AJ991" s="142"/>
      <c r="AK991" s="142"/>
      <c r="AL991" s="142"/>
      <c r="AM991" s="142"/>
      <c r="AN991" s="142"/>
      <c r="AO991" s="142"/>
    </row>
    <row r="992" ht="15.75" customHeight="1">
      <c r="A992" s="142"/>
      <c r="B992" s="142"/>
      <c r="C992" s="142"/>
      <c r="D992" s="142"/>
      <c r="E992" s="131"/>
      <c r="F992" s="142"/>
      <c r="G992" s="142"/>
      <c r="H992" s="142"/>
      <c r="I992" s="142"/>
      <c r="J992" s="142"/>
      <c r="K992" s="132"/>
      <c r="L992" s="131"/>
      <c r="M992" s="131"/>
      <c r="N992" s="142"/>
      <c r="O992" s="142"/>
      <c r="P992" s="142"/>
      <c r="Q992" s="142"/>
      <c r="R992" s="142"/>
      <c r="S992" s="142"/>
      <c r="T992" s="131"/>
      <c r="U992" s="131"/>
      <c r="V992" s="131"/>
      <c r="W992" s="131"/>
      <c r="X992" s="131"/>
      <c r="Y992" s="131"/>
      <c r="Z992" s="142"/>
      <c r="AA992" s="142"/>
      <c r="AB992" s="142"/>
      <c r="AC992" s="142"/>
      <c r="AD992" s="142"/>
      <c r="AE992" s="142"/>
      <c r="AF992" s="142"/>
      <c r="AG992" s="142"/>
      <c r="AH992" s="142"/>
      <c r="AI992" s="142"/>
      <c r="AJ992" s="142"/>
      <c r="AK992" s="142"/>
      <c r="AL992" s="142"/>
      <c r="AM992" s="142"/>
      <c r="AN992" s="142"/>
      <c r="AO992" s="142"/>
    </row>
    <row r="993" ht="15.75" customHeight="1">
      <c r="A993" s="142"/>
      <c r="B993" s="142"/>
      <c r="C993" s="142"/>
      <c r="D993" s="142"/>
      <c r="E993" s="131"/>
      <c r="F993" s="142"/>
      <c r="G993" s="142"/>
      <c r="H993" s="142"/>
      <c r="I993" s="142"/>
      <c r="J993" s="142"/>
      <c r="K993" s="132"/>
      <c r="L993" s="131"/>
      <c r="M993" s="131"/>
      <c r="N993" s="142"/>
      <c r="O993" s="142"/>
      <c r="P993" s="142"/>
      <c r="Q993" s="142"/>
      <c r="R993" s="142"/>
      <c r="S993" s="142"/>
      <c r="T993" s="131"/>
      <c r="U993" s="131"/>
      <c r="V993" s="131"/>
      <c r="W993" s="131"/>
      <c r="X993" s="131"/>
      <c r="Y993" s="131"/>
      <c r="Z993" s="142"/>
      <c r="AA993" s="142"/>
      <c r="AB993" s="142"/>
      <c r="AC993" s="142"/>
      <c r="AD993" s="142"/>
      <c r="AE993" s="142"/>
      <c r="AF993" s="142"/>
      <c r="AG993" s="142"/>
      <c r="AH993" s="142"/>
      <c r="AI993" s="142"/>
      <c r="AJ993" s="142"/>
      <c r="AK993" s="142"/>
      <c r="AL993" s="142"/>
      <c r="AM993" s="142"/>
      <c r="AN993" s="142"/>
      <c r="AO993" s="142"/>
    </row>
    <row r="994" ht="15.75" customHeight="1">
      <c r="A994" s="142"/>
      <c r="B994" s="142"/>
      <c r="C994" s="142"/>
      <c r="D994" s="142"/>
      <c r="E994" s="131"/>
      <c r="F994" s="142"/>
      <c r="G994" s="142"/>
      <c r="H994" s="142"/>
      <c r="I994" s="142"/>
      <c r="J994" s="142"/>
      <c r="K994" s="132"/>
      <c r="L994" s="131"/>
      <c r="M994" s="131"/>
      <c r="N994" s="142"/>
      <c r="O994" s="142"/>
      <c r="P994" s="142"/>
      <c r="Q994" s="142"/>
      <c r="R994" s="142"/>
      <c r="S994" s="142"/>
      <c r="T994" s="131"/>
      <c r="U994" s="131"/>
      <c r="V994" s="131"/>
      <c r="W994" s="131"/>
      <c r="X994" s="131"/>
      <c r="Y994" s="131"/>
      <c r="Z994" s="142"/>
      <c r="AA994" s="142"/>
      <c r="AB994" s="142"/>
      <c r="AC994" s="142"/>
      <c r="AD994" s="142"/>
      <c r="AE994" s="142"/>
      <c r="AF994" s="142"/>
      <c r="AG994" s="142"/>
      <c r="AH994" s="142"/>
      <c r="AI994" s="142"/>
      <c r="AJ994" s="142"/>
      <c r="AK994" s="142"/>
      <c r="AL994" s="142"/>
      <c r="AM994" s="142"/>
      <c r="AN994" s="142"/>
      <c r="AO994" s="142"/>
    </row>
    <row r="995" ht="15.75" customHeight="1">
      <c r="A995" s="142"/>
      <c r="B995" s="142"/>
      <c r="C995" s="142"/>
      <c r="D995" s="142"/>
      <c r="E995" s="131"/>
      <c r="F995" s="142"/>
      <c r="G995" s="142"/>
      <c r="H995" s="142"/>
      <c r="I995" s="142"/>
      <c r="J995" s="142"/>
      <c r="K995" s="132"/>
      <c r="L995" s="131"/>
      <c r="M995" s="131"/>
      <c r="N995" s="142"/>
      <c r="O995" s="142"/>
      <c r="P995" s="142"/>
      <c r="Q995" s="142"/>
      <c r="R995" s="142"/>
      <c r="S995" s="142"/>
      <c r="T995" s="131"/>
      <c r="U995" s="131"/>
      <c r="V995" s="131"/>
      <c r="W995" s="131"/>
      <c r="X995" s="131"/>
      <c r="Y995" s="131"/>
      <c r="Z995" s="142"/>
      <c r="AA995" s="142"/>
      <c r="AB995" s="142"/>
      <c r="AC995" s="142"/>
      <c r="AD995" s="142"/>
      <c r="AE995" s="142"/>
      <c r="AF995" s="142"/>
      <c r="AG995" s="142"/>
      <c r="AH995" s="142"/>
      <c r="AI995" s="142"/>
      <c r="AJ995" s="142"/>
      <c r="AK995" s="142"/>
      <c r="AL995" s="142"/>
      <c r="AM995" s="142"/>
      <c r="AN995" s="142"/>
      <c r="AO995" s="142"/>
    </row>
    <row r="996" ht="15.75" customHeight="1">
      <c r="A996" s="142"/>
      <c r="B996" s="142"/>
      <c r="C996" s="142"/>
      <c r="D996" s="142"/>
      <c r="E996" s="131"/>
      <c r="F996" s="142"/>
      <c r="G996" s="142"/>
      <c r="H996" s="142"/>
      <c r="I996" s="142"/>
      <c r="J996" s="142"/>
      <c r="K996" s="132"/>
      <c r="L996" s="131"/>
      <c r="M996" s="131"/>
      <c r="N996" s="142"/>
      <c r="O996" s="142"/>
      <c r="P996" s="142"/>
      <c r="Q996" s="142"/>
      <c r="R996" s="142"/>
      <c r="S996" s="142"/>
      <c r="T996" s="131"/>
      <c r="U996" s="131"/>
      <c r="V996" s="131"/>
      <c r="W996" s="131"/>
      <c r="X996" s="131"/>
      <c r="Y996" s="131"/>
      <c r="Z996" s="142"/>
      <c r="AA996" s="142"/>
      <c r="AB996" s="142"/>
      <c r="AC996" s="142"/>
      <c r="AD996" s="142"/>
      <c r="AE996" s="142"/>
      <c r="AF996" s="142"/>
      <c r="AG996" s="142"/>
      <c r="AH996" s="142"/>
      <c r="AI996" s="142"/>
      <c r="AJ996" s="142"/>
      <c r="AK996" s="142"/>
      <c r="AL996" s="142"/>
      <c r="AM996" s="142"/>
      <c r="AN996" s="142"/>
      <c r="AO996" s="142"/>
    </row>
    <row r="997" ht="15.75" customHeight="1">
      <c r="A997" s="142"/>
      <c r="B997" s="142"/>
      <c r="C997" s="142"/>
      <c r="D997" s="142"/>
      <c r="E997" s="131"/>
      <c r="F997" s="142"/>
      <c r="G997" s="142"/>
      <c r="H997" s="142"/>
      <c r="I997" s="142"/>
      <c r="J997" s="142"/>
      <c r="K997" s="132"/>
      <c r="L997" s="131"/>
      <c r="M997" s="131"/>
      <c r="N997" s="142"/>
      <c r="O997" s="142"/>
      <c r="P997" s="142"/>
      <c r="Q997" s="142"/>
      <c r="R997" s="142"/>
      <c r="S997" s="142"/>
      <c r="T997" s="131"/>
      <c r="U997" s="131"/>
      <c r="V997" s="131"/>
      <c r="W997" s="131"/>
      <c r="X997" s="131"/>
      <c r="Y997" s="131"/>
      <c r="Z997" s="142"/>
      <c r="AA997" s="142"/>
      <c r="AB997" s="142"/>
      <c r="AC997" s="142"/>
      <c r="AD997" s="142"/>
      <c r="AE997" s="142"/>
      <c r="AF997" s="142"/>
      <c r="AG997" s="142"/>
      <c r="AH997" s="142"/>
      <c r="AI997" s="142"/>
      <c r="AJ997" s="142"/>
      <c r="AK997" s="142"/>
      <c r="AL997" s="142"/>
      <c r="AM997" s="142"/>
      <c r="AN997" s="142"/>
      <c r="AO997" s="142"/>
    </row>
    <row r="998" ht="15.75" customHeight="1">
      <c r="A998" s="142"/>
      <c r="B998" s="142"/>
      <c r="C998" s="142"/>
      <c r="D998" s="142"/>
      <c r="E998" s="131"/>
      <c r="F998" s="142"/>
      <c r="G998" s="142"/>
      <c r="H998" s="142"/>
      <c r="I998" s="142"/>
      <c r="J998" s="142"/>
      <c r="K998" s="132"/>
      <c r="L998" s="131"/>
      <c r="M998" s="131"/>
      <c r="N998" s="142"/>
      <c r="O998" s="142"/>
      <c r="P998" s="142"/>
      <c r="Q998" s="142"/>
      <c r="R998" s="142"/>
      <c r="S998" s="142"/>
      <c r="T998" s="131"/>
      <c r="U998" s="131"/>
      <c r="V998" s="131"/>
      <c r="W998" s="131"/>
      <c r="X998" s="131"/>
      <c r="Y998" s="131"/>
      <c r="Z998" s="142"/>
      <c r="AA998" s="142"/>
      <c r="AB998" s="142"/>
      <c r="AC998" s="142"/>
      <c r="AD998" s="142"/>
      <c r="AE998" s="142"/>
      <c r="AF998" s="142"/>
      <c r="AG998" s="142"/>
      <c r="AH998" s="142"/>
      <c r="AI998" s="142"/>
      <c r="AJ998" s="142"/>
      <c r="AK998" s="142"/>
      <c r="AL998" s="142"/>
      <c r="AM998" s="142"/>
      <c r="AN998" s="142"/>
      <c r="AO998" s="142"/>
    </row>
    <row r="999" ht="15.75" customHeight="1">
      <c r="A999" s="142"/>
      <c r="B999" s="142"/>
      <c r="C999" s="142"/>
      <c r="D999" s="142"/>
      <c r="E999" s="131"/>
      <c r="F999" s="142"/>
      <c r="G999" s="142"/>
      <c r="H999" s="142"/>
      <c r="I999" s="142"/>
      <c r="J999" s="142"/>
      <c r="K999" s="132"/>
      <c r="L999" s="131"/>
      <c r="M999" s="131"/>
      <c r="N999" s="142"/>
      <c r="O999" s="142"/>
      <c r="P999" s="142"/>
      <c r="Q999" s="142"/>
      <c r="R999" s="142"/>
      <c r="S999" s="142"/>
      <c r="T999" s="131"/>
      <c r="U999" s="131"/>
      <c r="V999" s="131"/>
      <c r="W999" s="131"/>
      <c r="X999" s="131"/>
      <c r="Y999" s="131"/>
      <c r="Z999" s="142"/>
      <c r="AA999" s="142"/>
      <c r="AB999" s="142"/>
      <c r="AC999" s="142"/>
      <c r="AD999" s="142"/>
      <c r="AE999" s="142"/>
      <c r="AF999" s="142"/>
      <c r="AG999" s="142"/>
      <c r="AH999" s="142"/>
      <c r="AI999" s="142"/>
      <c r="AJ999" s="142"/>
      <c r="AK999" s="142"/>
      <c r="AL999" s="142"/>
      <c r="AM999" s="142"/>
      <c r="AN999" s="142"/>
      <c r="AO999" s="142"/>
    </row>
    <row r="1000" ht="15.75" customHeight="1">
      <c r="A1000" s="142"/>
      <c r="B1000" s="142"/>
      <c r="C1000" s="142"/>
      <c r="D1000" s="142"/>
      <c r="E1000" s="131"/>
      <c r="F1000" s="142"/>
      <c r="G1000" s="142"/>
      <c r="H1000" s="142"/>
      <c r="I1000" s="142"/>
      <c r="J1000" s="142"/>
      <c r="K1000" s="132"/>
      <c r="L1000" s="131"/>
      <c r="M1000" s="131"/>
      <c r="N1000" s="142"/>
      <c r="O1000" s="142"/>
      <c r="P1000" s="142"/>
      <c r="Q1000" s="142"/>
      <c r="R1000" s="142"/>
      <c r="S1000" s="142"/>
      <c r="T1000" s="131"/>
      <c r="U1000" s="131"/>
      <c r="V1000" s="131"/>
      <c r="W1000" s="131"/>
      <c r="X1000" s="131"/>
      <c r="Y1000" s="131"/>
      <c r="Z1000" s="142"/>
      <c r="AA1000" s="142"/>
      <c r="AB1000" s="142"/>
      <c r="AC1000" s="142"/>
      <c r="AD1000" s="142"/>
      <c r="AE1000" s="142"/>
      <c r="AF1000" s="142"/>
      <c r="AG1000" s="142"/>
      <c r="AH1000" s="142"/>
      <c r="AI1000" s="142"/>
      <c r="AJ1000" s="142"/>
      <c r="AK1000" s="142"/>
      <c r="AL1000" s="142"/>
      <c r="AM1000" s="142"/>
      <c r="AN1000" s="142"/>
      <c r="AO1000" s="142"/>
    </row>
  </sheetData>
  <mergeCells count="3">
    <mergeCell ref="I1:J1"/>
    <mergeCell ref="Z2:Z30"/>
    <mergeCell ref="AG2:AG30"/>
  </mergeCells>
  <conditionalFormatting sqref="I2:J30">
    <cfRule type="cellIs" dxfId="21" priority="1" operator="equal">
      <formula>"/"</formula>
    </cfRule>
  </conditionalFormatting>
  <conditionalFormatting sqref="I2:J30">
    <cfRule type="cellIs" dxfId="4" priority="2" operator="lessThan">
      <formula>0</formula>
    </cfRule>
  </conditionalFormatting>
  <conditionalFormatting sqref="I2:J30">
    <cfRule type="cellIs" dxfId="22" priority="3" operator="greaterThan">
      <formula>0</formula>
    </cfRule>
  </conditionalFormatting>
  <conditionalFormatting sqref="F2:F30">
    <cfRule type="expression" dxfId="23" priority="4">
      <formula>$I$1="差距(Median)"</formula>
    </cfRule>
  </conditionalFormatting>
  <conditionalFormatting sqref="G2:G30">
    <cfRule type="expression" dxfId="23" priority="5">
      <formula>$I$1="差距(LQ)"</formula>
    </cfRule>
  </conditionalFormatting>
  <conditionalFormatting sqref="Z65:AA65 AN2:AN30 AG65:AH65 AN65 Z2 AG2">
    <cfRule type="expression" dxfId="7" priority="6">
      <formula>TRUE</formula>
    </cfRule>
  </conditionalFormatting>
  <conditionalFormatting sqref="L2:L30 T2:Y30">
    <cfRule type="cellIs" dxfId="24" priority="7" operator="equal">
      <formula>2</formula>
    </cfRule>
  </conditionalFormatting>
  <conditionalFormatting sqref="L2:L30 T2:Y30">
    <cfRule type="cellIs" dxfId="26" priority="8" operator="equal">
      <formula>1</formula>
    </cfRule>
  </conditionalFormatting>
  <conditionalFormatting sqref="L2:L30 T2:Y30">
    <cfRule type="cellIs" dxfId="25" priority="9" operator="equal">
      <formula>0</formula>
    </cfRule>
  </conditionalFormatting>
  <dataValidations>
    <dataValidation type="list" allowBlank="1" showErrorMessage="1" sqref="Z2 Z65:AA65">
      <formula1>'選單'!$I$1:$I$3</formula1>
    </dataValidation>
    <dataValidation type="list" allowBlank="1" showErrorMessage="1" sqref="I1">
      <formula1>'選單'!$J$2:$J$3</formula1>
    </dataValidation>
  </dataValidations>
  <hyperlinks>
    <hyperlink r:id="rId2" ref="A52"/>
    <hyperlink r:id="rId3" ref="A53"/>
  </hyperlinks>
  <printOptions/>
  <pageMargins bottom="0.75" footer="0.0" header="0.0" left="0.7" right="0.7" top="0.75"/>
  <pageSetup paperSize="9" orientation="portrait"/>
  <drawing r:id="rId4"/>
  <legacy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69" width="6.67"/>
  </cols>
  <sheetData>
    <row r="1" ht="13.5" customHeight="1">
      <c r="A1" s="244" t="s">
        <v>174</v>
      </c>
      <c r="B1" s="244" t="s">
        <v>1289</v>
      </c>
      <c r="C1" s="244" t="s">
        <v>39</v>
      </c>
      <c r="D1" s="244" t="s">
        <v>1069</v>
      </c>
      <c r="E1" s="244" t="s">
        <v>1070</v>
      </c>
      <c r="F1" s="244" t="s">
        <v>1071</v>
      </c>
      <c r="G1" s="244" t="s">
        <v>1072</v>
      </c>
      <c r="H1" s="244" t="s">
        <v>1068</v>
      </c>
      <c r="I1" s="244"/>
      <c r="J1" s="244" t="s">
        <v>1289</v>
      </c>
      <c r="K1" s="244" t="s">
        <v>39</v>
      </c>
      <c r="L1" s="244" t="s">
        <v>1069</v>
      </c>
      <c r="M1" s="244" t="s">
        <v>1070</v>
      </c>
      <c r="N1" s="244" t="s">
        <v>1071</v>
      </c>
      <c r="O1" s="244" t="s">
        <v>1072</v>
      </c>
      <c r="P1" s="244" t="s">
        <v>1068</v>
      </c>
      <c r="Q1" s="132"/>
      <c r="R1" s="245" t="s">
        <v>227</v>
      </c>
      <c r="S1" s="245" t="s">
        <v>1289</v>
      </c>
      <c r="T1" s="245" t="s">
        <v>39</v>
      </c>
      <c r="U1" s="245" t="s">
        <v>1069</v>
      </c>
      <c r="V1" s="245" t="s">
        <v>1070</v>
      </c>
      <c r="W1" s="245" t="s">
        <v>1071</v>
      </c>
      <c r="X1" s="245" t="s">
        <v>1072</v>
      </c>
      <c r="Y1" s="245" t="s">
        <v>1068</v>
      </c>
      <c r="Z1" s="245"/>
      <c r="AA1" s="245" t="s">
        <v>1289</v>
      </c>
      <c r="AB1" s="245" t="s">
        <v>39</v>
      </c>
      <c r="AC1" s="245" t="s">
        <v>1069</v>
      </c>
      <c r="AD1" s="245" t="s">
        <v>1070</v>
      </c>
      <c r="AE1" s="245" t="s">
        <v>1071</v>
      </c>
      <c r="AF1" s="245" t="s">
        <v>1072</v>
      </c>
      <c r="AG1" s="245" t="s">
        <v>1068</v>
      </c>
      <c r="AH1" s="163"/>
      <c r="AI1" s="246" t="s">
        <v>176</v>
      </c>
      <c r="AJ1" s="247" t="s">
        <v>1289</v>
      </c>
      <c r="AK1" s="247" t="s">
        <v>39</v>
      </c>
      <c r="AL1" s="247" t="s">
        <v>1069</v>
      </c>
      <c r="AM1" s="247" t="s">
        <v>1070</v>
      </c>
      <c r="AN1" s="247" t="s">
        <v>1071</v>
      </c>
      <c r="AO1" s="247" t="s">
        <v>1072</v>
      </c>
      <c r="AP1" s="247" t="s">
        <v>1068</v>
      </c>
      <c r="AQ1" s="247"/>
      <c r="AR1" s="247" t="s">
        <v>1289</v>
      </c>
      <c r="AS1" s="247" t="s">
        <v>39</v>
      </c>
      <c r="AT1" s="247" t="s">
        <v>1069</v>
      </c>
      <c r="AU1" s="247" t="s">
        <v>1070</v>
      </c>
      <c r="AV1" s="247" t="s">
        <v>1071</v>
      </c>
      <c r="AW1" s="247" t="s">
        <v>1072</v>
      </c>
      <c r="AX1" s="247" t="s">
        <v>1068</v>
      </c>
      <c r="AY1" s="163"/>
      <c r="AZ1" s="248" t="s">
        <v>177</v>
      </c>
      <c r="BA1" s="248" t="s">
        <v>1289</v>
      </c>
      <c r="BB1" s="248" t="s">
        <v>39</v>
      </c>
      <c r="BC1" s="248" t="s">
        <v>1069</v>
      </c>
      <c r="BD1" s="248" t="s">
        <v>1070</v>
      </c>
      <c r="BE1" s="248" t="s">
        <v>1071</v>
      </c>
      <c r="BF1" s="248" t="s">
        <v>1072</v>
      </c>
      <c r="BG1" s="248" t="s">
        <v>1068</v>
      </c>
      <c r="BH1" s="248"/>
      <c r="BI1" s="248" t="s">
        <v>1289</v>
      </c>
      <c r="BJ1" s="248" t="s">
        <v>39</v>
      </c>
      <c r="BK1" s="248" t="s">
        <v>1069</v>
      </c>
      <c r="BL1" s="248" t="s">
        <v>1070</v>
      </c>
      <c r="BM1" s="248" t="s">
        <v>1071</v>
      </c>
      <c r="BN1" s="248" t="s">
        <v>1072</v>
      </c>
      <c r="BO1" s="248" t="s">
        <v>1068</v>
      </c>
      <c r="BP1" s="163"/>
      <c r="BQ1" s="249" t="s">
        <v>178</v>
      </c>
      <c r="BR1" s="249" t="s">
        <v>1289</v>
      </c>
      <c r="BS1" s="249" t="s">
        <v>39</v>
      </c>
      <c r="BT1" s="249" t="s">
        <v>1069</v>
      </c>
      <c r="BU1" s="249" t="s">
        <v>1070</v>
      </c>
      <c r="BV1" s="249" t="s">
        <v>1071</v>
      </c>
      <c r="BW1" s="249" t="s">
        <v>1072</v>
      </c>
      <c r="BX1" s="249" t="s">
        <v>1068</v>
      </c>
      <c r="BY1" s="249"/>
      <c r="BZ1" s="249" t="s">
        <v>1289</v>
      </c>
      <c r="CA1" s="249" t="s">
        <v>39</v>
      </c>
      <c r="CB1" s="249" t="s">
        <v>1069</v>
      </c>
      <c r="CC1" s="249" t="s">
        <v>1070</v>
      </c>
      <c r="CD1" s="249" t="s">
        <v>1071</v>
      </c>
      <c r="CE1" s="249" t="s">
        <v>1072</v>
      </c>
      <c r="CF1" s="249" t="s">
        <v>1068</v>
      </c>
      <c r="CG1" s="163"/>
      <c r="CH1" s="38" t="s">
        <v>179</v>
      </c>
      <c r="CI1" s="38" t="s">
        <v>1289</v>
      </c>
      <c r="CJ1" s="38" t="s">
        <v>39</v>
      </c>
      <c r="CK1" s="38" t="s">
        <v>1069</v>
      </c>
      <c r="CL1" s="38" t="s">
        <v>1070</v>
      </c>
      <c r="CM1" s="38" t="s">
        <v>1071</v>
      </c>
      <c r="CN1" s="38" t="s">
        <v>1072</v>
      </c>
      <c r="CO1" s="38" t="s">
        <v>1068</v>
      </c>
      <c r="CP1" s="38"/>
      <c r="CQ1" s="38" t="s">
        <v>1289</v>
      </c>
      <c r="CR1" s="38" t="s">
        <v>39</v>
      </c>
      <c r="CS1" s="38" t="s">
        <v>1069</v>
      </c>
      <c r="CT1" s="38" t="s">
        <v>1070</v>
      </c>
      <c r="CU1" s="38" t="s">
        <v>1071</v>
      </c>
      <c r="CV1" s="38" t="s">
        <v>1072</v>
      </c>
      <c r="CW1" s="38" t="s">
        <v>1068</v>
      </c>
      <c r="CX1" s="163"/>
      <c r="CY1" s="250" t="s">
        <v>180</v>
      </c>
      <c r="CZ1" s="250" t="s">
        <v>1289</v>
      </c>
      <c r="DA1" s="250" t="s">
        <v>39</v>
      </c>
      <c r="DB1" s="250" t="s">
        <v>1069</v>
      </c>
      <c r="DC1" s="250" t="s">
        <v>1070</v>
      </c>
      <c r="DD1" s="250" t="s">
        <v>1071</v>
      </c>
      <c r="DE1" s="250" t="s">
        <v>1072</v>
      </c>
      <c r="DF1" s="250" t="s">
        <v>1068</v>
      </c>
      <c r="DG1" s="250"/>
      <c r="DH1" s="250" t="s">
        <v>1289</v>
      </c>
      <c r="DI1" s="250" t="s">
        <v>39</v>
      </c>
      <c r="DJ1" s="250" t="s">
        <v>1069</v>
      </c>
      <c r="DK1" s="250" t="s">
        <v>1070</v>
      </c>
      <c r="DL1" s="250" t="s">
        <v>1071</v>
      </c>
      <c r="DM1" s="250" t="s">
        <v>1072</v>
      </c>
      <c r="DN1" s="250" t="s">
        <v>1068</v>
      </c>
      <c r="DO1" s="163"/>
      <c r="DP1" s="251" t="s">
        <v>952</v>
      </c>
      <c r="DQ1" s="251" t="s">
        <v>1289</v>
      </c>
      <c r="DR1" s="251" t="s">
        <v>39</v>
      </c>
      <c r="DS1" s="251" t="s">
        <v>1069</v>
      </c>
      <c r="DT1" s="251" t="s">
        <v>1070</v>
      </c>
      <c r="DU1" s="251" t="s">
        <v>1071</v>
      </c>
      <c r="DV1" s="251" t="s">
        <v>1072</v>
      </c>
      <c r="DW1" s="251" t="s">
        <v>1068</v>
      </c>
      <c r="DX1" s="251"/>
      <c r="DY1" s="251" t="s">
        <v>1289</v>
      </c>
      <c r="DZ1" s="251" t="s">
        <v>39</v>
      </c>
      <c r="EA1" s="251" t="s">
        <v>1069</v>
      </c>
      <c r="EB1" s="251" t="s">
        <v>1070</v>
      </c>
      <c r="EC1" s="251" t="s">
        <v>1071</v>
      </c>
      <c r="ED1" s="251" t="s">
        <v>1072</v>
      </c>
      <c r="EE1" s="251" t="s">
        <v>1068</v>
      </c>
      <c r="EF1" s="163"/>
      <c r="EG1" s="38" t="s">
        <v>184</v>
      </c>
      <c r="EH1" s="38" t="s">
        <v>1289</v>
      </c>
      <c r="EI1" s="38" t="s">
        <v>39</v>
      </c>
      <c r="EJ1" s="38" t="s">
        <v>1069</v>
      </c>
      <c r="EK1" s="38" t="s">
        <v>1070</v>
      </c>
      <c r="EL1" s="38" t="s">
        <v>1071</v>
      </c>
      <c r="EM1" s="38" t="s">
        <v>1072</v>
      </c>
      <c r="EN1" s="38" t="s">
        <v>1068</v>
      </c>
      <c r="EO1" s="38"/>
      <c r="EP1" s="38" t="s">
        <v>1289</v>
      </c>
      <c r="EQ1" s="38" t="s">
        <v>39</v>
      </c>
      <c r="ER1" s="38" t="s">
        <v>1069</v>
      </c>
      <c r="ES1" s="38" t="s">
        <v>1070</v>
      </c>
      <c r="ET1" s="38" t="s">
        <v>1071</v>
      </c>
      <c r="EU1" s="38" t="s">
        <v>1072</v>
      </c>
      <c r="EV1" s="38" t="s">
        <v>1068</v>
      </c>
      <c r="EW1" s="163"/>
      <c r="EX1" s="249" t="s">
        <v>845</v>
      </c>
      <c r="EY1" s="249" t="s">
        <v>1289</v>
      </c>
      <c r="EZ1" s="249" t="s">
        <v>39</v>
      </c>
      <c r="FA1" s="249" t="s">
        <v>1069</v>
      </c>
      <c r="FB1" s="249" t="s">
        <v>1070</v>
      </c>
      <c r="FC1" s="249" t="s">
        <v>1071</v>
      </c>
      <c r="FD1" s="249" t="s">
        <v>1072</v>
      </c>
      <c r="FE1" s="249" t="s">
        <v>1068</v>
      </c>
      <c r="FF1" s="249"/>
      <c r="FG1" s="249" t="s">
        <v>1289</v>
      </c>
      <c r="FH1" s="249" t="s">
        <v>39</v>
      </c>
      <c r="FI1" s="249" t="s">
        <v>1069</v>
      </c>
      <c r="FJ1" s="249" t="s">
        <v>1070</v>
      </c>
      <c r="FK1" s="249" t="s">
        <v>1071</v>
      </c>
      <c r="FL1" s="249" t="s">
        <v>1072</v>
      </c>
      <c r="FM1" s="249" t="s">
        <v>1068</v>
      </c>
    </row>
    <row r="2" ht="13.5" customHeight="1">
      <c r="A2" s="252" t="s">
        <v>1074</v>
      </c>
      <c r="B2" s="252">
        <v>2018.0</v>
      </c>
      <c r="C2" s="252">
        <v>6.0</v>
      </c>
      <c r="D2" s="252">
        <v>1.0</v>
      </c>
      <c r="E2" s="252">
        <v>0.0</v>
      </c>
      <c r="F2" s="252">
        <v>0.0</v>
      </c>
      <c r="G2" s="252">
        <v>0.0</v>
      </c>
      <c r="H2" s="252">
        <v>7.0</v>
      </c>
      <c r="I2" s="252"/>
      <c r="J2" s="252">
        <v>2018.0</v>
      </c>
      <c r="K2" s="252">
        <v>85.0</v>
      </c>
      <c r="L2" s="252">
        <v>175.0</v>
      </c>
      <c r="M2" s="252">
        <v>260.0</v>
      </c>
      <c r="N2" s="252">
        <v>319.0</v>
      </c>
      <c r="O2" s="252">
        <v>301.0</v>
      </c>
      <c r="P2" s="252">
        <v>1140.0</v>
      </c>
      <c r="Q2" s="131"/>
      <c r="R2" s="253" t="s">
        <v>228</v>
      </c>
      <c r="S2" s="253">
        <v>2018.0</v>
      </c>
      <c r="T2" s="253">
        <v>1399.0</v>
      </c>
      <c r="U2" s="253">
        <v>1211.0</v>
      </c>
      <c r="V2" s="253">
        <v>1429.0</v>
      </c>
      <c r="W2" s="253">
        <v>1570.0</v>
      </c>
      <c r="X2" s="253">
        <v>945.0</v>
      </c>
      <c r="Y2" s="253">
        <v>6554.0</v>
      </c>
      <c r="Z2" s="253"/>
      <c r="AA2" s="253">
        <v>2018.0</v>
      </c>
      <c r="AB2" s="253">
        <v>146.0</v>
      </c>
      <c r="AC2" s="253">
        <v>13.0</v>
      </c>
      <c r="AD2" s="253">
        <v>1.0</v>
      </c>
      <c r="AE2" s="253">
        <v>0.0</v>
      </c>
      <c r="AF2" s="253">
        <v>0.0</v>
      </c>
      <c r="AG2" s="253">
        <v>160.0</v>
      </c>
      <c r="AH2" s="163"/>
      <c r="AI2" s="246" t="s">
        <v>286</v>
      </c>
      <c r="AJ2" s="246">
        <v>2018.0</v>
      </c>
      <c r="AK2" s="246">
        <v>395.0</v>
      </c>
      <c r="AL2" s="246">
        <v>642.0</v>
      </c>
      <c r="AM2" s="246">
        <v>945.0</v>
      </c>
      <c r="AN2" s="246">
        <v>993.0</v>
      </c>
      <c r="AO2" s="246">
        <v>740.0</v>
      </c>
      <c r="AP2" s="246">
        <v>3715.0</v>
      </c>
      <c r="AQ2" s="246"/>
      <c r="AR2" s="246">
        <v>2018.0</v>
      </c>
      <c r="AS2" s="246">
        <v>62.0</v>
      </c>
      <c r="AT2" s="246">
        <v>1.0</v>
      </c>
      <c r="AU2" s="246">
        <v>0.0</v>
      </c>
      <c r="AV2" s="246">
        <v>0.0</v>
      </c>
      <c r="AW2" s="246">
        <v>0.0</v>
      </c>
      <c r="AX2" s="246">
        <v>63.0</v>
      </c>
      <c r="AY2" s="163"/>
      <c r="AZ2" s="254" t="s">
        <v>413</v>
      </c>
      <c r="BA2" s="254">
        <v>2018.0</v>
      </c>
      <c r="BB2" s="254">
        <v>279.0</v>
      </c>
      <c r="BC2" s="254">
        <v>280.0</v>
      </c>
      <c r="BD2" s="254">
        <v>453.0</v>
      </c>
      <c r="BE2" s="254">
        <v>655.0</v>
      </c>
      <c r="BF2" s="254">
        <v>626.0</v>
      </c>
      <c r="BG2" s="254">
        <v>2293.0</v>
      </c>
      <c r="BH2" s="254"/>
      <c r="BI2" s="254">
        <v>2018.0</v>
      </c>
      <c r="BJ2" s="254">
        <v>20.0</v>
      </c>
      <c r="BK2" s="254">
        <v>0.0</v>
      </c>
      <c r="BL2" s="254">
        <v>0.0</v>
      </c>
      <c r="BM2" s="254">
        <v>0.0</v>
      </c>
      <c r="BN2" s="254">
        <v>0.0</v>
      </c>
      <c r="BO2" s="254">
        <v>20.0</v>
      </c>
      <c r="BP2" s="163"/>
      <c r="BQ2" s="255" t="s">
        <v>354</v>
      </c>
      <c r="BR2" s="255">
        <v>2018.0</v>
      </c>
      <c r="BS2" s="255">
        <v>74.0</v>
      </c>
      <c r="BT2" s="255">
        <v>52.0</v>
      </c>
      <c r="BU2" s="255">
        <v>78.0</v>
      </c>
      <c r="BV2" s="255">
        <v>97.0</v>
      </c>
      <c r="BW2" s="255">
        <v>114.0</v>
      </c>
      <c r="BX2" s="255">
        <v>415.0</v>
      </c>
      <c r="BY2" s="255"/>
      <c r="BZ2" s="255">
        <v>2018.0</v>
      </c>
      <c r="CA2" s="255">
        <v>20.0</v>
      </c>
      <c r="CB2" s="255">
        <v>0.0</v>
      </c>
      <c r="CC2" s="255">
        <v>0.0</v>
      </c>
      <c r="CD2" s="255">
        <v>0.0</v>
      </c>
      <c r="CE2" s="255">
        <v>0.0</v>
      </c>
      <c r="CF2" s="255">
        <v>20.0</v>
      </c>
      <c r="CG2" s="163"/>
      <c r="CH2" s="57" t="s">
        <v>958</v>
      </c>
      <c r="CI2" s="57">
        <v>2018.0</v>
      </c>
      <c r="CJ2" s="57">
        <v>166.0</v>
      </c>
      <c r="CK2" s="57">
        <v>84.0</v>
      </c>
      <c r="CL2" s="57">
        <v>162.0</v>
      </c>
      <c r="CM2" s="57">
        <v>261.0</v>
      </c>
      <c r="CN2" s="57">
        <v>247.0</v>
      </c>
      <c r="CO2" s="57">
        <v>920.0</v>
      </c>
      <c r="CP2" s="57"/>
      <c r="CQ2" s="57">
        <v>2018.0</v>
      </c>
      <c r="CR2" s="57">
        <v>34.0</v>
      </c>
      <c r="CS2" s="57">
        <v>0.0</v>
      </c>
      <c r="CT2" s="57">
        <v>0.0</v>
      </c>
      <c r="CU2" s="57">
        <v>0.0</v>
      </c>
      <c r="CV2" s="57">
        <v>0.0</v>
      </c>
      <c r="CW2" s="57">
        <v>34.0</v>
      </c>
      <c r="CX2" s="163"/>
      <c r="CY2" s="256" t="s">
        <v>701</v>
      </c>
      <c r="CZ2" s="256">
        <v>2018.0</v>
      </c>
      <c r="DA2" s="256">
        <v>660.0</v>
      </c>
      <c r="DB2" s="256">
        <v>738.0</v>
      </c>
      <c r="DC2" s="256">
        <v>836.0</v>
      </c>
      <c r="DD2" s="256">
        <v>770.0</v>
      </c>
      <c r="DE2" s="256">
        <v>589.0</v>
      </c>
      <c r="DF2" s="256">
        <v>3593.0</v>
      </c>
      <c r="DG2" s="256"/>
      <c r="DH2" s="256">
        <v>2018.0</v>
      </c>
      <c r="DI2" s="256">
        <v>38.0</v>
      </c>
      <c r="DJ2" s="256">
        <v>8.0</v>
      </c>
      <c r="DK2" s="256">
        <v>0.0</v>
      </c>
      <c r="DL2" s="256">
        <v>0.0</v>
      </c>
      <c r="DM2" s="256">
        <v>0.0</v>
      </c>
      <c r="DN2" s="256">
        <v>46.0</v>
      </c>
      <c r="DO2" s="163"/>
      <c r="DP2" s="49" t="s">
        <v>726</v>
      </c>
      <c r="DQ2" s="49">
        <v>2018.0</v>
      </c>
      <c r="DR2" s="49">
        <v>581.0</v>
      </c>
      <c r="DS2" s="49">
        <v>542.0</v>
      </c>
      <c r="DT2" s="49">
        <v>610.0</v>
      </c>
      <c r="DU2" s="49">
        <v>709.0</v>
      </c>
      <c r="DV2" s="49">
        <v>595.0</v>
      </c>
      <c r="DW2" s="49">
        <v>3037.0</v>
      </c>
      <c r="DX2" s="49"/>
      <c r="DY2" s="49">
        <v>2018.0</v>
      </c>
      <c r="DZ2" s="49">
        <v>42.0</v>
      </c>
      <c r="EA2" s="49">
        <v>5.0</v>
      </c>
      <c r="EB2" s="49">
        <v>0.0</v>
      </c>
      <c r="EC2" s="49">
        <v>0.0</v>
      </c>
      <c r="ED2" s="49">
        <v>0.0</v>
      </c>
      <c r="EE2" s="49">
        <v>47.0</v>
      </c>
      <c r="EF2" s="163"/>
      <c r="EG2" s="57" t="s">
        <v>774</v>
      </c>
      <c r="EH2" s="57">
        <v>2018.0</v>
      </c>
      <c r="EI2" s="57">
        <v>780.0</v>
      </c>
      <c r="EJ2" s="57">
        <v>1016.0</v>
      </c>
      <c r="EK2" s="57">
        <v>1333.0</v>
      </c>
      <c r="EL2" s="57">
        <v>1541.0</v>
      </c>
      <c r="EM2" s="57">
        <v>1697.0</v>
      </c>
      <c r="EN2" s="57">
        <v>6367.0</v>
      </c>
      <c r="EO2" s="57"/>
      <c r="EP2" s="57">
        <v>2018.0</v>
      </c>
      <c r="EQ2" s="57">
        <v>217.0</v>
      </c>
      <c r="ER2" s="57">
        <v>108.0</v>
      </c>
      <c r="ES2" s="57">
        <v>0.0</v>
      </c>
      <c r="ET2" s="57">
        <v>0.0</v>
      </c>
      <c r="EU2" s="57">
        <v>0.0</v>
      </c>
      <c r="EV2" s="57">
        <v>325.0</v>
      </c>
      <c r="EW2" s="163"/>
      <c r="EX2" s="255" t="s">
        <v>846</v>
      </c>
      <c r="EY2" s="255">
        <v>2018.0</v>
      </c>
      <c r="EZ2" s="255">
        <v>1829.0</v>
      </c>
      <c r="FA2" s="255">
        <v>1294.0</v>
      </c>
      <c r="FB2" s="255">
        <v>958.0</v>
      </c>
      <c r="FC2" s="255">
        <v>894.0</v>
      </c>
      <c r="FD2" s="255">
        <v>964.0</v>
      </c>
      <c r="FE2" s="255">
        <v>5939.0</v>
      </c>
      <c r="FF2" s="255"/>
      <c r="FG2" s="255">
        <v>2018.0</v>
      </c>
      <c r="FH2" s="255">
        <v>225.0</v>
      </c>
      <c r="FI2" s="255">
        <v>0.0</v>
      </c>
      <c r="FJ2" s="255">
        <v>0.0</v>
      </c>
      <c r="FK2" s="255">
        <v>0.0</v>
      </c>
      <c r="FL2" s="255">
        <v>0.0</v>
      </c>
      <c r="FM2" s="255">
        <v>225.0</v>
      </c>
    </row>
    <row r="3" ht="13.5" customHeight="1">
      <c r="A3" s="252" t="s">
        <v>1078</v>
      </c>
      <c r="B3" s="252">
        <v>2018.0</v>
      </c>
      <c r="C3" s="252">
        <v>12.0</v>
      </c>
      <c r="D3" s="252">
        <v>0.0</v>
      </c>
      <c r="E3" s="252">
        <v>0.0</v>
      </c>
      <c r="F3" s="252">
        <v>1.0</v>
      </c>
      <c r="G3" s="252">
        <v>0.0</v>
      </c>
      <c r="H3" s="252">
        <v>13.0</v>
      </c>
      <c r="I3" s="252"/>
      <c r="J3" s="252">
        <v>2018.0</v>
      </c>
      <c r="K3" s="252">
        <v>177.0</v>
      </c>
      <c r="L3" s="252">
        <v>377.0</v>
      </c>
      <c r="M3" s="252">
        <v>531.0</v>
      </c>
      <c r="N3" s="252">
        <v>727.0</v>
      </c>
      <c r="O3" s="252">
        <v>589.0</v>
      </c>
      <c r="P3" s="252">
        <v>2401.0</v>
      </c>
      <c r="Q3" s="131"/>
      <c r="R3" s="253" t="s">
        <v>230</v>
      </c>
      <c r="S3" s="253">
        <v>2018.0</v>
      </c>
      <c r="T3" s="253" t="s">
        <v>541</v>
      </c>
      <c r="U3" s="253" t="s">
        <v>541</v>
      </c>
      <c r="V3" s="253" t="s">
        <v>541</v>
      </c>
      <c r="W3" s="253" t="s">
        <v>541</v>
      </c>
      <c r="X3" s="253" t="s">
        <v>541</v>
      </c>
      <c r="Y3" s="253" t="s">
        <v>541</v>
      </c>
      <c r="Z3" s="253"/>
      <c r="AA3" s="253">
        <v>2018.0</v>
      </c>
      <c r="AB3" s="253" t="s">
        <v>541</v>
      </c>
      <c r="AC3" s="253" t="s">
        <v>541</v>
      </c>
      <c r="AD3" s="253" t="s">
        <v>541</v>
      </c>
      <c r="AE3" s="253" t="s">
        <v>541</v>
      </c>
      <c r="AF3" s="253" t="s">
        <v>541</v>
      </c>
      <c r="AG3" s="253" t="s">
        <v>541</v>
      </c>
      <c r="AH3" s="163"/>
      <c r="AI3" s="246" t="s">
        <v>288</v>
      </c>
      <c r="AJ3" s="246">
        <v>2018.0</v>
      </c>
      <c r="AK3" s="246">
        <v>293.0</v>
      </c>
      <c r="AL3" s="246">
        <v>466.0</v>
      </c>
      <c r="AM3" s="246">
        <v>896.0</v>
      </c>
      <c r="AN3" s="246">
        <v>1261.0</v>
      </c>
      <c r="AO3" s="246">
        <v>965.0</v>
      </c>
      <c r="AP3" s="246">
        <v>3881.0</v>
      </c>
      <c r="AQ3" s="246"/>
      <c r="AR3" s="246">
        <v>2018.0</v>
      </c>
      <c r="AS3" s="246">
        <v>21.0</v>
      </c>
      <c r="AT3" s="246">
        <v>1.0</v>
      </c>
      <c r="AU3" s="246">
        <v>0.0</v>
      </c>
      <c r="AV3" s="246">
        <v>1.0</v>
      </c>
      <c r="AW3" s="246">
        <v>0.0</v>
      </c>
      <c r="AX3" s="246">
        <v>23.0</v>
      </c>
      <c r="AY3" s="163"/>
      <c r="AZ3" s="254" t="s">
        <v>415</v>
      </c>
      <c r="BA3" s="254">
        <v>2018.0</v>
      </c>
      <c r="BB3" s="254">
        <v>403.0</v>
      </c>
      <c r="BC3" s="254">
        <v>301.0</v>
      </c>
      <c r="BD3" s="254">
        <v>458.0</v>
      </c>
      <c r="BE3" s="254">
        <v>605.0</v>
      </c>
      <c r="BF3" s="254">
        <v>564.0</v>
      </c>
      <c r="BG3" s="254">
        <v>2331.0</v>
      </c>
      <c r="BH3" s="254"/>
      <c r="BI3" s="254">
        <v>2018.0</v>
      </c>
      <c r="BJ3" s="254">
        <v>93.0</v>
      </c>
      <c r="BK3" s="254">
        <v>0.0</v>
      </c>
      <c r="BL3" s="254">
        <v>0.0</v>
      </c>
      <c r="BM3" s="254">
        <v>0.0</v>
      </c>
      <c r="BN3" s="254">
        <v>0.0</v>
      </c>
      <c r="BO3" s="254">
        <v>93.0</v>
      </c>
      <c r="BP3" s="163"/>
      <c r="BQ3" s="255" t="s">
        <v>599</v>
      </c>
      <c r="BR3" s="255">
        <v>2018.0</v>
      </c>
      <c r="BS3" s="255" t="s">
        <v>541</v>
      </c>
      <c r="BT3" s="255" t="s">
        <v>541</v>
      </c>
      <c r="BU3" s="255" t="s">
        <v>541</v>
      </c>
      <c r="BV3" s="255" t="s">
        <v>541</v>
      </c>
      <c r="BW3" s="255" t="s">
        <v>541</v>
      </c>
      <c r="BX3" s="255" t="s">
        <v>541</v>
      </c>
      <c r="BY3" s="255"/>
      <c r="BZ3" s="255">
        <v>2018.0</v>
      </c>
      <c r="CA3" s="255" t="s">
        <v>541</v>
      </c>
      <c r="CB3" s="255" t="s">
        <v>541</v>
      </c>
      <c r="CC3" s="255" t="s">
        <v>541</v>
      </c>
      <c r="CD3" s="255" t="s">
        <v>541</v>
      </c>
      <c r="CE3" s="255" t="s">
        <v>541</v>
      </c>
      <c r="CF3" s="255" t="s">
        <v>541</v>
      </c>
      <c r="CG3" s="163"/>
      <c r="CH3" s="57" t="s">
        <v>962</v>
      </c>
      <c r="CI3" s="57">
        <v>2018.0</v>
      </c>
      <c r="CJ3" s="57">
        <v>134.0</v>
      </c>
      <c r="CK3" s="57">
        <v>89.0</v>
      </c>
      <c r="CL3" s="57">
        <v>192.0</v>
      </c>
      <c r="CM3" s="57">
        <v>315.0</v>
      </c>
      <c r="CN3" s="57">
        <v>300.0</v>
      </c>
      <c r="CO3" s="57">
        <v>1030.0</v>
      </c>
      <c r="CP3" s="57"/>
      <c r="CQ3" s="57">
        <v>2018.0</v>
      </c>
      <c r="CR3" s="57">
        <v>53.0</v>
      </c>
      <c r="CS3" s="57">
        <v>0.0</v>
      </c>
      <c r="CT3" s="57">
        <v>0.0</v>
      </c>
      <c r="CU3" s="57">
        <v>0.0</v>
      </c>
      <c r="CV3" s="57">
        <v>0.0</v>
      </c>
      <c r="CW3" s="57">
        <v>53.0</v>
      </c>
      <c r="CX3" s="163"/>
      <c r="CY3" s="256" t="s">
        <v>703</v>
      </c>
      <c r="CZ3" s="256">
        <v>2018.0</v>
      </c>
      <c r="DA3" s="256" t="s">
        <v>541</v>
      </c>
      <c r="DB3" s="256" t="s">
        <v>541</v>
      </c>
      <c r="DC3" s="256" t="s">
        <v>541</v>
      </c>
      <c r="DD3" s="256" t="s">
        <v>541</v>
      </c>
      <c r="DE3" s="256" t="s">
        <v>541</v>
      </c>
      <c r="DF3" s="256" t="s">
        <v>541</v>
      </c>
      <c r="DG3" s="256"/>
      <c r="DH3" s="256">
        <v>2018.0</v>
      </c>
      <c r="DI3" s="256" t="s">
        <v>541</v>
      </c>
      <c r="DJ3" s="256" t="s">
        <v>541</v>
      </c>
      <c r="DK3" s="256" t="s">
        <v>541</v>
      </c>
      <c r="DL3" s="256" t="s">
        <v>541</v>
      </c>
      <c r="DM3" s="256" t="s">
        <v>541</v>
      </c>
      <c r="DN3" s="256" t="s">
        <v>541</v>
      </c>
      <c r="DO3" s="163"/>
      <c r="DP3" s="49" t="s">
        <v>728</v>
      </c>
      <c r="DQ3" s="49">
        <v>2018.0</v>
      </c>
      <c r="DR3" s="49" t="s">
        <v>541</v>
      </c>
      <c r="DS3" s="49" t="s">
        <v>541</v>
      </c>
      <c r="DT3" s="49" t="s">
        <v>541</v>
      </c>
      <c r="DU3" s="49" t="s">
        <v>541</v>
      </c>
      <c r="DV3" s="49" t="s">
        <v>541</v>
      </c>
      <c r="DW3" s="49" t="s">
        <v>541</v>
      </c>
      <c r="DX3" s="49"/>
      <c r="DY3" s="49">
        <v>2018.0</v>
      </c>
      <c r="DZ3" s="49" t="s">
        <v>541</v>
      </c>
      <c r="EA3" s="49" t="s">
        <v>541</v>
      </c>
      <c r="EB3" s="49" t="s">
        <v>541</v>
      </c>
      <c r="EC3" s="49" t="s">
        <v>541</v>
      </c>
      <c r="ED3" s="49" t="s">
        <v>541</v>
      </c>
      <c r="EE3" s="49" t="s">
        <v>541</v>
      </c>
      <c r="EF3" s="163"/>
      <c r="EG3" s="57" t="s">
        <v>776</v>
      </c>
      <c r="EH3" s="57">
        <v>2018.0</v>
      </c>
      <c r="EI3" s="57">
        <v>240.0</v>
      </c>
      <c r="EJ3" s="57">
        <v>367.0</v>
      </c>
      <c r="EK3" s="57">
        <v>366.0</v>
      </c>
      <c r="EL3" s="57">
        <v>510.0</v>
      </c>
      <c r="EM3" s="57">
        <v>603.0</v>
      </c>
      <c r="EN3" s="57">
        <v>2086.0</v>
      </c>
      <c r="EO3" s="57"/>
      <c r="EP3" s="57">
        <v>2018.0</v>
      </c>
      <c r="EQ3" s="57">
        <v>63.0</v>
      </c>
      <c r="ER3" s="57">
        <v>39.0</v>
      </c>
      <c r="ES3" s="57">
        <v>28.0</v>
      </c>
      <c r="ET3" s="57">
        <v>26.0</v>
      </c>
      <c r="EU3" s="57">
        <v>24.0</v>
      </c>
      <c r="EV3" s="57">
        <v>180.0</v>
      </c>
      <c r="EW3" s="163"/>
      <c r="EX3" s="255" t="s">
        <v>849</v>
      </c>
      <c r="EY3" s="255">
        <v>2018.0</v>
      </c>
      <c r="EZ3" s="255">
        <v>159.0</v>
      </c>
      <c r="FA3" s="255">
        <v>225.0</v>
      </c>
      <c r="FB3" s="255">
        <v>338.0</v>
      </c>
      <c r="FC3" s="255">
        <v>442.0</v>
      </c>
      <c r="FD3" s="255">
        <v>458.0</v>
      </c>
      <c r="FE3" s="255">
        <v>1622.0</v>
      </c>
      <c r="FF3" s="255"/>
      <c r="FG3" s="255">
        <v>2018.0</v>
      </c>
      <c r="FH3" s="255">
        <v>19.0</v>
      </c>
      <c r="FI3" s="255">
        <v>10.0</v>
      </c>
      <c r="FJ3" s="255">
        <v>2.0</v>
      </c>
      <c r="FK3" s="255">
        <v>0.0</v>
      </c>
      <c r="FL3" s="255">
        <v>0.0</v>
      </c>
      <c r="FM3" s="255">
        <v>31.0</v>
      </c>
    </row>
    <row r="4" ht="13.5" customHeight="1">
      <c r="A4" s="252" t="s">
        <v>1081</v>
      </c>
      <c r="B4" s="252">
        <v>2018.0</v>
      </c>
      <c r="C4" s="252">
        <v>104.0</v>
      </c>
      <c r="D4" s="252">
        <v>8.0</v>
      </c>
      <c r="E4" s="252">
        <v>2.0</v>
      </c>
      <c r="F4" s="252">
        <v>1.0</v>
      </c>
      <c r="G4" s="252">
        <v>2.0</v>
      </c>
      <c r="H4" s="252">
        <v>117.0</v>
      </c>
      <c r="I4" s="252"/>
      <c r="J4" s="252">
        <v>2018.0</v>
      </c>
      <c r="K4" s="252">
        <v>773.0</v>
      </c>
      <c r="L4" s="252">
        <v>697.0</v>
      </c>
      <c r="M4" s="252">
        <v>819.0</v>
      </c>
      <c r="N4" s="252">
        <v>862.0</v>
      </c>
      <c r="O4" s="252">
        <v>659.0</v>
      </c>
      <c r="P4" s="252">
        <v>3810.0</v>
      </c>
      <c r="Q4" s="131"/>
      <c r="R4" s="253" t="s">
        <v>232</v>
      </c>
      <c r="S4" s="253">
        <v>2018.0</v>
      </c>
      <c r="T4" s="253" t="s">
        <v>541</v>
      </c>
      <c r="U4" s="253" t="s">
        <v>541</v>
      </c>
      <c r="V4" s="253" t="s">
        <v>541</v>
      </c>
      <c r="W4" s="253" t="s">
        <v>541</v>
      </c>
      <c r="X4" s="253" t="s">
        <v>541</v>
      </c>
      <c r="Y4" s="253" t="s">
        <v>541</v>
      </c>
      <c r="Z4" s="253"/>
      <c r="AA4" s="253">
        <v>2018.0</v>
      </c>
      <c r="AB4" s="253" t="s">
        <v>541</v>
      </c>
      <c r="AC4" s="253" t="s">
        <v>541</v>
      </c>
      <c r="AD4" s="253" t="s">
        <v>541</v>
      </c>
      <c r="AE4" s="253" t="s">
        <v>541</v>
      </c>
      <c r="AF4" s="253" t="s">
        <v>541</v>
      </c>
      <c r="AG4" s="253" t="s">
        <v>541</v>
      </c>
      <c r="AH4" s="163"/>
      <c r="AI4" s="246" t="s">
        <v>290</v>
      </c>
      <c r="AJ4" s="246">
        <v>2018.0</v>
      </c>
      <c r="AK4" s="246">
        <v>117.0</v>
      </c>
      <c r="AL4" s="246">
        <v>206.0</v>
      </c>
      <c r="AM4" s="246">
        <v>337.0</v>
      </c>
      <c r="AN4" s="246">
        <v>539.0</v>
      </c>
      <c r="AO4" s="246">
        <v>410.0</v>
      </c>
      <c r="AP4" s="246">
        <v>1609.0</v>
      </c>
      <c r="AQ4" s="246"/>
      <c r="AR4" s="246">
        <v>2018.0</v>
      </c>
      <c r="AS4" s="246">
        <v>15.0</v>
      </c>
      <c r="AT4" s="246">
        <v>1.0</v>
      </c>
      <c r="AU4" s="246">
        <v>4.0</v>
      </c>
      <c r="AV4" s="246">
        <v>1.0</v>
      </c>
      <c r="AW4" s="246">
        <v>0.0</v>
      </c>
      <c r="AX4" s="246">
        <v>21.0</v>
      </c>
      <c r="AY4" s="163"/>
      <c r="AZ4" s="254" t="s">
        <v>421</v>
      </c>
      <c r="BA4" s="254">
        <v>2018.0</v>
      </c>
      <c r="BB4" s="254">
        <v>119.0</v>
      </c>
      <c r="BC4" s="254">
        <v>209.0</v>
      </c>
      <c r="BD4" s="254">
        <v>441.0</v>
      </c>
      <c r="BE4" s="254">
        <v>689.0</v>
      </c>
      <c r="BF4" s="254">
        <v>652.0</v>
      </c>
      <c r="BG4" s="254">
        <v>2110.0</v>
      </c>
      <c r="BH4" s="254"/>
      <c r="BI4" s="254">
        <v>2018.0</v>
      </c>
      <c r="BJ4" s="254">
        <v>17.0</v>
      </c>
      <c r="BK4" s="254">
        <v>0.0</v>
      </c>
      <c r="BL4" s="254">
        <v>0.0</v>
      </c>
      <c r="BM4" s="254">
        <v>0.0</v>
      </c>
      <c r="BN4" s="254">
        <v>0.0</v>
      </c>
      <c r="BO4" s="254">
        <v>17.0</v>
      </c>
      <c r="BP4" s="163"/>
      <c r="BQ4" s="255" t="s">
        <v>602</v>
      </c>
      <c r="BR4" s="255">
        <v>2018.0</v>
      </c>
      <c r="BS4" s="255" t="s">
        <v>541</v>
      </c>
      <c r="BT4" s="255" t="s">
        <v>541</v>
      </c>
      <c r="BU4" s="255" t="s">
        <v>541</v>
      </c>
      <c r="BV4" s="255" t="s">
        <v>541</v>
      </c>
      <c r="BW4" s="255" t="s">
        <v>541</v>
      </c>
      <c r="BX4" s="255" t="s">
        <v>541</v>
      </c>
      <c r="BY4" s="255"/>
      <c r="BZ4" s="255">
        <v>2018.0</v>
      </c>
      <c r="CA4" s="255" t="s">
        <v>541</v>
      </c>
      <c r="CB4" s="255" t="s">
        <v>541</v>
      </c>
      <c r="CC4" s="255" t="s">
        <v>541</v>
      </c>
      <c r="CD4" s="255" t="s">
        <v>541</v>
      </c>
      <c r="CE4" s="255" t="s">
        <v>541</v>
      </c>
      <c r="CF4" s="255" t="s">
        <v>541</v>
      </c>
      <c r="CG4" s="163"/>
      <c r="CH4" s="57" t="s">
        <v>965</v>
      </c>
      <c r="CI4" s="57">
        <v>2018.0</v>
      </c>
      <c r="CJ4" s="57">
        <v>53.0</v>
      </c>
      <c r="CK4" s="57">
        <v>61.0</v>
      </c>
      <c r="CL4" s="57">
        <v>117.0</v>
      </c>
      <c r="CM4" s="57">
        <v>198.0</v>
      </c>
      <c r="CN4" s="57">
        <v>209.0</v>
      </c>
      <c r="CO4" s="57">
        <v>638.0</v>
      </c>
      <c r="CP4" s="57"/>
      <c r="CQ4" s="57">
        <v>2018.0</v>
      </c>
      <c r="CR4" s="57">
        <v>8.0</v>
      </c>
      <c r="CS4" s="57">
        <v>0.0</v>
      </c>
      <c r="CT4" s="57">
        <v>0.0</v>
      </c>
      <c r="CU4" s="57">
        <v>0.0</v>
      </c>
      <c r="CV4" s="57">
        <v>0.0</v>
      </c>
      <c r="CW4" s="57">
        <v>8.0</v>
      </c>
      <c r="CX4" s="163"/>
      <c r="CY4" s="256" t="s">
        <v>706</v>
      </c>
      <c r="CZ4" s="256">
        <v>2018.0</v>
      </c>
      <c r="DA4" s="256">
        <v>1930.0</v>
      </c>
      <c r="DB4" s="256">
        <v>1734.0</v>
      </c>
      <c r="DC4" s="256">
        <v>1540.0</v>
      </c>
      <c r="DD4" s="256">
        <v>1716.0</v>
      </c>
      <c r="DE4" s="256">
        <v>1491.0</v>
      </c>
      <c r="DF4" s="256">
        <v>8411.0</v>
      </c>
      <c r="DG4" s="256"/>
      <c r="DH4" s="256">
        <v>2018.0</v>
      </c>
      <c r="DI4" s="256">
        <v>92.0</v>
      </c>
      <c r="DJ4" s="256">
        <v>44.0</v>
      </c>
      <c r="DK4" s="256">
        <v>19.0</v>
      </c>
      <c r="DL4" s="256">
        <v>8.0</v>
      </c>
      <c r="DM4" s="256">
        <v>6.0</v>
      </c>
      <c r="DN4" s="256">
        <v>169.0</v>
      </c>
      <c r="DO4" s="163"/>
      <c r="DP4" s="49" t="s">
        <v>730</v>
      </c>
      <c r="DQ4" s="49">
        <v>2018.0</v>
      </c>
      <c r="DR4" s="49">
        <v>572.0</v>
      </c>
      <c r="DS4" s="49">
        <v>799.0</v>
      </c>
      <c r="DT4" s="49">
        <v>1052.0</v>
      </c>
      <c r="DU4" s="49">
        <v>1108.0</v>
      </c>
      <c r="DV4" s="49">
        <v>855.0</v>
      </c>
      <c r="DW4" s="49">
        <v>4386.0</v>
      </c>
      <c r="DX4" s="49"/>
      <c r="DY4" s="49">
        <v>2018.0</v>
      </c>
      <c r="DZ4" s="49">
        <v>14.0</v>
      </c>
      <c r="EA4" s="49">
        <v>4.0</v>
      </c>
      <c r="EB4" s="49">
        <v>0.0</v>
      </c>
      <c r="EC4" s="49">
        <v>0.0</v>
      </c>
      <c r="ED4" s="49">
        <v>0.0</v>
      </c>
      <c r="EE4" s="49">
        <v>18.0</v>
      </c>
      <c r="EF4" s="163"/>
      <c r="EG4" s="57" t="s">
        <v>778</v>
      </c>
      <c r="EH4" s="57">
        <v>2018.0</v>
      </c>
      <c r="EI4" s="57">
        <v>310.0</v>
      </c>
      <c r="EJ4" s="57">
        <v>565.0</v>
      </c>
      <c r="EK4" s="57">
        <v>650.0</v>
      </c>
      <c r="EL4" s="57">
        <v>857.0</v>
      </c>
      <c r="EM4" s="57">
        <v>989.0</v>
      </c>
      <c r="EN4" s="57">
        <v>3371.0</v>
      </c>
      <c r="EO4" s="57"/>
      <c r="EP4" s="57">
        <v>2018.0</v>
      </c>
      <c r="EQ4" s="57">
        <v>82.0</v>
      </c>
      <c r="ER4" s="57">
        <v>61.0</v>
      </c>
      <c r="ES4" s="57">
        <v>39.0</v>
      </c>
      <c r="ET4" s="57">
        <v>44.0</v>
      </c>
      <c r="EU4" s="57">
        <v>49.0</v>
      </c>
      <c r="EV4" s="57">
        <v>275.0</v>
      </c>
      <c r="EW4" s="163"/>
      <c r="EX4" s="255" t="s">
        <v>851</v>
      </c>
      <c r="EY4" s="255">
        <v>2018.0</v>
      </c>
      <c r="EZ4" s="255" t="s">
        <v>541</v>
      </c>
      <c r="FA4" s="255" t="s">
        <v>541</v>
      </c>
      <c r="FB4" s="255" t="s">
        <v>541</v>
      </c>
      <c r="FC4" s="255" t="s">
        <v>541</v>
      </c>
      <c r="FD4" s="255" t="s">
        <v>541</v>
      </c>
      <c r="FE4" s="255" t="s">
        <v>541</v>
      </c>
      <c r="FF4" s="255"/>
      <c r="FG4" s="255">
        <v>2018.0</v>
      </c>
      <c r="FH4" s="255" t="s">
        <v>541</v>
      </c>
      <c r="FI4" s="255" t="s">
        <v>541</v>
      </c>
      <c r="FJ4" s="255" t="s">
        <v>541</v>
      </c>
      <c r="FK4" s="255" t="s">
        <v>541</v>
      </c>
      <c r="FL4" s="255" t="s">
        <v>541</v>
      </c>
      <c r="FM4" s="255" t="s">
        <v>541</v>
      </c>
    </row>
    <row r="5" ht="13.5" customHeight="1">
      <c r="A5" s="252" t="s">
        <v>1084</v>
      </c>
      <c r="B5" s="252">
        <v>2018.0</v>
      </c>
      <c r="C5" s="252">
        <v>55.0</v>
      </c>
      <c r="D5" s="252">
        <v>2.0</v>
      </c>
      <c r="E5" s="252">
        <v>1.0</v>
      </c>
      <c r="F5" s="252">
        <v>0.0</v>
      </c>
      <c r="G5" s="252">
        <v>1.0</v>
      </c>
      <c r="H5" s="252">
        <v>59.0</v>
      </c>
      <c r="I5" s="252"/>
      <c r="J5" s="252">
        <v>2018.0</v>
      </c>
      <c r="K5" s="252">
        <v>587.0</v>
      </c>
      <c r="L5" s="252">
        <v>957.0</v>
      </c>
      <c r="M5" s="252">
        <v>1375.0</v>
      </c>
      <c r="N5" s="252">
        <v>1648.0</v>
      </c>
      <c r="O5" s="252">
        <v>1100.0</v>
      </c>
      <c r="P5" s="252">
        <v>5667.0</v>
      </c>
      <c r="Q5" s="131"/>
      <c r="R5" s="253" t="s">
        <v>234</v>
      </c>
      <c r="S5" s="253">
        <v>2018.0</v>
      </c>
      <c r="T5" s="253" t="s">
        <v>541</v>
      </c>
      <c r="U5" s="253" t="s">
        <v>541</v>
      </c>
      <c r="V5" s="253" t="s">
        <v>541</v>
      </c>
      <c r="W5" s="253" t="s">
        <v>541</v>
      </c>
      <c r="X5" s="253" t="s">
        <v>541</v>
      </c>
      <c r="Y5" s="253" t="s">
        <v>541</v>
      </c>
      <c r="Z5" s="253"/>
      <c r="AA5" s="253">
        <v>2018.0</v>
      </c>
      <c r="AB5" s="253" t="s">
        <v>541</v>
      </c>
      <c r="AC5" s="253" t="s">
        <v>541</v>
      </c>
      <c r="AD5" s="253" t="s">
        <v>541</v>
      </c>
      <c r="AE5" s="253" t="s">
        <v>541</v>
      </c>
      <c r="AF5" s="253" t="s">
        <v>541</v>
      </c>
      <c r="AG5" s="253" t="s">
        <v>541</v>
      </c>
      <c r="AH5" s="163"/>
      <c r="AI5" s="246" t="s">
        <v>292</v>
      </c>
      <c r="AJ5" s="246">
        <v>2018.0</v>
      </c>
      <c r="AK5" s="246">
        <v>366.0</v>
      </c>
      <c r="AL5" s="246">
        <v>523.0</v>
      </c>
      <c r="AM5" s="246">
        <v>751.0</v>
      </c>
      <c r="AN5" s="246">
        <v>921.0</v>
      </c>
      <c r="AO5" s="246">
        <v>706.0</v>
      </c>
      <c r="AP5" s="246">
        <v>3267.0</v>
      </c>
      <c r="AQ5" s="246"/>
      <c r="AR5" s="246">
        <v>2018.0</v>
      </c>
      <c r="AS5" s="246">
        <v>19.0</v>
      </c>
      <c r="AT5" s="246">
        <v>3.0</v>
      </c>
      <c r="AU5" s="246">
        <v>0.0</v>
      </c>
      <c r="AV5" s="246">
        <v>0.0</v>
      </c>
      <c r="AW5" s="246">
        <v>1.0</v>
      </c>
      <c r="AX5" s="246">
        <v>23.0</v>
      </c>
      <c r="AY5" s="163"/>
      <c r="AZ5" s="254" t="s">
        <v>426</v>
      </c>
      <c r="BA5" s="254">
        <v>2018.0</v>
      </c>
      <c r="BB5" s="254">
        <v>546.0</v>
      </c>
      <c r="BC5" s="254">
        <v>364.0</v>
      </c>
      <c r="BD5" s="254">
        <v>578.0</v>
      </c>
      <c r="BE5" s="254">
        <v>610.0</v>
      </c>
      <c r="BF5" s="254">
        <v>571.0</v>
      </c>
      <c r="BG5" s="254">
        <v>2669.0</v>
      </c>
      <c r="BH5" s="254"/>
      <c r="BI5" s="254">
        <v>2018.0</v>
      </c>
      <c r="BJ5" s="254">
        <v>23.0</v>
      </c>
      <c r="BK5" s="254">
        <v>0.0</v>
      </c>
      <c r="BL5" s="254">
        <v>0.0</v>
      </c>
      <c r="BM5" s="254">
        <v>0.0</v>
      </c>
      <c r="BN5" s="254">
        <v>0.0</v>
      </c>
      <c r="BO5" s="254">
        <v>23.0</v>
      </c>
      <c r="BP5" s="163"/>
      <c r="BQ5" s="255" t="s">
        <v>604</v>
      </c>
      <c r="BR5" s="255">
        <v>2018.0</v>
      </c>
      <c r="BS5" s="255" t="s">
        <v>541</v>
      </c>
      <c r="BT5" s="255" t="s">
        <v>541</v>
      </c>
      <c r="BU5" s="255" t="s">
        <v>541</v>
      </c>
      <c r="BV5" s="255" t="s">
        <v>541</v>
      </c>
      <c r="BW5" s="255" t="s">
        <v>541</v>
      </c>
      <c r="BX5" s="255" t="s">
        <v>541</v>
      </c>
      <c r="BY5" s="255"/>
      <c r="BZ5" s="255">
        <v>2018.0</v>
      </c>
      <c r="CA5" s="255" t="s">
        <v>541</v>
      </c>
      <c r="CB5" s="255" t="s">
        <v>541</v>
      </c>
      <c r="CC5" s="255" t="s">
        <v>541</v>
      </c>
      <c r="CD5" s="255" t="s">
        <v>541</v>
      </c>
      <c r="CE5" s="255" t="s">
        <v>541</v>
      </c>
      <c r="CF5" s="255" t="s">
        <v>541</v>
      </c>
      <c r="CG5" s="163"/>
      <c r="CH5" s="57" t="s">
        <v>967</v>
      </c>
      <c r="CI5" s="57">
        <v>2018.0</v>
      </c>
      <c r="CJ5" s="57">
        <v>73.0</v>
      </c>
      <c r="CK5" s="57">
        <v>75.0</v>
      </c>
      <c r="CL5" s="57">
        <v>162.0</v>
      </c>
      <c r="CM5" s="57">
        <v>278.0</v>
      </c>
      <c r="CN5" s="57">
        <v>263.0</v>
      </c>
      <c r="CO5" s="57">
        <v>851.0</v>
      </c>
      <c r="CP5" s="57"/>
      <c r="CQ5" s="57">
        <v>2018.0</v>
      </c>
      <c r="CR5" s="57">
        <v>19.0</v>
      </c>
      <c r="CS5" s="57">
        <v>0.0</v>
      </c>
      <c r="CT5" s="57">
        <v>0.0</v>
      </c>
      <c r="CU5" s="57">
        <v>0.0</v>
      </c>
      <c r="CV5" s="57">
        <v>0.0</v>
      </c>
      <c r="CW5" s="57">
        <v>19.0</v>
      </c>
      <c r="CX5" s="163"/>
      <c r="CY5" s="256" t="s">
        <v>708</v>
      </c>
      <c r="CZ5" s="256">
        <v>2018.0</v>
      </c>
      <c r="DA5" s="256">
        <v>603.0</v>
      </c>
      <c r="DB5" s="256">
        <v>839.0</v>
      </c>
      <c r="DC5" s="256">
        <v>1037.0</v>
      </c>
      <c r="DD5" s="256">
        <v>1150.0</v>
      </c>
      <c r="DE5" s="256">
        <v>994.0</v>
      </c>
      <c r="DF5" s="256">
        <v>4623.0</v>
      </c>
      <c r="DG5" s="256"/>
      <c r="DH5" s="256">
        <v>2018.0</v>
      </c>
      <c r="DI5" s="256">
        <v>29.0</v>
      </c>
      <c r="DJ5" s="256">
        <v>14.0</v>
      </c>
      <c r="DK5" s="256">
        <v>2.0</v>
      </c>
      <c r="DL5" s="256">
        <v>1.0</v>
      </c>
      <c r="DM5" s="256">
        <v>0.0</v>
      </c>
      <c r="DN5" s="256">
        <v>46.0</v>
      </c>
      <c r="DO5" s="163"/>
      <c r="DP5" s="49" t="s">
        <v>732</v>
      </c>
      <c r="DQ5" s="49">
        <v>2018.0</v>
      </c>
      <c r="DR5" s="49">
        <v>241.0</v>
      </c>
      <c r="DS5" s="49">
        <v>334.0</v>
      </c>
      <c r="DT5" s="49">
        <v>459.0</v>
      </c>
      <c r="DU5" s="49">
        <v>620.0</v>
      </c>
      <c r="DV5" s="49">
        <v>538.0</v>
      </c>
      <c r="DW5" s="49">
        <v>2192.0</v>
      </c>
      <c r="DX5" s="49"/>
      <c r="DY5" s="49">
        <v>2018.0</v>
      </c>
      <c r="DZ5" s="49">
        <v>8.0</v>
      </c>
      <c r="EA5" s="49">
        <v>0.0</v>
      </c>
      <c r="EB5" s="49">
        <v>0.0</v>
      </c>
      <c r="EC5" s="49">
        <v>0.0</v>
      </c>
      <c r="ED5" s="49">
        <v>0.0</v>
      </c>
      <c r="EE5" s="49">
        <v>8.0</v>
      </c>
      <c r="EF5" s="163"/>
      <c r="EG5" s="57" t="s">
        <v>780</v>
      </c>
      <c r="EH5" s="57">
        <v>2018.0</v>
      </c>
      <c r="EI5" s="57" t="s">
        <v>541</v>
      </c>
      <c r="EJ5" s="57" t="s">
        <v>541</v>
      </c>
      <c r="EK5" s="57" t="s">
        <v>541</v>
      </c>
      <c r="EL5" s="57" t="s">
        <v>541</v>
      </c>
      <c r="EM5" s="57" t="s">
        <v>541</v>
      </c>
      <c r="EN5" s="57" t="s">
        <v>541</v>
      </c>
      <c r="EO5" s="57"/>
      <c r="EP5" s="57">
        <v>2018.0</v>
      </c>
      <c r="EQ5" s="57" t="s">
        <v>541</v>
      </c>
      <c r="ER5" s="57" t="s">
        <v>541</v>
      </c>
      <c r="ES5" s="57" t="s">
        <v>541</v>
      </c>
      <c r="ET5" s="57" t="s">
        <v>541</v>
      </c>
      <c r="EU5" s="57" t="s">
        <v>541</v>
      </c>
      <c r="EV5" s="57" t="s">
        <v>541</v>
      </c>
      <c r="EW5" s="163"/>
      <c r="EX5" s="255" t="s">
        <v>854</v>
      </c>
      <c r="EY5" s="255">
        <v>2018.0</v>
      </c>
      <c r="EZ5" s="255" t="s">
        <v>541</v>
      </c>
      <c r="FA5" s="255" t="s">
        <v>541</v>
      </c>
      <c r="FB5" s="255" t="s">
        <v>541</v>
      </c>
      <c r="FC5" s="255" t="s">
        <v>541</v>
      </c>
      <c r="FD5" s="255" t="s">
        <v>541</v>
      </c>
      <c r="FE5" s="255" t="s">
        <v>541</v>
      </c>
      <c r="FF5" s="255"/>
      <c r="FG5" s="255">
        <v>2018.0</v>
      </c>
      <c r="FH5" s="255" t="s">
        <v>541</v>
      </c>
      <c r="FI5" s="255" t="s">
        <v>541</v>
      </c>
      <c r="FJ5" s="255" t="s">
        <v>541</v>
      </c>
      <c r="FK5" s="255" t="s">
        <v>541</v>
      </c>
      <c r="FL5" s="255" t="s">
        <v>541</v>
      </c>
      <c r="FM5" s="255" t="s">
        <v>541</v>
      </c>
    </row>
    <row r="6" ht="13.5" customHeight="1">
      <c r="A6" s="252" t="s">
        <v>1087</v>
      </c>
      <c r="B6" s="252">
        <v>2018.0</v>
      </c>
      <c r="C6" s="252">
        <v>63.0</v>
      </c>
      <c r="D6" s="252">
        <v>4.0</v>
      </c>
      <c r="E6" s="252">
        <v>0.0</v>
      </c>
      <c r="F6" s="252">
        <v>0.0</v>
      </c>
      <c r="G6" s="252">
        <v>0.0</v>
      </c>
      <c r="H6" s="252">
        <v>67.0</v>
      </c>
      <c r="I6" s="252"/>
      <c r="J6" s="252">
        <v>2018.0</v>
      </c>
      <c r="K6" s="252">
        <v>1403.0</v>
      </c>
      <c r="L6" s="252">
        <v>1352.0</v>
      </c>
      <c r="M6" s="252">
        <v>1696.0</v>
      </c>
      <c r="N6" s="252">
        <v>1749.0</v>
      </c>
      <c r="O6" s="252">
        <v>1106.0</v>
      </c>
      <c r="P6" s="252">
        <v>7306.0</v>
      </c>
      <c r="Q6" s="131"/>
      <c r="R6" s="253" t="s">
        <v>236</v>
      </c>
      <c r="S6" s="253">
        <v>2018.0</v>
      </c>
      <c r="T6" s="253" t="s">
        <v>541</v>
      </c>
      <c r="U6" s="253" t="s">
        <v>541</v>
      </c>
      <c r="V6" s="253" t="s">
        <v>541</v>
      </c>
      <c r="W6" s="253" t="s">
        <v>541</v>
      </c>
      <c r="X6" s="253" t="s">
        <v>541</v>
      </c>
      <c r="Y6" s="253" t="s">
        <v>541</v>
      </c>
      <c r="Z6" s="253"/>
      <c r="AA6" s="253">
        <v>2018.0</v>
      </c>
      <c r="AB6" s="253" t="s">
        <v>541</v>
      </c>
      <c r="AC6" s="253" t="s">
        <v>541</v>
      </c>
      <c r="AD6" s="253" t="s">
        <v>541</v>
      </c>
      <c r="AE6" s="253" t="s">
        <v>541</v>
      </c>
      <c r="AF6" s="253" t="s">
        <v>541</v>
      </c>
      <c r="AG6" s="253" t="s">
        <v>541</v>
      </c>
      <c r="AH6" s="163"/>
      <c r="AI6" s="246" t="s">
        <v>294</v>
      </c>
      <c r="AJ6" s="246">
        <v>2018.0</v>
      </c>
      <c r="AK6" s="246">
        <v>236.0</v>
      </c>
      <c r="AL6" s="246">
        <v>260.0</v>
      </c>
      <c r="AM6" s="246">
        <v>426.0</v>
      </c>
      <c r="AN6" s="246">
        <v>556.0</v>
      </c>
      <c r="AO6" s="246">
        <v>432.0</v>
      </c>
      <c r="AP6" s="246">
        <v>1910.0</v>
      </c>
      <c r="AQ6" s="246"/>
      <c r="AR6" s="246">
        <v>2018.0</v>
      </c>
      <c r="AS6" s="246">
        <v>30.0</v>
      </c>
      <c r="AT6" s="246">
        <v>1.0</v>
      </c>
      <c r="AU6" s="246">
        <v>0.0</v>
      </c>
      <c r="AV6" s="246">
        <v>1.0</v>
      </c>
      <c r="AW6" s="246">
        <v>0.0</v>
      </c>
      <c r="AX6" s="246">
        <v>32.0</v>
      </c>
      <c r="AY6" s="163"/>
      <c r="AZ6" s="254" t="s">
        <v>431</v>
      </c>
      <c r="BA6" s="254">
        <v>2018.0</v>
      </c>
      <c r="BB6" s="254">
        <v>335.0</v>
      </c>
      <c r="BC6" s="254">
        <v>296.0</v>
      </c>
      <c r="BD6" s="254">
        <v>423.0</v>
      </c>
      <c r="BE6" s="254">
        <v>474.0</v>
      </c>
      <c r="BF6" s="254">
        <v>372.0</v>
      </c>
      <c r="BG6" s="254">
        <v>1900.0</v>
      </c>
      <c r="BH6" s="254"/>
      <c r="BI6" s="254">
        <v>2018.0</v>
      </c>
      <c r="BJ6" s="254">
        <v>50.0</v>
      </c>
      <c r="BK6" s="254">
        <v>2.0</v>
      </c>
      <c r="BL6" s="254">
        <v>0.0</v>
      </c>
      <c r="BM6" s="254">
        <v>0.0</v>
      </c>
      <c r="BN6" s="254">
        <v>0.0</v>
      </c>
      <c r="BO6" s="254">
        <v>52.0</v>
      </c>
      <c r="BP6" s="163"/>
      <c r="BQ6" s="255" t="s">
        <v>359</v>
      </c>
      <c r="BR6" s="255">
        <v>2018.0</v>
      </c>
      <c r="BS6" s="255">
        <v>1967.0</v>
      </c>
      <c r="BT6" s="255">
        <v>1164.0</v>
      </c>
      <c r="BU6" s="255">
        <v>1129.0</v>
      </c>
      <c r="BV6" s="255">
        <v>1146.0</v>
      </c>
      <c r="BW6" s="255">
        <v>792.0</v>
      </c>
      <c r="BX6" s="255">
        <v>6198.0</v>
      </c>
      <c r="BY6" s="255"/>
      <c r="BZ6" s="255">
        <v>2018.0</v>
      </c>
      <c r="CA6" s="255">
        <v>524.0</v>
      </c>
      <c r="CB6" s="255">
        <v>4.0</v>
      </c>
      <c r="CC6" s="255">
        <v>0.0</v>
      </c>
      <c r="CD6" s="255">
        <v>0.0</v>
      </c>
      <c r="CE6" s="255">
        <v>0.0</v>
      </c>
      <c r="CF6" s="255">
        <v>528.0</v>
      </c>
      <c r="CG6" s="163"/>
      <c r="CH6" s="57" t="s">
        <v>970</v>
      </c>
      <c r="CI6" s="57">
        <v>2018.0</v>
      </c>
      <c r="CJ6" s="57">
        <v>1595.0</v>
      </c>
      <c r="CK6" s="57">
        <v>656.0</v>
      </c>
      <c r="CL6" s="57">
        <v>851.0</v>
      </c>
      <c r="CM6" s="57">
        <v>1022.0</v>
      </c>
      <c r="CN6" s="57">
        <v>879.0</v>
      </c>
      <c r="CO6" s="57">
        <v>5003.0</v>
      </c>
      <c r="CP6" s="57"/>
      <c r="CQ6" s="57">
        <v>2018.0</v>
      </c>
      <c r="CR6" s="57">
        <v>338.0</v>
      </c>
      <c r="CS6" s="57">
        <v>0.0</v>
      </c>
      <c r="CT6" s="57">
        <v>0.0</v>
      </c>
      <c r="CU6" s="57">
        <v>0.0</v>
      </c>
      <c r="CV6" s="57">
        <v>0.0</v>
      </c>
      <c r="CW6" s="57">
        <v>338.0</v>
      </c>
      <c r="CX6" s="163"/>
      <c r="CY6" s="256" t="s">
        <v>710</v>
      </c>
      <c r="CZ6" s="256">
        <v>2018.0</v>
      </c>
      <c r="DA6" s="256">
        <v>592.0</v>
      </c>
      <c r="DB6" s="256">
        <v>868.0</v>
      </c>
      <c r="DC6" s="256">
        <v>913.0</v>
      </c>
      <c r="DD6" s="256">
        <v>1047.0</v>
      </c>
      <c r="DE6" s="256">
        <v>976.0</v>
      </c>
      <c r="DF6" s="256">
        <v>4396.0</v>
      </c>
      <c r="DG6" s="256"/>
      <c r="DH6" s="256">
        <v>2018.0</v>
      </c>
      <c r="DI6" s="256">
        <v>12.0</v>
      </c>
      <c r="DJ6" s="256">
        <v>12.0</v>
      </c>
      <c r="DK6" s="256">
        <v>6.0</v>
      </c>
      <c r="DL6" s="256">
        <v>2.0</v>
      </c>
      <c r="DM6" s="256">
        <v>4.0</v>
      </c>
      <c r="DN6" s="256">
        <v>36.0</v>
      </c>
      <c r="DO6" s="163"/>
      <c r="DP6" s="49" t="s">
        <v>734</v>
      </c>
      <c r="DQ6" s="49">
        <v>2018.0</v>
      </c>
      <c r="DR6" s="49">
        <v>1078.0</v>
      </c>
      <c r="DS6" s="49">
        <v>550.0</v>
      </c>
      <c r="DT6" s="49">
        <v>540.0</v>
      </c>
      <c r="DU6" s="49">
        <v>540.0</v>
      </c>
      <c r="DV6" s="49">
        <v>399.0</v>
      </c>
      <c r="DW6" s="49">
        <v>3107.0</v>
      </c>
      <c r="DX6" s="49"/>
      <c r="DY6" s="49">
        <v>2018.0</v>
      </c>
      <c r="DZ6" s="49">
        <v>18.0</v>
      </c>
      <c r="EA6" s="49">
        <v>0.0</v>
      </c>
      <c r="EB6" s="49">
        <v>0.0</v>
      </c>
      <c r="EC6" s="49">
        <v>0.0</v>
      </c>
      <c r="ED6" s="49">
        <v>0.0</v>
      </c>
      <c r="EE6" s="49">
        <v>18.0</v>
      </c>
      <c r="EF6" s="163"/>
      <c r="EG6" s="57" t="s">
        <v>782</v>
      </c>
      <c r="EH6" s="57">
        <v>2018.0</v>
      </c>
      <c r="EI6" s="57" t="s">
        <v>541</v>
      </c>
      <c r="EJ6" s="57" t="s">
        <v>541</v>
      </c>
      <c r="EK6" s="57" t="s">
        <v>541</v>
      </c>
      <c r="EL6" s="57" t="s">
        <v>541</v>
      </c>
      <c r="EM6" s="57" t="s">
        <v>541</v>
      </c>
      <c r="EN6" s="57" t="s">
        <v>541</v>
      </c>
      <c r="EO6" s="57"/>
      <c r="EP6" s="57">
        <v>2018.0</v>
      </c>
      <c r="EQ6" s="57" t="s">
        <v>541</v>
      </c>
      <c r="ER6" s="57" t="s">
        <v>541</v>
      </c>
      <c r="ES6" s="57" t="s">
        <v>541</v>
      </c>
      <c r="ET6" s="57" t="s">
        <v>541</v>
      </c>
      <c r="EU6" s="57" t="s">
        <v>541</v>
      </c>
      <c r="EV6" s="57" t="s">
        <v>541</v>
      </c>
      <c r="EW6" s="163"/>
      <c r="EX6" s="255" t="s">
        <v>856</v>
      </c>
      <c r="EY6" s="255">
        <v>2018.0</v>
      </c>
      <c r="EZ6" s="255">
        <v>148.0</v>
      </c>
      <c r="FA6" s="255">
        <v>211.0</v>
      </c>
      <c r="FB6" s="255">
        <v>325.0</v>
      </c>
      <c r="FC6" s="255">
        <v>434.0</v>
      </c>
      <c r="FD6" s="255">
        <v>531.0</v>
      </c>
      <c r="FE6" s="255">
        <v>1649.0</v>
      </c>
      <c r="FF6" s="255"/>
      <c r="FG6" s="255">
        <v>2018.0</v>
      </c>
      <c r="FH6" s="255">
        <v>27.0</v>
      </c>
      <c r="FI6" s="255">
        <v>8.0</v>
      </c>
      <c r="FJ6" s="255">
        <v>9.0</v>
      </c>
      <c r="FK6" s="255">
        <v>13.0</v>
      </c>
      <c r="FL6" s="255">
        <v>10.0</v>
      </c>
      <c r="FM6" s="255">
        <v>67.0</v>
      </c>
    </row>
    <row r="7" ht="13.5" customHeight="1">
      <c r="A7" s="252" t="s">
        <v>1090</v>
      </c>
      <c r="B7" s="252">
        <v>2018.0</v>
      </c>
      <c r="C7" s="252" t="s">
        <v>541</v>
      </c>
      <c r="D7" s="252" t="s">
        <v>541</v>
      </c>
      <c r="E7" s="252" t="s">
        <v>541</v>
      </c>
      <c r="F7" s="252" t="s">
        <v>541</v>
      </c>
      <c r="G7" s="252" t="s">
        <v>541</v>
      </c>
      <c r="H7" s="252" t="s">
        <v>541</v>
      </c>
      <c r="I7" s="252"/>
      <c r="J7" s="252">
        <v>2018.0</v>
      </c>
      <c r="K7" s="252" t="s">
        <v>541</v>
      </c>
      <c r="L7" s="252" t="s">
        <v>541</v>
      </c>
      <c r="M7" s="252" t="s">
        <v>541</v>
      </c>
      <c r="N7" s="252" t="s">
        <v>541</v>
      </c>
      <c r="O7" s="252" t="s">
        <v>541</v>
      </c>
      <c r="P7" s="252" t="s">
        <v>541</v>
      </c>
      <c r="Q7" s="131"/>
      <c r="R7" s="253" t="s">
        <v>238</v>
      </c>
      <c r="S7" s="253">
        <v>2018.0</v>
      </c>
      <c r="T7" s="253" t="s">
        <v>541</v>
      </c>
      <c r="U7" s="253" t="s">
        <v>541</v>
      </c>
      <c r="V7" s="253" t="s">
        <v>541</v>
      </c>
      <c r="W7" s="253" t="s">
        <v>541</v>
      </c>
      <c r="X7" s="253" t="s">
        <v>541</v>
      </c>
      <c r="Y7" s="253" t="s">
        <v>541</v>
      </c>
      <c r="Z7" s="253"/>
      <c r="AA7" s="253">
        <v>2018.0</v>
      </c>
      <c r="AB7" s="253" t="s">
        <v>541</v>
      </c>
      <c r="AC7" s="253" t="s">
        <v>541</v>
      </c>
      <c r="AD7" s="253" t="s">
        <v>541</v>
      </c>
      <c r="AE7" s="253" t="s">
        <v>541</v>
      </c>
      <c r="AF7" s="253" t="s">
        <v>541</v>
      </c>
      <c r="AG7" s="253" t="s">
        <v>541</v>
      </c>
      <c r="AH7" s="163"/>
      <c r="AI7" s="246" t="s">
        <v>296</v>
      </c>
      <c r="AJ7" s="246">
        <v>2018.0</v>
      </c>
      <c r="AK7" s="246">
        <v>137.0</v>
      </c>
      <c r="AL7" s="246">
        <v>197.0</v>
      </c>
      <c r="AM7" s="246">
        <v>456.0</v>
      </c>
      <c r="AN7" s="246">
        <v>720.0</v>
      </c>
      <c r="AO7" s="246">
        <v>603.0</v>
      </c>
      <c r="AP7" s="246">
        <v>2113.0</v>
      </c>
      <c r="AQ7" s="246"/>
      <c r="AR7" s="246">
        <v>2018.0</v>
      </c>
      <c r="AS7" s="246">
        <v>19.0</v>
      </c>
      <c r="AT7" s="246">
        <v>0.0</v>
      </c>
      <c r="AU7" s="246">
        <v>1.0</v>
      </c>
      <c r="AV7" s="246">
        <v>0.0</v>
      </c>
      <c r="AW7" s="246">
        <v>0.0</v>
      </c>
      <c r="AX7" s="246">
        <v>20.0</v>
      </c>
      <c r="AY7" s="163"/>
      <c r="AZ7" s="254" t="s">
        <v>437</v>
      </c>
      <c r="BA7" s="254">
        <v>2018.0</v>
      </c>
      <c r="BB7" s="254">
        <v>325.0</v>
      </c>
      <c r="BC7" s="254">
        <v>293.0</v>
      </c>
      <c r="BD7" s="254">
        <v>376.0</v>
      </c>
      <c r="BE7" s="254">
        <v>360.0</v>
      </c>
      <c r="BF7" s="254">
        <v>321.0</v>
      </c>
      <c r="BG7" s="254">
        <v>1675.0</v>
      </c>
      <c r="BH7" s="254"/>
      <c r="BI7" s="254">
        <v>2018.0</v>
      </c>
      <c r="BJ7" s="254">
        <v>19.0</v>
      </c>
      <c r="BK7" s="254">
        <v>0.0</v>
      </c>
      <c r="BL7" s="254">
        <v>0.0</v>
      </c>
      <c r="BM7" s="254">
        <v>0.0</v>
      </c>
      <c r="BN7" s="254">
        <v>0.0</v>
      </c>
      <c r="BO7" s="254">
        <v>19.0</v>
      </c>
      <c r="BP7" s="163"/>
      <c r="BQ7" s="255" t="s">
        <v>363</v>
      </c>
      <c r="BR7" s="255">
        <v>2018.0</v>
      </c>
      <c r="BS7" s="255" t="s">
        <v>541</v>
      </c>
      <c r="BT7" s="255" t="s">
        <v>541</v>
      </c>
      <c r="BU7" s="255" t="s">
        <v>541</v>
      </c>
      <c r="BV7" s="255" t="s">
        <v>541</v>
      </c>
      <c r="BW7" s="255" t="s">
        <v>541</v>
      </c>
      <c r="BX7" s="255" t="s">
        <v>541</v>
      </c>
      <c r="BY7" s="255"/>
      <c r="BZ7" s="255">
        <v>2018.0</v>
      </c>
      <c r="CA7" s="255" t="s">
        <v>541</v>
      </c>
      <c r="CB7" s="255" t="s">
        <v>541</v>
      </c>
      <c r="CC7" s="255" t="s">
        <v>541</v>
      </c>
      <c r="CD7" s="255" t="s">
        <v>541</v>
      </c>
      <c r="CE7" s="255" t="s">
        <v>541</v>
      </c>
      <c r="CF7" s="255" t="s">
        <v>541</v>
      </c>
      <c r="CG7" s="163"/>
      <c r="CH7" s="57" t="s">
        <v>972</v>
      </c>
      <c r="CI7" s="57">
        <v>2018.0</v>
      </c>
      <c r="CJ7" s="57">
        <v>378.0</v>
      </c>
      <c r="CK7" s="57">
        <v>330.0</v>
      </c>
      <c r="CL7" s="57">
        <v>387.0</v>
      </c>
      <c r="CM7" s="57">
        <v>498.0</v>
      </c>
      <c r="CN7" s="57">
        <v>517.0</v>
      </c>
      <c r="CO7" s="57">
        <v>2110.0</v>
      </c>
      <c r="CP7" s="57"/>
      <c r="CQ7" s="57">
        <v>2018.0</v>
      </c>
      <c r="CR7" s="57">
        <v>103.0</v>
      </c>
      <c r="CS7" s="57">
        <v>2.0</v>
      </c>
      <c r="CT7" s="57">
        <v>0.0</v>
      </c>
      <c r="CU7" s="57">
        <v>0.0</v>
      </c>
      <c r="CV7" s="57">
        <v>0.0</v>
      </c>
      <c r="CW7" s="57">
        <v>105.0</v>
      </c>
      <c r="CX7" s="163"/>
      <c r="CY7" s="256" t="s">
        <v>712</v>
      </c>
      <c r="CZ7" s="256">
        <v>2018.0</v>
      </c>
      <c r="DA7" s="256" t="s">
        <v>541</v>
      </c>
      <c r="DB7" s="256" t="s">
        <v>541</v>
      </c>
      <c r="DC7" s="256" t="s">
        <v>541</v>
      </c>
      <c r="DD7" s="256" t="s">
        <v>541</v>
      </c>
      <c r="DE7" s="256" t="s">
        <v>541</v>
      </c>
      <c r="DF7" s="256" t="s">
        <v>541</v>
      </c>
      <c r="DG7" s="256"/>
      <c r="DH7" s="256">
        <v>2018.0</v>
      </c>
      <c r="DI7" s="256" t="s">
        <v>541</v>
      </c>
      <c r="DJ7" s="256" t="s">
        <v>541</v>
      </c>
      <c r="DK7" s="256" t="s">
        <v>541</v>
      </c>
      <c r="DL7" s="256" t="s">
        <v>541</v>
      </c>
      <c r="DM7" s="256" t="s">
        <v>541</v>
      </c>
      <c r="DN7" s="256" t="s">
        <v>541</v>
      </c>
      <c r="DO7" s="163"/>
      <c r="DP7" s="49" t="s">
        <v>736</v>
      </c>
      <c r="DQ7" s="49">
        <v>2018.0</v>
      </c>
      <c r="DR7" s="49">
        <v>142.0</v>
      </c>
      <c r="DS7" s="49">
        <v>177.0</v>
      </c>
      <c r="DT7" s="49">
        <v>241.0</v>
      </c>
      <c r="DU7" s="49">
        <v>273.0</v>
      </c>
      <c r="DV7" s="49">
        <v>249.0</v>
      </c>
      <c r="DW7" s="49">
        <v>1082.0</v>
      </c>
      <c r="DX7" s="49"/>
      <c r="DY7" s="49">
        <v>2018.0</v>
      </c>
      <c r="DZ7" s="49">
        <v>15.0</v>
      </c>
      <c r="EA7" s="49">
        <v>3.0</v>
      </c>
      <c r="EB7" s="49">
        <v>0.0</v>
      </c>
      <c r="EC7" s="49">
        <v>0.0</v>
      </c>
      <c r="ED7" s="49">
        <v>0.0</v>
      </c>
      <c r="EE7" s="49">
        <v>18.0</v>
      </c>
      <c r="EF7" s="163"/>
      <c r="EG7" s="57" t="s">
        <v>784</v>
      </c>
      <c r="EH7" s="57">
        <v>2018.0</v>
      </c>
      <c r="EI7" s="57" t="s">
        <v>541</v>
      </c>
      <c r="EJ7" s="57" t="s">
        <v>541</v>
      </c>
      <c r="EK7" s="57" t="s">
        <v>541</v>
      </c>
      <c r="EL7" s="57" t="s">
        <v>541</v>
      </c>
      <c r="EM7" s="57" t="s">
        <v>541</v>
      </c>
      <c r="EN7" s="57" t="s">
        <v>541</v>
      </c>
      <c r="EO7" s="57"/>
      <c r="EP7" s="57">
        <v>2018.0</v>
      </c>
      <c r="EQ7" s="57" t="s">
        <v>541</v>
      </c>
      <c r="ER7" s="57" t="s">
        <v>541</v>
      </c>
      <c r="ES7" s="57" t="s">
        <v>541</v>
      </c>
      <c r="ET7" s="57" t="s">
        <v>541</v>
      </c>
      <c r="EU7" s="57" t="s">
        <v>541</v>
      </c>
      <c r="EV7" s="57" t="s">
        <v>541</v>
      </c>
      <c r="EW7" s="163"/>
      <c r="EX7" s="255" t="s">
        <v>858</v>
      </c>
      <c r="EY7" s="255">
        <v>2018.0</v>
      </c>
      <c r="EZ7" s="255">
        <v>125.0</v>
      </c>
      <c r="FA7" s="255">
        <v>240.0</v>
      </c>
      <c r="FB7" s="255">
        <v>308.0</v>
      </c>
      <c r="FC7" s="255">
        <v>385.0</v>
      </c>
      <c r="FD7" s="255">
        <v>478.0</v>
      </c>
      <c r="FE7" s="255">
        <v>1536.0</v>
      </c>
      <c r="FF7" s="255"/>
      <c r="FG7" s="255">
        <v>2018.0</v>
      </c>
      <c r="FH7" s="255">
        <v>15.0</v>
      </c>
      <c r="FI7" s="255">
        <v>8.0</v>
      </c>
      <c r="FJ7" s="255">
        <v>8.0</v>
      </c>
      <c r="FK7" s="255">
        <v>7.0</v>
      </c>
      <c r="FL7" s="255">
        <v>8.0</v>
      </c>
      <c r="FM7" s="255">
        <v>46.0</v>
      </c>
    </row>
    <row r="8" ht="13.5" customHeight="1">
      <c r="A8" s="252" t="s">
        <v>1093</v>
      </c>
      <c r="B8" s="252">
        <v>2018.0</v>
      </c>
      <c r="C8" s="252" t="s">
        <v>541</v>
      </c>
      <c r="D8" s="252" t="s">
        <v>541</v>
      </c>
      <c r="E8" s="252" t="s">
        <v>541</v>
      </c>
      <c r="F8" s="252" t="s">
        <v>541</v>
      </c>
      <c r="G8" s="252" t="s">
        <v>541</v>
      </c>
      <c r="H8" s="252" t="s">
        <v>541</v>
      </c>
      <c r="I8" s="252"/>
      <c r="J8" s="252">
        <v>2018.0</v>
      </c>
      <c r="K8" s="252" t="s">
        <v>541</v>
      </c>
      <c r="L8" s="252" t="s">
        <v>541</v>
      </c>
      <c r="M8" s="252" t="s">
        <v>541</v>
      </c>
      <c r="N8" s="252" t="s">
        <v>541</v>
      </c>
      <c r="O8" s="252" t="s">
        <v>541</v>
      </c>
      <c r="P8" s="252" t="s">
        <v>541</v>
      </c>
      <c r="Q8" s="131"/>
      <c r="R8" s="253" t="s">
        <v>240</v>
      </c>
      <c r="S8" s="253">
        <v>2018.0</v>
      </c>
      <c r="T8" s="253" t="s">
        <v>541</v>
      </c>
      <c r="U8" s="253" t="s">
        <v>541</v>
      </c>
      <c r="V8" s="253" t="s">
        <v>541</v>
      </c>
      <c r="W8" s="253" t="s">
        <v>541</v>
      </c>
      <c r="X8" s="253" t="s">
        <v>541</v>
      </c>
      <c r="Y8" s="253" t="s">
        <v>541</v>
      </c>
      <c r="Z8" s="253"/>
      <c r="AA8" s="253">
        <v>2018.0</v>
      </c>
      <c r="AB8" s="253" t="s">
        <v>541</v>
      </c>
      <c r="AC8" s="253" t="s">
        <v>541</v>
      </c>
      <c r="AD8" s="253" t="s">
        <v>541</v>
      </c>
      <c r="AE8" s="253" t="s">
        <v>541</v>
      </c>
      <c r="AF8" s="253" t="s">
        <v>541</v>
      </c>
      <c r="AG8" s="253" t="s">
        <v>541</v>
      </c>
      <c r="AH8" s="163"/>
      <c r="AI8" s="246" t="s">
        <v>298</v>
      </c>
      <c r="AJ8" s="246">
        <v>2018.0</v>
      </c>
      <c r="AK8" s="246">
        <v>368.0</v>
      </c>
      <c r="AL8" s="246">
        <v>633.0</v>
      </c>
      <c r="AM8" s="246">
        <v>995.0</v>
      </c>
      <c r="AN8" s="246">
        <v>1079.0</v>
      </c>
      <c r="AO8" s="246">
        <v>739.0</v>
      </c>
      <c r="AP8" s="246">
        <v>3814.0</v>
      </c>
      <c r="AQ8" s="246"/>
      <c r="AR8" s="246">
        <v>2018.0</v>
      </c>
      <c r="AS8" s="246">
        <v>31.0</v>
      </c>
      <c r="AT8" s="246">
        <v>0.0</v>
      </c>
      <c r="AU8" s="246">
        <v>0.0</v>
      </c>
      <c r="AV8" s="246">
        <v>0.0</v>
      </c>
      <c r="AW8" s="246">
        <v>0.0</v>
      </c>
      <c r="AX8" s="246">
        <v>31.0</v>
      </c>
      <c r="AY8" s="163"/>
      <c r="AZ8" s="254" t="s">
        <v>443</v>
      </c>
      <c r="BA8" s="254">
        <v>2018.0</v>
      </c>
      <c r="BB8" s="254">
        <v>369.0</v>
      </c>
      <c r="BC8" s="254">
        <v>293.0</v>
      </c>
      <c r="BD8" s="254">
        <v>437.0</v>
      </c>
      <c r="BE8" s="254">
        <v>550.0</v>
      </c>
      <c r="BF8" s="254">
        <v>498.0</v>
      </c>
      <c r="BG8" s="254">
        <v>2147.0</v>
      </c>
      <c r="BH8" s="254"/>
      <c r="BI8" s="254">
        <v>2018.0</v>
      </c>
      <c r="BJ8" s="254">
        <v>52.0</v>
      </c>
      <c r="BK8" s="254">
        <v>0.0</v>
      </c>
      <c r="BL8" s="254">
        <v>0.0</v>
      </c>
      <c r="BM8" s="254">
        <v>0.0</v>
      </c>
      <c r="BN8" s="254">
        <v>0.0</v>
      </c>
      <c r="BO8" s="254">
        <v>52.0</v>
      </c>
      <c r="BP8" s="163"/>
      <c r="BQ8" s="255" t="s">
        <v>612</v>
      </c>
      <c r="BR8" s="255">
        <v>2018.0</v>
      </c>
      <c r="BS8" s="255" t="s">
        <v>541</v>
      </c>
      <c r="BT8" s="255" t="s">
        <v>541</v>
      </c>
      <c r="BU8" s="255" t="s">
        <v>541</v>
      </c>
      <c r="BV8" s="255" t="s">
        <v>541</v>
      </c>
      <c r="BW8" s="255" t="s">
        <v>541</v>
      </c>
      <c r="BX8" s="255" t="s">
        <v>541</v>
      </c>
      <c r="BY8" s="255"/>
      <c r="BZ8" s="255">
        <v>2018.0</v>
      </c>
      <c r="CA8" s="255" t="s">
        <v>541</v>
      </c>
      <c r="CB8" s="255" t="s">
        <v>541</v>
      </c>
      <c r="CC8" s="255" t="s">
        <v>541</v>
      </c>
      <c r="CD8" s="255" t="s">
        <v>541</v>
      </c>
      <c r="CE8" s="255" t="s">
        <v>541</v>
      </c>
      <c r="CF8" s="255" t="s">
        <v>541</v>
      </c>
      <c r="CG8" s="163"/>
      <c r="CH8" s="57" t="s">
        <v>976</v>
      </c>
      <c r="CI8" s="57">
        <v>2018.0</v>
      </c>
      <c r="CJ8" s="57">
        <v>437.0</v>
      </c>
      <c r="CK8" s="57">
        <v>236.0</v>
      </c>
      <c r="CL8" s="57">
        <v>396.0</v>
      </c>
      <c r="CM8" s="57">
        <v>621.0</v>
      </c>
      <c r="CN8" s="57">
        <v>548.0</v>
      </c>
      <c r="CO8" s="57">
        <v>2238.0</v>
      </c>
      <c r="CP8" s="57"/>
      <c r="CQ8" s="57">
        <v>2018.0</v>
      </c>
      <c r="CR8" s="57">
        <v>160.0</v>
      </c>
      <c r="CS8" s="57">
        <v>0.0</v>
      </c>
      <c r="CT8" s="57">
        <v>0.0</v>
      </c>
      <c r="CU8" s="57">
        <v>0.0</v>
      </c>
      <c r="CV8" s="57">
        <v>0.0</v>
      </c>
      <c r="CW8" s="57">
        <v>160.0</v>
      </c>
      <c r="CX8" s="163"/>
      <c r="CY8" s="256" t="s">
        <v>714</v>
      </c>
      <c r="CZ8" s="256">
        <v>2018.0</v>
      </c>
      <c r="DA8" s="256">
        <v>1418.0</v>
      </c>
      <c r="DB8" s="256">
        <v>1677.0</v>
      </c>
      <c r="DC8" s="256">
        <v>2014.0</v>
      </c>
      <c r="DD8" s="256">
        <v>2106.0</v>
      </c>
      <c r="DE8" s="256">
        <v>1696.0</v>
      </c>
      <c r="DF8" s="256">
        <v>8911.0</v>
      </c>
      <c r="DG8" s="256"/>
      <c r="DH8" s="256">
        <v>2018.0</v>
      </c>
      <c r="DI8" s="256">
        <v>84.0</v>
      </c>
      <c r="DJ8" s="256">
        <v>40.0</v>
      </c>
      <c r="DK8" s="256">
        <v>12.0</v>
      </c>
      <c r="DL8" s="256">
        <v>5.0</v>
      </c>
      <c r="DM8" s="256">
        <v>3.0</v>
      </c>
      <c r="DN8" s="256">
        <v>144.0</v>
      </c>
      <c r="DO8" s="163"/>
      <c r="DP8" s="49" t="s">
        <v>738</v>
      </c>
      <c r="DQ8" s="49">
        <v>2018.0</v>
      </c>
      <c r="DR8" s="49">
        <v>277.0</v>
      </c>
      <c r="DS8" s="49">
        <v>403.0</v>
      </c>
      <c r="DT8" s="49">
        <v>407.0</v>
      </c>
      <c r="DU8" s="49">
        <v>503.0</v>
      </c>
      <c r="DV8" s="49">
        <v>496.0</v>
      </c>
      <c r="DW8" s="49">
        <v>2086.0</v>
      </c>
      <c r="DX8" s="49"/>
      <c r="DY8" s="49">
        <v>2018.0</v>
      </c>
      <c r="DZ8" s="49">
        <v>25.0</v>
      </c>
      <c r="EA8" s="49">
        <v>0.0</v>
      </c>
      <c r="EB8" s="49">
        <v>0.0</v>
      </c>
      <c r="EC8" s="49">
        <v>0.0</v>
      </c>
      <c r="ED8" s="49">
        <v>0.0</v>
      </c>
      <c r="EE8" s="49">
        <v>25.0</v>
      </c>
      <c r="EF8" s="163"/>
      <c r="EG8" s="57" t="s">
        <v>786</v>
      </c>
      <c r="EH8" s="57">
        <v>2018.0</v>
      </c>
      <c r="EI8" s="57" t="s">
        <v>541</v>
      </c>
      <c r="EJ8" s="57" t="s">
        <v>541</v>
      </c>
      <c r="EK8" s="57" t="s">
        <v>541</v>
      </c>
      <c r="EL8" s="57" t="s">
        <v>541</v>
      </c>
      <c r="EM8" s="57" t="s">
        <v>541</v>
      </c>
      <c r="EN8" s="57" t="s">
        <v>541</v>
      </c>
      <c r="EO8" s="57"/>
      <c r="EP8" s="57">
        <v>2018.0</v>
      </c>
      <c r="EQ8" s="57" t="s">
        <v>541</v>
      </c>
      <c r="ER8" s="57" t="s">
        <v>541</v>
      </c>
      <c r="ES8" s="57" t="s">
        <v>541</v>
      </c>
      <c r="ET8" s="57" t="s">
        <v>541</v>
      </c>
      <c r="EU8" s="57" t="s">
        <v>541</v>
      </c>
      <c r="EV8" s="57" t="s">
        <v>541</v>
      </c>
      <c r="EW8" s="163"/>
      <c r="EX8" s="255" t="s">
        <v>860</v>
      </c>
      <c r="EY8" s="255">
        <v>2018.0</v>
      </c>
      <c r="EZ8" s="255" t="s">
        <v>541</v>
      </c>
      <c r="FA8" s="255" t="s">
        <v>541</v>
      </c>
      <c r="FB8" s="255" t="s">
        <v>541</v>
      </c>
      <c r="FC8" s="255" t="s">
        <v>541</v>
      </c>
      <c r="FD8" s="255" t="s">
        <v>541</v>
      </c>
      <c r="FE8" s="255" t="s">
        <v>541</v>
      </c>
      <c r="FF8" s="255"/>
      <c r="FG8" s="255">
        <v>2018.0</v>
      </c>
      <c r="FH8" s="255" t="s">
        <v>541</v>
      </c>
      <c r="FI8" s="255" t="s">
        <v>541</v>
      </c>
      <c r="FJ8" s="255" t="s">
        <v>541</v>
      </c>
      <c r="FK8" s="255" t="s">
        <v>541</v>
      </c>
      <c r="FL8" s="255" t="s">
        <v>541</v>
      </c>
      <c r="FM8" s="255" t="s">
        <v>541</v>
      </c>
    </row>
    <row r="9" ht="13.5" customHeight="1">
      <c r="A9" s="252" t="s">
        <v>1096</v>
      </c>
      <c r="B9" s="252">
        <v>2018.0</v>
      </c>
      <c r="C9" s="252" t="s">
        <v>541</v>
      </c>
      <c r="D9" s="252" t="s">
        <v>541</v>
      </c>
      <c r="E9" s="252" t="s">
        <v>541</v>
      </c>
      <c r="F9" s="252" t="s">
        <v>541</v>
      </c>
      <c r="G9" s="252" t="s">
        <v>541</v>
      </c>
      <c r="H9" s="252" t="s">
        <v>541</v>
      </c>
      <c r="I9" s="252"/>
      <c r="J9" s="252">
        <v>2018.0</v>
      </c>
      <c r="K9" s="252" t="s">
        <v>541</v>
      </c>
      <c r="L9" s="252" t="s">
        <v>541</v>
      </c>
      <c r="M9" s="252" t="s">
        <v>541</v>
      </c>
      <c r="N9" s="252" t="s">
        <v>541</v>
      </c>
      <c r="O9" s="252" t="s">
        <v>541</v>
      </c>
      <c r="P9" s="252" t="s">
        <v>541</v>
      </c>
      <c r="Q9" s="131"/>
      <c r="R9" s="253" t="s">
        <v>242</v>
      </c>
      <c r="S9" s="253">
        <v>2018.0</v>
      </c>
      <c r="T9" s="253">
        <v>292.0</v>
      </c>
      <c r="U9" s="253">
        <v>147.0</v>
      </c>
      <c r="V9" s="253">
        <v>221.0</v>
      </c>
      <c r="W9" s="253">
        <v>264.0</v>
      </c>
      <c r="X9" s="253">
        <v>249.0</v>
      </c>
      <c r="Y9" s="253">
        <v>1173.0</v>
      </c>
      <c r="Z9" s="253"/>
      <c r="AA9" s="253">
        <v>2018.0</v>
      </c>
      <c r="AB9" s="253">
        <v>14.0</v>
      </c>
      <c r="AC9" s="253">
        <v>0.0</v>
      </c>
      <c r="AD9" s="253">
        <v>0.0</v>
      </c>
      <c r="AE9" s="253">
        <v>0.0</v>
      </c>
      <c r="AF9" s="253">
        <v>0.0</v>
      </c>
      <c r="AG9" s="253">
        <v>14.0</v>
      </c>
      <c r="AH9" s="163"/>
      <c r="AI9" s="246" t="s">
        <v>300</v>
      </c>
      <c r="AJ9" s="246">
        <v>2018.0</v>
      </c>
      <c r="AK9" s="246">
        <v>203.0</v>
      </c>
      <c r="AL9" s="246">
        <v>223.0</v>
      </c>
      <c r="AM9" s="246">
        <v>422.0</v>
      </c>
      <c r="AN9" s="246">
        <v>599.0</v>
      </c>
      <c r="AO9" s="246">
        <v>552.0</v>
      </c>
      <c r="AP9" s="246">
        <v>1999.0</v>
      </c>
      <c r="AQ9" s="246"/>
      <c r="AR9" s="246">
        <v>2018.0</v>
      </c>
      <c r="AS9" s="246">
        <v>52.0</v>
      </c>
      <c r="AT9" s="246">
        <v>0.0</v>
      </c>
      <c r="AU9" s="246">
        <v>0.0</v>
      </c>
      <c r="AV9" s="246">
        <v>0.0</v>
      </c>
      <c r="AW9" s="246">
        <v>0.0</v>
      </c>
      <c r="AX9" s="246">
        <v>52.0</v>
      </c>
      <c r="AY9" s="163"/>
      <c r="AZ9" s="254" t="s">
        <v>447</v>
      </c>
      <c r="BA9" s="254">
        <v>2018.0</v>
      </c>
      <c r="BB9" s="254">
        <v>456.0</v>
      </c>
      <c r="BC9" s="254">
        <v>345.0</v>
      </c>
      <c r="BD9" s="254">
        <v>451.0</v>
      </c>
      <c r="BE9" s="254">
        <v>583.0</v>
      </c>
      <c r="BF9" s="254">
        <v>585.0</v>
      </c>
      <c r="BG9" s="254">
        <v>2420.0</v>
      </c>
      <c r="BH9" s="254"/>
      <c r="BI9" s="254">
        <v>2018.0</v>
      </c>
      <c r="BJ9" s="254">
        <v>25.0</v>
      </c>
      <c r="BK9" s="254">
        <v>0.0</v>
      </c>
      <c r="BL9" s="254">
        <v>0.0</v>
      </c>
      <c r="BM9" s="254">
        <v>0.0</v>
      </c>
      <c r="BN9" s="254">
        <v>0.0</v>
      </c>
      <c r="BO9" s="254">
        <v>25.0</v>
      </c>
      <c r="BP9" s="163"/>
      <c r="BQ9" s="255" t="s">
        <v>615</v>
      </c>
      <c r="BR9" s="255">
        <v>2018.0</v>
      </c>
      <c r="BS9" s="255">
        <v>1492.0</v>
      </c>
      <c r="BT9" s="255">
        <v>552.0</v>
      </c>
      <c r="BU9" s="255">
        <v>695.0</v>
      </c>
      <c r="BV9" s="255">
        <v>951.0</v>
      </c>
      <c r="BW9" s="255">
        <v>841.0</v>
      </c>
      <c r="BX9" s="255">
        <v>4531.0</v>
      </c>
      <c r="BY9" s="255"/>
      <c r="BZ9" s="255">
        <v>2018.0</v>
      </c>
      <c r="CA9" s="255">
        <v>350.0</v>
      </c>
      <c r="CB9" s="255">
        <v>0.0</v>
      </c>
      <c r="CC9" s="255">
        <v>0.0</v>
      </c>
      <c r="CD9" s="255">
        <v>0.0</v>
      </c>
      <c r="CE9" s="255">
        <v>0.0</v>
      </c>
      <c r="CF9" s="255">
        <v>350.0</v>
      </c>
      <c r="CG9" s="163"/>
      <c r="CH9" s="57" t="s">
        <v>978</v>
      </c>
      <c r="CI9" s="57">
        <v>2018.0</v>
      </c>
      <c r="CJ9" s="57">
        <v>60.0</v>
      </c>
      <c r="CK9" s="57">
        <v>50.0</v>
      </c>
      <c r="CL9" s="57">
        <v>115.0</v>
      </c>
      <c r="CM9" s="57">
        <v>171.0</v>
      </c>
      <c r="CN9" s="57">
        <v>188.0</v>
      </c>
      <c r="CO9" s="57">
        <v>584.0</v>
      </c>
      <c r="CP9" s="57"/>
      <c r="CQ9" s="57">
        <v>2018.0</v>
      </c>
      <c r="CR9" s="57">
        <v>19.0</v>
      </c>
      <c r="CS9" s="57">
        <v>0.0</v>
      </c>
      <c r="CT9" s="57">
        <v>0.0</v>
      </c>
      <c r="CU9" s="57">
        <v>0.0</v>
      </c>
      <c r="CV9" s="57">
        <v>0.0</v>
      </c>
      <c r="CW9" s="57">
        <v>19.0</v>
      </c>
      <c r="CX9" s="163"/>
      <c r="CY9" s="256" t="s">
        <v>716</v>
      </c>
      <c r="CZ9" s="256">
        <v>2018.0</v>
      </c>
      <c r="DA9" s="256">
        <v>342.0</v>
      </c>
      <c r="DB9" s="256">
        <v>361.0</v>
      </c>
      <c r="DC9" s="256">
        <v>435.0</v>
      </c>
      <c r="DD9" s="256">
        <v>434.0</v>
      </c>
      <c r="DE9" s="256">
        <v>381.0</v>
      </c>
      <c r="DF9" s="256">
        <v>1953.0</v>
      </c>
      <c r="DG9" s="256"/>
      <c r="DH9" s="256">
        <v>2018.0</v>
      </c>
      <c r="DI9" s="256">
        <v>18.0</v>
      </c>
      <c r="DJ9" s="256">
        <v>9.0</v>
      </c>
      <c r="DK9" s="256">
        <v>1.0</v>
      </c>
      <c r="DL9" s="256">
        <v>0.0</v>
      </c>
      <c r="DM9" s="256">
        <v>0.0</v>
      </c>
      <c r="DN9" s="256">
        <v>28.0</v>
      </c>
      <c r="DO9" s="163"/>
      <c r="DP9" s="49" t="s">
        <v>741</v>
      </c>
      <c r="DQ9" s="49">
        <v>2018.0</v>
      </c>
      <c r="DR9" s="49">
        <v>256.0</v>
      </c>
      <c r="DS9" s="49">
        <v>303.0</v>
      </c>
      <c r="DT9" s="49">
        <v>432.0</v>
      </c>
      <c r="DU9" s="49">
        <v>544.0</v>
      </c>
      <c r="DV9" s="49">
        <v>500.0</v>
      </c>
      <c r="DW9" s="49">
        <v>2035.0</v>
      </c>
      <c r="DX9" s="49"/>
      <c r="DY9" s="49">
        <v>2018.0</v>
      </c>
      <c r="DZ9" s="49">
        <v>27.0</v>
      </c>
      <c r="EA9" s="49">
        <v>0.0</v>
      </c>
      <c r="EB9" s="49">
        <v>0.0</v>
      </c>
      <c r="EC9" s="49">
        <v>0.0</v>
      </c>
      <c r="ED9" s="49">
        <v>0.0</v>
      </c>
      <c r="EE9" s="49">
        <v>27.0</v>
      </c>
      <c r="EF9" s="163"/>
      <c r="EG9" s="57" t="s">
        <v>788</v>
      </c>
      <c r="EH9" s="57">
        <v>2018.0</v>
      </c>
      <c r="EI9" s="57">
        <v>275.0</v>
      </c>
      <c r="EJ9" s="57">
        <v>358.0</v>
      </c>
      <c r="EK9" s="57">
        <v>396.0</v>
      </c>
      <c r="EL9" s="57">
        <v>502.0</v>
      </c>
      <c r="EM9" s="57">
        <v>603.0</v>
      </c>
      <c r="EN9" s="57">
        <v>2134.0</v>
      </c>
      <c r="EO9" s="57"/>
      <c r="EP9" s="57">
        <v>2018.0</v>
      </c>
      <c r="EQ9" s="57">
        <v>92.0</v>
      </c>
      <c r="ER9" s="57">
        <v>73.0</v>
      </c>
      <c r="ES9" s="57">
        <v>35.0</v>
      </c>
      <c r="ET9" s="57">
        <v>25.0</v>
      </c>
      <c r="EU9" s="57">
        <v>0.0</v>
      </c>
      <c r="EV9" s="57">
        <v>225.0</v>
      </c>
      <c r="EW9" s="163"/>
      <c r="EX9" s="255" t="s">
        <v>862</v>
      </c>
      <c r="EY9" s="255">
        <v>2018.0</v>
      </c>
      <c r="EZ9" s="255">
        <v>757.0</v>
      </c>
      <c r="FA9" s="255">
        <v>804.0</v>
      </c>
      <c r="FB9" s="255">
        <v>847.0</v>
      </c>
      <c r="FC9" s="255">
        <v>815.0</v>
      </c>
      <c r="FD9" s="255">
        <v>1091.0</v>
      </c>
      <c r="FE9" s="255">
        <v>4314.0</v>
      </c>
      <c r="FF9" s="255"/>
      <c r="FG9" s="255">
        <v>2018.0</v>
      </c>
      <c r="FH9" s="255">
        <v>147.0</v>
      </c>
      <c r="FI9" s="255">
        <v>0.0</v>
      </c>
      <c r="FJ9" s="255">
        <v>0.0</v>
      </c>
      <c r="FK9" s="255">
        <v>0.0</v>
      </c>
      <c r="FL9" s="255">
        <v>0.0</v>
      </c>
      <c r="FM9" s="255">
        <v>147.0</v>
      </c>
    </row>
    <row r="10" ht="13.5" customHeight="1">
      <c r="A10" s="252" t="s">
        <v>1099</v>
      </c>
      <c r="B10" s="252">
        <v>2018.0</v>
      </c>
      <c r="C10" s="252" t="s">
        <v>541</v>
      </c>
      <c r="D10" s="252" t="s">
        <v>541</v>
      </c>
      <c r="E10" s="252" t="s">
        <v>541</v>
      </c>
      <c r="F10" s="252" t="s">
        <v>541</v>
      </c>
      <c r="G10" s="252" t="s">
        <v>541</v>
      </c>
      <c r="H10" s="252" t="s">
        <v>541</v>
      </c>
      <c r="I10" s="252"/>
      <c r="J10" s="252">
        <v>2018.0</v>
      </c>
      <c r="K10" s="252" t="s">
        <v>541</v>
      </c>
      <c r="L10" s="252" t="s">
        <v>541</v>
      </c>
      <c r="M10" s="252" t="s">
        <v>541</v>
      </c>
      <c r="N10" s="252" t="s">
        <v>541</v>
      </c>
      <c r="O10" s="252" t="s">
        <v>541</v>
      </c>
      <c r="P10" s="252" t="s">
        <v>541</v>
      </c>
      <c r="Q10" s="131"/>
      <c r="R10" s="253" t="s">
        <v>244</v>
      </c>
      <c r="S10" s="253">
        <v>2018.0</v>
      </c>
      <c r="T10" s="253">
        <v>314.0</v>
      </c>
      <c r="U10" s="253">
        <v>349.0</v>
      </c>
      <c r="V10" s="253">
        <v>493.0</v>
      </c>
      <c r="W10" s="253">
        <v>504.0</v>
      </c>
      <c r="X10" s="253">
        <v>347.0</v>
      </c>
      <c r="Y10" s="253">
        <v>2007.0</v>
      </c>
      <c r="Z10" s="253"/>
      <c r="AA10" s="253">
        <v>2018.0</v>
      </c>
      <c r="AB10" s="253">
        <v>33.0</v>
      </c>
      <c r="AC10" s="253">
        <v>4.0</v>
      </c>
      <c r="AD10" s="253">
        <v>0.0</v>
      </c>
      <c r="AE10" s="253">
        <v>0.0</v>
      </c>
      <c r="AF10" s="253">
        <v>0.0</v>
      </c>
      <c r="AG10" s="253">
        <v>37.0</v>
      </c>
      <c r="AH10" s="163"/>
      <c r="AI10" s="246" t="s">
        <v>302</v>
      </c>
      <c r="AJ10" s="246">
        <v>2018.0</v>
      </c>
      <c r="AK10" s="246">
        <v>741.0</v>
      </c>
      <c r="AL10" s="246">
        <v>538.0</v>
      </c>
      <c r="AM10" s="246">
        <v>622.0</v>
      </c>
      <c r="AN10" s="246">
        <v>640.0</v>
      </c>
      <c r="AO10" s="246">
        <v>502.0</v>
      </c>
      <c r="AP10" s="246">
        <v>3043.0</v>
      </c>
      <c r="AQ10" s="246"/>
      <c r="AR10" s="246">
        <v>2018.0</v>
      </c>
      <c r="AS10" s="246">
        <v>81.0</v>
      </c>
      <c r="AT10" s="246">
        <v>9.0</v>
      </c>
      <c r="AU10" s="246">
        <v>2.0</v>
      </c>
      <c r="AV10" s="246">
        <v>0.0</v>
      </c>
      <c r="AW10" s="246">
        <v>1.0</v>
      </c>
      <c r="AX10" s="246">
        <v>93.0</v>
      </c>
      <c r="AY10" s="163"/>
      <c r="AZ10" s="254" t="s">
        <v>452</v>
      </c>
      <c r="BA10" s="254">
        <v>2018.0</v>
      </c>
      <c r="BB10" s="254">
        <v>199.0</v>
      </c>
      <c r="BC10" s="254">
        <v>226.0</v>
      </c>
      <c r="BD10" s="254">
        <v>416.0</v>
      </c>
      <c r="BE10" s="254">
        <v>567.0</v>
      </c>
      <c r="BF10" s="254">
        <v>512.0</v>
      </c>
      <c r="BG10" s="254">
        <v>1920.0</v>
      </c>
      <c r="BH10" s="254"/>
      <c r="BI10" s="254">
        <v>2018.0</v>
      </c>
      <c r="BJ10" s="254">
        <v>20.0</v>
      </c>
      <c r="BK10" s="254">
        <v>0.0</v>
      </c>
      <c r="BL10" s="254">
        <v>0.0</v>
      </c>
      <c r="BM10" s="254">
        <v>0.0</v>
      </c>
      <c r="BN10" s="254">
        <v>0.0</v>
      </c>
      <c r="BO10" s="254">
        <v>20.0</v>
      </c>
      <c r="BP10" s="163"/>
      <c r="BQ10" s="255" t="s">
        <v>620</v>
      </c>
      <c r="BR10" s="255">
        <v>2018.0</v>
      </c>
      <c r="BS10" s="255">
        <v>51.0</v>
      </c>
      <c r="BT10" s="255">
        <v>128.0</v>
      </c>
      <c r="BU10" s="255">
        <v>231.0</v>
      </c>
      <c r="BV10" s="255">
        <v>352.0</v>
      </c>
      <c r="BW10" s="255">
        <v>324.0</v>
      </c>
      <c r="BX10" s="255">
        <v>1086.0</v>
      </c>
      <c r="BY10" s="255"/>
      <c r="BZ10" s="255">
        <v>2018.0</v>
      </c>
      <c r="CA10" s="255">
        <v>7.0</v>
      </c>
      <c r="CB10" s="255">
        <v>0.0</v>
      </c>
      <c r="CC10" s="255">
        <v>0.0</v>
      </c>
      <c r="CD10" s="255">
        <v>0.0</v>
      </c>
      <c r="CE10" s="255">
        <v>0.0</v>
      </c>
      <c r="CF10" s="255">
        <v>7.0</v>
      </c>
      <c r="CG10" s="163"/>
      <c r="CH10" s="57" t="s">
        <v>683</v>
      </c>
      <c r="CI10" s="57">
        <v>2018.0</v>
      </c>
      <c r="CJ10" s="57">
        <v>105.0</v>
      </c>
      <c r="CK10" s="57">
        <v>71.0</v>
      </c>
      <c r="CL10" s="57">
        <v>171.0</v>
      </c>
      <c r="CM10" s="57">
        <v>246.0</v>
      </c>
      <c r="CN10" s="57">
        <v>283.0</v>
      </c>
      <c r="CO10" s="57">
        <v>876.0</v>
      </c>
      <c r="CP10" s="57"/>
      <c r="CQ10" s="57">
        <v>2018.0</v>
      </c>
      <c r="CR10" s="57">
        <v>20.0</v>
      </c>
      <c r="CS10" s="57">
        <v>0.0</v>
      </c>
      <c r="CT10" s="57">
        <v>0.0</v>
      </c>
      <c r="CU10" s="57">
        <v>0.0</v>
      </c>
      <c r="CV10" s="57">
        <v>0.0</v>
      </c>
      <c r="CW10" s="57">
        <v>20.0</v>
      </c>
      <c r="CX10" s="163"/>
      <c r="CY10" s="256" t="s">
        <v>718</v>
      </c>
      <c r="CZ10" s="256">
        <v>2018.0</v>
      </c>
      <c r="DA10" s="256">
        <v>373.0</v>
      </c>
      <c r="DB10" s="256">
        <v>680.0</v>
      </c>
      <c r="DC10" s="256">
        <v>1050.0</v>
      </c>
      <c r="DD10" s="256">
        <v>1158.0</v>
      </c>
      <c r="DE10" s="256">
        <v>862.0</v>
      </c>
      <c r="DF10" s="256">
        <v>4123.0</v>
      </c>
      <c r="DG10" s="256"/>
      <c r="DH10" s="256">
        <v>2018.0</v>
      </c>
      <c r="DI10" s="256">
        <v>14.0</v>
      </c>
      <c r="DJ10" s="256">
        <v>9.0</v>
      </c>
      <c r="DK10" s="256">
        <v>3.0</v>
      </c>
      <c r="DL10" s="256">
        <v>0.0</v>
      </c>
      <c r="DM10" s="256">
        <v>0.0</v>
      </c>
      <c r="DN10" s="256">
        <v>26.0</v>
      </c>
      <c r="DO10" s="163"/>
      <c r="DP10" s="49" t="s">
        <v>743</v>
      </c>
      <c r="DQ10" s="49">
        <v>2018.0</v>
      </c>
      <c r="DR10" s="49">
        <v>1548.0</v>
      </c>
      <c r="DS10" s="49">
        <v>1033.0</v>
      </c>
      <c r="DT10" s="49">
        <v>1349.0</v>
      </c>
      <c r="DU10" s="49">
        <v>1468.0</v>
      </c>
      <c r="DV10" s="49">
        <v>1140.0</v>
      </c>
      <c r="DW10" s="49">
        <v>6538.0</v>
      </c>
      <c r="DX10" s="49"/>
      <c r="DY10" s="49">
        <v>2018.0</v>
      </c>
      <c r="DZ10" s="49">
        <v>20.0</v>
      </c>
      <c r="EA10" s="49">
        <v>0.0</v>
      </c>
      <c r="EB10" s="49">
        <v>0.0</v>
      </c>
      <c r="EC10" s="49">
        <v>0.0</v>
      </c>
      <c r="ED10" s="49">
        <v>0.0</v>
      </c>
      <c r="EE10" s="49">
        <v>20.0</v>
      </c>
      <c r="EF10" s="163"/>
      <c r="EG10" s="57" t="s">
        <v>790</v>
      </c>
      <c r="EH10" s="57">
        <v>2018.0</v>
      </c>
      <c r="EI10" s="57">
        <v>317.0</v>
      </c>
      <c r="EJ10" s="57">
        <v>522.0</v>
      </c>
      <c r="EK10" s="57">
        <v>583.0</v>
      </c>
      <c r="EL10" s="57">
        <v>687.0</v>
      </c>
      <c r="EM10" s="57">
        <v>801.0</v>
      </c>
      <c r="EN10" s="57">
        <v>2910.0</v>
      </c>
      <c r="EO10" s="57"/>
      <c r="EP10" s="57">
        <v>2018.0</v>
      </c>
      <c r="EQ10" s="57">
        <v>127.0</v>
      </c>
      <c r="ER10" s="57">
        <v>73.0</v>
      </c>
      <c r="ES10" s="57">
        <v>45.0</v>
      </c>
      <c r="ET10" s="57">
        <v>25.0</v>
      </c>
      <c r="EU10" s="57">
        <v>0.0</v>
      </c>
      <c r="EV10" s="57">
        <v>270.0</v>
      </c>
      <c r="EW10" s="163"/>
      <c r="EX10" s="255" t="s">
        <v>864</v>
      </c>
      <c r="EY10" s="255">
        <v>2018.0</v>
      </c>
      <c r="EZ10" s="255">
        <v>140.0</v>
      </c>
      <c r="FA10" s="255">
        <v>232.0</v>
      </c>
      <c r="FB10" s="255">
        <v>246.0</v>
      </c>
      <c r="FC10" s="255">
        <v>316.0</v>
      </c>
      <c r="FD10" s="255">
        <v>437.0</v>
      </c>
      <c r="FE10" s="255">
        <v>1371.0</v>
      </c>
      <c r="FF10" s="255"/>
      <c r="FG10" s="255">
        <v>2018.0</v>
      </c>
      <c r="FH10" s="255">
        <v>36.0</v>
      </c>
      <c r="FI10" s="255">
        <v>7.0</v>
      </c>
      <c r="FJ10" s="255">
        <v>0.0</v>
      </c>
      <c r="FK10" s="255">
        <v>0.0</v>
      </c>
      <c r="FL10" s="255">
        <v>0.0</v>
      </c>
      <c r="FM10" s="255">
        <v>43.0</v>
      </c>
    </row>
    <row r="11" ht="13.5" customHeight="1">
      <c r="A11" s="252" t="s">
        <v>1102</v>
      </c>
      <c r="B11" s="252">
        <v>2018.0</v>
      </c>
      <c r="C11" s="252" t="s">
        <v>541</v>
      </c>
      <c r="D11" s="252" t="s">
        <v>541</v>
      </c>
      <c r="E11" s="252" t="s">
        <v>541</v>
      </c>
      <c r="F11" s="252" t="s">
        <v>541</v>
      </c>
      <c r="G11" s="252" t="s">
        <v>541</v>
      </c>
      <c r="H11" s="252" t="s">
        <v>541</v>
      </c>
      <c r="I11" s="252"/>
      <c r="J11" s="252">
        <v>2018.0</v>
      </c>
      <c r="K11" s="252" t="s">
        <v>541</v>
      </c>
      <c r="L11" s="252" t="s">
        <v>541</v>
      </c>
      <c r="M11" s="252" t="s">
        <v>541</v>
      </c>
      <c r="N11" s="252" t="s">
        <v>541</v>
      </c>
      <c r="O11" s="252" t="s">
        <v>541</v>
      </c>
      <c r="P11" s="252" t="s">
        <v>541</v>
      </c>
      <c r="Q11" s="131"/>
      <c r="R11" s="253" t="s">
        <v>246</v>
      </c>
      <c r="S11" s="253">
        <v>2018.0</v>
      </c>
      <c r="T11" s="253" t="s">
        <v>541</v>
      </c>
      <c r="U11" s="253" t="s">
        <v>541</v>
      </c>
      <c r="V11" s="253" t="s">
        <v>541</v>
      </c>
      <c r="W11" s="253" t="s">
        <v>541</v>
      </c>
      <c r="X11" s="253" t="s">
        <v>541</v>
      </c>
      <c r="Y11" s="253" t="s">
        <v>541</v>
      </c>
      <c r="Z11" s="253"/>
      <c r="AA11" s="253">
        <v>2018.0</v>
      </c>
      <c r="AB11" s="253" t="s">
        <v>541</v>
      </c>
      <c r="AC11" s="253" t="s">
        <v>541</v>
      </c>
      <c r="AD11" s="253" t="s">
        <v>541</v>
      </c>
      <c r="AE11" s="253" t="s">
        <v>541</v>
      </c>
      <c r="AF11" s="253" t="s">
        <v>541</v>
      </c>
      <c r="AG11" s="253" t="s">
        <v>541</v>
      </c>
      <c r="AH11" s="163"/>
      <c r="AI11" s="246" t="s">
        <v>304</v>
      </c>
      <c r="AJ11" s="246">
        <v>2018.0</v>
      </c>
      <c r="AK11" s="246">
        <v>422.0</v>
      </c>
      <c r="AL11" s="246">
        <v>468.0</v>
      </c>
      <c r="AM11" s="246">
        <v>723.0</v>
      </c>
      <c r="AN11" s="246">
        <v>954.0</v>
      </c>
      <c r="AO11" s="246">
        <v>702.0</v>
      </c>
      <c r="AP11" s="246">
        <v>3269.0</v>
      </c>
      <c r="AQ11" s="246"/>
      <c r="AR11" s="246">
        <v>2018.0</v>
      </c>
      <c r="AS11" s="246">
        <v>36.0</v>
      </c>
      <c r="AT11" s="246">
        <v>3.0</v>
      </c>
      <c r="AU11" s="246">
        <v>0.0</v>
      </c>
      <c r="AV11" s="246">
        <v>0.0</v>
      </c>
      <c r="AW11" s="246">
        <v>0.0</v>
      </c>
      <c r="AX11" s="246">
        <v>39.0</v>
      </c>
      <c r="AY11" s="163"/>
      <c r="AZ11" s="254" t="s">
        <v>457</v>
      </c>
      <c r="BA11" s="254">
        <v>2018.0</v>
      </c>
      <c r="BB11" s="254">
        <v>221.0</v>
      </c>
      <c r="BC11" s="254">
        <v>143.0</v>
      </c>
      <c r="BD11" s="254">
        <v>149.0</v>
      </c>
      <c r="BE11" s="254">
        <v>181.0</v>
      </c>
      <c r="BF11" s="254">
        <v>220.0</v>
      </c>
      <c r="BG11" s="254">
        <v>914.0</v>
      </c>
      <c r="BH11" s="254"/>
      <c r="BI11" s="254">
        <v>2018.0</v>
      </c>
      <c r="BJ11" s="254">
        <v>30.0</v>
      </c>
      <c r="BK11" s="254">
        <v>0.0</v>
      </c>
      <c r="BL11" s="254">
        <v>0.0</v>
      </c>
      <c r="BM11" s="254">
        <v>0.0</v>
      </c>
      <c r="BN11" s="254">
        <v>0.0</v>
      </c>
      <c r="BO11" s="254">
        <v>30.0</v>
      </c>
      <c r="BP11" s="163"/>
      <c r="BQ11" s="255" t="s">
        <v>623</v>
      </c>
      <c r="BR11" s="255">
        <v>2018.0</v>
      </c>
      <c r="BS11" s="255">
        <v>120.0</v>
      </c>
      <c r="BT11" s="255">
        <v>109.0</v>
      </c>
      <c r="BU11" s="255">
        <v>212.0</v>
      </c>
      <c r="BV11" s="255">
        <v>331.0</v>
      </c>
      <c r="BW11" s="255">
        <v>305.0</v>
      </c>
      <c r="BX11" s="255">
        <v>1077.0</v>
      </c>
      <c r="BY11" s="255"/>
      <c r="BZ11" s="255">
        <v>2018.0</v>
      </c>
      <c r="CA11" s="255">
        <v>31.0</v>
      </c>
      <c r="CB11" s="255">
        <v>0.0</v>
      </c>
      <c r="CC11" s="255">
        <v>0.0</v>
      </c>
      <c r="CD11" s="255">
        <v>0.0</v>
      </c>
      <c r="CE11" s="255">
        <v>0.0</v>
      </c>
      <c r="CF11" s="255">
        <v>31.0</v>
      </c>
      <c r="CG11" s="163"/>
      <c r="CH11" s="57" t="s">
        <v>981</v>
      </c>
      <c r="CI11" s="57">
        <v>2018.0</v>
      </c>
      <c r="CJ11" s="57">
        <v>157.0</v>
      </c>
      <c r="CK11" s="57">
        <v>66.0</v>
      </c>
      <c r="CL11" s="57">
        <v>112.0</v>
      </c>
      <c r="CM11" s="57">
        <v>129.0</v>
      </c>
      <c r="CN11" s="57">
        <v>170.0</v>
      </c>
      <c r="CO11" s="57">
        <v>634.0</v>
      </c>
      <c r="CP11" s="57"/>
      <c r="CQ11" s="57">
        <v>2018.0</v>
      </c>
      <c r="CR11" s="57">
        <v>72.0</v>
      </c>
      <c r="CS11" s="57">
        <v>0.0</v>
      </c>
      <c r="CT11" s="57">
        <v>0.0</v>
      </c>
      <c r="CU11" s="57">
        <v>0.0</v>
      </c>
      <c r="CV11" s="57">
        <v>0.0</v>
      </c>
      <c r="CW11" s="57">
        <v>72.0</v>
      </c>
      <c r="CX11" s="163"/>
      <c r="CY11" s="256" t="s">
        <v>720</v>
      </c>
      <c r="CZ11" s="256">
        <v>2018.0</v>
      </c>
      <c r="DA11" s="256">
        <v>490.0</v>
      </c>
      <c r="DB11" s="256">
        <v>665.0</v>
      </c>
      <c r="DC11" s="256">
        <v>754.0</v>
      </c>
      <c r="DD11" s="256">
        <v>711.0</v>
      </c>
      <c r="DE11" s="256">
        <v>586.0</v>
      </c>
      <c r="DF11" s="256">
        <v>3206.0</v>
      </c>
      <c r="DG11" s="256"/>
      <c r="DH11" s="256">
        <v>2018.0</v>
      </c>
      <c r="DI11" s="256">
        <v>14.0</v>
      </c>
      <c r="DJ11" s="256">
        <v>8.0</v>
      </c>
      <c r="DK11" s="256">
        <v>3.0</v>
      </c>
      <c r="DL11" s="256">
        <v>0.0</v>
      </c>
      <c r="DM11" s="256">
        <v>0.0</v>
      </c>
      <c r="DN11" s="256">
        <v>25.0</v>
      </c>
      <c r="DO11" s="163"/>
      <c r="DP11" s="49" t="s">
        <v>745</v>
      </c>
      <c r="DQ11" s="49">
        <v>2018.0</v>
      </c>
      <c r="DR11" s="49">
        <v>391.0</v>
      </c>
      <c r="DS11" s="49">
        <v>388.0</v>
      </c>
      <c r="DT11" s="49">
        <v>528.0</v>
      </c>
      <c r="DU11" s="49">
        <v>479.0</v>
      </c>
      <c r="DV11" s="49">
        <v>386.0</v>
      </c>
      <c r="DW11" s="49">
        <v>2172.0</v>
      </c>
      <c r="DX11" s="49"/>
      <c r="DY11" s="49">
        <v>2018.0</v>
      </c>
      <c r="DZ11" s="49">
        <v>16.0</v>
      </c>
      <c r="EA11" s="49">
        <v>3.0</v>
      </c>
      <c r="EB11" s="49">
        <v>0.0</v>
      </c>
      <c r="EC11" s="49">
        <v>0.0</v>
      </c>
      <c r="ED11" s="49">
        <v>0.0</v>
      </c>
      <c r="EE11" s="49">
        <v>19.0</v>
      </c>
      <c r="EF11" s="163"/>
      <c r="EG11" s="57" t="s">
        <v>792</v>
      </c>
      <c r="EH11" s="57">
        <v>2018.0</v>
      </c>
      <c r="EI11" s="57">
        <v>653.0</v>
      </c>
      <c r="EJ11" s="57">
        <v>838.0</v>
      </c>
      <c r="EK11" s="57">
        <v>1071.0</v>
      </c>
      <c r="EL11" s="57">
        <v>1120.0</v>
      </c>
      <c r="EM11" s="57">
        <v>1131.0</v>
      </c>
      <c r="EN11" s="57">
        <v>4813.0</v>
      </c>
      <c r="EO11" s="57"/>
      <c r="EP11" s="57">
        <v>2018.0</v>
      </c>
      <c r="EQ11" s="57">
        <v>125.0</v>
      </c>
      <c r="ER11" s="57">
        <v>70.0</v>
      </c>
      <c r="ES11" s="57">
        <v>58.0</v>
      </c>
      <c r="ET11" s="57">
        <v>78.0</v>
      </c>
      <c r="EU11" s="57">
        <v>54.0</v>
      </c>
      <c r="EV11" s="57">
        <v>385.0</v>
      </c>
      <c r="EW11" s="163"/>
      <c r="EX11" s="255" t="s">
        <v>866</v>
      </c>
      <c r="EY11" s="255">
        <v>2018.0</v>
      </c>
      <c r="EZ11" s="255">
        <v>105.0</v>
      </c>
      <c r="FA11" s="255">
        <v>152.0</v>
      </c>
      <c r="FB11" s="255">
        <v>170.0</v>
      </c>
      <c r="FC11" s="255">
        <v>215.0</v>
      </c>
      <c r="FD11" s="255">
        <v>259.0</v>
      </c>
      <c r="FE11" s="255">
        <v>901.0</v>
      </c>
      <c r="FF11" s="255"/>
      <c r="FG11" s="255">
        <v>2018.0</v>
      </c>
      <c r="FH11" s="255">
        <v>23.0</v>
      </c>
      <c r="FI11" s="255">
        <v>12.0</v>
      </c>
      <c r="FJ11" s="255">
        <v>14.0</v>
      </c>
      <c r="FK11" s="255">
        <v>9.0</v>
      </c>
      <c r="FL11" s="255">
        <v>14.0</v>
      </c>
      <c r="FM11" s="255">
        <v>72.0</v>
      </c>
    </row>
    <row r="12" ht="13.5" customHeight="1">
      <c r="A12" s="252" t="s">
        <v>1105</v>
      </c>
      <c r="B12" s="252">
        <v>2018.0</v>
      </c>
      <c r="C12" s="252" t="s">
        <v>541</v>
      </c>
      <c r="D12" s="252" t="s">
        <v>541</v>
      </c>
      <c r="E12" s="252" t="s">
        <v>541</v>
      </c>
      <c r="F12" s="252" t="s">
        <v>541</v>
      </c>
      <c r="G12" s="252" t="s">
        <v>541</v>
      </c>
      <c r="H12" s="252" t="s">
        <v>541</v>
      </c>
      <c r="I12" s="252"/>
      <c r="J12" s="252">
        <v>2018.0</v>
      </c>
      <c r="K12" s="252" t="s">
        <v>541</v>
      </c>
      <c r="L12" s="252" t="s">
        <v>541</v>
      </c>
      <c r="M12" s="252" t="s">
        <v>541</v>
      </c>
      <c r="N12" s="252" t="s">
        <v>541</v>
      </c>
      <c r="O12" s="252" t="s">
        <v>541</v>
      </c>
      <c r="P12" s="252" t="s">
        <v>541</v>
      </c>
      <c r="Q12" s="131"/>
      <c r="R12" s="253" t="s">
        <v>248</v>
      </c>
      <c r="S12" s="253">
        <v>2018.0</v>
      </c>
      <c r="T12" s="253">
        <v>891.0</v>
      </c>
      <c r="U12" s="253">
        <v>701.0</v>
      </c>
      <c r="V12" s="253">
        <v>884.0</v>
      </c>
      <c r="W12" s="253">
        <v>933.0</v>
      </c>
      <c r="X12" s="253">
        <v>655.0</v>
      </c>
      <c r="Y12" s="253">
        <v>4064.0</v>
      </c>
      <c r="Z12" s="253"/>
      <c r="AA12" s="253">
        <v>2018.0</v>
      </c>
      <c r="AB12" s="253">
        <v>32.0</v>
      </c>
      <c r="AC12" s="253">
        <v>3.0</v>
      </c>
      <c r="AD12" s="253">
        <v>0.0</v>
      </c>
      <c r="AE12" s="253">
        <v>0.0</v>
      </c>
      <c r="AF12" s="253">
        <v>0.0</v>
      </c>
      <c r="AG12" s="253">
        <v>35.0</v>
      </c>
      <c r="AH12" s="163"/>
      <c r="AI12" s="246" t="s">
        <v>306</v>
      </c>
      <c r="AJ12" s="246">
        <v>2018.0</v>
      </c>
      <c r="AK12" s="246">
        <v>606.0</v>
      </c>
      <c r="AL12" s="246">
        <v>682.0</v>
      </c>
      <c r="AM12" s="246">
        <v>865.0</v>
      </c>
      <c r="AN12" s="246">
        <v>989.0</v>
      </c>
      <c r="AO12" s="246">
        <v>619.0</v>
      </c>
      <c r="AP12" s="246">
        <v>3761.0</v>
      </c>
      <c r="AQ12" s="246"/>
      <c r="AR12" s="246">
        <v>2018.0</v>
      </c>
      <c r="AS12" s="246">
        <v>15.0</v>
      </c>
      <c r="AT12" s="246">
        <v>2.0</v>
      </c>
      <c r="AU12" s="246">
        <v>0.0</v>
      </c>
      <c r="AV12" s="246">
        <v>0.0</v>
      </c>
      <c r="AW12" s="246">
        <v>1.0</v>
      </c>
      <c r="AX12" s="246">
        <v>18.0</v>
      </c>
      <c r="AY12" s="163"/>
      <c r="AZ12" s="254" t="s">
        <v>461</v>
      </c>
      <c r="BA12" s="254">
        <v>2018.0</v>
      </c>
      <c r="BB12" s="254">
        <v>261.0</v>
      </c>
      <c r="BC12" s="254">
        <v>307.0</v>
      </c>
      <c r="BD12" s="254">
        <v>436.0</v>
      </c>
      <c r="BE12" s="254">
        <v>590.0</v>
      </c>
      <c r="BF12" s="254">
        <v>573.0</v>
      </c>
      <c r="BG12" s="254">
        <v>2167.0</v>
      </c>
      <c r="BH12" s="254"/>
      <c r="BI12" s="254">
        <v>2018.0</v>
      </c>
      <c r="BJ12" s="254">
        <v>23.0</v>
      </c>
      <c r="BK12" s="254">
        <v>0.0</v>
      </c>
      <c r="BL12" s="254">
        <v>0.0</v>
      </c>
      <c r="BM12" s="254">
        <v>0.0</v>
      </c>
      <c r="BN12" s="254">
        <v>0.0</v>
      </c>
      <c r="BO12" s="254">
        <v>23.0</v>
      </c>
      <c r="BP12" s="163"/>
      <c r="BQ12" s="255" t="s">
        <v>625</v>
      </c>
      <c r="BR12" s="255">
        <v>2018.0</v>
      </c>
      <c r="BS12" s="255">
        <v>106.0</v>
      </c>
      <c r="BT12" s="255">
        <v>47.0</v>
      </c>
      <c r="BU12" s="255">
        <v>119.0</v>
      </c>
      <c r="BV12" s="255">
        <v>148.0</v>
      </c>
      <c r="BW12" s="255">
        <v>255.0</v>
      </c>
      <c r="BX12" s="255">
        <v>675.0</v>
      </c>
      <c r="BY12" s="255"/>
      <c r="BZ12" s="255">
        <v>2018.0</v>
      </c>
      <c r="CA12" s="255">
        <v>20.0</v>
      </c>
      <c r="CB12" s="255">
        <v>0.0</v>
      </c>
      <c r="CC12" s="255">
        <v>0.0</v>
      </c>
      <c r="CD12" s="255">
        <v>0.0</v>
      </c>
      <c r="CE12" s="255">
        <v>0.0</v>
      </c>
      <c r="CF12" s="255">
        <v>20.0</v>
      </c>
      <c r="CG12" s="163"/>
      <c r="CH12" s="57" t="s">
        <v>983</v>
      </c>
      <c r="CI12" s="57">
        <v>2018.0</v>
      </c>
      <c r="CJ12" s="57">
        <v>81.0</v>
      </c>
      <c r="CK12" s="57">
        <v>47.0</v>
      </c>
      <c r="CL12" s="57">
        <v>91.0</v>
      </c>
      <c r="CM12" s="57">
        <v>140.0</v>
      </c>
      <c r="CN12" s="57">
        <v>120.0</v>
      </c>
      <c r="CO12" s="57">
        <v>479.0</v>
      </c>
      <c r="CP12" s="57"/>
      <c r="CQ12" s="57">
        <v>2018.0</v>
      </c>
      <c r="CR12" s="57">
        <v>17.0</v>
      </c>
      <c r="CS12" s="57">
        <v>0.0</v>
      </c>
      <c r="CT12" s="57">
        <v>0.0</v>
      </c>
      <c r="CU12" s="57">
        <v>0.0</v>
      </c>
      <c r="CV12" s="57">
        <v>0.0</v>
      </c>
      <c r="CW12" s="57">
        <v>17.0</v>
      </c>
      <c r="CX12" s="163"/>
      <c r="CY12" s="256" t="s">
        <v>722</v>
      </c>
      <c r="CZ12" s="256">
        <v>2018.0</v>
      </c>
      <c r="DA12" s="256">
        <v>505.0</v>
      </c>
      <c r="DB12" s="256">
        <v>679.0</v>
      </c>
      <c r="DC12" s="256">
        <v>763.0</v>
      </c>
      <c r="DD12" s="256">
        <v>868.0</v>
      </c>
      <c r="DE12" s="256">
        <v>761.0</v>
      </c>
      <c r="DF12" s="256">
        <v>3576.0</v>
      </c>
      <c r="DG12" s="256"/>
      <c r="DH12" s="256">
        <v>2018.0</v>
      </c>
      <c r="DI12" s="256">
        <v>17.0</v>
      </c>
      <c r="DJ12" s="256">
        <v>8.0</v>
      </c>
      <c r="DK12" s="256">
        <v>3.0</v>
      </c>
      <c r="DL12" s="256">
        <v>2.0</v>
      </c>
      <c r="DM12" s="256">
        <v>1.0</v>
      </c>
      <c r="DN12" s="256">
        <v>31.0</v>
      </c>
      <c r="DO12" s="163"/>
      <c r="DP12" s="49" t="s">
        <v>747</v>
      </c>
      <c r="DQ12" s="49">
        <v>2018.0</v>
      </c>
      <c r="DR12" s="49">
        <v>242.0</v>
      </c>
      <c r="DS12" s="49">
        <v>323.0</v>
      </c>
      <c r="DT12" s="49">
        <v>472.0</v>
      </c>
      <c r="DU12" s="49">
        <v>505.0</v>
      </c>
      <c r="DV12" s="49">
        <v>407.0</v>
      </c>
      <c r="DW12" s="49">
        <v>1949.0</v>
      </c>
      <c r="DX12" s="49"/>
      <c r="DY12" s="49">
        <v>2018.0</v>
      </c>
      <c r="DZ12" s="49">
        <v>16.0</v>
      </c>
      <c r="EA12" s="49">
        <v>0.0</v>
      </c>
      <c r="EB12" s="49">
        <v>0.0</v>
      </c>
      <c r="EC12" s="49">
        <v>0.0</v>
      </c>
      <c r="ED12" s="49">
        <v>0.0</v>
      </c>
      <c r="EE12" s="49">
        <v>16.0</v>
      </c>
      <c r="EF12" s="163"/>
      <c r="EG12" s="57" t="s">
        <v>794</v>
      </c>
      <c r="EH12" s="57">
        <v>2018.0</v>
      </c>
      <c r="EI12" s="57" t="s">
        <v>541</v>
      </c>
      <c r="EJ12" s="57" t="s">
        <v>541</v>
      </c>
      <c r="EK12" s="57" t="s">
        <v>541</v>
      </c>
      <c r="EL12" s="57" t="s">
        <v>541</v>
      </c>
      <c r="EM12" s="57" t="s">
        <v>541</v>
      </c>
      <c r="EN12" s="57" t="s">
        <v>541</v>
      </c>
      <c r="EO12" s="57"/>
      <c r="EP12" s="57">
        <v>2018.0</v>
      </c>
      <c r="EQ12" s="57" t="s">
        <v>541</v>
      </c>
      <c r="ER12" s="57" t="s">
        <v>541</v>
      </c>
      <c r="ES12" s="57" t="s">
        <v>541</v>
      </c>
      <c r="ET12" s="57" t="s">
        <v>541</v>
      </c>
      <c r="EU12" s="57" t="s">
        <v>541</v>
      </c>
      <c r="EV12" s="57" t="s">
        <v>541</v>
      </c>
      <c r="EW12" s="163"/>
      <c r="EX12" s="255" t="s">
        <v>868</v>
      </c>
      <c r="EY12" s="255">
        <v>2018.0</v>
      </c>
      <c r="EZ12" s="255">
        <v>247.0</v>
      </c>
      <c r="FA12" s="255">
        <v>276.0</v>
      </c>
      <c r="FB12" s="255">
        <v>285.0</v>
      </c>
      <c r="FC12" s="255">
        <v>355.0</v>
      </c>
      <c r="FD12" s="255">
        <v>429.0</v>
      </c>
      <c r="FE12" s="255">
        <v>1592.0</v>
      </c>
      <c r="FF12" s="255"/>
      <c r="FG12" s="255">
        <v>2018.0</v>
      </c>
      <c r="FH12" s="255">
        <v>83.0</v>
      </c>
      <c r="FI12" s="255">
        <v>3.0</v>
      </c>
      <c r="FJ12" s="255">
        <v>0.0</v>
      </c>
      <c r="FK12" s="255">
        <v>0.0</v>
      </c>
      <c r="FL12" s="255">
        <v>0.0</v>
      </c>
      <c r="FM12" s="255">
        <v>86.0</v>
      </c>
    </row>
    <row r="13" ht="13.5" customHeight="1">
      <c r="A13" s="252" t="s">
        <v>1108</v>
      </c>
      <c r="B13" s="252">
        <v>2018.0</v>
      </c>
      <c r="C13" s="252" t="s">
        <v>541</v>
      </c>
      <c r="D13" s="252" t="s">
        <v>541</v>
      </c>
      <c r="E13" s="252" t="s">
        <v>541</v>
      </c>
      <c r="F13" s="252" t="s">
        <v>541</v>
      </c>
      <c r="G13" s="252" t="s">
        <v>541</v>
      </c>
      <c r="H13" s="252" t="s">
        <v>541</v>
      </c>
      <c r="I13" s="252"/>
      <c r="J13" s="252">
        <v>2018.0</v>
      </c>
      <c r="K13" s="252" t="s">
        <v>541</v>
      </c>
      <c r="L13" s="252" t="s">
        <v>541</v>
      </c>
      <c r="M13" s="252" t="s">
        <v>541</v>
      </c>
      <c r="N13" s="252" t="s">
        <v>541</v>
      </c>
      <c r="O13" s="252" t="s">
        <v>541</v>
      </c>
      <c r="P13" s="252" t="s">
        <v>541</v>
      </c>
      <c r="Q13" s="131"/>
      <c r="R13" s="253" t="s">
        <v>250</v>
      </c>
      <c r="S13" s="253">
        <v>2018.0</v>
      </c>
      <c r="T13" s="253">
        <v>668.0</v>
      </c>
      <c r="U13" s="253">
        <v>905.0</v>
      </c>
      <c r="V13" s="253">
        <v>1336.0</v>
      </c>
      <c r="W13" s="253">
        <v>1545.0</v>
      </c>
      <c r="X13" s="253">
        <v>927.0</v>
      </c>
      <c r="Y13" s="253">
        <v>5381.0</v>
      </c>
      <c r="Z13" s="253"/>
      <c r="AA13" s="253">
        <v>2018.0</v>
      </c>
      <c r="AB13" s="253">
        <v>25.0</v>
      </c>
      <c r="AC13" s="253">
        <v>6.0</v>
      </c>
      <c r="AD13" s="253">
        <v>3.0</v>
      </c>
      <c r="AE13" s="253">
        <v>1.0</v>
      </c>
      <c r="AF13" s="253">
        <v>0.0</v>
      </c>
      <c r="AG13" s="253">
        <v>35.0</v>
      </c>
      <c r="AH13" s="163"/>
      <c r="AI13" s="246" t="s">
        <v>308</v>
      </c>
      <c r="AJ13" s="246">
        <v>2018.0</v>
      </c>
      <c r="AK13" s="246">
        <v>576.0</v>
      </c>
      <c r="AL13" s="246">
        <v>571.0</v>
      </c>
      <c r="AM13" s="246">
        <v>628.0</v>
      </c>
      <c r="AN13" s="246">
        <v>728.0</v>
      </c>
      <c r="AO13" s="246">
        <v>552.0</v>
      </c>
      <c r="AP13" s="246">
        <v>3055.0</v>
      </c>
      <c r="AQ13" s="246"/>
      <c r="AR13" s="246">
        <v>2018.0</v>
      </c>
      <c r="AS13" s="246">
        <v>28.0</v>
      </c>
      <c r="AT13" s="246">
        <v>4.0</v>
      </c>
      <c r="AU13" s="246">
        <v>2.0</v>
      </c>
      <c r="AV13" s="246">
        <v>2.0</v>
      </c>
      <c r="AW13" s="246">
        <v>1.0</v>
      </c>
      <c r="AX13" s="246">
        <v>37.0</v>
      </c>
      <c r="AY13" s="163"/>
      <c r="AZ13" s="254" t="s">
        <v>466</v>
      </c>
      <c r="BA13" s="254">
        <v>2018.0</v>
      </c>
      <c r="BB13" s="254">
        <v>130.0</v>
      </c>
      <c r="BC13" s="254">
        <v>111.0</v>
      </c>
      <c r="BD13" s="254">
        <v>171.0</v>
      </c>
      <c r="BE13" s="254">
        <v>241.0</v>
      </c>
      <c r="BF13" s="254">
        <v>261.0</v>
      </c>
      <c r="BG13" s="254">
        <v>914.0</v>
      </c>
      <c r="BH13" s="254"/>
      <c r="BI13" s="254">
        <v>2018.0</v>
      </c>
      <c r="BJ13" s="254">
        <v>18.0</v>
      </c>
      <c r="BK13" s="254">
        <v>0.0</v>
      </c>
      <c r="BL13" s="254">
        <v>0.0</v>
      </c>
      <c r="BM13" s="254">
        <v>0.0</v>
      </c>
      <c r="BN13" s="254">
        <v>0.0</v>
      </c>
      <c r="BO13" s="254">
        <v>18.0</v>
      </c>
      <c r="BP13" s="163"/>
      <c r="BQ13" s="255" t="s">
        <v>627</v>
      </c>
      <c r="BR13" s="255">
        <v>2018.0</v>
      </c>
      <c r="BS13" s="255">
        <v>67.0</v>
      </c>
      <c r="BT13" s="255">
        <v>94.0</v>
      </c>
      <c r="BU13" s="255">
        <v>133.0</v>
      </c>
      <c r="BV13" s="255">
        <v>241.0</v>
      </c>
      <c r="BW13" s="255">
        <v>214.0</v>
      </c>
      <c r="BX13" s="255">
        <v>749.0</v>
      </c>
      <c r="BY13" s="255"/>
      <c r="BZ13" s="255">
        <v>2018.0</v>
      </c>
      <c r="CA13" s="255">
        <v>18.0</v>
      </c>
      <c r="CB13" s="255">
        <v>0.0</v>
      </c>
      <c r="CC13" s="255">
        <v>0.0</v>
      </c>
      <c r="CD13" s="255">
        <v>0.0</v>
      </c>
      <c r="CE13" s="255">
        <v>0.0</v>
      </c>
      <c r="CF13" s="255">
        <v>18.0</v>
      </c>
      <c r="CG13" s="163"/>
      <c r="CH13" s="57" t="s">
        <v>985</v>
      </c>
      <c r="CI13" s="57">
        <v>2018.0</v>
      </c>
      <c r="CJ13" s="57">
        <v>70.0</v>
      </c>
      <c r="CK13" s="57">
        <v>48.0</v>
      </c>
      <c r="CL13" s="57">
        <v>96.0</v>
      </c>
      <c r="CM13" s="57">
        <v>152.0</v>
      </c>
      <c r="CN13" s="57">
        <v>217.0</v>
      </c>
      <c r="CO13" s="57">
        <v>583.0</v>
      </c>
      <c r="CP13" s="57"/>
      <c r="CQ13" s="57">
        <v>2018.0</v>
      </c>
      <c r="CR13" s="57">
        <v>11.0</v>
      </c>
      <c r="CS13" s="57">
        <v>0.0</v>
      </c>
      <c r="CT13" s="57">
        <v>0.0</v>
      </c>
      <c r="CU13" s="57">
        <v>0.0</v>
      </c>
      <c r="CV13" s="57">
        <v>0.0</v>
      </c>
      <c r="CW13" s="57">
        <v>11.0</v>
      </c>
      <c r="CX13" s="163"/>
      <c r="CY13" s="256" t="s">
        <v>724</v>
      </c>
      <c r="CZ13" s="256">
        <v>2018.0</v>
      </c>
      <c r="DA13" s="256">
        <v>370.0</v>
      </c>
      <c r="DB13" s="256">
        <v>481.0</v>
      </c>
      <c r="DC13" s="256">
        <v>612.0</v>
      </c>
      <c r="DD13" s="256">
        <v>631.0</v>
      </c>
      <c r="DE13" s="256">
        <v>483.0</v>
      </c>
      <c r="DF13" s="256">
        <v>2577.0</v>
      </c>
      <c r="DG13" s="256"/>
      <c r="DH13" s="256">
        <v>2018.0</v>
      </c>
      <c r="DI13" s="256">
        <v>9.0</v>
      </c>
      <c r="DJ13" s="256">
        <v>14.0</v>
      </c>
      <c r="DK13" s="256">
        <v>6.0</v>
      </c>
      <c r="DL13" s="256">
        <v>2.0</v>
      </c>
      <c r="DM13" s="256">
        <v>2.0</v>
      </c>
      <c r="DN13" s="256">
        <v>33.0</v>
      </c>
      <c r="DO13" s="163"/>
      <c r="DP13" s="49" t="s">
        <v>749</v>
      </c>
      <c r="DQ13" s="49">
        <v>2018.0</v>
      </c>
      <c r="DR13" s="49">
        <v>155.0</v>
      </c>
      <c r="DS13" s="49">
        <v>251.0</v>
      </c>
      <c r="DT13" s="49">
        <v>406.0</v>
      </c>
      <c r="DU13" s="49">
        <v>539.0</v>
      </c>
      <c r="DV13" s="49">
        <v>515.0</v>
      </c>
      <c r="DW13" s="49">
        <v>1866.0</v>
      </c>
      <c r="DX13" s="49"/>
      <c r="DY13" s="49">
        <v>2018.0</v>
      </c>
      <c r="DZ13" s="49">
        <v>19.0</v>
      </c>
      <c r="EA13" s="49">
        <v>4.0</v>
      </c>
      <c r="EB13" s="49">
        <v>0.0</v>
      </c>
      <c r="EC13" s="49">
        <v>0.0</v>
      </c>
      <c r="ED13" s="49">
        <v>0.0</v>
      </c>
      <c r="EE13" s="49">
        <v>23.0</v>
      </c>
      <c r="EF13" s="163"/>
      <c r="EG13" s="57" t="s">
        <v>796</v>
      </c>
      <c r="EH13" s="57">
        <v>2018.0</v>
      </c>
      <c r="EI13" s="57">
        <v>280.0</v>
      </c>
      <c r="EJ13" s="57">
        <v>345.0</v>
      </c>
      <c r="EK13" s="57">
        <v>389.0</v>
      </c>
      <c r="EL13" s="57">
        <v>439.0</v>
      </c>
      <c r="EM13" s="57">
        <v>620.0</v>
      </c>
      <c r="EN13" s="57">
        <v>2073.0</v>
      </c>
      <c r="EO13" s="57"/>
      <c r="EP13" s="57">
        <v>2018.0</v>
      </c>
      <c r="EQ13" s="57">
        <v>82.0</v>
      </c>
      <c r="ER13" s="57">
        <v>54.0</v>
      </c>
      <c r="ES13" s="57">
        <v>17.0</v>
      </c>
      <c r="ET13" s="57">
        <v>12.0</v>
      </c>
      <c r="EU13" s="57">
        <v>10.0</v>
      </c>
      <c r="EV13" s="57">
        <v>175.0</v>
      </c>
      <c r="EW13" s="163"/>
      <c r="EX13" s="255" t="s">
        <v>870</v>
      </c>
      <c r="EY13" s="255">
        <v>2018.0</v>
      </c>
      <c r="EZ13" s="255">
        <v>327.0</v>
      </c>
      <c r="FA13" s="255">
        <v>380.0</v>
      </c>
      <c r="FB13" s="255">
        <v>399.0</v>
      </c>
      <c r="FC13" s="255">
        <v>483.0</v>
      </c>
      <c r="FD13" s="255">
        <v>640.0</v>
      </c>
      <c r="FE13" s="255">
        <v>2229.0</v>
      </c>
      <c r="FF13" s="255"/>
      <c r="FG13" s="255">
        <v>2018.0</v>
      </c>
      <c r="FH13" s="255">
        <v>68.0</v>
      </c>
      <c r="FI13" s="255">
        <v>12.0</v>
      </c>
      <c r="FJ13" s="255">
        <v>0.0</v>
      </c>
      <c r="FK13" s="255">
        <v>0.0</v>
      </c>
      <c r="FL13" s="255">
        <v>0.0</v>
      </c>
      <c r="FM13" s="255">
        <v>80.0</v>
      </c>
    </row>
    <row r="14" ht="13.5" customHeight="1">
      <c r="A14" s="252" t="s">
        <v>1111</v>
      </c>
      <c r="B14" s="252">
        <v>2018.0</v>
      </c>
      <c r="C14" s="252" t="s">
        <v>541</v>
      </c>
      <c r="D14" s="252" t="s">
        <v>541</v>
      </c>
      <c r="E14" s="252" t="s">
        <v>541</v>
      </c>
      <c r="F14" s="252" t="s">
        <v>541</v>
      </c>
      <c r="G14" s="252" t="s">
        <v>541</v>
      </c>
      <c r="H14" s="252" t="s">
        <v>541</v>
      </c>
      <c r="I14" s="252"/>
      <c r="J14" s="252">
        <v>2018.0</v>
      </c>
      <c r="K14" s="252" t="s">
        <v>541</v>
      </c>
      <c r="L14" s="252" t="s">
        <v>541</v>
      </c>
      <c r="M14" s="252" t="s">
        <v>541</v>
      </c>
      <c r="N14" s="252" t="s">
        <v>541</v>
      </c>
      <c r="O14" s="252" t="s">
        <v>541</v>
      </c>
      <c r="P14" s="252" t="s">
        <v>541</v>
      </c>
      <c r="Q14" s="131"/>
      <c r="R14" s="253" t="s">
        <v>252</v>
      </c>
      <c r="S14" s="253">
        <v>2018.0</v>
      </c>
      <c r="T14" s="253">
        <v>705.0</v>
      </c>
      <c r="U14" s="253">
        <v>691.0</v>
      </c>
      <c r="V14" s="253">
        <v>956.0</v>
      </c>
      <c r="W14" s="253">
        <v>1073.0</v>
      </c>
      <c r="X14" s="253">
        <v>746.0</v>
      </c>
      <c r="Y14" s="253">
        <v>4171.0</v>
      </c>
      <c r="Z14" s="253"/>
      <c r="AA14" s="253">
        <v>2018.0</v>
      </c>
      <c r="AB14" s="253">
        <v>22.0</v>
      </c>
      <c r="AC14" s="253">
        <v>0.0</v>
      </c>
      <c r="AD14" s="253">
        <v>0.0</v>
      </c>
      <c r="AE14" s="253">
        <v>0.0</v>
      </c>
      <c r="AF14" s="253">
        <v>0.0</v>
      </c>
      <c r="AG14" s="253">
        <v>22.0</v>
      </c>
      <c r="AH14" s="163"/>
      <c r="AI14" s="246" t="s">
        <v>310</v>
      </c>
      <c r="AJ14" s="246">
        <v>2018.0</v>
      </c>
      <c r="AK14" s="246">
        <v>1170.0</v>
      </c>
      <c r="AL14" s="246">
        <v>469.0</v>
      </c>
      <c r="AM14" s="246">
        <v>594.0</v>
      </c>
      <c r="AN14" s="246">
        <v>609.0</v>
      </c>
      <c r="AO14" s="246">
        <v>501.0</v>
      </c>
      <c r="AP14" s="246">
        <v>3343.0</v>
      </c>
      <c r="AQ14" s="246"/>
      <c r="AR14" s="246">
        <v>2018.0</v>
      </c>
      <c r="AS14" s="246">
        <v>68.0</v>
      </c>
      <c r="AT14" s="246">
        <v>0.0</v>
      </c>
      <c r="AU14" s="246">
        <v>0.0</v>
      </c>
      <c r="AV14" s="246">
        <v>0.0</v>
      </c>
      <c r="AW14" s="246">
        <v>0.0</v>
      </c>
      <c r="AX14" s="246">
        <v>68.0</v>
      </c>
      <c r="AY14" s="163"/>
      <c r="AZ14" s="254" t="s">
        <v>471</v>
      </c>
      <c r="BA14" s="254">
        <v>2018.0</v>
      </c>
      <c r="BB14" s="254">
        <v>35.0</v>
      </c>
      <c r="BC14" s="254">
        <v>44.0</v>
      </c>
      <c r="BD14" s="254">
        <v>80.0</v>
      </c>
      <c r="BE14" s="254">
        <v>130.0</v>
      </c>
      <c r="BF14" s="254">
        <v>146.0</v>
      </c>
      <c r="BG14" s="254">
        <v>435.0</v>
      </c>
      <c r="BH14" s="254"/>
      <c r="BI14" s="254">
        <v>2018.0</v>
      </c>
      <c r="BJ14" s="254">
        <v>1.0</v>
      </c>
      <c r="BK14" s="254">
        <v>0.0</v>
      </c>
      <c r="BL14" s="254">
        <v>0.0</v>
      </c>
      <c r="BM14" s="254">
        <v>0.0</v>
      </c>
      <c r="BN14" s="254">
        <v>0.0</v>
      </c>
      <c r="BO14" s="254">
        <v>1.0</v>
      </c>
      <c r="BP14" s="163"/>
      <c r="BQ14" s="255" t="s">
        <v>629</v>
      </c>
      <c r="BR14" s="255">
        <v>2018.0</v>
      </c>
      <c r="BS14" s="255">
        <v>61.0</v>
      </c>
      <c r="BT14" s="255">
        <v>141.0</v>
      </c>
      <c r="BU14" s="255">
        <v>313.0</v>
      </c>
      <c r="BV14" s="255">
        <v>523.0</v>
      </c>
      <c r="BW14" s="255">
        <v>481.0</v>
      </c>
      <c r="BX14" s="255">
        <v>1519.0</v>
      </c>
      <c r="BY14" s="255"/>
      <c r="BZ14" s="255">
        <v>2018.0</v>
      </c>
      <c r="CA14" s="255">
        <v>10.0</v>
      </c>
      <c r="CB14" s="255">
        <v>0.0</v>
      </c>
      <c r="CC14" s="255">
        <v>0.0</v>
      </c>
      <c r="CD14" s="255">
        <v>0.0</v>
      </c>
      <c r="CE14" s="255">
        <v>0.0</v>
      </c>
      <c r="CF14" s="255">
        <v>10.0</v>
      </c>
      <c r="CG14" s="163"/>
      <c r="CH14" s="57" t="s">
        <v>698</v>
      </c>
      <c r="CI14" s="57">
        <v>2018.0</v>
      </c>
      <c r="CJ14" s="57">
        <v>295.0</v>
      </c>
      <c r="CK14" s="57">
        <v>95.0</v>
      </c>
      <c r="CL14" s="57">
        <v>185.0</v>
      </c>
      <c r="CM14" s="57">
        <v>226.0</v>
      </c>
      <c r="CN14" s="57">
        <v>332.0</v>
      </c>
      <c r="CO14" s="57">
        <v>1133.0</v>
      </c>
      <c r="CP14" s="57"/>
      <c r="CQ14" s="57">
        <v>2018.0</v>
      </c>
      <c r="CR14" s="57">
        <v>53.0</v>
      </c>
      <c r="CS14" s="57">
        <v>0.0</v>
      </c>
      <c r="CT14" s="57">
        <v>0.0</v>
      </c>
      <c r="CU14" s="57">
        <v>0.0</v>
      </c>
      <c r="CV14" s="57">
        <v>0.0</v>
      </c>
      <c r="CW14" s="57">
        <v>53.0</v>
      </c>
      <c r="CX14" s="163"/>
      <c r="CY14" s="163"/>
      <c r="CZ14" s="163"/>
      <c r="DA14" s="163"/>
      <c r="DB14" s="163"/>
      <c r="DC14" s="163"/>
      <c r="DD14" s="163"/>
      <c r="DE14" s="163"/>
      <c r="DF14" s="163"/>
      <c r="DG14" s="163"/>
      <c r="DH14" s="163"/>
      <c r="DI14" s="163"/>
      <c r="DJ14" s="163"/>
      <c r="DK14" s="163"/>
      <c r="DL14" s="163"/>
      <c r="DM14" s="163"/>
      <c r="DN14" s="163"/>
      <c r="DO14" s="163"/>
      <c r="DP14" s="49" t="s">
        <v>752</v>
      </c>
      <c r="DQ14" s="49">
        <v>2018.0</v>
      </c>
      <c r="DR14" s="49">
        <v>220.0</v>
      </c>
      <c r="DS14" s="49">
        <v>336.0</v>
      </c>
      <c r="DT14" s="49">
        <v>348.0</v>
      </c>
      <c r="DU14" s="49">
        <v>471.0</v>
      </c>
      <c r="DV14" s="49">
        <v>390.0</v>
      </c>
      <c r="DW14" s="49">
        <v>1765.0</v>
      </c>
      <c r="DX14" s="49"/>
      <c r="DY14" s="49">
        <v>2018.0</v>
      </c>
      <c r="DZ14" s="49">
        <v>13.0</v>
      </c>
      <c r="EA14" s="49">
        <v>3.0</v>
      </c>
      <c r="EB14" s="49">
        <v>0.0</v>
      </c>
      <c r="EC14" s="49">
        <v>0.0</v>
      </c>
      <c r="ED14" s="49">
        <v>0.0</v>
      </c>
      <c r="EE14" s="49">
        <v>16.0</v>
      </c>
      <c r="EF14" s="163"/>
      <c r="EG14" s="57" t="s">
        <v>798</v>
      </c>
      <c r="EH14" s="57">
        <v>2018.0</v>
      </c>
      <c r="EI14" s="57" t="s">
        <v>541</v>
      </c>
      <c r="EJ14" s="57" t="s">
        <v>541</v>
      </c>
      <c r="EK14" s="57" t="s">
        <v>541</v>
      </c>
      <c r="EL14" s="57" t="s">
        <v>541</v>
      </c>
      <c r="EM14" s="57" t="s">
        <v>541</v>
      </c>
      <c r="EN14" s="57" t="s">
        <v>541</v>
      </c>
      <c r="EO14" s="57"/>
      <c r="EP14" s="57">
        <v>2018.0</v>
      </c>
      <c r="EQ14" s="57" t="s">
        <v>541</v>
      </c>
      <c r="ER14" s="57" t="s">
        <v>541</v>
      </c>
      <c r="ES14" s="57" t="s">
        <v>541</v>
      </c>
      <c r="ET14" s="57" t="s">
        <v>541</v>
      </c>
      <c r="EU14" s="57" t="s">
        <v>541</v>
      </c>
      <c r="EV14" s="57" t="s">
        <v>541</v>
      </c>
      <c r="EW14" s="163"/>
      <c r="EX14" s="255" t="s">
        <v>872</v>
      </c>
      <c r="EY14" s="255">
        <v>2018.0</v>
      </c>
      <c r="EZ14" s="255" t="s">
        <v>541</v>
      </c>
      <c r="FA14" s="255" t="s">
        <v>541</v>
      </c>
      <c r="FB14" s="255" t="s">
        <v>541</v>
      </c>
      <c r="FC14" s="255" t="s">
        <v>541</v>
      </c>
      <c r="FD14" s="255" t="s">
        <v>541</v>
      </c>
      <c r="FE14" s="255" t="s">
        <v>541</v>
      </c>
      <c r="FF14" s="255"/>
      <c r="FG14" s="255">
        <v>2018.0</v>
      </c>
      <c r="FH14" s="255" t="s">
        <v>541</v>
      </c>
      <c r="FI14" s="255" t="s">
        <v>541</v>
      </c>
      <c r="FJ14" s="255" t="s">
        <v>541</v>
      </c>
      <c r="FK14" s="255" t="s">
        <v>541</v>
      </c>
      <c r="FL14" s="255" t="s">
        <v>541</v>
      </c>
      <c r="FM14" s="255" t="s">
        <v>541</v>
      </c>
    </row>
    <row r="15" ht="13.5" customHeight="1">
      <c r="A15" s="252" t="s">
        <v>1114</v>
      </c>
      <c r="B15" s="252">
        <v>2018.0</v>
      </c>
      <c r="C15" s="252" t="s">
        <v>541</v>
      </c>
      <c r="D15" s="252" t="s">
        <v>541</v>
      </c>
      <c r="E15" s="252" t="s">
        <v>541</v>
      </c>
      <c r="F15" s="252" t="s">
        <v>541</v>
      </c>
      <c r="G15" s="252" t="s">
        <v>541</v>
      </c>
      <c r="H15" s="252" t="s">
        <v>541</v>
      </c>
      <c r="I15" s="252"/>
      <c r="J15" s="252">
        <v>2018.0</v>
      </c>
      <c r="K15" s="252" t="s">
        <v>541</v>
      </c>
      <c r="L15" s="252" t="s">
        <v>541</v>
      </c>
      <c r="M15" s="252" t="s">
        <v>541</v>
      </c>
      <c r="N15" s="252" t="s">
        <v>541</v>
      </c>
      <c r="O15" s="252" t="s">
        <v>541</v>
      </c>
      <c r="P15" s="252" t="s">
        <v>541</v>
      </c>
      <c r="Q15" s="131"/>
      <c r="R15" s="253" t="s">
        <v>254</v>
      </c>
      <c r="S15" s="253">
        <v>2018.0</v>
      </c>
      <c r="T15" s="253" t="s">
        <v>541</v>
      </c>
      <c r="U15" s="253" t="s">
        <v>541</v>
      </c>
      <c r="V15" s="253" t="s">
        <v>541</v>
      </c>
      <c r="W15" s="253" t="s">
        <v>541</v>
      </c>
      <c r="X15" s="253" t="s">
        <v>541</v>
      </c>
      <c r="Y15" s="253" t="s">
        <v>541</v>
      </c>
      <c r="Z15" s="253"/>
      <c r="AA15" s="253">
        <v>2018.0</v>
      </c>
      <c r="AB15" s="253" t="s">
        <v>541</v>
      </c>
      <c r="AC15" s="253" t="s">
        <v>541</v>
      </c>
      <c r="AD15" s="253" t="s">
        <v>541</v>
      </c>
      <c r="AE15" s="253" t="s">
        <v>541</v>
      </c>
      <c r="AF15" s="253" t="s">
        <v>541</v>
      </c>
      <c r="AG15" s="253" t="s">
        <v>541</v>
      </c>
      <c r="AH15" s="163"/>
      <c r="AI15" s="246" t="s">
        <v>312</v>
      </c>
      <c r="AJ15" s="246">
        <v>2018.0</v>
      </c>
      <c r="AK15" s="246">
        <v>360.0</v>
      </c>
      <c r="AL15" s="246">
        <v>400.0</v>
      </c>
      <c r="AM15" s="246">
        <v>578.0</v>
      </c>
      <c r="AN15" s="246">
        <v>791.0</v>
      </c>
      <c r="AO15" s="246">
        <v>664.0</v>
      </c>
      <c r="AP15" s="246">
        <v>2793.0</v>
      </c>
      <c r="AQ15" s="246"/>
      <c r="AR15" s="246">
        <v>2018.0</v>
      </c>
      <c r="AS15" s="246">
        <v>30.0</v>
      </c>
      <c r="AT15" s="246">
        <v>2.0</v>
      </c>
      <c r="AU15" s="246">
        <v>2.0</v>
      </c>
      <c r="AV15" s="246">
        <v>0.0</v>
      </c>
      <c r="AW15" s="246">
        <v>0.0</v>
      </c>
      <c r="AX15" s="246">
        <v>34.0</v>
      </c>
      <c r="AY15" s="163"/>
      <c r="AZ15" s="254" t="s">
        <v>476</v>
      </c>
      <c r="BA15" s="254">
        <v>2018.0</v>
      </c>
      <c r="BB15" s="254">
        <v>204.0</v>
      </c>
      <c r="BC15" s="254">
        <v>274.0</v>
      </c>
      <c r="BD15" s="254">
        <v>420.0</v>
      </c>
      <c r="BE15" s="254">
        <v>629.0</v>
      </c>
      <c r="BF15" s="254">
        <v>645.0</v>
      </c>
      <c r="BG15" s="254">
        <v>2172.0</v>
      </c>
      <c r="BH15" s="254"/>
      <c r="BI15" s="254">
        <v>2018.0</v>
      </c>
      <c r="BJ15" s="254">
        <v>36.0</v>
      </c>
      <c r="BK15" s="254">
        <v>0.0</v>
      </c>
      <c r="BL15" s="254">
        <v>0.0</v>
      </c>
      <c r="BM15" s="254">
        <v>0.0</v>
      </c>
      <c r="BN15" s="254">
        <v>0.0</v>
      </c>
      <c r="BO15" s="254">
        <v>36.0</v>
      </c>
      <c r="BP15" s="163"/>
      <c r="BQ15" s="255" t="s">
        <v>631</v>
      </c>
      <c r="BR15" s="255">
        <v>2018.0</v>
      </c>
      <c r="BS15" s="255">
        <v>147.0</v>
      </c>
      <c r="BT15" s="255">
        <v>211.0</v>
      </c>
      <c r="BU15" s="255">
        <v>434.0</v>
      </c>
      <c r="BV15" s="255">
        <v>618.0</v>
      </c>
      <c r="BW15" s="255">
        <v>633.0</v>
      </c>
      <c r="BX15" s="255">
        <v>2043.0</v>
      </c>
      <c r="BY15" s="255"/>
      <c r="BZ15" s="255">
        <v>2018.0</v>
      </c>
      <c r="CA15" s="255">
        <v>17.0</v>
      </c>
      <c r="CB15" s="255">
        <v>0.0</v>
      </c>
      <c r="CC15" s="255">
        <v>0.0</v>
      </c>
      <c r="CD15" s="255">
        <v>0.0</v>
      </c>
      <c r="CE15" s="255">
        <v>0.0</v>
      </c>
      <c r="CF15" s="255">
        <v>17.0</v>
      </c>
      <c r="CG15" s="163"/>
      <c r="CH15" s="57" t="s">
        <v>989</v>
      </c>
      <c r="CI15" s="57">
        <v>2018.0</v>
      </c>
      <c r="CJ15" s="57">
        <v>219.0</v>
      </c>
      <c r="CK15" s="57">
        <v>211.0</v>
      </c>
      <c r="CL15" s="57">
        <v>315.0</v>
      </c>
      <c r="CM15" s="57">
        <v>384.0</v>
      </c>
      <c r="CN15" s="57">
        <v>313.0</v>
      </c>
      <c r="CO15" s="57">
        <v>1442.0</v>
      </c>
      <c r="CP15" s="57"/>
      <c r="CQ15" s="57">
        <v>2018.0</v>
      </c>
      <c r="CR15" s="57">
        <v>35.0</v>
      </c>
      <c r="CS15" s="57">
        <v>0.0</v>
      </c>
      <c r="CT15" s="57">
        <v>0.0</v>
      </c>
      <c r="CU15" s="57">
        <v>0.0</v>
      </c>
      <c r="CV15" s="57">
        <v>0.0</v>
      </c>
      <c r="CW15" s="57">
        <v>35.0</v>
      </c>
      <c r="CX15" s="163"/>
      <c r="CY15" s="256" t="s">
        <v>701</v>
      </c>
      <c r="CZ15" s="256">
        <v>2019.0</v>
      </c>
      <c r="DA15" s="256">
        <v>414.0</v>
      </c>
      <c r="DB15" s="256">
        <v>552.0</v>
      </c>
      <c r="DC15" s="256">
        <v>670.0</v>
      </c>
      <c r="DD15" s="256">
        <v>651.0</v>
      </c>
      <c r="DE15" s="256">
        <v>490.0</v>
      </c>
      <c r="DF15" s="256">
        <v>2777.0</v>
      </c>
      <c r="DG15" s="256"/>
      <c r="DH15" s="256">
        <v>2019.0</v>
      </c>
      <c r="DI15" s="256">
        <v>35.0</v>
      </c>
      <c r="DJ15" s="256">
        <v>9.0</v>
      </c>
      <c r="DK15" s="256">
        <v>2.0</v>
      </c>
      <c r="DL15" s="256">
        <v>0.0</v>
      </c>
      <c r="DM15" s="256">
        <v>0.0</v>
      </c>
      <c r="DN15" s="256">
        <v>46.0</v>
      </c>
      <c r="DO15" s="163"/>
      <c r="DP15" s="49" t="s">
        <v>754</v>
      </c>
      <c r="DQ15" s="49">
        <v>2018.0</v>
      </c>
      <c r="DR15" s="49">
        <v>123.0</v>
      </c>
      <c r="DS15" s="49">
        <v>197.0</v>
      </c>
      <c r="DT15" s="49">
        <v>260.0</v>
      </c>
      <c r="DU15" s="49">
        <v>339.0</v>
      </c>
      <c r="DV15" s="49">
        <v>288.0</v>
      </c>
      <c r="DW15" s="49">
        <v>1207.0</v>
      </c>
      <c r="DX15" s="49"/>
      <c r="DY15" s="49">
        <v>2018.0</v>
      </c>
      <c r="DZ15" s="49">
        <v>12.0</v>
      </c>
      <c r="EA15" s="49">
        <v>4.0</v>
      </c>
      <c r="EB15" s="49">
        <v>0.0</v>
      </c>
      <c r="EC15" s="49">
        <v>0.0</v>
      </c>
      <c r="ED15" s="49">
        <v>0.0</v>
      </c>
      <c r="EE15" s="49">
        <v>16.0</v>
      </c>
      <c r="EF15" s="163"/>
      <c r="EG15" s="57" t="s">
        <v>800</v>
      </c>
      <c r="EH15" s="57">
        <v>2018.0</v>
      </c>
      <c r="EI15" s="57">
        <v>473.0</v>
      </c>
      <c r="EJ15" s="57">
        <v>683.0</v>
      </c>
      <c r="EK15" s="57">
        <v>731.0</v>
      </c>
      <c r="EL15" s="57">
        <v>897.0</v>
      </c>
      <c r="EM15" s="57">
        <v>1108.0</v>
      </c>
      <c r="EN15" s="57">
        <v>3892.0</v>
      </c>
      <c r="EO15" s="57"/>
      <c r="EP15" s="57">
        <v>2018.0</v>
      </c>
      <c r="EQ15" s="57">
        <v>102.0</v>
      </c>
      <c r="ER15" s="57">
        <v>59.0</v>
      </c>
      <c r="ES15" s="57">
        <v>35.0</v>
      </c>
      <c r="ET15" s="57">
        <v>53.0</v>
      </c>
      <c r="EU15" s="57">
        <v>56.0</v>
      </c>
      <c r="EV15" s="57">
        <v>305.0</v>
      </c>
      <c r="EW15" s="163"/>
      <c r="EX15" s="255" t="s">
        <v>874</v>
      </c>
      <c r="EY15" s="255">
        <v>2018.0</v>
      </c>
      <c r="EZ15" s="255">
        <v>1842.0</v>
      </c>
      <c r="FA15" s="255">
        <v>1412.0</v>
      </c>
      <c r="FB15" s="255">
        <v>1055.0</v>
      </c>
      <c r="FC15" s="255">
        <v>881.0</v>
      </c>
      <c r="FD15" s="255">
        <v>974.0</v>
      </c>
      <c r="FE15" s="255">
        <v>6164.0</v>
      </c>
      <c r="FF15" s="255"/>
      <c r="FG15" s="255">
        <v>2018.0</v>
      </c>
      <c r="FH15" s="255">
        <v>201.0</v>
      </c>
      <c r="FI15" s="255">
        <v>80.0</v>
      </c>
      <c r="FJ15" s="255">
        <v>0.0</v>
      </c>
      <c r="FK15" s="255">
        <v>0.0</v>
      </c>
      <c r="FL15" s="255">
        <v>0.0</v>
      </c>
      <c r="FM15" s="255">
        <v>281.0</v>
      </c>
    </row>
    <row r="16" ht="13.5" customHeight="1">
      <c r="A16" s="252" t="s">
        <v>1117</v>
      </c>
      <c r="B16" s="252">
        <v>2018.0</v>
      </c>
      <c r="C16" s="252">
        <v>28.0</v>
      </c>
      <c r="D16" s="252">
        <v>0.0</v>
      </c>
      <c r="E16" s="252">
        <v>0.0</v>
      </c>
      <c r="F16" s="252">
        <v>0.0</v>
      </c>
      <c r="G16" s="252">
        <v>0.0</v>
      </c>
      <c r="H16" s="252">
        <v>28.0</v>
      </c>
      <c r="I16" s="252"/>
      <c r="J16" s="252">
        <v>2018.0</v>
      </c>
      <c r="K16" s="252">
        <v>1064.0</v>
      </c>
      <c r="L16" s="252">
        <v>873.0</v>
      </c>
      <c r="M16" s="252">
        <v>1060.0</v>
      </c>
      <c r="N16" s="252">
        <v>1226.0</v>
      </c>
      <c r="O16" s="252">
        <v>960.0</v>
      </c>
      <c r="P16" s="252">
        <v>5183.0</v>
      </c>
      <c r="Q16" s="131"/>
      <c r="R16" s="253" t="s">
        <v>256</v>
      </c>
      <c r="S16" s="253">
        <v>2018.0</v>
      </c>
      <c r="T16" s="253" t="s">
        <v>541</v>
      </c>
      <c r="U16" s="253" t="s">
        <v>541</v>
      </c>
      <c r="V16" s="253" t="s">
        <v>541</v>
      </c>
      <c r="W16" s="253" t="s">
        <v>541</v>
      </c>
      <c r="X16" s="253" t="s">
        <v>541</v>
      </c>
      <c r="Y16" s="253" t="s">
        <v>541</v>
      </c>
      <c r="Z16" s="253"/>
      <c r="AA16" s="253">
        <v>2018.0</v>
      </c>
      <c r="AB16" s="253" t="s">
        <v>541</v>
      </c>
      <c r="AC16" s="253" t="s">
        <v>541</v>
      </c>
      <c r="AD16" s="253" t="s">
        <v>541</v>
      </c>
      <c r="AE16" s="253" t="s">
        <v>541</v>
      </c>
      <c r="AF16" s="253" t="s">
        <v>541</v>
      </c>
      <c r="AG16" s="253" t="s">
        <v>541</v>
      </c>
      <c r="AH16" s="163"/>
      <c r="AI16" s="246" t="s">
        <v>314</v>
      </c>
      <c r="AJ16" s="246">
        <v>2018.0</v>
      </c>
      <c r="AK16" s="246">
        <v>502.0</v>
      </c>
      <c r="AL16" s="246">
        <v>928.0</v>
      </c>
      <c r="AM16" s="246">
        <v>1521.0</v>
      </c>
      <c r="AN16" s="246">
        <v>1880.0</v>
      </c>
      <c r="AO16" s="246">
        <v>1207.0</v>
      </c>
      <c r="AP16" s="246">
        <v>6038.0</v>
      </c>
      <c r="AQ16" s="246"/>
      <c r="AR16" s="246">
        <v>2018.0</v>
      </c>
      <c r="AS16" s="246">
        <v>27.0</v>
      </c>
      <c r="AT16" s="246">
        <v>7.0</v>
      </c>
      <c r="AU16" s="246">
        <v>1.0</v>
      </c>
      <c r="AV16" s="246">
        <v>0.0</v>
      </c>
      <c r="AW16" s="246">
        <v>0.0</v>
      </c>
      <c r="AX16" s="246">
        <v>35.0</v>
      </c>
      <c r="AY16" s="163"/>
      <c r="AZ16" s="254" t="s">
        <v>482</v>
      </c>
      <c r="BA16" s="254">
        <v>2018.0</v>
      </c>
      <c r="BB16" s="254" t="s">
        <v>541</v>
      </c>
      <c r="BC16" s="254" t="s">
        <v>541</v>
      </c>
      <c r="BD16" s="254" t="s">
        <v>541</v>
      </c>
      <c r="BE16" s="254" t="s">
        <v>541</v>
      </c>
      <c r="BF16" s="254" t="s">
        <v>541</v>
      </c>
      <c r="BG16" s="254" t="s">
        <v>541</v>
      </c>
      <c r="BH16" s="254"/>
      <c r="BI16" s="254">
        <v>2018.0</v>
      </c>
      <c r="BJ16" s="254" t="s">
        <v>541</v>
      </c>
      <c r="BK16" s="254" t="s">
        <v>541</v>
      </c>
      <c r="BL16" s="254" t="s">
        <v>541</v>
      </c>
      <c r="BM16" s="254" t="s">
        <v>541</v>
      </c>
      <c r="BN16" s="254" t="s">
        <v>541</v>
      </c>
      <c r="BO16" s="254" t="s">
        <v>541</v>
      </c>
      <c r="BP16" s="163"/>
      <c r="BQ16" s="255" t="s">
        <v>633</v>
      </c>
      <c r="BR16" s="255">
        <v>2018.0</v>
      </c>
      <c r="BS16" s="255">
        <v>31.0</v>
      </c>
      <c r="BT16" s="255">
        <v>66.0</v>
      </c>
      <c r="BU16" s="255">
        <v>161.0</v>
      </c>
      <c r="BV16" s="255">
        <v>242.0</v>
      </c>
      <c r="BW16" s="255">
        <v>312.0</v>
      </c>
      <c r="BX16" s="255">
        <v>812.0</v>
      </c>
      <c r="BY16" s="255"/>
      <c r="BZ16" s="255">
        <v>2018.0</v>
      </c>
      <c r="CA16" s="255">
        <v>3.0</v>
      </c>
      <c r="CB16" s="255">
        <v>0.0</v>
      </c>
      <c r="CC16" s="255">
        <v>0.0</v>
      </c>
      <c r="CD16" s="255">
        <v>0.0</v>
      </c>
      <c r="CE16" s="255">
        <v>0.0</v>
      </c>
      <c r="CF16" s="255">
        <v>3.0</v>
      </c>
      <c r="CG16" s="163"/>
      <c r="CH16" s="57" t="s">
        <v>992</v>
      </c>
      <c r="CI16" s="57">
        <v>2018.0</v>
      </c>
      <c r="CJ16" s="57">
        <v>205.0</v>
      </c>
      <c r="CK16" s="57">
        <v>164.0</v>
      </c>
      <c r="CL16" s="57">
        <v>314.0</v>
      </c>
      <c r="CM16" s="57">
        <v>433.0</v>
      </c>
      <c r="CN16" s="57">
        <v>349.0</v>
      </c>
      <c r="CO16" s="57">
        <v>1465.0</v>
      </c>
      <c r="CP16" s="57"/>
      <c r="CQ16" s="57">
        <v>2018.0</v>
      </c>
      <c r="CR16" s="57">
        <v>22.0</v>
      </c>
      <c r="CS16" s="57">
        <v>0.0</v>
      </c>
      <c r="CT16" s="57">
        <v>0.0</v>
      </c>
      <c r="CU16" s="57">
        <v>0.0</v>
      </c>
      <c r="CV16" s="57">
        <v>0.0</v>
      </c>
      <c r="CW16" s="57">
        <v>22.0</v>
      </c>
      <c r="CX16" s="163"/>
      <c r="CY16" s="256" t="s">
        <v>703</v>
      </c>
      <c r="CZ16" s="256">
        <v>2019.0</v>
      </c>
      <c r="DA16" s="256">
        <v>105.0</v>
      </c>
      <c r="DB16" s="256">
        <v>168.0</v>
      </c>
      <c r="DC16" s="256">
        <v>177.0</v>
      </c>
      <c r="DD16" s="256">
        <v>253.0</v>
      </c>
      <c r="DE16" s="256">
        <v>210.0</v>
      </c>
      <c r="DF16" s="256">
        <v>913.0</v>
      </c>
      <c r="DG16" s="256"/>
      <c r="DH16" s="256">
        <v>2019.0</v>
      </c>
      <c r="DI16" s="256">
        <v>15.0</v>
      </c>
      <c r="DJ16" s="256">
        <v>4.0</v>
      </c>
      <c r="DK16" s="256">
        <v>0.0</v>
      </c>
      <c r="DL16" s="256">
        <v>0.0</v>
      </c>
      <c r="DM16" s="256">
        <v>0.0</v>
      </c>
      <c r="DN16" s="256">
        <v>19.0</v>
      </c>
      <c r="DO16" s="163"/>
      <c r="DP16" s="49" t="s">
        <v>756</v>
      </c>
      <c r="DQ16" s="49">
        <v>2018.0</v>
      </c>
      <c r="DR16" s="49">
        <v>166.0</v>
      </c>
      <c r="DS16" s="49">
        <v>277.0</v>
      </c>
      <c r="DT16" s="49">
        <v>430.0</v>
      </c>
      <c r="DU16" s="49">
        <v>605.0</v>
      </c>
      <c r="DV16" s="49">
        <v>517.0</v>
      </c>
      <c r="DW16" s="49">
        <v>1995.0</v>
      </c>
      <c r="DX16" s="49"/>
      <c r="DY16" s="49">
        <v>2018.0</v>
      </c>
      <c r="DZ16" s="49">
        <v>17.0</v>
      </c>
      <c r="EA16" s="49">
        <v>0.0</v>
      </c>
      <c r="EB16" s="49">
        <v>0.0</v>
      </c>
      <c r="EC16" s="49">
        <v>0.0</v>
      </c>
      <c r="ED16" s="49">
        <v>0.0</v>
      </c>
      <c r="EE16" s="49">
        <v>17.0</v>
      </c>
      <c r="EF16" s="163"/>
      <c r="EG16" s="57" t="s">
        <v>802</v>
      </c>
      <c r="EH16" s="57">
        <v>2018.0</v>
      </c>
      <c r="EI16" s="57">
        <v>335.0</v>
      </c>
      <c r="EJ16" s="57">
        <v>548.0</v>
      </c>
      <c r="EK16" s="57">
        <v>603.0</v>
      </c>
      <c r="EL16" s="57">
        <v>697.0</v>
      </c>
      <c r="EM16" s="57">
        <v>934.0</v>
      </c>
      <c r="EN16" s="57">
        <v>3117.0</v>
      </c>
      <c r="EO16" s="57"/>
      <c r="EP16" s="57">
        <v>2018.0</v>
      </c>
      <c r="EQ16" s="57">
        <v>90.0</v>
      </c>
      <c r="ER16" s="57">
        <v>71.0</v>
      </c>
      <c r="ES16" s="57">
        <v>34.0</v>
      </c>
      <c r="ET16" s="57">
        <v>38.0</v>
      </c>
      <c r="EU16" s="57">
        <v>44.0</v>
      </c>
      <c r="EV16" s="57">
        <v>277.0</v>
      </c>
      <c r="EW16" s="163"/>
      <c r="EX16" s="255" t="s">
        <v>876</v>
      </c>
      <c r="EY16" s="255">
        <v>2018.0</v>
      </c>
      <c r="EZ16" s="255">
        <v>388.0</v>
      </c>
      <c r="FA16" s="255">
        <v>630.0</v>
      </c>
      <c r="FB16" s="255">
        <v>738.0</v>
      </c>
      <c r="FC16" s="255">
        <v>726.0</v>
      </c>
      <c r="FD16" s="255">
        <v>813.0</v>
      </c>
      <c r="FE16" s="255">
        <v>3295.0</v>
      </c>
      <c r="FF16" s="255"/>
      <c r="FG16" s="255">
        <v>2018.0</v>
      </c>
      <c r="FH16" s="255">
        <v>29.0</v>
      </c>
      <c r="FI16" s="255">
        <v>1.0</v>
      </c>
      <c r="FJ16" s="255">
        <v>0.0</v>
      </c>
      <c r="FK16" s="255">
        <v>0.0</v>
      </c>
      <c r="FL16" s="255">
        <v>0.0</v>
      </c>
      <c r="FM16" s="255">
        <v>30.0</v>
      </c>
    </row>
    <row r="17" ht="13.5" customHeight="1">
      <c r="A17" s="252" t="s">
        <v>1121</v>
      </c>
      <c r="B17" s="252">
        <v>2018.0</v>
      </c>
      <c r="C17" s="252">
        <v>22.0</v>
      </c>
      <c r="D17" s="252">
        <v>0.0</v>
      </c>
      <c r="E17" s="252">
        <v>0.0</v>
      </c>
      <c r="F17" s="252">
        <v>0.0</v>
      </c>
      <c r="G17" s="252">
        <v>0.0</v>
      </c>
      <c r="H17" s="252">
        <v>22.0</v>
      </c>
      <c r="I17" s="252"/>
      <c r="J17" s="252">
        <v>2018.0</v>
      </c>
      <c r="K17" s="252">
        <v>592.0</v>
      </c>
      <c r="L17" s="252">
        <v>686.0</v>
      </c>
      <c r="M17" s="252">
        <v>837.0</v>
      </c>
      <c r="N17" s="252">
        <v>903.0</v>
      </c>
      <c r="O17" s="252">
        <v>660.0</v>
      </c>
      <c r="P17" s="252">
        <v>3678.0</v>
      </c>
      <c r="Q17" s="131"/>
      <c r="R17" s="253" t="s">
        <v>258</v>
      </c>
      <c r="S17" s="253">
        <v>2018.0</v>
      </c>
      <c r="T17" s="253" t="s">
        <v>541</v>
      </c>
      <c r="U17" s="253" t="s">
        <v>541</v>
      </c>
      <c r="V17" s="253" t="s">
        <v>541</v>
      </c>
      <c r="W17" s="253" t="s">
        <v>541</v>
      </c>
      <c r="X17" s="253" t="s">
        <v>541</v>
      </c>
      <c r="Y17" s="253" t="s">
        <v>541</v>
      </c>
      <c r="Z17" s="253"/>
      <c r="AA17" s="253">
        <v>2018.0</v>
      </c>
      <c r="AB17" s="253" t="s">
        <v>541</v>
      </c>
      <c r="AC17" s="253" t="s">
        <v>541</v>
      </c>
      <c r="AD17" s="253" t="s">
        <v>541</v>
      </c>
      <c r="AE17" s="253" t="s">
        <v>541</v>
      </c>
      <c r="AF17" s="253" t="s">
        <v>541</v>
      </c>
      <c r="AG17" s="253" t="s">
        <v>541</v>
      </c>
      <c r="AH17" s="163"/>
      <c r="AI17" s="246" t="s">
        <v>316</v>
      </c>
      <c r="AJ17" s="246">
        <v>2018.0</v>
      </c>
      <c r="AK17" s="246">
        <v>238.0</v>
      </c>
      <c r="AL17" s="246">
        <v>385.0</v>
      </c>
      <c r="AM17" s="246">
        <v>771.0</v>
      </c>
      <c r="AN17" s="246">
        <v>992.0</v>
      </c>
      <c r="AO17" s="246">
        <v>743.0</v>
      </c>
      <c r="AP17" s="246">
        <v>3129.0</v>
      </c>
      <c r="AQ17" s="246"/>
      <c r="AR17" s="246">
        <v>2018.0</v>
      </c>
      <c r="AS17" s="246">
        <v>18.0</v>
      </c>
      <c r="AT17" s="246">
        <v>3.0</v>
      </c>
      <c r="AU17" s="246">
        <v>1.0</v>
      </c>
      <c r="AV17" s="246">
        <v>1.0</v>
      </c>
      <c r="AW17" s="246">
        <v>0.0</v>
      </c>
      <c r="AX17" s="246">
        <v>23.0</v>
      </c>
      <c r="AY17" s="163"/>
      <c r="AZ17" s="254" t="s">
        <v>487</v>
      </c>
      <c r="BA17" s="254">
        <v>2018.0</v>
      </c>
      <c r="BB17" s="254">
        <v>933.0</v>
      </c>
      <c r="BC17" s="254">
        <v>476.0</v>
      </c>
      <c r="BD17" s="254">
        <v>721.0</v>
      </c>
      <c r="BE17" s="254">
        <v>971.0</v>
      </c>
      <c r="BF17" s="254">
        <v>925.0</v>
      </c>
      <c r="BG17" s="254">
        <v>4026.0</v>
      </c>
      <c r="BH17" s="254"/>
      <c r="BI17" s="254">
        <v>2018.0</v>
      </c>
      <c r="BJ17" s="254">
        <v>217.0</v>
      </c>
      <c r="BK17" s="254">
        <v>0.0</v>
      </c>
      <c r="BL17" s="254">
        <v>0.0</v>
      </c>
      <c r="BM17" s="254">
        <v>0.0</v>
      </c>
      <c r="BN17" s="254">
        <v>0.0</v>
      </c>
      <c r="BO17" s="254">
        <v>217.0</v>
      </c>
      <c r="BP17" s="163"/>
      <c r="BQ17" s="255" t="s">
        <v>635</v>
      </c>
      <c r="BR17" s="255">
        <v>2018.0</v>
      </c>
      <c r="BS17" s="255">
        <v>259.0</v>
      </c>
      <c r="BT17" s="255">
        <v>216.0</v>
      </c>
      <c r="BU17" s="255">
        <v>322.0</v>
      </c>
      <c r="BV17" s="255">
        <v>403.0</v>
      </c>
      <c r="BW17" s="255">
        <v>395.0</v>
      </c>
      <c r="BX17" s="255">
        <v>1595.0</v>
      </c>
      <c r="BY17" s="255"/>
      <c r="BZ17" s="255">
        <v>2018.0</v>
      </c>
      <c r="CA17" s="255">
        <v>60.0</v>
      </c>
      <c r="CB17" s="255">
        <v>0.0</v>
      </c>
      <c r="CC17" s="255">
        <v>0.0</v>
      </c>
      <c r="CD17" s="255">
        <v>0.0</v>
      </c>
      <c r="CE17" s="255">
        <v>0.0</v>
      </c>
      <c r="CF17" s="255">
        <v>60.0</v>
      </c>
      <c r="CG17" s="163"/>
      <c r="CH17" s="57" t="s">
        <v>994</v>
      </c>
      <c r="CI17" s="57">
        <v>2018.0</v>
      </c>
      <c r="CJ17" s="57" t="s">
        <v>541</v>
      </c>
      <c r="CK17" s="57" t="s">
        <v>541</v>
      </c>
      <c r="CL17" s="57" t="s">
        <v>541</v>
      </c>
      <c r="CM17" s="57" t="s">
        <v>541</v>
      </c>
      <c r="CN17" s="57" t="s">
        <v>541</v>
      </c>
      <c r="CO17" s="57" t="s">
        <v>541</v>
      </c>
      <c r="CP17" s="57"/>
      <c r="CQ17" s="57">
        <v>2018.0</v>
      </c>
      <c r="CR17" s="57" t="s">
        <v>541</v>
      </c>
      <c r="CS17" s="57" t="s">
        <v>541</v>
      </c>
      <c r="CT17" s="57" t="s">
        <v>541</v>
      </c>
      <c r="CU17" s="57" t="s">
        <v>541</v>
      </c>
      <c r="CV17" s="57" t="s">
        <v>541</v>
      </c>
      <c r="CW17" s="57" t="s">
        <v>541</v>
      </c>
      <c r="CX17" s="163"/>
      <c r="CY17" s="256" t="s">
        <v>706</v>
      </c>
      <c r="CZ17" s="256">
        <v>2019.0</v>
      </c>
      <c r="DA17" s="256">
        <v>1073.0</v>
      </c>
      <c r="DB17" s="256">
        <v>1141.0</v>
      </c>
      <c r="DC17" s="256">
        <v>1116.0</v>
      </c>
      <c r="DD17" s="256">
        <v>1361.0</v>
      </c>
      <c r="DE17" s="256">
        <v>1176.0</v>
      </c>
      <c r="DF17" s="256">
        <v>5867.0</v>
      </c>
      <c r="DG17" s="256"/>
      <c r="DH17" s="256">
        <v>2019.0</v>
      </c>
      <c r="DI17" s="256">
        <v>95.0</v>
      </c>
      <c r="DJ17" s="256">
        <v>59.0</v>
      </c>
      <c r="DK17" s="256">
        <v>13.0</v>
      </c>
      <c r="DL17" s="256">
        <v>6.0</v>
      </c>
      <c r="DM17" s="256">
        <v>5.0</v>
      </c>
      <c r="DN17" s="256">
        <v>178.0</v>
      </c>
      <c r="DO17" s="163"/>
      <c r="DP17" s="49" t="s">
        <v>758</v>
      </c>
      <c r="DQ17" s="49">
        <v>2018.0</v>
      </c>
      <c r="DR17" s="49">
        <v>184.0</v>
      </c>
      <c r="DS17" s="49">
        <v>127.0</v>
      </c>
      <c r="DT17" s="49">
        <v>152.0</v>
      </c>
      <c r="DU17" s="49">
        <v>191.0</v>
      </c>
      <c r="DV17" s="49">
        <v>197.0</v>
      </c>
      <c r="DW17" s="49">
        <v>85.0</v>
      </c>
      <c r="DX17" s="49"/>
      <c r="DY17" s="49">
        <v>2018.0</v>
      </c>
      <c r="DZ17" s="49">
        <v>8.0</v>
      </c>
      <c r="EA17" s="49">
        <v>0.0</v>
      </c>
      <c r="EB17" s="49">
        <v>0.0</v>
      </c>
      <c r="EC17" s="49">
        <v>0.0</v>
      </c>
      <c r="ED17" s="49">
        <v>0.0</v>
      </c>
      <c r="EE17" s="49">
        <v>8.0</v>
      </c>
      <c r="EF17" s="163"/>
      <c r="EG17" s="57" t="s">
        <v>804</v>
      </c>
      <c r="EH17" s="57">
        <v>2018.0</v>
      </c>
      <c r="EI17" s="57">
        <v>339.0</v>
      </c>
      <c r="EJ17" s="57">
        <v>332.0</v>
      </c>
      <c r="EK17" s="57">
        <v>379.0</v>
      </c>
      <c r="EL17" s="57">
        <v>450.0</v>
      </c>
      <c r="EM17" s="57">
        <v>597.0</v>
      </c>
      <c r="EN17" s="57">
        <v>2097.0</v>
      </c>
      <c r="EO17" s="57"/>
      <c r="EP17" s="57">
        <v>2018.0</v>
      </c>
      <c r="EQ17" s="57">
        <v>38.0</v>
      </c>
      <c r="ER17" s="57">
        <v>7.0</v>
      </c>
      <c r="ES17" s="57">
        <v>5.0</v>
      </c>
      <c r="ET17" s="57">
        <v>7.0</v>
      </c>
      <c r="EU17" s="57">
        <v>4.0</v>
      </c>
      <c r="EV17" s="57">
        <v>61.0</v>
      </c>
      <c r="EW17" s="163"/>
      <c r="EX17" s="255" t="s">
        <v>879</v>
      </c>
      <c r="EY17" s="255">
        <v>2018.0</v>
      </c>
      <c r="EZ17" s="255">
        <v>263.0</v>
      </c>
      <c r="FA17" s="255">
        <v>534.0</v>
      </c>
      <c r="FB17" s="255">
        <v>602.0</v>
      </c>
      <c r="FC17" s="255">
        <v>608.0</v>
      </c>
      <c r="FD17" s="255">
        <v>716.0</v>
      </c>
      <c r="FE17" s="255">
        <v>2723.0</v>
      </c>
      <c r="FF17" s="255"/>
      <c r="FG17" s="255">
        <v>2018.0</v>
      </c>
      <c r="FH17" s="255">
        <v>14.0</v>
      </c>
      <c r="FI17" s="255">
        <v>1.0</v>
      </c>
      <c r="FJ17" s="255">
        <v>0.0</v>
      </c>
      <c r="FK17" s="255">
        <v>0.0</v>
      </c>
      <c r="FL17" s="255">
        <v>0.0</v>
      </c>
      <c r="FM17" s="255">
        <v>15.0</v>
      </c>
    </row>
    <row r="18" ht="13.5" customHeight="1">
      <c r="A18" s="252" t="s">
        <v>1124</v>
      </c>
      <c r="B18" s="252">
        <v>2018.0</v>
      </c>
      <c r="C18" s="252">
        <v>29.0</v>
      </c>
      <c r="D18" s="252">
        <v>0.0</v>
      </c>
      <c r="E18" s="252">
        <v>0.0</v>
      </c>
      <c r="F18" s="252">
        <v>0.0</v>
      </c>
      <c r="G18" s="252">
        <v>0.0</v>
      </c>
      <c r="H18" s="252">
        <v>29.0</v>
      </c>
      <c r="I18" s="252"/>
      <c r="J18" s="252">
        <v>2018.0</v>
      </c>
      <c r="K18" s="252">
        <v>370.0</v>
      </c>
      <c r="L18" s="252">
        <v>488.0</v>
      </c>
      <c r="M18" s="252">
        <v>634.0</v>
      </c>
      <c r="N18" s="252">
        <v>682.0</v>
      </c>
      <c r="O18" s="252">
        <v>550.0</v>
      </c>
      <c r="P18" s="252">
        <v>2724.0</v>
      </c>
      <c r="Q18" s="131"/>
      <c r="R18" s="253" t="s">
        <v>260</v>
      </c>
      <c r="S18" s="253">
        <v>2018.0</v>
      </c>
      <c r="T18" s="253" t="s">
        <v>541</v>
      </c>
      <c r="U18" s="253" t="s">
        <v>541</v>
      </c>
      <c r="V18" s="253" t="s">
        <v>541</v>
      </c>
      <c r="W18" s="253" t="s">
        <v>541</v>
      </c>
      <c r="X18" s="253" t="s">
        <v>541</v>
      </c>
      <c r="Y18" s="253" t="s">
        <v>541</v>
      </c>
      <c r="Z18" s="253"/>
      <c r="AA18" s="253">
        <v>2018.0</v>
      </c>
      <c r="AB18" s="253" t="s">
        <v>541</v>
      </c>
      <c r="AC18" s="253" t="s">
        <v>541</v>
      </c>
      <c r="AD18" s="253" t="s">
        <v>541</v>
      </c>
      <c r="AE18" s="253" t="s">
        <v>541</v>
      </c>
      <c r="AF18" s="253" t="s">
        <v>541</v>
      </c>
      <c r="AG18" s="253" t="s">
        <v>541</v>
      </c>
      <c r="AH18" s="163"/>
      <c r="AI18" s="246" t="s">
        <v>318</v>
      </c>
      <c r="AJ18" s="246">
        <v>2018.0</v>
      </c>
      <c r="AK18" s="246">
        <v>155.0</v>
      </c>
      <c r="AL18" s="246">
        <v>257.0</v>
      </c>
      <c r="AM18" s="246">
        <v>534.0</v>
      </c>
      <c r="AN18" s="246">
        <v>923.0</v>
      </c>
      <c r="AO18" s="246">
        <v>665.0</v>
      </c>
      <c r="AP18" s="246">
        <v>2534.0</v>
      </c>
      <c r="AQ18" s="246"/>
      <c r="AR18" s="246">
        <v>2018.0</v>
      </c>
      <c r="AS18" s="246">
        <v>25.0</v>
      </c>
      <c r="AT18" s="246">
        <v>1.0</v>
      </c>
      <c r="AU18" s="246">
        <v>0.0</v>
      </c>
      <c r="AV18" s="246">
        <v>0.0</v>
      </c>
      <c r="AW18" s="246">
        <v>0.0</v>
      </c>
      <c r="AX18" s="246">
        <v>26.0</v>
      </c>
      <c r="AY18" s="163"/>
      <c r="AZ18" s="254" t="s">
        <v>492</v>
      </c>
      <c r="BA18" s="254">
        <v>2018.0</v>
      </c>
      <c r="BB18" s="254">
        <v>44.0</v>
      </c>
      <c r="BC18" s="254">
        <v>40.0</v>
      </c>
      <c r="BD18" s="254">
        <v>99.0</v>
      </c>
      <c r="BE18" s="254">
        <v>140.0</v>
      </c>
      <c r="BF18" s="254">
        <v>201.0</v>
      </c>
      <c r="BG18" s="254">
        <v>524.0</v>
      </c>
      <c r="BH18" s="254"/>
      <c r="BI18" s="254">
        <v>2018.0</v>
      </c>
      <c r="BJ18" s="254">
        <v>10.0</v>
      </c>
      <c r="BK18" s="254">
        <v>0.0</v>
      </c>
      <c r="BL18" s="254">
        <v>0.0</v>
      </c>
      <c r="BM18" s="254">
        <v>0.0</v>
      </c>
      <c r="BN18" s="254">
        <v>0.0</v>
      </c>
      <c r="BO18" s="254">
        <v>10.0</v>
      </c>
      <c r="BP18" s="163"/>
      <c r="BQ18" s="255" t="s">
        <v>638</v>
      </c>
      <c r="BR18" s="255">
        <v>2018.0</v>
      </c>
      <c r="BS18" s="255">
        <v>143.0</v>
      </c>
      <c r="BT18" s="255">
        <v>102.0</v>
      </c>
      <c r="BU18" s="255">
        <v>188.0</v>
      </c>
      <c r="BV18" s="255">
        <v>289.0</v>
      </c>
      <c r="BW18" s="255">
        <v>279.0</v>
      </c>
      <c r="BX18" s="255">
        <v>1001.0</v>
      </c>
      <c r="BY18" s="255"/>
      <c r="BZ18" s="255">
        <v>2018.0</v>
      </c>
      <c r="CA18" s="255">
        <v>27.0</v>
      </c>
      <c r="CB18" s="255">
        <v>0.0</v>
      </c>
      <c r="CC18" s="255">
        <v>0.0</v>
      </c>
      <c r="CD18" s="255">
        <v>0.0</v>
      </c>
      <c r="CE18" s="255">
        <v>0.0</v>
      </c>
      <c r="CF18" s="255">
        <v>27.0</v>
      </c>
      <c r="CG18" s="163"/>
      <c r="CH18" s="57" t="s">
        <v>996</v>
      </c>
      <c r="CI18" s="57">
        <v>2018.0</v>
      </c>
      <c r="CJ18" s="57">
        <v>176.0</v>
      </c>
      <c r="CK18" s="57">
        <v>242.0</v>
      </c>
      <c r="CL18" s="57">
        <v>354.0</v>
      </c>
      <c r="CM18" s="57">
        <v>407.0</v>
      </c>
      <c r="CN18" s="57">
        <v>408.0</v>
      </c>
      <c r="CO18" s="57">
        <v>1587.0</v>
      </c>
      <c r="CP18" s="57"/>
      <c r="CQ18" s="57">
        <v>2018.0</v>
      </c>
      <c r="CR18" s="57">
        <v>45.0</v>
      </c>
      <c r="CS18" s="57">
        <v>0.0</v>
      </c>
      <c r="CT18" s="57">
        <v>0.0</v>
      </c>
      <c r="CU18" s="57">
        <v>0.0</v>
      </c>
      <c r="CV18" s="57">
        <v>0.0</v>
      </c>
      <c r="CW18" s="57">
        <v>45.0</v>
      </c>
      <c r="CX18" s="163"/>
      <c r="CY18" s="256" t="s">
        <v>708</v>
      </c>
      <c r="CZ18" s="256">
        <v>2019.0</v>
      </c>
      <c r="DA18" s="256">
        <v>342.0</v>
      </c>
      <c r="DB18" s="256">
        <v>529.0</v>
      </c>
      <c r="DC18" s="256">
        <v>669.0</v>
      </c>
      <c r="DD18" s="256">
        <v>804.0</v>
      </c>
      <c r="DE18" s="256">
        <v>656.0</v>
      </c>
      <c r="DF18" s="256">
        <v>3000.0</v>
      </c>
      <c r="DG18" s="256"/>
      <c r="DH18" s="256">
        <v>2019.0</v>
      </c>
      <c r="DI18" s="256">
        <v>20.0</v>
      </c>
      <c r="DJ18" s="256">
        <v>12.0</v>
      </c>
      <c r="DK18" s="256">
        <v>3.0</v>
      </c>
      <c r="DL18" s="256">
        <v>1.0</v>
      </c>
      <c r="DM18" s="256">
        <v>0.0</v>
      </c>
      <c r="DN18" s="256">
        <v>36.0</v>
      </c>
      <c r="DO18" s="163"/>
      <c r="DP18" s="49" t="s">
        <v>760</v>
      </c>
      <c r="DQ18" s="49">
        <v>2018.0</v>
      </c>
      <c r="DR18" s="49">
        <v>299.0</v>
      </c>
      <c r="DS18" s="49">
        <v>462.0</v>
      </c>
      <c r="DT18" s="49">
        <v>523.0</v>
      </c>
      <c r="DU18" s="49">
        <v>488.0</v>
      </c>
      <c r="DV18" s="49">
        <v>362.0</v>
      </c>
      <c r="DW18" s="49">
        <v>2134.0</v>
      </c>
      <c r="DX18" s="49"/>
      <c r="DY18" s="49">
        <v>2018.0</v>
      </c>
      <c r="DZ18" s="49">
        <v>7.0</v>
      </c>
      <c r="EA18" s="49">
        <v>3.0</v>
      </c>
      <c r="EB18" s="49">
        <v>0.0</v>
      </c>
      <c r="EC18" s="49">
        <v>0.0</v>
      </c>
      <c r="ED18" s="49">
        <v>0.0</v>
      </c>
      <c r="EE18" s="49">
        <v>10.0</v>
      </c>
      <c r="EF18" s="163"/>
      <c r="EG18" s="57" t="s">
        <v>806</v>
      </c>
      <c r="EH18" s="57">
        <v>2018.0</v>
      </c>
      <c r="EI18" s="57" t="s">
        <v>541</v>
      </c>
      <c r="EJ18" s="57" t="s">
        <v>541</v>
      </c>
      <c r="EK18" s="57" t="s">
        <v>541</v>
      </c>
      <c r="EL18" s="57" t="s">
        <v>541</v>
      </c>
      <c r="EM18" s="57" t="s">
        <v>541</v>
      </c>
      <c r="EN18" s="57" t="s">
        <v>541</v>
      </c>
      <c r="EO18" s="57"/>
      <c r="EP18" s="57">
        <v>2018.0</v>
      </c>
      <c r="EQ18" s="57" t="s">
        <v>541</v>
      </c>
      <c r="ER18" s="57" t="s">
        <v>541</v>
      </c>
      <c r="ES18" s="57" t="s">
        <v>541</v>
      </c>
      <c r="ET18" s="57" t="s">
        <v>541</v>
      </c>
      <c r="EU18" s="57" t="s">
        <v>541</v>
      </c>
      <c r="EV18" s="57" t="s">
        <v>541</v>
      </c>
      <c r="EW18" s="163"/>
      <c r="EX18" s="255" t="s">
        <v>881</v>
      </c>
      <c r="EY18" s="255">
        <v>2018.0</v>
      </c>
      <c r="EZ18" s="255">
        <v>651.0</v>
      </c>
      <c r="FA18" s="255">
        <v>860.0</v>
      </c>
      <c r="FB18" s="255">
        <v>774.0</v>
      </c>
      <c r="FC18" s="255">
        <v>719.0</v>
      </c>
      <c r="FD18" s="255">
        <v>875.0</v>
      </c>
      <c r="FE18" s="255">
        <v>3879.0</v>
      </c>
      <c r="FF18" s="255"/>
      <c r="FG18" s="255">
        <v>2018.0</v>
      </c>
      <c r="FH18" s="255">
        <v>48.0</v>
      </c>
      <c r="FI18" s="255">
        <v>3.0</v>
      </c>
      <c r="FJ18" s="255">
        <v>0.0</v>
      </c>
      <c r="FK18" s="255">
        <v>0.0</v>
      </c>
      <c r="FL18" s="255">
        <v>0.0</v>
      </c>
      <c r="FM18" s="255">
        <v>51.0</v>
      </c>
    </row>
    <row r="19" ht="13.5" customHeight="1">
      <c r="A19" s="252" t="s">
        <v>1127</v>
      </c>
      <c r="B19" s="252">
        <v>2018.0</v>
      </c>
      <c r="C19" s="252">
        <v>16.0</v>
      </c>
      <c r="D19" s="252">
        <v>0.0</v>
      </c>
      <c r="E19" s="252">
        <v>0.0</v>
      </c>
      <c r="F19" s="252">
        <v>0.0</v>
      </c>
      <c r="G19" s="252">
        <v>0.0</v>
      </c>
      <c r="H19" s="252">
        <v>16.0</v>
      </c>
      <c r="I19" s="252"/>
      <c r="J19" s="252">
        <v>2018.0</v>
      </c>
      <c r="K19" s="252">
        <v>149.0</v>
      </c>
      <c r="L19" s="252">
        <v>226.0</v>
      </c>
      <c r="M19" s="252">
        <v>365.0</v>
      </c>
      <c r="N19" s="252">
        <v>431.0</v>
      </c>
      <c r="O19" s="252">
        <v>342.0</v>
      </c>
      <c r="P19" s="252">
        <v>1513.0</v>
      </c>
      <c r="Q19" s="131"/>
      <c r="R19" s="253" t="s">
        <v>262</v>
      </c>
      <c r="S19" s="253">
        <v>2018.0</v>
      </c>
      <c r="T19" s="253">
        <v>309.0</v>
      </c>
      <c r="U19" s="253">
        <v>221.0</v>
      </c>
      <c r="V19" s="253">
        <v>385.0</v>
      </c>
      <c r="W19" s="253">
        <v>565.0</v>
      </c>
      <c r="X19" s="253">
        <v>488.0</v>
      </c>
      <c r="Y19" s="253">
        <v>1968.0</v>
      </c>
      <c r="Z19" s="253"/>
      <c r="AA19" s="253">
        <v>2018.0</v>
      </c>
      <c r="AB19" s="253">
        <v>23.0</v>
      </c>
      <c r="AC19" s="253">
        <v>0.0</v>
      </c>
      <c r="AD19" s="253">
        <v>0.0</v>
      </c>
      <c r="AE19" s="253">
        <v>0.0</v>
      </c>
      <c r="AF19" s="253">
        <v>0.0</v>
      </c>
      <c r="AG19" s="253">
        <v>23.0</v>
      </c>
      <c r="AH19" s="163"/>
      <c r="AI19" s="246" t="s">
        <v>320</v>
      </c>
      <c r="AJ19" s="246">
        <v>2018.0</v>
      </c>
      <c r="AK19" s="246">
        <v>330.0</v>
      </c>
      <c r="AL19" s="246">
        <v>243.0</v>
      </c>
      <c r="AM19" s="246">
        <v>353.0</v>
      </c>
      <c r="AN19" s="246">
        <v>491.0</v>
      </c>
      <c r="AO19" s="246">
        <v>529.0</v>
      </c>
      <c r="AP19" s="246">
        <v>1946.0</v>
      </c>
      <c r="AQ19" s="246"/>
      <c r="AR19" s="246">
        <v>2018.0</v>
      </c>
      <c r="AS19" s="246">
        <v>115.0</v>
      </c>
      <c r="AT19" s="246">
        <v>0.0</v>
      </c>
      <c r="AU19" s="246">
        <v>0.0</v>
      </c>
      <c r="AV19" s="246">
        <v>0.0</v>
      </c>
      <c r="AW19" s="246">
        <v>0.0</v>
      </c>
      <c r="AX19" s="246">
        <v>115.0</v>
      </c>
      <c r="AY19" s="163"/>
      <c r="AZ19" s="254" t="s">
        <v>497</v>
      </c>
      <c r="BA19" s="254">
        <v>2018.0</v>
      </c>
      <c r="BB19" s="254">
        <v>496.0</v>
      </c>
      <c r="BC19" s="254">
        <v>413.0</v>
      </c>
      <c r="BD19" s="254">
        <v>734.0</v>
      </c>
      <c r="BE19" s="254">
        <v>975.0</v>
      </c>
      <c r="BF19" s="254">
        <v>950.0</v>
      </c>
      <c r="BG19" s="254">
        <v>3568.0</v>
      </c>
      <c r="BH19" s="254"/>
      <c r="BI19" s="254">
        <v>2018.0</v>
      </c>
      <c r="BJ19" s="254">
        <v>52.0</v>
      </c>
      <c r="BK19" s="254">
        <v>0.0</v>
      </c>
      <c r="BL19" s="254">
        <v>0.0</v>
      </c>
      <c r="BM19" s="254">
        <v>0.0</v>
      </c>
      <c r="BN19" s="254">
        <v>0.0</v>
      </c>
      <c r="BO19" s="254">
        <v>52.0</v>
      </c>
      <c r="BP19" s="163"/>
      <c r="BQ19" s="255" t="s">
        <v>641</v>
      </c>
      <c r="BR19" s="255">
        <v>2018.0</v>
      </c>
      <c r="BS19" s="255">
        <v>73.0</v>
      </c>
      <c r="BT19" s="255">
        <v>41.0</v>
      </c>
      <c r="BU19" s="255">
        <v>69.0</v>
      </c>
      <c r="BV19" s="255">
        <v>119.0</v>
      </c>
      <c r="BW19" s="255">
        <v>104.0</v>
      </c>
      <c r="BX19" s="255">
        <v>406.0</v>
      </c>
      <c r="BY19" s="255"/>
      <c r="BZ19" s="255">
        <v>2018.0</v>
      </c>
      <c r="CA19" s="255">
        <v>16.0</v>
      </c>
      <c r="CB19" s="255">
        <v>0.0</v>
      </c>
      <c r="CC19" s="255">
        <v>0.0</v>
      </c>
      <c r="CD19" s="255">
        <v>0.0</v>
      </c>
      <c r="CE19" s="255">
        <v>0.0</v>
      </c>
      <c r="CF19" s="255">
        <v>16.0</v>
      </c>
      <c r="CG19" s="163"/>
      <c r="CH19" s="57" t="s">
        <v>689</v>
      </c>
      <c r="CI19" s="57">
        <v>2018.0</v>
      </c>
      <c r="CJ19" s="57">
        <v>90.0</v>
      </c>
      <c r="CK19" s="57">
        <v>58.0</v>
      </c>
      <c r="CL19" s="57">
        <v>130.0</v>
      </c>
      <c r="CM19" s="57">
        <v>197.0</v>
      </c>
      <c r="CN19" s="57">
        <v>234.0</v>
      </c>
      <c r="CO19" s="57">
        <v>709.0</v>
      </c>
      <c r="CP19" s="57"/>
      <c r="CQ19" s="57">
        <v>2018.0</v>
      </c>
      <c r="CR19" s="57">
        <v>36.0</v>
      </c>
      <c r="CS19" s="57">
        <v>0.0</v>
      </c>
      <c r="CT19" s="57">
        <v>0.0</v>
      </c>
      <c r="CU19" s="57">
        <v>0.0</v>
      </c>
      <c r="CV19" s="57">
        <v>0.0</v>
      </c>
      <c r="CW19" s="57">
        <v>36.0</v>
      </c>
      <c r="CX19" s="163"/>
      <c r="CY19" s="256" t="s">
        <v>710</v>
      </c>
      <c r="CZ19" s="256">
        <v>2019.0</v>
      </c>
      <c r="DA19" s="256">
        <v>341.0</v>
      </c>
      <c r="DB19" s="256">
        <v>564.0</v>
      </c>
      <c r="DC19" s="256">
        <v>715.0</v>
      </c>
      <c r="DD19" s="256">
        <v>823.0</v>
      </c>
      <c r="DE19" s="256">
        <v>795.0</v>
      </c>
      <c r="DF19" s="256">
        <v>3238.0</v>
      </c>
      <c r="DG19" s="256"/>
      <c r="DH19" s="256">
        <v>2019.0</v>
      </c>
      <c r="DI19" s="256">
        <v>16.0</v>
      </c>
      <c r="DJ19" s="256">
        <v>9.0</v>
      </c>
      <c r="DK19" s="256">
        <v>3.0</v>
      </c>
      <c r="DL19" s="256">
        <v>1.0</v>
      </c>
      <c r="DM19" s="256">
        <v>0.0</v>
      </c>
      <c r="DN19" s="256">
        <v>29.0</v>
      </c>
      <c r="DO19" s="163"/>
      <c r="DP19" s="49" t="s">
        <v>762</v>
      </c>
      <c r="DQ19" s="49">
        <v>2018.0</v>
      </c>
      <c r="DR19" s="49">
        <v>507.0</v>
      </c>
      <c r="DS19" s="49">
        <v>794.0</v>
      </c>
      <c r="DT19" s="49">
        <v>1251.0</v>
      </c>
      <c r="DU19" s="49">
        <v>1701.0</v>
      </c>
      <c r="DV19" s="49">
        <v>1369.0</v>
      </c>
      <c r="DW19" s="49">
        <v>5622.0</v>
      </c>
      <c r="DX19" s="49"/>
      <c r="DY19" s="49">
        <v>2018.0</v>
      </c>
      <c r="DZ19" s="49">
        <v>21.0</v>
      </c>
      <c r="EA19" s="49">
        <v>3.0</v>
      </c>
      <c r="EB19" s="49">
        <v>0.0</v>
      </c>
      <c r="EC19" s="49">
        <v>0.0</v>
      </c>
      <c r="ED19" s="49">
        <v>0.0</v>
      </c>
      <c r="EE19" s="49">
        <v>24.0</v>
      </c>
      <c r="EF19" s="163"/>
      <c r="EG19" s="57" t="s">
        <v>808</v>
      </c>
      <c r="EH19" s="57">
        <v>2018.0</v>
      </c>
      <c r="EI19" s="57" t="s">
        <v>541</v>
      </c>
      <c r="EJ19" s="57" t="s">
        <v>541</v>
      </c>
      <c r="EK19" s="57" t="s">
        <v>541</v>
      </c>
      <c r="EL19" s="57" t="s">
        <v>541</v>
      </c>
      <c r="EM19" s="57" t="s">
        <v>541</v>
      </c>
      <c r="EN19" s="57" t="s">
        <v>541</v>
      </c>
      <c r="EO19" s="57"/>
      <c r="EP19" s="57">
        <v>2018.0</v>
      </c>
      <c r="EQ19" s="57" t="s">
        <v>541</v>
      </c>
      <c r="ER19" s="57" t="s">
        <v>541</v>
      </c>
      <c r="ES19" s="57" t="s">
        <v>541</v>
      </c>
      <c r="ET19" s="57" t="s">
        <v>541</v>
      </c>
      <c r="EU19" s="57" t="s">
        <v>541</v>
      </c>
      <c r="EV19" s="57" t="s">
        <v>541</v>
      </c>
      <c r="EW19" s="163"/>
      <c r="EX19" s="255" t="s">
        <v>883</v>
      </c>
      <c r="EY19" s="255">
        <v>2018.0</v>
      </c>
      <c r="EZ19" s="255" t="s">
        <v>541</v>
      </c>
      <c r="FA19" s="255" t="s">
        <v>541</v>
      </c>
      <c r="FB19" s="255" t="s">
        <v>541</v>
      </c>
      <c r="FC19" s="255" t="s">
        <v>541</v>
      </c>
      <c r="FD19" s="255" t="s">
        <v>541</v>
      </c>
      <c r="FE19" s="255" t="s">
        <v>541</v>
      </c>
      <c r="FF19" s="255"/>
      <c r="FG19" s="255">
        <v>2018.0</v>
      </c>
      <c r="FH19" s="255" t="s">
        <v>541</v>
      </c>
      <c r="FI19" s="255" t="s">
        <v>541</v>
      </c>
      <c r="FJ19" s="255" t="s">
        <v>541</v>
      </c>
      <c r="FK19" s="255" t="s">
        <v>541</v>
      </c>
      <c r="FL19" s="255" t="s">
        <v>541</v>
      </c>
      <c r="FM19" s="255" t="s">
        <v>541</v>
      </c>
    </row>
    <row r="20" ht="13.5" customHeight="1">
      <c r="A20" s="252" t="s">
        <v>408</v>
      </c>
      <c r="B20" s="252">
        <v>2018.0</v>
      </c>
      <c r="C20" s="252">
        <v>54.0</v>
      </c>
      <c r="D20" s="252">
        <v>6.0</v>
      </c>
      <c r="E20" s="252">
        <v>0.0</v>
      </c>
      <c r="F20" s="252">
        <v>1.0</v>
      </c>
      <c r="G20" s="252">
        <v>0.0</v>
      </c>
      <c r="H20" s="252">
        <v>61.0</v>
      </c>
      <c r="I20" s="252"/>
      <c r="J20" s="252">
        <v>2018.0</v>
      </c>
      <c r="K20" s="252">
        <v>388.0</v>
      </c>
      <c r="L20" s="252">
        <v>468.0</v>
      </c>
      <c r="M20" s="252">
        <v>558.0</v>
      </c>
      <c r="N20" s="252">
        <v>693.0</v>
      </c>
      <c r="O20" s="252">
        <v>524.0</v>
      </c>
      <c r="P20" s="252">
        <v>2631.0</v>
      </c>
      <c r="Q20" s="131"/>
      <c r="R20" s="253" t="s">
        <v>264</v>
      </c>
      <c r="S20" s="253">
        <v>2018.0</v>
      </c>
      <c r="T20" s="253">
        <v>241.0</v>
      </c>
      <c r="U20" s="253">
        <v>303.0</v>
      </c>
      <c r="V20" s="253">
        <v>500.0</v>
      </c>
      <c r="W20" s="253">
        <v>679.0</v>
      </c>
      <c r="X20" s="253">
        <v>551.0</v>
      </c>
      <c r="Y20" s="253">
        <v>2274.0</v>
      </c>
      <c r="Z20" s="253"/>
      <c r="AA20" s="253">
        <v>2018.0</v>
      </c>
      <c r="AB20" s="253">
        <v>22.0</v>
      </c>
      <c r="AC20" s="253">
        <v>2.0</v>
      </c>
      <c r="AD20" s="253">
        <v>0.0</v>
      </c>
      <c r="AE20" s="253">
        <v>0.0</v>
      </c>
      <c r="AF20" s="253">
        <v>0.0</v>
      </c>
      <c r="AG20" s="253">
        <v>24.0</v>
      </c>
      <c r="AH20" s="163"/>
      <c r="AI20" s="246" t="s">
        <v>322</v>
      </c>
      <c r="AJ20" s="246">
        <v>2018.0</v>
      </c>
      <c r="AK20" s="246">
        <v>397.0</v>
      </c>
      <c r="AL20" s="246">
        <v>255.0</v>
      </c>
      <c r="AM20" s="246">
        <v>408.0</v>
      </c>
      <c r="AN20" s="246">
        <v>570.0</v>
      </c>
      <c r="AO20" s="246">
        <v>583.0</v>
      </c>
      <c r="AP20" s="246">
        <v>2213.0</v>
      </c>
      <c r="AQ20" s="246"/>
      <c r="AR20" s="246">
        <v>2018.0</v>
      </c>
      <c r="AS20" s="246">
        <v>92.0</v>
      </c>
      <c r="AT20" s="246">
        <v>1.0</v>
      </c>
      <c r="AU20" s="246">
        <v>0.0</v>
      </c>
      <c r="AV20" s="246">
        <v>0.0</v>
      </c>
      <c r="AW20" s="246">
        <v>0.0</v>
      </c>
      <c r="AX20" s="246">
        <v>93.0</v>
      </c>
      <c r="AY20" s="163"/>
      <c r="AZ20" s="254" t="s">
        <v>502</v>
      </c>
      <c r="BA20" s="254">
        <v>2018.0</v>
      </c>
      <c r="BB20" s="254">
        <v>118.0</v>
      </c>
      <c r="BC20" s="254">
        <v>79.0</v>
      </c>
      <c r="BD20" s="254">
        <v>129.0</v>
      </c>
      <c r="BE20" s="254">
        <v>182.0</v>
      </c>
      <c r="BF20" s="254">
        <v>192.0</v>
      </c>
      <c r="BG20" s="254">
        <v>700.0</v>
      </c>
      <c r="BH20" s="254"/>
      <c r="BI20" s="254">
        <v>2018.0</v>
      </c>
      <c r="BJ20" s="254">
        <v>33.0</v>
      </c>
      <c r="BK20" s="254">
        <v>0.0</v>
      </c>
      <c r="BL20" s="254">
        <v>0.0</v>
      </c>
      <c r="BM20" s="254">
        <v>0.0</v>
      </c>
      <c r="BN20" s="254">
        <v>0.0</v>
      </c>
      <c r="BO20" s="254">
        <v>33.0</v>
      </c>
      <c r="BP20" s="163"/>
      <c r="BQ20" s="255" t="s">
        <v>644</v>
      </c>
      <c r="BR20" s="255">
        <v>2018.0</v>
      </c>
      <c r="BS20" s="255">
        <v>152.0</v>
      </c>
      <c r="BT20" s="255">
        <v>143.0</v>
      </c>
      <c r="BU20" s="255">
        <v>236.0</v>
      </c>
      <c r="BV20" s="255">
        <v>329.0</v>
      </c>
      <c r="BW20" s="255">
        <v>335.0</v>
      </c>
      <c r="BX20" s="255">
        <v>1195.0</v>
      </c>
      <c r="BY20" s="255"/>
      <c r="BZ20" s="255">
        <v>2018.0</v>
      </c>
      <c r="CA20" s="255">
        <v>45.0</v>
      </c>
      <c r="CB20" s="255">
        <v>1.0</v>
      </c>
      <c r="CC20" s="255">
        <v>0.0</v>
      </c>
      <c r="CD20" s="255">
        <v>0.0</v>
      </c>
      <c r="CE20" s="255">
        <v>0.0</v>
      </c>
      <c r="CF20" s="255">
        <v>46.0</v>
      </c>
      <c r="CG20" s="163"/>
      <c r="CH20" s="57" t="s">
        <v>999</v>
      </c>
      <c r="CI20" s="57">
        <v>2018.0</v>
      </c>
      <c r="CJ20" s="57">
        <v>37.0</v>
      </c>
      <c r="CK20" s="57">
        <v>102.0</v>
      </c>
      <c r="CL20" s="57">
        <v>219.0</v>
      </c>
      <c r="CM20" s="57">
        <v>327.0</v>
      </c>
      <c r="CN20" s="57">
        <v>351.0</v>
      </c>
      <c r="CO20" s="57">
        <v>1036.0</v>
      </c>
      <c r="CP20" s="57"/>
      <c r="CQ20" s="57">
        <v>2018.0</v>
      </c>
      <c r="CR20" s="57">
        <v>10.0</v>
      </c>
      <c r="CS20" s="57">
        <v>0.0</v>
      </c>
      <c r="CT20" s="57">
        <v>0.0</v>
      </c>
      <c r="CU20" s="57">
        <v>0.0</v>
      </c>
      <c r="CV20" s="57">
        <v>0.0</v>
      </c>
      <c r="CW20" s="57">
        <v>10.0</v>
      </c>
      <c r="CX20" s="163"/>
      <c r="CY20" s="256" t="s">
        <v>712</v>
      </c>
      <c r="CZ20" s="256">
        <v>2019.0</v>
      </c>
      <c r="DA20" s="256">
        <v>133.0</v>
      </c>
      <c r="DB20" s="256">
        <v>211.0</v>
      </c>
      <c r="DC20" s="256">
        <v>271.0</v>
      </c>
      <c r="DD20" s="256">
        <v>353.0</v>
      </c>
      <c r="DE20" s="256">
        <v>382.0</v>
      </c>
      <c r="DF20" s="256">
        <v>1350.0</v>
      </c>
      <c r="DG20" s="256"/>
      <c r="DH20" s="256">
        <v>2019.0</v>
      </c>
      <c r="DI20" s="256">
        <v>10.0</v>
      </c>
      <c r="DJ20" s="256">
        <v>12.0</v>
      </c>
      <c r="DK20" s="256">
        <v>1.0</v>
      </c>
      <c r="DL20" s="256">
        <v>2.0</v>
      </c>
      <c r="DM20" s="256">
        <v>3.0</v>
      </c>
      <c r="DN20" s="256">
        <v>28.0</v>
      </c>
      <c r="DO20" s="163"/>
      <c r="DP20" s="49" t="s">
        <v>764</v>
      </c>
      <c r="DQ20" s="49">
        <v>2018.0</v>
      </c>
      <c r="DR20" s="49">
        <v>269.0</v>
      </c>
      <c r="DS20" s="49">
        <v>369.0</v>
      </c>
      <c r="DT20" s="49">
        <v>486.0</v>
      </c>
      <c r="DU20" s="49">
        <v>542.0</v>
      </c>
      <c r="DV20" s="49">
        <v>412.0</v>
      </c>
      <c r="DW20" s="49">
        <v>2078.0</v>
      </c>
      <c r="DX20" s="49"/>
      <c r="DY20" s="49">
        <v>2018.0</v>
      </c>
      <c r="DZ20" s="49">
        <v>18.0</v>
      </c>
      <c r="EA20" s="49">
        <v>1.0</v>
      </c>
      <c r="EB20" s="49">
        <v>0.0</v>
      </c>
      <c r="EC20" s="49">
        <v>0.0</v>
      </c>
      <c r="ED20" s="49">
        <v>0.0</v>
      </c>
      <c r="EE20" s="49">
        <v>19.0</v>
      </c>
      <c r="EF20" s="163"/>
      <c r="EG20" s="57" t="s">
        <v>810</v>
      </c>
      <c r="EH20" s="57">
        <v>2018.0</v>
      </c>
      <c r="EI20" s="57" t="s">
        <v>541</v>
      </c>
      <c r="EJ20" s="57" t="s">
        <v>541</v>
      </c>
      <c r="EK20" s="57" t="s">
        <v>541</v>
      </c>
      <c r="EL20" s="57" t="s">
        <v>541</v>
      </c>
      <c r="EM20" s="57" t="s">
        <v>541</v>
      </c>
      <c r="EN20" s="57" t="s">
        <v>541</v>
      </c>
      <c r="EO20" s="57"/>
      <c r="EP20" s="57">
        <v>2018.0</v>
      </c>
      <c r="EQ20" s="57" t="s">
        <v>541</v>
      </c>
      <c r="ER20" s="57" t="s">
        <v>541</v>
      </c>
      <c r="ES20" s="57" t="s">
        <v>541</v>
      </c>
      <c r="ET20" s="57" t="s">
        <v>541</v>
      </c>
      <c r="EU20" s="57" t="s">
        <v>541</v>
      </c>
      <c r="EV20" s="57" t="s">
        <v>541</v>
      </c>
      <c r="EW20" s="163"/>
      <c r="EX20" s="255" t="s">
        <v>886</v>
      </c>
      <c r="EY20" s="255">
        <v>2018.0</v>
      </c>
      <c r="EZ20" s="255">
        <v>471.0</v>
      </c>
      <c r="FA20" s="255">
        <v>584.0</v>
      </c>
      <c r="FB20" s="255">
        <v>709.0</v>
      </c>
      <c r="FC20" s="255">
        <v>837.0</v>
      </c>
      <c r="FD20" s="255">
        <v>926.0</v>
      </c>
      <c r="FE20" s="255">
        <v>3527.0</v>
      </c>
      <c r="FF20" s="255"/>
      <c r="FG20" s="255">
        <v>2018.0</v>
      </c>
      <c r="FH20" s="255">
        <v>89.0</v>
      </c>
      <c r="FI20" s="255">
        <v>8.0</v>
      </c>
      <c r="FJ20" s="255">
        <v>0.0</v>
      </c>
      <c r="FK20" s="255">
        <v>0.0</v>
      </c>
      <c r="FL20" s="255">
        <v>0.0</v>
      </c>
      <c r="FM20" s="255">
        <v>97.0</v>
      </c>
    </row>
    <row r="21" ht="13.5" customHeight="1">
      <c r="A21" s="252" t="s">
        <v>1133</v>
      </c>
      <c r="B21" s="252">
        <v>2018.0</v>
      </c>
      <c r="C21" s="252">
        <v>51.0</v>
      </c>
      <c r="D21" s="252">
        <v>0.0</v>
      </c>
      <c r="E21" s="252">
        <v>0.0</v>
      </c>
      <c r="F21" s="252">
        <v>0.0</v>
      </c>
      <c r="G21" s="252">
        <v>0.0</v>
      </c>
      <c r="H21" s="252">
        <v>51.0</v>
      </c>
      <c r="I21" s="252"/>
      <c r="J21" s="252">
        <v>2018.0</v>
      </c>
      <c r="K21" s="252">
        <v>149.0</v>
      </c>
      <c r="L21" s="252">
        <v>163.0</v>
      </c>
      <c r="M21" s="252">
        <v>169.0</v>
      </c>
      <c r="N21" s="252">
        <v>255.0</v>
      </c>
      <c r="O21" s="252">
        <v>284.0</v>
      </c>
      <c r="P21" s="252">
        <v>1020.0</v>
      </c>
      <c r="Q21" s="131"/>
      <c r="R21" s="253" t="s">
        <v>266</v>
      </c>
      <c r="S21" s="253">
        <v>2018.0</v>
      </c>
      <c r="T21" s="253">
        <v>1181.0</v>
      </c>
      <c r="U21" s="253">
        <v>1277.0</v>
      </c>
      <c r="V21" s="253">
        <v>1379.0</v>
      </c>
      <c r="W21" s="253">
        <v>1541.0</v>
      </c>
      <c r="X21" s="253">
        <v>1074.0</v>
      </c>
      <c r="Y21" s="253">
        <v>6452.0</v>
      </c>
      <c r="Z21" s="253"/>
      <c r="AA21" s="253">
        <v>2018.0</v>
      </c>
      <c r="AB21" s="253">
        <v>138.0</v>
      </c>
      <c r="AC21" s="253">
        <v>25.0</v>
      </c>
      <c r="AD21" s="253">
        <v>5.0</v>
      </c>
      <c r="AE21" s="253">
        <v>6.0</v>
      </c>
      <c r="AF21" s="253">
        <v>4.0</v>
      </c>
      <c r="AG21" s="253">
        <v>178.0</v>
      </c>
      <c r="AH21" s="163"/>
      <c r="AI21" s="246" t="s">
        <v>324</v>
      </c>
      <c r="AJ21" s="246">
        <v>2018.0</v>
      </c>
      <c r="AK21" s="246">
        <v>465.0</v>
      </c>
      <c r="AL21" s="246">
        <v>283.0</v>
      </c>
      <c r="AM21" s="246">
        <v>446.0</v>
      </c>
      <c r="AN21" s="246">
        <v>542.0</v>
      </c>
      <c r="AO21" s="246">
        <v>582.0</v>
      </c>
      <c r="AP21" s="246">
        <v>2318.0</v>
      </c>
      <c r="AQ21" s="246"/>
      <c r="AR21" s="246">
        <v>2018.0</v>
      </c>
      <c r="AS21" s="246">
        <v>126.0</v>
      </c>
      <c r="AT21" s="246">
        <v>0.0</v>
      </c>
      <c r="AU21" s="246">
        <v>0.0</v>
      </c>
      <c r="AV21" s="246">
        <v>0.0</v>
      </c>
      <c r="AW21" s="246">
        <v>0.0</v>
      </c>
      <c r="AX21" s="246">
        <v>126.0</v>
      </c>
      <c r="AY21" s="163"/>
      <c r="AZ21" s="254" t="s">
        <v>504</v>
      </c>
      <c r="BA21" s="254">
        <v>2018.0</v>
      </c>
      <c r="BB21" s="254">
        <v>228.0</v>
      </c>
      <c r="BC21" s="254">
        <v>193.0</v>
      </c>
      <c r="BD21" s="254">
        <v>316.0</v>
      </c>
      <c r="BE21" s="254">
        <v>449.0</v>
      </c>
      <c r="BF21" s="254">
        <v>389.0</v>
      </c>
      <c r="BG21" s="254">
        <v>1575.0</v>
      </c>
      <c r="BH21" s="254"/>
      <c r="BI21" s="254">
        <v>2018.0</v>
      </c>
      <c r="BJ21" s="254">
        <v>92.0</v>
      </c>
      <c r="BK21" s="254">
        <v>0.0</v>
      </c>
      <c r="BL21" s="254">
        <v>0.0</v>
      </c>
      <c r="BM21" s="254">
        <v>0.0</v>
      </c>
      <c r="BN21" s="254">
        <v>0.0</v>
      </c>
      <c r="BO21" s="254">
        <v>92.0</v>
      </c>
      <c r="BP21" s="163"/>
      <c r="BQ21" s="255" t="s">
        <v>647</v>
      </c>
      <c r="BR21" s="255">
        <v>2018.0</v>
      </c>
      <c r="BS21" s="255">
        <v>736.0</v>
      </c>
      <c r="BT21" s="255">
        <v>424.0</v>
      </c>
      <c r="BU21" s="255">
        <v>297.0</v>
      </c>
      <c r="BV21" s="255">
        <v>243.0</v>
      </c>
      <c r="BW21" s="255">
        <v>233.0</v>
      </c>
      <c r="BX21" s="255">
        <v>1933.0</v>
      </c>
      <c r="BY21" s="255"/>
      <c r="BZ21" s="255">
        <v>2018.0</v>
      </c>
      <c r="CA21" s="255">
        <v>30.0</v>
      </c>
      <c r="CB21" s="255">
        <v>0.0</v>
      </c>
      <c r="CC21" s="255">
        <v>0.0</v>
      </c>
      <c r="CD21" s="255">
        <v>0.0</v>
      </c>
      <c r="CE21" s="255">
        <v>0.0</v>
      </c>
      <c r="CF21" s="255">
        <v>30.0</v>
      </c>
      <c r="CG21" s="163"/>
      <c r="CH21" s="57" t="s">
        <v>1001</v>
      </c>
      <c r="CI21" s="57">
        <v>2018.0</v>
      </c>
      <c r="CJ21" s="57">
        <v>93.0</v>
      </c>
      <c r="CK21" s="57">
        <v>62.0</v>
      </c>
      <c r="CL21" s="57">
        <v>67.0</v>
      </c>
      <c r="CM21" s="57">
        <v>53.0</v>
      </c>
      <c r="CN21" s="57">
        <v>44.0</v>
      </c>
      <c r="CO21" s="57">
        <v>319.0</v>
      </c>
      <c r="CP21" s="57"/>
      <c r="CQ21" s="57">
        <v>2018.0</v>
      </c>
      <c r="CR21" s="57">
        <v>20.0</v>
      </c>
      <c r="CS21" s="57">
        <v>0.0</v>
      </c>
      <c r="CT21" s="57">
        <v>0.0</v>
      </c>
      <c r="CU21" s="57">
        <v>0.0</v>
      </c>
      <c r="CV21" s="57">
        <v>0.0</v>
      </c>
      <c r="CW21" s="57">
        <v>20.0</v>
      </c>
      <c r="CX21" s="163"/>
      <c r="CY21" s="256" t="s">
        <v>714</v>
      </c>
      <c r="CZ21" s="256">
        <v>2019.0</v>
      </c>
      <c r="DA21" s="256">
        <v>847.0</v>
      </c>
      <c r="DB21" s="256">
        <v>1026.0</v>
      </c>
      <c r="DC21" s="256">
        <v>1375.0</v>
      </c>
      <c r="DD21" s="256">
        <v>1623.0</v>
      </c>
      <c r="DE21" s="256">
        <v>1278.0</v>
      </c>
      <c r="DF21" s="256">
        <v>6149.0</v>
      </c>
      <c r="DG21" s="256"/>
      <c r="DH21" s="256">
        <v>2019.0</v>
      </c>
      <c r="DI21" s="256">
        <v>70.0</v>
      </c>
      <c r="DJ21" s="256">
        <v>40.0</v>
      </c>
      <c r="DK21" s="256">
        <v>9.0</v>
      </c>
      <c r="DL21" s="256">
        <v>6.0</v>
      </c>
      <c r="DM21" s="256">
        <v>2.0</v>
      </c>
      <c r="DN21" s="256">
        <v>127.0</v>
      </c>
      <c r="DO21" s="163"/>
      <c r="DP21" s="49" t="s">
        <v>766</v>
      </c>
      <c r="DQ21" s="49">
        <v>2018.0</v>
      </c>
      <c r="DR21" s="49">
        <v>168.0</v>
      </c>
      <c r="DS21" s="49">
        <v>132.0</v>
      </c>
      <c r="DT21" s="49">
        <v>123.0</v>
      </c>
      <c r="DU21" s="49">
        <v>157.0</v>
      </c>
      <c r="DV21" s="49">
        <v>170.0</v>
      </c>
      <c r="DW21" s="49">
        <v>750.0</v>
      </c>
      <c r="DX21" s="49"/>
      <c r="DY21" s="49">
        <v>2018.0</v>
      </c>
      <c r="DZ21" s="49">
        <v>16.0</v>
      </c>
      <c r="EA21" s="49">
        <v>1.0</v>
      </c>
      <c r="EB21" s="49">
        <v>0.0</v>
      </c>
      <c r="EC21" s="49">
        <v>0.0</v>
      </c>
      <c r="ED21" s="49">
        <v>0.0</v>
      </c>
      <c r="EE21" s="49">
        <v>17.0</v>
      </c>
      <c r="EF21" s="163"/>
      <c r="EG21" s="57" t="s">
        <v>812</v>
      </c>
      <c r="EH21" s="57">
        <v>2018.0</v>
      </c>
      <c r="EI21" s="57">
        <v>303.0</v>
      </c>
      <c r="EJ21" s="57">
        <v>493.0</v>
      </c>
      <c r="EK21" s="57">
        <v>579.0</v>
      </c>
      <c r="EL21" s="57">
        <v>755.0</v>
      </c>
      <c r="EM21" s="57">
        <v>878.0</v>
      </c>
      <c r="EN21" s="57">
        <v>3008.0</v>
      </c>
      <c r="EO21" s="57"/>
      <c r="EP21" s="57">
        <v>2018.0</v>
      </c>
      <c r="EQ21" s="57">
        <v>54.0</v>
      </c>
      <c r="ER21" s="57">
        <v>31.0</v>
      </c>
      <c r="ES21" s="57">
        <v>21.0</v>
      </c>
      <c r="ET21" s="57">
        <v>20.0</v>
      </c>
      <c r="EU21" s="57">
        <v>37.0</v>
      </c>
      <c r="EV21" s="57">
        <v>163.0</v>
      </c>
      <c r="EW21" s="163"/>
      <c r="EX21" s="255" t="s">
        <v>889</v>
      </c>
      <c r="EY21" s="255">
        <v>2018.0</v>
      </c>
      <c r="EZ21" s="255">
        <v>557.0</v>
      </c>
      <c r="FA21" s="255">
        <v>647.0</v>
      </c>
      <c r="FB21" s="255">
        <v>786.0</v>
      </c>
      <c r="FC21" s="255">
        <v>842.0</v>
      </c>
      <c r="FD21" s="255">
        <v>886.0</v>
      </c>
      <c r="FE21" s="255">
        <v>3718.0</v>
      </c>
      <c r="FF21" s="255"/>
      <c r="FG21" s="255">
        <v>2018.0</v>
      </c>
      <c r="FH21" s="255">
        <v>67.0</v>
      </c>
      <c r="FI21" s="255">
        <v>32.0</v>
      </c>
      <c r="FJ21" s="255">
        <v>0.0</v>
      </c>
      <c r="FK21" s="255">
        <v>0.0</v>
      </c>
      <c r="FL21" s="255">
        <v>0.0</v>
      </c>
      <c r="FM21" s="255">
        <v>99.0</v>
      </c>
    </row>
    <row r="22" ht="13.5" customHeight="1">
      <c r="A22" s="252" t="s">
        <v>1136</v>
      </c>
      <c r="B22" s="252">
        <v>2018.0</v>
      </c>
      <c r="C22" s="252" t="s">
        <v>541</v>
      </c>
      <c r="D22" s="252" t="s">
        <v>541</v>
      </c>
      <c r="E22" s="252" t="s">
        <v>541</v>
      </c>
      <c r="F22" s="252" t="s">
        <v>541</v>
      </c>
      <c r="G22" s="252" t="s">
        <v>541</v>
      </c>
      <c r="H22" s="252" t="s">
        <v>541</v>
      </c>
      <c r="I22" s="252"/>
      <c r="J22" s="252">
        <v>2018.0</v>
      </c>
      <c r="K22" s="252" t="s">
        <v>541</v>
      </c>
      <c r="L22" s="252" t="s">
        <v>541</v>
      </c>
      <c r="M22" s="252" t="s">
        <v>541</v>
      </c>
      <c r="N22" s="252" t="s">
        <v>541</v>
      </c>
      <c r="O22" s="252" t="s">
        <v>541</v>
      </c>
      <c r="P22" s="252" t="s">
        <v>541</v>
      </c>
      <c r="Q22" s="131"/>
      <c r="R22" s="253" t="s">
        <v>268</v>
      </c>
      <c r="S22" s="253">
        <v>2018.0</v>
      </c>
      <c r="T22" s="253">
        <v>1047.0</v>
      </c>
      <c r="U22" s="253">
        <v>1221.0</v>
      </c>
      <c r="V22" s="253">
        <v>1571.0</v>
      </c>
      <c r="W22" s="253">
        <v>1755.0</v>
      </c>
      <c r="X22" s="253">
        <v>1238.0</v>
      </c>
      <c r="Y22" s="253">
        <v>6832.0</v>
      </c>
      <c r="Z22" s="253"/>
      <c r="AA22" s="253">
        <v>2018.0</v>
      </c>
      <c r="AB22" s="253">
        <v>81.0</v>
      </c>
      <c r="AC22" s="253">
        <v>5.0</v>
      </c>
      <c r="AD22" s="253">
        <v>0.0</v>
      </c>
      <c r="AE22" s="253">
        <v>2.0</v>
      </c>
      <c r="AF22" s="253">
        <v>1.0</v>
      </c>
      <c r="AG22" s="253">
        <v>89.0</v>
      </c>
      <c r="AH22" s="163"/>
      <c r="AI22" s="246" t="s">
        <v>326</v>
      </c>
      <c r="AJ22" s="246">
        <v>2018.0</v>
      </c>
      <c r="AK22" s="246">
        <v>1086.0</v>
      </c>
      <c r="AL22" s="246">
        <v>926.0</v>
      </c>
      <c r="AM22" s="246">
        <v>1079.0</v>
      </c>
      <c r="AN22" s="246">
        <v>1143.0</v>
      </c>
      <c r="AO22" s="246">
        <v>843.0</v>
      </c>
      <c r="AP22" s="246">
        <v>5077.0</v>
      </c>
      <c r="AQ22" s="246"/>
      <c r="AR22" s="246">
        <v>2018.0</v>
      </c>
      <c r="AS22" s="246">
        <v>155.0</v>
      </c>
      <c r="AT22" s="246">
        <v>1.0</v>
      </c>
      <c r="AU22" s="246">
        <v>0.0</v>
      </c>
      <c r="AV22" s="246">
        <v>0.0</v>
      </c>
      <c r="AW22" s="246">
        <v>0.0</v>
      </c>
      <c r="AX22" s="246">
        <v>156.0</v>
      </c>
      <c r="AY22" s="163"/>
      <c r="AZ22" s="254" t="s">
        <v>506</v>
      </c>
      <c r="BA22" s="254">
        <v>2018.0</v>
      </c>
      <c r="BB22" s="254">
        <v>146.0</v>
      </c>
      <c r="BC22" s="254">
        <v>53.0</v>
      </c>
      <c r="BD22" s="254">
        <v>122.0</v>
      </c>
      <c r="BE22" s="254">
        <v>172.0</v>
      </c>
      <c r="BF22" s="254">
        <v>166.0</v>
      </c>
      <c r="BG22" s="254">
        <v>659.0</v>
      </c>
      <c r="BH22" s="254"/>
      <c r="BI22" s="254">
        <v>2018.0</v>
      </c>
      <c r="BJ22" s="254">
        <v>32.0</v>
      </c>
      <c r="BK22" s="254">
        <v>0.0</v>
      </c>
      <c r="BL22" s="254">
        <v>0.0</v>
      </c>
      <c r="BM22" s="254">
        <v>0.0</v>
      </c>
      <c r="BN22" s="254">
        <v>0.0</v>
      </c>
      <c r="BO22" s="254">
        <v>32.0</v>
      </c>
      <c r="BP22" s="163"/>
      <c r="BQ22" s="255" t="s">
        <v>650</v>
      </c>
      <c r="BR22" s="255">
        <v>2018.0</v>
      </c>
      <c r="BS22" s="255">
        <v>81.0</v>
      </c>
      <c r="BT22" s="255">
        <v>84.0</v>
      </c>
      <c r="BU22" s="255">
        <v>171.0</v>
      </c>
      <c r="BV22" s="255">
        <v>285.0</v>
      </c>
      <c r="BW22" s="255">
        <v>244.0</v>
      </c>
      <c r="BX22" s="255">
        <v>865.0</v>
      </c>
      <c r="BY22" s="255"/>
      <c r="BZ22" s="255">
        <v>2018.0</v>
      </c>
      <c r="CA22" s="255">
        <v>24.0</v>
      </c>
      <c r="CB22" s="255">
        <v>0.0</v>
      </c>
      <c r="CC22" s="255">
        <v>0.0</v>
      </c>
      <c r="CD22" s="255">
        <v>0.0</v>
      </c>
      <c r="CE22" s="255">
        <v>0.0</v>
      </c>
      <c r="CF22" s="255">
        <v>24.0</v>
      </c>
      <c r="CG22" s="163"/>
      <c r="CH22" s="57" t="s">
        <v>1005</v>
      </c>
      <c r="CI22" s="57">
        <v>2018.0</v>
      </c>
      <c r="CJ22" s="57" t="s">
        <v>541</v>
      </c>
      <c r="CK22" s="57" t="s">
        <v>541</v>
      </c>
      <c r="CL22" s="57" t="s">
        <v>541</v>
      </c>
      <c r="CM22" s="57" t="s">
        <v>541</v>
      </c>
      <c r="CN22" s="57" t="s">
        <v>541</v>
      </c>
      <c r="CO22" s="57" t="s">
        <v>541</v>
      </c>
      <c r="CP22" s="57"/>
      <c r="CQ22" s="57">
        <v>2018.0</v>
      </c>
      <c r="CR22" s="57" t="s">
        <v>541</v>
      </c>
      <c r="CS22" s="57" t="s">
        <v>541</v>
      </c>
      <c r="CT22" s="57" t="s">
        <v>541</v>
      </c>
      <c r="CU22" s="57" t="s">
        <v>541</v>
      </c>
      <c r="CV22" s="57" t="s">
        <v>541</v>
      </c>
      <c r="CW22" s="57" t="s">
        <v>541</v>
      </c>
      <c r="CX22" s="163"/>
      <c r="CY22" s="256" t="s">
        <v>716</v>
      </c>
      <c r="CZ22" s="256">
        <v>2019.0</v>
      </c>
      <c r="DA22" s="256">
        <v>144.0</v>
      </c>
      <c r="DB22" s="256">
        <v>219.0</v>
      </c>
      <c r="DC22" s="256">
        <v>260.0</v>
      </c>
      <c r="DD22" s="256">
        <v>325.0</v>
      </c>
      <c r="DE22" s="256">
        <v>253.0</v>
      </c>
      <c r="DF22" s="256">
        <v>1201.0</v>
      </c>
      <c r="DG22" s="256"/>
      <c r="DH22" s="256">
        <v>2019.0</v>
      </c>
      <c r="DI22" s="256">
        <v>7.0</v>
      </c>
      <c r="DJ22" s="256">
        <v>11.0</v>
      </c>
      <c r="DK22" s="256">
        <v>0.0</v>
      </c>
      <c r="DL22" s="256">
        <v>2.0</v>
      </c>
      <c r="DM22" s="256">
        <v>2.0</v>
      </c>
      <c r="DN22" s="256">
        <v>22.0</v>
      </c>
      <c r="DO22" s="163"/>
      <c r="DP22" s="49" t="s">
        <v>768</v>
      </c>
      <c r="DQ22" s="49">
        <v>2018.0</v>
      </c>
      <c r="DR22" s="49">
        <v>247.0</v>
      </c>
      <c r="DS22" s="49">
        <v>283.0</v>
      </c>
      <c r="DT22" s="49">
        <v>381.0</v>
      </c>
      <c r="DU22" s="49">
        <v>406.0</v>
      </c>
      <c r="DV22" s="49">
        <v>293.0</v>
      </c>
      <c r="DW22" s="49">
        <v>1610.0</v>
      </c>
      <c r="DX22" s="49"/>
      <c r="DY22" s="49">
        <v>2018.0</v>
      </c>
      <c r="DZ22" s="49">
        <v>16.0</v>
      </c>
      <c r="EA22" s="49">
        <v>1.0</v>
      </c>
      <c r="EB22" s="49">
        <v>0.0</v>
      </c>
      <c r="EC22" s="49">
        <v>0.0</v>
      </c>
      <c r="ED22" s="49">
        <v>0.0</v>
      </c>
      <c r="EE22" s="49">
        <v>17.0</v>
      </c>
      <c r="EF22" s="163"/>
      <c r="EG22" s="57" t="s">
        <v>814</v>
      </c>
      <c r="EH22" s="57">
        <v>2018.0</v>
      </c>
      <c r="EI22" s="57" t="s">
        <v>541</v>
      </c>
      <c r="EJ22" s="57" t="s">
        <v>541</v>
      </c>
      <c r="EK22" s="57" t="s">
        <v>541</v>
      </c>
      <c r="EL22" s="57" t="s">
        <v>541</v>
      </c>
      <c r="EM22" s="57" t="s">
        <v>541</v>
      </c>
      <c r="EN22" s="57" t="s">
        <v>541</v>
      </c>
      <c r="EO22" s="57"/>
      <c r="EP22" s="57">
        <v>2018.0</v>
      </c>
      <c r="EQ22" s="57" t="s">
        <v>541</v>
      </c>
      <c r="ER22" s="57" t="s">
        <v>541</v>
      </c>
      <c r="ES22" s="57" t="s">
        <v>541</v>
      </c>
      <c r="ET22" s="57" t="s">
        <v>541</v>
      </c>
      <c r="EU22" s="57" t="s">
        <v>541</v>
      </c>
      <c r="EV22" s="57" t="s">
        <v>541</v>
      </c>
      <c r="EW22" s="163"/>
      <c r="EX22" s="255" t="s">
        <v>891</v>
      </c>
      <c r="EY22" s="255">
        <v>2018.0</v>
      </c>
      <c r="EZ22" s="255">
        <v>567.0</v>
      </c>
      <c r="FA22" s="255">
        <v>663.0</v>
      </c>
      <c r="FB22" s="255">
        <v>780.0</v>
      </c>
      <c r="FC22" s="255">
        <v>800.0</v>
      </c>
      <c r="FD22" s="255">
        <v>927.0</v>
      </c>
      <c r="FE22" s="255">
        <v>3737.0</v>
      </c>
      <c r="FF22" s="255"/>
      <c r="FG22" s="255">
        <v>2018.0</v>
      </c>
      <c r="FH22" s="255">
        <v>85.0</v>
      </c>
      <c r="FI22" s="255">
        <v>12.0</v>
      </c>
      <c r="FJ22" s="255">
        <v>0.0</v>
      </c>
      <c r="FK22" s="255">
        <v>0.0</v>
      </c>
      <c r="FL22" s="255">
        <v>0.0</v>
      </c>
      <c r="FM22" s="255">
        <v>97.0</v>
      </c>
    </row>
    <row r="23" ht="13.5" customHeight="1">
      <c r="A23" s="252" t="s">
        <v>1140</v>
      </c>
      <c r="B23" s="252">
        <v>2018.0</v>
      </c>
      <c r="C23" s="252" t="s">
        <v>541</v>
      </c>
      <c r="D23" s="252" t="s">
        <v>541</v>
      </c>
      <c r="E23" s="252" t="s">
        <v>541</v>
      </c>
      <c r="F23" s="252" t="s">
        <v>541</v>
      </c>
      <c r="G23" s="252" t="s">
        <v>541</v>
      </c>
      <c r="H23" s="252" t="s">
        <v>541</v>
      </c>
      <c r="I23" s="252"/>
      <c r="J23" s="252">
        <v>2018.0</v>
      </c>
      <c r="K23" s="252" t="s">
        <v>541</v>
      </c>
      <c r="L23" s="252" t="s">
        <v>541</v>
      </c>
      <c r="M23" s="252" t="s">
        <v>541</v>
      </c>
      <c r="N23" s="252" t="s">
        <v>541</v>
      </c>
      <c r="O23" s="252" t="s">
        <v>541</v>
      </c>
      <c r="P23" s="252" t="s">
        <v>541</v>
      </c>
      <c r="Q23" s="131"/>
      <c r="R23" s="253" t="s">
        <v>270</v>
      </c>
      <c r="S23" s="253">
        <v>2018.0</v>
      </c>
      <c r="T23" s="253">
        <v>1042.0</v>
      </c>
      <c r="U23" s="253">
        <v>585.0</v>
      </c>
      <c r="V23" s="253">
        <v>615.0</v>
      </c>
      <c r="W23" s="253">
        <v>685.0</v>
      </c>
      <c r="X23" s="253">
        <v>550.0</v>
      </c>
      <c r="Y23" s="253">
        <v>3477.0</v>
      </c>
      <c r="Z23" s="253"/>
      <c r="AA23" s="253">
        <v>2018.0</v>
      </c>
      <c r="AB23" s="253">
        <v>11.0</v>
      </c>
      <c r="AC23" s="253">
        <v>1.0</v>
      </c>
      <c r="AD23" s="253">
        <v>0.0</v>
      </c>
      <c r="AE23" s="253">
        <v>0.0</v>
      </c>
      <c r="AF23" s="253">
        <v>0.0</v>
      </c>
      <c r="AG23" s="253">
        <v>12.0</v>
      </c>
      <c r="AH23" s="163"/>
      <c r="AI23" s="246" t="s">
        <v>328</v>
      </c>
      <c r="AJ23" s="246">
        <v>2018.0</v>
      </c>
      <c r="AK23" s="246">
        <v>343.0</v>
      </c>
      <c r="AL23" s="246">
        <v>289.0</v>
      </c>
      <c r="AM23" s="246">
        <v>407.0</v>
      </c>
      <c r="AN23" s="246">
        <v>633.0</v>
      </c>
      <c r="AO23" s="246">
        <v>631.0</v>
      </c>
      <c r="AP23" s="246">
        <v>2303.0</v>
      </c>
      <c r="AQ23" s="246"/>
      <c r="AR23" s="246">
        <v>2018.0</v>
      </c>
      <c r="AS23" s="246">
        <v>42.0</v>
      </c>
      <c r="AT23" s="246">
        <v>1.0</v>
      </c>
      <c r="AU23" s="246">
        <v>0.0</v>
      </c>
      <c r="AV23" s="246">
        <v>0.0</v>
      </c>
      <c r="AW23" s="246">
        <v>0.0</v>
      </c>
      <c r="AX23" s="246">
        <v>43.0</v>
      </c>
      <c r="AY23" s="163"/>
      <c r="AZ23" s="254" t="s">
        <v>508</v>
      </c>
      <c r="BA23" s="254">
        <v>2018.0</v>
      </c>
      <c r="BB23" s="254">
        <v>35.0</v>
      </c>
      <c r="BC23" s="254">
        <v>34.0</v>
      </c>
      <c r="BD23" s="254">
        <v>91.0</v>
      </c>
      <c r="BE23" s="254">
        <v>127.0</v>
      </c>
      <c r="BF23" s="254">
        <v>122.0</v>
      </c>
      <c r="BG23" s="254">
        <v>409.0</v>
      </c>
      <c r="BH23" s="254"/>
      <c r="BI23" s="254">
        <v>2018.0</v>
      </c>
      <c r="BJ23" s="254">
        <v>15.0</v>
      </c>
      <c r="BK23" s="254">
        <v>1.0</v>
      </c>
      <c r="BL23" s="254">
        <v>0.0</v>
      </c>
      <c r="BM23" s="254">
        <v>0.0</v>
      </c>
      <c r="BN23" s="254">
        <v>0.0</v>
      </c>
      <c r="BO23" s="254">
        <v>16.0</v>
      </c>
      <c r="BP23" s="163"/>
      <c r="BQ23" s="255" t="s">
        <v>653</v>
      </c>
      <c r="BR23" s="255">
        <v>2018.0</v>
      </c>
      <c r="BS23" s="255">
        <v>50.0</v>
      </c>
      <c r="BT23" s="255">
        <v>79.0</v>
      </c>
      <c r="BU23" s="255">
        <v>163.0</v>
      </c>
      <c r="BV23" s="255">
        <v>280.0</v>
      </c>
      <c r="BW23" s="255">
        <v>290.0</v>
      </c>
      <c r="BX23" s="255">
        <v>862.0</v>
      </c>
      <c r="BY23" s="255"/>
      <c r="BZ23" s="255">
        <v>2018.0</v>
      </c>
      <c r="CA23" s="255">
        <v>14.0</v>
      </c>
      <c r="CB23" s="255">
        <v>0.0</v>
      </c>
      <c r="CC23" s="255">
        <v>0.0</v>
      </c>
      <c r="CD23" s="255">
        <v>0.0</v>
      </c>
      <c r="CE23" s="255">
        <v>0.0</v>
      </c>
      <c r="CF23" s="255">
        <v>14.0</v>
      </c>
      <c r="CG23" s="163"/>
      <c r="CH23" s="57" t="s">
        <v>1007</v>
      </c>
      <c r="CI23" s="57">
        <v>2018.0</v>
      </c>
      <c r="CJ23" s="57">
        <v>72.0</v>
      </c>
      <c r="CK23" s="57">
        <v>132.0</v>
      </c>
      <c r="CL23" s="57">
        <v>298.0</v>
      </c>
      <c r="CM23" s="57">
        <v>484.0</v>
      </c>
      <c r="CN23" s="57">
        <v>410.0</v>
      </c>
      <c r="CO23" s="57">
        <v>1396.0</v>
      </c>
      <c r="CP23" s="57"/>
      <c r="CQ23" s="57">
        <v>2018.0</v>
      </c>
      <c r="CR23" s="57">
        <v>15.0</v>
      </c>
      <c r="CS23" s="57">
        <v>1.0</v>
      </c>
      <c r="CT23" s="57">
        <v>0.0</v>
      </c>
      <c r="CU23" s="57">
        <v>0.0</v>
      </c>
      <c r="CV23" s="57">
        <v>0.0</v>
      </c>
      <c r="CW23" s="57">
        <v>16.0</v>
      </c>
      <c r="CX23" s="163"/>
      <c r="CY23" s="256" t="s">
        <v>718</v>
      </c>
      <c r="CZ23" s="256">
        <v>2019.0</v>
      </c>
      <c r="DA23" s="256">
        <v>341.0</v>
      </c>
      <c r="DB23" s="256">
        <v>556.0</v>
      </c>
      <c r="DC23" s="256">
        <v>721.0</v>
      </c>
      <c r="DD23" s="256">
        <v>941.0</v>
      </c>
      <c r="DE23" s="256">
        <v>701.0</v>
      </c>
      <c r="DF23" s="256">
        <v>3260.0</v>
      </c>
      <c r="DG23" s="256"/>
      <c r="DH23" s="256">
        <v>2019.0</v>
      </c>
      <c r="DI23" s="256">
        <v>15.0</v>
      </c>
      <c r="DJ23" s="256">
        <v>6.0</v>
      </c>
      <c r="DK23" s="256">
        <v>1.0</v>
      </c>
      <c r="DL23" s="256">
        <v>3.0</v>
      </c>
      <c r="DM23" s="256">
        <v>0.0</v>
      </c>
      <c r="DN23" s="256">
        <v>25.0</v>
      </c>
      <c r="DO23" s="163"/>
      <c r="DP23" s="49" t="s">
        <v>770</v>
      </c>
      <c r="DQ23" s="49">
        <v>2018.0</v>
      </c>
      <c r="DR23" s="49">
        <v>130.0</v>
      </c>
      <c r="DS23" s="49">
        <v>132.0</v>
      </c>
      <c r="DT23" s="49">
        <v>189.0</v>
      </c>
      <c r="DU23" s="49">
        <v>221.0</v>
      </c>
      <c r="DV23" s="49">
        <v>220.0</v>
      </c>
      <c r="DW23" s="49">
        <v>892.0</v>
      </c>
      <c r="DX23" s="49"/>
      <c r="DY23" s="49">
        <v>2018.0</v>
      </c>
      <c r="DZ23" s="49">
        <v>13.0</v>
      </c>
      <c r="EA23" s="49">
        <v>0.0</v>
      </c>
      <c r="EB23" s="49">
        <v>0.0</v>
      </c>
      <c r="EC23" s="49">
        <v>0.0</v>
      </c>
      <c r="ED23" s="49">
        <v>0.0</v>
      </c>
      <c r="EE23" s="49">
        <v>13.0</v>
      </c>
      <c r="EF23" s="163"/>
      <c r="EG23" s="57" t="s">
        <v>816</v>
      </c>
      <c r="EH23" s="57">
        <v>2018.0</v>
      </c>
      <c r="EI23" s="57" t="s">
        <v>541</v>
      </c>
      <c r="EJ23" s="57" t="s">
        <v>541</v>
      </c>
      <c r="EK23" s="57" t="s">
        <v>541</v>
      </c>
      <c r="EL23" s="57" t="s">
        <v>541</v>
      </c>
      <c r="EM23" s="57" t="s">
        <v>541</v>
      </c>
      <c r="EN23" s="57" t="s">
        <v>541</v>
      </c>
      <c r="EO23" s="57"/>
      <c r="EP23" s="57">
        <v>2018.0</v>
      </c>
      <c r="EQ23" s="57" t="s">
        <v>541</v>
      </c>
      <c r="ER23" s="57" t="s">
        <v>541</v>
      </c>
      <c r="ES23" s="57" t="s">
        <v>541</v>
      </c>
      <c r="ET23" s="57" t="s">
        <v>541</v>
      </c>
      <c r="EU23" s="57" t="s">
        <v>541</v>
      </c>
      <c r="EV23" s="57" t="s">
        <v>541</v>
      </c>
      <c r="EW23" s="163"/>
      <c r="EX23" s="255" t="s">
        <v>893</v>
      </c>
      <c r="EY23" s="255">
        <v>2018.0</v>
      </c>
      <c r="EZ23" s="255">
        <v>2297.0</v>
      </c>
      <c r="FA23" s="255">
        <v>1249.0</v>
      </c>
      <c r="FB23" s="255">
        <v>908.0</v>
      </c>
      <c r="FC23" s="255">
        <v>806.0</v>
      </c>
      <c r="FD23" s="255">
        <v>903.0</v>
      </c>
      <c r="FE23" s="255">
        <v>6163.0</v>
      </c>
      <c r="FF23" s="255"/>
      <c r="FG23" s="255">
        <v>2018.0</v>
      </c>
      <c r="FH23" s="255">
        <v>277.0</v>
      </c>
      <c r="FI23" s="255">
        <v>0.0</v>
      </c>
      <c r="FJ23" s="255">
        <v>0.0</v>
      </c>
      <c r="FK23" s="255">
        <v>0.0</v>
      </c>
      <c r="FL23" s="255">
        <v>0.0</v>
      </c>
      <c r="FM23" s="255">
        <v>277.0</v>
      </c>
    </row>
    <row r="24" ht="13.5" customHeight="1">
      <c r="A24" s="252" t="s">
        <v>1143</v>
      </c>
      <c r="B24" s="252">
        <v>2018.0</v>
      </c>
      <c r="C24" s="252" t="s">
        <v>541</v>
      </c>
      <c r="D24" s="252" t="s">
        <v>541</v>
      </c>
      <c r="E24" s="252" t="s">
        <v>541</v>
      </c>
      <c r="F24" s="252" t="s">
        <v>541</v>
      </c>
      <c r="G24" s="252" t="s">
        <v>541</v>
      </c>
      <c r="H24" s="252" t="s">
        <v>541</v>
      </c>
      <c r="I24" s="252"/>
      <c r="J24" s="252">
        <v>2018.0</v>
      </c>
      <c r="K24" s="252" t="s">
        <v>541</v>
      </c>
      <c r="L24" s="252" t="s">
        <v>541</v>
      </c>
      <c r="M24" s="252" t="s">
        <v>541</v>
      </c>
      <c r="N24" s="252" t="s">
        <v>541</v>
      </c>
      <c r="O24" s="252" t="s">
        <v>541</v>
      </c>
      <c r="P24" s="252" t="s">
        <v>541</v>
      </c>
      <c r="Q24" s="131"/>
      <c r="R24" s="253" t="s">
        <v>272</v>
      </c>
      <c r="S24" s="253">
        <v>2018.0</v>
      </c>
      <c r="T24" s="253">
        <v>154.0</v>
      </c>
      <c r="U24" s="253">
        <v>234.0</v>
      </c>
      <c r="V24" s="253">
        <v>425.0</v>
      </c>
      <c r="W24" s="253">
        <v>502.0</v>
      </c>
      <c r="X24" s="253">
        <v>396.0</v>
      </c>
      <c r="Y24" s="253">
        <v>1711.0</v>
      </c>
      <c r="Z24" s="253"/>
      <c r="AA24" s="253">
        <v>2018.0</v>
      </c>
      <c r="AB24" s="253">
        <v>10.0</v>
      </c>
      <c r="AC24" s="253">
        <v>2.0</v>
      </c>
      <c r="AD24" s="253">
        <v>3.0</v>
      </c>
      <c r="AE24" s="253">
        <v>1.0</v>
      </c>
      <c r="AF24" s="253">
        <v>1.0</v>
      </c>
      <c r="AG24" s="253">
        <v>17.0</v>
      </c>
      <c r="AH24" s="163"/>
      <c r="AI24" s="246" t="s">
        <v>330</v>
      </c>
      <c r="AJ24" s="246">
        <v>2018.0</v>
      </c>
      <c r="AK24" s="246">
        <v>622.0</v>
      </c>
      <c r="AL24" s="246">
        <v>481.0</v>
      </c>
      <c r="AM24" s="246">
        <v>894.0</v>
      </c>
      <c r="AN24" s="246">
        <v>1279.0</v>
      </c>
      <c r="AO24" s="246">
        <v>1122.0</v>
      </c>
      <c r="AP24" s="246">
        <v>4398.0</v>
      </c>
      <c r="AQ24" s="246"/>
      <c r="AR24" s="246">
        <v>2018.0</v>
      </c>
      <c r="AS24" s="246">
        <v>38.0</v>
      </c>
      <c r="AT24" s="246">
        <v>0.0</v>
      </c>
      <c r="AU24" s="246">
        <v>0.0</v>
      </c>
      <c r="AV24" s="246">
        <v>0.0</v>
      </c>
      <c r="AW24" s="246">
        <v>0.0</v>
      </c>
      <c r="AX24" s="246">
        <v>38.0</v>
      </c>
      <c r="AY24" s="163"/>
      <c r="AZ24" s="254" t="s">
        <v>510</v>
      </c>
      <c r="BA24" s="254">
        <v>2018.0</v>
      </c>
      <c r="BB24" s="254">
        <v>106.0</v>
      </c>
      <c r="BC24" s="254">
        <v>69.0</v>
      </c>
      <c r="BD24" s="254">
        <v>118.0</v>
      </c>
      <c r="BE24" s="254">
        <v>135.0</v>
      </c>
      <c r="BF24" s="254">
        <v>174.0</v>
      </c>
      <c r="BG24" s="254">
        <v>602.0</v>
      </c>
      <c r="BH24" s="254"/>
      <c r="BI24" s="254">
        <v>2018.0</v>
      </c>
      <c r="BJ24" s="254">
        <v>15.0</v>
      </c>
      <c r="BK24" s="254">
        <v>0.0</v>
      </c>
      <c r="BL24" s="254">
        <v>0.0</v>
      </c>
      <c r="BM24" s="254">
        <v>0.0</v>
      </c>
      <c r="BN24" s="254">
        <v>0.0</v>
      </c>
      <c r="BO24" s="254">
        <v>15.0</v>
      </c>
      <c r="BP24" s="163"/>
      <c r="BQ24" s="255" t="s">
        <v>656</v>
      </c>
      <c r="BR24" s="255">
        <v>2018.0</v>
      </c>
      <c r="BS24" s="255">
        <v>58.0</v>
      </c>
      <c r="BT24" s="255">
        <v>77.0</v>
      </c>
      <c r="BU24" s="255">
        <v>142.0</v>
      </c>
      <c r="BV24" s="255">
        <v>236.0</v>
      </c>
      <c r="BW24" s="255">
        <v>209.0</v>
      </c>
      <c r="BX24" s="255">
        <v>722.0</v>
      </c>
      <c r="BY24" s="255"/>
      <c r="BZ24" s="255">
        <v>2018.0</v>
      </c>
      <c r="CA24" s="255">
        <v>17.0</v>
      </c>
      <c r="CB24" s="255">
        <v>0.0</v>
      </c>
      <c r="CC24" s="255">
        <v>0.0</v>
      </c>
      <c r="CD24" s="255">
        <v>0.0</v>
      </c>
      <c r="CE24" s="255">
        <v>0.0</v>
      </c>
      <c r="CF24" s="255">
        <v>17.0</v>
      </c>
      <c r="CG24" s="163"/>
      <c r="CH24" s="57" t="s">
        <v>1009</v>
      </c>
      <c r="CI24" s="57">
        <v>2018.0</v>
      </c>
      <c r="CJ24" s="57">
        <v>1143.0</v>
      </c>
      <c r="CK24" s="57">
        <v>628.0</v>
      </c>
      <c r="CL24" s="57">
        <v>835.0</v>
      </c>
      <c r="CM24" s="57">
        <v>865.0</v>
      </c>
      <c r="CN24" s="57">
        <v>747.0</v>
      </c>
      <c r="CO24" s="57">
        <v>4218.0</v>
      </c>
      <c r="CP24" s="57"/>
      <c r="CQ24" s="57">
        <v>2018.0</v>
      </c>
      <c r="CR24" s="57">
        <v>337.0</v>
      </c>
      <c r="CS24" s="57">
        <v>1.0</v>
      </c>
      <c r="CT24" s="57">
        <v>1.0</v>
      </c>
      <c r="CU24" s="57">
        <v>1.0</v>
      </c>
      <c r="CV24" s="57">
        <v>0.0</v>
      </c>
      <c r="CW24" s="57">
        <v>340.0</v>
      </c>
      <c r="CX24" s="163"/>
      <c r="CY24" s="256" t="s">
        <v>720</v>
      </c>
      <c r="CZ24" s="256">
        <v>2019.0</v>
      </c>
      <c r="DA24" s="256">
        <v>353.0</v>
      </c>
      <c r="DB24" s="256">
        <v>442.0</v>
      </c>
      <c r="DC24" s="256">
        <v>589.0</v>
      </c>
      <c r="DD24" s="256">
        <v>644.0</v>
      </c>
      <c r="DE24" s="256">
        <v>499.0</v>
      </c>
      <c r="DF24" s="256">
        <v>2527.0</v>
      </c>
      <c r="DG24" s="256"/>
      <c r="DH24" s="256">
        <v>2019.0</v>
      </c>
      <c r="DI24" s="256">
        <v>15.0</v>
      </c>
      <c r="DJ24" s="256">
        <v>8.0</v>
      </c>
      <c r="DK24" s="256">
        <v>1.0</v>
      </c>
      <c r="DL24" s="256">
        <v>0.0</v>
      </c>
      <c r="DM24" s="256">
        <v>0.0</v>
      </c>
      <c r="DN24" s="256">
        <v>24.0</v>
      </c>
      <c r="DO24" s="163"/>
      <c r="DP24" s="49" t="s">
        <v>772</v>
      </c>
      <c r="DQ24" s="49">
        <v>2018.0</v>
      </c>
      <c r="DR24" s="49">
        <v>3117.0</v>
      </c>
      <c r="DS24" s="49">
        <v>1364.0</v>
      </c>
      <c r="DT24" s="49">
        <v>1252.0</v>
      </c>
      <c r="DU24" s="49">
        <v>1139.0</v>
      </c>
      <c r="DV24" s="49">
        <v>1413.0</v>
      </c>
      <c r="DW24" s="49">
        <v>8285.0</v>
      </c>
      <c r="DX24" s="49"/>
      <c r="DY24" s="49">
        <v>2018.0</v>
      </c>
      <c r="DZ24" s="49">
        <v>313.0</v>
      </c>
      <c r="EA24" s="49">
        <v>0.0</v>
      </c>
      <c r="EB24" s="49">
        <v>0.0</v>
      </c>
      <c r="EC24" s="49">
        <v>0.0</v>
      </c>
      <c r="ED24" s="49">
        <v>0.0</v>
      </c>
      <c r="EE24" s="49">
        <v>313.0</v>
      </c>
      <c r="EF24" s="163"/>
      <c r="EG24" s="57" t="s">
        <v>818</v>
      </c>
      <c r="EH24" s="57">
        <v>2018.0</v>
      </c>
      <c r="EI24" s="57">
        <v>189.0</v>
      </c>
      <c r="EJ24" s="57">
        <v>188.0</v>
      </c>
      <c r="EK24" s="57">
        <v>207.0</v>
      </c>
      <c r="EL24" s="57">
        <v>240.0</v>
      </c>
      <c r="EM24" s="57">
        <v>269.0</v>
      </c>
      <c r="EN24" s="57">
        <v>1093.0</v>
      </c>
      <c r="EO24" s="57"/>
      <c r="EP24" s="57">
        <v>2018.0</v>
      </c>
      <c r="EQ24" s="57">
        <v>36.0</v>
      </c>
      <c r="ER24" s="57">
        <v>5.0</v>
      </c>
      <c r="ES24" s="57">
        <v>1.0</v>
      </c>
      <c r="ET24" s="57">
        <v>0.0</v>
      </c>
      <c r="EU24" s="57">
        <v>0.0</v>
      </c>
      <c r="EV24" s="57">
        <v>42.0</v>
      </c>
      <c r="EW24" s="163"/>
      <c r="EX24" s="255" t="s">
        <v>896</v>
      </c>
      <c r="EY24" s="255">
        <v>2018.0</v>
      </c>
      <c r="EZ24" s="255">
        <v>902.0</v>
      </c>
      <c r="FA24" s="255">
        <v>1079.0</v>
      </c>
      <c r="FB24" s="255">
        <v>833.0</v>
      </c>
      <c r="FC24" s="255">
        <v>718.0</v>
      </c>
      <c r="FD24" s="255">
        <v>683.0</v>
      </c>
      <c r="FE24" s="255">
        <v>4215.0</v>
      </c>
      <c r="FF24" s="255"/>
      <c r="FG24" s="255">
        <v>2018.0</v>
      </c>
      <c r="FH24" s="255">
        <v>78.0</v>
      </c>
      <c r="FI24" s="255">
        <v>0.0</v>
      </c>
      <c r="FJ24" s="255">
        <v>0.0</v>
      </c>
      <c r="FK24" s="255">
        <v>0.0</v>
      </c>
      <c r="FL24" s="255">
        <v>0.0</v>
      </c>
      <c r="FM24" s="255">
        <v>78.0</v>
      </c>
    </row>
    <row r="25" ht="13.5" customHeight="1">
      <c r="A25" s="252" t="s">
        <v>1146</v>
      </c>
      <c r="B25" s="252">
        <v>2018.0</v>
      </c>
      <c r="C25" s="252">
        <v>688.0</v>
      </c>
      <c r="D25" s="252">
        <v>310.0</v>
      </c>
      <c r="E25" s="252">
        <v>248.0</v>
      </c>
      <c r="F25" s="252">
        <v>259.0</v>
      </c>
      <c r="G25" s="252">
        <v>295.0</v>
      </c>
      <c r="H25" s="252">
        <v>1800.0</v>
      </c>
      <c r="I25" s="252"/>
      <c r="J25" s="252">
        <v>2018.0</v>
      </c>
      <c r="K25" s="252">
        <v>1120.0</v>
      </c>
      <c r="L25" s="252">
        <v>812.0</v>
      </c>
      <c r="M25" s="252">
        <v>761.0</v>
      </c>
      <c r="N25" s="252">
        <v>853.0</v>
      </c>
      <c r="O25" s="252">
        <v>1062.0</v>
      </c>
      <c r="P25" s="252">
        <v>4608.0</v>
      </c>
      <c r="Q25" s="131"/>
      <c r="R25" s="253" t="s">
        <v>274</v>
      </c>
      <c r="S25" s="253">
        <v>2018.0</v>
      </c>
      <c r="T25" s="253">
        <v>160.0</v>
      </c>
      <c r="U25" s="253">
        <v>270.0</v>
      </c>
      <c r="V25" s="253">
        <v>429.0</v>
      </c>
      <c r="W25" s="253">
        <v>467.0</v>
      </c>
      <c r="X25" s="253">
        <v>407.0</v>
      </c>
      <c r="Y25" s="253">
        <v>1733.0</v>
      </c>
      <c r="Z25" s="253"/>
      <c r="AA25" s="253">
        <v>2018.0</v>
      </c>
      <c r="AB25" s="253">
        <v>11.0</v>
      </c>
      <c r="AC25" s="253">
        <v>1.0</v>
      </c>
      <c r="AD25" s="253">
        <v>0.0</v>
      </c>
      <c r="AE25" s="253">
        <v>0.0</v>
      </c>
      <c r="AF25" s="253">
        <v>0.0</v>
      </c>
      <c r="AG25" s="253">
        <v>12.0</v>
      </c>
      <c r="AH25" s="163"/>
      <c r="AI25" s="246" t="s">
        <v>332</v>
      </c>
      <c r="AJ25" s="246">
        <v>2018.0</v>
      </c>
      <c r="AK25" s="246">
        <v>370.0</v>
      </c>
      <c r="AL25" s="246">
        <v>459.0</v>
      </c>
      <c r="AM25" s="246">
        <v>836.0</v>
      </c>
      <c r="AN25" s="246">
        <v>1083.0</v>
      </c>
      <c r="AO25" s="246">
        <v>834.0</v>
      </c>
      <c r="AP25" s="246">
        <v>3582.0</v>
      </c>
      <c r="AQ25" s="246"/>
      <c r="AR25" s="246">
        <v>2018.0</v>
      </c>
      <c r="AS25" s="246">
        <v>20.0</v>
      </c>
      <c r="AT25" s="246">
        <v>3.0</v>
      </c>
      <c r="AU25" s="246">
        <v>1.0</v>
      </c>
      <c r="AV25" s="246">
        <v>1.0</v>
      </c>
      <c r="AW25" s="246">
        <v>0.0</v>
      </c>
      <c r="AX25" s="246">
        <v>25.0</v>
      </c>
      <c r="AY25" s="163"/>
      <c r="AZ25" s="254" t="s">
        <v>512</v>
      </c>
      <c r="BA25" s="254">
        <v>2018.0</v>
      </c>
      <c r="BB25" s="254">
        <v>47.0</v>
      </c>
      <c r="BC25" s="254">
        <v>30.0</v>
      </c>
      <c r="BD25" s="254">
        <v>93.0</v>
      </c>
      <c r="BE25" s="254">
        <v>139.0</v>
      </c>
      <c r="BF25" s="254">
        <v>133.0</v>
      </c>
      <c r="BG25" s="254">
        <v>442.0</v>
      </c>
      <c r="BH25" s="254"/>
      <c r="BI25" s="254">
        <v>2018.0</v>
      </c>
      <c r="BJ25" s="254">
        <v>17.0</v>
      </c>
      <c r="BK25" s="254">
        <v>0.0</v>
      </c>
      <c r="BL25" s="254">
        <v>0.0</v>
      </c>
      <c r="BM25" s="254">
        <v>0.0</v>
      </c>
      <c r="BN25" s="254">
        <v>0.0</v>
      </c>
      <c r="BO25" s="254">
        <v>17.0</v>
      </c>
      <c r="BP25" s="163"/>
      <c r="BQ25" s="255" t="s">
        <v>658</v>
      </c>
      <c r="BR25" s="255">
        <v>2018.0</v>
      </c>
      <c r="BS25" s="255">
        <v>67.0</v>
      </c>
      <c r="BT25" s="255">
        <v>54.0</v>
      </c>
      <c r="BU25" s="255">
        <v>132.0</v>
      </c>
      <c r="BV25" s="255">
        <v>191.0</v>
      </c>
      <c r="BW25" s="255">
        <v>225.0</v>
      </c>
      <c r="BX25" s="255">
        <v>669.0</v>
      </c>
      <c r="BY25" s="255"/>
      <c r="BZ25" s="255">
        <v>2018.0</v>
      </c>
      <c r="CA25" s="255">
        <v>22.0</v>
      </c>
      <c r="CB25" s="255">
        <v>0.0</v>
      </c>
      <c r="CC25" s="255">
        <v>0.0</v>
      </c>
      <c r="CD25" s="255">
        <v>0.0</v>
      </c>
      <c r="CE25" s="255">
        <v>0.0</v>
      </c>
      <c r="CF25" s="255">
        <v>22.0</v>
      </c>
      <c r="CG25" s="163"/>
      <c r="CH25" s="57" t="s">
        <v>1011</v>
      </c>
      <c r="CI25" s="57">
        <v>2018.0</v>
      </c>
      <c r="CJ25" s="57">
        <v>51.0</v>
      </c>
      <c r="CK25" s="57">
        <v>43.0</v>
      </c>
      <c r="CL25" s="57">
        <v>69.0</v>
      </c>
      <c r="CM25" s="57">
        <v>90.0</v>
      </c>
      <c r="CN25" s="57">
        <v>92.0</v>
      </c>
      <c r="CO25" s="57">
        <v>345.0</v>
      </c>
      <c r="CP25" s="57"/>
      <c r="CQ25" s="57">
        <v>2018.0</v>
      </c>
      <c r="CR25" s="57">
        <v>18.0</v>
      </c>
      <c r="CS25" s="57">
        <v>0.0</v>
      </c>
      <c r="CT25" s="57">
        <v>0.0</v>
      </c>
      <c r="CU25" s="57">
        <v>0.0</v>
      </c>
      <c r="CV25" s="57">
        <v>0.0</v>
      </c>
      <c r="CW25" s="57">
        <v>18.0</v>
      </c>
      <c r="CX25" s="163"/>
      <c r="CY25" s="256" t="s">
        <v>722</v>
      </c>
      <c r="CZ25" s="256">
        <v>2019.0</v>
      </c>
      <c r="DA25" s="256">
        <v>391.0</v>
      </c>
      <c r="DB25" s="256">
        <v>431.0</v>
      </c>
      <c r="DC25" s="256">
        <v>508.0</v>
      </c>
      <c r="DD25" s="256">
        <v>702.0</v>
      </c>
      <c r="DE25" s="256">
        <v>660.0</v>
      </c>
      <c r="DF25" s="256">
        <v>2692.0</v>
      </c>
      <c r="DG25" s="256"/>
      <c r="DH25" s="256">
        <v>2019.0</v>
      </c>
      <c r="DI25" s="256">
        <v>13.0</v>
      </c>
      <c r="DJ25" s="256">
        <v>9.0</v>
      </c>
      <c r="DK25" s="256">
        <v>1.0</v>
      </c>
      <c r="DL25" s="256">
        <v>2.0</v>
      </c>
      <c r="DM25" s="256">
        <v>0.0</v>
      </c>
      <c r="DN25" s="256">
        <v>25.0</v>
      </c>
      <c r="DO25" s="163"/>
      <c r="DP25" s="163"/>
      <c r="DQ25" s="163"/>
      <c r="DR25" s="163"/>
      <c r="DS25" s="163"/>
      <c r="DT25" s="163"/>
      <c r="DU25" s="163"/>
      <c r="DV25" s="163"/>
      <c r="DW25" s="163"/>
      <c r="DX25" s="163"/>
      <c r="DY25" s="163"/>
      <c r="DZ25" s="163"/>
      <c r="EA25" s="163"/>
      <c r="EB25" s="163"/>
      <c r="EC25" s="163"/>
      <c r="ED25" s="163"/>
      <c r="EE25" s="163"/>
      <c r="EF25" s="163"/>
      <c r="EG25" s="57" t="s">
        <v>820</v>
      </c>
      <c r="EH25" s="57">
        <v>2018.0</v>
      </c>
      <c r="EI25" s="57">
        <v>151.0</v>
      </c>
      <c r="EJ25" s="57">
        <v>245.0</v>
      </c>
      <c r="EK25" s="57">
        <v>255.0</v>
      </c>
      <c r="EL25" s="57">
        <v>292.0</v>
      </c>
      <c r="EM25" s="57">
        <v>325.0</v>
      </c>
      <c r="EN25" s="57">
        <v>1268.0</v>
      </c>
      <c r="EO25" s="57"/>
      <c r="EP25" s="57">
        <v>2018.0</v>
      </c>
      <c r="EQ25" s="57">
        <v>43.0</v>
      </c>
      <c r="ER25" s="57">
        <v>21.0</v>
      </c>
      <c r="ES25" s="57">
        <v>14.0</v>
      </c>
      <c r="ET25" s="57">
        <v>18.0</v>
      </c>
      <c r="EU25" s="57">
        <v>31.0</v>
      </c>
      <c r="EV25" s="57">
        <v>127.0</v>
      </c>
      <c r="EW25" s="163"/>
      <c r="EX25" s="255" t="s">
        <v>898</v>
      </c>
      <c r="EY25" s="255">
        <v>2018.0</v>
      </c>
      <c r="EZ25" s="255" t="s">
        <v>541</v>
      </c>
      <c r="FA25" s="255" t="s">
        <v>541</v>
      </c>
      <c r="FB25" s="255" t="s">
        <v>541</v>
      </c>
      <c r="FC25" s="255" t="s">
        <v>541</v>
      </c>
      <c r="FD25" s="255" t="s">
        <v>541</v>
      </c>
      <c r="FE25" s="255" t="s">
        <v>541</v>
      </c>
      <c r="FF25" s="255"/>
      <c r="FG25" s="255">
        <v>2018.0</v>
      </c>
      <c r="FH25" s="255" t="s">
        <v>541</v>
      </c>
      <c r="FI25" s="255" t="s">
        <v>541</v>
      </c>
      <c r="FJ25" s="255" t="s">
        <v>541</v>
      </c>
      <c r="FK25" s="255" t="s">
        <v>541</v>
      </c>
      <c r="FL25" s="255" t="s">
        <v>541</v>
      </c>
      <c r="FM25" s="255" t="s">
        <v>541</v>
      </c>
    </row>
    <row r="26" ht="13.5" customHeight="1">
      <c r="A26" s="252" t="s">
        <v>1150</v>
      </c>
      <c r="B26" s="252">
        <v>2018.0</v>
      </c>
      <c r="C26" s="252">
        <v>282.0</v>
      </c>
      <c r="D26" s="252">
        <v>13.0</v>
      </c>
      <c r="E26" s="252">
        <v>0.0</v>
      </c>
      <c r="F26" s="252">
        <v>0.0</v>
      </c>
      <c r="G26" s="252">
        <v>0.0</v>
      </c>
      <c r="H26" s="252">
        <v>295.0</v>
      </c>
      <c r="I26" s="252"/>
      <c r="J26" s="252">
        <v>2018.0</v>
      </c>
      <c r="K26" s="252">
        <v>820.0</v>
      </c>
      <c r="L26" s="252">
        <v>721.0</v>
      </c>
      <c r="M26" s="252">
        <v>632.0</v>
      </c>
      <c r="N26" s="252">
        <v>665.0</v>
      </c>
      <c r="O26" s="252">
        <v>890.0</v>
      </c>
      <c r="P26" s="252">
        <v>3728.0</v>
      </c>
      <c r="Q26" s="131"/>
      <c r="R26" s="253" t="s">
        <v>276</v>
      </c>
      <c r="S26" s="253">
        <v>2018.0</v>
      </c>
      <c r="T26" s="253">
        <v>1195.0</v>
      </c>
      <c r="U26" s="253">
        <v>1004.0</v>
      </c>
      <c r="V26" s="253">
        <v>1428.0</v>
      </c>
      <c r="W26" s="253">
        <v>1894.0</v>
      </c>
      <c r="X26" s="253">
        <v>1490.0</v>
      </c>
      <c r="Y26" s="253">
        <v>7011.0</v>
      </c>
      <c r="Z26" s="253"/>
      <c r="AA26" s="253">
        <v>2018.0</v>
      </c>
      <c r="AB26" s="253">
        <v>34.0</v>
      </c>
      <c r="AC26" s="253">
        <v>0.0</v>
      </c>
      <c r="AD26" s="253">
        <v>1.0</v>
      </c>
      <c r="AE26" s="253">
        <v>0.0</v>
      </c>
      <c r="AF26" s="253">
        <v>0.0</v>
      </c>
      <c r="AG26" s="253">
        <v>35.0</v>
      </c>
      <c r="AH26" s="163"/>
      <c r="AI26" s="246" t="s">
        <v>334</v>
      </c>
      <c r="AJ26" s="246">
        <v>2018.0</v>
      </c>
      <c r="AK26" s="246">
        <v>502.0</v>
      </c>
      <c r="AL26" s="246">
        <v>684.0</v>
      </c>
      <c r="AM26" s="246">
        <v>941.0</v>
      </c>
      <c r="AN26" s="246">
        <v>937.0</v>
      </c>
      <c r="AO26" s="246">
        <v>560.0</v>
      </c>
      <c r="AP26" s="246">
        <v>3624.0</v>
      </c>
      <c r="AQ26" s="246"/>
      <c r="AR26" s="246">
        <v>2018.0</v>
      </c>
      <c r="AS26" s="246">
        <v>24.0</v>
      </c>
      <c r="AT26" s="246">
        <v>2.0</v>
      </c>
      <c r="AU26" s="246">
        <v>1.0</v>
      </c>
      <c r="AV26" s="246">
        <v>1.0</v>
      </c>
      <c r="AW26" s="246">
        <v>0.0</v>
      </c>
      <c r="AX26" s="246">
        <v>28.0</v>
      </c>
      <c r="AY26" s="163"/>
      <c r="AZ26" s="254" t="s">
        <v>514</v>
      </c>
      <c r="BA26" s="254">
        <v>2018.0</v>
      </c>
      <c r="BB26" s="254">
        <v>559.0</v>
      </c>
      <c r="BC26" s="254">
        <v>379.0</v>
      </c>
      <c r="BD26" s="254">
        <v>419.0</v>
      </c>
      <c r="BE26" s="254">
        <v>550.0</v>
      </c>
      <c r="BF26" s="254">
        <v>416.0</v>
      </c>
      <c r="BG26" s="254">
        <v>2323.0</v>
      </c>
      <c r="BH26" s="254"/>
      <c r="BI26" s="254">
        <v>2018.0</v>
      </c>
      <c r="BJ26" s="254">
        <v>22.0</v>
      </c>
      <c r="BK26" s="254">
        <v>0.0</v>
      </c>
      <c r="BL26" s="254">
        <v>0.0</v>
      </c>
      <c r="BM26" s="254">
        <v>0.0</v>
      </c>
      <c r="BN26" s="254">
        <v>0.0</v>
      </c>
      <c r="BO26" s="254">
        <v>22.0</v>
      </c>
      <c r="BP26" s="163"/>
      <c r="BQ26" s="255" t="s">
        <v>661</v>
      </c>
      <c r="BR26" s="255">
        <v>2018.0</v>
      </c>
      <c r="BS26" s="255">
        <v>84.0</v>
      </c>
      <c r="BT26" s="255">
        <v>55.0</v>
      </c>
      <c r="BU26" s="255">
        <v>102.0</v>
      </c>
      <c r="BV26" s="255">
        <v>149.0</v>
      </c>
      <c r="BW26" s="255">
        <v>155.0</v>
      </c>
      <c r="BX26" s="255">
        <v>545.0</v>
      </c>
      <c r="BY26" s="255"/>
      <c r="BZ26" s="255">
        <v>2018.0</v>
      </c>
      <c r="CA26" s="255">
        <v>18.0</v>
      </c>
      <c r="CB26" s="255">
        <v>0.0</v>
      </c>
      <c r="CC26" s="255">
        <v>0.0</v>
      </c>
      <c r="CD26" s="255">
        <v>0.0</v>
      </c>
      <c r="CE26" s="255">
        <v>0.0</v>
      </c>
      <c r="CF26" s="255">
        <v>18.0</v>
      </c>
      <c r="CG26" s="163"/>
      <c r="CH26" s="57" t="s">
        <v>1014</v>
      </c>
      <c r="CI26" s="57">
        <v>2018.0</v>
      </c>
      <c r="CJ26" s="57">
        <v>266.0</v>
      </c>
      <c r="CK26" s="57">
        <v>101.0</v>
      </c>
      <c r="CL26" s="57">
        <v>142.0</v>
      </c>
      <c r="CM26" s="57">
        <v>237.0</v>
      </c>
      <c r="CN26" s="57">
        <v>315.0</v>
      </c>
      <c r="CO26" s="57">
        <v>1061.0</v>
      </c>
      <c r="CP26" s="57"/>
      <c r="CQ26" s="57">
        <v>2018.0</v>
      </c>
      <c r="CR26" s="57">
        <v>75.0</v>
      </c>
      <c r="CS26" s="57">
        <v>0.0</v>
      </c>
      <c r="CT26" s="57">
        <v>0.0</v>
      </c>
      <c r="CU26" s="57">
        <v>0.0</v>
      </c>
      <c r="CV26" s="57">
        <v>0.0</v>
      </c>
      <c r="CW26" s="57">
        <v>75.0</v>
      </c>
      <c r="CX26" s="163"/>
      <c r="CY26" s="256" t="s">
        <v>724</v>
      </c>
      <c r="CZ26" s="256">
        <v>2019.0</v>
      </c>
      <c r="DA26" s="256">
        <v>250.0</v>
      </c>
      <c r="DB26" s="256">
        <v>398.0</v>
      </c>
      <c r="DC26" s="256">
        <v>513.0</v>
      </c>
      <c r="DD26" s="256">
        <v>545.0</v>
      </c>
      <c r="DE26" s="256">
        <v>443.0</v>
      </c>
      <c r="DF26" s="256">
        <v>2149.0</v>
      </c>
      <c r="DG26" s="256"/>
      <c r="DH26" s="256">
        <v>2019.0</v>
      </c>
      <c r="DI26" s="256">
        <v>35.0</v>
      </c>
      <c r="DJ26" s="256">
        <v>0.0</v>
      </c>
      <c r="DK26" s="256">
        <v>0.0</v>
      </c>
      <c r="DL26" s="256">
        <v>0.0</v>
      </c>
      <c r="DM26" s="256">
        <v>0.0</v>
      </c>
      <c r="DN26" s="256">
        <v>35.0</v>
      </c>
      <c r="DO26" s="163"/>
      <c r="DP26" s="49" t="s">
        <v>726</v>
      </c>
      <c r="DQ26" s="49">
        <v>2019.0</v>
      </c>
      <c r="DR26" s="49">
        <v>554.0</v>
      </c>
      <c r="DS26" s="49">
        <v>511.0</v>
      </c>
      <c r="DT26" s="49">
        <v>637.0</v>
      </c>
      <c r="DU26" s="49">
        <v>733.0</v>
      </c>
      <c r="DV26" s="49">
        <v>510.0</v>
      </c>
      <c r="DW26" s="49">
        <v>2945.0</v>
      </c>
      <c r="DX26" s="49"/>
      <c r="DY26" s="49">
        <v>2019.0</v>
      </c>
      <c r="DZ26" s="49">
        <v>53.0</v>
      </c>
      <c r="EA26" s="49">
        <v>4.0</v>
      </c>
      <c r="EB26" s="49">
        <v>0.0</v>
      </c>
      <c r="EC26" s="49">
        <v>0.0</v>
      </c>
      <c r="ED26" s="49">
        <v>0.0</v>
      </c>
      <c r="EE26" s="49">
        <v>57.0</v>
      </c>
      <c r="EF26" s="163"/>
      <c r="EG26" s="57" t="s">
        <v>822</v>
      </c>
      <c r="EH26" s="57">
        <v>2018.0</v>
      </c>
      <c r="EI26" s="57">
        <v>104.0</v>
      </c>
      <c r="EJ26" s="57">
        <v>188.0</v>
      </c>
      <c r="EK26" s="57">
        <v>223.0</v>
      </c>
      <c r="EL26" s="57">
        <v>348.0</v>
      </c>
      <c r="EM26" s="57">
        <v>374.0</v>
      </c>
      <c r="EN26" s="57">
        <v>1237.0</v>
      </c>
      <c r="EO26" s="57"/>
      <c r="EP26" s="57">
        <v>2018.0</v>
      </c>
      <c r="EQ26" s="57">
        <v>21.0</v>
      </c>
      <c r="ER26" s="57">
        <v>11.0</v>
      </c>
      <c r="ES26" s="57">
        <v>3.0</v>
      </c>
      <c r="ET26" s="57">
        <v>14.0</v>
      </c>
      <c r="EU26" s="57">
        <v>15.0</v>
      </c>
      <c r="EV26" s="57">
        <v>64.0</v>
      </c>
      <c r="EW26" s="163"/>
      <c r="EX26" s="255" t="s">
        <v>900</v>
      </c>
      <c r="EY26" s="255">
        <v>2018.0</v>
      </c>
      <c r="EZ26" s="255">
        <v>197.0</v>
      </c>
      <c r="FA26" s="255">
        <v>282.0</v>
      </c>
      <c r="FB26" s="255">
        <v>375.0</v>
      </c>
      <c r="FC26" s="255">
        <v>420.0</v>
      </c>
      <c r="FD26" s="255">
        <v>493.0</v>
      </c>
      <c r="FE26" s="255">
        <v>1767.0</v>
      </c>
      <c r="FF26" s="255"/>
      <c r="FG26" s="255">
        <v>2018.0</v>
      </c>
      <c r="FH26" s="255">
        <v>83.0</v>
      </c>
      <c r="FI26" s="255">
        <v>43.0</v>
      </c>
      <c r="FJ26" s="255">
        <v>8.0</v>
      </c>
      <c r="FK26" s="255">
        <v>0.0</v>
      </c>
      <c r="FL26" s="255">
        <v>0.0</v>
      </c>
      <c r="FM26" s="255">
        <v>134.0</v>
      </c>
    </row>
    <row r="27" ht="13.5" customHeight="1">
      <c r="A27" s="252" t="s">
        <v>1153</v>
      </c>
      <c r="B27" s="252">
        <v>2018.0</v>
      </c>
      <c r="C27" s="252">
        <v>11.0</v>
      </c>
      <c r="D27" s="252">
        <v>3.0</v>
      </c>
      <c r="E27" s="252">
        <v>0.0</v>
      </c>
      <c r="F27" s="252">
        <v>1.0</v>
      </c>
      <c r="G27" s="252">
        <v>0.0</v>
      </c>
      <c r="H27" s="252">
        <v>15.0</v>
      </c>
      <c r="I27" s="252"/>
      <c r="J27" s="252">
        <v>2018.0</v>
      </c>
      <c r="K27" s="252">
        <v>139.0</v>
      </c>
      <c r="L27" s="252">
        <v>220.0</v>
      </c>
      <c r="M27" s="252">
        <v>479.0</v>
      </c>
      <c r="N27" s="252">
        <v>691.0</v>
      </c>
      <c r="O27" s="252">
        <v>591.0</v>
      </c>
      <c r="P27" s="252">
        <v>2120.0</v>
      </c>
      <c r="Q27" s="131"/>
      <c r="R27" s="253" t="s">
        <v>278</v>
      </c>
      <c r="S27" s="253">
        <v>2018.0</v>
      </c>
      <c r="T27" s="253" t="s">
        <v>541</v>
      </c>
      <c r="U27" s="253" t="s">
        <v>541</v>
      </c>
      <c r="V27" s="253" t="s">
        <v>541</v>
      </c>
      <c r="W27" s="253" t="s">
        <v>541</v>
      </c>
      <c r="X27" s="253" t="s">
        <v>541</v>
      </c>
      <c r="Y27" s="253" t="s">
        <v>541</v>
      </c>
      <c r="Z27" s="253"/>
      <c r="AA27" s="253">
        <v>2018.0</v>
      </c>
      <c r="AB27" s="253" t="s">
        <v>541</v>
      </c>
      <c r="AC27" s="253" t="s">
        <v>541</v>
      </c>
      <c r="AD27" s="253" t="s">
        <v>541</v>
      </c>
      <c r="AE27" s="253" t="s">
        <v>541</v>
      </c>
      <c r="AF27" s="253" t="s">
        <v>541</v>
      </c>
      <c r="AG27" s="253" t="s">
        <v>541</v>
      </c>
      <c r="AH27" s="163"/>
      <c r="AI27" s="246" t="s">
        <v>336</v>
      </c>
      <c r="AJ27" s="246">
        <v>2018.0</v>
      </c>
      <c r="AK27" s="246">
        <v>223.0</v>
      </c>
      <c r="AL27" s="246">
        <v>383.0</v>
      </c>
      <c r="AM27" s="246">
        <v>696.0</v>
      </c>
      <c r="AN27" s="246">
        <v>907.0</v>
      </c>
      <c r="AO27" s="246">
        <v>497.0</v>
      </c>
      <c r="AP27" s="246">
        <v>2706.0</v>
      </c>
      <c r="AQ27" s="246"/>
      <c r="AR27" s="246">
        <v>2018.0</v>
      </c>
      <c r="AS27" s="246">
        <v>30.0</v>
      </c>
      <c r="AT27" s="246">
        <v>0.0</v>
      </c>
      <c r="AU27" s="246">
        <v>0.0</v>
      </c>
      <c r="AV27" s="246">
        <v>0.0</v>
      </c>
      <c r="AW27" s="246">
        <v>0.0</v>
      </c>
      <c r="AX27" s="246">
        <v>30.0</v>
      </c>
      <c r="AY27" s="163"/>
      <c r="AZ27" s="254" t="s">
        <v>516</v>
      </c>
      <c r="BA27" s="254">
        <v>2018.0</v>
      </c>
      <c r="BB27" s="254">
        <v>230.0</v>
      </c>
      <c r="BC27" s="254">
        <v>181.0</v>
      </c>
      <c r="BD27" s="254">
        <v>314.0</v>
      </c>
      <c r="BE27" s="254">
        <v>438.0</v>
      </c>
      <c r="BF27" s="254">
        <v>360.0</v>
      </c>
      <c r="BG27" s="254">
        <v>1523.0</v>
      </c>
      <c r="BH27" s="254"/>
      <c r="BI27" s="254">
        <v>2018.0</v>
      </c>
      <c r="BJ27" s="254">
        <v>20.0</v>
      </c>
      <c r="BK27" s="254">
        <v>0.0</v>
      </c>
      <c r="BL27" s="254">
        <v>0.0</v>
      </c>
      <c r="BM27" s="254">
        <v>0.0</v>
      </c>
      <c r="BN27" s="254">
        <v>0.0</v>
      </c>
      <c r="BO27" s="254">
        <v>20.0</v>
      </c>
      <c r="BP27" s="163"/>
      <c r="BQ27" s="163"/>
      <c r="BR27" s="163"/>
      <c r="BS27" s="163"/>
      <c r="BT27" s="163"/>
      <c r="BU27" s="163"/>
      <c r="BV27" s="163"/>
      <c r="BW27" s="163"/>
      <c r="BX27" s="163"/>
      <c r="BY27" s="163"/>
      <c r="BZ27" s="163"/>
      <c r="CA27" s="163"/>
      <c r="CB27" s="163"/>
      <c r="CC27" s="163"/>
      <c r="CD27" s="163"/>
      <c r="CE27" s="163"/>
      <c r="CF27" s="163"/>
      <c r="CG27" s="163"/>
      <c r="CH27" s="57" t="s">
        <v>1290</v>
      </c>
      <c r="CI27" s="57">
        <v>2018.0</v>
      </c>
      <c r="CJ27" s="57" t="s">
        <v>541</v>
      </c>
      <c r="CK27" s="57" t="s">
        <v>541</v>
      </c>
      <c r="CL27" s="57" t="s">
        <v>541</v>
      </c>
      <c r="CM27" s="57" t="s">
        <v>541</v>
      </c>
      <c r="CN27" s="57" t="s">
        <v>541</v>
      </c>
      <c r="CO27" s="57" t="s">
        <v>541</v>
      </c>
      <c r="CP27" s="57"/>
      <c r="CQ27" s="57">
        <v>2018.0</v>
      </c>
      <c r="CR27" s="57" t="s">
        <v>541</v>
      </c>
      <c r="CS27" s="57" t="s">
        <v>541</v>
      </c>
      <c r="CT27" s="57" t="s">
        <v>541</v>
      </c>
      <c r="CU27" s="57" t="s">
        <v>541</v>
      </c>
      <c r="CV27" s="57" t="s">
        <v>541</v>
      </c>
      <c r="CW27" s="57" t="s">
        <v>541</v>
      </c>
      <c r="CX27" s="163"/>
      <c r="CY27" s="163"/>
      <c r="CZ27" s="163"/>
      <c r="DA27" s="163"/>
      <c r="DB27" s="163"/>
      <c r="DC27" s="163"/>
      <c r="DD27" s="163"/>
      <c r="DE27" s="163"/>
      <c r="DF27" s="163"/>
      <c r="DG27" s="163"/>
      <c r="DH27" s="163"/>
      <c r="DI27" s="163"/>
      <c r="DJ27" s="163"/>
      <c r="DK27" s="163"/>
      <c r="DL27" s="163"/>
      <c r="DM27" s="163"/>
      <c r="DN27" s="163"/>
      <c r="DO27" s="163"/>
      <c r="DP27" s="49" t="s">
        <v>728</v>
      </c>
      <c r="DQ27" s="49">
        <v>2019.0</v>
      </c>
      <c r="DR27" s="49">
        <v>243.0</v>
      </c>
      <c r="DS27" s="49">
        <v>317.0</v>
      </c>
      <c r="DT27" s="49">
        <v>418.0</v>
      </c>
      <c r="DU27" s="49">
        <v>401.0</v>
      </c>
      <c r="DV27" s="49">
        <v>348.0</v>
      </c>
      <c r="DW27" s="49">
        <v>1727.0</v>
      </c>
      <c r="DX27" s="49"/>
      <c r="DY27" s="49">
        <v>2019.0</v>
      </c>
      <c r="DZ27" s="49">
        <v>13.0</v>
      </c>
      <c r="EA27" s="49">
        <v>3.0</v>
      </c>
      <c r="EB27" s="49">
        <v>0.0</v>
      </c>
      <c r="EC27" s="49">
        <v>0.0</v>
      </c>
      <c r="ED27" s="49">
        <v>0.0</v>
      </c>
      <c r="EE27" s="49">
        <v>16.0</v>
      </c>
      <c r="EF27" s="163"/>
      <c r="EG27" s="57" t="s">
        <v>824</v>
      </c>
      <c r="EH27" s="57">
        <v>2018.0</v>
      </c>
      <c r="EI27" s="57">
        <v>133.0</v>
      </c>
      <c r="EJ27" s="57">
        <v>186.0</v>
      </c>
      <c r="EK27" s="57">
        <v>211.0</v>
      </c>
      <c r="EL27" s="57">
        <v>238.0</v>
      </c>
      <c r="EM27" s="57">
        <v>345.0</v>
      </c>
      <c r="EN27" s="57">
        <v>1113.0</v>
      </c>
      <c r="EO27" s="57"/>
      <c r="EP27" s="57">
        <v>2018.0</v>
      </c>
      <c r="EQ27" s="57">
        <v>23.0</v>
      </c>
      <c r="ER27" s="57">
        <v>7.0</v>
      </c>
      <c r="ES27" s="57">
        <v>0.0</v>
      </c>
      <c r="ET27" s="57">
        <v>1.0</v>
      </c>
      <c r="EU27" s="57">
        <v>0.0</v>
      </c>
      <c r="EV27" s="57">
        <v>31.0</v>
      </c>
      <c r="EW27" s="163"/>
      <c r="EX27" s="255" t="s">
        <v>902</v>
      </c>
      <c r="EY27" s="255">
        <v>2018.0</v>
      </c>
      <c r="EZ27" s="255" t="s">
        <v>541</v>
      </c>
      <c r="FA27" s="255" t="s">
        <v>541</v>
      </c>
      <c r="FB27" s="255" t="s">
        <v>541</v>
      </c>
      <c r="FC27" s="255" t="s">
        <v>541</v>
      </c>
      <c r="FD27" s="255" t="s">
        <v>541</v>
      </c>
      <c r="FE27" s="255" t="s">
        <v>541</v>
      </c>
      <c r="FF27" s="255"/>
      <c r="FG27" s="255">
        <v>2018.0</v>
      </c>
      <c r="FH27" s="255" t="s">
        <v>541</v>
      </c>
      <c r="FI27" s="255" t="s">
        <v>541</v>
      </c>
      <c r="FJ27" s="255" t="s">
        <v>541</v>
      </c>
      <c r="FK27" s="255" t="s">
        <v>541</v>
      </c>
      <c r="FL27" s="255" t="s">
        <v>541</v>
      </c>
      <c r="FM27" s="255" t="s">
        <v>541</v>
      </c>
    </row>
    <row r="28" ht="13.5" customHeight="1">
      <c r="A28" s="252" t="s">
        <v>1157</v>
      </c>
      <c r="B28" s="252">
        <v>2018.0</v>
      </c>
      <c r="C28" s="252">
        <v>34.0</v>
      </c>
      <c r="D28" s="252">
        <v>1.0</v>
      </c>
      <c r="E28" s="252">
        <v>4.0</v>
      </c>
      <c r="F28" s="252">
        <v>2.0</v>
      </c>
      <c r="G28" s="252">
        <v>2.0</v>
      </c>
      <c r="H28" s="252">
        <v>43.0</v>
      </c>
      <c r="I28" s="252"/>
      <c r="J28" s="252">
        <v>2018.0</v>
      </c>
      <c r="K28" s="252">
        <v>454.0</v>
      </c>
      <c r="L28" s="252">
        <v>507.0</v>
      </c>
      <c r="M28" s="252">
        <v>674.0</v>
      </c>
      <c r="N28" s="252">
        <v>838.0</v>
      </c>
      <c r="O28" s="252">
        <v>572.0</v>
      </c>
      <c r="P28" s="252">
        <v>3045.0</v>
      </c>
      <c r="Q28" s="131"/>
      <c r="R28" s="253" t="s">
        <v>1291</v>
      </c>
      <c r="S28" s="253">
        <v>2018.0</v>
      </c>
      <c r="T28" s="253">
        <v>308.0</v>
      </c>
      <c r="U28" s="253">
        <v>552.0</v>
      </c>
      <c r="V28" s="253">
        <v>863.0</v>
      </c>
      <c r="W28" s="253">
        <v>1101.0</v>
      </c>
      <c r="X28" s="253">
        <v>758.0</v>
      </c>
      <c r="Y28" s="253">
        <v>3582.0</v>
      </c>
      <c r="Z28" s="253"/>
      <c r="AA28" s="253">
        <v>2018.0</v>
      </c>
      <c r="AB28" s="253">
        <v>18.0</v>
      </c>
      <c r="AC28" s="253">
        <v>5.0</v>
      </c>
      <c r="AD28" s="253">
        <v>0.0</v>
      </c>
      <c r="AE28" s="253">
        <v>0.0</v>
      </c>
      <c r="AF28" s="253">
        <v>0.0</v>
      </c>
      <c r="AG28" s="253">
        <v>23.0</v>
      </c>
      <c r="AH28" s="163"/>
      <c r="AI28" s="246" t="s">
        <v>338</v>
      </c>
      <c r="AJ28" s="246">
        <v>2018.0</v>
      </c>
      <c r="AK28" s="246">
        <v>379.0</v>
      </c>
      <c r="AL28" s="246">
        <v>503.0</v>
      </c>
      <c r="AM28" s="246">
        <v>679.0</v>
      </c>
      <c r="AN28" s="246">
        <v>859.0</v>
      </c>
      <c r="AO28" s="246">
        <v>581.0</v>
      </c>
      <c r="AP28" s="246">
        <v>3001.0</v>
      </c>
      <c r="AQ28" s="246"/>
      <c r="AR28" s="246">
        <v>2018.0</v>
      </c>
      <c r="AS28" s="246">
        <v>56.0</v>
      </c>
      <c r="AT28" s="246">
        <v>0.0</v>
      </c>
      <c r="AU28" s="246">
        <v>0.0</v>
      </c>
      <c r="AV28" s="246">
        <v>0.0</v>
      </c>
      <c r="AW28" s="246">
        <v>0.0</v>
      </c>
      <c r="AX28" s="246">
        <v>56.0</v>
      </c>
      <c r="AY28" s="163"/>
      <c r="AZ28" s="254" t="s">
        <v>518</v>
      </c>
      <c r="BA28" s="254">
        <v>2018.0</v>
      </c>
      <c r="BB28" s="254">
        <v>114.0</v>
      </c>
      <c r="BC28" s="254">
        <v>158.0</v>
      </c>
      <c r="BD28" s="254">
        <v>280.0</v>
      </c>
      <c r="BE28" s="254">
        <v>394.0</v>
      </c>
      <c r="BF28" s="254">
        <v>283.0</v>
      </c>
      <c r="BG28" s="254">
        <v>1229.0</v>
      </c>
      <c r="BH28" s="254"/>
      <c r="BI28" s="254">
        <v>2018.0</v>
      </c>
      <c r="BJ28" s="254">
        <v>19.0</v>
      </c>
      <c r="BK28" s="254">
        <v>0.0</v>
      </c>
      <c r="BL28" s="254">
        <v>0.0</v>
      </c>
      <c r="BM28" s="254">
        <v>0.0</v>
      </c>
      <c r="BN28" s="254">
        <v>0.0</v>
      </c>
      <c r="BO28" s="254">
        <v>19.0</v>
      </c>
      <c r="BP28" s="163"/>
      <c r="BQ28" s="255" t="s">
        <v>354</v>
      </c>
      <c r="BR28" s="255">
        <v>2019.0</v>
      </c>
      <c r="BS28" s="255">
        <v>91.0</v>
      </c>
      <c r="BT28" s="255">
        <v>47.0</v>
      </c>
      <c r="BU28" s="255">
        <v>84.0</v>
      </c>
      <c r="BV28" s="255">
        <v>94.0</v>
      </c>
      <c r="BW28" s="255">
        <v>108.0</v>
      </c>
      <c r="BX28" s="255">
        <v>424.0</v>
      </c>
      <c r="BY28" s="255"/>
      <c r="BZ28" s="255">
        <v>2019.0</v>
      </c>
      <c r="CA28" s="255">
        <v>20.0</v>
      </c>
      <c r="CB28" s="255">
        <v>0.0</v>
      </c>
      <c r="CC28" s="255">
        <v>0.0</v>
      </c>
      <c r="CD28" s="255">
        <v>0.0</v>
      </c>
      <c r="CE28" s="255">
        <v>0.0</v>
      </c>
      <c r="CF28" s="255">
        <v>20.0</v>
      </c>
      <c r="CG28" s="163"/>
      <c r="CH28" s="57" t="s">
        <v>1015</v>
      </c>
      <c r="CI28" s="57">
        <v>2018.0</v>
      </c>
      <c r="CJ28" s="57">
        <v>300.0</v>
      </c>
      <c r="CK28" s="57">
        <v>76.0</v>
      </c>
      <c r="CL28" s="57">
        <v>161.0</v>
      </c>
      <c r="CM28" s="57">
        <v>184.0</v>
      </c>
      <c r="CN28" s="57">
        <v>390.0</v>
      </c>
      <c r="CO28" s="57">
        <v>1111.0</v>
      </c>
      <c r="CP28" s="57"/>
      <c r="CQ28" s="57">
        <v>2018.0</v>
      </c>
      <c r="CR28" s="57">
        <v>114.0</v>
      </c>
      <c r="CS28" s="57">
        <v>0.0</v>
      </c>
      <c r="CT28" s="57">
        <v>0.0</v>
      </c>
      <c r="CU28" s="57">
        <v>0.0</v>
      </c>
      <c r="CV28" s="57">
        <v>0.0</v>
      </c>
      <c r="CW28" s="57">
        <v>114.0</v>
      </c>
      <c r="CX28" s="163"/>
      <c r="CY28" s="256" t="s">
        <v>701</v>
      </c>
      <c r="CZ28" s="256">
        <v>2020.0</v>
      </c>
      <c r="DA28" s="256">
        <v>338.0</v>
      </c>
      <c r="DB28" s="256">
        <v>429.0</v>
      </c>
      <c r="DC28" s="256">
        <v>503.0</v>
      </c>
      <c r="DD28" s="256">
        <v>546.0</v>
      </c>
      <c r="DE28" s="256">
        <v>417.0</v>
      </c>
      <c r="DF28" s="256">
        <v>2233.0</v>
      </c>
      <c r="DG28" s="256"/>
      <c r="DH28" s="256">
        <v>2020.0</v>
      </c>
      <c r="DI28" s="256">
        <v>39.0</v>
      </c>
      <c r="DJ28" s="256">
        <v>11.0</v>
      </c>
      <c r="DK28" s="256">
        <v>0.0</v>
      </c>
      <c r="DL28" s="256">
        <v>0.0</v>
      </c>
      <c r="DM28" s="256">
        <v>0.0</v>
      </c>
      <c r="DN28" s="256">
        <v>50.0</v>
      </c>
      <c r="DO28" s="163"/>
      <c r="DP28" s="49" t="s">
        <v>730</v>
      </c>
      <c r="DQ28" s="49">
        <v>2019.0</v>
      </c>
      <c r="DR28" s="49">
        <v>588.0</v>
      </c>
      <c r="DS28" s="49">
        <v>807.0</v>
      </c>
      <c r="DT28" s="49">
        <v>1024.0</v>
      </c>
      <c r="DU28" s="49">
        <v>1066.0</v>
      </c>
      <c r="DV28" s="49">
        <v>750.0</v>
      </c>
      <c r="DW28" s="49">
        <v>4235.0</v>
      </c>
      <c r="DX28" s="49"/>
      <c r="DY28" s="49">
        <v>2019.0</v>
      </c>
      <c r="DZ28" s="49">
        <v>24.0</v>
      </c>
      <c r="EA28" s="49">
        <v>8.0</v>
      </c>
      <c r="EB28" s="49">
        <v>0.0</v>
      </c>
      <c r="EC28" s="49">
        <v>0.0</v>
      </c>
      <c r="ED28" s="49">
        <v>0.0</v>
      </c>
      <c r="EE28" s="49">
        <v>32.0</v>
      </c>
      <c r="EF28" s="163"/>
      <c r="EG28" s="57" t="s">
        <v>826</v>
      </c>
      <c r="EH28" s="57">
        <v>2018.0</v>
      </c>
      <c r="EI28" s="57">
        <v>70.0</v>
      </c>
      <c r="EJ28" s="57">
        <v>125.0</v>
      </c>
      <c r="EK28" s="57">
        <v>150.0</v>
      </c>
      <c r="EL28" s="57">
        <v>213.0</v>
      </c>
      <c r="EM28" s="57">
        <v>249.0</v>
      </c>
      <c r="EN28" s="57">
        <v>807.0</v>
      </c>
      <c r="EO28" s="57"/>
      <c r="EP28" s="57">
        <v>2018.0</v>
      </c>
      <c r="EQ28" s="57">
        <v>18.0</v>
      </c>
      <c r="ER28" s="57">
        <v>8.0</v>
      </c>
      <c r="ES28" s="57">
        <v>8.0</v>
      </c>
      <c r="ET28" s="57">
        <v>8.0</v>
      </c>
      <c r="EU28" s="57">
        <v>14.0</v>
      </c>
      <c r="EV28" s="57">
        <v>56.0</v>
      </c>
      <c r="EW28" s="163"/>
      <c r="EX28" s="255" t="s">
        <v>904</v>
      </c>
      <c r="EY28" s="255">
        <v>2018.0</v>
      </c>
      <c r="EZ28" s="255" t="s">
        <v>541</v>
      </c>
      <c r="FA28" s="255" t="s">
        <v>541</v>
      </c>
      <c r="FB28" s="255" t="s">
        <v>541</v>
      </c>
      <c r="FC28" s="255" t="s">
        <v>541</v>
      </c>
      <c r="FD28" s="255" t="s">
        <v>541</v>
      </c>
      <c r="FE28" s="255" t="s">
        <v>541</v>
      </c>
      <c r="FF28" s="255"/>
      <c r="FG28" s="255">
        <v>2018.0</v>
      </c>
      <c r="FH28" s="255" t="s">
        <v>541</v>
      </c>
      <c r="FI28" s="255" t="s">
        <v>541</v>
      </c>
      <c r="FJ28" s="255" t="s">
        <v>541</v>
      </c>
      <c r="FK28" s="255" t="s">
        <v>541</v>
      </c>
      <c r="FL28" s="255" t="s">
        <v>541</v>
      </c>
      <c r="FM28" s="255" t="s">
        <v>541</v>
      </c>
    </row>
    <row r="29" ht="13.5" customHeight="1">
      <c r="A29" s="252" t="s">
        <v>1160</v>
      </c>
      <c r="B29" s="252">
        <v>2018.0</v>
      </c>
      <c r="C29" s="252">
        <v>21.0</v>
      </c>
      <c r="D29" s="252">
        <v>0.0</v>
      </c>
      <c r="E29" s="252">
        <v>0.0</v>
      </c>
      <c r="F29" s="252">
        <v>0.0</v>
      </c>
      <c r="G29" s="252">
        <v>0.0</v>
      </c>
      <c r="H29" s="252">
        <v>21.0</v>
      </c>
      <c r="I29" s="252"/>
      <c r="J29" s="252">
        <v>2018.0</v>
      </c>
      <c r="K29" s="252">
        <v>277.0</v>
      </c>
      <c r="L29" s="252">
        <v>360.0</v>
      </c>
      <c r="M29" s="252">
        <v>472.0</v>
      </c>
      <c r="N29" s="252">
        <v>552.0</v>
      </c>
      <c r="O29" s="252">
        <v>421.0</v>
      </c>
      <c r="P29" s="252">
        <v>2082.0</v>
      </c>
      <c r="Q29" s="131"/>
      <c r="R29" s="253" t="s">
        <v>280</v>
      </c>
      <c r="S29" s="253">
        <v>2018.0</v>
      </c>
      <c r="T29" s="253" t="s">
        <v>541</v>
      </c>
      <c r="U29" s="253" t="s">
        <v>541</v>
      </c>
      <c r="V29" s="253" t="s">
        <v>541</v>
      </c>
      <c r="W29" s="253" t="s">
        <v>541</v>
      </c>
      <c r="X29" s="253" t="s">
        <v>541</v>
      </c>
      <c r="Y29" s="253" t="s">
        <v>541</v>
      </c>
      <c r="Z29" s="253"/>
      <c r="AA29" s="253">
        <v>2018.0</v>
      </c>
      <c r="AB29" s="253" t="s">
        <v>541</v>
      </c>
      <c r="AC29" s="253" t="s">
        <v>541</v>
      </c>
      <c r="AD29" s="253" t="s">
        <v>541</v>
      </c>
      <c r="AE29" s="253" t="s">
        <v>541</v>
      </c>
      <c r="AF29" s="253" t="s">
        <v>541</v>
      </c>
      <c r="AG29" s="253" t="s">
        <v>541</v>
      </c>
      <c r="AH29" s="163"/>
      <c r="AI29" s="246" t="s">
        <v>340</v>
      </c>
      <c r="AJ29" s="246">
        <v>2018.0</v>
      </c>
      <c r="AK29" s="246">
        <v>367.0</v>
      </c>
      <c r="AL29" s="246">
        <v>496.0</v>
      </c>
      <c r="AM29" s="246">
        <v>716.0</v>
      </c>
      <c r="AN29" s="246">
        <v>785.0</v>
      </c>
      <c r="AO29" s="246">
        <v>559.0</v>
      </c>
      <c r="AP29" s="246">
        <v>2923.0</v>
      </c>
      <c r="AQ29" s="246"/>
      <c r="AR29" s="246">
        <v>2018.0</v>
      </c>
      <c r="AS29" s="246">
        <v>42.0</v>
      </c>
      <c r="AT29" s="246">
        <v>3.0</v>
      </c>
      <c r="AU29" s="246">
        <v>0.0</v>
      </c>
      <c r="AV29" s="246">
        <v>0.0</v>
      </c>
      <c r="AW29" s="246">
        <v>0.0</v>
      </c>
      <c r="AX29" s="246">
        <v>45.0</v>
      </c>
      <c r="AY29" s="163"/>
      <c r="AZ29" s="254" t="s">
        <v>521</v>
      </c>
      <c r="BA29" s="254">
        <v>2018.0</v>
      </c>
      <c r="BB29" s="254">
        <v>128.0</v>
      </c>
      <c r="BC29" s="254">
        <v>176.0</v>
      </c>
      <c r="BD29" s="254">
        <v>240.0</v>
      </c>
      <c r="BE29" s="254">
        <v>319.0</v>
      </c>
      <c r="BF29" s="254">
        <v>255.0</v>
      </c>
      <c r="BG29" s="254">
        <v>1118.0</v>
      </c>
      <c r="BH29" s="254"/>
      <c r="BI29" s="254">
        <v>2018.0</v>
      </c>
      <c r="BJ29" s="254">
        <v>22.0</v>
      </c>
      <c r="BK29" s="254">
        <v>0.0</v>
      </c>
      <c r="BL29" s="254">
        <v>0.0</v>
      </c>
      <c r="BM29" s="254">
        <v>0.0</v>
      </c>
      <c r="BN29" s="254">
        <v>0.0</v>
      </c>
      <c r="BO29" s="254">
        <v>22.0</v>
      </c>
      <c r="BP29" s="163"/>
      <c r="BQ29" s="255" t="s">
        <v>599</v>
      </c>
      <c r="BR29" s="255">
        <v>2019.0</v>
      </c>
      <c r="BS29" s="255" t="s">
        <v>541</v>
      </c>
      <c r="BT29" s="255" t="s">
        <v>541</v>
      </c>
      <c r="BU29" s="255" t="s">
        <v>541</v>
      </c>
      <c r="BV29" s="255" t="s">
        <v>541</v>
      </c>
      <c r="BW29" s="255" t="s">
        <v>541</v>
      </c>
      <c r="BX29" s="255" t="s">
        <v>541</v>
      </c>
      <c r="BY29" s="255"/>
      <c r="BZ29" s="255">
        <v>2019.0</v>
      </c>
      <c r="CA29" s="255" t="s">
        <v>541</v>
      </c>
      <c r="CB29" s="255" t="s">
        <v>541</v>
      </c>
      <c r="CC29" s="255" t="s">
        <v>541</v>
      </c>
      <c r="CD29" s="255" t="s">
        <v>541</v>
      </c>
      <c r="CE29" s="255" t="s">
        <v>541</v>
      </c>
      <c r="CF29" s="255" t="s">
        <v>541</v>
      </c>
      <c r="CG29" s="163"/>
      <c r="CH29" s="57" t="s">
        <v>1019</v>
      </c>
      <c r="CI29" s="57">
        <v>2018.0</v>
      </c>
      <c r="CJ29" s="57">
        <v>1013.0</v>
      </c>
      <c r="CK29" s="57">
        <v>847.0</v>
      </c>
      <c r="CL29" s="57">
        <v>1073.0</v>
      </c>
      <c r="CM29" s="57">
        <v>1060.0</v>
      </c>
      <c r="CN29" s="57">
        <v>901.0</v>
      </c>
      <c r="CO29" s="57">
        <v>4894.0</v>
      </c>
      <c r="CP29" s="57"/>
      <c r="CQ29" s="57">
        <v>2018.0</v>
      </c>
      <c r="CR29" s="57">
        <v>120.0</v>
      </c>
      <c r="CS29" s="57">
        <v>0.0</v>
      </c>
      <c r="CT29" s="57">
        <v>0.0</v>
      </c>
      <c r="CU29" s="57">
        <v>0.0</v>
      </c>
      <c r="CV29" s="57">
        <v>0.0</v>
      </c>
      <c r="CW29" s="57">
        <v>120.0</v>
      </c>
      <c r="CX29" s="163"/>
      <c r="CY29" s="256" t="s">
        <v>703</v>
      </c>
      <c r="CZ29" s="256">
        <v>2020.0</v>
      </c>
      <c r="DA29" s="256">
        <v>435.0</v>
      </c>
      <c r="DB29" s="256">
        <v>354.0</v>
      </c>
      <c r="DC29" s="256">
        <v>280.0</v>
      </c>
      <c r="DD29" s="256">
        <v>282.0</v>
      </c>
      <c r="DE29" s="256">
        <v>209.0</v>
      </c>
      <c r="DF29" s="256">
        <v>1560.0</v>
      </c>
      <c r="DG29" s="256"/>
      <c r="DH29" s="256">
        <v>2020.0</v>
      </c>
      <c r="DI29" s="256">
        <v>18.0</v>
      </c>
      <c r="DJ29" s="256">
        <v>0.0</v>
      </c>
      <c r="DK29" s="256">
        <v>0.0</v>
      </c>
      <c r="DL29" s="256">
        <v>0.0</v>
      </c>
      <c r="DM29" s="256">
        <v>0.0</v>
      </c>
      <c r="DN29" s="256">
        <v>18.0</v>
      </c>
      <c r="DO29" s="163"/>
      <c r="DP29" s="49" t="s">
        <v>732</v>
      </c>
      <c r="DQ29" s="49">
        <v>2019.0</v>
      </c>
      <c r="DR29" s="49">
        <v>366.0</v>
      </c>
      <c r="DS29" s="49">
        <v>423.0</v>
      </c>
      <c r="DT29" s="49">
        <v>594.0</v>
      </c>
      <c r="DU29" s="49">
        <v>695.0</v>
      </c>
      <c r="DV29" s="49">
        <v>551.0</v>
      </c>
      <c r="DW29" s="49">
        <v>2629.0</v>
      </c>
      <c r="DX29" s="49"/>
      <c r="DY29" s="49">
        <v>2019.0</v>
      </c>
      <c r="DZ29" s="49">
        <v>38.0</v>
      </c>
      <c r="EA29" s="49">
        <v>0.0</v>
      </c>
      <c r="EB29" s="49">
        <v>0.0</v>
      </c>
      <c r="EC29" s="49">
        <v>0.0</v>
      </c>
      <c r="ED29" s="49">
        <v>0.0</v>
      </c>
      <c r="EE29" s="49">
        <v>38.0</v>
      </c>
      <c r="EF29" s="163"/>
      <c r="EG29" s="57" t="s">
        <v>828</v>
      </c>
      <c r="EH29" s="57">
        <v>2018.0</v>
      </c>
      <c r="EI29" s="57">
        <v>662.0</v>
      </c>
      <c r="EJ29" s="57">
        <v>648.0</v>
      </c>
      <c r="EK29" s="57">
        <v>685.0</v>
      </c>
      <c r="EL29" s="57">
        <v>689.0</v>
      </c>
      <c r="EM29" s="57">
        <v>758.0</v>
      </c>
      <c r="EN29" s="57">
        <v>3442.0</v>
      </c>
      <c r="EO29" s="57"/>
      <c r="EP29" s="57">
        <v>2018.0</v>
      </c>
      <c r="EQ29" s="57">
        <v>25.0</v>
      </c>
      <c r="ER29" s="57">
        <v>7.0</v>
      </c>
      <c r="ES29" s="57">
        <v>5.0</v>
      </c>
      <c r="ET29" s="57">
        <v>0.0</v>
      </c>
      <c r="EU29" s="57">
        <v>0.0</v>
      </c>
      <c r="EV29" s="57">
        <v>37.0</v>
      </c>
      <c r="EW29" s="163"/>
      <c r="EX29" s="255" t="s">
        <v>906</v>
      </c>
      <c r="EY29" s="255">
        <v>2018.0</v>
      </c>
      <c r="EZ29" s="255" t="s">
        <v>541</v>
      </c>
      <c r="FA29" s="255" t="s">
        <v>541</v>
      </c>
      <c r="FB29" s="255" t="s">
        <v>541</v>
      </c>
      <c r="FC29" s="255" t="s">
        <v>541</v>
      </c>
      <c r="FD29" s="255" t="s">
        <v>541</v>
      </c>
      <c r="FE29" s="255" t="s">
        <v>541</v>
      </c>
      <c r="FF29" s="255"/>
      <c r="FG29" s="255">
        <v>2018.0</v>
      </c>
      <c r="FH29" s="255" t="s">
        <v>541</v>
      </c>
      <c r="FI29" s="255" t="s">
        <v>541</v>
      </c>
      <c r="FJ29" s="255" t="s">
        <v>541</v>
      </c>
      <c r="FK29" s="255" t="s">
        <v>541</v>
      </c>
      <c r="FL29" s="255" t="s">
        <v>541</v>
      </c>
      <c r="FM29" s="255" t="s">
        <v>541</v>
      </c>
    </row>
    <row r="30" ht="13.5" customHeight="1">
      <c r="A30" s="252" t="s">
        <v>1163</v>
      </c>
      <c r="B30" s="252">
        <v>2018.0</v>
      </c>
      <c r="C30" s="252">
        <v>30.0</v>
      </c>
      <c r="D30" s="252">
        <v>4.0</v>
      </c>
      <c r="E30" s="252">
        <v>0.0</v>
      </c>
      <c r="F30" s="252">
        <v>2.0</v>
      </c>
      <c r="G30" s="252">
        <v>0.0</v>
      </c>
      <c r="H30" s="252">
        <v>36.0</v>
      </c>
      <c r="I30" s="252"/>
      <c r="J30" s="252">
        <v>2018.0</v>
      </c>
      <c r="K30" s="252">
        <v>313.0</v>
      </c>
      <c r="L30" s="252">
        <v>442.0</v>
      </c>
      <c r="M30" s="252">
        <v>732.0</v>
      </c>
      <c r="N30" s="252">
        <v>953.0</v>
      </c>
      <c r="O30" s="252">
        <v>770.0</v>
      </c>
      <c r="P30" s="252">
        <v>3210.0</v>
      </c>
      <c r="Q30" s="131"/>
      <c r="R30" s="253" t="s">
        <v>282</v>
      </c>
      <c r="S30" s="253">
        <v>2018.0</v>
      </c>
      <c r="T30" s="253">
        <v>966.0</v>
      </c>
      <c r="U30" s="253">
        <v>475.0</v>
      </c>
      <c r="V30" s="253">
        <v>512.0</v>
      </c>
      <c r="W30" s="253">
        <v>504.0</v>
      </c>
      <c r="X30" s="253">
        <v>370.0</v>
      </c>
      <c r="Y30" s="253">
        <v>2827.0</v>
      </c>
      <c r="Z30" s="253"/>
      <c r="AA30" s="253">
        <v>2018.0</v>
      </c>
      <c r="AB30" s="253">
        <v>51.0</v>
      </c>
      <c r="AC30" s="253">
        <v>0.0</v>
      </c>
      <c r="AD30" s="253">
        <v>0.0</v>
      </c>
      <c r="AE30" s="253">
        <v>0.0</v>
      </c>
      <c r="AF30" s="253">
        <v>0.0</v>
      </c>
      <c r="AG30" s="253">
        <v>51.0</v>
      </c>
      <c r="AH30" s="163"/>
      <c r="AI30" s="246" t="s">
        <v>342</v>
      </c>
      <c r="AJ30" s="246">
        <v>2018.0</v>
      </c>
      <c r="AK30" s="246">
        <v>182.0</v>
      </c>
      <c r="AL30" s="246">
        <v>281.0</v>
      </c>
      <c r="AM30" s="246">
        <v>437.0</v>
      </c>
      <c r="AN30" s="246">
        <v>643.0</v>
      </c>
      <c r="AO30" s="246">
        <v>434.0</v>
      </c>
      <c r="AP30" s="246">
        <v>1977.0</v>
      </c>
      <c r="AQ30" s="246"/>
      <c r="AR30" s="246">
        <v>2018.0</v>
      </c>
      <c r="AS30" s="246">
        <v>28.0</v>
      </c>
      <c r="AT30" s="246">
        <v>1.0</v>
      </c>
      <c r="AU30" s="246">
        <v>0.0</v>
      </c>
      <c r="AV30" s="246">
        <v>2.0</v>
      </c>
      <c r="AW30" s="246">
        <v>0.0</v>
      </c>
      <c r="AX30" s="246">
        <v>31.0</v>
      </c>
      <c r="AY30" s="163"/>
      <c r="AZ30" s="254" t="s">
        <v>523</v>
      </c>
      <c r="BA30" s="254">
        <v>2018.0</v>
      </c>
      <c r="BB30" s="254" t="s">
        <v>541</v>
      </c>
      <c r="BC30" s="254" t="s">
        <v>541</v>
      </c>
      <c r="BD30" s="254" t="s">
        <v>541</v>
      </c>
      <c r="BE30" s="254" t="s">
        <v>541</v>
      </c>
      <c r="BF30" s="254" t="s">
        <v>541</v>
      </c>
      <c r="BG30" s="254" t="s">
        <v>541</v>
      </c>
      <c r="BH30" s="254"/>
      <c r="BI30" s="254">
        <v>2018.0</v>
      </c>
      <c r="BJ30" s="254" t="s">
        <v>541</v>
      </c>
      <c r="BK30" s="254" t="s">
        <v>541</v>
      </c>
      <c r="BL30" s="254" t="s">
        <v>541</v>
      </c>
      <c r="BM30" s="254" t="s">
        <v>541</v>
      </c>
      <c r="BN30" s="254" t="s">
        <v>541</v>
      </c>
      <c r="BO30" s="254" t="s">
        <v>541</v>
      </c>
      <c r="BP30" s="163"/>
      <c r="BQ30" s="255" t="s">
        <v>602</v>
      </c>
      <c r="BR30" s="255">
        <v>2019.0</v>
      </c>
      <c r="BS30" s="255" t="s">
        <v>541</v>
      </c>
      <c r="BT30" s="255" t="s">
        <v>541</v>
      </c>
      <c r="BU30" s="255" t="s">
        <v>541</v>
      </c>
      <c r="BV30" s="255" t="s">
        <v>541</v>
      </c>
      <c r="BW30" s="255" t="s">
        <v>541</v>
      </c>
      <c r="BX30" s="255" t="s">
        <v>541</v>
      </c>
      <c r="BY30" s="255"/>
      <c r="BZ30" s="255">
        <v>2019.0</v>
      </c>
      <c r="CA30" s="255" t="s">
        <v>541</v>
      </c>
      <c r="CB30" s="255" t="s">
        <v>541</v>
      </c>
      <c r="CC30" s="255" t="s">
        <v>541</v>
      </c>
      <c r="CD30" s="255" t="s">
        <v>541</v>
      </c>
      <c r="CE30" s="255" t="s">
        <v>541</v>
      </c>
      <c r="CF30" s="255" t="s">
        <v>541</v>
      </c>
      <c r="CG30" s="163"/>
      <c r="CH30" s="57" t="s">
        <v>1021</v>
      </c>
      <c r="CI30" s="57">
        <v>2018.0</v>
      </c>
      <c r="CJ30" s="57">
        <v>116.0</v>
      </c>
      <c r="CK30" s="57">
        <v>111.0</v>
      </c>
      <c r="CL30" s="57">
        <v>247.0</v>
      </c>
      <c r="CM30" s="57">
        <v>347.0</v>
      </c>
      <c r="CN30" s="57">
        <v>373.0</v>
      </c>
      <c r="CO30" s="57">
        <v>1194.0</v>
      </c>
      <c r="CP30" s="57"/>
      <c r="CQ30" s="57">
        <v>2018.0</v>
      </c>
      <c r="CR30" s="57">
        <v>21.0</v>
      </c>
      <c r="CS30" s="57">
        <v>1.0</v>
      </c>
      <c r="CT30" s="57">
        <v>0.0</v>
      </c>
      <c r="CU30" s="57">
        <v>0.0</v>
      </c>
      <c r="CV30" s="57">
        <v>0.0</v>
      </c>
      <c r="CW30" s="57">
        <v>22.0</v>
      </c>
      <c r="CX30" s="163"/>
      <c r="CY30" s="256" t="s">
        <v>706</v>
      </c>
      <c r="CZ30" s="256">
        <v>2020.0</v>
      </c>
      <c r="DA30" s="256">
        <v>811.0</v>
      </c>
      <c r="DB30" s="256">
        <v>938.0</v>
      </c>
      <c r="DC30" s="256">
        <v>966.0</v>
      </c>
      <c r="DD30" s="256">
        <v>1013.0</v>
      </c>
      <c r="DE30" s="256">
        <v>906.0</v>
      </c>
      <c r="DF30" s="256">
        <v>4634.0</v>
      </c>
      <c r="DG30" s="256"/>
      <c r="DH30" s="256">
        <v>2020.0</v>
      </c>
      <c r="DI30" s="256">
        <v>115.0</v>
      </c>
      <c r="DJ30" s="256">
        <v>48.0</v>
      </c>
      <c r="DK30" s="256">
        <v>12.0</v>
      </c>
      <c r="DL30" s="256">
        <v>5.0</v>
      </c>
      <c r="DM30" s="256">
        <v>9.0</v>
      </c>
      <c r="DN30" s="256">
        <v>189.0</v>
      </c>
      <c r="DO30" s="163"/>
      <c r="DP30" s="49" t="s">
        <v>734</v>
      </c>
      <c r="DQ30" s="49">
        <v>2019.0</v>
      </c>
      <c r="DR30" s="49">
        <v>992.0</v>
      </c>
      <c r="DS30" s="49">
        <v>453.0</v>
      </c>
      <c r="DT30" s="49">
        <v>464.0</v>
      </c>
      <c r="DU30" s="49">
        <v>476.0</v>
      </c>
      <c r="DV30" s="49">
        <v>399.0</v>
      </c>
      <c r="DW30" s="49">
        <v>2784.0</v>
      </c>
      <c r="DX30" s="49"/>
      <c r="DY30" s="49">
        <v>2019.0</v>
      </c>
      <c r="DZ30" s="49">
        <v>21.0</v>
      </c>
      <c r="EA30" s="49">
        <v>0.0</v>
      </c>
      <c r="EB30" s="49">
        <v>0.0</v>
      </c>
      <c r="EC30" s="49">
        <v>0.0</v>
      </c>
      <c r="ED30" s="49">
        <v>0.0</v>
      </c>
      <c r="EE30" s="49">
        <v>21.0</v>
      </c>
      <c r="EF30" s="163"/>
      <c r="EG30" s="57" t="s">
        <v>830</v>
      </c>
      <c r="EH30" s="57">
        <v>2018.0</v>
      </c>
      <c r="EI30" s="57" t="s">
        <v>541</v>
      </c>
      <c r="EJ30" s="57" t="s">
        <v>541</v>
      </c>
      <c r="EK30" s="57" t="s">
        <v>541</v>
      </c>
      <c r="EL30" s="57" t="s">
        <v>541</v>
      </c>
      <c r="EM30" s="57" t="s">
        <v>541</v>
      </c>
      <c r="EN30" s="57" t="s">
        <v>541</v>
      </c>
      <c r="EO30" s="57"/>
      <c r="EP30" s="57">
        <v>2018.0</v>
      </c>
      <c r="EQ30" s="57" t="s">
        <v>541</v>
      </c>
      <c r="ER30" s="57" t="s">
        <v>541</v>
      </c>
      <c r="ES30" s="57" t="s">
        <v>541</v>
      </c>
      <c r="ET30" s="57" t="s">
        <v>541</v>
      </c>
      <c r="EU30" s="57" t="s">
        <v>541</v>
      </c>
      <c r="EV30" s="57" t="s">
        <v>541</v>
      </c>
      <c r="EW30" s="163"/>
      <c r="EX30" s="255" t="s">
        <v>908</v>
      </c>
      <c r="EY30" s="255">
        <v>2018.0</v>
      </c>
      <c r="EZ30" s="255">
        <v>214.0</v>
      </c>
      <c r="FA30" s="255">
        <v>267.0</v>
      </c>
      <c r="FB30" s="255">
        <v>361.0</v>
      </c>
      <c r="FC30" s="255">
        <v>424.0</v>
      </c>
      <c r="FD30" s="255">
        <v>512.0</v>
      </c>
      <c r="FE30" s="255">
        <v>1778.0</v>
      </c>
      <c r="FF30" s="255"/>
      <c r="FG30" s="255">
        <v>2018.0</v>
      </c>
      <c r="FH30" s="255">
        <v>31.0</v>
      </c>
      <c r="FI30" s="255">
        <v>13.0</v>
      </c>
      <c r="FJ30" s="255">
        <v>12.0</v>
      </c>
      <c r="FK30" s="255">
        <v>10.0</v>
      </c>
      <c r="FL30" s="255">
        <v>6.0</v>
      </c>
      <c r="FM30" s="255">
        <v>72.0</v>
      </c>
    </row>
    <row r="31" ht="13.5" customHeight="1">
      <c r="A31" s="252" t="s">
        <v>1167</v>
      </c>
      <c r="B31" s="252">
        <v>2018.0</v>
      </c>
      <c r="C31" s="252">
        <v>38.0</v>
      </c>
      <c r="D31" s="252">
        <v>2.0</v>
      </c>
      <c r="E31" s="252">
        <v>2.0</v>
      </c>
      <c r="F31" s="252">
        <v>0.0</v>
      </c>
      <c r="G31" s="252">
        <v>0.0</v>
      </c>
      <c r="H31" s="252">
        <v>42.0</v>
      </c>
      <c r="I31" s="252"/>
      <c r="J31" s="252">
        <v>2018.0</v>
      </c>
      <c r="K31" s="252">
        <v>483.0</v>
      </c>
      <c r="L31" s="252">
        <v>541.0</v>
      </c>
      <c r="M31" s="252">
        <v>911.0</v>
      </c>
      <c r="N31" s="252">
        <v>1166.0</v>
      </c>
      <c r="O31" s="252">
        <v>1004.0</v>
      </c>
      <c r="P31" s="252">
        <v>4105.0</v>
      </c>
      <c r="Q31" s="131"/>
      <c r="R31" s="253" t="s">
        <v>284</v>
      </c>
      <c r="S31" s="253">
        <v>2018.0</v>
      </c>
      <c r="T31" s="253" t="s">
        <v>541</v>
      </c>
      <c r="U31" s="253" t="s">
        <v>541</v>
      </c>
      <c r="V31" s="253" t="s">
        <v>541</v>
      </c>
      <c r="W31" s="253" t="s">
        <v>541</v>
      </c>
      <c r="X31" s="253" t="s">
        <v>541</v>
      </c>
      <c r="Y31" s="253" t="s">
        <v>541</v>
      </c>
      <c r="Z31" s="253"/>
      <c r="AA31" s="253">
        <v>2018.0</v>
      </c>
      <c r="AB31" s="253" t="s">
        <v>541</v>
      </c>
      <c r="AC31" s="253" t="s">
        <v>541</v>
      </c>
      <c r="AD31" s="253" t="s">
        <v>541</v>
      </c>
      <c r="AE31" s="253" t="s">
        <v>541</v>
      </c>
      <c r="AF31" s="253" t="s">
        <v>541</v>
      </c>
      <c r="AG31" s="253" t="s">
        <v>541</v>
      </c>
      <c r="AH31" s="163"/>
      <c r="AI31" s="246" t="s">
        <v>344</v>
      </c>
      <c r="AJ31" s="246">
        <v>2018.0</v>
      </c>
      <c r="AK31" s="246" t="s">
        <v>541</v>
      </c>
      <c r="AL31" s="246" t="s">
        <v>541</v>
      </c>
      <c r="AM31" s="246" t="s">
        <v>541</v>
      </c>
      <c r="AN31" s="246" t="s">
        <v>541</v>
      </c>
      <c r="AO31" s="246" t="s">
        <v>541</v>
      </c>
      <c r="AP31" s="246" t="s">
        <v>541</v>
      </c>
      <c r="AQ31" s="246"/>
      <c r="AR31" s="246">
        <v>2018.0</v>
      </c>
      <c r="AS31" s="246" t="s">
        <v>541</v>
      </c>
      <c r="AT31" s="246" t="s">
        <v>541</v>
      </c>
      <c r="AU31" s="246" t="s">
        <v>541</v>
      </c>
      <c r="AV31" s="246" t="s">
        <v>541</v>
      </c>
      <c r="AW31" s="246" t="s">
        <v>541</v>
      </c>
      <c r="AX31" s="246" t="s">
        <v>541</v>
      </c>
      <c r="AY31" s="163"/>
      <c r="AZ31" s="254" t="s">
        <v>526</v>
      </c>
      <c r="BA31" s="254">
        <v>2018.0</v>
      </c>
      <c r="BB31" s="254">
        <v>2530.0</v>
      </c>
      <c r="BC31" s="254">
        <v>1559.0</v>
      </c>
      <c r="BD31" s="254">
        <v>1478.0</v>
      </c>
      <c r="BE31" s="254">
        <v>1236.0</v>
      </c>
      <c r="BF31" s="254">
        <v>858.0</v>
      </c>
      <c r="BG31" s="254">
        <v>7661.0</v>
      </c>
      <c r="BH31" s="254"/>
      <c r="BI31" s="254">
        <v>2018.0</v>
      </c>
      <c r="BJ31" s="254">
        <v>324.0</v>
      </c>
      <c r="BK31" s="254">
        <v>0.0</v>
      </c>
      <c r="BL31" s="254">
        <v>0.0</v>
      </c>
      <c r="BM31" s="254">
        <v>0.0</v>
      </c>
      <c r="BN31" s="254">
        <v>0.0</v>
      </c>
      <c r="BO31" s="254">
        <v>324.0</v>
      </c>
      <c r="BP31" s="163"/>
      <c r="BQ31" s="255" t="s">
        <v>604</v>
      </c>
      <c r="BR31" s="255">
        <v>2019.0</v>
      </c>
      <c r="BS31" s="255" t="s">
        <v>541</v>
      </c>
      <c r="BT31" s="255" t="s">
        <v>541</v>
      </c>
      <c r="BU31" s="255" t="s">
        <v>541</v>
      </c>
      <c r="BV31" s="255" t="s">
        <v>541</v>
      </c>
      <c r="BW31" s="255" t="s">
        <v>541</v>
      </c>
      <c r="BX31" s="255" t="s">
        <v>541</v>
      </c>
      <c r="BY31" s="255"/>
      <c r="BZ31" s="255">
        <v>2019.0</v>
      </c>
      <c r="CA31" s="255" t="s">
        <v>541</v>
      </c>
      <c r="CB31" s="255" t="s">
        <v>541</v>
      </c>
      <c r="CC31" s="255" t="s">
        <v>541</v>
      </c>
      <c r="CD31" s="255" t="s">
        <v>541</v>
      </c>
      <c r="CE31" s="255" t="s">
        <v>541</v>
      </c>
      <c r="CF31" s="255" t="s">
        <v>541</v>
      </c>
      <c r="CG31" s="163"/>
      <c r="CH31" s="57" t="s">
        <v>1023</v>
      </c>
      <c r="CI31" s="57">
        <v>2018.0</v>
      </c>
      <c r="CJ31" s="57">
        <v>62.0</v>
      </c>
      <c r="CK31" s="57">
        <v>66.0</v>
      </c>
      <c r="CL31" s="57">
        <v>169.0</v>
      </c>
      <c r="CM31" s="57">
        <v>239.0</v>
      </c>
      <c r="CN31" s="57">
        <v>297.0</v>
      </c>
      <c r="CO31" s="57">
        <v>833.0</v>
      </c>
      <c r="CP31" s="57"/>
      <c r="CQ31" s="57">
        <v>2018.0</v>
      </c>
      <c r="CR31" s="57">
        <v>12.0</v>
      </c>
      <c r="CS31" s="57">
        <v>0.0</v>
      </c>
      <c r="CT31" s="57">
        <v>0.0</v>
      </c>
      <c r="CU31" s="57">
        <v>0.0</v>
      </c>
      <c r="CV31" s="57">
        <v>0.0</v>
      </c>
      <c r="CW31" s="57">
        <v>12.0</v>
      </c>
      <c r="CX31" s="163"/>
      <c r="CY31" s="256" t="s">
        <v>708</v>
      </c>
      <c r="CZ31" s="256">
        <v>2020.0</v>
      </c>
      <c r="DA31" s="256">
        <v>208.0</v>
      </c>
      <c r="DB31" s="256">
        <v>333.0</v>
      </c>
      <c r="DC31" s="256">
        <v>453.0</v>
      </c>
      <c r="DD31" s="256">
        <v>538.0</v>
      </c>
      <c r="DE31" s="256">
        <v>480.0</v>
      </c>
      <c r="DF31" s="256">
        <v>2012.0</v>
      </c>
      <c r="DG31" s="256"/>
      <c r="DH31" s="256">
        <v>2020.0</v>
      </c>
      <c r="DI31" s="256">
        <v>27.0</v>
      </c>
      <c r="DJ31" s="256">
        <v>5.0</v>
      </c>
      <c r="DK31" s="256">
        <v>1.0</v>
      </c>
      <c r="DL31" s="256">
        <v>3.0</v>
      </c>
      <c r="DM31" s="256">
        <v>1.0</v>
      </c>
      <c r="DN31" s="256">
        <v>37.0</v>
      </c>
      <c r="DO31" s="163"/>
      <c r="DP31" s="49" t="s">
        <v>736</v>
      </c>
      <c r="DQ31" s="49">
        <v>2019.0</v>
      </c>
      <c r="DR31" s="49">
        <v>230.0</v>
      </c>
      <c r="DS31" s="49">
        <v>212.0</v>
      </c>
      <c r="DT31" s="49">
        <v>257.0</v>
      </c>
      <c r="DU31" s="49">
        <v>305.0</v>
      </c>
      <c r="DV31" s="49">
        <v>245.0</v>
      </c>
      <c r="DW31" s="49">
        <v>1249.0</v>
      </c>
      <c r="DX31" s="49"/>
      <c r="DY31" s="49">
        <v>2019.0</v>
      </c>
      <c r="DZ31" s="49">
        <v>15.0</v>
      </c>
      <c r="EA31" s="49">
        <v>5.0</v>
      </c>
      <c r="EB31" s="49">
        <v>0.0</v>
      </c>
      <c r="EC31" s="49">
        <v>0.0</v>
      </c>
      <c r="ED31" s="49">
        <v>0.0</v>
      </c>
      <c r="EE31" s="49">
        <v>20.0</v>
      </c>
      <c r="EF31" s="163"/>
      <c r="EG31" s="57" t="s">
        <v>832</v>
      </c>
      <c r="EH31" s="57">
        <v>2018.0</v>
      </c>
      <c r="EI31" s="57" t="s">
        <v>541</v>
      </c>
      <c r="EJ31" s="57" t="s">
        <v>541</v>
      </c>
      <c r="EK31" s="57" t="s">
        <v>541</v>
      </c>
      <c r="EL31" s="57" t="s">
        <v>541</v>
      </c>
      <c r="EM31" s="57" t="s">
        <v>541</v>
      </c>
      <c r="EN31" s="57" t="s">
        <v>541</v>
      </c>
      <c r="EO31" s="57"/>
      <c r="EP31" s="57">
        <v>2018.0</v>
      </c>
      <c r="EQ31" s="57" t="s">
        <v>541</v>
      </c>
      <c r="ER31" s="57" t="s">
        <v>541</v>
      </c>
      <c r="ES31" s="57" t="s">
        <v>541</v>
      </c>
      <c r="ET31" s="57" t="s">
        <v>541</v>
      </c>
      <c r="EU31" s="57" t="s">
        <v>541</v>
      </c>
      <c r="EV31" s="57" t="s">
        <v>541</v>
      </c>
      <c r="EW31" s="163"/>
      <c r="EX31" s="255" t="s">
        <v>910</v>
      </c>
      <c r="EY31" s="255">
        <v>2018.0</v>
      </c>
      <c r="EZ31" s="255">
        <v>940.0</v>
      </c>
      <c r="FA31" s="255">
        <v>841.0</v>
      </c>
      <c r="FB31" s="255">
        <v>787.0</v>
      </c>
      <c r="FC31" s="255">
        <v>815.0</v>
      </c>
      <c r="FD31" s="255">
        <v>916.0</v>
      </c>
      <c r="FE31" s="255">
        <v>4299.0</v>
      </c>
      <c r="FF31" s="255"/>
      <c r="FG31" s="255">
        <v>2018.0</v>
      </c>
      <c r="FH31" s="255">
        <v>99.0</v>
      </c>
      <c r="FI31" s="255">
        <v>0.0</v>
      </c>
      <c r="FJ31" s="255">
        <v>0.0</v>
      </c>
      <c r="FK31" s="255">
        <v>0.0</v>
      </c>
      <c r="FL31" s="255">
        <v>0.0</v>
      </c>
      <c r="FM31" s="255">
        <v>99.0</v>
      </c>
    </row>
    <row r="32" ht="13.5" customHeight="1">
      <c r="A32" s="252" t="s">
        <v>1170</v>
      </c>
      <c r="B32" s="252">
        <v>2018.0</v>
      </c>
      <c r="C32" s="252">
        <v>51.0</v>
      </c>
      <c r="D32" s="252">
        <v>10.0</v>
      </c>
      <c r="E32" s="252">
        <v>2.0</v>
      </c>
      <c r="F32" s="252">
        <v>3.0</v>
      </c>
      <c r="G32" s="252">
        <v>1.0</v>
      </c>
      <c r="H32" s="252">
        <v>67.0</v>
      </c>
      <c r="I32" s="252"/>
      <c r="J32" s="252">
        <v>2018.0</v>
      </c>
      <c r="K32" s="252">
        <v>289.0</v>
      </c>
      <c r="L32" s="252">
        <v>387.0</v>
      </c>
      <c r="M32" s="252">
        <v>656.0</v>
      </c>
      <c r="N32" s="252">
        <v>973.0</v>
      </c>
      <c r="O32" s="252">
        <v>760.0</v>
      </c>
      <c r="P32" s="252">
        <v>3065.0</v>
      </c>
      <c r="Q32" s="131"/>
      <c r="R32" s="163"/>
      <c r="S32" s="163"/>
      <c r="T32" s="163"/>
      <c r="U32" s="163"/>
      <c r="V32" s="163"/>
      <c r="W32" s="163"/>
      <c r="X32" s="163"/>
      <c r="Y32" s="163"/>
      <c r="Z32" s="163"/>
      <c r="AA32" s="163"/>
      <c r="AB32" s="163"/>
      <c r="AC32" s="163"/>
      <c r="AD32" s="163"/>
      <c r="AE32" s="163"/>
      <c r="AF32" s="163"/>
      <c r="AG32" s="163"/>
      <c r="AH32" s="163"/>
      <c r="AI32" s="246" t="s">
        <v>346</v>
      </c>
      <c r="AJ32" s="246">
        <v>2018.0</v>
      </c>
      <c r="AK32" s="246" t="s">
        <v>541</v>
      </c>
      <c r="AL32" s="246" t="s">
        <v>541</v>
      </c>
      <c r="AM32" s="246" t="s">
        <v>541</v>
      </c>
      <c r="AN32" s="246" t="s">
        <v>541</v>
      </c>
      <c r="AO32" s="246" t="s">
        <v>541</v>
      </c>
      <c r="AP32" s="246" t="s">
        <v>541</v>
      </c>
      <c r="AQ32" s="246"/>
      <c r="AR32" s="246">
        <v>2018.0</v>
      </c>
      <c r="AS32" s="246" t="s">
        <v>541</v>
      </c>
      <c r="AT32" s="246" t="s">
        <v>541</v>
      </c>
      <c r="AU32" s="246" t="s">
        <v>541</v>
      </c>
      <c r="AV32" s="246" t="s">
        <v>541</v>
      </c>
      <c r="AW32" s="246" t="s">
        <v>541</v>
      </c>
      <c r="AX32" s="246" t="s">
        <v>541</v>
      </c>
      <c r="AY32" s="163"/>
      <c r="AZ32" s="254" t="s">
        <v>528</v>
      </c>
      <c r="BA32" s="254">
        <v>2018.0</v>
      </c>
      <c r="BB32" s="254">
        <v>149.0</v>
      </c>
      <c r="BC32" s="254">
        <v>130.0</v>
      </c>
      <c r="BD32" s="254">
        <v>180.0</v>
      </c>
      <c r="BE32" s="254">
        <v>268.0</v>
      </c>
      <c r="BF32" s="254">
        <v>229.0</v>
      </c>
      <c r="BG32" s="254">
        <v>956.0</v>
      </c>
      <c r="BH32" s="254"/>
      <c r="BI32" s="254">
        <v>2018.0</v>
      </c>
      <c r="BJ32" s="254">
        <v>27.0</v>
      </c>
      <c r="BK32" s="254">
        <v>0.0</v>
      </c>
      <c r="BL32" s="254">
        <v>0.0</v>
      </c>
      <c r="BM32" s="254">
        <v>0.0</v>
      </c>
      <c r="BN32" s="254">
        <v>0.0</v>
      </c>
      <c r="BO32" s="254">
        <v>27.0</v>
      </c>
      <c r="BP32" s="163"/>
      <c r="BQ32" s="255" t="s">
        <v>359</v>
      </c>
      <c r="BR32" s="255">
        <v>2019.0</v>
      </c>
      <c r="BS32" s="255">
        <v>1794.0</v>
      </c>
      <c r="BT32" s="255">
        <v>1053.0</v>
      </c>
      <c r="BU32" s="255">
        <v>1048.0</v>
      </c>
      <c r="BV32" s="255">
        <v>998.0</v>
      </c>
      <c r="BW32" s="255">
        <v>696.0</v>
      </c>
      <c r="BX32" s="255">
        <v>5589.0</v>
      </c>
      <c r="BY32" s="255"/>
      <c r="BZ32" s="255">
        <v>2019.0</v>
      </c>
      <c r="CA32" s="255">
        <v>541.0</v>
      </c>
      <c r="CB32" s="255">
        <v>5.0</v>
      </c>
      <c r="CC32" s="255">
        <v>0.0</v>
      </c>
      <c r="CD32" s="255">
        <v>0.0</v>
      </c>
      <c r="CE32" s="255">
        <v>0.0</v>
      </c>
      <c r="CF32" s="255">
        <v>546.0</v>
      </c>
      <c r="CG32" s="163"/>
      <c r="CH32" s="57" t="s">
        <v>691</v>
      </c>
      <c r="CI32" s="57">
        <v>2018.0</v>
      </c>
      <c r="CJ32" s="57">
        <v>161.0</v>
      </c>
      <c r="CK32" s="57">
        <v>189.0</v>
      </c>
      <c r="CL32" s="57">
        <v>326.0</v>
      </c>
      <c r="CM32" s="57">
        <v>448.0</v>
      </c>
      <c r="CN32" s="57">
        <v>427.0</v>
      </c>
      <c r="CO32" s="57">
        <v>1551.0</v>
      </c>
      <c r="CP32" s="57"/>
      <c r="CQ32" s="57">
        <v>2018.0</v>
      </c>
      <c r="CR32" s="57">
        <v>23.0</v>
      </c>
      <c r="CS32" s="57">
        <v>1.0</v>
      </c>
      <c r="CT32" s="57">
        <v>0.0</v>
      </c>
      <c r="CU32" s="57">
        <v>0.0</v>
      </c>
      <c r="CV32" s="57">
        <v>0.0</v>
      </c>
      <c r="CW32" s="57">
        <v>24.0</v>
      </c>
      <c r="CX32" s="163"/>
      <c r="CY32" s="256" t="s">
        <v>710</v>
      </c>
      <c r="CZ32" s="256">
        <v>2020.0</v>
      </c>
      <c r="DA32" s="256">
        <v>203.0</v>
      </c>
      <c r="DB32" s="256">
        <v>379.0</v>
      </c>
      <c r="DC32" s="256">
        <v>499.0</v>
      </c>
      <c r="DD32" s="256">
        <v>628.0</v>
      </c>
      <c r="DE32" s="256">
        <v>590.0</v>
      </c>
      <c r="DF32" s="256">
        <v>2299.0</v>
      </c>
      <c r="DG32" s="256"/>
      <c r="DH32" s="256">
        <v>2020.0</v>
      </c>
      <c r="DI32" s="256">
        <v>18.0</v>
      </c>
      <c r="DJ32" s="256">
        <v>11.0</v>
      </c>
      <c r="DK32" s="256">
        <v>6.0</v>
      </c>
      <c r="DL32" s="256">
        <v>1.0</v>
      </c>
      <c r="DM32" s="256">
        <v>0.0</v>
      </c>
      <c r="DN32" s="256">
        <v>36.0</v>
      </c>
      <c r="DO32" s="163"/>
      <c r="DP32" s="49" t="s">
        <v>738</v>
      </c>
      <c r="DQ32" s="49">
        <v>2019.0</v>
      </c>
      <c r="DR32" s="49">
        <v>272.0</v>
      </c>
      <c r="DS32" s="49">
        <v>324.0</v>
      </c>
      <c r="DT32" s="49">
        <v>398.0</v>
      </c>
      <c r="DU32" s="49">
        <v>466.0</v>
      </c>
      <c r="DV32" s="49">
        <v>444.0</v>
      </c>
      <c r="DW32" s="49">
        <v>1904.0</v>
      </c>
      <c r="DX32" s="49"/>
      <c r="DY32" s="49">
        <v>2019.0</v>
      </c>
      <c r="DZ32" s="49">
        <v>24.0</v>
      </c>
      <c r="EA32" s="49">
        <v>0.0</v>
      </c>
      <c r="EB32" s="49">
        <v>0.0</v>
      </c>
      <c r="EC32" s="49">
        <v>0.0</v>
      </c>
      <c r="ED32" s="49">
        <v>0.0</v>
      </c>
      <c r="EE32" s="49">
        <v>24.0</v>
      </c>
      <c r="EF32" s="163"/>
      <c r="EG32" s="57" t="s">
        <v>834</v>
      </c>
      <c r="EH32" s="57">
        <v>2018.0</v>
      </c>
      <c r="EI32" s="57">
        <v>223.0</v>
      </c>
      <c r="EJ32" s="57">
        <v>296.0</v>
      </c>
      <c r="EK32" s="57">
        <v>370.0</v>
      </c>
      <c r="EL32" s="57">
        <v>543.0</v>
      </c>
      <c r="EM32" s="57">
        <v>663.0</v>
      </c>
      <c r="EN32" s="57">
        <v>2095.0</v>
      </c>
      <c r="EO32" s="57"/>
      <c r="EP32" s="57">
        <v>2018.0</v>
      </c>
      <c r="EQ32" s="57">
        <v>47.0</v>
      </c>
      <c r="ER32" s="57">
        <v>17.0</v>
      </c>
      <c r="ES32" s="57">
        <v>12.0</v>
      </c>
      <c r="ET32" s="57">
        <v>16.0</v>
      </c>
      <c r="EU32" s="57">
        <v>7.0</v>
      </c>
      <c r="EV32" s="57">
        <v>99.0</v>
      </c>
      <c r="EW32" s="163"/>
      <c r="EX32" s="255" t="s">
        <v>912</v>
      </c>
      <c r="EY32" s="255">
        <v>2018.0</v>
      </c>
      <c r="EZ32" s="255">
        <v>626.0</v>
      </c>
      <c r="FA32" s="255">
        <v>606.0</v>
      </c>
      <c r="FB32" s="255">
        <v>486.0</v>
      </c>
      <c r="FC32" s="255">
        <v>540.0</v>
      </c>
      <c r="FD32" s="255">
        <v>585.0</v>
      </c>
      <c r="FE32" s="255">
        <v>2843.0</v>
      </c>
      <c r="FF32" s="255"/>
      <c r="FG32" s="255">
        <v>2018.0</v>
      </c>
      <c r="FH32" s="255">
        <v>49.0</v>
      </c>
      <c r="FI32" s="255">
        <v>0.0</v>
      </c>
      <c r="FJ32" s="255">
        <v>0.0</v>
      </c>
      <c r="FK32" s="255">
        <v>0.0</v>
      </c>
      <c r="FL32" s="255">
        <v>0.0</v>
      </c>
      <c r="FM32" s="255">
        <v>49.0</v>
      </c>
    </row>
    <row r="33" ht="13.5" customHeight="1">
      <c r="A33" s="252" t="s">
        <v>1173</v>
      </c>
      <c r="B33" s="252">
        <v>2018.0</v>
      </c>
      <c r="C33" s="252" t="s">
        <v>541</v>
      </c>
      <c r="D33" s="252" t="s">
        <v>541</v>
      </c>
      <c r="E33" s="252" t="s">
        <v>541</v>
      </c>
      <c r="F33" s="252" t="s">
        <v>541</v>
      </c>
      <c r="G33" s="252" t="s">
        <v>541</v>
      </c>
      <c r="H33" s="252" t="s">
        <v>541</v>
      </c>
      <c r="I33" s="252"/>
      <c r="J33" s="252">
        <v>2018.0</v>
      </c>
      <c r="K33" s="252" t="s">
        <v>541</v>
      </c>
      <c r="L33" s="252" t="s">
        <v>541</v>
      </c>
      <c r="M33" s="252" t="s">
        <v>541</v>
      </c>
      <c r="N33" s="252" t="s">
        <v>541</v>
      </c>
      <c r="O33" s="252" t="s">
        <v>541</v>
      </c>
      <c r="P33" s="252" t="s">
        <v>541</v>
      </c>
      <c r="Q33" s="131"/>
      <c r="R33" s="253" t="s">
        <v>228</v>
      </c>
      <c r="S33" s="253">
        <v>2019.0</v>
      </c>
      <c r="T33" s="253">
        <v>1241.0</v>
      </c>
      <c r="U33" s="253">
        <v>1151.0</v>
      </c>
      <c r="V33" s="253">
        <v>1295.0</v>
      </c>
      <c r="W33" s="253">
        <v>1231.0</v>
      </c>
      <c r="X33" s="253">
        <v>814.0</v>
      </c>
      <c r="Y33" s="253">
        <v>5732.0</v>
      </c>
      <c r="Z33" s="253"/>
      <c r="AA33" s="253">
        <v>2019.0</v>
      </c>
      <c r="AB33" s="253">
        <v>128.0</v>
      </c>
      <c r="AC33" s="253">
        <v>10.0</v>
      </c>
      <c r="AD33" s="253">
        <v>1.0</v>
      </c>
      <c r="AE33" s="253">
        <v>3.0</v>
      </c>
      <c r="AF33" s="253">
        <v>1.0</v>
      </c>
      <c r="AG33" s="253">
        <v>143.0</v>
      </c>
      <c r="AH33" s="163"/>
      <c r="AI33" s="246" t="s">
        <v>348</v>
      </c>
      <c r="AJ33" s="246">
        <v>2018.0</v>
      </c>
      <c r="AK33" s="246">
        <v>129.0</v>
      </c>
      <c r="AL33" s="246">
        <v>133.0</v>
      </c>
      <c r="AM33" s="246">
        <v>240.0</v>
      </c>
      <c r="AN33" s="246">
        <v>338.0</v>
      </c>
      <c r="AO33" s="246">
        <v>312.0</v>
      </c>
      <c r="AP33" s="246">
        <v>1152.0</v>
      </c>
      <c r="AQ33" s="246"/>
      <c r="AR33" s="246">
        <v>2018.0</v>
      </c>
      <c r="AS33" s="246">
        <v>40.0</v>
      </c>
      <c r="AT33" s="246">
        <v>0.0</v>
      </c>
      <c r="AU33" s="246">
        <v>0.0</v>
      </c>
      <c r="AV33" s="246">
        <v>1.0</v>
      </c>
      <c r="AW33" s="246">
        <v>0.0</v>
      </c>
      <c r="AX33" s="246">
        <v>41.0</v>
      </c>
      <c r="AY33" s="163"/>
      <c r="AZ33" s="254" t="s">
        <v>530</v>
      </c>
      <c r="BA33" s="254">
        <v>2018.0</v>
      </c>
      <c r="BB33" s="254">
        <v>242.0</v>
      </c>
      <c r="BC33" s="254">
        <v>385.0</v>
      </c>
      <c r="BD33" s="254">
        <v>552.0</v>
      </c>
      <c r="BE33" s="254">
        <v>610.0</v>
      </c>
      <c r="BF33" s="254">
        <v>371.0</v>
      </c>
      <c r="BG33" s="254">
        <v>2160.0</v>
      </c>
      <c r="BH33" s="254"/>
      <c r="BI33" s="254">
        <v>2018.0</v>
      </c>
      <c r="BJ33" s="254">
        <v>25.0</v>
      </c>
      <c r="BK33" s="254">
        <v>3.0</v>
      </c>
      <c r="BL33" s="254">
        <v>0.0</v>
      </c>
      <c r="BM33" s="254">
        <v>0.0</v>
      </c>
      <c r="BN33" s="254">
        <v>0.0</v>
      </c>
      <c r="BO33" s="254">
        <v>28.0</v>
      </c>
      <c r="BP33" s="163"/>
      <c r="BQ33" s="255" t="s">
        <v>363</v>
      </c>
      <c r="BR33" s="255">
        <v>2019.0</v>
      </c>
      <c r="BS33" s="255">
        <v>69.0</v>
      </c>
      <c r="BT33" s="255">
        <v>61.0</v>
      </c>
      <c r="BU33" s="255">
        <v>87.0</v>
      </c>
      <c r="BV33" s="255">
        <v>113.0</v>
      </c>
      <c r="BW33" s="255">
        <v>95.0</v>
      </c>
      <c r="BX33" s="255">
        <v>425.0</v>
      </c>
      <c r="BY33" s="255"/>
      <c r="BZ33" s="255">
        <v>2019.0</v>
      </c>
      <c r="CA33" s="255">
        <v>10.0</v>
      </c>
      <c r="CB33" s="255">
        <v>0.0</v>
      </c>
      <c r="CC33" s="255">
        <v>0.0</v>
      </c>
      <c r="CD33" s="255">
        <v>0.0</v>
      </c>
      <c r="CE33" s="255">
        <v>0.0</v>
      </c>
      <c r="CF33" s="255">
        <v>10.0</v>
      </c>
      <c r="CG33" s="163"/>
      <c r="CH33" s="57" t="s">
        <v>680</v>
      </c>
      <c r="CI33" s="57">
        <v>2018.0</v>
      </c>
      <c r="CJ33" s="57" t="s">
        <v>541</v>
      </c>
      <c r="CK33" s="57" t="s">
        <v>541</v>
      </c>
      <c r="CL33" s="57" t="s">
        <v>541</v>
      </c>
      <c r="CM33" s="57" t="s">
        <v>541</v>
      </c>
      <c r="CN33" s="57" t="s">
        <v>541</v>
      </c>
      <c r="CO33" s="57" t="s">
        <v>541</v>
      </c>
      <c r="CP33" s="57"/>
      <c r="CQ33" s="57">
        <v>2018.0</v>
      </c>
      <c r="CR33" s="57" t="s">
        <v>541</v>
      </c>
      <c r="CS33" s="57" t="s">
        <v>541</v>
      </c>
      <c r="CT33" s="57" t="s">
        <v>541</v>
      </c>
      <c r="CU33" s="57" t="s">
        <v>541</v>
      </c>
      <c r="CV33" s="57" t="s">
        <v>541</v>
      </c>
      <c r="CW33" s="57" t="s">
        <v>541</v>
      </c>
      <c r="CX33" s="163"/>
      <c r="CY33" s="256" t="s">
        <v>712</v>
      </c>
      <c r="CZ33" s="256">
        <v>2020.0</v>
      </c>
      <c r="DA33" s="256">
        <v>169.0</v>
      </c>
      <c r="DB33" s="256">
        <v>236.0</v>
      </c>
      <c r="DC33" s="256">
        <v>264.0</v>
      </c>
      <c r="DD33" s="256">
        <v>387.0</v>
      </c>
      <c r="DE33" s="256">
        <v>364.0</v>
      </c>
      <c r="DF33" s="256">
        <v>1420.0</v>
      </c>
      <c r="DG33" s="256"/>
      <c r="DH33" s="256">
        <v>2020.0</v>
      </c>
      <c r="DI33" s="256">
        <v>20.0</v>
      </c>
      <c r="DJ33" s="256">
        <v>5.0</v>
      </c>
      <c r="DK33" s="256">
        <v>0.0</v>
      </c>
      <c r="DL33" s="256">
        <v>1.0</v>
      </c>
      <c r="DM33" s="256">
        <v>0.0</v>
      </c>
      <c r="DN33" s="256">
        <v>26.0</v>
      </c>
      <c r="DO33" s="163"/>
      <c r="DP33" s="49" t="s">
        <v>741</v>
      </c>
      <c r="DQ33" s="49">
        <v>2019.0</v>
      </c>
      <c r="DR33" s="49">
        <v>366.0</v>
      </c>
      <c r="DS33" s="49">
        <v>329.0</v>
      </c>
      <c r="DT33" s="49">
        <v>442.0</v>
      </c>
      <c r="DU33" s="49">
        <v>504.0</v>
      </c>
      <c r="DV33" s="49">
        <v>460.0</v>
      </c>
      <c r="DW33" s="49">
        <v>2101.0</v>
      </c>
      <c r="DX33" s="49"/>
      <c r="DY33" s="49">
        <v>2019.0</v>
      </c>
      <c r="DZ33" s="49">
        <v>17.0</v>
      </c>
      <c r="EA33" s="49">
        <v>0.0</v>
      </c>
      <c r="EB33" s="49">
        <v>0.0</v>
      </c>
      <c r="EC33" s="49">
        <v>0.0</v>
      </c>
      <c r="ED33" s="49">
        <v>0.0</v>
      </c>
      <c r="EE33" s="49">
        <v>17.0</v>
      </c>
      <c r="EF33" s="163"/>
      <c r="EG33" s="57" t="s">
        <v>836</v>
      </c>
      <c r="EH33" s="57">
        <v>2018.0</v>
      </c>
      <c r="EI33" s="57" t="s">
        <v>541</v>
      </c>
      <c r="EJ33" s="57" t="s">
        <v>541</v>
      </c>
      <c r="EK33" s="57" t="s">
        <v>541</v>
      </c>
      <c r="EL33" s="57" t="s">
        <v>541</v>
      </c>
      <c r="EM33" s="57" t="s">
        <v>541</v>
      </c>
      <c r="EN33" s="57" t="s">
        <v>541</v>
      </c>
      <c r="EO33" s="57"/>
      <c r="EP33" s="57">
        <v>2018.0</v>
      </c>
      <c r="EQ33" s="57" t="s">
        <v>541</v>
      </c>
      <c r="ER33" s="57" t="s">
        <v>541</v>
      </c>
      <c r="ES33" s="57" t="s">
        <v>541</v>
      </c>
      <c r="ET33" s="57" t="s">
        <v>541</v>
      </c>
      <c r="EU33" s="57" t="s">
        <v>541</v>
      </c>
      <c r="EV33" s="57" t="s">
        <v>541</v>
      </c>
      <c r="EW33" s="163"/>
      <c r="EX33" s="255" t="s">
        <v>914</v>
      </c>
      <c r="EY33" s="255">
        <v>2018.0</v>
      </c>
      <c r="EZ33" s="255">
        <v>113.0</v>
      </c>
      <c r="FA33" s="255">
        <v>217.0</v>
      </c>
      <c r="FB33" s="255">
        <v>318.0</v>
      </c>
      <c r="FC33" s="255">
        <v>372.0</v>
      </c>
      <c r="FD33" s="255">
        <v>502.0</v>
      </c>
      <c r="FE33" s="255">
        <v>1522.0</v>
      </c>
      <c r="FF33" s="255"/>
      <c r="FG33" s="255">
        <v>2018.0</v>
      </c>
      <c r="FH33" s="255">
        <v>20.0</v>
      </c>
      <c r="FI33" s="255">
        <v>18.0</v>
      </c>
      <c r="FJ33" s="255">
        <v>15.0</v>
      </c>
      <c r="FK33" s="255">
        <v>8.0</v>
      </c>
      <c r="FL33" s="255">
        <v>22.0</v>
      </c>
      <c r="FM33" s="255">
        <v>83.0</v>
      </c>
    </row>
    <row r="34" ht="13.5" customHeight="1">
      <c r="A34" s="252" t="s">
        <v>1176</v>
      </c>
      <c r="B34" s="252">
        <v>2018.0</v>
      </c>
      <c r="C34" s="252" t="s">
        <v>541</v>
      </c>
      <c r="D34" s="252" t="s">
        <v>541</v>
      </c>
      <c r="E34" s="252" t="s">
        <v>541</v>
      </c>
      <c r="F34" s="252" t="s">
        <v>541</v>
      </c>
      <c r="G34" s="252" t="s">
        <v>541</v>
      </c>
      <c r="H34" s="252" t="s">
        <v>541</v>
      </c>
      <c r="I34" s="252"/>
      <c r="J34" s="252">
        <v>2018.0</v>
      </c>
      <c r="K34" s="252" t="s">
        <v>541</v>
      </c>
      <c r="L34" s="252" t="s">
        <v>541</v>
      </c>
      <c r="M34" s="252" t="s">
        <v>541</v>
      </c>
      <c r="N34" s="252" t="s">
        <v>541</v>
      </c>
      <c r="O34" s="252" t="s">
        <v>541</v>
      </c>
      <c r="P34" s="252" t="s">
        <v>541</v>
      </c>
      <c r="Q34" s="131"/>
      <c r="R34" s="253" t="s">
        <v>230</v>
      </c>
      <c r="S34" s="253">
        <v>2019.0</v>
      </c>
      <c r="T34" s="253" t="s">
        <v>541</v>
      </c>
      <c r="U34" s="253" t="s">
        <v>541</v>
      </c>
      <c r="V34" s="253" t="s">
        <v>541</v>
      </c>
      <c r="W34" s="253" t="s">
        <v>541</v>
      </c>
      <c r="X34" s="253" t="s">
        <v>541</v>
      </c>
      <c r="Y34" s="253" t="s">
        <v>541</v>
      </c>
      <c r="Z34" s="253"/>
      <c r="AA34" s="253">
        <v>2019.0</v>
      </c>
      <c r="AB34" s="253" t="s">
        <v>541</v>
      </c>
      <c r="AC34" s="253" t="s">
        <v>541</v>
      </c>
      <c r="AD34" s="253" t="s">
        <v>541</v>
      </c>
      <c r="AE34" s="253" t="s">
        <v>541</v>
      </c>
      <c r="AF34" s="253" t="s">
        <v>541</v>
      </c>
      <c r="AG34" s="253" t="s">
        <v>541</v>
      </c>
      <c r="AH34" s="163"/>
      <c r="AI34" s="246" t="s">
        <v>350</v>
      </c>
      <c r="AJ34" s="246">
        <v>2018.0</v>
      </c>
      <c r="AK34" s="246">
        <v>153.0</v>
      </c>
      <c r="AL34" s="246">
        <v>208.0</v>
      </c>
      <c r="AM34" s="246">
        <v>469.0</v>
      </c>
      <c r="AN34" s="246">
        <v>741.0</v>
      </c>
      <c r="AO34" s="246">
        <v>520.0</v>
      </c>
      <c r="AP34" s="246">
        <v>2091.0</v>
      </c>
      <c r="AQ34" s="246"/>
      <c r="AR34" s="246">
        <v>2018.0</v>
      </c>
      <c r="AS34" s="246">
        <v>17.0</v>
      </c>
      <c r="AT34" s="246">
        <v>0.0</v>
      </c>
      <c r="AU34" s="246">
        <v>0.0</v>
      </c>
      <c r="AV34" s="246">
        <v>1.0</v>
      </c>
      <c r="AW34" s="246">
        <v>0.0</v>
      </c>
      <c r="AX34" s="246">
        <v>18.0</v>
      </c>
      <c r="AY34" s="163"/>
      <c r="AZ34" s="254" t="s">
        <v>533</v>
      </c>
      <c r="BA34" s="254">
        <v>2018.0</v>
      </c>
      <c r="BB34" s="254">
        <v>208.0</v>
      </c>
      <c r="BC34" s="254">
        <v>215.0</v>
      </c>
      <c r="BD34" s="254">
        <v>429.0</v>
      </c>
      <c r="BE34" s="254">
        <v>508.0</v>
      </c>
      <c r="BF34" s="254">
        <v>400.0</v>
      </c>
      <c r="BG34" s="254">
        <v>1760.0</v>
      </c>
      <c r="BH34" s="254"/>
      <c r="BI34" s="254">
        <v>2018.0</v>
      </c>
      <c r="BJ34" s="254">
        <v>25.0</v>
      </c>
      <c r="BK34" s="254">
        <v>0.0</v>
      </c>
      <c r="BL34" s="254">
        <v>0.0</v>
      </c>
      <c r="BM34" s="254">
        <v>0.0</v>
      </c>
      <c r="BN34" s="254">
        <v>0.0</v>
      </c>
      <c r="BO34" s="254">
        <v>25.0</v>
      </c>
      <c r="BP34" s="163"/>
      <c r="BQ34" s="255" t="s">
        <v>612</v>
      </c>
      <c r="BR34" s="255">
        <v>2019.0</v>
      </c>
      <c r="BS34" s="255" t="s">
        <v>541</v>
      </c>
      <c r="BT34" s="255" t="s">
        <v>541</v>
      </c>
      <c r="BU34" s="255" t="s">
        <v>541</v>
      </c>
      <c r="BV34" s="255" t="s">
        <v>541</v>
      </c>
      <c r="BW34" s="255" t="s">
        <v>541</v>
      </c>
      <c r="BX34" s="255" t="s">
        <v>541</v>
      </c>
      <c r="BY34" s="255"/>
      <c r="BZ34" s="255">
        <v>2019.0</v>
      </c>
      <c r="CA34" s="255" t="s">
        <v>541</v>
      </c>
      <c r="CB34" s="255" t="s">
        <v>541</v>
      </c>
      <c r="CC34" s="255" t="s">
        <v>541</v>
      </c>
      <c r="CD34" s="255" t="s">
        <v>541</v>
      </c>
      <c r="CE34" s="255" t="s">
        <v>541</v>
      </c>
      <c r="CF34" s="255" t="s">
        <v>541</v>
      </c>
      <c r="CG34" s="163"/>
      <c r="CH34" s="57" t="s">
        <v>1028</v>
      </c>
      <c r="CI34" s="57">
        <v>2018.0</v>
      </c>
      <c r="CJ34" s="57">
        <v>175.0</v>
      </c>
      <c r="CK34" s="57">
        <v>61.0</v>
      </c>
      <c r="CL34" s="57">
        <v>112.0</v>
      </c>
      <c r="CM34" s="57">
        <v>158.0</v>
      </c>
      <c r="CN34" s="57">
        <v>157.0</v>
      </c>
      <c r="CO34" s="57">
        <v>663.0</v>
      </c>
      <c r="CP34" s="57"/>
      <c r="CQ34" s="57">
        <v>2018.0</v>
      </c>
      <c r="CR34" s="57">
        <v>56.0</v>
      </c>
      <c r="CS34" s="57">
        <v>0.0</v>
      </c>
      <c r="CT34" s="57">
        <v>0.0</v>
      </c>
      <c r="CU34" s="57">
        <v>0.0</v>
      </c>
      <c r="CV34" s="57">
        <v>0.0</v>
      </c>
      <c r="CW34" s="57">
        <v>56.0</v>
      </c>
      <c r="CX34" s="163"/>
      <c r="CY34" s="256" t="s">
        <v>714</v>
      </c>
      <c r="CZ34" s="256">
        <v>2020.0</v>
      </c>
      <c r="DA34" s="256">
        <v>573.0</v>
      </c>
      <c r="DB34" s="256">
        <v>822.0</v>
      </c>
      <c r="DC34" s="256">
        <v>1039.0</v>
      </c>
      <c r="DD34" s="256">
        <v>1159.0</v>
      </c>
      <c r="DE34" s="256">
        <v>1032.0</v>
      </c>
      <c r="DF34" s="256">
        <v>4625.0</v>
      </c>
      <c r="DG34" s="256"/>
      <c r="DH34" s="256">
        <v>2020.0</v>
      </c>
      <c r="DI34" s="256">
        <v>75.0</v>
      </c>
      <c r="DJ34" s="256">
        <v>42.0</v>
      </c>
      <c r="DK34" s="256">
        <v>15.0</v>
      </c>
      <c r="DL34" s="256">
        <v>0.0</v>
      </c>
      <c r="DM34" s="256">
        <v>0.0</v>
      </c>
      <c r="DN34" s="256">
        <v>132.0</v>
      </c>
      <c r="DO34" s="163"/>
      <c r="DP34" s="49" t="s">
        <v>743</v>
      </c>
      <c r="DQ34" s="49">
        <v>2019.0</v>
      </c>
      <c r="DR34" s="49">
        <v>1503.0</v>
      </c>
      <c r="DS34" s="49">
        <v>1036.0</v>
      </c>
      <c r="DT34" s="49">
        <v>1291.0</v>
      </c>
      <c r="DU34" s="49">
        <v>1419.0</v>
      </c>
      <c r="DV34" s="49">
        <v>1098.0</v>
      </c>
      <c r="DW34" s="49">
        <v>6347.0</v>
      </c>
      <c r="DX34" s="49"/>
      <c r="DY34" s="49">
        <v>2019.0</v>
      </c>
      <c r="DZ34" s="49">
        <v>40.0</v>
      </c>
      <c r="EA34" s="49">
        <v>0.0</v>
      </c>
      <c r="EB34" s="49">
        <v>0.0</v>
      </c>
      <c r="EC34" s="49">
        <v>0.0</v>
      </c>
      <c r="ED34" s="49">
        <v>0.0</v>
      </c>
      <c r="EE34" s="49">
        <v>40.0</v>
      </c>
      <c r="EF34" s="163"/>
      <c r="EG34" s="57" t="s">
        <v>839</v>
      </c>
      <c r="EH34" s="57">
        <v>2018.0</v>
      </c>
      <c r="EI34" s="57" t="s">
        <v>541</v>
      </c>
      <c r="EJ34" s="57" t="s">
        <v>541</v>
      </c>
      <c r="EK34" s="57" t="s">
        <v>541</v>
      </c>
      <c r="EL34" s="57" t="s">
        <v>541</v>
      </c>
      <c r="EM34" s="57" t="s">
        <v>541</v>
      </c>
      <c r="EN34" s="57" t="s">
        <v>541</v>
      </c>
      <c r="EO34" s="57"/>
      <c r="EP34" s="57">
        <v>2018.0</v>
      </c>
      <c r="EQ34" s="57" t="s">
        <v>541</v>
      </c>
      <c r="ER34" s="57" t="s">
        <v>541</v>
      </c>
      <c r="ES34" s="57" t="s">
        <v>541</v>
      </c>
      <c r="ET34" s="57" t="s">
        <v>541</v>
      </c>
      <c r="EU34" s="57" t="s">
        <v>541</v>
      </c>
      <c r="EV34" s="57" t="s">
        <v>541</v>
      </c>
      <c r="EW34" s="163"/>
      <c r="EX34" s="255" t="s">
        <v>916</v>
      </c>
      <c r="EY34" s="255">
        <v>2018.0</v>
      </c>
      <c r="EZ34" s="255">
        <v>256.0</v>
      </c>
      <c r="FA34" s="255">
        <v>454.0</v>
      </c>
      <c r="FB34" s="255">
        <v>529.0</v>
      </c>
      <c r="FC34" s="255">
        <v>607.0</v>
      </c>
      <c r="FD34" s="255">
        <v>799.0</v>
      </c>
      <c r="FE34" s="255">
        <v>2645.0</v>
      </c>
      <c r="FF34" s="255"/>
      <c r="FG34" s="255">
        <v>2018.0</v>
      </c>
      <c r="FH34" s="255">
        <v>62.0</v>
      </c>
      <c r="FI34" s="255">
        <v>0.0</v>
      </c>
      <c r="FJ34" s="255">
        <v>0.0</v>
      </c>
      <c r="FK34" s="255">
        <v>0.0</v>
      </c>
      <c r="FL34" s="255">
        <v>0.0</v>
      </c>
      <c r="FM34" s="255">
        <v>62.0</v>
      </c>
    </row>
    <row r="35" ht="13.5" customHeight="1">
      <c r="A35" s="252" t="s">
        <v>1179</v>
      </c>
      <c r="B35" s="252">
        <v>2018.0</v>
      </c>
      <c r="C35" s="252" t="s">
        <v>541</v>
      </c>
      <c r="D35" s="252" t="s">
        <v>541</v>
      </c>
      <c r="E35" s="252" t="s">
        <v>541</v>
      </c>
      <c r="F35" s="252" t="s">
        <v>541</v>
      </c>
      <c r="G35" s="252" t="s">
        <v>541</v>
      </c>
      <c r="H35" s="252" t="s">
        <v>541</v>
      </c>
      <c r="I35" s="252"/>
      <c r="J35" s="252">
        <v>2018.0</v>
      </c>
      <c r="K35" s="252" t="s">
        <v>541</v>
      </c>
      <c r="L35" s="252" t="s">
        <v>541</v>
      </c>
      <c r="M35" s="252" t="s">
        <v>541</v>
      </c>
      <c r="N35" s="252" t="s">
        <v>541</v>
      </c>
      <c r="O35" s="252" t="s">
        <v>541</v>
      </c>
      <c r="P35" s="252" t="s">
        <v>541</v>
      </c>
      <c r="Q35" s="131"/>
      <c r="R35" s="253" t="s">
        <v>232</v>
      </c>
      <c r="S35" s="253">
        <v>2019.0</v>
      </c>
      <c r="T35" s="253" t="s">
        <v>541</v>
      </c>
      <c r="U35" s="253" t="s">
        <v>541</v>
      </c>
      <c r="V35" s="253" t="s">
        <v>541</v>
      </c>
      <c r="W35" s="253" t="s">
        <v>541</v>
      </c>
      <c r="X35" s="253" t="s">
        <v>541</v>
      </c>
      <c r="Y35" s="253" t="s">
        <v>541</v>
      </c>
      <c r="Z35" s="253"/>
      <c r="AA35" s="253">
        <v>2019.0</v>
      </c>
      <c r="AB35" s="253" t="s">
        <v>541</v>
      </c>
      <c r="AC35" s="253" t="s">
        <v>541</v>
      </c>
      <c r="AD35" s="253" t="s">
        <v>541</v>
      </c>
      <c r="AE35" s="253" t="s">
        <v>541</v>
      </c>
      <c r="AF35" s="253" t="s">
        <v>541</v>
      </c>
      <c r="AG35" s="253" t="s">
        <v>541</v>
      </c>
      <c r="AH35" s="163"/>
      <c r="AI35" s="246" t="s">
        <v>352</v>
      </c>
      <c r="AJ35" s="246">
        <v>2018.0</v>
      </c>
      <c r="AK35" s="246" t="s">
        <v>541</v>
      </c>
      <c r="AL35" s="246" t="s">
        <v>541</v>
      </c>
      <c r="AM35" s="246" t="s">
        <v>541</v>
      </c>
      <c r="AN35" s="246" t="s">
        <v>541</v>
      </c>
      <c r="AO35" s="246" t="s">
        <v>541</v>
      </c>
      <c r="AP35" s="246" t="s">
        <v>541</v>
      </c>
      <c r="AQ35" s="246"/>
      <c r="AR35" s="246">
        <v>2018.0</v>
      </c>
      <c r="AS35" s="246" t="s">
        <v>541</v>
      </c>
      <c r="AT35" s="246" t="s">
        <v>541</v>
      </c>
      <c r="AU35" s="246" t="s">
        <v>541</v>
      </c>
      <c r="AV35" s="246" t="s">
        <v>541</v>
      </c>
      <c r="AW35" s="246" t="s">
        <v>541</v>
      </c>
      <c r="AX35" s="246" t="s">
        <v>541</v>
      </c>
      <c r="AY35" s="163"/>
      <c r="AZ35" s="254" t="s">
        <v>535</v>
      </c>
      <c r="BA35" s="254">
        <v>2018.0</v>
      </c>
      <c r="BB35" s="254">
        <v>158.0</v>
      </c>
      <c r="BC35" s="254">
        <v>188.0</v>
      </c>
      <c r="BD35" s="254">
        <v>331.0</v>
      </c>
      <c r="BE35" s="254">
        <v>421.0</v>
      </c>
      <c r="BF35" s="254">
        <v>314.0</v>
      </c>
      <c r="BG35" s="254">
        <v>1412.0</v>
      </c>
      <c r="BH35" s="254"/>
      <c r="BI35" s="254">
        <v>2018.0</v>
      </c>
      <c r="BJ35" s="254">
        <v>28.0</v>
      </c>
      <c r="BK35" s="254">
        <v>0.0</v>
      </c>
      <c r="BL35" s="254">
        <v>0.0</v>
      </c>
      <c r="BM35" s="254">
        <v>0.0</v>
      </c>
      <c r="BN35" s="254">
        <v>0.0</v>
      </c>
      <c r="BO35" s="254">
        <v>28.0</v>
      </c>
      <c r="BP35" s="163"/>
      <c r="BQ35" s="255" t="s">
        <v>615</v>
      </c>
      <c r="BR35" s="255">
        <v>2019.0</v>
      </c>
      <c r="BS35" s="255">
        <v>1129.0</v>
      </c>
      <c r="BT35" s="255">
        <v>427.0</v>
      </c>
      <c r="BU35" s="255">
        <v>595.0</v>
      </c>
      <c r="BV35" s="255">
        <v>856.0</v>
      </c>
      <c r="BW35" s="255">
        <v>719.0</v>
      </c>
      <c r="BX35" s="255">
        <v>3726.0</v>
      </c>
      <c r="BY35" s="255"/>
      <c r="BZ35" s="255">
        <v>2019.0</v>
      </c>
      <c r="CA35" s="255">
        <v>301.0</v>
      </c>
      <c r="CB35" s="255">
        <v>0.0</v>
      </c>
      <c r="CC35" s="255">
        <v>0.0</v>
      </c>
      <c r="CD35" s="255">
        <v>0.0</v>
      </c>
      <c r="CE35" s="255">
        <v>0.0</v>
      </c>
      <c r="CF35" s="255">
        <v>301.0</v>
      </c>
      <c r="CG35" s="163"/>
      <c r="CH35" s="57" t="s">
        <v>1031</v>
      </c>
      <c r="CI35" s="57">
        <v>2018.0</v>
      </c>
      <c r="CJ35" s="57">
        <v>1153.0</v>
      </c>
      <c r="CK35" s="57">
        <v>1123.0</v>
      </c>
      <c r="CL35" s="57">
        <v>1279.0</v>
      </c>
      <c r="CM35" s="57">
        <v>1326.0</v>
      </c>
      <c r="CN35" s="57">
        <v>962.0</v>
      </c>
      <c r="CO35" s="57">
        <v>5843.0</v>
      </c>
      <c r="CP35" s="57"/>
      <c r="CQ35" s="57">
        <v>2018.0</v>
      </c>
      <c r="CR35" s="57">
        <v>301.0</v>
      </c>
      <c r="CS35" s="57">
        <v>1.0</v>
      </c>
      <c r="CT35" s="57">
        <v>0.0</v>
      </c>
      <c r="CU35" s="57">
        <v>0.0</v>
      </c>
      <c r="CV35" s="57">
        <v>0.0</v>
      </c>
      <c r="CW35" s="57">
        <v>302.0</v>
      </c>
      <c r="CX35" s="163"/>
      <c r="CY35" s="256" t="s">
        <v>716</v>
      </c>
      <c r="CZ35" s="256">
        <v>2020.0</v>
      </c>
      <c r="DA35" s="256">
        <v>95.0</v>
      </c>
      <c r="DB35" s="256">
        <v>161.0</v>
      </c>
      <c r="DC35" s="256">
        <v>204.0</v>
      </c>
      <c r="DD35" s="256">
        <v>240.0</v>
      </c>
      <c r="DE35" s="256">
        <v>213.0</v>
      </c>
      <c r="DF35" s="256">
        <v>913.0</v>
      </c>
      <c r="DG35" s="256"/>
      <c r="DH35" s="256">
        <v>2020.0</v>
      </c>
      <c r="DI35" s="256">
        <v>14.0</v>
      </c>
      <c r="DJ35" s="256">
        <v>4.0</v>
      </c>
      <c r="DK35" s="256">
        <v>0.0</v>
      </c>
      <c r="DL35" s="256">
        <v>2.0</v>
      </c>
      <c r="DM35" s="256">
        <v>2.0</v>
      </c>
      <c r="DN35" s="256">
        <v>22.0</v>
      </c>
      <c r="DO35" s="163"/>
      <c r="DP35" s="49" t="s">
        <v>745</v>
      </c>
      <c r="DQ35" s="49">
        <v>2019.0</v>
      </c>
      <c r="DR35" s="49">
        <v>349.0</v>
      </c>
      <c r="DS35" s="49">
        <v>359.0</v>
      </c>
      <c r="DT35" s="49">
        <v>526.0</v>
      </c>
      <c r="DU35" s="49">
        <v>503.0</v>
      </c>
      <c r="DV35" s="49">
        <v>354.0</v>
      </c>
      <c r="DW35" s="49">
        <v>2091.0</v>
      </c>
      <c r="DX35" s="49"/>
      <c r="DY35" s="49">
        <v>2019.0</v>
      </c>
      <c r="DZ35" s="49">
        <v>9.0</v>
      </c>
      <c r="EA35" s="49">
        <v>1.0</v>
      </c>
      <c r="EB35" s="49">
        <v>0.0</v>
      </c>
      <c r="EC35" s="49">
        <v>0.0</v>
      </c>
      <c r="ED35" s="49">
        <v>0.0</v>
      </c>
      <c r="EE35" s="49">
        <v>10.0</v>
      </c>
      <c r="EF35" s="163"/>
      <c r="EG35" s="57" t="s">
        <v>841</v>
      </c>
      <c r="EH35" s="57">
        <v>2018.0</v>
      </c>
      <c r="EI35" s="57" t="s">
        <v>541</v>
      </c>
      <c r="EJ35" s="57" t="s">
        <v>541</v>
      </c>
      <c r="EK35" s="57" t="s">
        <v>541</v>
      </c>
      <c r="EL35" s="57" t="s">
        <v>541</v>
      </c>
      <c r="EM35" s="57" t="s">
        <v>541</v>
      </c>
      <c r="EN35" s="57" t="s">
        <v>541</v>
      </c>
      <c r="EO35" s="57"/>
      <c r="EP35" s="57">
        <v>2018.0</v>
      </c>
      <c r="EQ35" s="57" t="s">
        <v>541</v>
      </c>
      <c r="ER35" s="57" t="s">
        <v>541</v>
      </c>
      <c r="ES35" s="57" t="s">
        <v>541</v>
      </c>
      <c r="ET35" s="57" t="s">
        <v>541</v>
      </c>
      <c r="EU35" s="57" t="s">
        <v>541</v>
      </c>
      <c r="EV35" s="57" t="s">
        <v>541</v>
      </c>
      <c r="EW35" s="163"/>
      <c r="EX35" s="255" t="s">
        <v>918</v>
      </c>
      <c r="EY35" s="255">
        <v>2018.0</v>
      </c>
      <c r="EZ35" s="255">
        <v>496.0</v>
      </c>
      <c r="FA35" s="255">
        <v>462.0</v>
      </c>
      <c r="FB35" s="255">
        <v>534.0</v>
      </c>
      <c r="FC35" s="255">
        <v>542.0</v>
      </c>
      <c r="FD35" s="255">
        <v>554.0</v>
      </c>
      <c r="FE35" s="255">
        <v>2588.0</v>
      </c>
      <c r="FF35" s="255"/>
      <c r="FG35" s="255">
        <v>2018.0</v>
      </c>
      <c r="FH35" s="255">
        <v>82.0</v>
      </c>
      <c r="FI35" s="255">
        <v>12.0</v>
      </c>
      <c r="FJ35" s="255">
        <v>0.0</v>
      </c>
      <c r="FK35" s="255">
        <v>0.0</v>
      </c>
      <c r="FL35" s="255">
        <v>0.0</v>
      </c>
      <c r="FM35" s="255">
        <v>94.0</v>
      </c>
    </row>
    <row r="36" ht="13.5" customHeight="1">
      <c r="A36" s="252" t="s">
        <v>1173</v>
      </c>
      <c r="B36" s="252">
        <v>2018.0</v>
      </c>
      <c r="C36" s="252" t="s">
        <v>541</v>
      </c>
      <c r="D36" s="252" t="s">
        <v>541</v>
      </c>
      <c r="E36" s="252" t="s">
        <v>541</v>
      </c>
      <c r="F36" s="252" t="s">
        <v>541</v>
      </c>
      <c r="G36" s="252" t="s">
        <v>541</v>
      </c>
      <c r="H36" s="252" t="s">
        <v>541</v>
      </c>
      <c r="I36" s="252"/>
      <c r="J36" s="252">
        <v>2018.0</v>
      </c>
      <c r="K36" s="252" t="s">
        <v>541</v>
      </c>
      <c r="L36" s="252" t="s">
        <v>541</v>
      </c>
      <c r="M36" s="252" t="s">
        <v>541</v>
      </c>
      <c r="N36" s="252" t="s">
        <v>541</v>
      </c>
      <c r="O36" s="252" t="s">
        <v>541</v>
      </c>
      <c r="P36" s="252" t="s">
        <v>541</v>
      </c>
      <c r="Q36" s="131"/>
      <c r="R36" s="253" t="s">
        <v>234</v>
      </c>
      <c r="S36" s="253">
        <v>2019.0</v>
      </c>
      <c r="T36" s="253" t="s">
        <v>541</v>
      </c>
      <c r="U36" s="253" t="s">
        <v>541</v>
      </c>
      <c r="V36" s="253" t="s">
        <v>541</v>
      </c>
      <c r="W36" s="253" t="s">
        <v>541</v>
      </c>
      <c r="X36" s="253" t="s">
        <v>541</v>
      </c>
      <c r="Y36" s="253" t="s">
        <v>541</v>
      </c>
      <c r="Z36" s="253"/>
      <c r="AA36" s="253">
        <v>2019.0</v>
      </c>
      <c r="AB36" s="253" t="s">
        <v>541</v>
      </c>
      <c r="AC36" s="253" t="s">
        <v>541</v>
      </c>
      <c r="AD36" s="253" t="s">
        <v>541</v>
      </c>
      <c r="AE36" s="253" t="s">
        <v>541</v>
      </c>
      <c r="AF36" s="253" t="s">
        <v>541</v>
      </c>
      <c r="AG36" s="253" t="s">
        <v>541</v>
      </c>
      <c r="AH36" s="163"/>
      <c r="AI36" s="246" t="s">
        <v>356</v>
      </c>
      <c r="AJ36" s="246">
        <v>2018.0</v>
      </c>
      <c r="AK36" s="246" t="s">
        <v>541</v>
      </c>
      <c r="AL36" s="246" t="s">
        <v>541</v>
      </c>
      <c r="AM36" s="246" t="s">
        <v>541</v>
      </c>
      <c r="AN36" s="246" t="s">
        <v>541</v>
      </c>
      <c r="AO36" s="246" t="s">
        <v>541</v>
      </c>
      <c r="AP36" s="246" t="s">
        <v>541</v>
      </c>
      <c r="AQ36" s="246"/>
      <c r="AR36" s="246">
        <v>2018.0</v>
      </c>
      <c r="AS36" s="246" t="s">
        <v>541</v>
      </c>
      <c r="AT36" s="246" t="s">
        <v>541</v>
      </c>
      <c r="AU36" s="246" t="s">
        <v>541</v>
      </c>
      <c r="AV36" s="246" t="s">
        <v>541</v>
      </c>
      <c r="AW36" s="246" t="s">
        <v>541</v>
      </c>
      <c r="AX36" s="246" t="s">
        <v>541</v>
      </c>
      <c r="AY36" s="163"/>
      <c r="AZ36" s="254" t="s">
        <v>537</v>
      </c>
      <c r="BA36" s="254">
        <v>2018.0</v>
      </c>
      <c r="BB36" s="254" t="s">
        <v>541</v>
      </c>
      <c r="BC36" s="254" t="s">
        <v>541</v>
      </c>
      <c r="BD36" s="254" t="s">
        <v>541</v>
      </c>
      <c r="BE36" s="254" t="s">
        <v>541</v>
      </c>
      <c r="BF36" s="254" t="s">
        <v>541</v>
      </c>
      <c r="BG36" s="254" t="s">
        <v>541</v>
      </c>
      <c r="BH36" s="254"/>
      <c r="BI36" s="254">
        <v>2018.0</v>
      </c>
      <c r="BJ36" s="254" t="s">
        <v>541</v>
      </c>
      <c r="BK36" s="254" t="s">
        <v>541</v>
      </c>
      <c r="BL36" s="254" t="s">
        <v>541</v>
      </c>
      <c r="BM36" s="254" t="s">
        <v>541</v>
      </c>
      <c r="BN36" s="254" t="s">
        <v>541</v>
      </c>
      <c r="BO36" s="254" t="s">
        <v>541</v>
      </c>
      <c r="BP36" s="163"/>
      <c r="BQ36" s="255" t="s">
        <v>620</v>
      </c>
      <c r="BR36" s="255">
        <v>2019.0</v>
      </c>
      <c r="BS36" s="255">
        <v>63.0</v>
      </c>
      <c r="BT36" s="255">
        <v>112.0</v>
      </c>
      <c r="BU36" s="255">
        <v>174.0</v>
      </c>
      <c r="BV36" s="255">
        <v>341.0</v>
      </c>
      <c r="BW36" s="255">
        <v>282.0</v>
      </c>
      <c r="BX36" s="255">
        <v>972.0</v>
      </c>
      <c r="BY36" s="255"/>
      <c r="BZ36" s="255">
        <v>2019.0</v>
      </c>
      <c r="CA36" s="255">
        <v>14.0</v>
      </c>
      <c r="CB36" s="255">
        <v>0.0</v>
      </c>
      <c r="CC36" s="255">
        <v>0.0</v>
      </c>
      <c r="CD36" s="255">
        <v>0.0</v>
      </c>
      <c r="CE36" s="255">
        <v>0.0</v>
      </c>
      <c r="CF36" s="255">
        <v>14.0</v>
      </c>
      <c r="CG36" s="163"/>
      <c r="CH36" s="57" t="s">
        <v>1032</v>
      </c>
      <c r="CI36" s="57">
        <v>2018.0</v>
      </c>
      <c r="CJ36" s="57">
        <v>591.0</v>
      </c>
      <c r="CK36" s="57">
        <v>505.0</v>
      </c>
      <c r="CL36" s="57">
        <v>982.0</v>
      </c>
      <c r="CM36" s="57">
        <v>1470.0</v>
      </c>
      <c r="CN36" s="57">
        <v>1463.0</v>
      </c>
      <c r="CO36" s="57">
        <v>5011.0</v>
      </c>
      <c r="CP36" s="57"/>
      <c r="CQ36" s="57">
        <v>2018.0</v>
      </c>
      <c r="CR36" s="57">
        <v>139.0</v>
      </c>
      <c r="CS36" s="57">
        <v>0.0</v>
      </c>
      <c r="CT36" s="57">
        <v>0.0</v>
      </c>
      <c r="CU36" s="57">
        <v>0.0</v>
      </c>
      <c r="CV36" s="57">
        <v>0.0</v>
      </c>
      <c r="CW36" s="57">
        <v>139.0</v>
      </c>
      <c r="CX36" s="163"/>
      <c r="CY36" s="256" t="s">
        <v>718</v>
      </c>
      <c r="CZ36" s="256">
        <v>2020.0</v>
      </c>
      <c r="DA36" s="256">
        <v>303.0</v>
      </c>
      <c r="DB36" s="256">
        <v>432.0</v>
      </c>
      <c r="DC36" s="256">
        <v>599.0</v>
      </c>
      <c r="DD36" s="256">
        <v>770.0</v>
      </c>
      <c r="DE36" s="256">
        <v>609.0</v>
      </c>
      <c r="DF36" s="256">
        <v>2713.0</v>
      </c>
      <c r="DG36" s="256"/>
      <c r="DH36" s="256">
        <v>2020.0</v>
      </c>
      <c r="DI36" s="256">
        <v>21.0</v>
      </c>
      <c r="DJ36" s="256">
        <v>3.0</v>
      </c>
      <c r="DK36" s="256">
        <v>1.0</v>
      </c>
      <c r="DL36" s="256">
        <v>0.0</v>
      </c>
      <c r="DM36" s="256">
        <v>1.0</v>
      </c>
      <c r="DN36" s="256">
        <v>26.0</v>
      </c>
      <c r="DO36" s="163"/>
      <c r="DP36" s="49" t="s">
        <v>747</v>
      </c>
      <c r="DQ36" s="49">
        <v>2019.0</v>
      </c>
      <c r="DR36" s="49">
        <v>191.0</v>
      </c>
      <c r="DS36" s="49">
        <v>261.0</v>
      </c>
      <c r="DT36" s="49">
        <v>376.0</v>
      </c>
      <c r="DU36" s="49">
        <v>460.0</v>
      </c>
      <c r="DV36" s="49">
        <v>352.0</v>
      </c>
      <c r="DW36" s="49">
        <v>1640.0</v>
      </c>
      <c r="DX36" s="49"/>
      <c r="DY36" s="49">
        <v>2019.0</v>
      </c>
      <c r="DZ36" s="49">
        <v>9.0</v>
      </c>
      <c r="EA36" s="49">
        <v>0.0</v>
      </c>
      <c r="EB36" s="49">
        <v>0.0</v>
      </c>
      <c r="EC36" s="49">
        <v>0.0</v>
      </c>
      <c r="ED36" s="49">
        <v>0.0</v>
      </c>
      <c r="EE36" s="49">
        <v>9.0</v>
      </c>
      <c r="EF36" s="163"/>
      <c r="EG36" s="57" t="s">
        <v>843</v>
      </c>
      <c r="EH36" s="57">
        <v>2018.0</v>
      </c>
      <c r="EI36" s="57" t="s">
        <v>541</v>
      </c>
      <c r="EJ36" s="57" t="s">
        <v>541</v>
      </c>
      <c r="EK36" s="57" t="s">
        <v>541</v>
      </c>
      <c r="EL36" s="57" t="s">
        <v>541</v>
      </c>
      <c r="EM36" s="57" t="s">
        <v>541</v>
      </c>
      <c r="EN36" s="57" t="s">
        <v>541</v>
      </c>
      <c r="EO36" s="57"/>
      <c r="EP36" s="57">
        <v>2018.0</v>
      </c>
      <c r="EQ36" s="57" t="s">
        <v>541</v>
      </c>
      <c r="ER36" s="57" t="s">
        <v>541</v>
      </c>
      <c r="ES36" s="57" t="s">
        <v>541</v>
      </c>
      <c r="ET36" s="57" t="s">
        <v>541</v>
      </c>
      <c r="EU36" s="57" t="s">
        <v>541</v>
      </c>
      <c r="EV36" s="57" t="s">
        <v>541</v>
      </c>
      <c r="EW36" s="163"/>
      <c r="EX36" s="255" t="s">
        <v>920</v>
      </c>
      <c r="EY36" s="255">
        <v>2018.0</v>
      </c>
      <c r="EZ36" s="255">
        <v>517.0</v>
      </c>
      <c r="FA36" s="255">
        <v>545.0</v>
      </c>
      <c r="FB36" s="255">
        <v>646.0</v>
      </c>
      <c r="FC36" s="255">
        <v>734.0</v>
      </c>
      <c r="FD36" s="255">
        <v>773.0</v>
      </c>
      <c r="FE36" s="255">
        <v>3215.0</v>
      </c>
      <c r="FF36" s="255"/>
      <c r="FG36" s="255">
        <v>2018.0</v>
      </c>
      <c r="FH36" s="255">
        <v>66.0</v>
      </c>
      <c r="FI36" s="255">
        <v>23.0</v>
      </c>
      <c r="FJ36" s="255">
        <v>0.0</v>
      </c>
      <c r="FK36" s="255">
        <v>0.0</v>
      </c>
      <c r="FL36" s="255">
        <v>0.0</v>
      </c>
      <c r="FM36" s="255">
        <v>89.0</v>
      </c>
    </row>
    <row r="37" ht="13.5" customHeight="1">
      <c r="A37" s="252" t="s">
        <v>1185</v>
      </c>
      <c r="B37" s="252">
        <v>2018.0</v>
      </c>
      <c r="C37" s="252" t="s">
        <v>541</v>
      </c>
      <c r="D37" s="252" t="s">
        <v>541</v>
      </c>
      <c r="E37" s="252" t="s">
        <v>541</v>
      </c>
      <c r="F37" s="252" t="s">
        <v>541</v>
      </c>
      <c r="G37" s="252" t="s">
        <v>541</v>
      </c>
      <c r="H37" s="252" t="s">
        <v>541</v>
      </c>
      <c r="I37" s="252"/>
      <c r="J37" s="252">
        <v>2018.0</v>
      </c>
      <c r="K37" s="252" t="s">
        <v>541</v>
      </c>
      <c r="L37" s="252" t="s">
        <v>541</v>
      </c>
      <c r="M37" s="252" t="s">
        <v>541</v>
      </c>
      <c r="N37" s="252" t="s">
        <v>541</v>
      </c>
      <c r="O37" s="252" t="s">
        <v>541</v>
      </c>
      <c r="P37" s="252" t="s">
        <v>541</v>
      </c>
      <c r="Q37" s="131"/>
      <c r="R37" s="253" t="s">
        <v>236</v>
      </c>
      <c r="S37" s="253">
        <v>2019.0</v>
      </c>
      <c r="T37" s="253" t="s">
        <v>541</v>
      </c>
      <c r="U37" s="253" t="s">
        <v>541</v>
      </c>
      <c r="V37" s="253" t="s">
        <v>541</v>
      </c>
      <c r="W37" s="253" t="s">
        <v>541</v>
      </c>
      <c r="X37" s="253" t="s">
        <v>541</v>
      </c>
      <c r="Y37" s="253" t="s">
        <v>541</v>
      </c>
      <c r="Z37" s="253"/>
      <c r="AA37" s="253">
        <v>2019.0</v>
      </c>
      <c r="AB37" s="253" t="s">
        <v>541</v>
      </c>
      <c r="AC37" s="253" t="s">
        <v>541</v>
      </c>
      <c r="AD37" s="253" t="s">
        <v>541</v>
      </c>
      <c r="AE37" s="253" t="s">
        <v>541</v>
      </c>
      <c r="AF37" s="253" t="s">
        <v>541</v>
      </c>
      <c r="AG37" s="253" t="s">
        <v>541</v>
      </c>
      <c r="AH37" s="163"/>
      <c r="AI37" s="246" t="s">
        <v>361</v>
      </c>
      <c r="AJ37" s="246">
        <v>2018.0</v>
      </c>
      <c r="AK37" s="246" t="s">
        <v>541</v>
      </c>
      <c r="AL37" s="246" t="s">
        <v>541</v>
      </c>
      <c r="AM37" s="246" t="s">
        <v>541</v>
      </c>
      <c r="AN37" s="246" t="s">
        <v>541</v>
      </c>
      <c r="AO37" s="246" t="s">
        <v>541</v>
      </c>
      <c r="AP37" s="246" t="s">
        <v>541</v>
      </c>
      <c r="AQ37" s="246"/>
      <c r="AR37" s="246">
        <v>2018.0</v>
      </c>
      <c r="AS37" s="246" t="s">
        <v>541</v>
      </c>
      <c r="AT37" s="246" t="s">
        <v>541</v>
      </c>
      <c r="AU37" s="246" t="s">
        <v>541</v>
      </c>
      <c r="AV37" s="246" t="s">
        <v>541</v>
      </c>
      <c r="AW37" s="246" t="s">
        <v>541</v>
      </c>
      <c r="AX37" s="246" t="s">
        <v>541</v>
      </c>
      <c r="AY37" s="163"/>
      <c r="AZ37" s="254" t="s">
        <v>539</v>
      </c>
      <c r="BA37" s="254">
        <v>2018.0</v>
      </c>
      <c r="BB37" s="254">
        <v>396.0</v>
      </c>
      <c r="BC37" s="254">
        <v>52.0</v>
      </c>
      <c r="BD37" s="254">
        <v>126.0</v>
      </c>
      <c r="BE37" s="254">
        <v>154.0</v>
      </c>
      <c r="BF37" s="254">
        <v>266.0</v>
      </c>
      <c r="BG37" s="254">
        <v>994.0</v>
      </c>
      <c r="BH37" s="254"/>
      <c r="BI37" s="254">
        <v>2018.0</v>
      </c>
      <c r="BJ37" s="254">
        <v>126.0</v>
      </c>
      <c r="BK37" s="254">
        <v>0.0</v>
      </c>
      <c r="BL37" s="254">
        <v>0.0</v>
      </c>
      <c r="BM37" s="254">
        <v>0.0</v>
      </c>
      <c r="BN37" s="254">
        <v>0.0</v>
      </c>
      <c r="BO37" s="254">
        <v>126.0</v>
      </c>
      <c r="BP37" s="163"/>
      <c r="BQ37" s="255" t="s">
        <v>623</v>
      </c>
      <c r="BR37" s="255">
        <v>2019.0</v>
      </c>
      <c r="BS37" s="255">
        <v>139.0</v>
      </c>
      <c r="BT37" s="255">
        <v>103.0</v>
      </c>
      <c r="BU37" s="255">
        <v>179.0</v>
      </c>
      <c r="BV37" s="255">
        <v>294.0</v>
      </c>
      <c r="BW37" s="255">
        <v>266.0</v>
      </c>
      <c r="BX37" s="255">
        <v>981.0</v>
      </c>
      <c r="BY37" s="255"/>
      <c r="BZ37" s="255">
        <v>2019.0</v>
      </c>
      <c r="CA37" s="255">
        <v>45.0</v>
      </c>
      <c r="CB37" s="255">
        <v>0.0</v>
      </c>
      <c r="CC37" s="255">
        <v>0.0</v>
      </c>
      <c r="CD37" s="255">
        <v>0.0</v>
      </c>
      <c r="CE37" s="255">
        <v>0.0</v>
      </c>
      <c r="CF37" s="255">
        <v>45.0</v>
      </c>
      <c r="CG37" s="163"/>
      <c r="CH37" s="57" t="s">
        <v>1035</v>
      </c>
      <c r="CI37" s="57">
        <v>2018.0</v>
      </c>
      <c r="CJ37" s="57">
        <v>319.0</v>
      </c>
      <c r="CK37" s="57">
        <v>366.0</v>
      </c>
      <c r="CL37" s="57">
        <v>746.0</v>
      </c>
      <c r="CM37" s="57">
        <v>1068.0</v>
      </c>
      <c r="CN37" s="57">
        <v>1065.0</v>
      </c>
      <c r="CO37" s="57">
        <v>3564.0</v>
      </c>
      <c r="CP37" s="57"/>
      <c r="CQ37" s="57">
        <v>2018.0</v>
      </c>
      <c r="CR37" s="57">
        <v>33.0</v>
      </c>
      <c r="CS37" s="57">
        <v>0.0</v>
      </c>
      <c r="CT37" s="57">
        <v>0.0</v>
      </c>
      <c r="CU37" s="57">
        <v>0.0</v>
      </c>
      <c r="CV37" s="57">
        <v>0.0</v>
      </c>
      <c r="CW37" s="57">
        <v>33.0</v>
      </c>
      <c r="CX37" s="163"/>
      <c r="CY37" s="256" t="s">
        <v>720</v>
      </c>
      <c r="CZ37" s="256">
        <v>2020.0</v>
      </c>
      <c r="DA37" s="256">
        <v>331.0</v>
      </c>
      <c r="DB37" s="256">
        <v>388.0</v>
      </c>
      <c r="DC37" s="256">
        <v>546.0</v>
      </c>
      <c r="DD37" s="256">
        <v>582.0</v>
      </c>
      <c r="DE37" s="256">
        <v>443.0</v>
      </c>
      <c r="DF37" s="256">
        <v>2290.0</v>
      </c>
      <c r="DG37" s="256"/>
      <c r="DH37" s="256">
        <v>2020.0</v>
      </c>
      <c r="DI37" s="256">
        <v>28.0</v>
      </c>
      <c r="DJ37" s="256">
        <v>4.0</v>
      </c>
      <c r="DK37" s="256">
        <v>2.0</v>
      </c>
      <c r="DL37" s="256">
        <v>1.0</v>
      </c>
      <c r="DM37" s="256">
        <v>0.0</v>
      </c>
      <c r="DN37" s="256">
        <v>35.0</v>
      </c>
      <c r="DO37" s="163"/>
      <c r="DP37" s="49" t="s">
        <v>749</v>
      </c>
      <c r="DQ37" s="49">
        <v>2019.0</v>
      </c>
      <c r="DR37" s="49">
        <v>181.0</v>
      </c>
      <c r="DS37" s="49">
        <v>309.0</v>
      </c>
      <c r="DT37" s="49">
        <v>423.0</v>
      </c>
      <c r="DU37" s="49">
        <v>514.0</v>
      </c>
      <c r="DV37" s="49">
        <v>489.0</v>
      </c>
      <c r="DW37" s="49">
        <v>1916.0</v>
      </c>
      <c r="DX37" s="49"/>
      <c r="DY37" s="49">
        <v>2019.0</v>
      </c>
      <c r="DZ37" s="49">
        <v>17.0</v>
      </c>
      <c r="EA37" s="49">
        <v>1.0</v>
      </c>
      <c r="EB37" s="49">
        <v>0.0</v>
      </c>
      <c r="EC37" s="49">
        <v>0.0</v>
      </c>
      <c r="ED37" s="49">
        <v>0.0</v>
      </c>
      <c r="EE37" s="49">
        <v>18.0</v>
      </c>
      <c r="EF37" s="163"/>
      <c r="EG37" s="163"/>
      <c r="EH37" s="163"/>
      <c r="EI37" s="163"/>
      <c r="EJ37" s="163"/>
      <c r="EK37" s="163"/>
      <c r="EL37" s="163"/>
      <c r="EM37" s="163"/>
      <c r="EN37" s="163"/>
      <c r="EO37" s="163"/>
      <c r="EP37" s="163"/>
      <c r="EQ37" s="163"/>
      <c r="ER37" s="163"/>
      <c r="ES37" s="163"/>
      <c r="ET37" s="163"/>
      <c r="EU37" s="163"/>
      <c r="EV37" s="163"/>
      <c r="EW37" s="163"/>
      <c r="EX37" s="255" t="s">
        <v>922</v>
      </c>
      <c r="EY37" s="255">
        <v>2018.0</v>
      </c>
      <c r="EZ37" s="255">
        <v>180.0</v>
      </c>
      <c r="FA37" s="255">
        <v>252.0</v>
      </c>
      <c r="FB37" s="255">
        <v>314.0</v>
      </c>
      <c r="FC37" s="255">
        <v>404.0</v>
      </c>
      <c r="FD37" s="255">
        <v>501.0</v>
      </c>
      <c r="FE37" s="255">
        <v>1651.0</v>
      </c>
      <c r="FF37" s="255"/>
      <c r="FG37" s="255">
        <v>2018.0</v>
      </c>
      <c r="FH37" s="255">
        <v>39.0</v>
      </c>
      <c r="FI37" s="255">
        <v>8.0</v>
      </c>
      <c r="FJ37" s="255">
        <v>0.0</v>
      </c>
      <c r="FK37" s="255">
        <v>0.0</v>
      </c>
      <c r="FL37" s="255">
        <v>0.0</v>
      </c>
      <c r="FM37" s="255">
        <v>47.0</v>
      </c>
    </row>
    <row r="38" ht="13.5" customHeight="1">
      <c r="A38" s="252" t="s">
        <v>1189</v>
      </c>
      <c r="B38" s="252">
        <v>2018.0</v>
      </c>
      <c r="C38" s="252">
        <v>103.0</v>
      </c>
      <c r="D38" s="252">
        <v>11.0</v>
      </c>
      <c r="E38" s="252">
        <v>1.0</v>
      </c>
      <c r="F38" s="252">
        <v>3.0</v>
      </c>
      <c r="G38" s="252">
        <v>0.0</v>
      </c>
      <c r="H38" s="252">
        <v>118.0</v>
      </c>
      <c r="I38" s="252"/>
      <c r="J38" s="252">
        <v>2018.0</v>
      </c>
      <c r="K38" s="252">
        <v>574.0</v>
      </c>
      <c r="L38" s="252">
        <v>650.0</v>
      </c>
      <c r="M38" s="252">
        <v>792.0</v>
      </c>
      <c r="N38" s="252">
        <v>910.0</v>
      </c>
      <c r="O38" s="252">
        <v>678.0</v>
      </c>
      <c r="P38" s="252">
        <v>3604.0</v>
      </c>
      <c r="Q38" s="131"/>
      <c r="R38" s="253" t="s">
        <v>238</v>
      </c>
      <c r="S38" s="253">
        <v>2019.0</v>
      </c>
      <c r="T38" s="253" t="s">
        <v>541</v>
      </c>
      <c r="U38" s="253" t="s">
        <v>541</v>
      </c>
      <c r="V38" s="253" t="s">
        <v>541</v>
      </c>
      <c r="W38" s="253" t="s">
        <v>541</v>
      </c>
      <c r="X38" s="253" t="s">
        <v>541</v>
      </c>
      <c r="Y38" s="253" t="s">
        <v>541</v>
      </c>
      <c r="Z38" s="253"/>
      <c r="AA38" s="253">
        <v>2019.0</v>
      </c>
      <c r="AB38" s="253" t="s">
        <v>541</v>
      </c>
      <c r="AC38" s="253" t="s">
        <v>541</v>
      </c>
      <c r="AD38" s="253" t="s">
        <v>541</v>
      </c>
      <c r="AE38" s="253" t="s">
        <v>541</v>
      </c>
      <c r="AF38" s="253" t="s">
        <v>541</v>
      </c>
      <c r="AG38" s="253" t="s">
        <v>541</v>
      </c>
      <c r="AH38" s="163"/>
      <c r="AI38" s="246" t="s">
        <v>365</v>
      </c>
      <c r="AJ38" s="246">
        <v>2018.0</v>
      </c>
      <c r="AK38" s="246" t="s">
        <v>541</v>
      </c>
      <c r="AL38" s="246" t="s">
        <v>541</v>
      </c>
      <c r="AM38" s="246" t="s">
        <v>541</v>
      </c>
      <c r="AN38" s="246" t="s">
        <v>541</v>
      </c>
      <c r="AO38" s="246" t="s">
        <v>541</v>
      </c>
      <c r="AP38" s="246" t="s">
        <v>541</v>
      </c>
      <c r="AQ38" s="246"/>
      <c r="AR38" s="246">
        <v>2018.0</v>
      </c>
      <c r="AS38" s="246" t="s">
        <v>541</v>
      </c>
      <c r="AT38" s="246" t="s">
        <v>541</v>
      </c>
      <c r="AU38" s="246" t="s">
        <v>541</v>
      </c>
      <c r="AV38" s="246" t="s">
        <v>541</v>
      </c>
      <c r="AW38" s="246" t="s">
        <v>541</v>
      </c>
      <c r="AX38" s="246" t="s">
        <v>541</v>
      </c>
      <c r="AY38" s="163"/>
      <c r="AZ38" s="254" t="s">
        <v>542</v>
      </c>
      <c r="BA38" s="254">
        <v>2018.0</v>
      </c>
      <c r="BB38" s="254">
        <v>61.0</v>
      </c>
      <c r="BC38" s="254">
        <v>16.0</v>
      </c>
      <c r="BD38" s="254">
        <v>30.0</v>
      </c>
      <c r="BE38" s="254">
        <v>33.0</v>
      </c>
      <c r="BF38" s="254">
        <v>99.0</v>
      </c>
      <c r="BG38" s="254">
        <v>239.0</v>
      </c>
      <c r="BH38" s="254"/>
      <c r="BI38" s="254">
        <v>2018.0</v>
      </c>
      <c r="BJ38" s="254">
        <v>29.0</v>
      </c>
      <c r="BK38" s="254">
        <v>0.0</v>
      </c>
      <c r="BL38" s="254">
        <v>0.0</v>
      </c>
      <c r="BM38" s="254">
        <v>0.0</v>
      </c>
      <c r="BN38" s="254">
        <v>0.0</v>
      </c>
      <c r="BO38" s="254">
        <v>29.0</v>
      </c>
      <c r="BP38" s="163"/>
      <c r="BQ38" s="255" t="s">
        <v>625</v>
      </c>
      <c r="BR38" s="255">
        <v>2019.0</v>
      </c>
      <c r="BS38" s="255">
        <v>104.0</v>
      </c>
      <c r="BT38" s="255">
        <v>57.0</v>
      </c>
      <c r="BU38" s="255">
        <v>98.0</v>
      </c>
      <c r="BV38" s="255">
        <v>136.0</v>
      </c>
      <c r="BW38" s="255">
        <v>214.0</v>
      </c>
      <c r="BX38" s="255">
        <v>609.0</v>
      </c>
      <c r="BY38" s="255"/>
      <c r="BZ38" s="255">
        <v>2019.0</v>
      </c>
      <c r="CA38" s="255">
        <v>20.0</v>
      </c>
      <c r="CB38" s="255">
        <v>0.0</v>
      </c>
      <c r="CC38" s="255">
        <v>0.0</v>
      </c>
      <c r="CD38" s="255">
        <v>0.0</v>
      </c>
      <c r="CE38" s="255">
        <v>0.0</v>
      </c>
      <c r="CF38" s="255">
        <v>20.0</v>
      </c>
      <c r="CG38" s="163"/>
      <c r="CH38" s="57" t="s">
        <v>1037</v>
      </c>
      <c r="CI38" s="57">
        <v>2018.0</v>
      </c>
      <c r="CJ38" s="57">
        <v>137.0</v>
      </c>
      <c r="CK38" s="57">
        <v>69.0</v>
      </c>
      <c r="CL38" s="57">
        <v>123.0</v>
      </c>
      <c r="CM38" s="57">
        <v>158.0</v>
      </c>
      <c r="CN38" s="57">
        <v>187.0</v>
      </c>
      <c r="CO38" s="57">
        <v>674.0</v>
      </c>
      <c r="CP38" s="57"/>
      <c r="CQ38" s="57">
        <v>2018.0</v>
      </c>
      <c r="CR38" s="57">
        <v>51.0</v>
      </c>
      <c r="CS38" s="57">
        <v>0.0</v>
      </c>
      <c r="CT38" s="57">
        <v>0.0</v>
      </c>
      <c r="CU38" s="57">
        <v>0.0</v>
      </c>
      <c r="CV38" s="57">
        <v>0.0</v>
      </c>
      <c r="CW38" s="57">
        <v>51.0</v>
      </c>
      <c r="CX38" s="163"/>
      <c r="CY38" s="256" t="s">
        <v>722</v>
      </c>
      <c r="CZ38" s="256">
        <v>2020.0</v>
      </c>
      <c r="DA38" s="256">
        <v>506.0</v>
      </c>
      <c r="DB38" s="256">
        <v>485.0</v>
      </c>
      <c r="DC38" s="256">
        <v>449.0</v>
      </c>
      <c r="DD38" s="256">
        <v>582.0</v>
      </c>
      <c r="DE38" s="256">
        <v>496.0</v>
      </c>
      <c r="DF38" s="256">
        <v>2518.0</v>
      </c>
      <c r="DG38" s="256"/>
      <c r="DH38" s="256">
        <v>2020.0</v>
      </c>
      <c r="DI38" s="256">
        <v>26.0</v>
      </c>
      <c r="DJ38" s="256">
        <v>3.0</v>
      </c>
      <c r="DK38" s="256">
        <v>2.0</v>
      </c>
      <c r="DL38" s="256">
        <v>1.0</v>
      </c>
      <c r="DM38" s="256">
        <v>1.0</v>
      </c>
      <c r="DN38" s="256">
        <v>33.0</v>
      </c>
      <c r="DO38" s="163"/>
      <c r="DP38" s="49" t="s">
        <v>752</v>
      </c>
      <c r="DQ38" s="49">
        <v>2019.0</v>
      </c>
      <c r="DR38" s="49">
        <v>169.0</v>
      </c>
      <c r="DS38" s="49">
        <v>286.0</v>
      </c>
      <c r="DT38" s="49">
        <v>387.0</v>
      </c>
      <c r="DU38" s="49">
        <v>495.0</v>
      </c>
      <c r="DV38" s="49">
        <v>342.0</v>
      </c>
      <c r="DW38" s="49">
        <v>1679.0</v>
      </c>
      <c r="DX38" s="49"/>
      <c r="DY38" s="49">
        <v>2019.0</v>
      </c>
      <c r="DZ38" s="49">
        <v>10.0</v>
      </c>
      <c r="EA38" s="49">
        <v>6.0</v>
      </c>
      <c r="EB38" s="49">
        <v>0.0</v>
      </c>
      <c r="EC38" s="49">
        <v>0.0</v>
      </c>
      <c r="ED38" s="49">
        <v>0.0</v>
      </c>
      <c r="EE38" s="49">
        <v>16.0</v>
      </c>
      <c r="EF38" s="163"/>
      <c r="EG38" s="57" t="s">
        <v>774</v>
      </c>
      <c r="EH38" s="57">
        <v>2019.0</v>
      </c>
      <c r="EI38" s="57">
        <v>665.0</v>
      </c>
      <c r="EJ38" s="57">
        <v>1005.0</v>
      </c>
      <c r="EK38" s="57">
        <v>1233.0</v>
      </c>
      <c r="EL38" s="57">
        <v>1478.0</v>
      </c>
      <c r="EM38" s="57">
        <v>1547.0</v>
      </c>
      <c r="EN38" s="57">
        <v>5928.0</v>
      </c>
      <c r="EO38" s="57"/>
      <c r="EP38" s="57">
        <v>2019.0</v>
      </c>
      <c r="EQ38" s="57">
        <v>173.0</v>
      </c>
      <c r="ER38" s="57">
        <v>93.0</v>
      </c>
      <c r="ES38" s="57">
        <v>62.0</v>
      </c>
      <c r="ET38" s="57">
        <v>53.0</v>
      </c>
      <c r="EU38" s="57">
        <v>63.0</v>
      </c>
      <c r="EV38" s="57">
        <v>444.0</v>
      </c>
      <c r="EW38" s="163"/>
      <c r="EX38" s="255" t="s">
        <v>924</v>
      </c>
      <c r="EY38" s="255">
        <v>2018.0</v>
      </c>
      <c r="EZ38" s="255">
        <v>563.0</v>
      </c>
      <c r="FA38" s="255">
        <v>497.0</v>
      </c>
      <c r="FB38" s="255">
        <v>556.0</v>
      </c>
      <c r="FC38" s="255">
        <v>735.0</v>
      </c>
      <c r="FD38" s="255">
        <v>851.0</v>
      </c>
      <c r="FE38" s="255">
        <v>3202.0</v>
      </c>
      <c r="FF38" s="255"/>
      <c r="FG38" s="255">
        <v>2018.0</v>
      </c>
      <c r="FH38" s="255">
        <v>63.0</v>
      </c>
      <c r="FI38" s="255">
        <v>22.0</v>
      </c>
      <c r="FJ38" s="255">
        <v>12.0</v>
      </c>
      <c r="FK38" s="255">
        <v>0.0</v>
      </c>
      <c r="FL38" s="255">
        <v>0.0</v>
      </c>
      <c r="FM38" s="255">
        <v>97.0</v>
      </c>
    </row>
    <row r="39" ht="13.5" customHeight="1">
      <c r="A39" s="252" t="s">
        <v>203</v>
      </c>
      <c r="B39" s="252">
        <v>2018.0</v>
      </c>
      <c r="C39" s="252">
        <v>36.0</v>
      </c>
      <c r="D39" s="252">
        <v>6.0</v>
      </c>
      <c r="E39" s="252">
        <v>2.0</v>
      </c>
      <c r="F39" s="252">
        <v>0.0</v>
      </c>
      <c r="G39" s="252">
        <v>0.0</v>
      </c>
      <c r="H39" s="252">
        <v>44.0</v>
      </c>
      <c r="I39" s="252"/>
      <c r="J39" s="252">
        <v>2018.0</v>
      </c>
      <c r="K39" s="252">
        <v>293.0</v>
      </c>
      <c r="L39" s="252">
        <v>492.0</v>
      </c>
      <c r="M39" s="252">
        <v>651.0</v>
      </c>
      <c r="N39" s="252">
        <v>665.0</v>
      </c>
      <c r="O39" s="252">
        <v>469.0</v>
      </c>
      <c r="P39" s="252">
        <v>2570.0</v>
      </c>
      <c r="Q39" s="131"/>
      <c r="R39" s="253" t="s">
        <v>240</v>
      </c>
      <c r="S39" s="253">
        <v>2019.0</v>
      </c>
      <c r="T39" s="253" t="s">
        <v>541</v>
      </c>
      <c r="U39" s="253" t="s">
        <v>541</v>
      </c>
      <c r="V39" s="253" t="s">
        <v>541</v>
      </c>
      <c r="W39" s="253" t="s">
        <v>541</v>
      </c>
      <c r="X39" s="253" t="s">
        <v>541</v>
      </c>
      <c r="Y39" s="253" t="s">
        <v>541</v>
      </c>
      <c r="Z39" s="253"/>
      <c r="AA39" s="253">
        <v>2019.0</v>
      </c>
      <c r="AB39" s="253" t="s">
        <v>541</v>
      </c>
      <c r="AC39" s="253" t="s">
        <v>541</v>
      </c>
      <c r="AD39" s="253" t="s">
        <v>541</v>
      </c>
      <c r="AE39" s="253" t="s">
        <v>541</v>
      </c>
      <c r="AF39" s="253" t="s">
        <v>541</v>
      </c>
      <c r="AG39" s="253" t="s">
        <v>541</v>
      </c>
      <c r="AH39" s="163"/>
      <c r="AI39" s="246" t="s">
        <v>368</v>
      </c>
      <c r="AJ39" s="246">
        <v>2018.0</v>
      </c>
      <c r="AK39" s="246" t="s">
        <v>541</v>
      </c>
      <c r="AL39" s="246" t="s">
        <v>541</v>
      </c>
      <c r="AM39" s="246" t="s">
        <v>541</v>
      </c>
      <c r="AN39" s="246" t="s">
        <v>541</v>
      </c>
      <c r="AO39" s="246" t="s">
        <v>541</v>
      </c>
      <c r="AP39" s="246" t="s">
        <v>541</v>
      </c>
      <c r="AQ39" s="246"/>
      <c r="AR39" s="246">
        <v>2018.0</v>
      </c>
      <c r="AS39" s="246" t="s">
        <v>541</v>
      </c>
      <c r="AT39" s="246" t="s">
        <v>541</v>
      </c>
      <c r="AU39" s="246" t="s">
        <v>541</v>
      </c>
      <c r="AV39" s="246" t="s">
        <v>541</v>
      </c>
      <c r="AW39" s="246" t="s">
        <v>541</v>
      </c>
      <c r="AX39" s="246" t="s">
        <v>541</v>
      </c>
      <c r="AY39" s="163"/>
      <c r="AZ39" s="254" t="s">
        <v>544</v>
      </c>
      <c r="BA39" s="254">
        <v>2018.0</v>
      </c>
      <c r="BB39" s="254">
        <v>732.0</v>
      </c>
      <c r="BC39" s="254">
        <v>646.0</v>
      </c>
      <c r="BD39" s="254">
        <v>954.0</v>
      </c>
      <c r="BE39" s="254">
        <v>948.0</v>
      </c>
      <c r="BF39" s="254">
        <v>785.0</v>
      </c>
      <c r="BG39" s="254">
        <v>4065.0</v>
      </c>
      <c r="BH39" s="254"/>
      <c r="BI39" s="254">
        <v>2018.0</v>
      </c>
      <c r="BJ39" s="254">
        <v>166.0</v>
      </c>
      <c r="BK39" s="254">
        <v>0.0</v>
      </c>
      <c r="BL39" s="254">
        <v>0.0</v>
      </c>
      <c r="BM39" s="254">
        <v>0.0</v>
      </c>
      <c r="BN39" s="254">
        <v>0.0</v>
      </c>
      <c r="BO39" s="254">
        <v>166.0</v>
      </c>
      <c r="BP39" s="163"/>
      <c r="BQ39" s="255" t="s">
        <v>627</v>
      </c>
      <c r="BR39" s="255">
        <v>2019.0</v>
      </c>
      <c r="BS39" s="255">
        <v>96.0</v>
      </c>
      <c r="BT39" s="255">
        <v>77.0</v>
      </c>
      <c r="BU39" s="255">
        <v>162.0</v>
      </c>
      <c r="BV39" s="255">
        <v>215.0</v>
      </c>
      <c r="BW39" s="255">
        <v>202.0</v>
      </c>
      <c r="BX39" s="255">
        <v>752.0</v>
      </c>
      <c r="BY39" s="255"/>
      <c r="BZ39" s="255">
        <v>2019.0</v>
      </c>
      <c r="CA39" s="255">
        <v>40.0</v>
      </c>
      <c r="CB39" s="255">
        <v>0.0</v>
      </c>
      <c r="CC39" s="255">
        <v>0.0</v>
      </c>
      <c r="CD39" s="255">
        <v>0.0</v>
      </c>
      <c r="CE39" s="255">
        <v>0.0</v>
      </c>
      <c r="CF39" s="255">
        <v>40.0</v>
      </c>
      <c r="CG39" s="163"/>
      <c r="CH39" s="57" t="s">
        <v>1039</v>
      </c>
      <c r="CI39" s="57">
        <v>2018.0</v>
      </c>
      <c r="CJ39" s="57">
        <v>83.0</v>
      </c>
      <c r="CK39" s="57">
        <v>133.0</v>
      </c>
      <c r="CL39" s="57">
        <v>283.0</v>
      </c>
      <c r="CM39" s="57">
        <v>434.0</v>
      </c>
      <c r="CN39" s="57">
        <v>455.0</v>
      </c>
      <c r="CO39" s="57">
        <v>1388.0</v>
      </c>
      <c r="CP39" s="57"/>
      <c r="CQ39" s="57">
        <v>2018.0</v>
      </c>
      <c r="CR39" s="57">
        <v>11.0</v>
      </c>
      <c r="CS39" s="57">
        <v>0.0</v>
      </c>
      <c r="CT39" s="57">
        <v>0.0</v>
      </c>
      <c r="CU39" s="57">
        <v>0.0</v>
      </c>
      <c r="CV39" s="57">
        <v>0.0</v>
      </c>
      <c r="CW39" s="57">
        <v>11.0</v>
      </c>
      <c r="CX39" s="163"/>
      <c r="CY39" s="256" t="s">
        <v>724</v>
      </c>
      <c r="CZ39" s="256">
        <v>2020.0</v>
      </c>
      <c r="DA39" s="256">
        <v>270.0</v>
      </c>
      <c r="DB39" s="256">
        <v>371.0</v>
      </c>
      <c r="DC39" s="256">
        <v>432.0</v>
      </c>
      <c r="DD39" s="256">
        <v>421.0</v>
      </c>
      <c r="DE39" s="256">
        <v>328.0</v>
      </c>
      <c r="DF39" s="256">
        <v>1822.0</v>
      </c>
      <c r="DG39" s="256"/>
      <c r="DH39" s="256">
        <v>2020.0</v>
      </c>
      <c r="DI39" s="256">
        <v>26.0</v>
      </c>
      <c r="DJ39" s="256">
        <v>0.0</v>
      </c>
      <c r="DK39" s="256">
        <v>2.0</v>
      </c>
      <c r="DL39" s="256">
        <v>0.0</v>
      </c>
      <c r="DM39" s="256">
        <v>0.0</v>
      </c>
      <c r="DN39" s="256">
        <v>28.0</v>
      </c>
      <c r="DO39" s="163"/>
      <c r="DP39" s="49" t="s">
        <v>754</v>
      </c>
      <c r="DQ39" s="49">
        <v>2019.0</v>
      </c>
      <c r="DR39" s="49">
        <v>140.0</v>
      </c>
      <c r="DS39" s="49">
        <v>209.0</v>
      </c>
      <c r="DT39" s="49">
        <v>260.0</v>
      </c>
      <c r="DU39" s="49">
        <v>357.0</v>
      </c>
      <c r="DV39" s="49">
        <v>255.0</v>
      </c>
      <c r="DW39" s="49">
        <v>1221.0</v>
      </c>
      <c r="DX39" s="49"/>
      <c r="DY39" s="49">
        <v>2019.0</v>
      </c>
      <c r="DZ39" s="49">
        <v>10.0</v>
      </c>
      <c r="EA39" s="49">
        <v>5.0</v>
      </c>
      <c r="EB39" s="49">
        <v>0.0</v>
      </c>
      <c r="EC39" s="49">
        <v>0.0</v>
      </c>
      <c r="ED39" s="49">
        <v>0.0</v>
      </c>
      <c r="EE39" s="49">
        <v>15.0</v>
      </c>
      <c r="EF39" s="163"/>
      <c r="EG39" s="57" t="s">
        <v>776</v>
      </c>
      <c r="EH39" s="57">
        <v>2019.0</v>
      </c>
      <c r="EI39" s="57">
        <v>196.0</v>
      </c>
      <c r="EJ39" s="57">
        <v>289.0</v>
      </c>
      <c r="EK39" s="57">
        <v>359.0</v>
      </c>
      <c r="EL39" s="57">
        <v>463.0</v>
      </c>
      <c r="EM39" s="57">
        <v>562.0</v>
      </c>
      <c r="EN39" s="57">
        <v>1869.0</v>
      </c>
      <c r="EO39" s="57"/>
      <c r="EP39" s="57">
        <v>2019.0</v>
      </c>
      <c r="EQ39" s="57">
        <v>49.0</v>
      </c>
      <c r="ER39" s="57">
        <v>25.0</v>
      </c>
      <c r="ES39" s="57">
        <v>12.0</v>
      </c>
      <c r="ET39" s="57">
        <v>9.0</v>
      </c>
      <c r="EU39" s="57">
        <v>18.0</v>
      </c>
      <c r="EV39" s="57">
        <v>113.0</v>
      </c>
      <c r="EW39" s="163"/>
      <c r="EX39" s="255" t="s">
        <v>926</v>
      </c>
      <c r="EY39" s="255">
        <v>2018.0</v>
      </c>
      <c r="EZ39" s="255">
        <v>275.0</v>
      </c>
      <c r="FA39" s="255">
        <v>376.0</v>
      </c>
      <c r="FB39" s="255">
        <v>482.0</v>
      </c>
      <c r="FC39" s="255">
        <v>537.0</v>
      </c>
      <c r="FD39" s="255">
        <v>749.0</v>
      </c>
      <c r="FE39" s="255">
        <v>2419.0</v>
      </c>
      <c r="FF39" s="255"/>
      <c r="FG39" s="255">
        <v>2018.0</v>
      </c>
      <c r="FH39" s="255">
        <v>54.0</v>
      </c>
      <c r="FI39" s="255">
        <v>23.0</v>
      </c>
      <c r="FJ39" s="255">
        <v>7.0</v>
      </c>
      <c r="FK39" s="255">
        <v>4.0</v>
      </c>
      <c r="FL39" s="255">
        <v>10.0</v>
      </c>
      <c r="FM39" s="255">
        <v>98.0</v>
      </c>
    </row>
    <row r="40" ht="13.5" customHeight="1">
      <c r="A40" s="252" t="s">
        <v>1194</v>
      </c>
      <c r="B40" s="252">
        <v>2018.0</v>
      </c>
      <c r="C40" s="252">
        <v>78.0</v>
      </c>
      <c r="D40" s="252">
        <v>8.0</v>
      </c>
      <c r="E40" s="252">
        <v>1.0</v>
      </c>
      <c r="F40" s="252">
        <v>0.0</v>
      </c>
      <c r="G40" s="252">
        <v>0.0</v>
      </c>
      <c r="H40" s="252">
        <v>87.0</v>
      </c>
      <c r="I40" s="252"/>
      <c r="J40" s="252">
        <v>2018.0</v>
      </c>
      <c r="K40" s="252">
        <v>650.0</v>
      </c>
      <c r="L40" s="252">
        <v>646.0</v>
      </c>
      <c r="M40" s="252">
        <v>695.0</v>
      </c>
      <c r="N40" s="252">
        <v>673.0</v>
      </c>
      <c r="O40" s="252">
        <v>498.0</v>
      </c>
      <c r="P40" s="252">
        <v>3162.0</v>
      </c>
      <c r="Q40" s="131"/>
      <c r="R40" s="253" t="s">
        <v>242</v>
      </c>
      <c r="S40" s="253">
        <v>2019.0</v>
      </c>
      <c r="T40" s="253">
        <v>281.0</v>
      </c>
      <c r="U40" s="253">
        <v>118.0</v>
      </c>
      <c r="V40" s="253">
        <v>212.0</v>
      </c>
      <c r="W40" s="253">
        <v>231.0</v>
      </c>
      <c r="X40" s="253">
        <v>241.0</v>
      </c>
      <c r="Y40" s="253">
        <v>1083.0</v>
      </c>
      <c r="Z40" s="253"/>
      <c r="AA40" s="253">
        <v>2019.0</v>
      </c>
      <c r="AB40" s="253">
        <v>14.0</v>
      </c>
      <c r="AC40" s="253">
        <v>0.0</v>
      </c>
      <c r="AD40" s="253">
        <v>0.0</v>
      </c>
      <c r="AE40" s="253">
        <v>0.0</v>
      </c>
      <c r="AF40" s="253">
        <v>0.0</v>
      </c>
      <c r="AG40" s="253">
        <v>14.0</v>
      </c>
      <c r="AH40" s="163"/>
      <c r="AI40" s="246" t="s">
        <v>370</v>
      </c>
      <c r="AJ40" s="246">
        <v>2018.0</v>
      </c>
      <c r="AK40" s="246">
        <v>723.0</v>
      </c>
      <c r="AL40" s="246">
        <v>497.0</v>
      </c>
      <c r="AM40" s="246">
        <v>550.0</v>
      </c>
      <c r="AN40" s="246">
        <v>539.0</v>
      </c>
      <c r="AO40" s="246">
        <v>333.0</v>
      </c>
      <c r="AP40" s="246">
        <v>2642.0</v>
      </c>
      <c r="AQ40" s="246"/>
      <c r="AR40" s="246">
        <v>2018.0</v>
      </c>
      <c r="AS40" s="246">
        <v>66.0</v>
      </c>
      <c r="AT40" s="246">
        <v>3.0</v>
      </c>
      <c r="AU40" s="246">
        <v>1.0</v>
      </c>
      <c r="AV40" s="246">
        <v>0.0</v>
      </c>
      <c r="AW40" s="246">
        <v>0.0</v>
      </c>
      <c r="AX40" s="246">
        <v>70.0</v>
      </c>
      <c r="AY40" s="163"/>
      <c r="AZ40" s="254" t="s">
        <v>546</v>
      </c>
      <c r="BA40" s="254">
        <v>2018.0</v>
      </c>
      <c r="BB40" s="254">
        <v>91.0</v>
      </c>
      <c r="BC40" s="254">
        <v>89.0</v>
      </c>
      <c r="BD40" s="254">
        <v>185.0</v>
      </c>
      <c r="BE40" s="254">
        <v>293.0</v>
      </c>
      <c r="BF40" s="254">
        <v>310.0</v>
      </c>
      <c r="BG40" s="254">
        <v>968.0</v>
      </c>
      <c r="BH40" s="254"/>
      <c r="BI40" s="254">
        <v>2018.0</v>
      </c>
      <c r="BJ40" s="254">
        <v>29.0</v>
      </c>
      <c r="BK40" s="254">
        <v>0.0</v>
      </c>
      <c r="BL40" s="254">
        <v>0.0</v>
      </c>
      <c r="BM40" s="254">
        <v>0.0</v>
      </c>
      <c r="BN40" s="254">
        <v>0.0</v>
      </c>
      <c r="BO40" s="254">
        <v>29.0</v>
      </c>
      <c r="BP40" s="163"/>
      <c r="BQ40" s="255" t="s">
        <v>629</v>
      </c>
      <c r="BR40" s="255">
        <v>2019.0</v>
      </c>
      <c r="BS40" s="255">
        <v>90.0</v>
      </c>
      <c r="BT40" s="255">
        <v>165.0</v>
      </c>
      <c r="BU40" s="255">
        <v>374.0</v>
      </c>
      <c r="BV40" s="255">
        <v>537.0</v>
      </c>
      <c r="BW40" s="255">
        <v>515.0</v>
      </c>
      <c r="BX40" s="255">
        <v>1681.0</v>
      </c>
      <c r="BY40" s="255"/>
      <c r="BZ40" s="255">
        <v>2019.0</v>
      </c>
      <c r="CA40" s="255">
        <v>16.0</v>
      </c>
      <c r="CB40" s="255">
        <v>0.0</v>
      </c>
      <c r="CC40" s="255">
        <v>0.0</v>
      </c>
      <c r="CD40" s="255">
        <v>0.0</v>
      </c>
      <c r="CE40" s="255">
        <v>0.0</v>
      </c>
      <c r="CF40" s="255">
        <v>16.0</v>
      </c>
      <c r="CG40" s="163"/>
      <c r="CH40" s="57" t="s">
        <v>1041</v>
      </c>
      <c r="CI40" s="57">
        <v>2018.0</v>
      </c>
      <c r="CJ40" s="57" t="s">
        <v>541</v>
      </c>
      <c r="CK40" s="57" t="s">
        <v>541</v>
      </c>
      <c r="CL40" s="57" t="s">
        <v>541</v>
      </c>
      <c r="CM40" s="57" t="s">
        <v>541</v>
      </c>
      <c r="CN40" s="57" t="s">
        <v>541</v>
      </c>
      <c r="CO40" s="57" t="s">
        <v>541</v>
      </c>
      <c r="CP40" s="57"/>
      <c r="CQ40" s="57">
        <v>2018.0</v>
      </c>
      <c r="CR40" s="57" t="s">
        <v>541</v>
      </c>
      <c r="CS40" s="57" t="s">
        <v>541</v>
      </c>
      <c r="CT40" s="57" t="s">
        <v>541</v>
      </c>
      <c r="CU40" s="57" t="s">
        <v>541</v>
      </c>
      <c r="CV40" s="57" t="s">
        <v>541</v>
      </c>
      <c r="CW40" s="57" t="s">
        <v>541</v>
      </c>
      <c r="CX40" s="163"/>
      <c r="CY40" s="163"/>
      <c r="CZ40" s="163"/>
      <c r="DA40" s="163"/>
      <c r="DB40" s="163"/>
      <c r="DC40" s="163"/>
      <c r="DD40" s="163"/>
      <c r="DE40" s="163"/>
      <c r="DF40" s="163"/>
      <c r="DG40" s="163"/>
      <c r="DH40" s="163"/>
      <c r="DI40" s="163"/>
      <c r="DJ40" s="163"/>
      <c r="DK40" s="163"/>
      <c r="DL40" s="163"/>
      <c r="DM40" s="163"/>
      <c r="DN40" s="163"/>
      <c r="DO40" s="163"/>
      <c r="DP40" s="49" t="s">
        <v>756</v>
      </c>
      <c r="DQ40" s="49">
        <v>2019.0</v>
      </c>
      <c r="DR40" s="49">
        <v>308.0</v>
      </c>
      <c r="DS40" s="49">
        <v>331.0</v>
      </c>
      <c r="DT40" s="49">
        <v>427.0</v>
      </c>
      <c r="DU40" s="49">
        <v>561.0</v>
      </c>
      <c r="DV40" s="49">
        <v>457.0</v>
      </c>
      <c r="DW40" s="49">
        <v>2084.0</v>
      </c>
      <c r="DX40" s="49"/>
      <c r="DY40" s="49">
        <v>2019.0</v>
      </c>
      <c r="DZ40" s="49">
        <v>21.0</v>
      </c>
      <c r="EA40" s="49">
        <v>0.0</v>
      </c>
      <c r="EB40" s="49">
        <v>0.0</v>
      </c>
      <c r="EC40" s="49">
        <v>0.0</v>
      </c>
      <c r="ED40" s="49">
        <v>0.0</v>
      </c>
      <c r="EE40" s="49">
        <v>21.0</v>
      </c>
      <c r="EF40" s="163"/>
      <c r="EG40" s="57" t="s">
        <v>778</v>
      </c>
      <c r="EH40" s="57">
        <v>2019.0</v>
      </c>
      <c r="EI40" s="57">
        <v>275.0</v>
      </c>
      <c r="EJ40" s="57">
        <v>419.0</v>
      </c>
      <c r="EK40" s="57">
        <v>578.0</v>
      </c>
      <c r="EL40" s="57">
        <v>715.0</v>
      </c>
      <c r="EM40" s="57">
        <v>813.0</v>
      </c>
      <c r="EN40" s="57">
        <v>2800.0</v>
      </c>
      <c r="EO40" s="57"/>
      <c r="EP40" s="57">
        <v>2019.0</v>
      </c>
      <c r="EQ40" s="57">
        <v>65.0</v>
      </c>
      <c r="ER40" s="57">
        <v>32.0</v>
      </c>
      <c r="ES40" s="57">
        <v>18.0</v>
      </c>
      <c r="ET40" s="57">
        <v>18.0</v>
      </c>
      <c r="EU40" s="57">
        <v>19.0</v>
      </c>
      <c r="EV40" s="57">
        <v>152.0</v>
      </c>
      <c r="EW40" s="163"/>
      <c r="EX40" s="255" t="s">
        <v>929</v>
      </c>
      <c r="EY40" s="255">
        <v>2018.0</v>
      </c>
      <c r="EZ40" s="255">
        <v>241.0</v>
      </c>
      <c r="FA40" s="255">
        <v>279.0</v>
      </c>
      <c r="FB40" s="255">
        <v>381.0</v>
      </c>
      <c r="FC40" s="255">
        <v>439.0</v>
      </c>
      <c r="FD40" s="255">
        <v>572.0</v>
      </c>
      <c r="FE40" s="255">
        <v>1912.0</v>
      </c>
      <c r="FF40" s="255"/>
      <c r="FG40" s="255">
        <v>2018.0</v>
      </c>
      <c r="FH40" s="255">
        <v>34.0</v>
      </c>
      <c r="FI40" s="255">
        <v>17.0</v>
      </c>
      <c r="FJ40" s="255">
        <v>23.0</v>
      </c>
      <c r="FK40" s="255">
        <v>8.0</v>
      </c>
      <c r="FL40" s="255">
        <v>0.0</v>
      </c>
      <c r="FM40" s="255">
        <v>82.0</v>
      </c>
    </row>
    <row r="41" ht="13.5" customHeight="1">
      <c r="A41" s="252" t="s">
        <v>1197</v>
      </c>
      <c r="B41" s="252">
        <v>2018.0</v>
      </c>
      <c r="C41" s="252">
        <v>149.0</v>
      </c>
      <c r="D41" s="252">
        <v>13.0</v>
      </c>
      <c r="E41" s="252">
        <v>4.0</v>
      </c>
      <c r="F41" s="252">
        <v>1.0</v>
      </c>
      <c r="G41" s="252">
        <v>0.0</v>
      </c>
      <c r="H41" s="252">
        <v>167.0</v>
      </c>
      <c r="I41" s="252"/>
      <c r="J41" s="252">
        <v>2018.0</v>
      </c>
      <c r="K41" s="252">
        <v>854.0</v>
      </c>
      <c r="L41" s="252">
        <v>771.0</v>
      </c>
      <c r="M41" s="252">
        <v>830.0</v>
      </c>
      <c r="N41" s="252">
        <v>882.0</v>
      </c>
      <c r="O41" s="252">
        <v>531.0</v>
      </c>
      <c r="P41" s="252">
        <v>3868.0</v>
      </c>
      <c r="Q41" s="131"/>
      <c r="R41" s="253" t="s">
        <v>244</v>
      </c>
      <c r="S41" s="253">
        <v>2019.0</v>
      </c>
      <c r="T41" s="253">
        <v>415.0</v>
      </c>
      <c r="U41" s="253">
        <v>372.0</v>
      </c>
      <c r="V41" s="253">
        <v>396.0</v>
      </c>
      <c r="W41" s="253">
        <v>468.0</v>
      </c>
      <c r="X41" s="253">
        <v>324.0</v>
      </c>
      <c r="Y41" s="253">
        <v>1975.0</v>
      </c>
      <c r="Z41" s="253"/>
      <c r="AA41" s="253">
        <v>2019.0</v>
      </c>
      <c r="AB41" s="253">
        <v>33.0</v>
      </c>
      <c r="AC41" s="253">
        <v>4.0</v>
      </c>
      <c r="AD41" s="253">
        <v>0.0</v>
      </c>
      <c r="AE41" s="253">
        <v>0.0</v>
      </c>
      <c r="AF41" s="253">
        <v>0.0</v>
      </c>
      <c r="AG41" s="253">
        <v>37.0</v>
      </c>
      <c r="AH41" s="163"/>
      <c r="AI41" s="246" t="s">
        <v>373</v>
      </c>
      <c r="AJ41" s="246">
        <v>2018.0</v>
      </c>
      <c r="AK41" s="246" t="s">
        <v>541</v>
      </c>
      <c r="AL41" s="246" t="s">
        <v>541</v>
      </c>
      <c r="AM41" s="246" t="s">
        <v>541</v>
      </c>
      <c r="AN41" s="246" t="s">
        <v>541</v>
      </c>
      <c r="AO41" s="246" t="s">
        <v>541</v>
      </c>
      <c r="AP41" s="246" t="s">
        <v>541</v>
      </c>
      <c r="AQ41" s="246"/>
      <c r="AR41" s="246">
        <v>2018.0</v>
      </c>
      <c r="AS41" s="246" t="s">
        <v>541</v>
      </c>
      <c r="AT41" s="246" t="s">
        <v>541</v>
      </c>
      <c r="AU41" s="246" t="s">
        <v>541</v>
      </c>
      <c r="AV41" s="246" t="s">
        <v>541</v>
      </c>
      <c r="AW41" s="246" t="s">
        <v>541</v>
      </c>
      <c r="AX41" s="246" t="s">
        <v>541</v>
      </c>
      <c r="AY41" s="163"/>
      <c r="AZ41" s="254" t="s">
        <v>549</v>
      </c>
      <c r="BA41" s="254">
        <v>2018.0</v>
      </c>
      <c r="BB41" s="254">
        <v>77.0</v>
      </c>
      <c r="BC41" s="254">
        <v>127.0</v>
      </c>
      <c r="BD41" s="254">
        <v>274.0</v>
      </c>
      <c r="BE41" s="254">
        <v>439.0</v>
      </c>
      <c r="BF41" s="254">
        <v>412.0</v>
      </c>
      <c r="BG41" s="254">
        <v>1329.0</v>
      </c>
      <c r="BH41" s="254"/>
      <c r="BI41" s="254">
        <v>2018.0</v>
      </c>
      <c r="BJ41" s="254">
        <v>19.0</v>
      </c>
      <c r="BK41" s="254">
        <v>5.0</v>
      </c>
      <c r="BL41" s="254">
        <v>0.0</v>
      </c>
      <c r="BM41" s="254">
        <v>0.0</v>
      </c>
      <c r="BN41" s="254">
        <v>0.0</v>
      </c>
      <c r="BO41" s="254">
        <v>24.0</v>
      </c>
      <c r="BP41" s="163"/>
      <c r="BQ41" s="255" t="s">
        <v>631</v>
      </c>
      <c r="BR41" s="255">
        <v>2019.0</v>
      </c>
      <c r="BS41" s="255">
        <v>121.0</v>
      </c>
      <c r="BT41" s="255">
        <v>179.0</v>
      </c>
      <c r="BU41" s="255">
        <v>376.0</v>
      </c>
      <c r="BV41" s="255">
        <v>587.0</v>
      </c>
      <c r="BW41" s="255">
        <v>570.0</v>
      </c>
      <c r="BX41" s="255">
        <v>1833.0</v>
      </c>
      <c r="BY41" s="255"/>
      <c r="BZ41" s="255">
        <v>2019.0</v>
      </c>
      <c r="CA41" s="255">
        <v>30.0</v>
      </c>
      <c r="CB41" s="255">
        <v>0.0</v>
      </c>
      <c r="CC41" s="255">
        <v>0.0</v>
      </c>
      <c r="CD41" s="255">
        <v>0.0</v>
      </c>
      <c r="CE41" s="255">
        <v>0.0</v>
      </c>
      <c r="CF41" s="255">
        <v>30.0</v>
      </c>
      <c r="CG41" s="163"/>
      <c r="CH41" s="57" t="s">
        <v>700</v>
      </c>
      <c r="CI41" s="57">
        <v>2018.0</v>
      </c>
      <c r="CJ41" s="57" t="s">
        <v>541</v>
      </c>
      <c r="CK41" s="57" t="s">
        <v>541</v>
      </c>
      <c r="CL41" s="57" t="s">
        <v>541</v>
      </c>
      <c r="CM41" s="57" t="s">
        <v>541</v>
      </c>
      <c r="CN41" s="57" t="s">
        <v>541</v>
      </c>
      <c r="CO41" s="57" t="s">
        <v>541</v>
      </c>
      <c r="CP41" s="57"/>
      <c r="CQ41" s="57">
        <v>2018.0</v>
      </c>
      <c r="CR41" s="57" t="s">
        <v>541</v>
      </c>
      <c r="CS41" s="57" t="s">
        <v>541</v>
      </c>
      <c r="CT41" s="57" t="s">
        <v>541</v>
      </c>
      <c r="CU41" s="57" t="s">
        <v>541</v>
      </c>
      <c r="CV41" s="57" t="s">
        <v>541</v>
      </c>
      <c r="CW41" s="57" t="s">
        <v>541</v>
      </c>
      <c r="CX41" s="163"/>
      <c r="CY41" s="163"/>
      <c r="CZ41" s="163"/>
      <c r="DA41" s="163"/>
      <c r="DB41" s="163"/>
      <c r="DC41" s="163"/>
      <c r="DD41" s="163"/>
      <c r="DE41" s="163"/>
      <c r="DF41" s="163"/>
      <c r="DG41" s="163"/>
      <c r="DH41" s="163"/>
      <c r="DI41" s="163"/>
      <c r="DJ41" s="163"/>
      <c r="DK41" s="163"/>
      <c r="DL41" s="163"/>
      <c r="DM41" s="163"/>
      <c r="DN41" s="163"/>
      <c r="DO41" s="163"/>
      <c r="DP41" s="49" t="s">
        <v>758</v>
      </c>
      <c r="DQ41" s="49">
        <v>2019.0</v>
      </c>
      <c r="DR41" s="49">
        <v>138.0</v>
      </c>
      <c r="DS41" s="49">
        <v>144.0</v>
      </c>
      <c r="DT41" s="49">
        <v>146.0</v>
      </c>
      <c r="DU41" s="49">
        <v>165.0</v>
      </c>
      <c r="DV41" s="49">
        <v>161.0</v>
      </c>
      <c r="DW41" s="49">
        <v>754.0</v>
      </c>
      <c r="DX41" s="49"/>
      <c r="DY41" s="49">
        <v>2019.0</v>
      </c>
      <c r="DZ41" s="49">
        <v>12.0</v>
      </c>
      <c r="EA41" s="49">
        <v>1.0</v>
      </c>
      <c r="EB41" s="49">
        <v>0.0</v>
      </c>
      <c r="EC41" s="49">
        <v>0.0</v>
      </c>
      <c r="ED41" s="49">
        <v>0.0</v>
      </c>
      <c r="EE41" s="49">
        <v>13.0</v>
      </c>
      <c r="EF41" s="163"/>
      <c r="EG41" s="57" t="s">
        <v>780</v>
      </c>
      <c r="EH41" s="57">
        <v>2019.0</v>
      </c>
      <c r="EI41" s="57">
        <v>74.0</v>
      </c>
      <c r="EJ41" s="57">
        <v>118.0</v>
      </c>
      <c r="EK41" s="57">
        <v>175.0</v>
      </c>
      <c r="EL41" s="57">
        <v>256.0</v>
      </c>
      <c r="EM41" s="57">
        <v>316.0</v>
      </c>
      <c r="EN41" s="57">
        <v>939.0</v>
      </c>
      <c r="EO41" s="57"/>
      <c r="EP41" s="57">
        <v>2019.0</v>
      </c>
      <c r="EQ41" s="57">
        <v>18.0</v>
      </c>
      <c r="ER41" s="57">
        <v>8.0</v>
      </c>
      <c r="ES41" s="57">
        <v>6.0</v>
      </c>
      <c r="ET41" s="57">
        <v>7.0</v>
      </c>
      <c r="EU41" s="57">
        <v>3.0</v>
      </c>
      <c r="EV41" s="57">
        <v>42.0</v>
      </c>
      <c r="EW41" s="163"/>
      <c r="EX41" s="255" t="s">
        <v>931</v>
      </c>
      <c r="EY41" s="255">
        <v>2018.0</v>
      </c>
      <c r="EZ41" s="255">
        <v>162.0</v>
      </c>
      <c r="FA41" s="255">
        <v>227.0</v>
      </c>
      <c r="FB41" s="255">
        <v>292.0</v>
      </c>
      <c r="FC41" s="255">
        <v>333.0</v>
      </c>
      <c r="FD41" s="255">
        <v>452.0</v>
      </c>
      <c r="FE41" s="255">
        <v>1466.0</v>
      </c>
      <c r="FF41" s="255"/>
      <c r="FG41" s="255">
        <v>2018.0</v>
      </c>
      <c r="FH41" s="255">
        <v>43.0</v>
      </c>
      <c r="FI41" s="255">
        <v>9.0</v>
      </c>
      <c r="FJ41" s="255">
        <v>4.0</v>
      </c>
      <c r="FK41" s="255">
        <v>4.0</v>
      </c>
      <c r="FL41" s="255">
        <v>7.0</v>
      </c>
      <c r="FM41" s="255">
        <v>67.0</v>
      </c>
    </row>
    <row r="42" ht="13.5" customHeight="1">
      <c r="A42" s="252" t="s">
        <v>201</v>
      </c>
      <c r="B42" s="252">
        <v>2018.0</v>
      </c>
      <c r="C42" s="252">
        <v>25.0</v>
      </c>
      <c r="D42" s="252">
        <v>6.0</v>
      </c>
      <c r="E42" s="252">
        <v>2.0</v>
      </c>
      <c r="F42" s="252">
        <v>1.0</v>
      </c>
      <c r="G42" s="252">
        <v>1.0</v>
      </c>
      <c r="H42" s="252">
        <v>35.0</v>
      </c>
      <c r="I42" s="252"/>
      <c r="J42" s="252">
        <v>2018.0</v>
      </c>
      <c r="K42" s="252">
        <v>214.0</v>
      </c>
      <c r="L42" s="252">
        <v>316.0</v>
      </c>
      <c r="M42" s="252">
        <v>434.0</v>
      </c>
      <c r="N42" s="252">
        <v>490.0</v>
      </c>
      <c r="O42" s="252">
        <v>379.0</v>
      </c>
      <c r="P42" s="252">
        <v>1833.0</v>
      </c>
      <c r="Q42" s="131"/>
      <c r="R42" s="253" t="s">
        <v>246</v>
      </c>
      <c r="S42" s="253">
        <v>2019.0</v>
      </c>
      <c r="T42" s="253">
        <v>203.0</v>
      </c>
      <c r="U42" s="253">
        <v>140.0</v>
      </c>
      <c r="V42" s="253">
        <v>185.0</v>
      </c>
      <c r="W42" s="253">
        <v>186.0</v>
      </c>
      <c r="X42" s="253">
        <v>194.0</v>
      </c>
      <c r="Y42" s="253">
        <v>908.0</v>
      </c>
      <c r="Z42" s="253"/>
      <c r="AA42" s="253">
        <v>2019.0</v>
      </c>
      <c r="AB42" s="253">
        <v>7.0</v>
      </c>
      <c r="AC42" s="253">
        <v>0.0</v>
      </c>
      <c r="AD42" s="253">
        <v>0.0</v>
      </c>
      <c r="AE42" s="253">
        <v>0.0</v>
      </c>
      <c r="AF42" s="253">
        <v>0.0</v>
      </c>
      <c r="AG42" s="253">
        <v>7.0</v>
      </c>
      <c r="AH42" s="163"/>
      <c r="AI42" s="246" t="s">
        <v>376</v>
      </c>
      <c r="AJ42" s="246">
        <v>2018.0</v>
      </c>
      <c r="AK42" s="246">
        <v>823.0</v>
      </c>
      <c r="AL42" s="246">
        <v>1079.0</v>
      </c>
      <c r="AM42" s="246">
        <v>1656.0</v>
      </c>
      <c r="AN42" s="246">
        <v>1892.0</v>
      </c>
      <c r="AO42" s="246">
        <v>1175.0</v>
      </c>
      <c r="AP42" s="246">
        <v>6625.0</v>
      </c>
      <c r="AQ42" s="246"/>
      <c r="AR42" s="246">
        <v>2018.0</v>
      </c>
      <c r="AS42" s="246">
        <v>36.0</v>
      </c>
      <c r="AT42" s="246">
        <v>3.0</v>
      </c>
      <c r="AU42" s="246">
        <v>0.0</v>
      </c>
      <c r="AV42" s="246">
        <v>0.0</v>
      </c>
      <c r="AW42" s="246">
        <v>0.0</v>
      </c>
      <c r="AX42" s="246">
        <v>39.0</v>
      </c>
      <c r="AY42" s="163"/>
      <c r="AZ42" s="254" t="s">
        <v>555</v>
      </c>
      <c r="BA42" s="254">
        <v>2018.0</v>
      </c>
      <c r="BB42" s="254">
        <v>166.0</v>
      </c>
      <c r="BC42" s="254">
        <v>142.0</v>
      </c>
      <c r="BD42" s="254">
        <v>280.0</v>
      </c>
      <c r="BE42" s="254">
        <v>389.0</v>
      </c>
      <c r="BF42" s="254">
        <v>378.0</v>
      </c>
      <c r="BG42" s="254">
        <v>1355.0</v>
      </c>
      <c r="BH42" s="254"/>
      <c r="BI42" s="254">
        <v>2018.0</v>
      </c>
      <c r="BJ42" s="254">
        <v>22.0</v>
      </c>
      <c r="BK42" s="254">
        <v>0.0</v>
      </c>
      <c r="BL42" s="254">
        <v>0.0</v>
      </c>
      <c r="BM42" s="254">
        <v>0.0</v>
      </c>
      <c r="BN42" s="254">
        <v>0.0</v>
      </c>
      <c r="BO42" s="254">
        <v>22.0</v>
      </c>
      <c r="BP42" s="163"/>
      <c r="BQ42" s="255" t="s">
        <v>633</v>
      </c>
      <c r="BR42" s="255">
        <v>2019.0</v>
      </c>
      <c r="BS42" s="255">
        <v>31.0</v>
      </c>
      <c r="BT42" s="255">
        <v>52.0</v>
      </c>
      <c r="BU42" s="255">
        <v>113.0</v>
      </c>
      <c r="BV42" s="255">
        <v>220.0</v>
      </c>
      <c r="BW42" s="255">
        <v>209.0</v>
      </c>
      <c r="BX42" s="255">
        <v>625.0</v>
      </c>
      <c r="BY42" s="255"/>
      <c r="BZ42" s="255">
        <v>2019.0</v>
      </c>
      <c r="CA42" s="255">
        <v>7.0</v>
      </c>
      <c r="CB42" s="255">
        <v>0.0</v>
      </c>
      <c r="CC42" s="255">
        <v>0.0</v>
      </c>
      <c r="CD42" s="255">
        <v>0.0</v>
      </c>
      <c r="CE42" s="255">
        <v>0.0</v>
      </c>
      <c r="CF42" s="255">
        <v>7.0</v>
      </c>
      <c r="CG42" s="163"/>
      <c r="CH42" s="57" t="s">
        <v>1045</v>
      </c>
      <c r="CI42" s="57">
        <v>2018.0</v>
      </c>
      <c r="CJ42" s="57" t="s">
        <v>541</v>
      </c>
      <c r="CK42" s="57" t="s">
        <v>541</v>
      </c>
      <c r="CL42" s="57" t="s">
        <v>541</v>
      </c>
      <c r="CM42" s="57" t="s">
        <v>541</v>
      </c>
      <c r="CN42" s="57" t="s">
        <v>541</v>
      </c>
      <c r="CO42" s="57" t="s">
        <v>541</v>
      </c>
      <c r="CP42" s="57"/>
      <c r="CQ42" s="57">
        <v>2018.0</v>
      </c>
      <c r="CR42" s="57" t="s">
        <v>541</v>
      </c>
      <c r="CS42" s="57" t="s">
        <v>541</v>
      </c>
      <c r="CT42" s="57" t="s">
        <v>541</v>
      </c>
      <c r="CU42" s="57" t="s">
        <v>541</v>
      </c>
      <c r="CV42" s="57" t="s">
        <v>541</v>
      </c>
      <c r="CW42" s="57" t="s">
        <v>541</v>
      </c>
      <c r="CX42" s="163"/>
      <c r="CY42" s="163"/>
      <c r="CZ42" s="163"/>
      <c r="DA42" s="163"/>
      <c r="DB42" s="163"/>
      <c r="DC42" s="163"/>
      <c r="DD42" s="163"/>
      <c r="DE42" s="163"/>
      <c r="DF42" s="163"/>
      <c r="DG42" s="163"/>
      <c r="DH42" s="163"/>
      <c r="DI42" s="163"/>
      <c r="DJ42" s="163"/>
      <c r="DK42" s="163"/>
      <c r="DL42" s="163"/>
      <c r="DM42" s="163"/>
      <c r="DN42" s="163"/>
      <c r="DO42" s="163"/>
      <c r="DP42" s="49" t="s">
        <v>760</v>
      </c>
      <c r="DQ42" s="49">
        <v>2019.0</v>
      </c>
      <c r="DR42" s="49">
        <v>296.0</v>
      </c>
      <c r="DS42" s="49">
        <v>431.0</v>
      </c>
      <c r="DT42" s="49">
        <v>493.0</v>
      </c>
      <c r="DU42" s="49">
        <v>479.0</v>
      </c>
      <c r="DV42" s="49">
        <v>284.0</v>
      </c>
      <c r="DW42" s="49">
        <v>1983.0</v>
      </c>
      <c r="DX42" s="49"/>
      <c r="DY42" s="49">
        <v>2019.0</v>
      </c>
      <c r="DZ42" s="49">
        <v>14.0</v>
      </c>
      <c r="EA42" s="49">
        <v>2.0</v>
      </c>
      <c r="EB42" s="49">
        <v>0.0</v>
      </c>
      <c r="EC42" s="49">
        <v>0.0</v>
      </c>
      <c r="ED42" s="49">
        <v>0.0</v>
      </c>
      <c r="EE42" s="49">
        <v>16.0</v>
      </c>
      <c r="EF42" s="163"/>
      <c r="EG42" s="57" t="s">
        <v>782</v>
      </c>
      <c r="EH42" s="57">
        <v>2019.0</v>
      </c>
      <c r="EI42" s="57">
        <v>70.0</v>
      </c>
      <c r="EJ42" s="57">
        <v>128.0</v>
      </c>
      <c r="EK42" s="57">
        <v>215.0</v>
      </c>
      <c r="EL42" s="57">
        <v>270.0</v>
      </c>
      <c r="EM42" s="57">
        <v>349.0</v>
      </c>
      <c r="EN42" s="57">
        <v>1032.0</v>
      </c>
      <c r="EO42" s="57"/>
      <c r="EP42" s="57">
        <v>2019.0</v>
      </c>
      <c r="EQ42" s="57">
        <v>9.0</v>
      </c>
      <c r="ER42" s="57">
        <v>6.0</v>
      </c>
      <c r="ES42" s="57">
        <v>3.0</v>
      </c>
      <c r="ET42" s="57">
        <v>2.0</v>
      </c>
      <c r="EU42" s="57">
        <v>0.0</v>
      </c>
      <c r="EV42" s="57">
        <v>20.0</v>
      </c>
      <c r="EW42" s="163"/>
      <c r="EX42" s="255" t="s">
        <v>933</v>
      </c>
      <c r="EY42" s="255">
        <v>2018.0</v>
      </c>
      <c r="EZ42" s="255">
        <v>563.0</v>
      </c>
      <c r="FA42" s="255">
        <v>498.0</v>
      </c>
      <c r="FB42" s="255">
        <v>446.0</v>
      </c>
      <c r="FC42" s="255">
        <v>467.0</v>
      </c>
      <c r="FD42" s="255">
        <v>574.0</v>
      </c>
      <c r="FE42" s="255">
        <v>2548.0</v>
      </c>
      <c r="FF42" s="255"/>
      <c r="FG42" s="255">
        <v>2018.0</v>
      </c>
      <c r="FH42" s="255">
        <v>49.0</v>
      </c>
      <c r="FI42" s="255">
        <v>0.0</v>
      </c>
      <c r="FJ42" s="255">
        <v>0.0</v>
      </c>
      <c r="FK42" s="255">
        <v>0.0</v>
      </c>
      <c r="FL42" s="255">
        <v>0.0</v>
      </c>
      <c r="FM42" s="255">
        <v>49.0</v>
      </c>
    </row>
    <row r="43" ht="13.5" customHeight="1">
      <c r="A43" s="252" t="s">
        <v>1201</v>
      </c>
      <c r="B43" s="252">
        <v>2018.0</v>
      </c>
      <c r="C43" s="252">
        <v>99.0</v>
      </c>
      <c r="D43" s="252">
        <v>16.0</v>
      </c>
      <c r="E43" s="252">
        <v>3.0</v>
      </c>
      <c r="F43" s="252">
        <v>3.0</v>
      </c>
      <c r="G43" s="252">
        <v>1.0</v>
      </c>
      <c r="H43" s="252">
        <v>122.0</v>
      </c>
      <c r="I43" s="252"/>
      <c r="J43" s="252">
        <v>2018.0</v>
      </c>
      <c r="K43" s="252">
        <v>451.0</v>
      </c>
      <c r="L43" s="252">
        <v>525.0</v>
      </c>
      <c r="M43" s="252">
        <v>718.0</v>
      </c>
      <c r="N43" s="252">
        <v>843.0</v>
      </c>
      <c r="O43" s="252">
        <v>611.0</v>
      </c>
      <c r="P43" s="252">
        <v>3148.0</v>
      </c>
      <c r="Q43" s="131"/>
      <c r="R43" s="253" t="s">
        <v>248</v>
      </c>
      <c r="S43" s="253">
        <v>2019.0</v>
      </c>
      <c r="T43" s="253">
        <v>718.0</v>
      </c>
      <c r="U43" s="253">
        <v>626.0</v>
      </c>
      <c r="V43" s="253">
        <v>713.0</v>
      </c>
      <c r="W43" s="253">
        <v>855.0</v>
      </c>
      <c r="X43" s="253">
        <v>571.0</v>
      </c>
      <c r="Y43" s="253">
        <v>3483.0</v>
      </c>
      <c r="Z43" s="253"/>
      <c r="AA43" s="253">
        <v>2019.0</v>
      </c>
      <c r="AB43" s="253">
        <v>28.0</v>
      </c>
      <c r="AC43" s="253">
        <v>3.0</v>
      </c>
      <c r="AD43" s="253">
        <v>0.0</v>
      </c>
      <c r="AE43" s="253">
        <v>0.0</v>
      </c>
      <c r="AF43" s="253">
        <v>0.0</v>
      </c>
      <c r="AG43" s="253">
        <v>31.0</v>
      </c>
      <c r="AH43" s="163"/>
      <c r="AI43" s="246" t="s">
        <v>379</v>
      </c>
      <c r="AJ43" s="246">
        <v>2018.0</v>
      </c>
      <c r="AK43" s="246">
        <v>559.0</v>
      </c>
      <c r="AL43" s="246">
        <v>623.0</v>
      </c>
      <c r="AM43" s="246">
        <v>754.0</v>
      </c>
      <c r="AN43" s="246">
        <v>963.0</v>
      </c>
      <c r="AO43" s="246">
        <v>672.0</v>
      </c>
      <c r="AP43" s="246">
        <v>3571.0</v>
      </c>
      <c r="AQ43" s="246"/>
      <c r="AR43" s="246">
        <v>2018.0</v>
      </c>
      <c r="AS43" s="246">
        <v>76.0</v>
      </c>
      <c r="AT43" s="246">
        <v>1.0</v>
      </c>
      <c r="AU43" s="246">
        <v>0.0</v>
      </c>
      <c r="AV43" s="246">
        <v>2.0</v>
      </c>
      <c r="AW43" s="246">
        <v>0.0</v>
      </c>
      <c r="AX43" s="246">
        <v>79.0</v>
      </c>
      <c r="AY43" s="163"/>
      <c r="AZ43" s="254" t="s">
        <v>557</v>
      </c>
      <c r="BA43" s="254">
        <v>2018.0</v>
      </c>
      <c r="BB43" s="254">
        <v>136.0</v>
      </c>
      <c r="BC43" s="254">
        <v>182.0</v>
      </c>
      <c r="BD43" s="254">
        <v>387.0</v>
      </c>
      <c r="BE43" s="254">
        <v>540.0</v>
      </c>
      <c r="BF43" s="254">
        <v>432.0</v>
      </c>
      <c r="BG43" s="254">
        <v>1677.0</v>
      </c>
      <c r="BH43" s="254"/>
      <c r="BI43" s="254">
        <v>2018.0</v>
      </c>
      <c r="BJ43" s="254">
        <v>21.0</v>
      </c>
      <c r="BK43" s="254">
        <v>0.0</v>
      </c>
      <c r="BL43" s="254">
        <v>0.0</v>
      </c>
      <c r="BM43" s="254">
        <v>0.0</v>
      </c>
      <c r="BN43" s="254">
        <v>0.0</v>
      </c>
      <c r="BO43" s="254">
        <v>21.0</v>
      </c>
      <c r="BP43" s="163"/>
      <c r="BQ43" s="255" t="s">
        <v>635</v>
      </c>
      <c r="BR43" s="255">
        <v>2019.0</v>
      </c>
      <c r="BS43" s="255">
        <v>207.0</v>
      </c>
      <c r="BT43" s="255">
        <v>179.0</v>
      </c>
      <c r="BU43" s="255">
        <v>263.0</v>
      </c>
      <c r="BV43" s="255">
        <v>350.0</v>
      </c>
      <c r="BW43" s="255">
        <v>311.0</v>
      </c>
      <c r="BX43" s="255">
        <v>1310.0</v>
      </c>
      <c r="BY43" s="255"/>
      <c r="BZ43" s="255">
        <v>2019.0</v>
      </c>
      <c r="CA43" s="255">
        <v>80.0</v>
      </c>
      <c r="CB43" s="255">
        <v>0.0</v>
      </c>
      <c r="CC43" s="255">
        <v>0.0</v>
      </c>
      <c r="CD43" s="255">
        <v>0.0</v>
      </c>
      <c r="CE43" s="255">
        <v>0.0</v>
      </c>
      <c r="CF43" s="255">
        <v>80.0</v>
      </c>
      <c r="CG43" s="163"/>
      <c r="CH43" s="57" t="s">
        <v>1047</v>
      </c>
      <c r="CI43" s="57">
        <v>2018.0</v>
      </c>
      <c r="CJ43" s="57" t="s">
        <v>541</v>
      </c>
      <c r="CK43" s="57" t="s">
        <v>541</v>
      </c>
      <c r="CL43" s="57" t="s">
        <v>541</v>
      </c>
      <c r="CM43" s="57" t="s">
        <v>541</v>
      </c>
      <c r="CN43" s="57" t="s">
        <v>541</v>
      </c>
      <c r="CO43" s="57" t="s">
        <v>541</v>
      </c>
      <c r="CP43" s="57"/>
      <c r="CQ43" s="57">
        <v>2018.0</v>
      </c>
      <c r="CR43" s="57" t="s">
        <v>541</v>
      </c>
      <c r="CS43" s="57" t="s">
        <v>541</v>
      </c>
      <c r="CT43" s="57" t="s">
        <v>541</v>
      </c>
      <c r="CU43" s="57" t="s">
        <v>541</v>
      </c>
      <c r="CV43" s="57" t="s">
        <v>541</v>
      </c>
      <c r="CW43" s="57" t="s">
        <v>541</v>
      </c>
      <c r="CX43" s="163"/>
      <c r="CY43" s="163"/>
      <c r="CZ43" s="163"/>
      <c r="DA43" s="163"/>
      <c r="DB43" s="163"/>
      <c r="DC43" s="163"/>
      <c r="DD43" s="163"/>
      <c r="DE43" s="163"/>
      <c r="DF43" s="163"/>
      <c r="DG43" s="163"/>
      <c r="DH43" s="163"/>
      <c r="DI43" s="163"/>
      <c r="DJ43" s="163"/>
      <c r="DK43" s="163"/>
      <c r="DL43" s="163"/>
      <c r="DM43" s="163"/>
      <c r="DN43" s="163"/>
      <c r="DO43" s="163"/>
      <c r="DP43" s="49" t="s">
        <v>762</v>
      </c>
      <c r="DQ43" s="49">
        <v>2019.0</v>
      </c>
      <c r="DR43" s="49">
        <v>573.0</v>
      </c>
      <c r="DS43" s="49">
        <v>790.0</v>
      </c>
      <c r="DT43" s="49">
        <v>1219.0</v>
      </c>
      <c r="DU43" s="49">
        <v>1579.0</v>
      </c>
      <c r="DV43" s="49">
        <v>1315.0</v>
      </c>
      <c r="DW43" s="49">
        <v>5476.0</v>
      </c>
      <c r="DX43" s="49"/>
      <c r="DY43" s="49">
        <v>2019.0</v>
      </c>
      <c r="DZ43" s="49">
        <v>25.0</v>
      </c>
      <c r="EA43" s="49">
        <v>4.0</v>
      </c>
      <c r="EB43" s="49">
        <v>0.0</v>
      </c>
      <c r="EC43" s="49">
        <v>0.0</v>
      </c>
      <c r="ED43" s="49">
        <v>0.0</v>
      </c>
      <c r="EE43" s="49">
        <v>29.0</v>
      </c>
      <c r="EF43" s="163"/>
      <c r="EG43" s="57" t="s">
        <v>784</v>
      </c>
      <c r="EH43" s="57">
        <v>2019.0</v>
      </c>
      <c r="EI43" s="57" t="s">
        <v>541</v>
      </c>
      <c r="EJ43" s="57" t="s">
        <v>541</v>
      </c>
      <c r="EK43" s="57" t="s">
        <v>541</v>
      </c>
      <c r="EL43" s="57" t="s">
        <v>541</v>
      </c>
      <c r="EM43" s="57" t="s">
        <v>541</v>
      </c>
      <c r="EN43" s="57" t="s">
        <v>541</v>
      </c>
      <c r="EO43" s="57"/>
      <c r="EP43" s="57">
        <v>2019.0</v>
      </c>
      <c r="EQ43" s="57" t="s">
        <v>541</v>
      </c>
      <c r="ER43" s="57" t="s">
        <v>541</v>
      </c>
      <c r="ES43" s="57" t="s">
        <v>541</v>
      </c>
      <c r="ET43" s="57" t="s">
        <v>541</v>
      </c>
      <c r="EU43" s="57" t="s">
        <v>541</v>
      </c>
      <c r="EV43" s="57" t="s">
        <v>541</v>
      </c>
      <c r="EW43" s="163"/>
      <c r="EX43" s="255" t="s">
        <v>935</v>
      </c>
      <c r="EY43" s="255">
        <v>2018.0</v>
      </c>
      <c r="EZ43" s="255">
        <v>289.0</v>
      </c>
      <c r="FA43" s="255">
        <v>368.0</v>
      </c>
      <c r="FB43" s="255">
        <v>504.0</v>
      </c>
      <c r="FC43" s="255">
        <v>653.0</v>
      </c>
      <c r="FD43" s="255">
        <v>756.0</v>
      </c>
      <c r="FE43" s="255">
        <v>2570.0</v>
      </c>
      <c r="FF43" s="255"/>
      <c r="FG43" s="255">
        <v>2018.0</v>
      </c>
      <c r="FH43" s="255">
        <v>31.0</v>
      </c>
      <c r="FI43" s="255">
        <v>5.0</v>
      </c>
      <c r="FJ43" s="255">
        <v>0.0</v>
      </c>
      <c r="FK43" s="255">
        <v>0.0</v>
      </c>
      <c r="FL43" s="255">
        <v>0.0</v>
      </c>
      <c r="FM43" s="255">
        <v>36.0</v>
      </c>
    </row>
    <row r="44" ht="13.5" customHeight="1">
      <c r="A44" s="252" t="s">
        <v>1204</v>
      </c>
      <c r="B44" s="252">
        <v>2018.0</v>
      </c>
      <c r="C44" s="252">
        <v>23.0</v>
      </c>
      <c r="D44" s="252">
        <v>8.0</v>
      </c>
      <c r="E44" s="252">
        <v>2.0</v>
      </c>
      <c r="F44" s="252">
        <v>0.0</v>
      </c>
      <c r="G44" s="252">
        <v>0.0</v>
      </c>
      <c r="H44" s="252">
        <v>33.0</v>
      </c>
      <c r="I44" s="252"/>
      <c r="J44" s="252">
        <v>2018.0</v>
      </c>
      <c r="K44" s="252">
        <v>156.0</v>
      </c>
      <c r="L44" s="252">
        <v>300.0</v>
      </c>
      <c r="M44" s="252">
        <v>405.0</v>
      </c>
      <c r="N44" s="252">
        <v>539.0</v>
      </c>
      <c r="O44" s="252">
        <v>408.0</v>
      </c>
      <c r="P44" s="252">
        <v>1808.0</v>
      </c>
      <c r="Q44" s="131"/>
      <c r="R44" s="253" t="s">
        <v>250</v>
      </c>
      <c r="S44" s="253">
        <v>2019.0</v>
      </c>
      <c r="T44" s="253">
        <v>684.0</v>
      </c>
      <c r="U44" s="253">
        <v>867.0</v>
      </c>
      <c r="V44" s="253">
        <v>1075.0</v>
      </c>
      <c r="W44" s="253">
        <v>1215.0</v>
      </c>
      <c r="X44" s="253">
        <v>743.0</v>
      </c>
      <c r="Y44" s="253">
        <v>4584.0</v>
      </c>
      <c r="Z44" s="253"/>
      <c r="AA44" s="253">
        <v>2019.0</v>
      </c>
      <c r="AB44" s="253">
        <v>18.0</v>
      </c>
      <c r="AC44" s="253">
        <v>2.0</v>
      </c>
      <c r="AD44" s="253">
        <v>0.0</v>
      </c>
      <c r="AE44" s="253">
        <v>2.0</v>
      </c>
      <c r="AF44" s="253">
        <v>0.0</v>
      </c>
      <c r="AG44" s="253">
        <v>22.0</v>
      </c>
      <c r="AH44" s="163"/>
      <c r="AI44" s="246" t="s">
        <v>382</v>
      </c>
      <c r="AJ44" s="246">
        <v>2018.0</v>
      </c>
      <c r="AK44" s="246">
        <v>340.0</v>
      </c>
      <c r="AL44" s="246">
        <v>575.0</v>
      </c>
      <c r="AM44" s="246">
        <v>857.0</v>
      </c>
      <c r="AN44" s="246">
        <v>1043.0</v>
      </c>
      <c r="AO44" s="246">
        <v>686.0</v>
      </c>
      <c r="AP44" s="246">
        <v>3501.0</v>
      </c>
      <c r="AQ44" s="246"/>
      <c r="AR44" s="246">
        <v>2018.0</v>
      </c>
      <c r="AS44" s="246">
        <v>18.0</v>
      </c>
      <c r="AT44" s="246">
        <v>1.0</v>
      </c>
      <c r="AU44" s="246">
        <v>1.0</v>
      </c>
      <c r="AV44" s="246">
        <v>0.0</v>
      </c>
      <c r="AW44" s="246">
        <v>0.0</v>
      </c>
      <c r="AX44" s="246">
        <v>20.0</v>
      </c>
      <c r="AY44" s="163"/>
      <c r="AZ44" s="254" t="s">
        <v>548</v>
      </c>
      <c r="BA44" s="254">
        <v>2018.0</v>
      </c>
      <c r="BB44" s="254">
        <v>2030.0</v>
      </c>
      <c r="BC44" s="254">
        <v>1233.0</v>
      </c>
      <c r="BD44" s="254">
        <v>1492.0</v>
      </c>
      <c r="BE44" s="254">
        <v>1427.0</v>
      </c>
      <c r="BF44" s="254">
        <v>947.0</v>
      </c>
      <c r="BG44" s="254">
        <v>7129.0</v>
      </c>
      <c r="BH44" s="254"/>
      <c r="BI44" s="254">
        <v>2018.0</v>
      </c>
      <c r="BJ44" s="254">
        <v>402.0</v>
      </c>
      <c r="BK44" s="254">
        <v>0.0</v>
      </c>
      <c r="BL44" s="254">
        <v>0.0</v>
      </c>
      <c r="BM44" s="254">
        <v>0.0</v>
      </c>
      <c r="BN44" s="254">
        <v>0.0</v>
      </c>
      <c r="BO44" s="254">
        <v>402.0</v>
      </c>
      <c r="BP44" s="163"/>
      <c r="BQ44" s="255" t="s">
        <v>638</v>
      </c>
      <c r="BR44" s="255">
        <v>2019.0</v>
      </c>
      <c r="BS44" s="255">
        <v>134.0</v>
      </c>
      <c r="BT44" s="255">
        <v>98.0</v>
      </c>
      <c r="BU44" s="255">
        <v>167.0</v>
      </c>
      <c r="BV44" s="255">
        <v>241.0</v>
      </c>
      <c r="BW44" s="255">
        <v>223.0</v>
      </c>
      <c r="BX44" s="255">
        <v>863.0</v>
      </c>
      <c r="BY44" s="255"/>
      <c r="BZ44" s="255">
        <v>2019.0</v>
      </c>
      <c r="CA44" s="255">
        <v>27.0</v>
      </c>
      <c r="CB44" s="255">
        <v>0.0</v>
      </c>
      <c r="CC44" s="255">
        <v>0.0</v>
      </c>
      <c r="CD44" s="255">
        <v>0.0</v>
      </c>
      <c r="CE44" s="255">
        <v>0.0</v>
      </c>
      <c r="CF44" s="255">
        <v>27.0</v>
      </c>
      <c r="CG44" s="163"/>
      <c r="CH44" s="57" t="s">
        <v>1049</v>
      </c>
      <c r="CI44" s="57">
        <v>2018.0</v>
      </c>
      <c r="CJ44" s="57" t="s">
        <v>541</v>
      </c>
      <c r="CK44" s="57" t="s">
        <v>541</v>
      </c>
      <c r="CL44" s="57" t="s">
        <v>541</v>
      </c>
      <c r="CM44" s="57" t="s">
        <v>541</v>
      </c>
      <c r="CN44" s="57" t="s">
        <v>541</v>
      </c>
      <c r="CO44" s="57" t="s">
        <v>541</v>
      </c>
      <c r="CP44" s="57"/>
      <c r="CQ44" s="57">
        <v>2018.0</v>
      </c>
      <c r="CR44" s="57" t="s">
        <v>541</v>
      </c>
      <c r="CS44" s="57" t="s">
        <v>541</v>
      </c>
      <c r="CT44" s="57" t="s">
        <v>541</v>
      </c>
      <c r="CU44" s="57" t="s">
        <v>541</v>
      </c>
      <c r="CV44" s="57" t="s">
        <v>541</v>
      </c>
      <c r="CW44" s="57" t="s">
        <v>541</v>
      </c>
      <c r="CX44" s="163"/>
      <c r="CY44" s="163"/>
      <c r="CZ44" s="163"/>
      <c r="DA44" s="163"/>
      <c r="DB44" s="163"/>
      <c r="DC44" s="163"/>
      <c r="DD44" s="163"/>
      <c r="DE44" s="163"/>
      <c r="DF44" s="163"/>
      <c r="DG44" s="163"/>
      <c r="DH44" s="163"/>
      <c r="DI44" s="163"/>
      <c r="DJ44" s="163"/>
      <c r="DK44" s="163"/>
      <c r="DL44" s="163"/>
      <c r="DM44" s="163"/>
      <c r="DN44" s="163"/>
      <c r="DO44" s="163"/>
      <c r="DP44" s="49" t="s">
        <v>764</v>
      </c>
      <c r="DQ44" s="49">
        <v>2019.0</v>
      </c>
      <c r="DR44" s="49">
        <v>389.0</v>
      </c>
      <c r="DS44" s="49">
        <v>476.0</v>
      </c>
      <c r="DT44" s="49">
        <v>494.0</v>
      </c>
      <c r="DU44" s="49">
        <v>548.0</v>
      </c>
      <c r="DV44" s="49">
        <v>410.0</v>
      </c>
      <c r="DW44" s="49">
        <v>2317.0</v>
      </c>
      <c r="DX44" s="49"/>
      <c r="DY44" s="49">
        <v>2019.0</v>
      </c>
      <c r="DZ44" s="49">
        <v>19.0</v>
      </c>
      <c r="EA44" s="49">
        <v>0.0</v>
      </c>
      <c r="EB44" s="49">
        <v>0.0</v>
      </c>
      <c r="EC44" s="49">
        <v>0.0</v>
      </c>
      <c r="ED44" s="49">
        <v>0.0</v>
      </c>
      <c r="EE44" s="49">
        <v>19.0</v>
      </c>
      <c r="EF44" s="163"/>
      <c r="EG44" s="57" t="s">
        <v>786</v>
      </c>
      <c r="EH44" s="57">
        <v>2019.0</v>
      </c>
      <c r="EI44" s="57" t="s">
        <v>541</v>
      </c>
      <c r="EJ44" s="57" t="s">
        <v>541</v>
      </c>
      <c r="EK44" s="57" t="s">
        <v>541</v>
      </c>
      <c r="EL44" s="57" t="s">
        <v>541</v>
      </c>
      <c r="EM44" s="57" t="s">
        <v>541</v>
      </c>
      <c r="EN44" s="57" t="s">
        <v>541</v>
      </c>
      <c r="EO44" s="57"/>
      <c r="EP44" s="57">
        <v>2019.0</v>
      </c>
      <c r="EQ44" s="57" t="s">
        <v>541</v>
      </c>
      <c r="ER44" s="57" t="s">
        <v>541</v>
      </c>
      <c r="ES44" s="57" t="s">
        <v>541</v>
      </c>
      <c r="ET44" s="57" t="s">
        <v>541</v>
      </c>
      <c r="EU44" s="57" t="s">
        <v>541</v>
      </c>
      <c r="EV44" s="57" t="s">
        <v>541</v>
      </c>
      <c r="EW44" s="163"/>
      <c r="EX44" s="255" t="s">
        <v>937</v>
      </c>
      <c r="EY44" s="255">
        <v>2018.0</v>
      </c>
      <c r="EZ44" s="255">
        <v>276.0</v>
      </c>
      <c r="FA44" s="255">
        <v>359.0</v>
      </c>
      <c r="FB44" s="255">
        <v>411.0</v>
      </c>
      <c r="FC44" s="255">
        <v>505.0</v>
      </c>
      <c r="FD44" s="255">
        <v>640.0</v>
      </c>
      <c r="FE44" s="255">
        <v>2191.0</v>
      </c>
      <c r="FF44" s="255"/>
      <c r="FG44" s="255">
        <v>2018.0</v>
      </c>
      <c r="FH44" s="255">
        <v>41.0</v>
      </c>
      <c r="FI44" s="255">
        <v>9.0</v>
      </c>
      <c r="FJ44" s="255">
        <v>5.0</v>
      </c>
      <c r="FK44" s="255">
        <v>11.0</v>
      </c>
      <c r="FL44" s="255">
        <v>14.0</v>
      </c>
      <c r="FM44" s="255">
        <v>80.0</v>
      </c>
    </row>
    <row r="45" ht="13.5" customHeight="1">
      <c r="A45" s="252" t="s">
        <v>198</v>
      </c>
      <c r="B45" s="252">
        <v>2018.0</v>
      </c>
      <c r="C45" s="252">
        <v>14.0</v>
      </c>
      <c r="D45" s="252">
        <v>8.0</v>
      </c>
      <c r="E45" s="252">
        <v>6.0</v>
      </c>
      <c r="F45" s="252">
        <v>2.0</v>
      </c>
      <c r="G45" s="252">
        <v>2.0</v>
      </c>
      <c r="H45" s="252">
        <v>32.0</v>
      </c>
      <c r="I45" s="252"/>
      <c r="J45" s="252">
        <v>2018.0</v>
      </c>
      <c r="K45" s="252">
        <v>90.0</v>
      </c>
      <c r="L45" s="252">
        <v>145.0</v>
      </c>
      <c r="M45" s="252">
        <v>262.0</v>
      </c>
      <c r="N45" s="252">
        <v>375.0</v>
      </c>
      <c r="O45" s="252">
        <v>343.0</v>
      </c>
      <c r="P45" s="252">
        <v>1215.0</v>
      </c>
      <c r="Q45" s="131"/>
      <c r="R45" s="253" t="s">
        <v>252</v>
      </c>
      <c r="S45" s="253">
        <v>2019.0</v>
      </c>
      <c r="T45" s="253">
        <v>698.0</v>
      </c>
      <c r="U45" s="253">
        <v>780.0</v>
      </c>
      <c r="V45" s="253">
        <v>945.0</v>
      </c>
      <c r="W45" s="253">
        <v>1022.0</v>
      </c>
      <c r="X45" s="253">
        <v>739.0</v>
      </c>
      <c r="Y45" s="253">
        <v>4184.0</v>
      </c>
      <c r="Z45" s="253"/>
      <c r="AA45" s="253">
        <v>2019.0</v>
      </c>
      <c r="AB45" s="253">
        <v>16.0</v>
      </c>
      <c r="AC45" s="253">
        <v>0.0</v>
      </c>
      <c r="AD45" s="253">
        <v>0.0</v>
      </c>
      <c r="AE45" s="253">
        <v>0.0</v>
      </c>
      <c r="AF45" s="253">
        <v>0.0</v>
      </c>
      <c r="AG45" s="253">
        <v>16.0</v>
      </c>
      <c r="AH45" s="163"/>
      <c r="AI45" s="246" t="s">
        <v>384</v>
      </c>
      <c r="AJ45" s="246">
        <v>2018.0</v>
      </c>
      <c r="AK45" s="246">
        <v>263.0</v>
      </c>
      <c r="AL45" s="246">
        <v>421.0</v>
      </c>
      <c r="AM45" s="246">
        <v>673.0</v>
      </c>
      <c r="AN45" s="246">
        <v>841.0</v>
      </c>
      <c r="AO45" s="246">
        <v>583.0</v>
      </c>
      <c r="AP45" s="246">
        <v>2781.0</v>
      </c>
      <c r="AQ45" s="246"/>
      <c r="AR45" s="246">
        <v>2018.0</v>
      </c>
      <c r="AS45" s="246">
        <v>22.0</v>
      </c>
      <c r="AT45" s="246">
        <v>0.0</v>
      </c>
      <c r="AU45" s="246">
        <v>0.0</v>
      </c>
      <c r="AV45" s="246">
        <v>0.0</v>
      </c>
      <c r="AW45" s="246">
        <v>0.0</v>
      </c>
      <c r="AX45" s="246">
        <v>22.0</v>
      </c>
      <c r="AY45" s="163"/>
      <c r="AZ45" s="254" t="s">
        <v>559</v>
      </c>
      <c r="BA45" s="254">
        <v>2018.0</v>
      </c>
      <c r="BB45" s="254">
        <v>66.0</v>
      </c>
      <c r="BC45" s="254">
        <v>87.0</v>
      </c>
      <c r="BD45" s="254">
        <v>173.0</v>
      </c>
      <c r="BE45" s="254">
        <v>207.0</v>
      </c>
      <c r="BF45" s="254">
        <v>209.0</v>
      </c>
      <c r="BG45" s="254">
        <v>742.0</v>
      </c>
      <c r="BH45" s="254"/>
      <c r="BI45" s="254">
        <v>2018.0</v>
      </c>
      <c r="BJ45" s="254">
        <v>17.0</v>
      </c>
      <c r="BK45" s="254">
        <v>0.0</v>
      </c>
      <c r="BL45" s="254">
        <v>0.0</v>
      </c>
      <c r="BM45" s="254">
        <v>0.0</v>
      </c>
      <c r="BN45" s="254">
        <v>0.0</v>
      </c>
      <c r="BO45" s="254">
        <v>17.0</v>
      </c>
      <c r="BP45" s="163"/>
      <c r="BQ45" s="255" t="s">
        <v>641</v>
      </c>
      <c r="BR45" s="255">
        <v>2019.0</v>
      </c>
      <c r="BS45" s="255">
        <v>63.0</v>
      </c>
      <c r="BT45" s="255">
        <v>30.0</v>
      </c>
      <c r="BU45" s="255">
        <v>65.0</v>
      </c>
      <c r="BV45" s="255">
        <v>105.0</v>
      </c>
      <c r="BW45" s="255">
        <v>106.0</v>
      </c>
      <c r="BX45" s="255">
        <v>369.0</v>
      </c>
      <c r="BY45" s="255"/>
      <c r="BZ45" s="255">
        <v>2019.0</v>
      </c>
      <c r="CA45" s="255">
        <v>16.0</v>
      </c>
      <c r="CB45" s="255">
        <v>0.0</v>
      </c>
      <c r="CC45" s="255">
        <v>0.0</v>
      </c>
      <c r="CD45" s="255">
        <v>0.0</v>
      </c>
      <c r="CE45" s="255">
        <v>0.0</v>
      </c>
      <c r="CF45" s="255">
        <v>16.0</v>
      </c>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3"/>
      <c r="DE45" s="163"/>
      <c r="DF45" s="163"/>
      <c r="DG45" s="163"/>
      <c r="DH45" s="163"/>
      <c r="DI45" s="163"/>
      <c r="DJ45" s="163"/>
      <c r="DK45" s="163"/>
      <c r="DL45" s="163"/>
      <c r="DM45" s="163"/>
      <c r="DN45" s="163"/>
      <c r="DO45" s="163"/>
      <c r="DP45" s="49" t="s">
        <v>766</v>
      </c>
      <c r="DQ45" s="49">
        <v>2019.0</v>
      </c>
      <c r="DR45" s="49">
        <v>165.0</v>
      </c>
      <c r="DS45" s="49">
        <v>94.0</v>
      </c>
      <c r="DT45" s="49">
        <v>132.0</v>
      </c>
      <c r="DU45" s="49">
        <v>168.0</v>
      </c>
      <c r="DV45" s="49">
        <v>132.0</v>
      </c>
      <c r="DW45" s="49">
        <v>691.0</v>
      </c>
      <c r="DX45" s="49"/>
      <c r="DY45" s="49">
        <v>2019.0</v>
      </c>
      <c r="DZ45" s="49">
        <v>24.0</v>
      </c>
      <c r="EA45" s="49">
        <v>0.0</v>
      </c>
      <c r="EB45" s="49">
        <v>0.0</v>
      </c>
      <c r="EC45" s="49">
        <v>0.0</v>
      </c>
      <c r="ED45" s="49">
        <v>0.0</v>
      </c>
      <c r="EE45" s="49">
        <v>24.0</v>
      </c>
      <c r="EF45" s="163"/>
      <c r="EG45" s="57" t="s">
        <v>788</v>
      </c>
      <c r="EH45" s="57">
        <v>2019.0</v>
      </c>
      <c r="EI45" s="57">
        <v>169.0</v>
      </c>
      <c r="EJ45" s="57">
        <v>250.0</v>
      </c>
      <c r="EK45" s="57">
        <v>290.0</v>
      </c>
      <c r="EL45" s="57">
        <v>467.0</v>
      </c>
      <c r="EM45" s="57">
        <v>522.0</v>
      </c>
      <c r="EN45" s="57">
        <v>1698.0</v>
      </c>
      <c r="EO45" s="57"/>
      <c r="EP45" s="57">
        <v>2019.0</v>
      </c>
      <c r="EQ45" s="57">
        <v>33.0</v>
      </c>
      <c r="ER45" s="57">
        <v>31.0</v>
      </c>
      <c r="ES45" s="57">
        <v>23.0</v>
      </c>
      <c r="ET45" s="57">
        <v>28.0</v>
      </c>
      <c r="EU45" s="57">
        <v>20.0</v>
      </c>
      <c r="EV45" s="57">
        <v>135.0</v>
      </c>
      <c r="EW45" s="163"/>
      <c r="EX45" s="255" t="s">
        <v>939</v>
      </c>
      <c r="EY45" s="255">
        <v>2018.0</v>
      </c>
      <c r="EZ45" s="255" t="s">
        <v>541</v>
      </c>
      <c r="FA45" s="255" t="s">
        <v>541</v>
      </c>
      <c r="FB45" s="255" t="s">
        <v>541</v>
      </c>
      <c r="FC45" s="255" t="s">
        <v>541</v>
      </c>
      <c r="FD45" s="255" t="s">
        <v>541</v>
      </c>
      <c r="FE45" s="255" t="s">
        <v>541</v>
      </c>
      <c r="FF45" s="255"/>
      <c r="FG45" s="255">
        <v>2018.0</v>
      </c>
      <c r="FH45" s="255" t="s">
        <v>541</v>
      </c>
      <c r="FI45" s="255" t="s">
        <v>541</v>
      </c>
      <c r="FJ45" s="255" t="s">
        <v>541</v>
      </c>
      <c r="FK45" s="255" t="s">
        <v>541</v>
      </c>
      <c r="FL45" s="255" t="s">
        <v>541</v>
      </c>
      <c r="FM45" s="255" t="s">
        <v>541</v>
      </c>
    </row>
    <row r="46" ht="13.5" customHeight="1">
      <c r="A46" s="252" t="s">
        <v>1209</v>
      </c>
      <c r="B46" s="252">
        <v>2018.0</v>
      </c>
      <c r="C46" s="252" t="s">
        <v>541</v>
      </c>
      <c r="D46" s="252" t="s">
        <v>541</v>
      </c>
      <c r="E46" s="252" t="s">
        <v>541</v>
      </c>
      <c r="F46" s="252" t="s">
        <v>541</v>
      </c>
      <c r="G46" s="252" t="s">
        <v>541</v>
      </c>
      <c r="H46" s="252" t="s">
        <v>541</v>
      </c>
      <c r="I46" s="252"/>
      <c r="J46" s="252">
        <v>2018.0</v>
      </c>
      <c r="K46" s="252" t="s">
        <v>541</v>
      </c>
      <c r="L46" s="252" t="s">
        <v>541</v>
      </c>
      <c r="M46" s="252" t="s">
        <v>541</v>
      </c>
      <c r="N46" s="252" t="s">
        <v>541</v>
      </c>
      <c r="O46" s="252" t="s">
        <v>541</v>
      </c>
      <c r="P46" s="252" t="s">
        <v>541</v>
      </c>
      <c r="Q46" s="131"/>
      <c r="R46" s="253" t="s">
        <v>254</v>
      </c>
      <c r="S46" s="253">
        <v>2019.0</v>
      </c>
      <c r="T46" s="253">
        <v>706.0</v>
      </c>
      <c r="U46" s="253">
        <v>519.0</v>
      </c>
      <c r="V46" s="253">
        <v>777.0</v>
      </c>
      <c r="W46" s="253">
        <v>792.0</v>
      </c>
      <c r="X46" s="253">
        <v>549.0</v>
      </c>
      <c r="Y46" s="253">
        <v>3343.0</v>
      </c>
      <c r="Z46" s="253"/>
      <c r="AA46" s="253">
        <v>2019.0</v>
      </c>
      <c r="AB46" s="253">
        <v>28.0</v>
      </c>
      <c r="AC46" s="253">
        <v>0.0</v>
      </c>
      <c r="AD46" s="253">
        <v>0.0</v>
      </c>
      <c r="AE46" s="253">
        <v>0.0</v>
      </c>
      <c r="AF46" s="253">
        <v>0.0</v>
      </c>
      <c r="AG46" s="253">
        <v>28.0</v>
      </c>
      <c r="AH46" s="163"/>
      <c r="AI46" s="246" t="s">
        <v>386</v>
      </c>
      <c r="AJ46" s="246">
        <v>2018.0</v>
      </c>
      <c r="AK46" s="246">
        <v>216.0</v>
      </c>
      <c r="AL46" s="246">
        <v>406.0</v>
      </c>
      <c r="AM46" s="246">
        <v>670.0</v>
      </c>
      <c r="AN46" s="246">
        <v>851.0</v>
      </c>
      <c r="AO46" s="246">
        <v>598.0</v>
      </c>
      <c r="AP46" s="246">
        <v>2741.0</v>
      </c>
      <c r="AQ46" s="246"/>
      <c r="AR46" s="246">
        <v>2018.0</v>
      </c>
      <c r="AS46" s="246">
        <v>17.0</v>
      </c>
      <c r="AT46" s="246">
        <v>3.0</v>
      </c>
      <c r="AU46" s="246">
        <v>0.0</v>
      </c>
      <c r="AV46" s="246">
        <v>0.0</v>
      </c>
      <c r="AW46" s="246">
        <v>0.0</v>
      </c>
      <c r="AX46" s="246">
        <v>20.0</v>
      </c>
      <c r="AY46" s="163"/>
      <c r="AZ46" s="254" t="s">
        <v>561</v>
      </c>
      <c r="BA46" s="254">
        <v>2018.0</v>
      </c>
      <c r="BB46" s="254">
        <v>103.0</v>
      </c>
      <c r="BC46" s="254">
        <v>76.0</v>
      </c>
      <c r="BD46" s="254">
        <v>139.0</v>
      </c>
      <c r="BE46" s="254">
        <v>167.0</v>
      </c>
      <c r="BF46" s="254">
        <v>166.0</v>
      </c>
      <c r="BG46" s="254">
        <v>651.0</v>
      </c>
      <c r="BH46" s="254"/>
      <c r="BI46" s="254">
        <v>2018.0</v>
      </c>
      <c r="BJ46" s="254">
        <v>32.0</v>
      </c>
      <c r="BK46" s="254">
        <v>0.0</v>
      </c>
      <c r="BL46" s="254">
        <v>0.0</v>
      </c>
      <c r="BM46" s="254">
        <v>0.0</v>
      </c>
      <c r="BN46" s="254">
        <v>0.0</v>
      </c>
      <c r="BO46" s="254">
        <v>32.0</v>
      </c>
      <c r="BP46" s="163"/>
      <c r="BQ46" s="255" t="s">
        <v>644</v>
      </c>
      <c r="BR46" s="255">
        <v>2019.0</v>
      </c>
      <c r="BS46" s="255">
        <v>182.0</v>
      </c>
      <c r="BT46" s="255">
        <v>112.0</v>
      </c>
      <c r="BU46" s="255">
        <v>157.0</v>
      </c>
      <c r="BV46" s="255">
        <v>234.0</v>
      </c>
      <c r="BW46" s="255">
        <v>194.0</v>
      </c>
      <c r="BX46" s="255">
        <v>879.0</v>
      </c>
      <c r="BY46" s="255"/>
      <c r="BZ46" s="255">
        <v>2019.0</v>
      </c>
      <c r="CA46" s="255">
        <v>50.0</v>
      </c>
      <c r="CB46" s="255">
        <v>2.0</v>
      </c>
      <c r="CC46" s="255">
        <v>0.0</v>
      </c>
      <c r="CD46" s="255">
        <v>0.0</v>
      </c>
      <c r="CE46" s="255">
        <v>0.0</v>
      </c>
      <c r="CF46" s="255">
        <v>52.0</v>
      </c>
      <c r="CG46" s="163"/>
      <c r="CH46" s="57" t="s">
        <v>958</v>
      </c>
      <c r="CI46" s="57">
        <v>2019.0</v>
      </c>
      <c r="CJ46" s="57">
        <v>147.0</v>
      </c>
      <c r="CK46" s="57">
        <v>63.0</v>
      </c>
      <c r="CL46" s="57">
        <v>149.0</v>
      </c>
      <c r="CM46" s="57">
        <v>212.0</v>
      </c>
      <c r="CN46" s="57">
        <v>224.0</v>
      </c>
      <c r="CO46" s="57">
        <v>795.0</v>
      </c>
      <c r="CP46" s="57"/>
      <c r="CQ46" s="57">
        <v>2019.0</v>
      </c>
      <c r="CR46" s="57">
        <v>43.0</v>
      </c>
      <c r="CS46" s="57">
        <v>0.0</v>
      </c>
      <c r="CT46" s="57">
        <v>0.0</v>
      </c>
      <c r="CU46" s="57">
        <v>0.0</v>
      </c>
      <c r="CV46" s="57">
        <v>0.0</v>
      </c>
      <c r="CW46" s="57">
        <v>43.0</v>
      </c>
      <c r="CX46" s="163"/>
      <c r="CY46" s="163"/>
      <c r="CZ46" s="163"/>
      <c r="DA46" s="163"/>
      <c r="DB46" s="163"/>
      <c r="DC46" s="163"/>
      <c r="DD46" s="163"/>
      <c r="DE46" s="163"/>
      <c r="DF46" s="163"/>
      <c r="DG46" s="163"/>
      <c r="DH46" s="163"/>
      <c r="DI46" s="163"/>
      <c r="DJ46" s="163"/>
      <c r="DK46" s="163"/>
      <c r="DL46" s="163"/>
      <c r="DM46" s="163"/>
      <c r="DN46" s="163"/>
      <c r="DO46" s="163"/>
      <c r="DP46" s="49" t="s">
        <v>768</v>
      </c>
      <c r="DQ46" s="49">
        <v>2019.0</v>
      </c>
      <c r="DR46" s="49">
        <v>286.0</v>
      </c>
      <c r="DS46" s="49">
        <v>289.0</v>
      </c>
      <c r="DT46" s="49">
        <v>329.0</v>
      </c>
      <c r="DU46" s="49">
        <v>371.0</v>
      </c>
      <c r="DV46" s="49">
        <v>249.0</v>
      </c>
      <c r="DW46" s="49">
        <v>1524.0</v>
      </c>
      <c r="DX46" s="49"/>
      <c r="DY46" s="49">
        <v>2019.0</v>
      </c>
      <c r="DZ46" s="49">
        <v>32.0</v>
      </c>
      <c r="EA46" s="49">
        <v>0.0</v>
      </c>
      <c r="EB46" s="49">
        <v>0.0</v>
      </c>
      <c r="EC46" s="49">
        <v>0.0</v>
      </c>
      <c r="ED46" s="49">
        <v>0.0</v>
      </c>
      <c r="EE46" s="49">
        <v>32.0</v>
      </c>
      <c r="EF46" s="163"/>
      <c r="EG46" s="57" t="s">
        <v>790</v>
      </c>
      <c r="EH46" s="57">
        <v>2019.0</v>
      </c>
      <c r="EI46" s="57">
        <v>205.0</v>
      </c>
      <c r="EJ46" s="57">
        <v>302.0</v>
      </c>
      <c r="EK46" s="57">
        <v>460.0</v>
      </c>
      <c r="EL46" s="57">
        <v>571.0</v>
      </c>
      <c r="EM46" s="57">
        <v>651.0</v>
      </c>
      <c r="EN46" s="57">
        <v>2189.0</v>
      </c>
      <c r="EO46" s="57"/>
      <c r="EP46" s="57">
        <v>2019.0</v>
      </c>
      <c r="EQ46" s="57">
        <v>53.0</v>
      </c>
      <c r="ER46" s="57">
        <v>28.0</v>
      </c>
      <c r="ES46" s="57">
        <v>33.0</v>
      </c>
      <c r="ET46" s="57">
        <v>17.0</v>
      </c>
      <c r="EU46" s="57">
        <v>22.0</v>
      </c>
      <c r="EV46" s="57">
        <v>153.0</v>
      </c>
      <c r="EW46" s="163"/>
      <c r="EX46" s="255" t="s">
        <v>941</v>
      </c>
      <c r="EY46" s="255">
        <v>2018.0</v>
      </c>
      <c r="EZ46" s="255" t="s">
        <v>541</v>
      </c>
      <c r="FA46" s="255" t="s">
        <v>541</v>
      </c>
      <c r="FB46" s="255" t="s">
        <v>541</v>
      </c>
      <c r="FC46" s="255" t="s">
        <v>541</v>
      </c>
      <c r="FD46" s="255" t="s">
        <v>541</v>
      </c>
      <c r="FE46" s="255" t="s">
        <v>541</v>
      </c>
      <c r="FF46" s="255"/>
      <c r="FG46" s="255">
        <v>2018.0</v>
      </c>
      <c r="FH46" s="255" t="s">
        <v>541</v>
      </c>
      <c r="FI46" s="255" t="s">
        <v>541</v>
      </c>
      <c r="FJ46" s="255" t="s">
        <v>541</v>
      </c>
      <c r="FK46" s="255" t="s">
        <v>541</v>
      </c>
      <c r="FL46" s="255" t="s">
        <v>541</v>
      </c>
      <c r="FM46" s="255" t="s">
        <v>541</v>
      </c>
    </row>
    <row r="47" ht="13.5" customHeight="1">
      <c r="A47" s="252" t="s">
        <v>208</v>
      </c>
      <c r="B47" s="252">
        <v>2018.0</v>
      </c>
      <c r="C47" s="252" t="s">
        <v>541</v>
      </c>
      <c r="D47" s="252" t="s">
        <v>541</v>
      </c>
      <c r="E47" s="252" t="s">
        <v>541</v>
      </c>
      <c r="F47" s="252" t="s">
        <v>541</v>
      </c>
      <c r="G47" s="252" t="s">
        <v>541</v>
      </c>
      <c r="H47" s="252" t="s">
        <v>541</v>
      </c>
      <c r="I47" s="252"/>
      <c r="J47" s="252">
        <v>2018.0</v>
      </c>
      <c r="K47" s="252" t="s">
        <v>541</v>
      </c>
      <c r="L47" s="252" t="s">
        <v>541</v>
      </c>
      <c r="M47" s="252" t="s">
        <v>541</v>
      </c>
      <c r="N47" s="252" t="s">
        <v>541</v>
      </c>
      <c r="O47" s="252" t="s">
        <v>541</v>
      </c>
      <c r="P47" s="252" t="s">
        <v>541</v>
      </c>
      <c r="Q47" s="131"/>
      <c r="R47" s="253" t="s">
        <v>256</v>
      </c>
      <c r="S47" s="253">
        <v>2019.0</v>
      </c>
      <c r="T47" s="253" t="s">
        <v>541</v>
      </c>
      <c r="U47" s="253" t="s">
        <v>541</v>
      </c>
      <c r="V47" s="253" t="s">
        <v>541</v>
      </c>
      <c r="W47" s="253" t="s">
        <v>541</v>
      </c>
      <c r="X47" s="253" t="s">
        <v>541</v>
      </c>
      <c r="Y47" s="253" t="s">
        <v>541</v>
      </c>
      <c r="Z47" s="253"/>
      <c r="AA47" s="253">
        <v>2019.0</v>
      </c>
      <c r="AB47" s="253" t="s">
        <v>541</v>
      </c>
      <c r="AC47" s="253" t="s">
        <v>541</v>
      </c>
      <c r="AD47" s="253" t="s">
        <v>541</v>
      </c>
      <c r="AE47" s="253" t="s">
        <v>541</v>
      </c>
      <c r="AF47" s="253" t="s">
        <v>541</v>
      </c>
      <c r="AG47" s="253" t="s">
        <v>541</v>
      </c>
      <c r="AH47" s="163"/>
      <c r="AI47" s="163"/>
      <c r="AJ47" s="163"/>
      <c r="AK47" s="163"/>
      <c r="AL47" s="163"/>
      <c r="AM47" s="163"/>
      <c r="AN47" s="163"/>
      <c r="AO47" s="163"/>
      <c r="AP47" s="163"/>
      <c r="AQ47" s="163"/>
      <c r="AR47" s="163"/>
      <c r="AS47" s="163"/>
      <c r="AT47" s="163"/>
      <c r="AU47" s="163"/>
      <c r="AV47" s="163"/>
      <c r="AW47" s="163"/>
      <c r="AX47" s="163"/>
      <c r="AY47" s="163"/>
      <c r="AZ47" s="254" t="s">
        <v>563</v>
      </c>
      <c r="BA47" s="254">
        <v>2018.0</v>
      </c>
      <c r="BB47" s="254">
        <v>76.0</v>
      </c>
      <c r="BC47" s="254">
        <v>44.0</v>
      </c>
      <c r="BD47" s="254">
        <v>69.0</v>
      </c>
      <c r="BE47" s="254">
        <v>92.0</v>
      </c>
      <c r="BF47" s="254">
        <v>98.0</v>
      </c>
      <c r="BG47" s="254">
        <v>379.0</v>
      </c>
      <c r="BH47" s="254"/>
      <c r="BI47" s="254">
        <v>2018.0</v>
      </c>
      <c r="BJ47" s="254">
        <v>26.0</v>
      </c>
      <c r="BK47" s="254">
        <v>0.0</v>
      </c>
      <c r="BL47" s="254">
        <v>0.0</v>
      </c>
      <c r="BM47" s="254">
        <v>0.0</v>
      </c>
      <c r="BN47" s="254">
        <v>0.0</v>
      </c>
      <c r="BO47" s="254">
        <v>26.0</v>
      </c>
      <c r="BP47" s="163"/>
      <c r="BQ47" s="255" t="s">
        <v>647</v>
      </c>
      <c r="BR47" s="255">
        <v>2019.0</v>
      </c>
      <c r="BS47" s="255">
        <v>143.0</v>
      </c>
      <c r="BT47" s="255">
        <v>86.0</v>
      </c>
      <c r="BU47" s="255">
        <v>162.0</v>
      </c>
      <c r="BV47" s="255">
        <v>213.0</v>
      </c>
      <c r="BW47" s="255">
        <v>181.0</v>
      </c>
      <c r="BX47" s="255">
        <v>785.0</v>
      </c>
      <c r="BY47" s="255"/>
      <c r="BZ47" s="255">
        <v>2019.0</v>
      </c>
      <c r="CA47" s="255">
        <v>27.0</v>
      </c>
      <c r="CB47" s="255">
        <v>1.0</v>
      </c>
      <c r="CC47" s="255">
        <v>0.0</v>
      </c>
      <c r="CD47" s="255">
        <v>0.0</v>
      </c>
      <c r="CE47" s="255">
        <v>0.0</v>
      </c>
      <c r="CF47" s="255">
        <v>28.0</v>
      </c>
      <c r="CG47" s="163"/>
      <c r="CH47" s="57" t="s">
        <v>962</v>
      </c>
      <c r="CI47" s="57">
        <v>2019.0</v>
      </c>
      <c r="CJ47" s="57">
        <v>154.0</v>
      </c>
      <c r="CK47" s="57">
        <v>80.0</v>
      </c>
      <c r="CL47" s="57">
        <v>156.0</v>
      </c>
      <c r="CM47" s="57">
        <v>295.0</v>
      </c>
      <c r="CN47" s="57">
        <v>302.0</v>
      </c>
      <c r="CO47" s="57">
        <v>987.0</v>
      </c>
      <c r="CP47" s="57"/>
      <c r="CQ47" s="57">
        <v>2019.0</v>
      </c>
      <c r="CR47" s="57">
        <v>44.0</v>
      </c>
      <c r="CS47" s="57">
        <v>0.0</v>
      </c>
      <c r="CT47" s="57">
        <v>0.0</v>
      </c>
      <c r="CU47" s="57">
        <v>0.0</v>
      </c>
      <c r="CV47" s="57">
        <v>0.0</v>
      </c>
      <c r="CW47" s="57">
        <v>44.0</v>
      </c>
      <c r="CX47" s="163"/>
      <c r="CY47" s="163"/>
      <c r="CZ47" s="163"/>
      <c r="DA47" s="163"/>
      <c r="DB47" s="163"/>
      <c r="DC47" s="163"/>
      <c r="DD47" s="163"/>
      <c r="DE47" s="163"/>
      <c r="DF47" s="163"/>
      <c r="DG47" s="163"/>
      <c r="DH47" s="163"/>
      <c r="DI47" s="163"/>
      <c r="DJ47" s="163"/>
      <c r="DK47" s="163"/>
      <c r="DL47" s="163"/>
      <c r="DM47" s="163"/>
      <c r="DN47" s="163"/>
      <c r="DO47" s="163"/>
      <c r="DP47" s="49" t="s">
        <v>770</v>
      </c>
      <c r="DQ47" s="49">
        <v>2019.0</v>
      </c>
      <c r="DR47" s="49">
        <v>137.0</v>
      </c>
      <c r="DS47" s="49">
        <v>119.0</v>
      </c>
      <c r="DT47" s="49">
        <v>209.0</v>
      </c>
      <c r="DU47" s="49">
        <v>277.0</v>
      </c>
      <c r="DV47" s="49">
        <v>231.0</v>
      </c>
      <c r="DW47" s="49">
        <v>973.0</v>
      </c>
      <c r="DX47" s="49"/>
      <c r="DY47" s="49">
        <v>2019.0</v>
      </c>
      <c r="DZ47" s="49">
        <v>20.0</v>
      </c>
      <c r="EA47" s="49">
        <v>0.0</v>
      </c>
      <c r="EB47" s="49">
        <v>0.0</v>
      </c>
      <c r="EC47" s="49">
        <v>0.0</v>
      </c>
      <c r="ED47" s="49">
        <v>0.0</v>
      </c>
      <c r="EE47" s="49">
        <v>20.0</v>
      </c>
      <c r="EF47" s="163"/>
      <c r="EG47" s="57" t="s">
        <v>792</v>
      </c>
      <c r="EH47" s="57">
        <v>2019.0</v>
      </c>
      <c r="EI47" s="57">
        <v>543.0</v>
      </c>
      <c r="EJ47" s="57">
        <v>779.0</v>
      </c>
      <c r="EK47" s="57">
        <v>952.0</v>
      </c>
      <c r="EL47" s="57">
        <v>1109.0</v>
      </c>
      <c r="EM47" s="57">
        <v>1104.0</v>
      </c>
      <c r="EN47" s="57">
        <v>4487.0</v>
      </c>
      <c r="EO47" s="57"/>
      <c r="EP47" s="57">
        <v>2019.0</v>
      </c>
      <c r="EQ47" s="57">
        <v>75.0</v>
      </c>
      <c r="ER47" s="57">
        <v>55.0</v>
      </c>
      <c r="ES47" s="57">
        <v>37.0</v>
      </c>
      <c r="ET47" s="57">
        <v>30.0</v>
      </c>
      <c r="EU47" s="57">
        <v>32.0</v>
      </c>
      <c r="EV47" s="57">
        <v>229.0</v>
      </c>
      <c r="EW47" s="163"/>
      <c r="EX47" s="163"/>
      <c r="EY47" s="163"/>
      <c r="EZ47" s="163"/>
      <c r="FA47" s="163"/>
      <c r="FB47" s="163"/>
      <c r="FC47" s="163"/>
      <c r="FD47" s="163"/>
      <c r="FE47" s="163"/>
      <c r="FF47" s="163"/>
      <c r="FG47" s="163"/>
      <c r="FH47" s="163"/>
      <c r="FI47" s="163"/>
      <c r="FJ47" s="163"/>
      <c r="FK47" s="163"/>
      <c r="FL47" s="163"/>
      <c r="FM47" s="163"/>
    </row>
    <row r="48" ht="13.5" customHeight="1">
      <c r="A48" s="252" t="s">
        <v>1214</v>
      </c>
      <c r="B48" s="252">
        <v>2018.0</v>
      </c>
      <c r="C48" s="252" t="s">
        <v>541</v>
      </c>
      <c r="D48" s="252" t="s">
        <v>541</v>
      </c>
      <c r="E48" s="252" t="s">
        <v>541</v>
      </c>
      <c r="F48" s="252" t="s">
        <v>541</v>
      </c>
      <c r="G48" s="252" t="s">
        <v>541</v>
      </c>
      <c r="H48" s="252" t="s">
        <v>541</v>
      </c>
      <c r="I48" s="252"/>
      <c r="J48" s="252">
        <v>2018.0</v>
      </c>
      <c r="K48" s="252" t="s">
        <v>541</v>
      </c>
      <c r="L48" s="252" t="s">
        <v>541</v>
      </c>
      <c r="M48" s="252" t="s">
        <v>541</v>
      </c>
      <c r="N48" s="252" t="s">
        <v>541</v>
      </c>
      <c r="O48" s="252" t="s">
        <v>541</v>
      </c>
      <c r="P48" s="252" t="s">
        <v>541</v>
      </c>
      <c r="Q48" s="131"/>
      <c r="R48" s="253" t="s">
        <v>258</v>
      </c>
      <c r="S48" s="253">
        <v>2019.0</v>
      </c>
      <c r="T48" s="253" t="s">
        <v>541</v>
      </c>
      <c r="U48" s="253" t="s">
        <v>541</v>
      </c>
      <c r="V48" s="253" t="s">
        <v>541</v>
      </c>
      <c r="W48" s="253" t="s">
        <v>541</v>
      </c>
      <c r="X48" s="253" t="s">
        <v>541</v>
      </c>
      <c r="Y48" s="253" t="s">
        <v>541</v>
      </c>
      <c r="Z48" s="253"/>
      <c r="AA48" s="253">
        <v>2019.0</v>
      </c>
      <c r="AB48" s="253" t="s">
        <v>541</v>
      </c>
      <c r="AC48" s="253" t="s">
        <v>541</v>
      </c>
      <c r="AD48" s="253" t="s">
        <v>541</v>
      </c>
      <c r="AE48" s="253" t="s">
        <v>541</v>
      </c>
      <c r="AF48" s="253" t="s">
        <v>541</v>
      </c>
      <c r="AG48" s="253" t="s">
        <v>541</v>
      </c>
      <c r="AH48" s="163"/>
      <c r="AI48" s="246" t="s">
        <v>388</v>
      </c>
      <c r="AJ48" s="246">
        <v>2018.0</v>
      </c>
      <c r="AK48" s="246">
        <v>409.0</v>
      </c>
      <c r="AL48" s="246">
        <v>435.0</v>
      </c>
      <c r="AM48" s="246">
        <v>447.0</v>
      </c>
      <c r="AN48" s="246">
        <v>481.0</v>
      </c>
      <c r="AO48" s="246">
        <v>505.0</v>
      </c>
      <c r="AP48" s="246">
        <v>2277.0</v>
      </c>
      <c r="AQ48" s="246"/>
      <c r="AR48" s="246">
        <v>2018.0</v>
      </c>
      <c r="AS48" s="246">
        <v>57.0</v>
      </c>
      <c r="AT48" s="246">
        <v>21.0</v>
      </c>
      <c r="AU48" s="246">
        <v>9.0</v>
      </c>
      <c r="AV48" s="246">
        <v>11.0</v>
      </c>
      <c r="AW48" s="246">
        <v>25.0</v>
      </c>
      <c r="AX48" s="246">
        <v>123.0</v>
      </c>
      <c r="AY48" s="163"/>
      <c r="AZ48" s="254" t="s">
        <v>565</v>
      </c>
      <c r="BA48" s="254">
        <v>2018.0</v>
      </c>
      <c r="BB48" s="254">
        <v>111.0</v>
      </c>
      <c r="BC48" s="254">
        <v>63.0</v>
      </c>
      <c r="BD48" s="254">
        <v>126.0</v>
      </c>
      <c r="BE48" s="254">
        <v>224.0</v>
      </c>
      <c r="BF48" s="254">
        <v>192.0</v>
      </c>
      <c r="BG48" s="254">
        <v>716.0</v>
      </c>
      <c r="BH48" s="254"/>
      <c r="BI48" s="254">
        <v>2018.0</v>
      </c>
      <c r="BJ48" s="254">
        <v>29.0</v>
      </c>
      <c r="BK48" s="254">
        <v>0.0</v>
      </c>
      <c r="BL48" s="254">
        <v>0.0</v>
      </c>
      <c r="BM48" s="254">
        <v>0.0</v>
      </c>
      <c r="BN48" s="254">
        <v>0.0</v>
      </c>
      <c r="BO48" s="254">
        <v>29.0</v>
      </c>
      <c r="BP48" s="163"/>
      <c r="BQ48" s="255" t="s">
        <v>650</v>
      </c>
      <c r="BR48" s="255">
        <v>2019.0</v>
      </c>
      <c r="BS48" s="255">
        <v>88.0</v>
      </c>
      <c r="BT48" s="255">
        <v>66.0</v>
      </c>
      <c r="BU48" s="255">
        <v>169.0</v>
      </c>
      <c r="BV48" s="255">
        <v>238.0</v>
      </c>
      <c r="BW48" s="255">
        <v>204.0</v>
      </c>
      <c r="BX48" s="255">
        <v>765.0</v>
      </c>
      <c r="BY48" s="255"/>
      <c r="BZ48" s="255">
        <v>2019.0</v>
      </c>
      <c r="CA48" s="255">
        <v>23.0</v>
      </c>
      <c r="CB48" s="255">
        <v>0.0</v>
      </c>
      <c r="CC48" s="255">
        <v>0.0</v>
      </c>
      <c r="CD48" s="255">
        <v>0.0</v>
      </c>
      <c r="CE48" s="255">
        <v>0.0</v>
      </c>
      <c r="CF48" s="255">
        <v>23.0</v>
      </c>
      <c r="CG48" s="163"/>
      <c r="CH48" s="57" t="s">
        <v>965</v>
      </c>
      <c r="CI48" s="57">
        <v>2019.0</v>
      </c>
      <c r="CJ48" s="57">
        <v>37.0</v>
      </c>
      <c r="CK48" s="57">
        <v>45.0</v>
      </c>
      <c r="CL48" s="57">
        <v>93.0</v>
      </c>
      <c r="CM48" s="57">
        <v>136.0</v>
      </c>
      <c r="CN48" s="57">
        <v>174.0</v>
      </c>
      <c r="CO48" s="57">
        <v>485.0</v>
      </c>
      <c r="CP48" s="57"/>
      <c r="CQ48" s="57">
        <v>2019.0</v>
      </c>
      <c r="CR48" s="57">
        <v>7.0</v>
      </c>
      <c r="CS48" s="57">
        <v>0.0</v>
      </c>
      <c r="CT48" s="57">
        <v>0.0</v>
      </c>
      <c r="CU48" s="57">
        <v>0.0</v>
      </c>
      <c r="CV48" s="57">
        <v>0.0</v>
      </c>
      <c r="CW48" s="57">
        <v>7.0</v>
      </c>
      <c r="CX48" s="163"/>
      <c r="CY48" s="163"/>
      <c r="CZ48" s="163"/>
      <c r="DA48" s="163"/>
      <c r="DB48" s="163"/>
      <c r="DC48" s="163"/>
      <c r="DD48" s="163"/>
      <c r="DE48" s="163"/>
      <c r="DF48" s="163"/>
      <c r="DG48" s="163"/>
      <c r="DH48" s="163"/>
      <c r="DI48" s="163"/>
      <c r="DJ48" s="163"/>
      <c r="DK48" s="163"/>
      <c r="DL48" s="163"/>
      <c r="DM48" s="163"/>
      <c r="DN48" s="163"/>
      <c r="DO48" s="163"/>
      <c r="DP48" s="49" t="s">
        <v>772</v>
      </c>
      <c r="DQ48" s="49">
        <v>2019.0</v>
      </c>
      <c r="DR48" s="49">
        <v>2837.0</v>
      </c>
      <c r="DS48" s="49">
        <v>1171.0</v>
      </c>
      <c r="DT48" s="49">
        <v>1044.0</v>
      </c>
      <c r="DU48" s="49">
        <v>1022.0</v>
      </c>
      <c r="DV48" s="49">
        <v>1266.0</v>
      </c>
      <c r="DW48" s="49">
        <v>7340.0</v>
      </c>
      <c r="DX48" s="49"/>
      <c r="DY48" s="49">
        <v>2019.0</v>
      </c>
      <c r="DZ48" s="49">
        <v>351.0</v>
      </c>
      <c r="EA48" s="49">
        <v>0.0</v>
      </c>
      <c r="EB48" s="49">
        <v>0.0</v>
      </c>
      <c r="EC48" s="49">
        <v>0.0</v>
      </c>
      <c r="ED48" s="49">
        <v>0.0</v>
      </c>
      <c r="EE48" s="49">
        <v>351.0</v>
      </c>
      <c r="EF48" s="163"/>
      <c r="EG48" s="57" t="s">
        <v>794</v>
      </c>
      <c r="EH48" s="57">
        <v>2019.0</v>
      </c>
      <c r="EI48" s="57" t="s">
        <v>541</v>
      </c>
      <c r="EJ48" s="57" t="s">
        <v>541</v>
      </c>
      <c r="EK48" s="57" t="s">
        <v>541</v>
      </c>
      <c r="EL48" s="57" t="s">
        <v>541</v>
      </c>
      <c r="EM48" s="57" t="s">
        <v>541</v>
      </c>
      <c r="EN48" s="57" t="s">
        <v>541</v>
      </c>
      <c r="EO48" s="57"/>
      <c r="EP48" s="57">
        <v>2019.0</v>
      </c>
      <c r="EQ48" s="57" t="s">
        <v>541</v>
      </c>
      <c r="ER48" s="57" t="s">
        <v>541</v>
      </c>
      <c r="ES48" s="57" t="s">
        <v>541</v>
      </c>
      <c r="ET48" s="57" t="s">
        <v>541</v>
      </c>
      <c r="EU48" s="57" t="s">
        <v>541</v>
      </c>
      <c r="EV48" s="57" t="s">
        <v>541</v>
      </c>
      <c r="EW48" s="163"/>
      <c r="EX48" s="255" t="s">
        <v>846</v>
      </c>
      <c r="EY48" s="255">
        <v>2019.0</v>
      </c>
      <c r="EZ48" s="255">
        <v>1982.0</v>
      </c>
      <c r="FA48" s="255">
        <v>1159.0</v>
      </c>
      <c r="FB48" s="255">
        <v>928.0</v>
      </c>
      <c r="FC48" s="255">
        <v>864.0</v>
      </c>
      <c r="FD48" s="255">
        <v>947.0</v>
      </c>
      <c r="FE48" s="255">
        <v>5880.0</v>
      </c>
      <c r="FF48" s="255"/>
      <c r="FG48" s="255">
        <v>2019.0</v>
      </c>
      <c r="FH48" s="255">
        <v>450.0</v>
      </c>
      <c r="FI48" s="255">
        <v>0.0</v>
      </c>
      <c r="FJ48" s="255">
        <v>0.0</v>
      </c>
      <c r="FK48" s="255">
        <v>0.0</v>
      </c>
      <c r="FL48" s="255">
        <v>0.0</v>
      </c>
      <c r="FM48" s="255">
        <v>450.0</v>
      </c>
    </row>
    <row r="49" ht="13.5" customHeight="1">
      <c r="A49" s="252" t="s">
        <v>1218</v>
      </c>
      <c r="B49" s="252">
        <v>2018.0</v>
      </c>
      <c r="C49" s="252" t="s">
        <v>541</v>
      </c>
      <c r="D49" s="252" t="s">
        <v>541</v>
      </c>
      <c r="E49" s="252" t="s">
        <v>541</v>
      </c>
      <c r="F49" s="252" t="s">
        <v>541</v>
      </c>
      <c r="G49" s="252" t="s">
        <v>541</v>
      </c>
      <c r="H49" s="252" t="s">
        <v>541</v>
      </c>
      <c r="I49" s="252"/>
      <c r="J49" s="252">
        <v>2018.0</v>
      </c>
      <c r="K49" s="252" t="s">
        <v>541</v>
      </c>
      <c r="L49" s="252" t="s">
        <v>541</v>
      </c>
      <c r="M49" s="252" t="s">
        <v>541</v>
      </c>
      <c r="N49" s="252" t="s">
        <v>541</v>
      </c>
      <c r="O49" s="252" t="s">
        <v>541</v>
      </c>
      <c r="P49" s="252" t="s">
        <v>541</v>
      </c>
      <c r="Q49" s="131"/>
      <c r="R49" s="253" t="s">
        <v>260</v>
      </c>
      <c r="S49" s="253">
        <v>2019.0</v>
      </c>
      <c r="T49" s="253" t="s">
        <v>541</v>
      </c>
      <c r="U49" s="253" t="s">
        <v>541</v>
      </c>
      <c r="V49" s="253" t="s">
        <v>541</v>
      </c>
      <c r="W49" s="253" t="s">
        <v>541</v>
      </c>
      <c r="X49" s="253" t="s">
        <v>541</v>
      </c>
      <c r="Y49" s="253" t="s">
        <v>541</v>
      </c>
      <c r="Z49" s="253"/>
      <c r="AA49" s="253">
        <v>2019.0</v>
      </c>
      <c r="AB49" s="253" t="s">
        <v>541</v>
      </c>
      <c r="AC49" s="253" t="s">
        <v>541</v>
      </c>
      <c r="AD49" s="253" t="s">
        <v>541</v>
      </c>
      <c r="AE49" s="253" t="s">
        <v>541</v>
      </c>
      <c r="AF49" s="253" t="s">
        <v>541</v>
      </c>
      <c r="AG49" s="253" t="s">
        <v>541</v>
      </c>
      <c r="AH49" s="163"/>
      <c r="AI49" s="246" t="s">
        <v>391</v>
      </c>
      <c r="AJ49" s="246">
        <v>2018.0</v>
      </c>
      <c r="AK49" s="246">
        <v>866.0</v>
      </c>
      <c r="AL49" s="246">
        <v>942.0</v>
      </c>
      <c r="AM49" s="246">
        <v>717.0</v>
      </c>
      <c r="AN49" s="246">
        <v>684.0</v>
      </c>
      <c r="AO49" s="246">
        <v>785.0</v>
      </c>
      <c r="AP49" s="246">
        <v>3994.0</v>
      </c>
      <c r="AQ49" s="246"/>
      <c r="AR49" s="246">
        <v>2018.0</v>
      </c>
      <c r="AS49" s="246">
        <v>68.0</v>
      </c>
      <c r="AT49" s="246">
        <v>22.0</v>
      </c>
      <c r="AU49" s="246">
        <v>3.0</v>
      </c>
      <c r="AV49" s="246">
        <v>5.0</v>
      </c>
      <c r="AW49" s="246">
        <v>8.0</v>
      </c>
      <c r="AX49" s="246">
        <v>106.0</v>
      </c>
      <c r="AY49" s="163"/>
      <c r="AZ49" s="254" t="s">
        <v>567</v>
      </c>
      <c r="BA49" s="254">
        <v>2018.0</v>
      </c>
      <c r="BB49" s="254">
        <v>474.0</v>
      </c>
      <c r="BC49" s="254">
        <v>483.0</v>
      </c>
      <c r="BD49" s="254">
        <v>998.0</v>
      </c>
      <c r="BE49" s="254">
        <v>1505.0</v>
      </c>
      <c r="BF49" s="254">
        <v>1343.0</v>
      </c>
      <c r="BG49" s="254">
        <v>4803.0</v>
      </c>
      <c r="BH49" s="254"/>
      <c r="BI49" s="254">
        <v>2018.0</v>
      </c>
      <c r="BJ49" s="254">
        <v>83.0</v>
      </c>
      <c r="BK49" s="254">
        <v>0.0</v>
      </c>
      <c r="BL49" s="254">
        <v>0.0</v>
      </c>
      <c r="BM49" s="254">
        <v>0.0</v>
      </c>
      <c r="BN49" s="254">
        <v>0.0</v>
      </c>
      <c r="BO49" s="254">
        <v>83.0</v>
      </c>
      <c r="BP49" s="163"/>
      <c r="BQ49" s="255" t="s">
        <v>653</v>
      </c>
      <c r="BR49" s="255">
        <v>2019.0</v>
      </c>
      <c r="BS49" s="255">
        <v>48.0</v>
      </c>
      <c r="BT49" s="255">
        <v>47.0</v>
      </c>
      <c r="BU49" s="255">
        <v>127.0</v>
      </c>
      <c r="BV49" s="255">
        <v>203.0</v>
      </c>
      <c r="BW49" s="255">
        <v>217.0</v>
      </c>
      <c r="BX49" s="255">
        <v>642.0</v>
      </c>
      <c r="BY49" s="255"/>
      <c r="BZ49" s="255">
        <v>2019.0</v>
      </c>
      <c r="CA49" s="255">
        <v>13.0</v>
      </c>
      <c r="CB49" s="255">
        <v>0.0</v>
      </c>
      <c r="CC49" s="255">
        <v>0.0</v>
      </c>
      <c r="CD49" s="255">
        <v>0.0</v>
      </c>
      <c r="CE49" s="255">
        <v>0.0</v>
      </c>
      <c r="CF49" s="255">
        <v>13.0</v>
      </c>
      <c r="CG49" s="163"/>
      <c r="CH49" s="57" t="s">
        <v>967</v>
      </c>
      <c r="CI49" s="57">
        <v>2019.0</v>
      </c>
      <c r="CJ49" s="57">
        <v>119.0</v>
      </c>
      <c r="CK49" s="57">
        <v>78.0</v>
      </c>
      <c r="CL49" s="57">
        <v>155.0</v>
      </c>
      <c r="CM49" s="57">
        <v>259.0</v>
      </c>
      <c r="CN49" s="57">
        <v>280.0</v>
      </c>
      <c r="CO49" s="57">
        <v>891.0</v>
      </c>
      <c r="CP49" s="57"/>
      <c r="CQ49" s="57">
        <v>2019.0</v>
      </c>
      <c r="CR49" s="57">
        <v>21.0</v>
      </c>
      <c r="CS49" s="57">
        <v>0.0</v>
      </c>
      <c r="CT49" s="57">
        <v>0.0</v>
      </c>
      <c r="CU49" s="57">
        <v>0.0</v>
      </c>
      <c r="CV49" s="57">
        <v>0.0</v>
      </c>
      <c r="CW49" s="57">
        <v>21.0</v>
      </c>
      <c r="CX49" s="163"/>
      <c r="CY49" s="163"/>
      <c r="CZ49" s="163"/>
      <c r="DA49" s="163"/>
      <c r="DB49" s="163"/>
      <c r="DC49" s="163"/>
      <c r="DD49" s="163"/>
      <c r="DE49" s="163"/>
      <c r="DF49" s="163"/>
      <c r="DG49" s="163"/>
      <c r="DH49" s="163"/>
      <c r="DI49" s="163"/>
      <c r="DJ49" s="163"/>
      <c r="DK49" s="163"/>
      <c r="DL49" s="163"/>
      <c r="DM49" s="163"/>
      <c r="DN49" s="163"/>
      <c r="DO49" s="163"/>
      <c r="DP49" s="163"/>
      <c r="DQ49" s="163"/>
      <c r="DR49" s="163"/>
      <c r="DS49" s="163"/>
      <c r="DT49" s="163"/>
      <c r="DU49" s="163"/>
      <c r="DV49" s="163"/>
      <c r="DW49" s="163"/>
      <c r="DX49" s="163"/>
      <c r="DY49" s="163"/>
      <c r="DZ49" s="163"/>
      <c r="EA49" s="163"/>
      <c r="EB49" s="163"/>
      <c r="EC49" s="163"/>
      <c r="ED49" s="163"/>
      <c r="EE49" s="163"/>
      <c r="EF49" s="163"/>
      <c r="EG49" s="57" t="s">
        <v>796</v>
      </c>
      <c r="EH49" s="57">
        <v>2019.0</v>
      </c>
      <c r="EI49" s="57">
        <v>176.0</v>
      </c>
      <c r="EJ49" s="57">
        <v>265.0</v>
      </c>
      <c r="EK49" s="57">
        <v>359.0</v>
      </c>
      <c r="EL49" s="57">
        <v>394.0</v>
      </c>
      <c r="EM49" s="57">
        <v>524.0</v>
      </c>
      <c r="EN49" s="57">
        <v>1718.0</v>
      </c>
      <c r="EO49" s="57"/>
      <c r="EP49" s="57">
        <v>2019.0</v>
      </c>
      <c r="EQ49" s="57">
        <v>50.0</v>
      </c>
      <c r="ER49" s="57">
        <v>29.0</v>
      </c>
      <c r="ES49" s="57">
        <v>29.0</v>
      </c>
      <c r="ET49" s="57">
        <v>14.0</v>
      </c>
      <c r="EU49" s="57">
        <v>18.0</v>
      </c>
      <c r="EV49" s="57">
        <v>140.0</v>
      </c>
      <c r="EW49" s="163"/>
      <c r="EX49" s="255" t="s">
        <v>849</v>
      </c>
      <c r="EY49" s="255">
        <v>2019.0</v>
      </c>
      <c r="EZ49" s="255">
        <v>167.0</v>
      </c>
      <c r="FA49" s="255">
        <v>238.0</v>
      </c>
      <c r="FB49" s="255">
        <v>349.0</v>
      </c>
      <c r="FC49" s="255">
        <v>421.0</v>
      </c>
      <c r="FD49" s="255">
        <v>507.0</v>
      </c>
      <c r="FE49" s="255">
        <v>1682.0</v>
      </c>
      <c r="FF49" s="255"/>
      <c r="FG49" s="255">
        <v>2019.0</v>
      </c>
      <c r="FH49" s="255">
        <v>13.0</v>
      </c>
      <c r="FI49" s="255">
        <v>4.0</v>
      </c>
      <c r="FJ49" s="255">
        <v>4.0</v>
      </c>
      <c r="FK49" s="255">
        <v>5.0</v>
      </c>
      <c r="FL49" s="255">
        <v>4.0</v>
      </c>
      <c r="FM49" s="255">
        <v>30.0</v>
      </c>
    </row>
    <row r="50" ht="13.5" customHeight="1">
      <c r="A50" s="252" t="s">
        <v>1221</v>
      </c>
      <c r="B50" s="252">
        <v>2018.0</v>
      </c>
      <c r="C50" s="252" t="s">
        <v>541</v>
      </c>
      <c r="D50" s="252" t="s">
        <v>541</v>
      </c>
      <c r="E50" s="252" t="s">
        <v>541</v>
      </c>
      <c r="F50" s="252" t="s">
        <v>541</v>
      </c>
      <c r="G50" s="252" t="s">
        <v>541</v>
      </c>
      <c r="H50" s="252" t="s">
        <v>541</v>
      </c>
      <c r="I50" s="252"/>
      <c r="J50" s="252">
        <v>2018.0</v>
      </c>
      <c r="K50" s="252" t="s">
        <v>541</v>
      </c>
      <c r="L50" s="252" t="s">
        <v>541</v>
      </c>
      <c r="M50" s="252" t="s">
        <v>541</v>
      </c>
      <c r="N50" s="252" t="s">
        <v>541</v>
      </c>
      <c r="O50" s="252" t="s">
        <v>541</v>
      </c>
      <c r="P50" s="252" t="s">
        <v>541</v>
      </c>
      <c r="Q50" s="131"/>
      <c r="R50" s="253" t="s">
        <v>262</v>
      </c>
      <c r="S50" s="253">
        <v>2019.0</v>
      </c>
      <c r="T50" s="253">
        <v>267.0</v>
      </c>
      <c r="U50" s="253">
        <v>179.0</v>
      </c>
      <c r="V50" s="253">
        <v>331.0</v>
      </c>
      <c r="W50" s="253">
        <v>505.0</v>
      </c>
      <c r="X50" s="253">
        <v>410.0</v>
      </c>
      <c r="Y50" s="253">
        <v>1692.0</v>
      </c>
      <c r="Z50" s="253"/>
      <c r="AA50" s="253">
        <v>2019.0</v>
      </c>
      <c r="AB50" s="253">
        <v>26.0</v>
      </c>
      <c r="AC50" s="253">
        <v>0.0</v>
      </c>
      <c r="AD50" s="253">
        <v>0.0</v>
      </c>
      <c r="AE50" s="253">
        <v>0.0</v>
      </c>
      <c r="AF50" s="253">
        <v>0.0</v>
      </c>
      <c r="AG50" s="253">
        <v>26.0</v>
      </c>
      <c r="AH50" s="163"/>
      <c r="AI50" s="246" t="s">
        <v>394</v>
      </c>
      <c r="AJ50" s="246">
        <v>2018.0</v>
      </c>
      <c r="AK50" s="246">
        <v>744.0</v>
      </c>
      <c r="AL50" s="246">
        <v>1033.0</v>
      </c>
      <c r="AM50" s="246">
        <v>740.0</v>
      </c>
      <c r="AN50" s="246">
        <v>742.0</v>
      </c>
      <c r="AO50" s="246">
        <v>864.0</v>
      </c>
      <c r="AP50" s="246">
        <v>4123.0</v>
      </c>
      <c r="AQ50" s="246"/>
      <c r="AR50" s="246">
        <v>2018.0</v>
      </c>
      <c r="AS50" s="246">
        <v>53.0</v>
      </c>
      <c r="AT50" s="246">
        <v>12.0</v>
      </c>
      <c r="AU50" s="246">
        <v>5.0</v>
      </c>
      <c r="AV50" s="246">
        <v>8.0</v>
      </c>
      <c r="AW50" s="246">
        <v>18.0</v>
      </c>
      <c r="AX50" s="246">
        <v>96.0</v>
      </c>
      <c r="AY50" s="163"/>
      <c r="AZ50" s="254" t="s">
        <v>569</v>
      </c>
      <c r="BA50" s="254">
        <v>2018.0</v>
      </c>
      <c r="BB50" s="254">
        <v>86.0</v>
      </c>
      <c r="BC50" s="254">
        <v>81.0</v>
      </c>
      <c r="BD50" s="254">
        <v>169.0</v>
      </c>
      <c r="BE50" s="254">
        <v>256.0</v>
      </c>
      <c r="BF50" s="254">
        <v>279.0</v>
      </c>
      <c r="BG50" s="254">
        <v>871.0</v>
      </c>
      <c r="BH50" s="254"/>
      <c r="BI50" s="254">
        <v>2018.0</v>
      </c>
      <c r="BJ50" s="254">
        <v>24.0</v>
      </c>
      <c r="BK50" s="254">
        <v>0.0</v>
      </c>
      <c r="BL50" s="254">
        <v>0.0</v>
      </c>
      <c r="BM50" s="254">
        <v>0.0</v>
      </c>
      <c r="BN50" s="254">
        <v>0.0</v>
      </c>
      <c r="BO50" s="254">
        <v>24.0</v>
      </c>
      <c r="BP50" s="163"/>
      <c r="BQ50" s="255" t="s">
        <v>656</v>
      </c>
      <c r="BR50" s="255">
        <v>2019.0</v>
      </c>
      <c r="BS50" s="255">
        <v>50.0</v>
      </c>
      <c r="BT50" s="255">
        <v>66.0</v>
      </c>
      <c r="BU50" s="255">
        <v>122.0</v>
      </c>
      <c r="BV50" s="255">
        <v>184.0</v>
      </c>
      <c r="BW50" s="255">
        <v>183.0</v>
      </c>
      <c r="BX50" s="255">
        <v>605.0</v>
      </c>
      <c r="BY50" s="255"/>
      <c r="BZ50" s="255">
        <v>2019.0</v>
      </c>
      <c r="CA50" s="255">
        <v>12.0</v>
      </c>
      <c r="CB50" s="255">
        <v>0.0</v>
      </c>
      <c r="CC50" s="255">
        <v>0.0</v>
      </c>
      <c r="CD50" s="255">
        <v>0.0</v>
      </c>
      <c r="CE50" s="255">
        <v>0.0</v>
      </c>
      <c r="CF50" s="255">
        <v>12.0</v>
      </c>
      <c r="CG50" s="163"/>
      <c r="CH50" s="57" t="s">
        <v>970</v>
      </c>
      <c r="CI50" s="57">
        <v>2019.0</v>
      </c>
      <c r="CJ50" s="57">
        <v>1643.0</v>
      </c>
      <c r="CK50" s="57">
        <v>661.0</v>
      </c>
      <c r="CL50" s="57">
        <v>795.0</v>
      </c>
      <c r="CM50" s="57">
        <v>945.0</v>
      </c>
      <c r="CN50" s="57">
        <v>859.0</v>
      </c>
      <c r="CO50" s="57">
        <v>4903.0</v>
      </c>
      <c r="CP50" s="57"/>
      <c r="CQ50" s="57">
        <v>2019.0</v>
      </c>
      <c r="CR50" s="57">
        <v>314.0</v>
      </c>
      <c r="CS50" s="57">
        <v>0.0</v>
      </c>
      <c r="CT50" s="57">
        <v>0.0</v>
      </c>
      <c r="CU50" s="57">
        <v>0.0</v>
      </c>
      <c r="CV50" s="57">
        <v>0.0</v>
      </c>
      <c r="CW50" s="57">
        <v>314.0</v>
      </c>
      <c r="CX50" s="163"/>
      <c r="CY50" s="163"/>
      <c r="CZ50" s="163"/>
      <c r="DA50" s="163"/>
      <c r="DB50" s="163"/>
      <c r="DC50" s="163"/>
      <c r="DD50" s="163"/>
      <c r="DE50" s="163"/>
      <c r="DF50" s="163"/>
      <c r="DG50" s="163"/>
      <c r="DH50" s="163"/>
      <c r="DI50" s="163"/>
      <c r="DJ50" s="163"/>
      <c r="DK50" s="163"/>
      <c r="DL50" s="163"/>
      <c r="DM50" s="163"/>
      <c r="DN50" s="163"/>
      <c r="DO50" s="163"/>
      <c r="DP50" s="49" t="s">
        <v>726</v>
      </c>
      <c r="DQ50" s="49">
        <v>2020.0</v>
      </c>
      <c r="DR50" s="49">
        <v>619.0</v>
      </c>
      <c r="DS50" s="49">
        <v>517.0</v>
      </c>
      <c r="DT50" s="49">
        <v>565.0</v>
      </c>
      <c r="DU50" s="49">
        <v>618.0</v>
      </c>
      <c r="DV50" s="49">
        <v>471.0</v>
      </c>
      <c r="DW50" s="49">
        <v>2790.0</v>
      </c>
      <c r="DX50" s="49"/>
      <c r="DY50" s="49">
        <v>2020.0</v>
      </c>
      <c r="DZ50" s="49">
        <v>58.0</v>
      </c>
      <c r="EA50" s="49">
        <v>3.0</v>
      </c>
      <c r="EB50" s="49">
        <v>0.0</v>
      </c>
      <c r="EC50" s="49">
        <v>0.0</v>
      </c>
      <c r="ED50" s="49">
        <v>0.0</v>
      </c>
      <c r="EE50" s="49">
        <v>61.0</v>
      </c>
      <c r="EF50" s="163"/>
      <c r="EG50" s="57" t="s">
        <v>798</v>
      </c>
      <c r="EH50" s="57">
        <v>2019.0</v>
      </c>
      <c r="EI50" s="57">
        <v>69.0</v>
      </c>
      <c r="EJ50" s="57">
        <v>160.0</v>
      </c>
      <c r="EK50" s="57">
        <v>207.0</v>
      </c>
      <c r="EL50" s="57">
        <v>254.0</v>
      </c>
      <c r="EM50" s="57">
        <v>362.0</v>
      </c>
      <c r="EN50" s="57">
        <v>1052.0</v>
      </c>
      <c r="EO50" s="57"/>
      <c r="EP50" s="57">
        <v>2019.0</v>
      </c>
      <c r="EQ50" s="57">
        <v>5.0</v>
      </c>
      <c r="ER50" s="57">
        <v>6.0</v>
      </c>
      <c r="ES50" s="57">
        <v>2.0</v>
      </c>
      <c r="ET50" s="57">
        <v>1.0</v>
      </c>
      <c r="EU50" s="57">
        <v>5.0</v>
      </c>
      <c r="EV50" s="57">
        <v>19.0</v>
      </c>
      <c r="EW50" s="163"/>
      <c r="EX50" s="255" t="s">
        <v>851</v>
      </c>
      <c r="EY50" s="255">
        <v>2019.0</v>
      </c>
      <c r="EZ50" s="255" t="s">
        <v>541</v>
      </c>
      <c r="FA50" s="255" t="s">
        <v>541</v>
      </c>
      <c r="FB50" s="255" t="s">
        <v>541</v>
      </c>
      <c r="FC50" s="255" t="s">
        <v>541</v>
      </c>
      <c r="FD50" s="255" t="s">
        <v>541</v>
      </c>
      <c r="FE50" s="255" t="s">
        <v>541</v>
      </c>
      <c r="FF50" s="255"/>
      <c r="FG50" s="255">
        <v>2019.0</v>
      </c>
      <c r="FH50" s="255" t="s">
        <v>541</v>
      </c>
      <c r="FI50" s="255" t="s">
        <v>541</v>
      </c>
      <c r="FJ50" s="255" t="s">
        <v>541</v>
      </c>
      <c r="FK50" s="255" t="s">
        <v>541</v>
      </c>
      <c r="FL50" s="255" t="s">
        <v>541</v>
      </c>
      <c r="FM50" s="255" t="s">
        <v>541</v>
      </c>
    </row>
    <row r="51" ht="13.5" customHeight="1">
      <c r="A51" s="252" t="s">
        <v>1224</v>
      </c>
      <c r="B51" s="252">
        <v>2018.0</v>
      </c>
      <c r="C51" s="252" t="s">
        <v>541</v>
      </c>
      <c r="D51" s="252" t="s">
        <v>541</v>
      </c>
      <c r="E51" s="252" t="s">
        <v>541</v>
      </c>
      <c r="F51" s="252" t="s">
        <v>541</v>
      </c>
      <c r="G51" s="252" t="s">
        <v>541</v>
      </c>
      <c r="H51" s="252" t="s">
        <v>541</v>
      </c>
      <c r="I51" s="252"/>
      <c r="J51" s="252">
        <v>2018.0</v>
      </c>
      <c r="K51" s="252" t="s">
        <v>541</v>
      </c>
      <c r="L51" s="252" t="s">
        <v>541</v>
      </c>
      <c r="M51" s="252" t="s">
        <v>541</v>
      </c>
      <c r="N51" s="252" t="s">
        <v>541</v>
      </c>
      <c r="O51" s="252" t="s">
        <v>541</v>
      </c>
      <c r="P51" s="252" t="s">
        <v>541</v>
      </c>
      <c r="Q51" s="131"/>
      <c r="R51" s="253" t="s">
        <v>264</v>
      </c>
      <c r="S51" s="253">
        <v>2019.0</v>
      </c>
      <c r="T51" s="253">
        <v>197.0</v>
      </c>
      <c r="U51" s="253">
        <v>249.0</v>
      </c>
      <c r="V51" s="253">
        <v>427.0</v>
      </c>
      <c r="W51" s="253">
        <v>611.0</v>
      </c>
      <c r="X51" s="253">
        <v>434.0</v>
      </c>
      <c r="Y51" s="253">
        <v>1918.0</v>
      </c>
      <c r="Z51" s="253"/>
      <c r="AA51" s="253">
        <v>2019.0</v>
      </c>
      <c r="AB51" s="253">
        <v>18.0</v>
      </c>
      <c r="AC51" s="253">
        <v>2.0</v>
      </c>
      <c r="AD51" s="253">
        <v>0.0</v>
      </c>
      <c r="AE51" s="253">
        <v>0.0</v>
      </c>
      <c r="AF51" s="253">
        <v>0.0</v>
      </c>
      <c r="AG51" s="253">
        <v>20.0</v>
      </c>
      <c r="AH51" s="163"/>
      <c r="AI51" s="246" t="s">
        <v>396</v>
      </c>
      <c r="AJ51" s="246">
        <v>2018.0</v>
      </c>
      <c r="AK51" s="246">
        <v>601.0</v>
      </c>
      <c r="AL51" s="246">
        <v>464.0</v>
      </c>
      <c r="AM51" s="246">
        <v>580.0</v>
      </c>
      <c r="AN51" s="246">
        <v>549.0</v>
      </c>
      <c r="AO51" s="246">
        <v>757.0</v>
      </c>
      <c r="AP51" s="246">
        <v>2951.0</v>
      </c>
      <c r="AQ51" s="246"/>
      <c r="AR51" s="246">
        <v>2018.0</v>
      </c>
      <c r="AS51" s="246">
        <v>63.0</v>
      </c>
      <c r="AT51" s="246">
        <v>12.0</v>
      </c>
      <c r="AU51" s="246">
        <v>11.0</v>
      </c>
      <c r="AV51" s="246">
        <v>4.0</v>
      </c>
      <c r="AW51" s="246">
        <v>16.0</v>
      </c>
      <c r="AX51" s="246">
        <v>106.0</v>
      </c>
      <c r="AY51" s="163"/>
      <c r="AZ51" s="254" t="s">
        <v>571</v>
      </c>
      <c r="BA51" s="254">
        <v>2018.0</v>
      </c>
      <c r="BB51" s="254">
        <v>505.0</v>
      </c>
      <c r="BC51" s="254">
        <v>363.0</v>
      </c>
      <c r="BD51" s="254">
        <v>530.0</v>
      </c>
      <c r="BE51" s="254">
        <v>738.0</v>
      </c>
      <c r="BF51" s="254">
        <v>691.0</v>
      </c>
      <c r="BG51" s="254">
        <v>2827.0</v>
      </c>
      <c r="BH51" s="254"/>
      <c r="BI51" s="254">
        <v>2018.0</v>
      </c>
      <c r="BJ51" s="254">
        <v>63.0</v>
      </c>
      <c r="BK51" s="254">
        <v>0.0</v>
      </c>
      <c r="BL51" s="254">
        <v>0.0</v>
      </c>
      <c r="BM51" s="254">
        <v>0.0</v>
      </c>
      <c r="BN51" s="254">
        <v>0.0</v>
      </c>
      <c r="BO51" s="254">
        <v>63.0</v>
      </c>
      <c r="BP51" s="163"/>
      <c r="BQ51" s="255" t="s">
        <v>658</v>
      </c>
      <c r="BR51" s="255">
        <v>2019.0</v>
      </c>
      <c r="BS51" s="255">
        <v>99.0</v>
      </c>
      <c r="BT51" s="255">
        <v>60.0</v>
      </c>
      <c r="BU51" s="255">
        <v>111.0</v>
      </c>
      <c r="BV51" s="255">
        <v>179.0</v>
      </c>
      <c r="BW51" s="255">
        <v>176.0</v>
      </c>
      <c r="BX51" s="255">
        <v>625.0</v>
      </c>
      <c r="BY51" s="255"/>
      <c r="BZ51" s="255">
        <v>2019.0</v>
      </c>
      <c r="CA51" s="255">
        <v>18.0</v>
      </c>
      <c r="CB51" s="255">
        <v>0.0</v>
      </c>
      <c r="CC51" s="255">
        <v>0.0</v>
      </c>
      <c r="CD51" s="255">
        <v>0.0</v>
      </c>
      <c r="CE51" s="255">
        <v>0.0</v>
      </c>
      <c r="CF51" s="255">
        <v>18.0</v>
      </c>
      <c r="CG51" s="163"/>
      <c r="CH51" s="57" t="s">
        <v>972</v>
      </c>
      <c r="CI51" s="57">
        <v>2019.0</v>
      </c>
      <c r="CJ51" s="57">
        <v>489.0</v>
      </c>
      <c r="CK51" s="57">
        <v>320.0</v>
      </c>
      <c r="CL51" s="57">
        <v>375.0</v>
      </c>
      <c r="CM51" s="57">
        <v>442.0</v>
      </c>
      <c r="CN51" s="57">
        <v>430.0</v>
      </c>
      <c r="CO51" s="57">
        <v>2056.0</v>
      </c>
      <c r="CP51" s="57"/>
      <c r="CQ51" s="57">
        <v>2019.0</v>
      </c>
      <c r="CR51" s="57">
        <v>93.0</v>
      </c>
      <c r="CS51" s="57">
        <v>0.0</v>
      </c>
      <c r="CT51" s="57">
        <v>0.0</v>
      </c>
      <c r="CU51" s="57">
        <v>0.0</v>
      </c>
      <c r="CV51" s="57">
        <v>0.0</v>
      </c>
      <c r="CW51" s="57">
        <v>93.0</v>
      </c>
      <c r="CX51" s="163"/>
      <c r="CY51" s="163"/>
      <c r="CZ51" s="163"/>
      <c r="DA51" s="163"/>
      <c r="DB51" s="163"/>
      <c r="DC51" s="163"/>
      <c r="DD51" s="163"/>
      <c r="DE51" s="163"/>
      <c r="DF51" s="163"/>
      <c r="DG51" s="163"/>
      <c r="DH51" s="163"/>
      <c r="DI51" s="163"/>
      <c r="DJ51" s="163"/>
      <c r="DK51" s="163"/>
      <c r="DL51" s="163"/>
      <c r="DM51" s="163"/>
      <c r="DN51" s="163"/>
      <c r="DO51" s="163"/>
      <c r="DP51" s="49" t="s">
        <v>728</v>
      </c>
      <c r="DQ51" s="49">
        <v>2020.0</v>
      </c>
      <c r="DR51" s="49">
        <v>260.0</v>
      </c>
      <c r="DS51" s="49">
        <v>317.0</v>
      </c>
      <c r="DT51" s="49">
        <v>369.0</v>
      </c>
      <c r="DU51" s="49">
        <v>372.0</v>
      </c>
      <c r="DV51" s="49">
        <v>305.0</v>
      </c>
      <c r="DW51" s="49">
        <v>1623.0</v>
      </c>
      <c r="DX51" s="49"/>
      <c r="DY51" s="49">
        <v>2020.0</v>
      </c>
      <c r="DZ51" s="49">
        <v>20.0</v>
      </c>
      <c r="EA51" s="49">
        <v>0.0</v>
      </c>
      <c r="EB51" s="49">
        <v>0.0</v>
      </c>
      <c r="EC51" s="49">
        <v>0.0</v>
      </c>
      <c r="ED51" s="49">
        <v>0.0</v>
      </c>
      <c r="EE51" s="49">
        <v>20.0</v>
      </c>
      <c r="EF51" s="163"/>
      <c r="EG51" s="57" t="s">
        <v>800</v>
      </c>
      <c r="EH51" s="57">
        <v>2019.0</v>
      </c>
      <c r="EI51" s="57">
        <v>448.0</v>
      </c>
      <c r="EJ51" s="57">
        <v>596.0</v>
      </c>
      <c r="EK51" s="57">
        <v>705.0</v>
      </c>
      <c r="EL51" s="57">
        <v>813.0</v>
      </c>
      <c r="EM51" s="57">
        <v>997.0</v>
      </c>
      <c r="EN51" s="57">
        <v>3559.0</v>
      </c>
      <c r="EO51" s="57"/>
      <c r="EP51" s="57">
        <v>2019.0</v>
      </c>
      <c r="EQ51" s="57">
        <v>74.0</v>
      </c>
      <c r="ER51" s="57">
        <v>30.0</v>
      </c>
      <c r="ES51" s="57">
        <v>24.0</v>
      </c>
      <c r="ET51" s="57">
        <v>25.0</v>
      </c>
      <c r="EU51" s="57">
        <v>33.0</v>
      </c>
      <c r="EV51" s="57">
        <v>186.0</v>
      </c>
      <c r="EW51" s="163"/>
      <c r="EX51" s="255" t="s">
        <v>854</v>
      </c>
      <c r="EY51" s="255">
        <v>2019.0</v>
      </c>
      <c r="EZ51" s="255" t="s">
        <v>541</v>
      </c>
      <c r="FA51" s="255" t="s">
        <v>541</v>
      </c>
      <c r="FB51" s="255" t="s">
        <v>541</v>
      </c>
      <c r="FC51" s="255" t="s">
        <v>541</v>
      </c>
      <c r="FD51" s="255" t="s">
        <v>541</v>
      </c>
      <c r="FE51" s="255" t="s">
        <v>541</v>
      </c>
      <c r="FF51" s="255"/>
      <c r="FG51" s="255">
        <v>2019.0</v>
      </c>
      <c r="FH51" s="255" t="s">
        <v>541</v>
      </c>
      <c r="FI51" s="255" t="s">
        <v>541</v>
      </c>
      <c r="FJ51" s="255" t="s">
        <v>541</v>
      </c>
      <c r="FK51" s="255" t="s">
        <v>541</v>
      </c>
      <c r="FL51" s="255" t="s">
        <v>541</v>
      </c>
      <c r="FM51" s="255" t="s">
        <v>541</v>
      </c>
    </row>
    <row r="52" ht="13.5" customHeight="1">
      <c r="A52" s="131"/>
      <c r="B52" s="131"/>
      <c r="C52" s="131"/>
      <c r="D52" s="131"/>
      <c r="E52" s="131"/>
      <c r="F52" s="131"/>
      <c r="G52" s="131"/>
      <c r="H52" s="131"/>
      <c r="I52" s="131"/>
      <c r="J52" s="131"/>
      <c r="K52" s="131"/>
      <c r="L52" s="131"/>
      <c r="M52" s="131"/>
      <c r="N52" s="131"/>
      <c r="O52" s="131"/>
      <c r="P52" s="131"/>
      <c r="Q52" s="131"/>
      <c r="R52" s="253" t="s">
        <v>266</v>
      </c>
      <c r="S52" s="253">
        <v>2019.0</v>
      </c>
      <c r="T52" s="253">
        <v>1500.0</v>
      </c>
      <c r="U52" s="253">
        <v>1409.0</v>
      </c>
      <c r="V52" s="253">
        <v>1373.0</v>
      </c>
      <c r="W52" s="253">
        <v>1382.0</v>
      </c>
      <c r="X52" s="253">
        <v>1011.0</v>
      </c>
      <c r="Y52" s="253">
        <v>6675.0</v>
      </c>
      <c r="Z52" s="253"/>
      <c r="AA52" s="253">
        <v>2019.0</v>
      </c>
      <c r="AB52" s="253">
        <v>143.0</v>
      </c>
      <c r="AC52" s="253">
        <v>40.0</v>
      </c>
      <c r="AD52" s="253">
        <v>7.0</v>
      </c>
      <c r="AE52" s="253">
        <v>0.0</v>
      </c>
      <c r="AF52" s="253">
        <v>0.0</v>
      </c>
      <c r="AG52" s="253">
        <v>190.0</v>
      </c>
      <c r="AH52" s="163"/>
      <c r="AI52" s="246" t="s">
        <v>398</v>
      </c>
      <c r="AJ52" s="246">
        <v>2018.0</v>
      </c>
      <c r="AK52" s="246">
        <v>1021.0</v>
      </c>
      <c r="AL52" s="246">
        <v>956.0</v>
      </c>
      <c r="AM52" s="246">
        <v>850.0</v>
      </c>
      <c r="AN52" s="246">
        <v>809.0</v>
      </c>
      <c r="AO52" s="246">
        <v>1126.0</v>
      </c>
      <c r="AP52" s="246">
        <v>4762.0</v>
      </c>
      <c r="AQ52" s="246"/>
      <c r="AR52" s="246">
        <v>2018.0</v>
      </c>
      <c r="AS52" s="246">
        <v>82.0</v>
      </c>
      <c r="AT52" s="246">
        <v>4.0</v>
      </c>
      <c r="AU52" s="246">
        <v>3.0</v>
      </c>
      <c r="AV52" s="246">
        <v>1.0</v>
      </c>
      <c r="AW52" s="246">
        <v>9.0</v>
      </c>
      <c r="AX52" s="246">
        <v>99.0</v>
      </c>
      <c r="AY52" s="163"/>
      <c r="AZ52" s="254" t="s">
        <v>573</v>
      </c>
      <c r="BA52" s="254">
        <v>2018.0</v>
      </c>
      <c r="BB52" s="254">
        <v>192.0</v>
      </c>
      <c r="BC52" s="254">
        <v>190.0</v>
      </c>
      <c r="BD52" s="254">
        <v>350.0</v>
      </c>
      <c r="BE52" s="254">
        <v>470.0</v>
      </c>
      <c r="BF52" s="254">
        <v>443.0</v>
      </c>
      <c r="BG52" s="254">
        <v>1645.0</v>
      </c>
      <c r="BH52" s="254"/>
      <c r="BI52" s="254">
        <v>2018.0</v>
      </c>
      <c r="BJ52" s="254">
        <v>40.0</v>
      </c>
      <c r="BK52" s="254">
        <v>0.0</v>
      </c>
      <c r="BL52" s="254">
        <v>0.0</v>
      </c>
      <c r="BM52" s="254">
        <v>0.0</v>
      </c>
      <c r="BN52" s="254">
        <v>0.0</v>
      </c>
      <c r="BO52" s="254">
        <v>40.0</v>
      </c>
      <c r="BP52" s="163"/>
      <c r="BQ52" s="255" t="s">
        <v>661</v>
      </c>
      <c r="BR52" s="255">
        <v>2019.0</v>
      </c>
      <c r="BS52" s="255">
        <v>71.0</v>
      </c>
      <c r="BT52" s="255">
        <v>36.0</v>
      </c>
      <c r="BU52" s="255">
        <v>90.0</v>
      </c>
      <c r="BV52" s="255">
        <v>99.0</v>
      </c>
      <c r="BW52" s="255">
        <v>130.0</v>
      </c>
      <c r="BX52" s="255">
        <v>426.0</v>
      </c>
      <c r="BY52" s="255"/>
      <c r="BZ52" s="255">
        <v>2019.0</v>
      </c>
      <c r="CA52" s="255">
        <v>20.0</v>
      </c>
      <c r="CB52" s="255">
        <v>0.0</v>
      </c>
      <c r="CC52" s="255">
        <v>0.0</v>
      </c>
      <c r="CD52" s="255">
        <v>0.0</v>
      </c>
      <c r="CE52" s="255">
        <v>0.0</v>
      </c>
      <c r="CF52" s="255">
        <v>20.0</v>
      </c>
      <c r="CG52" s="163"/>
      <c r="CH52" s="57" t="s">
        <v>976</v>
      </c>
      <c r="CI52" s="57">
        <v>2019.0</v>
      </c>
      <c r="CJ52" s="57">
        <v>469.0</v>
      </c>
      <c r="CK52" s="57">
        <v>276.0</v>
      </c>
      <c r="CL52" s="57">
        <v>428.0</v>
      </c>
      <c r="CM52" s="57">
        <v>518.0</v>
      </c>
      <c r="CN52" s="57">
        <v>502.0</v>
      </c>
      <c r="CO52" s="57">
        <v>2193.0</v>
      </c>
      <c r="CP52" s="57"/>
      <c r="CQ52" s="57">
        <v>2019.0</v>
      </c>
      <c r="CR52" s="57">
        <v>150.0</v>
      </c>
      <c r="CS52" s="57">
        <v>0.0</v>
      </c>
      <c r="CT52" s="57">
        <v>0.0</v>
      </c>
      <c r="CU52" s="57">
        <v>0.0</v>
      </c>
      <c r="CV52" s="57">
        <v>0.0</v>
      </c>
      <c r="CW52" s="57">
        <v>150.0</v>
      </c>
      <c r="CX52" s="163"/>
      <c r="CY52" s="163"/>
      <c r="CZ52" s="163"/>
      <c r="DA52" s="163"/>
      <c r="DB52" s="163"/>
      <c r="DC52" s="163"/>
      <c r="DD52" s="163"/>
      <c r="DE52" s="163"/>
      <c r="DF52" s="163"/>
      <c r="DG52" s="163"/>
      <c r="DH52" s="163"/>
      <c r="DI52" s="163"/>
      <c r="DJ52" s="163"/>
      <c r="DK52" s="163"/>
      <c r="DL52" s="163"/>
      <c r="DM52" s="163"/>
      <c r="DN52" s="163"/>
      <c r="DO52" s="163"/>
      <c r="DP52" s="49" t="s">
        <v>730</v>
      </c>
      <c r="DQ52" s="49">
        <v>2020.0</v>
      </c>
      <c r="DR52" s="49">
        <v>793.0</v>
      </c>
      <c r="DS52" s="49">
        <v>1011.0</v>
      </c>
      <c r="DT52" s="49">
        <v>1000.0</v>
      </c>
      <c r="DU52" s="49">
        <v>1017.0</v>
      </c>
      <c r="DV52" s="49">
        <v>757.0</v>
      </c>
      <c r="DW52" s="49">
        <v>4578.0</v>
      </c>
      <c r="DX52" s="49"/>
      <c r="DY52" s="49">
        <v>2020.0</v>
      </c>
      <c r="DZ52" s="49">
        <v>39.0</v>
      </c>
      <c r="EA52" s="49">
        <v>1.0</v>
      </c>
      <c r="EB52" s="49">
        <v>0.0</v>
      </c>
      <c r="EC52" s="49">
        <v>0.0</v>
      </c>
      <c r="ED52" s="49">
        <v>0.0</v>
      </c>
      <c r="EE52" s="49">
        <v>40.0</v>
      </c>
      <c r="EF52" s="163"/>
      <c r="EG52" s="57" t="s">
        <v>802</v>
      </c>
      <c r="EH52" s="57">
        <v>2019.0</v>
      </c>
      <c r="EI52" s="57">
        <v>278.0</v>
      </c>
      <c r="EJ52" s="57">
        <v>483.0</v>
      </c>
      <c r="EK52" s="57">
        <v>557.0</v>
      </c>
      <c r="EL52" s="57">
        <v>683.0</v>
      </c>
      <c r="EM52" s="57">
        <v>853.0</v>
      </c>
      <c r="EN52" s="57">
        <v>2854.0</v>
      </c>
      <c r="EO52" s="57"/>
      <c r="EP52" s="57">
        <v>2019.0</v>
      </c>
      <c r="EQ52" s="57">
        <v>68.0</v>
      </c>
      <c r="ER52" s="57">
        <v>46.0</v>
      </c>
      <c r="ES52" s="57">
        <v>18.0</v>
      </c>
      <c r="ET52" s="57">
        <v>15.0</v>
      </c>
      <c r="EU52" s="57">
        <v>23.0</v>
      </c>
      <c r="EV52" s="57">
        <v>170.0</v>
      </c>
      <c r="EW52" s="163"/>
      <c r="EX52" s="255" t="s">
        <v>856</v>
      </c>
      <c r="EY52" s="255">
        <v>2019.0</v>
      </c>
      <c r="EZ52" s="255">
        <v>137.0</v>
      </c>
      <c r="FA52" s="255">
        <v>147.0</v>
      </c>
      <c r="FB52" s="255">
        <v>264.0</v>
      </c>
      <c r="FC52" s="255">
        <v>372.0</v>
      </c>
      <c r="FD52" s="255">
        <v>408.0</v>
      </c>
      <c r="FE52" s="255">
        <v>1328.0</v>
      </c>
      <c r="FF52" s="255"/>
      <c r="FG52" s="255">
        <v>2019.0</v>
      </c>
      <c r="FH52" s="255">
        <v>26.0</v>
      </c>
      <c r="FI52" s="255">
        <v>3.0</v>
      </c>
      <c r="FJ52" s="255">
        <v>5.0</v>
      </c>
      <c r="FK52" s="255">
        <v>3.0</v>
      </c>
      <c r="FL52" s="255">
        <v>2.0</v>
      </c>
      <c r="FM52" s="255">
        <v>39.0</v>
      </c>
    </row>
    <row r="53" ht="13.5" customHeight="1">
      <c r="A53" s="252" t="s">
        <v>1074</v>
      </c>
      <c r="B53" s="252">
        <v>2019.0</v>
      </c>
      <c r="C53" s="252">
        <v>7.0</v>
      </c>
      <c r="D53" s="252">
        <v>1.0</v>
      </c>
      <c r="E53" s="252">
        <v>0.0</v>
      </c>
      <c r="F53" s="252">
        <v>0.0</v>
      </c>
      <c r="G53" s="252">
        <v>0.0</v>
      </c>
      <c r="H53" s="252">
        <v>8.0</v>
      </c>
      <c r="I53" s="252"/>
      <c r="J53" s="252">
        <v>2019.0</v>
      </c>
      <c r="K53" s="252">
        <v>103.0</v>
      </c>
      <c r="L53" s="252">
        <v>170.0</v>
      </c>
      <c r="M53" s="252">
        <v>284.0</v>
      </c>
      <c r="N53" s="252">
        <v>348.0</v>
      </c>
      <c r="O53" s="252">
        <v>336.0</v>
      </c>
      <c r="P53" s="252">
        <v>1241.0</v>
      </c>
      <c r="Q53" s="131"/>
      <c r="R53" s="253" t="s">
        <v>268</v>
      </c>
      <c r="S53" s="253">
        <v>2019.0</v>
      </c>
      <c r="T53" s="253">
        <v>1452.0</v>
      </c>
      <c r="U53" s="253">
        <v>1157.0</v>
      </c>
      <c r="V53" s="253">
        <v>1382.0</v>
      </c>
      <c r="W53" s="253">
        <v>1401.0</v>
      </c>
      <c r="X53" s="253">
        <v>927.0</v>
      </c>
      <c r="Y53" s="253">
        <v>6319.0</v>
      </c>
      <c r="Z53" s="253"/>
      <c r="AA53" s="253">
        <v>2019.0</v>
      </c>
      <c r="AB53" s="253">
        <v>81.0</v>
      </c>
      <c r="AC53" s="253">
        <v>9.0</v>
      </c>
      <c r="AD53" s="253">
        <v>1.0</v>
      </c>
      <c r="AE53" s="253">
        <v>0.0</v>
      </c>
      <c r="AF53" s="253">
        <v>1.0</v>
      </c>
      <c r="AG53" s="253">
        <v>92.0</v>
      </c>
      <c r="AH53" s="163"/>
      <c r="AI53" s="246" t="s">
        <v>400</v>
      </c>
      <c r="AJ53" s="246">
        <v>2018.0</v>
      </c>
      <c r="AK53" s="246">
        <v>852.0</v>
      </c>
      <c r="AL53" s="246">
        <v>760.0</v>
      </c>
      <c r="AM53" s="246">
        <v>732.0</v>
      </c>
      <c r="AN53" s="246">
        <v>725.0</v>
      </c>
      <c r="AO53" s="246">
        <v>909.0</v>
      </c>
      <c r="AP53" s="246">
        <v>3978.0</v>
      </c>
      <c r="AQ53" s="246"/>
      <c r="AR53" s="246">
        <v>2018.0</v>
      </c>
      <c r="AS53" s="246">
        <v>58.0</v>
      </c>
      <c r="AT53" s="246">
        <v>6.0</v>
      </c>
      <c r="AU53" s="246">
        <v>3.0</v>
      </c>
      <c r="AV53" s="246">
        <v>12.0</v>
      </c>
      <c r="AW53" s="246">
        <v>11.0</v>
      </c>
      <c r="AX53" s="246">
        <v>90.0</v>
      </c>
      <c r="AY53" s="163"/>
      <c r="AZ53" s="254" t="s">
        <v>575</v>
      </c>
      <c r="BA53" s="254">
        <v>2018.0</v>
      </c>
      <c r="BB53" s="254">
        <v>111.0</v>
      </c>
      <c r="BC53" s="254">
        <v>124.0</v>
      </c>
      <c r="BD53" s="254">
        <v>292.0</v>
      </c>
      <c r="BE53" s="254">
        <v>458.0</v>
      </c>
      <c r="BF53" s="254">
        <v>477.0</v>
      </c>
      <c r="BG53" s="254">
        <v>1462.0</v>
      </c>
      <c r="BH53" s="254"/>
      <c r="BI53" s="254">
        <v>2018.0</v>
      </c>
      <c r="BJ53" s="254">
        <v>20.0</v>
      </c>
      <c r="BK53" s="254">
        <v>0.0</v>
      </c>
      <c r="BL53" s="254">
        <v>0.0</v>
      </c>
      <c r="BM53" s="254">
        <v>0.0</v>
      </c>
      <c r="BN53" s="254">
        <v>0.0</v>
      </c>
      <c r="BO53" s="254">
        <v>20.0</v>
      </c>
      <c r="BP53" s="163"/>
      <c r="BQ53" s="163"/>
      <c r="BR53" s="163"/>
      <c r="BS53" s="163"/>
      <c r="BT53" s="163"/>
      <c r="BU53" s="163"/>
      <c r="BV53" s="163"/>
      <c r="BW53" s="163"/>
      <c r="BX53" s="163"/>
      <c r="BY53" s="163"/>
      <c r="BZ53" s="163"/>
      <c r="CA53" s="163"/>
      <c r="CB53" s="163"/>
      <c r="CC53" s="163"/>
      <c r="CD53" s="163"/>
      <c r="CE53" s="163"/>
      <c r="CF53" s="163"/>
      <c r="CG53" s="163"/>
      <c r="CH53" s="57" t="s">
        <v>978</v>
      </c>
      <c r="CI53" s="57">
        <v>2019.0</v>
      </c>
      <c r="CJ53" s="57">
        <v>138.0</v>
      </c>
      <c r="CK53" s="57">
        <v>77.0</v>
      </c>
      <c r="CL53" s="57">
        <v>115.0</v>
      </c>
      <c r="CM53" s="57">
        <v>178.0</v>
      </c>
      <c r="CN53" s="57">
        <v>164.0</v>
      </c>
      <c r="CO53" s="57">
        <v>672.0</v>
      </c>
      <c r="CP53" s="57"/>
      <c r="CQ53" s="57">
        <v>2019.0</v>
      </c>
      <c r="CR53" s="57">
        <v>18.0</v>
      </c>
      <c r="CS53" s="57">
        <v>0.0</v>
      </c>
      <c r="CT53" s="57">
        <v>0.0</v>
      </c>
      <c r="CU53" s="57">
        <v>0.0</v>
      </c>
      <c r="CV53" s="57">
        <v>0.0</v>
      </c>
      <c r="CW53" s="57">
        <v>18.0</v>
      </c>
      <c r="CX53" s="163"/>
      <c r="CY53" s="163"/>
      <c r="CZ53" s="163"/>
      <c r="DA53" s="163"/>
      <c r="DB53" s="163"/>
      <c r="DC53" s="163"/>
      <c r="DD53" s="163"/>
      <c r="DE53" s="163"/>
      <c r="DF53" s="163"/>
      <c r="DG53" s="163"/>
      <c r="DH53" s="163"/>
      <c r="DI53" s="163"/>
      <c r="DJ53" s="163"/>
      <c r="DK53" s="163"/>
      <c r="DL53" s="163"/>
      <c r="DM53" s="163"/>
      <c r="DN53" s="163"/>
      <c r="DO53" s="163"/>
      <c r="DP53" s="49" t="s">
        <v>732</v>
      </c>
      <c r="DQ53" s="49">
        <v>2020.0</v>
      </c>
      <c r="DR53" s="49">
        <v>403.0</v>
      </c>
      <c r="DS53" s="49">
        <v>439.0</v>
      </c>
      <c r="DT53" s="49">
        <v>657.0</v>
      </c>
      <c r="DU53" s="49">
        <v>681.0</v>
      </c>
      <c r="DV53" s="49">
        <v>637.0</v>
      </c>
      <c r="DW53" s="49">
        <v>2817.0</v>
      </c>
      <c r="DX53" s="49"/>
      <c r="DY53" s="49">
        <v>2020.0</v>
      </c>
      <c r="DZ53" s="49">
        <v>39.0</v>
      </c>
      <c r="EA53" s="49">
        <v>2.0</v>
      </c>
      <c r="EB53" s="49">
        <v>0.0</v>
      </c>
      <c r="EC53" s="49">
        <v>0.0</v>
      </c>
      <c r="ED53" s="49">
        <v>0.0</v>
      </c>
      <c r="EE53" s="49">
        <v>41.0</v>
      </c>
      <c r="EF53" s="163"/>
      <c r="EG53" s="57" t="s">
        <v>804</v>
      </c>
      <c r="EH53" s="57">
        <v>2019.0</v>
      </c>
      <c r="EI53" s="57">
        <v>170.0</v>
      </c>
      <c r="EJ53" s="57">
        <v>266.0</v>
      </c>
      <c r="EK53" s="57">
        <v>323.0</v>
      </c>
      <c r="EL53" s="57">
        <v>430.0</v>
      </c>
      <c r="EM53" s="57">
        <v>550.0</v>
      </c>
      <c r="EN53" s="57">
        <v>1739.0</v>
      </c>
      <c r="EO53" s="57"/>
      <c r="EP53" s="57">
        <v>2019.0</v>
      </c>
      <c r="EQ53" s="57">
        <v>18.0</v>
      </c>
      <c r="ER53" s="57">
        <v>8.0</v>
      </c>
      <c r="ES53" s="57">
        <v>1.0</v>
      </c>
      <c r="ET53" s="57">
        <v>5.0</v>
      </c>
      <c r="EU53" s="57">
        <v>2.0</v>
      </c>
      <c r="EV53" s="57">
        <v>34.0</v>
      </c>
      <c r="EW53" s="163"/>
      <c r="EX53" s="255" t="s">
        <v>858</v>
      </c>
      <c r="EY53" s="255">
        <v>2019.0</v>
      </c>
      <c r="EZ53" s="255">
        <v>142.0</v>
      </c>
      <c r="FA53" s="255">
        <v>248.0</v>
      </c>
      <c r="FB53" s="255">
        <v>313.0</v>
      </c>
      <c r="FC53" s="255">
        <v>379.0</v>
      </c>
      <c r="FD53" s="255">
        <v>483.0</v>
      </c>
      <c r="FE53" s="255">
        <v>1565.0</v>
      </c>
      <c r="FF53" s="255"/>
      <c r="FG53" s="255">
        <v>2019.0</v>
      </c>
      <c r="FH53" s="255">
        <v>12.0</v>
      </c>
      <c r="FI53" s="255">
        <v>6.0</v>
      </c>
      <c r="FJ53" s="255">
        <v>2.0</v>
      </c>
      <c r="FK53" s="255">
        <v>7.0</v>
      </c>
      <c r="FL53" s="255">
        <v>1.0</v>
      </c>
      <c r="FM53" s="255">
        <v>28.0</v>
      </c>
    </row>
    <row r="54" ht="13.5" customHeight="1">
      <c r="A54" s="252" t="s">
        <v>1078</v>
      </c>
      <c r="B54" s="252">
        <v>2019.0</v>
      </c>
      <c r="C54" s="252">
        <v>7.0</v>
      </c>
      <c r="D54" s="252">
        <v>1.0</v>
      </c>
      <c r="E54" s="252">
        <v>0.0</v>
      </c>
      <c r="F54" s="252">
        <v>0.0</v>
      </c>
      <c r="G54" s="252">
        <v>0.0</v>
      </c>
      <c r="H54" s="252">
        <v>8.0</v>
      </c>
      <c r="I54" s="252"/>
      <c r="J54" s="252">
        <v>2019.0</v>
      </c>
      <c r="K54" s="252">
        <v>207.0</v>
      </c>
      <c r="L54" s="252">
        <v>422.0</v>
      </c>
      <c r="M54" s="252">
        <v>553.0</v>
      </c>
      <c r="N54" s="252">
        <v>698.0</v>
      </c>
      <c r="O54" s="252">
        <v>555.0</v>
      </c>
      <c r="P54" s="252">
        <v>2435.0</v>
      </c>
      <c r="Q54" s="131"/>
      <c r="R54" s="253" t="s">
        <v>270</v>
      </c>
      <c r="S54" s="253">
        <v>2019.0</v>
      </c>
      <c r="T54" s="253">
        <v>877.0</v>
      </c>
      <c r="U54" s="253">
        <v>477.0</v>
      </c>
      <c r="V54" s="253">
        <v>536.0</v>
      </c>
      <c r="W54" s="253">
        <v>569.0</v>
      </c>
      <c r="X54" s="253">
        <v>439.0</v>
      </c>
      <c r="Y54" s="253">
        <v>2898.0</v>
      </c>
      <c r="Z54" s="253"/>
      <c r="AA54" s="253">
        <v>2019.0</v>
      </c>
      <c r="AB54" s="253">
        <v>17.0</v>
      </c>
      <c r="AC54" s="253">
        <v>0.0</v>
      </c>
      <c r="AD54" s="253">
        <v>0.0</v>
      </c>
      <c r="AE54" s="253">
        <v>0.0</v>
      </c>
      <c r="AF54" s="253">
        <v>0.0</v>
      </c>
      <c r="AG54" s="253">
        <v>17.0</v>
      </c>
      <c r="AH54" s="163"/>
      <c r="AI54" s="246" t="s">
        <v>402</v>
      </c>
      <c r="AJ54" s="246">
        <v>2018.0</v>
      </c>
      <c r="AK54" s="246">
        <v>960.0</v>
      </c>
      <c r="AL54" s="246">
        <v>761.0</v>
      </c>
      <c r="AM54" s="246">
        <v>823.0</v>
      </c>
      <c r="AN54" s="246">
        <v>804.0</v>
      </c>
      <c r="AO54" s="246">
        <v>905.0</v>
      </c>
      <c r="AP54" s="246">
        <v>4253.0</v>
      </c>
      <c r="AQ54" s="246"/>
      <c r="AR54" s="246">
        <v>2018.0</v>
      </c>
      <c r="AS54" s="246">
        <v>123.0</v>
      </c>
      <c r="AT54" s="246">
        <v>22.0</v>
      </c>
      <c r="AU54" s="246">
        <v>12.0</v>
      </c>
      <c r="AV54" s="246">
        <v>12.0</v>
      </c>
      <c r="AW54" s="246">
        <v>17.0</v>
      </c>
      <c r="AX54" s="246">
        <v>186.0</v>
      </c>
      <c r="AY54" s="163"/>
      <c r="AZ54" s="254" t="s">
        <v>577</v>
      </c>
      <c r="BA54" s="254">
        <v>2018.0</v>
      </c>
      <c r="BB54" s="254">
        <v>167.0</v>
      </c>
      <c r="BC54" s="254">
        <v>174.0</v>
      </c>
      <c r="BD54" s="254">
        <v>285.0</v>
      </c>
      <c r="BE54" s="254">
        <v>433.0</v>
      </c>
      <c r="BF54" s="254">
        <v>410.0</v>
      </c>
      <c r="BG54" s="254">
        <v>1469.0</v>
      </c>
      <c r="BH54" s="254"/>
      <c r="BI54" s="254">
        <v>2018.0</v>
      </c>
      <c r="BJ54" s="254">
        <v>39.0</v>
      </c>
      <c r="BK54" s="254">
        <v>0.0</v>
      </c>
      <c r="BL54" s="254">
        <v>0.0</v>
      </c>
      <c r="BM54" s="254">
        <v>0.0</v>
      </c>
      <c r="BN54" s="254">
        <v>0.0</v>
      </c>
      <c r="BO54" s="254">
        <v>39.0</v>
      </c>
      <c r="BP54" s="163"/>
      <c r="BQ54" s="255" t="s">
        <v>354</v>
      </c>
      <c r="BR54" s="255">
        <v>2020.0</v>
      </c>
      <c r="BS54" s="255">
        <v>91.0</v>
      </c>
      <c r="BT54" s="255">
        <v>74.0</v>
      </c>
      <c r="BU54" s="255">
        <v>96.0</v>
      </c>
      <c r="BV54" s="255">
        <v>96.0</v>
      </c>
      <c r="BW54" s="255">
        <v>126.0</v>
      </c>
      <c r="BX54" s="255">
        <v>483.0</v>
      </c>
      <c r="BY54" s="255"/>
      <c r="BZ54" s="255">
        <v>2020.0</v>
      </c>
      <c r="CA54" s="255">
        <v>23.0</v>
      </c>
      <c r="CB54" s="255">
        <v>0.0</v>
      </c>
      <c r="CC54" s="255">
        <v>0.0</v>
      </c>
      <c r="CD54" s="255">
        <v>0.0</v>
      </c>
      <c r="CE54" s="255">
        <v>0.0</v>
      </c>
      <c r="CF54" s="255">
        <v>23.0</v>
      </c>
      <c r="CG54" s="163"/>
      <c r="CH54" s="57" t="s">
        <v>683</v>
      </c>
      <c r="CI54" s="57">
        <v>2019.0</v>
      </c>
      <c r="CJ54" s="57">
        <v>91.0</v>
      </c>
      <c r="CK54" s="57">
        <v>72.0</v>
      </c>
      <c r="CL54" s="57">
        <v>141.0</v>
      </c>
      <c r="CM54" s="57">
        <v>201.0</v>
      </c>
      <c r="CN54" s="57">
        <v>218.0</v>
      </c>
      <c r="CO54" s="57">
        <v>723.0</v>
      </c>
      <c r="CP54" s="57"/>
      <c r="CQ54" s="57">
        <v>2019.0</v>
      </c>
      <c r="CR54" s="57">
        <v>15.0</v>
      </c>
      <c r="CS54" s="57">
        <v>0.0</v>
      </c>
      <c r="CT54" s="57">
        <v>0.0</v>
      </c>
      <c r="CU54" s="57">
        <v>0.0</v>
      </c>
      <c r="CV54" s="57">
        <v>0.0</v>
      </c>
      <c r="CW54" s="57">
        <v>15.0</v>
      </c>
      <c r="CX54" s="163"/>
      <c r="CY54" s="163"/>
      <c r="CZ54" s="163"/>
      <c r="DA54" s="163"/>
      <c r="DB54" s="163"/>
      <c r="DC54" s="163"/>
      <c r="DD54" s="163"/>
      <c r="DE54" s="163"/>
      <c r="DF54" s="163"/>
      <c r="DG54" s="163"/>
      <c r="DH54" s="163"/>
      <c r="DI54" s="163"/>
      <c r="DJ54" s="163"/>
      <c r="DK54" s="163"/>
      <c r="DL54" s="163"/>
      <c r="DM54" s="163"/>
      <c r="DN54" s="163"/>
      <c r="DO54" s="163"/>
      <c r="DP54" s="49" t="s">
        <v>734</v>
      </c>
      <c r="DQ54" s="49">
        <v>2020.0</v>
      </c>
      <c r="DR54" s="49">
        <v>890.0</v>
      </c>
      <c r="DS54" s="49">
        <v>436.0</v>
      </c>
      <c r="DT54" s="49">
        <v>448.0</v>
      </c>
      <c r="DU54" s="49">
        <v>425.0</v>
      </c>
      <c r="DV54" s="49">
        <v>308.0</v>
      </c>
      <c r="DW54" s="49">
        <v>2507.0</v>
      </c>
      <c r="DX54" s="49"/>
      <c r="DY54" s="49">
        <v>2020.0</v>
      </c>
      <c r="DZ54" s="49">
        <v>19.0</v>
      </c>
      <c r="EA54" s="49">
        <v>0.0</v>
      </c>
      <c r="EB54" s="49">
        <v>0.0</v>
      </c>
      <c r="EC54" s="49">
        <v>0.0</v>
      </c>
      <c r="ED54" s="49">
        <v>0.0</v>
      </c>
      <c r="EE54" s="49">
        <v>19.0</v>
      </c>
      <c r="EF54" s="163"/>
      <c r="EG54" s="57" t="s">
        <v>806</v>
      </c>
      <c r="EH54" s="57">
        <v>2019.0</v>
      </c>
      <c r="EI54" s="57" t="s">
        <v>541</v>
      </c>
      <c r="EJ54" s="57" t="s">
        <v>541</v>
      </c>
      <c r="EK54" s="57" t="s">
        <v>541</v>
      </c>
      <c r="EL54" s="57" t="s">
        <v>541</v>
      </c>
      <c r="EM54" s="57" t="s">
        <v>541</v>
      </c>
      <c r="EN54" s="57" t="s">
        <v>541</v>
      </c>
      <c r="EO54" s="57"/>
      <c r="EP54" s="57">
        <v>2019.0</v>
      </c>
      <c r="EQ54" s="57" t="s">
        <v>541</v>
      </c>
      <c r="ER54" s="57" t="s">
        <v>541</v>
      </c>
      <c r="ES54" s="57" t="s">
        <v>541</v>
      </c>
      <c r="ET54" s="57" t="s">
        <v>541</v>
      </c>
      <c r="EU54" s="57" t="s">
        <v>541</v>
      </c>
      <c r="EV54" s="57" t="s">
        <v>541</v>
      </c>
      <c r="EW54" s="163"/>
      <c r="EX54" s="255" t="s">
        <v>860</v>
      </c>
      <c r="EY54" s="255">
        <v>2019.0</v>
      </c>
      <c r="EZ54" s="255" t="s">
        <v>541</v>
      </c>
      <c r="FA54" s="255" t="s">
        <v>541</v>
      </c>
      <c r="FB54" s="255" t="s">
        <v>541</v>
      </c>
      <c r="FC54" s="255" t="s">
        <v>541</v>
      </c>
      <c r="FD54" s="255" t="s">
        <v>541</v>
      </c>
      <c r="FE54" s="255" t="s">
        <v>541</v>
      </c>
      <c r="FF54" s="255"/>
      <c r="FG54" s="255">
        <v>2019.0</v>
      </c>
      <c r="FH54" s="255" t="s">
        <v>541</v>
      </c>
      <c r="FI54" s="255" t="s">
        <v>541</v>
      </c>
      <c r="FJ54" s="255" t="s">
        <v>541</v>
      </c>
      <c r="FK54" s="255" t="s">
        <v>541</v>
      </c>
      <c r="FL54" s="255" t="s">
        <v>541</v>
      </c>
      <c r="FM54" s="255" t="s">
        <v>541</v>
      </c>
    </row>
    <row r="55" ht="13.5" customHeight="1">
      <c r="A55" s="252" t="s">
        <v>1081</v>
      </c>
      <c r="B55" s="252">
        <v>2019.0</v>
      </c>
      <c r="C55" s="252">
        <v>115.0</v>
      </c>
      <c r="D55" s="252">
        <v>4.0</v>
      </c>
      <c r="E55" s="252">
        <v>1.0</v>
      </c>
      <c r="F55" s="252">
        <v>1.0</v>
      </c>
      <c r="G55" s="252">
        <v>1.0</v>
      </c>
      <c r="H55" s="252">
        <v>122.0</v>
      </c>
      <c r="I55" s="252"/>
      <c r="J55" s="252">
        <v>2019.0</v>
      </c>
      <c r="K55" s="252">
        <v>1043.0</v>
      </c>
      <c r="L55" s="252">
        <v>759.0</v>
      </c>
      <c r="M55" s="252">
        <v>890.0</v>
      </c>
      <c r="N55" s="252">
        <v>852.0</v>
      </c>
      <c r="O55" s="252">
        <v>633.0</v>
      </c>
      <c r="P55" s="252">
        <v>4177.0</v>
      </c>
      <c r="Q55" s="131"/>
      <c r="R55" s="253" t="s">
        <v>272</v>
      </c>
      <c r="S55" s="253">
        <v>2019.0</v>
      </c>
      <c r="T55" s="253">
        <v>198.0</v>
      </c>
      <c r="U55" s="253">
        <v>255.0</v>
      </c>
      <c r="V55" s="253">
        <v>377.0</v>
      </c>
      <c r="W55" s="253">
        <v>431.0</v>
      </c>
      <c r="X55" s="253">
        <v>347.0</v>
      </c>
      <c r="Y55" s="253">
        <v>1608.0</v>
      </c>
      <c r="Z55" s="253"/>
      <c r="AA55" s="253">
        <v>2019.0</v>
      </c>
      <c r="AB55" s="253">
        <v>9.0</v>
      </c>
      <c r="AC55" s="253">
        <v>1.0</v>
      </c>
      <c r="AD55" s="253">
        <v>1.0</v>
      </c>
      <c r="AE55" s="253">
        <v>0.0</v>
      </c>
      <c r="AF55" s="253">
        <v>0.0</v>
      </c>
      <c r="AG55" s="253">
        <v>11.0</v>
      </c>
      <c r="AH55" s="163"/>
      <c r="AI55" s="246" t="s">
        <v>404</v>
      </c>
      <c r="AJ55" s="246">
        <v>2018.0</v>
      </c>
      <c r="AK55" s="246">
        <v>602.0</v>
      </c>
      <c r="AL55" s="246">
        <v>441.0</v>
      </c>
      <c r="AM55" s="246">
        <v>197.0</v>
      </c>
      <c r="AN55" s="246">
        <v>114.0</v>
      </c>
      <c r="AO55" s="246">
        <v>167.0</v>
      </c>
      <c r="AP55" s="246">
        <v>1521.0</v>
      </c>
      <c r="AQ55" s="246"/>
      <c r="AR55" s="246">
        <v>2018.0</v>
      </c>
      <c r="AS55" s="246">
        <v>103.0</v>
      </c>
      <c r="AT55" s="246">
        <v>31.0</v>
      </c>
      <c r="AU55" s="246">
        <v>14.0</v>
      </c>
      <c r="AV55" s="246">
        <v>7.0</v>
      </c>
      <c r="AW55" s="246">
        <v>11.0</v>
      </c>
      <c r="AX55" s="246">
        <v>166.0</v>
      </c>
      <c r="AY55" s="163"/>
      <c r="AZ55" s="254" t="s">
        <v>579</v>
      </c>
      <c r="BA55" s="254">
        <v>2018.0</v>
      </c>
      <c r="BB55" s="254">
        <v>180.0</v>
      </c>
      <c r="BC55" s="254">
        <v>182.0</v>
      </c>
      <c r="BD55" s="254">
        <v>387.0</v>
      </c>
      <c r="BE55" s="254">
        <v>625.0</v>
      </c>
      <c r="BF55" s="254">
        <v>626.0</v>
      </c>
      <c r="BG55" s="254">
        <v>2000.0</v>
      </c>
      <c r="BH55" s="254"/>
      <c r="BI55" s="254">
        <v>2018.0</v>
      </c>
      <c r="BJ55" s="254">
        <v>39.0</v>
      </c>
      <c r="BK55" s="254">
        <v>0.0</v>
      </c>
      <c r="BL55" s="254">
        <v>0.0</v>
      </c>
      <c r="BM55" s="254">
        <v>0.0</v>
      </c>
      <c r="BN55" s="254">
        <v>0.0</v>
      </c>
      <c r="BO55" s="254">
        <v>39.0</v>
      </c>
      <c r="BP55" s="163"/>
      <c r="BQ55" s="255" t="s">
        <v>599</v>
      </c>
      <c r="BR55" s="255">
        <v>2020.0</v>
      </c>
      <c r="BS55" s="255">
        <v>651.0</v>
      </c>
      <c r="BT55" s="255">
        <v>661.0</v>
      </c>
      <c r="BU55" s="255">
        <v>647.0</v>
      </c>
      <c r="BV55" s="255">
        <v>558.0</v>
      </c>
      <c r="BW55" s="255">
        <v>409.0</v>
      </c>
      <c r="BX55" s="255">
        <v>2926.0</v>
      </c>
      <c r="BY55" s="255"/>
      <c r="BZ55" s="255">
        <v>2020.0</v>
      </c>
      <c r="CA55" s="255">
        <v>179.0</v>
      </c>
      <c r="CB55" s="255">
        <v>12.0</v>
      </c>
      <c r="CC55" s="255">
        <v>0.0</v>
      </c>
      <c r="CD55" s="255">
        <v>0.0</v>
      </c>
      <c r="CE55" s="255">
        <v>0.0</v>
      </c>
      <c r="CF55" s="255">
        <v>191.0</v>
      </c>
      <c r="CG55" s="163"/>
      <c r="CH55" s="57" t="s">
        <v>981</v>
      </c>
      <c r="CI55" s="57">
        <v>2019.0</v>
      </c>
      <c r="CJ55" s="57">
        <v>130.0</v>
      </c>
      <c r="CK55" s="57">
        <v>64.0</v>
      </c>
      <c r="CL55" s="57">
        <v>85.0</v>
      </c>
      <c r="CM55" s="57">
        <v>116.0</v>
      </c>
      <c r="CN55" s="57">
        <v>145.0</v>
      </c>
      <c r="CO55" s="57">
        <v>540.0</v>
      </c>
      <c r="CP55" s="57"/>
      <c r="CQ55" s="57">
        <v>2019.0</v>
      </c>
      <c r="CR55" s="57">
        <v>61.0</v>
      </c>
      <c r="CS55" s="57">
        <v>0.0</v>
      </c>
      <c r="CT55" s="57">
        <v>0.0</v>
      </c>
      <c r="CU55" s="57">
        <v>0.0</v>
      </c>
      <c r="CV55" s="57">
        <v>0.0</v>
      </c>
      <c r="CW55" s="57">
        <v>61.0</v>
      </c>
      <c r="CX55" s="163"/>
      <c r="CY55" s="163"/>
      <c r="CZ55" s="163"/>
      <c r="DA55" s="163"/>
      <c r="DB55" s="163"/>
      <c r="DC55" s="163"/>
      <c r="DD55" s="163"/>
      <c r="DE55" s="163"/>
      <c r="DF55" s="163"/>
      <c r="DG55" s="163"/>
      <c r="DH55" s="163"/>
      <c r="DI55" s="163"/>
      <c r="DJ55" s="163"/>
      <c r="DK55" s="163"/>
      <c r="DL55" s="163"/>
      <c r="DM55" s="163"/>
      <c r="DN55" s="163"/>
      <c r="DO55" s="163"/>
      <c r="DP55" s="49" t="s">
        <v>736</v>
      </c>
      <c r="DQ55" s="49">
        <v>2020.0</v>
      </c>
      <c r="DR55" s="49">
        <v>198.0</v>
      </c>
      <c r="DS55" s="49">
        <v>204.0</v>
      </c>
      <c r="DT55" s="49">
        <v>226.0</v>
      </c>
      <c r="DU55" s="49">
        <v>247.0</v>
      </c>
      <c r="DV55" s="49">
        <v>194.0</v>
      </c>
      <c r="DW55" s="49">
        <v>1069.0</v>
      </c>
      <c r="DX55" s="49"/>
      <c r="DY55" s="49">
        <v>2020.0</v>
      </c>
      <c r="DZ55" s="49">
        <v>14.0</v>
      </c>
      <c r="EA55" s="49">
        <v>0.0</v>
      </c>
      <c r="EB55" s="49">
        <v>0.0</v>
      </c>
      <c r="EC55" s="49">
        <v>0.0</v>
      </c>
      <c r="ED55" s="49">
        <v>0.0</v>
      </c>
      <c r="EE55" s="49">
        <v>14.0</v>
      </c>
      <c r="EF55" s="163"/>
      <c r="EG55" s="57" t="s">
        <v>808</v>
      </c>
      <c r="EH55" s="57">
        <v>2019.0</v>
      </c>
      <c r="EI55" s="57" t="s">
        <v>541</v>
      </c>
      <c r="EJ55" s="57" t="s">
        <v>541</v>
      </c>
      <c r="EK55" s="57" t="s">
        <v>541</v>
      </c>
      <c r="EL55" s="57" t="s">
        <v>541</v>
      </c>
      <c r="EM55" s="57" t="s">
        <v>541</v>
      </c>
      <c r="EN55" s="57" t="s">
        <v>541</v>
      </c>
      <c r="EO55" s="57"/>
      <c r="EP55" s="57">
        <v>2019.0</v>
      </c>
      <c r="EQ55" s="57" t="s">
        <v>541</v>
      </c>
      <c r="ER55" s="57" t="s">
        <v>541</v>
      </c>
      <c r="ES55" s="57" t="s">
        <v>541</v>
      </c>
      <c r="ET55" s="57" t="s">
        <v>541</v>
      </c>
      <c r="EU55" s="57" t="s">
        <v>541</v>
      </c>
      <c r="EV55" s="57" t="s">
        <v>541</v>
      </c>
      <c r="EW55" s="163"/>
      <c r="EX55" s="255" t="s">
        <v>862</v>
      </c>
      <c r="EY55" s="255">
        <v>2019.0</v>
      </c>
      <c r="EZ55" s="255">
        <v>1016.0</v>
      </c>
      <c r="FA55" s="255">
        <v>858.0</v>
      </c>
      <c r="FB55" s="255">
        <v>774.0</v>
      </c>
      <c r="FC55" s="255">
        <v>814.0</v>
      </c>
      <c r="FD55" s="255">
        <v>1094.0</v>
      </c>
      <c r="FE55" s="255">
        <v>4556.0</v>
      </c>
      <c r="FF55" s="255"/>
      <c r="FG55" s="255">
        <v>2019.0</v>
      </c>
      <c r="FH55" s="255">
        <v>168.0</v>
      </c>
      <c r="FI55" s="255">
        <v>0.0</v>
      </c>
      <c r="FJ55" s="255">
        <v>0.0</v>
      </c>
      <c r="FK55" s="255">
        <v>0.0</v>
      </c>
      <c r="FL55" s="255">
        <v>0.0</v>
      </c>
      <c r="FM55" s="255">
        <v>168.0</v>
      </c>
    </row>
    <row r="56" ht="13.5" customHeight="1">
      <c r="A56" s="252" t="s">
        <v>1084</v>
      </c>
      <c r="B56" s="252">
        <v>2019.0</v>
      </c>
      <c r="C56" s="252">
        <v>49.0</v>
      </c>
      <c r="D56" s="252">
        <v>11.0</v>
      </c>
      <c r="E56" s="252">
        <v>1.0</v>
      </c>
      <c r="F56" s="252">
        <v>0.0</v>
      </c>
      <c r="G56" s="252">
        <v>0.0</v>
      </c>
      <c r="H56" s="252">
        <v>61.0</v>
      </c>
      <c r="I56" s="252"/>
      <c r="J56" s="252">
        <v>2019.0</v>
      </c>
      <c r="K56" s="252">
        <v>843.0</v>
      </c>
      <c r="L56" s="252">
        <v>1058.0</v>
      </c>
      <c r="M56" s="252">
        <v>1488.0</v>
      </c>
      <c r="N56" s="252">
        <v>1567.0</v>
      </c>
      <c r="O56" s="252">
        <v>1038.0</v>
      </c>
      <c r="P56" s="252">
        <v>5994.0</v>
      </c>
      <c r="Q56" s="131"/>
      <c r="R56" s="253" t="s">
        <v>274</v>
      </c>
      <c r="S56" s="253">
        <v>2019.0</v>
      </c>
      <c r="T56" s="253">
        <v>131.0</v>
      </c>
      <c r="U56" s="253">
        <v>188.0</v>
      </c>
      <c r="V56" s="253">
        <v>288.0</v>
      </c>
      <c r="W56" s="253">
        <v>362.0</v>
      </c>
      <c r="X56" s="253">
        <v>284.0</v>
      </c>
      <c r="Y56" s="253">
        <v>1253.0</v>
      </c>
      <c r="Z56" s="253"/>
      <c r="AA56" s="253">
        <v>2019.0</v>
      </c>
      <c r="AB56" s="253">
        <v>9.0</v>
      </c>
      <c r="AC56" s="253">
        <v>2.0</v>
      </c>
      <c r="AD56" s="253">
        <v>1.0</v>
      </c>
      <c r="AE56" s="253">
        <v>0.0</v>
      </c>
      <c r="AF56" s="253">
        <v>1.0</v>
      </c>
      <c r="AG56" s="253">
        <v>13.0</v>
      </c>
      <c r="AH56" s="163"/>
      <c r="AI56" s="246" t="s">
        <v>406</v>
      </c>
      <c r="AJ56" s="246">
        <v>2018.0</v>
      </c>
      <c r="AK56" s="246">
        <v>523.0</v>
      </c>
      <c r="AL56" s="246">
        <v>634.0</v>
      </c>
      <c r="AM56" s="246">
        <v>613.0</v>
      </c>
      <c r="AN56" s="246">
        <v>552.0</v>
      </c>
      <c r="AO56" s="246">
        <v>665.0</v>
      </c>
      <c r="AP56" s="246">
        <v>2987.0</v>
      </c>
      <c r="AQ56" s="246"/>
      <c r="AR56" s="246">
        <v>2018.0</v>
      </c>
      <c r="AS56" s="246">
        <v>50.0</v>
      </c>
      <c r="AT56" s="246">
        <v>24.0</v>
      </c>
      <c r="AU56" s="246">
        <v>17.0</v>
      </c>
      <c r="AV56" s="246">
        <v>6.0</v>
      </c>
      <c r="AW56" s="246">
        <v>18.0</v>
      </c>
      <c r="AX56" s="246">
        <v>115.0</v>
      </c>
      <c r="AY56" s="163"/>
      <c r="AZ56" s="254" t="s">
        <v>581</v>
      </c>
      <c r="BA56" s="254">
        <v>2018.0</v>
      </c>
      <c r="BB56" s="254">
        <v>57.0</v>
      </c>
      <c r="BC56" s="254">
        <v>85.0</v>
      </c>
      <c r="BD56" s="254">
        <v>178.0</v>
      </c>
      <c r="BE56" s="254">
        <v>283.0</v>
      </c>
      <c r="BF56" s="254">
        <v>277.0</v>
      </c>
      <c r="BG56" s="254">
        <v>880.0</v>
      </c>
      <c r="BH56" s="254"/>
      <c r="BI56" s="254">
        <v>2018.0</v>
      </c>
      <c r="BJ56" s="254">
        <v>15.0</v>
      </c>
      <c r="BK56" s="254">
        <v>0.0</v>
      </c>
      <c r="BL56" s="254">
        <v>0.0</v>
      </c>
      <c r="BM56" s="254">
        <v>0.0</v>
      </c>
      <c r="BN56" s="254">
        <v>0.0</v>
      </c>
      <c r="BO56" s="254">
        <v>15.0</v>
      </c>
      <c r="BP56" s="163"/>
      <c r="BQ56" s="255" t="s">
        <v>602</v>
      </c>
      <c r="BR56" s="255">
        <v>2020.0</v>
      </c>
      <c r="BS56" s="255">
        <v>1110.0</v>
      </c>
      <c r="BT56" s="255">
        <v>816.0</v>
      </c>
      <c r="BU56" s="255">
        <v>792.0</v>
      </c>
      <c r="BV56" s="255">
        <v>606.0</v>
      </c>
      <c r="BW56" s="255">
        <v>430.0</v>
      </c>
      <c r="BX56" s="255">
        <v>3754.0</v>
      </c>
      <c r="BY56" s="255"/>
      <c r="BZ56" s="255">
        <v>2020.0</v>
      </c>
      <c r="CA56" s="255">
        <v>262.0</v>
      </c>
      <c r="CB56" s="255">
        <v>11.0</v>
      </c>
      <c r="CC56" s="255">
        <v>0.0</v>
      </c>
      <c r="CD56" s="255">
        <v>0.0</v>
      </c>
      <c r="CE56" s="255">
        <v>0.0</v>
      </c>
      <c r="CF56" s="255">
        <v>273.0</v>
      </c>
      <c r="CG56" s="163"/>
      <c r="CH56" s="57" t="s">
        <v>983</v>
      </c>
      <c r="CI56" s="57">
        <v>2019.0</v>
      </c>
      <c r="CJ56" s="57">
        <v>89.0</v>
      </c>
      <c r="CK56" s="57">
        <v>46.0</v>
      </c>
      <c r="CL56" s="57">
        <v>92.0</v>
      </c>
      <c r="CM56" s="57">
        <v>107.0</v>
      </c>
      <c r="CN56" s="57">
        <v>110.0</v>
      </c>
      <c r="CO56" s="57">
        <v>444.0</v>
      </c>
      <c r="CP56" s="57"/>
      <c r="CQ56" s="57">
        <v>2019.0</v>
      </c>
      <c r="CR56" s="57">
        <v>21.0</v>
      </c>
      <c r="CS56" s="57">
        <v>0.0</v>
      </c>
      <c r="CT56" s="57">
        <v>0.0</v>
      </c>
      <c r="CU56" s="57">
        <v>0.0</v>
      </c>
      <c r="CV56" s="57">
        <v>0.0</v>
      </c>
      <c r="CW56" s="57">
        <v>21.0</v>
      </c>
      <c r="CX56" s="163"/>
      <c r="CY56" s="163"/>
      <c r="CZ56" s="163"/>
      <c r="DA56" s="163"/>
      <c r="DB56" s="163"/>
      <c r="DC56" s="163"/>
      <c r="DD56" s="163"/>
      <c r="DE56" s="163"/>
      <c r="DF56" s="163"/>
      <c r="DG56" s="163"/>
      <c r="DH56" s="163"/>
      <c r="DI56" s="163"/>
      <c r="DJ56" s="163"/>
      <c r="DK56" s="163"/>
      <c r="DL56" s="163"/>
      <c r="DM56" s="163"/>
      <c r="DN56" s="163"/>
      <c r="DO56" s="163"/>
      <c r="DP56" s="49" t="s">
        <v>738</v>
      </c>
      <c r="DQ56" s="49">
        <v>2020.0</v>
      </c>
      <c r="DR56" s="49">
        <v>221.0</v>
      </c>
      <c r="DS56" s="49">
        <v>260.0</v>
      </c>
      <c r="DT56" s="49">
        <v>384.0</v>
      </c>
      <c r="DU56" s="49">
        <v>463.0</v>
      </c>
      <c r="DV56" s="49">
        <v>412.0</v>
      </c>
      <c r="DW56" s="49">
        <v>1740.0</v>
      </c>
      <c r="DX56" s="49"/>
      <c r="DY56" s="49">
        <v>2020.0</v>
      </c>
      <c r="DZ56" s="49">
        <v>20.0</v>
      </c>
      <c r="EA56" s="49">
        <v>0.0</v>
      </c>
      <c r="EB56" s="49">
        <v>0.0</v>
      </c>
      <c r="EC56" s="49">
        <v>0.0</v>
      </c>
      <c r="ED56" s="49">
        <v>0.0</v>
      </c>
      <c r="EE56" s="49">
        <v>20.0</v>
      </c>
      <c r="EF56" s="163"/>
      <c r="EG56" s="57" t="s">
        <v>810</v>
      </c>
      <c r="EH56" s="57">
        <v>2019.0</v>
      </c>
      <c r="EI56" s="57" t="s">
        <v>541</v>
      </c>
      <c r="EJ56" s="57" t="s">
        <v>541</v>
      </c>
      <c r="EK56" s="57" t="s">
        <v>541</v>
      </c>
      <c r="EL56" s="57" t="s">
        <v>541</v>
      </c>
      <c r="EM56" s="57" t="s">
        <v>541</v>
      </c>
      <c r="EN56" s="57" t="s">
        <v>541</v>
      </c>
      <c r="EO56" s="57"/>
      <c r="EP56" s="57">
        <v>2019.0</v>
      </c>
      <c r="EQ56" s="57" t="s">
        <v>541</v>
      </c>
      <c r="ER56" s="57" t="s">
        <v>541</v>
      </c>
      <c r="ES56" s="57" t="s">
        <v>541</v>
      </c>
      <c r="ET56" s="57" t="s">
        <v>541</v>
      </c>
      <c r="EU56" s="57" t="s">
        <v>541</v>
      </c>
      <c r="EV56" s="57" t="s">
        <v>541</v>
      </c>
      <c r="EW56" s="163"/>
      <c r="EX56" s="255" t="s">
        <v>864</v>
      </c>
      <c r="EY56" s="255">
        <v>2019.0</v>
      </c>
      <c r="EZ56" s="255">
        <v>210.0</v>
      </c>
      <c r="FA56" s="255">
        <v>341.0</v>
      </c>
      <c r="FB56" s="255">
        <v>330.0</v>
      </c>
      <c r="FC56" s="255">
        <v>381.0</v>
      </c>
      <c r="FD56" s="255">
        <v>496.0</v>
      </c>
      <c r="FE56" s="255">
        <v>1758.0</v>
      </c>
      <c r="FF56" s="255"/>
      <c r="FG56" s="255">
        <v>2019.0</v>
      </c>
      <c r="FH56" s="255">
        <v>56.0</v>
      </c>
      <c r="FI56" s="255">
        <v>0.0</v>
      </c>
      <c r="FJ56" s="255">
        <v>0.0</v>
      </c>
      <c r="FK56" s="255">
        <v>0.0</v>
      </c>
      <c r="FL56" s="255">
        <v>0.0</v>
      </c>
      <c r="FM56" s="255">
        <v>56.0</v>
      </c>
    </row>
    <row r="57" ht="13.5" customHeight="1">
      <c r="A57" s="252" t="s">
        <v>1087</v>
      </c>
      <c r="B57" s="252">
        <v>2019.0</v>
      </c>
      <c r="C57" s="252">
        <v>63.0</v>
      </c>
      <c r="D57" s="252">
        <v>3.0</v>
      </c>
      <c r="E57" s="252">
        <v>1.0</v>
      </c>
      <c r="F57" s="252">
        <v>0.0</v>
      </c>
      <c r="G57" s="252">
        <v>1.0</v>
      </c>
      <c r="H57" s="252">
        <v>68.0</v>
      </c>
      <c r="I57" s="252"/>
      <c r="J57" s="252">
        <v>2019.0</v>
      </c>
      <c r="K57" s="252">
        <v>813.0</v>
      </c>
      <c r="L57" s="252">
        <v>960.0</v>
      </c>
      <c r="M57" s="252">
        <v>1200.0</v>
      </c>
      <c r="N57" s="252">
        <v>1437.0</v>
      </c>
      <c r="O57" s="252">
        <v>951.0</v>
      </c>
      <c r="P57" s="252">
        <v>5361.0</v>
      </c>
      <c r="Q57" s="131"/>
      <c r="R57" s="253" t="s">
        <v>276</v>
      </c>
      <c r="S57" s="253">
        <v>2019.0</v>
      </c>
      <c r="T57" s="253">
        <v>1128.0</v>
      </c>
      <c r="U57" s="253">
        <v>996.0</v>
      </c>
      <c r="V57" s="253">
        <v>1433.0</v>
      </c>
      <c r="W57" s="253">
        <v>1700.0</v>
      </c>
      <c r="X57" s="253">
        <v>1332.0</v>
      </c>
      <c r="Y57" s="253">
        <v>6589.0</v>
      </c>
      <c r="Z57" s="253"/>
      <c r="AA57" s="253">
        <v>2019.0</v>
      </c>
      <c r="AB57" s="253">
        <v>34.0</v>
      </c>
      <c r="AC57" s="253">
        <v>0.0</v>
      </c>
      <c r="AD57" s="253">
        <v>0.0</v>
      </c>
      <c r="AE57" s="253">
        <v>0.0</v>
      </c>
      <c r="AF57" s="253">
        <v>0.0</v>
      </c>
      <c r="AG57" s="253">
        <v>34.0</v>
      </c>
      <c r="AH57" s="163"/>
      <c r="AI57" s="246" t="s">
        <v>410</v>
      </c>
      <c r="AJ57" s="246">
        <v>2018.0</v>
      </c>
      <c r="AK57" s="246">
        <v>721.0</v>
      </c>
      <c r="AL57" s="246">
        <v>851.0</v>
      </c>
      <c r="AM57" s="246">
        <v>652.0</v>
      </c>
      <c r="AN57" s="246">
        <v>666.0</v>
      </c>
      <c r="AO57" s="246">
        <v>872.0</v>
      </c>
      <c r="AP57" s="246">
        <v>3762.0</v>
      </c>
      <c r="AQ57" s="246"/>
      <c r="AR57" s="246">
        <v>2018.0</v>
      </c>
      <c r="AS57" s="246">
        <v>57.0</v>
      </c>
      <c r="AT57" s="246">
        <v>12.0</v>
      </c>
      <c r="AU57" s="246">
        <v>3.0</v>
      </c>
      <c r="AV57" s="246">
        <v>6.0</v>
      </c>
      <c r="AW57" s="246">
        <v>8.0</v>
      </c>
      <c r="AX57" s="246">
        <v>86.0</v>
      </c>
      <c r="AY57" s="163"/>
      <c r="AZ57" s="254" t="s">
        <v>55</v>
      </c>
      <c r="BA57" s="254">
        <v>2018.0</v>
      </c>
      <c r="BB57" s="254">
        <v>359.0</v>
      </c>
      <c r="BC57" s="254">
        <v>468.0</v>
      </c>
      <c r="BD57" s="254">
        <v>860.0</v>
      </c>
      <c r="BE57" s="254">
        <v>1189.0</v>
      </c>
      <c r="BF57" s="254">
        <v>1206.0</v>
      </c>
      <c r="BG57" s="254">
        <v>4082.0</v>
      </c>
      <c r="BH57" s="254"/>
      <c r="BI57" s="254">
        <v>2018.0</v>
      </c>
      <c r="BJ57" s="254">
        <v>55.0</v>
      </c>
      <c r="BK57" s="254">
        <v>2.0</v>
      </c>
      <c r="BL57" s="254">
        <v>0.0</v>
      </c>
      <c r="BM57" s="254">
        <v>0.0</v>
      </c>
      <c r="BN57" s="254">
        <v>0.0</v>
      </c>
      <c r="BO57" s="254">
        <v>57.0</v>
      </c>
      <c r="BP57" s="163"/>
      <c r="BQ57" s="255" t="s">
        <v>604</v>
      </c>
      <c r="BR57" s="255">
        <v>2020.0</v>
      </c>
      <c r="BS57" s="255" t="s">
        <v>541</v>
      </c>
      <c r="BT57" s="255" t="s">
        <v>541</v>
      </c>
      <c r="BU57" s="255" t="s">
        <v>541</v>
      </c>
      <c r="BV57" s="255" t="s">
        <v>541</v>
      </c>
      <c r="BW57" s="255" t="s">
        <v>541</v>
      </c>
      <c r="BX57" s="255" t="s">
        <v>541</v>
      </c>
      <c r="BY57" s="255"/>
      <c r="BZ57" s="255">
        <v>2020.0</v>
      </c>
      <c r="CA57" s="255" t="s">
        <v>541</v>
      </c>
      <c r="CB57" s="255" t="s">
        <v>541</v>
      </c>
      <c r="CC57" s="255" t="s">
        <v>541</v>
      </c>
      <c r="CD57" s="255" t="s">
        <v>541</v>
      </c>
      <c r="CE57" s="255" t="s">
        <v>541</v>
      </c>
      <c r="CF57" s="255" t="s">
        <v>541</v>
      </c>
      <c r="CG57" s="163"/>
      <c r="CH57" s="57" t="s">
        <v>985</v>
      </c>
      <c r="CI57" s="57">
        <v>2019.0</v>
      </c>
      <c r="CJ57" s="57">
        <v>54.0</v>
      </c>
      <c r="CK57" s="57">
        <v>51.0</v>
      </c>
      <c r="CL57" s="57">
        <v>94.0</v>
      </c>
      <c r="CM57" s="57">
        <v>132.0</v>
      </c>
      <c r="CN57" s="57">
        <v>173.0</v>
      </c>
      <c r="CO57" s="57">
        <v>504.0</v>
      </c>
      <c r="CP57" s="57"/>
      <c r="CQ57" s="57">
        <v>2019.0</v>
      </c>
      <c r="CR57" s="57">
        <v>12.0</v>
      </c>
      <c r="CS57" s="57">
        <v>0.0</v>
      </c>
      <c r="CT57" s="57">
        <v>0.0</v>
      </c>
      <c r="CU57" s="57">
        <v>0.0</v>
      </c>
      <c r="CV57" s="57">
        <v>0.0</v>
      </c>
      <c r="CW57" s="57">
        <v>12.0</v>
      </c>
      <c r="CX57" s="163"/>
      <c r="CY57" s="163"/>
      <c r="CZ57" s="163"/>
      <c r="DA57" s="163"/>
      <c r="DB57" s="163"/>
      <c r="DC57" s="163"/>
      <c r="DD57" s="163"/>
      <c r="DE57" s="163"/>
      <c r="DF57" s="163"/>
      <c r="DG57" s="163"/>
      <c r="DH57" s="163"/>
      <c r="DI57" s="163"/>
      <c r="DJ57" s="163"/>
      <c r="DK57" s="163"/>
      <c r="DL57" s="163"/>
      <c r="DM57" s="163"/>
      <c r="DN57" s="163"/>
      <c r="DO57" s="163"/>
      <c r="DP57" s="49" t="s">
        <v>741</v>
      </c>
      <c r="DQ57" s="49">
        <v>2020.0</v>
      </c>
      <c r="DR57" s="49">
        <v>208.0</v>
      </c>
      <c r="DS57" s="49">
        <v>250.0</v>
      </c>
      <c r="DT57" s="49">
        <v>356.0</v>
      </c>
      <c r="DU57" s="49">
        <v>436.0</v>
      </c>
      <c r="DV57" s="49">
        <v>376.0</v>
      </c>
      <c r="DW57" s="49">
        <v>1626.0</v>
      </c>
      <c r="DX57" s="49"/>
      <c r="DY57" s="49">
        <v>2020.0</v>
      </c>
      <c r="DZ57" s="49">
        <v>16.0</v>
      </c>
      <c r="EA57" s="49">
        <v>0.0</v>
      </c>
      <c r="EB57" s="49">
        <v>0.0</v>
      </c>
      <c r="EC57" s="49">
        <v>0.0</v>
      </c>
      <c r="ED57" s="49">
        <v>0.0</v>
      </c>
      <c r="EE57" s="49">
        <v>16.0</v>
      </c>
      <c r="EF57" s="163"/>
      <c r="EG57" s="57" t="s">
        <v>812</v>
      </c>
      <c r="EH57" s="57">
        <v>2019.0</v>
      </c>
      <c r="EI57" s="57">
        <v>297.0</v>
      </c>
      <c r="EJ57" s="57">
        <v>500.0</v>
      </c>
      <c r="EK57" s="57">
        <v>639.0</v>
      </c>
      <c r="EL57" s="57">
        <v>678.0</v>
      </c>
      <c r="EM57" s="57">
        <v>851.0</v>
      </c>
      <c r="EN57" s="57">
        <v>2965.0</v>
      </c>
      <c r="EO57" s="57"/>
      <c r="EP57" s="57">
        <v>2019.0</v>
      </c>
      <c r="EQ57" s="57">
        <v>49.0</v>
      </c>
      <c r="ER57" s="57">
        <v>19.0</v>
      </c>
      <c r="ES57" s="57">
        <v>12.0</v>
      </c>
      <c r="ET57" s="57">
        <v>5.0</v>
      </c>
      <c r="EU57" s="57">
        <v>14.0</v>
      </c>
      <c r="EV57" s="57">
        <v>99.0</v>
      </c>
      <c r="EW57" s="163"/>
      <c r="EX57" s="255" t="s">
        <v>866</v>
      </c>
      <c r="EY57" s="255">
        <v>2019.0</v>
      </c>
      <c r="EZ57" s="255">
        <v>203.0</v>
      </c>
      <c r="FA57" s="255">
        <v>238.0</v>
      </c>
      <c r="FB57" s="255">
        <v>233.0</v>
      </c>
      <c r="FC57" s="255">
        <v>282.0</v>
      </c>
      <c r="FD57" s="255">
        <v>317.0</v>
      </c>
      <c r="FE57" s="255">
        <v>1273.0</v>
      </c>
      <c r="FF57" s="255"/>
      <c r="FG57" s="255">
        <v>2019.0</v>
      </c>
      <c r="FH57" s="255">
        <v>48.0</v>
      </c>
      <c r="FI57" s="255">
        <v>29.0</v>
      </c>
      <c r="FJ57" s="255">
        <v>14.0</v>
      </c>
      <c r="FK57" s="255">
        <v>5.0</v>
      </c>
      <c r="FL57" s="255">
        <v>0.0</v>
      </c>
      <c r="FM57" s="255">
        <v>96.0</v>
      </c>
    </row>
    <row r="58" ht="13.5" customHeight="1">
      <c r="A58" s="252" t="s">
        <v>1090</v>
      </c>
      <c r="B58" s="252">
        <v>2019.0</v>
      </c>
      <c r="C58" s="252" t="s">
        <v>541</v>
      </c>
      <c r="D58" s="252" t="s">
        <v>541</v>
      </c>
      <c r="E58" s="252" t="s">
        <v>541</v>
      </c>
      <c r="F58" s="252" t="s">
        <v>541</v>
      </c>
      <c r="G58" s="252" t="s">
        <v>541</v>
      </c>
      <c r="H58" s="252" t="s">
        <v>541</v>
      </c>
      <c r="I58" s="252"/>
      <c r="J58" s="252">
        <v>2019.0</v>
      </c>
      <c r="K58" s="252" t="s">
        <v>541</v>
      </c>
      <c r="L58" s="252" t="s">
        <v>541</v>
      </c>
      <c r="M58" s="252" t="s">
        <v>541</v>
      </c>
      <c r="N58" s="252" t="s">
        <v>541</v>
      </c>
      <c r="O58" s="252" t="s">
        <v>541</v>
      </c>
      <c r="P58" s="252" t="s">
        <v>541</v>
      </c>
      <c r="Q58" s="131"/>
      <c r="R58" s="253" t="s">
        <v>278</v>
      </c>
      <c r="S58" s="253">
        <v>2019.0</v>
      </c>
      <c r="T58" s="253" t="s">
        <v>541</v>
      </c>
      <c r="U58" s="253" t="s">
        <v>541</v>
      </c>
      <c r="V58" s="253" t="s">
        <v>541</v>
      </c>
      <c r="W58" s="253" t="s">
        <v>541</v>
      </c>
      <c r="X58" s="253" t="s">
        <v>541</v>
      </c>
      <c r="Y58" s="253" t="s">
        <v>541</v>
      </c>
      <c r="Z58" s="253"/>
      <c r="AA58" s="253">
        <v>2019.0</v>
      </c>
      <c r="AB58" s="253" t="s">
        <v>541</v>
      </c>
      <c r="AC58" s="253" t="s">
        <v>541</v>
      </c>
      <c r="AD58" s="253" t="s">
        <v>541</v>
      </c>
      <c r="AE58" s="253" t="s">
        <v>541</v>
      </c>
      <c r="AF58" s="253" t="s">
        <v>541</v>
      </c>
      <c r="AG58" s="253" t="s">
        <v>541</v>
      </c>
      <c r="AH58" s="163"/>
      <c r="AI58" s="163"/>
      <c r="AJ58" s="163"/>
      <c r="AK58" s="163"/>
      <c r="AL58" s="163"/>
      <c r="AM58" s="163"/>
      <c r="AN58" s="163"/>
      <c r="AO58" s="163"/>
      <c r="AP58" s="163"/>
      <c r="AQ58" s="163"/>
      <c r="AR58" s="163"/>
      <c r="AS58" s="163"/>
      <c r="AT58" s="163"/>
      <c r="AU58" s="163"/>
      <c r="AV58" s="163"/>
      <c r="AW58" s="163"/>
      <c r="AX58" s="163"/>
      <c r="AY58" s="163"/>
      <c r="AZ58" s="254" t="s">
        <v>584</v>
      </c>
      <c r="BA58" s="254">
        <v>2018.0</v>
      </c>
      <c r="BB58" s="254">
        <v>315.0</v>
      </c>
      <c r="BC58" s="254">
        <v>440.0</v>
      </c>
      <c r="BD58" s="254">
        <v>694.0</v>
      </c>
      <c r="BE58" s="254">
        <v>969.0</v>
      </c>
      <c r="BF58" s="254">
        <v>908.0</v>
      </c>
      <c r="BG58" s="254">
        <v>3326.0</v>
      </c>
      <c r="BH58" s="254"/>
      <c r="BI58" s="254">
        <v>2018.0</v>
      </c>
      <c r="BJ58" s="254">
        <v>39.0</v>
      </c>
      <c r="BK58" s="254">
        <v>0.0</v>
      </c>
      <c r="BL58" s="254">
        <v>0.0</v>
      </c>
      <c r="BM58" s="254">
        <v>0.0</v>
      </c>
      <c r="BN58" s="254">
        <v>0.0</v>
      </c>
      <c r="BO58" s="254">
        <v>39.0</v>
      </c>
      <c r="BP58" s="163"/>
      <c r="BQ58" s="255" t="s">
        <v>359</v>
      </c>
      <c r="BR58" s="255">
        <v>2020.0</v>
      </c>
      <c r="BS58" s="255">
        <v>1513.0</v>
      </c>
      <c r="BT58" s="255">
        <v>903.0</v>
      </c>
      <c r="BU58" s="255">
        <v>891.0</v>
      </c>
      <c r="BV58" s="255">
        <v>835.0</v>
      </c>
      <c r="BW58" s="255">
        <v>636.0</v>
      </c>
      <c r="BX58" s="255">
        <v>4778.0</v>
      </c>
      <c r="BY58" s="255"/>
      <c r="BZ58" s="255">
        <v>2020.0</v>
      </c>
      <c r="CA58" s="255">
        <v>485.0</v>
      </c>
      <c r="CB58" s="255">
        <v>3.0</v>
      </c>
      <c r="CC58" s="255">
        <v>0.0</v>
      </c>
      <c r="CD58" s="255">
        <v>0.0</v>
      </c>
      <c r="CE58" s="255">
        <v>0.0</v>
      </c>
      <c r="CF58" s="255">
        <v>488.0</v>
      </c>
      <c r="CG58" s="163"/>
      <c r="CH58" s="57" t="s">
        <v>698</v>
      </c>
      <c r="CI58" s="57">
        <v>2019.0</v>
      </c>
      <c r="CJ58" s="57">
        <v>235.0</v>
      </c>
      <c r="CK58" s="57">
        <v>118.0</v>
      </c>
      <c r="CL58" s="57">
        <v>158.0</v>
      </c>
      <c r="CM58" s="57">
        <v>209.0</v>
      </c>
      <c r="CN58" s="57">
        <v>321.0</v>
      </c>
      <c r="CO58" s="57">
        <v>1041.0</v>
      </c>
      <c r="CP58" s="57"/>
      <c r="CQ58" s="57">
        <v>2019.0</v>
      </c>
      <c r="CR58" s="57">
        <v>55.0</v>
      </c>
      <c r="CS58" s="57">
        <v>0.0</v>
      </c>
      <c r="CT58" s="57">
        <v>0.0</v>
      </c>
      <c r="CU58" s="57">
        <v>0.0</v>
      </c>
      <c r="CV58" s="57">
        <v>0.0</v>
      </c>
      <c r="CW58" s="57">
        <v>55.0</v>
      </c>
      <c r="CX58" s="163"/>
      <c r="CY58" s="163"/>
      <c r="CZ58" s="163"/>
      <c r="DA58" s="163"/>
      <c r="DB58" s="163"/>
      <c r="DC58" s="163"/>
      <c r="DD58" s="163"/>
      <c r="DE58" s="163"/>
      <c r="DF58" s="163"/>
      <c r="DG58" s="163"/>
      <c r="DH58" s="163"/>
      <c r="DI58" s="163"/>
      <c r="DJ58" s="163"/>
      <c r="DK58" s="163"/>
      <c r="DL58" s="163"/>
      <c r="DM58" s="163"/>
      <c r="DN58" s="163"/>
      <c r="DO58" s="163"/>
      <c r="DP58" s="49" t="s">
        <v>743</v>
      </c>
      <c r="DQ58" s="49">
        <v>2020.0</v>
      </c>
      <c r="DR58" s="49">
        <v>1491.0</v>
      </c>
      <c r="DS58" s="49">
        <v>1039.0</v>
      </c>
      <c r="DT58" s="49">
        <v>1275.0</v>
      </c>
      <c r="DU58" s="49">
        <v>1334.0</v>
      </c>
      <c r="DV58" s="49">
        <v>1000.0</v>
      </c>
      <c r="DW58" s="49">
        <v>6139.0</v>
      </c>
      <c r="DX58" s="49"/>
      <c r="DY58" s="49">
        <v>2020.0</v>
      </c>
      <c r="DZ58" s="49">
        <v>46.0</v>
      </c>
      <c r="EA58" s="49">
        <v>0.0</v>
      </c>
      <c r="EB58" s="49">
        <v>0.0</v>
      </c>
      <c r="EC58" s="49">
        <v>0.0</v>
      </c>
      <c r="ED58" s="49">
        <v>0.0</v>
      </c>
      <c r="EE58" s="49">
        <v>46.0</v>
      </c>
      <c r="EF58" s="163"/>
      <c r="EG58" s="57" t="s">
        <v>814</v>
      </c>
      <c r="EH58" s="57">
        <v>2019.0</v>
      </c>
      <c r="EI58" s="57">
        <v>635.0</v>
      </c>
      <c r="EJ58" s="57">
        <v>739.0</v>
      </c>
      <c r="EK58" s="57">
        <v>895.0</v>
      </c>
      <c r="EL58" s="57">
        <v>1022.0</v>
      </c>
      <c r="EM58" s="57">
        <v>1107.0</v>
      </c>
      <c r="EN58" s="57">
        <v>4398.0</v>
      </c>
      <c r="EO58" s="57"/>
      <c r="EP58" s="57">
        <v>2019.0</v>
      </c>
      <c r="EQ58" s="57">
        <v>75.0</v>
      </c>
      <c r="ER58" s="57">
        <v>37.0</v>
      </c>
      <c r="ES58" s="57">
        <v>30.0</v>
      </c>
      <c r="ET58" s="57">
        <v>35.0</v>
      </c>
      <c r="EU58" s="57">
        <v>24.0</v>
      </c>
      <c r="EV58" s="57">
        <v>201.0</v>
      </c>
      <c r="EW58" s="163"/>
      <c r="EX58" s="255" t="s">
        <v>868</v>
      </c>
      <c r="EY58" s="255">
        <v>2019.0</v>
      </c>
      <c r="EZ58" s="255">
        <v>459.0</v>
      </c>
      <c r="FA58" s="255">
        <v>463.0</v>
      </c>
      <c r="FB58" s="255">
        <v>417.0</v>
      </c>
      <c r="FC58" s="255">
        <v>462.0</v>
      </c>
      <c r="FD58" s="255">
        <v>647.0</v>
      </c>
      <c r="FE58" s="255">
        <v>2448.0</v>
      </c>
      <c r="FF58" s="255"/>
      <c r="FG58" s="255">
        <v>2019.0</v>
      </c>
      <c r="FH58" s="255">
        <v>112.0</v>
      </c>
      <c r="FI58" s="255">
        <v>0.0</v>
      </c>
      <c r="FJ58" s="255">
        <v>0.0</v>
      </c>
      <c r="FK58" s="255">
        <v>0.0</v>
      </c>
      <c r="FL58" s="255">
        <v>0.0</v>
      </c>
      <c r="FM58" s="255">
        <v>112.0</v>
      </c>
    </row>
    <row r="59" ht="13.5" customHeight="1">
      <c r="A59" s="252" t="s">
        <v>1093</v>
      </c>
      <c r="B59" s="252">
        <v>2019.0</v>
      </c>
      <c r="C59" s="252" t="s">
        <v>541</v>
      </c>
      <c r="D59" s="252" t="s">
        <v>541</v>
      </c>
      <c r="E59" s="252" t="s">
        <v>541</v>
      </c>
      <c r="F59" s="252" t="s">
        <v>541</v>
      </c>
      <c r="G59" s="252" t="s">
        <v>541</v>
      </c>
      <c r="H59" s="252" t="s">
        <v>541</v>
      </c>
      <c r="I59" s="252"/>
      <c r="J59" s="252">
        <v>2019.0</v>
      </c>
      <c r="K59" s="252" t="s">
        <v>541</v>
      </c>
      <c r="L59" s="252" t="s">
        <v>541</v>
      </c>
      <c r="M59" s="252" t="s">
        <v>541</v>
      </c>
      <c r="N59" s="252" t="s">
        <v>541</v>
      </c>
      <c r="O59" s="252" t="s">
        <v>541</v>
      </c>
      <c r="P59" s="252" t="s">
        <v>541</v>
      </c>
      <c r="Q59" s="131"/>
      <c r="R59" s="253" t="s">
        <v>1291</v>
      </c>
      <c r="S59" s="253">
        <v>2019.0</v>
      </c>
      <c r="T59" s="253">
        <v>233.0</v>
      </c>
      <c r="U59" s="253">
        <v>494.0</v>
      </c>
      <c r="V59" s="253">
        <v>793.0</v>
      </c>
      <c r="W59" s="253">
        <v>887.0</v>
      </c>
      <c r="X59" s="253">
        <v>565.0</v>
      </c>
      <c r="Y59" s="253">
        <v>2972.0</v>
      </c>
      <c r="Z59" s="253"/>
      <c r="AA59" s="253">
        <v>2019.0</v>
      </c>
      <c r="AB59" s="253">
        <v>5.0</v>
      </c>
      <c r="AC59" s="253">
        <v>3.0</v>
      </c>
      <c r="AD59" s="253">
        <v>1.0</v>
      </c>
      <c r="AE59" s="253">
        <v>0.0</v>
      </c>
      <c r="AF59" s="253">
        <v>0.0</v>
      </c>
      <c r="AG59" s="253">
        <v>9.0</v>
      </c>
      <c r="AH59" s="163"/>
      <c r="AI59" s="246" t="s">
        <v>286</v>
      </c>
      <c r="AJ59" s="246">
        <v>2019.0</v>
      </c>
      <c r="AK59" s="246">
        <v>349.0</v>
      </c>
      <c r="AL59" s="246">
        <v>540.0</v>
      </c>
      <c r="AM59" s="246">
        <v>852.0</v>
      </c>
      <c r="AN59" s="246">
        <v>996.0</v>
      </c>
      <c r="AO59" s="246">
        <v>689.0</v>
      </c>
      <c r="AP59" s="246">
        <v>3426.0</v>
      </c>
      <c r="AQ59" s="246"/>
      <c r="AR59" s="246">
        <v>2019.0</v>
      </c>
      <c r="AS59" s="246">
        <v>60.0</v>
      </c>
      <c r="AT59" s="246">
        <v>4.0</v>
      </c>
      <c r="AU59" s="246">
        <v>1.0</v>
      </c>
      <c r="AV59" s="246">
        <v>0.0</v>
      </c>
      <c r="AW59" s="246">
        <v>1.0</v>
      </c>
      <c r="AX59" s="246">
        <v>66.0</v>
      </c>
      <c r="AY59" s="163"/>
      <c r="AZ59" s="254" t="s">
        <v>586</v>
      </c>
      <c r="BA59" s="254">
        <v>2018.0</v>
      </c>
      <c r="BB59" s="254">
        <v>172.0</v>
      </c>
      <c r="BC59" s="254">
        <v>219.0</v>
      </c>
      <c r="BD59" s="254">
        <v>435.0</v>
      </c>
      <c r="BE59" s="254">
        <v>729.0</v>
      </c>
      <c r="BF59" s="254">
        <v>682.0</v>
      </c>
      <c r="BG59" s="254">
        <v>2237.0</v>
      </c>
      <c r="BH59" s="254"/>
      <c r="BI59" s="254">
        <v>2018.0</v>
      </c>
      <c r="BJ59" s="254">
        <v>36.0</v>
      </c>
      <c r="BK59" s="254">
        <v>0.0</v>
      </c>
      <c r="BL59" s="254">
        <v>0.0</v>
      </c>
      <c r="BM59" s="254">
        <v>0.0</v>
      </c>
      <c r="BN59" s="254">
        <v>0.0</v>
      </c>
      <c r="BO59" s="254">
        <v>36.0</v>
      </c>
      <c r="BP59" s="163"/>
      <c r="BQ59" s="255" t="s">
        <v>363</v>
      </c>
      <c r="BR59" s="255">
        <v>2020.0</v>
      </c>
      <c r="BS59" s="255">
        <v>31.0</v>
      </c>
      <c r="BT59" s="255">
        <v>40.0</v>
      </c>
      <c r="BU59" s="255">
        <v>77.0</v>
      </c>
      <c r="BV59" s="255">
        <v>105.0</v>
      </c>
      <c r="BW59" s="255">
        <v>90.0</v>
      </c>
      <c r="BX59" s="255">
        <v>343.0</v>
      </c>
      <c r="BY59" s="255"/>
      <c r="BZ59" s="255">
        <v>2020.0</v>
      </c>
      <c r="CA59" s="255">
        <v>10.0</v>
      </c>
      <c r="CB59" s="255">
        <v>0.0</v>
      </c>
      <c r="CC59" s="255">
        <v>0.0</v>
      </c>
      <c r="CD59" s="255">
        <v>0.0</v>
      </c>
      <c r="CE59" s="255">
        <v>0.0</v>
      </c>
      <c r="CF59" s="255">
        <v>10.0</v>
      </c>
      <c r="CG59" s="163"/>
      <c r="CH59" s="57" t="s">
        <v>989</v>
      </c>
      <c r="CI59" s="57">
        <v>2019.0</v>
      </c>
      <c r="CJ59" s="57">
        <v>284.0</v>
      </c>
      <c r="CK59" s="57">
        <v>225.0</v>
      </c>
      <c r="CL59" s="57">
        <v>298.0</v>
      </c>
      <c r="CM59" s="57">
        <v>398.0</v>
      </c>
      <c r="CN59" s="57">
        <v>313.0</v>
      </c>
      <c r="CO59" s="57">
        <v>1518.0</v>
      </c>
      <c r="CP59" s="57"/>
      <c r="CQ59" s="57">
        <v>2019.0</v>
      </c>
      <c r="CR59" s="57">
        <v>25.0</v>
      </c>
      <c r="CS59" s="57">
        <v>0.0</v>
      </c>
      <c r="CT59" s="57">
        <v>0.0</v>
      </c>
      <c r="CU59" s="57">
        <v>0.0</v>
      </c>
      <c r="CV59" s="57">
        <v>0.0</v>
      </c>
      <c r="CW59" s="57">
        <v>25.0</v>
      </c>
      <c r="CX59" s="163"/>
      <c r="CY59" s="163"/>
      <c r="CZ59" s="163"/>
      <c r="DA59" s="163"/>
      <c r="DB59" s="163"/>
      <c r="DC59" s="163"/>
      <c r="DD59" s="163"/>
      <c r="DE59" s="163"/>
      <c r="DF59" s="163"/>
      <c r="DG59" s="163"/>
      <c r="DH59" s="163"/>
      <c r="DI59" s="163"/>
      <c r="DJ59" s="163"/>
      <c r="DK59" s="163"/>
      <c r="DL59" s="163"/>
      <c r="DM59" s="163"/>
      <c r="DN59" s="163"/>
      <c r="DO59" s="163"/>
      <c r="DP59" s="49" t="s">
        <v>745</v>
      </c>
      <c r="DQ59" s="49">
        <v>2020.0</v>
      </c>
      <c r="DR59" s="49" t="s">
        <v>541</v>
      </c>
      <c r="DS59" s="49" t="s">
        <v>541</v>
      </c>
      <c r="DT59" s="49" t="s">
        <v>541</v>
      </c>
      <c r="DU59" s="49" t="s">
        <v>541</v>
      </c>
      <c r="DV59" s="49" t="s">
        <v>541</v>
      </c>
      <c r="DW59" s="49" t="s">
        <v>541</v>
      </c>
      <c r="DX59" s="49"/>
      <c r="DY59" s="49">
        <v>2020.0</v>
      </c>
      <c r="DZ59" s="49" t="s">
        <v>541</v>
      </c>
      <c r="EA59" s="49" t="s">
        <v>541</v>
      </c>
      <c r="EB59" s="49" t="s">
        <v>541</v>
      </c>
      <c r="EC59" s="49" t="s">
        <v>541</v>
      </c>
      <c r="ED59" s="49" t="s">
        <v>541</v>
      </c>
      <c r="EE59" s="49" t="s">
        <v>541</v>
      </c>
      <c r="EF59" s="163"/>
      <c r="EG59" s="57" t="s">
        <v>816</v>
      </c>
      <c r="EH59" s="57">
        <v>2019.0</v>
      </c>
      <c r="EI59" s="57">
        <v>322.0</v>
      </c>
      <c r="EJ59" s="57">
        <v>379.0</v>
      </c>
      <c r="EK59" s="57">
        <v>429.0</v>
      </c>
      <c r="EL59" s="57">
        <v>459.0</v>
      </c>
      <c r="EM59" s="57">
        <v>560.0</v>
      </c>
      <c r="EN59" s="57">
        <v>2149.0</v>
      </c>
      <c r="EO59" s="57"/>
      <c r="EP59" s="57">
        <v>2019.0</v>
      </c>
      <c r="EQ59" s="57">
        <v>16.0</v>
      </c>
      <c r="ER59" s="57">
        <v>9.0</v>
      </c>
      <c r="ES59" s="57">
        <v>8.0</v>
      </c>
      <c r="ET59" s="57">
        <v>6.0</v>
      </c>
      <c r="EU59" s="57">
        <v>12.0</v>
      </c>
      <c r="EV59" s="57">
        <v>51.0</v>
      </c>
      <c r="EW59" s="163"/>
      <c r="EX59" s="255" t="s">
        <v>870</v>
      </c>
      <c r="EY59" s="255">
        <v>2019.0</v>
      </c>
      <c r="EZ59" s="255">
        <v>500.0</v>
      </c>
      <c r="FA59" s="255">
        <v>602.0</v>
      </c>
      <c r="FB59" s="255">
        <v>520.0</v>
      </c>
      <c r="FC59" s="255">
        <v>583.0</v>
      </c>
      <c r="FD59" s="255">
        <v>816.0</v>
      </c>
      <c r="FE59" s="255">
        <v>3021.0</v>
      </c>
      <c r="FF59" s="255"/>
      <c r="FG59" s="255">
        <v>2019.0</v>
      </c>
      <c r="FH59" s="255">
        <v>77.0</v>
      </c>
      <c r="FI59" s="255">
        <v>27.0</v>
      </c>
      <c r="FJ59" s="255">
        <v>0.0</v>
      </c>
      <c r="FK59" s="255">
        <v>0.0</v>
      </c>
      <c r="FL59" s="255">
        <v>0.0</v>
      </c>
      <c r="FM59" s="255">
        <v>104.0</v>
      </c>
    </row>
    <row r="60" ht="13.5" customHeight="1">
      <c r="A60" s="252" t="s">
        <v>1096</v>
      </c>
      <c r="B60" s="252">
        <v>2019.0</v>
      </c>
      <c r="C60" s="252" t="s">
        <v>541</v>
      </c>
      <c r="D60" s="252" t="s">
        <v>541</v>
      </c>
      <c r="E60" s="252" t="s">
        <v>541</v>
      </c>
      <c r="F60" s="252" t="s">
        <v>541</v>
      </c>
      <c r="G60" s="252" t="s">
        <v>541</v>
      </c>
      <c r="H60" s="252" t="s">
        <v>541</v>
      </c>
      <c r="I60" s="252"/>
      <c r="J60" s="252">
        <v>2019.0</v>
      </c>
      <c r="K60" s="252" t="s">
        <v>541</v>
      </c>
      <c r="L60" s="252" t="s">
        <v>541</v>
      </c>
      <c r="M60" s="252" t="s">
        <v>541</v>
      </c>
      <c r="N60" s="252" t="s">
        <v>541</v>
      </c>
      <c r="O60" s="252" t="s">
        <v>541</v>
      </c>
      <c r="P60" s="252" t="s">
        <v>541</v>
      </c>
      <c r="Q60" s="131"/>
      <c r="R60" s="253" t="s">
        <v>280</v>
      </c>
      <c r="S60" s="253">
        <v>2019.0</v>
      </c>
      <c r="T60" s="253">
        <v>212.0</v>
      </c>
      <c r="U60" s="253">
        <v>370.0</v>
      </c>
      <c r="V60" s="253">
        <v>625.0</v>
      </c>
      <c r="W60" s="253">
        <v>707.0</v>
      </c>
      <c r="X60" s="253">
        <v>502.0</v>
      </c>
      <c r="Y60" s="253">
        <v>2416.0</v>
      </c>
      <c r="Z60" s="253"/>
      <c r="AA60" s="253">
        <v>2019.0</v>
      </c>
      <c r="AB60" s="253">
        <v>7.0</v>
      </c>
      <c r="AC60" s="253">
        <v>1.0</v>
      </c>
      <c r="AD60" s="253">
        <v>1.0</v>
      </c>
      <c r="AE60" s="253">
        <v>0.0</v>
      </c>
      <c r="AF60" s="253">
        <v>0.0</v>
      </c>
      <c r="AG60" s="253">
        <v>9.0</v>
      </c>
      <c r="AH60" s="163"/>
      <c r="AI60" s="246" t="s">
        <v>288</v>
      </c>
      <c r="AJ60" s="246">
        <v>2019.0</v>
      </c>
      <c r="AK60" s="246">
        <v>303.0</v>
      </c>
      <c r="AL60" s="246">
        <v>518.0</v>
      </c>
      <c r="AM60" s="246">
        <v>898.0</v>
      </c>
      <c r="AN60" s="246">
        <v>1276.0</v>
      </c>
      <c r="AO60" s="246">
        <v>945.0</v>
      </c>
      <c r="AP60" s="246">
        <v>3940.0</v>
      </c>
      <c r="AQ60" s="246"/>
      <c r="AR60" s="246">
        <v>2019.0</v>
      </c>
      <c r="AS60" s="246">
        <v>22.0</v>
      </c>
      <c r="AT60" s="246">
        <v>3.0</v>
      </c>
      <c r="AU60" s="246">
        <v>0.0</v>
      </c>
      <c r="AV60" s="246">
        <v>0.0</v>
      </c>
      <c r="AW60" s="246">
        <v>0.0</v>
      </c>
      <c r="AX60" s="246">
        <v>25.0</v>
      </c>
      <c r="AY60" s="163"/>
      <c r="AZ60" s="254" t="s">
        <v>588</v>
      </c>
      <c r="BA60" s="254">
        <v>2018.0</v>
      </c>
      <c r="BB60" s="254">
        <v>53.0</v>
      </c>
      <c r="BC60" s="254">
        <v>73.0</v>
      </c>
      <c r="BD60" s="254">
        <v>138.0</v>
      </c>
      <c r="BE60" s="254">
        <v>267.0</v>
      </c>
      <c r="BF60" s="254">
        <v>260.0</v>
      </c>
      <c r="BG60" s="254">
        <v>791.0</v>
      </c>
      <c r="BH60" s="254"/>
      <c r="BI60" s="254">
        <v>2018.0</v>
      </c>
      <c r="BJ60" s="254">
        <v>16.0</v>
      </c>
      <c r="BK60" s="254">
        <v>0.0</v>
      </c>
      <c r="BL60" s="254">
        <v>0.0</v>
      </c>
      <c r="BM60" s="254">
        <v>0.0</v>
      </c>
      <c r="BN60" s="254">
        <v>0.0</v>
      </c>
      <c r="BO60" s="254">
        <v>16.0</v>
      </c>
      <c r="BP60" s="163"/>
      <c r="BQ60" s="255" t="s">
        <v>612</v>
      </c>
      <c r="BR60" s="255">
        <v>2020.0</v>
      </c>
      <c r="BS60" s="255" t="s">
        <v>541</v>
      </c>
      <c r="BT60" s="255" t="s">
        <v>541</v>
      </c>
      <c r="BU60" s="255" t="s">
        <v>541</v>
      </c>
      <c r="BV60" s="255" t="s">
        <v>541</v>
      </c>
      <c r="BW60" s="255" t="s">
        <v>541</v>
      </c>
      <c r="BX60" s="255" t="s">
        <v>541</v>
      </c>
      <c r="BY60" s="255"/>
      <c r="BZ60" s="255">
        <v>2020.0</v>
      </c>
      <c r="CA60" s="255" t="s">
        <v>541</v>
      </c>
      <c r="CB60" s="255" t="s">
        <v>541</v>
      </c>
      <c r="CC60" s="255" t="s">
        <v>541</v>
      </c>
      <c r="CD60" s="255" t="s">
        <v>541</v>
      </c>
      <c r="CE60" s="255" t="s">
        <v>541</v>
      </c>
      <c r="CF60" s="255" t="s">
        <v>541</v>
      </c>
      <c r="CG60" s="163"/>
      <c r="CH60" s="57" t="s">
        <v>992</v>
      </c>
      <c r="CI60" s="57">
        <v>2019.0</v>
      </c>
      <c r="CJ60" s="57">
        <v>192.0</v>
      </c>
      <c r="CK60" s="57">
        <v>178.0</v>
      </c>
      <c r="CL60" s="57">
        <v>280.0</v>
      </c>
      <c r="CM60" s="57">
        <v>379.0</v>
      </c>
      <c r="CN60" s="57">
        <v>337.0</v>
      </c>
      <c r="CO60" s="57">
        <v>1366.0</v>
      </c>
      <c r="CP60" s="57"/>
      <c r="CQ60" s="57">
        <v>2019.0</v>
      </c>
      <c r="CR60" s="57">
        <v>23.0</v>
      </c>
      <c r="CS60" s="57">
        <v>0.0</v>
      </c>
      <c r="CT60" s="57">
        <v>0.0</v>
      </c>
      <c r="CU60" s="57">
        <v>0.0</v>
      </c>
      <c r="CV60" s="57">
        <v>0.0</v>
      </c>
      <c r="CW60" s="57">
        <v>23.0</v>
      </c>
      <c r="CX60" s="163"/>
      <c r="CY60" s="163"/>
      <c r="CZ60" s="163"/>
      <c r="DA60" s="163"/>
      <c r="DB60" s="163"/>
      <c r="DC60" s="163"/>
      <c r="DD60" s="163"/>
      <c r="DE60" s="163"/>
      <c r="DF60" s="163"/>
      <c r="DG60" s="163"/>
      <c r="DH60" s="163"/>
      <c r="DI60" s="163"/>
      <c r="DJ60" s="163"/>
      <c r="DK60" s="163"/>
      <c r="DL60" s="163"/>
      <c r="DM60" s="163"/>
      <c r="DN60" s="163"/>
      <c r="DO60" s="163"/>
      <c r="DP60" s="49" t="s">
        <v>747</v>
      </c>
      <c r="DQ60" s="49">
        <v>2020.0</v>
      </c>
      <c r="DR60" s="49">
        <v>188.0</v>
      </c>
      <c r="DS60" s="49">
        <v>238.0</v>
      </c>
      <c r="DT60" s="49">
        <v>353.0</v>
      </c>
      <c r="DU60" s="49">
        <v>404.0</v>
      </c>
      <c r="DV60" s="49">
        <v>271.0</v>
      </c>
      <c r="DW60" s="49">
        <v>1454.0</v>
      </c>
      <c r="DX60" s="49"/>
      <c r="DY60" s="49">
        <v>2020.0</v>
      </c>
      <c r="DZ60" s="49">
        <v>11.0</v>
      </c>
      <c r="EA60" s="49">
        <v>0.0</v>
      </c>
      <c r="EB60" s="49">
        <v>0.0</v>
      </c>
      <c r="EC60" s="49">
        <v>0.0</v>
      </c>
      <c r="ED60" s="49">
        <v>0.0</v>
      </c>
      <c r="EE60" s="49">
        <v>11.0</v>
      </c>
      <c r="EF60" s="163"/>
      <c r="EG60" s="57" t="s">
        <v>818</v>
      </c>
      <c r="EH60" s="57">
        <v>2019.0</v>
      </c>
      <c r="EI60" s="57">
        <v>100.0</v>
      </c>
      <c r="EJ60" s="57">
        <v>126.0</v>
      </c>
      <c r="EK60" s="57">
        <v>184.0</v>
      </c>
      <c r="EL60" s="57">
        <v>215.0</v>
      </c>
      <c r="EM60" s="57">
        <v>252.0</v>
      </c>
      <c r="EN60" s="57">
        <v>877.0</v>
      </c>
      <c r="EO60" s="57"/>
      <c r="EP60" s="57">
        <v>2019.0</v>
      </c>
      <c r="EQ60" s="57">
        <v>28.0</v>
      </c>
      <c r="ER60" s="57">
        <v>5.0</v>
      </c>
      <c r="ES60" s="57">
        <v>1.0</v>
      </c>
      <c r="ET60" s="57">
        <v>0.0</v>
      </c>
      <c r="EU60" s="57">
        <v>0.0</v>
      </c>
      <c r="EV60" s="57">
        <v>34.0</v>
      </c>
      <c r="EW60" s="163"/>
      <c r="EX60" s="255" t="s">
        <v>872</v>
      </c>
      <c r="EY60" s="255">
        <v>2019.0</v>
      </c>
      <c r="EZ60" s="255" t="s">
        <v>541</v>
      </c>
      <c r="FA60" s="255" t="s">
        <v>541</v>
      </c>
      <c r="FB60" s="255" t="s">
        <v>541</v>
      </c>
      <c r="FC60" s="255" t="s">
        <v>541</v>
      </c>
      <c r="FD60" s="255" t="s">
        <v>541</v>
      </c>
      <c r="FE60" s="255" t="s">
        <v>541</v>
      </c>
      <c r="FF60" s="255"/>
      <c r="FG60" s="255">
        <v>2019.0</v>
      </c>
      <c r="FH60" s="255" t="s">
        <v>541</v>
      </c>
      <c r="FI60" s="255" t="s">
        <v>541</v>
      </c>
      <c r="FJ60" s="255" t="s">
        <v>541</v>
      </c>
      <c r="FK60" s="255" t="s">
        <v>541</v>
      </c>
      <c r="FL60" s="255" t="s">
        <v>541</v>
      </c>
      <c r="FM60" s="255" t="s">
        <v>541</v>
      </c>
    </row>
    <row r="61" ht="13.5" customHeight="1">
      <c r="A61" s="252" t="s">
        <v>1099</v>
      </c>
      <c r="B61" s="252">
        <v>2019.0</v>
      </c>
      <c r="C61" s="252" t="s">
        <v>541</v>
      </c>
      <c r="D61" s="252" t="s">
        <v>541</v>
      </c>
      <c r="E61" s="252" t="s">
        <v>541</v>
      </c>
      <c r="F61" s="252" t="s">
        <v>541</v>
      </c>
      <c r="G61" s="252" t="s">
        <v>541</v>
      </c>
      <c r="H61" s="252" t="s">
        <v>541</v>
      </c>
      <c r="I61" s="252"/>
      <c r="J61" s="252">
        <v>2019.0</v>
      </c>
      <c r="K61" s="252" t="s">
        <v>541</v>
      </c>
      <c r="L61" s="252" t="s">
        <v>541</v>
      </c>
      <c r="M61" s="252" t="s">
        <v>541</v>
      </c>
      <c r="N61" s="252" t="s">
        <v>541</v>
      </c>
      <c r="O61" s="252" t="s">
        <v>541</v>
      </c>
      <c r="P61" s="252" t="s">
        <v>541</v>
      </c>
      <c r="Q61" s="131"/>
      <c r="R61" s="253" t="s">
        <v>282</v>
      </c>
      <c r="S61" s="253">
        <v>2019.0</v>
      </c>
      <c r="T61" s="253">
        <v>939.0</v>
      </c>
      <c r="U61" s="253">
        <v>446.0</v>
      </c>
      <c r="V61" s="253">
        <v>448.0</v>
      </c>
      <c r="W61" s="253">
        <v>412.0</v>
      </c>
      <c r="X61" s="253">
        <v>300.0</v>
      </c>
      <c r="Y61" s="253">
        <v>2545.0</v>
      </c>
      <c r="Z61" s="253"/>
      <c r="AA61" s="253">
        <v>2019.0</v>
      </c>
      <c r="AB61" s="253">
        <v>44.0</v>
      </c>
      <c r="AC61" s="253">
        <v>0.0</v>
      </c>
      <c r="AD61" s="253">
        <v>0.0</v>
      </c>
      <c r="AE61" s="253">
        <v>0.0</v>
      </c>
      <c r="AF61" s="253">
        <v>0.0</v>
      </c>
      <c r="AG61" s="253">
        <v>44.0</v>
      </c>
      <c r="AH61" s="163"/>
      <c r="AI61" s="246" t="s">
        <v>290</v>
      </c>
      <c r="AJ61" s="246">
        <v>2019.0</v>
      </c>
      <c r="AK61" s="246">
        <v>223.0</v>
      </c>
      <c r="AL61" s="246">
        <v>329.0</v>
      </c>
      <c r="AM61" s="246">
        <v>507.0</v>
      </c>
      <c r="AN61" s="246">
        <v>571.0</v>
      </c>
      <c r="AO61" s="246">
        <v>424.0</v>
      </c>
      <c r="AP61" s="246">
        <v>2054.0</v>
      </c>
      <c r="AQ61" s="246"/>
      <c r="AR61" s="246">
        <v>2019.0</v>
      </c>
      <c r="AS61" s="246">
        <v>19.0</v>
      </c>
      <c r="AT61" s="246">
        <v>0.0</v>
      </c>
      <c r="AU61" s="246">
        <v>0.0</v>
      </c>
      <c r="AV61" s="246">
        <v>0.0</v>
      </c>
      <c r="AW61" s="246">
        <v>0.0</v>
      </c>
      <c r="AX61" s="246">
        <v>19.0</v>
      </c>
      <c r="AY61" s="163"/>
      <c r="AZ61" s="254" t="s">
        <v>590</v>
      </c>
      <c r="BA61" s="254">
        <v>2018.0</v>
      </c>
      <c r="BB61" s="254" t="s">
        <v>541</v>
      </c>
      <c r="BC61" s="254" t="s">
        <v>541</v>
      </c>
      <c r="BD61" s="254" t="s">
        <v>541</v>
      </c>
      <c r="BE61" s="254" t="s">
        <v>541</v>
      </c>
      <c r="BF61" s="254" t="s">
        <v>541</v>
      </c>
      <c r="BG61" s="254" t="s">
        <v>541</v>
      </c>
      <c r="BH61" s="254"/>
      <c r="BI61" s="254">
        <v>2018.0</v>
      </c>
      <c r="BJ61" s="254" t="s">
        <v>541</v>
      </c>
      <c r="BK61" s="254" t="s">
        <v>541</v>
      </c>
      <c r="BL61" s="254" t="s">
        <v>541</v>
      </c>
      <c r="BM61" s="254" t="s">
        <v>541</v>
      </c>
      <c r="BN61" s="254" t="s">
        <v>541</v>
      </c>
      <c r="BO61" s="254" t="s">
        <v>541</v>
      </c>
      <c r="BP61" s="163"/>
      <c r="BQ61" s="255" t="s">
        <v>615</v>
      </c>
      <c r="BR61" s="255">
        <v>2020.0</v>
      </c>
      <c r="BS61" s="255">
        <v>1038.0</v>
      </c>
      <c r="BT61" s="255">
        <v>382.0</v>
      </c>
      <c r="BU61" s="255">
        <v>517.0</v>
      </c>
      <c r="BV61" s="255">
        <v>687.0</v>
      </c>
      <c r="BW61" s="255">
        <v>636.0</v>
      </c>
      <c r="BX61" s="255">
        <v>3260.0</v>
      </c>
      <c r="BY61" s="255"/>
      <c r="BZ61" s="255">
        <v>2020.0</v>
      </c>
      <c r="CA61" s="255">
        <v>295.0</v>
      </c>
      <c r="CB61" s="255">
        <v>0.0</v>
      </c>
      <c r="CC61" s="255">
        <v>0.0</v>
      </c>
      <c r="CD61" s="255">
        <v>0.0</v>
      </c>
      <c r="CE61" s="255">
        <v>0.0</v>
      </c>
      <c r="CF61" s="255">
        <v>295.0</v>
      </c>
      <c r="CG61" s="163"/>
      <c r="CH61" s="57" t="s">
        <v>994</v>
      </c>
      <c r="CI61" s="57">
        <v>2019.0</v>
      </c>
      <c r="CJ61" s="57">
        <v>233.0</v>
      </c>
      <c r="CK61" s="57">
        <v>414.0</v>
      </c>
      <c r="CL61" s="57">
        <v>510.0</v>
      </c>
      <c r="CM61" s="57">
        <v>647.0</v>
      </c>
      <c r="CN61" s="57">
        <v>528.0</v>
      </c>
      <c r="CO61" s="57">
        <v>2332.0</v>
      </c>
      <c r="CP61" s="57"/>
      <c r="CQ61" s="57">
        <v>2019.0</v>
      </c>
      <c r="CR61" s="57">
        <v>15.0</v>
      </c>
      <c r="CS61" s="57">
        <v>0.0</v>
      </c>
      <c r="CT61" s="57">
        <v>0.0</v>
      </c>
      <c r="CU61" s="57">
        <v>0.0</v>
      </c>
      <c r="CV61" s="57">
        <v>0.0</v>
      </c>
      <c r="CW61" s="57">
        <v>15.0</v>
      </c>
      <c r="CX61" s="163"/>
      <c r="CY61" s="163"/>
      <c r="CZ61" s="163"/>
      <c r="DA61" s="163"/>
      <c r="DB61" s="163"/>
      <c r="DC61" s="163"/>
      <c r="DD61" s="163"/>
      <c r="DE61" s="163"/>
      <c r="DF61" s="163"/>
      <c r="DG61" s="163"/>
      <c r="DH61" s="163"/>
      <c r="DI61" s="163"/>
      <c r="DJ61" s="163"/>
      <c r="DK61" s="163"/>
      <c r="DL61" s="163"/>
      <c r="DM61" s="163"/>
      <c r="DN61" s="163"/>
      <c r="DO61" s="163"/>
      <c r="DP61" s="49" t="s">
        <v>749</v>
      </c>
      <c r="DQ61" s="49">
        <v>2020.0</v>
      </c>
      <c r="DR61" s="49">
        <v>131.0</v>
      </c>
      <c r="DS61" s="49">
        <v>215.0</v>
      </c>
      <c r="DT61" s="49">
        <v>372.0</v>
      </c>
      <c r="DU61" s="49">
        <v>439.0</v>
      </c>
      <c r="DV61" s="49">
        <v>364.0</v>
      </c>
      <c r="DW61" s="49">
        <v>1521.0</v>
      </c>
      <c r="DX61" s="49"/>
      <c r="DY61" s="49">
        <v>2020.0</v>
      </c>
      <c r="DZ61" s="49">
        <v>15.0</v>
      </c>
      <c r="EA61" s="49">
        <v>1.0</v>
      </c>
      <c r="EB61" s="49">
        <v>0.0</v>
      </c>
      <c r="EC61" s="49">
        <v>0.0</v>
      </c>
      <c r="ED61" s="49">
        <v>0.0</v>
      </c>
      <c r="EE61" s="49">
        <v>16.0</v>
      </c>
      <c r="EF61" s="163"/>
      <c r="EG61" s="57" t="s">
        <v>820</v>
      </c>
      <c r="EH61" s="57">
        <v>2019.0</v>
      </c>
      <c r="EI61" s="57">
        <v>86.0</v>
      </c>
      <c r="EJ61" s="57">
        <v>128.0</v>
      </c>
      <c r="EK61" s="57">
        <v>186.0</v>
      </c>
      <c r="EL61" s="57">
        <v>255.0</v>
      </c>
      <c r="EM61" s="57">
        <v>292.0</v>
      </c>
      <c r="EN61" s="57">
        <v>947.0</v>
      </c>
      <c r="EO61" s="57"/>
      <c r="EP61" s="57">
        <v>2019.0</v>
      </c>
      <c r="EQ61" s="57">
        <v>12.0</v>
      </c>
      <c r="ER61" s="57">
        <v>13.0</v>
      </c>
      <c r="ES61" s="57">
        <v>7.0</v>
      </c>
      <c r="ET61" s="57">
        <v>9.0</v>
      </c>
      <c r="EU61" s="57">
        <v>12.0</v>
      </c>
      <c r="EV61" s="57">
        <v>53.0</v>
      </c>
      <c r="EW61" s="163"/>
      <c r="EX61" s="255" t="s">
        <v>874</v>
      </c>
      <c r="EY61" s="255">
        <v>2019.0</v>
      </c>
      <c r="EZ61" s="255">
        <v>1849.0</v>
      </c>
      <c r="FA61" s="255">
        <v>1445.0</v>
      </c>
      <c r="FB61" s="255">
        <v>954.0</v>
      </c>
      <c r="FC61" s="255">
        <v>877.0</v>
      </c>
      <c r="FD61" s="255">
        <v>955.0</v>
      </c>
      <c r="FE61" s="255">
        <v>6080.0</v>
      </c>
      <c r="FF61" s="255"/>
      <c r="FG61" s="255">
        <v>2019.0</v>
      </c>
      <c r="FH61" s="255">
        <v>320.0</v>
      </c>
      <c r="FI61" s="255">
        <v>104.0</v>
      </c>
      <c r="FJ61" s="255">
        <v>36.0</v>
      </c>
      <c r="FK61" s="255">
        <v>0.0</v>
      </c>
      <c r="FL61" s="255">
        <v>0.0</v>
      </c>
      <c r="FM61" s="255">
        <v>460.0</v>
      </c>
    </row>
    <row r="62" ht="13.5" customHeight="1">
      <c r="A62" s="252" t="s">
        <v>1102</v>
      </c>
      <c r="B62" s="252">
        <v>2019.0</v>
      </c>
      <c r="C62" s="252" t="s">
        <v>541</v>
      </c>
      <c r="D62" s="252" t="s">
        <v>541</v>
      </c>
      <c r="E62" s="252" t="s">
        <v>541</v>
      </c>
      <c r="F62" s="252" t="s">
        <v>541</v>
      </c>
      <c r="G62" s="252" t="s">
        <v>541</v>
      </c>
      <c r="H62" s="252" t="s">
        <v>541</v>
      </c>
      <c r="I62" s="252"/>
      <c r="J62" s="252">
        <v>2019.0</v>
      </c>
      <c r="K62" s="252" t="s">
        <v>541</v>
      </c>
      <c r="L62" s="252" t="s">
        <v>541</v>
      </c>
      <c r="M62" s="252" t="s">
        <v>541</v>
      </c>
      <c r="N62" s="252" t="s">
        <v>541</v>
      </c>
      <c r="O62" s="252" t="s">
        <v>541</v>
      </c>
      <c r="P62" s="252" t="s">
        <v>541</v>
      </c>
      <c r="Q62" s="131"/>
      <c r="R62" s="253" t="s">
        <v>284</v>
      </c>
      <c r="S62" s="253">
        <v>2019.0</v>
      </c>
      <c r="T62" s="253">
        <v>98.0</v>
      </c>
      <c r="U62" s="253">
        <v>156.0</v>
      </c>
      <c r="V62" s="253">
        <v>297.0</v>
      </c>
      <c r="W62" s="253">
        <v>381.0</v>
      </c>
      <c r="X62" s="253">
        <v>327.0</v>
      </c>
      <c r="Y62" s="253">
        <v>1259.0</v>
      </c>
      <c r="Z62" s="253"/>
      <c r="AA62" s="253">
        <v>2019.0</v>
      </c>
      <c r="AB62" s="253">
        <v>8.0</v>
      </c>
      <c r="AC62" s="253">
        <v>6.0</v>
      </c>
      <c r="AD62" s="253">
        <v>0.0</v>
      </c>
      <c r="AE62" s="253">
        <v>0.0</v>
      </c>
      <c r="AF62" s="253">
        <v>0.0</v>
      </c>
      <c r="AG62" s="253">
        <v>14.0</v>
      </c>
      <c r="AH62" s="163"/>
      <c r="AI62" s="246" t="s">
        <v>292</v>
      </c>
      <c r="AJ62" s="246">
        <v>2019.0</v>
      </c>
      <c r="AK62" s="246">
        <v>266.0</v>
      </c>
      <c r="AL62" s="246">
        <v>442.0</v>
      </c>
      <c r="AM62" s="246">
        <v>653.0</v>
      </c>
      <c r="AN62" s="246">
        <v>871.0</v>
      </c>
      <c r="AO62" s="246">
        <v>582.0</v>
      </c>
      <c r="AP62" s="246">
        <v>2814.0</v>
      </c>
      <c r="AQ62" s="246"/>
      <c r="AR62" s="246">
        <v>2019.0</v>
      </c>
      <c r="AS62" s="246">
        <v>17.0</v>
      </c>
      <c r="AT62" s="246">
        <v>5.0</v>
      </c>
      <c r="AU62" s="246">
        <v>1.0</v>
      </c>
      <c r="AV62" s="246">
        <v>1.0</v>
      </c>
      <c r="AW62" s="246">
        <v>0.0</v>
      </c>
      <c r="AX62" s="246">
        <v>24.0</v>
      </c>
      <c r="AY62" s="163"/>
      <c r="AZ62" s="254" t="s">
        <v>592</v>
      </c>
      <c r="BA62" s="254">
        <v>2018.0</v>
      </c>
      <c r="BB62" s="254">
        <v>272.0</v>
      </c>
      <c r="BC62" s="254">
        <v>106.0</v>
      </c>
      <c r="BD62" s="254">
        <v>148.0</v>
      </c>
      <c r="BE62" s="254">
        <v>187.0</v>
      </c>
      <c r="BF62" s="254">
        <v>237.0</v>
      </c>
      <c r="BG62" s="254">
        <v>950.0</v>
      </c>
      <c r="BH62" s="254"/>
      <c r="BI62" s="254">
        <v>2018.0</v>
      </c>
      <c r="BJ62" s="254">
        <v>45.0</v>
      </c>
      <c r="BK62" s="254">
        <v>0.0</v>
      </c>
      <c r="BL62" s="254">
        <v>0.0</v>
      </c>
      <c r="BM62" s="254">
        <v>0.0</v>
      </c>
      <c r="BN62" s="254">
        <v>0.0</v>
      </c>
      <c r="BO62" s="254">
        <v>45.0</v>
      </c>
      <c r="BP62" s="163"/>
      <c r="BQ62" s="255" t="s">
        <v>620</v>
      </c>
      <c r="BR62" s="255">
        <v>2020.0</v>
      </c>
      <c r="BS62" s="255">
        <v>65.0</v>
      </c>
      <c r="BT62" s="255">
        <v>131.0</v>
      </c>
      <c r="BU62" s="255">
        <v>244.0</v>
      </c>
      <c r="BV62" s="255">
        <v>369.0</v>
      </c>
      <c r="BW62" s="255">
        <v>306.0</v>
      </c>
      <c r="BX62" s="255">
        <v>1115.0</v>
      </c>
      <c r="BY62" s="255"/>
      <c r="BZ62" s="255">
        <v>2020.0</v>
      </c>
      <c r="CA62" s="255">
        <v>15.0</v>
      </c>
      <c r="CB62" s="255">
        <v>0.0</v>
      </c>
      <c r="CC62" s="255">
        <v>0.0</v>
      </c>
      <c r="CD62" s="255">
        <v>0.0</v>
      </c>
      <c r="CE62" s="255">
        <v>0.0</v>
      </c>
      <c r="CF62" s="255">
        <v>15.0</v>
      </c>
      <c r="CG62" s="163"/>
      <c r="CH62" s="57" t="s">
        <v>996</v>
      </c>
      <c r="CI62" s="57">
        <v>2019.0</v>
      </c>
      <c r="CJ62" s="57">
        <v>145.0</v>
      </c>
      <c r="CK62" s="57">
        <v>157.0</v>
      </c>
      <c r="CL62" s="57">
        <v>296.0</v>
      </c>
      <c r="CM62" s="57">
        <v>374.0</v>
      </c>
      <c r="CN62" s="57">
        <v>287.0</v>
      </c>
      <c r="CO62" s="57">
        <v>1259.0</v>
      </c>
      <c r="CP62" s="57"/>
      <c r="CQ62" s="57">
        <v>2019.0</v>
      </c>
      <c r="CR62" s="57">
        <v>18.0</v>
      </c>
      <c r="CS62" s="57">
        <v>0.0</v>
      </c>
      <c r="CT62" s="57">
        <v>0.0</v>
      </c>
      <c r="CU62" s="57">
        <v>0.0</v>
      </c>
      <c r="CV62" s="57">
        <v>0.0</v>
      </c>
      <c r="CW62" s="57">
        <v>18.0</v>
      </c>
      <c r="CX62" s="163"/>
      <c r="CY62" s="163"/>
      <c r="CZ62" s="163"/>
      <c r="DA62" s="163"/>
      <c r="DB62" s="163"/>
      <c r="DC62" s="163"/>
      <c r="DD62" s="163"/>
      <c r="DE62" s="163"/>
      <c r="DF62" s="163"/>
      <c r="DG62" s="163"/>
      <c r="DH62" s="163"/>
      <c r="DI62" s="163"/>
      <c r="DJ62" s="163"/>
      <c r="DK62" s="163"/>
      <c r="DL62" s="163"/>
      <c r="DM62" s="163"/>
      <c r="DN62" s="163"/>
      <c r="DO62" s="163"/>
      <c r="DP62" s="49" t="s">
        <v>752</v>
      </c>
      <c r="DQ62" s="49">
        <v>2020.0</v>
      </c>
      <c r="DR62" s="49">
        <v>203.0</v>
      </c>
      <c r="DS62" s="49">
        <v>264.0</v>
      </c>
      <c r="DT62" s="49">
        <v>311.0</v>
      </c>
      <c r="DU62" s="49">
        <v>390.0</v>
      </c>
      <c r="DV62" s="49">
        <v>300.0</v>
      </c>
      <c r="DW62" s="49">
        <v>1468.0</v>
      </c>
      <c r="DX62" s="49"/>
      <c r="DY62" s="49">
        <v>2020.0</v>
      </c>
      <c r="DZ62" s="49">
        <v>19.0</v>
      </c>
      <c r="EA62" s="49">
        <v>2.0</v>
      </c>
      <c r="EB62" s="49">
        <v>0.0</v>
      </c>
      <c r="EC62" s="49">
        <v>0.0</v>
      </c>
      <c r="ED62" s="49">
        <v>0.0</v>
      </c>
      <c r="EE62" s="49">
        <v>21.0</v>
      </c>
      <c r="EF62" s="163"/>
      <c r="EG62" s="57" t="s">
        <v>822</v>
      </c>
      <c r="EH62" s="57">
        <v>2019.0</v>
      </c>
      <c r="EI62" s="57">
        <v>96.0</v>
      </c>
      <c r="EJ62" s="57">
        <v>136.0</v>
      </c>
      <c r="EK62" s="57">
        <v>190.0</v>
      </c>
      <c r="EL62" s="57">
        <v>280.0</v>
      </c>
      <c r="EM62" s="57">
        <v>352.0</v>
      </c>
      <c r="EN62" s="57">
        <v>1054.0</v>
      </c>
      <c r="EO62" s="57"/>
      <c r="EP62" s="57">
        <v>2019.0</v>
      </c>
      <c r="EQ62" s="57">
        <v>17.0</v>
      </c>
      <c r="ER62" s="57">
        <v>9.0</v>
      </c>
      <c r="ES62" s="57">
        <v>6.0</v>
      </c>
      <c r="ET62" s="57">
        <v>4.0</v>
      </c>
      <c r="EU62" s="57">
        <v>2.0</v>
      </c>
      <c r="EV62" s="57">
        <v>38.0</v>
      </c>
      <c r="EW62" s="163"/>
      <c r="EX62" s="255" t="s">
        <v>876</v>
      </c>
      <c r="EY62" s="255">
        <v>2019.0</v>
      </c>
      <c r="EZ62" s="255">
        <v>307.0</v>
      </c>
      <c r="FA62" s="255">
        <v>526.0</v>
      </c>
      <c r="FB62" s="255">
        <v>679.0</v>
      </c>
      <c r="FC62" s="255">
        <v>650.0</v>
      </c>
      <c r="FD62" s="255">
        <v>706.0</v>
      </c>
      <c r="FE62" s="255">
        <v>2868.0</v>
      </c>
      <c r="FF62" s="255"/>
      <c r="FG62" s="255">
        <v>2019.0</v>
      </c>
      <c r="FH62" s="255">
        <v>41.0</v>
      </c>
      <c r="FI62" s="255">
        <v>4.0</v>
      </c>
      <c r="FJ62" s="255">
        <v>0.0</v>
      </c>
      <c r="FK62" s="255">
        <v>0.0</v>
      </c>
      <c r="FL62" s="255">
        <v>0.0</v>
      </c>
      <c r="FM62" s="255">
        <v>45.0</v>
      </c>
    </row>
    <row r="63" ht="13.5" customHeight="1">
      <c r="A63" s="252" t="s">
        <v>1105</v>
      </c>
      <c r="B63" s="252">
        <v>2019.0</v>
      </c>
      <c r="C63" s="252" t="s">
        <v>541</v>
      </c>
      <c r="D63" s="252" t="s">
        <v>541</v>
      </c>
      <c r="E63" s="252" t="s">
        <v>541</v>
      </c>
      <c r="F63" s="252" t="s">
        <v>541</v>
      </c>
      <c r="G63" s="252" t="s">
        <v>541</v>
      </c>
      <c r="H63" s="252" t="s">
        <v>541</v>
      </c>
      <c r="I63" s="252"/>
      <c r="J63" s="252">
        <v>2019.0</v>
      </c>
      <c r="K63" s="252" t="s">
        <v>541</v>
      </c>
      <c r="L63" s="252" t="s">
        <v>541</v>
      </c>
      <c r="M63" s="252" t="s">
        <v>541</v>
      </c>
      <c r="N63" s="252" t="s">
        <v>541</v>
      </c>
      <c r="O63" s="252" t="s">
        <v>541</v>
      </c>
      <c r="P63" s="252" t="s">
        <v>541</v>
      </c>
      <c r="Q63" s="131"/>
      <c r="R63" s="163"/>
      <c r="S63" s="163"/>
      <c r="T63" s="163"/>
      <c r="U63" s="163"/>
      <c r="V63" s="163"/>
      <c r="W63" s="163"/>
      <c r="X63" s="163"/>
      <c r="Y63" s="163"/>
      <c r="Z63" s="163"/>
      <c r="AA63" s="163"/>
      <c r="AB63" s="163"/>
      <c r="AC63" s="163"/>
      <c r="AD63" s="163"/>
      <c r="AE63" s="163"/>
      <c r="AF63" s="163"/>
      <c r="AG63" s="163"/>
      <c r="AH63" s="163"/>
      <c r="AI63" s="246" t="s">
        <v>294</v>
      </c>
      <c r="AJ63" s="246">
        <v>2019.0</v>
      </c>
      <c r="AK63" s="246">
        <v>225.0</v>
      </c>
      <c r="AL63" s="246">
        <v>254.0</v>
      </c>
      <c r="AM63" s="246">
        <v>456.0</v>
      </c>
      <c r="AN63" s="246">
        <v>557.0</v>
      </c>
      <c r="AO63" s="246">
        <v>433.0</v>
      </c>
      <c r="AP63" s="246">
        <v>1925.0</v>
      </c>
      <c r="AQ63" s="246"/>
      <c r="AR63" s="246">
        <v>2019.0</v>
      </c>
      <c r="AS63" s="246">
        <v>34.0</v>
      </c>
      <c r="AT63" s="246">
        <v>0.0</v>
      </c>
      <c r="AU63" s="246">
        <v>0.0</v>
      </c>
      <c r="AV63" s="246">
        <v>0.0</v>
      </c>
      <c r="AW63" s="246">
        <v>0.0</v>
      </c>
      <c r="AX63" s="246">
        <v>34.0</v>
      </c>
      <c r="AY63" s="163"/>
      <c r="AZ63" s="163"/>
      <c r="BA63" s="163"/>
      <c r="BB63" s="163"/>
      <c r="BC63" s="163"/>
      <c r="BD63" s="163"/>
      <c r="BE63" s="163"/>
      <c r="BF63" s="163"/>
      <c r="BG63" s="163"/>
      <c r="BH63" s="163"/>
      <c r="BI63" s="163"/>
      <c r="BJ63" s="163"/>
      <c r="BK63" s="163"/>
      <c r="BL63" s="163"/>
      <c r="BM63" s="163"/>
      <c r="BN63" s="163"/>
      <c r="BO63" s="163"/>
      <c r="BP63" s="163"/>
      <c r="BQ63" s="255" t="s">
        <v>623</v>
      </c>
      <c r="BR63" s="255">
        <v>2020.0</v>
      </c>
      <c r="BS63" s="255">
        <v>115.0</v>
      </c>
      <c r="BT63" s="255">
        <v>79.0</v>
      </c>
      <c r="BU63" s="255">
        <v>209.0</v>
      </c>
      <c r="BV63" s="255">
        <v>314.0</v>
      </c>
      <c r="BW63" s="255">
        <v>264.0</v>
      </c>
      <c r="BX63" s="255">
        <v>981.0</v>
      </c>
      <c r="BY63" s="255"/>
      <c r="BZ63" s="255">
        <v>2020.0</v>
      </c>
      <c r="CA63" s="255">
        <v>45.0</v>
      </c>
      <c r="CB63" s="255">
        <v>0.0</v>
      </c>
      <c r="CC63" s="255">
        <v>0.0</v>
      </c>
      <c r="CD63" s="255">
        <v>0.0</v>
      </c>
      <c r="CE63" s="255">
        <v>0.0</v>
      </c>
      <c r="CF63" s="255">
        <v>45.0</v>
      </c>
      <c r="CG63" s="163"/>
      <c r="CH63" s="57" t="s">
        <v>689</v>
      </c>
      <c r="CI63" s="57">
        <v>2019.0</v>
      </c>
      <c r="CJ63" s="57">
        <v>137.0</v>
      </c>
      <c r="CK63" s="57">
        <v>85.0</v>
      </c>
      <c r="CL63" s="57">
        <v>118.0</v>
      </c>
      <c r="CM63" s="57">
        <v>161.0</v>
      </c>
      <c r="CN63" s="57">
        <v>194.0</v>
      </c>
      <c r="CO63" s="57">
        <v>695.0</v>
      </c>
      <c r="CP63" s="57"/>
      <c r="CQ63" s="57">
        <v>2019.0</v>
      </c>
      <c r="CR63" s="57">
        <v>43.0</v>
      </c>
      <c r="CS63" s="57">
        <v>0.0</v>
      </c>
      <c r="CT63" s="57">
        <v>0.0</v>
      </c>
      <c r="CU63" s="57">
        <v>0.0</v>
      </c>
      <c r="CV63" s="57">
        <v>0.0</v>
      </c>
      <c r="CW63" s="57">
        <v>43.0</v>
      </c>
      <c r="CX63" s="163"/>
      <c r="CY63" s="163"/>
      <c r="CZ63" s="163"/>
      <c r="DA63" s="163"/>
      <c r="DB63" s="163"/>
      <c r="DC63" s="163"/>
      <c r="DD63" s="163"/>
      <c r="DE63" s="163"/>
      <c r="DF63" s="163"/>
      <c r="DG63" s="163"/>
      <c r="DH63" s="163"/>
      <c r="DI63" s="163"/>
      <c r="DJ63" s="163"/>
      <c r="DK63" s="163"/>
      <c r="DL63" s="163"/>
      <c r="DM63" s="163"/>
      <c r="DN63" s="163"/>
      <c r="DO63" s="163"/>
      <c r="DP63" s="49" t="s">
        <v>754</v>
      </c>
      <c r="DQ63" s="49">
        <v>2020.0</v>
      </c>
      <c r="DR63" s="49">
        <v>123.0</v>
      </c>
      <c r="DS63" s="49">
        <v>169.0</v>
      </c>
      <c r="DT63" s="49">
        <v>208.0</v>
      </c>
      <c r="DU63" s="49">
        <v>263.0</v>
      </c>
      <c r="DV63" s="49">
        <v>262.0</v>
      </c>
      <c r="DW63" s="49">
        <v>1025.0</v>
      </c>
      <c r="DX63" s="49"/>
      <c r="DY63" s="49">
        <v>2020.0</v>
      </c>
      <c r="DZ63" s="49">
        <v>11.0</v>
      </c>
      <c r="EA63" s="49">
        <v>1.0</v>
      </c>
      <c r="EB63" s="49">
        <v>0.0</v>
      </c>
      <c r="EC63" s="49">
        <v>0.0</v>
      </c>
      <c r="ED63" s="49">
        <v>0.0</v>
      </c>
      <c r="EE63" s="49">
        <v>12.0</v>
      </c>
      <c r="EF63" s="163"/>
      <c r="EG63" s="57" t="s">
        <v>824</v>
      </c>
      <c r="EH63" s="57">
        <v>2019.0</v>
      </c>
      <c r="EI63" s="57">
        <v>98.0</v>
      </c>
      <c r="EJ63" s="57">
        <v>137.0</v>
      </c>
      <c r="EK63" s="57">
        <v>188.0</v>
      </c>
      <c r="EL63" s="57">
        <v>242.0</v>
      </c>
      <c r="EM63" s="57">
        <v>347.0</v>
      </c>
      <c r="EN63" s="57">
        <v>1012.0</v>
      </c>
      <c r="EO63" s="57"/>
      <c r="EP63" s="57">
        <v>2019.0</v>
      </c>
      <c r="EQ63" s="57">
        <v>9.0</v>
      </c>
      <c r="ER63" s="57">
        <v>4.0</v>
      </c>
      <c r="ES63" s="57">
        <v>0.0</v>
      </c>
      <c r="ET63" s="57">
        <v>0.0</v>
      </c>
      <c r="EU63" s="57">
        <v>0.0</v>
      </c>
      <c r="EV63" s="57">
        <v>13.0</v>
      </c>
      <c r="EW63" s="163"/>
      <c r="EX63" s="255" t="s">
        <v>879</v>
      </c>
      <c r="EY63" s="255">
        <v>2019.0</v>
      </c>
      <c r="EZ63" s="255">
        <v>306.0</v>
      </c>
      <c r="FA63" s="255">
        <v>542.0</v>
      </c>
      <c r="FB63" s="255">
        <v>676.0</v>
      </c>
      <c r="FC63" s="255">
        <v>682.0</v>
      </c>
      <c r="FD63" s="255">
        <v>795.0</v>
      </c>
      <c r="FE63" s="255">
        <v>3001.0</v>
      </c>
      <c r="FF63" s="255"/>
      <c r="FG63" s="255">
        <v>2019.0</v>
      </c>
      <c r="FH63" s="255">
        <v>15.0</v>
      </c>
      <c r="FI63" s="255">
        <v>0.0</v>
      </c>
      <c r="FJ63" s="255">
        <v>0.0</v>
      </c>
      <c r="FK63" s="255">
        <v>0.0</v>
      </c>
      <c r="FL63" s="255">
        <v>0.0</v>
      </c>
      <c r="FM63" s="255">
        <v>15.0</v>
      </c>
    </row>
    <row r="64" ht="13.5" customHeight="1">
      <c r="A64" s="252" t="s">
        <v>1108</v>
      </c>
      <c r="B64" s="252">
        <v>2019.0</v>
      </c>
      <c r="C64" s="252" t="s">
        <v>541</v>
      </c>
      <c r="D64" s="252" t="s">
        <v>541</v>
      </c>
      <c r="E64" s="252" t="s">
        <v>541</v>
      </c>
      <c r="F64" s="252" t="s">
        <v>541</v>
      </c>
      <c r="G64" s="252" t="s">
        <v>541</v>
      </c>
      <c r="H64" s="252" t="s">
        <v>541</v>
      </c>
      <c r="I64" s="252"/>
      <c r="J64" s="252">
        <v>2019.0</v>
      </c>
      <c r="K64" s="252" t="s">
        <v>541</v>
      </c>
      <c r="L64" s="252" t="s">
        <v>541</v>
      </c>
      <c r="M64" s="252" t="s">
        <v>541</v>
      </c>
      <c r="N64" s="252" t="s">
        <v>541</v>
      </c>
      <c r="O64" s="252" t="s">
        <v>541</v>
      </c>
      <c r="P64" s="252" t="s">
        <v>541</v>
      </c>
      <c r="Q64" s="131"/>
      <c r="R64" s="253" t="s">
        <v>228</v>
      </c>
      <c r="S64" s="253">
        <v>2020.0</v>
      </c>
      <c r="T64" s="253">
        <v>765.0</v>
      </c>
      <c r="U64" s="253">
        <v>826.0</v>
      </c>
      <c r="V64" s="253">
        <v>1021.0</v>
      </c>
      <c r="W64" s="253">
        <v>1045.0</v>
      </c>
      <c r="X64" s="253">
        <v>643.0</v>
      </c>
      <c r="Y64" s="253">
        <v>4300.0</v>
      </c>
      <c r="Z64" s="253"/>
      <c r="AA64" s="253">
        <v>2020.0</v>
      </c>
      <c r="AB64" s="253">
        <v>47.0</v>
      </c>
      <c r="AC64" s="253">
        <v>3.0</v>
      </c>
      <c r="AD64" s="253">
        <v>2.0</v>
      </c>
      <c r="AE64" s="253">
        <v>0.0</v>
      </c>
      <c r="AF64" s="253">
        <v>1.0</v>
      </c>
      <c r="AG64" s="253">
        <v>53.0</v>
      </c>
      <c r="AH64" s="163"/>
      <c r="AI64" s="246" t="s">
        <v>296</v>
      </c>
      <c r="AJ64" s="246">
        <v>2019.0</v>
      </c>
      <c r="AK64" s="246">
        <v>245.0</v>
      </c>
      <c r="AL64" s="246">
        <v>286.0</v>
      </c>
      <c r="AM64" s="246">
        <v>553.0</v>
      </c>
      <c r="AN64" s="246">
        <v>660.0</v>
      </c>
      <c r="AO64" s="246">
        <v>553.0</v>
      </c>
      <c r="AP64" s="246">
        <v>2297.0</v>
      </c>
      <c r="AQ64" s="246"/>
      <c r="AR64" s="246">
        <v>2019.0</v>
      </c>
      <c r="AS64" s="246">
        <v>24.0</v>
      </c>
      <c r="AT64" s="246">
        <v>0.0</v>
      </c>
      <c r="AU64" s="246">
        <v>0.0</v>
      </c>
      <c r="AV64" s="246">
        <v>0.0</v>
      </c>
      <c r="AW64" s="246">
        <v>0.0</v>
      </c>
      <c r="AX64" s="246">
        <v>24.0</v>
      </c>
      <c r="AY64" s="163"/>
      <c r="AZ64" s="254" t="s">
        <v>413</v>
      </c>
      <c r="BA64" s="254">
        <v>2019.0</v>
      </c>
      <c r="BB64" s="254">
        <v>188.0</v>
      </c>
      <c r="BC64" s="254">
        <v>240.0</v>
      </c>
      <c r="BD64" s="254">
        <v>446.0</v>
      </c>
      <c r="BE64" s="254">
        <v>659.0</v>
      </c>
      <c r="BF64" s="254">
        <v>637.0</v>
      </c>
      <c r="BG64" s="254">
        <v>2170.0</v>
      </c>
      <c r="BH64" s="254"/>
      <c r="BI64" s="254">
        <v>2019.0</v>
      </c>
      <c r="BJ64" s="254">
        <v>20.0</v>
      </c>
      <c r="BK64" s="254">
        <v>0.0</v>
      </c>
      <c r="BL64" s="254">
        <v>0.0</v>
      </c>
      <c r="BM64" s="254">
        <v>0.0</v>
      </c>
      <c r="BN64" s="254">
        <v>0.0</v>
      </c>
      <c r="BO64" s="254">
        <v>20.0</v>
      </c>
      <c r="BP64" s="163"/>
      <c r="BQ64" s="255" t="s">
        <v>625</v>
      </c>
      <c r="BR64" s="255">
        <v>2020.0</v>
      </c>
      <c r="BS64" s="255">
        <v>73.0</v>
      </c>
      <c r="BT64" s="255">
        <v>57.0</v>
      </c>
      <c r="BU64" s="255">
        <v>83.0</v>
      </c>
      <c r="BV64" s="255">
        <v>166.0</v>
      </c>
      <c r="BW64" s="255">
        <v>194.0</v>
      </c>
      <c r="BX64" s="255">
        <v>573.0</v>
      </c>
      <c r="BY64" s="255"/>
      <c r="BZ64" s="255">
        <v>2020.0</v>
      </c>
      <c r="CA64" s="255">
        <v>20.0</v>
      </c>
      <c r="CB64" s="255">
        <v>0.0</v>
      </c>
      <c r="CC64" s="255">
        <v>0.0</v>
      </c>
      <c r="CD64" s="255">
        <v>0.0</v>
      </c>
      <c r="CE64" s="255">
        <v>0.0</v>
      </c>
      <c r="CF64" s="255">
        <v>20.0</v>
      </c>
      <c r="CG64" s="163"/>
      <c r="CH64" s="57" t="s">
        <v>999</v>
      </c>
      <c r="CI64" s="57">
        <v>2019.0</v>
      </c>
      <c r="CJ64" s="57">
        <v>49.0</v>
      </c>
      <c r="CK64" s="57">
        <v>84.0</v>
      </c>
      <c r="CL64" s="57">
        <v>169.0</v>
      </c>
      <c r="CM64" s="57">
        <v>283.0</v>
      </c>
      <c r="CN64" s="57">
        <v>283.0</v>
      </c>
      <c r="CO64" s="57">
        <v>868.0</v>
      </c>
      <c r="CP64" s="57"/>
      <c r="CQ64" s="57">
        <v>2019.0</v>
      </c>
      <c r="CR64" s="57">
        <v>7.0</v>
      </c>
      <c r="CS64" s="57">
        <v>0.0</v>
      </c>
      <c r="CT64" s="57">
        <v>0.0</v>
      </c>
      <c r="CU64" s="57">
        <v>0.0</v>
      </c>
      <c r="CV64" s="57">
        <v>0.0</v>
      </c>
      <c r="CW64" s="57">
        <v>7.0</v>
      </c>
      <c r="CX64" s="163"/>
      <c r="CY64" s="163"/>
      <c r="CZ64" s="163"/>
      <c r="DA64" s="163"/>
      <c r="DB64" s="163"/>
      <c r="DC64" s="163"/>
      <c r="DD64" s="163"/>
      <c r="DE64" s="163"/>
      <c r="DF64" s="163"/>
      <c r="DG64" s="163"/>
      <c r="DH64" s="163"/>
      <c r="DI64" s="163"/>
      <c r="DJ64" s="163"/>
      <c r="DK64" s="163"/>
      <c r="DL64" s="163"/>
      <c r="DM64" s="163"/>
      <c r="DN64" s="163"/>
      <c r="DO64" s="163"/>
      <c r="DP64" s="49" t="s">
        <v>756</v>
      </c>
      <c r="DQ64" s="49">
        <v>2020.0</v>
      </c>
      <c r="DR64" s="49">
        <v>225.0</v>
      </c>
      <c r="DS64" s="49">
        <v>250.0</v>
      </c>
      <c r="DT64" s="49">
        <v>357.0</v>
      </c>
      <c r="DU64" s="49">
        <v>428.0</v>
      </c>
      <c r="DV64" s="49">
        <v>398.0</v>
      </c>
      <c r="DW64" s="49">
        <v>1658.0</v>
      </c>
      <c r="DX64" s="49"/>
      <c r="DY64" s="49">
        <v>2020.0</v>
      </c>
      <c r="DZ64" s="49">
        <v>21.0</v>
      </c>
      <c r="EA64" s="49">
        <v>0.0</v>
      </c>
      <c r="EB64" s="49">
        <v>0.0</v>
      </c>
      <c r="EC64" s="49">
        <v>0.0</v>
      </c>
      <c r="ED64" s="49">
        <v>0.0</v>
      </c>
      <c r="EE64" s="49">
        <v>21.0</v>
      </c>
      <c r="EF64" s="163"/>
      <c r="EG64" s="57" t="s">
        <v>826</v>
      </c>
      <c r="EH64" s="57">
        <v>2019.0</v>
      </c>
      <c r="EI64" s="57">
        <v>158.0</v>
      </c>
      <c r="EJ64" s="57">
        <v>185.0</v>
      </c>
      <c r="EK64" s="57">
        <v>190.0</v>
      </c>
      <c r="EL64" s="57">
        <v>217.0</v>
      </c>
      <c r="EM64" s="57">
        <v>271.0</v>
      </c>
      <c r="EN64" s="57">
        <v>1021.0</v>
      </c>
      <c r="EO64" s="57"/>
      <c r="EP64" s="57">
        <v>2019.0</v>
      </c>
      <c r="EQ64" s="57">
        <v>51.0</v>
      </c>
      <c r="ER64" s="57">
        <v>13.0</v>
      </c>
      <c r="ES64" s="57">
        <v>8.0</v>
      </c>
      <c r="ET64" s="57">
        <v>2.0</v>
      </c>
      <c r="EU64" s="57">
        <v>6.0</v>
      </c>
      <c r="EV64" s="57">
        <v>80.0</v>
      </c>
      <c r="EW64" s="163"/>
      <c r="EX64" s="255" t="s">
        <v>881</v>
      </c>
      <c r="EY64" s="255">
        <v>2019.0</v>
      </c>
      <c r="EZ64" s="255">
        <v>445.0</v>
      </c>
      <c r="FA64" s="255">
        <v>665.0</v>
      </c>
      <c r="FB64" s="255">
        <v>791.0</v>
      </c>
      <c r="FC64" s="255">
        <v>791.0</v>
      </c>
      <c r="FD64" s="255">
        <v>910.0</v>
      </c>
      <c r="FE64" s="255">
        <v>3602.0</v>
      </c>
      <c r="FF64" s="255"/>
      <c r="FG64" s="255">
        <v>2019.0</v>
      </c>
      <c r="FH64" s="255">
        <v>50.0</v>
      </c>
      <c r="FI64" s="255">
        <v>1.0</v>
      </c>
      <c r="FJ64" s="255">
        <v>0.0</v>
      </c>
      <c r="FK64" s="255">
        <v>0.0</v>
      </c>
      <c r="FL64" s="255">
        <v>0.0</v>
      </c>
      <c r="FM64" s="255">
        <v>51.0</v>
      </c>
    </row>
    <row r="65" ht="13.5" customHeight="1">
      <c r="A65" s="252" t="s">
        <v>1111</v>
      </c>
      <c r="B65" s="252">
        <v>2019.0</v>
      </c>
      <c r="C65" s="252" t="s">
        <v>541</v>
      </c>
      <c r="D65" s="252" t="s">
        <v>541</v>
      </c>
      <c r="E65" s="252" t="s">
        <v>541</v>
      </c>
      <c r="F65" s="252" t="s">
        <v>541</v>
      </c>
      <c r="G65" s="252" t="s">
        <v>541</v>
      </c>
      <c r="H65" s="252" t="s">
        <v>541</v>
      </c>
      <c r="I65" s="252"/>
      <c r="J65" s="252">
        <v>2019.0</v>
      </c>
      <c r="K65" s="252" t="s">
        <v>541</v>
      </c>
      <c r="L65" s="252" t="s">
        <v>541</v>
      </c>
      <c r="M65" s="252" t="s">
        <v>541</v>
      </c>
      <c r="N65" s="252" t="s">
        <v>541</v>
      </c>
      <c r="O65" s="252" t="s">
        <v>541</v>
      </c>
      <c r="P65" s="252" t="s">
        <v>541</v>
      </c>
      <c r="Q65" s="131"/>
      <c r="R65" s="253" t="s">
        <v>230</v>
      </c>
      <c r="S65" s="253">
        <v>2020.0</v>
      </c>
      <c r="T65" s="253">
        <v>285.0</v>
      </c>
      <c r="U65" s="253">
        <v>368.0</v>
      </c>
      <c r="V65" s="253">
        <v>475.0</v>
      </c>
      <c r="W65" s="253">
        <v>491.0</v>
      </c>
      <c r="X65" s="253">
        <v>323.0</v>
      </c>
      <c r="Y65" s="253">
        <v>1942.0</v>
      </c>
      <c r="Z65" s="253"/>
      <c r="AA65" s="253">
        <v>2020.0</v>
      </c>
      <c r="AB65" s="253">
        <v>20.0</v>
      </c>
      <c r="AC65" s="253">
        <v>0.0</v>
      </c>
      <c r="AD65" s="253">
        <v>0.0</v>
      </c>
      <c r="AE65" s="253">
        <v>0.0</v>
      </c>
      <c r="AF65" s="253">
        <v>0.0</v>
      </c>
      <c r="AG65" s="253">
        <v>20.0</v>
      </c>
      <c r="AH65" s="163"/>
      <c r="AI65" s="246" t="s">
        <v>298</v>
      </c>
      <c r="AJ65" s="246">
        <v>2019.0</v>
      </c>
      <c r="AK65" s="246">
        <v>458.0</v>
      </c>
      <c r="AL65" s="246">
        <v>656.0</v>
      </c>
      <c r="AM65" s="246">
        <v>906.0</v>
      </c>
      <c r="AN65" s="246">
        <v>1122.0</v>
      </c>
      <c r="AO65" s="246">
        <v>656.0</v>
      </c>
      <c r="AP65" s="246">
        <v>3798.0</v>
      </c>
      <c r="AQ65" s="246"/>
      <c r="AR65" s="246">
        <v>2019.0</v>
      </c>
      <c r="AS65" s="246">
        <v>34.0</v>
      </c>
      <c r="AT65" s="246">
        <v>2.0</v>
      </c>
      <c r="AU65" s="246">
        <v>0.0</v>
      </c>
      <c r="AV65" s="246">
        <v>0.0</v>
      </c>
      <c r="AW65" s="246">
        <v>0.0</v>
      </c>
      <c r="AX65" s="246">
        <v>36.0</v>
      </c>
      <c r="AY65" s="163"/>
      <c r="AZ65" s="254" t="s">
        <v>415</v>
      </c>
      <c r="BA65" s="254">
        <v>2019.0</v>
      </c>
      <c r="BB65" s="254">
        <v>375.0</v>
      </c>
      <c r="BC65" s="254">
        <v>233.0</v>
      </c>
      <c r="BD65" s="254">
        <v>413.0</v>
      </c>
      <c r="BE65" s="254">
        <v>474.0</v>
      </c>
      <c r="BF65" s="254">
        <v>421.0</v>
      </c>
      <c r="BG65" s="254">
        <v>1916.0</v>
      </c>
      <c r="BH65" s="254"/>
      <c r="BI65" s="254">
        <v>2019.0</v>
      </c>
      <c r="BJ65" s="254">
        <v>83.0</v>
      </c>
      <c r="BK65" s="254">
        <v>0.0</v>
      </c>
      <c r="BL65" s="254">
        <v>0.0</v>
      </c>
      <c r="BM65" s="254">
        <v>0.0</v>
      </c>
      <c r="BN65" s="254">
        <v>0.0</v>
      </c>
      <c r="BO65" s="254">
        <v>83.0</v>
      </c>
      <c r="BP65" s="163"/>
      <c r="BQ65" s="255" t="s">
        <v>627</v>
      </c>
      <c r="BR65" s="255">
        <v>2020.0</v>
      </c>
      <c r="BS65" s="255">
        <v>106.0</v>
      </c>
      <c r="BT65" s="255">
        <v>87.0</v>
      </c>
      <c r="BU65" s="255">
        <v>153.0</v>
      </c>
      <c r="BV65" s="255">
        <v>226.0</v>
      </c>
      <c r="BW65" s="255">
        <v>212.0</v>
      </c>
      <c r="BX65" s="255">
        <v>784.0</v>
      </c>
      <c r="BY65" s="255"/>
      <c r="BZ65" s="255">
        <v>2020.0</v>
      </c>
      <c r="CA65" s="255">
        <v>32.0</v>
      </c>
      <c r="CB65" s="255">
        <v>0.0</v>
      </c>
      <c r="CC65" s="255">
        <v>0.0</v>
      </c>
      <c r="CD65" s="255">
        <v>0.0</v>
      </c>
      <c r="CE65" s="255">
        <v>0.0</v>
      </c>
      <c r="CF65" s="255">
        <v>32.0</v>
      </c>
      <c r="CG65" s="163"/>
      <c r="CH65" s="57" t="s">
        <v>1001</v>
      </c>
      <c r="CI65" s="57">
        <v>2019.0</v>
      </c>
      <c r="CJ65" s="57">
        <v>68.0</v>
      </c>
      <c r="CK65" s="57">
        <v>90.0</v>
      </c>
      <c r="CL65" s="57">
        <v>217.0</v>
      </c>
      <c r="CM65" s="57">
        <v>367.0</v>
      </c>
      <c r="CN65" s="57">
        <v>299.0</v>
      </c>
      <c r="CO65" s="57">
        <v>1041.0</v>
      </c>
      <c r="CP65" s="57"/>
      <c r="CQ65" s="57">
        <v>2019.0</v>
      </c>
      <c r="CR65" s="57">
        <v>25.0</v>
      </c>
      <c r="CS65" s="57">
        <v>0.0</v>
      </c>
      <c r="CT65" s="57">
        <v>0.0</v>
      </c>
      <c r="CU65" s="57">
        <v>0.0</v>
      </c>
      <c r="CV65" s="57">
        <v>0.0</v>
      </c>
      <c r="CW65" s="57">
        <v>25.0</v>
      </c>
      <c r="CX65" s="163"/>
      <c r="CY65" s="163"/>
      <c r="CZ65" s="163"/>
      <c r="DA65" s="163"/>
      <c r="DB65" s="163"/>
      <c r="DC65" s="163"/>
      <c r="DD65" s="163"/>
      <c r="DE65" s="163"/>
      <c r="DF65" s="163"/>
      <c r="DG65" s="163"/>
      <c r="DH65" s="163"/>
      <c r="DI65" s="163"/>
      <c r="DJ65" s="163"/>
      <c r="DK65" s="163"/>
      <c r="DL65" s="163"/>
      <c r="DM65" s="163"/>
      <c r="DN65" s="163"/>
      <c r="DO65" s="163"/>
      <c r="DP65" s="49" t="s">
        <v>758</v>
      </c>
      <c r="DQ65" s="49">
        <v>2020.0</v>
      </c>
      <c r="DR65" s="49">
        <v>178.0</v>
      </c>
      <c r="DS65" s="49">
        <v>141.0</v>
      </c>
      <c r="DT65" s="49">
        <v>152.0</v>
      </c>
      <c r="DU65" s="49">
        <v>169.0</v>
      </c>
      <c r="DV65" s="49">
        <v>136.0</v>
      </c>
      <c r="DW65" s="49">
        <v>776.0</v>
      </c>
      <c r="DX65" s="49"/>
      <c r="DY65" s="49">
        <v>2020.0</v>
      </c>
      <c r="DZ65" s="49">
        <v>14.0</v>
      </c>
      <c r="EA65" s="49">
        <v>0.0</v>
      </c>
      <c r="EB65" s="49">
        <v>0.0</v>
      </c>
      <c r="EC65" s="49">
        <v>0.0</v>
      </c>
      <c r="ED65" s="49">
        <v>0.0</v>
      </c>
      <c r="EE65" s="49">
        <v>14.0</v>
      </c>
      <c r="EF65" s="163"/>
      <c r="EG65" s="57" t="s">
        <v>828</v>
      </c>
      <c r="EH65" s="57">
        <v>2019.0</v>
      </c>
      <c r="EI65" s="57">
        <v>758.0</v>
      </c>
      <c r="EJ65" s="57">
        <v>773.0</v>
      </c>
      <c r="EK65" s="57">
        <v>732.0</v>
      </c>
      <c r="EL65" s="57">
        <v>715.0</v>
      </c>
      <c r="EM65" s="57">
        <v>756.0</v>
      </c>
      <c r="EN65" s="57">
        <v>3734.0</v>
      </c>
      <c r="EO65" s="57"/>
      <c r="EP65" s="57">
        <v>2019.0</v>
      </c>
      <c r="EQ65" s="57">
        <v>54.0</v>
      </c>
      <c r="ER65" s="57">
        <v>8.0</v>
      </c>
      <c r="ES65" s="57">
        <v>1.0</v>
      </c>
      <c r="ET65" s="57">
        <v>0.0</v>
      </c>
      <c r="EU65" s="57">
        <v>0.0</v>
      </c>
      <c r="EV65" s="57">
        <v>63.0</v>
      </c>
      <c r="EW65" s="163"/>
      <c r="EX65" s="255" t="s">
        <v>883</v>
      </c>
      <c r="EY65" s="255">
        <v>2019.0</v>
      </c>
      <c r="EZ65" s="255">
        <v>496.0</v>
      </c>
      <c r="FA65" s="255">
        <v>729.0</v>
      </c>
      <c r="FB65" s="255">
        <v>885.0</v>
      </c>
      <c r="FC65" s="255">
        <v>793.0</v>
      </c>
      <c r="FD65" s="255">
        <v>950.0</v>
      </c>
      <c r="FE65" s="255">
        <v>3853.0</v>
      </c>
      <c r="FF65" s="255"/>
      <c r="FG65" s="255">
        <v>2019.0</v>
      </c>
      <c r="FH65" s="255">
        <v>46.0</v>
      </c>
      <c r="FI65" s="255">
        <v>4.0</v>
      </c>
      <c r="FJ65" s="255">
        <v>0.0</v>
      </c>
      <c r="FK65" s="255">
        <v>0.0</v>
      </c>
      <c r="FL65" s="255">
        <v>0.0</v>
      </c>
      <c r="FM65" s="255">
        <v>50.0</v>
      </c>
    </row>
    <row r="66" ht="13.5" customHeight="1">
      <c r="A66" s="252" t="s">
        <v>1114</v>
      </c>
      <c r="B66" s="252">
        <v>2019.0</v>
      </c>
      <c r="C66" s="252" t="s">
        <v>541</v>
      </c>
      <c r="D66" s="252" t="s">
        <v>541</v>
      </c>
      <c r="E66" s="252" t="s">
        <v>541</v>
      </c>
      <c r="F66" s="252" t="s">
        <v>541</v>
      </c>
      <c r="G66" s="252" t="s">
        <v>541</v>
      </c>
      <c r="H66" s="252" t="s">
        <v>541</v>
      </c>
      <c r="I66" s="252"/>
      <c r="J66" s="252">
        <v>2019.0</v>
      </c>
      <c r="K66" s="252" t="s">
        <v>541</v>
      </c>
      <c r="L66" s="252" t="s">
        <v>541</v>
      </c>
      <c r="M66" s="252" t="s">
        <v>541</v>
      </c>
      <c r="N66" s="252" t="s">
        <v>541</v>
      </c>
      <c r="O66" s="252" t="s">
        <v>541</v>
      </c>
      <c r="P66" s="252" t="s">
        <v>541</v>
      </c>
      <c r="Q66" s="131"/>
      <c r="R66" s="253" t="s">
        <v>232</v>
      </c>
      <c r="S66" s="253">
        <v>2020.0</v>
      </c>
      <c r="T66" s="253">
        <v>152.0</v>
      </c>
      <c r="U66" s="253">
        <v>220.0</v>
      </c>
      <c r="V66" s="253">
        <v>339.0</v>
      </c>
      <c r="W66" s="253">
        <v>346.0</v>
      </c>
      <c r="X66" s="253">
        <v>253.0</v>
      </c>
      <c r="Y66" s="253">
        <v>1310.0</v>
      </c>
      <c r="Z66" s="253"/>
      <c r="AA66" s="253">
        <v>2020.0</v>
      </c>
      <c r="AB66" s="253">
        <v>8.0</v>
      </c>
      <c r="AC66" s="253">
        <v>3.0</v>
      </c>
      <c r="AD66" s="253">
        <v>1.0</v>
      </c>
      <c r="AE66" s="253">
        <v>0.0</v>
      </c>
      <c r="AF66" s="253">
        <v>1.0</v>
      </c>
      <c r="AG66" s="253">
        <v>13.0</v>
      </c>
      <c r="AH66" s="163"/>
      <c r="AI66" s="246" t="s">
        <v>300</v>
      </c>
      <c r="AJ66" s="246">
        <v>2019.0</v>
      </c>
      <c r="AK66" s="246">
        <v>214.0</v>
      </c>
      <c r="AL66" s="246">
        <v>214.0</v>
      </c>
      <c r="AM66" s="246">
        <v>383.0</v>
      </c>
      <c r="AN66" s="246">
        <v>596.0</v>
      </c>
      <c r="AO66" s="246">
        <v>495.0</v>
      </c>
      <c r="AP66" s="246">
        <v>1902.0</v>
      </c>
      <c r="AQ66" s="246"/>
      <c r="AR66" s="246">
        <v>2019.0</v>
      </c>
      <c r="AS66" s="246">
        <v>53.0</v>
      </c>
      <c r="AT66" s="246">
        <v>1.0</v>
      </c>
      <c r="AU66" s="246">
        <v>0.0</v>
      </c>
      <c r="AV66" s="246">
        <v>0.0</v>
      </c>
      <c r="AW66" s="246">
        <v>0.0</v>
      </c>
      <c r="AX66" s="246">
        <v>54.0</v>
      </c>
      <c r="AY66" s="163"/>
      <c r="AZ66" s="254" t="s">
        <v>421</v>
      </c>
      <c r="BA66" s="254">
        <v>2019.0</v>
      </c>
      <c r="BB66" s="254">
        <v>374.0</v>
      </c>
      <c r="BC66" s="254">
        <v>292.0</v>
      </c>
      <c r="BD66" s="254">
        <v>558.0</v>
      </c>
      <c r="BE66" s="254">
        <v>803.0</v>
      </c>
      <c r="BF66" s="254">
        <v>634.0</v>
      </c>
      <c r="BG66" s="254">
        <v>2661.0</v>
      </c>
      <c r="BH66" s="254"/>
      <c r="BI66" s="254">
        <v>2019.0</v>
      </c>
      <c r="BJ66" s="254">
        <v>17.0</v>
      </c>
      <c r="BK66" s="254">
        <v>0.0</v>
      </c>
      <c r="BL66" s="254">
        <v>0.0</v>
      </c>
      <c r="BM66" s="254">
        <v>0.0</v>
      </c>
      <c r="BN66" s="254">
        <v>0.0</v>
      </c>
      <c r="BO66" s="254">
        <v>17.0</v>
      </c>
      <c r="BP66" s="163"/>
      <c r="BQ66" s="255" t="s">
        <v>629</v>
      </c>
      <c r="BR66" s="255">
        <v>2020.0</v>
      </c>
      <c r="BS66" s="255">
        <v>82.0</v>
      </c>
      <c r="BT66" s="255">
        <v>187.0</v>
      </c>
      <c r="BU66" s="255">
        <v>357.0</v>
      </c>
      <c r="BV66" s="255">
        <v>536.0</v>
      </c>
      <c r="BW66" s="255">
        <v>489.0</v>
      </c>
      <c r="BX66" s="255">
        <v>1651.0</v>
      </c>
      <c r="BY66" s="255"/>
      <c r="BZ66" s="255">
        <v>2020.0</v>
      </c>
      <c r="CA66" s="255">
        <v>10.0</v>
      </c>
      <c r="CB66" s="255">
        <v>0.0</v>
      </c>
      <c r="CC66" s="255">
        <v>0.0</v>
      </c>
      <c r="CD66" s="255">
        <v>0.0</v>
      </c>
      <c r="CE66" s="255">
        <v>0.0</v>
      </c>
      <c r="CF66" s="255">
        <v>10.0</v>
      </c>
      <c r="CG66" s="163"/>
      <c r="CH66" s="57" t="s">
        <v>1005</v>
      </c>
      <c r="CI66" s="57">
        <v>2019.0</v>
      </c>
      <c r="CJ66" s="57" t="s">
        <v>541</v>
      </c>
      <c r="CK66" s="57" t="s">
        <v>541</v>
      </c>
      <c r="CL66" s="57" t="s">
        <v>541</v>
      </c>
      <c r="CM66" s="57" t="s">
        <v>541</v>
      </c>
      <c r="CN66" s="57" t="s">
        <v>541</v>
      </c>
      <c r="CO66" s="57" t="s">
        <v>541</v>
      </c>
      <c r="CP66" s="57"/>
      <c r="CQ66" s="57">
        <v>2019.0</v>
      </c>
      <c r="CR66" s="57" t="s">
        <v>541</v>
      </c>
      <c r="CS66" s="57" t="s">
        <v>541</v>
      </c>
      <c r="CT66" s="57" t="s">
        <v>541</v>
      </c>
      <c r="CU66" s="57" t="s">
        <v>541</v>
      </c>
      <c r="CV66" s="57" t="s">
        <v>541</v>
      </c>
      <c r="CW66" s="57" t="s">
        <v>541</v>
      </c>
      <c r="CX66" s="163"/>
      <c r="CY66" s="163"/>
      <c r="CZ66" s="163"/>
      <c r="DA66" s="163"/>
      <c r="DB66" s="163"/>
      <c r="DC66" s="163"/>
      <c r="DD66" s="163"/>
      <c r="DE66" s="163"/>
      <c r="DF66" s="163"/>
      <c r="DG66" s="163"/>
      <c r="DH66" s="163"/>
      <c r="DI66" s="163"/>
      <c r="DJ66" s="163"/>
      <c r="DK66" s="163"/>
      <c r="DL66" s="163"/>
      <c r="DM66" s="163"/>
      <c r="DN66" s="163"/>
      <c r="DO66" s="163"/>
      <c r="DP66" s="49" t="s">
        <v>760</v>
      </c>
      <c r="DQ66" s="49">
        <v>2020.0</v>
      </c>
      <c r="DR66" s="49">
        <v>354.0</v>
      </c>
      <c r="DS66" s="49">
        <v>424.0</v>
      </c>
      <c r="DT66" s="49">
        <v>439.0</v>
      </c>
      <c r="DU66" s="49">
        <v>395.0</v>
      </c>
      <c r="DV66" s="49">
        <v>285.0</v>
      </c>
      <c r="DW66" s="49">
        <v>1897.0</v>
      </c>
      <c r="DX66" s="49"/>
      <c r="DY66" s="49">
        <v>2020.0</v>
      </c>
      <c r="DZ66" s="49">
        <v>8.0</v>
      </c>
      <c r="EA66" s="49">
        <v>5.0</v>
      </c>
      <c r="EB66" s="49">
        <v>0.0</v>
      </c>
      <c r="EC66" s="49">
        <v>0.0</v>
      </c>
      <c r="ED66" s="49">
        <v>0.0</v>
      </c>
      <c r="EE66" s="49">
        <v>13.0</v>
      </c>
      <c r="EF66" s="163"/>
      <c r="EG66" s="57" t="s">
        <v>830</v>
      </c>
      <c r="EH66" s="57">
        <v>2019.0</v>
      </c>
      <c r="EI66" s="57" t="s">
        <v>541</v>
      </c>
      <c r="EJ66" s="57" t="s">
        <v>541</v>
      </c>
      <c r="EK66" s="57" t="s">
        <v>541</v>
      </c>
      <c r="EL66" s="57" t="s">
        <v>541</v>
      </c>
      <c r="EM66" s="57" t="s">
        <v>541</v>
      </c>
      <c r="EN66" s="57" t="s">
        <v>541</v>
      </c>
      <c r="EO66" s="57"/>
      <c r="EP66" s="57">
        <v>2019.0</v>
      </c>
      <c r="EQ66" s="57" t="s">
        <v>541</v>
      </c>
      <c r="ER66" s="57" t="s">
        <v>541</v>
      </c>
      <c r="ES66" s="57" t="s">
        <v>541</v>
      </c>
      <c r="ET66" s="57" t="s">
        <v>541</v>
      </c>
      <c r="EU66" s="57" t="s">
        <v>541</v>
      </c>
      <c r="EV66" s="57" t="s">
        <v>541</v>
      </c>
      <c r="EW66" s="163"/>
      <c r="EX66" s="255" t="s">
        <v>886</v>
      </c>
      <c r="EY66" s="255">
        <v>2019.0</v>
      </c>
      <c r="EZ66" s="255">
        <v>449.0</v>
      </c>
      <c r="FA66" s="255">
        <v>572.0</v>
      </c>
      <c r="FB66" s="255">
        <v>660.0</v>
      </c>
      <c r="FC66" s="255">
        <v>775.0</v>
      </c>
      <c r="FD66" s="255">
        <v>966.0</v>
      </c>
      <c r="FE66" s="255">
        <v>3422.0</v>
      </c>
      <c r="FF66" s="255"/>
      <c r="FG66" s="255">
        <v>2019.0</v>
      </c>
      <c r="FH66" s="255">
        <v>98.0</v>
      </c>
      <c r="FI66" s="255">
        <v>44.0</v>
      </c>
      <c r="FJ66" s="255">
        <v>23.0</v>
      </c>
      <c r="FK66" s="255">
        <v>16.0</v>
      </c>
      <c r="FL66" s="255">
        <v>14.0</v>
      </c>
      <c r="FM66" s="255">
        <v>195.0</v>
      </c>
    </row>
    <row r="67" ht="13.5" customHeight="1">
      <c r="A67" s="252" t="s">
        <v>1117</v>
      </c>
      <c r="B67" s="252">
        <v>2019.0</v>
      </c>
      <c r="C67" s="252">
        <v>29.0</v>
      </c>
      <c r="D67" s="252">
        <v>0.0</v>
      </c>
      <c r="E67" s="252">
        <v>0.0</v>
      </c>
      <c r="F67" s="252">
        <v>0.0</v>
      </c>
      <c r="G67" s="252">
        <v>0.0</v>
      </c>
      <c r="H67" s="252">
        <v>29.0</v>
      </c>
      <c r="I67" s="252"/>
      <c r="J67" s="252">
        <v>2019.0</v>
      </c>
      <c r="K67" s="252">
        <v>473.0</v>
      </c>
      <c r="L67" s="252">
        <v>594.0</v>
      </c>
      <c r="M67" s="252">
        <v>837.0</v>
      </c>
      <c r="N67" s="252">
        <v>913.0</v>
      </c>
      <c r="O67" s="252">
        <v>717.0</v>
      </c>
      <c r="P67" s="252">
        <v>3534.0</v>
      </c>
      <c r="Q67" s="131"/>
      <c r="R67" s="253" t="s">
        <v>234</v>
      </c>
      <c r="S67" s="253">
        <v>2020.0</v>
      </c>
      <c r="T67" s="253">
        <v>80.0</v>
      </c>
      <c r="U67" s="253">
        <v>176.0</v>
      </c>
      <c r="V67" s="253">
        <v>294.0</v>
      </c>
      <c r="W67" s="253">
        <v>301.0</v>
      </c>
      <c r="X67" s="253">
        <v>204.0</v>
      </c>
      <c r="Y67" s="253">
        <v>1055.0</v>
      </c>
      <c r="Z67" s="253"/>
      <c r="AA67" s="253">
        <v>2020.0</v>
      </c>
      <c r="AB67" s="253">
        <v>10.0</v>
      </c>
      <c r="AC67" s="253">
        <v>2.0</v>
      </c>
      <c r="AD67" s="253">
        <v>2.0</v>
      </c>
      <c r="AE67" s="253">
        <v>0.0</v>
      </c>
      <c r="AF67" s="253">
        <v>1.0</v>
      </c>
      <c r="AG67" s="253">
        <v>15.0</v>
      </c>
      <c r="AH67" s="163"/>
      <c r="AI67" s="246" t="s">
        <v>302</v>
      </c>
      <c r="AJ67" s="246">
        <v>2019.0</v>
      </c>
      <c r="AK67" s="246">
        <v>671.0</v>
      </c>
      <c r="AL67" s="246">
        <v>486.0</v>
      </c>
      <c r="AM67" s="246">
        <v>499.0</v>
      </c>
      <c r="AN67" s="246">
        <v>548.0</v>
      </c>
      <c r="AO67" s="246">
        <v>467.0</v>
      </c>
      <c r="AP67" s="246">
        <v>2671.0</v>
      </c>
      <c r="AQ67" s="246"/>
      <c r="AR67" s="246">
        <v>2019.0</v>
      </c>
      <c r="AS67" s="246">
        <v>71.0</v>
      </c>
      <c r="AT67" s="246">
        <v>13.0</v>
      </c>
      <c r="AU67" s="246">
        <v>6.0</v>
      </c>
      <c r="AV67" s="246">
        <v>0.0</v>
      </c>
      <c r="AW67" s="246">
        <v>0.0</v>
      </c>
      <c r="AX67" s="246">
        <v>90.0</v>
      </c>
      <c r="AY67" s="163"/>
      <c r="AZ67" s="254" t="s">
        <v>426</v>
      </c>
      <c r="BA67" s="254">
        <v>2019.0</v>
      </c>
      <c r="BB67" s="254">
        <v>208.0</v>
      </c>
      <c r="BC67" s="254">
        <v>221.0</v>
      </c>
      <c r="BD67" s="254">
        <v>406.0</v>
      </c>
      <c r="BE67" s="254">
        <v>576.0</v>
      </c>
      <c r="BF67" s="254">
        <v>518.0</v>
      </c>
      <c r="BG67" s="254">
        <v>1929.0</v>
      </c>
      <c r="BH67" s="254"/>
      <c r="BI67" s="254">
        <v>2019.0</v>
      </c>
      <c r="BJ67" s="254">
        <v>21.0</v>
      </c>
      <c r="BK67" s="254">
        <v>0.0</v>
      </c>
      <c r="BL67" s="254">
        <v>0.0</v>
      </c>
      <c r="BM67" s="254">
        <v>0.0</v>
      </c>
      <c r="BN67" s="254">
        <v>0.0</v>
      </c>
      <c r="BO67" s="254">
        <v>21.0</v>
      </c>
      <c r="BP67" s="163"/>
      <c r="BQ67" s="255" t="s">
        <v>631</v>
      </c>
      <c r="BR67" s="255">
        <v>2020.0</v>
      </c>
      <c r="BS67" s="255">
        <v>134.0</v>
      </c>
      <c r="BT67" s="255">
        <v>191.0</v>
      </c>
      <c r="BU67" s="255">
        <v>380.0</v>
      </c>
      <c r="BV67" s="255">
        <v>548.0</v>
      </c>
      <c r="BW67" s="255">
        <v>519.0</v>
      </c>
      <c r="BX67" s="255">
        <v>1772.0</v>
      </c>
      <c r="BY67" s="255"/>
      <c r="BZ67" s="255">
        <v>2020.0</v>
      </c>
      <c r="CA67" s="255">
        <v>17.0</v>
      </c>
      <c r="CB67" s="255">
        <v>0.0</v>
      </c>
      <c r="CC67" s="255">
        <v>0.0</v>
      </c>
      <c r="CD67" s="255">
        <v>0.0</v>
      </c>
      <c r="CE67" s="255">
        <v>0.0</v>
      </c>
      <c r="CF67" s="255">
        <v>17.0</v>
      </c>
      <c r="CG67" s="163"/>
      <c r="CH67" s="57" t="s">
        <v>1007</v>
      </c>
      <c r="CI67" s="57">
        <v>2019.0</v>
      </c>
      <c r="CJ67" s="57">
        <v>69.0</v>
      </c>
      <c r="CK67" s="57">
        <v>150.0</v>
      </c>
      <c r="CL67" s="57">
        <v>306.0</v>
      </c>
      <c r="CM67" s="57">
        <v>443.0</v>
      </c>
      <c r="CN67" s="57">
        <v>410.0</v>
      </c>
      <c r="CO67" s="57">
        <v>1378.0</v>
      </c>
      <c r="CP67" s="57"/>
      <c r="CQ67" s="57">
        <v>2019.0</v>
      </c>
      <c r="CR67" s="57">
        <v>18.0</v>
      </c>
      <c r="CS67" s="57">
        <v>0.0</v>
      </c>
      <c r="CT67" s="57">
        <v>0.0</v>
      </c>
      <c r="CU67" s="57">
        <v>0.0</v>
      </c>
      <c r="CV67" s="57">
        <v>0.0</v>
      </c>
      <c r="CW67" s="57">
        <v>18.0</v>
      </c>
      <c r="CX67" s="163"/>
      <c r="CY67" s="163"/>
      <c r="CZ67" s="163"/>
      <c r="DA67" s="163"/>
      <c r="DB67" s="163"/>
      <c r="DC67" s="163"/>
      <c r="DD67" s="163"/>
      <c r="DE67" s="163"/>
      <c r="DF67" s="163"/>
      <c r="DG67" s="163"/>
      <c r="DH67" s="163"/>
      <c r="DI67" s="163"/>
      <c r="DJ67" s="163"/>
      <c r="DK67" s="163"/>
      <c r="DL67" s="163"/>
      <c r="DM67" s="163"/>
      <c r="DN67" s="163"/>
      <c r="DO67" s="163"/>
      <c r="DP67" s="49" t="s">
        <v>762</v>
      </c>
      <c r="DQ67" s="49">
        <v>2020.0</v>
      </c>
      <c r="DR67" s="49">
        <v>481.0</v>
      </c>
      <c r="DS67" s="49">
        <v>689.0</v>
      </c>
      <c r="DT67" s="49">
        <v>1066.0</v>
      </c>
      <c r="DU67" s="49">
        <v>1307.0</v>
      </c>
      <c r="DV67" s="49">
        <v>1146.0</v>
      </c>
      <c r="DW67" s="49">
        <v>4689.0</v>
      </c>
      <c r="DX67" s="49"/>
      <c r="DY67" s="49">
        <v>2020.0</v>
      </c>
      <c r="DZ67" s="49">
        <v>21.0</v>
      </c>
      <c r="EA67" s="49">
        <v>5.0</v>
      </c>
      <c r="EB67" s="49">
        <v>0.0</v>
      </c>
      <c r="EC67" s="49">
        <v>0.0</v>
      </c>
      <c r="ED67" s="49">
        <v>0.0</v>
      </c>
      <c r="EE67" s="49">
        <v>26.0</v>
      </c>
      <c r="EF67" s="163"/>
      <c r="EG67" s="57" t="s">
        <v>832</v>
      </c>
      <c r="EH67" s="57">
        <v>2019.0</v>
      </c>
      <c r="EI67" s="57" t="s">
        <v>541</v>
      </c>
      <c r="EJ67" s="57" t="s">
        <v>541</v>
      </c>
      <c r="EK67" s="57" t="s">
        <v>541</v>
      </c>
      <c r="EL67" s="57" t="s">
        <v>541</v>
      </c>
      <c r="EM67" s="57" t="s">
        <v>541</v>
      </c>
      <c r="EN67" s="57" t="s">
        <v>541</v>
      </c>
      <c r="EO67" s="57"/>
      <c r="EP67" s="57">
        <v>2019.0</v>
      </c>
      <c r="EQ67" s="57" t="s">
        <v>541</v>
      </c>
      <c r="ER67" s="57" t="s">
        <v>541</v>
      </c>
      <c r="ES67" s="57" t="s">
        <v>541</v>
      </c>
      <c r="ET67" s="57" t="s">
        <v>541</v>
      </c>
      <c r="EU67" s="57" t="s">
        <v>541</v>
      </c>
      <c r="EV67" s="57" t="s">
        <v>541</v>
      </c>
      <c r="EW67" s="163"/>
      <c r="EX67" s="255" t="s">
        <v>889</v>
      </c>
      <c r="EY67" s="255">
        <v>2019.0</v>
      </c>
      <c r="EZ67" s="255">
        <v>580.0</v>
      </c>
      <c r="FA67" s="255">
        <v>621.0</v>
      </c>
      <c r="FB67" s="255">
        <v>671.0</v>
      </c>
      <c r="FC67" s="255">
        <v>739.0</v>
      </c>
      <c r="FD67" s="255">
        <v>878.0</v>
      </c>
      <c r="FE67" s="255">
        <v>3489.0</v>
      </c>
      <c r="FF67" s="255"/>
      <c r="FG67" s="255">
        <v>2019.0</v>
      </c>
      <c r="FH67" s="255">
        <v>109.0</v>
      </c>
      <c r="FI67" s="255">
        <v>20.0</v>
      </c>
      <c r="FJ67" s="255">
        <v>11.0</v>
      </c>
      <c r="FK67" s="255">
        <v>8.0</v>
      </c>
      <c r="FL67" s="255">
        <v>5.0</v>
      </c>
      <c r="FM67" s="255">
        <v>153.0</v>
      </c>
    </row>
    <row r="68" ht="13.5" customHeight="1">
      <c r="A68" s="252" t="s">
        <v>1121</v>
      </c>
      <c r="B68" s="252">
        <v>2019.0</v>
      </c>
      <c r="C68" s="252">
        <v>20.0</v>
      </c>
      <c r="D68" s="252">
        <v>0.0</v>
      </c>
      <c r="E68" s="252">
        <v>0.0</v>
      </c>
      <c r="F68" s="252">
        <v>0.0</v>
      </c>
      <c r="G68" s="252">
        <v>0.0</v>
      </c>
      <c r="H68" s="252">
        <v>20.0</v>
      </c>
      <c r="I68" s="252"/>
      <c r="J68" s="252">
        <v>2019.0</v>
      </c>
      <c r="K68" s="252">
        <v>447.0</v>
      </c>
      <c r="L68" s="252">
        <v>536.0</v>
      </c>
      <c r="M68" s="252">
        <v>681.0</v>
      </c>
      <c r="N68" s="252">
        <v>814.0</v>
      </c>
      <c r="O68" s="252">
        <v>601.0</v>
      </c>
      <c r="P68" s="252">
        <v>3079.0</v>
      </c>
      <c r="Q68" s="131"/>
      <c r="R68" s="253" t="s">
        <v>236</v>
      </c>
      <c r="S68" s="253">
        <v>2020.0</v>
      </c>
      <c r="T68" s="253">
        <v>76.0</v>
      </c>
      <c r="U68" s="253">
        <v>177.0</v>
      </c>
      <c r="V68" s="253">
        <v>362.0</v>
      </c>
      <c r="W68" s="253">
        <v>509.0</v>
      </c>
      <c r="X68" s="253">
        <v>398.0</v>
      </c>
      <c r="Y68" s="253">
        <v>1522.0</v>
      </c>
      <c r="Z68" s="253"/>
      <c r="AA68" s="253">
        <v>2020.0</v>
      </c>
      <c r="AB68" s="253">
        <v>10.0</v>
      </c>
      <c r="AC68" s="253">
        <v>2.0</v>
      </c>
      <c r="AD68" s="253">
        <v>2.0</v>
      </c>
      <c r="AE68" s="253">
        <v>1.0</v>
      </c>
      <c r="AF68" s="253">
        <v>1.0</v>
      </c>
      <c r="AG68" s="253">
        <v>16.0</v>
      </c>
      <c r="AH68" s="163"/>
      <c r="AI68" s="246" t="s">
        <v>304</v>
      </c>
      <c r="AJ68" s="246">
        <v>2019.0</v>
      </c>
      <c r="AK68" s="246">
        <v>500.0</v>
      </c>
      <c r="AL68" s="246">
        <v>435.0</v>
      </c>
      <c r="AM68" s="246">
        <v>760.0</v>
      </c>
      <c r="AN68" s="246">
        <v>895.0</v>
      </c>
      <c r="AO68" s="246">
        <v>669.0</v>
      </c>
      <c r="AP68" s="246">
        <v>3259.0</v>
      </c>
      <c r="AQ68" s="246"/>
      <c r="AR68" s="246">
        <v>2019.0</v>
      </c>
      <c r="AS68" s="246">
        <v>46.0</v>
      </c>
      <c r="AT68" s="246">
        <v>1.0</v>
      </c>
      <c r="AU68" s="246">
        <v>3.0</v>
      </c>
      <c r="AV68" s="246">
        <v>0.0</v>
      </c>
      <c r="AW68" s="246">
        <v>0.0</v>
      </c>
      <c r="AX68" s="246">
        <v>50.0</v>
      </c>
      <c r="AY68" s="163"/>
      <c r="AZ68" s="254" t="s">
        <v>431</v>
      </c>
      <c r="BA68" s="254">
        <v>2019.0</v>
      </c>
      <c r="BB68" s="254">
        <v>376.0</v>
      </c>
      <c r="BC68" s="254">
        <v>274.0</v>
      </c>
      <c r="BD68" s="254">
        <v>392.0</v>
      </c>
      <c r="BE68" s="254">
        <v>441.0</v>
      </c>
      <c r="BF68" s="254">
        <v>348.0</v>
      </c>
      <c r="BG68" s="254">
        <v>1831.0</v>
      </c>
      <c r="BH68" s="254"/>
      <c r="BI68" s="254">
        <v>2019.0</v>
      </c>
      <c r="BJ68" s="254">
        <v>50.0</v>
      </c>
      <c r="BK68" s="254">
        <v>2.0</v>
      </c>
      <c r="BL68" s="254">
        <v>0.0</v>
      </c>
      <c r="BM68" s="254">
        <v>0.0</v>
      </c>
      <c r="BN68" s="254">
        <v>0.0</v>
      </c>
      <c r="BO68" s="254">
        <v>52.0</v>
      </c>
      <c r="BP68" s="163"/>
      <c r="BQ68" s="255" t="s">
        <v>633</v>
      </c>
      <c r="BR68" s="255">
        <v>2020.0</v>
      </c>
      <c r="BS68" s="255">
        <v>45.0</v>
      </c>
      <c r="BT68" s="255">
        <v>91.0</v>
      </c>
      <c r="BU68" s="255">
        <v>207.0</v>
      </c>
      <c r="BV68" s="255">
        <v>284.0</v>
      </c>
      <c r="BW68" s="255">
        <v>297.0</v>
      </c>
      <c r="BX68" s="255">
        <v>924.0</v>
      </c>
      <c r="BY68" s="255"/>
      <c r="BZ68" s="255">
        <v>2020.0</v>
      </c>
      <c r="CA68" s="255">
        <v>3.0</v>
      </c>
      <c r="CB68" s="255">
        <v>0.0</v>
      </c>
      <c r="CC68" s="255">
        <v>0.0</v>
      </c>
      <c r="CD68" s="255">
        <v>0.0</v>
      </c>
      <c r="CE68" s="255">
        <v>0.0</v>
      </c>
      <c r="CF68" s="255">
        <v>3.0</v>
      </c>
      <c r="CG68" s="163"/>
      <c r="CH68" s="57" t="s">
        <v>1009</v>
      </c>
      <c r="CI68" s="57">
        <v>2019.0</v>
      </c>
      <c r="CJ68" s="57">
        <v>1081.0</v>
      </c>
      <c r="CK68" s="57">
        <v>637.0</v>
      </c>
      <c r="CL68" s="57">
        <v>756.0</v>
      </c>
      <c r="CM68" s="57">
        <v>848.0</v>
      </c>
      <c r="CN68" s="57">
        <v>641.0</v>
      </c>
      <c r="CO68" s="57">
        <v>3963.0</v>
      </c>
      <c r="CP68" s="57"/>
      <c r="CQ68" s="57">
        <v>2019.0</v>
      </c>
      <c r="CR68" s="57">
        <v>357.0</v>
      </c>
      <c r="CS68" s="57">
        <v>6.0</v>
      </c>
      <c r="CT68" s="57">
        <v>0.0</v>
      </c>
      <c r="CU68" s="57">
        <v>0.0</v>
      </c>
      <c r="CV68" s="57">
        <v>0.0</v>
      </c>
      <c r="CW68" s="57">
        <v>363.0</v>
      </c>
      <c r="CX68" s="163"/>
      <c r="CY68" s="163"/>
      <c r="CZ68" s="163"/>
      <c r="DA68" s="163"/>
      <c r="DB68" s="163"/>
      <c r="DC68" s="163"/>
      <c r="DD68" s="163"/>
      <c r="DE68" s="163"/>
      <c r="DF68" s="163"/>
      <c r="DG68" s="163"/>
      <c r="DH68" s="163"/>
      <c r="DI68" s="163"/>
      <c r="DJ68" s="163"/>
      <c r="DK68" s="163"/>
      <c r="DL68" s="163"/>
      <c r="DM68" s="163"/>
      <c r="DN68" s="163"/>
      <c r="DO68" s="163"/>
      <c r="DP68" s="49" t="s">
        <v>764</v>
      </c>
      <c r="DQ68" s="49">
        <v>2020.0</v>
      </c>
      <c r="DR68" s="49">
        <v>303.0</v>
      </c>
      <c r="DS68" s="49">
        <v>410.0</v>
      </c>
      <c r="DT68" s="49">
        <v>465.0</v>
      </c>
      <c r="DU68" s="49">
        <v>450.0</v>
      </c>
      <c r="DV68" s="49">
        <v>361.0</v>
      </c>
      <c r="DW68" s="49">
        <v>1989.0</v>
      </c>
      <c r="DX68" s="49"/>
      <c r="DY68" s="49">
        <v>2020.0</v>
      </c>
      <c r="DZ68" s="49">
        <v>21.0</v>
      </c>
      <c r="EA68" s="49">
        <v>0.0</v>
      </c>
      <c r="EB68" s="49">
        <v>0.0</v>
      </c>
      <c r="EC68" s="49">
        <v>0.0</v>
      </c>
      <c r="ED68" s="49">
        <v>0.0</v>
      </c>
      <c r="EE68" s="49">
        <v>21.0</v>
      </c>
      <c r="EF68" s="163"/>
      <c r="EG68" s="57" t="s">
        <v>834</v>
      </c>
      <c r="EH68" s="57">
        <v>2019.0</v>
      </c>
      <c r="EI68" s="57">
        <v>194.0</v>
      </c>
      <c r="EJ68" s="57">
        <v>305.0</v>
      </c>
      <c r="EK68" s="57">
        <v>349.0</v>
      </c>
      <c r="EL68" s="57">
        <v>473.0</v>
      </c>
      <c r="EM68" s="57">
        <v>560.0</v>
      </c>
      <c r="EN68" s="57">
        <v>1881.0</v>
      </c>
      <c r="EO68" s="57"/>
      <c r="EP68" s="57">
        <v>2019.0</v>
      </c>
      <c r="EQ68" s="57">
        <v>30.0</v>
      </c>
      <c r="ER68" s="57">
        <v>15.0</v>
      </c>
      <c r="ES68" s="57">
        <v>6.0</v>
      </c>
      <c r="ET68" s="57">
        <v>4.0</v>
      </c>
      <c r="EU68" s="57">
        <v>7.0</v>
      </c>
      <c r="EV68" s="57">
        <v>62.0</v>
      </c>
      <c r="EW68" s="163"/>
      <c r="EX68" s="255" t="s">
        <v>891</v>
      </c>
      <c r="EY68" s="255">
        <v>2019.0</v>
      </c>
      <c r="EZ68" s="255">
        <v>523.0</v>
      </c>
      <c r="FA68" s="255">
        <v>640.0</v>
      </c>
      <c r="FB68" s="255">
        <v>708.0</v>
      </c>
      <c r="FC68" s="255">
        <v>806.0</v>
      </c>
      <c r="FD68" s="255">
        <v>976.0</v>
      </c>
      <c r="FE68" s="255">
        <v>3653.0</v>
      </c>
      <c r="FF68" s="255"/>
      <c r="FG68" s="255">
        <v>2019.0</v>
      </c>
      <c r="FH68" s="255">
        <v>66.0</v>
      </c>
      <c r="FI68" s="255">
        <v>21.0</v>
      </c>
      <c r="FJ68" s="255">
        <v>13.0</v>
      </c>
      <c r="FK68" s="255">
        <v>14.0</v>
      </c>
      <c r="FL68" s="255">
        <v>9.0</v>
      </c>
      <c r="FM68" s="255">
        <v>123.0</v>
      </c>
    </row>
    <row r="69" ht="13.5" customHeight="1">
      <c r="A69" s="252" t="s">
        <v>1124</v>
      </c>
      <c r="B69" s="252">
        <v>2019.0</v>
      </c>
      <c r="C69" s="252">
        <v>26.0</v>
      </c>
      <c r="D69" s="252">
        <v>0.0</v>
      </c>
      <c r="E69" s="252">
        <v>0.0</v>
      </c>
      <c r="F69" s="252">
        <v>0.0</v>
      </c>
      <c r="G69" s="252">
        <v>0.0</v>
      </c>
      <c r="H69" s="252">
        <v>26.0</v>
      </c>
      <c r="I69" s="252"/>
      <c r="J69" s="252">
        <v>2019.0</v>
      </c>
      <c r="K69" s="252">
        <v>349.0</v>
      </c>
      <c r="L69" s="252">
        <v>424.0</v>
      </c>
      <c r="M69" s="252">
        <v>561.0</v>
      </c>
      <c r="N69" s="252">
        <v>596.0</v>
      </c>
      <c r="O69" s="252">
        <v>526.0</v>
      </c>
      <c r="P69" s="252">
        <v>2456.0</v>
      </c>
      <c r="Q69" s="131"/>
      <c r="R69" s="253" t="s">
        <v>238</v>
      </c>
      <c r="S69" s="253">
        <v>2020.0</v>
      </c>
      <c r="T69" s="253">
        <v>102.0</v>
      </c>
      <c r="U69" s="253">
        <v>130.0</v>
      </c>
      <c r="V69" s="253">
        <v>231.0</v>
      </c>
      <c r="W69" s="253">
        <v>260.0</v>
      </c>
      <c r="X69" s="253">
        <v>229.0</v>
      </c>
      <c r="Y69" s="253">
        <v>952.0</v>
      </c>
      <c r="Z69" s="253"/>
      <c r="AA69" s="253">
        <v>2020.0</v>
      </c>
      <c r="AB69" s="253">
        <v>7.0</v>
      </c>
      <c r="AC69" s="253">
        <v>0.0</v>
      </c>
      <c r="AD69" s="253">
        <v>1.0</v>
      </c>
      <c r="AE69" s="253">
        <v>0.0</v>
      </c>
      <c r="AF69" s="253">
        <v>0.0</v>
      </c>
      <c r="AG69" s="253">
        <v>8.0</v>
      </c>
      <c r="AH69" s="163"/>
      <c r="AI69" s="246" t="s">
        <v>306</v>
      </c>
      <c r="AJ69" s="246">
        <v>2019.0</v>
      </c>
      <c r="AK69" s="246">
        <v>575.0</v>
      </c>
      <c r="AL69" s="246">
        <v>564.0</v>
      </c>
      <c r="AM69" s="246">
        <v>760.0</v>
      </c>
      <c r="AN69" s="246">
        <v>836.0</v>
      </c>
      <c r="AO69" s="246">
        <v>602.0</v>
      </c>
      <c r="AP69" s="246">
        <v>3337.0</v>
      </c>
      <c r="AQ69" s="246"/>
      <c r="AR69" s="246">
        <v>2019.0</v>
      </c>
      <c r="AS69" s="246">
        <v>18.0</v>
      </c>
      <c r="AT69" s="246">
        <v>4.0</v>
      </c>
      <c r="AU69" s="246">
        <v>1.0</v>
      </c>
      <c r="AV69" s="246">
        <v>0.0</v>
      </c>
      <c r="AW69" s="246">
        <v>2.0</v>
      </c>
      <c r="AX69" s="246">
        <v>25.0</v>
      </c>
      <c r="AY69" s="163"/>
      <c r="AZ69" s="254" t="s">
        <v>437</v>
      </c>
      <c r="BA69" s="254">
        <v>2019.0</v>
      </c>
      <c r="BB69" s="254">
        <v>278.0</v>
      </c>
      <c r="BC69" s="254">
        <v>295.0</v>
      </c>
      <c r="BD69" s="254">
        <v>318.0</v>
      </c>
      <c r="BE69" s="254">
        <v>320.0</v>
      </c>
      <c r="BF69" s="254">
        <v>262.0</v>
      </c>
      <c r="BG69" s="254">
        <v>1473.0</v>
      </c>
      <c r="BH69" s="254"/>
      <c r="BI69" s="254">
        <v>2019.0</v>
      </c>
      <c r="BJ69" s="254">
        <v>22.0</v>
      </c>
      <c r="BK69" s="254">
        <v>0.0</v>
      </c>
      <c r="BL69" s="254">
        <v>0.0</v>
      </c>
      <c r="BM69" s="254">
        <v>0.0</v>
      </c>
      <c r="BN69" s="254">
        <v>0.0</v>
      </c>
      <c r="BO69" s="254">
        <v>22.0</v>
      </c>
      <c r="BP69" s="163"/>
      <c r="BQ69" s="255" t="s">
        <v>635</v>
      </c>
      <c r="BR69" s="255">
        <v>2020.0</v>
      </c>
      <c r="BS69" s="255">
        <v>229.0</v>
      </c>
      <c r="BT69" s="255">
        <v>184.0</v>
      </c>
      <c r="BU69" s="255">
        <v>242.0</v>
      </c>
      <c r="BV69" s="255">
        <v>326.0</v>
      </c>
      <c r="BW69" s="255">
        <v>296.0</v>
      </c>
      <c r="BX69" s="255">
        <v>1277.0</v>
      </c>
      <c r="BY69" s="255"/>
      <c r="BZ69" s="255">
        <v>2020.0</v>
      </c>
      <c r="CA69" s="255">
        <v>55.0</v>
      </c>
      <c r="CB69" s="255">
        <v>0.0</v>
      </c>
      <c r="CC69" s="255">
        <v>0.0</v>
      </c>
      <c r="CD69" s="255">
        <v>0.0</v>
      </c>
      <c r="CE69" s="255">
        <v>0.0</v>
      </c>
      <c r="CF69" s="255">
        <v>55.0</v>
      </c>
      <c r="CG69" s="163"/>
      <c r="CH69" s="57" t="s">
        <v>1011</v>
      </c>
      <c r="CI69" s="57">
        <v>2019.0</v>
      </c>
      <c r="CJ69" s="57">
        <v>54.0</v>
      </c>
      <c r="CK69" s="57">
        <v>40.0</v>
      </c>
      <c r="CL69" s="57">
        <v>71.0</v>
      </c>
      <c r="CM69" s="57">
        <v>74.0</v>
      </c>
      <c r="CN69" s="57">
        <v>103.0</v>
      </c>
      <c r="CO69" s="57">
        <v>342.0</v>
      </c>
      <c r="CP69" s="57"/>
      <c r="CQ69" s="57">
        <v>2019.0</v>
      </c>
      <c r="CR69" s="57">
        <v>19.0</v>
      </c>
      <c r="CS69" s="57">
        <v>0.0</v>
      </c>
      <c r="CT69" s="57">
        <v>0.0</v>
      </c>
      <c r="CU69" s="57">
        <v>0.0</v>
      </c>
      <c r="CV69" s="57">
        <v>0.0</v>
      </c>
      <c r="CW69" s="57">
        <v>19.0</v>
      </c>
      <c r="CX69" s="163"/>
      <c r="CY69" s="163"/>
      <c r="CZ69" s="163"/>
      <c r="DA69" s="163"/>
      <c r="DB69" s="163"/>
      <c r="DC69" s="163"/>
      <c r="DD69" s="163"/>
      <c r="DE69" s="163"/>
      <c r="DF69" s="163"/>
      <c r="DG69" s="163"/>
      <c r="DH69" s="163"/>
      <c r="DI69" s="163"/>
      <c r="DJ69" s="163"/>
      <c r="DK69" s="163"/>
      <c r="DL69" s="163"/>
      <c r="DM69" s="163"/>
      <c r="DN69" s="163"/>
      <c r="DO69" s="163"/>
      <c r="DP69" s="49" t="s">
        <v>766</v>
      </c>
      <c r="DQ69" s="49">
        <v>2020.0</v>
      </c>
      <c r="DR69" s="49">
        <v>164.0</v>
      </c>
      <c r="DS69" s="49">
        <v>107.0</v>
      </c>
      <c r="DT69" s="49">
        <v>104.0</v>
      </c>
      <c r="DU69" s="49">
        <v>105.0</v>
      </c>
      <c r="DV69" s="49">
        <v>119.0</v>
      </c>
      <c r="DW69" s="49">
        <v>599.0</v>
      </c>
      <c r="DX69" s="49"/>
      <c r="DY69" s="49">
        <v>2020.0</v>
      </c>
      <c r="DZ69" s="49">
        <v>31.0</v>
      </c>
      <c r="EA69" s="49">
        <v>1.0</v>
      </c>
      <c r="EB69" s="49">
        <v>0.0</v>
      </c>
      <c r="EC69" s="49">
        <v>0.0</v>
      </c>
      <c r="ED69" s="49">
        <v>0.0</v>
      </c>
      <c r="EE69" s="49">
        <v>32.0</v>
      </c>
      <c r="EF69" s="163"/>
      <c r="EG69" s="57" t="s">
        <v>836</v>
      </c>
      <c r="EH69" s="57">
        <v>2019.0</v>
      </c>
      <c r="EI69" s="57" t="s">
        <v>541</v>
      </c>
      <c r="EJ69" s="57" t="s">
        <v>541</v>
      </c>
      <c r="EK69" s="57" t="s">
        <v>541</v>
      </c>
      <c r="EL69" s="57" t="s">
        <v>541</v>
      </c>
      <c r="EM69" s="57" t="s">
        <v>541</v>
      </c>
      <c r="EN69" s="57" t="s">
        <v>541</v>
      </c>
      <c r="EO69" s="57"/>
      <c r="EP69" s="57">
        <v>2019.0</v>
      </c>
      <c r="EQ69" s="57" t="s">
        <v>541</v>
      </c>
      <c r="ER69" s="57" t="s">
        <v>541</v>
      </c>
      <c r="ES69" s="57" t="s">
        <v>541</v>
      </c>
      <c r="ET69" s="57" t="s">
        <v>541</v>
      </c>
      <c r="EU69" s="57" t="s">
        <v>541</v>
      </c>
      <c r="EV69" s="57" t="s">
        <v>541</v>
      </c>
      <c r="EW69" s="163"/>
      <c r="EX69" s="255" t="s">
        <v>893</v>
      </c>
      <c r="EY69" s="255">
        <v>2019.0</v>
      </c>
      <c r="EZ69" s="255">
        <v>1938.0</v>
      </c>
      <c r="FA69" s="255">
        <v>1021.0</v>
      </c>
      <c r="FB69" s="255">
        <v>789.0</v>
      </c>
      <c r="FC69" s="255">
        <v>768.0</v>
      </c>
      <c r="FD69" s="255">
        <v>776.0</v>
      </c>
      <c r="FE69" s="255">
        <v>5292.0</v>
      </c>
      <c r="FF69" s="255"/>
      <c r="FG69" s="255">
        <v>2019.0</v>
      </c>
      <c r="FH69" s="255">
        <v>345.0</v>
      </c>
      <c r="FI69" s="255">
        <v>0.0</v>
      </c>
      <c r="FJ69" s="255">
        <v>0.0</v>
      </c>
      <c r="FK69" s="255">
        <v>0.0</v>
      </c>
      <c r="FL69" s="255">
        <v>0.0</v>
      </c>
      <c r="FM69" s="255">
        <v>345.0</v>
      </c>
    </row>
    <row r="70" ht="13.5" customHeight="1">
      <c r="A70" s="252" t="s">
        <v>1127</v>
      </c>
      <c r="B70" s="252">
        <v>2019.0</v>
      </c>
      <c r="C70" s="252">
        <v>18.0</v>
      </c>
      <c r="D70" s="252">
        <v>0.0</v>
      </c>
      <c r="E70" s="252">
        <v>0.0</v>
      </c>
      <c r="F70" s="252">
        <v>0.0</v>
      </c>
      <c r="G70" s="252">
        <v>0.0</v>
      </c>
      <c r="H70" s="252">
        <v>18.0</v>
      </c>
      <c r="I70" s="252"/>
      <c r="J70" s="252">
        <v>2019.0</v>
      </c>
      <c r="K70" s="252">
        <v>267.0</v>
      </c>
      <c r="L70" s="252">
        <v>294.0</v>
      </c>
      <c r="M70" s="252">
        <v>409.0</v>
      </c>
      <c r="N70" s="252">
        <v>507.0</v>
      </c>
      <c r="O70" s="252">
        <v>382.0</v>
      </c>
      <c r="P70" s="252">
        <v>1859.0</v>
      </c>
      <c r="Q70" s="131"/>
      <c r="R70" s="253" t="s">
        <v>240</v>
      </c>
      <c r="S70" s="253">
        <v>2020.0</v>
      </c>
      <c r="T70" s="253">
        <v>135.0</v>
      </c>
      <c r="U70" s="253">
        <v>257.0</v>
      </c>
      <c r="V70" s="253">
        <v>445.0</v>
      </c>
      <c r="W70" s="253">
        <v>560.0</v>
      </c>
      <c r="X70" s="253">
        <v>398.0</v>
      </c>
      <c r="Y70" s="253">
        <v>1795.0</v>
      </c>
      <c r="Z70" s="253"/>
      <c r="AA70" s="253">
        <v>2020.0</v>
      </c>
      <c r="AB70" s="253">
        <v>9.0</v>
      </c>
      <c r="AC70" s="253">
        <v>3.0</v>
      </c>
      <c r="AD70" s="253">
        <v>2.0</v>
      </c>
      <c r="AE70" s="253">
        <v>0.0</v>
      </c>
      <c r="AF70" s="253">
        <v>0.0</v>
      </c>
      <c r="AG70" s="253">
        <v>14.0</v>
      </c>
      <c r="AH70" s="163"/>
      <c r="AI70" s="246" t="s">
        <v>308</v>
      </c>
      <c r="AJ70" s="246">
        <v>2019.0</v>
      </c>
      <c r="AK70" s="246">
        <v>237.0</v>
      </c>
      <c r="AL70" s="246">
        <v>285.0</v>
      </c>
      <c r="AM70" s="246">
        <v>446.0</v>
      </c>
      <c r="AN70" s="246">
        <v>548.0</v>
      </c>
      <c r="AO70" s="246">
        <v>487.0</v>
      </c>
      <c r="AP70" s="246">
        <v>2003.0</v>
      </c>
      <c r="AQ70" s="246"/>
      <c r="AR70" s="246">
        <v>2019.0</v>
      </c>
      <c r="AS70" s="246">
        <v>30.0</v>
      </c>
      <c r="AT70" s="246">
        <v>9.0</v>
      </c>
      <c r="AU70" s="246">
        <v>2.0</v>
      </c>
      <c r="AV70" s="246">
        <v>4.0</v>
      </c>
      <c r="AW70" s="246">
        <v>0.0</v>
      </c>
      <c r="AX70" s="246">
        <v>45.0</v>
      </c>
      <c r="AY70" s="163"/>
      <c r="AZ70" s="254" t="s">
        <v>443</v>
      </c>
      <c r="BA70" s="254">
        <v>2019.0</v>
      </c>
      <c r="BB70" s="254">
        <v>403.0</v>
      </c>
      <c r="BC70" s="254">
        <v>280.0</v>
      </c>
      <c r="BD70" s="254">
        <v>412.0</v>
      </c>
      <c r="BE70" s="254">
        <v>497.0</v>
      </c>
      <c r="BF70" s="254">
        <v>465.0</v>
      </c>
      <c r="BG70" s="254">
        <v>2057.0</v>
      </c>
      <c r="BH70" s="254"/>
      <c r="BI70" s="254">
        <v>2019.0</v>
      </c>
      <c r="BJ70" s="254">
        <v>49.0</v>
      </c>
      <c r="BK70" s="254">
        <v>0.0</v>
      </c>
      <c r="BL70" s="254">
        <v>0.0</v>
      </c>
      <c r="BM70" s="254">
        <v>0.0</v>
      </c>
      <c r="BN70" s="254">
        <v>0.0</v>
      </c>
      <c r="BO70" s="254">
        <v>49.0</v>
      </c>
      <c r="BP70" s="163"/>
      <c r="BQ70" s="255" t="s">
        <v>638</v>
      </c>
      <c r="BR70" s="255">
        <v>2020.0</v>
      </c>
      <c r="BS70" s="255">
        <v>72.0</v>
      </c>
      <c r="BT70" s="255">
        <v>83.0</v>
      </c>
      <c r="BU70" s="255">
        <v>186.0</v>
      </c>
      <c r="BV70" s="255">
        <v>238.0</v>
      </c>
      <c r="BW70" s="255">
        <v>199.0</v>
      </c>
      <c r="BX70" s="255">
        <v>778.0</v>
      </c>
      <c r="BY70" s="255"/>
      <c r="BZ70" s="255">
        <v>2020.0</v>
      </c>
      <c r="CA70" s="255">
        <v>27.0</v>
      </c>
      <c r="CB70" s="255">
        <v>0.0</v>
      </c>
      <c r="CC70" s="255">
        <v>0.0</v>
      </c>
      <c r="CD70" s="255">
        <v>0.0</v>
      </c>
      <c r="CE70" s="255">
        <v>0.0</v>
      </c>
      <c r="CF70" s="255">
        <v>27.0</v>
      </c>
      <c r="CG70" s="163"/>
      <c r="CH70" s="57" t="s">
        <v>1014</v>
      </c>
      <c r="CI70" s="57">
        <v>2019.0</v>
      </c>
      <c r="CJ70" s="57">
        <v>221.0</v>
      </c>
      <c r="CK70" s="57">
        <v>100.0</v>
      </c>
      <c r="CL70" s="57">
        <v>144.0</v>
      </c>
      <c r="CM70" s="57">
        <v>214.0</v>
      </c>
      <c r="CN70" s="57">
        <v>316.0</v>
      </c>
      <c r="CO70" s="57">
        <v>995.0</v>
      </c>
      <c r="CP70" s="57"/>
      <c r="CQ70" s="57">
        <v>2019.0</v>
      </c>
      <c r="CR70" s="57">
        <v>67.0</v>
      </c>
      <c r="CS70" s="57">
        <v>0.0</v>
      </c>
      <c r="CT70" s="57">
        <v>0.0</v>
      </c>
      <c r="CU70" s="57">
        <v>0.0</v>
      </c>
      <c r="CV70" s="57">
        <v>0.0</v>
      </c>
      <c r="CW70" s="57">
        <v>67.0</v>
      </c>
      <c r="CX70" s="163"/>
      <c r="CY70" s="163"/>
      <c r="CZ70" s="163"/>
      <c r="DA70" s="163"/>
      <c r="DB70" s="163"/>
      <c r="DC70" s="163"/>
      <c r="DD70" s="163"/>
      <c r="DE70" s="163"/>
      <c r="DF70" s="163"/>
      <c r="DG70" s="163"/>
      <c r="DH70" s="163"/>
      <c r="DI70" s="163"/>
      <c r="DJ70" s="163"/>
      <c r="DK70" s="163"/>
      <c r="DL70" s="163"/>
      <c r="DM70" s="163"/>
      <c r="DN70" s="163"/>
      <c r="DO70" s="163"/>
      <c r="DP70" s="49" t="s">
        <v>768</v>
      </c>
      <c r="DQ70" s="49">
        <v>2020.0</v>
      </c>
      <c r="DR70" s="49">
        <v>298.0</v>
      </c>
      <c r="DS70" s="49">
        <v>264.0</v>
      </c>
      <c r="DT70" s="49">
        <v>326.0</v>
      </c>
      <c r="DU70" s="49">
        <v>274.0</v>
      </c>
      <c r="DV70" s="49">
        <v>223.0</v>
      </c>
      <c r="DW70" s="49">
        <v>1385.0</v>
      </c>
      <c r="DX70" s="49"/>
      <c r="DY70" s="49">
        <v>2020.0</v>
      </c>
      <c r="DZ70" s="49">
        <v>27.0</v>
      </c>
      <c r="EA70" s="49">
        <v>0.0</v>
      </c>
      <c r="EB70" s="49">
        <v>0.0</v>
      </c>
      <c r="EC70" s="49">
        <v>0.0</v>
      </c>
      <c r="ED70" s="49">
        <v>0.0</v>
      </c>
      <c r="EE70" s="49">
        <v>27.0</v>
      </c>
      <c r="EF70" s="163"/>
      <c r="EG70" s="57" t="s">
        <v>839</v>
      </c>
      <c r="EH70" s="57">
        <v>2019.0</v>
      </c>
      <c r="EI70" s="57" t="s">
        <v>541</v>
      </c>
      <c r="EJ70" s="57" t="s">
        <v>541</v>
      </c>
      <c r="EK70" s="57" t="s">
        <v>541</v>
      </c>
      <c r="EL70" s="57" t="s">
        <v>541</v>
      </c>
      <c r="EM70" s="57" t="s">
        <v>541</v>
      </c>
      <c r="EN70" s="57" t="s">
        <v>541</v>
      </c>
      <c r="EO70" s="57"/>
      <c r="EP70" s="57">
        <v>2019.0</v>
      </c>
      <c r="EQ70" s="57" t="s">
        <v>541</v>
      </c>
      <c r="ER70" s="57" t="s">
        <v>541</v>
      </c>
      <c r="ES70" s="57" t="s">
        <v>541</v>
      </c>
      <c r="ET70" s="57" t="s">
        <v>541</v>
      </c>
      <c r="EU70" s="57" t="s">
        <v>541</v>
      </c>
      <c r="EV70" s="57" t="s">
        <v>541</v>
      </c>
      <c r="EW70" s="163"/>
      <c r="EX70" s="255" t="s">
        <v>896</v>
      </c>
      <c r="EY70" s="255">
        <v>2019.0</v>
      </c>
      <c r="EZ70" s="255">
        <v>654.0</v>
      </c>
      <c r="FA70" s="255">
        <v>987.0</v>
      </c>
      <c r="FB70" s="255">
        <v>704.0</v>
      </c>
      <c r="FC70" s="255">
        <v>588.0</v>
      </c>
      <c r="FD70" s="255">
        <v>608.0</v>
      </c>
      <c r="FE70" s="255">
        <v>3541.0</v>
      </c>
      <c r="FF70" s="255"/>
      <c r="FG70" s="255">
        <v>2019.0</v>
      </c>
      <c r="FH70" s="255">
        <v>110.0</v>
      </c>
      <c r="FI70" s="255">
        <v>1.0</v>
      </c>
      <c r="FJ70" s="255">
        <v>0.0</v>
      </c>
      <c r="FK70" s="255">
        <v>0.0</v>
      </c>
      <c r="FL70" s="255">
        <v>0.0</v>
      </c>
      <c r="FM70" s="255">
        <v>111.0</v>
      </c>
    </row>
    <row r="71" ht="13.5" customHeight="1">
      <c r="A71" s="252" t="s">
        <v>408</v>
      </c>
      <c r="B71" s="252">
        <v>2019.0</v>
      </c>
      <c r="C71" s="252">
        <v>50.0</v>
      </c>
      <c r="D71" s="252">
        <v>10.0</v>
      </c>
      <c r="E71" s="252">
        <v>4.0</v>
      </c>
      <c r="F71" s="252">
        <v>0.0</v>
      </c>
      <c r="G71" s="252">
        <v>0.0</v>
      </c>
      <c r="H71" s="252">
        <v>64.0</v>
      </c>
      <c r="I71" s="252"/>
      <c r="J71" s="252">
        <v>2019.0</v>
      </c>
      <c r="K71" s="252">
        <v>312.0</v>
      </c>
      <c r="L71" s="252">
        <v>377.0</v>
      </c>
      <c r="M71" s="252">
        <v>468.0</v>
      </c>
      <c r="N71" s="252">
        <v>482.0</v>
      </c>
      <c r="O71" s="252">
        <v>439.0</v>
      </c>
      <c r="P71" s="252">
        <v>2078.0</v>
      </c>
      <c r="Q71" s="131"/>
      <c r="R71" s="253" t="s">
        <v>242</v>
      </c>
      <c r="S71" s="253">
        <v>2020.0</v>
      </c>
      <c r="T71" s="253">
        <v>237.0</v>
      </c>
      <c r="U71" s="253">
        <v>121.0</v>
      </c>
      <c r="V71" s="253">
        <v>145.0</v>
      </c>
      <c r="W71" s="253">
        <v>215.0</v>
      </c>
      <c r="X71" s="253">
        <v>202.0</v>
      </c>
      <c r="Y71" s="253">
        <v>920.0</v>
      </c>
      <c r="Z71" s="253"/>
      <c r="AA71" s="253">
        <v>2020.0</v>
      </c>
      <c r="AB71" s="253">
        <v>12.0</v>
      </c>
      <c r="AC71" s="253">
        <v>0.0</v>
      </c>
      <c r="AD71" s="253">
        <v>0.0</v>
      </c>
      <c r="AE71" s="253">
        <v>0.0</v>
      </c>
      <c r="AF71" s="253">
        <v>0.0</v>
      </c>
      <c r="AG71" s="253">
        <v>12.0</v>
      </c>
      <c r="AH71" s="163"/>
      <c r="AI71" s="246" t="s">
        <v>310</v>
      </c>
      <c r="AJ71" s="246">
        <v>2019.0</v>
      </c>
      <c r="AK71" s="246">
        <v>1106.0</v>
      </c>
      <c r="AL71" s="246">
        <v>447.0</v>
      </c>
      <c r="AM71" s="246">
        <v>546.0</v>
      </c>
      <c r="AN71" s="246">
        <v>582.0</v>
      </c>
      <c r="AO71" s="246">
        <v>482.0</v>
      </c>
      <c r="AP71" s="246">
        <v>3163.0</v>
      </c>
      <c r="AQ71" s="246"/>
      <c r="AR71" s="246">
        <v>2019.0</v>
      </c>
      <c r="AS71" s="246">
        <v>68.0</v>
      </c>
      <c r="AT71" s="246">
        <v>0.0</v>
      </c>
      <c r="AU71" s="246">
        <v>0.0</v>
      </c>
      <c r="AV71" s="246">
        <v>0.0</v>
      </c>
      <c r="AW71" s="246">
        <v>0.0</v>
      </c>
      <c r="AX71" s="246">
        <v>68.0</v>
      </c>
      <c r="AY71" s="163"/>
      <c r="AZ71" s="254" t="s">
        <v>447</v>
      </c>
      <c r="BA71" s="254">
        <v>2019.0</v>
      </c>
      <c r="BB71" s="254">
        <v>459.0</v>
      </c>
      <c r="BC71" s="254">
        <v>317.0</v>
      </c>
      <c r="BD71" s="254">
        <v>480.0</v>
      </c>
      <c r="BE71" s="254">
        <v>566.0</v>
      </c>
      <c r="BF71" s="254">
        <v>546.0</v>
      </c>
      <c r="BG71" s="254">
        <v>2368.0</v>
      </c>
      <c r="BH71" s="254"/>
      <c r="BI71" s="254">
        <v>2019.0</v>
      </c>
      <c r="BJ71" s="254">
        <v>21.0</v>
      </c>
      <c r="BK71" s="254">
        <v>0.0</v>
      </c>
      <c r="BL71" s="254">
        <v>0.0</v>
      </c>
      <c r="BM71" s="254">
        <v>0.0</v>
      </c>
      <c r="BN71" s="254">
        <v>0.0</v>
      </c>
      <c r="BO71" s="254">
        <v>21.0</v>
      </c>
      <c r="BP71" s="163"/>
      <c r="BQ71" s="255" t="s">
        <v>641</v>
      </c>
      <c r="BR71" s="255">
        <v>2020.0</v>
      </c>
      <c r="BS71" s="255">
        <v>68.0</v>
      </c>
      <c r="BT71" s="255">
        <v>44.0</v>
      </c>
      <c r="BU71" s="255">
        <v>68.0</v>
      </c>
      <c r="BV71" s="255">
        <v>81.0</v>
      </c>
      <c r="BW71" s="255">
        <v>109.0</v>
      </c>
      <c r="BX71" s="255">
        <v>370.0</v>
      </c>
      <c r="BY71" s="255"/>
      <c r="BZ71" s="255">
        <v>2020.0</v>
      </c>
      <c r="CA71" s="255">
        <v>20.0</v>
      </c>
      <c r="CB71" s="255">
        <v>0.0</v>
      </c>
      <c r="CC71" s="255">
        <v>0.0</v>
      </c>
      <c r="CD71" s="255">
        <v>0.0</v>
      </c>
      <c r="CE71" s="255">
        <v>0.0</v>
      </c>
      <c r="CF71" s="255">
        <v>20.0</v>
      </c>
      <c r="CG71" s="163"/>
      <c r="CH71" s="57" t="s">
        <v>1290</v>
      </c>
      <c r="CI71" s="57">
        <v>2019.0</v>
      </c>
      <c r="CJ71" s="57" t="s">
        <v>541</v>
      </c>
      <c r="CK71" s="57" t="s">
        <v>541</v>
      </c>
      <c r="CL71" s="57" t="s">
        <v>541</v>
      </c>
      <c r="CM71" s="57" t="s">
        <v>541</v>
      </c>
      <c r="CN71" s="57" t="s">
        <v>541</v>
      </c>
      <c r="CO71" s="57" t="s">
        <v>541</v>
      </c>
      <c r="CP71" s="57"/>
      <c r="CQ71" s="57">
        <v>2019.0</v>
      </c>
      <c r="CR71" s="57" t="s">
        <v>541</v>
      </c>
      <c r="CS71" s="57" t="s">
        <v>541</v>
      </c>
      <c r="CT71" s="57" t="s">
        <v>541</v>
      </c>
      <c r="CU71" s="57" t="s">
        <v>541</v>
      </c>
      <c r="CV71" s="57" t="s">
        <v>541</v>
      </c>
      <c r="CW71" s="57" t="s">
        <v>541</v>
      </c>
      <c r="CX71" s="163"/>
      <c r="CY71" s="163"/>
      <c r="CZ71" s="163"/>
      <c r="DA71" s="163"/>
      <c r="DB71" s="163"/>
      <c r="DC71" s="163"/>
      <c r="DD71" s="163"/>
      <c r="DE71" s="163"/>
      <c r="DF71" s="163"/>
      <c r="DG71" s="163"/>
      <c r="DH71" s="163"/>
      <c r="DI71" s="163"/>
      <c r="DJ71" s="163"/>
      <c r="DK71" s="163"/>
      <c r="DL71" s="163"/>
      <c r="DM71" s="163"/>
      <c r="DN71" s="163"/>
      <c r="DO71" s="163"/>
      <c r="DP71" s="49" t="s">
        <v>770</v>
      </c>
      <c r="DQ71" s="49">
        <v>2020.0</v>
      </c>
      <c r="DR71" s="49">
        <v>147.0</v>
      </c>
      <c r="DS71" s="49">
        <v>121.0</v>
      </c>
      <c r="DT71" s="49">
        <v>177.0</v>
      </c>
      <c r="DU71" s="49">
        <v>182.0</v>
      </c>
      <c r="DV71" s="49">
        <v>177.0</v>
      </c>
      <c r="DW71" s="49">
        <v>804.0</v>
      </c>
      <c r="DX71" s="49"/>
      <c r="DY71" s="49">
        <v>2020.0</v>
      </c>
      <c r="DZ71" s="49">
        <v>15.0</v>
      </c>
      <c r="EA71" s="49">
        <v>0.0</v>
      </c>
      <c r="EB71" s="49">
        <v>0.0</v>
      </c>
      <c r="EC71" s="49">
        <v>0.0</v>
      </c>
      <c r="ED71" s="49">
        <v>0.0</v>
      </c>
      <c r="EE71" s="49">
        <v>15.0</v>
      </c>
      <c r="EF71" s="163"/>
      <c r="EG71" s="57" t="s">
        <v>841</v>
      </c>
      <c r="EH71" s="57">
        <v>2019.0</v>
      </c>
      <c r="EI71" s="57" t="s">
        <v>541</v>
      </c>
      <c r="EJ71" s="57" t="s">
        <v>541</v>
      </c>
      <c r="EK71" s="57" t="s">
        <v>541</v>
      </c>
      <c r="EL71" s="57" t="s">
        <v>541</v>
      </c>
      <c r="EM71" s="57" t="s">
        <v>541</v>
      </c>
      <c r="EN71" s="57" t="s">
        <v>541</v>
      </c>
      <c r="EO71" s="57"/>
      <c r="EP71" s="57">
        <v>2019.0</v>
      </c>
      <c r="EQ71" s="57" t="s">
        <v>541</v>
      </c>
      <c r="ER71" s="57" t="s">
        <v>541</v>
      </c>
      <c r="ES71" s="57" t="s">
        <v>541</v>
      </c>
      <c r="ET71" s="57" t="s">
        <v>541</v>
      </c>
      <c r="EU71" s="57" t="s">
        <v>541</v>
      </c>
      <c r="EV71" s="57" t="s">
        <v>541</v>
      </c>
      <c r="EW71" s="163"/>
      <c r="EX71" s="255" t="s">
        <v>898</v>
      </c>
      <c r="EY71" s="255">
        <v>2019.0</v>
      </c>
      <c r="EZ71" s="255" t="s">
        <v>541</v>
      </c>
      <c r="FA71" s="255" t="s">
        <v>541</v>
      </c>
      <c r="FB71" s="255" t="s">
        <v>541</v>
      </c>
      <c r="FC71" s="255" t="s">
        <v>541</v>
      </c>
      <c r="FD71" s="255" t="s">
        <v>541</v>
      </c>
      <c r="FE71" s="255" t="s">
        <v>541</v>
      </c>
      <c r="FF71" s="255"/>
      <c r="FG71" s="255">
        <v>2019.0</v>
      </c>
      <c r="FH71" s="255" t="s">
        <v>541</v>
      </c>
      <c r="FI71" s="255" t="s">
        <v>541</v>
      </c>
      <c r="FJ71" s="255" t="s">
        <v>541</v>
      </c>
      <c r="FK71" s="255" t="s">
        <v>541</v>
      </c>
      <c r="FL71" s="255" t="s">
        <v>541</v>
      </c>
      <c r="FM71" s="255" t="s">
        <v>541</v>
      </c>
    </row>
    <row r="72" ht="13.5" customHeight="1">
      <c r="A72" s="252" t="s">
        <v>1133</v>
      </c>
      <c r="B72" s="252">
        <v>2019.0</v>
      </c>
      <c r="C72" s="252">
        <v>48.0</v>
      </c>
      <c r="D72" s="252">
        <v>1.0</v>
      </c>
      <c r="E72" s="252">
        <v>1.0</v>
      </c>
      <c r="F72" s="252">
        <v>1.0</v>
      </c>
      <c r="G72" s="252">
        <v>0.0</v>
      </c>
      <c r="H72" s="252">
        <v>51.0</v>
      </c>
      <c r="I72" s="252"/>
      <c r="J72" s="252">
        <v>2019.0</v>
      </c>
      <c r="K72" s="252">
        <v>109.0</v>
      </c>
      <c r="L72" s="252">
        <v>120.0</v>
      </c>
      <c r="M72" s="252">
        <v>163.0</v>
      </c>
      <c r="N72" s="252">
        <v>235.0</v>
      </c>
      <c r="O72" s="252">
        <v>233.0</v>
      </c>
      <c r="P72" s="252">
        <v>860.0</v>
      </c>
      <c r="Q72" s="131"/>
      <c r="R72" s="253" t="s">
        <v>244</v>
      </c>
      <c r="S72" s="253">
        <v>2020.0</v>
      </c>
      <c r="T72" s="253">
        <v>234.0</v>
      </c>
      <c r="U72" s="253">
        <v>264.0</v>
      </c>
      <c r="V72" s="253">
        <v>284.0</v>
      </c>
      <c r="W72" s="253">
        <v>298.0</v>
      </c>
      <c r="X72" s="253">
        <v>225.0</v>
      </c>
      <c r="Y72" s="253">
        <v>1305.0</v>
      </c>
      <c r="Z72" s="253"/>
      <c r="AA72" s="253">
        <v>2020.0</v>
      </c>
      <c r="AB72" s="253">
        <v>34.0</v>
      </c>
      <c r="AC72" s="253">
        <v>4.0</v>
      </c>
      <c r="AD72" s="253">
        <v>0.0</v>
      </c>
      <c r="AE72" s="253">
        <v>0.0</v>
      </c>
      <c r="AF72" s="253">
        <v>0.0</v>
      </c>
      <c r="AG72" s="253">
        <v>38.0</v>
      </c>
      <c r="AH72" s="163"/>
      <c r="AI72" s="246" t="s">
        <v>312</v>
      </c>
      <c r="AJ72" s="246">
        <v>2019.0</v>
      </c>
      <c r="AK72" s="246">
        <v>326.0</v>
      </c>
      <c r="AL72" s="246">
        <v>361.0</v>
      </c>
      <c r="AM72" s="246">
        <v>482.0</v>
      </c>
      <c r="AN72" s="246">
        <v>694.0</v>
      </c>
      <c r="AO72" s="246">
        <v>562.0</v>
      </c>
      <c r="AP72" s="246">
        <v>2425.0</v>
      </c>
      <c r="AQ72" s="246"/>
      <c r="AR72" s="246">
        <v>2019.0</v>
      </c>
      <c r="AS72" s="246">
        <v>26.0</v>
      </c>
      <c r="AT72" s="246">
        <v>10.0</v>
      </c>
      <c r="AU72" s="246">
        <v>3.0</v>
      </c>
      <c r="AV72" s="246">
        <v>0.0</v>
      </c>
      <c r="AW72" s="246">
        <v>1.0</v>
      </c>
      <c r="AX72" s="246">
        <v>40.0</v>
      </c>
      <c r="AY72" s="163"/>
      <c r="AZ72" s="254" t="s">
        <v>452</v>
      </c>
      <c r="BA72" s="254">
        <v>2019.0</v>
      </c>
      <c r="BB72" s="254">
        <v>147.0</v>
      </c>
      <c r="BC72" s="254">
        <v>220.0</v>
      </c>
      <c r="BD72" s="254">
        <v>350.0</v>
      </c>
      <c r="BE72" s="254">
        <v>496.0</v>
      </c>
      <c r="BF72" s="254">
        <v>484.0</v>
      </c>
      <c r="BG72" s="254">
        <v>1697.0</v>
      </c>
      <c r="BH72" s="254"/>
      <c r="BI72" s="254">
        <v>2019.0</v>
      </c>
      <c r="BJ72" s="254">
        <v>20.0</v>
      </c>
      <c r="BK72" s="254">
        <v>0.0</v>
      </c>
      <c r="BL72" s="254">
        <v>0.0</v>
      </c>
      <c r="BM72" s="254">
        <v>0.0</v>
      </c>
      <c r="BN72" s="254">
        <v>0.0</v>
      </c>
      <c r="BO72" s="254">
        <v>20.0</v>
      </c>
      <c r="BP72" s="163"/>
      <c r="BQ72" s="255" t="s">
        <v>644</v>
      </c>
      <c r="BR72" s="255">
        <v>2020.0</v>
      </c>
      <c r="BS72" s="255">
        <v>107.0</v>
      </c>
      <c r="BT72" s="255">
        <v>109.0</v>
      </c>
      <c r="BU72" s="255">
        <v>115.0</v>
      </c>
      <c r="BV72" s="255">
        <v>165.0</v>
      </c>
      <c r="BW72" s="255">
        <v>148.0</v>
      </c>
      <c r="BX72" s="255">
        <v>644.0</v>
      </c>
      <c r="BY72" s="255"/>
      <c r="BZ72" s="255">
        <v>2020.0</v>
      </c>
      <c r="CA72" s="255">
        <v>41.0</v>
      </c>
      <c r="CB72" s="255">
        <v>1.0</v>
      </c>
      <c r="CC72" s="255">
        <v>0.0</v>
      </c>
      <c r="CD72" s="255">
        <v>0.0</v>
      </c>
      <c r="CE72" s="255">
        <v>0.0</v>
      </c>
      <c r="CF72" s="255">
        <v>42.0</v>
      </c>
      <c r="CG72" s="163"/>
      <c r="CH72" s="57" t="s">
        <v>1015</v>
      </c>
      <c r="CI72" s="57">
        <v>2019.0</v>
      </c>
      <c r="CJ72" s="57">
        <v>401.0</v>
      </c>
      <c r="CK72" s="57">
        <v>63.0</v>
      </c>
      <c r="CL72" s="57">
        <v>157.0</v>
      </c>
      <c r="CM72" s="57">
        <v>185.0</v>
      </c>
      <c r="CN72" s="57">
        <v>376.0</v>
      </c>
      <c r="CO72" s="57">
        <v>1182.0</v>
      </c>
      <c r="CP72" s="57"/>
      <c r="CQ72" s="57">
        <v>2019.0</v>
      </c>
      <c r="CR72" s="57">
        <v>138.0</v>
      </c>
      <c r="CS72" s="57">
        <v>0.0</v>
      </c>
      <c r="CT72" s="57">
        <v>0.0</v>
      </c>
      <c r="CU72" s="57">
        <v>0.0</v>
      </c>
      <c r="CV72" s="57">
        <v>0.0</v>
      </c>
      <c r="CW72" s="57">
        <v>138.0</v>
      </c>
      <c r="CX72" s="163"/>
      <c r="CY72" s="163"/>
      <c r="CZ72" s="163"/>
      <c r="DA72" s="163"/>
      <c r="DB72" s="163"/>
      <c r="DC72" s="163"/>
      <c r="DD72" s="163"/>
      <c r="DE72" s="163"/>
      <c r="DF72" s="163"/>
      <c r="DG72" s="163"/>
      <c r="DH72" s="163"/>
      <c r="DI72" s="163"/>
      <c r="DJ72" s="163"/>
      <c r="DK72" s="163"/>
      <c r="DL72" s="163"/>
      <c r="DM72" s="163"/>
      <c r="DN72" s="163"/>
      <c r="DO72" s="163"/>
      <c r="DP72" s="49" t="s">
        <v>772</v>
      </c>
      <c r="DQ72" s="49">
        <v>2020.0</v>
      </c>
      <c r="DR72" s="49">
        <v>2631.0</v>
      </c>
      <c r="DS72" s="49">
        <v>1168.0</v>
      </c>
      <c r="DT72" s="49">
        <v>921.0</v>
      </c>
      <c r="DU72" s="49">
        <v>850.0</v>
      </c>
      <c r="DV72" s="49">
        <v>1115.0</v>
      </c>
      <c r="DW72" s="49">
        <v>6685.0</v>
      </c>
      <c r="DX72" s="49"/>
      <c r="DY72" s="49">
        <v>2020.0</v>
      </c>
      <c r="DZ72" s="49">
        <v>312.0</v>
      </c>
      <c r="EA72" s="49">
        <v>27.0</v>
      </c>
      <c r="EB72" s="49">
        <v>0.0</v>
      </c>
      <c r="EC72" s="49">
        <v>0.0</v>
      </c>
      <c r="ED72" s="49">
        <v>0.0</v>
      </c>
      <c r="EE72" s="49">
        <v>339.0</v>
      </c>
      <c r="EF72" s="163"/>
      <c r="EG72" s="57" t="s">
        <v>843</v>
      </c>
      <c r="EH72" s="57">
        <v>2019.0</v>
      </c>
      <c r="EI72" s="57" t="s">
        <v>541</v>
      </c>
      <c r="EJ72" s="57" t="s">
        <v>541</v>
      </c>
      <c r="EK72" s="57" t="s">
        <v>541</v>
      </c>
      <c r="EL72" s="57" t="s">
        <v>541</v>
      </c>
      <c r="EM72" s="57" t="s">
        <v>541</v>
      </c>
      <c r="EN72" s="57" t="s">
        <v>541</v>
      </c>
      <c r="EO72" s="57"/>
      <c r="EP72" s="57">
        <v>2019.0</v>
      </c>
      <c r="EQ72" s="57" t="s">
        <v>541</v>
      </c>
      <c r="ER72" s="57" t="s">
        <v>541</v>
      </c>
      <c r="ES72" s="57" t="s">
        <v>541</v>
      </c>
      <c r="ET72" s="57" t="s">
        <v>541</v>
      </c>
      <c r="EU72" s="57" t="s">
        <v>541</v>
      </c>
      <c r="EV72" s="57" t="s">
        <v>541</v>
      </c>
      <c r="EW72" s="163"/>
      <c r="EX72" s="255" t="s">
        <v>900</v>
      </c>
      <c r="EY72" s="255">
        <v>2019.0</v>
      </c>
      <c r="EZ72" s="255">
        <v>167.0</v>
      </c>
      <c r="FA72" s="255">
        <v>263.0</v>
      </c>
      <c r="FB72" s="255">
        <v>302.0</v>
      </c>
      <c r="FC72" s="255">
        <v>379.0</v>
      </c>
      <c r="FD72" s="255">
        <v>403.0</v>
      </c>
      <c r="FE72" s="255">
        <v>1514.0</v>
      </c>
      <c r="FF72" s="255"/>
      <c r="FG72" s="255">
        <v>2019.0</v>
      </c>
      <c r="FH72" s="255">
        <v>49.0</v>
      </c>
      <c r="FI72" s="255">
        <v>12.0</v>
      </c>
      <c r="FJ72" s="255">
        <v>5.0</v>
      </c>
      <c r="FK72" s="255">
        <v>4.0</v>
      </c>
      <c r="FL72" s="255">
        <v>1.0</v>
      </c>
      <c r="FM72" s="255">
        <v>71.0</v>
      </c>
    </row>
    <row r="73" ht="13.5" customHeight="1">
      <c r="A73" s="252" t="s">
        <v>1136</v>
      </c>
      <c r="B73" s="252">
        <v>2019.0</v>
      </c>
      <c r="C73" s="252">
        <v>8.0</v>
      </c>
      <c r="D73" s="252">
        <v>4.0</v>
      </c>
      <c r="E73" s="252">
        <v>1.0</v>
      </c>
      <c r="F73" s="252">
        <v>1.0</v>
      </c>
      <c r="G73" s="252">
        <v>0.0</v>
      </c>
      <c r="H73" s="252">
        <v>14.0</v>
      </c>
      <c r="I73" s="252"/>
      <c r="J73" s="252">
        <v>2019.0</v>
      </c>
      <c r="K73" s="252">
        <v>81.0</v>
      </c>
      <c r="L73" s="252">
        <v>188.0</v>
      </c>
      <c r="M73" s="252">
        <v>268.0</v>
      </c>
      <c r="N73" s="252">
        <v>327.0</v>
      </c>
      <c r="O73" s="252">
        <v>259.0</v>
      </c>
      <c r="P73" s="252">
        <v>1123.0</v>
      </c>
      <c r="Q73" s="131"/>
      <c r="R73" s="253" t="s">
        <v>246</v>
      </c>
      <c r="S73" s="253">
        <v>2020.0</v>
      </c>
      <c r="T73" s="253">
        <v>135.0</v>
      </c>
      <c r="U73" s="253">
        <v>97.0</v>
      </c>
      <c r="V73" s="253">
        <v>141.0</v>
      </c>
      <c r="W73" s="253">
        <v>176.0</v>
      </c>
      <c r="X73" s="253">
        <v>186.0</v>
      </c>
      <c r="Y73" s="253">
        <v>735.0</v>
      </c>
      <c r="Z73" s="253"/>
      <c r="AA73" s="253">
        <v>2020.0</v>
      </c>
      <c r="AB73" s="253">
        <v>7.0</v>
      </c>
      <c r="AC73" s="253">
        <v>0.0</v>
      </c>
      <c r="AD73" s="253">
        <v>0.0</v>
      </c>
      <c r="AE73" s="253">
        <v>0.0</v>
      </c>
      <c r="AF73" s="253">
        <v>0.0</v>
      </c>
      <c r="AG73" s="253">
        <v>7.0</v>
      </c>
      <c r="AH73" s="163"/>
      <c r="AI73" s="246" t="s">
        <v>314</v>
      </c>
      <c r="AJ73" s="246">
        <v>2019.0</v>
      </c>
      <c r="AK73" s="246">
        <v>706.0</v>
      </c>
      <c r="AL73" s="246">
        <v>1021.0</v>
      </c>
      <c r="AM73" s="246">
        <v>1525.0</v>
      </c>
      <c r="AN73" s="246">
        <v>1770.0</v>
      </c>
      <c r="AO73" s="246">
        <v>1074.0</v>
      </c>
      <c r="AP73" s="246">
        <v>6096.0</v>
      </c>
      <c r="AQ73" s="246"/>
      <c r="AR73" s="246">
        <v>2019.0</v>
      </c>
      <c r="AS73" s="246">
        <v>33.0</v>
      </c>
      <c r="AT73" s="246">
        <v>5.0</v>
      </c>
      <c r="AU73" s="246">
        <v>3.0</v>
      </c>
      <c r="AV73" s="246">
        <v>1.0</v>
      </c>
      <c r="AW73" s="246">
        <v>1.0</v>
      </c>
      <c r="AX73" s="246">
        <v>43.0</v>
      </c>
      <c r="AY73" s="163"/>
      <c r="AZ73" s="254" t="s">
        <v>457</v>
      </c>
      <c r="BA73" s="254">
        <v>2019.0</v>
      </c>
      <c r="BB73" s="254">
        <v>202.0</v>
      </c>
      <c r="BC73" s="254">
        <v>106.0</v>
      </c>
      <c r="BD73" s="254">
        <v>137.0</v>
      </c>
      <c r="BE73" s="254">
        <v>197.0</v>
      </c>
      <c r="BF73" s="254">
        <v>201.0</v>
      </c>
      <c r="BG73" s="254">
        <v>843.0</v>
      </c>
      <c r="BH73" s="254"/>
      <c r="BI73" s="254">
        <v>2019.0</v>
      </c>
      <c r="BJ73" s="254">
        <v>26.0</v>
      </c>
      <c r="BK73" s="254">
        <v>0.0</v>
      </c>
      <c r="BL73" s="254">
        <v>0.0</v>
      </c>
      <c r="BM73" s="254">
        <v>0.0</v>
      </c>
      <c r="BN73" s="254">
        <v>0.0</v>
      </c>
      <c r="BO73" s="254">
        <v>26.0</v>
      </c>
      <c r="BP73" s="163"/>
      <c r="BQ73" s="255" t="s">
        <v>647</v>
      </c>
      <c r="BR73" s="255">
        <v>2020.0</v>
      </c>
      <c r="BS73" s="255">
        <v>55.0</v>
      </c>
      <c r="BT73" s="255">
        <v>71.0</v>
      </c>
      <c r="BU73" s="255">
        <v>112.0</v>
      </c>
      <c r="BV73" s="255">
        <v>157.0</v>
      </c>
      <c r="BW73" s="255">
        <v>149.0</v>
      </c>
      <c r="BX73" s="255">
        <v>544.0</v>
      </c>
      <c r="BY73" s="255"/>
      <c r="BZ73" s="255">
        <v>2020.0</v>
      </c>
      <c r="CA73" s="255">
        <v>17.0</v>
      </c>
      <c r="CB73" s="255">
        <v>1.0</v>
      </c>
      <c r="CC73" s="255">
        <v>0.0</v>
      </c>
      <c r="CD73" s="255">
        <v>0.0</v>
      </c>
      <c r="CE73" s="255">
        <v>0.0</v>
      </c>
      <c r="CF73" s="255">
        <v>18.0</v>
      </c>
      <c r="CG73" s="163"/>
      <c r="CH73" s="57" t="s">
        <v>1019</v>
      </c>
      <c r="CI73" s="57">
        <v>2019.0</v>
      </c>
      <c r="CJ73" s="57">
        <v>1146.0</v>
      </c>
      <c r="CK73" s="57">
        <v>833.0</v>
      </c>
      <c r="CL73" s="57">
        <v>1086.0</v>
      </c>
      <c r="CM73" s="57">
        <v>1097.0</v>
      </c>
      <c r="CN73" s="57">
        <v>875.0</v>
      </c>
      <c r="CO73" s="57">
        <v>5037.0</v>
      </c>
      <c r="CP73" s="57"/>
      <c r="CQ73" s="57">
        <v>2019.0</v>
      </c>
      <c r="CR73" s="57">
        <v>166.0</v>
      </c>
      <c r="CS73" s="57">
        <v>0.0</v>
      </c>
      <c r="CT73" s="57">
        <v>0.0</v>
      </c>
      <c r="CU73" s="57">
        <v>0.0</v>
      </c>
      <c r="CV73" s="57">
        <v>0.0</v>
      </c>
      <c r="CW73" s="57">
        <v>166.0</v>
      </c>
      <c r="CX73" s="163"/>
      <c r="CY73" s="163"/>
      <c r="CZ73" s="163"/>
      <c r="DA73" s="163"/>
      <c r="DB73" s="163"/>
      <c r="DC73" s="163"/>
      <c r="DD73" s="163"/>
      <c r="DE73" s="163"/>
      <c r="DF73" s="163"/>
      <c r="DG73" s="163"/>
      <c r="DH73" s="163"/>
      <c r="DI73" s="163"/>
      <c r="DJ73" s="163"/>
      <c r="DK73" s="163"/>
      <c r="DL73" s="163"/>
      <c r="DM73" s="163"/>
      <c r="DN73" s="163"/>
      <c r="DO73" s="163"/>
      <c r="DP73" s="163"/>
      <c r="DQ73" s="163"/>
      <c r="DR73" s="163"/>
      <c r="DS73" s="163"/>
      <c r="DT73" s="163"/>
      <c r="DU73" s="163"/>
      <c r="DV73" s="163"/>
      <c r="DW73" s="163"/>
      <c r="DX73" s="163"/>
      <c r="DY73" s="163"/>
      <c r="DZ73" s="163"/>
      <c r="EA73" s="163"/>
      <c r="EB73" s="163"/>
      <c r="EC73" s="163"/>
      <c r="ED73" s="163"/>
      <c r="EE73" s="163"/>
      <c r="EF73" s="163"/>
      <c r="EG73" s="163"/>
      <c r="EH73" s="163"/>
      <c r="EI73" s="163"/>
      <c r="EJ73" s="163"/>
      <c r="EK73" s="163"/>
      <c r="EL73" s="163"/>
      <c r="EM73" s="163"/>
      <c r="EN73" s="163"/>
      <c r="EO73" s="163"/>
      <c r="EP73" s="163"/>
      <c r="EQ73" s="163"/>
      <c r="ER73" s="163"/>
      <c r="ES73" s="163"/>
      <c r="ET73" s="163"/>
      <c r="EU73" s="163"/>
      <c r="EV73" s="163"/>
      <c r="EW73" s="163"/>
      <c r="EX73" s="255" t="s">
        <v>902</v>
      </c>
      <c r="EY73" s="255">
        <v>2019.0</v>
      </c>
      <c r="EZ73" s="255" t="s">
        <v>541</v>
      </c>
      <c r="FA73" s="255" t="s">
        <v>541</v>
      </c>
      <c r="FB73" s="255" t="s">
        <v>541</v>
      </c>
      <c r="FC73" s="255" t="s">
        <v>541</v>
      </c>
      <c r="FD73" s="255" t="s">
        <v>541</v>
      </c>
      <c r="FE73" s="255" t="s">
        <v>541</v>
      </c>
      <c r="FF73" s="255"/>
      <c r="FG73" s="255">
        <v>2019.0</v>
      </c>
      <c r="FH73" s="255" t="s">
        <v>541</v>
      </c>
      <c r="FI73" s="255" t="s">
        <v>541</v>
      </c>
      <c r="FJ73" s="255" t="s">
        <v>541</v>
      </c>
      <c r="FK73" s="255" t="s">
        <v>541</v>
      </c>
      <c r="FL73" s="255" t="s">
        <v>541</v>
      </c>
      <c r="FM73" s="255" t="s">
        <v>541</v>
      </c>
    </row>
    <row r="74" ht="13.5" customHeight="1">
      <c r="A74" s="252" t="s">
        <v>1140</v>
      </c>
      <c r="B74" s="252">
        <v>2019.0</v>
      </c>
      <c r="C74" s="252">
        <v>20.0</v>
      </c>
      <c r="D74" s="252">
        <v>4.0</v>
      </c>
      <c r="E74" s="252">
        <v>1.0</v>
      </c>
      <c r="F74" s="252">
        <v>2.0</v>
      </c>
      <c r="G74" s="252">
        <v>0.0</v>
      </c>
      <c r="H74" s="252">
        <v>27.0</v>
      </c>
      <c r="I74" s="252"/>
      <c r="J74" s="252">
        <v>2019.0</v>
      </c>
      <c r="K74" s="252">
        <v>123.0</v>
      </c>
      <c r="L74" s="252">
        <v>184.0</v>
      </c>
      <c r="M74" s="252">
        <v>291.0</v>
      </c>
      <c r="N74" s="252">
        <v>328.0</v>
      </c>
      <c r="O74" s="252">
        <v>267.0</v>
      </c>
      <c r="P74" s="252">
        <v>1193.0</v>
      </c>
      <c r="Q74" s="131"/>
      <c r="R74" s="253" t="s">
        <v>248</v>
      </c>
      <c r="S74" s="253">
        <v>2020.0</v>
      </c>
      <c r="T74" s="253">
        <v>553.0</v>
      </c>
      <c r="U74" s="253">
        <v>640.0</v>
      </c>
      <c r="V74" s="253">
        <v>714.0</v>
      </c>
      <c r="W74" s="253">
        <v>765.0</v>
      </c>
      <c r="X74" s="253">
        <v>544.0</v>
      </c>
      <c r="Y74" s="253">
        <v>3216.0</v>
      </c>
      <c r="Z74" s="253"/>
      <c r="AA74" s="253">
        <v>2020.0</v>
      </c>
      <c r="AB74" s="253">
        <v>23.0</v>
      </c>
      <c r="AC74" s="253">
        <v>4.0</v>
      </c>
      <c r="AD74" s="253">
        <v>1.0</v>
      </c>
      <c r="AE74" s="253">
        <v>1.0</v>
      </c>
      <c r="AF74" s="253">
        <v>0.0</v>
      </c>
      <c r="AG74" s="253">
        <v>29.0</v>
      </c>
      <c r="AH74" s="163"/>
      <c r="AI74" s="246" t="s">
        <v>316</v>
      </c>
      <c r="AJ74" s="246">
        <v>2019.0</v>
      </c>
      <c r="AK74" s="246">
        <v>270.0</v>
      </c>
      <c r="AL74" s="246">
        <v>506.0</v>
      </c>
      <c r="AM74" s="246">
        <v>814.0</v>
      </c>
      <c r="AN74" s="246">
        <v>1011.0</v>
      </c>
      <c r="AO74" s="246">
        <v>632.0</v>
      </c>
      <c r="AP74" s="246">
        <v>3233.0</v>
      </c>
      <c r="AQ74" s="246"/>
      <c r="AR74" s="246">
        <v>2019.0</v>
      </c>
      <c r="AS74" s="246">
        <v>20.0</v>
      </c>
      <c r="AT74" s="246">
        <v>3.0</v>
      </c>
      <c r="AU74" s="246">
        <v>1.0</v>
      </c>
      <c r="AV74" s="246">
        <v>0.0</v>
      </c>
      <c r="AW74" s="246">
        <v>0.0</v>
      </c>
      <c r="AX74" s="246">
        <v>24.0</v>
      </c>
      <c r="AY74" s="163"/>
      <c r="AZ74" s="254" t="s">
        <v>461</v>
      </c>
      <c r="BA74" s="254">
        <v>2019.0</v>
      </c>
      <c r="BB74" s="254">
        <v>264.0</v>
      </c>
      <c r="BC74" s="254">
        <v>263.0</v>
      </c>
      <c r="BD74" s="254">
        <v>492.0</v>
      </c>
      <c r="BE74" s="254">
        <v>609.0</v>
      </c>
      <c r="BF74" s="254">
        <v>573.0</v>
      </c>
      <c r="BG74" s="254">
        <v>2201.0</v>
      </c>
      <c r="BH74" s="254"/>
      <c r="BI74" s="254">
        <v>2019.0</v>
      </c>
      <c r="BJ74" s="254">
        <v>22.0</v>
      </c>
      <c r="BK74" s="254">
        <v>0.0</v>
      </c>
      <c r="BL74" s="254">
        <v>0.0</v>
      </c>
      <c r="BM74" s="254">
        <v>0.0</v>
      </c>
      <c r="BN74" s="254">
        <v>0.0</v>
      </c>
      <c r="BO74" s="254">
        <v>22.0</v>
      </c>
      <c r="BP74" s="163"/>
      <c r="BQ74" s="255" t="s">
        <v>650</v>
      </c>
      <c r="BR74" s="255">
        <v>2020.0</v>
      </c>
      <c r="BS74" s="255">
        <v>64.0</v>
      </c>
      <c r="BT74" s="255">
        <v>68.0</v>
      </c>
      <c r="BU74" s="255">
        <v>172.0</v>
      </c>
      <c r="BV74" s="255">
        <v>269.0</v>
      </c>
      <c r="BW74" s="255">
        <v>232.0</v>
      </c>
      <c r="BX74" s="255">
        <v>805.0</v>
      </c>
      <c r="BY74" s="255"/>
      <c r="BZ74" s="255">
        <v>2020.0</v>
      </c>
      <c r="CA74" s="255">
        <v>19.0</v>
      </c>
      <c r="CB74" s="255">
        <v>0.0</v>
      </c>
      <c r="CC74" s="255">
        <v>0.0</v>
      </c>
      <c r="CD74" s="255">
        <v>0.0</v>
      </c>
      <c r="CE74" s="255">
        <v>0.0</v>
      </c>
      <c r="CF74" s="255">
        <v>19.0</v>
      </c>
      <c r="CG74" s="163"/>
      <c r="CH74" s="57" t="s">
        <v>1021</v>
      </c>
      <c r="CI74" s="57">
        <v>2019.0</v>
      </c>
      <c r="CJ74" s="57">
        <v>132.0</v>
      </c>
      <c r="CK74" s="57">
        <v>135.0</v>
      </c>
      <c r="CL74" s="57">
        <v>211.0</v>
      </c>
      <c r="CM74" s="57">
        <v>377.0</v>
      </c>
      <c r="CN74" s="57">
        <v>366.0</v>
      </c>
      <c r="CO74" s="57">
        <v>1221.0</v>
      </c>
      <c r="CP74" s="57"/>
      <c r="CQ74" s="57">
        <v>2019.0</v>
      </c>
      <c r="CR74" s="57">
        <v>20.0</v>
      </c>
      <c r="CS74" s="57">
        <v>0.0</v>
      </c>
      <c r="CT74" s="57">
        <v>0.0</v>
      </c>
      <c r="CU74" s="57">
        <v>0.0</v>
      </c>
      <c r="CV74" s="57">
        <v>0.0</v>
      </c>
      <c r="CW74" s="57">
        <v>20.0</v>
      </c>
      <c r="CX74" s="163"/>
      <c r="CY74" s="163"/>
      <c r="CZ74" s="163"/>
      <c r="DA74" s="163"/>
      <c r="DB74" s="163"/>
      <c r="DC74" s="163"/>
      <c r="DD74" s="163"/>
      <c r="DE74" s="163"/>
      <c r="DF74" s="163"/>
      <c r="DG74" s="163"/>
      <c r="DH74" s="163"/>
      <c r="DI74" s="163"/>
      <c r="DJ74" s="163"/>
      <c r="DK74" s="163"/>
      <c r="DL74" s="163"/>
      <c r="DM74" s="163"/>
      <c r="DN74" s="163"/>
      <c r="DO74" s="163"/>
      <c r="DP74" s="163"/>
      <c r="DQ74" s="163"/>
      <c r="DR74" s="163"/>
      <c r="DS74" s="163"/>
      <c r="DT74" s="163"/>
      <c r="DU74" s="163"/>
      <c r="DV74" s="163"/>
      <c r="DW74" s="163"/>
      <c r="DX74" s="163"/>
      <c r="DY74" s="163"/>
      <c r="DZ74" s="163"/>
      <c r="EA74" s="163"/>
      <c r="EB74" s="163"/>
      <c r="EC74" s="163"/>
      <c r="ED74" s="163"/>
      <c r="EE74" s="163"/>
      <c r="EF74" s="163"/>
      <c r="EG74" s="57" t="s">
        <v>774</v>
      </c>
      <c r="EH74" s="57">
        <v>2020.0</v>
      </c>
      <c r="EI74" s="57">
        <v>626.0</v>
      </c>
      <c r="EJ74" s="57">
        <v>979.0</v>
      </c>
      <c r="EK74" s="57">
        <v>1135.0</v>
      </c>
      <c r="EL74" s="57">
        <v>1339.0</v>
      </c>
      <c r="EM74" s="57">
        <v>1395.0</v>
      </c>
      <c r="EN74" s="57">
        <v>5474.0</v>
      </c>
      <c r="EO74" s="57"/>
      <c r="EP74" s="57">
        <v>2020.0</v>
      </c>
      <c r="EQ74" s="57">
        <v>133.0</v>
      </c>
      <c r="ER74" s="57">
        <v>65.0</v>
      </c>
      <c r="ES74" s="57">
        <v>38.0</v>
      </c>
      <c r="ET74" s="57">
        <v>48.0</v>
      </c>
      <c r="EU74" s="57">
        <v>28.0</v>
      </c>
      <c r="EV74" s="57">
        <v>312.0</v>
      </c>
      <c r="EW74" s="163"/>
      <c r="EX74" s="255" t="s">
        <v>904</v>
      </c>
      <c r="EY74" s="255">
        <v>2019.0</v>
      </c>
      <c r="EZ74" s="255" t="s">
        <v>541</v>
      </c>
      <c r="FA74" s="255" t="s">
        <v>541</v>
      </c>
      <c r="FB74" s="255" t="s">
        <v>541</v>
      </c>
      <c r="FC74" s="255" t="s">
        <v>541</v>
      </c>
      <c r="FD74" s="255" t="s">
        <v>541</v>
      </c>
      <c r="FE74" s="255" t="s">
        <v>541</v>
      </c>
      <c r="FF74" s="255"/>
      <c r="FG74" s="255">
        <v>2019.0</v>
      </c>
      <c r="FH74" s="255" t="s">
        <v>541</v>
      </c>
      <c r="FI74" s="255" t="s">
        <v>541</v>
      </c>
      <c r="FJ74" s="255" t="s">
        <v>541</v>
      </c>
      <c r="FK74" s="255" t="s">
        <v>541</v>
      </c>
      <c r="FL74" s="255" t="s">
        <v>541</v>
      </c>
      <c r="FM74" s="255" t="s">
        <v>541</v>
      </c>
    </row>
    <row r="75" ht="13.5" customHeight="1">
      <c r="A75" s="252" t="s">
        <v>1143</v>
      </c>
      <c r="B75" s="252">
        <v>2019.0</v>
      </c>
      <c r="C75" s="252">
        <v>8.0</v>
      </c>
      <c r="D75" s="252">
        <v>1.0</v>
      </c>
      <c r="E75" s="252">
        <v>2.0</v>
      </c>
      <c r="F75" s="252">
        <v>2.0</v>
      </c>
      <c r="G75" s="252">
        <v>0.0</v>
      </c>
      <c r="H75" s="252">
        <v>13.0</v>
      </c>
      <c r="I75" s="252"/>
      <c r="J75" s="252">
        <v>2019.0</v>
      </c>
      <c r="K75" s="252">
        <v>70.0</v>
      </c>
      <c r="L75" s="252">
        <v>110.0</v>
      </c>
      <c r="M75" s="252">
        <v>197.0</v>
      </c>
      <c r="N75" s="252">
        <v>267.0</v>
      </c>
      <c r="O75" s="252">
        <v>209.0</v>
      </c>
      <c r="P75" s="252">
        <v>853.0</v>
      </c>
      <c r="Q75" s="131"/>
      <c r="R75" s="253" t="s">
        <v>250</v>
      </c>
      <c r="S75" s="253">
        <v>2020.0</v>
      </c>
      <c r="T75" s="253">
        <v>1873.0</v>
      </c>
      <c r="U75" s="253">
        <v>1371.0</v>
      </c>
      <c r="V75" s="253">
        <v>1531.0</v>
      </c>
      <c r="W75" s="253">
        <v>1528.0</v>
      </c>
      <c r="X75" s="253">
        <v>1067.0</v>
      </c>
      <c r="Y75" s="253">
        <v>7370.0</v>
      </c>
      <c r="Z75" s="253"/>
      <c r="AA75" s="253">
        <v>2020.0</v>
      </c>
      <c r="AB75" s="253">
        <v>157.0</v>
      </c>
      <c r="AC75" s="253">
        <v>7.0</v>
      </c>
      <c r="AD75" s="253">
        <v>1.0</v>
      </c>
      <c r="AE75" s="253">
        <v>2.0</v>
      </c>
      <c r="AF75" s="253">
        <v>0.0</v>
      </c>
      <c r="AG75" s="253">
        <v>167.0</v>
      </c>
      <c r="AH75" s="163"/>
      <c r="AI75" s="246" t="s">
        <v>318</v>
      </c>
      <c r="AJ75" s="246">
        <v>2019.0</v>
      </c>
      <c r="AK75" s="246">
        <v>128.0</v>
      </c>
      <c r="AL75" s="246">
        <v>259.0</v>
      </c>
      <c r="AM75" s="246">
        <v>545.0</v>
      </c>
      <c r="AN75" s="246">
        <v>798.0</v>
      </c>
      <c r="AO75" s="246">
        <v>562.0</v>
      </c>
      <c r="AP75" s="246">
        <v>2292.0</v>
      </c>
      <c r="AQ75" s="246"/>
      <c r="AR75" s="246">
        <v>2019.0</v>
      </c>
      <c r="AS75" s="246">
        <v>22.0</v>
      </c>
      <c r="AT75" s="246">
        <v>1.0</v>
      </c>
      <c r="AU75" s="246">
        <v>0.0</v>
      </c>
      <c r="AV75" s="246">
        <v>0.0</v>
      </c>
      <c r="AW75" s="246">
        <v>1.0</v>
      </c>
      <c r="AX75" s="246">
        <v>24.0</v>
      </c>
      <c r="AY75" s="163"/>
      <c r="AZ75" s="254" t="s">
        <v>466</v>
      </c>
      <c r="BA75" s="254">
        <v>2019.0</v>
      </c>
      <c r="BB75" s="254">
        <v>215.0</v>
      </c>
      <c r="BC75" s="254">
        <v>136.0</v>
      </c>
      <c r="BD75" s="254">
        <v>197.0</v>
      </c>
      <c r="BE75" s="254">
        <v>244.0</v>
      </c>
      <c r="BF75" s="254">
        <v>240.0</v>
      </c>
      <c r="BG75" s="254">
        <v>1032.0</v>
      </c>
      <c r="BH75" s="254"/>
      <c r="BI75" s="254">
        <v>2019.0</v>
      </c>
      <c r="BJ75" s="254">
        <v>18.0</v>
      </c>
      <c r="BK75" s="254">
        <v>0.0</v>
      </c>
      <c r="BL75" s="254">
        <v>0.0</v>
      </c>
      <c r="BM75" s="254">
        <v>0.0</v>
      </c>
      <c r="BN75" s="254">
        <v>0.0</v>
      </c>
      <c r="BO75" s="254">
        <v>18.0</v>
      </c>
      <c r="BP75" s="163"/>
      <c r="BQ75" s="255" t="s">
        <v>653</v>
      </c>
      <c r="BR75" s="255">
        <v>2020.0</v>
      </c>
      <c r="BS75" s="255">
        <v>47.0</v>
      </c>
      <c r="BT75" s="255">
        <v>58.0</v>
      </c>
      <c r="BU75" s="255">
        <v>147.0</v>
      </c>
      <c r="BV75" s="255">
        <v>198.0</v>
      </c>
      <c r="BW75" s="255">
        <v>198.0</v>
      </c>
      <c r="BX75" s="255">
        <v>648.0</v>
      </c>
      <c r="BY75" s="255"/>
      <c r="BZ75" s="255">
        <v>2020.0</v>
      </c>
      <c r="CA75" s="255">
        <v>13.0</v>
      </c>
      <c r="CB75" s="255">
        <v>0.0</v>
      </c>
      <c r="CC75" s="255">
        <v>0.0</v>
      </c>
      <c r="CD75" s="255">
        <v>0.0</v>
      </c>
      <c r="CE75" s="255">
        <v>0.0</v>
      </c>
      <c r="CF75" s="255">
        <v>13.0</v>
      </c>
      <c r="CG75" s="163"/>
      <c r="CH75" s="57" t="s">
        <v>1023</v>
      </c>
      <c r="CI75" s="57">
        <v>2019.0</v>
      </c>
      <c r="CJ75" s="57">
        <v>100.0</v>
      </c>
      <c r="CK75" s="57">
        <v>98.0</v>
      </c>
      <c r="CL75" s="57">
        <v>212.0</v>
      </c>
      <c r="CM75" s="57">
        <v>249.0</v>
      </c>
      <c r="CN75" s="57">
        <v>264.0</v>
      </c>
      <c r="CO75" s="57">
        <v>923.0</v>
      </c>
      <c r="CP75" s="57"/>
      <c r="CQ75" s="57">
        <v>2019.0</v>
      </c>
      <c r="CR75" s="57">
        <v>28.0</v>
      </c>
      <c r="CS75" s="57">
        <v>0.0</v>
      </c>
      <c r="CT75" s="57">
        <v>0.0</v>
      </c>
      <c r="CU75" s="57">
        <v>0.0</v>
      </c>
      <c r="CV75" s="57">
        <v>0.0</v>
      </c>
      <c r="CW75" s="57">
        <v>28.0</v>
      </c>
      <c r="CX75" s="163"/>
      <c r="CY75" s="163"/>
      <c r="CZ75" s="163"/>
      <c r="DA75" s="163"/>
      <c r="DB75" s="163"/>
      <c r="DC75" s="163"/>
      <c r="DD75" s="163"/>
      <c r="DE75" s="163"/>
      <c r="DF75" s="163"/>
      <c r="DG75" s="163"/>
      <c r="DH75" s="163"/>
      <c r="DI75" s="163"/>
      <c r="DJ75" s="163"/>
      <c r="DK75" s="163"/>
      <c r="DL75" s="163"/>
      <c r="DM75" s="163"/>
      <c r="DN75" s="163"/>
      <c r="DO75" s="163"/>
      <c r="DP75" s="163"/>
      <c r="DQ75" s="163"/>
      <c r="DR75" s="163"/>
      <c r="DS75" s="163"/>
      <c r="DT75" s="163"/>
      <c r="DU75" s="163"/>
      <c r="DV75" s="163"/>
      <c r="DW75" s="163"/>
      <c r="DX75" s="163"/>
      <c r="DY75" s="163"/>
      <c r="DZ75" s="163"/>
      <c r="EA75" s="163"/>
      <c r="EB75" s="163"/>
      <c r="EC75" s="163"/>
      <c r="ED75" s="163"/>
      <c r="EE75" s="163"/>
      <c r="EF75" s="163"/>
      <c r="EG75" s="57" t="s">
        <v>776</v>
      </c>
      <c r="EH75" s="57">
        <v>2020.0</v>
      </c>
      <c r="EI75" s="57">
        <v>149.0</v>
      </c>
      <c r="EJ75" s="57">
        <v>259.0</v>
      </c>
      <c r="EK75" s="57">
        <v>350.0</v>
      </c>
      <c r="EL75" s="57">
        <v>436.0</v>
      </c>
      <c r="EM75" s="57">
        <v>484.0</v>
      </c>
      <c r="EN75" s="57">
        <v>1678.0</v>
      </c>
      <c r="EO75" s="57"/>
      <c r="EP75" s="57">
        <v>2020.0</v>
      </c>
      <c r="EQ75" s="57">
        <v>32.0</v>
      </c>
      <c r="ER75" s="57">
        <v>18.0</v>
      </c>
      <c r="ES75" s="57">
        <v>9.0</v>
      </c>
      <c r="ET75" s="57">
        <v>8.0</v>
      </c>
      <c r="EU75" s="57">
        <v>15.0</v>
      </c>
      <c r="EV75" s="57">
        <v>82.0</v>
      </c>
      <c r="EW75" s="163"/>
      <c r="EX75" s="255" t="s">
        <v>906</v>
      </c>
      <c r="EY75" s="255">
        <v>2019.0</v>
      </c>
      <c r="EZ75" s="255" t="s">
        <v>541</v>
      </c>
      <c r="FA75" s="255" t="s">
        <v>541</v>
      </c>
      <c r="FB75" s="255" t="s">
        <v>541</v>
      </c>
      <c r="FC75" s="255" t="s">
        <v>541</v>
      </c>
      <c r="FD75" s="255" t="s">
        <v>541</v>
      </c>
      <c r="FE75" s="255" t="s">
        <v>541</v>
      </c>
      <c r="FF75" s="255"/>
      <c r="FG75" s="255">
        <v>2019.0</v>
      </c>
      <c r="FH75" s="255" t="s">
        <v>541</v>
      </c>
      <c r="FI75" s="255" t="s">
        <v>541</v>
      </c>
      <c r="FJ75" s="255" t="s">
        <v>541</v>
      </c>
      <c r="FK75" s="255" t="s">
        <v>541</v>
      </c>
      <c r="FL75" s="255" t="s">
        <v>541</v>
      </c>
      <c r="FM75" s="255" t="s">
        <v>541</v>
      </c>
    </row>
    <row r="76" ht="13.5" customHeight="1">
      <c r="A76" s="252" t="s">
        <v>1146</v>
      </c>
      <c r="B76" s="252">
        <v>2019.0</v>
      </c>
      <c r="C76" s="252">
        <v>412.0</v>
      </c>
      <c r="D76" s="252">
        <v>152.0</v>
      </c>
      <c r="E76" s="252">
        <v>163.0</v>
      </c>
      <c r="F76" s="252">
        <v>198.0</v>
      </c>
      <c r="G76" s="252">
        <v>226.0</v>
      </c>
      <c r="H76" s="252">
        <v>1151.0</v>
      </c>
      <c r="I76" s="252"/>
      <c r="J76" s="252">
        <v>2019.0</v>
      </c>
      <c r="K76" s="252">
        <v>867.0</v>
      </c>
      <c r="L76" s="252">
        <v>698.0</v>
      </c>
      <c r="M76" s="252">
        <v>596.0</v>
      </c>
      <c r="N76" s="252">
        <v>716.0</v>
      </c>
      <c r="O76" s="252">
        <v>912.0</v>
      </c>
      <c r="P76" s="252">
        <v>3789.0</v>
      </c>
      <c r="Q76" s="131"/>
      <c r="R76" s="253" t="s">
        <v>252</v>
      </c>
      <c r="S76" s="253">
        <v>2020.0</v>
      </c>
      <c r="T76" s="253">
        <v>550.0</v>
      </c>
      <c r="U76" s="253">
        <v>571.0</v>
      </c>
      <c r="V76" s="253">
        <v>737.0</v>
      </c>
      <c r="W76" s="253">
        <v>736.0</v>
      </c>
      <c r="X76" s="253">
        <v>546.0</v>
      </c>
      <c r="Y76" s="253">
        <v>3140.0</v>
      </c>
      <c r="Z76" s="253"/>
      <c r="AA76" s="253">
        <v>2020.0</v>
      </c>
      <c r="AB76" s="253">
        <v>14.0</v>
      </c>
      <c r="AC76" s="253">
        <v>0.0</v>
      </c>
      <c r="AD76" s="253">
        <v>0.0</v>
      </c>
      <c r="AE76" s="253">
        <v>0.0</v>
      </c>
      <c r="AF76" s="253">
        <v>0.0</v>
      </c>
      <c r="AG76" s="253">
        <v>14.0</v>
      </c>
      <c r="AH76" s="163"/>
      <c r="AI76" s="246" t="s">
        <v>320</v>
      </c>
      <c r="AJ76" s="246">
        <v>2019.0</v>
      </c>
      <c r="AK76" s="246">
        <v>520.0</v>
      </c>
      <c r="AL76" s="246">
        <v>277.0</v>
      </c>
      <c r="AM76" s="246">
        <v>433.0</v>
      </c>
      <c r="AN76" s="246">
        <v>559.0</v>
      </c>
      <c r="AO76" s="246">
        <v>530.0</v>
      </c>
      <c r="AP76" s="246">
        <v>2319.0</v>
      </c>
      <c r="AQ76" s="246"/>
      <c r="AR76" s="246">
        <v>2019.0</v>
      </c>
      <c r="AS76" s="246">
        <v>109.0</v>
      </c>
      <c r="AT76" s="246">
        <v>1.0</v>
      </c>
      <c r="AU76" s="246">
        <v>0.0</v>
      </c>
      <c r="AV76" s="246">
        <v>0.0</v>
      </c>
      <c r="AW76" s="246">
        <v>0.0</v>
      </c>
      <c r="AX76" s="246">
        <v>110.0</v>
      </c>
      <c r="AY76" s="163"/>
      <c r="AZ76" s="254" t="s">
        <v>471</v>
      </c>
      <c r="BA76" s="254">
        <v>2019.0</v>
      </c>
      <c r="BB76" s="254">
        <v>36.0</v>
      </c>
      <c r="BC76" s="254">
        <v>37.0</v>
      </c>
      <c r="BD76" s="254">
        <v>69.0</v>
      </c>
      <c r="BE76" s="254">
        <v>95.0</v>
      </c>
      <c r="BF76" s="254">
        <v>163.0</v>
      </c>
      <c r="BG76" s="254">
        <v>400.0</v>
      </c>
      <c r="BH76" s="254"/>
      <c r="BI76" s="254">
        <v>2019.0</v>
      </c>
      <c r="BJ76" s="254">
        <v>1.0</v>
      </c>
      <c r="BK76" s="254">
        <v>0.0</v>
      </c>
      <c r="BL76" s="254">
        <v>0.0</v>
      </c>
      <c r="BM76" s="254">
        <v>0.0</v>
      </c>
      <c r="BN76" s="254">
        <v>0.0</v>
      </c>
      <c r="BO76" s="254">
        <v>1.0</v>
      </c>
      <c r="BP76" s="163"/>
      <c r="BQ76" s="255" t="s">
        <v>656</v>
      </c>
      <c r="BR76" s="255">
        <v>2020.0</v>
      </c>
      <c r="BS76" s="255">
        <v>62.0</v>
      </c>
      <c r="BT76" s="255">
        <v>86.0</v>
      </c>
      <c r="BU76" s="255">
        <v>142.0</v>
      </c>
      <c r="BV76" s="255">
        <v>170.0</v>
      </c>
      <c r="BW76" s="255">
        <v>174.0</v>
      </c>
      <c r="BX76" s="255">
        <v>634.0</v>
      </c>
      <c r="BY76" s="255"/>
      <c r="BZ76" s="255">
        <v>2020.0</v>
      </c>
      <c r="CA76" s="255">
        <v>15.0</v>
      </c>
      <c r="CB76" s="255">
        <v>0.0</v>
      </c>
      <c r="CC76" s="255">
        <v>0.0</v>
      </c>
      <c r="CD76" s="255">
        <v>0.0</v>
      </c>
      <c r="CE76" s="255">
        <v>0.0</v>
      </c>
      <c r="CF76" s="255">
        <v>15.0</v>
      </c>
      <c r="CG76" s="163"/>
      <c r="CH76" s="57" t="s">
        <v>691</v>
      </c>
      <c r="CI76" s="57">
        <v>2019.0</v>
      </c>
      <c r="CJ76" s="57">
        <v>141.0</v>
      </c>
      <c r="CK76" s="57">
        <v>180.0</v>
      </c>
      <c r="CL76" s="57">
        <v>291.0</v>
      </c>
      <c r="CM76" s="57">
        <v>413.0</v>
      </c>
      <c r="CN76" s="57">
        <v>378.0</v>
      </c>
      <c r="CO76" s="57">
        <v>1403.0</v>
      </c>
      <c r="CP76" s="57"/>
      <c r="CQ76" s="57">
        <v>2019.0</v>
      </c>
      <c r="CR76" s="57">
        <v>25.0</v>
      </c>
      <c r="CS76" s="57">
        <v>0.0</v>
      </c>
      <c r="CT76" s="57">
        <v>0.0</v>
      </c>
      <c r="CU76" s="57">
        <v>0.0</v>
      </c>
      <c r="CV76" s="57">
        <v>0.0</v>
      </c>
      <c r="CW76" s="57">
        <v>25.0</v>
      </c>
      <c r="CX76" s="163"/>
      <c r="CY76" s="163"/>
      <c r="CZ76" s="163"/>
      <c r="DA76" s="163"/>
      <c r="DB76" s="163"/>
      <c r="DC76" s="163"/>
      <c r="DD76" s="163"/>
      <c r="DE76" s="163"/>
      <c r="DF76" s="163"/>
      <c r="DG76" s="163"/>
      <c r="DH76" s="163"/>
      <c r="DI76" s="163"/>
      <c r="DJ76" s="163"/>
      <c r="DK76" s="163"/>
      <c r="DL76" s="163"/>
      <c r="DM76" s="163"/>
      <c r="DN76" s="163"/>
      <c r="DO76" s="163"/>
      <c r="DP76" s="163"/>
      <c r="DQ76" s="163"/>
      <c r="DR76" s="163"/>
      <c r="DS76" s="163"/>
      <c r="DT76" s="163"/>
      <c r="DU76" s="163"/>
      <c r="DV76" s="163"/>
      <c r="DW76" s="163"/>
      <c r="DX76" s="163"/>
      <c r="DY76" s="163"/>
      <c r="DZ76" s="163"/>
      <c r="EA76" s="163"/>
      <c r="EB76" s="163"/>
      <c r="EC76" s="163"/>
      <c r="ED76" s="163"/>
      <c r="EE76" s="163"/>
      <c r="EF76" s="163"/>
      <c r="EG76" s="57" t="s">
        <v>778</v>
      </c>
      <c r="EH76" s="57">
        <v>2020.0</v>
      </c>
      <c r="EI76" s="57">
        <v>236.0</v>
      </c>
      <c r="EJ76" s="57">
        <v>382.0</v>
      </c>
      <c r="EK76" s="57">
        <v>542.0</v>
      </c>
      <c r="EL76" s="57">
        <v>687.0</v>
      </c>
      <c r="EM76" s="57">
        <v>695.0</v>
      </c>
      <c r="EN76" s="57">
        <v>2542.0</v>
      </c>
      <c r="EO76" s="57"/>
      <c r="EP76" s="57">
        <v>2020.0</v>
      </c>
      <c r="EQ76" s="57">
        <v>44.0</v>
      </c>
      <c r="ER76" s="57">
        <v>19.0</v>
      </c>
      <c r="ES76" s="57">
        <v>8.0</v>
      </c>
      <c r="ET76" s="57">
        <v>8.0</v>
      </c>
      <c r="EU76" s="57">
        <v>9.0</v>
      </c>
      <c r="EV76" s="57">
        <v>88.0</v>
      </c>
      <c r="EW76" s="163"/>
      <c r="EX76" s="255" t="s">
        <v>908</v>
      </c>
      <c r="EY76" s="255">
        <v>2019.0</v>
      </c>
      <c r="EZ76" s="255">
        <v>194.0</v>
      </c>
      <c r="FA76" s="255">
        <v>313.0</v>
      </c>
      <c r="FB76" s="255">
        <v>348.0</v>
      </c>
      <c r="FC76" s="255">
        <v>416.0</v>
      </c>
      <c r="FD76" s="255">
        <v>479.0</v>
      </c>
      <c r="FE76" s="255">
        <v>1750.0</v>
      </c>
      <c r="FF76" s="255"/>
      <c r="FG76" s="255">
        <v>2019.0</v>
      </c>
      <c r="FH76" s="255">
        <v>26.0</v>
      </c>
      <c r="FI76" s="255">
        <v>5.0</v>
      </c>
      <c r="FJ76" s="255">
        <v>2.0</v>
      </c>
      <c r="FK76" s="255">
        <v>3.0</v>
      </c>
      <c r="FL76" s="255">
        <v>3.0</v>
      </c>
      <c r="FM76" s="255">
        <v>39.0</v>
      </c>
    </row>
    <row r="77" ht="13.5" customHeight="1">
      <c r="A77" s="252" t="s">
        <v>1150</v>
      </c>
      <c r="B77" s="252">
        <v>2019.0</v>
      </c>
      <c r="C77" s="252">
        <v>284.0</v>
      </c>
      <c r="D77" s="252">
        <v>88.0</v>
      </c>
      <c r="E77" s="252">
        <v>25.0</v>
      </c>
      <c r="F77" s="252">
        <v>17.0</v>
      </c>
      <c r="G77" s="252">
        <v>38.0</v>
      </c>
      <c r="H77" s="252">
        <v>452.0</v>
      </c>
      <c r="I77" s="252"/>
      <c r="J77" s="252">
        <v>2019.0</v>
      </c>
      <c r="K77" s="252">
        <v>663.0</v>
      </c>
      <c r="L77" s="252">
        <v>590.0</v>
      </c>
      <c r="M77" s="252">
        <v>536.0</v>
      </c>
      <c r="N77" s="252">
        <v>640.0</v>
      </c>
      <c r="O77" s="252">
        <v>851.0</v>
      </c>
      <c r="P77" s="252">
        <v>3280.0</v>
      </c>
      <c r="Q77" s="131"/>
      <c r="R77" s="253" t="s">
        <v>254</v>
      </c>
      <c r="S77" s="253">
        <v>2020.0</v>
      </c>
      <c r="T77" s="253">
        <v>590.0</v>
      </c>
      <c r="U77" s="253">
        <v>425.0</v>
      </c>
      <c r="V77" s="253">
        <v>624.0</v>
      </c>
      <c r="W77" s="253">
        <v>716.0</v>
      </c>
      <c r="X77" s="253">
        <v>517.0</v>
      </c>
      <c r="Y77" s="253">
        <v>2872.0</v>
      </c>
      <c r="Z77" s="253"/>
      <c r="AA77" s="253">
        <v>2020.0</v>
      </c>
      <c r="AB77" s="253">
        <v>16.0</v>
      </c>
      <c r="AC77" s="253">
        <v>0.0</v>
      </c>
      <c r="AD77" s="253">
        <v>0.0</v>
      </c>
      <c r="AE77" s="253">
        <v>0.0</v>
      </c>
      <c r="AF77" s="253">
        <v>0.0</v>
      </c>
      <c r="AG77" s="253">
        <v>16.0</v>
      </c>
      <c r="AH77" s="163"/>
      <c r="AI77" s="246" t="s">
        <v>322</v>
      </c>
      <c r="AJ77" s="246">
        <v>2019.0</v>
      </c>
      <c r="AK77" s="246">
        <v>368.0</v>
      </c>
      <c r="AL77" s="246">
        <v>267.0</v>
      </c>
      <c r="AM77" s="246">
        <v>428.0</v>
      </c>
      <c r="AN77" s="246">
        <v>528.0</v>
      </c>
      <c r="AO77" s="246">
        <v>509.0</v>
      </c>
      <c r="AP77" s="246">
        <v>2100.0</v>
      </c>
      <c r="AQ77" s="246"/>
      <c r="AR77" s="246">
        <v>2019.0</v>
      </c>
      <c r="AS77" s="246">
        <v>95.0</v>
      </c>
      <c r="AT77" s="246">
        <v>0.0</v>
      </c>
      <c r="AU77" s="246">
        <v>0.0</v>
      </c>
      <c r="AV77" s="246">
        <v>0.0</v>
      </c>
      <c r="AW77" s="246">
        <v>0.0</v>
      </c>
      <c r="AX77" s="246">
        <v>95.0</v>
      </c>
      <c r="AY77" s="163"/>
      <c r="AZ77" s="254" t="s">
        <v>476</v>
      </c>
      <c r="BA77" s="254">
        <v>2019.0</v>
      </c>
      <c r="BB77" s="254">
        <v>162.0</v>
      </c>
      <c r="BC77" s="254">
        <v>167.0</v>
      </c>
      <c r="BD77" s="254">
        <v>345.0</v>
      </c>
      <c r="BE77" s="254">
        <v>472.0</v>
      </c>
      <c r="BF77" s="254">
        <v>497.0</v>
      </c>
      <c r="BG77" s="254">
        <v>1643.0</v>
      </c>
      <c r="BH77" s="254"/>
      <c r="BI77" s="254">
        <v>2019.0</v>
      </c>
      <c r="BJ77" s="254">
        <v>31.0</v>
      </c>
      <c r="BK77" s="254">
        <v>0.0</v>
      </c>
      <c r="BL77" s="254">
        <v>0.0</v>
      </c>
      <c r="BM77" s="254">
        <v>0.0</v>
      </c>
      <c r="BN77" s="254">
        <v>0.0</v>
      </c>
      <c r="BO77" s="254">
        <v>31.0</v>
      </c>
      <c r="BP77" s="163"/>
      <c r="BQ77" s="255" t="s">
        <v>658</v>
      </c>
      <c r="BR77" s="255">
        <v>2020.0</v>
      </c>
      <c r="BS77" s="255">
        <v>63.0</v>
      </c>
      <c r="BT77" s="255">
        <v>63.0</v>
      </c>
      <c r="BU77" s="255">
        <v>106.0</v>
      </c>
      <c r="BV77" s="255">
        <v>185.0</v>
      </c>
      <c r="BW77" s="255">
        <v>167.0</v>
      </c>
      <c r="BX77" s="255">
        <v>584.0</v>
      </c>
      <c r="BY77" s="255"/>
      <c r="BZ77" s="255">
        <v>2020.0</v>
      </c>
      <c r="CA77" s="255">
        <v>22.0</v>
      </c>
      <c r="CB77" s="255">
        <v>0.0</v>
      </c>
      <c r="CC77" s="255">
        <v>0.0</v>
      </c>
      <c r="CD77" s="255">
        <v>0.0</v>
      </c>
      <c r="CE77" s="255">
        <v>0.0</v>
      </c>
      <c r="CF77" s="255">
        <v>22.0</v>
      </c>
      <c r="CG77" s="163"/>
      <c r="CH77" s="57" t="s">
        <v>680</v>
      </c>
      <c r="CI77" s="57">
        <v>2019.0</v>
      </c>
      <c r="CJ77" s="57" t="s">
        <v>541</v>
      </c>
      <c r="CK77" s="57" t="s">
        <v>541</v>
      </c>
      <c r="CL77" s="57" t="s">
        <v>541</v>
      </c>
      <c r="CM77" s="57" t="s">
        <v>541</v>
      </c>
      <c r="CN77" s="57" t="s">
        <v>541</v>
      </c>
      <c r="CO77" s="57" t="s">
        <v>541</v>
      </c>
      <c r="CP77" s="57"/>
      <c r="CQ77" s="57">
        <v>2019.0</v>
      </c>
      <c r="CR77" s="57" t="s">
        <v>541</v>
      </c>
      <c r="CS77" s="57" t="s">
        <v>541</v>
      </c>
      <c r="CT77" s="57" t="s">
        <v>541</v>
      </c>
      <c r="CU77" s="57" t="s">
        <v>541</v>
      </c>
      <c r="CV77" s="57" t="s">
        <v>541</v>
      </c>
      <c r="CW77" s="57" t="s">
        <v>541</v>
      </c>
      <c r="CX77" s="163"/>
      <c r="CY77" s="163"/>
      <c r="CZ77" s="163"/>
      <c r="DA77" s="163"/>
      <c r="DB77" s="163"/>
      <c r="DC77" s="163"/>
      <c r="DD77" s="163"/>
      <c r="DE77" s="163"/>
      <c r="DF77" s="163"/>
      <c r="DG77" s="163"/>
      <c r="DH77" s="163"/>
      <c r="DI77" s="163"/>
      <c r="DJ77" s="163"/>
      <c r="DK77" s="163"/>
      <c r="DL77" s="163"/>
      <c r="DM77" s="163"/>
      <c r="DN77" s="163"/>
      <c r="DO77" s="163"/>
      <c r="DP77" s="163"/>
      <c r="DQ77" s="163"/>
      <c r="DR77" s="163"/>
      <c r="DS77" s="163"/>
      <c r="DT77" s="163"/>
      <c r="DU77" s="163"/>
      <c r="DV77" s="163"/>
      <c r="DW77" s="163"/>
      <c r="DX77" s="163"/>
      <c r="DY77" s="163"/>
      <c r="DZ77" s="163"/>
      <c r="EA77" s="163"/>
      <c r="EB77" s="163"/>
      <c r="EC77" s="163"/>
      <c r="ED77" s="163"/>
      <c r="EE77" s="163"/>
      <c r="EF77" s="163"/>
      <c r="EG77" s="57" t="s">
        <v>780</v>
      </c>
      <c r="EH77" s="57">
        <v>2020.0</v>
      </c>
      <c r="EI77" s="57">
        <v>76.0</v>
      </c>
      <c r="EJ77" s="57">
        <v>159.0</v>
      </c>
      <c r="EK77" s="57">
        <v>176.0</v>
      </c>
      <c r="EL77" s="57">
        <v>248.0</v>
      </c>
      <c r="EM77" s="57">
        <v>282.0</v>
      </c>
      <c r="EN77" s="57">
        <v>941.0</v>
      </c>
      <c r="EO77" s="57"/>
      <c r="EP77" s="57">
        <v>2020.0</v>
      </c>
      <c r="EQ77" s="57">
        <v>19.0</v>
      </c>
      <c r="ER77" s="57">
        <v>11.0</v>
      </c>
      <c r="ES77" s="57">
        <v>5.0</v>
      </c>
      <c r="ET77" s="57">
        <v>1.0</v>
      </c>
      <c r="EU77" s="57">
        <v>3.0</v>
      </c>
      <c r="EV77" s="57">
        <v>39.0</v>
      </c>
      <c r="EW77" s="163"/>
      <c r="EX77" s="255" t="s">
        <v>910</v>
      </c>
      <c r="EY77" s="255">
        <v>2019.0</v>
      </c>
      <c r="EZ77" s="255">
        <v>604.0</v>
      </c>
      <c r="FA77" s="255">
        <v>710.0</v>
      </c>
      <c r="FB77" s="255">
        <v>748.0</v>
      </c>
      <c r="FC77" s="255">
        <v>850.0</v>
      </c>
      <c r="FD77" s="255">
        <v>918.0</v>
      </c>
      <c r="FE77" s="255">
        <v>3830.0</v>
      </c>
      <c r="FF77" s="255"/>
      <c r="FG77" s="255">
        <v>2019.0</v>
      </c>
      <c r="FH77" s="255">
        <v>112.0</v>
      </c>
      <c r="FI77" s="255">
        <v>54.0</v>
      </c>
      <c r="FJ77" s="255">
        <v>30.0</v>
      </c>
      <c r="FK77" s="255">
        <v>25.0</v>
      </c>
      <c r="FL77" s="255">
        <v>17.0</v>
      </c>
      <c r="FM77" s="255">
        <v>238.0</v>
      </c>
    </row>
    <row r="78" ht="13.5" customHeight="1">
      <c r="A78" s="252" t="s">
        <v>1153</v>
      </c>
      <c r="B78" s="252">
        <v>2019.0</v>
      </c>
      <c r="C78" s="252">
        <v>12.0</v>
      </c>
      <c r="D78" s="252">
        <v>3.0</v>
      </c>
      <c r="E78" s="252">
        <v>1.0</v>
      </c>
      <c r="F78" s="252">
        <v>0.0</v>
      </c>
      <c r="G78" s="252">
        <v>0.0</v>
      </c>
      <c r="H78" s="252">
        <v>16.0</v>
      </c>
      <c r="I78" s="252"/>
      <c r="J78" s="252">
        <v>2019.0</v>
      </c>
      <c r="K78" s="252">
        <v>233.0</v>
      </c>
      <c r="L78" s="252">
        <v>344.0</v>
      </c>
      <c r="M78" s="252">
        <v>523.0</v>
      </c>
      <c r="N78" s="252">
        <v>687.0</v>
      </c>
      <c r="O78" s="252">
        <v>561.0</v>
      </c>
      <c r="P78" s="252">
        <v>2348.0</v>
      </c>
      <c r="Q78" s="131"/>
      <c r="R78" s="253" t="s">
        <v>256</v>
      </c>
      <c r="S78" s="253">
        <v>2020.0</v>
      </c>
      <c r="T78" s="253">
        <v>121.0</v>
      </c>
      <c r="U78" s="253">
        <v>115.0</v>
      </c>
      <c r="V78" s="253">
        <v>127.0</v>
      </c>
      <c r="W78" s="253">
        <v>162.0</v>
      </c>
      <c r="X78" s="253">
        <v>171.0</v>
      </c>
      <c r="Y78" s="253">
        <v>696.0</v>
      </c>
      <c r="Z78" s="253"/>
      <c r="AA78" s="253">
        <v>2020.0</v>
      </c>
      <c r="AB78" s="253">
        <v>10.0</v>
      </c>
      <c r="AC78" s="253">
        <v>0.0</v>
      </c>
      <c r="AD78" s="253">
        <v>0.0</v>
      </c>
      <c r="AE78" s="253">
        <v>0.0</v>
      </c>
      <c r="AF78" s="253">
        <v>0.0</v>
      </c>
      <c r="AG78" s="253">
        <v>10.0</v>
      </c>
      <c r="AH78" s="163"/>
      <c r="AI78" s="246" t="s">
        <v>324</v>
      </c>
      <c r="AJ78" s="246">
        <v>2019.0</v>
      </c>
      <c r="AK78" s="246">
        <v>524.0</v>
      </c>
      <c r="AL78" s="246">
        <v>328.0</v>
      </c>
      <c r="AM78" s="246">
        <v>485.0</v>
      </c>
      <c r="AN78" s="246">
        <v>588.0</v>
      </c>
      <c r="AO78" s="246">
        <v>561.0</v>
      </c>
      <c r="AP78" s="246">
        <v>2486.0</v>
      </c>
      <c r="AQ78" s="246"/>
      <c r="AR78" s="246">
        <v>2019.0</v>
      </c>
      <c r="AS78" s="246">
        <v>145.0</v>
      </c>
      <c r="AT78" s="246">
        <v>1.0</v>
      </c>
      <c r="AU78" s="246">
        <v>0.0</v>
      </c>
      <c r="AV78" s="246">
        <v>0.0</v>
      </c>
      <c r="AW78" s="246">
        <v>1.0</v>
      </c>
      <c r="AX78" s="246">
        <v>147.0</v>
      </c>
      <c r="AY78" s="163"/>
      <c r="AZ78" s="254" t="s">
        <v>482</v>
      </c>
      <c r="BA78" s="254">
        <v>2019.0</v>
      </c>
      <c r="BB78" s="254">
        <v>88.0</v>
      </c>
      <c r="BC78" s="254">
        <v>111.0</v>
      </c>
      <c r="BD78" s="254">
        <v>207.0</v>
      </c>
      <c r="BE78" s="254">
        <v>285.0</v>
      </c>
      <c r="BF78" s="254">
        <v>274.0</v>
      </c>
      <c r="BG78" s="254">
        <v>965.0</v>
      </c>
      <c r="BH78" s="254"/>
      <c r="BI78" s="254">
        <v>2019.0</v>
      </c>
      <c r="BJ78" s="254">
        <v>13.0</v>
      </c>
      <c r="BK78" s="254">
        <v>0.0</v>
      </c>
      <c r="BL78" s="254">
        <v>0.0</v>
      </c>
      <c r="BM78" s="254">
        <v>0.0</v>
      </c>
      <c r="BN78" s="254">
        <v>0.0</v>
      </c>
      <c r="BO78" s="254">
        <v>13.0</v>
      </c>
      <c r="BP78" s="163"/>
      <c r="BQ78" s="255" t="s">
        <v>661</v>
      </c>
      <c r="BR78" s="255">
        <v>2020.0</v>
      </c>
      <c r="BS78" s="255">
        <v>64.0</v>
      </c>
      <c r="BT78" s="255">
        <v>45.0</v>
      </c>
      <c r="BU78" s="255">
        <v>91.0</v>
      </c>
      <c r="BV78" s="255">
        <v>125.0</v>
      </c>
      <c r="BW78" s="255">
        <v>130.0</v>
      </c>
      <c r="BX78" s="255">
        <v>455.0</v>
      </c>
      <c r="BY78" s="255"/>
      <c r="BZ78" s="255">
        <v>2020.0</v>
      </c>
      <c r="CA78" s="255">
        <v>20.0</v>
      </c>
      <c r="CB78" s="255">
        <v>0.0</v>
      </c>
      <c r="CC78" s="255">
        <v>0.0</v>
      </c>
      <c r="CD78" s="255">
        <v>0.0</v>
      </c>
      <c r="CE78" s="255">
        <v>0.0</v>
      </c>
      <c r="CF78" s="255">
        <v>20.0</v>
      </c>
      <c r="CG78" s="163"/>
      <c r="CH78" s="57" t="s">
        <v>1028</v>
      </c>
      <c r="CI78" s="57">
        <v>2019.0</v>
      </c>
      <c r="CJ78" s="57">
        <v>191.0</v>
      </c>
      <c r="CK78" s="57">
        <v>87.0</v>
      </c>
      <c r="CL78" s="57">
        <v>150.0</v>
      </c>
      <c r="CM78" s="57">
        <v>158.0</v>
      </c>
      <c r="CN78" s="57">
        <v>170.0</v>
      </c>
      <c r="CO78" s="57">
        <v>756.0</v>
      </c>
      <c r="CP78" s="57"/>
      <c r="CQ78" s="57">
        <v>2019.0</v>
      </c>
      <c r="CR78" s="57">
        <v>64.0</v>
      </c>
      <c r="CS78" s="57">
        <v>0.0</v>
      </c>
      <c r="CT78" s="57">
        <v>0.0</v>
      </c>
      <c r="CU78" s="57">
        <v>0.0</v>
      </c>
      <c r="CV78" s="57">
        <v>0.0</v>
      </c>
      <c r="CW78" s="57">
        <v>64.0</v>
      </c>
      <c r="CX78" s="163"/>
      <c r="CY78" s="163"/>
      <c r="CZ78" s="163"/>
      <c r="DA78" s="163"/>
      <c r="DB78" s="163"/>
      <c r="DC78" s="163"/>
      <c r="DD78" s="163"/>
      <c r="DE78" s="163"/>
      <c r="DF78" s="163"/>
      <c r="DG78" s="163"/>
      <c r="DH78" s="163"/>
      <c r="DI78" s="163"/>
      <c r="DJ78" s="163"/>
      <c r="DK78" s="163"/>
      <c r="DL78" s="163"/>
      <c r="DM78" s="163"/>
      <c r="DN78" s="163"/>
      <c r="DO78" s="163"/>
      <c r="DP78" s="163"/>
      <c r="DQ78" s="163"/>
      <c r="DR78" s="163"/>
      <c r="DS78" s="163"/>
      <c r="DT78" s="163"/>
      <c r="DU78" s="163"/>
      <c r="DV78" s="163"/>
      <c r="DW78" s="163"/>
      <c r="DX78" s="163"/>
      <c r="DY78" s="163"/>
      <c r="DZ78" s="163"/>
      <c r="EA78" s="163"/>
      <c r="EB78" s="163"/>
      <c r="EC78" s="163"/>
      <c r="ED78" s="163"/>
      <c r="EE78" s="163"/>
      <c r="EF78" s="163"/>
      <c r="EG78" s="57" t="s">
        <v>782</v>
      </c>
      <c r="EH78" s="57">
        <v>2020.0</v>
      </c>
      <c r="EI78" s="57">
        <v>133.0</v>
      </c>
      <c r="EJ78" s="57">
        <v>202.0</v>
      </c>
      <c r="EK78" s="57">
        <v>255.0</v>
      </c>
      <c r="EL78" s="57">
        <v>324.0</v>
      </c>
      <c r="EM78" s="57">
        <v>335.0</v>
      </c>
      <c r="EN78" s="57">
        <v>1249.0</v>
      </c>
      <c r="EO78" s="57"/>
      <c r="EP78" s="57">
        <v>2020.0</v>
      </c>
      <c r="EQ78" s="57">
        <v>21.0</v>
      </c>
      <c r="ER78" s="57">
        <v>7.0</v>
      </c>
      <c r="ES78" s="57">
        <v>3.0</v>
      </c>
      <c r="ET78" s="57">
        <v>1.0</v>
      </c>
      <c r="EU78" s="57">
        <v>2.0</v>
      </c>
      <c r="EV78" s="57">
        <v>34.0</v>
      </c>
      <c r="EW78" s="163"/>
      <c r="EX78" s="255" t="s">
        <v>912</v>
      </c>
      <c r="EY78" s="255">
        <v>2019.0</v>
      </c>
      <c r="EZ78" s="255">
        <v>543.0</v>
      </c>
      <c r="FA78" s="255">
        <v>587.0</v>
      </c>
      <c r="FB78" s="255">
        <v>462.0</v>
      </c>
      <c r="FC78" s="255">
        <v>537.0</v>
      </c>
      <c r="FD78" s="255">
        <v>593.0</v>
      </c>
      <c r="FE78" s="255">
        <v>2722.0</v>
      </c>
      <c r="FF78" s="255"/>
      <c r="FG78" s="255">
        <v>2019.0</v>
      </c>
      <c r="FH78" s="255">
        <v>84.0</v>
      </c>
      <c r="FI78" s="255">
        <v>21.0</v>
      </c>
      <c r="FJ78" s="255">
        <v>7.0</v>
      </c>
      <c r="FK78" s="255">
        <v>4.0</v>
      </c>
      <c r="FL78" s="255">
        <v>5.0</v>
      </c>
      <c r="FM78" s="255">
        <v>121.0</v>
      </c>
    </row>
    <row r="79" ht="13.5" customHeight="1">
      <c r="A79" s="252" t="s">
        <v>1157</v>
      </c>
      <c r="B79" s="252">
        <v>2019.0</v>
      </c>
      <c r="C79" s="252">
        <v>31.0</v>
      </c>
      <c r="D79" s="252">
        <v>5.0</v>
      </c>
      <c r="E79" s="252">
        <v>1.0</v>
      </c>
      <c r="F79" s="252">
        <v>1.0</v>
      </c>
      <c r="G79" s="252">
        <v>0.0</v>
      </c>
      <c r="H79" s="252">
        <v>38.0</v>
      </c>
      <c r="I79" s="252"/>
      <c r="J79" s="252">
        <v>2019.0</v>
      </c>
      <c r="K79" s="252">
        <v>756.0</v>
      </c>
      <c r="L79" s="252">
        <v>684.0</v>
      </c>
      <c r="M79" s="252">
        <v>750.0</v>
      </c>
      <c r="N79" s="252">
        <v>720.0</v>
      </c>
      <c r="O79" s="252">
        <v>476.0</v>
      </c>
      <c r="P79" s="252">
        <v>3386.0</v>
      </c>
      <c r="Q79" s="131"/>
      <c r="R79" s="253" t="s">
        <v>258</v>
      </c>
      <c r="S79" s="253">
        <v>2020.0</v>
      </c>
      <c r="T79" s="253" t="s">
        <v>541</v>
      </c>
      <c r="U79" s="253" t="s">
        <v>541</v>
      </c>
      <c r="V79" s="253" t="s">
        <v>541</v>
      </c>
      <c r="W79" s="253" t="s">
        <v>541</v>
      </c>
      <c r="X79" s="253" t="s">
        <v>541</v>
      </c>
      <c r="Y79" s="253" t="s">
        <v>541</v>
      </c>
      <c r="Z79" s="253"/>
      <c r="AA79" s="253">
        <v>2020.0</v>
      </c>
      <c r="AB79" s="253" t="s">
        <v>541</v>
      </c>
      <c r="AC79" s="253" t="s">
        <v>541</v>
      </c>
      <c r="AD79" s="253" t="s">
        <v>541</v>
      </c>
      <c r="AE79" s="253" t="s">
        <v>541</v>
      </c>
      <c r="AF79" s="253" t="s">
        <v>541</v>
      </c>
      <c r="AG79" s="253" t="s">
        <v>541</v>
      </c>
      <c r="AH79" s="163"/>
      <c r="AI79" s="246" t="s">
        <v>326</v>
      </c>
      <c r="AJ79" s="246">
        <v>2019.0</v>
      </c>
      <c r="AK79" s="246">
        <v>1046.0</v>
      </c>
      <c r="AL79" s="246">
        <v>841.0</v>
      </c>
      <c r="AM79" s="246">
        <v>994.0</v>
      </c>
      <c r="AN79" s="246">
        <v>1016.0</v>
      </c>
      <c r="AO79" s="246">
        <v>776.0</v>
      </c>
      <c r="AP79" s="246">
        <v>4673.0</v>
      </c>
      <c r="AQ79" s="246"/>
      <c r="AR79" s="246">
        <v>2019.0</v>
      </c>
      <c r="AS79" s="246">
        <v>168.0</v>
      </c>
      <c r="AT79" s="246">
        <v>2.0</v>
      </c>
      <c r="AU79" s="246">
        <v>0.0</v>
      </c>
      <c r="AV79" s="246">
        <v>0.0</v>
      </c>
      <c r="AW79" s="246">
        <v>0.0</v>
      </c>
      <c r="AX79" s="246">
        <v>170.0</v>
      </c>
      <c r="AY79" s="163"/>
      <c r="AZ79" s="254" t="s">
        <v>487</v>
      </c>
      <c r="BA79" s="254">
        <v>2019.0</v>
      </c>
      <c r="BB79" s="254">
        <v>941.0</v>
      </c>
      <c r="BC79" s="254">
        <v>480.0</v>
      </c>
      <c r="BD79" s="254">
        <v>732.0</v>
      </c>
      <c r="BE79" s="254">
        <v>966.0</v>
      </c>
      <c r="BF79" s="254">
        <v>883.0</v>
      </c>
      <c r="BG79" s="254">
        <v>4002.0</v>
      </c>
      <c r="BH79" s="254"/>
      <c r="BI79" s="254">
        <v>2019.0</v>
      </c>
      <c r="BJ79" s="254">
        <v>218.0</v>
      </c>
      <c r="BK79" s="254">
        <v>0.0</v>
      </c>
      <c r="BL79" s="254">
        <v>0.0</v>
      </c>
      <c r="BM79" s="254">
        <v>0.0</v>
      </c>
      <c r="BN79" s="254">
        <v>0.0</v>
      </c>
      <c r="BO79" s="254">
        <v>218.0</v>
      </c>
      <c r="BP79" s="163"/>
      <c r="BQ79" s="163"/>
      <c r="BR79" s="163"/>
      <c r="BS79" s="163"/>
      <c r="BT79" s="163"/>
      <c r="BU79" s="163"/>
      <c r="BV79" s="163"/>
      <c r="BW79" s="163"/>
      <c r="BX79" s="163"/>
      <c r="BY79" s="163"/>
      <c r="BZ79" s="163"/>
      <c r="CA79" s="163"/>
      <c r="CB79" s="163"/>
      <c r="CC79" s="163"/>
      <c r="CD79" s="163"/>
      <c r="CE79" s="163"/>
      <c r="CF79" s="163"/>
      <c r="CG79" s="163"/>
      <c r="CH79" s="57" t="s">
        <v>1031</v>
      </c>
      <c r="CI79" s="57">
        <v>2019.0</v>
      </c>
      <c r="CJ79" s="57">
        <v>1229.0</v>
      </c>
      <c r="CK79" s="57">
        <v>1246.0</v>
      </c>
      <c r="CL79" s="57">
        <v>1350.0</v>
      </c>
      <c r="CM79" s="57">
        <v>1392.0</v>
      </c>
      <c r="CN79" s="57">
        <v>1046.0</v>
      </c>
      <c r="CO79" s="57">
        <v>6263.0</v>
      </c>
      <c r="CP79" s="57"/>
      <c r="CQ79" s="57">
        <v>2019.0</v>
      </c>
      <c r="CR79" s="57">
        <v>296.0</v>
      </c>
      <c r="CS79" s="57">
        <v>14.0</v>
      </c>
      <c r="CT79" s="57">
        <v>0.0</v>
      </c>
      <c r="CU79" s="57">
        <v>0.0</v>
      </c>
      <c r="CV79" s="57">
        <v>0.0</v>
      </c>
      <c r="CW79" s="57">
        <v>310.0</v>
      </c>
      <c r="CX79" s="163"/>
      <c r="CY79" s="163"/>
      <c r="CZ79" s="163"/>
      <c r="DA79" s="163"/>
      <c r="DB79" s="163"/>
      <c r="DC79" s="163"/>
      <c r="DD79" s="163"/>
      <c r="DE79" s="163"/>
      <c r="DF79" s="163"/>
      <c r="DG79" s="163"/>
      <c r="DH79" s="163"/>
      <c r="DI79" s="163"/>
      <c r="DJ79" s="163"/>
      <c r="DK79" s="163"/>
      <c r="DL79" s="163"/>
      <c r="DM79" s="163"/>
      <c r="DN79" s="163"/>
      <c r="DO79" s="163"/>
      <c r="DP79" s="163"/>
      <c r="DQ79" s="163"/>
      <c r="DR79" s="163"/>
      <c r="DS79" s="163"/>
      <c r="DT79" s="163"/>
      <c r="DU79" s="163"/>
      <c r="DV79" s="163"/>
      <c r="DW79" s="163"/>
      <c r="DX79" s="163"/>
      <c r="DY79" s="163"/>
      <c r="DZ79" s="163"/>
      <c r="EA79" s="163"/>
      <c r="EB79" s="163"/>
      <c r="EC79" s="163"/>
      <c r="ED79" s="163"/>
      <c r="EE79" s="163"/>
      <c r="EF79" s="163"/>
      <c r="EG79" s="57" t="s">
        <v>784</v>
      </c>
      <c r="EH79" s="57">
        <v>2020.0</v>
      </c>
      <c r="EI79" s="57">
        <v>44.0</v>
      </c>
      <c r="EJ79" s="57">
        <v>95.0</v>
      </c>
      <c r="EK79" s="57">
        <v>129.0</v>
      </c>
      <c r="EL79" s="57">
        <v>184.0</v>
      </c>
      <c r="EM79" s="57">
        <v>247.0</v>
      </c>
      <c r="EN79" s="57">
        <v>699.0</v>
      </c>
      <c r="EO79" s="57"/>
      <c r="EP79" s="57">
        <v>2020.0</v>
      </c>
      <c r="EQ79" s="57">
        <v>7.0</v>
      </c>
      <c r="ER79" s="57">
        <v>3.0</v>
      </c>
      <c r="ES79" s="57">
        <v>1.0</v>
      </c>
      <c r="ET79" s="57">
        <v>1.0</v>
      </c>
      <c r="EU79" s="57">
        <v>0.0</v>
      </c>
      <c r="EV79" s="57">
        <v>12.0</v>
      </c>
      <c r="EW79" s="163"/>
      <c r="EX79" s="255" t="s">
        <v>914</v>
      </c>
      <c r="EY79" s="255">
        <v>2019.0</v>
      </c>
      <c r="EZ79" s="255">
        <v>167.0</v>
      </c>
      <c r="FA79" s="255">
        <v>293.0</v>
      </c>
      <c r="FB79" s="255">
        <v>347.0</v>
      </c>
      <c r="FC79" s="255">
        <v>413.0</v>
      </c>
      <c r="FD79" s="255">
        <v>545.0</v>
      </c>
      <c r="FE79" s="255">
        <v>1765.0</v>
      </c>
      <c r="FF79" s="255"/>
      <c r="FG79" s="255">
        <v>2019.0</v>
      </c>
      <c r="FH79" s="255">
        <v>29.0</v>
      </c>
      <c r="FI79" s="255">
        <v>10.0</v>
      </c>
      <c r="FJ79" s="255">
        <v>6.0</v>
      </c>
      <c r="FK79" s="255">
        <v>4.0</v>
      </c>
      <c r="FL79" s="255">
        <v>3.0</v>
      </c>
      <c r="FM79" s="255">
        <v>52.0</v>
      </c>
    </row>
    <row r="80" ht="13.5" customHeight="1">
      <c r="A80" s="252" t="s">
        <v>1160</v>
      </c>
      <c r="B80" s="252">
        <v>2019.0</v>
      </c>
      <c r="C80" s="252">
        <v>22.0</v>
      </c>
      <c r="D80" s="252">
        <v>0.0</v>
      </c>
      <c r="E80" s="252">
        <v>2.0</v>
      </c>
      <c r="F80" s="252">
        <v>0.0</v>
      </c>
      <c r="G80" s="252">
        <v>0.0</v>
      </c>
      <c r="H80" s="252">
        <v>24.0</v>
      </c>
      <c r="I80" s="252"/>
      <c r="J80" s="252">
        <v>2019.0</v>
      </c>
      <c r="K80" s="252">
        <v>170.0</v>
      </c>
      <c r="L80" s="252">
        <v>291.0</v>
      </c>
      <c r="M80" s="252">
        <v>414.0</v>
      </c>
      <c r="N80" s="252">
        <v>505.0</v>
      </c>
      <c r="O80" s="252">
        <v>319.0</v>
      </c>
      <c r="P80" s="252">
        <v>1699.0</v>
      </c>
      <c r="Q80" s="131"/>
      <c r="R80" s="253" t="s">
        <v>260</v>
      </c>
      <c r="S80" s="253">
        <v>2020.0</v>
      </c>
      <c r="T80" s="253" t="s">
        <v>541</v>
      </c>
      <c r="U80" s="253" t="s">
        <v>541</v>
      </c>
      <c r="V80" s="253" t="s">
        <v>541</v>
      </c>
      <c r="W80" s="253" t="s">
        <v>541</v>
      </c>
      <c r="X80" s="253" t="s">
        <v>541</v>
      </c>
      <c r="Y80" s="253" t="s">
        <v>541</v>
      </c>
      <c r="Z80" s="253"/>
      <c r="AA80" s="253">
        <v>2020.0</v>
      </c>
      <c r="AB80" s="253" t="s">
        <v>541</v>
      </c>
      <c r="AC80" s="253" t="s">
        <v>541</v>
      </c>
      <c r="AD80" s="253" t="s">
        <v>541</v>
      </c>
      <c r="AE80" s="253" t="s">
        <v>541</v>
      </c>
      <c r="AF80" s="253" t="s">
        <v>541</v>
      </c>
      <c r="AG80" s="253" t="s">
        <v>541</v>
      </c>
      <c r="AH80" s="163"/>
      <c r="AI80" s="246" t="s">
        <v>328</v>
      </c>
      <c r="AJ80" s="246">
        <v>2019.0</v>
      </c>
      <c r="AK80" s="246">
        <v>277.0</v>
      </c>
      <c r="AL80" s="246">
        <v>281.0</v>
      </c>
      <c r="AM80" s="246">
        <v>393.0</v>
      </c>
      <c r="AN80" s="246">
        <v>524.0</v>
      </c>
      <c r="AO80" s="246">
        <v>510.0</v>
      </c>
      <c r="AP80" s="246">
        <v>1985.0</v>
      </c>
      <c r="AQ80" s="246"/>
      <c r="AR80" s="246">
        <v>2019.0</v>
      </c>
      <c r="AS80" s="246">
        <v>44.0</v>
      </c>
      <c r="AT80" s="246">
        <v>1.0</v>
      </c>
      <c r="AU80" s="246">
        <v>0.0</v>
      </c>
      <c r="AV80" s="246">
        <v>0.0</v>
      </c>
      <c r="AW80" s="246">
        <v>0.0</v>
      </c>
      <c r="AX80" s="246">
        <v>45.0</v>
      </c>
      <c r="AY80" s="163"/>
      <c r="AZ80" s="254" t="s">
        <v>492</v>
      </c>
      <c r="BA80" s="254">
        <v>2019.0</v>
      </c>
      <c r="BB80" s="254">
        <v>30.0</v>
      </c>
      <c r="BC80" s="254">
        <v>34.0</v>
      </c>
      <c r="BD80" s="254">
        <v>85.0</v>
      </c>
      <c r="BE80" s="254">
        <v>127.0</v>
      </c>
      <c r="BF80" s="254">
        <v>183.0</v>
      </c>
      <c r="BG80" s="254">
        <v>459.0</v>
      </c>
      <c r="BH80" s="254"/>
      <c r="BI80" s="254">
        <v>2019.0</v>
      </c>
      <c r="BJ80" s="254">
        <v>10.0</v>
      </c>
      <c r="BK80" s="254">
        <v>0.0</v>
      </c>
      <c r="BL80" s="254">
        <v>0.0</v>
      </c>
      <c r="BM80" s="254">
        <v>0.0</v>
      </c>
      <c r="BN80" s="254">
        <v>0.0</v>
      </c>
      <c r="BO80" s="254">
        <v>10.0</v>
      </c>
      <c r="BP80" s="163"/>
      <c r="BQ80" s="163"/>
      <c r="BR80" s="163"/>
      <c r="BS80" s="163"/>
      <c r="BT80" s="163"/>
      <c r="BU80" s="163"/>
      <c r="BV80" s="163"/>
      <c r="BW80" s="163"/>
      <c r="BX80" s="163"/>
      <c r="BY80" s="163"/>
      <c r="BZ80" s="163"/>
      <c r="CA80" s="163"/>
      <c r="CB80" s="163"/>
      <c r="CC80" s="163"/>
      <c r="CD80" s="163"/>
      <c r="CE80" s="163"/>
      <c r="CF80" s="163"/>
      <c r="CG80" s="163"/>
      <c r="CH80" s="57" t="s">
        <v>1032</v>
      </c>
      <c r="CI80" s="57">
        <v>2019.0</v>
      </c>
      <c r="CJ80" s="57">
        <v>567.0</v>
      </c>
      <c r="CK80" s="57">
        <v>490.0</v>
      </c>
      <c r="CL80" s="57">
        <v>922.0</v>
      </c>
      <c r="CM80" s="57">
        <v>1319.0</v>
      </c>
      <c r="CN80" s="57">
        <v>1286.0</v>
      </c>
      <c r="CO80" s="57">
        <v>4584.0</v>
      </c>
      <c r="CP80" s="57"/>
      <c r="CQ80" s="57">
        <v>2019.0</v>
      </c>
      <c r="CR80" s="57">
        <v>152.0</v>
      </c>
      <c r="CS80" s="57">
        <v>0.0</v>
      </c>
      <c r="CT80" s="57">
        <v>0.0</v>
      </c>
      <c r="CU80" s="57">
        <v>0.0</v>
      </c>
      <c r="CV80" s="57">
        <v>0.0</v>
      </c>
      <c r="CW80" s="57">
        <v>152.0</v>
      </c>
      <c r="CX80" s="163"/>
      <c r="CY80" s="163"/>
      <c r="CZ80" s="163"/>
      <c r="DA80" s="163"/>
      <c r="DB80" s="163"/>
      <c r="DC80" s="163"/>
      <c r="DD80" s="163"/>
      <c r="DE80" s="163"/>
      <c r="DF80" s="163"/>
      <c r="DG80" s="163"/>
      <c r="DH80" s="163"/>
      <c r="DI80" s="163"/>
      <c r="DJ80" s="163"/>
      <c r="DK80" s="163"/>
      <c r="DL80" s="163"/>
      <c r="DM80" s="163"/>
      <c r="DN80" s="163"/>
      <c r="DO80" s="163"/>
      <c r="DP80" s="163"/>
      <c r="DQ80" s="163"/>
      <c r="DR80" s="163"/>
      <c r="DS80" s="163"/>
      <c r="DT80" s="163"/>
      <c r="DU80" s="163"/>
      <c r="DV80" s="163"/>
      <c r="DW80" s="163"/>
      <c r="DX80" s="163"/>
      <c r="DY80" s="163"/>
      <c r="DZ80" s="163"/>
      <c r="EA80" s="163"/>
      <c r="EB80" s="163"/>
      <c r="EC80" s="163"/>
      <c r="ED80" s="163"/>
      <c r="EE80" s="163"/>
      <c r="EF80" s="163"/>
      <c r="EG80" s="57" t="s">
        <v>786</v>
      </c>
      <c r="EH80" s="57">
        <v>2020.0</v>
      </c>
      <c r="EI80" s="57">
        <v>268.0</v>
      </c>
      <c r="EJ80" s="57">
        <v>526.0</v>
      </c>
      <c r="EK80" s="57">
        <v>667.0</v>
      </c>
      <c r="EL80" s="57">
        <v>770.0</v>
      </c>
      <c r="EM80" s="57">
        <v>822.0</v>
      </c>
      <c r="EN80" s="57">
        <v>3053.0</v>
      </c>
      <c r="EO80" s="57"/>
      <c r="EP80" s="57">
        <v>2020.0</v>
      </c>
      <c r="EQ80" s="57">
        <v>35.0</v>
      </c>
      <c r="ER80" s="57">
        <v>19.0</v>
      </c>
      <c r="ES80" s="57">
        <v>10.0</v>
      </c>
      <c r="ET80" s="57">
        <v>8.0</v>
      </c>
      <c r="EU80" s="57">
        <v>11.0</v>
      </c>
      <c r="EV80" s="57">
        <v>83.0</v>
      </c>
      <c r="EW80" s="163"/>
      <c r="EX80" s="255" t="s">
        <v>916</v>
      </c>
      <c r="EY80" s="255">
        <v>2019.0</v>
      </c>
      <c r="EZ80" s="255">
        <v>318.0</v>
      </c>
      <c r="FA80" s="255">
        <v>506.0</v>
      </c>
      <c r="FB80" s="255">
        <v>540.0</v>
      </c>
      <c r="FC80" s="255">
        <v>573.0</v>
      </c>
      <c r="FD80" s="255">
        <v>770.0</v>
      </c>
      <c r="FE80" s="255">
        <v>2707.0</v>
      </c>
      <c r="FF80" s="255"/>
      <c r="FG80" s="255">
        <v>2019.0</v>
      </c>
      <c r="FH80" s="255">
        <v>50.0</v>
      </c>
      <c r="FI80" s="255">
        <v>30.0</v>
      </c>
      <c r="FJ80" s="255">
        <v>15.0</v>
      </c>
      <c r="FK80" s="255">
        <v>13.0</v>
      </c>
      <c r="FL80" s="255">
        <v>13.0</v>
      </c>
      <c r="FM80" s="255">
        <v>121.0</v>
      </c>
    </row>
    <row r="81" ht="13.5" customHeight="1">
      <c r="A81" s="252" t="s">
        <v>1163</v>
      </c>
      <c r="B81" s="252">
        <v>2019.0</v>
      </c>
      <c r="C81" s="252">
        <v>34.0</v>
      </c>
      <c r="D81" s="252">
        <v>2.0</v>
      </c>
      <c r="E81" s="252">
        <v>1.0</v>
      </c>
      <c r="F81" s="252">
        <v>0.0</v>
      </c>
      <c r="G81" s="252">
        <v>0.0</v>
      </c>
      <c r="H81" s="252">
        <v>37.0</v>
      </c>
      <c r="I81" s="252"/>
      <c r="J81" s="252">
        <v>2019.0</v>
      </c>
      <c r="K81" s="252">
        <v>276.0</v>
      </c>
      <c r="L81" s="252">
        <v>454.0</v>
      </c>
      <c r="M81" s="252">
        <v>609.0</v>
      </c>
      <c r="N81" s="252">
        <v>709.0</v>
      </c>
      <c r="O81" s="252">
        <v>540.0</v>
      </c>
      <c r="P81" s="252">
        <v>2588.0</v>
      </c>
      <c r="Q81" s="131"/>
      <c r="R81" s="253" t="s">
        <v>262</v>
      </c>
      <c r="S81" s="253">
        <v>2020.0</v>
      </c>
      <c r="T81" s="253">
        <v>193.0</v>
      </c>
      <c r="U81" s="253">
        <v>139.0</v>
      </c>
      <c r="V81" s="253">
        <v>247.0</v>
      </c>
      <c r="W81" s="253">
        <v>408.0</v>
      </c>
      <c r="X81" s="253">
        <v>332.0</v>
      </c>
      <c r="Y81" s="253">
        <v>1319.0</v>
      </c>
      <c r="Z81" s="253"/>
      <c r="AA81" s="253">
        <v>2020.0</v>
      </c>
      <c r="AB81" s="253">
        <v>28.0</v>
      </c>
      <c r="AC81" s="253">
        <v>1.0</v>
      </c>
      <c r="AD81" s="253">
        <v>0.0</v>
      </c>
      <c r="AE81" s="253">
        <v>0.0</v>
      </c>
      <c r="AF81" s="253">
        <v>0.0</v>
      </c>
      <c r="AG81" s="253">
        <v>29.0</v>
      </c>
      <c r="AH81" s="163"/>
      <c r="AI81" s="246" t="s">
        <v>330</v>
      </c>
      <c r="AJ81" s="246">
        <v>2019.0</v>
      </c>
      <c r="AK81" s="246">
        <v>548.0</v>
      </c>
      <c r="AL81" s="246">
        <v>441.0</v>
      </c>
      <c r="AM81" s="246">
        <v>862.0</v>
      </c>
      <c r="AN81" s="246">
        <v>1256.0</v>
      </c>
      <c r="AO81" s="246">
        <v>1059.0</v>
      </c>
      <c r="AP81" s="246">
        <v>4166.0</v>
      </c>
      <c r="AQ81" s="246"/>
      <c r="AR81" s="246">
        <v>2019.0</v>
      </c>
      <c r="AS81" s="246">
        <v>35.0</v>
      </c>
      <c r="AT81" s="246">
        <v>0.0</v>
      </c>
      <c r="AU81" s="246">
        <v>0.0</v>
      </c>
      <c r="AV81" s="246">
        <v>0.0</v>
      </c>
      <c r="AW81" s="246">
        <v>0.0</v>
      </c>
      <c r="AX81" s="246">
        <v>35.0</v>
      </c>
      <c r="AY81" s="163"/>
      <c r="AZ81" s="254" t="s">
        <v>497</v>
      </c>
      <c r="BA81" s="254">
        <v>2019.0</v>
      </c>
      <c r="BB81" s="254">
        <v>367.0</v>
      </c>
      <c r="BC81" s="254">
        <v>439.0</v>
      </c>
      <c r="BD81" s="254">
        <v>661.0</v>
      </c>
      <c r="BE81" s="254">
        <v>927.0</v>
      </c>
      <c r="BF81" s="254">
        <v>913.0</v>
      </c>
      <c r="BG81" s="254">
        <v>3307.0</v>
      </c>
      <c r="BH81" s="254"/>
      <c r="BI81" s="254">
        <v>2019.0</v>
      </c>
      <c r="BJ81" s="254">
        <v>53.0</v>
      </c>
      <c r="BK81" s="254">
        <v>1.0</v>
      </c>
      <c r="BL81" s="254">
        <v>0.0</v>
      </c>
      <c r="BM81" s="254">
        <v>0.0</v>
      </c>
      <c r="BN81" s="254">
        <v>0.0</v>
      </c>
      <c r="BO81" s="254">
        <v>54.0</v>
      </c>
      <c r="BP81" s="163"/>
      <c r="BQ81" s="163"/>
      <c r="BR81" s="163"/>
      <c r="BS81" s="163"/>
      <c r="BT81" s="163"/>
      <c r="BU81" s="163"/>
      <c r="BV81" s="163"/>
      <c r="BW81" s="163"/>
      <c r="BX81" s="163"/>
      <c r="BY81" s="163"/>
      <c r="BZ81" s="163"/>
      <c r="CA81" s="163"/>
      <c r="CB81" s="163"/>
      <c r="CC81" s="163"/>
      <c r="CD81" s="163"/>
      <c r="CE81" s="163"/>
      <c r="CF81" s="163"/>
      <c r="CG81" s="163"/>
      <c r="CH81" s="57" t="s">
        <v>1035</v>
      </c>
      <c r="CI81" s="57">
        <v>2019.0</v>
      </c>
      <c r="CJ81" s="57">
        <v>250.0</v>
      </c>
      <c r="CK81" s="57">
        <v>326.0</v>
      </c>
      <c r="CL81" s="57">
        <v>631.0</v>
      </c>
      <c r="CM81" s="57">
        <v>924.0</v>
      </c>
      <c r="CN81" s="57">
        <v>945.0</v>
      </c>
      <c r="CO81" s="57">
        <v>3076.0</v>
      </c>
      <c r="CP81" s="57"/>
      <c r="CQ81" s="57">
        <v>2019.0</v>
      </c>
      <c r="CR81" s="57">
        <v>22.0</v>
      </c>
      <c r="CS81" s="57">
        <v>0.0</v>
      </c>
      <c r="CT81" s="57">
        <v>0.0</v>
      </c>
      <c r="CU81" s="57">
        <v>0.0</v>
      </c>
      <c r="CV81" s="57">
        <v>0.0</v>
      </c>
      <c r="CW81" s="57">
        <v>22.0</v>
      </c>
      <c r="CX81" s="163"/>
      <c r="CY81" s="163"/>
      <c r="CZ81" s="163"/>
      <c r="DA81" s="163"/>
      <c r="DB81" s="163"/>
      <c r="DC81" s="163"/>
      <c r="DD81" s="163"/>
      <c r="DE81" s="163"/>
      <c r="DF81" s="163"/>
      <c r="DG81" s="163"/>
      <c r="DH81" s="163"/>
      <c r="DI81" s="163"/>
      <c r="DJ81" s="163"/>
      <c r="DK81" s="163"/>
      <c r="DL81" s="163"/>
      <c r="DM81" s="163"/>
      <c r="DN81" s="163"/>
      <c r="DO81" s="163"/>
      <c r="DP81" s="163"/>
      <c r="DQ81" s="163"/>
      <c r="DR81" s="163"/>
      <c r="DS81" s="163"/>
      <c r="DT81" s="163"/>
      <c r="DU81" s="163"/>
      <c r="DV81" s="163"/>
      <c r="DW81" s="163"/>
      <c r="DX81" s="163"/>
      <c r="DY81" s="163"/>
      <c r="DZ81" s="163"/>
      <c r="EA81" s="163"/>
      <c r="EB81" s="163"/>
      <c r="EC81" s="163"/>
      <c r="ED81" s="163"/>
      <c r="EE81" s="163"/>
      <c r="EF81" s="163"/>
      <c r="EG81" s="57" t="s">
        <v>788</v>
      </c>
      <c r="EH81" s="57">
        <v>2020.0</v>
      </c>
      <c r="EI81" s="57">
        <v>135.0</v>
      </c>
      <c r="EJ81" s="57">
        <v>221.0</v>
      </c>
      <c r="EK81" s="57">
        <v>299.0</v>
      </c>
      <c r="EL81" s="57">
        <v>334.0</v>
      </c>
      <c r="EM81" s="57">
        <v>384.0</v>
      </c>
      <c r="EN81" s="57">
        <v>1373.0</v>
      </c>
      <c r="EO81" s="57"/>
      <c r="EP81" s="57">
        <v>2020.0</v>
      </c>
      <c r="EQ81" s="57">
        <v>36.0</v>
      </c>
      <c r="ER81" s="57">
        <v>16.0</v>
      </c>
      <c r="ES81" s="57">
        <v>9.0</v>
      </c>
      <c r="ET81" s="57">
        <v>12.0</v>
      </c>
      <c r="EU81" s="57">
        <v>16.0</v>
      </c>
      <c r="EV81" s="57">
        <v>89.0</v>
      </c>
      <c r="EW81" s="163"/>
      <c r="EX81" s="255" t="s">
        <v>918</v>
      </c>
      <c r="EY81" s="255">
        <v>2019.0</v>
      </c>
      <c r="EZ81" s="255">
        <v>375.0</v>
      </c>
      <c r="FA81" s="255">
        <v>433.0</v>
      </c>
      <c r="FB81" s="255">
        <v>418.0</v>
      </c>
      <c r="FC81" s="255">
        <v>463.0</v>
      </c>
      <c r="FD81" s="255">
        <v>544.0</v>
      </c>
      <c r="FE81" s="255">
        <v>2233.0</v>
      </c>
      <c r="FF81" s="255"/>
      <c r="FG81" s="255">
        <v>2019.0</v>
      </c>
      <c r="FH81" s="255">
        <v>51.0</v>
      </c>
      <c r="FI81" s="255">
        <v>20.0</v>
      </c>
      <c r="FJ81" s="255">
        <v>9.0</v>
      </c>
      <c r="FK81" s="255">
        <v>8.0</v>
      </c>
      <c r="FL81" s="255">
        <v>5.0</v>
      </c>
      <c r="FM81" s="255">
        <v>93.0</v>
      </c>
    </row>
    <row r="82" ht="13.5" customHeight="1">
      <c r="A82" s="252" t="s">
        <v>1167</v>
      </c>
      <c r="B82" s="252">
        <v>2019.0</v>
      </c>
      <c r="C82" s="252">
        <v>41.0</v>
      </c>
      <c r="D82" s="252">
        <v>2.0</v>
      </c>
      <c r="E82" s="252">
        <v>2.0</v>
      </c>
      <c r="F82" s="252">
        <v>0.0</v>
      </c>
      <c r="G82" s="252">
        <v>1.0</v>
      </c>
      <c r="H82" s="252">
        <v>46.0</v>
      </c>
      <c r="I82" s="252"/>
      <c r="J82" s="252">
        <v>2019.0</v>
      </c>
      <c r="K82" s="252">
        <v>824.0</v>
      </c>
      <c r="L82" s="252">
        <v>846.0</v>
      </c>
      <c r="M82" s="252">
        <v>1177.0</v>
      </c>
      <c r="N82" s="252">
        <v>1396.0</v>
      </c>
      <c r="O82" s="252">
        <v>958.0</v>
      </c>
      <c r="P82" s="252">
        <v>5201.0</v>
      </c>
      <c r="Q82" s="131"/>
      <c r="R82" s="253" t="s">
        <v>264</v>
      </c>
      <c r="S82" s="253">
        <v>2020.0</v>
      </c>
      <c r="T82" s="253">
        <v>197.0</v>
      </c>
      <c r="U82" s="253">
        <v>257.0</v>
      </c>
      <c r="V82" s="253">
        <v>430.0</v>
      </c>
      <c r="W82" s="253">
        <v>531.0</v>
      </c>
      <c r="X82" s="253">
        <v>472.0</v>
      </c>
      <c r="Y82" s="253">
        <v>1887.0</v>
      </c>
      <c r="Z82" s="253"/>
      <c r="AA82" s="253">
        <v>2020.0</v>
      </c>
      <c r="AB82" s="253">
        <v>20.0</v>
      </c>
      <c r="AC82" s="253">
        <v>1.0</v>
      </c>
      <c r="AD82" s="253">
        <v>1.0</v>
      </c>
      <c r="AE82" s="253">
        <v>0.0</v>
      </c>
      <c r="AF82" s="253">
        <v>0.0</v>
      </c>
      <c r="AG82" s="253">
        <v>22.0</v>
      </c>
      <c r="AH82" s="163"/>
      <c r="AI82" s="246" t="s">
        <v>332</v>
      </c>
      <c r="AJ82" s="246">
        <v>2019.0</v>
      </c>
      <c r="AK82" s="246">
        <v>282.0</v>
      </c>
      <c r="AL82" s="246">
        <v>414.0</v>
      </c>
      <c r="AM82" s="246">
        <v>664.0</v>
      </c>
      <c r="AN82" s="246">
        <v>910.0</v>
      </c>
      <c r="AO82" s="246">
        <v>784.0</v>
      </c>
      <c r="AP82" s="246">
        <v>3054.0</v>
      </c>
      <c r="AQ82" s="246"/>
      <c r="AR82" s="246">
        <v>2019.0</v>
      </c>
      <c r="AS82" s="246">
        <v>21.0</v>
      </c>
      <c r="AT82" s="246">
        <v>2.0</v>
      </c>
      <c r="AU82" s="246">
        <v>6.0</v>
      </c>
      <c r="AV82" s="246">
        <v>1.0</v>
      </c>
      <c r="AW82" s="246">
        <v>0.0</v>
      </c>
      <c r="AX82" s="246">
        <v>30.0</v>
      </c>
      <c r="AY82" s="163"/>
      <c r="AZ82" s="254" t="s">
        <v>502</v>
      </c>
      <c r="BA82" s="254">
        <v>2019.0</v>
      </c>
      <c r="BB82" s="254">
        <v>128.0</v>
      </c>
      <c r="BC82" s="254">
        <v>71.0</v>
      </c>
      <c r="BD82" s="254">
        <v>147.0</v>
      </c>
      <c r="BE82" s="254">
        <v>192.0</v>
      </c>
      <c r="BF82" s="254">
        <v>172.0</v>
      </c>
      <c r="BG82" s="254">
        <v>710.0</v>
      </c>
      <c r="BH82" s="254"/>
      <c r="BI82" s="254">
        <v>2019.0</v>
      </c>
      <c r="BJ82" s="254">
        <v>45.0</v>
      </c>
      <c r="BK82" s="254">
        <v>0.0</v>
      </c>
      <c r="BL82" s="254">
        <v>0.0</v>
      </c>
      <c r="BM82" s="254">
        <v>0.0</v>
      </c>
      <c r="BN82" s="254">
        <v>0.0</v>
      </c>
      <c r="BO82" s="254">
        <v>45.0</v>
      </c>
      <c r="BP82" s="163"/>
      <c r="BQ82" s="163"/>
      <c r="BR82" s="163"/>
      <c r="BS82" s="163"/>
      <c r="BT82" s="163"/>
      <c r="BU82" s="163"/>
      <c r="BV82" s="163"/>
      <c r="BW82" s="163"/>
      <c r="BX82" s="163"/>
      <c r="BY82" s="163"/>
      <c r="BZ82" s="163"/>
      <c r="CA82" s="163"/>
      <c r="CB82" s="163"/>
      <c r="CC82" s="163"/>
      <c r="CD82" s="163"/>
      <c r="CE82" s="163"/>
      <c r="CF82" s="163"/>
      <c r="CG82" s="163"/>
      <c r="CH82" s="57" t="s">
        <v>1037</v>
      </c>
      <c r="CI82" s="57">
        <v>2019.0</v>
      </c>
      <c r="CJ82" s="57">
        <v>128.0</v>
      </c>
      <c r="CK82" s="57">
        <v>61.0</v>
      </c>
      <c r="CL82" s="57">
        <v>82.0</v>
      </c>
      <c r="CM82" s="57">
        <v>128.0</v>
      </c>
      <c r="CN82" s="57">
        <v>122.0</v>
      </c>
      <c r="CO82" s="57">
        <v>521.0</v>
      </c>
      <c r="CP82" s="57"/>
      <c r="CQ82" s="57">
        <v>2019.0</v>
      </c>
      <c r="CR82" s="57">
        <v>54.0</v>
      </c>
      <c r="CS82" s="57">
        <v>0.0</v>
      </c>
      <c r="CT82" s="57">
        <v>0.0</v>
      </c>
      <c r="CU82" s="57">
        <v>0.0</v>
      </c>
      <c r="CV82" s="57">
        <v>0.0</v>
      </c>
      <c r="CW82" s="57">
        <v>54.0</v>
      </c>
      <c r="CX82" s="163"/>
      <c r="CY82" s="163"/>
      <c r="CZ82" s="163"/>
      <c r="DA82" s="163"/>
      <c r="DB82" s="163"/>
      <c r="DC82" s="163"/>
      <c r="DD82" s="163"/>
      <c r="DE82" s="163"/>
      <c r="DF82" s="163"/>
      <c r="DG82" s="163"/>
      <c r="DH82" s="163"/>
      <c r="DI82" s="163"/>
      <c r="DJ82" s="163"/>
      <c r="DK82" s="163"/>
      <c r="DL82" s="163"/>
      <c r="DM82" s="163"/>
      <c r="DN82" s="163"/>
      <c r="DO82" s="163"/>
      <c r="DP82" s="163"/>
      <c r="DQ82" s="163"/>
      <c r="DR82" s="163"/>
      <c r="DS82" s="163"/>
      <c r="DT82" s="163"/>
      <c r="DU82" s="163"/>
      <c r="DV82" s="163"/>
      <c r="DW82" s="163"/>
      <c r="DX82" s="163"/>
      <c r="DY82" s="163"/>
      <c r="DZ82" s="163"/>
      <c r="EA82" s="163"/>
      <c r="EB82" s="163"/>
      <c r="EC82" s="163"/>
      <c r="ED82" s="163"/>
      <c r="EE82" s="163"/>
      <c r="EF82" s="163"/>
      <c r="EG82" s="57" t="s">
        <v>790</v>
      </c>
      <c r="EH82" s="57">
        <v>2020.0</v>
      </c>
      <c r="EI82" s="57">
        <v>197.0</v>
      </c>
      <c r="EJ82" s="57">
        <v>303.0</v>
      </c>
      <c r="EK82" s="57">
        <v>336.0</v>
      </c>
      <c r="EL82" s="57">
        <v>397.0</v>
      </c>
      <c r="EM82" s="57">
        <v>525.0</v>
      </c>
      <c r="EN82" s="57">
        <v>1758.0</v>
      </c>
      <c r="EO82" s="57"/>
      <c r="EP82" s="57">
        <v>2020.0</v>
      </c>
      <c r="EQ82" s="57">
        <v>62.0</v>
      </c>
      <c r="ER82" s="57">
        <v>35.0</v>
      </c>
      <c r="ES82" s="57">
        <v>13.0</v>
      </c>
      <c r="ET82" s="57">
        <v>12.0</v>
      </c>
      <c r="EU82" s="57">
        <v>18.0</v>
      </c>
      <c r="EV82" s="57">
        <v>140.0</v>
      </c>
      <c r="EW82" s="163"/>
      <c r="EX82" s="255" t="s">
        <v>920</v>
      </c>
      <c r="EY82" s="255">
        <v>2019.0</v>
      </c>
      <c r="EZ82" s="255">
        <v>348.0</v>
      </c>
      <c r="FA82" s="255">
        <v>474.0</v>
      </c>
      <c r="FB82" s="255">
        <v>517.0</v>
      </c>
      <c r="FC82" s="255">
        <v>566.0</v>
      </c>
      <c r="FD82" s="255">
        <v>666.0</v>
      </c>
      <c r="FE82" s="255">
        <v>2571.0</v>
      </c>
      <c r="FF82" s="255"/>
      <c r="FG82" s="255">
        <v>2019.0</v>
      </c>
      <c r="FH82" s="255">
        <v>41.0</v>
      </c>
      <c r="FI82" s="255">
        <v>19.0</v>
      </c>
      <c r="FJ82" s="255">
        <v>9.0</v>
      </c>
      <c r="FK82" s="255">
        <v>6.0</v>
      </c>
      <c r="FL82" s="255">
        <v>7.0</v>
      </c>
      <c r="FM82" s="255">
        <v>82.0</v>
      </c>
    </row>
    <row r="83" ht="13.5" customHeight="1">
      <c r="A83" s="252" t="s">
        <v>1170</v>
      </c>
      <c r="B83" s="252">
        <v>2019.0</v>
      </c>
      <c r="C83" s="252">
        <v>55.0</v>
      </c>
      <c r="D83" s="252">
        <v>10.0</v>
      </c>
      <c r="E83" s="252">
        <v>1.0</v>
      </c>
      <c r="F83" s="252">
        <v>1.0</v>
      </c>
      <c r="G83" s="252">
        <v>0.0</v>
      </c>
      <c r="H83" s="252">
        <v>67.0</v>
      </c>
      <c r="I83" s="252"/>
      <c r="J83" s="252">
        <v>2019.0</v>
      </c>
      <c r="K83" s="252">
        <v>358.0</v>
      </c>
      <c r="L83" s="252">
        <v>431.0</v>
      </c>
      <c r="M83" s="252">
        <v>609.0</v>
      </c>
      <c r="N83" s="252">
        <v>727.0</v>
      </c>
      <c r="O83" s="252">
        <v>643.0</v>
      </c>
      <c r="P83" s="252">
        <v>2768.0</v>
      </c>
      <c r="Q83" s="131"/>
      <c r="R83" s="253" t="s">
        <v>266</v>
      </c>
      <c r="S83" s="253">
        <v>2020.0</v>
      </c>
      <c r="T83" s="253">
        <v>1075.0</v>
      </c>
      <c r="U83" s="253">
        <v>1200.0</v>
      </c>
      <c r="V83" s="253">
        <v>1206.0</v>
      </c>
      <c r="W83" s="253">
        <v>1156.0</v>
      </c>
      <c r="X83" s="253">
        <v>938.0</v>
      </c>
      <c r="Y83" s="253">
        <v>5575.0</v>
      </c>
      <c r="Z83" s="253"/>
      <c r="AA83" s="253">
        <v>2020.0</v>
      </c>
      <c r="AB83" s="253">
        <v>184.0</v>
      </c>
      <c r="AC83" s="253">
        <v>21.0</v>
      </c>
      <c r="AD83" s="253">
        <v>8.0</v>
      </c>
      <c r="AE83" s="253">
        <v>3.0</v>
      </c>
      <c r="AF83" s="253">
        <v>2.0</v>
      </c>
      <c r="AG83" s="253">
        <v>218.0</v>
      </c>
      <c r="AH83" s="163"/>
      <c r="AI83" s="246" t="s">
        <v>334</v>
      </c>
      <c r="AJ83" s="246">
        <v>2019.0</v>
      </c>
      <c r="AK83" s="246">
        <v>700.0</v>
      </c>
      <c r="AL83" s="246">
        <v>825.0</v>
      </c>
      <c r="AM83" s="246">
        <v>974.0</v>
      </c>
      <c r="AN83" s="246">
        <v>917.0</v>
      </c>
      <c r="AO83" s="246">
        <v>562.0</v>
      </c>
      <c r="AP83" s="246">
        <v>3978.0</v>
      </c>
      <c r="AQ83" s="246"/>
      <c r="AR83" s="246">
        <v>2019.0</v>
      </c>
      <c r="AS83" s="246">
        <v>28.0</v>
      </c>
      <c r="AT83" s="246">
        <v>2.0</v>
      </c>
      <c r="AU83" s="246">
        <v>0.0</v>
      </c>
      <c r="AV83" s="246">
        <v>0.0</v>
      </c>
      <c r="AW83" s="246">
        <v>0.0</v>
      </c>
      <c r="AX83" s="246">
        <v>30.0</v>
      </c>
      <c r="AY83" s="163"/>
      <c r="AZ83" s="254" t="s">
        <v>504</v>
      </c>
      <c r="BA83" s="254">
        <v>2019.0</v>
      </c>
      <c r="BB83" s="254">
        <v>234.0</v>
      </c>
      <c r="BC83" s="254">
        <v>205.0</v>
      </c>
      <c r="BD83" s="254">
        <v>340.0</v>
      </c>
      <c r="BE83" s="254">
        <v>434.0</v>
      </c>
      <c r="BF83" s="254">
        <v>356.0</v>
      </c>
      <c r="BG83" s="254">
        <v>1569.0</v>
      </c>
      <c r="BH83" s="254"/>
      <c r="BI83" s="254">
        <v>2019.0</v>
      </c>
      <c r="BJ83" s="254">
        <v>81.0</v>
      </c>
      <c r="BK83" s="254">
        <v>2.0</v>
      </c>
      <c r="BL83" s="254">
        <v>0.0</v>
      </c>
      <c r="BM83" s="254">
        <v>0.0</v>
      </c>
      <c r="BN83" s="254">
        <v>0.0</v>
      </c>
      <c r="BO83" s="254">
        <v>83.0</v>
      </c>
      <c r="BP83" s="163"/>
      <c r="BQ83" s="163"/>
      <c r="BR83" s="163"/>
      <c r="BS83" s="163"/>
      <c r="BT83" s="163"/>
      <c r="BU83" s="163"/>
      <c r="BV83" s="163"/>
      <c r="BW83" s="163"/>
      <c r="BX83" s="163"/>
      <c r="BY83" s="163"/>
      <c r="BZ83" s="163"/>
      <c r="CA83" s="163"/>
      <c r="CB83" s="163"/>
      <c r="CC83" s="163"/>
      <c r="CD83" s="163"/>
      <c r="CE83" s="163"/>
      <c r="CF83" s="163"/>
      <c r="CG83" s="163"/>
      <c r="CH83" s="57" t="s">
        <v>1039</v>
      </c>
      <c r="CI83" s="57">
        <v>2019.0</v>
      </c>
      <c r="CJ83" s="57">
        <v>111.0</v>
      </c>
      <c r="CK83" s="57">
        <v>130.0</v>
      </c>
      <c r="CL83" s="57">
        <v>253.0</v>
      </c>
      <c r="CM83" s="57">
        <v>426.0</v>
      </c>
      <c r="CN83" s="57">
        <v>381.0</v>
      </c>
      <c r="CO83" s="57">
        <v>1301.0</v>
      </c>
      <c r="CP83" s="57"/>
      <c r="CQ83" s="57">
        <v>2019.0</v>
      </c>
      <c r="CR83" s="57">
        <v>18.0</v>
      </c>
      <c r="CS83" s="57">
        <v>0.0</v>
      </c>
      <c r="CT83" s="57">
        <v>0.0</v>
      </c>
      <c r="CU83" s="57">
        <v>0.0</v>
      </c>
      <c r="CV83" s="57">
        <v>0.0</v>
      </c>
      <c r="CW83" s="57">
        <v>18.0</v>
      </c>
      <c r="CX83" s="163"/>
      <c r="CY83" s="163"/>
      <c r="CZ83" s="163"/>
      <c r="DA83" s="163"/>
      <c r="DB83" s="163"/>
      <c r="DC83" s="163"/>
      <c r="DD83" s="163"/>
      <c r="DE83" s="163"/>
      <c r="DF83" s="163"/>
      <c r="DG83" s="163"/>
      <c r="DH83" s="163"/>
      <c r="DI83" s="163"/>
      <c r="DJ83" s="163"/>
      <c r="DK83" s="163"/>
      <c r="DL83" s="163"/>
      <c r="DM83" s="163"/>
      <c r="DN83" s="163"/>
      <c r="DO83" s="163"/>
      <c r="DP83" s="163"/>
      <c r="DQ83" s="163"/>
      <c r="DR83" s="163"/>
      <c r="DS83" s="163"/>
      <c r="DT83" s="163"/>
      <c r="DU83" s="163"/>
      <c r="DV83" s="163"/>
      <c r="DW83" s="163"/>
      <c r="DX83" s="163"/>
      <c r="DY83" s="163"/>
      <c r="DZ83" s="163"/>
      <c r="EA83" s="163"/>
      <c r="EB83" s="163"/>
      <c r="EC83" s="163"/>
      <c r="ED83" s="163"/>
      <c r="EE83" s="163"/>
      <c r="EF83" s="163"/>
      <c r="EG83" s="57" t="s">
        <v>792</v>
      </c>
      <c r="EH83" s="57">
        <v>2020.0</v>
      </c>
      <c r="EI83" s="57">
        <v>480.0</v>
      </c>
      <c r="EJ83" s="57">
        <v>685.0</v>
      </c>
      <c r="EK83" s="57">
        <v>862.0</v>
      </c>
      <c r="EL83" s="57">
        <v>885.0</v>
      </c>
      <c r="EM83" s="57">
        <v>866.0</v>
      </c>
      <c r="EN83" s="57">
        <v>3778.0</v>
      </c>
      <c r="EO83" s="57"/>
      <c r="EP83" s="57">
        <v>2020.0</v>
      </c>
      <c r="EQ83" s="57">
        <v>81.0</v>
      </c>
      <c r="ER83" s="57">
        <v>42.0</v>
      </c>
      <c r="ES83" s="57">
        <v>24.0</v>
      </c>
      <c r="ET83" s="57">
        <v>31.0</v>
      </c>
      <c r="EU83" s="57">
        <v>21.0</v>
      </c>
      <c r="EV83" s="57">
        <v>199.0</v>
      </c>
      <c r="EW83" s="163"/>
      <c r="EX83" s="255" t="s">
        <v>922</v>
      </c>
      <c r="EY83" s="255">
        <v>2019.0</v>
      </c>
      <c r="EZ83" s="255">
        <v>139.0</v>
      </c>
      <c r="FA83" s="255">
        <v>176.0</v>
      </c>
      <c r="FB83" s="255">
        <v>246.0</v>
      </c>
      <c r="FC83" s="255">
        <v>318.0</v>
      </c>
      <c r="FD83" s="255">
        <v>403.0</v>
      </c>
      <c r="FE83" s="255">
        <v>1282.0</v>
      </c>
      <c r="FF83" s="255"/>
      <c r="FG83" s="255">
        <v>2019.0</v>
      </c>
      <c r="FH83" s="255">
        <v>19.0</v>
      </c>
      <c r="FI83" s="255">
        <v>4.0</v>
      </c>
      <c r="FJ83" s="255">
        <v>2.0</v>
      </c>
      <c r="FK83" s="255">
        <v>3.0</v>
      </c>
      <c r="FL83" s="255">
        <v>1.0</v>
      </c>
      <c r="FM83" s="255">
        <v>29.0</v>
      </c>
    </row>
    <row r="84" ht="13.5" customHeight="1">
      <c r="A84" s="252" t="s">
        <v>1173</v>
      </c>
      <c r="B84" s="252">
        <v>2019.0</v>
      </c>
      <c r="C84" s="252" t="s">
        <v>541</v>
      </c>
      <c r="D84" s="252" t="s">
        <v>541</v>
      </c>
      <c r="E84" s="252" t="s">
        <v>541</v>
      </c>
      <c r="F84" s="252" t="s">
        <v>541</v>
      </c>
      <c r="G84" s="252" t="s">
        <v>541</v>
      </c>
      <c r="H84" s="252" t="s">
        <v>541</v>
      </c>
      <c r="I84" s="252"/>
      <c r="J84" s="252">
        <v>2019.0</v>
      </c>
      <c r="K84" s="252" t="s">
        <v>541</v>
      </c>
      <c r="L84" s="252" t="s">
        <v>541</v>
      </c>
      <c r="M84" s="252" t="s">
        <v>541</v>
      </c>
      <c r="N84" s="252" t="s">
        <v>541</v>
      </c>
      <c r="O84" s="252" t="s">
        <v>541</v>
      </c>
      <c r="P84" s="252" t="s">
        <v>541</v>
      </c>
      <c r="Q84" s="131"/>
      <c r="R84" s="253" t="s">
        <v>268</v>
      </c>
      <c r="S84" s="253">
        <v>2020.0</v>
      </c>
      <c r="T84" s="253">
        <v>1346.0</v>
      </c>
      <c r="U84" s="253">
        <v>980.0</v>
      </c>
      <c r="V84" s="253">
        <v>1117.0</v>
      </c>
      <c r="W84" s="253">
        <v>1214.0</v>
      </c>
      <c r="X84" s="253">
        <v>839.0</v>
      </c>
      <c r="Y84" s="253">
        <v>5496.0</v>
      </c>
      <c r="Z84" s="253"/>
      <c r="AA84" s="253">
        <v>2020.0</v>
      </c>
      <c r="AB84" s="253">
        <v>104.0</v>
      </c>
      <c r="AC84" s="253">
        <v>3.0</v>
      </c>
      <c r="AD84" s="253">
        <v>0.0</v>
      </c>
      <c r="AE84" s="253">
        <v>1.0</v>
      </c>
      <c r="AF84" s="253">
        <v>0.0</v>
      </c>
      <c r="AG84" s="253">
        <v>108.0</v>
      </c>
      <c r="AH84" s="163"/>
      <c r="AI84" s="246" t="s">
        <v>336</v>
      </c>
      <c r="AJ84" s="246">
        <v>2019.0</v>
      </c>
      <c r="AK84" s="246">
        <v>322.0</v>
      </c>
      <c r="AL84" s="246">
        <v>462.0</v>
      </c>
      <c r="AM84" s="246">
        <v>738.0</v>
      </c>
      <c r="AN84" s="246">
        <v>886.0</v>
      </c>
      <c r="AO84" s="246">
        <v>493.0</v>
      </c>
      <c r="AP84" s="246">
        <v>2901.0</v>
      </c>
      <c r="AQ84" s="246"/>
      <c r="AR84" s="246">
        <v>2019.0</v>
      </c>
      <c r="AS84" s="246">
        <v>37.0</v>
      </c>
      <c r="AT84" s="246">
        <v>0.0</v>
      </c>
      <c r="AU84" s="246">
        <v>0.0</v>
      </c>
      <c r="AV84" s="246">
        <v>0.0</v>
      </c>
      <c r="AW84" s="246">
        <v>0.0</v>
      </c>
      <c r="AX84" s="246">
        <v>37.0</v>
      </c>
      <c r="AY84" s="163"/>
      <c r="AZ84" s="254" t="s">
        <v>506</v>
      </c>
      <c r="BA84" s="254">
        <v>2019.0</v>
      </c>
      <c r="BB84" s="254">
        <v>127.0</v>
      </c>
      <c r="BC84" s="254">
        <v>50.0</v>
      </c>
      <c r="BD84" s="254">
        <v>117.0</v>
      </c>
      <c r="BE84" s="254">
        <v>147.0</v>
      </c>
      <c r="BF84" s="254">
        <v>151.0</v>
      </c>
      <c r="BG84" s="254">
        <v>592.0</v>
      </c>
      <c r="BH84" s="254"/>
      <c r="BI84" s="254">
        <v>2019.0</v>
      </c>
      <c r="BJ84" s="254">
        <v>32.0</v>
      </c>
      <c r="BK84" s="254">
        <v>0.0</v>
      </c>
      <c r="BL84" s="254">
        <v>0.0</v>
      </c>
      <c r="BM84" s="254">
        <v>0.0</v>
      </c>
      <c r="BN84" s="254">
        <v>0.0</v>
      </c>
      <c r="BO84" s="254">
        <v>32.0</v>
      </c>
      <c r="BP84" s="163"/>
      <c r="BQ84" s="163"/>
      <c r="BR84" s="163"/>
      <c r="BS84" s="163"/>
      <c r="BT84" s="163"/>
      <c r="BU84" s="163"/>
      <c r="BV84" s="163"/>
      <c r="BW84" s="163"/>
      <c r="BX84" s="163"/>
      <c r="BY84" s="163"/>
      <c r="BZ84" s="163"/>
      <c r="CA84" s="163"/>
      <c r="CB84" s="163"/>
      <c r="CC84" s="163"/>
      <c r="CD84" s="163"/>
      <c r="CE84" s="163"/>
      <c r="CF84" s="163"/>
      <c r="CG84" s="163"/>
      <c r="CH84" s="57" t="s">
        <v>1041</v>
      </c>
      <c r="CI84" s="57">
        <v>2019.0</v>
      </c>
      <c r="CJ84" s="57">
        <v>48.0</v>
      </c>
      <c r="CK84" s="57">
        <v>48.0</v>
      </c>
      <c r="CL84" s="57">
        <v>105.0</v>
      </c>
      <c r="CM84" s="57">
        <v>153.0</v>
      </c>
      <c r="CN84" s="57">
        <v>177.0</v>
      </c>
      <c r="CO84" s="57">
        <v>531.0</v>
      </c>
      <c r="CP84" s="57"/>
      <c r="CQ84" s="57">
        <v>2019.0</v>
      </c>
      <c r="CR84" s="57">
        <v>10.0</v>
      </c>
      <c r="CS84" s="57">
        <v>0.0</v>
      </c>
      <c r="CT84" s="57">
        <v>0.0</v>
      </c>
      <c r="CU84" s="57">
        <v>0.0</v>
      </c>
      <c r="CV84" s="57">
        <v>0.0</v>
      </c>
      <c r="CW84" s="57">
        <v>10.0</v>
      </c>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57" t="s">
        <v>794</v>
      </c>
      <c r="EH84" s="57">
        <v>2020.0</v>
      </c>
      <c r="EI84" s="57">
        <v>58.0</v>
      </c>
      <c r="EJ84" s="57">
        <v>114.0</v>
      </c>
      <c r="EK84" s="57">
        <v>116.0</v>
      </c>
      <c r="EL84" s="57">
        <v>157.0</v>
      </c>
      <c r="EM84" s="57">
        <v>197.0</v>
      </c>
      <c r="EN84" s="57">
        <v>642.0</v>
      </c>
      <c r="EO84" s="57"/>
      <c r="EP84" s="57">
        <v>2020.0</v>
      </c>
      <c r="EQ84" s="57">
        <v>14.0</v>
      </c>
      <c r="ER84" s="57">
        <v>1.0</v>
      </c>
      <c r="ES84" s="57">
        <v>2.0</v>
      </c>
      <c r="ET84" s="57">
        <v>5.0</v>
      </c>
      <c r="EU84" s="57">
        <v>1.0</v>
      </c>
      <c r="EV84" s="57">
        <v>23.0</v>
      </c>
      <c r="EW84" s="163"/>
      <c r="EX84" s="255" t="s">
        <v>924</v>
      </c>
      <c r="EY84" s="255">
        <v>2019.0</v>
      </c>
      <c r="EZ84" s="255">
        <v>442.0</v>
      </c>
      <c r="FA84" s="255">
        <v>372.0</v>
      </c>
      <c r="FB84" s="255">
        <v>500.0</v>
      </c>
      <c r="FC84" s="255">
        <v>547.0</v>
      </c>
      <c r="FD84" s="255">
        <v>794.0</v>
      </c>
      <c r="FE84" s="255">
        <v>2655.0</v>
      </c>
      <c r="FF84" s="255"/>
      <c r="FG84" s="255">
        <v>2019.0</v>
      </c>
      <c r="FH84" s="255">
        <v>25.0</v>
      </c>
      <c r="FI84" s="255">
        <v>7.0</v>
      </c>
      <c r="FJ84" s="255">
        <v>9.0</v>
      </c>
      <c r="FK84" s="255">
        <v>11.0</v>
      </c>
      <c r="FL84" s="255">
        <v>16.0</v>
      </c>
      <c r="FM84" s="255">
        <v>68.0</v>
      </c>
    </row>
    <row r="85" ht="13.5" customHeight="1">
      <c r="A85" s="252" t="s">
        <v>1176</v>
      </c>
      <c r="B85" s="252">
        <v>2019.0</v>
      </c>
      <c r="C85" s="252" t="s">
        <v>541</v>
      </c>
      <c r="D85" s="252" t="s">
        <v>541</v>
      </c>
      <c r="E85" s="252" t="s">
        <v>541</v>
      </c>
      <c r="F85" s="252" t="s">
        <v>541</v>
      </c>
      <c r="G85" s="252" t="s">
        <v>541</v>
      </c>
      <c r="H85" s="252" t="s">
        <v>541</v>
      </c>
      <c r="I85" s="252"/>
      <c r="J85" s="252">
        <v>2019.0</v>
      </c>
      <c r="K85" s="252" t="s">
        <v>541</v>
      </c>
      <c r="L85" s="252" t="s">
        <v>541</v>
      </c>
      <c r="M85" s="252" t="s">
        <v>541</v>
      </c>
      <c r="N85" s="252" t="s">
        <v>541</v>
      </c>
      <c r="O85" s="252" t="s">
        <v>541</v>
      </c>
      <c r="P85" s="252" t="s">
        <v>541</v>
      </c>
      <c r="Q85" s="131"/>
      <c r="R85" s="253" t="s">
        <v>270</v>
      </c>
      <c r="S85" s="253">
        <v>2020.0</v>
      </c>
      <c r="T85" s="253">
        <v>716.0</v>
      </c>
      <c r="U85" s="253">
        <v>415.0</v>
      </c>
      <c r="V85" s="253">
        <v>463.0</v>
      </c>
      <c r="W85" s="253">
        <v>500.0</v>
      </c>
      <c r="X85" s="253">
        <v>395.0</v>
      </c>
      <c r="Y85" s="253">
        <v>2489.0</v>
      </c>
      <c r="Z85" s="253"/>
      <c r="AA85" s="253">
        <v>2020.0</v>
      </c>
      <c r="AB85" s="253">
        <v>13.0</v>
      </c>
      <c r="AC85" s="253">
        <v>0.0</v>
      </c>
      <c r="AD85" s="253">
        <v>0.0</v>
      </c>
      <c r="AE85" s="253">
        <v>0.0</v>
      </c>
      <c r="AF85" s="253">
        <v>0.0</v>
      </c>
      <c r="AG85" s="253">
        <v>13.0</v>
      </c>
      <c r="AH85" s="163"/>
      <c r="AI85" s="246" t="s">
        <v>338</v>
      </c>
      <c r="AJ85" s="246">
        <v>2019.0</v>
      </c>
      <c r="AK85" s="246">
        <v>406.0</v>
      </c>
      <c r="AL85" s="246">
        <v>508.0</v>
      </c>
      <c r="AM85" s="246">
        <v>806.0</v>
      </c>
      <c r="AN85" s="246">
        <v>931.0</v>
      </c>
      <c r="AO85" s="246">
        <v>550.0</v>
      </c>
      <c r="AP85" s="246">
        <v>3201.0</v>
      </c>
      <c r="AQ85" s="246"/>
      <c r="AR85" s="246">
        <v>2019.0</v>
      </c>
      <c r="AS85" s="246">
        <v>52.0</v>
      </c>
      <c r="AT85" s="246">
        <v>4.0</v>
      </c>
      <c r="AU85" s="246">
        <v>2.0</v>
      </c>
      <c r="AV85" s="246">
        <v>1.0</v>
      </c>
      <c r="AW85" s="246">
        <v>2.0</v>
      </c>
      <c r="AX85" s="246">
        <v>61.0</v>
      </c>
      <c r="AY85" s="163"/>
      <c r="AZ85" s="254" t="s">
        <v>508</v>
      </c>
      <c r="BA85" s="254">
        <v>2019.0</v>
      </c>
      <c r="BB85" s="254">
        <v>62.0</v>
      </c>
      <c r="BC85" s="254">
        <v>63.0</v>
      </c>
      <c r="BD85" s="254">
        <v>78.0</v>
      </c>
      <c r="BE85" s="254">
        <v>151.0</v>
      </c>
      <c r="BF85" s="254">
        <v>116.0</v>
      </c>
      <c r="BG85" s="254">
        <v>470.0</v>
      </c>
      <c r="BH85" s="254"/>
      <c r="BI85" s="254">
        <v>2019.0</v>
      </c>
      <c r="BJ85" s="254">
        <v>19.0</v>
      </c>
      <c r="BK85" s="254">
        <v>0.0</v>
      </c>
      <c r="BL85" s="254">
        <v>0.0</v>
      </c>
      <c r="BM85" s="254">
        <v>0.0</v>
      </c>
      <c r="BN85" s="254">
        <v>0.0</v>
      </c>
      <c r="BO85" s="254">
        <v>19.0</v>
      </c>
      <c r="BP85" s="163"/>
      <c r="BQ85" s="163"/>
      <c r="BR85" s="163"/>
      <c r="BS85" s="163"/>
      <c r="BT85" s="163"/>
      <c r="BU85" s="163"/>
      <c r="BV85" s="163"/>
      <c r="BW85" s="163"/>
      <c r="BX85" s="163"/>
      <c r="BY85" s="163"/>
      <c r="BZ85" s="163"/>
      <c r="CA85" s="163"/>
      <c r="CB85" s="163"/>
      <c r="CC85" s="163"/>
      <c r="CD85" s="163"/>
      <c r="CE85" s="163"/>
      <c r="CF85" s="163"/>
      <c r="CG85" s="163"/>
      <c r="CH85" s="57" t="s">
        <v>700</v>
      </c>
      <c r="CI85" s="57">
        <v>2019.0</v>
      </c>
      <c r="CJ85" s="57">
        <v>71.0</v>
      </c>
      <c r="CK85" s="57">
        <v>76.0</v>
      </c>
      <c r="CL85" s="57">
        <v>150.0</v>
      </c>
      <c r="CM85" s="57">
        <v>159.0</v>
      </c>
      <c r="CN85" s="57">
        <v>163.0</v>
      </c>
      <c r="CO85" s="57">
        <v>619.0</v>
      </c>
      <c r="CP85" s="57"/>
      <c r="CQ85" s="57">
        <v>2019.0</v>
      </c>
      <c r="CR85" s="57">
        <v>14.0</v>
      </c>
      <c r="CS85" s="57">
        <v>0.0</v>
      </c>
      <c r="CT85" s="57">
        <v>0.0</v>
      </c>
      <c r="CU85" s="57">
        <v>0.0</v>
      </c>
      <c r="CV85" s="57">
        <v>0.0</v>
      </c>
      <c r="CW85" s="57">
        <v>14.0</v>
      </c>
      <c r="CX85" s="163"/>
      <c r="CY85" s="163"/>
      <c r="CZ85" s="163"/>
      <c r="DA85" s="163"/>
      <c r="DB85" s="163"/>
      <c r="DC85" s="163"/>
      <c r="DD85" s="163"/>
      <c r="DE85" s="163"/>
      <c r="DF85" s="163"/>
      <c r="DG85" s="163"/>
      <c r="DH85" s="163"/>
      <c r="DI85" s="163"/>
      <c r="DJ85" s="163"/>
      <c r="DK85" s="163"/>
      <c r="DL85" s="163"/>
      <c r="DM85" s="163"/>
      <c r="DN85" s="163"/>
      <c r="DO85" s="163"/>
      <c r="DP85" s="163"/>
      <c r="DQ85" s="163"/>
      <c r="DR85" s="163"/>
      <c r="DS85" s="163"/>
      <c r="DT85" s="163"/>
      <c r="DU85" s="163"/>
      <c r="DV85" s="163"/>
      <c r="DW85" s="163"/>
      <c r="DX85" s="163"/>
      <c r="DY85" s="163"/>
      <c r="DZ85" s="163"/>
      <c r="EA85" s="163"/>
      <c r="EB85" s="163"/>
      <c r="EC85" s="163"/>
      <c r="ED85" s="163"/>
      <c r="EE85" s="163"/>
      <c r="EF85" s="163"/>
      <c r="EG85" s="57" t="s">
        <v>796</v>
      </c>
      <c r="EH85" s="57">
        <v>2020.0</v>
      </c>
      <c r="EI85" s="57">
        <v>168.0</v>
      </c>
      <c r="EJ85" s="57">
        <v>271.0</v>
      </c>
      <c r="EK85" s="57">
        <v>339.0</v>
      </c>
      <c r="EL85" s="57">
        <v>389.0</v>
      </c>
      <c r="EM85" s="57">
        <v>450.0</v>
      </c>
      <c r="EN85" s="57">
        <v>1617.0</v>
      </c>
      <c r="EO85" s="57"/>
      <c r="EP85" s="57">
        <v>2020.0</v>
      </c>
      <c r="EQ85" s="57">
        <v>40.0</v>
      </c>
      <c r="ER85" s="57">
        <v>19.0</v>
      </c>
      <c r="ES85" s="57">
        <v>15.0</v>
      </c>
      <c r="ET85" s="57">
        <v>9.0</v>
      </c>
      <c r="EU85" s="57">
        <v>5.0</v>
      </c>
      <c r="EV85" s="57">
        <v>88.0</v>
      </c>
      <c r="EW85" s="163"/>
      <c r="EX85" s="255" t="s">
        <v>926</v>
      </c>
      <c r="EY85" s="255">
        <v>2019.0</v>
      </c>
      <c r="EZ85" s="255">
        <v>199.0</v>
      </c>
      <c r="FA85" s="255">
        <v>268.0</v>
      </c>
      <c r="FB85" s="255">
        <v>382.0</v>
      </c>
      <c r="FC85" s="255">
        <v>485.0</v>
      </c>
      <c r="FD85" s="255">
        <v>594.0</v>
      </c>
      <c r="FE85" s="255">
        <v>1928.0</v>
      </c>
      <c r="FF85" s="255"/>
      <c r="FG85" s="255">
        <v>2019.0</v>
      </c>
      <c r="FH85" s="255">
        <v>33.0</v>
      </c>
      <c r="FI85" s="255">
        <v>5.0</v>
      </c>
      <c r="FJ85" s="255">
        <v>9.0</v>
      </c>
      <c r="FK85" s="255">
        <v>1.0</v>
      </c>
      <c r="FL85" s="255">
        <v>1.0</v>
      </c>
      <c r="FM85" s="255">
        <v>49.0</v>
      </c>
    </row>
    <row r="86" ht="13.5" customHeight="1">
      <c r="A86" s="252" t="s">
        <v>1179</v>
      </c>
      <c r="B86" s="252">
        <v>2019.0</v>
      </c>
      <c r="C86" s="252" t="s">
        <v>541</v>
      </c>
      <c r="D86" s="252" t="s">
        <v>541</v>
      </c>
      <c r="E86" s="252" t="s">
        <v>541</v>
      </c>
      <c r="F86" s="252" t="s">
        <v>541</v>
      </c>
      <c r="G86" s="252" t="s">
        <v>541</v>
      </c>
      <c r="H86" s="252" t="s">
        <v>541</v>
      </c>
      <c r="I86" s="252"/>
      <c r="J86" s="252">
        <v>2019.0</v>
      </c>
      <c r="K86" s="252" t="s">
        <v>541</v>
      </c>
      <c r="L86" s="252" t="s">
        <v>541</v>
      </c>
      <c r="M86" s="252" t="s">
        <v>541</v>
      </c>
      <c r="N86" s="252" t="s">
        <v>541</v>
      </c>
      <c r="O86" s="252" t="s">
        <v>541</v>
      </c>
      <c r="P86" s="252" t="s">
        <v>541</v>
      </c>
      <c r="Q86" s="131"/>
      <c r="R86" s="253" t="s">
        <v>272</v>
      </c>
      <c r="S86" s="253">
        <v>2020.0</v>
      </c>
      <c r="T86" s="253">
        <v>139.0</v>
      </c>
      <c r="U86" s="253">
        <v>207.0</v>
      </c>
      <c r="V86" s="253">
        <v>327.0</v>
      </c>
      <c r="W86" s="253">
        <v>343.0</v>
      </c>
      <c r="X86" s="253">
        <v>280.0</v>
      </c>
      <c r="Y86" s="253">
        <v>1296.0</v>
      </c>
      <c r="Z86" s="253"/>
      <c r="AA86" s="253">
        <v>2020.0</v>
      </c>
      <c r="AB86" s="253">
        <v>11.0</v>
      </c>
      <c r="AC86" s="253">
        <v>0.0</v>
      </c>
      <c r="AD86" s="253">
        <v>1.0</v>
      </c>
      <c r="AE86" s="253">
        <v>0.0</v>
      </c>
      <c r="AF86" s="253">
        <v>0.0</v>
      </c>
      <c r="AG86" s="253">
        <v>12.0</v>
      </c>
      <c r="AH86" s="163"/>
      <c r="AI86" s="246" t="s">
        <v>340</v>
      </c>
      <c r="AJ86" s="246">
        <v>2019.0</v>
      </c>
      <c r="AK86" s="246">
        <v>413.0</v>
      </c>
      <c r="AL86" s="246">
        <v>536.0</v>
      </c>
      <c r="AM86" s="246">
        <v>710.0</v>
      </c>
      <c r="AN86" s="246">
        <v>890.0</v>
      </c>
      <c r="AO86" s="246">
        <v>590.0</v>
      </c>
      <c r="AP86" s="246">
        <v>3139.0</v>
      </c>
      <c r="AQ86" s="246"/>
      <c r="AR86" s="246">
        <v>2019.0</v>
      </c>
      <c r="AS86" s="246">
        <v>46.0</v>
      </c>
      <c r="AT86" s="246">
        <v>1.0</v>
      </c>
      <c r="AU86" s="246">
        <v>1.0</v>
      </c>
      <c r="AV86" s="246">
        <v>1.0</v>
      </c>
      <c r="AW86" s="246">
        <v>0.0</v>
      </c>
      <c r="AX86" s="246">
        <v>49.0</v>
      </c>
      <c r="AY86" s="163"/>
      <c r="AZ86" s="254" t="s">
        <v>510</v>
      </c>
      <c r="BA86" s="254">
        <v>2019.0</v>
      </c>
      <c r="BB86" s="254">
        <v>63.0</v>
      </c>
      <c r="BC86" s="254">
        <v>58.0</v>
      </c>
      <c r="BD86" s="254">
        <v>118.0</v>
      </c>
      <c r="BE86" s="254">
        <v>153.0</v>
      </c>
      <c r="BF86" s="254">
        <v>159.0</v>
      </c>
      <c r="BG86" s="254">
        <v>551.0</v>
      </c>
      <c r="BH86" s="254"/>
      <c r="BI86" s="254">
        <v>2019.0</v>
      </c>
      <c r="BJ86" s="254">
        <v>12.0</v>
      </c>
      <c r="BK86" s="254">
        <v>0.0</v>
      </c>
      <c r="BL86" s="254">
        <v>0.0</v>
      </c>
      <c r="BM86" s="254">
        <v>0.0</v>
      </c>
      <c r="BN86" s="254">
        <v>0.0</v>
      </c>
      <c r="BO86" s="254">
        <v>12.0</v>
      </c>
      <c r="BP86" s="163"/>
      <c r="BQ86" s="163"/>
      <c r="BR86" s="163"/>
      <c r="BS86" s="163"/>
      <c r="BT86" s="163"/>
      <c r="BU86" s="163"/>
      <c r="BV86" s="163"/>
      <c r="BW86" s="163"/>
      <c r="BX86" s="163"/>
      <c r="BY86" s="163"/>
      <c r="BZ86" s="163"/>
      <c r="CA86" s="163"/>
      <c r="CB86" s="163"/>
      <c r="CC86" s="163"/>
      <c r="CD86" s="163"/>
      <c r="CE86" s="163"/>
      <c r="CF86" s="163"/>
      <c r="CG86" s="163"/>
      <c r="CH86" s="57" t="s">
        <v>1045</v>
      </c>
      <c r="CI86" s="57">
        <v>2019.0</v>
      </c>
      <c r="CJ86" s="57">
        <v>58.0</v>
      </c>
      <c r="CK86" s="57">
        <v>70.0</v>
      </c>
      <c r="CL86" s="57">
        <v>142.0</v>
      </c>
      <c r="CM86" s="57">
        <v>190.0</v>
      </c>
      <c r="CN86" s="57">
        <v>142.0</v>
      </c>
      <c r="CO86" s="57">
        <v>602.0</v>
      </c>
      <c r="CP86" s="57"/>
      <c r="CQ86" s="57">
        <v>2019.0</v>
      </c>
      <c r="CR86" s="57">
        <v>2.0</v>
      </c>
      <c r="CS86" s="57">
        <v>0.0</v>
      </c>
      <c r="CT86" s="57">
        <v>0.0</v>
      </c>
      <c r="CU86" s="57">
        <v>0.0</v>
      </c>
      <c r="CV86" s="57">
        <v>0.0</v>
      </c>
      <c r="CW86" s="57">
        <v>2.0</v>
      </c>
      <c r="CX86" s="163"/>
      <c r="CY86" s="163"/>
      <c r="CZ86" s="163"/>
      <c r="DA86" s="163"/>
      <c r="DB86" s="163"/>
      <c r="DC86" s="163"/>
      <c r="DD86" s="163"/>
      <c r="DE86" s="163"/>
      <c r="DF86" s="163"/>
      <c r="DG86" s="163"/>
      <c r="DH86" s="163"/>
      <c r="DI86" s="163"/>
      <c r="DJ86" s="163"/>
      <c r="DK86" s="163"/>
      <c r="DL86" s="163"/>
      <c r="DM86" s="163"/>
      <c r="DN86" s="163"/>
      <c r="DO86" s="163"/>
      <c r="DP86" s="163"/>
      <c r="DQ86" s="163"/>
      <c r="DR86" s="163"/>
      <c r="DS86" s="163"/>
      <c r="DT86" s="163"/>
      <c r="DU86" s="163"/>
      <c r="DV86" s="163"/>
      <c r="DW86" s="163"/>
      <c r="DX86" s="163"/>
      <c r="DY86" s="163"/>
      <c r="DZ86" s="163"/>
      <c r="EA86" s="163"/>
      <c r="EB86" s="163"/>
      <c r="EC86" s="163"/>
      <c r="ED86" s="163"/>
      <c r="EE86" s="163"/>
      <c r="EF86" s="163"/>
      <c r="EG86" s="57" t="s">
        <v>798</v>
      </c>
      <c r="EH86" s="57">
        <v>2020.0</v>
      </c>
      <c r="EI86" s="57">
        <v>78.0</v>
      </c>
      <c r="EJ86" s="57">
        <v>168.0</v>
      </c>
      <c r="EK86" s="57">
        <v>243.0</v>
      </c>
      <c r="EL86" s="57">
        <v>319.0</v>
      </c>
      <c r="EM86" s="57">
        <v>347.0</v>
      </c>
      <c r="EN86" s="57">
        <v>1155.0</v>
      </c>
      <c r="EO86" s="57"/>
      <c r="EP86" s="57">
        <v>2020.0</v>
      </c>
      <c r="EQ86" s="57">
        <v>8.0</v>
      </c>
      <c r="ER86" s="57">
        <v>8.0</v>
      </c>
      <c r="ES86" s="57">
        <v>1.0</v>
      </c>
      <c r="ET86" s="57">
        <v>5.0</v>
      </c>
      <c r="EU86" s="57">
        <v>4.0</v>
      </c>
      <c r="EV86" s="57">
        <v>26.0</v>
      </c>
      <c r="EW86" s="163"/>
      <c r="EX86" s="255" t="s">
        <v>929</v>
      </c>
      <c r="EY86" s="255">
        <v>2019.0</v>
      </c>
      <c r="EZ86" s="255">
        <v>174.0</v>
      </c>
      <c r="FA86" s="255">
        <v>286.0</v>
      </c>
      <c r="FB86" s="255">
        <v>309.0</v>
      </c>
      <c r="FC86" s="255">
        <v>383.0</v>
      </c>
      <c r="FD86" s="255">
        <v>492.0</v>
      </c>
      <c r="FE86" s="255">
        <v>1644.0</v>
      </c>
      <c r="FF86" s="255"/>
      <c r="FG86" s="255">
        <v>2019.0</v>
      </c>
      <c r="FH86" s="255">
        <v>20.0</v>
      </c>
      <c r="FI86" s="255">
        <v>10.0</v>
      </c>
      <c r="FJ86" s="255">
        <v>4.0</v>
      </c>
      <c r="FK86" s="255">
        <v>1.0</v>
      </c>
      <c r="FL86" s="255">
        <v>4.0</v>
      </c>
      <c r="FM86" s="255">
        <v>39.0</v>
      </c>
    </row>
    <row r="87" ht="13.5" customHeight="1">
      <c r="A87" s="252" t="s">
        <v>1173</v>
      </c>
      <c r="B87" s="252">
        <v>2019.0</v>
      </c>
      <c r="C87" s="252" t="s">
        <v>541</v>
      </c>
      <c r="D87" s="252" t="s">
        <v>541</v>
      </c>
      <c r="E87" s="252" t="s">
        <v>541</v>
      </c>
      <c r="F87" s="252" t="s">
        <v>541</v>
      </c>
      <c r="G87" s="252" t="s">
        <v>541</v>
      </c>
      <c r="H87" s="252" t="s">
        <v>541</v>
      </c>
      <c r="I87" s="252"/>
      <c r="J87" s="252">
        <v>2019.0</v>
      </c>
      <c r="K87" s="252" t="s">
        <v>541</v>
      </c>
      <c r="L87" s="252" t="s">
        <v>541</v>
      </c>
      <c r="M87" s="252" t="s">
        <v>541</v>
      </c>
      <c r="N87" s="252" t="s">
        <v>541</v>
      </c>
      <c r="O87" s="252" t="s">
        <v>541</v>
      </c>
      <c r="P87" s="252" t="s">
        <v>541</v>
      </c>
      <c r="Q87" s="131"/>
      <c r="R87" s="253" t="s">
        <v>274</v>
      </c>
      <c r="S87" s="253">
        <v>2020.0</v>
      </c>
      <c r="T87" s="253">
        <v>122.0</v>
      </c>
      <c r="U87" s="253">
        <v>210.0</v>
      </c>
      <c r="V87" s="253">
        <v>279.0</v>
      </c>
      <c r="W87" s="253">
        <v>360.0</v>
      </c>
      <c r="X87" s="253">
        <v>258.0</v>
      </c>
      <c r="Y87" s="253">
        <v>1229.0</v>
      </c>
      <c r="Z87" s="253"/>
      <c r="AA87" s="253">
        <v>2020.0</v>
      </c>
      <c r="AB87" s="253">
        <v>13.0</v>
      </c>
      <c r="AC87" s="253">
        <v>3.0</v>
      </c>
      <c r="AD87" s="253">
        <v>0.0</v>
      </c>
      <c r="AE87" s="253">
        <v>0.0</v>
      </c>
      <c r="AF87" s="253">
        <v>0.0</v>
      </c>
      <c r="AG87" s="253">
        <v>16.0</v>
      </c>
      <c r="AH87" s="163"/>
      <c r="AI87" s="246" t="s">
        <v>342</v>
      </c>
      <c r="AJ87" s="246">
        <v>2019.0</v>
      </c>
      <c r="AK87" s="246">
        <v>224.0</v>
      </c>
      <c r="AL87" s="246">
        <v>301.0</v>
      </c>
      <c r="AM87" s="246">
        <v>452.0</v>
      </c>
      <c r="AN87" s="246">
        <v>632.0</v>
      </c>
      <c r="AO87" s="246">
        <v>421.0</v>
      </c>
      <c r="AP87" s="246">
        <v>2030.0</v>
      </c>
      <c r="AQ87" s="246"/>
      <c r="AR87" s="246">
        <v>2019.0</v>
      </c>
      <c r="AS87" s="246">
        <v>32.0</v>
      </c>
      <c r="AT87" s="246">
        <v>1.0</v>
      </c>
      <c r="AU87" s="246">
        <v>0.0</v>
      </c>
      <c r="AV87" s="246">
        <v>0.0</v>
      </c>
      <c r="AW87" s="246">
        <v>0.0</v>
      </c>
      <c r="AX87" s="246">
        <v>33.0</v>
      </c>
      <c r="AY87" s="163"/>
      <c r="AZ87" s="254" t="s">
        <v>512</v>
      </c>
      <c r="BA87" s="254">
        <v>2019.0</v>
      </c>
      <c r="BB87" s="254">
        <v>65.0</v>
      </c>
      <c r="BC87" s="254">
        <v>29.0</v>
      </c>
      <c r="BD87" s="254">
        <v>83.0</v>
      </c>
      <c r="BE87" s="254">
        <v>153.0</v>
      </c>
      <c r="BF87" s="254">
        <v>146.0</v>
      </c>
      <c r="BG87" s="254">
        <v>476.0</v>
      </c>
      <c r="BH87" s="254"/>
      <c r="BI87" s="254">
        <v>2019.0</v>
      </c>
      <c r="BJ87" s="254">
        <v>16.0</v>
      </c>
      <c r="BK87" s="254">
        <v>0.0</v>
      </c>
      <c r="BL87" s="254">
        <v>0.0</v>
      </c>
      <c r="BM87" s="254">
        <v>0.0</v>
      </c>
      <c r="BN87" s="254">
        <v>0.0</v>
      </c>
      <c r="BO87" s="254">
        <v>16.0</v>
      </c>
      <c r="BP87" s="163"/>
      <c r="BQ87" s="163"/>
      <c r="BR87" s="163"/>
      <c r="BS87" s="163"/>
      <c r="BT87" s="163"/>
      <c r="BU87" s="163"/>
      <c r="BV87" s="163"/>
      <c r="BW87" s="163"/>
      <c r="BX87" s="163"/>
      <c r="BY87" s="163"/>
      <c r="BZ87" s="163"/>
      <c r="CA87" s="163"/>
      <c r="CB87" s="163"/>
      <c r="CC87" s="163"/>
      <c r="CD87" s="163"/>
      <c r="CE87" s="163"/>
      <c r="CF87" s="163"/>
      <c r="CG87" s="163"/>
      <c r="CH87" s="57" t="s">
        <v>1047</v>
      </c>
      <c r="CI87" s="57">
        <v>2019.0</v>
      </c>
      <c r="CJ87" s="57">
        <v>33.0</v>
      </c>
      <c r="CK87" s="57">
        <v>47.0</v>
      </c>
      <c r="CL87" s="57">
        <v>68.0</v>
      </c>
      <c r="CM87" s="57">
        <v>105.0</v>
      </c>
      <c r="CN87" s="57">
        <v>95.0</v>
      </c>
      <c r="CO87" s="57">
        <v>348.0</v>
      </c>
      <c r="CP87" s="57"/>
      <c r="CQ87" s="57">
        <v>2019.0</v>
      </c>
      <c r="CR87" s="57">
        <v>11.0</v>
      </c>
      <c r="CS87" s="57">
        <v>0.0</v>
      </c>
      <c r="CT87" s="57">
        <v>0.0</v>
      </c>
      <c r="CU87" s="57">
        <v>0.0</v>
      </c>
      <c r="CV87" s="57">
        <v>0.0</v>
      </c>
      <c r="CW87" s="57">
        <v>11.0</v>
      </c>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57" t="s">
        <v>800</v>
      </c>
      <c r="EH87" s="57">
        <v>2020.0</v>
      </c>
      <c r="EI87" s="57">
        <v>517.0</v>
      </c>
      <c r="EJ87" s="57">
        <v>586.0</v>
      </c>
      <c r="EK87" s="57">
        <v>664.0</v>
      </c>
      <c r="EL87" s="57">
        <v>774.0</v>
      </c>
      <c r="EM87" s="57">
        <v>925.0</v>
      </c>
      <c r="EN87" s="57">
        <v>3466.0</v>
      </c>
      <c r="EO87" s="57"/>
      <c r="EP87" s="57">
        <v>2020.0</v>
      </c>
      <c r="EQ87" s="57">
        <v>62.0</v>
      </c>
      <c r="ER87" s="57">
        <v>26.0</v>
      </c>
      <c r="ES87" s="57">
        <v>11.0</v>
      </c>
      <c r="ET87" s="57">
        <v>11.0</v>
      </c>
      <c r="EU87" s="57">
        <v>16.0</v>
      </c>
      <c r="EV87" s="57">
        <v>126.0</v>
      </c>
      <c r="EW87" s="163"/>
      <c r="EX87" s="255" t="s">
        <v>931</v>
      </c>
      <c r="EY87" s="255">
        <v>2019.0</v>
      </c>
      <c r="EZ87" s="255">
        <v>117.0</v>
      </c>
      <c r="FA87" s="255">
        <v>161.0</v>
      </c>
      <c r="FB87" s="255">
        <v>262.0</v>
      </c>
      <c r="FC87" s="255">
        <v>291.0</v>
      </c>
      <c r="FD87" s="255">
        <v>408.0</v>
      </c>
      <c r="FE87" s="255">
        <v>1239.0</v>
      </c>
      <c r="FF87" s="255"/>
      <c r="FG87" s="255">
        <v>2019.0</v>
      </c>
      <c r="FH87" s="255">
        <v>24.0</v>
      </c>
      <c r="FI87" s="255">
        <v>8.0</v>
      </c>
      <c r="FJ87" s="255">
        <v>3.0</v>
      </c>
      <c r="FK87" s="255">
        <v>3.0</v>
      </c>
      <c r="FL87" s="255">
        <v>2.0</v>
      </c>
      <c r="FM87" s="255">
        <v>40.0</v>
      </c>
    </row>
    <row r="88" ht="13.5" customHeight="1">
      <c r="A88" s="252" t="s">
        <v>1185</v>
      </c>
      <c r="B88" s="252">
        <v>2019.0</v>
      </c>
      <c r="C88" s="252" t="s">
        <v>541</v>
      </c>
      <c r="D88" s="252" t="s">
        <v>541</v>
      </c>
      <c r="E88" s="252" t="s">
        <v>541</v>
      </c>
      <c r="F88" s="252" t="s">
        <v>541</v>
      </c>
      <c r="G88" s="252" t="s">
        <v>541</v>
      </c>
      <c r="H88" s="252" t="s">
        <v>541</v>
      </c>
      <c r="I88" s="252"/>
      <c r="J88" s="252">
        <v>2019.0</v>
      </c>
      <c r="K88" s="252" t="s">
        <v>541</v>
      </c>
      <c r="L88" s="252" t="s">
        <v>541</v>
      </c>
      <c r="M88" s="252" t="s">
        <v>541</v>
      </c>
      <c r="N88" s="252" t="s">
        <v>541</v>
      </c>
      <c r="O88" s="252" t="s">
        <v>541</v>
      </c>
      <c r="P88" s="252" t="s">
        <v>541</v>
      </c>
      <c r="Q88" s="131"/>
      <c r="R88" s="253" t="s">
        <v>276</v>
      </c>
      <c r="S88" s="253">
        <v>2020.0</v>
      </c>
      <c r="T88" s="253">
        <v>1101.0</v>
      </c>
      <c r="U88" s="253">
        <v>966.0</v>
      </c>
      <c r="V88" s="253">
        <v>1374.0</v>
      </c>
      <c r="W88" s="253">
        <v>1713.0</v>
      </c>
      <c r="X88" s="253">
        <v>1234.0</v>
      </c>
      <c r="Y88" s="253">
        <v>6388.0</v>
      </c>
      <c r="Z88" s="253"/>
      <c r="AA88" s="253">
        <v>2020.0</v>
      </c>
      <c r="AB88" s="253">
        <v>32.0</v>
      </c>
      <c r="AC88" s="253">
        <v>1.0</v>
      </c>
      <c r="AD88" s="253">
        <v>0.0</v>
      </c>
      <c r="AE88" s="253">
        <v>0.0</v>
      </c>
      <c r="AF88" s="253">
        <v>0.0</v>
      </c>
      <c r="AG88" s="253">
        <v>33.0</v>
      </c>
      <c r="AH88" s="163"/>
      <c r="AI88" s="246" t="s">
        <v>344</v>
      </c>
      <c r="AJ88" s="246">
        <v>2019.0</v>
      </c>
      <c r="AK88" s="246">
        <v>80.0</v>
      </c>
      <c r="AL88" s="246">
        <v>176.0</v>
      </c>
      <c r="AM88" s="246">
        <v>308.0</v>
      </c>
      <c r="AN88" s="246">
        <v>443.0</v>
      </c>
      <c r="AO88" s="246">
        <v>393.0</v>
      </c>
      <c r="AP88" s="246">
        <v>1400.0</v>
      </c>
      <c r="AQ88" s="246"/>
      <c r="AR88" s="246">
        <v>2019.0</v>
      </c>
      <c r="AS88" s="246">
        <v>12.0</v>
      </c>
      <c r="AT88" s="246">
        <v>6.0</v>
      </c>
      <c r="AU88" s="246">
        <v>0.0</v>
      </c>
      <c r="AV88" s="246">
        <v>0.0</v>
      </c>
      <c r="AW88" s="246">
        <v>0.0</v>
      </c>
      <c r="AX88" s="246">
        <v>18.0</v>
      </c>
      <c r="AY88" s="163"/>
      <c r="AZ88" s="254" t="s">
        <v>514</v>
      </c>
      <c r="BA88" s="254">
        <v>2019.0</v>
      </c>
      <c r="BB88" s="254">
        <v>501.0</v>
      </c>
      <c r="BC88" s="254">
        <v>384.0</v>
      </c>
      <c r="BD88" s="254">
        <v>384.0</v>
      </c>
      <c r="BE88" s="254">
        <v>415.0</v>
      </c>
      <c r="BF88" s="254">
        <v>375.0</v>
      </c>
      <c r="BG88" s="254">
        <v>2059.0</v>
      </c>
      <c r="BH88" s="254"/>
      <c r="BI88" s="254">
        <v>2019.0</v>
      </c>
      <c r="BJ88" s="254">
        <v>27.0</v>
      </c>
      <c r="BK88" s="254">
        <v>0.0</v>
      </c>
      <c r="BL88" s="254">
        <v>0.0</v>
      </c>
      <c r="BM88" s="254">
        <v>0.0</v>
      </c>
      <c r="BN88" s="254">
        <v>0.0</v>
      </c>
      <c r="BO88" s="254">
        <v>27.0</v>
      </c>
      <c r="BP88" s="163"/>
      <c r="BQ88" s="163"/>
      <c r="BR88" s="163"/>
      <c r="BS88" s="163"/>
      <c r="BT88" s="163"/>
      <c r="BU88" s="163"/>
      <c r="BV88" s="163"/>
      <c r="BW88" s="163"/>
      <c r="BX88" s="163"/>
      <c r="BY88" s="163"/>
      <c r="BZ88" s="163"/>
      <c r="CA88" s="163"/>
      <c r="CB88" s="163"/>
      <c r="CC88" s="163"/>
      <c r="CD88" s="163"/>
      <c r="CE88" s="163"/>
      <c r="CF88" s="163"/>
      <c r="CG88" s="163"/>
      <c r="CH88" s="57" t="s">
        <v>1049</v>
      </c>
      <c r="CI88" s="57">
        <v>2019.0</v>
      </c>
      <c r="CJ88" s="57">
        <v>50.0</v>
      </c>
      <c r="CK88" s="57">
        <v>62.0</v>
      </c>
      <c r="CL88" s="57">
        <v>90.0</v>
      </c>
      <c r="CM88" s="57">
        <v>139.0</v>
      </c>
      <c r="CN88" s="57">
        <v>157.0</v>
      </c>
      <c r="CO88" s="57">
        <v>498.0</v>
      </c>
      <c r="CP88" s="57"/>
      <c r="CQ88" s="57">
        <v>2019.0</v>
      </c>
      <c r="CR88" s="57">
        <v>14.0</v>
      </c>
      <c r="CS88" s="57">
        <v>1.0</v>
      </c>
      <c r="CT88" s="57">
        <v>0.0</v>
      </c>
      <c r="CU88" s="57">
        <v>0.0</v>
      </c>
      <c r="CV88" s="57">
        <v>0.0</v>
      </c>
      <c r="CW88" s="57">
        <v>15.0</v>
      </c>
      <c r="CX88" s="163"/>
      <c r="CY88" s="163"/>
      <c r="CZ88" s="163"/>
      <c r="DA88" s="163"/>
      <c r="DB88" s="163"/>
      <c r="DC88" s="163"/>
      <c r="DD88" s="163"/>
      <c r="DE88" s="163"/>
      <c r="DF88" s="163"/>
      <c r="DG88" s="163"/>
      <c r="DH88" s="163"/>
      <c r="DI88" s="163"/>
      <c r="DJ88" s="163"/>
      <c r="DK88" s="163"/>
      <c r="DL88" s="163"/>
      <c r="DM88" s="163"/>
      <c r="DN88" s="163"/>
      <c r="DO88" s="163"/>
      <c r="DP88" s="163"/>
      <c r="DQ88" s="163"/>
      <c r="DR88" s="163"/>
      <c r="DS88" s="163"/>
      <c r="DT88" s="163"/>
      <c r="DU88" s="163"/>
      <c r="DV88" s="163"/>
      <c r="DW88" s="163"/>
      <c r="DX88" s="163"/>
      <c r="DY88" s="163"/>
      <c r="DZ88" s="163"/>
      <c r="EA88" s="163"/>
      <c r="EB88" s="163"/>
      <c r="EC88" s="163"/>
      <c r="ED88" s="163"/>
      <c r="EE88" s="163"/>
      <c r="EF88" s="163"/>
      <c r="EG88" s="57" t="s">
        <v>802</v>
      </c>
      <c r="EH88" s="57">
        <v>2020.0</v>
      </c>
      <c r="EI88" s="57">
        <v>240.0</v>
      </c>
      <c r="EJ88" s="57">
        <v>416.0</v>
      </c>
      <c r="EK88" s="57">
        <v>514.0</v>
      </c>
      <c r="EL88" s="57">
        <v>577.0</v>
      </c>
      <c r="EM88" s="57">
        <v>740.0</v>
      </c>
      <c r="EN88" s="57">
        <v>2487.0</v>
      </c>
      <c r="EO88" s="57"/>
      <c r="EP88" s="57">
        <v>2020.0</v>
      </c>
      <c r="EQ88" s="57">
        <v>58.0</v>
      </c>
      <c r="ER88" s="57">
        <v>26.0</v>
      </c>
      <c r="ES88" s="57">
        <v>10.0</v>
      </c>
      <c r="ET88" s="57">
        <v>19.0</v>
      </c>
      <c r="EU88" s="57">
        <v>9.0</v>
      </c>
      <c r="EV88" s="57">
        <v>122.0</v>
      </c>
      <c r="EW88" s="163"/>
      <c r="EX88" s="255" t="s">
        <v>933</v>
      </c>
      <c r="EY88" s="255">
        <v>2019.0</v>
      </c>
      <c r="EZ88" s="255">
        <v>497.0</v>
      </c>
      <c r="FA88" s="255">
        <v>529.0</v>
      </c>
      <c r="FB88" s="255">
        <v>428.0</v>
      </c>
      <c r="FC88" s="255">
        <v>462.0</v>
      </c>
      <c r="FD88" s="255">
        <v>530.0</v>
      </c>
      <c r="FE88" s="255">
        <v>2446.0</v>
      </c>
      <c r="FF88" s="255"/>
      <c r="FG88" s="255">
        <v>2019.0</v>
      </c>
      <c r="FH88" s="255">
        <v>54.0</v>
      </c>
      <c r="FI88" s="255">
        <v>22.0</v>
      </c>
      <c r="FJ88" s="255">
        <v>6.0</v>
      </c>
      <c r="FK88" s="255">
        <v>8.0</v>
      </c>
      <c r="FL88" s="255">
        <v>0.0</v>
      </c>
      <c r="FM88" s="255">
        <v>90.0</v>
      </c>
    </row>
    <row r="89" ht="13.5" customHeight="1">
      <c r="A89" s="252" t="s">
        <v>1189</v>
      </c>
      <c r="B89" s="252">
        <v>2019.0</v>
      </c>
      <c r="C89" s="252">
        <v>99.0</v>
      </c>
      <c r="D89" s="252">
        <v>12.0</v>
      </c>
      <c r="E89" s="252">
        <v>5.0</v>
      </c>
      <c r="F89" s="252">
        <v>0.0</v>
      </c>
      <c r="G89" s="252">
        <v>1.0</v>
      </c>
      <c r="H89" s="252">
        <v>117.0</v>
      </c>
      <c r="I89" s="252"/>
      <c r="J89" s="252">
        <v>2019.0</v>
      </c>
      <c r="K89" s="252">
        <v>502.0</v>
      </c>
      <c r="L89" s="252">
        <v>527.0</v>
      </c>
      <c r="M89" s="252">
        <v>641.0</v>
      </c>
      <c r="N89" s="252">
        <v>787.0</v>
      </c>
      <c r="O89" s="252">
        <v>621.0</v>
      </c>
      <c r="P89" s="252">
        <v>3078.0</v>
      </c>
      <c r="Q89" s="131"/>
      <c r="R89" s="253" t="s">
        <v>278</v>
      </c>
      <c r="S89" s="253">
        <v>2020.0</v>
      </c>
      <c r="T89" s="253">
        <v>201.0</v>
      </c>
      <c r="U89" s="253">
        <v>250.0</v>
      </c>
      <c r="V89" s="253">
        <v>374.0</v>
      </c>
      <c r="W89" s="253">
        <v>451.0</v>
      </c>
      <c r="X89" s="253">
        <v>374.0</v>
      </c>
      <c r="Y89" s="253">
        <v>1650.0</v>
      </c>
      <c r="Z89" s="253"/>
      <c r="AA89" s="253">
        <v>2020.0</v>
      </c>
      <c r="AB89" s="253">
        <v>21.0</v>
      </c>
      <c r="AC89" s="253">
        <v>3.0</v>
      </c>
      <c r="AD89" s="253">
        <v>1.0</v>
      </c>
      <c r="AE89" s="253">
        <v>0.0</v>
      </c>
      <c r="AF89" s="253">
        <v>0.0</v>
      </c>
      <c r="AG89" s="253">
        <v>25.0</v>
      </c>
      <c r="AH89" s="163"/>
      <c r="AI89" s="246" t="s">
        <v>346</v>
      </c>
      <c r="AJ89" s="246">
        <v>2019.0</v>
      </c>
      <c r="AK89" s="246">
        <v>56.0</v>
      </c>
      <c r="AL89" s="246">
        <v>102.0</v>
      </c>
      <c r="AM89" s="246">
        <v>156.0</v>
      </c>
      <c r="AN89" s="246">
        <v>182.0</v>
      </c>
      <c r="AO89" s="246">
        <v>139.0</v>
      </c>
      <c r="AP89" s="246">
        <v>635.0</v>
      </c>
      <c r="AQ89" s="246"/>
      <c r="AR89" s="246">
        <v>2019.0</v>
      </c>
      <c r="AS89" s="246">
        <v>8.0</v>
      </c>
      <c r="AT89" s="246">
        <v>6.0</v>
      </c>
      <c r="AU89" s="246">
        <v>1.0</v>
      </c>
      <c r="AV89" s="246">
        <v>2.0</v>
      </c>
      <c r="AW89" s="246">
        <v>0.0</v>
      </c>
      <c r="AX89" s="246">
        <v>17.0</v>
      </c>
      <c r="AY89" s="163"/>
      <c r="AZ89" s="254" t="s">
        <v>516</v>
      </c>
      <c r="BA89" s="254">
        <v>2019.0</v>
      </c>
      <c r="BB89" s="254">
        <v>235.0</v>
      </c>
      <c r="BC89" s="254">
        <v>198.0</v>
      </c>
      <c r="BD89" s="254">
        <v>325.0</v>
      </c>
      <c r="BE89" s="254">
        <v>387.0</v>
      </c>
      <c r="BF89" s="254">
        <v>311.0</v>
      </c>
      <c r="BG89" s="254">
        <v>1456.0</v>
      </c>
      <c r="BH89" s="254"/>
      <c r="BI89" s="254">
        <v>2019.0</v>
      </c>
      <c r="BJ89" s="254">
        <v>19.0</v>
      </c>
      <c r="BK89" s="254">
        <v>0.0</v>
      </c>
      <c r="BL89" s="254">
        <v>0.0</v>
      </c>
      <c r="BM89" s="254">
        <v>0.0</v>
      </c>
      <c r="BN89" s="254">
        <v>0.0</v>
      </c>
      <c r="BO89" s="254">
        <v>19.0</v>
      </c>
      <c r="BP89" s="163"/>
      <c r="BQ89" s="163"/>
      <c r="BR89" s="163"/>
      <c r="BS89" s="163"/>
      <c r="BT89" s="163"/>
      <c r="BU89" s="163"/>
      <c r="BV89" s="163"/>
      <c r="BW89" s="163"/>
      <c r="BX89" s="163"/>
      <c r="BY89" s="163"/>
      <c r="BZ89" s="163"/>
      <c r="CA89" s="163"/>
      <c r="CB89" s="163"/>
      <c r="CC89" s="163"/>
      <c r="CD89" s="163"/>
      <c r="CE89" s="163"/>
      <c r="CF89" s="163"/>
      <c r="CG89" s="163"/>
      <c r="CH89" s="163"/>
      <c r="CI89" s="163"/>
      <c r="CJ89" s="163"/>
      <c r="CK89" s="163"/>
      <c r="CL89" s="163"/>
      <c r="CM89" s="163"/>
      <c r="CN89" s="163"/>
      <c r="CO89" s="163"/>
      <c r="CP89" s="163"/>
      <c r="CQ89" s="163"/>
      <c r="CR89" s="163"/>
      <c r="CS89" s="163"/>
      <c r="CT89" s="163"/>
      <c r="CU89" s="163"/>
      <c r="CV89" s="163"/>
      <c r="CW89" s="163"/>
      <c r="CX89" s="163"/>
      <c r="CY89" s="163"/>
      <c r="CZ89" s="163"/>
      <c r="DA89" s="163"/>
      <c r="DB89" s="163"/>
      <c r="DC89" s="163"/>
      <c r="DD89" s="163"/>
      <c r="DE89" s="163"/>
      <c r="DF89" s="163"/>
      <c r="DG89" s="163"/>
      <c r="DH89" s="163"/>
      <c r="DI89" s="163"/>
      <c r="DJ89" s="163"/>
      <c r="DK89" s="163"/>
      <c r="DL89" s="163"/>
      <c r="DM89" s="163"/>
      <c r="DN89" s="163"/>
      <c r="DO89" s="163"/>
      <c r="DP89" s="163"/>
      <c r="DQ89" s="163"/>
      <c r="DR89" s="163"/>
      <c r="DS89" s="163"/>
      <c r="DT89" s="163"/>
      <c r="DU89" s="163"/>
      <c r="DV89" s="163"/>
      <c r="DW89" s="163"/>
      <c r="DX89" s="163"/>
      <c r="DY89" s="163"/>
      <c r="DZ89" s="163"/>
      <c r="EA89" s="163"/>
      <c r="EB89" s="163"/>
      <c r="EC89" s="163"/>
      <c r="ED89" s="163"/>
      <c r="EE89" s="163"/>
      <c r="EF89" s="163"/>
      <c r="EG89" s="57" t="s">
        <v>804</v>
      </c>
      <c r="EH89" s="57">
        <v>2020.0</v>
      </c>
      <c r="EI89" s="57">
        <v>131.0</v>
      </c>
      <c r="EJ89" s="57">
        <v>260.0</v>
      </c>
      <c r="EK89" s="57">
        <v>293.0</v>
      </c>
      <c r="EL89" s="57">
        <v>387.0</v>
      </c>
      <c r="EM89" s="57">
        <v>421.0</v>
      </c>
      <c r="EN89" s="57">
        <v>1492.0</v>
      </c>
      <c r="EO89" s="57"/>
      <c r="EP89" s="57">
        <v>2020.0</v>
      </c>
      <c r="EQ89" s="57">
        <v>8.0</v>
      </c>
      <c r="ER89" s="57">
        <v>2.0</v>
      </c>
      <c r="ES89" s="57">
        <v>3.0</v>
      </c>
      <c r="ET89" s="57">
        <v>0.0</v>
      </c>
      <c r="EU89" s="57">
        <v>0.0</v>
      </c>
      <c r="EV89" s="57">
        <v>13.0</v>
      </c>
      <c r="EW89" s="163"/>
      <c r="EX89" s="255" t="s">
        <v>935</v>
      </c>
      <c r="EY89" s="255">
        <v>2019.0</v>
      </c>
      <c r="EZ89" s="255">
        <v>238.0</v>
      </c>
      <c r="FA89" s="255">
        <v>359.0</v>
      </c>
      <c r="FB89" s="255">
        <v>455.0</v>
      </c>
      <c r="FC89" s="255">
        <v>554.0</v>
      </c>
      <c r="FD89" s="255">
        <v>713.0</v>
      </c>
      <c r="FE89" s="255">
        <v>2319.0</v>
      </c>
      <c r="FF89" s="255"/>
      <c r="FG89" s="255">
        <v>2019.0</v>
      </c>
      <c r="FH89" s="255">
        <v>24.0</v>
      </c>
      <c r="FI89" s="255">
        <v>4.0</v>
      </c>
      <c r="FJ89" s="255">
        <v>4.0</v>
      </c>
      <c r="FK89" s="255">
        <v>3.0</v>
      </c>
      <c r="FL89" s="255">
        <v>4.0</v>
      </c>
      <c r="FM89" s="255">
        <v>39.0</v>
      </c>
    </row>
    <row r="90" ht="13.5" customHeight="1">
      <c r="A90" s="252" t="s">
        <v>203</v>
      </c>
      <c r="B90" s="252">
        <v>2019.0</v>
      </c>
      <c r="C90" s="252">
        <v>29.0</v>
      </c>
      <c r="D90" s="252">
        <v>11.0</v>
      </c>
      <c r="E90" s="252">
        <v>6.0</v>
      </c>
      <c r="F90" s="252">
        <v>0.0</v>
      </c>
      <c r="G90" s="252">
        <v>0.0</v>
      </c>
      <c r="H90" s="252">
        <v>46.0</v>
      </c>
      <c r="I90" s="252"/>
      <c r="J90" s="252">
        <v>2019.0</v>
      </c>
      <c r="K90" s="252">
        <v>217.0</v>
      </c>
      <c r="L90" s="252">
        <v>390.0</v>
      </c>
      <c r="M90" s="252">
        <v>527.0</v>
      </c>
      <c r="N90" s="252">
        <v>561.0</v>
      </c>
      <c r="O90" s="252">
        <v>425.0</v>
      </c>
      <c r="P90" s="252">
        <v>2120.0</v>
      </c>
      <c r="Q90" s="131"/>
      <c r="R90" s="253" t="s">
        <v>1291</v>
      </c>
      <c r="S90" s="253">
        <v>2020.0</v>
      </c>
      <c r="T90" s="253">
        <v>192.0</v>
      </c>
      <c r="U90" s="253">
        <v>371.0</v>
      </c>
      <c r="V90" s="253">
        <v>621.0</v>
      </c>
      <c r="W90" s="253">
        <v>713.0</v>
      </c>
      <c r="X90" s="253">
        <v>479.0</v>
      </c>
      <c r="Y90" s="253">
        <v>2376.0</v>
      </c>
      <c r="Z90" s="253"/>
      <c r="AA90" s="253">
        <v>2020.0</v>
      </c>
      <c r="AB90" s="253">
        <v>9.0</v>
      </c>
      <c r="AC90" s="253">
        <v>1.0</v>
      </c>
      <c r="AD90" s="253">
        <v>1.0</v>
      </c>
      <c r="AE90" s="253">
        <v>0.0</v>
      </c>
      <c r="AF90" s="253">
        <v>0.0</v>
      </c>
      <c r="AG90" s="253">
        <v>11.0</v>
      </c>
      <c r="AH90" s="163"/>
      <c r="AI90" s="246" t="s">
        <v>348</v>
      </c>
      <c r="AJ90" s="246">
        <v>2019.0</v>
      </c>
      <c r="AK90" s="246">
        <v>121.0</v>
      </c>
      <c r="AL90" s="246">
        <v>146.0</v>
      </c>
      <c r="AM90" s="246">
        <v>232.0</v>
      </c>
      <c r="AN90" s="246">
        <v>340.0</v>
      </c>
      <c r="AO90" s="246">
        <v>292.0</v>
      </c>
      <c r="AP90" s="246">
        <v>1131.0</v>
      </c>
      <c r="AQ90" s="246"/>
      <c r="AR90" s="246">
        <v>2019.0</v>
      </c>
      <c r="AS90" s="246">
        <v>50.0</v>
      </c>
      <c r="AT90" s="246">
        <v>0.0</v>
      </c>
      <c r="AU90" s="246">
        <v>2.0</v>
      </c>
      <c r="AV90" s="246">
        <v>0.0</v>
      </c>
      <c r="AW90" s="246">
        <v>2.0</v>
      </c>
      <c r="AX90" s="246">
        <v>54.0</v>
      </c>
      <c r="AY90" s="163"/>
      <c r="AZ90" s="254" t="s">
        <v>518</v>
      </c>
      <c r="BA90" s="254">
        <v>2019.0</v>
      </c>
      <c r="BB90" s="254">
        <v>118.0</v>
      </c>
      <c r="BC90" s="254">
        <v>157.0</v>
      </c>
      <c r="BD90" s="254">
        <v>280.0</v>
      </c>
      <c r="BE90" s="254">
        <v>322.0</v>
      </c>
      <c r="BF90" s="254">
        <v>270.0</v>
      </c>
      <c r="BG90" s="254">
        <v>1147.0</v>
      </c>
      <c r="BH90" s="254"/>
      <c r="BI90" s="254">
        <v>2019.0</v>
      </c>
      <c r="BJ90" s="254">
        <v>11.0</v>
      </c>
      <c r="BK90" s="254">
        <v>0.0</v>
      </c>
      <c r="BL90" s="254">
        <v>0.0</v>
      </c>
      <c r="BM90" s="254">
        <v>0.0</v>
      </c>
      <c r="BN90" s="254">
        <v>0.0</v>
      </c>
      <c r="BO90" s="254">
        <v>11.0</v>
      </c>
      <c r="BP90" s="163"/>
      <c r="BQ90" s="163"/>
      <c r="BR90" s="163"/>
      <c r="BS90" s="163"/>
      <c r="BT90" s="163"/>
      <c r="BU90" s="163"/>
      <c r="BV90" s="163"/>
      <c r="BW90" s="163"/>
      <c r="BX90" s="163"/>
      <c r="BY90" s="163"/>
      <c r="BZ90" s="163"/>
      <c r="CA90" s="163"/>
      <c r="CB90" s="163"/>
      <c r="CC90" s="163"/>
      <c r="CD90" s="163"/>
      <c r="CE90" s="163"/>
      <c r="CF90" s="163"/>
      <c r="CG90" s="163"/>
      <c r="CH90" s="57" t="s">
        <v>958</v>
      </c>
      <c r="CI90" s="57">
        <v>2020.0</v>
      </c>
      <c r="CJ90" s="57">
        <v>110.0</v>
      </c>
      <c r="CK90" s="57">
        <v>66.0</v>
      </c>
      <c r="CL90" s="57">
        <v>116.0</v>
      </c>
      <c r="CM90" s="57">
        <v>187.0</v>
      </c>
      <c r="CN90" s="57">
        <v>195.0</v>
      </c>
      <c r="CO90" s="57">
        <v>674.0</v>
      </c>
      <c r="CP90" s="57"/>
      <c r="CQ90" s="57">
        <v>2020.0</v>
      </c>
      <c r="CR90" s="57">
        <v>41.0</v>
      </c>
      <c r="CS90" s="57">
        <v>0.0</v>
      </c>
      <c r="CT90" s="57">
        <v>0.0</v>
      </c>
      <c r="CU90" s="57">
        <v>0.0</v>
      </c>
      <c r="CV90" s="57">
        <v>0.0</v>
      </c>
      <c r="CW90" s="57">
        <v>41.0</v>
      </c>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57" t="s">
        <v>806</v>
      </c>
      <c r="EH90" s="57">
        <v>2020.0</v>
      </c>
      <c r="EI90" s="57">
        <v>20.0</v>
      </c>
      <c r="EJ90" s="57">
        <v>52.0</v>
      </c>
      <c r="EK90" s="57">
        <v>82.0</v>
      </c>
      <c r="EL90" s="57">
        <v>139.0</v>
      </c>
      <c r="EM90" s="57">
        <v>162.0</v>
      </c>
      <c r="EN90" s="57">
        <v>455.0</v>
      </c>
      <c r="EO90" s="57"/>
      <c r="EP90" s="57">
        <v>2020.0</v>
      </c>
      <c r="EQ90" s="57">
        <v>1.0</v>
      </c>
      <c r="ER90" s="57">
        <v>5.0</v>
      </c>
      <c r="ES90" s="57">
        <v>0.0</v>
      </c>
      <c r="ET90" s="57">
        <v>1.0</v>
      </c>
      <c r="EU90" s="57">
        <v>0.0</v>
      </c>
      <c r="EV90" s="57">
        <v>7.0</v>
      </c>
      <c r="EW90" s="163"/>
      <c r="EX90" s="255" t="s">
        <v>937</v>
      </c>
      <c r="EY90" s="255">
        <v>2019.0</v>
      </c>
      <c r="EZ90" s="255">
        <v>226.0</v>
      </c>
      <c r="FA90" s="255">
        <v>307.0</v>
      </c>
      <c r="FB90" s="255">
        <v>399.0</v>
      </c>
      <c r="FC90" s="255">
        <v>457.0</v>
      </c>
      <c r="FD90" s="255">
        <v>628.0</v>
      </c>
      <c r="FE90" s="255">
        <v>2017.0</v>
      </c>
      <c r="FF90" s="255"/>
      <c r="FG90" s="255">
        <v>2019.0</v>
      </c>
      <c r="FH90" s="255">
        <v>22.0</v>
      </c>
      <c r="FI90" s="255">
        <v>7.0</v>
      </c>
      <c r="FJ90" s="255">
        <v>1.0</v>
      </c>
      <c r="FK90" s="255">
        <v>2.0</v>
      </c>
      <c r="FL90" s="255">
        <v>7.0</v>
      </c>
      <c r="FM90" s="255">
        <v>39.0</v>
      </c>
    </row>
    <row r="91" ht="13.5" customHeight="1">
      <c r="A91" s="252" t="s">
        <v>1194</v>
      </c>
      <c r="B91" s="252">
        <v>2019.0</v>
      </c>
      <c r="C91" s="252">
        <v>80.0</v>
      </c>
      <c r="D91" s="252">
        <v>8.0</v>
      </c>
      <c r="E91" s="252">
        <v>2.0</v>
      </c>
      <c r="F91" s="252">
        <v>0.0</v>
      </c>
      <c r="G91" s="252">
        <v>1.0</v>
      </c>
      <c r="H91" s="252">
        <v>91.0</v>
      </c>
      <c r="I91" s="252"/>
      <c r="J91" s="252">
        <v>2019.0</v>
      </c>
      <c r="K91" s="252">
        <v>540.0</v>
      </c>
      <c r="L91" s="252">
        <v>614.0</v>
      </c>
      <c r="M91" s="252">
        <v>637.0</v>
      </c>
      <c r="N91" s="252">
        <v>611.0</v>
      </c>
      <c r="O91" s="252">
        <v>400.0</v>
      </c>
      <c r="P91" s="252">
        <v>2802.0</v>
      </c>
      <c r="Q91" s="131"/>
      <c r="R91" s="253" t="s">
        <v>280</v>
      </c>
      <c r="S91" s="253">
        <v>2020.0</v>
      </c>
      <c r="T91" s="253">
        <v>203.0</v>
      </c>
      <c r="U91" s="253">
        <v>379.0</v>
      </c>
      <c r="V91" s="253">
        <v>557.0</v>
      </c>
      <c r="W91" s="253">
        <v>669.0</v>
      </c>
      <c r="X91" s="253">
        <v>454.0</v>
      </c>
      <c r="Y91" s="253">
        <v>2262.0</v>
      </c>
      <c r="Z91" s="253"/>
      <c r="AA91" s="253">
        <v>2020.0</v>
      </c>
      <c r="AB91" s="253">
        <v>9.0</v>
      </c>
      <c r="AC91" s="253">
        <v>1.0</v>
      </c>
      <c r="AD91" s="253">
        <v>0.0</v>
      </c>
      <c r="AE91" s="253">
        <v>0.0</v>
      </c>
      <c r="AF91" s="253">
        <v>0.0</v>
      </c>
      <c r="AG91" s="253">
        <v>10.0</v>
      </c>
      <c r="AH91" s="163"/>
      <c r="AI91" s="246" t="s">
        <v>350</v>
      </c>
      <c r="AJ91" s="246">
        <v>2019.0</v>
      </c>
      <c r="AK91" s="246">
        <v>188.0</v>
      </c>
      <c r="AL91" s="246">
        <v>314.0</v>
      </c>
      <c r="AM91" s="246">
        <v>511.0</v>
      </c>
      <c r="AN91" s="246">
        <v>698.0</v>
      </c>
      <c r="AO91" s="246">
        <v>503.0</v>
      </c>
      <c r="AP91" s="246">
        <v>2214.0</v>
      </c>
      <c r="AQ91" s="246"/>
      <c r="AR91" s="246">
        <v>2019.0</v>
      </c>
      <c r="AS91" s="246">
        <v>19.0</v>
      </c>
      <c r="AT91" s="246">
        <v>1.0</v>
      </c>
      <c r="AU91" s="246">
        <v>0.0</v>
      </c>
      <c r="AV91" s="246">
        <v>0.0</v>
      </c>
      <c r="AW91" s="246">
        <v>0.0</v>
      </c>
      <c r="AX91" s="246">
        <v>20.0</v>
      </c>
      <c r="AY91" s="163"/>
      <c r="AZ91" s="254" t="s">
        <v>521</v>
      </c>
      <c r="BA91" s="254">
        <v>2019.0</v>
      </c>
      <c r="BB91" s="254">
        <v>170.0</v>
      </c>
      <c r="BC91" s="254">
        <v>172.0</v>
      </c>
      <c r="BD91" s="254">
        <v>254.0</v>
      </c>
      <c r="BE91" s="254">
        <v>279.0</v>
      </c>
      <c r="BF91" s="254">
        <v>267.0</v>
      </c>
      <c r="BG91" s="254">
        <v>1142.0</v>
      </c>
      <c r="BH91" s="254"/>
      <c r="BI91" s="254">
        <v>2019.0</v>
      </c>
      <c r="BJ91" s="254">
        <v>18.0</v>
      </c>
      <c r="BK91" s="254">
        <v>0.0</v>
      </c>
      <c r="BL91" s="254">
        <v>0.0</v>
      </c>
      <c r="BM91" s="254">
        <v>0.0</v>
      </c>
      <c r="BN91" s="254">
        <v>0.0</v>
      </c>
      <c r="BO91" s="254">
        <v>18.0</v>
      </c>
      <c r="BP91" s="163"/>
      <c r="BQ91" s="163"/>
      <c r="BR91" s="163"/>
      <c r="BS91" s="163"/>
      <c r="BT91" s="163"/>
      <c r="BU91" s="163"/>
      <c r="BV91" s="163"/>
      <c r="BW91" s="163"/>
      <c r="BX91" s="163"/>
      <c r="BY91" s="163"/>
      <c r="BZ91" s="163"/>
      <c r="CA91" s="163"/>
      <c r="CB91" s="163"/>
      <c r="CC91" s="163"/>
      <c r="CD91" s="163"/>
      <c r="CE91" s="163"/>
      <c r="CF91" s="163"/>
      <c r="CG91" s="163"/>
      <c r="CH91" s="57" t="s">
        <v>962</v>
      </c>
      <c r="CI91" s="57">
        <v>2020.0</v>
      </c>
      <c r="CJ91" s="57">
        <v>86.0</v>
      </c>
      <c r="CK91" s="57">
        <v>58.0</v>
      </c>
      <c r="CL91" s="57">
        <v>137.0</v>
      </c>
      <c r="CM91" s="57">
        <v>211.0</v>
      </c>
      <c r="CN91" s="57">
        <v>209.0</v>
      </c>
      <c r="CO91" s="57">
        <v>701.0</v>
      </c>
      <c r="CP91" s="57"/>
      <c r="CQ91" s="57">
        <v>2020.0</v>
      </c>
      <c r="CR91" s="57">
        <v>47.0</v>
      </c>
      <c r="CS91" s="57">
        <v>0.0</v>
      </c>
      <c r="CT91" s="57">
        <v>0.0</v>
      </c>
      <c r="CU91" s="57">
        <v>0.0</v>
      </c>
      <c r="CV91" s="57">
        <v>0.0</v>
      </c>
      <c r="CW91" s="57">
        <v>47.0</v>
      </c>
      <c r="CX91" s="163"/>
      <c r="CY91" s="163"/>
      <c r="CZ91" s="163"/>
      <c r="DA91" s="163"/>
      <c r="DB91" s="163"/>
      <c r="DC91" s="163"/>
      <c r="DD91" s="163"/>
      <c r="DE91" s="163"/>
      <c r="DF91" s="163"/>
      <c r="DG91" s="163"/>
      <c r="DH91" s="163"/>
      <c r="DI91" s="163"/>
      <c r="DJ91" s="163"/>
      <c r="DK91" s="163"/>
      <c r="DL91" s="163"/>
      <c r="DM91" s="163"/>
      <c r="DN91" s="163"/>
      <c r="DO91" s="163"/>
      <c r="DP91" s="163"/>
      <c r="DQ91" s="163"/>
      <c r="DR91" s="163"/>
      <c r="DS91" s="163"/>
      <c r="DT91" s="163"/>
      <c r="DU91" s="163"/>
      <c r="DV91" s="163"/>
      <c r="DW91" s="163"/>
      <c r="DX91" s="163"/>
      <c r="DY91" s="163"/>
      <c r="DZ91" s="163"/>
      <c r="EA91" s="163"/>
      <c r="EB91" s="163"/>
      <c r="EC91" s="163"/>
      <c r="ED91" s="163"/>
      <c r="EE91" s="163"/>
      <c r="EF91" s="163"/>
      <c r="EG91" s="57" t="s">
        <v>808</v>
      </c>
      <c r="EH91" s="57">
        <v>2020.0</v>
      </c>
      <c r="EI91" s="57">
        <v>54.0</v>
      </c>
      <c r="EJ91" s="57">
        <v>118.0</v>
      </c>
      <c r="EK91" s="57">
        <v>178.0</v>
      </c>
      <c r="EL91" s="57">
        <v>255.0</v>
      </c>
      <c r="EM91" s="57">
        <v>313.0</v>
      </c>
      <c r="EN91" s="57">
        <v>918.0</v>
      </c>
      <c r="EO91" s="57"/>
      <c r="EP91" s="57">
        <v>2020.0</v>
      </c>
      <c r="EQ91" s="57">
        <v>4.0</v>
      </c>
      <c r="ER91" s="57">
        <v>4.0</v>
      </c>
      <c r="ES91" s="57">
        <v>2.0</v>
      </c>
      <c r="ET91" s="57">
        <v>3.0</v>
      </c>
      <c r="EU91" s="57">
        <v>1.0</v>
      </c>
      <c r="EV91" s="57">
        <v>14.0</v>
      </c>
      <c r="EW91" s="163"/>
      <c r="EX91" s="255" t="s">
        <v>939</v>
      </c>
      <c r="EY91" s="255">
        <v>2019.0</v>
      </c>
      <c r="EZ91" s="255" t="s">
        <v>541</v>
      </c>
      <c r="FA91" s="255" t="s">
        <v>541</v>
      </c>
      <c r="FB91" s="255" t="s">
        <v>541</v>
      </c>
      <c r="FC91" s="255" t="s">
        <v>541</v>
      </c>
      <c r="FD91" s="255" t="s">
        <v>541</v>
      </c>
      <c r="FE91" s="255" t="s">
        <v>541</v>
      </c>
      <c r="FF91" s="255"/>
      <c r="FG91" s="255">
        <v>2019.0</v>
      </c>
      <c r="FH91" s="255" t="s">
        <v>541</v>
      </c>
      <c r="FI91" s="255" t="s">
        <v>541</v>
      </c>
      <c r="FJ91" s="255" t="s">
        <v>541</v>
      </c>
      <c r="FK91" s="255" t="s">
        <v>541</v>
      </c>
      <c r="FL91" s="255" t="s">
        <v>541</v>
      </c>
      <c r="FM91" s="255" t="s">
        <v>541</v>
      </c>
    </row>
    <row r="92" ht="13.5" customHeight="1">
      <c r="A92" s="252" t="s">
        <v>1197</v>
      </c>
      <c r="B92" s="252">
        <v>2019.0</v>
      </c>
      <c r="C92" s="252">
        <v>123.0</v>
      </c>
      <c r="D92" s="252">
        <v>8.0</v>
      </c>
      <c r="E92" s="252">
        <v>5.0</v>
      </c>
      <c r="F92" s="252">
        <v>4.0</v>
      </c>
      <c r="G92" s="252">
        <v>1.0</v>
      </c>
      <c r="H92" s="252">
        <v>141.0</v>
      </c>
      <c r="I92" s="252"/>
      <c r="J92" s="252">
        <v>2019.0</v>
      </c>
      <c r="K92" s="252">
        <v>687.0</v>
      </c>
      <c r="L92" s="252">
        <v>585.0</v>
      </c>
      <c r="M92" s="252">
        <v>711.0</v>
      </c>
      <c r="N92" s="252">
        <v>740.0</v>
      </c>
      <c r="O92" s="252">
        <v>484.0</v>
      </c>
      <c r="P92" s="252">
        <v>3207.0</v>
      </c>
      <c r="Q92" s="131"/>
      <c r="R92" s="253" t="s">
        <v>282</v>
      </c>
      <c r="S92" s="253">
        <v>2020.0</v>
      </c>
      <c r="T92" s="253">
        <v>725.0</v>
      </c>
      <c r="U92" s="253">
        <v>409.0</v>
      </c>
      <c r="V92" s="253">
        <v>418.0</v>
      </c>
      <c r="W92" s="253">
        <v>394.0</v>
      </c>
      <c r="X92" s="253">
        <v>236.0</v>
      </c>
      <c r="Y92" s="253">
        <v>2182.0</v>
      </c>
      <c r="Z92" s="253"/>
      <c r="AA92" s="253">
        <v>2020.0</v>
      </c>
      <c r="AB92" s="253">
        <v>49.0</v>
      </c>
      <c r="AC92" s="253">
        <v>0.0</v>
      </c>
      <c r="AD92" s="253">
        <v>0.0</v>
      </c>
      <c r="AE92" s="253">
        <v>0.0</v>
      </c>
      <c r="AF92" s="253">
        <v>0.0</v>
      </c>
      <c r="AG92" s="253">
        <v>49.0</v>
      </c>
      <c r="AH92" s="163"/>
      <c r="AI92" s="246" t="s">
        <v>352</v>
      </c>
      <c r="AJ92" s="246">
        <v>2019.0</v>
      </c>
      <c r="AK92" s="246">
        <v>144.0</v>
      </c>
      <c r="AL92" s="246">
        <v>174.0</v>
      </c>
      <c r="AM92" s="246">
        <v>232.0</v>
      </c>
      <c r="AN92" s="246">
        <v>305.0</v>
      </c>
      <c r="AO92" s="246">
        <v>218.0</v>
      </c>
      <c r="AP92" s="246">
        <v>1073.0</v>
      </c>
      <c r="AQ92" s="246"/>
      <c r="AR92" s="246">
        <v>2019.0</v>
      </c>
      <c r="AS92" s="246">
        <v>20.0</v>
      </c>
      <c r="AT92" s="246">
        <v>0.0</v>
      </c>
      <c r="AU92" s="246">
        <v>0.0</v>
      </c>
      <c r="AV92" s="246">
        <v>0.0</v>
      </c>
      <c r="AW92" s="246">
        <v>0.0</v>
      </c>
      <c r="AX92" s="246">
        <v>20.0</v>
      </c>
      <c r="AY92" s="163"/>
      <c r="AZ92" s="254" t="s">
        <v>523</v>
      </c>
      <c r="BA92" s="254">
        <v>2019.0</v>
      </c>
      <c r="BB92" s="254">
        <v>475.0</v>
      </c>
      <c r="BC92" s="254">
        <v>567.0</v>
      </c>
      <c r="BD92" s="254">
        <v>730.0</v>
      </c>
      <c r="BE92" s="254">
        <v>858.0</v>
      </c>
      <c r="BF92" s="254">
        <v>697.0</v>
      </c>
      <c r="BG92" s="254">
        <v>3327.0</v>
      </c>
      <c r="BH92" s="254"/>
      <c r="BI92" s="254">
        <v>2019.0</v>
      </c>
      <c r="BJ92" s="254">
        <v>21.0</v>
      </c>
      <c r="BK92" s="254">
        <v>0.0</v>
      </c>
      <c r="BL92" s="254">
        <v>0.0</v>
      </c>
      <c r="BM92" s="254">
        <v>0.0</v>
      </c>
      <c r="BN92" s="254">
        <v>0.0</v>
      </c>
      <c r="BO92" s="254">
        <v>21.0</v>
      </c>
      <c r="BP92" s="163"/>
      <c r="BQ92" s="163"/>
      <c r="BR92" s="163"/>
      <c r="BS92" s="163"/>
      <c r="BT92" s="163"/>
      <c r="BU92" s="163"/>
      <c r="BV92" s="163"/>
      <c r="BW92" s="163"/>
      <c r="BX92" s="163"/>
      <c r="BY92" s="163"/>
      <c r="BZ92" s="163"/>
      <c r="CA92" s="163"/>
      <c r="CB92" s="163"/>
      <c r="CC92" s="163"/>
      <c r="CD92" s="163"/>
      <c r="CE92" s="163"/>
      <c r="CF92" s="163"/>
      <c r="CG92" s="163"/>
      <c r="CH92" s="57" t="s">
        <v>965</v>
      </c>
      <c r="CI92" s="57">
        <v>2020.0</v>
      </c>
      <c r="CJ92" s="57">
        <v>45.0</v>
      </c>
      <c r="CK92" s="57">
        <v>33.0</v>
      </c>
      <c r="CL92" s="57">
        <v>57.0</v>
      </c>
      <c r="CM92" s="57">
        <v>128.0</v>
      </c>
      <c r="CN92" s="57">
        <v>141.0</v>
      </c>
      <c r="CO92" s="57">
        <v>404.0</v>
      </c>
      <c r="CP92" s="57"/>
      <c r="CQ92" s="57">
        <v>2020.0</v>
      </c>
      <c r="CR92" s="57">
        <v>7.0</v>
      </c>
      <c r="CS92" s="57">
        <v>0.0</v>
      </c>
      <c r="CT92" s="57">
        <v>0.0</v>
      </c>
      <c r="CU92" s="57">
        <v>0.0</v>
      </c>
      <c r="CV92" s="57">
        <v>0.0</v>
      </c>
      <c r="CW92" s="57">
        <v>7.0</v>
      </c>
      <c r="CX92" s="163"/>
      <c r="CY92" s="163"/>
      <c r="CZ92" s="163"/>
      <c r="DA92" s="163"/>
      <c r="DB92" s="163"/>
      <c r="DC92" s="163"/>
      <c r="DD92" s="163"/>
      <c r="DE92" s="163"/>
      <c r="DF92" s="163"/>
      <c r="DG92" s="163"/>
      <c r="DH92" s="163"/>
      <c r="DI92" s="163"/>
      <c r="DJ92" s="163"/>
      <c r="DK92" s="163"/>
      <c r="DL92" s="163"/>
      <c r="DM92" s="163"/>
      <c r="DN92" s="163"/>
      <c r="DO92" s="163"/>
      <c r="DP92" s="163"/>
      <c r="DQ92" s="163"/>
      <c r="DR92" s="163"/>
      <c r="DS92" s="163"/>
      <c r="DT92" s="163"/>
      <c r="DU92" s="163"/>
      <c r="DV92" s="163"/>
      <c r="DW92" s="163"/>
      <c r="DX92" s="163"/>
      <c r="DY92" s="163"/>
      <c r="DZ92" s="163"/>
      <c r="EA92" s="163"/>
      <c r="EB92" s="163"/>
      <c r="EC92" s="163"/>
      <c r="ED92" s="163"/>
      <c r="EE92" s="163"/>
      <c r="EF92" s="163"/>
      <c r="EG92" s="57" t="s">
        <v>810</v>
      </c>
      <c r="EH92" s="57">
        <v>2020.0</v>
      </c>
      <c r="EI92" s="57">
        <v>28.0</v>
      </c>
      <c r="EJ92" s="57">
        <v>86.0</v>
      </c>
      <c r="EK92" s="57">
        <v>159.0</v>
      </c>
      <c r="EL92" s="57">
        <v>174.0</v>
      </c>
      <c r="EM92" s="57">
        <v>197.0</v>
      </c>
      <c r="EN92" s="57">
        <v>644.0</v>
      </c>
      <c r="EO92" s="57"/>
      <c r="EP92" s="57">
        <v>2020.0</v>
      </c>
      <c r="EQ92" s="57">
        <v>2.0</v>
      </c>
      <c r="ER92" s="57">
        <v>2.0</v>
      </c>
      <c r="ES92" s="57">
        <v>1.0</v>
      </c>
      <c r="ET92" s="57">
        <v>3.0</v>
      </c>
      <c r="EU92" s="57">
        <v>1.0</v>
      </c>
      <c r="EV92" s="57">
        <v>9.0</v>
      </c>
      <c r="EW92" s="163"/>
      <c r="EX92" s="255" t="s">
        <v>941</v>
      </c>
      <c r="EY92" s="255">
        <v>2019.0</v>
      </c>
      <c r="EZ92" s="255" t="s">
        <v>541</v>
      </c>
      <c r="FA92" s="255" t="s">
        <v>541</v>
      </c>
      <c r="FB92" s="255" t="s">
        <v>541</v>
      </c>
      <c r="FC92" s="255" t="s">
        <v>541</v>
      </c>
      <c r="FD92" s="255" t="s">
        <v>541</v>
      </c>
      <c r="FE92" s="255" t="s">
        <v>541</v>
      </c>
      <c r="FF92" s="255"/>
      <c r="FG92" s="255">
        <v>2019.0</v>
      </c>
      <c r="FH92" s="255" t="s">
        <v>541</v>
      </c>
      <c r="FI92" s="255" t="s">
        <v>541</v>
      </c>
      <c r="FJ92" s="255" t="s">
        <v>541</v>
      </c>
      <c r="FK92" s="255" t="s">
        <v>541</v>
      </c>
      <c r="FL92" s="255" t="s">
        <v>541</v>
      </c>
      <c r="FM92" s="255" t="s">
        <v>541</v>
      </c>
    </row>
    <row r="93" ht="13.5" customHeight="1">
      <c r="A93" s="252" t="s">
        <v>201</v>
      </c>
      <c r="B93" s="252">
        <v>2019.0</v>
      </c>
      <c r="C93" s="252">
        <v>26.0</v>
      </c>
      <c r="D93" s="252">
        <v>4.0</v>
      </c>
      <c r="E93" s="252">
        <v>3.0</v>
      </c>
      <c r="F93" s="252">
        <v>2.0</v>
      </c>
      <c r="G93" s="252">
        <v>0.0</v>
      </c>
      <c r="H93" s="252">
        <v>35.0</v>
      </c>
      <c r="I93" s="252"/>
      <c r="J93" s="252">
        <v>2019.0</v>
      </c>
      <c r="K93" s="252">
        <v>182.0</v>
      </c>
      <c r="L93" s="252">
        <v>274.0</v>
      </c>
      <c r="M93" s="252">
        <v>339.0</v>
      </c>
      <c r="N93" s="252">
        <v>424.0</v>
      </c>
      <c r="O93" s="252">
        <v>327.0</v>
      </c>
      <c r="P93" s="252">
        <v>1546.0</v>
      </c>
      <c r="Q93" s="131"/>
      <c r="R93" s="253" t="s">
        <v>284</v>
      </c>
      <c r="S93" s="253">
        <v>2020.0</v>
      </c>
      <c r="T93" s="253">
        <v>611.0</v>
      </c>
      <c r="U93" s="253">
        <v>601.0</v>
      </c>
      <c r="V93" s="253">
        <v>536.0</v>
      </c>
      <c r="W93" s="253">
        <v>650.0</v>
      </c>
      <c r="X93" s="253">
        <v>528.0</v>
      </c>
      <c r="Y93" s="253">
        <v>2926.0</v>
      </c>
      <c r="Z93" s="253"/>
      <c r="AA93" s="253">
        <v>2020.0</v>
      </c>
      <c r="AB93" s="253">
        <v>13.0</v>
      </c>
      <c r="AC93" s="253">
        <v>2.0</v>
      </c>
      <c r="AD93" s="253">
        <v>1.0</v>
      </c>
      <c r="AE93" s="253">
        <v>0.0</v>
      </c>
      <c r="AF93" s="253">
        <v>0.0</v>
      </c>
      <c r="AG93" s="253">
        <v>16.0</v>
      </c>
      <c r="AH93" s="163"/>
      <c r="AI93" s="246" t="s">
        <v>356</v>
      </c>
      <c r="AJ93" s="246">
        <v>2019.0</v>
      </c>
      <c r="AK93" s="246" t="s">
        <v>541</v>
      </c>
      <c r="AL93" s="246" t="s">
        <v>541</v>
      </c>
      <c r="AM93" s="246" t="s">
        <v>541</v>
      </c>
      <c r="AN93" s="246" t="s">
        <v>541</v>
      </c>
      <c r="AO93" s="246" t="s">
        <v>541</v>
      </c>
      <c r="AP93" s="246" t="s">
        <v>541</v>
      </c>
      <c r="AQ93" s="246"/>
      <c r="AR93" s="246">
        <v>2019.0</v>
      </c>
      <c r="AS93" s="246" t="s">
        <v>541</v>
      </c>
      <c r="AT93" s="246" t="s">
        <v>541</v>
      </c>
      <c r="AU93" s="246" t="s">
        <v>541</v>
      </c>
      <c r="AV93" s="246" t="s">
        <v>541</v>
      </c>
      <c r="AW93" s="246" t="s">
        <v>541</v>
      </c>
      <c r="AX93" s="246" t="s">
        <v>541</v>
      </c>
      <c r="AY93" s="163"/>
      <c r="AZ93" s="254" t="s">
        <v>526</v>
      </c>
      <c r="BA93" s="254">
        <v>2019.0</v>
      </c>
      <c r="BB93" s="254">
        <v>2232.0</v>
      </c>
      <c r="BC93" s="254">
        <v>1409.0</v>
      </c>
      <c r="BD93" s="254">
        <v>1366.0</v>
      </c>
      <c r="BE93" s="254">
        <v>1237.0</v>
      </c>
      <c r="BF93" s="254">
        <v>855.0</v>
      </c>
      <c r="BG93" s="254">
        <v>7099.0</v>
      </c>
      <c r="BH93" s="254"/>
      <c r="BI93" s="254">
        <v>2019.0</v>
      </c>
      <c r="BJ93" s="254">
        <v>217.0</v>
      </c>
      <c r="BK93" s="254">
        <v>7.0</v>
      </c>
      <c r="BL93" s="254">
        <v>1.0</v>
      </c>
      <c r="BM93" s="254">
        <v>0.0</v>
      </c>
      <c r="BN93" s="254">
        <v>0.0</v>
      </c>
      <c r="BO93" s="254">
        <v>225.0</v>
      </c>
      <c r="BP93" s="163"/>
      <c r="BQ93" s="163"/>
      <c r="BR93" s="163"/>
      <c r="BS93" s="163"/>
      <c r="BT93" s="163"/>
      <c r="BU93" s="163"/>
      <c r="BV93" s="163"/>
      <c r="BW93" s="163"/>
      <c r="BX93" s="163"/>
      <c r="BY93" s="163"/>
      <c r="BZ93" s="163"/>
      <c r="CA93" s="163"/>
      <c r="CB93" s="163"/>
      <c r="CC93" s="163"/>
      <c r="CD93" s="163"/>
      <c r="CE93" s="163"/>
      <c r="CF93" s="163"/>
      <c r="CG93" s="163"/>
      <c r="CH93" s="57" t="s">
        <v>967</v>
      </c>
      <c r="CI93" s="57">
        <v>2020.0</v>
      </c>
      <c r="CJ93" s="57">
        <v>83.0</v>
      </c>
      <c r="CK93" s="57">
        <v>63.0</v>
      </c>
      <c r="CL93" s="57">
        <v>146.0</v>
      </c>
      <c r="CM93" s="57">
        <v>225.0</v>
      </c>
      <c r="CN93" s="57">
        <v>259.0</v>
      </c>
      <c r="CO93" s="57">
        <v>776.0</v>
      </c>
      <c r="CP93" s="57"/>
      <c r="CQ93" s="57">
        <v>2020.0</v>
      </c>
      <c r="CR93" s="57">
        <v>22.0</v>
      </c>
      <c r="CS93" s="57">
        <v>0.0</v>
      </c>
      <c r="CT93" s="57">
        <v>0.0</v>
      </c>
      <c r="CU93" s="57">
        <v>0.0</v>
      </c>
      <c r="CV93" s="57">
        <v>0.0</v>
      </c>
      <c r="CW93" s="57">
        <v>22.0</v>
      </c>
      <c r="CX93" s="163"/>
      <c r="CY93" s="163"/>
      <c r="CZ93" s="163"/>
      <c r="DA93" s="163"/>
      <c r="DB93" s="163"/>
      <c r="DC93" s="163"/>
      <c r="DD93" s="163"/>
      <c r="DE93" s="163"/>
      <c r="DF93" s="163"/>
      <c r="DG93" s="163"/>
      <c r="DH93" s="163"/>
      <c r="DI93" s="163"/>
      <c r="DJ93" s="163"/>
      <c r="DK93" s="163"/>
      <c r="DL93" s="163"/>
      <c r="DM93" s="163"/>
      <c r="DN93" s="163"/>
      <c r="DO93" s="163"/>
      <c r="DP93" s="163"/>
      <c r="DQ93" s="163"/>
      <c r="DR93" s="163"/>
      <c r="DS93" s="163"/>
      <c r="DT93" s="163"/>
      <c r="DU93" s="163"/>
      <c r="DV93" s="163"/>
      <c r="DW93" s="163"/>
      <c r="DX93" s="163"/>
      <c r="DY93" s="163"/>
      <c r="DZ93" s="163"/>
      <c r="EA93" s="163"/>
      <c r="EB93" s="163"/>
      <c r="EC93" s="163"/>
      <c r="ED93" s="163"/>
      <c r="EE93" s="163"/>
      <c r="EF93" s="163"/>
      <c r="EG93" s="57" t="s">
        <v>812</v>
      </c>
      <c r="EH93" s="57">
        <v>2020.0</v>
      </c>
      <c r="EI93" s="57">
        <v>191.0</v>
      </c>
      <c r="EJ93" s="57">
        <v>373.0</v>
      </c>
      <c r="EK93" s="57">
        <v>502.0</v>
      </c>
      <c r="EL93" s="57">
        <v>614.0</v>
      </c>
      <c r="EM93" s="57">
        <v>645.0</v>
      </c>
      <c r="EN93" s="57">
        <v>2325.0</v>
      </c>
      <c r="EO93" s="57"/>
      <c r="EP93" s="57">
        <v>2020.0</v>
      </c>
      <c r="EQ93" s="57">
        <v>35.0</v>
      </c>
      <c r="ER93" s="57">
        <v>14.0</v>
      </c>
      <c r="ES93" s="57">
        <v>6.0</v>
      </c>
      <c r="ET93" s="57">
        <v>5.0</v>
      </c>
      <c r="EU93" s="57">
        <v>3.0</v>
      </c>
      <c r="EV93" s="57">
        <v>63.0</v>
      </c>
      <c r="EW93" s="163"/>
      <c r="EX93" s="163"/>
      <c r="EY93" s="163"/>
      <c r="EZ93" s="163"/>
      <c r="FA93" s="163"/>
      <c r="FB93" s="163"/>
      <c r="FC93" s="163"/>
      <c r="FD93" s="163"/>
      <c r="FE93" s="163"/>
      <c r="FF93" s="163"/>
      <c r="FG93" s="163"/>
      <c r="FH93" s="163"/>
      <c r="FI93" s="163"/>
      <c r="FJ93" s="163"/>
      <c r="FK93" s="163"/>
      <c r="FL93" s="163"/>
      <c r="FM93" s="163"/>
    </row>
    <row r="94" ht="13.5" customHeight="1">
      <c r="A94" s="252" t="s">
        <v>1201</v>
      </c>
      <c r="B94" s="252">
        <v>2019.0</v>
      </c>
      <c r="C94" s="252">
        <v>43.0</v>
      </c>
      <c r="D94" s="252">
        <v>7.0</v>
      </c>
      <c r="E94" s="252">
        <v>3.0</v>
      </c>
      <c r="F94" s="252">
        <v>5.0</v>
      </c>
      <c r="G94" s="252">
        <v>3.0</v>
      </c>
      <c r="H94" s="252">
        <v>61.0</v>
      </c>
      <c r="I94" s="252"/>
      <c r="J94" s="252">
        <v>2019.0</v>
      </c>
      <c r="K94" s="252">
        <v>208.0</v>
      </c>
      <c r="L94" s="252">
        <v>346.0</v>
      </c>
      <c r="M94" s="252">
        <v>507.0</v>
      </c>
      <c r="N94" s="252">
        <v>656.0</v>
      </c>
      <c r="O94" s="252">
        <v>524.0</v>
      </c>
      <c r="P94" s="252">
        <v>2241.0</v>
      </c>
      <c r="Q94" s="131"/>
      <c r="R94" s="163"/>
      <c r="S94" s="163"/>
      <c r="T94" s="163"/>
      <c r="U94" s="163"/>
      <c r="V94" s="163"/>
      <c r="W94" s="163"/>
      <c r="X94" s="163"/>
      <c r="Y94" s="163"/>
      <c r="Z94" s="163"/>
      <c r="AA94" s="163"/>
      <c r="AB94" s="163"/>
      <c r="AC94" s="163"/>
      <c r="AD94" s="163"/>
      <c r="AE94" s="163"/>
      <c r="AF94" s="163"/>
      <c r="AG94" s="163"/>
      <c r="AH94" s="163"/>
      <c r="AI94" s="246" t="s">
        <v>361</v>
      </c>
      <c r="AJ94" s="246">
        <v>2019.0</v>
      </c>
      <c r="AK94" s="246">
        <v>834.0</v>
      </c>
      <c r="AL94" s="246">
        <v>690.0</v>
      </c>
      <c r="AM94" s="246">
        <v>1069.0</v>
      </c>
      <c r="AN94" s="246">
        <v>1291.0</v>
      </c>
      <c r="AO94" s="246">
        <v>863.0</v>
      </c>
      <c r="AP94" s="246">
        <v>4747.0</v>
      </c>
      <c r="AQ94" s="246"/>
      <c r="AR94" s="246">
        <v>2019.0</v>
      </c>
      <c r="AS94" s="246">
        <v>34.0</v>
      </c>
      <c r="AT94" s="246">
        <v>0.0</v>
      </c>
      <c r="AU94" s="246">
        <v>0.0</v>
      </c>
      <c r="AV94" s="246">
        <v>0.0</v>
      </c>
      <c r="AW94" s="246">
        <v>0.0</v>
      </c>
      <c r="AX94" s="246">
        <v>34.0</v>
      </c>
      <c r="AY94" s="163"/>
      <c r="AZ94" s="254" t="s">
        <v>528</v>
      </c>
      <c r="BA94" s="254">
        <v>2019.0</v>
      </c>
      <c r="BB94" s="254">
        <v>204.0</v>
      </c>
      <c r="BC94" s="254">
        <v>120.0</v>
      </c>
      <c r="BD94" s="254">
        <v>197.0</v>
      </c>
      <c r="BE94" s="254">
        <v>286.0</v>
      </c>
      <c r="BF94" s="254">
        <v>240.0</v>
      </c>
      <c r="BG94" s="254">
        <v>1047.0</v>
      </c>
      <c r="BH94" s="254"/>
      <c r="BI94" s="254">
        <v>2019.0</v>
      </c>
      <c r="BJ94" s="254">
        <v>27.0</v>
      </c>
      <c r="BK94" s="254">
        <v>0.0</v>
      </c>
      <c r="BL94" s="254">
        <v>0.0</v>
      </c>
      <c r="BM94" s="254">
        <v>0.0</v>
      </c>
      <c r="BN94" s="254">
        <v>0.0</v>
      </c>
      <c r="BO94" s="254">
        <v>27.0</v>
      </c>
      <c r="BP94" s="163"/>
      <c r="BQ94" s="163"/>
      <c r="BR94" s="163"/>
      <c r="BS94" s="163"/>
      <c r="BT94" s="163"/>
      <c r="BU94" s="163"/>
      <c r="BV94" s="163"/>
      <c r="BW94" s="163"/>
      <c r="BX94" s="163"/>
      <c r="BY94" s="163"/>
      <c r="BZ94" s="163"/>
      <c r="CA94" s="163"/>
      <c r="CB94" s="163"/>
      <c r="CC94" s="163"/>
      <c r="CD94" s="163"/>
      <c r="CE94" s="163"/>
      <c r="CF94" s="163"/>
      <c r="CG94" s="163"/>
      <c r="CH94" s="57" t="s">
        <v>970</v>
      </c>
      <c r="CI94" s="57">
        <v>2020.0</v>
      </c>
      <c r="CJ94" s="57">
        <v>1091.0</v>
      </c>
      <c r="CK94" s="57">
        <v>464.0</v>
      </c>
      <c r="CL94" s="57">
        <v>590.0</v>
      </c>
      <c r="CM94" s="57">
        <v>739.0</v>
      </c>
      <c r="CN94" s="57">
        <v>633.0</v>
      </c>
      <c r="CO94" s="57">
        <v>3517.0</v>
      </c>
      <c r="CP94" s="57"/>
      <c r="CQ94" s="57">
        <v>2020.0</v>
      </c>
      <c r="CR94" s="57">
        <v>311.0</v>
      </c>
      <c r="CS94" s="57">
        <v>0.0</v>
      </c>
      <c r="CT94" s="57">
        <v>0.0</v>
      </c>
      <c r="CU94" s="57">
        <v>0.0</v>
      </c>
      <c r="CV94" s="57">
        <v>0.0</v>
      </c>
      <c r="CW94" s="57">
        <v>311.0</v>
      </c>
      <c r="CX94" s="163"/>
      <c r="CY94" s="163"/>
      <c r="CZ94" s="163"/>
      <c r="DA94" s="163"/>
      <c r="DB94" s="163"/>
      <c r="DC94" s="163"/>
      <c r="DD94" s="163"/>
      <c r="DE94" s="163"/>
      <c r="DF94" s="163"/>
      <c r="DG94" s="163"/>
      <c r="DH94" s="163"/>
      <c r="DI94" s="163"/>
      <c r="DJ94" s="163"/>
      <c r="DK94" s="163"/>
      <c r="DL94" s="163"/>
      <c r="DM94" s="163"/>
      <c r="DN94" s="163"/>
      <c r="DO94" s="163"/>
      <c r="DP94" s="163"/>
      <c r="DQ94" s="163"/>
      <c r="DR94" s="163"/>
      <c r="DS94" s="163"/>
      <c r="DT94" s="163"/>
      <c r="DU94" s="163"/>
      <c r="DV94" s="163"/>
      <c r="DW94" s="163"/>
      <c r="DX94" s="163"/>
      <c r="DY94" s="163"/>
      <c r="DZ94" s="163"/>
      <c r="EA94" s="163"/>
      <c r="EB94" s="163"/>
      <c r="EC94" s="163"/>
      <c r="ED94" s="163"/>
      <c r="EE94" s="163"/>
      <c r="EF94" s="163"/>
      <c r="EG94" s="57" t="s">
        <v>814</v>
      </c>
      <c r="EH94" s="57">
        <v>2020.0</v>
      </c>
      <c r="EI94" s="57">
        <v>690.0</v>
      </c>
      <c r="EJ94" s="57">
        <v>765.0</v>
      </c>
      <c r="EK94" s="57">
        <v>897.0</v>
      </c>
      <c r="EL94" s="57">
        <v>908.0</v>
      </c>
      <c r="EM94" s="57">
        <v>988.0</v>
      </c>
      <c r="EN94" s="57">
        <v>4248.0</v>
      </c>
      <c r="EO94" s="57"/>
      <c r="EP94" s="57">
        <v>2020.0</v>
      </c>
      <c r="EQ94" s="57">
        <v>82.0</v>
      </c>
      <c r="ER94" s="57">
        <v>21.0</v>
      </c>
      <c r="ES94" s="57">
        <v>10.0</v>
      </c>
      <c r="ET94" s="57">
        <v>9.0</v>
      </c>
      <c r="EU94" s="57">
        <v>16.0</v>
      </c>
      <c r="EV94" s="57">
        <v>138.0</v>
      </c>
      <c r="EW94" s="163"/>
      <c r="EX94" s="255" t="s">
        <v>846</v>
      </c>
      <c r="EY94" s="255">
        <v>2020.0</v>
      </c>
      <c r="EZ94" s="255">
        <v>2334.0</v>
      </c>
      <c r="FA94" s="255">
        <v>1213.0</v>
      </c>
      <c r="FB94" s="255">
        <v>815.0</v>
      </c>
      <c r="FC94" s="255">
        <v>656.0</v>
      </c>
      <c r="FD94" s="255">
        <v>794.0</v>
      </c>
      <c r="FE94" s="255">
        <v>5812.0</v>
      </c>
      <c r="FF94" s="255"/>
      <c r="FG94" s="255">
        <v>2020.0</v>
      </c>
      <c r="FH94" s="255">
        <v>490.0</v>
      </c>
      <c r="FI94" s="255">
        <v>0.0</v>
      </c>
      <c r="FJ94" s="255">
        <v>0.0</v>
      </c>
      <c r="FK94" s="255">
        <v>0.0</v>
      </c>
      <c r="FL94" s="255">
        <v>0.0</v>
      </c>
      <c r="FM94" s="255">
        <v>490.0</v>
      </c>
    </row>
    <row r="95" ht="13.5" customHeight="1">
      <c r="A95" s="252" t="s">
        <v>1204</v>
      </c>
      <c r="B95" s="252">
        <v>2019.0</v>
      </c>
      <c r="C95" s="252">
        <v>23.0</v>
      </c>
      <c r="D95" s="252">
        <v>4.0</v>
      </c>
      <c r="E95" s="252">
        <v>5.0</v>
      </c>
      <c r="F95" s="252">
        <v>1.0</v>
      </c>
      <c r="G95" s="252">
        <v>2.0</v>
      </c>
      <c r="H95" s="252">
        <v>35.0</v>
      </c>
      <c r="I95" s="252"/>
      <c r="J95" s="252">
        <v>2019.0</v>
      </c>
      <c r="K95" s="252">
        <v>137.0</v>
      </c>
      <c r="L95" s="252">
        <v>232.0</v>
      </c>
      <c r="M95" s="252">
        <v>314.0</v>
      </c>
      <c r="N95" s="252">
        <v>433.0</v>
      </c>
      <c r="O95" s="252">
        <v>345.0</v>
      </c>
      <c r="P95" s="252">
        <v>1461.0</v>
      </c>
      <c r="Q95" s="131"/>
      <c r="R95" s="163"/>
      <c r="S95" s="163"/>
      <c r="T95" s="163"/>
      <c r="U95" s="163"/>
      <c r="V95" s="163"/>
      <c r="W95" s="163"/>
      <c r="X95" s="163"/>
      <c r="Y95" s="163"/>
      <c r="Z95" s="163"/>
      <c r="AA95" s="163"/>
      <c r="AB95" s="163"/>
      <c r="AC95" s="163"/>
      <c r="AD95" s="163"/>
      <c r="AE95" s="163"/>
      <c r="AF95" s="163"/>
      <c r="AG95" s="163"/>
      <c r="AH95" s="163"/>
      <c r="AI95" s="246" t="s">
        <v>365</v>
      </c>
      <c r="AJ95" s="246">
        <v>2019.0</v>
      </c>
      <c r="AK95" s="246" t="s">
        <v>541</v>
      </c>
      <c r="AL95" s="246" t="s">
        <v>541</v>
      </c>
      <c r="AM95" s="246" t="s">
        <v>541</v>
      </c>
      <c r="AN95" s="246" t="s">
        <v>541</v>
      </c>
      <c r="AO95" s="246" t="s">
        <v>541</v>
      </c>
      <c r="AP95" s="246" t="s">
        <v>541</v>
      </c>
      <c r="AQ95" s="246"/>
      <c r="AR95" s="246">
        <v>2019.0</v>
      </c>
      <c r="AS95" s="246" t="s">
        <v>541</v>
      </c>
      <c r="AT95" s="246" t="s">
        <v>541</v>
      </c>
      <c r="AU95" s="246" t="s">
        <v>541</v>
      </c>
      <c r="AV95" s="246" t="s">
        <v>541</v>
      </c>
      <c r="AW95" s="246" t="s">
        <v>541</v>
      </c>
      <c r="AX95" s="246" t="s">
        <v>541</v>
      </c>
      <c r="AY95" s="163"/>
      <c r="AZ95" s="254" t="s">
        <v>530</v>
      </c>
      <c r="BA95" s="254">
        <v>2019.0</v>
      </c>
      <c r="BB95" s="254">
        <v>471.0</v>
      </c>
      <c r="BC95" s="254">
        <v>643.0</v>
      </c>
      <c r="BD95" s="254">
        <v>815.0</v>
      </c>
      <c r="BE95" s="254">
        <v>846.0</v>
      </c>
      <c r="BF95" s="254">
        <v>531.0</v>
      </c>
      <c r="BG95" s="254">
        <v>3306.0</v>
      </c>
      <c r="BH95" s="254"/>
      <c r="BI95" s="254">
        <v>2019.0</v>
      </c>
      <c r="BJ95" s="254">
        <v>26.0</v>
      </c>
      <c r="BK95" s="254">
        <v>0.0</v>
      </c>
      <c r="BL95" s="254">
        <v>0.0</v>
      </c>
      <c r="BM95" s="254">
        <v>0.0</v>
      </c>
      <c r="BN95" s="254">
        <v>0.0</v>
      </c>
      <c r="BO95" s="254">
        <v>26.0</v>
      </c>
      <c r="BP95" s="163"/>
      <c r="BQ95" s="163"/>
      <c r="BR95" s="163"/>
      <c r="BS95" s="163"/>
      <c r="BT95" s="163"/>
      <c r="BU95" s="163"/>
      <c r="BV95" s="163"/>
      <c r="BW95" s="163"/>
      <c r="BX95" s="163"/>
      <c r="BY95" s="163"/>
      <c r="BZ95" s="163"/>
      <c r="CA95" s="163"/>
      <c r="CB95" s="163"/>
      <c r="CC95" s="163"/>
      <c r="CD95" s="163"/>
      <c r="CE95" s="163"/>
      <c r="CF95" s="163"/>
      <c r="CG95" s="163"/>
      <c r="CH95" s="57" t="s">
        <v>972</v>
      </c>
      <c r="CI95" s="57">
        <v>2020.0</v>
      </c>
      <c r="CJ95" s="57">
        <v>361.0</v>
      </c>
      <c r="CK95" s="57">
        <v>218.0</v>
      </c>
      <c r="CL95" s="57">
        <v>341.0</v>
      </c>
      <c r="CM95" s="57">
        <v>443.0</v>
      </c>
      <c r="CN95" s="57">
        <v>381.0</v>
      </c>
      <c r="CO95" s="57">
        <v>1744.0</v>
      </c>
      <c r="CP95" s="57"/>
      <c r="CQ95" s="57">
        <v>2020.0</v>
      </c>
      <c r="CR95" s="57">
        <v>121.0</v>
      </c>
      <c r="CS95" s="57">
        <v>0.0</v>
      </c>
      <c r="CT95" s="57">
        <v>0.0</v>
      </c>
      <c r="CU95" s="57">
        <v>0.0</v>
      </c>
      <c r="CV95" s="57">
        <v>0.0</v>
      </c>
      <c r="CW95" s="57">
        <v>121.0</v>
      </c>
      <c r="CX95" s="163"/>
      <c r="CY95" s="163"/>
      <c r="CZ95" s="163"/>
      <c r="DA95" s="163"/>
      <c r="DB95" s="163"/>
      <c r="DC95" s="163"/>
      <c r="DD95" s="163"/>
      <c r="DE95" s="163"/>
      <c r="DF95" s="163"/>
      <c r="DG95" s="163"/>
      <c r="DH95" s="163"/>
      <c r="DI95" s="163"/>
      <c r="DJ95" s="163"/>
      <c r="DK95" s="163"/>
      <c r="DL95" s="163"/>
      <c r="DM95" s="163"/>
      <c r="DN95" s="163"/>
      <c r="DO95" s="163"/>
      <c r="DP95" s="163"/>
      <c r="DQ95" s="163"/>
      <c r="DR95" s="163"/>
      <c r="DS95" s="163"/>
      <c r="DT95" s="163"/>
      <c r="DU95" s="163"/>
      <c r="DV95" s="163"/>
      <c r="DW95" s="163"/>
      <c r="DX95" s="163"/>
      <c r="DY95" s="163"/>
      <c r="DZ95" s="163"/>
      <c r="EA95" s="163"/>
      <c r="EB95" s="163"/>
      <c r="EC95" s="163"/>
      <c r="ED95" s="163"/>
      <c r="EE95" s="163"/>
      <c r="EF95" s="163"/>
      <c r="EG95" s="57" t="s">
        <v>816</v>
      </c>
      <c r="EH95" s="57">
        <v>2020.0</v>
      </c>
      <c r="EI95" s="57">
        <v>260.0</v>
      </c>
      <c r="EJ95" s="57">
        <v>376.0</v>
      </c>
      <c r="EK95" s="57">
        <v>370.0</v>
      </c>
      <c r="EL95" s="57">
        <v>463.0</v>
      </c>
      <c r="EM95" s="57">
        <v>463.0</v>
      </c>
      <c r="EN95" s="57">
        <v>1932.0</v>
      </c>
      <c r="EO95" s="57"/>
      <c r="EP95" s="57">
        <v>2020.0</v>
      </c>
      <c r="EQ95" s="57">
        <v>9.0</v>
      </c>
      <c r="ER95" s="57">
        <v>9.0</v>
      </c>
      <c r="ES95" s="57">
        <v>5.0</v>
      </c>
      <c r="ET95" s="57">
        <v>4.0</v>
      </c>
      <c r="EU95" s="57">
        <v>9.0</v>
      </c>
      <c r="EV95" s="57">
        <v>36.0</v>
      </c>
      <c r="EW95" s="163"/>
      <c r="EX95" s="255" t="s">
        <v>849</v>
      </c>
      <c r="EY95" s="255">
        <v>2020.0</v>
      </c>
      <c r="EZ95" s="255">
        <v>191.0</v>
      </c>
      <c r="FA95" s="255">
        <v>231.0</v>
      </c>
      <c r="FB95" s="255">
        <v>302.0</v>
      </c>
      <c r="FC95" s="255">
        <v>344.0</v>
      </c>
      <c r="FD95" s="255">
        <v>438.0</v>
      </c>
      <c r="FE95" s="255">
        <v>1506.0</v>
      </c>
      <c r="FF95" s="255"/>
      <c r="FG95" s="255">
        <v>2020.0</v>
      </c>
      <c r="FH95" s="255">
        <v>18.0</v>
      </c>
      <c r="FI95" s="255">
        <v>7.0</v>
      </c>
      <c r="FJ95" s="255">
        <v>8.0</v>
      </c>
      <c r="FK95" s="255">
        <v>2.0</v>
      </c>
      <c r="FL95" s="255">
        <v>4.0</v>
      </c>
      <c r="FM95" s="255">
        <v>39.0</v>
      </c>
    </row>
    <row r="96" ht="13.5" customHeight="1">
      <c r="A96" s="252" t="s">
        <v>198</v>
      </c>
      <c r="B96" s="252">
        <v>2019.0</v>
      </c>
      <c r="C96" s="252">
        <v>29.0</v>
      </c>
      <c r="D96" s="252">
        <v>3.0</v>
      </c>
      <c r="E96" s="252">
        <v>2.0</v>
      </c>
      <c r="F96" s="252">
        <v>0.0</v>
      </c>
      <c r="G96" s="252">
        <v>0.0</v>
      </c>
      <c r="H96" s="252">
        <v>34.0</v>
      </c>
      <c r="I96" s="252"/>
      <c r="J96" s="252">
        <v>2019.0</v>
      </c>
      <c r="K96" s="252">
        <v>208.0</v>
      </c>
      <c r="L96" s="252">
        <v>195.0</v>
      </c>
      <c r="M96" s="252">
        <v>300.0</v>
      </c>
      <c r="N96" s="252">
        <v>370.0</v>
      </c>
      <c r="O96" s="252">
        <v>328.0</v>
      </c>
      <c r="P96" s="252">
        <v>1401.0</v>
      </c>
      <c r="Q96" s="131"/>
      <c r="R96" s="163"/>
      <c r="S96" s="163"/>
      <c r="T96" s="163"/>
      <c r="U96" s="163"/>
      <c r="V96" s="163"/>
      <c r="W96" s="163"/>
      <c r="X96" s="163"/>
      <c r="Y96" s="163"/>
      <c r="Z96" s="163"/>
      <c r="AA96" s="163"/>
      <c r="AB96" s="163"/>
      <c r="AC96" s="163"/>
      <c r="AD96" s="163"/>
      <c r="AE96" s="163"/>
      <c r="AF96" s="163"/>
      <c r="AG96" s="163"/>
      <c r="AH96" s="163"/>
      <c r="AI96" s="246" t="s">
        <v>368</v>
      </c>
      <c r="AJ96" s="246">
        <v>2019.0</v>
      </c>
      <c r="AK96" s="246" t="s">
        <v>541</v>
      </c>
      <c r="AL96" s="246" t="s">
        <v>541</v>
      </c>
      <c r="AM96" s="246" t="s">
        <v>541</v>
      </c>
      <c r="AN96" s="246" t="s">
        <v>541</v>
      </c>
      <c r="AO96" s="246" t="s">
        <v>541</v>
      </c>
      <c r="AP96" s="246" t="s">
        <v>541</v>
      </c>
      <c r="AQ96" s="246"/>
      <c r="AR96" s="246">
        <v>2019.0</v>
      </c>
      <c r="AS96" s="246" t="s">
        <v>541</v>
      </c>
      <c r="AT96" s="246" t="s">
        <v>541</v>
      </c>
      <c r="AU96" s="246" t="s">
        <v>541</v>
      </c>
      <c r="AV96" s="246" t="s">
        <v>541</v>
      </c>
      <c r="AW96" s="246" t="s">
        <v>541</v>
      </c>
      <c r="AX96" s="246" t="s">
        <v>541</v>
      </c>
      <c r="AY96" s="163"/>
      <c r="AZ96" s="254" t="s">
        <v>533</v>
      </c>
      <c r="BA96" s="254">
        <v>2019.0</v>
      </c>
      <c r="BB96" s="254">
        <v>182.0</v>
      </c>
      <c r="BC96" s="254">
        <v>204.0</v>
      </c>
      <c r="BD96" s="254">
        <v>425.0</v>
      </c>
      <c r="BE96" s="254">
        <v>597.0</v>
      </c>
      <c r="BF96" s="254">
        <v>460.0</v>
      </c>
      <c r="BG96" s="254">
        <v>1868.0</v>
      </c>
      <c r="BH96" s="254"/>
      <c r="BI96" s="254">
        <v>2019.0</v>
      </c>
      <c r="BJ96" s="254">
        <v>28.0</v>
      </c>
      <c r="BK96" s="254">
        <v>0.0</v>
      </c>
      <c r="BL96" s="254">
        <v>0.0</v>
      </c>
      <c r="BM96" s="254">
        <v>0.0</v>
      </c>
      <c r="BN96" s="254">
        <v>0.0</v>
      </c>
      <c r="BO96" s="254">
        <v>28.0</v>
      </c>
      <c r="BP96" s="163"/>
      <c r="BQ96" s="163"/>
      <c r="BR96" s="163"/>
      <c r="BS96" s="163"/>
      <c r="BT96" s="163"/>
      <c r="BU96" s="163"/>
      <c r="BV96" s="163"/>
      <c r="BW96" s="163"/>
      <c r="BX96" s="163"/>
      <c r="BY96" s="163"/>
      <c r="BZ96" s="163"/>
      <c r="CA96" s="163"/>
      <c r="CB96" s="163"/>
      <c r="CC96" s="163"/>
      <c r="CD96" s="163"/>
      <c r="CE96" s="163"/>
      <c r="CF96" s="163"/>
      <c r="CG96" s="163"/>
      <c r="CH96" s="57" t="s">
        <v>976</v>
      </c>
      <c r="CI96" s="57">
        <v>2020.0</v>
      </c>
      <c r="CJ96" s="57">
        <v>435.0</v>
      </c>
      <c r="CK96" s="57">
        <v>247.0</v>
      </c>
      <c r="CL96" s="57">
        <v>360.0</v>
      </c>
      <c r="CM96" s="57">
        <v>473.0</v>
      </c>
      <c r="CN96" s="57">
        <v>458.0</v>
      </c>
      <c r="CO96" s="57">
        <v>1973.0</v>
      </c>
      <c r="CP96" s="57"/>
      <c r="CQ96" s="57">
        <v>2020.0</v>
      </c>
      <c r="CR96" s="57">
        <v>157.0</v>
      </c>
      <c r="CS96" s="57">
        <v>0.0</v>
      </c>
      <c r="CT96" s="57">
        <v>0.0</v>
      </c>
      <c r="CU96" s="57">
        <v>0.0</v>
      </c>
      <c r="CV96" s="57">
        <v>0.0</v>
      </c>
      <c r="CW96" s="57">
        <v>157.0</v>
      </c>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57" t="s">
        <v>818</v>
      </c>
      <c r="EH96" s="57">
        <v>2020.0</v>
      </c>
      <c r="EI96" s="57">
        <v>116.0</v>
      </c>
      <c r="EJ96" s="57">
        <v>139.0</v>
      </c>
      <c r="EK96" s="57">
        <v>137.0</v>
      </c>
      <c r="EL96" s="57">
        <v>149.0</v>
      </c>
      <c r="EM96" s="57">
        <v>198.0</v>
      </c>
      <c r="EN96" s="57">
        <v>739.0</v>
      </c>
      <c r="EO96" s="57"/>
      <c r="EP96" s="57">
        <v>2020.0</v>
      </c>
      <c r="EQ96" s="57">
        <v>27.0</v>
      </c>
      <c r="ER96" s="57">
        <v>5.0</v>
      </c>
      <c r="ES96" s="57">
        <v>0.0</v>
      </c>
      <c r="ET96" s="57">
        <v>0.0</v>
      </c>
      <c r="EU96" s="57">
        <v>0.0</v>
      </c>
      <c r="EV96" s="57">
        <v>32.0</v>
      </c>
      <c r="EW96" s="163"/>
      <c r="EX96" s="255" t="s">
        <v>851</v>
      </c>
      <c r="EY96" s="255">
        <v>2020.0</v>
      </c>
      <c r="EZ96" s="255" t="s">
        <v>541</v>
      </c>
      <c r="FA96" s="255" t="s">
        <v>541</v>
      </c>
      <c r="FB96" s="255" t="s">
        <v>541</v>
      </c>
      <c r="FC96" s="255" t="s">
        <v>541</v>
      </c>
      <c r="FD96" s="255" t="s">
        <v>541</v>
      </c>
      <c r="FE96" s="255" t="s">
        <v>541</v>
      </c>
      <c r="FF96" s="255"/>
      <c r="FG96" s="255">
        <v>2020.0</v>
      </c>
      <c r="FH96" s="255" t="s">
        <v>541</v>
      </c>
      <c r="FI96" s="255" t="s">
        <v>541</v>
      </c>
      <c r="FJ96" s="255" t="s">
        <v>541</v>
      </c>
      <c r="FK96" s="255" t="s">
        <v>541</v>
      </c>
      <c r="FL96" s="255" t="s">
        <v>541</v>
      </c>
      <c r="FM96" s="255" t="s">
        <v>541</v>
      </c>
    </row>
    <row r="97" ht="13.5" customHeight="1">
      <c r="A97" s="252" t="s">
        <v>1209</v>
      </c>
      <c r="B97" s="252">
        <v>2019.0</v>
      </c>
      <c r="C97" s="252">
        <v>42.0</v>
      </c>
      <c r="D97" s="252">
        <v>4.0</v>
      </c>
      <c r="E97" s="252">
        <v>3.0</v>
      </c>
      <c r="F97" s="252">
        <v>4.0</v>
      </c>
      <c r="G97" s="252">
        <v>1.0</v>
      </c>
      <c r="H97" s="252">
        <v>54.0</v>
      </c>
      <c r="I97" s="252"/>
      <c r="J97" s="252">
        <v>2019.0</v>
      </c>
      <c r="K97" s="252">
        <v>155.0</v>
      </c>
      <c r="L97" s="252">
        <v>229.0</v>
      </c>
      <c r="M97" s="252">
        <v>385.0</v>
      </c>
      <c r="N97" s="252">
        <v>539.0</v>
      </c>
      <c r="O97" s="252">
        <v>414.0</v>
      </c>
      <c r="P97" s="252">
        <v>1722.0</v>
      </c>
      <c r="Q97" s="131"/>
      <c r="R97" s="163"/>
      <c r="S97" s="163"/>
      <c r="T97" s="163"/>
      <c r="U97" s="163"/>
      <c r="V97" s="163"/>
      <c r="W97" s="163"/>
      <c r="X97" s="163"/>
      <c r="Y97" s="163"/>
      <c r="Z97" s="163"/>
      <c r="AA97" s="163"/>
      <c r="AB97" s="163"/>
      <c r="AC97" s="163"/>
      <c r="AD97" s="163"/>
      <c r="AE97" s="163"/>
      <c r="AF97" s="163"/>
      <c r="AG97" s="163"/>
      <c r="AH97" s="163"/>
      <c r="AI97" s="246" t="s">
        <v>370</v>
      </c>
      <c r="AJ97" s="246">
        <v>2019.0</v>
      </c>
      <c r="AK97" s="246">
        <v>642.0</v>
      </c>
      <c r="AL97" s="246">
        <v>499.0</v>
      </c>
      <c r="AM97" s="246">
        <v>504.0</v>
      </c>
      <c r="AN97" s="246">
        <v>502.0</v>
      </c>
      <c r="AO97" s="246">
        <v>323.0</v>
      </c>
      <c r="AP97" s="246">
        <v>2470.0</v>
      </c>
      <c r="AQ97" s="246"/>
      <c r="AR97" s="246">
        <v>2019.0</v>
      </c>
      <c r="AS97" s="246">
        <v>86.0</v>
      </c>
      <c r="AT97" s="246">
        <v>3.0</v>
      </c>
      <c r="AU97" s="246">
        <v>2.0</v>
      </c>
      <c r="AV97" s="246">
        <v>0.0</v>
      </c>
      <c r="AW97" s="246">
        <v>0.0</v>
      </c>
      <c r="AX97" s="246">
        <v>91.0</v>
      </c>
      <c r="AY97" s="163"/>
      <c r="AZ97" s="254" t="s">
        <v>535</v>
      </c>
      <c r="BA97" s="254">
        <v>2019.0</v>
      </c>
      <c r="BB97" s="254">
        <v>262.0</v>
      </c>
      <c r="BC97" s="254">
        <v>336.0</v>
      </c>
      <c r="BD97" s="254">
        <v>562.0</v>
      </c>
      <c r="BE97" s="254">
        <v>750.0</v>
      </c>
      <c r="BF97" s="254">
        <v>628.0</v>
      </c>
      <c r="BG97" s="254">
        <v>2538.0</v>
      </c>
      <c r="BH97" s="254"/>
      <c r="BI97" s="254">
        <v>2019.0</v>
      </c>
      <c r="BJ97" s="254">
        <v>31.0</v>
      </c>
      <c r="BK97" s="254">
        <v>0.0</v>
      </c>
      <c r="BL97" s="254">
        <v>0.0</v>
      </c>
      <c r="BM97" s="254">
        <v>0.0</v>
      </c>
      <c r="BN97" s="254">
        <v>0.0</v>
      </c>
      <c r="BO97" s="254">
        <v>31.0</v>
      </c>
      <c r="BP97" s="163"/>
      <c r="BQ97" s="163"/>
      <c r="BR97" s="163"/>
      <c r="BS97" s="163"/>
      <c r="BT97" s="163"/>
      <c r="BU97" s="163"/>
      <c r="BV97" s="163"/>
      <c r="BW97" s="163"/>
      <c r="BX97" s="163"/>
      <c r="BY97" s="163"/>
      <c r="BZ97" s="163"/>
      <c r="CA97" s="163"/>
      <c r="CB97" s="163"/>
      <c r="CC97" s="163"/>
      <c r="CD97" s="163"/>
      <c r="CE97" s="163"/>
      <c r="CF97" s="163"/>
      <c r="CG97" s="163"/>
      <c r="CH97" s="57" t="s">
        <v>978</v>
      </c>
      <c r="CI97" s="57">
        <v>2020.0</v>
      </c>
      <c r="CJ97" s="57">
        <v>97.0</v>
      </c>
      <c r="CK97" s="57">
        <v>58.0</v>
      </c>
      <c r="CL97" s="57">
        <v>124.0</v>
      </c>
      <c r="CM97" s="57">
        <v>191.0</v>
      </c>
      <c r="CN97" s="57">
        <v>189.0</v>
      </c>
      <c r="CO97" s="57">
        <v>659.0</v>
      </c>
      <c r="CP97" s="57"/>
      <c r="CQ97" s="57">
        <v>2020.0</v>
      </c>
      <c r="CR97" s="57">
        <v>24.0</v>
      </c>
      <c r="CS97" s="57">
        <v>0.0</v>
      </c>
      <c r="CT97" s="57">
        <v>0.0</v>
      </c>
      <c r="CU97" s="57">
        <v>0.0</v>
      </c>
      <c r="CV97" s="57">
        <v>0.0</v>
      </c>
      <c r="CW97" s="57">
        <v>24.0</v>
      </c>
      <c r="CX97" s="163"/>
      <c r="CY97" s="163"/>
      <c r="CZ97" s="163"/>
      <c r="DA97" s="163"/>
      <c r="DB97" s="163"/>
      <c r="DC97" s="163"/>
      <c r="DD97" s="163"/>
      <c r="DE97" s="163"/>
      <c r="DF97" s="163"/>
      <c r="DG97" s="163"/>
      <c r="DH97" s="163"/>
      <c r="DI97" s="163"/>
      <c r="DJ97" s="163"/>
      <c r="DK97" s="163"/>
      <c r="DL97" s="163"/>
      <c r="DM97" s="163"/>
      <c r="DN97" s="163"/>
      <c r="DO97" s="163"/>
      <c r="DP97" s="163"/>
      <c r="DQ97" s="163"/>
      <c r="DR97" s="163"/>
      <c r="DS97" s="163"/>
      <c r="DT97" s="163"/>
      <c r="DU97" s="163"/>
      <c r="DV97" s="163"/>
      <c r="DW97" s="163"/>
      <c r="DX97" s="163"/>
      <c r="DY97" s="163"/>
      <c r="DZ97" s="163"/>
      <c r="EA97" s="163"/>
      <c r="EB97" s="163"/>
      <c r="EC97" s="163"/>
      <c r="ED97" s="163"/>
      <c r="EE97" s="163"/>
      <c r="EF97" s="163"/>
      <c r="EG97" s="57" t="s">
        <v>820</v>
      </c>
      <c r="EH97" s="57">
        <v>2020.0</v>
      </c>
      <c r="EI97" s="57">
        <v>87.0</v>
      </c>
      <c r="EJ97" s="57">
        <v>139.0</v>
      </c>
      <c r="EK97" s="57">
        <v>145.0</v>
      </c>
      <c r="EL97" s="57">
        <v>192.0</v>
      </c>
      <c r="EM97" s="57">
        <v>209.0</v>
      </c>
      <c r="EN97" s="57">
        <v>772.0</v>
      </c>
      <c r="EO97" s="57"/>
      <c r="EP97" s="57">
        <v>2020.0</v>
      </c>
      <c r="EQ97" s="57">
        <v>32.0</v>
      </c>
      <c r="ER97" s="57">
        <v>16.0</v>
      </c>
      <c r="ES97" s="57">
        <v>4.0</v>
      </c>
      <c r="ET97" s="57">
        <v>0.0</v>
      </c>
      <c r="EU97" s="57">
        <v>4.0</v>
      </c>
      <c r="EV97" s="57">
        <v>56.0</v>
      </c>
      <c r="EW97" s="163"/>
      <c r="EX97" s="255" t="s">
        <v>854</v>
      </c>
      <c r="EY97" s="255">
        <v>2020.0</v>
      </c>
      <c r="EZ97" s="255" t="s">
        <v>541</v>
      </c>
      <c r="FA97" s="255" t="s">
        <v>541</v>
      </c>
      <c r="FB97" s="255" t="s">
        <v>541</v>
      </c>
      <c r="FC97" s="255" t="s">
        <v>541</v>
      </c>
      <c r="FD97" s="255" t="s">
        <v>541</v>
      </c>
      <c r="FE97" s="255" t="s">
        <v>541</v>
      </c>
      <c r="FF97" s="255"/>
      <c r="FG97" s="255">
        <v>2020.0</v>
      </c>
      <c r="FH97" s="255" t="s">
        <v>541</v>
      </c>
      <c r="FI97" s="255" t="s">
        <v>541</v>
      </c>
      <c r="FJ97" s="255" t="s">
        <v>541</v>
      </c>
      <c r="FK97" s="255" t="s">
        <v>541</v>
      </c>
      <c r="FL97" s="255" t="s">
        <v>541</v>
      </c>
      <c r="FM97" s="255" t="s">
        <v>541</v>
      </c>
    </row>
    <row r="98" ht="13.5" customHeight="1">
      <c r="A98" s="252" t="s">
        <v>208</v>
      </c>
      <c r="B98" s="252">
        <v>2019.0</v>
      </c>
      <c r="C98" s="252" t="s">
        <v>541</v>
      </c>
      <c r="D98" s="252" t="s">
        <v>541</v>
      </c>
      <c r="E98" s="252" t="s">
        <v>541</v>
      </c>
      <c r="F98" s="252" t="s">
        <v>541</v>
      </c>
      <c r="G98" s="252" t="s">
        <v>541</v>
      </c>
      <c r="H98" s="252" t="s">
        <v>541</v>
      </c>
      <c r="I98" s="252"/>
      <c r="J98" s="252">
        <v>2019.0</v>
      </c>
      <c r="K98" s="252" t="s">
        <v>541</v>
      </c>
      <c r="L98" s="252" t="s">
        <v>541</v>
      </c>
      <c r="M98" s="252" t="s">
        <v>541</v>
      </c>
      <c r="N98" s="252" t="s">
        <v>541</v>
      </c>
      <c r="O98" s="252" t="s">
        <v>541</v>
      </c>
      <c r="P98" s="252" t="s">
        <v>541</v>
      </c>
      <c r="Q98" s="131"/>
      <c r="R98" s="163"/>
      <c r="S98" s="163"/>
      <c r="T98" s="163"/>
      <c r="U98" s="163"/>
      <c r="V98" s="163"/>
      <c r="W98" s="163"/>
      <c r="X98" s="163"/>
      <c r="Y98" s="163"/>
      <c r="Z98" s="163"/>
      <c r="AA98" s="163"/>
      <c r="AB98" s="163"/>
      <c r="AC98" s="163"/>
      <c r="AD98" s="163"/>
      <c r="AE98" s="163"/>
      <c r="AF98" s="163"/>
      <c r="AG98" s="163"/>
      <c r="AH98" s="163"/>
      <c r="AI98" s="246" t="s">
        <v>373</v>
      </c>
      <c r="AJ98" s="246">
        <v>2019.0</v>
      </c>
      <c r="AK98" s="246">
        <v>1370.0</v>
      </c>
      <c r="AL98" s="246">
        <v>1058.0</v>
      </c>
      <c r="AM98" s="246">
        <v>1606.0</v>
      </c>
      <c r="AN98" s="246">
        <v>1926.0</v>
      </c>
      <c r="AO98" s="246">
        <v>1428.0</v>
      </c>
      <c r="AP98" s="246">
        <v>7388.0</v>
      </c>
      <c r="AQ98" s="246"/>
      <c r="AR98" s="246">
        <v>2019.0</v>
      </c>
      <c r="AS98" s="246">
        <v>45.0</v>
      </c>
      <c r="AT98" s="246">
        <v>0.0</v>
      </c>
      <c r="AU98" s="246">
        <v>0.0</v>
      </c>
      <c r="AV98" s="246">
        <v>0.0</v>
      </c>
      <c r="AW98" s="246">
        <v>0.0</v>
      </c>
      <c r="AX98" s="246">
        <v>45.0</v>
      </c>
      <c r="AY98" s="163"/>
      <c r="AZ98" s="254" t="s">
        <v>537</v>
      </c>
      <c r="BA98" s="254">
        <v>2019.0</v>
      </c>
      <c r="BB98" s="254">
        <v>218.0</v>
      </c>
      <c r="BC98" s="254">
        <v>257.0</v>
      </c>
      <c r="BD98" s="254">
        <v>379.0</v>
      </c>
      <c r="BE98" s="254">
        <v>395.0</v>
      </c>
      <c r="BF98" s="254">
        <v>341.0</v>
      </c>
      <c r="BG98" s="254">
        <v>1590.0</v>
      </c>
      <c r="BH98" s="254"/>
      <c r="BI98" s="254">
        <v>2019.0</v>
      </c>
      <c r="BJ98" s="254">
        <v>27.0</v>
      </c>
      <c r="BK98" s="254">
        <v>0.0</v>
      </c>
      <c r="BL98" s="254">
        <v>0.0</v>
      </c>
      <c r="BM98" s="254">
        <v>0.0</v>
      </c>
      <c r="BN98" s="254">
        <v>0.0</v>
      </c>
      <c r="BO98" s="254">
        <v>27.0</v>
      </c>
      <c r="BP98" s="163"/>
      <c r="BQ98" s="163"/>
      <c r="BR98" s="163"/>
      <c r="BS98" s="163"/>
      <c r="BT98" s="163"/>
      <c r="BU98" s="163"/>
      <c r="BV98" s="163"/>
      <c r="BW98" s="163"/>
      <c r="BX98" s="163"/>
      <c r="BY98" s="163"/>
      <c r="BZ98" s="163"/>
      <c r="CA98" s="163"/>
      <c r="CB98" s="163"/>
      <c r="CC98" s="163"/>
      <c r="CD98" s="163"/>
      <c r="CE98" s="163"/>
      <c r="CF98" s="163"/>
      <c r="CG98" s="163"/>
      <c r="CH98" s="57" t="s">
        <v>683</v>
      </c>
      <c r="CI98" s="57">
        <v>2020.0</v>
      </c>
      <c r="CJ98" s="57">
        <v>64.0</v>
      </c>
      <c r="CK98" s="57">
        <v>67.0</v>
      </c>
      <c r="CL98" s="57">
        <v>128.0</v>
      </c>
      <c r="CM98" s="57">
        <v>215.0</v>
      </c>
      <c r="CN98" s="57">
        <v>201.0</v>
      </c>
      <c r="CO98" s="57">
        <v>675.0</v>
      </c>
      <c r="CP98" s="57"/>
      <c r="CQ98" s="57">
        <v>2020.0</v>
      </c>
      <c r="CR98" s="57">
        <v>22.0</v>
      </c>
      <c r="CS98" s="57">
        <v>0.0</v>
      </c>
      <c r="CT98" s="57">
        <v>0.0</v>
      </c>
      <c r="CU98" s="57">
        <v>0.0</v>
      </c>
      <c r="CV98" s="57">
        <v>0.0</v>
      </c>
      <c r="CW98" s="57">
        <v>22.0</v>
      </c>
      <c r="CX98" s="163"/>
      <c r="CY98" s="163"/>
      <c r="CZ98" s="163"/>
      <c r="DA98" s="163"/>
      <c r="DB98" s="163"/>
      <c r="DC98" s="163"/>
      <c r="DD98" s="163"/>
      <c r="DE98" s="163"/>
      <c r="DF98" s="163"/>
      <c r="DG98" s="163"/>
      <c r="DH98" s="163"/>
      <c r="DI98" s="163"/>
      <c r="DJ98" s="163"/>
      <c r="DK98" s="163"/>
      <c r="DL98" s="163"/>
      <c r="DM98" s="163"/>
      <c r="DN98" s="163"/>
      <c r="DO98" s="163"/>
      <c r="DP98" s="163"/>
      <c r="DQ98" s="163"/>
      <c r="DR98" s="163"/>
      <c r="DS98" s="163"/>
      <c r="DT98" s="163"/>
      <c r="DU98" s="163"/>
      <c r="DV98" s="163"/>
      <c r="DW98" s="163"/>
      <c r="DX98" s="163"/>
      <c r="DY98" s="163"/>
      <c r="DZ98" s="163"/>
      <c r="EA98" s="163"/>
      <c r="EB98" s="163"/>
      <c r="EC98" s="163"/>
      <c r="ED98" s="163"/>
      <c r="EE98" s="163"/>
      <c r="EF98" s="163"/>
      <c r="EG98" s="57" t="s">
        <v>822</v>
      </c>
      <c r="EH98" s="57">
        <v>2020.0</v>
      </c>
      <c r="EI98" s="57">
        <v>54.0</v>
      </c>
      <c r="EJ98" s="57">
        <v>94.0</v>
      </c>
      <c r="EK98" s="57">
        <v>156.0</v>
      </c>
      <c r="EL98" s="57">
        <v>208.0</v>
      </c>
      <c r="EM98" s="57">
        <v>255.0</v>
      </c>
      <c r="EN98" s="57">
        <v>767.0</v>
      </c>
      <c r="EO98" s="57"/>
      <c r="EP98" s="57">
        <v>2020.0</v>
      </c>
      <c r="EQ98" s="57">
        <v>11.0</v>
      </c>
      <c r="ER98" s="57">
        <v>6.0</v>
      </c>
      <c r="ES98" s="57">
        <v>3.0</v>
      </c>
      <c r="ET98" s="57">
        <v>4.0</v>
      </c>
      <c r="EU98" s="57">
        <v>4.0</v>
      </c>
      <c r="EV98" s="57">
        <v>28.0</v>
      </c>
      <c r="EW98" s="163"/>
      <c r="EX98" s="255" t="s">
        <v>856</v>
      </c>
      <c r="EY98" s="255">
        <v>2020.0</v>
      </c>
      <c r="EZ98" s="255">
        <v>118.0</v>
      </c>
      <c r="FA98" s="255">
        <v>148.0</v>
      </c>
      <c r="FB98" s="255">
        <v>198.0</v>
      </c>
      <c r="FC98" s="255">
        <v>298.0</v>
      </c>
      <c r="FD98" s="255">
        <v>348.0</v>
      </c>
      <c r="FE98" s="255">
        <v>1110.0</v>
      </c>
      <c r="FF98" s="255"/>
      <c r="FG98" s="255">
        <v>2020.0</v>
      </c>
      <c r="FH98" s="255">
        <v>21.0</v>
      </c>
      <c r="FI98" s="255">
        <v>6.0</v>
      </c>
      <c r="FJ98" s="255">
        <v>3.0</v>
      </c>
      <c r="FK98" s="255">
        <v>3.0</v>
      </c>
      <c r="FL98" s="255">
        <v>1.0</v>
      </c>
      <c r="FM98" s="255">
        <v>34.0</v>
      </c>
    </row>
    <row r="99" ht="13.5" customHeight="1">
      <c r="A99" s="252" t="s">
        <v>1214</v>
      </c>
      <c r="B99" s="252">
        <v>2019.0</v>
      </c>
      <c r="C99" s="252">
        <v>15.0</v>
      </c>
      <c r="D99" s="252">
        <v>0.0</v>
      </c>
      <c r="E99" s="252">
        <v>0.0</v>
      </c>
      <c r="F99" s="252">
        <v>0.0</v>
      </c>
      <c r="G99" s="252">
        <v>0.0</v>
      </c>
      <c r="H99" s="252">
        <v>15.0</v>
      </c>
      <c r="I99" s="252"/>
      <c r="J99" s="252">
        <v>2019.0</v>
      </c>
      <c r="K99" s="252">
        <v>175.0</v>
      </c>
      <c r="L99" s="252">
        <v>139.0</v>
      </c>
      <c r="M99" s="252">
        <v>202.0</v>
      </c>
      <c r="N99" s="252">
        <v>325.0</v>
      </c>
      <c r="O99" s="252">
        <v>370.0</v>
      </c>
      <c r="P99" s="252">
        <v>1211.0</v>
      </c>
      <c r="Q99" s="131"/>
      <c r="R99" s="163"/>
      <c r="S99" s="163"/>
      <c r="T99" s="163"/>
      <c r="U99" s="163"/>
      <c r="V99" s="163"/>
      <c r="W99" s="163"/>
      <c r="X99" s="163"/>
      <c r="Y99" s="163"/>
      <c r="Z99" s="163"/>
      <c r="AA99" s="163"/>
      <c r="AB99" s="163"/>
      <c r="AC99" s="163"/>
      <c r="AD99" s="163"/>
      <c r="AE99" s="163"/>
      <c r="AF99" s="163"/>
      <c r="AG99" s="163"/>
      <c r="AH99" s="163"/>
      <c r="AI99" s="246" t="s">
        <v>376</v>
      </c>
      <c r="AJ99" s="246">
        <v>2019.0</v>
      </c>
      <c r="AK99" s="246">
        <v>854.0</v>
      </c>
      <c r="AL99" s="246">
        <v>1101.0</v>
      </c>
      <c r="AM99" s="246">
        <v>1546.0</v>
      </c>
      <c r="AN99" s="246">
        <v>1763.0</v>
      </c>
      <c r="AO99" s="246">
        <v>1076.0</v>
      </c>
      <c r="AP99" s="246">
        <v>6340.0</v>
      </c>
      <c r="AQ99" s="246"/>
      <c r="AR99" s="246">
        <v>2019.0</v>
      </c>
      <c r="AS99" s="246">
        <v>42.0</v>
      </c>
      <c r="AT99" s="246">
        <v>7.0</v>
      </c>
      <c r="AU99" s="246">
        <v>0.0</v>
      </c>
      <c r="AV99" s="246">
        <v>0.0</v>
      </c>
      <c r="AW99" s="246">
        <v>0.0</v>
      </c>
      <c r="AX99" s="246">
        <v>49.0</v>
      </c>
      <c r="AY99" s="163"/>
      <c r="AZ99" s="254" t="s">
        <v>539</v>
      </c>
      <c r="BA99" s="254">
        <v>2019.0</v>
      </c>
      <c r="BB99" s="254">
        <v>548.0</v>
      </c>
      <c r="BC99" s="254">
        <v>59.0</v>
      </c>
      <c r="BD99" s="254">
        <v>106.0</v>
      </c>
      <c r="BE99" s="254">
        <v>134.0</v>
      </c>
      <c r="BF99" s="254">
        <v>255.0</v>
      </c>
      <c r="BG99" s="254">
        <v>1102.0</v>
      </c>
      <c r="BH99" s="254"/>
      <c r="BI99" s="254">
        <v>2019.0</v>
      </c>
      <c r="BJ99" s="254">
        <v>192.0</v>
      </c>
      <c r="BK99" s="254">
        <v>0.0</v>
      </c>
      <c r="BL99" s="254">
        <v>0.0</v>
      </c>
      <c r="BM99" s="254">
        <v>0.0</v>
      </c>
      <c r="BN99" s="254">
        <v>0.0</v>
      </c>
      <c r="BO99" s="254">
        <v>192.0</v>
      </c>
      <c r="BP99" s="163"/>
      <c r="BQ99" s="163"/>
      <c r="BR99" s="163"/>
      <c r="BS99" s="163"/>
      <c r="BT99" s="163"/>
      <c r="BU99" s="163"/>
      <c r="BV99" s="163"/>
      <c r="BW99" s="163"/>
      <c r="BX99" s="163"/>
      <c r="BY99" s="163"/>
      <c r="BZ99" s="163"/>
      <c r="CA99" s="163"/>
      <c r="CB99" s="163"/>
      <c r="CC99" s="163"/>
      <c r="CD99" s="163"/>
      <c r="CE99" s="163"/>
      <c r="CF99" s="163"/>
      <c r="CG99" s="163"/>
      <c r="CH99" s="57" t="s">
        <v>981</v>
      </c>
      <c r="CI99" s="57">
        <v>2020.0</v>
      </c>
      <c r="CJ99" s="57">
        <v>126.0</v>
      </c>
      <c r="CK99" s="57">
        <v>65.0</v>
      </c>
      <c r="CL99" s="57">
        <v>85.0</v>
      </c>
      <c r="CM99" s="57">
        <v>118.0</v>
      </c>
      <c r="CN99" s="57">
        <v>135.0</v>
      </c>
      <c r="CO99" s="57">
        <v>529.0</v>
      </c>
      <c r="CP99" s="57"/>
      <c r="CQ99" s="57">
        <v>2020.0</v>
      </c>
      <c r="CR99" s="57">
        <v>67.0</v>
      </c>
      <c r="CS99" s="57">
        <v>0.0</v>
      </c>
      <c r="CT99" s="57">
        <v>0.0</v>
      </c>
      <c r="CU99" s="57">
        <v>0.0</v>
      </c>
      <c r="CV99" s="57">
        <v>0.0</v>
      </c>
      <c r="CW99" s="57">
        <v>67.0</v>
      </c>
      <c r="CX99" s="163"/>
      <c r="CY99" s="163"/>
      <c r="CZ99" s="163"/>
      <c r="DA99" s="163"/>
      <c r="DB99" s="163"/>
      <c r="DC99" s="163"/>
      <c r="DD99" s="163"/>
      <c r="DE99" s="163"/>
      <c r="DF99" s="163"/>
      <c r="DG99" s="163"/>
      <c r="DH99" s="163"/>
      <c r="DI99" s="163"/>
      <c r="DJ99" s="163"/>
      <c r="DK99" s="163"/>
      <c r="DL99" s="163"/>
      <c r="DM99" s="163"/>
      <c r="DN99" s="163"/>
      <c r="DO99" s="163"/>
      <c r="DP99" s="163"/>
      <c r="DQ99" s="163"/>
      <c r="DR99" s="163"/>
      <c r="DS99" s="163"/>
      <c r="DT99" s="163"/>
      <c r="DU99" s="163"/>
      <c r="DV99" s="163"/>
      <c r="DW99" s="163"/>
      <c r="DX99" s="163"/>
      <c r="DY99" s="163"/>
      <c r="DZ99" s="163"/>
      <c r="EA99" s="163"/>
      <c r="EB99" s="163"/>
      <c r="EC99" s="163"/>
      <c r="ED99" s="163"/>
      <c r="EE99" s="163"/>
      <c r="EF99" s="163"/>
      <c r="EG99" s="57" t="s">
        <v>824</v>
      </c>
      <c r="EH99" s="57">
        <v>2020.0</v>
      </c>
      <c r="EI99" s="57">
        <v>146.0</v>
      </c>
      <c r="EJ99" s="57">
        <v>168.0</v>
      </c>
      <c r="EK99" s="57">
        <v>210.0</v>
      </c>
      <c r="EL99" s="57">
        <v>231.0</v>
      </c>
      <c r="EM99" s="57">
        <v>272.0</v>
      </c>
      <c r="EN99" s="57">
        <v>1027.0</v>
      </c>
      <c r="EO99" s="57"/>
      <c r="EP99" s="57">
        <v>2020.0</v>
      </c>
      <c r="EQ99" s="57">
        <v>27.0</v>
      </c>
      <c r="ER99" s="57">
        <v>7.0</v>
      </c>
      <c r="ES99" s="57">
        <v>1.0</v>
      </c>
      <c r="ET99" s="57">
        <v>0.0</v>
      </c>
      <c r="EU99" s="57">
        <v>0.0</v>
      </c>
      <c r="EV99" s="57">
        <v>35.0</v>
      </c>
      <c r="EW99" s="163"/>
      <c r="EX99" s="255" t="s">
        <v>858</v>
      </c>
      <c r="EY99" s="255">
        <v>2020.0</v>
      </c>
      <c r="EZ99" s="255">
        <v>111.0</v>
      </c>
      <c r="FA99" s="255">
        <v>180.0</v>
      </c>
      <c r="FB99" s="255">
        <v>252.0</v>
      </c>
      <c r="FC99" s="255">
        <v>371.0</v>
      </c>
      <c r="FD99" s="255">
        <v>398.0</v>
      </c>
      <c r="FE99" s="255">
        <v>1312.0</v>
      </c>
      <c r="FF99" s="255"/>
      <c r="FG99" s="255">
        <v>2020.0</v>
      </c>
      <c r="FH99" s="255">
        <v>5.0</v>
      </c>
      <c r="FI99" s="255">
        <v>7.0</v>
      </c>
      <c r="FJ99" s="255">
        <v>1.0</v>
      </c>
      <c r="FK99" s="255">
        <v>1.0</v>
      </c>
      <c r="FL99" s="255">
        <v>3.0</v>
      </c>
      <c r="FM99" s="255">
        <v>17.0</v>
      </c>
    </row>
    <row r="100" ht="13.5" customHeight="1">
      <c r="A100" s="252" t="s">
        <v>1218</v>
      </c>
      <c r="B100" s="252">
        <v>2019.0</v>
      </c>
      <c r="C100" s="252" t="s">
        <v>541</v>
      </c>
      <c r="D100" s="252" t="s">
        <v>541</v>
      </c>
      <c r="E100" s="252" t="s">
        <v>541</v>
      </c>
      <c r="F100" s="252" t="s">
        <v>541</v>
      </c>
      <c r="G100" s="252" t="s">
        <v>541</v>
      </c>
      <c r="H100" s="252" t="s">
        <v>541</v>
      </c>
      <c r="I100" s="252"/>
      <c r="J100" s="252">
        <v>2019.0</v>
      </c>
      <c r="K100" s="252" t="s">
        <v>541</v>
      </c>
      <c r="L100" s="252" t="s">
        <v>541</v>
      </c>
      <c r="M100" s="252" t="s">
        <v>541</v>
      </c>
      <c r="N100" s="252" t="s">
        <v>541</v>
      </c>
      <c r="O100" s="252" t="s">
        <v>541</v>
      </c>
      <c r="P100" s="252" t="s">
        <v>541</v>
      </c>
      <c r="Q100" s="131"/>
      <c r="R100" s="163"/>
      <c r="S100" s="163"/>
      <c r="T100" s="163"/>
      <c r="U100" s="163"/>
      <c r="V100" s="163"/>
      <c r="W100" s="163"/>
      <c r="X100" s="163"/>
      <c r="Y100" s="163"/>
      <c r="Z100" s="163"/>
      <c r="AA100" s="163"/>
      <c r="AB100" s="163"/>
      <c r="AC100" s="163"/>
      <c r="AD100" s="163"/>
      <c r="AE100" s="163"/>
      <c r="AF100" s="163"/>
      <c r="AG100" s="163"/>
      <c r="AH100" s="163"/>
      <c r="AI100" s="246" t="s">
        <v>379</v>
      </c>
      <c r="AJ100" s="246">
        <v>2019.0</v>
      </c>
      <c r="AK100" s="246">
        <v>727.0</v>
      </c>
      <c r="AL100" s="246">
        <v>622.0</v>
      </c>
      <c r="AM100" s="246">
        <v>831.0</v>
      </c>
      <c r="AN100" s="246">
        <v>918.0</v>
      </c>
      <c r="AO100" s="246">
        <v>601.0</v>
      </c>
      <c r="AP100" s="246">
        <v>3699.0</v>
      </c>
      <c r="AQ100" s="246"/>
      <c r="AR100" s="246">
        <v>2019.0</v>
      </c>
      <c r="AS100" s="246">
        <v>78.0</v>
      </c>
      <c r="AT100" s="246">
        <v>3.0</v>
      </c>
      <c r="AU100" s="246">
        <v>0.0</v>
      </c>
      <c r="AV100" s="246">
        <v>0.0</v>
      </c>
      <c r="AW100" s="246">
        <v>0.0</v>
      </c>
      <c r="AX100" s="246">
        <v>81.0</v>
      </c>
      <c r="AY100" s="163"/>
      <c r="AZ100" s="254" t="s">
        <v>542</v>
      </c>
      <c r="BA100" s="254">
        <v>2019.0</v>
      </c>
      <c r="BB100" s="254">
        <v>90.0</v>
      </c>
      <c r="BC100" s="254">
        <v>26.0</v>
      </c>
      <c r="BD100" s="254">
        <v>46.0</v>
      </c>
      <c r="BE100" s="254">
        <v>50.0</v>
      </c>
      <c r="BF100" s="254">
        <v>121.0</v>
      </c>
      <c r="BG100" s="254">
        <v>333.0</v>
      </c>
      <c r="BH100" s="254"/>
      <c r="BI100" s="254">
        <v>2019.0</v>
      </c>
      <c r="BJ100" s="254">
        <v>47.0</v>
      </c>
      <c r="BK100" s="254">
        <v>0.0</v>
      </c>
      <c r="BL100" s="254">
        <v>0.0</v>
      </c>
      <c r="BM100" s="254">
        <v>0.0</v>
      </c>
      <c r="BN100" s="254">
        <v>0.0</v>
      </c>
      <c r="BO100" s="254">
        <v>47.0</v>
      </c>
      <c r="BP100" s="163"/>
      <c r="BQ100" s="163"/>
      <c r="BR100" s="163"/>
      <c r="BS100" s="163"/>
      <c r="BT100" s="163"/>
      <c r="BU100" s="163"/>
      <c r="BV100" s="163"/>
      <c r="BW100" s="163"/>
      <c r="BX100" s="163"/>
      <c r="BY100" s="163"/>
      <c r="BZ100" s="163"/>
      <c r="CA100" s="163"/>
      <c r="CB100" s="163"/>
      <c r="CC100" s="163"/>
      <c r="CD100" s="163"/>
      <c r="CE100" s="163"/>
      <c r="CF100" s="163"/>
      <c r="CG100" s="163"/>
      <c r="CH100" s="57" t="s">
        <v>983</v>
      </c>
      <c r="CI100" s="57">
        <v>2020.0</v>
      </c>
      <c r="CJ100" s="57">
        <v>65.0</v>
      </c>
      <c r="CK100" s="57">
        <v>46.0</v>
      </c>
      <c r="CL100" s="57">
        <v>81.0</v>
      </c>
      <c r="CM100" s="57">
        <v>112.0</v>
      </c>
      <c r="CN100" s="57">
        <v>122.0</v>
      </c>
      <c r="CO100" s="57">
        <v>426.0</v>
      </c>
      <c r="CP100" s="57"/>
      <c r="CQ100" s="57">
        <v>2020.0</v>
      </c>
      <c r="CR100" s="57">
        <v>20.0</v>
      </c>
      <c r="CS100" s="57">
        <v>0.0</v>
      </c>
      <c r="CT100" s="57">
        <v>0.0</v>
      </c>
      <c r="CU100" s="57">
        <v>0.0</v>
      </c>
      <c r="CV100" s="57">
        <v>0.0</v>
      </c>
      <c r="CW100" s="57">
        <v>20.0</v>
      </c>
      <c r="CX100" s="163"/>
      <c r="CY100" s="163"/>
      <c r="CZ100" s="163"/>
      <c r="DA100" s="163"/>
      <c r="DB100" s="163"/>
      <c r="DC100" s="163"/>
      <c r="DD100" s="163"/>
      <c r="DE100" s="163"/>
      <c r="DF100" s="163"/>
      <c r="DG100" s="163"/>
      <c r="DH100" s="163"/>
      <c r="DI100" s="163"/>
      <c r="DJ100" s="163"/>
      <c r="DK100" s="163"/>
      <c r="DL100" s="163"/>
      <c r="DM100" s="163"/>
      <c r="DN100" s="163"/>
      <c r="DO100" s="163"/>
      <c r="DP100" s="163"/>
      <c r="DQ100" s="163"/>
      <c r="DR100" s="163"/>
      <c r="DS100" s="163"/>
      <c r="DT100" s="163"/>
      <c r="DU100" s="163"/>
      <c r="DV100" s="163"/>
      <c r="DW100" s="163"/>
      <c r="DX100" s="163"/>
      <c r="DY100" s="163"/>
      <c r="DZ100" s="163"/>
      <c r="EA100" s="163"/>
      <c r="EB100" s="163"/>
      <c r="EC100" s="163"/>
      <c r="ED100" s="163"/>
      <c r="EE100" s="163"/>
      <c r="EF100" s="163"/>
      <c r="EG100" s="57" t="s">
        <v>826</v>
      </c>
      <c r="EH100" s="57">
        <v>2020.0</v>
      </c>
      <c r="EI100" s="57">
        <v>104.0</v>
      </c>
      <c r="EJ100" s="57">
        <v>146.0</v>
      </c>
      <c r="EK100" s="57">
        <v>172.0</v>
      </c>
      <c r="EL100" s="57">
        <v>168.0</v>
      </c>
      <c r="EM100" s="57">
        <v>223.0</v>
      </c>
      <c r="EN100" s="57">
        <v>813.0</v>
      </c>
      <c r="EO100" s="57"/>
      <c r="EP100" s="57">
        <v>2020.0</v>
      </c>
      <c r="EQ100" s="57">
        <v>30.0</v>
      </c>
      <c r="ER100" s="57">
        <v>8.0</v>
      </c>
      <c r="ES100" s="57">
        <v>4.0</v>
      </c>
      <c r="ET100" s="57">
        <v>0.0</v>
      </c>
      <c r="EU100" s="57">
        <v>4.0</v>
      </c>
      <c r="EV100" s="57">
        <v>46.0</v>
      </c>
      <c r="EW100" s="163"/>
      <c r="EX100" s="255" t="s">
        <v>860</v>
      </c>
      <c r="EY100" s="255">
        <v>2020.0</v>
      </c>
      <c r="EZ100" s="255">
        <v>240.0</v>
      </c>
      <c r="FA100" s="255">
        <v>380.0</v>
      </c>
      <c r="FB100" s="255">
        <v>431.0</v>
      </c>
      <c r="FC100" s="255">
        <v>490.0</v>
      </c>
      <c r="FD100" s="255">
        <v>695.0</v>
      </c>
      <c r="FE100" s="255">
        <v>2236.0</v>
      </c>
      <c r="FF100" s="255"/>
      <c r="FG100" s="255">
        <v>2020.0</v>
      </c>
      <c r="FH100" s="255">
        <v>32.0</v>
      </c>
      <c r="FI100" s="255">
        <v>17.0</v>
      </c>
      <c r="FJ100" s="255">
        <v>1.0</v>
      </c>
      <c r="FK100" s="255">
        <v>0.0</v>
      </c>
      <c r="FL100" s="255">
        <v>0.0</v>
      </c>
      <c r="FM100" s="255">
        <v>50.0</v>
      </c>
    </row>
    <row r="101" ht="13.5" customHeight="1">
      <c r="A101" s="252" t="s">
        <v>1221</v>
      </c>
      <c r="B101" s="252">
        <v>2019.0</v>
      </c>
      <c r="C101" s="252" t="s">
        <v>541</v>
      </c>
      <c r="D101" s="252" t="s">
        <v>541</v>
      </c>
      <c r="E101" s="252" t="s">
        <v>541</v>
      </c>
      <c r="F101" s="252" t="s">
        <v>541</v>
      </c>
      <c r="G101" s="252" t="s">
        <v>541</v>
      </c>
      <c r="H101" s="252" t="s">
        <v>541</v>
      </c>
      <c r="I101" s="252"/>
      <c r="J101" s="252">
        <v>2019.0</v>
      </c>
      <c r="K101" s="252" t="s">
        <v>541</v>
      </c>
      <c r="L101" s="252" t="s">
        <v>541</v>
      </c>
      <c r="M101" s="252" t="s">
        <v>541</v>
      </c>
      <c r="N101" s="252" t="s">
        <v>541</v>
      </c>
      <c r="O101" s="252" t="s">
        <v>541</v>
      </c>
      <c r="P101" s="252" t="s">
        <v>541</v>
      </c>
      <c r="Q101" s="131"/>
      <c r="R101" s="163"/>
      <c r="S101" s="163"/>
      <c r="T101" s="163"/>
      <c r="U101" s="163"/>
      <c r="V101" s="163"/>
      <c r="W101" s="163"/>
      <c r="X101" s="163"/>
      <c r="Y101" s="163"/>
      <c r="Z101" s="163"/>
      <c r="AA101" s="163"/>
      <c r="AB101" s="163"/>
      <c r="AC101" s="163"/>
      <c r="AD101" s="163"/>
      <c r="AE101" s="163"/>
      <c r="AF101" s="163"/>
      <c r="AG101" s="163"/>
      <c r="AH101" s="163"/>
      <c r="AI101" s="246" t="s">
        <v>382</v>
      </c>
      <c r="AJ101" s="246">
        <v>2019.0</v>
      </c>
      <c r="AK101" s="246">
        <v>360.0</v>
      </c>
      <c r="AL101" s="246">
        <v>603.0</v>
      </c>
      <c r="AM101" s="246">
        <v>864.0</v>
      </c>
      <c r="AN101" s="246">
        <v>916.0</v>
      </c>
      <c r="AO101" s="246">
        <v>614.0</v>
      </c>
      <c r="AP101" s="246">
        <v>3357.0</v>
      </c>
      <c r="AQ101" s="246"/>
      <c r="AR101" s="246">
        <v>2019.0</v>
      </c>
      <c r="AS101" s="246">
        <v>20.0</v>
      </c>
      <c r="AT101" s="246">
        <v>2.0</v>
      </c>
      <c r="AU101" s="246">
        <v>0.0</v>
      </c>
      <c r="AV101" s="246">
        <v>0.0</v>
      </c>
      <c r="AW101" s="246">
        <v>0.0</v>
      </c>
      <c r="AX101" s="246">
        <v>22.0</v>
      </c>
      <c r="AY101" s="163"/>
      <c r="AZ101" s="254" t="s">
        <v>544</v>
      </c>
      <c r="BA101" s="254">
        <v>2019.0</v>
      </c>
      <c r="BB101" s="254">
        <v>736.0</v>
      </c>
      <c r="BC101" s="254">
        <v>604.0</v>
      </c>
      <c r="BD101" s="254">
        <v>848.0</v>
      </c>
      <c r="BE101" s="254">
        <v>864.0</v>
      </c>
      <c r="BF101" s="254">
        <v>710.0</v>
      </c>
      <c r="BG101" s="254">
        <v>3762.0</v>
      </c>
      <c r="BH101" s="254"/>
      <c r="BI101" s="254">
        <v>2019.0</v>
      </c>
      <c r="BJ101" s="254">
        <v>192.0</v>
      </c>
      <c r="BK101" s="254">
        <v>0.0</v>
      </c>
      <c r="BL101" s="254">
        <v>0.0</v>
      </c>
      <c r="BM101" s="254">
        <v>0.0</v>
      </c>
      <c r="BN101" s="254">
        <v>0.0</v>
      </c>
      <c r="BO101" s="254">
        <v>192.0</v>
      </c>
      <c r="BP101" s="163"/>
      <c r="BQ101" s="163"/>
      <c r="BR101" s="163"/>
      <c r="BS101" s="163"/>
      <c r="BT101" s="163"/>
      <c r="BU101" s="163"/>
      <c r="BV101" s="163"/>
      <c r="BW101" s="163"/>
      <c r="BX101" s="163"/>
      <c r="BY101" s="163"/>
      <c r="BZ101" s="163"/>
      <c r="CA101" s="163"/>
      <c r="CB101" s="163"/>
      <c r="CC101" s="163"/>
      <c r="CD101" s="163"/>
      <c r="CE101" s="163"/>
      <c r="CF101" s="163"/>
      <c r="CG101" s="163"/>
      <c r="CH101" s="57" t="s">
        <v>985</v>
      </c>
      <c r="CI101" s="57">
        <v>2020.0</v>
      </c>
      <c r="CJ101" s="57">
        <v>47.0</v>
      </c>
      <c r="CK101" s="57">
        <v>37.0</v>
      </c>
      <c r="CL101" s="57">
        <v>97.0</v>
      </c>
      <c r="CM101" s="57">
        <v>136.0</v>
      </c>
      <c r="CN101" s="57">
        <v>180.0</v>
      </c>
      <c r="CO101" s="57">
        <v>497.0</v>
      </c>
      <c r="CP101" s="57"/>
      <c r="CQ101" s="57">
        <v>2020.0</v>
      </c>
      <c r="CR101" s="57">
        <v>6.0</v>
      </c>
      <c r="CS101" s="57">
        <v>0.0</v>
      </c>
      <c r="CT101" s="57">
        <v>0.0</v>
      </c>
      <c r="CU101" s="57">
        <v>0.0</v>
      </c>
      <c r="CV101" s="57">
        <v>0.0</v>
      </c>
      <c r="CW101" s="57">
        <v>6.0</v>
      </c>
      <c r="CX101" s="163"/>
      <c r="CY101" s="163"/>
      <c r="CZ101" s="163"/>
      <c r="DA101" s="163"/>
      <c r="DB101" s="163"/>
      <c r="DC101" s="163"/>
      <c r="DD101" s="163"/>
      <c r="DE101" s="163"/>
      <c r="DF101" s="163"/>
      <c r="DG101" s="163"/>
      <c r="DH101" s="163"/>
      <c r="DI101" s="163"/>
      <c r="DJ101" s="163"/>
      <c r="DK101" s="163"/>
      <c r="DL101" s="163"/>
      <c r="DM101" s="163"/>
      <c r="DN101" s="163"/>
      <c r="DO101" s="163"/>
      <c r="DP101" s="163"/>
      <c r="DQ101" s="163"/>
      <c r="DR101" s="163"/>
      <c r="DS101" s="163"/>
      <c r="DT101" s="163"/>
      <c r="DU101" s="163"/>
      <c r="DV101" s="163"/>
      <c r="DW101" s="163"/>
      <c r="DX101" s="163"/>
      <c r="DY101" s="163"/>
      <c r="DZ101" s="163"/>
      <c r="EA101" s="163"/>
      <c r="EB101" s="163"/>
      <c r="EC101" s="163"/>
      <c r="ED101" s="163"/>
      <c r="EE101" s="163"/>
      <c r="EF101" s="163"/>
      <c r="EG101" s="57" t="s">
        <v>828</v>
      </c>
      <c r="EH101" s="57">
        <v>2020.0</v>
      </c>
      <c r="EI101" s="57">
        <v>762.0</v>
      </c>
      <c r="EJ101" s="57">
        <v>708.0</v>
      </c>
      <c r="EK101" s="57">
        <v>584.0</v>
      </c>
      <c r="EL101" s="57">
        <v>661.0</v>
      </c>
      <c r="EM101" s="57">
        <v>682.0</v>
      </c>
      <c r="EN101" s="57">
        <v>3397.0</v>
      </c>
      <c r="EO101" s="57"/>
      <c r="EP101" s="57">
        <v>2020.0</v>
      </c>
      <c r="EQ101" s="57">
        <v>90.0</v>
      </c>
      <c r="ER101" s="57">
        <v>8.0</v>
      </c>
      <c r="ES101" s="57">
        <v>0.0</v>
      </c>
      <c r="ET101" s="57">
        <v>0.0</v>
      </c>
      <c r="EU101" s="57">
        <v>0.0</v>
      </c>
      <c r="EV101" s="57">
        <v>98.0</v>
      </c>
      <c r="EW101" s="163"/>
      <c r="EX101" s="255" t="s">
        <v>862</v>
      </c>
      <c r="EY101" s="255">
        <v>2020.0</v>
      </c>
      <c r="EZ101" s="255">
        <v>844.0</v>
      </c>
      <c r="FA101" s="255">
        <v>750.0</v>
      </c>
      <c r="FB101" s="255">
        <v>620.0</v>
      </c>
      <c r="FC101" s="255">
        <v>632.0</v>
      </c>
      <c r="FD101" s="255">
        <v>842.0</v>
      </c>
      <c r="FE101" s="255">
        <v>3688.0</v>
      </c>
      <c r="FF101" s="255"/>
      <c r="FG101" s="255">
        <v>2020.0</v>
      </c>
      <c r="FH101" s="255">
        <v>189.0</v>
      </c>
      <c r="FI101" s="255">
        <v>0.0</v>
      </c>
      <c r="FJ101" s="255">
        <v>0.0</v>
      </c>
      <c r="FK101" s="255">
        <v>0.0</v>
      </c>
      <c r="FL101" s="255">
        <v>0.0</v>
      </c>
      <c r="FM101" s="255">
        <v>189.0</v>
      </c>
    </row>
    <row r="102" ht="13.5" customHeight="1">
      <c r="A102" s="252" t="s">
        <v>1224</v>
      </c>
      <c r="B102" s="252">
        <v>2019.0</v>
      </c>
      <c r="C102" s="252" t="s">
        <v>541</v>
      </c>
      <c r="D102" s="252" t="s">
        <v>541</v>
      </c>
      <c r="E102" s="252" t="s">
        <v>541</v>
      </c>
      <c r="F102" s="252" t="s">
        <v>541</v>
      </c>
      <c r="G102" s="252" t="s">
        <v>541</v>
      </c>
      <c r="H102" s="252" t="s">
        <v>541</v>
      </c>
      <c r="I102" s="252"/>
      <c r="J102" s="252">
        <v>2019.0</v>
      </c>
      <c r="K102" s="252" t="s">
        <v>541</v>
      </c>
      <c r="L102" s="252" t="s">
        <v>541</v>
      </c>
      <c r="M102" s="252" t="s">
        <v>541</v>
      </c>
      <c r="N102" s="252" t="s">
        <v>541</v>
      </c>
      <c r="O102" s="252" t="s">
        <v>541</v>
      </c>
      <c r="P102" s="252" t="s">
        <v>541</v>
      </c>
      <c r="Q102" s="131"/>
      <c r="R102" s="163"/>
      <c r="S102" s="163"/>
      <c r="T102" s="163"/>
      <c r="U102" s="163"/>
      <c r="V102" s="163"/>
      <c r="W102" s="163"/>
      <c r="X102" s="163"/>
      <c r="Y102" s="163"/>
      <c r="Z102" s="163"/>
      <c r="AA102" s="163"/>
      <c r="AB102" s="163"/>
      <c r="AC102" s="163"/>
      <c r="AD102" s="163"/>
      <c r="AE102" s="163"/>
      <c r="AF102" s="163"/>
      <c r="AG102" s="163"/>
      <c r="AH102" s="163"/>
      <c r="AI102" s="246" t="s">
        <v>384</v>
      </c>
      <c r="AJ102" s="246">
        <v>2019.0</v>
      </c>
      <c r="AK102" s="246">
        <v>190.0</v>
      </c>
      <c r="AL102" s="246">
        <v>339.0</v>
      </c>
      <c r="AM102" s="246">
        <v>549.0</v>
      </c>
      <c r="AN102" s="246">
        <v>821.0</v>
      </c>
      <c r="AO102" s="246">
        <v>571.0</v>
      </c>
      <c r="AP102" s="246">
        <v>2470.0</v>
      </c>
      <c r="AQ102" s="246"/>
      <c r="AR102" s="246">
        <v>2019.0</v>
      </c>
      <c r="AS102" s="246">
        <v>18.0</v>
      </c>
      <c r="AT102" s="246">
        <v>4.0</v>
      </c>
      <c r="AU102" s="246">
        <v>2.0</v>
      </c>
      <c r="AV102" s="246">
        <v>2.0</v>
      </c>
      <c r="AW102" s="246">
        <v>1.0</v>
      </c>
      <c r="AX102" s="246">
        <v>27.0</v>
      </c>
      <c r="AY102" s="163"/>
      <c r="AZ102" s="254" t="s">
        <v>546</v>
      </c>
      <c r="BA102" s="254">
        <v>2019.0</v>
      </c>
      <c r="BB102" s="254">
        <v>173.0</v>
      </c>
      <c r="BC102" s="254">
        <v>134.0</v>
      </c>
      <c r="BD102" s="254">
        <v>249.0</v>
      </c>
      <c r="BE102" s="254">
        <v>354.0</v>
      </c>
      <c r="BF102" s="254">
        <v>360.0</v>
      </c>
      <c r="BG102" s="254">
        <v>1270.0</v>
      </c>
      <c r="BH102" s="254"/>
      <c r="BI102" s="254">
        <v>2019.0</v>
      </c>
      <c r="BJ102" s="254">
        <v>24.0</v>
      </c>
      <c r="BK102" s="254">
        <v>0.0</v>
      </c>
      <c r="BL102" s="254">
        <v>0.0</v>
      </c>
      <c r="BM102" s="254">
        <v>0.0</v>
      </c>
      <c r="BN102" s="254">
        <v>0.0</v>
      </c>
      <c r="BO102" s="254">
        <v>24.0</v>
      </c>
      <c r="BP102" s="163"/>
      <c r="BQ102" s="163"/>
      <c r="BR102" s="163"/>
      <c r="BS102" s="163"/>
      <c r="BT102" s="163"/>
      <c r="BU102" s="163"/>
      <c r="BV102" s="163"/>
      <c r="BW102" s="163"/>
      <c r="BX102" s="163"/>
      <c r="BY102" s="163"/>
      <c r="BZ102" s="163"/>
      <c r="CA102" s="163"/>
      <c r="CB102" s="163"/>
      <c r="CC102" s="163"/>
      <c r="CD102" s="163"/>
      <c r="CE102" s="163"/>
      <c r="CF102" s="163"/>
      <c r="CG102" s="163"/>
      <c r="CH102" s="57" t="s">
        <v>698</v>
      </c>
      <c r="CI102" s="57">
        <v>2020.0</v>
      </c>
      <c r="CJ102" s="57">
        <v>208.0</v>
      </c>
      <c r="CK102" s="57">
        <v>92.0</v>
      </c>
      <c r="CL102" s="57">
        <v>150.0</v>
      </c>
      <c r="CM102" s="57">
        <v>191.0</v>
      </c>
      <c r="CN102" s="57">
        <v>312.0</v>
      </c>
      <c r="CO102" s="57">
        <v>953.0</v>
      </c>
      <c r="CP102" s="57"/>
      <c r="CQ102" s="57">
        <v>2020.0</v>
      </c>
      <c r="CR102" s="57">
        <v>56.0</v>
      </c>
      <c r="CS102" s="57">
        <v>0.0</v>
      </c>
      <c r="CT102" s="57">
        <v>0.0</v>
      </c>
      <c r="CU102" s="57">
        <v>0.0</v>
      </c>
      <c r="CV102" s="57">
        <v>0.0</v>
      </c>
      <c r="CW102" s="57">
        <v>56.0</v>
      </c>
      <c r="CX102" s="163"/>
      <c r="CY102" s="163"/>
      <c r="CZ102" s="163"/>
      <c r="DA102" s="163"/>
      <c r="DB102" s="163"/>
      <c r="DC102" s="163"/>
      <c r="DD102" s="163"/>
      <c r="DE102" s="163"/>
      <c r="DF102" s="163"/>
      <c r="DG102" s="163"/>
      <c r="DH102" s="163"/>
      <c r="DI102" s="163"/>
      <c r="DJ102" s="163"/>
      <c r="DK102" s="163"/>
      <c r="DL102" s="163"/>
      <c r="DM102" s="163"/>
      <c r="DN102" s="163"/>
      <c r="DO102" s="163"/>
      <c r="DP102" s="163"/>
      <c r="DQ102" s="163"/>
      <c r="DR102" s="163"/>
      <c r="DS102" s="163"/>
      <c r="DT102" s="163"/>
      <c r="DU102" s="163"/>
      <c r="DV102" s="163"/>
      <c r="DW102" s="163"/>
      <c r="DX102" s="163"/>
      <c r="DY102" s="163"/>
      <c r="DZ102" s="163"/>
      <c r="EA102" s="163"/>
      <c r="EB102" s="163"/>
      <c r="EC102" s="163"/>
      <c r="ED102" s="163"/>
      <c r="EE102" s="163"/>
      <c r="EF102" s="163"/>
      <c r="EG102" s="57" t="s">
        <v>830</v>
      </c>
      <c r="EH102" s="57">
        <v>2020.0</v>
      </c>
      <c r="EI102" s="57" t="s">
        <v>541</v>
      </c>
      <c r="EJ102" s="57" t="s">
        <v>541</v>
      </c>
      <c r="EK102" s="57" t="s">
        <v>541</v>
      </c>
      <c r="EL102" s="57" t="s">
        <v>541</v>
      </c>
      <c r="EM102" s="57" t="s">
        <v>541</v>
      </c>
      <c r="EN102" s="57" t="s">
        <v>541</v>
      </c>
      <c r="EO102" s="57"/>
      <c r="EP102" s="57">
        <v>2020.0</v>
      </c>
      <c r="EQ102" s="57" t="s">
        <v>541</v>
      </c>
      <c r="ER102" s="57" t="s">
        <v>541</v>
      </c>
      <c r="ES102" s="57" t="s">
        <v>541</v>
      </c>
      <c r="ET102" s="57" t="s">
        <v>541</v>
      </c>
      <c r="EU102" s="57" t="s">
        <v>541</v>
      </c>
      <c r="EV102" s="57" t="s">
        <v>541</v>
      </c>
      <c r="EW102" s="163"/>
      <c r="EX102" s="255" t="s">
        <v>864</v>
      </c>
      <c r="EY102" s="255">
        <v>2020.0</v>
      </c>
      <c r="EZ102" s="255">
        <v>194.0</v>
      </c>
      <c r="FA102" s="255">
        <v>291.0</v>
      </c>
      <c r="FB102" s="255">
        <v>272.0</v>
      </c>
      <c r="FC102" s="255">
        <v>352.0</v>
      </c>
      <c r="FD102" s="255">
        <v>418.0</v>
      </c>
      <c r="FE102" s="255">
        <v>1527.0</v>
      </c>
      <c r="FF102" s="255"/>
      <c r="FG102" s="255">
        <v>2020.0</v>
      </c>
      <c r="FH102" s="255">
        <v>39.0</v>
      </c>
      <c r="FI102" s="255">
        <v>24.0</v>
      </c>
      <c r="FJ102" s="255">
        <v>0.0</v>
      </c>
      <c r="FK102" s="255">
        <v>0.0</v>
      </c>
      <c r="FL102" s="255">
        <v>0.0</v>
      </c>
      <c r="FM102" s="255">
        <v>63.0</v>
      </c>
    </row>
    <row r="103" ht="13.5" customHeight="1">
      <c r="A103" s="131"/>
      <c r="B103" s="131"/>
      <c r="C103" s="131"/>
      <c r="D103" s="131"/>
      <c r="E103" s="131"/>
      <c r="F103" s="131"/>
      <c r="G103" s="131"/>
      <c r="H103" s="131"/>
      <c r="I103" s="131"/>
      <c r="J103" s="131"/>
      <c r="K103" s="131"/>
      <c r="L103" s="131"/>
      <c r="M103" s="131"/>
      <c r="N103" s="131"/>
      <c r="O103" s="131"/>
      <c r="P103" s="131"/>
      <c r="Q103" s="131"/>
      <c r="R103" s="163"/>
      <c r="S103" s="163"/>
      <c r="T103" s="163"/>
      <c r="U103" s="163"/>
      <c r="V103" s="163"/>
      <c r="W103" s="163"/>
      <c r="X103" s="163"/>
      <c r="Y103" s="163"/>
      <c r="Z103" s="163"/>
      <c r="AA103" s="163"/>
      <c r="AB103" s="163"/>
      <c r="AC103" s="163"/>
      <c r="AD103" s="163"/>
      <c r="AE103" s="163"/>
      <c r="AF103" s="163"/>
      <c r="AG103" s="163"/>
      <c r="AH103" s="163"/>
      <c r="AI103" s="246" t="s">
        <v>386</v>
      </c>
      <c r="AJ103" s="246">
        <v>2019.0</v>
      </c>
      <c r="AK103" s="246">
        <v>214.0</v>
      </c>
      <c r="AL103" s="246">
        <v>419.0</v>
      </c>
      <c r="AM103" s="246">
        <v>578.0</v>
      </c>
      <c r="AN103" s="246">
        <v>747.0</v>
      </c>
      <c r="AO103" s="246">
        <v>552.0</v>
      </c>
      <c r="AP103" s="246">
        <v>2510.0</v>
      </c>
      <c r="AQ103" s="246"/>
      <c r="AR103" s="246">
        <v>2019.0</v>
      </c>
      <c r="AS103" s="246">
        <v>16.0</v>
      </c>
      <c r="AT103" s="246">
        <v>4.0</v>
      </c>
      <c r="AU103" s="246">
        <v>1.0</v>
      </c>
      <c r="AV103" s="246">
        <v>1.0</v>
      </c>
      <c r="AW103" s="246">
        <v>0.0</v>
      </c>
      <c r="AX103" s="246">
        <v>22.0</v>
      </c>
      <c r="AY103" s="163"/>
      <c r="AZ103" s="254" t="s">
        <v>549</v>
      </c>
      <c r="BA103" s="254">
        <v>2019.0</v>
      </c>
      <c r="BB103" s="254">
        <v>51.0</v>
      </c>
      <c r="BC103" s="254">
        <v>145.0</v>
      </c>
      <c r="BD103" s="254">
        <v>300.0</v>
      </c>
      <c r="BE103" s="254">
        <v>490.0</v>
      </c>
      <c r="BF103" s="254">
        <v>478.0</v>
      </c>
      <c r="BG103" s="254">
        <v>1464.0</v>
      </c>
      <c r="BH103" s="254"/>
      <c r="BI103" s="254">
        <v>2019.0</v>
      </c>
      <c r="BJ103" s="254">
        <v>17.0</v>
      </c>
      <c r="BK103" s="254">
        <v>2.0</v>
      </c>
      <c r="BL103" s="254">
        <v>6.0</v>
      </c>
      <c r="BM103" s="254">
        <v>0.0</v>
      </c>
      <c r="BN103" s="254">
        <v>0.0</v>
      </c>
      <c r="BO103" s="254">
        <v>25.0</v>
      </c>
      <c r="BP103" s="163"/>
      <c r="BQ103" s="163"/>
      <c r="BR103" s="163"/>
      <c r="BS103" s="163"/>
      <c r="BT103" s="163"/>
      <c r="BU103" s="163"/>
      <c r="BV103" s="163"/>
      <c r="BW103" s="163"/>
      <c r="BX103" s="163"/>
      <c r="BY103" s="163"/>
      <c r="BZ103" s="163"/>
      <c r="CA103" s="163"/>
      <c r="CB103" s="163"/>
      <c r="CC103" s="163"/>
      <c r="CD103" s="163"/>
      <c r="CE103" s="163"/>
      <c r="CF103" s="163"/>
      <c r="CG103" s="163"/>
      <c r="CH103" s="57" t="s">
        <v>989</v>
      </c>
      <c r="CI103" s="57">
        <v>2020.0</v>
      </c>
      <c r="CJ103" s="57">
        <v>244.0</v>
      </c>
      <c r="CK103" s="57">
        <v>189.0</v>
      </c>
      <c r="CL103" s="57">
        <v>248.0</v>
      </c>
      <c r="CM103" s="57">
        <v>302.0</v>
      </c>
      <c r="CN103" s="57">
        <v>273.0</v>
      </c>
      <c r="CO103" s="57">
        <v>1256.0</v>
      </c>
      <c r="CP103" s="57"/>
      <c r="CQ103" s="57">
        <v>2020.0</v>
      </c>
      <c r="CR103" s="57">
        <v>26.0</v>
      </c>
      <c r="CS103" s="57">
        <v>0.0</v>
      </c>
      <c r="CT103" s="57">
        <v>0.0</v>
      </c>
      <c r="CU103" s="57">
        <v>0.0</v>
      </c>
      <c r="CV103" s="57">
        <v>0.0</v>
      </c>
      <c r="CW103" s="57">
        <v>26.0</v>
      </c>
      <c r="CX103" s="163"/>
      <c r="CY103" s="163"/>
      <c r="CZ103" s="163"/>
      <c r="DA103" s="163"/>
      <c r="DB103" s="163"/>
      <c r="DC103" s="163"/>
      <c r="DD103" s="163"/>
      <c r="DE103" s="163"/>
      <c r="DF103" s="163"/>
      <c r="DG103" s="163"/>
      <c r="DH103" s="163"/>
      <c r="DI103" s="163"/>
      <c r="DJ103" s="163"/>
      <c r="DK103" s="163"/>
      <c r="DL103" s="163"/>
      <c r="DM103" s="163"/>
      <c r="DN103" s="163"/>
      <c r="DO103" s="163"/>
      <c r="DP103" s="163"/>
      <c r="DQ103" s="163"/>
      <c r="DR103" s="163"/>
      <c r="DS103" s="163"/>
      <c r="DT103" s="163"/>
      <c r="DU103" s="163"/>
      <c r="DV103" s="163"/>
      <c r="DW103" s="163"/>
      <c r="DX103" s="163"/>
      <c r="DY103" s="163"/>
      <c r="DZ103" s="163"/>
      <c r="EA103" s="163"/>
      <c r="EB103" s="163"/>
      <c r="EC103" s="163"/>
      <c r="ED103" s="163"/>
      <c r="EE103" s="163"/>
      <c r="EF103" s="163"/>
      <c r="EG103" s="57" t="s">
        <v>832</v>
      </c>
      <c r="EH103" s="57">
        <v>2020.0</v>
      </c>
      <c r="EI103" s="57" t="s">
        <v>541</v>
      </c>
      <c r="EJ103" s="57" t="s">
        <v>541</v>
      </c>
      <c r="EK103" s="57" t="s">
        <v>541</v>
      </c>
      <c r="EL103" s="57" t="s">
        <v>541</v>
      </c>
      <c r="EM103" s="57" t="s">
        <v>541</v>
      </c>
      <c r="EN103" s="57" t="s">
        <v>541</v>
      </c>
      <c r="EO103" s="57"/>
      <c r="EP103" s="57">
        <v>2020.0</v>
      </c>
      <c r="EQ103" s="57" t="s">
        <v>541</v>
      </c>
      <c r="ER103" s="57" t="s">
        <v>541</v>
      </c>
      <c r="ES103" s="57" t="s">
        <v>541</v>
      </c>
      <c r="ET103" s="57" t="s">
        <v>541</v>
      </c>
      <c r="EU103" s="57" t="s">
        <v>541</v>
      </c>
      <c r="EV103" s="57" t="s">
        <v>541</v>
      </c>
      <c r="EW103" s="163"/>
      <c r="EX103" s="255" t="s">
        <v>866</v>
      </c>
      <c r="EY103" s="255">
        <v>2020.0</v>
      </c>
      <c r="EZ103" s="255">
        <v>181.0</v>
      </c>
      <c r="FA103" s="255">
        <v>225.0</v>
      </c>
      <c r="FB103" s="255">
        <v>200.0</v>
      </c>
      <c r="FC103" s="255">
        <v>232.0</v>
      </c>
      <c r="FD103" s="255">
        <v>298.0</v>
      </c>
      <c r="FE103" s="255">
        <v>1136.0</v>
      </c>
      <c r="FF103" s="255"/>
      <c r="FG103" s="255">
        <v>2020.0</v>
      </c>
      <c r="FH103" s="255">
        <v>49.0</v>
      </c>
      <c r="FI103" s="255">
        <v>14.0</v>
      </c>
      <c r="FJ103" s="255">
        <v>4.0</v>
      </c>
      <c r="FK103" s="255">
        <v>2.0</v>
      </c>
      <c r="FL103" s="255">
        <v>0.0</v>
      </c>
      <c r="FM103" s="255">
        <v>69.0</v>
      </c>
    </row>
    <row r="104" ht="13.5" customHeight="1">
      <c r="A104" s="252" t="s">
        <v>1074</v>
      </c>
      <c r="B104" s="252">
        <v>2020.0</v>
      </c>
      <c r="C104" s="252">
        <v>7.0</v>
      </c>
      <c r="D104" s="252">
        <v>0.0</v>
      </c>
      <c r="E104" s="252">
        <v>1.0</v>
      </c>
      <c r="F104" s="252">
        <v>1.0</v>
      </c>
      <c r="G104" s="252">
        <v>0.0</v>
      </c>
      <c r="H104" s="252">
        <v>9.0</v>
      </c>
      <c r="I104" s="252"/>
      <c r="J104" s="252">
        <v>2020.0</v>
      </c>
      <c r="K104" s="252">
        <v>113.0</v>
      </c>
      <c r="L104" s="252">
        <v>145.0</v>
      </c>
      <c r="M104" s="252">
        <v>248.0</v>
      </c>
      <c r="N104" s="252">
        <v>334.0</v>
      </c>
      <c r="O104" s="252">
        <v>289.0</v>
      </c>
      <c r="P104" s="252">
        <v>1129.0</v>
      </c>
      <c r="Q104" s="131"/>
      <c r="R104" s="163"/>
      <c r="S104" s="163"/>
      <c r="T104" s="163"/>
      <c r="U104" s="163"/>
      <c r="V104" s="163"/>
      <c r="W104" s="163"/>
      <c r="X104" s="163"/>
      <c r="Y104" s="163"/>
      <c r="Z104" s="163"/>
      <c r="AA104" s="163"/>
      <c r="AB104" s="163"/>
      <c r="AC104" s="163"/>
      <c r="AD104" s="163"/>
      <c r="AE104" s="163"/>
      <c r="AF104" s="163"/>
      <c r="AG104" s="163"/>
      <c r="AH104" s="163"/>
      <c r="AI104" s="163"/>
      <c r="AJ104" s="163"/>
      <c r="AK104" s="163"/>
      <c r="AL104" s="163"/>
      <c r="AM104" s="163"/>
      <c r="AN104" s="163"/>
      <c r="AO104" s="163"/>
      <c r="AP104" s="163"/>
      <c r="AQ104" s="163"/>
      <c r="AR104" s="163"/>
      <c r="AS104" s="163"/>
      <c r="AT104" s="163"/>
      <c r="AU104" s="163"/>
      <c r="AV104" s="163"/>
      <c r="AW104" s="163"/>
      <c r="AX104" s="163"/>
      <c r="AY104" s="163"/>
      <c r="AZ104" s="254" t="s">
        <v>555</v>
      </c>
      <c r="BA104" s="254">
        <v>2019.0</v>
      </c>
      <c r="BB104" s="254">
        <v>114.0</v>
      </c>
      <c r="BC104" s="254">
        <v>119.0</v>
      </c>
      <c r="BD104" s="254">
        <v>260.0</v>
      </c>
      <c r="BE104" s="254">
        <v>344.0</v>
      </c>
      <c r="BF104" s="254">
        <v>337.0</v>
      </c>
      <c r="BG104" s="254">
        <v>1174.0</v>
      </c>
      <c r="BH104" s="254"/>
      <c r="BI104" s="254">
        <v>2019.0</v>
      </c>
      <c r="BJ104" s="254">
        <v>21.0</v>
      </c>
      <c r="BK104" s="254">
        <v>0.0</v>
      </c>
      <c r="BL104" s="254">
        <v>0.0</v>
      </c>
      <c r="BM104" s="254">
        <v>0.0</v>
      </c>
      <c r="BN104" s="254">
        <v>0.0</v>
      </c>
      <c r="BO104" s="254">
        <v>21.0</v>
      </c>
      <c r="BP104" s="163"/>
      <c r="BQ104" s="163"/>
      <c r="BR104" s="163"/>
      <c r="BS104" s="163"/>
      <c r="BT104" s="163"/>
      <c r="BU104" s="163"/>
      <c r="BV104" s="163"/>
      <c r="BW104" s="163"/>
      <c r="BX104" s="163"/>
      <c r="BY104" s="163"/>
      <c r="BZ104" s="163"/>
      <c r="CA104" s="163"/>
      <c r="CB104" s="163"/>
      <c r="CC104" s="163"/>
      <c r="CD104" s="163"/>
      <c r="CE104" s="163"/>
      <c r="CF104" s="163"/>
      <c r="CG104" s="163"/>
      <c r="CH104" s="57" t="s">
        <v>992</v>
      </c>
      <c r="CI104" s="57">
        <v>2020.0</v>
      </c>
      <c r="CJ104" s="57">
        <v>118.0</v>
      </c>
      <c r="CK104" s="57">
        <v>95.0</v>
      </c>
      <c r="CL104" s="57">
        <v>192.0</v>
      </c>
      <c r="CM104" s="57">
        <v>251.0</v>
      </c>
      <c r="CN104" s="57">
        <v>245.0</v>
      </c>
      <c r="CO104" s="57">
        <v>901.0</v>
      </c>
      <c r="CP104" s="57"/>
      <c r="CQ104" s="57">
        <v>2020.0</v>
      </c>
      <c r="CR104" s="57">
        <v>21.0</v>
      </c>
      <c r="CS104" s="57">
        <v>0.0</v>
      </c>
      <c r="CT104" s="57">
        <v>0.0</v>
      </c>
      <c r="CU104" s="57">
        <v>0.0</v>
      </c>
      <c r="CV104" s="57">
        <v>0.0</v>
      </c>
      <c r="CW104" s="57">
        <v>21.0</v>
      </c>
      <c r="CX104" s="163"/>
      <c r="CY104" s="163"/>
      <c r="CZ104" s="163"/>
      <c r="DA104" s="163"/>
      <c r="DB104" s="163"/>
      <c r="DC104" s="163"/>
      <c r="DD104" s="163"/>
      <c r="DE104" s="163"/>
      <c r="DF104" s="163"/>
      <c r="DG104" s="163"/>
      <c r="DH104" s="163"/>
      <c r="DI104" s="163"/>
      <c r="DJ104" s="163"/>
      <c r="DK104" s="163"/>
      <c r="DL104" s="163"/>
      <c r="DM104" s="163"/>
      <c r="DN104" s="163"/>
      <c r="DO104" s="163"/>
      <c r="DP104" s="163"/>
      <c r="DQ104" s="163"/>
      <c r="DR104" s="163"/>
      <c r="DS104" s="163"/>
      <c r="DT104" s="163"/>
      <c r="DU104" s="163"/>
      <c r="DV104" s="163"/>
      <c r="DW104" s="163"/>
      <c r="DX104" s="163"/>
      <c r="DY104" s="163"/>
      <c r="DZ104" s="163"/>
      <c r="EA104" s="163"/>
      <c r="EB104" s="163"/>
      <c r="EC104" s="163"/>
      <c r="ED104" s="163"/>
      <c r="EE104" s="163"/>
      <c r="EF104" s="163"/>
      <c r="EG104" s="57" t="s">
        <v>834</v>
      </c>
      <c r="EH104" s="57">
        <v>2020.0</v>
      </c>
      <c r="EI104" s="57">
        <v>168.0</v>
      </c>
      <c r="EJ104" s="57">
        <v>243.0</v>
      </c>
      <c r="EK104" s="57">
        <v>338.0</v>
      </c>
      <c r="EL104" s="57">
        <v>419.0</v>
      </c>
      <c r="EM104" s="57">
        <v>417.0</v>
      </c>
      <c r="EN104" s="57">
        <v>1585.0</v>
      </c>
      <c r="EO104" s="57"/>
      <c r="EP104" s="57">
        <v>2020.0</v>
      </c>
      <c r="EQ104" s="57">
        <v>32.0</v>
      </c>
      <c r="ER104" s="57">
        <v>8.0</v>
      </c>
      <c r="ES104" s="57">
        <v>4.0</v>
      </c>
      <c r="ET104" s="57">
        <v>3.0</v>
      </c>
      <c r="EU104" s="57">
        <v>6.0</v>
      </c>
      <c r="EV104" s="57">
        <v>53.0</v>
      </c>
      <c r="EW104" s="163"/>
      <c r="EX104" s="255" t="s">
        <v>868</v>
      </c>
      <c r="EY104" s="255">
        <v>2020.0</v>
      </c>
      <c r="EZ104" s="255">
        <v>404.0</v>
      </c>
      <c r="FA104" s="255">
        <v>408.0</v>
      </c>
      <c r="FB104" s="255">
        <v>407.0</v>
      </c>
      <c r="FC104" s="255">
        <v>364.0</v>
      </c>
      <c r="FD104" s="255">
        <v>563.0</v>
      </c>
      <c r="FE104" s="255">
        <v>2146.0</v>
      </c>
      <c r="FF104" s="255"/>
      <c r="FG104" s="255">
        <v>2020.0</v>
      </c>
      <c r="FH104" s="255">
        <v>104.0</v>
      </c>
      <c r="FI104" s="255">
        <v>22.0</v>
      </c>
      <c r="FJ104" s="255">
        <v>0.0</v>
      </c>
      <c r="FK104" s="255">
        <v>0.0</v>
      </c>
      <c r="FL104" s="255">
        <v>0.0</v>
      </c>
      <c r="FM104" s="255">
        <v>126.0</v>
      </c>
    </row>
    <row r="105" ht="13.5" customHeight="1">
      <c r="A105" s="252" t="s">
        <v>1078</v>
      </c>
      <c r="B105" s="252">
        <v>2020.0</v>
      </c>
      <c r="C105" s="252">
        <v>8.0</v>
      </c>
      <c r="D105" s="252">
        <v>0.0</v>
      </c>
      <c r="E105" s="252">
        <v>0.0</v>
      </c>
      <c r="F105" s="252">
        <v>0.0</v>
      </c>
      <c r="G105" s="252">
        <v>0.0</v>
      </c>
      <c r="H105" s="252">
        <v>8.0</v>
      </c>
      <c r="I105" s="252"/>
      <c r="J105" s="252">
        <v>2020.0</v>
      </c>
      <c r="K105" s="252">
        <v>158.0</v>
      </c>
      <c r="L105" s="252">
        <v>322.0</v>
      </c>
      <c r="M105" s="252">
        <v>438.0</v>
      </c>
      <c r="N105" s="252">
        <v>608.0</v>
      </c>
      <c r="O105" s="252">
        <v>490.0</v>
      </c>
      <c r="P105" s="252">
        <v>2016.0</v>
      </c>
      <c r="Q105" s="131"/>
      <c r="R105" s="163"/>
      <c r="S105" s="163"/>
      <c r="T105" s="163"/>
      <c r="U105" s="163"/>
      <c r="V105" s="163"/>
      <c r="W105" s="163"/>
      <c r="X105" s="163"/>
      <c r="Y105" s="163"/>
      <c r="Z105" s="163"/>
      <c r="AA105" s="163"/>
      <c r="AB105" s="163"/>
      <c r="AC105" s="163"/>
      <c r="AD105" s="163"/>
      <c r="AE105" s="163"/>
      <c r="AF105" s="163"/>
      <c r="AG105" s="163"/>
      <c r="AH105" s="163"/>
      <c r="AI105" s="246" t="s">
        <v>388</v>
      </c>
      <c r="AJ105" s="246">
        <v>2019.0</v>
      </c>
      <c r="AK105" s="246">
        <v>393.0</v>
      </c>
      <c r="AL105" s="246">
        <v>376.0</v>
      </c>
      <c r="AM105" s="246">
        <v>369.0</v>
      </c>
      <c r="AN105" s="246">
        <v>406.0</v>
      </c>
      <c r="AO105" s="246">
        <v>529.0</v>
      </c>
      <c r="AP105" s="246">
        <v>2073.0</v>
      </c>
      <c r="AQ105" s="246"/>
      <c r="AR105" s="246">
        <v>2019.0</v>
      </c>
      <c r="AS105" s="246">
        <v>127.0</v>
      </c>
      <c r="AT105" s="246">
        <v>60.0</v>
      </c>
      <c r="AU105" s="246">
        <v>43.0</v>
      </c>
      <c r="AV105" s="246">
        <v>38.0</v>
      </c>
      <c r="AW105" s="246">
        <v>55.0</v>
      </c>
      <c r="AX105" s="246">
        <v>323.0</v>
      </c>
      <c r="AY105" s="163"/>
      <c r="AZ105" s="254" t="s">
        <v>557</v>
      </c>
      <c r="BA105" s="254">
        <v>2019.0</v>
      </c>
      <c r="BB105" s="254">
        <v>105.0</v>
      </c>
      <c r="BC105" s="254">
        <v>206.0</v>
      </c>
      <c r="BD105" s="254">
        <v>344.0</v>
      </c>
      <c r="BE105" s="254">
        <v>464.0</v>
      </c>
      <c r="BF105" s="254">
        <v>368.0</v>
      </c>
      <c r="BG105" s="254">
        <v>1487.0</v>
      </c>
      <c r="BH105" s="254"/>
      <c r="BI105" s="254">
        <v>2019.0</v>
      </c>
      <c r="BJ105" s="254">
        <v>21.0</v>
      </c>
      <c r="BK105" s="254">
        <v>0.0</v>
      </c>
      <c r="BL105" s="254">
        <v>0.0</v>
      </c>
      <c r="BM105" s="254">
        <v>0.0</v>
      </c>
      <c r="BN105" s="254">
        <v>0.0</v>
      </c>
      <c r="BO105" s="254">
        <v>21.0</v>
      </c>
      <c r="BP105" s="163"/>
      <c r="BQ105" s="163"/>
      <c r="BR105" s="163"/>
      <c r="BS105" s="163"/>
      <c r="BT105" s="163"/>
      <c r="BU105" s="163"/>
      <c r="BV105" s="163"/>
      <c r="BW105" s="163"/>
      <c r="BX105" s="163"/>
      <c r="BY105" s="163"/>
      <c r="BZ105" s="163"/>
      <c r="CA105" s="163"/>
      <c r="CB105" s="163"/>
      <c r="CC105" s="163"/>
      <c r="CD105" s="163"/>
      <c r="CE105" s="163"/>
      <c r="CF105" s="163"/>
      <c r="CG105" s="163"/>
      <c r="CH105" s="57" t="s">
        <v>994</v>
      </c>
      <c r="CI105" s="57">
        <v>2020.0</v>
      </c>
      <c r="CJ105" s="57">
        <v>288.0</v>
      </c>
      <c r="CK105" s="57">
        <v>468.0</v>
      </c>
      <c r="CL105" s="57">
        <v>727.0</v>
      </c>
      <c r="CM105" s="57">
        <v>967.0</v>
      </c>
      <c r="CN105" s="57">
        <v>770.0</v>
      </c>
      <c r="CO105" s="57">
        <v>3220.0</v>
      </c>
      <c r="CP105" s="57"/>
      <c r="CQ105" s="57">
        <v>2020.0</v>
      </c>
      <c r="CR105" s="57">
        <v>19.0</v>
      </c>
      <c r="CS105" s="57">
        <v>0.0</v>
      </c>
      <c r="CT105" s="57">
        <v>0.0</v>
      </c>
      <c r="CU105" s="57">
        <v>0.0</v>
      </c>
      <c r="CV105" s="57">
        <v>0.0</v>
      </c>
      <c r="CW105" s="57">
        <v>19.0</v>
      </c>
      <c r="CX105" s="163"/>
      <c r="CY105" s="163"/>
      <c r="CZ105" s="163"/>
      <c r="DA105" s="163"/>
      <c r="DB105" s="163"/>
      <c r="DC105" s="163"/>
      <c r="DD105" s="163"/>
      <c r="DE105" s="163"/>
      <c r="DF105" s="163"/>
      <c r="DG105" s="163"/>
      <c r="DH105" s="163"/>
      <c r="DI105" s="163"/>
      <c r="DJ105" s="163"/>
      <c r="DK105" s="163"/>
      <c r="DL105" s="163"/>
      <c r="DM105" s="163"/>
      <c r="DN105" s="163"/>
      <c r="DO105" s="163"/>
      <c r="DP105" s="163"/>
      <c r="DQ105" s="163"/>
      <c r="DR105" s="163"/>
      <c r="DS105" s="163"/>
      <c r="DT105" s="163"/>
      <c r="DU105" s="163"/>
      <c r="DV105" s="163"/>
      <c r="DW105" s="163"/>
      <c r="DX105" s="163"/>
      <c r="DY105" s="163"/>
      <c r="DZ105" s="163"/>
      <c r="EA105" s="163"/>
      <c r="EB105" s="163"/>
      <c r="EC105" s="163"/>
      <c r="ED105" s="163"/>
      <c r="EE105" s="163"/>
      <c r="EF105" s="163"/>
      <c r="EG105" s="57" t="s">
        <v>836</v>
      </c>
      <c r="EH105" s="57">
        <v>2020.0</v>
      </c>
      <c r="EI105" s="57" t="s">
        <v>541</v>
      </c>
      <c r="EJ105" s="57" t="s">
        <v>541</v>
      </c>
      <c r="EK105" s="57" t="s">
        <v>541</v>
      </c>
      <c r="EL105" s="57" t="s">
        <v>541</v>
      </c>
      <c r="EM105" s="57" t="s">
        <v>541</v>
      </c>
      <c r="EN105" s="57" t="s">
        <v>541</v>
      </c>
      <c r="EO105" s="57"/>
      <c r="EP105" s="57">
        <v>2020.0</v>
      </c>
      <c r="EQ105" s="57" t="s">
        <v>541</v>
      </c>
      <c r="ER105" s="57" t="s">
        <v>541</v>
      </c>
      <c r="ES105" s="57" t="s">
        <v>541</v>
      </c>
      <c r="ET105" s="57" t="s">
        <v>541</v>
      </c>
      <c r="EU105" s="57" t="s">
        <v>541</v>
      </c>
      <c r="EV105" s="57" t="s">
        <v>541</v>
      </c>
      <c r="EW105" s="163"/>
      <c r="EX105" s="255" t="s">
        <v>870</v>
      </c>
      <c r="EY105" s="255">
        <v>2020.0</v>
      </c>
      <c r="EZ105" s="255">
        <v>428.0</v>
      </c>
      <c r="FA105" s="255">
        <v>513.0</v>
      </c>
      <c r="FB105" s="255">
        <v>466.0</v>
      </c>
      <c r="FC105" s="255">
        <v>458.0</v>
      </c>
      <c r="FD105" s="255">
        <v>575.0</v>
      </c>
      <c r="FE105" s="255">
        <v>2440.0</v>
      </c>
      <c r="FF105" s="255"/>
      <c r="FG105" s="255">
        <v>2020.0</v>
      </c>
      <c r="FH105" s="255">
        <v>101.0</v>
      </c>
      <c r="FI105" s="255">
        <v>16.0</v>
      </c>
      <c r="FJ105" s="255">
        <v>0.0</v>
      </c>
      <c r="FK105" s="255">
        <v>0.0</v>
      </c>
      <c r="FL105" s="255">
        <v>0.0</v>
      </c>
      <c r="FM105" s="255">
        <v>117.0</v>
      </c>
    </row>
    <row r="106" ht="13.5" customHeight="1">
      <c r="A106" s="252" t="s">
        <v>1081</v>
      </c>
      <c r="B106" s="252">
        <v>2020.0</v>
      </c>
      <c r="C106" s="252">
        <v>126.0</v>
      </c>
      <c r="D106" s="252">
        <v>3.0</v>
      </c>
      <c r="E106" s="252">
        <v>0.0</v>
      </c>
      <c r="F106" s="252">
        <v>0.0</v>
      </c>
      <c r="G106" s="252">
        <v>0.0</v>
      </c>
      <c r="H106" s="252">
        <v>129.0</v>
      </c>
      <c r="I106" s="252"/>
      <c r="J106" s="252">
        <v>2020.0</v>
      </c>
      <c r="K106" s="252">
        <v>721.0</v>
      </c>
      <c r="L106" s="252">
        <v>750.0</v>
      </c>
      <c r="M106" s="252">
        <v>769.0</v>
      </c>
      <c r="N106" s="252">
        <v>856.0</v>
      </c>
      <c r="O106" s="252">
        <v>595.0</v>
      </c>
      <c r="P106" s="252">
        <v>3691.0</v>
      </c>
      <c r="Q106" s="131"/>
      <c r="R106" s="163"/>
      <c r="S106" s="163"/>
      <c r="T106" s="163"/>
      <c r="U106" s="163"/>
      <c r="V106" s="163"/>
      <c r="W106" s="163"/>
      <c r="X106" s="163"/>
      <c r="Y106" s="163"/>
      <c r="Z106" s="163"/>
      <c r="AA106" s="163"/>
      <c r="AB106" s="163"/>
      <c r="AC106" s="163"/>
      <c r="AD106" s="163"/>
      <c r="AE106" s="163"/>
      <c r="AF106" s="163"/>
      <c r="AG106" s="163"/>
      <c r="AH106" s="163"/>
      <c r="AI106" s="246" t="s">
        <v>391</v>
      </c>
      <c r="AJ106" s="246">
        <v>2019.0</v>
      </c>
      <c r="AK106" s="246">
        <v>658.0</v>
      </c>
      <c r="AL106" s="246">
        <v>765.0</v>
      </c>
      <c r="AM106" s="246">
        <v>561.0</v>
      </c>
      <c r="AN106" s="246">
        <v>587.0</v>
      </c>
      <c r="AO106" s="246">
        <v>628.0</v>
      </c>
      <c r="AP106" s="246">
        <v>3199.0</v>
      </c>
      <c r="AQ106" s="246"/>
      <c r="AR106" s="246">
        <v>2019.0</v>
      </c>
      <c r="AS106" s="246">
        <v>116.0</v>
      </c>
      <c r="AT106" s="246">
        <v>17.0</v>
      </c>
      <c r="AU106" s="246">
        <v>8.0</v>
      </c>
      <c r="AV106" s="246">
        <v>17.0</v>
      </c>
      <c r="AW106" s="246">
        <v>17.0</v>
      </c>
      <c r="AX106" s="246">
        <v>175.0</v>
      </c>
      <c r="AY106" s="163"/>
      <c r="AZ106" s="254" t="s">
        <v>548</v>
      </c>
      <c r="BA106" s="254">
        <v>2019.0</v>
      </c>
      <c r="BB106" s="254">
        <v>1901.0</v>
      </c>
      <c r="BC106" s="254">
        <v>1174.0</v>
      </c>
      <c r="BD106" s="254">
        <v>1386.0</v>
      </c>
      <c r="BE106" s="254">
        <v>1332.0</v>
      </c>
      <c r="BF106" s="254">
        <v>965.0</v>
      </c>
      <c r="BG106" s="254">
        <v>6758.0</v>
      </c>
      <c r="BH106" s="254"/>
      <c r="BI106" s="254">
        <v>2019.0</v>
      </c>
      <c r="BJ106" s="254">
        <v>376.0</v>
      </c>
      <c r="BK106" s="254">
        <v>0.0</v>
      </c>
      <c r="BL106" s="254">
        <v>0.0</v>
      </c>
      <c r="BM106" s="254">
        <v>0.0</v>
      </c>
      <c r="BN106" s="254">
        <v>0.0</v>
      </c>
      <c r="BO106" s="254">
        <v>376.0</v>
      </c>
      <c r="BP106" s="163"/>
      <c r="BQ106" s="163"/>
      <c r="BR106" s="163"/>
      <c r="BS106" s="163"/>
      <c r="BT106" s="163"/>
      <c r="BU106" s="163"/>
      <c r="BV106" s="163"/>
      <c r="BW106" s="163"/>
      <c r="BX106" s="163"/>
      <c r="BY106" s="163"/>
      <c r="BZ106" s="163"/>
      <c r="CA106" s="163"/>
      <c r="CB106" s="163"/>
      <c r="CC106" s="163"/>
      <c r="CD106" s="163"/>
      <c r="CE106" s="163"/>
      <c r="CF106" s="163"/>
      <c r="CG106" s="163"/>
      <c r="CH106" s="57" t="s">
        <v>996</v>
      </c>
      <c r="CI106" s="57">
        <v>2020.0</v>
      </c>
      <c r="CJ106" s="57">
        <v>101.0</v>
      </c>
      <c r="CK106" s="57">
        <v>122.0</v>
      </c>
      <c r="CL106" s="57">
        <v>209.0</v>
      </c>
      <c r="CM106" s="57">
        <v>277.0</v>
      </c>
      <c r="CN106" s="57">
        <v>239.0</v>
      </c>
      <c r="CO106" s="57">
        <v>948.0</v>
      </c>
      <c r="CP106" s="57"/>
      <c r="CQ106" s="57">
        <v>2020.0</v>
      </c>
      <c r="CR106" s="57">
        <v>18.0</v>
      </c>
      <c r="CS106" s="57">
        <v>0.0</v>
      </c>
      <c r="CT106" s="57">
        <v>0.0</v>
      </c>
      <c r="CU106" s="57">
        <v>0.0</v>
      </c>
      <c r="CV106" s="57">
        <v>0.0</v>
      </c>
      <c r="CW106" s="57">
        <v>18.0</v>
      </c>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57" t="s">
        <v>839</v>
      </c>
      <c r="EH106" s="57">
        <v>2020.0</v>
      </c>
      <c r="EI106" s="57" t="s">
        <v>541</v>
      </c>
      <c r="EJ106" s="57" t="s">
        <v>541</v>
      </c>
      <c r="EK106" s="57" t="s">
        <v>541</v>
      </c>
      <c r="EL106" s="57" t="s">
        <v>541</v>
      </c>
      <c r="EM106" s="57" t="s">
        <v>541</v>
      </c>
      <c r="EN106" s="57" t="s">
        <v>541</v>
      </c>
      <c r="EO106" s="57"/>
      <c r="EP106" s="57">
        <v>2020.0</v>
      </c>
      <c r="EQ106" s="57" t="s">
        <v>541</v>
      </c>
      <c r="ER106" s="57" t="s">
        <v>541</v>
      </c>
      <c r="ES106" s="57" t="s">
        <v>541</v>
      </c>
      <c r="ET106" s="57" t="s">
        <v>541</v>
      </c>
      <c r="EU106" s="57" t="s">
        <v>541</v>
      </c>
      <c r="EV106" s="57" t="s">
        <v>541</v>
      </c>
      <c r="EW106" s="163"/>
      <c r="EX106" s="255" t="s">
        <v>872</v>
      </c>
      <c r="EY106" s="255">
        <v>2020.0</v>
      </c>
      <c r="EZ106" s="255" t="s">
        <v>541</v>
      </c>
      <c r="FA106" s="255" t="s">
        <v>541</v>
      </c>
      <c r="FB106" s="255" t="s">
        <v>541</v>
      </c>
      <c r="FC106" s="255" t="s">
        <v>541</v>
      </c>
      <c r="FD106" s="255" t="s">
        <v>541</v>
      </c>
      <c r="FE106" s="255" t="s">
        <v>541</v>
      </c>
      <c r="FF106" s="255"/>
      <c r="FG106" s="255">
        <v>2020.0</v>
      </c>
      <c r="FH106" s="255" t="s">
        <v>541</v>
      </c>
      <c r="FI106" s="255" t="s">
        <v>541</v>
      </c>
      <c r="FJ106" s="255" t="s">
        <v>541</v>
      </c>
      <c r="FK106" s="255" t="s">
        <v>541</v>
      </c>
      <c r="FL106" s="255" t="s">
        <v>541</v>
      </c>
      <c r="FM106" s="255" t="s">
        <v>541</v>
      </c>
    </row>
    <row r="107" ht="13.5" customHeight="1">
      <c r="A107" s="252" t="s">
        <v>1084</v>
      </c>
      <c r="B107" s="252">
        <v>2020.0</v>
      </c>
      <c r="C107" s="252">
        <v>52.0</v>
      </c>
      <c r="D107" s="252">
        <v>3.0</v>
      </c>
      <c r="E107" s="252">
        <v>0.0</v>
      </c>
      <c r="F107" s="252">
        <v>1.0</v>
      </c>
      <c r="G107" s="252">
        <v>0.0</v>
      </c>
      <c r="H107" s="252">
        <v>56.0</v>
      </c>
      <c r="I107" s="252"/>
      <c r="J107" s="252">
        <v>2020.0</v>
      </c>
      <c r="K107" s="252">
        <v>615.0</v>
      </c>
      <c r="L107" s="252">
        <v>838.0</v>
      </c>
      <c r="M107" s="252">
        <v>1298.0</v>
      </c>
      <c r="N107" s="252">
        <v>1577.0</v>
      </c>
      <c r="O107" s="252">
        <v>956.0</v>
      </c>
      <c r="P107" s="252">
        <v>5284.0</v>
      </c>
      <c r="Q107" s="131"/>
      <c r="R107" s="163"/>
      <c r="S107" s="163"/>
      <c r="T107" s="163"/>
      <c r="U107" s="163"/>
      <c r="V107" s="163"/>
      <c r="W107" s="163"/>
      <c r="X107" s="163"/>
      <c r="Y107" s="163"/>
      <c r="Z107" s="163"/>
      <c r="AA107" s="163"/>
      <c r="AB107" s="163"/>
      <c r="AC107" s="163"/>
      <c r="AD107" s="163"/>
      <c r="AE107" s="163"/>
      <c r="AF107" s="163"/>
      <c r="AG107" s="163"/>
      <c r="AH107" s="163"/>
      <c r="AI107" s="246" t="s">
        <v>394</v>
      </c>
      <c r="AJ107" s="246">
        <v>2019.0</v>
      </c>
      <c r="AK107" s="246">
        <v>522.0</v>
      </c>
      <c r="AL107" s="246">
        <v>742.0</v>
      </c>
      <c r="AM107" s="246">
        <v>601.0</v>
      </c>
      <c r="AN107" s="246">
        <v>598.0</v>
      </c>
      <c r="AO107" s="246">
        <v>734.0</v>
      </c>
      <c r="AP107" s="246">
        <v>3197.0</v>
      </c>
      <c r="AQ107" s="246"/>
      <c r="AR107" s="246">
        <v>2019.0</v>
      </c>
      <c r="AS107" s="246">
        <v>84.0</v>
      </c>
      <c r="AT107" s="246">
        <v>20.0</v>
      </c>
      <c r="AU107" s="246">
        <v>22.0</v>
      </c>
      <c r="AV107" s="246">
        <v>27.0</v>
      </c>
      <c r="AW107" s="246">
        <v>30.0</v>
      </c>
      <c r="AX107" s="246">
        <v>183.0</v>
      </c>
      <c r="AY107" s="163"/>
      <c r="AZ107" s="254" t="s">
        <v>559</v>
      </c>
      <c r="BA107" s="254">
        <v>2019.0</v>
      </c>
      <c r="BB107" s="254">
        <v>85.0</v>
      </c>
      <c r="BC107" s="254">
        <v>77.0</v>
      </c>
      <c r="BD107" s="254">
        <v>151.0</v>
      </c>
      <c r="BE107" s="254">
        <v>223.0</v>
      </c>
      <c r="BF107" s="254">
        <v>191.0</v>
      </c>
      <c r="BG107" s="254">
        <v>727.0</v>
      </c>
      <c r="BH107" s="254"/>
      <c r="BI107" s="254">
        <v>2019.0</v>
      </c>
      <c r="BJ107" s="254">
        <v>22.0</v>
      </c>
      <c r="BK107" s="254">
        <v>0.0</v>
      </c>
      <c r="BL107" s="254">
        <v>0.0</v>
      </c>
      <c r="BM107" s="254">
        <v>0.0</v>
      </c>
      <c r="BN107" s="254">
        <v>0.0</v>
      </c>
      <c r="BO107" s="254">
        <v>22.0</v>
      </c>
      <c r="BP107" s="163"/>
      <c r="BQ107" s="163"/>
      <c r="BR107" s="163"/>
      <c r="BS107" s="163"/>
      <c r="BT107" s="163"/>
      <c r="BU107" s="163"/>
      <c r="BV107" s="163"/>
      <c r="BW107" s="163"/>
      <c r="BX107" s="163"/>
      <c r="BY107" s="163"/>
      <c r="BZ107" s="163"/>
      <c r="CA107" s="163"/>
      <c r="CB107" s="163"/>
      <c r="CC107" s="163"/>
      <c r="CD107" s="163"/>
      <c r="CE107" s="163"/>
      <c r="CF107" s="163"/>
      <c r="CG107" s="163"/>
      <c r="CH107" s="57" t="s">
        <v>689</v>
      </c>
      <c r="CI107" s="57">
        <v>2020.0</v>
      </c>
      <c r="CJ107" s="57">
        <v>218.0</v>
      </c>
      <c r="CK107" s="57">
        <v>82.0</v>
      </c>
      <c r="CL107" s="57">
        <v>141.0</v>
      </c>
      <c r="CM107" s="57">
        <v>189.0</v>
      </c>
      <c r="CN107" s="57">
        <v>184.0</v>
      </c>
      <c r="CO107" s="57">
        <v>814.0</v>
      </c>
      <c r="CP107" s="57"/>
      <c r="CQ107" s="57">
        <v>2020.0</v>
      </c>
      <c r="CR107" s="57">
        <v>50.0</v>
      </c>
      <c r="CS107" s="57">
        <v>0.0</v>
      </c>
      <c r="CT107" s="57">
        <v>0.0</v>
      </c>
      <c r="CU107" s="57">
        <v>0.0</v>
      </c>
      <c r="CV107" s="57">
        <v>0.0</v>
      </c>
      <c r="CW107" s="57">
        <v>50.0</v>
      </c>
      <c r="CX107" s="163"/>
      <c r="CY107" s="163"/>
      <c r="CZ107" s="163"/>
      <c r="DA107" s="163"/>
      <c r="DB107" s="163"/>
      <c r="DC107" s="163"/>
      <c r="DD107" s="163"/>
      <c r="DE107" s="163"/>
      <c r="DF107" s="163"/>
      <c r="DG107" s="163"/>
      <c r="DH107" s="163"/>
      <c r="DI107" s="163"/>
      <c r="DJ107" s="163"/>
      <c r="DK107" s="163"/>
      <c r="DL107" s="163"/>
      <c r="DM107" s="163"/>
      <c r="DN107" s="163"/>
      <c r="DO107" s="163"/>
      <c r="DP107" s="163"/>
      <c r="DQ107" s="163"/>
      <c r="DR107" s="163"/>
      <c r="DS107" s="163"/>
      <c r="DT107" s="163"/>
      <c r="DU107" s="163"/>
      <c r="DV107" s="163"/>
      <c r="DW107" s="163"/>
      <c r="DX107" s="163"/>
      <c r="DY107" s="163"/>
      <c r="DZ107" s="163"/>
      <c r="EA107" s="163"/>
      <c r="EB107" s="163"/>
      <c r="EC107" s="163"/>
      <c r="ED107" s="163"/>
      <c r="EE107" s="163"/>
      <c r="EF107" s="163"/>
      <c r="EG107" s="57" t="s">
        <v>841</v>
      </c>
      <c r="EH107" s="57">
        <v>2020.0</v>
      </c>
      <c r="EI107" s="57">
        <v>88.0</v>
      </c>
      <c r="EJ107" s="57">
        <v>151.0</v>
      </c>
      <c r="EK107" s="57">
        <v>224.0</v>
      </c>
      <c r="EL107" s="57">
        <v>258.0</v>
      </c>
      <c r="EM107" s="57">
        <v>317.0</v>
      </c>
      <c r="EN107" s="57">
        <v>1038.0</v>
      </c>
      <c r="EO107" s="57"/>
      <c r="EP107" s="57">
        <v>2020.0</v>
      </c>
      <c r="EQ107" s="57">
        <v>7.0</v>
      </c>
      <c r="ER107" s="57">
        <v>10.0</v>
      </c>
      <c r="ES107" s="57">
        <v>3.0</v>
      </c>
      <c r="ET107" s="57">
        <v>0.0</v>
      </c>
      <c r="EU107" s="57">
        <v>1.0</v>
      </c>
      <c r="EV107" s="57">
        <v>21.0</v>
      </c>
      <c r="EW107" s="163"/>
      <c r="EX107" s="255" t="s">
        <v>874</v>
      </c>
      <c r="EY107" s="255">
        <v>2020.0</v>
      </c>
      <c r="EZ107" s="255">
        <v>1930.0</v>
      </c>
      <c r="FA107" s="255">
        <v>1434.0</v>
      </c>
      <c r="FB107" s="255">
        <v>995.0</v>
      </c>
      <c r="FC107" s="255">
        <v>701.0</v>
      </c>
      <c r="FD107" s="255">
        <v>857.0</v>
      </c>
      <c r="FE107" s="255">
        <v>5917.0</v>
      </c>
      <c r="FF107" s="255"/>
      <c r="FG107" s="255">
        <v>2020.0</v>
      </c>
      <c r="FH107" s="255">
        <v>439.0</v>
      </c>
      <c r="FI107" s="255">
        <v>111.0</v>
      </c>
      <c r="FJ107" s="255">
        <v>0.0</v>
      </c>
      <c r="FK107" s="255">
        <v>0.0</v>
      </c>
      <c r="FL107" s="255">
        <v>0.0</v>
      </c>
      <c r="FM107" s="255">
        <v>550.0</v>
      </c>
    </row>
    <row r="108" ht="13.5" customHeight="1">
      <c r="A108" s="252" t="s">
        <v>1087</v>
      </c>
      <c r="B108" s="252">
        <v>2020.0</v>
      </c>
      <c r="C108" s="252">
        <v>53.0</v>
      </c>
      <c r="D108" s="252">
        <v>2.0</v>
      </c>
      <c r="E108" s="252">
        <v>0.0</v>
      </c>
      <c r="F108" s="252">
        <v>0.0</v>
      </c>
      <c r="G108" s="252">
        <v>0.0</v>
      </c>
      <c r="H108" s="252">
        <v>55.0</v>
      </c>
      <c r="I108" s="252"/>
      <c r="J108" s="252">
        <v>2020.0</v>
      </c>
      <c r="K108" s="252">
        <v>617.0</v>
      </c>
      <c r="L108" s="252">
        <v>736.0</v>
      </c>
      <c r="M108" s="252">
        <v>1120.0</v>
      </c>
      <c r="N108" s="252">
        <v>1271.0</v>
      </c>
      <c r="O108" s="252">
        <v>859.0</v>
      </c>
      <c r="P108" s="252">
        <v>4603.0</v>
      </c>
      <c r="Q108" s="131"/>
      <c r="R108" s="163"/>
      <c r="S108" s="163"/>
      <c r="T108" s="163"/>
      <c r="U108" s="163"/>
      <c r="V108" s="163"/>
      <c r="W108" s="163"/>
      <c r="X108" s="163"/>
      <c r="Y108" s="163"/>
      <c r="Z108" s="163"/>
      <c r="AA108" s="163"/>
      <c r="AB108" s="163"/>
      <c r="AC108" s="163"/>
      <c r="AD108" s="163"/>
      <c r="AE108" s="163"/>
      <c r="AF108" s="163"/>
      <c r="AG108" s="163"/>
      <c r="AH108" s="163"/>
      <c r="AI108" s="246" t="s">
        <v>396</v>
      </c>
      <c r="AJ108" s="246">
        <v>2019.0</v>
      </c>
      <c r="AK108" s="246">
        <v>499.0</v>
      </c>
      <c r="AL108" s="246">
        <v>407.0</v>
      </c>
      <c r="AM108" s="246">
        <v>404.0</v>
      </c>
      <c r="AN108" s="246">
        <v>448.0</v>
      </c>
      <c r="AO108" s="246">
        <v>645.0</v>
      </c>
      <c r="AP108" s="246">
        <v>2403.0</v>
      </c>
      <c r="AQ108" s="246"/>
      <c r="AR108" s="246">
        <v>2019.0</v>
      </c>
      <c r="AS108" s="246">
        <v>128.0</v>
      </c>
      <c r="AT108" s="246">
        <v>31.0</v>
      </c>
      <c r="AU108" s="246">
        <v>24.0</v>
      </c>
      <c r="AV108" s="246">
        <v>24.0</v>
      </c>
      <c r="AW108" s="246">
        <v>43.0</v>
      </c>
      <c r="AX108" s="246">
        <v>250.0</v>
      </c>
      <c r="AY108" s="163"/>
      <c r="AZ108" s="254" t="s">
        <v>561</v>
      </c>
      <c r="BA108" s="254">
        <v>2019.0</v>
      </c>
      <c r="BB108" s="254">
        <v>137.0</v>
      </c>
      <c r="BC108" s="254">
        <v>88.0</v>
      </c>
      <c r="BD108" s="254">
        <v>109.0</v>
      </c>
      <c r="BE108" s="254">
        <v>159.0</v>
      </c>
      <c r="BF108" s="254">
        <v>148.0</v>
      </c>
      <c r="BG108" s="254">
        <v>641.0</v>
      </c>
      <c r="BH108" s="254"/>
      <c r="BI108" s="254">
        <v>2019.0</v>
      </c>
      <c r="BJ108" s="254">
        <v>28.0</v>
      </c>
      <c r="BK108" s="254">
        <v>0.0</v>
      </c>
      <c r="BL108" s="254">
        <v>0.0</v>
      </c>
      <c r="BM108" s="254">
        <v>0.0</v>
      </c>
      <c r="BN108" s="254">
        <v>0.0</v>
      </c>
      <c r="BO108" s="254">
        <v>28.0</v>
      </c>
      <c r="BP108" s="163"/>
      <c r="BQ108" s="163"/>
      <c r="BR108" s="163"/>
      <c r="BS108" s="163"/>
      <c r="BT108" s="163"/>
      <c r="BU108" s="163"/>
      <c r="BV108" s="163"/>
      <c r="BW108" s="163"/>
      <c r="BX108" s="163"/>
      <c r="BY108" s="163"/>
      <c r="BZ108" s="163"/>
      <c r="CA108" s="163"/>
      <c r="CB108" s="163"/>
      <c r="CC108" s="163"/>
      <c r="CD108" s="163"/>
      <c r="CE108" s="163"/>
      <c r="CF108" s="163"/>
      <c r="CG108" s="163"/>
      <c r="CH108" s="57" t="s">
        <v>999</v>
      </c>
      <c r="CI108" s="57">
        <v>2020.0</v>
      </c>
      <c r="CJ108" s="57">
        <v>36.0</v>
      </c>
      <c r="CK108" s="57">
        <v>76.0</v>
      </c>
      <c r="CL108" s="57">
        <v>143.0</v>
      </c>
      <c r="CM108" s="57">
        <v>235.0</v>
      </c>
      <c r="CN108" s="57">
        <v>262.0</v>
      </c>
      <c r="CO108" s="57">
        <v>752.0</v>
      </c>
      <c r="CP108" s="57"/>
      <c r="CQ108" s="57">
        <v>2020.0</v>
      </c>
      <c r="CR108" s="57">
        <v>8.0</v>
      </c>
      <c r="CS108" s="57">
        <v>0.0</v>
      </c>
      <c r="CT108" s="57">
        <v>0.0</v>
      </c>
      <c r="CU108" s="57">
        <v>0.0</v>
      </c>
      <c r="CV108" s="57">
        <v>0.0</v>
      </c>
      <c r="CW108" s="57">
        <v>8.0</v>
      </c>
      <c r="CX108" s="163"/>
      <c r="CY108" s="163"/>
      <c r="CZ108" s="163"/>
      <c r="DA108" s="163"/>
      <c r="DB108" s="163"/>
      <c r="DC108" s="163"/>
      <c r="DD108" s="163"/>
      <c r="DE108" s="163"/>
      <c r="DF108" s="163"/>
      <c r="DG108" s="163"/>
      <c r="DH108" s="163"/>
      <c r="DI108" s="163"/>
      <c r="DJ108" s="163"/>
      <c r="DK108" s="163"/>
      <c r="DL108" s="163"/>
      <c r="DM108" s="163"/>
      <c r="DN108" s="163"/>
      <c r="DO108" s="163"/>
      <c r="DP108" s="163"/>
      <c r="DQ108" s="163"/>
      <c r="DR108" s="163"/>
      <c r="DS108" s="163"/>
      <c r="DT108" s="163"/>
      <c r="DU108" s="163"/>
      <c r="DV108" s="163"/>
      <c r="DW108" s="163"/>
      <c r="DX108" s="163"/>
      <c r="DY108" s="163"/>
      <c r="DZ108" s="163"/>
      <c r="EA108" s="163"/>
      <c r="EB108" s="163"/>
      <c r="EC108" s="163"/>
      <c r="ED108" s="163"/>
      <c r="EE108" s="163"/>
      <c r="EF108" s="163"/>
      <c r="EG108" s="57" t="s">
        <v>843</v>
      </c>
      <c r="EH108" s="57">
        <v>2020.0</v>
      </c>
      <c r="EI108" s="57">
        <v>67.0</v>
      </c>
      <c r="EJ108" s="57">
        <v>109.0</v>
      </c>
      <c r="EK108" s="57">
        <v>142.0</v>
      </c>
      <c r="EL108" s="57">
        <v>209.0</v>
      </c>
      <c r="EM108" s="57">
        <v>273.0</v>
      </c>
      <c r="EN108" s="57">
        <v>800.0</v>
      </c>
      <c r="EO108" s="57"/>
      <c r="EP108" s="57">
        <v>2020.0</v>
      </c>
      <c r="EQ108" s="57">
        <v>13.0</v>
      </c>
      <c r="ER108" s="57">
        <v>7.0</v>
      </c>
      <c r="ES108" s="57">
        <v>0.0</v>
      </c>
      <c r="ET108" s="57">
        <v>2.0</v>
      </c>
      <c r="EU108" s="57">
        <v>3.0</v>
      </c>
      <c r="EV108" s="57">
        <v>25.0</v>
      </c>
      <c r="EW108" s="163"/>
      <c r="EX108" s="255" t="s">
        <v>876</v>
      </c>
      <c r="EY108" s="255">
        <v>2020.0</v>
      </c>
      <c r="EZ108" s="255">
        <v>294.0</v>
      </c>
      <c r="FA108" s="255">
        <v>477.0</v>
      </c>
      <c r="FB108" s="255">
        <v>592.0</v>
      </c>
      <c r="FC108" s="255">
        <v>534.0</v>
      </c>
      <c r="FD108" s="255">
        <v>681.0</v>
      </c>
      <c r="FE108" s="255">
        <v>2578.0</v>
      </c>
      <c r="FF108" s="255"/>
      <c r="FG108" s="255">
        <v>2020.0</v>
      </c>
      <c r="FH108" s="255">
        <v>47.0</v>
      </c>
      <c r="FI108" s="255">
        <v>3.0</v>
      </c>
      <c r="FJ108" s="255">
        <v>0.0</v>
      </c>
      <c r="FK108" s="255">
        <v>0.0</v>
      </c>
      <c r="FL108" s="255">
        <v>0.0</v>
      </c>
      <c r="FM108" s="255">
        <v>50.0</v>
      </c>
    </row>
    <row r="109" ht="13.5" customHeight="1">
      <c r="A109" s="252" t="s">
        <v>1090</v>
      </c>
      <c r="B109" s="252">
        <v>2020.0</v>
      </c>
      <c r="C109" s="252">
        <v>72.0</v>
      </c>
      <c r="D109" s="252">
        <v>2.0</v>
      </c>
      <c r="E109" s="252">
        <v>0.0</v>
      </c>
      <c r="F109" s="252">
        <v>0.0</v>
      </c>
      <c r="G109" s="252">
        <v>0.0</v>
      </c>
      <c r="H109" s="252">
        <v>74.0</v>
      </c>
      <c r="I109" s="252"/>
      <c r="J109" s="252">
        <v>2020.0</v>
      </c>
      <c r="K109" s="252">
        <v>769.0</v>
      </c>
      <c r="L109" s="252">
        <v>677.0</v>
      </c>
      <c r="M109" s="252">
        <v>756.0</v>
      </c>
      <c r="N109" s="252">
        <v>878.0</v>
      </c>
      <c r="O109" s="252">
        <v>566.0</v>
      </c>
      <c r="P109" s="252">
        <v>3646.0</v>
      </c>
      <c r="Q109" s="131"/>
      <c r="R109" s="163"/>
      <c r="S109" s="163"/>
      <c r="T109" s="163"/>
      <c r="U109" s="163"/>
      <c r="V109" s="163"/>
      <c r="W109" s="163"/>
      <c r="X109" s="163"/>
      <c r="Y109" s="163"/>
      <c r="Z109" s="163"/>
      <c r="AA109" s="163"/>
      <c r="AB109" s="163"/>
      <c r="AC109" s="163"/>
      <c r="AD109" s="163"/>
      <c r="AE109" s="163"/>
      <c r="AF109" s="163"/>
      <c r="AG109" s="163"/>
      <c r="AH109" s="163"/>
      <c r="AI109" s="246" t="s">
        <v>398</v>
      </c>
      <c r="AJ109" s="246">
        <v>2019.0</v>
      </c>
      <c r="AK109" s="246">
        <v>837.0</v>
      </c>
      <c r="AL109" s="246">
        <v>766.0</v>
      </c>
      <c r="AM109" s="246">
        <v>662.0</v>
      </c>
      <c r="AN109" s="246">
        <v>692.0</v>
      </c>
      <c r="AO109" s="246">
        <v>978.0</v>
      </c>
      <c r="AP109" s="246">
        <v>3935.0</v>
      </c>
      <c r="AQ109" s="246"/>
      <c r="AR109" s="246">
        <v>2019.0</v>
      </c>
      <c r="AS109" s="246">
        <v>113.0</v>
      </c>
      <c r="AT109" s="246">
        <v>10.0</v>
      </c>
      <c r="AU109" s="246">
        <v>13.0</v>
      </c>
      <c r="AV109" s="246">
        <v>9.0</v>
      </c>
      <c r="AW109" s="246">
        <v>14.0</v>
      </c>
      <c r="AX109" s="246">
        <v>159.0</v>
      </c>
      <c r="AY109" s="163"/>
      <c r="AZ109" s="254" t="s">
        <v>563</v>
      </c>
      <c r="BA109" s="254">
        <v>2019.0</v>
      </c>
      <c r="BB109" s="254">
        <v>82.0</v>
      </c>
      <c r="BC109" s="254">
        <v>57.0</v>
      </c>
      <c r="BD109" s="254">
        <v>76.0</v>
      </c>
      <c r="BE109" s="254">
        <v>96.0</v>
      </c>
      <c r="BF109" s="254">
        <v>85.0</v>
      </c>
      <c r="BG109" s="254">
        <v>396.0</v>
      </c>
      <c r="BH109" s="254"/>
      <c r="BI109" s="254">
        <v>2019.0</v>
      </c>
      <c r="BJ109" s="254">
        <v>22.0</v>
      </c>
      <c r="BK109" s="254">
        <v>1.0</v>
      </c>
      <c r="BL109" s="254">
        <v>0.0</v>
      </c>
      <c r="BM109" s="254">
        <v>0.0</v>
      </c>
      <c r="BN109" s="254">
        <v>0.0</v>
      </c>
      <c r="BO109" s="254">
        <v>23.0</v>
      </c>
      <c r="BP109" s="163"/>
      <c r="BQ109" s="163"/>
      <c r="BR109" s="163"/>
      <c r="BS109" s="163"/>
      <c r="BT109" s="163"/>
      <c r="BU109" s="163"/>
      <c r="BV109" s="163"/>
      <c r="BW109" s="163"/>
      <c r="BX109" s="163"/>
      <c r="BY109" s="163"/>
      <c r="BZ109" s="163"/>
      <c r="CA109" s="163"/>
      <c r="CB109" s="163"/>
      <c r="CC109" s="163"/>
      <c r="CD109" s="163"/>
      <c r="CE109" s="163"/>
      <c r="CF109" s="163"/>
      <c r="CG109" s="163"/>
      <c r="CH109" s="57" t="s">
        <v>1001</v>
      </c>
      <c r="CI109" s="57">
        <v>2020.0</v>
      </c>
      <c r="CJ109" s="57">
        <v>77.0</v>
      </c>
      <c r="CK109" s="57">
        <v>102.0</v>
      </c>
      <c r="CL109" s="57">
        <v>212.0</v>
      </c>
      <c r="CM109" s="57">
        <v>330.0</v>
      </c>
      <c r="CN109" s="57">
        <v>275.0</v>
      </c>
      <c r="CO109" s="57">
        <v>996.0</v>
      </c>
      <c r="CP109" s="57"/>
      <c r="CQ109" s="57">
        <v>2020.0</v>
      </c>
      <c r="CR109" s="57">
        <v>21.0</v>
      </c>
      <c r="CS109" s="57">
        <v>0.0</v>
      </c>
      <c r="CT109" s="57">
        <v>0.0</v>
      </c>
      <c r="CU109" s="57">
        <v>0.0</v>
      </c>
      <c r="CV109" s="57">
        <v>0.0</v>
      </c>
      <c r="CW109" s="57">
        <v>21.0</v>
      </c>
      <c r="CX109" s="163"/>
      <c r="CY109" s="163"/>
      <c r="CZ109" s="163"/>
      <c r="DA109" s="163"/>
      <c r="DB109" s="163"/>
      <c r="DC109" s="163"/>
      <c r="DD109" s="163"/>
      <c r="DE109" s="163"/>
      <c r="DF109" s="163"/>
      <c r="DG109" s="163"/>
      <c r="DH109" s="163"/>
      <c r="DI109" s="163"/>
      <c r="DJ109" s="163"/>
      <c r="DK109" s="163"/>
      <c r="DL109" s="163"/>
      <c r="DM109" s="163"/>
      <c r="DN109" s="163"/>
      <c r="DO109" s="163"/>
      <c r="DP109" s="163"/>
      <c r="DQ109" s="163"/>
      <c r="DR109" s="163"/>
      <c r="DS109" s="163"/>
      <c r="DT109" s="163"/>
      <c r="DU109" s="163"/>
      <c r="DV109" s="163"/>
      <c r="DW109" s="163"/>
      <c r="DX109" s="163"/>
      <c r="DY109" s="163"/>
      <c r="DZ109" s="163"/>
      <c r="EA109" s="163"/>
      <c r="EB109" s="163"/>
      <c r="EC109" s="163"/>
      <c r="ED109" s="163"/>
      <c r="EE109" s="163"/>
      <c r="EF109" s="163"/>
      <c r="EG109" s="163"/>
      <c r="EH109" s="163"/>
      <c r="EI109" s="163"/>
      <c r="EJ109" s="163"/>
      <c r="EK109" s="163"/>
      <c r="EL109" s="163"/>
      <c r="EM109" s="163"/>
      <c r="EN109" s="163"/>
      <c r="EO109" s="163"/>
      <c r="EP109" s="163"/>
      <c r="EQ109" s="163"/>
      <c r="ER109" s="163"/>
      <c r="ES109" s="163"/>
      <c r="ET109" s="163"/>
      <c r="EU109" s="163"/>
      <c r="EV109" s="163"/>
      <c r="EW109" s="163"/>
      <c r="EX109" s="255" t="s">
        <v>879</v>
      </c>
      <c r="EY109" s="255">
        <v>2020.0</v>
      </c>
      <c r="EZ109" s="255">
        <v>172.0</v>
      </c>
      <c r="FA109" s="255">
        <v>373.0</v>
      </c>
      <c r="FB109" s="255">
        <v>577.0</v>
      </c>
      <c r="FC109" s="255">
        <v>564.0</v>
      </c>
      <c r="FD109" s="255">
        <v>619.0</v>
      </c>
      <c r="FE109" s="255">
        <v>2305.0</v>
      </c>
      <c r="FF109" s="255"/>
      <c r="FG109" s="255">
        <v>2020.0</v>
      </c>
      <c r="FH109" s="255">
        <v>15.0</v>
      </c>
      <c r="FI109" s="255">
        <v>0.0</v>
      </c>
      <c r="FJ109" s="255">
        <v>0.0</v>
      </c>
      <c r="FK109" s="255">
        <v>0.0</v>
      </c>
      <c r="FL109" s="255">
        <v>0.0</v>
      </c>
      <c r="FM109" s="255">
        <v>15.0</v>
      </c>
    </row>
    <row r="110" ht="13.5" customHeight="1">
      <c r="A110" s="252" t="s">
        <v>1093</v>
      </c>
      <c r="B110" s="252">
        <v>2020.0</v>
      </c>
      <c r="C110" s="252">
        <v>15.0</v>
      </c>
      <c r="D110" s="252">
        <v>2.0</v>
      </c>
      <c r="E110" s="252">
        <v>1.0</v>
      </c>
      <c r="F110" s="252">
        <v>0.0</v>
      </c>
      <c r="G110" s="252">
        <v>0.0</v>
      </c>
      <c r="H110" s="252">
        <v>18.0</v>
      </c>
      <c r="I110" s="252"/>
      <c r="J110" s="252">
        <v>2020.0</v>
      </c>
      <c r="K110" s="252">
        <v>146.0</v>
      </c>
      <c r="L110" s="252">
        <v>250.0</v>
      </c>
      <c r="M110" s="252">
        <v>495.0</v>
      </c>
      <c r="N110" s="252">
        <v>598.0</v>
      </c>
      <c r="O110" s="252">
        <v>463.0</v>
      </c>
      <c r="P110" s="252">
        <v>1952.0</v>
      </c>
      <c r="Q110" s="131"/>
      <c r="R110" s="163"/>
      <c r="S110" s="163"/>
      <c r="T110" s="163"/>
      <c r="U110" s="163"/>
      <c r="V110" s="163"/>
      <c r="W110" s="163"/>
      <c r="X110" s="163"/>
      <c r="Y110" s="163"/>
      <c r="Z110" s="163"/>
      <c r="AA110" s="163"/>
      <c r="AB110" s="163"/>
      <c r="AC110" s="163"/>
      <c r="AD110" s="163"/>
      <c r="AE110" s="163"/>
      <c r="AF110" s="163"/>
      <c r="AG110" s="163"/>
      <c r="AH110" s="163"/>
      <c r="AI110" s="246" t="s">
        <v>400</v>
      </c>
      <c r="AJ110" s="246">
        <v>2019.0</v>
      </c>
      <c r="AK110" s="246">
        <v>718.0</v>
      </c>
      <c r="AL110" s="246">
        <v>643.0</v>
      </c>
      <c r="AM110" s="246">
        <v>635.0</v>
      </c>
      <c r="AN110" s="246">
        <v>563.0</v>
      </c>
      <c r="AO110" s="246">
        <v>785.0</v>
      </c>
      <c r="AP110" s="246">
        <v>3344.0</v>
      </c>
      <c r="AQ110" s="246"/>
      <c r="AR110" s="246">
        <v>2019.0</v>
      </c>
      <c r="AS110" s="246">
        <v>109.0</v>
      </c>
      <c r="AT110" s="246">
        <v>23.0</v>
      </c>
      <c r="AU110" s="246">
        <v>20.0</v>
      </c>
      <c r="AV110" s="246">
        <v>16.0</v>
      </c>
      <c r="AW110" s="246">
        <v>20.0</v>
      </c>
      <c r="AX110" s="246">
        <v>188.0</v>
      </c>
      <c r="AY110" s="163"/>
      <c r="AZ110" s="254" t="s">
        <v>565</v>
      </c>
      <c r="BA110" s="254">
        <v>2019.0</v>
      </c>
      <c r="BB110" s="254">
        <v>87.0</v>
      </c>
      <c r="BC110" s="254">
        <v>57.0</v>
      </c>
      <c r="BD110" s="254">
        <v>118.0</v>
      </c>
      <c r="BE110" s="254">
        <v>216.0</v>
      </c>
      <c r="BF110" s="254">
        <v>207.0</v>
      </c>
      <c r="BG110" s="254">
        <v>685.0</v>
      </c>
      <c r="BH110" s="254"/>
      <c r="BI110" s="254">
        <v>2019.0</v>
      </c>
      <c r="BJ110" s="254">
        <v>26.0</v>
      </c>
      <c r="BK110" s="254">
        <v>0.0</v>
      </c>
      <c r="BL110" s="254">
        <v>0.0</v>
      </c>
      <c r="BM110" s="254">
        <v>0.0</v>
      </c>
      <c r="BN110" s="254">
        <v>0.0</v>
      </c>
      <c r="BO110" s="254">
        <v>26.0</v>
      </c>
      <c r="BP110" s="163"/>
      <c r="BQ110" s="163"/>
      <c r="BR110" s="163"/>
      <c r="BS110" s="163"/>
      <c r="BT110" s="163"/>
      <c r="BU110" s="163"/>
      <c r="BV110" s="163"/>
      <c r="BW110" s="163"/>
      <c r="BX110" s="163"/>
      <c r="BY110" s="163"/>
      <c r="BZ110" s="163"/>
      <c r="CA110" s="163"/>
      <c r="CB110" s="163"/>
      <c r="CC110" s="163"/>
      <c r="CD110" s="163"/>
      <c r="CE110" s="163"/>
      <c r="CF110" s="163"/>
      <c r="CG110" s="163"/>
      <c r="CH110" s="57" t="s">
        <v>1005</v>
      </c>
      <c r="CI110" s="57">
        <v>2020.0</v>
      </c>
      <c r="CJ110" s="57">
        <v>48.0</v>
      </c>
      <c r="CK110" s="57">
        <v>14.0</v>
      </c>
      <c r="CL110" s="57">
        <v>16.0</v>
      </c>
      <c r="CM110" s="57">
        <v>14.0</v>
      </c>
      <c r="CN110" s="57">
        <v>47.0</v>
      </c>
      <c r="CO110" s="57">
        <v>139.0</v>
      </c>
      <c r="CP110" s="57"/>
      <c r="CQ110" s="57">
        <v>2020.0</v>
      </c>
      <c r="CR110" s="57">
        <v>16.0</v>
      </c>
      <c r="CS110" s="57">
        <v>0.0</v>
      </c>
      <c r="CT110" s="57">
        <v>0.0</v>
      </c>
      <c r="CU110" s="57">
        <v>0.0</v>
      </c>
      <c r="CV110" s="57">
        <v>0.0</v>
      </c>
      <c r="CW110" s="57">
        <v>16.0</v>
      </c>
      <c r="CX110" s="163"/>
      <c r="CY110" s="163"/>
      <c r="CZ110" s="163"/>
      <c r="DA110" s="163"/>
      <c r="DB110" s="163"/>
      <c r="DC110" s="163"/>
      <c r="DD110" s="163"/>
      <c r="DE110" s="163"/>
      <c r="DF110" s="163"/>
      <c r="DG110" s="163"/>
      <c r="DH110" s="163"/>
      <c r="DI110" s="163"/>
      <c r="DJ110" s="163"/>
      <c r="DK110" s="163"/>
      <c r="DL110" s="163"/>
      <c r="DM110" s="163"/>
      <c r="DN110" s="163"/>
      <c r="DO110" s="163"/>
      <c r="DP110" s="163"/>
      <c r="DQ110" s="163"/>
      <c r="DR110" s="163"/>
      <c r="DS110" s="163"/>
      <c r="DT110" s="163"/>
      <c r="DU110" s="163"/>
      <c r="DV110" s="163"/>
      <c r="DW110" s="163"/>
      <c r="DX110" s="163"/>
      <c r="DY110" s="163"/>
      <c r="DZ110" s="163"/>
      <c r="EA110" s="163"/>
      <c r="EB110" s="163"/>
      <c r="EC110" s="163"/>
      <c r="ED110" s="163"/>
      <c r="EE110" s="163"/>
      <c r="EF110" s="163"/>
      <c r="EG110" s="163"/>
      <c r="EH110" s="163"/>
      <c r="EI110" s="163"/>
      <c r="EJ110" s="163"/>
      <c r="EK110" s="163"/>
      <c r="EL110" s="163"/>
      <c r="EM110" s="163"/>
      <c r="EN110" s="163"/>
      <c r="EO110" s="163"/>
      <c r="EP110" s="163"/>
      <c r="EQ110" s="163"/>
      <c r="ER110" s="163"/>
      <c r="ES110" s="163"/>
      <c r="ET110" s="163"/>
      <c r="EU110" s="163"/>
      <c r="EV110" s="163"/>
      <c r="EW110" s="163"/>
      <c r="EX110" s="255" t="s">
        <v>881</v>
      </c>
      <c r="EY110" s="255">
        <v>2020.0</v>
      </c>
      <c r="EZ110" s="255">
        <v>559.0</v>
      </c>
      <c r="FA110" s="255">
        <v>630.0</v>
      </c>
      <c r="FB110" s="255">
        <v>686.0</v>
      </c>
      <c r="FC110" s="255">
        <v>630.0</v>
      </c>
      <c r="FD110" s="255">
        <v>713.0</v>
      </c>
      <c r="FE110" s="255">
        <v>3218.0</v>
      </c>
      <c r="FF110" s="255"/>
      <c r="FG110" s="255">
        <v>2020.0</v>
      </c>
      <c r="FH110" s="255">
        <v>55.0</v>
      </c>
      <c r="FI110" s="255">
        <v>0.0</v>
      </c>
      <c r="FJ110" s="255">
        <v>0.0</v>
      </c>
      <c r="FK110" s="255">
        <v>0.0</v>
      </c>
      <c r="FL110" s="255">
        <v>0.0</v>
      </c>
      <c r="FM110" s="255">
        <v>55.0</v>
      </c>
    </row>
    <row r="111" ht="13.5" customHeight="1">
      <c r="A111" s="252" t="s">
        <v>1096</v>
      </c>
      <c r="B111" s="252">
        <v>2020.0</v>
      </c>
      <c r="C111" s="252">
        <v>42.0</v>
      </c>
      <c r="D111" s="252">
        <v>6.0</v>
      </c>
      <c r="E111" s="252">
        <v>6.0</v>
      </c>
      <c r="F111" s="252">
        <v>2.0</v>
      </c>
      <c r="G111" s="252">
        <v>0.0</v>
      </c>
      <c r="H111" s="252">
        <v>56.0</v>
      </c>
      <c r="I111" s="252"/>
      <c r="J111" s="252">
        <v>2020.0</v>
      </c>
      <c r="K111" s="252">
        <v>190.0</v>
      </c>
      <c r="L111" s="252">
        <v>305.0</v>
      </c>
      <c r="M111" s="252">
        <v>482.0</v>
      </c>
      <c r="N111" s="252">
        <v>594.0</v>
      </c>
      <c r="O111" s="252">
        <v>433.0</v>
      </c>
      <c r="P111" s="252">
        <v>2004.0</v>
      </c>
      <c r="Q111" s="131"/>
      <c r="R111" s="163"/>
      <c r="S111" s="163"/>
      <c r="T111" s="163"/>
      <c r="U111" s="163"/>
      <c r="V111" s="163"/>
      <c r="W111" s="163"/>
      <c r="X111" s="163"/>
      <c r="Y111" s="163"/>
      <c r="Z111" s="163"/>
      <c r="AA111" s="163"/>
      <c r="AB111" s="163"/>
      <c r="AC111" s="163"/>
      <c r="AD111" s="163"/>
      <c r="AE111" s="163"/>
      <c r="AF111" s="163"/>
      <c r="AG111" s="163"/>
      <c r="AH111" s="163"/>
      <c r="AI111" s="246" t="s">
        <v>402</v>
      </c>
      <c r="AJ111" s="246">
        <v>2019.0</v>
      </c>
      <c r="AK111" s="246">
        <v>829.0</v>
      </c>
      <c r="AL111" s="246">
        <v>692.0</v>
      </c>
      <c r="AM111" s="246">
        <v>691.0</v>
      </c>
      <c r="AN111" s="246">
        <v>608.0</v>
      </c>
      <c r="AO111" s="246">
        <v>870.0</v>
      </c>
      <c r="AP111" s="246">
        <v>3690.0</v>
      </c>
      <c r="AQ111" s="246"/>
      <c r="AR111" s="246">
        <v>2019.0</v>
      </c>
      <c r="AS111" s="246">
        <v>142.0</v>
      </c>
      <c r="AT111" s="246">
        <v>41.0</v>
      </c>
      <c r="AU111" s="246">
        <v>36.0</v>
      </c>
      <c r="AV111" s="246">
        <v>22.0</v>
      </c>
      <c r="AW111" s="246">
        <v>40.0</v>
      </c>
      <c r="AX111" s="246">
        <v>281.0</v>
      </c>
      <c r="AY111" s="163"/>
      <c r="AZ111" s="254" t="s">
        <v>567</v>
      </c>
      <c r="BA111" s="254">
        <v>2019.0</v>
      </c>
      <c r="BB111" s="254">
        <v>574.0</v>
      </c>
      <c r="BC111" s="254">
        <v>526.0</v>
      </c>
      <c r="BD111" s="254">
        <v>957.0</v>
      </c>
      <c r="BE111" s="254">
        <v>1315.0</v>
      </c>
      <c r="BF111" s="254">
        <v>1237.0</v>
      </c>
      <c r="BG111" s="254">
        <v>4609.0</v>
      </c>
      <c r="BH111" s="254"/>
      <c r="BI111" s="254">
        <v>2019.0</v>
      </c>
      <c r="BJ111" s="254">
        <v>66.0</v>
      </c>
      <c r="BK111" s="254">
        <v>0.0</v>
      </c>
      <c r="BL111" s="254">
        <v>0.0</v>
      </c>
      <c r="BM111" s="254">
        <v>0.0</v>
      </c>
      <c r="BN111" s="254">
        <v>0.0</v>
      </c>
      <c r="BO111" s="254">
        <v>66.0</v>
      </c>
      <c r="BP111" s="163"/>
      <c r="BQ111" s="163"/>
      <c r="BR111" s="163"/>
      <c r="BS111" s="163"/>
      <c r="BT111" s="163"/>
      <c r="BU111" s="163"/>
      <c r="BV111" s="163"/>
      <c r="BW111" s="163"/>
      <c r="BX111" s="163"/>
      <c r="BY111" s="163"/>
      <c r="BZ111" s="163"/>
      <c r="CA111" s="163"/>
      <c r="CB111" s="163"/>
      <c r="CC111" s="163"/>
      <c r="CD111" s="163"/>
      <c r="CE111" s="163"/>
      <c r="CF111" s="163"/>
      <c r="CG111" s="163"/>
      <c r="CH111" s="57" t="s">
        <v>1007</v>
      </c>
      <c r="CI111" s="57">
        <v>2020.0</v>
      </c>
      <c r="CJ111" s="57">
        <v>90.0</v>
      </c>
      <c r="CK111" s="57">
        <v>139.0</v>
      </c>
      <c r="CL111" s="57">
        <v>298.0</v>
      </c>
      <c r="CM111" s="57">
        <v>461.0</v>
      </c>
      <c r="CN111" s="57">
        <v>378.0</v>
      </c>
      <c r="CO111" s="57">
        <v>1366.0</v>
      </c>
      <c r="CP111" s="57"/>
      <c r="CQ111" s="57">
        <v>2020.0</v>
      </c>
      <c r="CR111" s="57">
        <v>14.0</v>
      </c>
      <c r="CS111" s="57">
        <v>0.0</v>
      </c>
      <c r="CT111" s="57">
        <v>0.0</v>
      </c>
      <c r="CU111" s="57">
        <v>0.0</v>
      </c>
      <c r="CV111" s="57">
        <v>0.0</v>
      </c>
      <c r="CW111" s="57">
        <v>14.0</v>
      </c>
      <c r="CX111" s="163"/>
      <c r="CY111" s="163"/>
      <c r="CZ111" s="163"/>
      <c r="DA111" s="163"/>
      <c r="DB111" s="163"/>
      <c r="DC111" s="163"/>
      <c r="DD111" s="163"/>
      <c r="DE111" s="163"/>
      <c r="DF111" s="163"/>
      <c r="DG111" s="163"/>
      <c r="DH111" s="163"/>
      <c r="DI111" s="163"/>
      <c r="DJ111" s="163"/>
      <c r="DK111" s="163"/>
      <c r="DL111" s="163"/>
      <c r="DM111" s="163"/>
      <c r="DN111" s="163"/>
      <c r="DO111" s="163"/>
      <c r="DP111" s="163"/>
      <c r="DQ111" s="163"/>
      <c r="DR111" s="163"/>
      <c r="DS111" s="163"/>
      <c r="DT111" s="163"/>
      <c r="DU111" s="163"/>
      <c r="DV111" s="163"/>
      <c r="DW111" s="163"/>
      <c r="DX111" s="163"/>
      <c r="DY111" s="163"/>
      <c r="DZ111" s="163"/>
      <c r="EA111" s="163"/>
      <c r="EB111" s="163"/>
      <c r="EC111" s="163"/>
      <c r="ED111" s="163"/>
      <c r="EE111" s="163"/>
      <c r="EF111" s="163"/>
      <c r="EG111" s="163"/>
      <c r="EH111" s="163"/>
      <c r="EI111" s="163"/>
      <c r="EJ111" s="163"/>
      <c r="EK111" s="163"/>
      <c r="EL111" s="163"/>
      <c r="EM111" s="163"/>
      <c r="EN111" s="163"/>
      <c r="EO111" s="163"/>
      <c r="EP111" s="163"/>
      <c r="EQ111" s="163"/>
      <c r="ER111" s="163"/>
      <c r="ES111" s="163"/>
      <c r="ET111" s="163"/>
      <c r="EU111" s="163"/>
      <c r="EV111" s="163"/>
      <c r="EW111" s="163"/>
      <c r="EX111" s="255" t="s">
        <v>883</v>
      </c>
      <c r="EY111" s="255">
        <v>2020.0</v>
      </c>
      <c r="EZ111" s="255">
        <v>490.0</v>
      </c>
      <c r="FA111" s="255">
        <v>612.0</v>
      </c>
      <c r="FB111" s="255">
        <v>745.0</v>
      </c>
      <c r="FC111" s="255">
        <v>689.0</v>
      </c>
      <c r="FD111" s="255">
        <v>756.0</v>
      </c>
      <c r="FE111" s="255">
        <v>3292.0</v>
      </c>
      <c r="FF111" s="255"/>
      <c r="FG111" s="255">
        <v>2020.0</v>
      </c>
      <c r="FH111" s="255">
        <v>52.0</v>
      </c>
      <c r="FI111" s="255">
        <v>6.0</v>
      </c>
      <c r="FJ111" s="255">
        <v>0.0</v>
      </c>
      <c r="FK111" s="255">
        <v>0.0</v>
      </c>
      <c r="FL111" s="255">
        <v>0.0</v>
      </c>
      <c r="FM111" s="255">
        <v>58.0</v>
      </c>
    </row>
    <row r="112" ht="13.5" customHeight="1">
      <c r="A112" s="252" t="s">
        <v>1099</v>
      </c>
      <c r="B112" s="252">
        <v>2020.0</v>
      </c>
      <c r="C112" s="252">
        <v>39.0</v>
      </c>
      <c r="D112" s="252">
        <v>2.0</v>
      </c>
      <c r="E112" s="252">
        <v>0.0</v>
      </c>
      <c r="F112" s="252">
        <v>0.0</v>
      </c>
      <c r="G112" s="252">
        <v>0.0</v>
      </c>
      <c r="H112" s="252">
        <v>41.0</v>
      </c>
      <c r="I112" s="252"/>
      <c r="J112" s="252">
        <v>2020.0</v>
      </c>
      <c r="K112" s="252">
        <v>306.0</v>
      </c>
      <c r="L112" s="252">
        <v>275.0</v>
      </c>
      <c r="M112" s="252">
        <v>356.0</v>
      </c>
      <c r="N112" s="252">
        <v>442.0</v>
      </c>
      <c r="O112" s="252">
        <v>346.0</v>
      </c>
      <c r="P112" s="252">
        <v>1725.0</v>
      </c>
      <c r="Q112" s="131"/>
      <c r="R112" s="163"/>
      <c r="S112" s="163"/>
      <c r="T112" s="163"/>
      <c r="U112" s="163"/>
      <c r="V112" s="163"/>
      <c r="W112" s="163"/>
      <c r="X112" s="163"/>
      <c r="Y112" s="163"/>
      <c r="Z112" s="163"/>
      <c r="AA112" s="163"/>
      <c r="AB112" s="163"/>
      <c r="AC112" s="163"/>
      <c r="AD112" s="163"/>
      <c r="AE112" s="163"/>
      <c r="AF112" s="163"/>
      <c r="AG112" s="163"/>
      <c r="AH112" s="163"/>
      <c r="AI112" s="246" t="s">
        <v>404</v>
      </c>
      <c r="AJ112" s="246">
        <v>2019.0</v>
      </c>
      <c r="AK112" s="246">
        <v>674.0</v>
      </c>
      <c r="AL112" s="246">
        <v>632.0</v>
      </c>
      <c r="AM112" s="246">
        <v>605.0</v>
      </c>
      <c r="AN112" s="246">
        <v>559.0</v>
      </c>
      <c r="AO112" s="246">
        <v>826.0</v>
      </c>
      <c r="AP112" s="246">
        <v>3296.0</v>
      </c>
      <c r="AQ112" s="246"/>
      <c r="AR112" s="246">
        <v>2019.0</v>
      </c>
      <c r="AS112" s="246">
        <v>138.0</v>
      </c>
      <c r="AT112" s="246">
        <v>37.0</v>
      </c>
      <c r="AU112" s="246">
        <v>19.0</v>
      </c>
      <c r="AV112" s="246">
        <v>26.0</v>
      </c>
      <c r="AW112" s="246">
        <v>37.0</v>
      </c>
      <c r="AX112" s="246">
        <v>257.0</v>
      </c>
      <c r="AY112" s="163"/>
      <c r="AZ112" s="254" t="s">
        <v>569</v>
      </c>
      <c r="BA112" s="254">
        <v>2019.0</v>
      </c>
      <c r="BB112" s="254">
        <v>100.0</v>
      </c>
      <c r="BC112" s="254">
        <v>75.0</v>
      </c>
      <c r="BD112" s="254">
        <v>171.0</v>
      </c>
      <c r="BE112" s="254">
        <v>238.0</v>
      </c>
      <c r="BF112" s="254">
        <v>236.0</v>
      </c>
      <c r="BG112" s="254">
        <v>820.0</v>
      </c>
      <c r="BH112" s="254"/>
      <c r="BI112" s="254">
        <v>2019.0</v>
      </c>
      <c r="BJ112" s="254">
        <v>26.0</v>
      </c>
      <c r="BK112" s="254">
        <v>0.0</v>
      </c>
      <c r="BL112" s="254">
        <v>0.0</v>
      </c>
      <c r="BM112" s="254">
        <v>0.0</v>
      </c>
      <c r="BN112" s="254">
        <v>0.0</v>
      </c>
      <c r="BO112" s="254">
        <v>26.0</v>
      </c>
      <c r="BP112" s="163"/>
      <c r="BQ112" s="163"/>
      <c r="BR112" s="163"/>
      <c r="BS112" s="163"/>
      <c r="BT112" s="163"/>
      <c r="BU112" s="163"/>
      <c r="BV112" s="163"/>
      <c r="BW112" s="163"/>
      <c r="BX112" s="163"/>
      <c r="BY112" s="163"/>
      <c r="BZ112" s="163"/>
      <c r="CA112" s="163"/>
      <c r="CB112" s="163"/>
      <c r="CC112" s="163"/>
      <c r="CD112" s="163"/>
      <c r="CE112" s="163"/>
      <c r="CF112" s="163"/>
      <c r="CG112" s="163"/>
      <c r="CH112" s="57" t="s">
        <v>1009</v>
      </c>
      <c r="CI112" s="57">
        <v>2020.0</v>
      </c>
      <c r="CJ112" s="57">
        <v>917.0</v>
      </c>
      <c r="CK112" s="57">
        <v>550.0</v>
      </c>
      <c r="CL112" s="57">
        <v>619.0</v>
      </c>
      <c r="CM112" s="57">
        <v>595.0</v>
      </c>
      <c r="CN112" s="57">
        <v>507.0</v>
      </c>
      <c r="CO112" s="57">
        <v>3188.0</v>
      </c>
      <c r="CP112" s="57"/>
      <c r="CQ112" s="57">
        <v>2020.0</v>
      </c>
      <c r="CR112" s="57">
        <v>323.0</v>
      </c>
      <c r="CS112" s="57">
        <v>2.0</v>
      </c>
      <c r="CT112" s="57">
        <v>0.0</v>
      </c>
      <c r="CU112" s="57">
        <v>0.0</v>
      </c>
      <c r="CV112" s="57">
        <v>0.0</v>
      </c>
      <c r="CW112" s="57">
        <v>325.0</v>
      </c>
      <c r="CX112" s="163"/>
      <c r="CY112" s="163"/>
      <c r="CZ112" s="163"/>
      <c r="DA112" s="163"/>
      <c r="DB112" s="163"/>
      <c r="DC112" s="163"/>
      <c r="DD112" s="163"/>
      <c r="DE112" s="163"/>
      <c r="DF112" s="163"/>
      <c r="DG112" s="163"/>
      <c r="DH112" s="163"/>
      <c r="DI112" s="163"/>
      <c r="DJ112" s="163"/>
      <c r="DK112" s="163"/>
      <c r="DL112" s="163"/>
      <c r="DM112" s="163"/>
      <c r="DN112" s="163"/>
      <c r="DO112" s="163"/>
      <c r="DP112" s="163"/>
      <c r="DQ112" s="163"/>
      <c r="DR112" s="163"/>
      <c r="DS112" s="163"/>
      <c r="DT112" s="163"/>
      <c r="DU112" s="163"/>
      <c r="DV112" s="163"/>
      <c r="DW112" s="163"/>
      <c r="DX112" s="163"/>
      <c r="DY112" s="163"/>
      <c r="DZ112" s="163"/>
      <c r="EA112" s="163"/>
      <c r="EB112" s="163"/>
      <c r="EC112" s="163"/>
      <c r="ED112" s="163"/>
      <c r="EE112" s="163"/>
      <c r="EF112" s="163"/>
      <c r="EG112" s="163"/>
      <c r="EH112" s="163"/>
      <c r="EI112" s="163"/>
      <c r="EJ112" s="163"/>
      <c r="EK112" s="163"/>
      <c r="EL112" s="163"/>
      <c r="EM112" s="163"/>
      <c r="EN112" s="163"/>
      <c r="EO112" s="163"/>
      <c r="EP112" s="163"/>
      <c r="EQ112" s="163"/>
      <c r="ER112" s="163"/>
      <c r="ES112" s="163"/>
      <c r="ET112" s="163"/>
      <c r="EU112" s="163"/>
      <c r="EV112" s="163"/>
      <c r="EW112" s="163"/>
      <c r="EX112" s="255" t="s">
        <v>886</v>
      </c>
      <c r="EY112" s="255">
        <v>2020.0</v>
      </c>
      <c r="EZ112" s="255">
        <v>345.0</v>
      </c>
      <c r="FA112" s="255">
        <v>454.0</v>
      </c>
      <c r="FB112" s="255">
        <v>527.0</v>
      </c>
      <c r="FC112" s="255">
        <v>611.0</v>
      </c>
      <c r="FD112" s="255">
        <v>718.0</v>
      </c>
      <c r="FE112" s="255">
        <v>2655.0</v>
      </c>
      <c r="FF112" s="255"/>
      <c r="FG112" s="255">
        <v>2020.0</v>
      </c>
      <c r="FH112" s="255">
        <v>73.0</v>
      </c>
      <c r="FI112" s="255">
        <v>29.0</v>
      </c>
      <c r="FJ112" s="255">
        <v>20.0</v>
      </c>
      <c r="FK112" s="255">
        <v>10.0</v>
      </c>
      <c r="FL112" s="255">
        <v>6.0</v>
      </c>
      <c r="FM112" s="255">
        <v>138.0</v>
      </c>
    </row>
    <row r="113" ht="13.5" customHeight="1">
      <c r="A113" s="252" t="s">
        <v>1102</v>
      </c>
      <c r="B113" s="252">
        <v>2020.0</v>
      </c>
      <c r="C113" s="252">
        <v>11.0</v>
      </c>
      <c r="D113" s="252">
        <v>0.0</v>
      </c>
      <c r="E113" s="252">
        <v>0.0</v>
      </c>
      <c r="F113" s="252">
        <v>0.0</v>
      </c>
      <c r="G113" s="252">
        <v>0.0</v>
      </c>
      <c r="H113" s="252">
        <v>11.0</v>
      </c>
      <c r="I113" s="252"/>
      <c r="J113" s="252">
        <v>2020.0</v>
      </c>
      <c r="K113" s="252">
        <v>91.0</v>
      </c>
      <c r="L113" s="252">
        <v>109.0</v>
      </c>
      <c r="M113" s="252">
        <v>193.0</v>
      </c>
      <c r="N113" s="252">
        <v>318.0</v>
      </c>
      <c r="O113" s="252">
        <v>258.0</v>
      </c>
      <c r="P113" s="252">
        <v>969.0</v>
      </c>
      <c r="Q113" s="131"/>
      <c r="R113" s="163"/>
      <c r="S113" s="163"/>
      <c r="T113" s="163"/>
      <c r="U113" s="163"/>
      <c r="V113" s="163"/>
      <c r="W113" s="163"/>
      <c r="X113" s="163"/>
      <c r="Y113" s="163"/>
      <c r="Z113" s="163"/>
      <c r="AA113" s="163"/>
      <c r="AB113" s="163"/>
      <c r="AC113" s="163"/>
      <c r="AD113" s="163"/>
      <c r="AE113" s="163"/>
      <c r="AF113" s="163"/>
      <c r="AG113" s="163"/>
      <c r="AH113" s="163"/>
      <c r="AI113" s="246" t="s">
        <v>406</v>
      </c>
      <c r="AJ113" s="246">
        <v>2019.0</v>
      </c>
      <c r="AK113" s="246">
        <v>402.0</v>
      </c>
      <c r="AL113" s="246">
        <v>538.0</v>
      </c>
      <c r="AM113" s="246">
        <v>494.0</v>
      </c>
      <c r="AN113" s="246">
        <v>482.0</v>
      </c>
      <c r="AO113" s="246">
        <v>605.0</v>
      </c>
      <c r="AP113" s="246">
        <v>2521.0</v>
      </c>
      <c r="AQ113" s="246"/>
      <c r="AR113" s="246">
        <v>2019.0</v>
      </c>
      <c r="AS113" s="246">
        <v>108.0</v>
      </c>
      <c r="AT113" s="246">
        <v>57.0</v>
      </c>
      <c r="AU113" s="246">
        <v>28.0</v>
      </c>
      <c r="AV113" s="246">
        <v>46.0</v>
      </c>
      <c r="AW113" s="246">
        <v>48.0</v>
      </c>
      <c r="AX113" s="246">
        <v>287.0</v>
      </c>
      <c r="AY113" s="163"/>
      <c r="AZ113" s="254" t="s">
        <v>571</v>
      </c>
      <c r="BA113" s="254">
        <v>2019.0</v>
      </c>
      <c r="BB113" s="254">
        <v>454.0</v>
      </c>
      <c r="BC113" s="254">
        <v>363.0</v>
      </c>
      <c r="BD113" s="254">
        <v>579.0</v>
      </c>
      <c r="BE113" s="254">
        <v>686.0</v>
      </c>
      <c r="BF113" s="254">
        <v>610.0</v>
      </c>
      <c r="BG113" s="254">
        <v>2692.0</v>
      </c>
      <c r="BH113" s="254"/>
      <c r="BI113" s="254">
        <v>2019.0</v>
      </c>
      <c r="BJ113" s="254">
        <v>59.0</v>
      </c>
      <c r="BK113" s="254">
        <v>0.0</v>
      </c>
      <c r="BL113" s="254">
        <v>0.0</v>
      </c>
      <c r="BM113" s="254">
        <v>0.0</v>
      </c>
      <c r="BN113" s="254">
        <v>0.0</v>
      </c>
      <c r="BO113" s="254">
        <v>59.0</v>
      </c>
      <c r="BP113" s="163"/>
      <c r="BQ113" s="163"/>
      <c r="BR113" s="163"/>
      <c r="BS113" s="163"/>
      <c r="BT113" s="163"/>
      <c r="BU113" s="163"/>
      <c r="BV113" s="163"/>
      <c r="BW113" s="163"/>
      <c r="BX113" s="163"/>
      <c r="BY113" s="163"/>
      <c r="BZ113" s="163"/>
      <c r="CA113" s="163"/>
      <c r="CB113" s="163"/>
      <c r="CC113" s="163"/>
      <c r="CD113" s="163"/>
      <c r="CE113" s="163"/>
      <c r="CF113" s="163"/>
      <c r="CG113" s="163"/>
      <c r="CH113" s="57" t="s">
        <v>1011</v>
      </c>
      <c r="CI113" s="57">
        <v>2020.0</v>
      </c>
      <c r="CJ113" s="57">
        <v>37.0</v>
      </c>
      <c r="CK113" s="57">
        <v>34.0</v>
      </c>
      <c r="CL113" s="57">
        <v>65.0</v>
      </c>
      <c r="CM113" s="57">
        <v>88.0</v>
      </c>
      <c r="CN113" s="57">
        <v>104.0</v>
      </c>
      <c r="CO113" s="57">
        <v>328.0</v>
      </c>
      <c r="CP113" s="57"/>
      <c r="CQ113" s="57">
        <v>2020.0</v>
      </c>
      <c r="CR113" s="57">
        <v>18.0</v>
      </c>
      <c r="CS113" s="57">
        <v>0.0</v>
      </c>
      <c r="CT113" s="57">
        <v>0.0</v>
      </c>
      <c r="CU113" s="57">
        <v>0.0</v>
      </c>
      <c r="CV113" s="57">
        <v>0.0</v>
      </c>
      <c r="CW113" s="57">
        <v>18.0</v>
      </c>
      <c r="CX113" s="163"/>
      <c r="CY113" s="163"/>
      <c r="CZ113" s="163"/>
      <c r="DA113" s="163"/>
      <c r="DB113" s="163"/>
      <c r="DC113" s="163"/>
      <c r="DD113" s="163"/>
      <c r="DE113" s="163"/>
      <c r="DF113" s="163"/>
      <c r="DG113" s="163"/>
      <c r="DH113" s="163"/>
      <c r="DI113" s="163"/>
      <c r="DJ113" s="163"/>
      <c r="DK113" s="163"/>
      <c r="DL113" s="163"/>
      <c r="DM113" s="163"/>
      <c r="DN113" s="163"/>
      <c r="DO113" s="163"/>
      <c r="DP113" s="163"/>
      <c r="DQ113" s="163"/>
      <c r="DR113" s="163"/>
      <c r="DS113" s="163"/>
      <c r="DT113" s="163"/>
      <c r="DU113" s="163"/>
      <c r="DV113" s="163"/>
      <c r="DW113" s="163"/>
      <c r="DX113" s="163"/>
      <c r="DY113" s="163"/>
      <c r="DZ113" s="163"/>
      <c r="EA113" s="163"/>
      <c r="EB113" s="163"/>
      <c r="EC113" s="163"/>
      <c r="ED113" s="163"/>
      <c r="EE113" s="163"/>
      <c r="EF113" s="163"/>
      <c r="EG113" s="163"/>
      <c r="EH113" s="163"/>
      <c r="EI113" s="163"/>
      <c r="EJ113" s="163"/>
      <c r="EK113" s="163"/>
      <c r="EL113" s="163"/>
      <c r="EM113" s="163"/>
      <c r="EN113" s="163"/>
      <c r="EO113" s="163"/>
      <c r="EP113" s="163"/>
      <c r="EQ113" s="163"/>
      <c r="ER113" s="163"/>
      <c r="ES113" s="163"/>
      <c r="ET113" s="163"/>
      <c r="EU113" s="163"/>
      <c r="EV113" s="163"/>
      <c r="EW113" s="163"/>
      <c r="EX113" s="255" t="s">
        <v>889</v>
      </c>
      <c r="EY113" s="255">
        <v>2020.0</v>
      </c>
      <c r="EZ113" s="255">
        <v>486.0</v>
      </c>
      <c r="FA113" s="255">
        <v>541.0</v>
      </c>
      <c r="FB113" s="255">
        <v>599.0</v>
      </c>
      <c r="FC113" s="255">
        <v>697.0</v>
      </c>
      <c r="FD113" s="255">
        <v>689.0</v>
      </c>
      <c r="FE113" s="255">
        <v>3012.0</v>
      </c>
      <c r="FF113" s="255"/>
      <c r="FG113" s="255">
        <v>2020.0</v>
      </c>
      <c r="FH113" s="255">
        <v>75.0</v>
      </c>
      <c r="FI113" s="255">
        <v>13.0</v>
      </c>
      <c r="FJ113" s="255">
        <v>6.0</v>
      </c>
      <c r="FK113" s="255">
        <v>6.0</v>
      </c>
      <c r="FL113" s="255">
        <v>8.0</v>
      </c>
      <c r="FM113" s="255">
        <v>108.0</v>
      </c>
    </row>
    <row r="114" ht="13.5" customHeight="1">
      <c r="A114" s="252" t="s">
        <v>1105</v>
      </c>
      <c r="B114" s="252">
        <v>2020.0</v>
      </c>
      <c r="C114" s="252">
        <v>11.0</v>
      </c>
      <c r="D114" s="252">
        <v>3.0</v>
      </c>
      <c r="E114" s="252">
        <v>2.0</v>
      </c>
      <c r="F114" s="252">
        <v>2.0</v>
      </c>
      <c r="G114" s="252">
        <v>2.0</v>
      </c>
      <c r="H114" s="252">
        <v>20.0</v>
      </c>
      <c r="I114" s="252"/>
      <c r="J114" s="252">
        <v>2020.0</v>
      </c>
      <c r="K114" s="252">
        <v>80.0</v>
      </c>
      <c r="L114" s="252">
        <v>112.0</v>
      </c>
      <c r="M114" s="252">
        <v>236.0</v>
      </c>
      <c r="N114" s="252">
        <v>309.0</v>
      </c>
      <c r="O114" s="252">
        <v>293.0</v>
      </c>
      <c r="P114" s="252">
        <v>1030.0</v>
      </c>
      <c r="Q114" s="131"/>
      <c r="R114" s="163"/>
      <c r="S114" s="163"/>
      <c r="T114" s="163"/>
      <c r="U114" s="163"/>
      <c r="V114" s="163"/>
      <c r="W114" s="163"/>
      <c r="X114" s="163"/>
      <c r="Y114" s="163"/>
      <c r="Z114" s="163"/>
      <c r="AA114" s="163"/>
      <c r="AB114" s="163"/>
      <c r="AC114" s="163"/>
      <c r="AD114" s="163"/>
      <c r="AE114" s="163"/>
      <c r="AF114" s="163"/>
      <c r="AG114" s="163"/>
      <c r="AH114" s="163"/>
      <c r="AI114" s="246" t="s">
        <v>410</v>
      </c>
      <c r="AJ114" s="246">
        <v>2019.0</v>
      </c>
      <c r="AK114" s="246">
        <v>524.0</v>
      </c>
      <c r="AL114" s="246">
        <v>617.0</v>
      </c>
      <c r="AM114" s="246">
        <v>545.0</v>
      </c>
      <c r="AN114" s="246">
        <v>587.0</v>
      </c>
      <c r="AO114" s="246">
        <v>719.0</v>
      </c>
      <c r="AP114" s="246">
        <v>2992.0</v>
      </c>
      <c r="AQ114" s="246"/>
      <c r="AR114" s="246">
        <v>2019.0</v>
      </c>
      <c r="AS114" s="246">
        <v>104.0</v>
      </c>
      <c r="AT114" s="246">
        <v>27.0</v>
      </c>
      <c r="AU114" s="246">
        <v>10.0</v>
      </c>
      <c r="AV114" s="246">
        <v>14.0</v>
      </c>
      <c r="AW114" s="246">
        <v>25.0</v>
      </c>
      <c r="AX114" s="246">
        <v>180.0</v>
      </c>
      <c r="AY114" s="163"/>
      <c r="AZ114" s="254" t="s">
        <v>573</v>
      </c>
      <c r="BA114" s="254">
        <v>2019.0</v>
      </c>
      <c r="BB114" s="254">
        <v>252.0</v>
      </c>
      <c r="BC114" s="254">
        <v>212.0</v>
      </c>
      <c r="BD114" s="254">
        <v>368.0</v>
      </c>
      <c r="BE114" s="254">
        <v>469.0</v>
      </c>
      <c r="BF114" s="254">
        <v>454.0</v>
      </c>
      <c r="BG114" s="254">
        <v>1755.0</v>
      </c>
      <c r="BH114" s="254"/>
      <c r="BI114" s="254">
        <v>2019.0</v>
      </c>
      <c r="BJ114" s="254">
        <v>41.0</v>
      </c>
      <c r="BK114" s="254">
        <v>0.0</v>
      </c>
      <c r="BL114" s="254">
        <v>0.0</v>
      </c>
      <c r="BM114" s="254">
        <v>0.0</v>
      </c>
      <c r="BN114" s="254">
        <v>0.0</v>
      </c>
      <c r="BO114" s="254">
        <v>41.0</v>
      </c>
      <c r="BP114" s="163"/>
      <c r="BQ114" s="163"/>
      <c r="BR114" s="163"/>
      <c r="BS114" s="163"/>
      <c r="BT114" s="163"/>
      <c r="BU114" s="163"/>
      <c r="BV114" s="163"/>
      <c r="BW114" s="163"/>
      <c r="BX114" s="163"/>
      <c r="BY114" s="163"/>
      <c r="BZ114" s="163"/>
      <c r="CA114" s="163"/>
      <c r="CB114" s="163"/>
      <c r="CC114" s="163"/>
      <c r="CD114" s="163"/>
      <c r="CE114" s="163"/>
      <c r="CF114" s="163"/>
      <c r="CG114" s="163"/>
      <c r="CH114" s="57" t="s">
        <v>1014</v>
      </c>
      <c r="CI114" s="57">
        <v>2020.0</v>
      </c>
      <c r="CJ114" s="57">
        <v>232.0</v>
      </c>
      <c r="CK114" s="57">
        <v>85.0</v>
      </c>
      <c r="CL114" s="57">
        <v>133.0</v>
      </c>
      <c r="CM114" s="57">
        <v>179.0</v>
      </c>
      <c r="CN114" s="57">
        <v>265.0</v>
      </c>
      <c r="CO114" s="57">
        <v>894.0</v>
      </c>
      <c r="CP114" s="57"/>
      <c r="CQ114" s="57">
        <v>2020.0</v>
      </c>
      <c r="CR114" s="57">
        <v>71.0</v>
      </c>
      <c r="CS114" s="57">
        <v>1.0</v>
      </c>
      <c r="CT114" s="57">
        <v>0.0</v>
      </c>
      <c r="CU114" s="57">
        <v>0.0</v>
      </c>
      <c r="CV114" s="57">
        <v>0.0</v>
      </c>
      <c r="CW114" s="57">
        <v>72.0</v>
      </c>
      <c r="CX114" s="163"/>
      <c r="CY114" s="163"/>
      <c r="CZ114" s="163"/>
      <c r="DA114" s="163"/>
      <c r="DB114" s="163"/>
      <c r="DC114" s="163"/>
      <c r="DD114" s="163"/>
      <c r="DE114" s="163"/>
      <c r="DF114" s="163"/>
      <c r="DG114" s="163"/>
      <c r="DH114" s="163"/>
      <c r="DI114" s="163"/>
      <c r="DJ114" s="163"/>
      <c r="DK114" s="163"/>
      <c r="DL114" s="163"/>
      <c r="DM114" s="163"/>
      <c r="DN114" s="163"/>
      <c r="DO114" s="163"/>
      <c r="DP114" s="163"/>
      <c r="DQ114" s="163"/>
      <c r="DR114" s="163"/>
      <c r="DS114" s="163"/>
      <c r="DT114" s="163"/>
      <c r="DU114" s="163"/>
      <c r="DV114" s="163"/>
      <c r="DW114" s="163"/>
      <c r="DX114" s="163"/>
      <c r="DY114" s="163"/>
      <c r="DZ114" s="163"/>
      <c r="EA114" s="163"/>
      <c r="EB114" s="163"/>
      <c r="EC114" s="163"/>
      <c r="ED114" s="163"/>
      <c r="EE114" s="163"/>
      <c r="EF114" s="163"/>
      <c r="EG114" s="163"/>
      <c r="EH114" s="163"/>
      <c r="EI114" s="163"/>
      <c r="EJ114" s="163"/>
      <c r="EK114" s="163"/>
      <c r="EL114" s="163"/>
      <c r="EM114" s="163"/>
      <c r="EN114" s="163"/>
      <c r="EO114" s="163"/>
      <c r="EP114" s="163"/>
      <c r="EQ114" s="163"/>
      <c r="ER114" s="163"/>
      <c r="ES114" s="163"/>
      <c r="ET114" s="163"/>
      <c r="EU114" s="163"/>
      <c r="EV114" s="163"/>
      <c r="EW114" s="163"/>
      <c r="EX114" s="255" t="s">
        <v>891</v>
      </c>
      <c r="EY114" s="255">
        <v>2020.0</v>
      </c>
      <c r="EZ114" s="255">
        <v>353.0</v>
      </c>
      <c r="FA114" s="255">
        <v>488.0</v>
      </c>
      <c r="FB114" s="255">
        <v>569.0</v>
      </c>
      <c r="FC114" s="255">
        <v>565.0</v>
      </c>
      <c r="FD114" s="255">
        <v>592.0</v>
      </c>
      <c r="FE114" s="255">
        <v>2567.0</v>
      </c>
      <c r="FF114" s="255"/>
      <c r="FG114" s="255">
        <v>2020.0</v>
      </c>
      <c r="FH114" s="255">
        <v>58.0</v>
      </c>
      <c r="FI114" s="255">
        <v>15.0</v>
      </c>
      <c r="FJ114" s="255">
        <v>7.0</v>
      </c>
      <c r="FK114" s="255">
        <v>4.0</v>
      </c>
      <c r="FL114" s="255">
        <v>7.0</v>
      </c>
      <c r="FM114" s="255">
        <v>91.0</v>
      </c>
    </row>
    <row r="115" ht="13.5" customHeight="1">
      <c r="A115" s="252" t="s">
        <v>1108</v>
      </c>
      <c r="B115" s="252">
        <v>2020.0</v>
      </c>
      <c r="C115" s="252">
        <v>32.0</v>
      </c>
      <c r="D115" s="252">
        <v>3.0</v>
      </c>
      <c r="E115" s="252">
        <v>0.0</v>
      </c>
      <c r="F115" s="252">
        <v>0.0</v>
      </c>
      <c r="G115" s="252">
        <v>0.0</v>
      </c>
      <c r="H115" s="252">
        <v>35.0</v>
      </c>
      <c r="I115" s="252"/>
      <c r="J115" s="252">
        <v>2020.0</v>
      </c>
      <c r="K115" s="252">
        <v>191.0</v>
      </c>
      <c r="L115" s="252">
        <v>289.0</v>
      </c>
      <c r="M115" s="252">
        <v>369.0</v>
      </c>
      <c r="N115" s="252">
        <v>487.0</v>
      </c>
      <c r="O115" s="252">
        <v>374.0</v>
      </c>
      <c r="P115" s="252">
        <v>1710.0</v>
      </c>
      <c r="Q115" s="131"/>
      <c r="R115" s="163"/>
      <c r="S115" s="163"/>
      <c r="T115" s="163"/>
      <c r="U115" s="163"/>
      <c r="V115" s="163"/>
      <c r="W115" s="163"/>
      <c r="X115" s="163"/>
      <c r="Y115" s="163"/>
      <c r="Z115" s="163"/>
      <c r="AA115" s="163"/>
      <c r="AB115" s="163"/>
      <c r="AC115" s="163"/>
      <c r="AD115" s="163"/>
      <c r="AE115" s="163"/>
      <c r="AF115" s="163"/>
      <c r="AG115" s="163"/>
      <c r="AH115" s="163"/>
      <c r="AI115" s="163"/>
      <c r="AJ115" s="163"/>
      <c r="AK115" s="163"/>
      <c r="AL115" s="163"/>
      <c r="AM115" s="163"/>
      <c r="AN115" s="163"/>
      <c r="AO115" s="163"/>
      <c r="AP115" s="163"/>
      <c r="AQ115" s="163"/>
      <c r="AR115" s="163"/>
      <c r="AS115" s="163"/>
      <c r="AT115" s="163"/>
      <c r="AU115" s="163"/>
      <c r="AV115" s="163"/>
      <c r="AW115" s="163"/>
      <c r="AX115" s="163"/>
      <c r="AY115" s="163"/>
      <c r="AZ115" s="254" t="s">
        <v>575</v>
      </c>
      <c r="BA115" s="254">
        <v>2019.0</v>
      </c>
      <c r="BB115" s="254">
        <v>128.0</v>
      </c>
      <c r="BC115" s="254">
        <v>122.0</v>
      </c>
      <c r="BD115" s="254">
        <v>254.0</v>
      </c>
      <c r="BE115" s="254">
        <v>403.0</v>
      </c>
      <c r="BF115" s="254">
        <v>437.0</v>
      </c>
      <c r="BG115" s="254">
        <v>1344.0</v>
      </c>
      <c r="BH115" s="254"/>
      <c r="BI115" s="254">
        <v>2019.0</v>
      </c>
      <c r="BJ115" s="254">
        <v>22.0</v>
      </c>
      <c r="BK115" s="254">
        <v>0.0</v>
      </c>
      <c r="BL115" s="254">
        <v>0.0</v>
      </c>
      <c r="BM115" s="254">
        <v>0.0</v>
      </c>
      <c r="BN115" s="254">
        <v>0.0</v>
      </c>
      <c r="BO115" s="254">
        <v>22.0</v>
      </c>
      <c r="BP115" s="163"/>
      <c r="BQ115" s="163"/>
      <c r="BR115" s="163"/>
      <c r="BS115" s="163"/>
      <c r="BT115" s="163"/>
      <c r="BU115" s="163"/>
      <c r="BV115" s="163"/>
      <c r="BW115" s="163"/>
      <c r="BX115" s="163"/>
      <c r="BY115" s="163"/>
      <c r="BZ115" s="163"/>
      <c r="CA115" s="163"/>
      <c r="CB115" s="163"/>
      <c r="CC115" s="163"/>
      <c r="CD115" s="163"/>
      <c r="CE115" s="163"/>
      <c r="CF115" s="163"/>
      <c r="CG115" s="163"/>
      <c r="CH115" s="57" t="s">
        <v>1290</v>
      </c>
      <c r="CI115" s="57">
        <v>2020.0</v>
      </c>
      <c r="CJ115" s="57" t="s">
        <v>541</v>
      </c>
      <c r="CK115" s="57" t="s">
        <v>541</v>
      </c>
      <c r="CL115" s="57" t="s">
        <v>541</v>
      </c>
      <c r="CM115" s="57" t="s">
        <v>541</v>
      </c>
      <c r="CN115" s="57" t="s">
        <v>541</v>
      </c>
      <c r="CO115" s="57" t="s">
        <v>541</v>
      </c>
      <c r="CP115" s="57"/>
      <c r="CQ115" s="57">
        <v>2020.0</v>
      </c>
      <c r="CR115" s="57" t="s">
        <v>541</v>
      </c>
      <c r="CS115" s="57" t="s">
        <v>541</v>
      </c>
      <c r="CT115" s="57" t="s">
        <v>541</v>
      </c>
      <c r="CU115" s="57" t="s">
        <v>541</v>
      </c>
      <c r="CV115" s="57" t="s">
        <v>541</v>
      </c>
      <c r="CW115" s="57" t="s">
        <v>541</v>
      </c>
      <c r="CX115" s="163"/>
      <c r="CY115" s="163"/>
      <c r="CZ115" s="163"/>
      <c r="DA115" s="163"/>
      <c r="DB115" s="163"/>
      <c r="DC115" s="163"/>
      <c r="DD115" s="163"/>
      <c r="DE115" s="163"/>
      <c r="DF115" s="163"/>
      <c r="DG115" s="163"/>
      <c r="DH115" s="163"/>
      <c r="DI115" s="163"/>
      <c r="DJ115" s="163"/>
      <c r="DK115" s="163"/>
      <c r="DL115" s="163"/>
      <c r="DM115" s="163"/>
      <c r="DN115" s="163"/>
      <c r="DO115" s="163"/>
      <c r="DP115" s="163"/>
      <c r="DQ115" s="163"/>
      <c r="DR115" s="163"/>
      <c r="DS115" s="163"/>
      <c r="DT115" s="163"/>
      <c r="DU115" s="163"/>
      <c r="DV115" s="163"/>
      <c r="DW115" s="163"/>
      <c r="DX115" s="163"/>
      <c r="DY115" s="163"/>
      <c r="DZ115" s="163"/>
      <c r="EA115" s="163"/>
      <c r="EB115" s="163"/>
      <c r="EC115" s="163"/>
      <c r="ED115" s="163"/>
      <c r="EE115" s="163"/>
      <c r="EF115" s="163"/>
      <c r="EG115" s="163"/>
      <c r="EH115" s="163"/>
      <c r="EI115" s="163"/>
      <c r="EJ115" s="163"/>
      <c r="EK115" s="163"/>
      <c r="EL115" s="163"/>
      <c r="EM115" s="163"/>
      <c r="EN115" s="163"/>
      <c r="EO115" s="163"/>
      <c r="EP115" s="163"/>
      <c r="EQ115" s="163"/>
      <c r="ER115" s="163"/>
      <c r="ES115" s="163"/>
      <c r="ET115" s="163"/>
      <c r="EU115" s="163"/>
      <c r="EV115" s="163"/>
      <c r="EW115" s="163"/>
      <c r="EX115" s="255" t="s">
        <v>893</v>
      </c>
      <c r="EY115" s="255">
        <v>2020.0</v>
      </c>
      <c r="EZ115" s="255">
        <v>2209.0</v>
      </c>
      <c r="FA115" s="255">
        <v>1010.0</v>
      </c>
      <c r="FB115" s="255">
        <v>753.0</v>
      </c>
      <c r="FC115" s="255">
        <v>617.0</v>
      </c>
      <c r="FD115" s="255">
        <v>639.0</v>
      </c>
      <c r="FE115" s="255">
        <v>5228.0</v>
      </c>
      <c r="FF115" s="255"/>
      <c r="FG115" s="255">
        <v>2020.0</v>
      </c>
      <c r="FH115" s="255">
        <v>340.0</v>
      </c>
      <c r="FI115" s="255">
        <v>0.0</v>
      </c>
      <c r="FJ115" s="255">
        <v>0.0</v>
      </c>
      <c r="FK115" s="255">
        <v>0.0</v>
      </c>
      <c r="FL115" s="255">
        <v>0.0</v>
      </c>
      <c r="FM115" s="255">
        <v>340.0</v>
      </c>
    </row>
    <row r="116" ht="13.5" customHeight="1">
      <c r="A116" s="252" t="s">
        <v>1111</v>
      </c>
      <c r="B116" s="252">
        <v>2020.0</v>
      </c>
      <c r="C116" s="252">
        <v>15.0</v>
      </c>
      <c r="D116" s="252">
        <v>1.0</v>
      </c>
      <c r="E116" s="252">
        <v>0.0</v>
      </c>
      <c r="F116" s="252">
        <v>0.0</v>
      </c>
      <c r="G116" s="252">
        <v>0.0</v>
      </c>
      <c r="H116" s="252">
        <v>16.0</v>
      </c>
      <c r="I116" s="252"/>
      <c r="J116" s="252">
        <v>2020.0</v>
      </c>
      <c r="K116" s="252">
        <v>83.0</v>
      </c>
      <c r="L116" s="252">
        <v>118.0</v>
      </c>
      <c r="M116" s="252">
        <v>274.0</v>
      </c>
      <c r="N116" s="252">
        <v>352.0</v>
      </c>
      <c r="O116" s="252">
        <v>324.0</v>
      </c>
      <c r="P116" s="252">
        <v>1151.0</v>
      </c>
      <c r="Q116" s="131"/>
      <c r="R116" s="163"/>
      <c r="S116" s="163"/>
      <c r="T116" s="163"/>
      <c r="U116" s="163"/>
      <c r="V116" s="163"/>
      <c r="W116" s="163"/>
      <c r="X116" s="163"/>
      <c r="Y116" s="163"/>
      <c r="Z116" s="163"/>
      <c r="AA116" s="163"/>
      <c r="AB116" s="163"/>
      <c r="AC116" s="163"/>
      <c r="AD116" s="163"/>
      <c r="AE116" s="163"/>
      <c r="AF116" s="163"/>
      <c r="AG116" s="163"/>
      <c r="AH116" s="163"/>
      <c r="AI116" s="246" t="s">
        <v>286</v>
      </c>
      <c r="AJ116" s="246">
        <v>2020.0</v>
      </c>
      <c r="AK116" s="246">
        <v>424.0</v>
      </c>
      <c r="AL116" s="246">
        <v>574.0</v>
      </c>
      <c r="AM116" s="246">
        <v>823.0</v>
      </c>
      <c r="AN116" s="246">
        <v>925.0</v>
      </c>
      <c r="AO116" s="246">
        <v>701.0</v>
      </c>
      <c r="AP116" s="246">
        <v>3447.0</v>
      </c>
      <c r="AQ116" s="246"/>
      <c r="AR116" s="246">
        <v>2020.0</v>
      </c>
      <c r="AS116" s="246">
        <v>62.0</v>
      </c>
      <c r="AT116" s="246">
        <v>3.0</v>
      </c>
      <c r="AU116" s="246">
        <v>0.0</v>
      </c>
      <c r="AV116" s="246">
        <v>1.0</v>
      </c>
      <c r="AW116" s="246">
        <v>0.0</v>
      </c>
      <c r="AX116" s="246">
        <v>66.0</v>
      </c>
      <c r="AY116" s="163"/>
      <c r="AZ116" s="254" t="s">
        <v>577</v>
      </c>
      <c r="BA116" s="254">
        <v>2019.0</v>
      </c>
      <c r="BB116" s="254">
        <v>159.0</v>
      </c>
      <c r="BC116" s="254">
        <v>157.0</v>
      </c>
      <c r="BD116" s="254">
        <v>291.0</v>
      </c>
      <c r="BE116" s="254">
        <v>384.0</v>
      </c>
      <c r="BF116" s="254">
        <v>364.0</v>
      </c>
      <c r="BG116" s="254">
        <v>1355.0</v>
      </c>
      <c r="BH116" s="254"/>
      <c r="BI116" s="254">
        <v>2019.0</v>
      </c>
      <c r="BJ116" s="254">
        <v>36.0</v>
      </c>
      <c r="BK116" s="254">
        <v>0.0</v>
      </c>
      <c r="BL116" s="254">
        <v>0.0</v>
      </c>
      <c r="BM116" s="254">
        <v>0.0</v>
      </c>
      <c r="BN116" s="254">
        <v>0.0</v>
      </c>
      <c r="BO116" s="254">
        <v>36.0</v>
      </c>
      <c r="BP116" s="163"/>
      <c r="BQ116" s="163"/>
      <c r="BR116" s="163"/>
      <c r="BS116" s="163"/>
      <c r="BT116" s="163"/>
      <c r="BU116" s="163"/>
      <c r="BV116" s="163"/>
      <c r="BW116" s="163"/>
      <c r="BX116" s="163"/>
      <c r="BY116" s="163"/>
      <c r="BZ116" s="163"/>
      <c r="CA116" s="163"/>
      <c r="CB116" s="163"/>
      <c r="CC116" s="163"/>
      <c r="CD116" s="163"/>
      <c r="CE116" s="163"/>
      <c r="CF116" s="163"/>
      <c r="CG116" s="163"/>
      <c r="CH116" s="57" t="s">
        <v>1015</v>
      </c>
      <c r="CI116" s="57">
        <v>2020.0</v>
      </c>
      <c r="CJ116" s="57">
        <v>476.0</v>
      </c>
      <c r="CK116" s="57">
        <v>63.0</v>
      </c>
      <c r="CL116" s="57">
        <v>120.0</v>
      </c>
      <c r="CM116" s="57">
        <v>150.0</v>
      </c>
      <c r="CN116" s="57">
        <v>319.0</v>
      </c>
      <c r="CO116" s="57">
        <v>1128.0</v>
      </c>
      <c r="CP116" s="57"/>
      <c r="CQ116" s="57">
        <v>2020.0</v>
      </c>
      <c r="CR116" s="57">
        <v>150.0</v>
      </c>
      <c r="CS116" s="57">
        <v>0.0</v>
      </c>
      <c r="CT116" s="57">
        <v>0.0</v>
      </c>
      <c r="CU116" s="57">
        <v>0.0</v>
      </c>
      <c r="CV116" s="57">
        <v>0.0</v>
      </c>
      <c r="CW116" s="57">
        <v>150.0</v>
      </c>
      <c r="CX116" s="163"/>
      <c r="CY116" s="163"/>
      <c r="CZ116" s="163"/>
      <c r="DA116" s="163"/>
      <c r="DB116" s="163"/>
      <c r="DC116" s="163"/>
      <c r="DD116" s="163"/>
      <c r="DE116" s="163"/>
      <c r="DF116" s="163"/>
      <c r="DG116" s="163"/>
      <c r="DH116" s="163"/>
      <c r="DI116" s="163"/>
      <c r="DJ116" s="163"/>
      <c r="DK116" s="163"/>
      <c r="DL116" s="163"/>
      <c r="DM116" s="163"/>
      <c r="DN116" s="163"/>
      <c r="DO116" s="163"/>
      <c r="DP116" s="163"/>
      <c r="DQ116" s="163"/>
      <c r="DR116" s="163"/>
      <c r="DS116" s="163"/>
      <c r="DT116" s="163"/>
      <c r="DU116" s="163"/>
      <c r="DV116" s="163"/>
      <c r="DW116" s="163"/>
      <c r="DX116" s="163"/>
      <c r="DY116" s="163"/>
      <c r="DZ116" s="163"/>
      <c r="EA116" s="163"/>
      <c r="EB116" s="163"/>
      <c r="EC116" s="163"/>
      <c r="ED116" s="163"/>
      <c r="EE116" s="163"/>
      <c r="EF116" s="163"/>
      <c r="EG116" s="163"/>
      <c r="EH116" s="163"/>
      <c r="EI116" s="163"/>
      <c r="EJ116" s="163"/>
      <c r="EK116" s="163"/>
      <c r="EL116" s="163"/>
      <c r="EM116" s="163"/>
      <c r="EN116" s="163"/>
      <c r="EO116" s="163"/>
      <c r="EP116" s="163"/>
      <c r="EQ116" s="163"/>
      <c r="ER116" s="163"/>
      <c r="ES116" s="163"/>
      <c r="ET116" s="163"/>
      <c r="EU116" s="163"/>
      <c r="EV116" s="163"/>
      <c r="EW116" s="163"/>
      <c r="EX116" s="255" t="s">
        <v>896</v>
      </c>
      <c r="EY116" s="255">
        <v>2020.0</v>
      </c>
      <c r="EZ116" s="255">
        <v>760.0</v>
      </c>
      <c r="FA116" s="255">
        <v>1042.0</v>
      </c>
      <c r="FB116" s="255">
        <v>687.0</v>
      </c>
      <c r="FC116" s="255">
        <v>513.0</v>
      </c>
      <c r="FD116" s="255">
        <v>545.0</v>
      </c>
      <c r="FE116" s="255">
        <v>3547.0</v>
      </c>
      <c r="FF116" s="255"/>
      <c r="FG116" s="255">
        <v>2020.0</v>
      </c>
      <c r="FH116" s="255">
        <v>145.0</v>
      </c>
      <c r="FI116" s="255">
        <v>0.0</v>
      </c>
      <c r="FJ116" s="255">
        <v>0.0</v>
      </c>
      <c r="FK116" s="255">
        <v>0.0</v>
      </c>
      <c r="FL116" s="255">
        <v>0.0</v>
      </c>
      <c r="FM116" s="255">
        <v>145.0</v>
      </c>
    </row>
    <row r="117" ht="13.5" customHeight="1">
      <c r="A117" s="252" t="s">
        <v>1114</v>
      </c>
      <c r="B117" s="252">
        <v>2020.0</v>
      </c>
      <c r="C117" s="252">
        <v>11.0</v>
      </c>
      <c r="D117" s="252">
        <v>3.0</v>
      </c>
      <c r="E117" s="252">
        <v>1.0</v>
      </c>
      <c r="F117" s="252">
        <v>1.0</v>
      </c>
      <c r="G117" s="252">
        <v>0.0</v>
      </c>
      <c r="H117" s="252">
        <v>16.0</v>
      </c>
      <c r="I117" s="252"/>
      <c r="J117" s="252">
        <v>2020.0</v>
      </c>
      <c r="K117" s="252">
        <v>102.0</v>
      </c>
      <c r="L117" s="252">
        <v>189.0</v>
      </c>
      <c r="M117" s="252">
        <v>381.0</v>
      </c>
      <c r="N117" s="252">
        <v>564.0</v>
      </c>
      <c r="O117" s="252">
        <v>405.0</v>
      </c>
      <c r="P117" s="252">
        <v>1641.0</v>
      </c>
      <c r="Q117" s="131"/>
      <c r="R117" s="163"/>
      <c r="S117" s="163"/>
      <c r="T117" s="163"/>
      <c r="U117" s="163"/>
      <c r="V117" s="163"/>
      <c r="W117" s="163"/>
      <c r="X117" s="163"/>
      <c r="Y117" s="163"/>
      <c r="Z117" s="163"/>
      <c r="AA117" s="163"/>
      <c r="AB117" s="163"/>
      <c r="AC117" s="163"/>
      <c r="AD117" s="163"/>
      <c r="AE117" s="163"/>
      <c r="AF117" s="163"/>
      <c r="AG117" s="163"/>
      <c r="AH117" s="163"/>
      <c r="AI117" s="246" t="s">
        <v>288</v>
      </c>
      <c r="AJ117" s="246">
        <v>2020.0</v>
      </c>
      <c r="AK117" s="246">
        <v>271.0</v>
      </c>
      <c r="AL117" s="246">
        <v>503.0</v>
      </c>
      <c r="AM117" s="246">
        <v>914.0</v>
      </c>
      <c r="AN117" s="246">
        <v>1112.0</v>
      </c>
      <c r="AO117" s="246">
        <v>878.0</v>
      </c>
      <c r="AP117" s="246">
        <v>3678.0</v>
      </c>
      <c r="AQ117" s="246"/>
      <c r="AR117" s="246">
        <v>2020.0</v>
      </c>
      <c r="AS117" s="246">
        <v>17.0</v>
      </c>
      <c r="AT117" s="246">
        <v>4.0</v>
      </c>
      <c r="AU117" s="246">
        <v>3.0</v>
      </c>
      <c r="AV117" s="246">
        <v>1.0</v>
      </c>
      <c r="AW117" s="246">
        <v>0.0</v>
      </c>
      <c r="AX117" s="246">
        <v>25.0</v>
      </c>
      <c r="AY117" s="163"/>
      <c r="AZ117" s="254" t="s">
        <v>579</v>
      </c>
      <c r="BA117" s="254">
        <v>2019.0</v>
      </c>
      <c r="BB117" s="254">
        <v>171.0</v>
      </c>
      <c r="BC117" s="254">
        <v>175.0</v>
      </c>
      <c r="BD117" s="254">
        <v>373.0</v>
      </c>
      <c r="BE117" s="254">
        <v>586.0</v>
      </c>
      <c r="BF117" s="254">
        <v>554.0</v>
      </c>
      <c r="BG117" s="254">
        <v>1859.0</v>
      </c>
      <c r="BH117" s="254"/>
      <c r="BI117" s="254">
        <v>2019.0</v>
      </c>
      <c r="BJ117" s="254">
        <v>38.0</v>
      </c>
      <c r="BK117" s="254">
        <v>0.0</v>
      </c>
      <c r="BL117" s="254">
        <v>0.0</v>
      </c>
      <c r="BM117" s="254">
        <v>0.0</v>
      </c>
      <c r="BN117" s="254">
        <v>0.0</v>
      </c>
      <c r="BO117" s="254">
        <v>38.0</v>
      </c>
      <c r="BP117" s="163"/>
      <c r="BQ117" s="163"/>
      <c r="BR117" s="163"/>
      <c r="BS117" s="163"/>
      <c r="BT117" s="163"/>
      <c r="BU117" s="163"/>
      <c r="BV117" s="163"/>
      <c r="BW117" s="163"/>
      <c r="BX117" s="163"/>
      <c r="BY117" s="163"/>
      <c r="BZ117" s="163"/>
      <c r="CA117" s="163"/>
      <c r="CB117" s="163"/>
      <c r="CC117" s="163"/>
      <c r="CD117" s="163"/>
      <c r="CE117" s="163"/>
      <c r="CF117" s="163"/>
      <c r="CG117" s="163"/>
      <c r="CH117" s="57" t="s">
        <v>1019</v>
      </c>
      <c r="CI117" s="57">
        <v>2020.0</v>
      </c>
      <c r="CJ117" s="57">
        <v>1139.0</v>
      </c>
      <c r="CK117" s="57">
        <v>849.0</v>
      </c>
      <c r="CL117" s="57">
        <v>998.0</v>
      </c>
      <c r="CM117" s="57">
        <v>966.0</v>
      </c>
      <c r="CN117" s="57">
        <v>851.0</v>
      </c>
      <c r="CO117" s="57">
        <v>4803.0</v>
      </c>
      <c r="CP117" s="57"/>
      <c r="CQ117" s="57">
        <v>2020.0</v>
      </c>
      <c r="CR117" s="57">
        <v>190.0</v>
      </c>
      <c r="CS117" s="57">
        <v>0.0</v>
      </c>
      <c r="CT117" s="57">
        <v>0.0</v>
      </c>
      <c r="CU117" s="57">
        <v>0.0</v>
      </c>
      <c r="CV117" s="57">
        <v>0.0</v>
      </c>
      <c r="CW117" s="57">
        <v>190.0</v>
      </c>
      <c r="CX117" s="163"/>
      <c r="CY117" s="163"/>
      <c r="CZ117" s="163"/>
      <c r="DA117" s="163"/>
      <c r="DB117" s="163"/>
      <c r="DC117" s="163"/>
      <c r="DD117" s="163"/>
      <c r="DE117" s="163"/>
      <c r="DF117" s="163"/>
      <c r="DG117" s="163"/>
      <c r="DH117" s="163"/>
      <c r="DI117" s="163"/>
      <c r="DJ117" s="163"/>
      <c r="DK117" s="163"/>
      <c r="DL117" s="163"/>
      <c r="DM117" s="163"/>
      <c r="DN117" s="163"/>
      <c r="DO117" s="163"/>
      <c r="DP117" s="163"/>
      <c r="DQ117" s="163"/>
      <c r="DR117" s="163"/>
      <c r="DS117" s="163"/>
      <c r="DT117" s="163"/>
      <c r="DU117" s="163"/>
      <c r="DV117" s="163"/>
      <c r="DW117" s="163"/>
      <c r="DX117" s="163"/>
      <c r="DY117" s="163"/>
      <c r="DZ117" s="163"/>
      <c r="EA117" s="163"/>
      <c r="EB117" s="163"/>
      <c r="EC117" s="163"/>
      <c r="ED117" s="163"/>
      <c r="EE117" s="163"/>
      <c r="EF117" s="163"/>
      <c r="EG117" s="163"/>
      <c r="EH117" s="163"/>
      <c r="EI117" s="163"/>
      <c r="EJ117" s="163"/>
      <c r="EK117" s="163"/>
      <c r="EL117" s="163"/>
      <c r="EM117" s="163"/>
      <c r="EN117" s="163"/>
      <c r="EO117" s="163"/>
      <c r="EP117" s="163"/>
      <c r="EQ117" s="163"/>
      <c r="ER117" s="163"/>
      <c r="ES117" s="163"/>
      <c r="ET117" s="163"/>
      <c r="EU117" s="163"/>
      <c r="EV117" s="163"/>
      <c r="EW117" s="163"/>
      <c r="EX117" s="255" t="s">
        <v>898</v>
      </c>
      <c r="EY117" s="255">
        <v>2020.0</v>
      </c>
      <c r="EZ117" s="255" t="s">
        <v>541</v>
      </c>
      <c r="FA117" s="255" t="s">
        <v>541</v>
      </c>
      <c r="FB117" s="255" t="s">
        <v>541</v>
      </c>
      <c r="FC117" s="255" t="s">
        <v>541</v>
      </c>
      <c r="FD117" s="255" t="s">
        <v>541</v>
      </c>
      <c r="FE117" s="255" t="s">
        <v>541</v>
      </c>
      <c r="FF117" s="255"/>
      <c r="FG117" s="255">
        <v>2020.0</v>
      </c>
      <c r="FH117" s="255" t="s">
        <v>541</v>
      </c>
      <c r="FI117" s="255" t="s">
        <v>541</v>
      </c>
      <c r="FJ117" s="255" t="s">
        <v>541</v>
      </c>
      <c r="FK117" s="255" t="s">
        <v>541</v>
      </c>
      <c r="FL117" s="255" t="s">
        <v>541</v>
      </c>
      <c r="FM117" s="255" t="s">
        <v>541</v>
      </c>
    </row>
    <row r="118" ht="13.5" customHeight="1">
      <c r="A118" s="252" t="s">
        <v>1117</v>
      </c>
      <c r="B118" s="252">
        <v>2020.0</v>
      </c>
      <c r="C118" s="252">
        <v>27.0</v>
      </c>
      <c r="D118" s="252">
        <v>0.0</v>
      </c>
      <c r="E118" s="252">
        <v>0.0</v>
      </c>
      <c r="F118" s="252">
        <v>0.0</v>
      </c>
      <c r="G118" s="252">
        <v>0.0</v>
      </c>
      <c r="H118" s="252">
        <v>27.0</v>
      </c>
      <c r="I118" s="252"/>
      <c r="J118" s="252">
        <v>2020.0</v>
      </c>
      <c r="K118" s="252">
        <v>444.0</v>
      </c>
      <c r="L118" s="252">
        <v>458.0</v>
      </c>
      <c r="M118" s="252">
        <v>620.0</v>
      </c>
      <c r="N118" s="252">
        <v>714.0</v>
      </c>
      <c r="O118" s="252">
        <v>505.0</v>
      </c>
      <c r="P118" s="252">
        <v>2741.0</v>
      </c>
      <c r="Q118" s="131"/>
      <c r="R118" s="163"/>
      <c r="S118" s="163"/>
      <c r="T118" s="163"/>
      <c r="U118" s="163"/>
      <c r="V118" s="163"/>
      <c r="W118" s="163"/>
      <c r="X118" s="163"/>
      <c r="Y118" s="163"/>
      <c r="Z118" s="163"/>
      <c r="AA118" s="163"/>
      <c r="AB118" s="163"/>
      <c r="AC118" s="163"/>
      <c r="AD118" s="163"/>
      <c r="AE118" s="163"/>
      <c r="AF118" s="163"/>
      <c r="AG118" s="163"/>
      <c r="AH118" s="163"/>
      <c r="AI118" s="246" t="s">
        <v>290</v>
      </c>
      <c r="AJ118" s="246">
        <v>2020.0</v>
      </c>
      <c r="AK118" s="246">
        <v>197.0</v>
      </c>
      <c r="AL118" s="246">
        <v>271.0</v>
      </c>
      <c r="AM118" s="246">
        <v>407.0</v>
      </c>
      <c r="AN118" s="246">
        <v>476.0</v>
      </c>
      <c r="AO118" s="246">
        <v>401.0</v>
      </c>
      <c r="AP118" s="246">
        <v>1752.0</v>
      </c>
      <c r="AQ118" s="246"/>
      <c r="AR118" s="246">
        <v>2020.0</v>
      </c>
      <c r="AS118" s="246">
        <v>18.0</v>
      </c>
      <c r="AT118" s="246">
        <v>4.0</v>
      </c>
      <c r="AU118" s="246">
        <v>3.0</v>
      </c>
      <c r="AV118" s="246">
        <v>0.0</v>
      </c>
      <c r="AW118" s="246">
        <v>0.0</v>
      </c>
      <c r="AX118" s="246">
        <v>25.0</v>
      </c>
      <c r="AY118" s="163"/>
      <c r="AZ118" s="254" t="s">
        <v>581</v>
      </c>
      <c r="BA118" s="254">
        <v>2019.0</v>
      </c>
      <c r="BB118" s="254">
        <v>54.0</v>
      </c>
      <c r="BC118" s="254">
        <v>59.0</v>
      </c>
      <c r="BD118" s="254">
        <v>127.0</v>
      </c>
      <c r="BE118" s="254">
        <v>222.0</v>
      </c>
      <c r="BF118" s="254">
        <v>247.0</v>
      </c>
      <c r="BG118" s="254">
        <v>709.0</v>
      </c>
      <c r="BH118" s="254"/>
      <c r="BI118" s="254">
        <v>2019.0</v>
      </c>
      <c r="BJ118" s="254">
        <v>15.0</v>
      </c>
      <c r="BK118" s="254">
        <v>0.0</v>
      </c>
      <c r="BL118" s="254">
        <v>0.0</v>
      </c>
      <c r="BM118" s="254">
        <v>0.0</v>
      </c>
      <c r="BN118" s="254">
        <v>0.0</v>
      </c>
      <c r="BO118" s="254">
        <v>15.0</v>
      </c>
      <c r="BP118" s="163"/>
      <c r="BQ118" s="163"/>
      <c r="BR118" s="163"/>
      <c r="BS118" s="163"/>
      <c r="BT118" s="163"/>
      <c r="BU118" s="163"/>
      <c r="BV118" s="163"/>
      <c r="BW118" s="163"/>
      <c r="BX118" s="163"/>
      <c r="BY118" s="163"/>
      <c r="BZ118" s="163"/>
      <c r="CA118" s="163"/>
      <c r="CB118" s="163"/>
      <c r="CC118" s="163"/>
      <c r="CD118" s="163"/>
      <c r="CE118" s="163"/>
      <c r="CF118" s="163"/>
      <c r="CG118" s="163"/>
      <c r="CH118" s="57" t="s">
        <v>1021</v>
      </c>
      <c r="CI118" s="57">
        <v>2020.0</v>
      </c>
      <c r="CJ118" s="57">
        <v>89.0</v>
      </c>
      <c r="CK118" s="57">
        <v>115.0</v>
      </c>
      <c r="CL118" s="57">
        <v>245.0</v>
      </c>
      <c r="CM118" s="57">
        <v>361.0</v>
      </c>
      <c r="CN118" s="57">
        <v>340.0</v>
      </c>
      <c r="CO118" s="57">
        <v>1150.0</v>
      </c>
      <c r="CP118" s="57"/>
      <c r="CQ118" s="57">
        <v>2020.0</v>
      </c>
      <c r="CR118" s="57">
        <v>17.0</v>
      </c>
      <c r="CS118" s="57">
        <v>2.0</v>
      </c>
      <c r="CT118" s="57">
        <v>0.0</v>
      </c>
      <c r="CU118" s="57">
        <v>0.0</v>
      </c>
      <c r="CV118" s="57">
        <v>0.0</v>
      </c>
      <c r="CW118" s="57">
        <v>19.0</v>
      </c>
      <c r="CX118" s="163"/>
      <c r="CY118" s="163"/>
      <c r="CZ118" s="163"/>
      <c r="DA118" s="163"/>
      <c r="DB118" s="163"/>
      <c r="DC118" s="163"/>
      <c r="DD118" s="163"/>
      <c r="DE118" s="163"/>
      <c r="DF118" s="163"/>
      <c r="DG118" s="163"/>
      <c r="DH118" s="163"/>
      <c r="DI118" s="163"/>
      <c r="DJ118" s="163"/>
      <c r="DK118" s="163"/>
      <c r="DL118" s="163"/>
      <c r="DM118" s="163"/>
      <c r="DN118" s="163"/>
      <c r="DO118" s="163"/>
      <c r="DP118" s="163"/>
      <c r="DQ118" s="163"/>
      <c r="DR118" s="163"/>
      <c r="DS118" s="163"/>
      <c r="DT118" s="163"/>
      <c r="DU118" s="163"/>
      <c r="DV118" s="163"/>
      <c r="DW118" s="163"/>
      <c r="DX118" s="163"/>
      <c r="DY118" s="163"/>
      <c r="DZ118" s="163"/>
      <c r="EA118" s="163"/>
      <c r="EB118" s="163"/>
      <c r="EC118" s="163"/>
      <c r="ED118" s="163"/>
      <c r="EE118" s="163"/>
      <c r="EF118" s="163"/>
      <c r="EG118" s="163"/>
      <c r="EH118" s="163"/>
      <c r="EI118" s="163"/>
      <c r="EJ118" s="163"/>
      <c r="EK118" s="163"/>
      <c r="EL118" s="163"/>
      <c r="EM118" s="163"/>
      <c r="EN118" s="163"/>
      <c r="EO118" s="163"/>
      <c r="EP118" s="163"/>
      <c r="EQ118" s="163"/>
      <c r="ER118" s="163"/>
      <c r="ES118" s="163"/>
      <c r="ET118" s="163"/>
      <c r="EU118" s="163"/>
      <c r="EV118" s="163"/>
      <c r="EW118" s="163"/>
      <c r="EX118" s="255" t="s">
        <v>900</v>
      </c>
      <c r="EY118" s="255">
        <v>2020.0</v>
      </c>
      <c r="EZ118" s="255">
        <v>102.0</v>
      </c>
      <c r="FA118" s="255">
        <v>208.0</v>
      </c>
      <c r="FB118" s="255">
        <v>233.0</v>
      </c>
      <c r="FC118" s="255">
        <v>281.0</v>
      </c>
      <c r="FD118" s="255">
        <v>327.0</v>
      </c>
      <c r="FE118" s="255">
        <v>1151.0</v>
      </c>
      <c r="FF118" s="255"/>
      <c r="FG118" s="255">
        <v>2020.0</v>
      </c>
      <c r="FH118" s="255">
        <v>18.0</v>
      </c>
      <c r="FI118" s="255">
        <v>7.0</v>
      </c>
      <c r="FJ118" s="255">
        <v>1.0</v>
      </c>
      <c r="FK118" s="255">
        <v>1.0</v>
      </c>
      <c r="FL118" s="255">
        <v>2.0</v>
      </c>
      <c r="FM118" s="255">
        <v>29.0</v>
      </c>
    </row>
    <row r="119" ht="13.5" customHeight="1">
      <c r="A119" s="252" t="s">
        <v>1121</v>
      </c>
      <c r="B119" s="252">
        <v>2020.0</v>
      </c>
      <c r="C119" s="252">
        <v>21.0</v>
      </c>
      <c r="D119" s="252">
        <v>0.0</v>
      </c>
      <c r="E119" s="252">
        <v>0.0</v>
      </c>
      <c r="F119" s="252">
        <v>0.0</v>
      </c>
      <c r="G119" s="252">
        <v>0.0</v>
      </c>
      <c r="H119" s="252">
        <v>21.0</v>
      </c>
      <c r="I119" s="252"/>
      <c r="J119" s="252">
        <v>2020.0</v>
      </c>
      <c r="K119" s="252">
        <v>263.0</v>
      </c>
      <c r="L119" s="252">
        <v>386.0</v>
      </c>
      <c r="M119" s="252">
        <v>596.0</v>
      </c>
      <c r="N119" s="252">
        <v>684.0</v>
      </c>
      <c r="O119" s="252">
        <v>541.0</v>
      </c>
      <c r="P119" s="252">
        <v>2470.0</v>
      </c>
      <c r="Q119" s="131"/>
      <c r="R119" s="163"/>
      <c r="S119" s="163"/>
      <c r="T119" s="163"/>
      <c r="U119" s="163"/>
      <c r="V119" s="163"/>
      <c r="W119" s="163"/>
      <c r="X119" s="163"/>
      <c r="Y119" s="163"/>
      <c r="Z119" s="163"/>
      <c r="AA119" s="163"/>
      <c r="AB119" s="163"/>
      <c r="AC119" s="163"/>
      <c r="AD119" s="163"/>
      <c r="AE119" s="163"/>
      <c r="AF119" s="163"/>
      <c r="AG119" s="163"/>
      <c r="AH119" s="163"/>
      <c r="AI119" s="246" t="s">
        <v>292</v>
      </c>
      <c r="AJ119" s="246">
        <v>2020.0</v>
      </c>
      <c r="AK119" s="246">
        <v>184.0</v>
      </c>
      <c r="AL119" s="246">
        <v>339.0</v>
      </c>
      <c r="AM119" s="246">
        <v>494.0</v>
      </c>
      <c r="AN119" s="246">
        <v>662.0</v>
      </c>
      <c r="AO119" s="246">
        <v>487.0</v>
      </c>
      <c r="AP119" s="246">
        <v>2166.0</v>
      </c>
      <c r="AQ119" s="246"/>
      <c r="AR119" s="246">
        <v>2020.0</v>
      </c>
      <c r="AS119" s="246">
        <v>15.0</v>
      </c>
      <c r="AT119" s="246">
        <v>3.0</v>
      </c>
      <c r="AU119" s="246">
        <v>5.0</v>
      </c>
      <c r="AV119" s="246">
        <v>1.0</v>
      </c>
      <c r="AW119" s="246">
        <v>1.0</v>
      </c>
      <c r="AX119" s="246">
        <v>25.0</v>
      </c>
      <c r="AY119" s="163"/>
      <c r="AZ119" s="254" t="s">
        <v>55</v>
      </c>
      <c r="BA119" s="254">
        <v>2019.0</v>
      </c>
      <c r="BB119" s="254">
        <v>358.0</v>
      </c>
      <c r="BC119" s="254">
        <v>466.0</v>
      </c>
      <c r="BD119" s="254">
        <v>830.0</v>
      </c>
      <c r="BE119" s="254">
        <v>1123.0</v>
      </c>
      <c r="BF119" s="254">
        <v>1131.0</v>
      </c>
      <c r="BG119" s="254">
        <v>3908.0</v>
      </c>
      <c r="BH119" s="254"/>
      <c r="BI119" s="254">
        <v>2019.0</v>
      </c>
      <c r="BJ119" s="254">
        <v>47.0</v>
      </c>
      <c r="BK119" s="254">
        <v>1.0</v>
      </c>
      <c r="BL119" s="254">
        <v>0.0</v>
      </c>
      <c r="BM119" s="254">
        <v>0.0</v>
      </c>
      <c r="BN119" s="254">
        <v>0.0</v>
      </c>
      <c r="BO119" s="254">
        <v>48.0</v>
      </c>
      <c r="BP119" s="163"/>
      <c r="BQ119" s="163"/>
      <c r="BR119" s="163"/>
      <c r="BS119" s="163"/>
      <c r="BT119" s="163"/>
      <c r="BU119" s="163"/>
      <c r="BV119" s="163"/>
      <c r="BW119" s="163"/>
      <c r="BX119" s="163"/>
      <c r="BY119" s="163"/>
      <c r="BZ119" s="163"/>
      <c r="CA119" s="163"/>
      <c r="CB119" s="163"/>
      <c r="CC119" s="163"/>
      <c r="CD119" s="163"/>
      <c r="CE119" s="163"/>
      <c r="CF119" s="163"/>
      <c r="CG119" s="163"/>
      <c r="CH119" s="57" t="s">
        <v>1023</v>
      </c>
      <c r="CI119" s="57">
        <v>2020.0</v>
      </c>
      <c r="CJ119" s="57">
        <v>147.0</v>
      </c>
      <c r="CK119" s="57">
        <v>147.0</v>
      </c>
      <c r="CL119" s="57">
        <v>243.0</v>
      </c>
      <c r="CM119" s="57">
        <v>347.0</v>
      </c>
      <c r="CN119" s="57">
        <v>355.0</v>
      </c>
      <c r="CO119" s="57">
        <v>1239.0</v>
      </c>
      <c r="CP119" s="57"/>
      <c r="CQ119" s="57">
        <v>2020.0</v>
      </c>
      <c r="CR119" s="57">
        <v>32.0</v>
      </c>
      <c r="CS119" s="57">
        <v>0.0</v>
      </c>
      <c r="CT119" s="57">
        <v>0.0</v>
      </c>
      <c r="CU119" s="57">
        <v>0.0</v>
      </c>
      <c r="CV119" s="57">
        <v>0.0</v>
      </c>
      <c r="CW119" s="57">
        <v>32.0</v>
      </c>
      <c r="CX119" s="163"/>
      <c r="CY119" s="163"/>
      <c r="CZ119" s="163"/>
      <c r="DA119" s="163"/>
      <c r="DB119" s="163"/>
      <c r="DC119" s="163"/>
      <c r="DD119" s="163"/>
      <c r="DE119" s="163"/>
      <c r="DF119" s="163"/>
      <c r="DG119" s="163"/>
      <c r="DH119" s="163"/>
      <c r="DI119" s="163"/>
      <c r="DJ119" s="163"/>
      <c r="DK119" s="163"/>
      <c r="DL119" s="163"/>
      <c r="DM119" s="163"/>
      <c r="DN119" s="163"/>
      <c r="DO119" s="163"/>
      <c r="DP119" s="163"/>
      <c r="DQ119" s="163"/>
      <c r="DR119" s="163"/>
      <c r="DS119" s="163"/>
      <c r="DT119" s="163"/>
      <c r="DU119" s="163"/>
      <c r="DV119" s="163"/>
      <c r="DW119" s="163"/>
      <c r="DX119" s="163"/>
      <c r="DY119" s="163"/>
      <c r="DZ119" s="163"/>
      <c r="EA119" s="163"/>
      <c r="EB119" s="163"/>
      <c r="EC119" s="163"/>
      <c r="ED119" s="163"/>
      <c r="EE119" s="163"/>
      <c r="EF119" s="163"/>
      <c r="EG119" s="163"/>
      <c r="EH119" s="163"/>
      <c r="EI119" s="163"/>
      <c r="EJ119" s="163"/>
      <c r="EK119" s="163"/>
      <c r="EL119" s="163"/>
      <c r="EM119" s="163"/>
      <c r="EN119" s="163"/>
      <c r="EO119" s="163"/>
      <c r="EP119" s="163"/>
      <c r="EQ119" s="163"/>
      <c r="ER119" s="163"/>
      <c r="ES119" s="163"/>
      <c r="ET119" s="163"/>
      <c r="EU119" s="163"/>
      <c r="EV119" s="163"/>
      <c r="EW119" s="163"/>
      <c r="EX119" s="255" t="s">
        <v>902</v>
      </c>
      <c r="EY119" s="255">
        <v>2020.0</v>
      </c>
      <c r="EZ119" s="255">
        <v>129.0</v>
      </c>
      <c r="FA119" s="255">
        <v>209.0</v>
      </c>
      <c r="FB119" s="255">
        <v>234.0</v>
      </c>
      <c r="FC119" s="255">
        <v>261.0</v>
      </c>
      <c r="FD119" s="255">
        <v>338.0</v>
      </c>
      <c r="FE119" s="255">
        <v>1171.0</v>
      </c>
      <c r="FF119" s="255"/>
      <c r="FG119" s="255">
        <v>2020.0</v>
      </c>
      <c r="FH119" s="255">
        <v>42.0</v>
      </c>
      <c r="FI119" s="255">
        <v>18.0</v>
      </c>
      <c r="FJ119" s="255">
        <v>1.0</v>
      </c>
      <c r="FK119" s="255">
        <v>3.0</v>
      </c>
      <c r="FL119" s="255">
        <v>4.0</v>
      </c>
      <c r="FM119" s="255">
        <v>68.0</v>
      </c>
    </row>
    <row r="120" ht="13.5" customHeight="1">
      <c r="A120" s="252" t="s">
        <v>1124</v>
      </c>
      <c r="B120" s="252">
        <v>2020.0</v>
      </c>
      <c r="C120" s="252">
        <v>26.0</v>
      </c>
      <c r="D120" s="252">
        <v>0.0</v>
      </c>
      <c r="E120" s="252">
        <v>0.0</v>
      </c>
      <c r="F120" s="252">
        <v>0.0</v>
      </c>
      <c r="G120" s="252">
        <v>0.0</v>
      </c>
      <c r="H120" s="252">
        <v>26.0</v>
      </c>
      <c r="I120" s="252"/>
      <c r="J120" s="252">
        <v>2020.0</v>
      </c>
      <c r="K120" s="252">
        <v>255.0</v>
      </c>
      <c r="L120" s="252">
        <v>311.0</v>
      </c>
      <c r="M120" s="252">
        <v>479.0</v>
      </c>
      <c r="N120" s="252">
        <v>584.0</v>
      </c>
      <c r="O120" s="252">
        <v>434.0</v>
      </c>
      <c r="P120" s="252">
        <v>2063.0</v>
      </c>
      <c r="Q120" s="131"/>
      <c r="R120" s="163"/>
      <c r="S120" s="163"/>
      <c r="T120" s="163"/>
      <c r="U120" s="163"/>
      <c r="V120" s="163"/>
      <c r="W120" s="163"/>
      <c r="X120" s="163"/>
      <c r="Y120" s="163"/>
      <c r="Z120" s="163"/>
      <c r="AA120" s="163"/>
      <c r="AB120" s="163"/>
      <c r="AC120" s="163"/>
      <c r="AD120" s="163"/>
      <c r="AE120" s="163"/>
      <c r="AF120" s="163"/>
      <c r="AG120" s="163"/>
      <c r="AH120" s="163"/>
      <c r="AI120" s="246" t="s">
        <v>294</v>
      </c>
      <c r="AJ120" s="246">
        <v>2020.0</v>
      </c>
      <c r="AK120" s="246">
        <v>239.0</v>
      </c>
      <c r="AL120" s="246">
        <v>246.0</v>
      </c>
      <c r="AM120" s="246">
        <v>373.0</v>
      </c>
      <c r="AN120" s="246">
        <v>557.0</v>
      </c>
      <c r="AO120" s="246">
        <v>389.0</v>
      </c>
      <c r="AP120" s="246">
        <v>1804.0</v>
      </c>
      <c r="AQ120" s="246"/>
      <c r="AR120" s="246">
        <v>2020.0</v>
      </c>
      <c r="AS120" s="246">
        <v>31.0</v>
      </c>
      <c r="AT120" s="246">
        <v>2.0</v>
      </c>
      <c r="AU120" s="246">
        <v>0.0</v>
      </c>
      <c r="AV120" s="246">
        <v>0.0</v>
      </c>
      <c r="AW120" s="246">
        <v>0.0</v>
      </c>
      <c r="AX120" s="246">
        <v>33.0</v>
      </c>
      <c r="AY120" s="163"/>
      <c r="AZ120" s="254" t="s">
        <v>584</v>
      </c>
      <c r="BA120" s="254">
        <v>2019.0</v>
      </c>
      <c r="BB120" s="254">
        <v>309.0</v>
      </c>
      <c r="BC120" s="254">
        <v>363.0</v>
      </c>
      <c r="BD120" s="254">
        <v>637.0</v>
      </c>
      <c r="BE120" s="254">
        <v>920.0</v>
      </c>
      <c r="BF120" s="254">
        <v>865.0</v>
      </c>
      <c r="BG120" s="254">
        <v>3094.0</v>
      </c>
      <c r="BH120" s="254"/>
      <c r="BI120" s="254">
        <v>2019.0</v>
      </c>
      <c r="BJ120" s="254">
        <v>37.0</v>
      </c>
      <c r="BK120" s="254">
        <v>0.0</v>
      </c>
      <c r="BL120" s="254">
        <v>0.0</v>
      </c>
      <c r="BM120" s="254">
        <v>0.0</v>
      </c>
      <c r="BN120" s="254">
        <v>0.0</v>
      </c>
      <c r="BO120" s="254">
        <v>37.0</v>
      </c>
      <c r="BP120" s="163"/>
      <c r="BQ120" s="163"/>
      <c r="BR120" s="163"/>
      <c r="BS120" s="163"/>
      <c r="BT120" s="163"/>
      <c r="BU120" s="163"/>
      <c r="BV120" s="163"/>
      <c r="BW120" s="163"/>
      <c r="BX120" s="163"/>
      <c r="BY120" s="163"/>
      <c r="BZ120" s="163"/>
      <c r="CA120" s="163"/>
      <c r="CB120" s="163"/>
      <c r="CC120" s="163"/>
      <c r="CD120" s="163"/>
      <c r="CE120" s="163"/>
      <c r="CF120" s="163"/>
      <c r="CG120" s="163"/>
      <c r="CH120" s="57" t="s">
        <v>691</v>
      </c>
      <c r="CI120" s="57">
        <v>2020.0</v>
      </c>
      <c r="CJ120" s="57">
        <v>160.0</v>
      </c>
      <c r="CK120" s="57">
        <v>183.0</v>
      </c>
      <c r="CL120" s="57">
        <v>325.0</v>
      </c>
      <c r="CM120" s="57">
        <v>396.0</v>
      </c>
      <c r="CN120" s="57">
        <v>396.0</v>
      </c>
      <c r="CO120" s="57">
        <v>1460.0</v>
      </c>
      <c r="CP120" s="57"/>
      <c r="CQ120" s="57">
        <v>2020.0</v>
      </c>
      <c r="CR120" s="57">
        <v>28.0</v>
      </c>
      <c r="CS120" s="57">
        <v>0.0</v>
      </c>
      <c r="CT120" s="57">
        <v>0.0</v>
      </c>
      <c r="CU120" s="57">
        <v>0.0</v>
      </c>
      <c r="CV120" s="57">
        <v>0.0</v>
      </c>
      <c r="CW120" s="57">
        <v>28.0</v>
      </c>
      <c r="CX120" s="163"/>
      <c r="CY120" s="163"/>
      <c r="CZ120" s="163"/>
      <c r="DA120" s="163"/>
      <c r="DB120" s="163"/>
      <c r="DC120" s="163"/>
      <c r="DD120" s="163"/>
      <c r="DE120" s="163"/>
      <c r="DF120" s="163"/>
      <c r="DG120" s="163"/>
      <c r="DH120" s="163"/>
      <c r="DI120" s="163"/>
      <c r="DJ120" s="163"/>
      <c r="DK120" s="163"/>
      <c r="DL120" s="163"/>
      <c r="DM120" s="163"/>
      <c r="DN120" s="163"/>
      <c r="DO120" s="163"/>
      <c r="DP120" s="163"/>
      <c r="DQ120" s="163"/>
      <c r="DR120" s="163"/>
      <c r="DS120" s="163"/>
      <c r="DT120" s="163"/>
      <c r="DU120" s="163"/>
      <c r="DV120" s="163"/>
      <c r="DW120" s="163"/>
      <c r="DX120" s="163"/>
      <c r="DY120" s="163"/>
      <c r="DZ120" s="163"/>
      <c r="EA120" s="163"/>
      <c r="EB120" s="163"/>
      <c r="EC120" s="163"/>
      <c r="ED120" s="163"/>
      <c r="EE120" s="163"/>
      <c r="EF120" s="163"/>
      <c r="EG120" s="163"/>
      <c r="EH120" s="163"/>
      <c r="EI120" s="163"/>
      <c r="EJ120" s="163"/>
      <c r="EK120" s="163"/>
      <c r="EL120" s="163"/>
      <c r="EM120" s="163"/>
      <c r="EN120" s="163"/>
      <c r="EO120" s="163"/>
      <c r="EP120" s="163"/>
      <c r="EQ120" s="163"/>
      <c r="ER120" s="163"/>
      <c r="ES120" s="163"/>
      <c r="ET120" s="163"/>
      <c r="EU120" s="163"/>
      <c r="EV120" s="163"/>
      <c r="EW120" s="163"/>
      <c r="EX120" s="255" t="s">
        <v>904</v>
      </c>
      <c r="EY120" s="255">
        <v>2020.0</v>
      </c>
      <c r="EZ120" s="255" t="s">
        <v>541</v>
      </c>
      <c r="FA120" s="255" t="s">
        <v>541</v>
      </c>
      <c r="FB120" s="255" t="s">
        <v>541</v>
      </c>
      <c r="FC120" s="255" t="s">
        <v>541</v>
      </c>
      <c r="FD120" s="255" t="s">
        <v>541</v>
      </c>
      <c r="FE120" s="255" t="s">
        <v>541</v>
      </c>
      <c r="FF120" s="255"/>
      <c r="FG120" s="255">
        <v>2020.0</v>
      </c>
      <c r="FH120" s="255" t="s">
        <v>541</v>
      </c>
      <c r="FI120" s="255" t="s">
        <v>541</v>
      </c>
      <c r="FJ120" s="255" t="s">
        <v>541</v>
      </c>
      <c r="FK120" s="255" t="s">
        <v>541</v>
      </c>
      <c r="FL120" s="255" t="s">
        <v>541</v>
      </c>
      <c r="FM120" s="255" t="s">
        <v>541</v>
      </c>
    </row>
    <row r="121" ht="13.5" customHeight="1">
      <c r="A121" s="252" t="s">
        <v>1127</v>
      </c>
      <c r="B121" s="252">
        <v>2020.0</v>
      </c>
      <c r="C121" s="252">
        <v>18.0</v>
      </c>
      <c r="D121" s="252">
        <v>0.0</v>
      </c>
      <c r="E121" s="252">
        <v>0.0</v>
      </c>
      <c r="F121" s="252">
        <v>0.0</v>
      </c>
      <c r="G121" s="252">
        <v>0.0</v>
      </c>
      <c r="H121" s="252">
        <v>18.0</v>
      </c>
      <c r="I121" s="252"/>
      <c r="J121" s="252">
        <v>2020.0</v>
      </c>
      <c r="K121" s="252">
        <v>169.0</v>
      </c>
      <c r="L121" s="252">
        <v>219.0</v>
      </c>
      <c r="M121" s="252">
        <v>348.0</v>
      </c>
      <c r="N121" s="252">
        <v>440.0</v>
      </c>
      <c r="O121" s="252">
        <v>334.0</v>
      </c>
      <c r="P121" s="252">
        <v>1510.0</v>
      </c>
      <c r="Q121" s="131"/>
      <c r="R121" s="163"/>
      <c r="S121" s="163"/>
      <c r="T121" s="163"/>
      <c r="U121" s="163"/>
      <c r="V121" s="163"/>
      <c r="W121" s="163"/>
      <c r="X121" s="163"/>
      <c r="Y121" s="163"/>
      <c r="Z121" s="163"/>
      <c r="AA121" s="163"/>
      <c r="AB121" s="163"/>
      <c r="AC121" s="163"/>
      <c r="AD121" s="163"/>
      <c r="AE121" s="163"/>
      <c r="AF121" s="163"/>
      <c r="AG121" s="163"/>
      <c r="AH121" s="163"/>
      <c r="AI121" s="246" t="s">
        <v>296</v>
      </c>
      <c r="AJ121" s="246">
        <v>2020.0</v>
      </c>
      <c r="AK121" s="246">
        <v>295.0</v>
      </c>
      <c r="AL121" s="246">
        <v>330.0</v>
      </c>
      <c r="AM121" s="246">
        <v>467.0</v>
      </c>
      <c r="AN121" s="246">
        <v>595.0</v>
      </c>
      <c r="AO121" s="246">
        <v>499.0</v>
      </c>
      <c r="AP121" s="246">
        <v>2186.0</v>
      </c>
      <c r="AQ121" s="246"/>
      <c r="AR121" s="246">
        <v>2020.0</v>
      </c>
      <c r="AS121" s="246">
        <v>22.0</v>
      </c>
      <c r="AT121" s="246">
        <v>0.0</v>
      </c>
      <c r="AU121" s="246">
        <v>1.0</v>
      </c>
      <c r="AV121" s="246">
        <v>0.0</v>
      </c>
      <c r="AW121" s="246">
        <v>0.0</v>
      </c>
      <c r="AX121" s="246">
        <v>23.0</v>
      </c>
      <c r="AY121" s="163"/>
      <c r="AZ121" s="254" t="s">
        <v>586</v>
      </c>
      <c r="BA121" s="254">
        <v>2019.0</v>
      </c>
      <c r="BB121" s="254">
        <v>337.0</v>
      </c>
      <c r="BC121" s="254">
        <v>293.0</v>
      </c>
      <c r="BD121" s="254">
        <v>527.0</v>
      </c>
      <c r="BE121" s="254">
        <v>821.0</v>
      </c>
      <c r="BF121" s="254">
        <v>774.0</v>
      </c>
      <c r="BG121" s="254">
        <v>2752.0</v>
      </c>
      <c r="BH121" s="254"/>
      <c r="BI121" s="254">
        <v>2019.0</v>
      </c>
      <c r="BJ121" s="254">
        <v>32.0</v>
      </c>
      <c r="BK121" s="254">
        <v>0.0</v>
      </c>
      <c r="BL121" s="254">
        <v>0.0</v>
      </c>
      <c r="BM121" s="254">
        <v>0.0</v>
      </c>
      <c r="BN121" s="254">
        <v>0.0</v>
      </c>
      <c r="BO121" s="254">
        <v>32.0</v>
      </c>
      <c r="BP121" s="163"/>
      <c r="BQ121" s="163"/>
      <c r="BR121" s="163"/>
      <c r="BS121" s="163"/>
      <c r="BT121" s="163"/>
      <c r="BU121" s="163"/>
      <c r="BV121" s="163"/>
      <c r="BW121" s="163"/>
      <c r="BX121" s="163"/>
      <c r="BY121" s="163"/>
      <c r="BZ121" s="163"/>
      <c r="CA121" s="163"/>
      <c r="CB121" s="163"/>
      <c r="CC121" s="163"/>
      <c r="CD121" s="163"/>
      <c r="CE121" s="163"/>
      <c r="CF121" s="163"/>
      <c r="CG121" s="163"/>
      <c r="CH121" s="57" t="s">
        <v>680</v>
      </c>
      <c r="CI121" s="57">
        <v>2020.0</v>
      </c>
      <c r="CJ121" s="57" t="s">
        <v>541</v>
      </c>
      <c r="CK121" s="57" t="s">
        <v>541</v>
      </c>
      <c r="CL121" s="57" t="s">
        <v>541</v>
      </c>
      <c r="CM121" s="57" t="s">
        <v>541</v>
      </c>
      <c r="CN121" s="57" t="s">
        <v>541</v>
      </c>
      <c r="CO121" s="57" t="s">
        <v>541</v>
      </c>
      <c r="CP121" s="57"/>
      <c r="CQ121" s="57">
        <v>2020.0</v>
      </c>
      <c r="CR121" s="57" t="s">
        <v>541</v>
      </c>
      <c r="CS121" s="57" t="s">
        <v>541</v>
      </c>
      <c r="CT121" s="57" t="s">
        <v>541</v>
      </c>
      <c r="CU121" s="57" t="s">
        <v>541</v>
      </c>
      <c r="CV121" s="57" t="s">
        <v>541</v>
      </c>
      <c r="CW121" s="57" t="s">
        <v>541</v>
      </c>
      <c r="CX121" s="163"/>
      <c r="CY121" s="163"/>
      <c r="CZ121" s="163"/>
      <c r="DA121" s="163"/>
      <c r="DB121" s="163"/>
      <c r="DC121" s="163"/>
      <c r="DD121" s="163"/>
      <c r="DE121" s="163"/>
      <c r="DF121" s="163"/>
      <c r="DG121" s="163"/>
      <c r="DH121" s="163"/>
      <c r="DI121" s="163"/>
      <c r="DJ121" s="163"/>
      <c r="DK121" s="163"/>
      <c r="DL121" s="163"/>
      <c r="DM121" s="163"/>
      <c r="DN121" s="163"/>
      <c r="DO121" s="163"/>
      <c r="DP121" s="163"/>
      <c r="DQ121" s="163"/>
      <c r="DR121" s="163"/>
      <c r="DS121" s="163"/>
      <c r="DT121" s="163"/>
      <c r="DU121" s="163"/>
      <c r="DV121" s="163"/>
      <c r="DW121" s="163"/>
      <c r="DX121" s="163"/>
      <c r="DY121" s="163"/>
      <c r="DZ121" s="163"/>
      <c r="EA121" s="163"/>
      <c r="EB121" s="163"/>
      <c r="EC121" s="163"/>
      <c r="ED121" s="163"/>
      <c r="EE121" s="163"/>
      <c r="EF121" s="163"/>
      <c r="EG121" s="163"/>
      <c r="EH121" s="163"/>
      <c r="EI121" s="163"/>
      <c r="EJ121" s="163"/>
      <c r="EK121" s="163"/>
      <c r="EL121" s="163"/>
      <c r="EM121" s="163"/>
      <c r="EN121" s="163"/>
      <c r="EO121" s="163"/>
      <c r="EP121" s="163"/>
      <c r="EQ121" s="163"/>
      <c r="ER121" s="163"/>
      <c r="ES121" s="163"/>
      <c r="ET121" s="163"/>
      <c r="EU121" s="163"/>
      <c r="EV121" s="163"/>
      <c r="EW121" s="163"/>
      <c r="EX121" s="255" t="s">
        <v>906</v>
      </c>
      <c r="EY121" s="255">
        <v>2020.0</v>
      </c>
      <c r="EZ121" s="255" t="s">
        <v>541</v>
      </c>
      <c r="FA121" s="255" t="s">
        <v>541</v>
      </c>
      <c r="FB121" s="255" t="s">
        <v>541</v>
      </c>
      <c r="FC121" s="255" t="s">
        <v>541</v>
      </c>
      <c r="FD121" s="255" t="s">
        <v>541</v>
      </c>
      <c r="FE121" s="255" t="s">
        <v>541</v>
      </c>
      <c r="FF121" s="255"/>
      <c r="FG121" s="255">
        <v>2020.0</v>
      </c>
      <c r="FH121" s="255" t="s">
        <v>541</v>
      </c>
      <c r="FI121" s="255" t="s">
        <v>541</v>
      </c>
      <c r="FJ121" s="255" t="s">
        <v>541</v>
      </c>
      <c r="FK121" s="255" t="s">
        <v>541</v>
      </c>
      <c r="FL121" s="255" t="s">
        <v>541</v>
      </c>
      <c r="FM121" s="255" t="s">
        <v>541</v>
      </c>
    </row>
    <row r="122" ht="13.5" customHeight="1">
      <c r="A122" s="252" t="s">
        <v>408</v>
      </c>
      <c r="B122" s="252">
        <v>2020.0</v>
      </c>
      <c r="C122" s="252">
        <v>34.0</v>
      </c>
      <c r="D122" s="252">
        <v>2.0</v>
      </c>
      <c r="E122" s="252">
        <v>3.0</v>
      </c>
      <c r="F122" s="252">
        <v>0.0</v>
      </c>
      <c r="G122" s="252">
        <v>0.0</v>
      </c>
      <c r="H122" s="252">
        <v>39.0</v>
      </c>
      <c r="I122" s="252"/>
      <c r="J122" s="252">
        <v>2020.0</v>
      </c>
      <c r="K122" s="252">
        <v>202.0</v>
      </c>
      <c r="L122" s="252">
        <v>269.0</v>
      </c>
      <c r="M122" s="252">
        <v>329.0</v>
      </c>
      <c r="N122" s="252">
        <v>442.0</v>
      </c>
      <c r="O122" s="252">
        <v>329.0</v>
      </c>
      <c r="P122" s="252">
        <v>1571.0</v>
      </c>
      <c r="Q122" s="131"/>
      <c r="R122" s="163"/>
      <c r="S122" s="163"/>
      <c r="T122" s="163"/>
      <c r="U122" s="163"/>
      <c r="V122" s="163"/>
      <c r="W122" s="163"/>
      <c r="X122" s="163"/>
      <c r="Y122" s="163"/>
      <c r="Z122" s="163"/>
      <c r="AA122" s="163"/>
      <c r="AB122" s="163"/>
      <c r="AC122" s="163"/>
      <c r="AD122" s="163"/>
      <c r="AE122" s="163"/>
      <c r="AF122" s="163"/>
      <c r="AG122" s="163"/>
      <c r="AH122" s="163"/>
      <c r="AI122" s="246" t="s">
        <v>298</v>
      </c>
      <c r="AJ122" s="246">
        <v>2020.0</v>
      </c>
      <c r="AK122" s="246">
        <v>377.0</v>
      </c>
      <c r="AL122" s="246">
        <v>626.0</v>
      </c>
      <c r="AM122" s="246">
        <v>862.0</v>
      </c>
      <c r="AN122" s="246">
        <v>937.0</v>
      </c>
      <c r="AO122" s="246">
        <v>608.0</v>
      </c>
      <c r="AP122" s="246">
        <v>3410.0</v>
      </c>
      <c r="AQ122" s="246"/>
      <c r="AR122" s="246">
        <v>2020.0</v>
      </c>
      <c r="AS122" s="246">
        <v>36.0</v>
      </c>
      <c r="AT122" s="246">
        <v>2.0</v>
      </c>
      <c r="AU122" s="246">
        <v>0.0</v>
      </c>
      <c r="AV122" s="246">
        <v>0.0</v>
      </c>
      <c r="AW122" s="246">
        <v>0.0</v>
      </c>
      <c r="AX122" s="246">
        <v>38.0</v>
      </c>
      <c r="AY122" s="163"/>
      <c r="AZ122" s="254" t="s">
        <v>588</v>
      </c>
      <c r="BA122" s="254">
        <v>2019.0</v>
      </c>
      <c r="BB122" s="254">
        <v>55.0</v>
      </c>
      <c r="BC122" s="254">
        <v>66.0</v>
      </c>
      <c r="BD122" s="254">
        <v>152.0</v>
      </c>
      <c r="BE122" s="254">
        <v>262.0</v>
      </c>
      <c r="BF122" s="254">
        <v>264.0</v>
      </c>
      <c r="BG122" s="254">
        <v>799.0</v>
      </c>
      <c r="BH122" s="254"/>
      <c r="BI122" s="254">
        <v>2019.0</v>
      </c>
      <c r="BJ122" s="254">
        <v>15.0</v>
      </c>
      <c r="BK122" s="254">
        <v>1.0</v>
      </c>
      <c r="BL122" s="254">
        <v>0.0</v>
      </c>
      <c r="BM122" s="254">
        <v>0.0</v>
      </c>
      <c r="BN122" s="254">
        <v>0.0</v>
      </c>
      <c r="BO122" s="254">
        <v>16.0</v>
      </c>
      <c r="BP122" s="163"/>
      <c r="BQ122" s="163"/>
      <c r="BR122" s="163"/>
      <c r="BS122" s="163"/>
      <c r="BT122" s="163"/>
      <c r="BU122" s="163"/>
      <c r="BV122" s="163"/>
      <c r="BW122" s="163"/>
      <c r="BX122" s="163"/>
      <c r="BY122" s="163"/>
      <c r="BZ122" s="163"/>
      <c r="CA122" s="163"/>
      <c r="CB122" s="163"/>
      <c r="CC122" s="163"/>
      <c r="CD122" s="163"/>
      <c r="CE122" s="163"/>
      <c r="CF122" s="163"/>
      <c r="CG122" s="163"/>
      <c r="CH122" s="57" t="s">
        <v>1028</v>
      </c>
      <c r="CI122" s="57">
        <v>2020.0</v>
      </c>
      <c r="CJ122" s="57">
        <v>159.0</v>
      </c>
      <c r="CK122" s="57">
        <v>78.0</v>
      </c>
      <c r="CL122" s="57">
        <v>113.0</v>
      </c>
      <c r="CM122" s="57">
        <v>185.0</v>
      </c>
      <c r="CN122" s="57">
        <v>146.0</v>
      </c>
      <c r="CO122" s="57">
        <v>681.0</v>
      </c>
      <c r="CP122" s="57"/>
      <c r="CQ122" s="57">
        <v>2020.0</v>
      </c>
      <c r="CR122" s="57">
        <v>62.0</v>
      </c>
      <c r="CS122" s="57">
        <v>0.0</v>
      </c>
      <c r="CT122" s="57">
        <v>0.0</v>
      </c>
      <c r="CU122" s="57">
        <v>0.0</v>
      </c>
      <c r="CV122" s="57">
        <v>0.0</v>
      </c>
      <c r="CW122" s="57">
        <v>62.0</v>
      </c>
      <c r="CX122" s="163"/>
      <c r="CY122" s="163"/>
      <c r="CZ122" s="163"/>
      <c r="DA122" s="163"/>
      <c r="DB122" s="163"/>
      <c r="DC122" s="163"/>
      <c r="DD122" s="163"/>
      <c r="DE122" s="163"/>
      <c r="DF122" s="163"/>
      <c r="DG122" s="163"/>
      <c r="DH122" s="163"/>
      <c r="DI122" s="163"/>
      <c r="DJ122" s="163"/>
      <c r="DK122" s="163"/>
      <c r="DL122" s="163"/>
      <c r="DM122" s="163"/>
      <c r="DN122" s="163"/>
      <c r="DO122" s="163"/>
      <c r="DP122" s="163"/>
      <c r="DQ122" s="163"/>
      <c r="DR122" s="163"/>
      <c r="DS122" s="163"/>
      <c r="DT122" s="163"/>
      <c r="DU122" s="163"/>
      <c r="DV122" s="163"/>
      <c r="DW122" s="163"/>
      <c r="DX122" s="163"/>
      <c r="DY122" s="163"/>
      <c r="DZ122" s="163"/>
      <c r="EA122" s="163"/>
      <c r="EB122" s="163"/>
      <c r="EC122" s="163"/>
      <c r="ED122" s="163"/>
      <c r="EE122" s="163"/>
      <c r="EF122" s="163"/>
      <c r="EG122" s="163"/>
      <c r="EH122" s="163"/>
      <c r="EI122" s="163"/>
      <c r="EJ122" s="163"/>
      <c r="EK122" s="163"/>
      <c r="EL122" s="163"/>
      <c r="EM122" s="163"/>
      <c r="EN122" s="163"/>
      <c r="EO122" s="163"/>
      <c r="EP122" s="163"/>
      <c r="EQ122" s="163"/>
      <c r="ER122" s="163"/>
      <c r="ES122" s="163"/>
      <c r="ET122" s="163"/>
      <c r="EU122" s="163"/>
      <c r="EV122" s="163"/>
      <c r="EW122" s="163"/>
      <c r="EX122" s="255" t="s">
        <v>908</v>
      </c>
      <c r="EY122" s="255">
        <v>2020.0</v>
      </c>
      <c r="EZ122" s="255">
        <v>170.0</v>
      </c>
      <c r="FA122" s="255">
        <v>264.0</v>
      </c>
      <c r="FB122" s="255">
        <v>311.0</v>
      </c>
      <c r="FC122" s="255">
        <v>368.0</v>
      </c>
      <c r="FD122" s="255">
        <v>453.0</v>
      </c>
      <c r="FE122" s="255">
        <v>1566.0</v>
      </c>
      <c r="FF122" s="255"/>
      <c r="FG122" s="255">
        <v>2020.0</v>
      </c>
      <c r="FH122" s="255">
        <v>28.0</v>
      </c>
      <c r="FI122" s="255">
        <v>8.0</v>
      </c>
      <c r="FJ122" s="255">
        <v>3.0</v>
      </c>
      <c r="FK122" s="255">
        <v>1.0</v>
      </c>
      <c r="FL122" s="255">
        <v>1.0</v>
      </c>
      <c r="FM122" s="255">
        <v>41.0</v>
      </c>
    </row>
    <row r="123" ht="13.5" customHeight="1">
      <c r="A123" s="252" t="s">
        <v>1133</v>
      </c>
      <c r="B123" s="252">
        <v>2020.0</v>
      </c>
      <c r="C123" s="252">
        <v>23.0</v>
      </c>
      <c r="D123" s="252">
        <v>0.0</v>
      </c>
      <c r="E123" s="252">
        <v>1.0</v>
      </c>
      <c r="F123" s="252">
        <v>1.0</v>
      </c>
      <c r="G123" s="252">
        <v>0.0</v>
      </c>
      <c r="H123" s="252">
        <v>25.0</v>
      </c>
      <c r="I123" s="252"/>
      <c r="J123" s="252">
        <v>2020.0</v>
      </c>
      <c r="K123" s="252">
        <v>102.0</v>
      </c>
      <c r="L123" s="252">
        <v>128.0</v>
      </c>
      <c r="M123" s="252">
        <v>131.0</v>
      </c>
      <c r="N123" s="252">
        <v>209.0</v>
      </c>
      <c r="O123" s="252">
        <v>216.0</v>
      </c>
      <c r="P123" s="252">
        <v>786.0</v>
      </c>
      <c r="Q123" s="131"/>
      <c r="R123" s="163"/>
      <c r="S123" s="163"/>
      <c r="T123" s="163"/>
      <c r="U123" s="163"/>
      <c r="V123" s="163"/>
      <c r="W123" s="163"/>
      <c r="X123" s="163"/>
      <c r="Y123" s="163"/>
      <c r="Z123" s="163"/>
      <c r="AA123" s="163"/>
      <c r="AB123" s="163"/>
      <c r="AC123" s="163"/>
      <c r="AD123" s="163"/>
      <c r="AE123" s="163"/>
      <c r="AF123" s="163"/>
      <c r="AG123" s="163"/>
      <c r="AH123" s="163"/>
      <c r="AI123" s="246" t="s">
        <v>300</v>
      </c>
      <c r="AJ123" s="246">
        <v>2020.0</v>
      </c>
      <c r="AK123" s="246">
        <v>286.0</v>
      </c>
      <c r="AL123" s="246">
        <v>246.0</v>
      </c>
      <c r="AM123" s="246">
        <v>410.0</v>
      </c>
      <c r="AN123" s="246">
        <v>559.0</v>
      </c>
      <c r="AO123" s="246">
        <v>512.0</v>
      </c>
      <c r="AP123" s="246">
        <v>2013.0</v>
      </c>
      <c r="AQ123" s="246"/>
      <c r="AR123" s="246">
        <v>2020.0</v>
      </c>
      <c r="AS123" s="246">
        <v>53.0</v>
      </c>
      <c r="AT123" s="246">
        <v>1.0</v>
      </c>
      <c r="AU123" s="246">
        <v>0.0</v>
      </c>
      <c r="AV123" s="246">
        <v>1.0</v>
      </c>
      <c r="AW123" s="246">
        <v>0.0</v>
      </c>
      <c r="AX123" s="246">
        <v>55.0</v>
      </c>
      <c r="AY123" s="163"/>
      <c r="AZ123" s="254" t="s">
        <v>590</v>
      </c>
      <c r="BA123" s="254">
        <v>2019.0</v>
      </c>
      <c r="BB123" s="254">
        <v>113.0</v>
      </c>
      <c r="BC123" s="254">
        <v>85.0</v>
      </c>
      <c r="BD123" s="254">
        <v>149.0</v>
      </c>
      <c r="BE123" s="254">
        <v>180.0</v>
      </c>
      <c r="BF123" s="254">
        <v>168.0</v>
      </c>
      <c r="BG123" s="254">
        <v>695.0</v>
      </c>
      <c r="BH123" s="254"/>
      <c r="BI123" s="254">
        <v>2019.0</v>
      </c>
      <c r="BJ123" s="254">
        <v>20.0</v>
      </c>
      <c r="BK123" s="254">
        <v>0.0</v>
      </c>
      <c r="BL123" s="254">
        <v>0.0</v>
      </c>
      <c r="BM123" s="254">
        <v>0.0</v>
      </c>
      <c r="BN123" s="254">
        <v>0.0</v>
      </c>
      <c r="BO123" s="254">
        <v>20.0</v>
      </c>
      <c r="BP123" s="163"/>
      <c r="BQ123" s="163"/>
      <c r="BR123" s="163"/>
      <c r="BS123" s="163"/>
      <c r="BT123" s="163"/>
      <c r="BU123" s="163"/>
      <c r="BV123" s="163"/>
      <c r="BW123" s="163"/>
      <c r="BX123" s="163"/>
      <c r="BY123" s="163"/>
      <c r="BZ123" s="163"/>
      <c r="CA123" s="163"/>
      <c r="CB123" s="163"/>
      <c r="CC123" s="163"/>
      <c r="CD123" s="163"/>
      <c r="CE123" s="163"/>
      <c r="CF123" s="163"/>
      <c r="CG123" s="163"/>
      <c r="CH123" s="57" t="s">
        <v>1031</v>
      </c>
      <c r="CI123" s="57">
        <v>2020.0</v>
      </c>
      <c r="CJ123" s="57">
        <v>1198.0</v>
      </c>
      <c r="CK123" s="57">
        <v>1107.0</v>
      </c>
      <c r="CL123" s="57">
        <v>1132.0</v>
      </c>
      <c r="CM123" s="57">
        <v>1264.0</v>
      </c>
      <c r="CN123" s="57">
        <v>884.0</v>
      </c>
      <c r="CO123" s="57">
        <v>5585.0</v>
      </c>
      <c r="CP123" s="57"/>
      <c r="CQ123" s="57">
        <v>2020.0</v>
      </c>
      <c r="CR123" s="57">
        <v>375.0</v>
      </c>
      <c r="CS123" s="57">
        <v>6.0</v>
      </c>
      <c r="CT123" s="57">
        <v>0.0</v>
      </c>
      <c r="CU123" s="57">
        <v>0.0</v>
      </c>
      <c r="CV123" s="57">
        <v>0.0</v>
      </c>
      <c r="CW123" s="57">
        <v>381.0</v>
      </c>
      <c r="CX123" s="163"/>
      <c r="CY123" s="163"/>
      <c r="CZ123" s="163"/>
      <c r="DA123" s="163"/>
      <c r="DB123" s="163"/>
      <c r="DC123" s="163"/>
      <c r="DD123" s="163"/>
      <c r="DE123" s="163"/>
      <c r="DF123" s="163"/>
      <c r="DG123" s="163"/>
      <c r="DH123" s="163"/>
      <c r="DI123" s="163"/>
      <c r="DJ123" s="163"/>
      <c r="DK123" s="163"/>
      <c r="DL123" s="163"/>
      <c r="DM123" s="163"/>
      <c r="DN123" s="163"/>
      <c r="DO123" s="163"/>
      <c r="DP123" s="163"/>
      <c r="DQ123" s="163"/>
      <c r="DR123" s="163"/>
      <c r="DS123" s="163"/>
      <c r="DT123" s="163"/>
      <c r="DU123" s="163"/>
      <c r="DV123" s="163"/>
      <c r="DW123" s="163"/>
      <c r="DX123" s="163"/>
      <c r="DY123" s="163"/>
      <c r="DZ123" s="163"/>
      <c r="EA123" s="163"/>
      <c r="EB123" s="163"/>
      <c r="EC123" s="163"/>
      <c r="ED123" s="163"/>
      <c r="EE123" s="163"/>
      <c r="EF123" s="163"/>
      <c r="EG123" s="163"/>
      <c r="EH123" s="163"/>
      <c r="EI123" s="163"/>
      <c r="EJ123" s="163"/>
      <c r="EK123" s="163"/>
      <c r="EL123" s="163"/>
      <c r="EM123" s="163"/>
      <c r="EN123" s="163"/>
      <c r="EO123" s="163"/>
      <c r="EP123" s="163"/>
      <c r="EQ123" s="163"/>
      <c r="ER123" s="163"/>
      <c r="ES123" s="163"/>
      <c r="ET123" s="163"/>
      <c r="EU123" s="163"/>
      <c r="EV123" s="163"/>
      <c r="EW123" s="163"/>
      <c r="EX123" s="255" t="s">
        <v>910</v>
      </c>
      <c r="EY123" s="255">
        <v>2020.0</v>
      </c>
      <c r="EZ123" s="255">
        <v>455.0</v>
      </c>
      <c r="FA123" s="255">
        <v>549.0</v>
      </c>
      <c r="FB123" s="255">
        <v>607.0</v>
      </c>
      <c r="FC123" s="255">
        <v>628.0</v>
      </c>
      <c r="FD123" s="255">
        <v>779.0</v>
      </c>
      <c r="FE123" s="255">
        <v>3018.0</v>
      </c>
      <c r="FF123" s="255"/>
      <c r="FG123" s="255">
        <v>2020.0</v>
      </c>
      <c r="FH123" s="255">
        <v>64.0</v>
      </c>
      <c r="FI123" s="255">
        <v>17.0</v>
      </c>
      <c r="FJ123" s="255">
        <v>15.0</v>
      </c>
      <c r="FK123" s="255">
        <v>7.0</v>
      </c>
      <c r="FL123" s="255">
        <v>18.0</v>
      </c>
      <c r="FM123" s="255">
        <v>121.0</v>
      </c>
    </row>
    <row r="124" ht="13.5" customHeight="1">
      <c r="A124" s="252" t="s">
        <v>1136</v>
      </c>
      <c r="B124" s="252">
        <v>2020.0</v>
      </c>
      <c r="C124" s="252">
        <v>16.0</v>
      </c>
      <c r="D124" s="252">
        <v>0.0</v>
      </c>
      <c r="E124" s="252">
        <v>0.0</v>
      </c>
      <c r="F124" s="252">
        <v>1.0</v>
      </c>
      <c r="G124" s="252">
        <v>0.0</v>
      </c>
      <c r="H124" s="252">
        <v>17.0</v>
      </c>
      <c r="I124" s="252"/>
      <c r="J124" s="252">
        <v>2020.0</v>
      </c>
      <c r="K124" s="252">
        <v>151.0</v>
      </c>
      <c r="L124" s="252">
        <v>290.0</v>
      </c>
      <c r="M124" s="252">
        <v>366.0</v>
      </c>
      <c r="N124" s="252">
        <v>409.0</v>
      </c>
      <c r="O124" s="252">
        <v>292.0</v>
      </c>
      <c r="P124" s="252">
        <v>1508.0</v>
      </c>
      <c r="Q124" s="131"/>
      <c r="R124" s="163"/>
      <c r="S124" s="163"/>
      <c r="T124" s="163"/>
      <c r="U124" s="163"/>
      <c r="V124" s="163"/>
      <c r="W124" s="163"/>
      <c r="X124" s="163"/>
      <c r="Y124" s="163"/>
      <c r="Z124" s="163"/>
      <c r="AA124" s="163"/>
      <c r="AB124" s="163"/>
      <c r="AC124" s="163"/>
      <c r="AD124" s="163"/>
      <c r="AE124" s="163"/>
      <c r="AF124" s="163"/>
      <c r="AG124" s="163"/>
      <c r="AH124" s="163"/>
      <c r="AI124" s="246" t="s">
        <v>302</v>
      </c>
      <c r="AJ124" s="246">
        <v>2020.0</v>
      </c>
      <c r="AK124" s="246">
        <v>560.0</v>
      </c>
      <c r="AL124" s="246">
        <v>357.0</v>
      </c>
      <c r="AM124" s="246">
        <v>427.0</v>
      </c>
      <c r="AN124" s="246">
        <v>555.0</v>
      </c>
      <c r="AO124" s="246">
        <v>344.0</v>
      </c>
      <c r="AP124" s="246">
        <v>2243.0</v>
      </c>
      <c r="AQ124" s="246"/>
      <c r="AR124" s="246">
        <v>2020.0</v>
      </c>
      <c r="AS124" s="246">
        <v>77.0</v>
      </c>
      <c r="AT124" s="246">
        <v>6.0</v>
      </c>
      <c r="AU124" s="246">
        <v>6.0</v>
      </c>
      <c r="AV124" s="246">
        <v>3.0</v>
      </c>
      <c r="AW124" s="246">
        <v>0.0</v>
      </c>
      <c r="AX124" s="246">
        <v>92.0</v>
      </c>
      <c r="AY124" s="163"/>
      <c r="AZ124" s="254" t="s">
        <v>592</v>
      </c>
      <c r="BA124" s="254">
        <v>2019.0</v>
      </c>
      <c r="BB124" s="254">
        <v>203.0</v>
      </c>
      <c r="BC124" s="254">
        <v>95.0</v>
      </c>
      <c r="BD124" s="254">
        <v>142.0</v>
      </c>
      <c r="BE124" s="254">
        <v>184.0</v>
      </c>
      <c r="BF124" s="254">
        <v>185.0</v>
      </c>
      <c r="BG124" s="254">
        <v>809.0</v>
      </c>
      <c r="BH124" s="254"/>
      <c r="BI124" s="254">
        <v>2019.0</v>
      </c>
      <c r="BJ124" s="254">
        <v>24.0</v>
      </c>
      <c r="BK124" s="254">
        <v>0.0</v>
      </c>
      <c r="BL124" s="254">
        <v>0.0</v>
      </c>
      <c r="BM124" s="254">
        <v>0.0</v>
      </c>
      <c r="BN124" s="254">
        <v>0.0</v>
      </c>
      <c r="BO124" s="254">
        <v>24.0</v>
      </c>
      <c r="BP124" s="163"/>
      <c r="BQ124" s="163"/>
      <c r="BR124" s="163"/>
      <c r="BS124" s="163"/>
      <c r="BT124" s="163"/>
      <c r="BU124" s="163"/>
      <c r="BV124" s="163"/>
      <c r="BW124" s="163"/>
      <c r="BX124" s="163"/>
      <c r="BY124" s="163"/>
      <c r="BZ124" s="163"/>
      <c r="CA124" s="163"/>
      <c r="CB124" s="163"/>
      <c r="CC124" s="163"/>
      <c r="CD124" s="163"/>
      <c r="CE124" s="163"/>
      <c r="CF124" s="163"/>
      <c r="CG124" s="163"/>
      <c r="CH124" s="57" t="s">
        <v>1032</v>
      </c>
      <c r="CI124" s="57">
        <v>2020.0</v>
      </c>
      <c r="CJ124" s="57">
        <v>534.0</v>
      </c>
      <c r="CK124" s="57">
        <v>431.0</v>
      </c>
      <c r="CL124" s="57">
        <v>738.0</v>
      </c>
      <c r="CM124" s="57">
        <v>1125.0</v>
      </c>
      <c r="CN124" s="57">
        <v>1084.0</v>
      </c>
      <c r="CO124" s="57">
        <v>3912.0</v>
      </c>
      <c r="CP124" s="57"/>
      <c r="CQ124" s="57">
        <v>2020.0</v>
      </c>
      <c r="CR124" s="57">
        <v>160.0</v>
      </c>
      <c r="CS124" s="57">
        <v>0.0</v>
      </c>
      <c r="CT124" s="57">
        <v>0.0</v>
      </c>
      <c r="CU124" s="57">
        <v>0.0</v>
      </c>
      <c r="CV124" s="57">
        <v>0.0</v>
      </c>
      <c r="CW124" s="57">
        <v>160.0</v>
      </c>
      <c r="CX124" s="163"/>
      <c r="CY124" s="163"/>
      <c r="CZ124" s="163"/>
      <c r="DA124" s="163"/>
      <c r="DB124" s="163"/>
      <c r="DC124" s="163"/>
      <c r="DD124" s="163"/>
      <c r="DE124" s="163"/>
      <c r="DF124" s="163"/>
      <c r="DG124" s="163"/>
      <c r="DH124" s="163"/>
      <c r="DI124" s="163"/>
      <c r="DJ124" s="163"/>
      <c r="DK124" s="163"/>
      <c r="DL124" s="163"/>
      <c r="DM124" s="163"/>
      <c r="DN124" s="163"/>
      <c r="DO124" s="163"/>
      <c r="DP124" s="163"/>
      <c r="DQ124" s="163"/>
      <c r="DR124" s="163"/>
      <c r="DS124" s="163"/>
      <c r="DT124" s="163"/>
      <c r="DU124" s="163"/>
      <c r="DV124" s="163"/>
      <c r="DW124" s="163"/>
      <c r="DX124" s="163"/>
      <c r="DY124" s="163"/>
      <c r="DZ124" s="163"/>
      <c r="EA124" s="163"/>
      <c r="EB124" s="163"/>
      <c r="EC124" s="163"/>
      <c r="ED124" s="163"/>
      <c r="EE124" s="163"/>
      <c r="EF124" s="163"/>
      <c r="EG124" s="163"/>
      <c r="EH124" s="163"/>
      <c r="EI124" s="163"/>
      <c r="EJ124" s="163"/>
      <c r="EK124" s="163"/>
      <c r="EL124" s="163"/>
      <c r="EM124" s="163"/>
      <c r="EN124" s="163"/>
      <c r="EO124" s="163"/>
      <c r="EP124" s="163"/>
      <c r="EQ124" s="163"/>
      <c r="ER124" s="163"/>
      <c r="ES124" s="163"/>
      <c r="ET124" s="163"/>
      <c r="EU124" s="163"/>
      <c r="EV124" s="163"/>
      <c r="EW124" s="163"/>
      <c r="EX124" s="255" t="s">
        <v>912</v>
      </c>
      <c r="EY124" s="255">
        <v>2020.0</v>
      </c>
      <c r="EZ124" s="255">
        <v>476.0</v>
      </c>
      <c r="FA124" s="255">
        <v>491.0</v>
      </c>
      <c r="FB124" s="255">
        <v>416.0</v>
      </c>
      <c r="FC124" s="255">
        <v>424.0</v>
      </c>
      <c r="FD124" s="255">
        <v>534.0</v>
      </c>
      <c r="FE124" s="255">
        <v>2341.0</v>
      </c>
      <c r="FF124" s="255"/>
      <c r="FG124" s="255">
        <v>2020.0</v>
      </c>
      <c r="FH124" s="255">
        <v>83.0</v>
      </c>
      <c r="FI124" s="255">
        <v>14.0</v>
      </c>
      <c r="FJ124" s="255">
        <v>8.0</v>
      </c>
      <c r="FK124" s="255">
        <v>3.0</v>
      </c>
      <c r="FL124" s="255">
        <v>4.0</v>
      </c>
      <c r="FM124" s="255">
        <v>112.0</v>
      </c>
    </row>
    <row r="125" ht="13.5" customHeight="1">
      <c r="A125" s="252" t="s">
        <v>1140</v>
      </c>
      <c r="B125" s="252">
        <v>2020.0</v>
      </c>
      <c r="C125" s="252">
        <v>21.0</v>
      </c>
      <c r="D125" s="252">
        <v>1.0</v>
      </c>
      <c r="E125" s="252">
        <v>0.0</v>
      </c>
      <c r="F125" s="252">
        <v>0.0</v>
      </c>
      <c r="G125" s="252">
        <v>0.0</v>
      </c>
      <c r="H125" s="252">
        <v>22.0</v>
      </c>
      <c r="I125" s="252"/>
      <c r="J125" s="252">
        <v>2020.0</v>
      </c>
      <c r="K125" s="252">
        <v>222.0</v>
      </c>
      <c r="L125" s="252">
        <v>330.0</v>
      </c>
      <c r="M125" s="252">
        <v>371.0</v>
      </c>
      <c r="N125" s="252">
        <v>390.0</v>
      </c>
      <c r="O125" s="252">
        <v>357.0</v>
      </c>
      <c r="P125" s="252">
        <v>1670.0</v>
      </c>
      <c r="Q125" s="131"/>
      <c r="R125" s="163"/>
      <c r="S125" s="163"/>
      <c r="T125" s="163"/>
      <c r="U125" s="163"/>
      <c r="V125" s="163"/>
      <c r="W125" s="163"/>
      <c r="X125" s="163"/>
      <c r="Y125" s="163"/>
      <c r="Z125" s="163"/>
      <c r="AA125" s="163"/>
      <c r="AB125" s="163"/>
      <c r="AC125" s="163"/>
      <c r="AD125" s="163"/>
      <c r="AE125" s="163"/>
      <c r="AF125" s="163"/>
      <c r="AG125" s="163"/>
      <c r="AH125" s="163"/>
      <c r="AI125" s="246" t="s">
        <v>304</v>
      </c>
      <c r="AJ125" s="246">
        <v>2020.0</v>
      </c>
      <c r="AK125" s="246">
        <v>409.0</v>
      </c>
      <c r="AL125" s="246">
        <v>395.0</v>
      </c>
      <c r="AM125" s="246">
        <v>710.0</v>
      </c>
      <c r="AN125" s="246">
        <v>754.0</v>
      </c>
      <c r="AO125" s="246">
        <v>601.0</v>
      </c>
      <c r="AP125" s="246">
        <v>2869.0</v>
      </c>
      <c r="AQ125" s="246"/>
      <c r="AR125" s="246">
        <v>2020.0</v>
      </c>
      <c r="AS125" s="246">
        <v>35.0</v>
      </c>
      <c r="AT125" s="246">
        <v>5.0</v>
      </c>
      <c r="AU125" s="246">
        <v>3.0</v>
      </c>
      <c r="AV125" s="246">
        <v>4.0</v>
      </c>
      <c r="AW125" s="246">
        <v>2.0</v>
      </c>
      <c r="AX125" s="246">
        <v>49.0</v>
      </c>
      <c r="AY125" s="163"/>
      <c r="AZ125" s="163"/>
      <c r="BA125" s="163"/>
      <c r="BB125" s="163"/>
      <c r="BC125" s="163"/>
      <c r="BD125" s="163"/>
      <c r="BE125" s="163"/>
      <c r="BF125" s="163"/>
      <c r="BG125" s="163"/>
      <c r="BH125" s="163"/>
      <c r="BI125" s="163"/>
      <c r="BJ125" s="163"/>
      <c r="BK125" s="163"/>
      <c r="BL125" s="163"/>
      <c r="BM125" s="163"/>
      <c r="BN125" s="163"/>
      <c r="BO125" s="163"/>
      <c r="BP125" s="163"/>
      <c r="BQ125" s="163"/>
      <c r="BR125" s="163"/>
      <c r="BS125" s="163"/>
      <c r="BT125" s="163"/>
      <c r="BU125" s="163"/>
      <c r="BV125" s="163"/>
      <c r="BW125" s="163"/>
      <c r="BX125" s="163"/>
      <c r="BY125" s="163"/>
      <c r="BZ125" s="163"/>
      <c r="CA125" s="163"/>
      <c r="CB125" s="163"/>
      <c r="CC125" s="163"/>
      <c r="CD125" s="163"/>
      <c r="CE125" s="163"/>
      <c r="CF125" s="163"/>
      <c r="CG125" s="163"/>
      <c r="CH125" s="57" t="s">
        <v>1035</v>
      </c>
      <c r="CI125" s="57">
        <v>2020.0</v>
      </c>
      <c r="CJ125" s="57">
        <v>238.0</v>
      </c>
      <c r="CK125" s="57">
        <v>302.0</v>
      </c>
      <c r="CL125" s="57">
        <v>536.0</v>
      </c>
      <c r="CM125" s="57">
        <v>857.0</v>
      </c>
      <c r="CN125" s="57">
        <v>847.0</v>
      </c>
      <c r="CO125" s="57">
        <v>2780.0</v>
      </c>
      <c r="CP125" s="57"/>
      <c r="CQ125" s="57">
        <v>2020.0</v>
      </c>
      <c r="CR125" s="57">
        <v>36.0</v>
      </c>
      <c r="CS125" s="57">
        <v>0.0</v>
      </c>
      <c r="CT125" s="57">
        <v>0.0</v>
      </c>
      <c r="CU125" s="57">
        <v>0.0</v>
      </c>
      <c r="CV125" s="57">
        <v>0.0</v>
      </c>
      <c r="CW125" s="57">
        <v>36.0</v>
      </c>
      <c r="CX125" s="163"/>
      <c r="CY125" s="163"/>
      <c r="CZ125" s="163"/>
      <c r="DA125" s="163"/>
      <c r="DB125" s="163"/>
      <c r="DC125" s="163"/>
      <c r="DD125" s="163"/>
      <c r="DE125" s="163"/>
      <c r="DF125" s="163"/>
      <c r="DG125" s="163"/>
      <c r="DH125" s="163"/>
      <c r="DI125" s="163"/>
      <c r="DJ125" s="163"/>
      <c r="DK125" s="163"/>
      <c r="DL125" s="163"/>
      <c r="DM125" s="163"/>
      <c r="DN125" s="163"/>
      <c r="DO125" s="163"/>
      <c r="DP125" s="163"/>
      <c r="DQ125" s="163"/>
      <c r="DR125" s="163"/>
      <c r="DS125" s="163"/>
      <c r="DT125" s="163"/>
      <c r="DU125" s="163"/>
      <c r="DV125" s="163"/>
      <c r="DW125" s="163"/>
      <c r="DX125" s="163"/>
      <c r="DY125" s="163"/>
      <c r="DZ125" s="163"/>
      <c r="EA125" s="163"/>
      <c r="EB125" s="163"/>
      <c r="EC125" s="163"/>
      <c r="ED125" s="163"/>
      <c r="EE125" s="163"/>
      <c r="EF125" s="163"/>
      <c r="EG125" s="163"/>
      <c r="EH125" s="163"/>
      <c r="EI125" s="163"/>
      <c r="EJ125" s="163"/>
      <c r="EK125" s="163"/>
      <c r="EL125" s="163"/>
      <c r="EM125" s="163"/>
      <c r="EN125" s="163"/>
      <c r="EO125" s="163"/>
      <c r="EP125" s="163"/>
      <c r="EQ125" s="163"/>
      <c r="ER125" s="163"/>
      <c r="ES125" s="163"/>
      <c r="ET125" s="163"/>
      <c r="EU125" s="163"/>
      <c r="EV125" s="163"/>
      <c r="EW125" s="163"/>
      <c r="EX125" s="255" t="s">
        <v>914</v>
      </c>
      <c r="EY125" s="255">
        <v>2020.0</v>
      </c>
      <c r="EZ125" s="255">
        <v>179.0</v>
      </c>
      <c r="FA125" s="255">
        <v>306.0</v>
      </c>
      <c r="FB125" s="255">
        <v>330.0</v>
      </c>
      <c r="FC125" s="255">
        <v>402.0</v>
      </c>
      <c r="FD125" s="255">
        <v>513.0</v>
      </c>
      <c r="FE125" s="255">
        <v>1730.0</v>
      </c>
      <c r="FF125" s="255"/>
      <c r="FG125" s="255">
        <v>2020.0</v>
      </c>
      <c r="FH125" s="255">
        <v>23.0</v>
      </c>
      <c r="FI125" s="255">
        <v>13.0</v>
      </c>
      <c r="FJ125" s="255">
        <v>6.0</v>
      </c>
      <c r="FK125" s="255">
        <v>5.0</v>
      </c>
      <c r="FL125" s="255">
        <v>7.0</v>
      </c>
      <c r="FM125" s="255">
        <v>54.0</v>
      </c>
    </row>
    <row r="126" ht="13.5" customHeight="1">
      <c r="A126" s="252" t="s">
        <v>1143</v>
      </c>
      <c r="B126" s="252">
        <v>2020.0</v>
      </c>
      <c r="C126" s="252">
        <v>16.0</v>
      </c>
      <c r="D126" s="252">
        <v>4.0</v>
      </c>
      <c r="E126" s="252">
        <v>0.0</v>
      </c>
      <c r="F126" s="252">
        <v>0.0</v>
      </c>
      <c r="G126" s="252">
        <v>0.0</v>
      </c>
      <c r="H126" s="252">
        <v>20.0</v>
      </c>
      <c r="I126" s="252"/>
      <c r="J126" s="252">
        <v>2020.0</v>
      </c>
      <c r="K126" s="252">
        <v>215.0</v>
      </c>
      <c r="L126" s="252">
        <v>260.0</v>
      </c>
      <c r="M126" s="252">
        <v>334.0</v>
      </c>
      <c r="N126" s="252">
        <v>414.0</v>
      </c>
      <c r="O126" s="252">
        <v>304.0</v>
      </c>
      <c r="P126" s="252">
        <v>1527.0</v>
      </c>
      <c r="Q126" s="131"/>
      <c r="R126" s="163"/>
      <c r="S126" s="163"/>
      <c r="T126" s="163"/>
      <c r="U126" s="163"/>
      <c r="V126" s="163"/>
      <c r="W126" s="163"/>
      <c r="X126" s="163"/>
      <c r="Y126" s="163"/>
      <c r="Z126" s="163"/>
      <c r="AA126" s="163"/>
      <c r="AB126" s="163"/>
      <c r="AC126" s="163"/>
      <c r="AD126" s="163"/>
      <c r="AE126" s="163"/>
      <c r="AF126" s="163"/>
      <c r="AG126" s="163"/>
      <c r="AH126" s="163"/>
      <c r="AI126" s="246" t="s">
        <v>306</v>
      </c>
      <c r="AJ126" s="246">
        <v>2020.0</v>
      </c>
      <c r="AK126" s="246">
        <v>564.0</v>
      </c>
      <c r="AL126" s="246">
        <v>563.0</v>
      </c>
      <c r="AM126" s="246">
        <v>690.0</v>
      </c>
      <c r="AN126" s="246">
        <v>750.0</v>
      </c>
      <c r="AO126" s="246">
        <v>549.0</v>
      </c>
      <c r="AP126" s="246">
        <v>3116.0</v>
      </c>
      <c r="AQ126" s="246"/>
      <c r="AR126" s="246">
        <v>2020.0</v>
      </c>
      <c r="AS126" s="246">
        <v>22.0</v>
      </c>
      <c r="AT126" s="246">
        <v>1.0</v>
      </c>
      <c r="AU126" s="246">
        <v>3.0</v>
      </c>
      <c r="AV126" s="246">
        <v>0.0</v>
      </c>
      <c r="AW126" s="246">
        <v>0.0</v>
      </c>
      <c r="AX126" s="246">
        <v>26.0</v>
      </c>
      <c r="AY126" s="163"/>
      <c r="AZ126" s="254" t="s">
        <v>413</v>
      </c>
      <c r="BA126" s="254">
        <v>2020.0</v>
      </c>
      <c r="BB126" s="254">
        <v>160.0</v>
      </c>
      <c r="BC126" s="254">
        <v>201.0</v>
      </c>
      <c r="BD126" s="254">
        <v>378.0</v>
      </c>
      <c r="BE126" s="254">
        <v>540.0</v>
      </c>
      <c r="BF126" s="254">
        <v>497.0</v>
      </c>
      <c r="BG126" s="254">
        <v>1776.0</v>
      </c>
      <c r="BH126" s="254"/>
      <c r="BI126" s="254">
        <v>2020.0</v>
      </c>
      <c r="BJ126" s="254">
        <v>20.0</v>
      </c>
      <c r="BK126" s="254">
        <v>0.0</v>
      </c>
      <c r="BL126" s="254">
        <v>0.0</v>
      </c>
      <c r="BM126" s="254">
        <v>0.0</v>
      </c>
      <c r="BN126" s="254">
        <v>0.0</v>
      </c>
      <c r="BO126" s="254">
        <v>20.0</v>
      </c>
      <c r="BP126" s="163"/>
      <c r="BQ126" s="163"/>
      <c r="BR126" s="163"/>
      <c r="BS126" s="163"/>
      <c r="BT126" s="163"/>
      <c r="BU126" s="163"/>
      <c r="BV126" s="163"/>
      <c r="BW126" s="163"/>
      <c r="BX126" s="163"/>
      <c r="BY126" s="163"/>
      <c r="BZ126" s="163"/>
      <c r="CA126" s="163"/>
      <c r="CB126" s="163"/>
      <c r="CC126" s="163"/>
      <c r="CD126" s="163"/>
      <c r="CE126" s="163"/>
      <c r="CF126" s="163"/>
      <c r="CG126" s="163"/>
      <c r="CH126" s="57" t="s">
        <v>1037</v>
      </c>
      <c r="CI126" s="57">
        <v>2020.0</v>
      </c>
      <c r="CJ126" s="57">
        <v>86.0</v>
      </c>
      <c r="CK126" s="57">
        <v>54.0</v>
      </c>
      <c r="CL126" s="57">
        <v>69.0</v>
      </c>
      <c r="CM126" s="57">
        <v>115.0</v>
      </c>
      <c r="CN126" s="57">
        <v>129.0</v>
      </c>
      <c r="CO126" s="57">
        <v>453.0</v>
      </c>
      <c r="CP126" s="57"/>
      <c r="CQ126" s="57">
        <v>2020.0</v>
      </c>
      <c r="CR126" s="57">
        <v>41.0</v>
      </c>
      <c r="CS126" s="57">
        <v>0.0</v>
      </c>
      <c r="CT126" s="57">
        <v>0.0</v>
      </c>
      <c r="CU126" s="57">
        <v>0.0</v>
      </c>
      <c r="CV126" s="57">
        <v>0.0</v>
      </c>
      <c r="CW126" s="57">
        <v>41.0</v>
      </c>
      <c r="CX126" s="163"/>
      <c r="CY126" s="163"/>
      <c r="CZ126" s="163"/>
      <c r="DA126" s="163"/>
      <c r="DB126" s="163"/>
      <c r="DC126" s="163"/>
      <c r="DD126" s="163"/>
      <c r="DE126" s="163"/>
      <c r="DF126" s="163"/>
      <c r="DG126" s="163"/>
      <c r="DH126" s="163"/>
      <c r="DI126" s="163"/>
      <c r="DJ126" s="163"/>
      <c r="DK126" s="163"/>
      <c r="DL126" s="163"/>
      <c r="DM126" s="163"/>
      <c r="DN126" s="163"/>
      <c r="DO126" s="163"/>
      <c r="DP126" s="163"/>
      <c r="DQ126" s="163"/>
      <c r="DR126" s="163"/>
      <c r="DS126" s="163"/>
      <c r="DT126" s="163"/>
      <c r="DU126" s="163"/>
      <c r="DV126" s="163"/>
      <c r="DW126" s="163"/>
      <c r="DX126" s="163"/>
      <c r="DY126" s="163"/>
      <c r="DZ126" s="163"/>
      <c r="EA126" s="163"/>
      <c r="EB126" s="163"/>
      <c r="EC126" s="163"/>
      <c r="ED126" s="163"/>
      <c r="EE126" s="163"/>
      <c r="EF126" s="163"/>
      <c r="EG126" s="163"/>
      <c r="EH126" s="163"/>
      <c r="EI126" s="163"/>
      <c r="EJ126" s="163"/>
      <c r="EK126" s="163"/>
      <c r="EL126" s="163"/>
      <c r="EM126" s="163"/>
      <c r="EN126" s="163"/>
      <c r="EO126" s="163"/>
      <c r="EP126" s="163"/>
      <c r="EQ126" s="163"/>
      <c r="ER126" s="163"/>
      <c r="ES126" s="163"/>
      <c r="ET126" s="163"/>
      <c r="EU126" s="163"/>
      <c r="EV126" s="163"/>
      <c r="EW126" s="163"/>
      <c r="EX126" s="255" t="s">
        <v>916</v>
      </c>
      <c r="EY126" s="255">
        <v>2020.0</v>
      </c>
      <c r="EZ126" s="255">
        <v>226.0</v>
      </c>
      <c r="FA126" s="255">
        <v>429.0</v>
      </c>
      <c r="FB126" s="255">
        <v>510.0</v>
      </c>
      <c r="FC126" s="255">
        <v>544.0</v>
      </c>
      <c r="FD126" s="255">
        <v>734.0</v>
      </c>
      <c r="FE126" s="255">
        <v>2443.0</v>
      </c>
      <c r="FF126" s="255"/>
      <c r="FG126" s="255">
        <v>2020.0</v>
      </c>
      <c r="FH126" s="255">
        <v>34.0</v>
      </c>
      <c r="FI126" s="255">
        <v>19.0</v>
      </c>
      <c r="FJ126" s="255">
        <v>11.0</v>
      </c>
      <c r="FK126" s="255">
        <v>5.0</v>
      </c>
      <c r="FL126" s="255">
        <v>15.0</v>
      </c>
      <c r="FM126" s="255">
        <v>84.0</v>
      </c>
    </row>
    <row r="127" ht="13.5" customHeight="1">
      <c r="A127" s="252" t="s">
        <v>1146</v>
      </c>
      <c r="B127" s="252">
        <v>2020.0</v>
      </c>
      <c r="C127" s="252">
        <v>333.0</v>
      </c>
      <c r="D127" s="252">
        <v>95.0</v>
      </c>
      <c r="E127" s="252">
        <v>65.0</v>
      </c>
      <c r="F127" s="252">
        <v>78.0</v>
      </c>
      <c r="G127" s="252">
        <v>111.0</v>
      </c>
      <c r="H127" s="252">
        <v>682.0</v>
      </c>
      <c r="I127" s="252"/>
      <c r="J127" s="252">
        <v>2020.0</v>
      </c>
      <c r="K127" s="252">
        <v>811.0</v>
      </c>
      <c r="L127" s="252">
        <v>604.0</v>
      </c>
      <c r="M127" s="252">
        <v>498.0</v>
      </c>
      <c r="N127" s="252">
        <v>558.0</v>
      </c>
      <c r="O127" s="252">
        <v>682.0</v>
      </c>
      <c r="P127" s="252">
        <v>3153.0</v>
      </c>
      <c r="Q127" s="131"/>
      <c r="R127" s="163"/>
      <c r="S127" s="163"/>
      <c r="T127" s="163"/>
      <c r="U127" s="163"/>
      <c r="V127" s="163"/>
      <c r="W127" s="163"/>
      <c r="X127" s="163"/>
      <c r="Y127" s="163"/>
      <c r="Z127" s="163"/>
      <c r="AA127" s="163"/>
      <c r="AB127" s="163"/>
      <c r="AC127" s="163"/>
      <c r="AD127" s="163"/>
      <c r="AE127" s="163"/>
      <c r="AF127" s="163"/>
      <c r="AG127" s="163"/>
      <c r="AH127" s="163"/>
      <c r="AI127" s="246" t="s">
        <v>308</v>
      </c>
      <c r="AJ127" s="246">
        <v>2020.0</v>
      </c>
      <c r="AK127" s="246">
        <v>371.0</v>
      </c>
      <c r="AL127" s="246">
        <v>400.0</v>
      </c>
      <c r="AM127" s="246">
        <v>495.0</v>
      </c>
      <c r="AN127" s="246">
        <v>598.0</v>
      </c>
      <c r="AO127" s="246">
        <v>444.0</v>
      </c>
      <c r="AP127" s="246">
        <v>2308.0</v>
      </c>
      <c r="AQ127" s="246"/>
      <c r="AR127" s="246">
        <v>2020.0</v>
      </c>
      <c r="AS127" s="246">
        <v>38.0</v>
      </c>
      <c r="AT127" s="246">
        <v>5.0</v>
      </c>
      <c r="AU127" s="246">
        <v>2.0</v>
      </c>
      <c r="AV127" s="246">
        <v>1.0</v>
      </c>
      <c r="AW127" s="246">
        <v>0.0</v>
      </c>
      <c r="AX127" s="246">
        <v>46.0</v>
      </c>
      <c r="AY127" s="163"/>
      <c r="AZ127" s="254" t="s">
        <v>415</v>
      </c>
      <c r="BA127" s="254">
        <v>2020.0</v>
      </c>
      <c r="BB127" s="254">
        <v>309.0</v>
      </c>
      <c r="BC127" s="254">
        <v>185.0</v>
      </c>
      <c r="BD127" s="254">
        <v>353.0</v>
      </c>
      <c r="BE127" s="254">
        <v>441.0</v>
      </c>
      <c r="BF127" s="254">
        <v>408.0</v>
      </c>
      <c r="BG127" s="254">
        <v>1696.0</v>
      </c>
      <c r="BH127" s="254"/>
      <c r="BI127" s="254">
        <v>2020.0</v>
      </c>
      <c r="BJ127" s="254">
        <v>84.0</v>
      </c>
      <c r="BK127" s="254">
        <v>0.0</v>
      </c>
      <c r="BL127" s="254">
        <v>0.0</v>
      </c>
      <c r="BM127" s="254">
        <v>0.0</v>
      </c>
      <c r="BN127" s="254">
        <v>0.0</v>
      </c>
      <c r="BO127" s="254">
        <v>84.0</v>
      </c>
      <c r="BP127" s="163"/>
      <c r="BQ127" s="163"/>
      <c r="BR127" s="163"/>
      <c r="BS127" s="163"/>
      <c r="BT127" s="163"/>
      <c r="BU127" s="163"/>
      <c r="BV127" s="163"/>
      <c r="BW127" s="163"/>
      <c r="BX127" s="163"/>
      <c r="BY127" s="163"/>
      <c r="BZ127" s="163"/>
      <c r="CA127" s="163"/>
      <c r="CB127" s="163"/>
      <c r="CC127" s="163"/>
      <c r="CD127" s="163"/>
      <c r="CE127" s="163"/>
      <c r="CF127" s="163"/>
      <c r="CG127" s="163"/>
      <c r="CH127" s="57" t="s">
        <v>1039</v>
      </c>
      <c r="CI127" s="57">
        <v>2020.0</v>
      </c>
      <c r="CJ127" s="57">
        <v>81.0</v>
      </c>
      <c r="CK127" s="57">
        <v>115.0</v>
      </c>
      <c r="CL127" s="57">
        <v>219.0</v>
      </c>
      <c r="CM127" s="57">
        <v>387.0</v>
      </c>
      <c r="CN127" s="57">
        <v>382.0</v>
      </c>
      <c r="CO127" s="57">
        <v>1184.0</v>
      </c>
      <c r="CP127" s="57"/>
      <c r="CQ127" s="57">
        <v>2020.0</v>
      </c>
      <c r="CR127" s="57">
        <v>20.0</v>
      </c>
      <c r="CS127" s="57">
        <v>0.0</v>
      </c>
      <c r="CT127" s="57">
        <v>0.0</v>
      </c>
      <c r="CU127" s="57">
        <v>0.0</v>
      </c>
      <c r="CV127" s="57">
        <v>0.0</v>
      </c>
      <c r="CW127" s="57">
        <v>20.0</v>
      </c>
      <c r="CX127" s="163"/>
      <c r="CY127" s="163"/>
      <c r="CZ127" s="163"/>
      <c r="DA127" s="163"/>
      <c r="DB127" s="163"/>
      <c r="DC127" s="163"/>
      <c r="DD127" s="163"/>
      <c r="DE127" s="163"/>
      <c r="DF127" s="163"/>
      <c r="DG127" s="163"/>
      <c r="DH127" s="163"/>
      <c r="DI127" s="163"/>
      <c r="DJ127" s="163"/>
      <c r="DK127" s="163"/>
      <c r="DL127" s="163"/>
      <c r="DM127" s="163"/>
      <c r="DN127" s="163"/>
      <c r="DO127" s="163"/>
      <c r="DP127" s="163"/>
      <c r="DQ127" s="163"/>
      <c r="DR127" s="163"/>
      <c r="DS127" s="163"/>
      <c r="DT127" s="163"/>
      <c r="DU127" s="163"/>
      <c r="DV127" s="163"/>
      <c r="DW127" s="163"/>
      <c r="DX127" s="163"/>
      <c r="DY127" s="163"/>
      <c r="DZ127" s="163"/>
      <c r="EA127" s="163"/>
      <c r="EB127" s="163"/>
      <c r="EC127" s="163"/>
      <c r="ED127" s="163"/>
      <c r="EE127" s="163"/>
      <c r="EF127" s="163"/>
      <c r="EG127" s="163"/>
      <c r="EH127" s="163"/>
      <c r="EI127" s="163"/>
      <c r="EJ127" s="163"/>
      <c r="EK127" s="163"/>
      <c r="EL127" s="163"/>
      <c r="EM127" s="163"/>
      <c r="EN127" s="163"/>
      <c r="EO127" s="163"/>
      <c r="EP127" s="163"/>
      <c r="EQ127" s="163"/>
      <c r="ER127" s="163"/>
      <c r="ES127" s="163"/>
      <c r="ET127" s="163"/>
      <c r="EU127" s="163"/>
      <c r="EV127" s="163"/>
      <c r="EW127" s="163"/>
      <c r="EX127" s="255" t="s">
        <v>918</v>
      </c>
      <c r="EY127" s="255">
        <v>2020.0</v>
      </c>
      <c r="EZ127" s="255">
        <v>319.0</v>
      </c>
      <c r="FA127" s="255">
        <v>301.0</v>
      </c>
      <c r="FB127" s="255">
        <v>359.0</v>
      </c>
      <c r="FC127" s="255">
        <v>374.0</v>
      </c>
      <c r="FD127" s="255">
        <v>469.0</v>
      </c>
      <c r="FE127" s="255">
        <v>1822.0</v>
      </c>
      <c r="FF127" s="255"/>
      <c r="FG127" s="255">
        <v>2020.0</v>
      </c>
      <c r="FH127" s="255">
        <v>36.0</v>
      </c>
      <c r="FI127" s="255">
        <v>5.0</v>
      </c>
      <c r="FJ127" s="255">
        <v>6.0</v>
      </c>
      <c r="FK127" s="255">
        <v>6.0</v>
      </c>
      <c r="FL127" s="255">
        <v>3.0</v>
      </c>
      <c r="FM127" s="255">
        <v>56.0</v>
      </c>
    </row>
    <row r="128" ht="13.5" customHeight="1">
      <c r="A128" s="252" t="s">
        <v>1150</v>
      </c>
      <c r="B128" s="252">
        <v>2020.0</v>
      </c>
      <c r="C128" s="252">
        <v>152.0</v>
      </c>
      <c r="D128" s="252">
        <v>40.0</v>
      </c>
      <c r="E128" s="252">
        <v>27.0</v>
      </c>
      <c r="F128" s="252">
        <v>25.0</v>
      </c>
      <c r="G128" s="252">
        <v>37.0</v>
      </c>
      <c r="H128" s="252">
        <v>281.0</v>
      </c>
      <c r="I128" s="252"/>
      <c r="J128" s="252">
        <v>2020.0</v>
      </c>
      <c r="K128" s="252">
        <v>690.0</v>
      </c>
      <c r="L128" s="252">
        <v>566.0</v>
      </c>
      <c r="M128" s="252">
        <v>448.0</v>
      </c>
      <c r="N128" s="252">
        <v>548.0</v>
      </c>
      <c r="O128" s="252">
        <v>698.0</v>
      </c>
      <c r="P128" s="252">
        <v>2950.0</v>
      </c>
      <c r="Q128" s="131"/>
      <c r="R128" s="163"/>
      <c r="S128" s="163"/>
      <c r="T128" s="163"/>
      <c r="U128" s="163"/>
      <c r="V128" s="163"/>
      <c r="W128" s="163"/>
      <c r="X128" s="163"/>
      <c r="Y128" s="163"/>
      <c r="Z128" s="163"/>
      <c r="AA128" s="163"/>
      <c r="AB128" s="163"/>
      <c r="AC128" s="163"/>
      <c r="AD128" s="163"/>
      <c r="AE128" s="163"/>
      <c r="AF128" s="163"/>
      <c r="AG128" s="163"/>
      <c r="AH128" s="163"/>
      <c r="AI128" s="246" t="s">
        <v>310</v>
      </c>
      <c r="AJ128" s="246">
        <v>2020.0</v>
      </c>
      <c r="AK128" s="246">
        <v>1043.0</v>
      </c>
      <c r="AL128" s="246">
        <v>459.0</v>
      </c>
      <c r="AM128" s="246">
        <v>480.0</v>
      </c>
      <c r="AN128" s="246">
        <v>568.0</v>
      </c>
      <c r="AO128" s="246">
        <v>346.0</v>
      </c>
      <c r="AP128" s="246">
        <v>2896.0</v>
      </c>
      <c r="AQ128" s="246"/>
      <c r="AR128" s="246">
        <v>2020.0</v>
      </c>
      <c r="AS128" s="246">
        <v>64.0</v>
      </c>
      <c r="AT128" s="246">
        <v>1.0</v>
      </c>
      <c r="AU128" s="246">
        <v>0.0</v>
      </c>
      <c r="AV128" s="246">
        <v>0.0</v>
      </c>
      <c r="AW128" s="246">
        <v>0.0</v>
      </c>
      <c r="AX128" s="246">
        <v>65.0</v>
      </c>
      <c r="AY128" s="163"/>
      <c r="AZ128" s="254" t="s">
        <v>421</v>
      </c>
      <c r="BA128" s="254">
        <v>2020.0</v>
      </c>
      <c r="BB128" s="254">
        <v>245.0</v>
      </c>
      <c r="BC128" s="254">
        <v>244.0</v>
      </c>
      <c r="BD128" s="254">
        <v>500.0</v>
      </c>
      <c r="BE128" s="254">
        <v>695.0</v>
      </c>
      <c r="BF128" s="254">
        <v>615.0</v>
      </c>
      <c r="BG128" s="254">
        <v>2299.0</v>
      </c>
      <c r="BH128" s="254"/>
      <c r="BI128" s="254">
        <v>2020.0</v>
      </c>
      <c r="BJ128" s="254">
        <v>16.0</v>
      </c>
      <c r="BK128" s="254">
        <v>0.0</v>
      </c>
      <c r="BL128" s="254">
        <v>0.0</v>
      </c>
      <c r="BM128" s="254">
        <v>0.0</v>
      </c>
      <c r="BN128" s="254">
        <v>0.0</v>
      </c>
      <c r="BO128" s="254">
        <v>16.0</v>
      </c>
      <c r="BP128" s="163"/>
      <c r="BQ128" s="163"/>
      <c r="BR128" s="163"/>
      <c r="BS128" s="163"/>
      <c r="BT128" s="163"/>
      <c r="BU128" s="163"/>
      <c r="BV128" s="163"/>
      <c r="BW128" s="163"/>
      <c r="BX128" s="163"/>
      <c r="BY128" s="163"/>
      <c r="BZ128" s="163"/>
      <c r="CA128" s="163"/>
      <c r="CB128" s="163"/>
      <c r="CC128" s="163"/>
      <c r="CD128" s="163"/>
      <c r="CE128" s="163"/>
      <c r="CF128" s="163"/>
      <c r="CG128" s="163"/>
      <c r="CH128" s="57" t="s">
        <v>1041</v>
      </c>
      <c r="CI128" s="57">
        <v>2020.0</v>
      </c>
      <c r="CJ128" s="57">
        <v>33.0</v>
      </c>
      <c r="CK128" s="57">
        <v>26.0</v>
      </c>
      <c r="CL128" s="57">
        <v>90.0</v>
      </c>
      <c r="CM128" s="57">
        <v>116.0</v>
      </c>
      <c r="CN128" s="57">
        <v>130.0</v>
      </c>
      <c r="CO128" s="57">
        <v>395.0</v>
      </c>
      <c r="CP128" s="57"/>
      <c r="CQ128" s="57">
        <v>2020.0</v>
      </c>
      <c r="CR128" s="57">
        <v>12.0</v>
      </c>
      <c r="CS128" s="57">
        <v>0.0</v>
      </c>
      <c r="CT128" s="57">
        <v>0.0</v>
      </c>
      <c r="CU128" s="57">
        <v>0.0</v>
      </c>
      <c r="CV128" s="57">
        <v>0.0</v>
      </c>
      <c r="CW128" s="57">
        <v>12.0</v>
      </c>
      <c r="CX128" s="163"/>
      <c r="CY128" s="163"/>
      <c r="CZ128" s="163"/>
      <c r="DA128" s="163"/>
      <c r="DB128" s="163"/>
      <c r="DC128" s="163"/>
      <c r="DD128" s="163"/>
      <c r="DE128" s="163"/>
      <c r="DF128" s="163"/>
      <c r="DG128" s="163"/>
      <c r="DH128" s="163"/>
      <c r="DI128" s="163"/>
      <c r="DJ128" s="163"/>
      <c r="DK128" s="163"/>
      <c r="DL128" s="163"/>
      <c r="DM128" s="163"/>
      <c r="DN128" s="163"/>
      <c r="DO128" s="163"/>
      <c r="DP128" s="163"/>
      <c r="DQ128" s="163"/>
      <c r="DR128" s="163"/>
      <c r="DS128" s="163"/>
      <c r="DT128" s="163"/>
      <c r="DU128" s="163"/>
      <c r="DV128" s="163"/>
      <c r="DW128" s="163"/>
      <c r="DX128" s="163"/>
      <c r="DY128" s="163"/>
      <c r="DZ128" s="163"/>
      <c r="EA128" s="163"/>
      <c r="EB128" s="163"/>
      <c r="EC128" s="163"/>
      <c r="ED128" s="163"/>
      <c r="EE128" s="163"/>
      <c r="EF128" s="163"/>
      <c r="EG128" s="163"/>
      <c r="EH128" s="163"/>
      <c r="EI128" s="163"/>
      <c r="EJ128" s="163"/>
      <c r="EK128" s="163"/>
      <c r="EL128" s="163"/>
      <c r="EM128" s="163"/>
      <c r="EN128" s="163"/>
      <c r="EO128" s="163"/>
      <c r="EP128" s="163"/>
      <c r="EQ128" s="163"/>
      <c r="ER128" s="163"/>
      <c r="ES128" s="163"/>
      <c r="ET128" s="163"/>
      <c r="EU128" s="163"/>
      <c r="EV128" s="163"/>
      <c r="EW128" s="163"/>
      <c r="EX128" s="255" t="s">
        <v>920</v>
      </c>
      <c r="EY128" s="255">
        <v>2020.0</v>
      </c>
      <c r="EZ128" s="255">
        <v>285.0</v>
      </c>
      <c r="FA128" s="255">
        <v>364.0</v>
      </c>
      <c r="FB128" s="255">
        <v>460.0</v>
      </c>
      <c r="FC128" s="255">
        <v>458.0</v>
      </c>
      <c r="FD128" s="255">
        <v>574.0</v>
      </c>
      <c r="FE128" s="255">
        <v>2141.0</v>
      </c>
      <c r="FF128" s="255"/>
      <c r="FG128" s="255">
        <v>2020.0</v>
      </c>
      <c r="FH128" s="255">
        <v>21.0</v>
      </c>
      <c r="FI128" s="255">
        <v>8.0</v>
      </c>
      <c r="FJ128" s="255">
        <v>5.0</v>
      </c>
      <c r="FK128" s="255">
        <v>4.0</v>
      </c>
      <c r="FL128" s="255">
        <v>7.0</v>
      </c>
      <c r="FM128" s="255">
        <v>45.0</v>
      </c>
    </row>
    <row r="129" ht="13.5" customHeight="1">
      <c r="A129" s="252" t="s">
        <v>1153</v>
      </c>
      <c r="B129" s="252">
        <v>2020.0</v>
      </c>
      <c r="C129" s="252">
        <v>16.0</v>
      </c>
      <c r="D129" s="252">
        <v>0.0</v>
      </c>
      <c r="E129" s="252">
        <v>0.0</v>
      </c>
      <c r="F129" s="252">
        <v>1.0</v>
      </c>
      <c r="G129" s="252">
        <v>0.0</v>
      </c>
      <c r="H129" s="252">
        <v>17.0</v>
      </c>
      <c r="I129" s="252"/>
      <c r="J129" s="252">
        <v>2020.0</v>
      </c>
      <c r="K129" s="252">
        <v>103.0</v>
      </c>
      <c r="L129" s="252">
        <v>188.0</v>
      </c>
      <c r="M129" s="252">
        <v>392.0</v>
      </c>
      <c r="N129" s="252">
        <v>574.0</v>
      </c>
      <c r="O129" s="252">
        <v>449.0</v>
      </c>
      <c r="P129" s="252">
        <v>1706.0</v>
      </c>
      <c r="Q129" s="131"/>
      <c r="R129" s="163"/>
      <c r="S129" s="163"/>
      <c r="T129" s="163"/>
      <c r="U129" s="163"/>
      <c r="V129" s="163"/>
      <c r="W129" s="163"/>
      <c r="X129" s="163"/>
      <c r="Y129" s="163"/>
      <c r="Z129" s="163"/>
      <c r="AA129" s="163"/>
      <c r="AB129" s="163"/>
      <c r="AC129" s="163"/>
      <c r="AD129" s="163"/>
      <c r="AE129" s="163"/>
      <c r="AF129" s="163"/>
      <c r="AG129" s="163"/>
      <c r="AH129" s="163"/>
      <c r="AI129" s="246" t="s">
        <v>312</v>
      </c>
      <c r="AJ129" s="246">
        <v>2020.0</v>
      </c>
      <c r="AK129" s="246">
        <v>227.0</v>
      </c>
      <c r="AL129" s="246">
        <v>278.0</v>
      </c>
      <c r="AM129" s="246">
        <v>451.0</v>
      </c>
      <c r="AN129" s="246">
        <v>549.0</v>
      </c>
      <c r="AO129" s="246">
        <v>475.0</v>
      </c>
      <c r="AP129" s="246">
        <v>1980.0</v>
      </c>
      <c r="AQ129" s="246"/>
      <c r="AR129" s="246">
        <v>2020.0</v>
      </c>
      <c r="AS129" s="246">
        <v>34.0</v>
      </c>
      <c r="AT129" s="246">
        <v>3.0</v>
      </c>
      <c r="AU129" s="246">
        <v>4.0</v>
      </c>
      <c r="AV129" s="246">
        <v>0.0</v>
      </c>
      <c r="AW129" s="246">
        <v>0.0</v>
      </c>
      <c r="AX129" s="246">
        <v>41.0</v>
      </c>
      <c r="AY129" s="163"/>
      <c r="AZ129" s="254" t="s">
        <v>426</v>
      </c>
      <c r="BA129" s="254">
        <v>2020.0</v>
      </c>
      <c r="BB129" s="254">
        <v>117.0</v>
      </c>
      <c r="BC129" s="254">
        <v>160.0</v>
      </c>
      <c r="BD129" s="254">
        <v>306.0</v>
      </c>
      <c r="BE129" s="254">
        <v>458.0</v>
      </c>
      <c r="BF129" s="254">
        <v>375.0</v>
      </c>
      <c r="BG129" s="254">
        <v>1416.0</v>
      </c>
      <c r="BH129" s="254"/>
      <c r="BI129" s="254">
        <v>2020.0</v>
      </c>
      <c r="BJ129" s="254">
        <v>21.0</v>
      </c>
      <c r="BK129" s="254">
        <v>0.0</v>
      </c>
      <c r="BL129" s="254">
        <v>0.0</v>
      </c>
      <c r="BM129" s="254">
        <v>0.0</v>
      </c>
      <c r="BN129" s="254">
        <v>0.0</v>
      </c>
      <c r="BO129" s="254">
        <v>21.0</v>
      </c>
      <c r="BP129" s="163"/>
      <c r="BQ129" s="163"/>
      <c r="BR129" s="163"/>
      <c r="BS129" s="163"/>
      <c r="BT129" s="163"/>
      <c r="BU129" s="163"/>
      <c r="BV129" s="163"/>
      <c r="BW129" s="163"/>
      <c r="BX129" s="163"/>
      <c r="BY129" s="163"/>
      <c r="BZ129" s="163"/>
      <c r="CA129" s="163"/>
      <c r="CB129" s="163"/>
      <c r="CC129" s="163"/>
      <c r="CD129" s="163"/>
      <c r="CE129" s="163"/>
      <c r="CF129" s="163"/>
      <c r="CG129" s="163"/>
      <c r="CH129" s="57" t="s">
        <v>700</v>
      </c>
      <c r="CI129" s="57">
        <v>2020.0</v>
      </c>
      <c r="CJ129" s="57">
        <v>68.0</v>
      </c>
      <c r="CK129" s="57">
        <v>73.0</v>
      </c>
      <c r="CL129" s="57">
        <v>144.0</v>
      </c>
      <c r="CM129" s="57">
        <v>184.0</v>
      </c>
      <c r="CN129" s="57">
        <v>180.0</v>
      </c>
      <c r="CO129" s="57">
        <v>649.0</v>
      </c>
      <c r="CP129" s="57"/>
      <c r="CQ129" s="57">
        <v>2020.0</v>
      </c>
      <c r="CR129" s="57">
        <v>16.0</v>
      </c>
      <c r="CS129" s="57">
        <v>0.0</v>
      </c>
      <c r="CT129" s="57">
        <v>0.0</v>
      </c>
      <c r="CU129" s="57">
        <v>0.0</v>
      </c>
      <c r="CV129" s="57">
        <v>0.0</v>
      </c>
      <c r="CW129" s="57">
        <v>16.0</v>
      </c>
      <c r="CX129" s="163"/>
      <c r="CY129" s="163"/>
      <c r="CZ129" s="163"/>
      <c r="DA129" s="163"/>
      <c r="DB129" s="163"/>
      <c r="DC129" s="163"/>
      <c r="DD129" s="163"/>
      <c r="DE129" s="163"/>
      <c r="DF129" s="163"/>
      <c r="DG129" s="163"/>
      <c r="DH129" s="163"/>
      <c r="DI129" s="163"/>
      <c r="DJ129" s="163"/>
      <c r="DK129" s="163"/>
      <c r="DL129" s="163"/>
      <c r="DM129" s="163"/>
      <c r="DN129" s="163"/>
      <c r="DO129" s="163"/>
      <c r="DP129" s="163"/>
      <c r="DQ129" s="163"/>
      <c r="DR129" s="163"/>
      <c r="DS129" s="163"/>
      <c r="DT129" s="163"/>
      <c r="DU129" s="163"/>
      <c r="DV129" s="163"/>
      <c r="DW129" s="163"/>
      <c r="DX129" s="163"/>
      <c r="DY129" s="163"/>
      <c r="DZ129" s="163"/>
      <c r="EA129" s="163"/>
      <c r="EB129" s="163"/>
      <c r="EC129" s="163"/>
      <c r="ED129" s="163"/>
      <c r="EE129" s="163"/>
      <c r="EF129" s="163"/>
      <c r="EG129" s="163"/>
      <c r="EH129" s="163"/>
      <c r="EI129" s="163"/>
      <c r="EJ129" s="163"/>
      <c r="EK129" s="163"/>
      <c r="EL129" s="163"/>
      <c r="EM129" s="163"/>
      <c r="EN129" s="163"/>
      <c r="EO129" s="163"/>
      <c r="EP129" s="163"/>
      <c r="EQ129" s="163"/>
      <c r="ER129" s="163"/>
      <c r="ES129" s="163"/>
      <c r="ET129" s="163"/>
      <c r="EU129" s="163"/>
      <c r="EV129" s="163"/>
      <c r="EW129" s="163"/>
      <c r="EX129" s="255" t="s">
        <v>922</v>
      </c>
      <c r="EY129" s="255">
        <v>2020.0</v>
      </c>
      <c r="EZ129" s="255">
        <v>101.0</v>
      </c>
      <c r="FA129" s="255">
        <v>164.0</v>
      </c>
      <c r="FB129" s="255">
        <v>206.0</v>
      </c>
      <c r="FC129" s="255">
        <v>213.0</v>
      </c>
      <c r="FD129" s="255">
        <v>338.0</v>
      </c>
      <c r="FE129" s="255">
        <v>1022.0</v>
      </c>
      <c r="FF129" s="255"/>
      <c r="FG129" s="255">
        <v>2020.0</v>
      </c>
      <c r="FH129" s="255">
        <v>17.0</v>
      </c>
      <c r="FI129" s="255">
        <v>2.0</v>
      </c>
      <c r="FJ129" s="255">
        <v>3.0</v>
      </c>
      <c r="FK129" s="255">
        <v>0.0</v>
      </c>
      <c r="FL129" s="255">
        <v>3.0</v>
      </c>
      <c r="FM129" s="255">
        <v>25.0</v>
      </c>
    </row>
    <row r="130" ht="13.5" customHeight="1">
      <c r="A130" s="252" t="s">
        <v>1157</v>
      </c>
      <c r="B130" s="252">
        <v>2020.0</v>
      </c>
      <c r="C130" s="252">
        <v>32.0</v>
      </c>
      <c r="D130" s="252">
        <v>6.0</v>
      </c>
      <c r="E130" s="252">
        <v>3.0</v>
      </c>
      <c r="F130" s="252">
        <v>1.0</v>
      </c>
      <c r="G130" s="252">
        <v>1.0</v>
      </c>
      <c r="H130" s="252">
        <v>43.0</v>
      </c>
      <c r="I130" s="252"/>
      <c r="J130" s="252">
        <v>2020.0</v>
      </c>
      <c r="K130" s="252">
        <v>397.0</v>
      </c>
      <c r="L130" s="252">
        <v>454.0</v>
      </c>
      <c r="M130" s="252">
        <v>569.0</v>
      </c>
      <c r="N130" s="252">
        <v>640.0</v>
      </c>
      <c r="O130" s="252">
        <v>478.0</v>
      </c>
      <c r="P130" s="252">
        <v>2538.0</v>
      </c>
      <c r="Q130" s="131"/>
      <c r="R130" s="163"/>
      <c r="S130" s="163"/>
      <c r="T130" s="163"/>
      <c r="U130" s="163"/>
      <c r="V130" s="163"/>
      <c r="W130" s="163"/>
      <c r="X130" s="163"/>
      <c r="Y130" s="163"/>
      <c r="Z130" s="163"/>
      <c r="AA130" s="163"/>
      <c r="AB130" s="163"/>
      <c r="AC130" s="163"/>
      <c r="AD130" s="163"/>
      <c r="AE130" s="163"/>
      <c r="AF130" s="163"/>
      <c r="AG130" s="163"/>
      <c r="AH130" s="163"/>
      <c r="AI130" s="246" t="s">
        <v>314</v>
      </c>
      <c r="AJ130" s="246">
        <v>2020.0</v>
      </c>
      <c r="AK130" s="246">
        <v>619.0</v>
      </c>
      <c r="AL130" s="246">
        <v>952.0</v>
      </c>
      <c r="AM130" s="246">
        <v>1398.0</v>
      </c>
      <c r="AN130" s="246">
        <v>1531.0</v>
      </c>
      <c r="AO130" s="246">
        <v>881.0</v>
      </c>
      <c r="AP130" s="246">
        <v>5381.0</v>
      </c>
      <c r="AQ130" s="246"/>
      <c r="AR130" s="246">
        <v>2020.0</v>
      </c>
      <c r="AS130" s="246">
        <v>42.0</v>
      </c>
      <c r="AT130" s="246">
        <v>5.0</v>
      </c>
      <c r="AU130" s="246">
        <v>0.0</v>
      </c>
      <c r="AV130" s="246">
        <v>0.0</v>
      </c>
      <c r="AW130" s="246">
        <v>2.0</v>
      </c>
      <c r="AX130" s="246">
        <v>49.0</v>
      </c>
      <c r="AY130" s="163"/>
      <c r="AZ130" s="254" t="s">
        <v>431</v>
      </c>
      <c r="BA130" s="254">
        <v>2020.0</v>
      </c>
      <c r="BB130" s="254">
        <v>268.0</v>
      </c>
      <c r="BC130" s="254">
        <v>222.0</v>
      </c>
      <c r="BD130" s="254">
        <v>268.0</v>
      </c>
      <c r="BE130" s="254">
        <v>303.0</v>
      </c>
      <c r="BF130" s="254">
        <v>289.0</v>
      </c>
      <c r="BG130" s="254">
        <v>1350.0</v>
      </c>
      <c r="BH130" s="254"/>
      <c r="BI130" s="254">
        <v>2020.0</v>
      </c>
      <c r="BJ130" s="254">
        <v>48.0</v>
      </c>
      <c r="BK130" s="254">
        <v>5.0</v>
      </c>
      <c r="BL130" s="254">
        <v>0.0</v>
      </c>
      <c r="BM130" s="254">
        <v>0.0</v>
      </c>
      <c r="BN130" s="254">
        <v>0.0</v>
      </c>
      <c r="BO130" s="254">
        <v>53.0</v>
      </c>
      <c r="BP130" s="163"/>
      <c r="BQ130" s="163"/>
      <c r="BR130" s="163"/>
      <c r="BS130" s="163"/>
      <c r="BT130" s="163"/>
      <c r="BU130" s="163"/>
      <c r="BV130" s="163"/>
      <c r="BW130" s="163"/>
      <c r="BX130" s="163"/>
      <c r="BY130" s="163"/>
      <c r="BZ130" s="163"/>
      <c r="CA130" s="163"/>
      <c r="CB130" s="163"/>
      <c r="CC130" s="163"/>
      <c r="CD130" s="163"/>
      <c r="CE130" s="163"/>
      <c r="CF130" s="163"/>
      <c r="CG130" s="163"/>
      <c r="CH130" s="57" t="s">
        <v>1045</v>
      </c>
      <c r="CI130" s="57">
        <v>2020.0</v>
      </c>
      <c r="CJ130" s="57">
        <v>48.0</v>
      </c>
      <c r="CK130" s="57">
        <v>78.0</v>
      </c>
      <c r="CL130" s="57">
        <v>114.0</v>
      </c>
      <c r="CM130" s="57">
        <v>161.0</v>
      </c>
      <c r="CN130" s="57">
        <v>161.0</v>
      </c>
      <c r="CO130" s="57">
        <v>562.0</v>
      </c>
      <c r="CP130" s="57"/>
      <c r="CQ130" s="57">
        <v>2020.0</v>
      </c>
      <c r="CR130" s="57">
        <v>2.0</v>
      </c>
      <c r="CS130" s="57">
        <v>0.0</v>
      </c>
      <c r="CT130" s="57">
        <v>0.0</v>
      </c>
      <c r="CU130" s="57">
        <v>0.0</v>
      </c>
      <c r="CV130" s="57">
        <v>0.0</v>
      </c>
      <c r="CW130" s="57">
        <v>2.0</v>
      </c>
      <c r="CX130" s="163"/>
      <c r="CY130" s="163"/>
      <c r="CZ130" s="163"/>
      <c r="DA130" s="163"/>
      <c r="DB130" s="163"/>
      <c r="DC130" s="163"/>
      <c r="DD130" s="163"/>
      <c r="DE130" s="163"/>
      <c r="DF130" s="163"/>
      <c r="DG130" s="163"/>
      <c r="DH130" s="163"/>
      <c r="DI130" s="163"/>
      <c r="DJ130" s="163"/>
      <c r="DK130" s="163"/>
      <c r="DL130" s="163"/>
      <c r="DM130" s="163"/>
      <c r="DN130" s="163"/>
      <c r="DO130" s="163"/>
      <c r="DP130" s="163"/>
      <c r="DQ130" s="163"/>
      <c r="DR130" s="163"/>
      <c r="DS130" s="163"/>
      <c r="DT130" s="163"/>
      <c r="DU130" s="163"/>
      <c r="DV130" s="163"/>
      <c r="DW130" s="163"/>
      <c r="DX130" s="163"/>
      <c r="DY130" s="163"/>
      <c r="DZ130" s="163"/>
      <c r="EA130" s="163"/>
      <c r="EB130" s="163"/>
      <c r="EC130" s="163"/>
      <c r="ED130" s="163"/>
      <c r="EE130" s="163"/>
      <c r="EF130" s="163"/>
      <c r="EG130" s="163"/>
      <c r="EH130" s="163"/>
      <c r="EI130" s="163"/>
      <c r="EJ130" s="163"/>
      <c r="EK130" s="163"/>
      <c r="EL130" s="163"/>
      <c r="EM130" s="163"/>
      <c r="EN130" s="163"/>
      <c r="EO130" s="163"/>
      <c r="EP130" s="163"/>
      <c r="EQ130" s="163"/>
      <c r="ER130" s="163"/>
      <c r="ES130" s="163"/>
      <c r="ET130" s="163"/>
      <c r="EU130" s="163"/>
      <c r="EV130" s="163"/>
      <c r="EW130" s="163"/>
      <c r="EX130" s="255" t="s">
        <v>924</v>
      </c>
      <c r="EY130" s="255">
        <v>2020.0</v>
      </c>
      <c r="EZ130" s="255">
        <v>349.0</v>
      </c>
      <c r="FA130" s="255">
        <v>265.0</v>
      </c>
      <c r="FB130" s="255">
        <v>334.0</v>
      </c>
      <c r="FC130" s="255">
        <v>424.0</v>
      </c>
      <c r="FD130" s="255">
        <v>569.0</v>
      </c>
      <c r="FE130" s="255">
        <v>1941.0</v>
      </c>
      <c r="FF130" s="255"/>
      <c r="FG130" s="255">
        <v>2020.0</v>
      </c>
      <c r="FH130" s="255">
        <v>19.0</v>
      </c>
      <c r="FI130" s="255">
        <v>6.0</v>
      </c>
      <c r="FJ130" s="255">
        <v>6.0</v>
      </c>
      <c r="FK130" s="255">
        <v>2.0</v>
      </c>
      <c r="FL130" s="255">
        <v>4.0</v>
      </c>
      <c r="FM130" s="255">
        <v>37.0</v>
      </c>
    </row>
    <row r="131" ht="13.5" customHeight="1">
      <c r="A131" s="252" t="s">
        <v>1160</v>
      </c>
      <c r="B131" s="252">
        <v>2020.0</v>
      </c>
      <c r="C131" s="252">
        <v>20.0</v>
      </c>
      <c r="D131" s="252">
        <v>1.0</v>
      </c>
      <c r="E131" s="252">
        <v>0.0</v>
      </c>
      <c r="F131" s="252">
        <v>0.0</v>
      </c>
      <c r="G131" s="252">
        <v>0.0</v>
      </c>
      <c r="H131" s="252">
        <v>21.0</v>
      </c>
      <c r="I131" s="252"/>
      <c r="J131" s="252">
        <v>2020.0</v>
      </c>
      <c r="K131" s="252">
        <v>162.0</v>
      </c>
      <c r="L131" s="252">
        <v>218.0</v>
      </c>
      <c r="M131" s="252">
        <v>305.0</v>
      </c>
      <c r="N131" s="252">
        <v>382.0</v>
      </c>
      <c r="O131" s="252">
        <v>263.0</v>
      </c>
      <c r="P131" s="252">
        <v>1330.0</v>
      </c>
      <c r="Q131" s="131"/>
      <c r="R131" s="163"/>
      <c r="S131" s="163"/>
      <c r="T131" s="163"/>
      <c r="U131" s="163"/>
      <c r="V131" s="163"/>
      <c r="W131" s="163"/>
      <c r="X131" s="163"/>
      <c r="Y131" s="163"/>
      <c r="Z131" s="163"/>
      <c r="AA131" s="163"/>
      <c r="AB131" s="163"/>
      <c r="AC131" s="163"/>
      <c r="AD131" s="163"/>
      <c r="AE131" s="163"/>
      <c r="AF131" s="163"/>
      <c r="AG131" s="163"/>
      <c r="AH131" s="163"/>
      <c r="AI131" s="246" t="s">
        <v>316</v>
      </c>
      <c r="AJ131" s="246">
        <v>2020.0</v>
      </c>
      <c r="AK131" s="246">
        <v>264.0</v>
      </c>
      <c r="AL131" s="246">
        <v>446.0</v>
      </c>
      <c r="AM131" s="246">
        <v>777.0</v>
      </c>
      <c r="AN131" s="246">
        <v>847.0</v>
      </c>
      <c r="AO131" s="246">
        <v>590.0</v>
      </c>
      <c r="AP131" s="246">
        <v>2924.0</v>
      </c>
      <c r="AQ131" s="246"/>
      <c r="AR131" s="246">
        <v>2020.0</v>
      </c>
      <c r="AS131" s="246">
        <v>22.0</v>
      </c>
      <c r="AT131" s="246">
        <v>3.0</v>
      </c>
      <c r="AU131" s="246">
        <v>1.0</v>
      </c>
      <c r="AV131" s="246">
        <v>0.0</v>
      </c>
      <c r="AW131" s="246">
        <v>0.0</v>
      </c>
      <c r="AX131" s="246">
        <v>26.0</v>
      </c>
      <c r="AY131" s="163"/>
      <c r="AZ131" s="254" t="s">
        <v>437</v>
      </c>
      <c r="BA131" s="254">
        <v>2020.0</v>
      </c>
      <c r="BB131" s="254">
        <v>261.0</v>
      </c>
      <c r="BC131" s="254">
        <v>215.0</v>
      </c>
      <c r="BD131" s="254">
        <v>299.0</v>
      </c>
      <c r="BE131" s="254">
        <v>333.0</v>
      </c>
      <c r="BF131" s="254">
        <v>246.0</v>
      </c>
      <c r="BG131" s="254">
        <v>1354.0</v>
      </c>
      <c r="BH131" s="254"/>
      <c r="BI131" s="254">
        <v>2020.0</v>
      </c>
      <c r="BJ131" s="254">
        <v>19.0</v>
      </c>
      <c r="BK131" s="254">
        <v>0.0</v>
      </c>
      <c r="BL131" s="254">
        <v>0.0</v>
      </c>
      <c r="BM131" s="254">
        <v>0.0</v>
      </c>
      <c r="BN131" s="254">
        <v>0.0</v>
      </c>
      <c r="BO131" s="254">
        <v>19.0</v>
      </c>
      <c r="BP131" s="163"/>
      <c r="BQ131" s="163"/>
      <c r="BR131" s="163"/>
      <c r="BS131" s="163"/>
      <c r="BT131" s="163"/>
      <c r="BU131" s="163"/>
      <c r="BV131" s="163"/>
      <c r="BW131" s="163"/>
      <c r="BX131" s="163"/>
      <c r="BY131" s="163"/>
      <c r="BZ131" s="163"/>
      <c r="CA131" s="163"/>
      <c r="CB131" s="163"/>
      <c r="CC131" s="163"/>
      <c r="CD131" s="163"/>
      <c r="CE131" s="163"/>
      <c r="CF131" s="163"/>
      <c r="CG131" s="163"/>
      <c r="CH131" s="57" t="s">
        <v>1047</v>
      </c>
      <c r="CI131" s="57">
        <v>2020.0</v>
      </c>
      <c r="CJ131" s="57">
        <v>64.0</v>
      </c>
      <c r="CK131" s="57">
        <v>36.0</v>
      </c>
      <c r="CL131" s="57">
        <v>71.0</v>
      </c>
      <c r="CM131" s="57">
        <v>93.0</v>
      </c>
      <c r="CN131" s="57">
        <v>89.0</v>
      </c>
      <c r="CO131" s="57">
        <v>353.0</v>
      </c>
      <c r="CP131" s="57"/>
      <c r="CQ131" s="57">
        <v>2020.0</v>
      </c>
      <c r="CR131" s="57">
        <v>27.0</v>
      </c>
      <c r="CS131" s="57">
        <v>0.0</v>
      </c>
      <c r="CT131" s="57">
        <v>0.0</v>
      </c>
      <c r="CU131" s="57">
        <v>0.0</v>
      </c>
      <c r="CV131" s="57">
        <v>0.0</v>
      </c>
      <c r="CW131" s="57">
        <v>27.0</v>
      </c>
      <c r="CX131" s="163"/>
      <c r="CY131" s="163"/>
      <c r="CZ131" s="163"/>
      <c r="DA131" s="163"/>
      <c r="DB131" s="163"/>
      <c r="DC131" s="163"/>
      <c r="DD131" s="163"/>
      <c r="DE131" s="163"/>
      <c r="DF131" s="163"/>
      <c r="DG131" s="163"/>
      <c r="DH131" s="163"/>
      <c r="DI131" s="163"/>
      <c r="DJ131" s="163"/>
      <c r="DK131" s="163"/>
      <c r="DL131" s="163"/>
      <c r="DM131" s="163"/>
      <c r="DN131" s="163"/>
      <c r="DO131" s="163"/>
      <c r="DP131" s="163"/>
      <c r="DQ131" s="163"/>
      <c r="DR131" s="163"/>
      <c r="DS131" s="163"/>
      <c r="DT131" s="163"/>
      <c r="DU131" s="163"/>
      <c r="DV131" s="163"/>
      <c r="DW131" s="163"/>
      <c r="DX131" s="163"/>
      <c r="DY131" s="163"/>
      <c r="DZ131" s="163"/>
      <c r="EA131" s="163"/>
      <c r="EB131" s="163"/>
      <c r="EC131" s="163"/>
      <c r="ED131" s="163"/>
      <c r="EE131" s="163"/>
      <c r="EF131" s="163"/>
      <c r="EG131" s="163"/>
      <c r="EH131" s="163"/>
      <c r="EI131" s="163"/>
      <c r="EJ131" s="163"/>
      <c r="EK131" s="163"/>
      <c r="EL131" s="163"/>
      <c r="EM131" s="163"/>
      <c r="EN131" s="163"/>
      <c r="EO131" s="163"/>
      <c r="EP131" s="163"/>
      <c r="EQ131" s="163"/>
      <c r="ER131" s="163"/>
      <c r="ES131" s="163"/>
      <c r="ET131" s="163"/>
      <c r="EU131" s="163"/>
      <c r="EV131" s="163"/>
      <c r="EW131" s="163"/>
      <c r="EX131" s="255" t="s">
        <v>926</v>
      </c>
      <c r="EY131" s="255">
        <v>2020.0</v>
      </c>
      <c r="EZ131" s="255">
        <v>145.0</v>
      </c>
      <c r="FA131" s="255">
        <v>207.0</v>
      </c>
      <c r="FB131" s="255">
        <v>235.0</v>
      </c>
      <c r="FC131" s="255">
        <v>308.0</v>
      </c>
      <c r="FD131" s="255">
        <v>405.0</v>
      </c>
      <c r="FE131" s="255">
        <v>1300.0</v>
      </c>
      <c r="FF131" s="255"/>
      <c r="FG131" s="255">
        <v>2020.0</v>
      </c>
      <c r="FH131" s="255">
        <v>18.0</v>
      </c>
      <c r="FI131" s="255">
        <v>6.0</v>
      </c>
      <c r="FJ131" s="255">
        <v>2.0</v>
      </c>
      <c r="FK131" s="255">
        <v>2.0</v>
      </c>
      <c r="FL131" s="255">
        <v>1.0</v>
      </c>
      <c r="FM131" s="255">
        <v>29.0</v>
      </c>
    </row>
    <row r="132" ht="13.5" customHeight="1">
      <c r="A132" s="252" t="s">
        <v>1163</v>
      </c>
      <c r="B132" s="252">
        <v>2020.0</v>
      </c>
      <c r="C132" s="252">
        <v>28.0</v>
      </c>
      <c r="D132" s="252">
        <v>1.0</v>
      </c>
      <c r="E132" s="252">
        <v>2.0</v>
      </c>
      <c r="F132" s="252">
        <v>4.0</v>
      </c>
      <c r="G132" s="252">
        <v>2.0</v>
      </c>
      <c r="H132" s="252">
        <v>37.0</v>
      </c>
      <c r="I132" s="252"/>
      <c r="J132" s="252">
        <v>2020.0</v>
      </c>
      <c r="K132" s="252">
        <v>172.0</v>
      </c>
      <c r="L132" s="252">
        <v>296.0</v>
      </c>
      <c r="M132" s="252">
        <v>440.0</v>
      </c>
      <c r="N132" s="252">
        <v>581.0</v>
      </c>
      <c r="O132" s="252">
        <v>453.0</v>
      </c>
      <c r="P132" s="252">
        <v>1942.0</v>
      </c>
      <c r="Q132" s="131"/>
      <c r="R132" s="163"/>
      <c r="S132" s="163"/>
      <c r="T132" s="163"/>
      <c r="U132" s="163"/>
      <c r="V132" s="163"/>
      <c r="W132" s="163"/>
      <c r="X132" s="163"/>
      <c r="Y132" s="163"/>
      <c r="Z132" s="163"/>
      <c r="AA132" s="163"/>
      <c r="AB132" s="163"/>
      <c r="AC132" s="163"/>
      <c r="AD132" s="163"/>
      <c r="AE132" s="163"/>
      <c r="AF132" s="163"/>
      <c r="AG132" s="163"/>
      <c r="AH132" s="163"/>
      <c r="AI132" s="246" t="s">
        <v>318</v>
      </c>
      <c r="AJ132" s="246">
        <v>2020.0</v>
      </c>
      <c r="AK132" s="246">
        <v>197.0</v>
      </c>
      <c r="AL132" s="246">
        <v>324.0</v>
      </c>
      <c r="AM132" s="246">
        <v>554.0</v>
      </c>
      <c r="AN132" s="246">
        <v>853.0</v>
      </c>
      <c r="AO132" s="246">
        <v>640.0</v>
      </c>
      <c r="AP132" s="246">
        <v>2568.0</v>
      </c>
      <c r="AQ132" s="246"/>
      <c r="AR132" s="246">
        <v>2020.0</v>
      </c>
      <c r="AS132" s="246">
        <v>20.0</v>
      </c>
      <c r="AT132" s="246">
        <v>3.0</v>
      </c>
      <c r="AU132" s="246">
        <v>0.0</v>
      </c>
      <c r="AV132" s="246">
        <v>2.0</v>
      </c>
      <c r="AW132" s="246">
        <v>1.0</v>
      </c>
      <c r="AX132" s="246">
        <v>26.0</v>
      </c>
      <c r="AY132" s="163"/>
      <c r="AZ132" s="254" t="s">
        <v>443</v>
      </c>
      <c r="BA132" s="254">
        <v>2020.0</v>
      </c>
      <c r="BB132" s="254">
        <v>342.0</v>
      </c>
      <c r="BC132" s="254">
        <v>253.0</v>
      </c>
      <c r="BD132" s="254">
        <v>419.0</v>
      </c>
      <c r="BE132" s="254">
        <v>531.0</v>
      </c>
      <c r="BF132" s="254">
        <v>461.0</v>
      </c>
      <c r="BG132" s="254">
        <v>2006.0</v>
      </c>
      <c r="BH132" s="254"/>
      <c r="BI132" s="254">
        <v>2020.0</v>
      </c>
      <c r="BJ132" s="254">
        <v>47.0</v>
      </c>
      <c r="BK132" s="254">
        <v>0.0</v>
      </c>
      <c r="BL132" s="254">
        <v>0.0</v>
      </c>
      <c r="BM132" s="254">
        <v>0.0</v>
      </c>
      <c r="BN132" s="254">
        <v>0.0</v>
      </c>
      <c r="BO132" s="254">
        <v>47.0</v>
      </c>
      <c r="BP132" s="163"/>
      <c r="BQ132" s="163"/>
      <c r="BR132" s="163"/>
      <c r="BS132" s="163"/>
      <c r="BT132" s="163"/>
      <c r="BU132" s="163"/>
      <c r="BV132" s="163"/>
      <c r="BW132" s="163"/>
      <c r="BX132" s="163"/>
      <c r="BY132" s="163"/>
      <c r="BZ132" s="163"/>
      <c r="CA132" s="163"/>
      <c r="CB132" s="163"/>
      <c r="CC132" s="163"/>
      <c r="CD132" s="163"/>
      <c r="CE132" s="163"/>
      <c r="CF132" s="163"/>
      <c r="CG132" s="163"/>
      <c r="CH132" s="57" t="s">
        <v>1049</v>
      </c>
      <c r="CI132" s="57">
        <v>2020.0</v>
      </c>
      <c r="CJ132" s="57">
        <v>39.0</v>
      </c>
      <c r="CK132" s="57">
        <v>57.0</v>
      </c>
      <c r="CL132" s="57">
        <v>94.0</v>
      </c>
      <c r="CM132" s="57">
        <v>120.0</v>
      </c>
      <c r="CN132" s="57">
        <v>125.0</v>
      </c>
      <c r="CO132" s="57">
        <v>435.0</v>
      </c>
      <c r="CP132" s="57"/>
      <c r="CQ132" s="57">
        <v>2020.0</v>
      </c>
      <c r="CR132" s="57">
        <v>15.0</v>
      </c>
      <c r="CS132" s="57">
        <v>0.0</v>
      </c>
      <c r="CT132" s="57">
        <v>0.0</v>
      </c>
      <c r="CU132" s="57">
        <v>0.0</v>
      </c>
      <c r="CV132" s="57">
        <v>0.0</v>
      </c>
      <c r="CW132" s="57">
        <v>15.0</v>
      </c>
      <c r="CX132" s="163"/>
      <c r="CY132" s="163"/>
      <c r="CZ132" s="163"/>
      <c r="DA132" s="163"/>
      <c r="DB132" s="163"/>
      <c r="DC132" s="163"/>
      <c r="DD132" s="163"/>
      <c r="DE132" s="163"/>
      <c r="DF132" s="163"/>
      <c r="DG132" s="163"/>
      <c r="DH132" s="163"/>
      <c r="DI132" s="163"/>
      <c r="DJ132" s="163"/>
      <c r="DK132" s="163"/>
      <c r="DL132" s="163"/>
      <c r="DM132" s="163"/>
      <c r="DN132" s="163"/>
      <c r="DO132" s="163"/>
      <c r="DP132" s="163"/>
      <c r="DQ132" s="163"/>
      <c r="DR132" s="163"/>
      <c r="DS132" s="163"/>
      <c r="DT132" s="163"/>
      <c r="DU132" s="163"/>
      <c r="DV132" s="163"/>
      <c r="DW132" s="163"/>
      <c r="DX132" s="163"/>
      <c r="DY132" s="163"/>
      <c r="DZ132" s="163"/>
      <c r="EA132" s="163"/>
      <c r="EB132" s="163"/>
      <c r="EC132" s="163"/>
      <c r="ED132" s="163"/>
      <c r="EE132" s="163"/>
      <c r="EF132" s="163"/>
      <c r="EG132" s="163"/>
      <c r="EH132" s="163"/>
      <c r="EI132" s="163"/>
      <c r="EJ132" s="163"/>
      <c r="EK132" s="163"/>
      <c r="EL132" s="163"/>
      <c r="EM132" s="163"/>
      <c r="EN132" s="163"/>
      <c r="EO132" s="163"/>
      <c r="EP132" s="163"/>
      <c r="EQ132" s="163"/>
      <c r="ER132" s="163"/>
      <c r="ES132" s="163"/>
      <c r="ET132" s="163"/>
      <c r="EU132" s="163"/>
      <c r="EV132" s="163"/>
      <c r="EW132" s="163"/>
      <c r="EX132" s="255" t="s">
        <v>929</v>
      </c>
      <c r="EY132" s="255">
        <v>2020.0</v>
      </c>
      <c r="EZ132" s="255">
        <v>135.0</v>
      </c>
      <c r="FA132" s="255">
        <v>160.0</v>
      </c>
      <c r="FB132" s="255">
        <v>213.0</v>
      </c>
      <c r="FC132" s="255">
        <v>246.0</v>
      </c>
      <c r="FD132" s="255">
        <v>357.0</v>
      </c>
      <c r="FE132" s="255">
        <v>1111.0</v>
      </c>
      <c r="FF132" s="255"/>
      <c r="FG132" s="255">
        <v>2020.0</v>
      </c>
      <c r="FH132" s="255">
        <v>12.0</v>
      </c>
      <c r="FI132" s="255">
        <v>2.0</v>
      </c>
      <c r="FJ132" s="255">
        <v>1.0</v>
      </c>
      <c r="FK132" s="255">
        <v>1.0</v>
      </c>
      <c r="FL132" s="255">
        <v>3.0</v>
      </c>
      <c r="FM132" s="255">
        <v>19.0</v>
      </c>
    </row>
    <row r="133" ht="13.5" customHeight="1">
      <c r="A133" s="252" t="s">
        <v>1167</v>
      </c>
      <c r="B133" s="252">
        <v>2020.0</v>
      </c>
      <c r="C133" s="252">
        <v>40.0</v>
      </c>
      <c r="D133" s="252">
        <v>1.0</v>
      </c>
      <c r="E133" s="252">
        <v>0.0</v>
      </c>
      <c r="F133" s="252">
        <v>2.0</v>
      </c>
      <c r="G133" s="252">
        <v>0.0</v>
      </c>
      <c r="H133" s="252">
        <v>43.0</v>
      </c>
      <c r="I133" s="252"/>
      <c r="J133" s="252">
        <v>2020.0</v>
      </c>
      <c r="K133" s="252">
        <v>700.0</v>
      </c>
      <c r="L133" s="252">
        <v>685.0</v>
      </c>
      <c r="M133" s="252">
        <v>1037.0</v>
      </c>
      <c r="N133" s="252">
        <v>1219.0</v>
      </c>
      <c r="O133" s="252">
        <v>935.0</v>
      </c>
      <c r="P133" s="252">
        <v>4576.0</v>
      </c>
      <c r="Q133" s="131"/>
      <c r="R133" s="163"/>
      <c r="S133" s="163"/>
      <c r="T133" s="163"/>
      <c r="U133" s="163"/>
      <c r="V133" s="163"/>
      <c r="W133" s="163"/>
      <c r="X133" s="163"/>
      <c r="Y133" s="163"/>
      <c r="Z133" s="163"/>
      <c r="AA133" s="163"/>
      <c r="AB133" s="163"/>
      <c r="AC133" s="163"/>
      <c r="AD133" s="163"/>
      <c r="AE133" s="163"/>
      <c r="AF133" s="163"/>
      <c r="AG133" s="163"/>
      <c r="AH133" s="163"/>
      <c r="AI133" s="246" t="s">
        <v>320</v>
      </c>
      <c r="AJ133" s="246">
        <v>2020.0</v>
      </c>
      <c r="AK133" s="246">
        <v>587.0</v>
      </c>
      <c r="AL133" s="246">
        <v>291.0</v>
      </c>
      <c r="AM133" s="246">
        <v>404.0</v>
      </c>
      <c r="AN133" s="246">
        <v>502.0</v>
      </c>
      <c r="AO133" s="246">
        <v>548.0</v>
      </c>
      <c r="AP133" s="246">
        <v>2332.0</v>
      </c>
      <c r="AQ133" s="246"/>
      <c r="AR133" s="246">
        <v>2020.0</v>
      </c>
      <c r="AS133" s="246">
        <v>112.0</v>
      </c>
      <c r="AT133" s="246">
        <v>1.0</v>
      </c>
      <c r="AU133" s="246">
        <v>0.0</v>
      </c>
      <c r="AV133" s="246">
        <v>0.0</v>
      </c>
      <c r="AW133" s="246">
        <v>0.0</v>
      </c>
      <c r="AX133" s="246">
        <v>113.0</v>
      </c>
      <c r="AY133" s="163"/>
      <c r="AZ133" s="254" t="s">
        <v>447</v>
      </c>
      <c r="BA133" s="254">
        <v>2020.0</v>
      </c>
      <c r="BB133" s="254">
        <v>469.0</v>
      </c>
      <c r="BC133" s="254">
        <v>277.0</v>
      </c>
      <c r="BD133" s="254">
        <v>456.0</v>
      </c>
      <c r="BE133" s="254">
        <v>531.0</v>
      </c>
      <c r="BF133" s="254">
        <v>481.0</v>
      </c>
      <c r="BG133" s="254">
        <v>2214.0</v>
      </c>
      <c r="BH133" s="254"/>
      <c r="BI133" s="254">
        <v>2020.0</v>
      </c>
      <c r="BJ133" s="254">
        <v>21.0</v>
      </c>
      <c r="BK133" s="254">
        <v>0.0</v>
      </c>
      <c r="BL133" s="254">
        <v>0.0</v>
      </c>
      <c r="BM133" s="254">
        <v>0.0</v>
      </c>
      <c r="BN133" s="254">
        <v>0.0</v>
      </c>
      <c r="BO133" s="254">
        <v>21.0</v>
      </c>
      <c r="BP133" s="163"/>
      <c r="BQ133" s="163"/>
      <c r="BR133" s="163"/>
      <c r="BS133" s="163"/>
      <c r="BT133" s="163"/>
      <c r="BU133" s="163"/>
      <c r="BV133" s="163"/>
      <c r="BW133" s="163"/>
      <c r="BX133" s="163"/>
      <c r="BY133" s="163"/>
      <c r="BZ133" s="163"/>
      <c r="CA133" s="163"/>
      <c r="CB133" s="163"/>
      <c r="CC133" s="163"/>
      <c r="CD133" s="163"/>
      <c r="CE133" s="163"/>
      <c r="CF133" s="163"/>
      <c r="CG133" s="163"/>
      <c r="CH133" s="163"/>
      <c r="CI133" s="163"/>
      <c r="CJ133" s="163"/>
      <c r="CK133" s="163"/>
      <c r="CL133" s="163"/>
      <c r="CM133" s="163"/>
      <c r="CN133" s="163"/>
      <c r="CO133" s="163"/>
      <c r="CP133" s="163"/>
      <c r="CQ133" s="163"/>
      <c r="CR133" s="163"/>
      <c r="CS133" s="163"/>
      <c r="CT133" s="163"/>
      <c r="CU133" s="163"/>
      <c r="CV133" s="163"/>
      <c r="CW133" s="163"/>
      <c r="CX133" s="163"/>
      <c r="CY133" s="163"/>
      <c r="CZ133" s="163"/>
      <c r="DA133" s="163"/>
      <c r="DB133" s="163"/>
      <c r="DC133" s="163"/>
      <c r="DD133" s="163"/>
      <c r="DE133" s="163"/>
      <c r="DF133" s="163"/>
      <c r="DG133" s="163"/>
      <c r="DH133" s="163"/>
      <c r="DI133" s="163"/>
      <c r="DJ133" s="163"/>
      <c r="DK133" s="163"/>
      <c r="DL133" s="163"/>
      <c r="DM133" s="163"/>
      <c r="DN133" s="163"/>
      <c r="DO133" s="163"/>
      <c r="DP133" s="163"/>
      <c r="DQ133" s="163"/>
      <c r="DR133" s="163"/>
      <c r="DS133" s="163"/>
      <c r="DT133" s="163"/>
      <c r="DU133" s="163"/>
      <c r="DV133" s="163"/>
      <c r="DW133" s="163"/>
      <c r="DX133" s="163"/>
      <c r="DY133" s="163"/>
      <c r="DZ133" s="163"/>
      <c r="EA133" s="163"/>
      <c r="EB133" s="163"/>
      <c r="EC133" s="163"/>
      <c r="ED133" s="163"/>
      <c r="EE133" s="163"/>
      <c r="EF133" s="163"/>
      <c r="EG133" s="163"/>
      <c r="EH133" s="163"/>
      <c r="EI133" s="163"/>
      <c r="EJ133" s="163"/>
      <c r="EK133" s="163"/>
      <c r="EL133" s="163"/>
      <c r="EM133" s="163"/>
      <c r="EN133" s="163"/>
      <c r="EO133" s="163"/>
      <c r="EP133" s="163"/>
      <c r="EQ133" s="163"/>
      <c r="ER133" s="163"/>
      <c r="ES133" s="163"/>
      <c r="ET133" s="163"/>
      <c r="EU133" s="163"/>
      <c r="EV133" s="163"/>
      <c r="EW133" s="163"/>
      <c r="EX133" s="255" t="s">
        <v>931</v>
      </c>
      <c r="EY133" s="255">
        <v>2020.0</v>
      </c>
      <c r="EZ133" s="255">
        <v>96.0</v>
      </c>
      <c r="FA133" s="255">
        <v>132.0</v>
      </c>
      <c r="FB133" s="255">
        <v>177.0</v>
      </c>
      <c r="FC133" s="255">
        <v>224.0</v>
      </c>
      <c r="FD133" s="255">
        <v>284.0</v>
      </c>
      <c r="FE133" s="255">
        <v>913.0</v>
      </c>
      <c r="FF133" s="255"/>
      <c r="FG133" s="255">
        <v>2020.0</v>
      </c>
      <c r="FH133" s="255">
        <v>12.0</v>
      </c>
      <c r="FI133" s="255">
        <v>4.0</v>
      </c>
      <c r="FJ133" s="255">
        <v>0.0</v>
      </c>
      <c r="FK133" s="255">
        <v>3.0</v>
      </c>
      <c r="FL133" s="255">
        <v>2.0</v>
      </c>
      <c r="FM133" s="255">
        <v>21.0</v>
      </c>
    </row>
    <row r="134" ht="13.5" customHeight="1">
      <c r="A134" s="252" t="s">
        <v>1170</v>
      </c>
      <c r="B134" s="252">
        <v>2020.0</v>
      </c>
      <c r="C134" s="252">
        <v>58.0</v>
      </c>
      <c r="D134" s="252">
        <v>7.0</v>
      </c>
      <c r="E134" s="252">
        <v>0.0</v>
      </c>
      <c r="F134" s="252">
        <v>0.0</v>
      </c>
      <c r="G134" s="252">
        <v>0.0</v>
      </c>
      <c r="H134" s="252">
        <v>65.0</v>
      </c>
      <c r="I134" s="252"/>
      <c r="J134" s="252">
        <v>2020.0</v>
      </c>
      <c r="K134" s="252">
        <v>258.0</v>
      </c>
      <c r="L134" s="252">
        <v>328.0</v>
      </c>
      <c r="M134" s="252">
        <v>479.0</v>
      </c>
      <c r="N134" s="252">
        <v>617.0</v>
      </c>
      <c r="O134" s="252">
        <v>480.0</v>
      </c>
      <c r="P134" s="252">
        <v>2162.0</v>
      </c>
      <c r="Q134" s="131"/>
      <c r="R134" s="163"/>
      <c r="S134" s="163"/>
      <c r="T134" s="163"/>
      <c r="U134" s="163"/>
      <c r="V134" s="163"/>
      <c r="W134" s="163"/>
      <c r="X134" s="163"/>
      <c r="Y134" s="163"/>
      <c r="Z134" s="163"/>
      <c r="AA134" s="163"/>
      <c r="AB134" s="163"/>
      <c r="AC134" s="163"/>
      <c r="AD134" s="163"/>
      <c r="AE134" s="163"/>
      <c r="AF134" s="163"/>
      <c r="AG134" s="163"/>
      <c r="AH134" s="163"/>
      <c r="AI134" s="246" t="s">
        <v>322</v>
      </c>
      <c r="AJ134" s="246">
        <v>2020.0</v>
      </c>
      <c r="AK134" s="246">
        <v>483.0</v>
      </c>
      <c r="AL134" s="246">
        <v>252.0</v>
      </c>
      <c r="AM134" s="246">
        <v>400.0</v>
      </c>
      <c r="AN134" s="246">
        <v>534.0</v>
      </c>
      <c r="AO134" s="246">
        <v>500.0</v>
      </c>
      <c r="AP134" s="246">
        <v>2169.0</v>
      </c>
      <c r="AQ134" s="246"/>
      <c r="AR134" s="246">
        <v>2020.0</v>
      </c>
      <c r="AS134" s="246">
        <v>100.0</v>
      </c>
      <c r="AT134" s="246">
        <v>1.0</v>
      </c>
      <c r="AU134" s="246">
        <v>0.0</v>
      </c>
      <c r="AV134" s="246">
        <v>0.0</v>
      </c>
      <c r="AW134" s="246">
        <v>0.0</v>
      </c>
      <c r="AX134" s="246">
        <v>101.0</v>
      </c>
      <c r="AY134" s="163"/>
      <c r="AZ134" s="254" t="s">
        <v>452</v>
      </c>
      <c r="BA134" s="254">
        <v>2020.0</v>
      </c>
      <c r="BB134" s="254">
        <v>141.0</v>
      </c>
      <c r="BC134" s="254">
        <v>167.0</v>
      </c>
      <c r="BD134" s="254">
        <v>339.0</v>
      </c>
      <c r="BE134" s="254">
        <v>472.0</v>
      </c>
      <c r="BF134" s="254">
        <v>384.0</v>
      </c>
      <c r="BG134" s="254">
        <v>1503.0</v>
      </c>
      <c r="BH134" s="254"/>
      <c r="BI134" s="254">
        <v>2020.0</v>
      </c>
      <c r="BJ134" s="254">
        <v>19.0</v>
      </c>
      <c r="BK134" s="254">
        <v>0.0</v>
      </c>
      <c r="BL134" s="254">
        <v>0.0</v>
      </c>
      <c r="BM134" s="254">
        <v>0.0</v>
      </c>
      <c r="BN134" s="254">
        <v>0.0</v>
      </c>
      <c r="BO134" s="254">
        <v>19.0</v>
      </c>
      <c r="BP134" s="163"/>
      <c r="BQ134" s="163"/>
      <c r="BR134" s="163"/>
      <c r="BS134" s="163"/>
      <c r="BT134" s="163"/>
      <c r="BU134" s="163"/>
      <c r="BV134" s="163"/>
      <c r="BW134" s="163"/>
      <c r="BX134" s="163"/>
      <c r="BY134" s="163"/>
      <c r="BZ134" s="163"/>
      <c r="CA134" s="163"/>
      <c r="CB134" s="163"/>
      <c r="CC134" s="163"/>
      <c r="CD134" s="163"/>
      <c r="CE134" s="163"/>
      <c r="CF134" s="163"/>
      <c r="CG134" s="163"/>
      <c r="CH134" s="163"/>
      <c r="CI134" s="163"/>
      <c r="CJ134" s="163"/>
      <c r="CK134" s="163"/>
      <c r="CL134" s="163"/>
      <c r="CM134" s="163"/>
      <c r="CN134" s="163"/>
      <c r="CO134" s="163"/>
      <c r="CP134" s="163"/>
      <c r="CQ134" s="163"/>
      <c r="CR134" s="163"/>
      <c r="CS134" s="163"/>
      <c r="CT134" s="163"/>
      <c r="CU134" s="163"/>
      <c r="CV134" s="163"/>
      <c r="CW134" s="163"/>
      <c r="CX134" s="163"/>
      <c r="CY134" s="163"/>
      <c r="CZ134" s="163"/>
      <c r="DA134" s="163"/>
      <c r="DB134" s="163"/>
      <c r="DC134" s="163"/>
      <c r="DD134" s="163"/>
      <c r="DE134" s="163"/>
      <c r="DF134" s="163"/>
      <c r="DG134" s="163"/>
      <c r="DH134" s="163"/>
      <c r="DI134" s="163"/>
      <c r="DJ134" s="163"/>
      <c r="DK134" s="163"/>
      <c r="DL134" s="163"/>
      <c r="DM134" s="163"/>
      <c r="DN134" s="163"/>
      <c r="DO134" s="163"/>
      <c r="DP134" s="163"/>
      <c r="DQ134" s="163"/>
      <c r="DR134" s="163"/>
      <c r="DS134" s="163"/>
      <c r="DT134" s="163"/>
      <c r="DU134" s="163"/>
      <c r="DV134" s="163"/>
      <c r="DW134" s="163"/>
      <c r="DX134" s="163"/>
      <c r="DY134" s="163"/>
      <c r="DZ134" s="163"/>
      <c r="EA134" s="163"/>
      <c r="EB134" s="163"/>
      <c r="EC134" s="163"/>
      <c r="ED134" s="163"/>
      <c r="EE134" s="163"/>
      <c r="EF134" s="163"/>
      <c r="EG134" s="163"/>
      <c r="EH134" s="163"/>
      <c r="EI134" s="163"/>
      <c r="EJ134" s="163"/>
      <c r="EK134" s="163"/>
      <c r="EL134" s="163"/>
      <c r="EM134" s="163"/>
      <c r="EN134" s="163"/>
      <c r="EO134" s="163"/>
      <c r="EP134" s="163"/>
      <c r="EQ134" s="163"/>
      <c r="ER134" s="163"/>
      <c r="ES134" s="163"/>
      <c r="ET134" s="163"/>
      <c r="EU134" s="163"/>
      <c r="EV134" s="163"/>
      <c r="EW134" s="163"/>
      <c r="EX134" s="255" t="s">
        <v>933</v>
      </c>
      <c r="EY134" s="255">
        <v>2020.0</v>
      </c>
      <c r="EZ134" s="255">
        <v>372.0</v>
      </c>
      <c r="FA134" s="255">
        <v>398.0</v>
      </c>
      <c r="FB134" s="255">
        <v>343.0</v>
      </c>
      <c r="FC134" s="255">
        <v>352.0</v>
      </c>
      <c r="FD134" s="255">
        <v>476.0</v>
      </c>
      <c r="FE134" s="255">
        <v>1941.0</v>
      </c>
      <c r="FF134" s="255"/>
      <c r="FG134" s="255">
        <v>2020.0</v>
      </c>
      <c r="FH134" s="255">
        <v>32.0</v>
      </c>
      <c r="FI134" s="255">
        <v>15.0</v>
      </c>
      <c r="FJ134" s="255">
        <v>5.0</v>
      </c>
      <c r="FK134" s="255">
        <v>2.0</v>
      </c>
      <c r="FL134" s="255">
        <v>3.0</v>
      </c>
      <c r="FM134" s="255">
        <v>57.0</v>
      </c>
    </row>
    <row r="135" ht="13.5" customHeight="1">
      <c r="A135" s="252" t="s">
        <v>1173</v>
      </c>
      <c r="B135" s="252">
        <v>2020.0</v>
      </c>
      <c r="C135" s="252">
        <v>18.0</v>
      </c>
      <c r="D135" s="252">
        <v>2.0</v>
      </c>
      <c r="E135" s="252">
        <v>0.0</v>
      </c>
      <c r="F135" s="252">
        <v>0.0</v>
      </c>
      <c r="G135" s="252">
        <v>0.0</v>
      </c>
      <c r="H135" s="252">
        <v>20.0</v>
      </c>
      <c r="I135" s="252"/>
      <c r="J135" s="252">
        <v>2020.0</v>
      </c>
      <c r="K135" s="252">
        <v>462.0</v>
      </c>
      <c r="L135" s="252">
        <v>646.0</v>
      </c>
      <c r="M135" s="252">
        <v>1034.0</v>
      </c>
      <c r="N135" s="252">
        <v>1414.0</v>
      </c>
      <c r="O135" s="252">
        <v>1045.0</v>
      </c>
      <c r="P135" s="252">
        <v>4601.0</v>
      </c>
      <c r="Q135" s="131"/>
      <c r="R135" s="163"/>
      <c r="S135" s="163"/>
      <c r="T135" s="163"/>
      <c r="U135" s="163"/>
      <c r="V135" s="163"/>
      <c r="W135" s="163"/>
      <c r="X135" s="163"/>
      <c r="Y135" s="163"/>
      <c r="Z135" s="163"/>
      <c r="AA135" s="163"/>
      <c r="AB135" s="163"/>
      <c r="AC135" s="163"/>
      <c r="AD135" s="163"/>
      <c r="AE135" s="163"/>
      <c r="AF135" s="163"/>
      <c r="AG135" s="163"/>
      <c r="AH135" s="163"/>
      <c r="AI135" s="246" t="s">
        <v>324</v>
      </c>
      <c r="AJ135" s="246">
        <v>2020.0</v>
      </c>
      <c r="AK135" s="246">
        <v>518.0</v>
      </c>
      <c r="AL135" s="246">
        <v>296.0</v>
      </c>
      <c r="AM135" s="246">
        <v>429.0</v>
      </c>
      <c r="AN135" s="246">
        <v>608.0</v>
      </c>
      <c r="AO135" s="246">
        <v>573.0</v>
      </c>
      <c r="AP135" s="246">
        <v>2424.0</v>
      </c>
      <c r="AQ135" s="246"/>
      <c r="AR135" s="246">
        <v>2020.0</v>
      </c>
      <c r="AS135" s="246">
        <v>139.0</v>
      </c>
      <c r="AT135" s="246">
        <v>3.0</v>
      </c>
      <c r="AU135" s="246">
        <v>0.0</v>
      </c>
      <c r="AV135" s="246">
        <v>0.0</v>
      </c>
      <c r="AW135" s="246">
        <v>0.0</v>
      </c>
      <c r="AX135" s="246">
        <v>142.0</v>
      </c>
      <c r="AY135" s="163"/>
      <c r="AZ135" s="254" t="s">
        <v>457</v>
      </c>
      <c r="BA135" s="254">
        <v>2020.0</v>
      </c>
      <c r="BB135" s="254">
        <v>187.0</v>
      </c>
      <c r="BC135" s="254">
        <v>124.0</v>
      </c>
      <c r="BD135" s="254">
        <v>144.0</v>
      </c>
      <c r="BE135" s="254">
        <v>197.0</v>
      </c>
      <c r="BF135" s="254">
        <v>219.0</v>
      </c>
      <c r="BG135" s="254">
        <v>871.0</v>
      </c>
      <c r="BH135" s="254"/>
      <c r="BI135" s="254">
        <v>2020.0</v>
      </c>
      <c r="BJ135" s="254">
        <v>25.0</v>
      </c>
      <c r="BK135" s="254">
        <v>0.0</v>
      </c>
      <c r="BL135" s="254">
        <v>0.0</v>
      </c>
      <c r="BM135" s="254">
        <v>0.0</v>
      </c>
      <c r="BN135" s="254">
        <v>0.0</v>
      </c>
      <c r="BO135" s="254">
        <v>25.0</v>
      </c>
      <c r="BP135" s="163"/>
      <c r="BQ135" s="163"/>
      <c r="BR135" s="163"/>
      <c r="BS135" s="163"/>
      <c r="BT135" s="163"/>
      <c r="BU135" s="163"/>
      <c r="BV135" s="163"/>
      <c r="BW135" s="163"/>
      <c r="BX135" s="163"/>
      <c r="BY135" s="163"/>
      <c r="BZ135" s="163"/>
      <c r="CA135" s="163"/>
      <c r="CB135" s="163"/>
      <c r="CC135" s="163"/>
      <c r="CD135" s="163"/>
      <c r="CE135" s="163"/>
      <c r="CF135" s="163"/>
      <c r="CG135" s="163"/>
      <c r="CH135" s="163"/>
      <c r="CI135" s="163"/>
      <c r="CJ135" s="163"/>
      <c r="CK135" s="163"/>
      <c r="CL135" s="163"/>
      <c r="CM135" s="163"/>
      <c r="CN135" s="163"/>
      <c r="CO135" s="163"/>
      <c r="CP135" s="163"/>
      <c r="CQ135" s="163"/>
      <c r="CR135" s="163"/>
      <c r="CS135" s="163"/>
      <c r="CT135" s="163"/>
      <c r="CU135" s="163"/>
      <c r="CV135" s="163"/>
      <c r="CW135" s="163"/>
      <c r="CX135" s="163"/>
      <c r="CY135" s="163"/>
      <c r="CZ135" s="163"/>
      <c r="DA135" s="163"/>
      <c r="DB135" s="163"/>
      <c r="DC135" s="163"/>
      <c r="DD135" s="163"/>
      <c r="DE135" s="163"/>
      <c r="DF135" s="163"/>
      <c r="DG135" s="163"/>
      <c r="DH135" s="163"/>
      <c r="DI135" s="163"/>
      <c r="DJ135" s="163"/>
      <c r="DK135" s="163"/>
      <c r="DL135" s="163"/>
      <c r="DM135" s="163"/>
      <c r="DN135" s="163"/>
      <c r="DO135" s="163"/>
      <c r="DP135" s="163"/>
      <c r="DQ135" s="163"/>
      <c r="DR135" s="163"/>
      <c r="DS135" s="163"/>
      <c r="DT135" s="163"/>
      <c r="DU135" s="163"/>
      <c r="DV135" s="163"/>
      <c r="DW135" s="163"/>
      <c r="DX135" s="163"/>
      <c r="DY135" s="163"/>
      <c r="DZ135" s="163"/>
      <c r="EA135" s="163"/>
      <c r="EB135" s="163"/>
      <c r="EC135" s="163"/>
      <c r="ED135" s="163"/>
      <c r="EE135" s="163"/>
      <c r="EF135" s="163"/>
      <c r="EG135" s="163"/>
      <c r="EH135" s="163"/>
      <c r="EI135" s="163"/>
      <c r="EJ135" s="163"/>
      <c r="EK135" s="163"/>
      <c r="EL135" s="163"/>
      <c r="EM135" s="163"/>
      <c r="EN135" s="163"/>
      <c r="EO135" s="163"/>
      <c r="EP135" s="163"/>
      <c r="EQ135" s="163"/>
      <c r="ER135" s="163"/>
      <c r="ES135" s="163"/>
      <c r="ET135" s="163"/>
      <c r="EU135" s="163"/>
      <c r="EV135" s="163"/>
      <c r="EW135" s="163"/>
      <c r="EX135" s="255" t="s">
        <v>935</v>
      </c>
      <c r="EY135" s="255">
        <v>2020.0</v>
      </c>
      <c r="EZ135" s="255">
        <v>172.0</v>
      </c>
      <c r="FA135" s="255">
        <v>285.0</v>
      </c>
      <c r="FB135" s="255">
        <v>396.0</v>
      </c>
      <c r="FC135" s="255">
        <v>461.0</v>
      </c>
      <c r="FD135" s="255">
        <v>594.0</v>
      </c>
      <c r="FE135" s="255">
        <v>1908.0</v>
      </c>
      <c r="FF135" s="255"/>
      <c r="FG135" s="255">
        <v>2020.0</v>
      </c>
      <c r="FH135" s="255">
        <v>9.0</v>
      </c>
      <c r="FI135" s="255">
        <v>4.0</v>
      </c>
      <c r="FJ135" s="255">
        <v>1.0</v>
      </c>
      <c r="FK135" s="255">
        <v>1.0</v>
      </c>
      <c r="FL135" s="255">
        <v>2.0</v>
      </c>
      <c r="FM135" s="255">
        <v>17.0</v>
      </c>
    </row>
    <row r="136" ht="13.5" customHeight="1">
      <c r="A136" s="252" t="s">
        <v>1176</v>
      </c>
      <c r="B136" s="252">
        <v>2020.0</v>
      </c>
      <c r="C136" s="252">
        <v>20.0</v>
      </c>
      <c r="D136" s="252">
        <v>2.0</v>
      </c>
      <c r="E136" s="252">
        <v>2.0</v>
      </c>
      <c r="F136" s="252">
        <v>0.0</v>
      </c>
      <c r="G136" s="252">
        <v>1.0</v>
      </c>
      <c r="H136" s="252">
        <v>25.0</v>
      </c>
      <c r="I136" s="252"/>
      <c r="J136" s="252">
        <v>2020.0</v>
      </c>
      <c r="K136" s="252">
        <v>314.0</v>
      </c>
      <c r="L136" s="252">
        <v>456.0</v>
      </c>
      <c r="M136" s="252">
        <v>892.0</v>
      </c>
      <c r="N136" s="252">
        <v>1169.0</v>
      </c>
      <c r="O136" s="252">
        <v>867.0</v>
      </c>
      <c r="P136" s="252">
        <v>3698.0</v>
      </c>
      <c r="Q136" s="131"/>
      <c r="R136" s="163"/>
      <c r="S136" s="163"/>
      <c r="T136" s="163"/>
      <c r="U136" s="163"/>
      <c r="V136" s="163"/>
      <c r="W136" s="163"/>
      <c r="X136" s="163"/>
      <c r="Y136" s="163"/>
      <c r="Z136" s="163"/>
      <c r="AA136" s="163"/>
      <c r="AB136" s="163"/>
      <c r="AC136" s="163"/>
      <c r="AD136" s="163"/>
      <c r="AE136" s="163"/>
      <c r="AF136" s="163"/>
      <c r="AG136" s="163"/>
      <c r="AH136" s="163"/>
      <c r="AI136" s="246" t="s">
        <v>326</v>
      </c>
      <c r="AJ136" s="246">
        <v>2020.0</v>
      </c>
      <c r="AK136" s="246">
        <v>1154.0</v>
      </c>
      <c r="AL136" s="246">
        <v>862.0</v>
      </c>
      <c r="AM136" s="246">
        <v>996.0</v>
      </c>
      <c r="AN136" s="246">
        <v>1063.0</v>
      </c>
      <c r="AO136" s="246">
        <v>789.0</v>
      </c>
      <c r="AP136" s="246">
        <v>4864.0</v>
      </c>
      <c r="AQ136" s="246"/>
      <c r="AR136" s="246">
        <v>2020.0</v>
      </c>
      <c r="AS136" s="246">
        <v>163.0</v>
      </c>
      <c r="AT136" s="246">
        <v>1.0</v>
      </c>
      <c r="AU136" s="246">
        <v>1.0</v>
      </c>
      <c r="AV136" s="246">
        <v>0.0</v>
      </c>
      <c r="AW136" s="246">
        <v>0.0</v>
      </c>
      <c r="AX136" s="246">
        <v>165.0</v>
      </c>
      <c r="AY136" s="163"/>
      <c r="AZ136" s="254" t="s">
        <v>461</v>
      </c>
      <c r="BA136" s="254">
        <v>2020.0</v>
      </c>
      <c r="BB136" s="254">
        <v>283.0</v>
      </c>
      <c r="BC136" s="254">
        <v>280.0</v>
      </c>
      <c r="BD136" s="254">
        <v>482.0</v>
      </c>
      <c r="BE136" s="254">
        <v>595.0</v>
      </c>
      <c r="BF136" s="254">
        <v>580.0</v>
      </c>
      <c r="BG136" s="254">
        <v>2220.0</v>
      </c>
      <c r="BH136" s="254"/>
      <c r="BI136" s="254">
        <v>2020.0</v>
      </c>
      <c r="BJ136" s="254">
        <v>22.0</v>
      </c>
      <c r="BK136" s="254">
        <v>0.0</v>
      </c>
      <c r="BL136" s="254">
        <v>0.0</v>
      </c>
      <c r="BM136" s="254">
        <v>0.0</v>
      </c>
      <c r="BN136" s="254">
        <v>0.0</v>
      </c>
      <c r="BO136" s="254">
        <v>22.0</v>
      </c>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255" t="s">
        <v>937</v>
      </c>
      <c r="EY136" s="255">
        <v>2020.0</v>
      </c>
      <c r="EZ136" s="255">
        <v>175.0</v>
      </c>
      <c r="FA136" s="255">
        <v>227.0</v>
      </c>
      <c r="FB136" s="255">
        <v>313.0</v>
      </c>
      <c r="FC136" s="255">
        <v>365.0</v>
      </c>
      <c r="FD136" s="255">
        <v>501.0</v>
      </c>
      <c r="FE136" s="255">
        <v>1581.0</v>
      </c>
      <c r="FF136" s="255"/>
      <c r="FG136" s="255">
        <v>2020.0</v>
      </c>
      <c r="FH136" s="255">
        <v>7.0</v>
      </c>
      <c r="FI136" s="255">
        <v>1.0</v>
      </c>
      <c r="FJ136" s="255">
        <v>0.0</v>
      </c>
      <c r="FK136" s="255">
        <v>1.0</v>
      </c>
      <c r="FL136" s="255">
        <v>0.0</v>
      </c>
      <c r="FM136" s="255">
        <v>9.0</v>
      </c>
    </row>
    <row r="137" ht="13.5" customHeight="1">
      <c r="A137" s="252" t="s">
        <v>1179</v>
      </c>
      <c r="B137" s="252">
        <v>2020.0</v>
      </c>
      <c r="C137" s="252">
        <v>18.0</v>
      </c>
      <c r="D137" s="252">
        <v>0.0</v>
      </c>
      <c r="E137" s="252">
        <v>0.0</v>
      </c>
      <c r="F137" s="252">
        <v>0.0</v>
      </c>
      <c r="G137" s="252">
        <v>0.0</v>
      </c>
      <c r="H137" s="252">
        <v>18.0</v>
      </c>
      <c r="I137" s="252"/>
      <c r="J137" s="252">
        <v>2020.0</v>
      </c>
      <c r="K137" s="252">
        <v>359.0</v>
      </c>
      <c r="L137" s="252">
        <v>526.0</v>
      </c>
      <c r="M137" s="252">
        <v>1011.0</v>
      </c>
      <c r="N137" s="252">
        <v>1336.0</v>
      </c>
      <c r="O137" s="252">
        <v>1102.0</v>
      </c>
      <c r="P137" s="252">
        <v>4334.0</v>
      </c>
      <c r="Q137" s="131"/>
      <c r="R137" s="163"/>
      <c r="S137" s="163"/>
      <c r="T137" s="163"/>
      <c r="U137" s="163"/>
      <c r="V137" s="163"/>
      <c r="W137" s="163"/>
      <c r="X137" s="163"/>
      <c r="Y137" s="163"/>
      <c r="Z137" s="163"/>
      <c r="AA137" s="163"/>
      <c r="AB137" s="163"/>
      <c r="AC137" s="163"/>
      <c r="AD137" s="163"/>
      <c r="AE137" s="163"/>
      <c r="AF137" s="163"/>
      <c r="AG137" s="163"/>
      <c r="AH137" s="163"/>
      <c r="AI137" s="246" t="s">
        <v>328</v>
      </c>
      <c r="AJ137" s="246">
        <v>2020.0</v>
      </c>
      <c r="AK137" s="246">
        <v>264.0</v>
      </c>
      <c r="AL137" s="246">
        <v>231.0</v>
      </c>
      <c r="AM137" s="246">
        <v>378.0</v>
      </c>
      <c r="AN137" s="246">
        <v>466.0</v>
      </c>
      <c r="AO137" s="246">
        <v>471.0</v>
      </c>
      <c r="AP137" s="246">
        <v>1810.0</v>
      </c>
      <c r="AQ137" s="246"/>
      <c r="AR137" s="246">
        <v>2020.0</v>
      </c>
      <c r="AS137" s="246">
        <v>46.0</v>
      </c>
      <c r="AT137" s="246">
        <v>5.0</v>
      </c>
      <c r="AU137" s="246">
        <v>0.0</v>
      </c>
      <c r="AV137" s="246">
        <v>0.0</v>
      </c>
      <c r="AW137" s="246">
        <v>0.0</v>
      </c>
      <c r="AX137" s="246">
        <v>51.0</v>
      </c>
      <c r="AY137" s="163"/>
      <c r="AZ137" s="254" t="s">
        <v>466</v>
      </c>
      <c r="BA137" s="254">
        <v>2020.0</v>
      </c>
      <c r="BB137" s="254">
        <v>135.0</v>
      </c>
      <c r="BC137" s="254">
        <v>119.0</v>
      </c>
      <c r="BD137" s="254">
        <v>155.0</v>
      </c>
      <c r="BE137" s="254">
        <v>206.0</v>
      </c>
      <c r="BF137" s="254">
        <v>250.0</v>
      </c>
      <c r="BG137" s="254">
        <v>865.0</v>
      </c>
      <c r="BH137" s="254"/>
      <c r="BI137" s="254">
        <v>2020.0</v>
      </c>
      <c r="BJ137" s="254">
        <v>19.0</v>
      </c>
      <c r="BK137" s="254">
        <v>0.0</v>
      </c>
      <c r="BL137" s="254">
        <v>0.0</v>
      </c>
      <c r="BM137" s="254">
        <v>0.0</v>
      </c>
      <c r="BN137" s="254">
        <v>0.0</v>
      </c>
      <c r="BO137" s="254">
        <v>19.0</v>
      </c>
      <c r="BP137" s="163"/>
      <c r="BQ137" s="163"/>
      <c r="BR137" s="163"/>
      <c r="BS137" s="163"/>
      <c r="BT137" s="163"/>
      <c r="BU137" s="163"/>
      <c r="BV137" s="163"/>
      <c r="BW137" s="163"/>
      <c r="BX137" s="163"/>
      <c r="BY137" s="163"/>
      <c r="BZ137" s="163"/>
      <c r="CA137" s="163"/>
      <c r="CB137" s="163"/>
      <c r="CC137" s="163"/>
      <c r="CD137" s="163"/>
      <c r="CE137" s="163"/>
      <c r="CF137" s="163"/>
      <c r="CG137" s="163"/>
      <c r="CH137" s="163"/>
      <c r="CI137" s="163"/>
      <c r="CJ137" s="163"/>
      <c r="CK137" s="163"/>
      <c r="CL137" s="163"/>
      <c r="CM137" s="163"/>
      <c r="CN137" s="163"/>
      <c r="CO137" s="163"/>
      <c r="CP137" s="163"/>
      <c r="CQ137" s="163"/>
      <c r="CR137" s="163"/>
      <c r="CS137" s="163"/>
      <c r="CT137" s="163"/>
      <c r="CU137" s="163"/>
      <c r="CV137" s="163"/>
      <c r="CW137" s="163"/>
      <c r="CX137" s="163"/>
      <c r="CY137" s="163"/>
      <c r="CZ137" s="163"/>
      <c r="DA137" s="163"/>
      <c r="DB137" s="163"/>
      <c r="DC137" s="163"/>
      <c r="DD137" s="163"/>
      <c r="DE137" s="163"/>
      <c r="DF137" s="163"/>
      <c r="DG137" s="163"/>
      <c r="DH137" s="163"/>
      <c r="DI137" s="163"/>
      <c r="DJ137" s="163"/>
      <c r="DK137" s="163"/>
      <c r="DL137" s="163"/>
      <c r="DM137" s="163"/>
      <c r="DN137" s="163"/>
      <c r="DO137" s="163"/>
      <c r="DP137" s="163"/>
      <c r="DQ137" s="163"/>
      <c r="DR137" s="163"/>
      <c r="DS137" s="163"/>
      <c r="DT137" s="163"/>
      <c r="DU137" s="163"/>
      <c r="DV137" s="163"/>
      <c r="DW137" s="163"/>
      <c r="DX137" s="163"/>
      <c r="DY137" s="163"/>
      <c r="DZ137" s="163"/>
      <c r="EA137" s="163"/>
      <c r="EB137" s="163"/>
      <c r="EC137" s="163"/>
      <c r="ED137" s="163"/>
      <c r="EE137" s="163"/>
      <c r="EF137" s="163"/>
      <c r="EG137" s="163"/>
      <c r="EH137" s="163"/>
      <c r="EI137" s="163"/>
      <c r="EJ137" s="163"/>
      <c r="EK137" s="163"/>
      <c r="EL137" s="163"/>
      <c r="EM137" s="163"/>
      <c r="EN137" s="163"/>
      <c r="EO137" s="163"/>
      <c r="EP137" s="163"/>
      <c r="EQ137" s="163"/>
      <c r="ER137" s="163"/>
      <c r="ES137" s="163"/>
      <c r="ET137" s="163"/>
      <c r="EU137" s="163"/>
      <c r="EV137" s="163"/>
      <c r="EW137" s="163"/>
      <c r="EX137" s="255" t="s">
        <v>939</v>
      </c>
      <c r="EY137" s="255">
        <v>2020.0</v>
      </c>
      <c r="EZ137" s="255" t="s">
        <v>541</v>
      </c>
      <c r="FA137" s="255" t="s">
        <v>541</v>
      </c>
      <c r="FB137" s="255" t="s">
        <v>541</v>
      </c>
      <c r="FC137" s="255" t="s">
        <v>541</v>
      </c>
      <c r="FD137" s="255" t="s">
        <v>541</v>
      </c>
      <c r="FE137" s="255" t="s">
        <v>541</v>
      </c>
      <c r="FF137" s="255"/>
      <c r="FG137" s="255">
        <v>2020.0</v>
      </c>
      <c r="FH137" s="255" t="s">
        <v>541</v>
      </c>
      <c r="FI137" s="255" t="s">
        <v>541</v>
      </c>
      <c r="FJ137" s="255" t="s">
        <v>541</v>
      </c>
      <c r="FK137" s="255" t="s">
        <v>541</v>
      </c>
      <c r="FL137" s="255" t="s">
        <v>541</v>
      </c>
      <c r="FM137" s="255" t="s">
        <v>541</v>
      </c>
    </row>
    <row r="138" ht="13.5" customHeight="1">
      <c r="A138" s="252" t="s">
        <v>1173</v>
      </c>
      <c r="B138" s="252">
        <v>2020.0</v>
      </c>
      <c r="C138" s="252">
        <v>45.0</v>
      </c>
      <c r="D138" s="252">
        <v>0.0</v>
      </c>
      <c r="E138" s="252">
        <v>0.0</v>
      </c>
      <c r="F138" s="252">
        <v>0.0</v>
      </c>
      <c r="G138" s="252">
        <v>0.0</v>
      </c>
      <c r="H138" s="252">
        <v>45.0</v>
      </c>
      <c r="I138" s="252"/>
      <c r="J138" s="252">
        <v>2020.0</v>
      </c>
      <c r="K138" s="252">
        <v>606.0</v>
      </c>
      <c r="L138" s="252">
        <v>608.0</v>
      </c>
      <c r="M138" s="252">
        <v>926.0</v>
      </c>
      <c r="N138" s="252">
        <v>1161.0</v>
      </c>
      <c r="O138" s="252">
        <v>896.0</v>
      </c>
      <c r="P138" s="252">
        <v>4197.0</v>
      </c>
      <c r="Q138" s="131"/>
      <c r="R138" s="163"/>
      <c r="S138" s="163"/>
      <c r="T138" s="163"/>
      <c r="U138" s="163"/>
      <c r="V138" s="163"/>
      <c r="W138" s="163"/>
      <c r="X138" s="163"/>
      <c r="Y138" s="163"/>
      <c r="Z138" s="163"/>
      <c r="AA138" s="163"/>
      <c r="AB138" s="163"/>
      <c r="AC138" s="163"/>
      <c r="AD138" s="163"/>
      <c r="AE138" s="163"/>
      <c r="AF138" s="163"/>
      <c r="AG138" s="163"/>
      <c r="AH138" s="163"/>
      <c r="AI138" s="246" t="s">
        <v>330</v>
      </c>
      <c r="AJ138" s="246">
        <v>2020.0</v>
      </c>
      <c r="AK138" s="246">
        <v>546.0</v>
      </c>
      <c r="AL138" s="246">
        <v>493.0</v>
      </c>
      <c r="AM138" s="246">
        <v>822.0</v>
      </c>
      <c r="AN138" s="246">
        <v>1202.0</v>
      </c>
      <c r="AO138" s="246">
        <v>1027.0</v>
      </c>
      <c r="AP138" s="246">
        <v>4090.0</v>
      </c>
      <c r="AQ138" s="246"/>
      <c r="AR138" s="246">
        <v>2020.0</v>
      </c>
      <c r="AS138" s="246">
        <v>35.0</v>
      </c>
      <c r="AT138" s="246">
        <v>0.0</v>
      </c>
      <c r="AU138" s="246">
        <v>0.0</v>
      </c>
      <c r="AV138" s="246">
        <v>0.0</v>
      </c>
      <c r="AW138" s="246">
        <v>0.0</v>
      </c>
      <c r="AX138" s="246">
        <v>35.0</v>
      </c>
      <c r="AY138" s="163"/>
      <c r="AZ138" s="254" t="s">
        <v>471</v>
      </c>
      <c r="BA138" s="254">
        <v>2020.0</v>
      </c>
      <c r="BB138" s="254">
        <v>26.0</v>
      </c>
      <c r="BC138" s="254">
        <v>38.0</v>
      </c>
      <c r="BD138" s="254">
        <v>73.0</v>
      </c>
      <c r="BE138" s="254">
        <v>98.0</v>
      </c>
      <c r="BF138" s="254">
        <v>163.0</v>
      </c>
      <c r="BG138" s="254">
        <v>398.0</v>
      </c>
      <c r="BH138" s="254"/>
      <c r="BI138" s="254">
        <v>2020.0</v>
      </c>
      <c r="BJ138" s="254">
        <v>0.0</v>
      </c>
      <c r="BK138" s="254">
        <v>0.0</v>
      </c>
      <c r="BL138" s="254">
        <v>0.0</v>
      </c>
      <c r="BM138" s="254">
        <v>0.0</v>
      </c>
      <c r="BN138" s="254">
        <v>0.0</v>
      </c>
      <c r="BO138" s="254">
        <v>0.0</v>
      </c>
      <c r="BP138" s="163"/>
      <c r="BQ138" s="163"/>
      <c r="BR138" s="163"/>
      <c r="BS138" s="163"/>
      <c r="BT138" s="163"/>
      <c r="BU138" s="163"/>
      <c r="BV138" s="163"/>
      <c r="BW138" s="163"/>
      <c r="BX138" s="163"/>
      <c r="BY138" s="163"/>
      <c r="BZ138" s="163"/>
      <c r="CA138" s="163"/>
      <c r="CB138" s="163"/>
      <c r="CC138" s="163"/>
      <c r="CD138" s="163"/>
      <c r="CE138" s="163"/>
      <c r="CF138" s="163"/>
      <c r="CG138" s="163"/>
      <c r="CH138" s="163"/>
      <c r="CI138" s="163"/>
      <c r="CJ138" s="163"/>
      <c r="CK138" s="163"/>
      <c r="CL138" s="163"/>
      <c r="CM138" s="163"/>
      <c r="CN138" s="163"/>
      <c r="CO138" s="163"/>
      <c r="CP138" s="163"/>
      <c r="CQ138" s="163"/>
      <c r="CR138" s="163"/>
      <c r="CS138" s="163"/>
      <c r="CT138" s="163"/>
      <c r="CU138" s="163"/>
      <c r="CV138" s="163"/>
      <c r="CW138" s="163"/>
      <c r="CX138" s="163"/>
      <c r="CY138" s="163"/>
      <c r="CZ138" s="163"/>
      <c r="DA138" s="163"/>
      <c r="DB138" s="163"/>
      <c r="DC138" s="163"/>
      <c r="DD138" s="163"/>
      <c r="DE138" s="163"/>
      <c r="DF138" s="163"/>
      <c r="DG138" s="163"/>
      <c r="DH138" s="163"/>
      <c r="DI138" s="163"/>
      <c r="DJ138" s="163"/>
      <c r="DK138" s="163"/>
      <c r="DL138" s="163"/>
      <c r="DM138" s="163"/>
      <c r="DN138" s="163"/>
      <c r="DO138" s="163"/>
      <c r="DP138" s="163"/>
      <c r="DQ138" s="163"/>
      <c r="DR138" s="163"/>
      <c r="DS138" s="163"/>
      <c r="DT138" s="163"/>
      <c r="DU138" s="163"/>
      <c r="DV138" s="163"/>
      <c r="DW138" s="163"/>
      <c r="DX138" s="163"/>
      <c r="DY138" s="163"/>
      <c r="DZ138" s="163"/>
      <c r="EA138" s="163"/>
      <c r="EB138" s="163"/>
      <c r="EC138" s="163"/>
      <c r="ED138" s="163"/>
      <c r="EE138" s="163"/>
      <c r="EF138" s="163"/>
      <c r="EG138" s="163"/>
      <c r="EH138" s="163"/>
      <c r="EI138" s="163"/>
      <c r="EJ138" s="163"/>
      <c r="EK138" s="163"/>
      <c r="EL138" s="163"/>
      <c r="EM138" s="163"/>
      <c r="EN138" s="163"/>
      <c r="EO138" s="163"/>
      <c r="EP138" s="163"/>
      <c r="EQ138" s="163"/>
      <c r="ER138" s="163"/>
      <c r="ES138" s="163"/>
      <c r="ET138" s="163"/>
      <c r="EU138" s="163"/>
      <c r="EV138" s="163"/>
      <c r="EW138" s="163"/>
      <c r="EX138" s="255" t="s">
        <v>941</v>
      </c>
      <c r="EY138" s="255">
        <v>2020.0</v>
      </c>
      <c r="EZ138" s="255" t="s">
        <v>541</v>
      </c>
      <c r="FA138" s="255" t="s">
        <v>541</v>
      </c>
      <c r="FB138" s="255" t="s">
        <v>541</v>
      </c>
      <c r="FC138" s="255" t="s">
        <v>541</v>
      </c>
      <c r="FD138" s="255" t="s">
        <v>541</v>
      </c>
      <c r="FE138" s="255" t="s">
        <v>541</v>
      </c>
      <c r="FF138" s="255"/>
      <c r="FG138" s="255">
        <v>2020.0</v>
      </c>
      <c r="FH138" s="255" t="s">
        <v>541</v>
      </c>
      <c r="FI138" s="255" t="s">
        <v>541</v>
      </c>
      <c r="FJ138" s="255" t="s">
        <v>541</v>
      </c>
      <c r="FK138" s="255" t="s">
        <v>541</v>
      </c>
      <c r="FL138" s="255" t="s">
        <v>541</v>
      </c>
      <c r="FM138" s="255" t="s">
        <v>541</v>
      </c>
    </row>
    <row r="139" ht="13.5" customHeight="1">
      <c r="A139" s="252" t="s">
        <v>1185</v>
      </c>
      <c r="B139" s="252">
        <v>2020.0</v>
      </c>
      <c r="C139" s="252" t="s">
        <v>541</v>
      </c>
      <c r="D139" s="252" t="s">
        <v>541</v>
      </c>
      <c r="E139" s="252" t="s">
        <v>541</v>
      </c>
      <c r="F139" s="252" t="s">
        <v>541</v>
      </c>
      <c r="G139" s="252" t="s">
        <v>541</v>
      </c>
      <c r="H139" s="252" t="s">
        <v>541</v>
      </c>
      <c r="I139" s="252"/>
      <c r="J139" s="252">
        <v>2020.0</v>
      </c>
      <c r="K139" s="252" t="s">
        <v>541</v>
      </c>
      <c r="L139" s="252" t="s">
        <v>541</v>
      </c>
      <c r="M139" s="252" t="s">
        <v>541</v>
      </c>
      <c r="N139" s="252" t="s">
        <v>541</v>
      </c>
      <c r="O139" s="252" t="s">
        <v>541</v>
      </c>
      <c r="P139" s="252" t="s">
        <v>541</v>
      </c>
      <c r="Q139" s="131"/>
      <c r="R139" s="163"/>
      <c r="S139" s="163"/>
      <c r="T139" s="163"/>
      <c r="U139" s="163"/>
      <c r="V139" s="163"/>
      <c r="W139" s="163"/>
      <c r="X139" s="163"/>
      <c r="Y139" s="163"/>
      <c r="Z139" s="163"/>
      <c r="AA139" s="163"/>
      <c r="AB139" s="163"/>
      <c r="AC139" s="163"/>
      <c r="AD139" s="163"/>
      <c r="AE139" s="163"/>
      <c r="AF139" s="163"/>
      <c r="AG139" s="163"/>
      <c r="AH139" s="163"/>
      <c r="AI139" s="246" t="s">
        <v>332</v>
      </c>
      <c r="AJ139" s="246">
        <v>2020.0</v>
      </c>
      <c r="AK139" s="246">
        <v>199.0</v>
      </c>
      <c r="AL139" s="246">
        <v>334.0</v>
      </c>
      <c r="AM139" s="246">
        <v>619.0</v>
      </c>
      <c r="AN139" s="246">
        <v>714.0</v>
      </c>
      <c r="AO139" s="246">
        <v>587.0</v>
      </c>
      <c r="AP139" s="246">
        <v>2453.0</v>
      </c>
      <c r="AQ139" s="246"/>
      <c r="AR139" s="246">
        <v>2020.0</v>
      </c>
      <c r="AS139" s="246">
        <v>19.0</v>
      </c>
      <c r="AT139" s="246">
        <v>5.0</v>
      </c>
      <c r="AU139" s="246">
        <v>6.0</v>
      </c>
      <c r="AV139" s="246">
        <v>2.0</v>
      </c>
      <c r="AW139" s="246">
        <v>2.0</v>
      </c>
      <c r="AX139" s="246">
        <v>34.0</v>
      </c>
      <c r="AY139" s="163"/>
      <c r="AZ139" s="254" t="s">
        <v>476</v>
      </c>
      <c r="BA139" s="254">
        <v>2020.0</v>
      </c>
      <c r="BB139" s="254">
        <v>118.0</v>
      </c>
      <c r="BC139" s="254">
        <v>157.0</v>
      </c>
      <c r="BD139" s="254">
        <v>285.0</v>
      </c>
      <c r="BE139" s="254">
        <v>449.0</v>
      </c>
      <c r="BF139" s="254">
        <v>527.0</v>
      </c>
      <c r="BG139" s="254">
        <v>1536.0</v>
      </c>
      <c r="BH139" s="254"/>
      <c r="BI139" s="254">
        <v>2020.0</v>
      </c>
      <c r="BJ139" s="254">
        <v>19.0</v>
      </c>
      <c r="BK139" s="254">
        <v>1.0</v>
      </c>
      <c r="BL139" s="254">
        <v>1.0</v>
      </c>
      <c r="BM139" s="254">
        <v>0.0</v>
      </c>
      <c r="BN139" s="254">
        <v>0.0</v>
      </c>
      <c r="BO139" s="254">
        <v>21.0</v>
      </c>
      <c r="BP139" s="163"/>
      <c r="BQ139" s="163"/>
      <c r="BR139" s="163"/>
      <c r="BS139" s="163"/>
      <c r="BT139" s="163"/>
      <c r="BU139" s="163"/>
      <c r="BV139" s="163"/>
      <c r="BW139" s="163"/>
      <c r="BX139" s="163"/>
      <c r="BY139" s="163"/>
      <c r="BZ139" s="163"/>
      <c r="CA139" s="163"/>
      <c r="CB139" s="163"/>
      <c r="CC139" s="163"/>
      <c r="CD139" s="163"/>
      <c r="CE139" s="163"/>
      <c r="CF139" s="163"/>
      <c r="CG139" s="163"/>
      <c r="CH139" s="163"/>
      <c r="CI139" s="163"/>
      <c r="CJ139" s="163"/>
      <c r="CK139" s="163"/>
      <c r="CL139" s="163"/>
      <c r="CM139" s="163"/>
      <c r="CN139" s="163"/>
      <c r="CO139" s="163"/>
      <c r="CP139" s="163"/>
      <c r="CQ139" s="163"/>
      <c r="CR139" s="163"/>
      <c r="CS139" s="163"/>
      <c r="CT139" s="163"/>
      <c r="CU139" s="163"/>
      <c r="CV139" s="163"/>
      <c r="CW139" s="163"/>
      <c r="CX139" s="163"/>
      <c r="CY139" s="163"/>
      <c r="CZ139" s="163"/>
      <c r="DA139" s="163"/>
      <c r="DB139" s="163"/>
      <c r="DC139" s="163"/>
      <c r="DD139" s="163"/>
      <c r="DE139" s="163"/>
      <c r="DF139" s="163"/>
      <c r="DG139" s="163"/>
      <c r="DH139" s="163"/>
      <c r="DI139" s="163"/>
      <c r="DJ139" s="163"/>
      <c r="DK139" s="163"/>
      <c r="DL139" s="163"/>
      <c r="DM139" s="163"/>
      <c r="DN139" s="163"/>
      <c r="DO139" s="163"/>
      <c r="DP139" s="163"/>
      <c r="DQ139" s="163"/>
      <c r="DR139" s="163"/>
      <c r="DS139" s="163"/>
      <c r="DT139" s="163"/>
      <c r="DU139" s="163"/>
      <c r="DV139" s="163"/>
      <c r="DW139" s="163"/>
      <c r="DX139" s="163"/>
      <c r="DY139" s="163"/>
      <c r="DZ139" s="163"/>
      <c r="EA139" s="163"/>
      <c r="EB139" s="163"/>
      <c r="EC139" s="163"/>
      <c r="ED139" s="163"/>
      <c r="EE139" s="163"/>
      <c r="EF139" s="163"/>
      <c r="EG139" s="163"/>
      <c r="EH139" s="163"/>
      <c r="EI139" s="163"/>
      <c r="EJ139" s="163"/>
      <c r="EK139" s="163"/>
      <c r="EL139" s="163"/>
      <c r="EM139" s="163"/>
      <c r="EN139" s="163"/>
      <c r="EO139" s="163"/>
      <c r="EP139" s="163"/>
      <c r="EQ139" s="163"/>
      <c r="ER139" s="163"/>
      <c r="ES139" s="163"/>
      <c r="ET139" s="163"/>
      <c r="EU139" s="163"/>
      <c r="EV139" s="163"/>
      <c r="EW139" s="163"/>
      <c r="EX139" s="163"/>
      <c r="EY139" s="163"/>
      <c r="EZ139" s="163"/>
      <c r="FA139" s="163"/>
      <c r="FB139" s="163"/>
      <c r="FC139" s="163"/>
      <c r="FD139" s="163"/>
      <c r="FE139" s="163"/>
      <c r="FF139" s="163"/>
      <c r="FG139" s="163"/>
      <c r="FH139" s="163"/>
      <c r="FI139" s="163"/>
      <c r="FJ139" s="163"/>
      <c r="FK139" s="163"/>
      <c r="FL139" s="163"/>
      <c r="FM139" s="163"/>
    </row>
    <row r="140" ht="13.5" customHeight="1">
      <c r="A140" s="252" t="s">
        <v>1189</v>
      </c>
      <c r="B140" s="252">
        <v>2020.0</v>
      </c>
      <c r="C140" s="252" t="s">
        <v>541</v>
      </c>
      <c r="D140" s="252" t="s">
        <v>541</v>
      </c>
      <c r="E140" s="252" t="s">
        <v>541</v>
      </c>
      <c r="F140" s="252" t="s">
        <v>541</v>
      </c>
      <c r="G140" s="252" t="s">
        <v>541</v>
      </c>
      <c r="H140" s="252" t="s">
        <v>541</v>
      </c>
      <c r="I140" s="252"/>
      <c r="J140" s="252">
        <v>2020.0</v>
      </c>
      <c r="K140" s="252" t="s">
        <v>541</v>
      </c>
      <c r="L140" s="252" t="s">
        <v>541</v>
      </c>
      <c r="M140" s="252" t="s">
        <v>541</v>
      </c>
      <c r="N140" s="252" t="s">
        <v>541</v>
      </c>
      <c r="O140" s="252" t="s">
        <v>541</v>
      </c>
      <c r="P140" s="252" t="s">
        <v>541</v>
      </c>
      <c r="Q140" s="131"/>
      <c r="R140" s="163"/>
      <c r="S140" s="163"/>
      <c r="T140" s="163"/>
      <c r="U140" s="163"/>
      <c r="V140" s="163"/>
      <c r="W140" s="163"/>
      <c r="X140" s="163"/>
      <c r="Y140" s="163"/>
      <c r="Z140" s="163"/>
      <c r="AA140" s="163"/>
      <c r="AB140" s="163"/>
      <c r="AC140" s="163"/>
      <c r="AD140" s="163"/>
      <c r="AE140" s="163"/>
      <c r="AF140" s="163"/>
      <c r="AG140" s="163"/>
      <c r="AH140" s="163"/>
      <c r="AI140" s="246" t="s">
        <v>334</v>
      </c>
      <c r="AJ140" s="246">
        <v>2020.0</v>
      </c>
      <c r="AK140" s="246">
        <v>456.0</v>
      </c>
      <c r="AL140" s="246">
        <v>591.0</v>
      </c>
      <c r="AM140" s="246">
        <v>835.0</v>
      </c>
      <c r="AN140" s="246">
        <v>836.0</v>
      </c>
      <c r="AO140" s="246">
        <v>532.0</v>
      </c>
      <c r="AP140" s="246">
        <v>3250.0</v>
      </c>
      <c r="AQ140" s="246"/>
      <c r="AR140" s="246">
        <v>2020.0</v>
      </c>
      <c r="AS140" s="246">
        <v>21.0</v>
      </c>
      <c r="AT140" s="246">
        <v>2.0</v>
      </c>
      <c r="AU140" s="246">
        <v>5.0</v>
      </c>
      <c r="AV140" s="246">
        <v>2.0</v>
      </c>
      <c r="AW140" s="246">
        <v>0.0</v>
      </c>
      <c r="AX140" s="246">
        <v>30.0</v>
      </c>
      <c r="AY140" s="163"/>
      <c r="AZ140" s="254" t="s">
        <v>482</v>
      </c>
      <c r="BA140" s="254">
        <v>2020.0</v>
      </c>
      <c r="BB140" s="254">
        <v>318.0</v>
      </c>
      <c r="BC140" s="254">
        <v>217.0</v>
      </c>
      <c r="BD140" s="254">
        <v>335.0</v>
      </c>
      <c r="BE140" s="254">
        <v>386.0</v>
      </c>
      <c r="BF140" s="254">
        <v>329.0</v>
      </c>
      <c r="BG140" s="254">
        <v>1585.0</v>
      </c>
      <c r="BH140" s="254"/>
      <c r="BI140" s="254">
        <v>2020.0</v>
      </c>
      <c r="BJ140" s="254">
        <v>14.0</v>
      </c>
      <c r="BK140" s="254">
        <v>0.0</v>
      </c>
      <c r="BL140" s="254">
        <v>0.0</v>
      </c>
      <c r="BM140" s="254">
        <v>0.0</v>
      </c>
      <c r="BN140" s="254">
        <v>0.0</v>
      </c>
      <c r="BO140" s="254">
        <v>14.0</v>
      </c>
      <c r="BP140" s="163"/>
      <c r="BQ140" s="163"/>
      <c r="BR140" s="163"/>
      <c r="BS140" s="163"/>
      <c r="BT140" s="163"/>
      <c r="BU140" s="163"/>
      <c r="BV140" s="163"/>
      <c r="BW140" s="163"/>
      <c r="BX140" s="163"/>
      <c r="BY140" s="163"/>
      <c r="BZ140" s="163"/>
      <c r="CA140" s="163"/>
      <c r="CB140" s="163"/>
      <c r="CC140" s="163"/>
      <c r="CD140" s="163"/>
      <c r="CE140" s="163"/>
      <c r="CF140" s="163"/>
      <c r="CG140" s="163"/>
      <c r="CH140" s="163"/>
      <c r="CI140" s="163"/>
      <c r="CJ140" s="163"/>
      <c r="CK140" s="163"/>
      <c r="CL140" s="163"/>
      <c r="CM140" s="163"/>
      <c r="CN140" s="163"/>
      <c r="CO140" s="163"/>
      <c r="CP140" s="163"/>
      <c r="CQ140" s="163"/>
      <c r="CR140" s="163"/>
      <c r="CS140" s="163"/>
      <c r="CT140" s="163"/>
      <c r="CU140" s="163"/>
      <c r="CV140" s="163"/>
      <c r="CW140" s="163"/>
      <c r="CX140" s="163"/>
      <c r="CY140" s="163"/>
      <c r="CZ140" s="163"/>
      <c r="DA140" s="163"/>
      <c r="DB140" s="163"/>
      <c r="DC140" s="163"/>
      <c r="DD140" s="163"/>
      <c r="DE140" s="163"/>
      <c r="DF140" s="163"/>
      <c r="DG140" s="163"/>
      <c r="DH140" s="163"/>
      <c r="DI140" s="163"/>
      <c r="DJ140" s="163"/>
      <c r="DK140" s="163"/>
      <c r="DL140" s="163"/>
      <c r="DM140" s="163"/>
      <c r="DN140" s="163"/>
      <c r="DO140" s="163"/>
      <c r="DP140" s="163"/>
      <c r="DQ140" s="163"/>
      <c r="DR140" s="163"/>
      <c r="DS140" s="163"/>
      <c r="DT140" s="163"/>
      <c r="DU140" s="163"/>
      <c r="DV140" s="163"/>
      <c r="DW140" s="163"/>
      <c r="DX140" s="163"/>
      <c r="DY140" s="163"/>
      <c r="DZ140" s="163"/>
      <c r="EA140" s="163"/>
      <c r="EB140" s="163"/>
      <c r="EC140" s="163"/>
      <c r="ED140" s="163"/>
      <c r="EE140" s="163"/>
      <c r="EF140" s="163"/>
      <c r="EG140" s="163"/>
      <c r="EH140" s="163"/>
      <c r="EI140" s="163"/>
      <c r="EJ140" s="163"/>
      <c r="EK140" s="163"/>
      <c r="EL140" s="163"/>
      <c r="EM140" s="163"/>
      <c r="EN140" s="163"/>
      <c r="EO140" s="163"/>
      <c r="EP140" s="163"/>
      <c r="EQ140" s="163"/>
      <c r="ER140" s="163"/>
      <c r="ES140" s="163"/>
      <c r="ET140" s="163"/>
      <c r="EU140" s="163"/>
      <c r="EV140" s="163"/>
      <c r="EW140" s="163"/>
      <c r="EX140" s="163"/>
      <c r="EY140" s="163"/>
      <c r="EZ140" s="163"/>
      <c r="FA140" s="163"/>
      <c r="FB140" s="163"/>
      <c r="FC140" s="163"/>
      <c r="FD140" s="163"/>
      <c r="FE140" s="163"/>
      <c r="FF140" s="163"/>
      <c r="FG140" s="163"/>
      <c r="FH140" s="163"/>
      <c r="FI140" s="163"/>
      <c r="FJ140" s="163"/>
      <c r="FK140" s="163"/>
      <c r="FL140" s="163"/>
      <c r="FM140" s="163"/>
    </row>
    <row r="141" ht="13.5" customHeight="1">
      <c r="A141" s="252" t="s">
        <v>203</v>
      </c>
      <c r="B141" s="252">
        <v>2020.0</v>
      </c>
      <c r="C141" s="252">
        <v>40.0</v>
      </c>
      <c r="D141" s="252">
        <v>4.0</v>
      </c>
      <c r="E141" s="252">
        <v>3.0</v>
      </c>
      <c r="F141" s="252">
        <v>0.0</v>
      </c>
      <c r="G141" s="252">
        <v>0.0</v>
      </c>
      <c r="H141" s="252">
        <v>47.0</v>
      </c>
      <c r="I141" s="252"/>
      <c r="J141" s="252">
        <v>2020.0</v>
      </c>
      <c r="K141" s="252">
        <v>224.0</v>
      </c>
      <c r="L141" s="252">
        <v>346.0</v>
      </c>
      <c r="M141" s="252">
        <v>448.0</v>
      </c>
      <c r="N141" s="252">
        <v>497.0</v>
      </c>
      <c r="O141" s="252">
        <v>332.0</v>
      </c>
      <c r="P141" s="252">
        <v>1847.0</v>
      </c>
      <c r="Q141" s="131"/>
      <c r="R141" s="163"/>
      <c r="S141" s="163"/>
      <c r="T141" s="163"/>
      <c r="U141" s="163"/>
      <c r="V141" s="163"/>
      <c r="W141" s="163"/>
      <c r="X141" s="163"/>
      <c r="Y141" s="163"/>
      <c r="Z141" s="163"/>
      <c r="AA141" s="163"/>
      <c r="AB141" s="163"/>
      <c r="AC141" s="163"/>
      <c r="AD141" s="163"/>
      <c r="AE141" s="163"/>
      <c r="AF141" s="163"/>
      <c r="AG141" s="163"/>
      <c r="AH141" s="163"/>
      <c r="AI141" s="246" t="s">
        <v>336</v>
      </c>
      <c r="AJ141" s="246">
        <v>2020.0</v>
      </c>
      <c r="AK141" s="246">
        <v>282.0</v>
      </c>
      <c r="AL141" s="246">
        <v>431.0</v>
      </c>
      <c r="AM141" s="246">
        <v>677.0</v>
      </c>
      <c r="AN141" s="246">
        <v>791.0</v>
      </c>
      <c r="AO141" s="246">
        <v>501.0</v>
      </c>
      <c r="AP141" s="246">
        <v>2682.0</v>
      </c>
      <c r="AQ141" s="246"/>
      <c r="AR141" s="246">
        <v>2020.0</v>
      </c>
      <c r="AS141" s="246">
        <v>38.0</v>
      </c>
      <c r="AT141" s="246">
        <v>2.0</v>
      </c>
      <c r="AU141" s="246">
        <v>1.0</v>
      </c>
      <c r="AV141" s="246">
        <v>0.0</v>
      </c>
      <c r="AW141" s="246">
        <v>0.0</v>
      </c>
      <c r="AX141" s="246">
        <v>41.0</v>
      </c>
      <c r="AY141" s="163"/>
      <c r="AZ141" s="254" t="s">
        <v>487</v>
      </c>
      <c r="BA141" s="254">
        <v>2020.0</v>
      </c>
      <c r="BB141" s="254">
        <v>1062.0</v>
      </c>
      <c r="BC141" s="254">
        <v>498.0</v>
      </c>
      <c r="BD141" s="254">
        <v>774.0</v>
      </c>
      <c r="BE141" s="254">
        <v>902.0</v>
      </c>
      <c r="BF141" s="254">
        <v>774.0</v>
      </c>
      <c r="BG141" s="254">
        <v>4010.0</v>
      </c>
      <c r="BH141" s="254"/>
      <c r="BI141" s="254">
        <v>2020.0</v>
      </c>
      <c r="BJ141" s="254">
        <v>220.0</v>
      </c>
      <c r="BK141" s="254">
        <v>0.0</v>
      </c>
      <c r="BL141" s="254">
        <v>0.0</v>
      </c>
      <c r="BM141" s="254">
        <v>0.0</v>
      </c>
      <c r="BN141" s="254">
        <v>0.0</v>
      </c>
      <c r="BO141" s="254">
        <v>220.0</v>
      </c>
      <c r="BP141" s="163"/>
      <c r="BQ141" s="163"/>
      <c r="BR141" s="163"/>
      <c r="BS141" s="163"/>
      <c r="BT141" s="163"/>
      <c r="BU141" s="163"/>
      <c r="BV141" s="163"/>
      <c r="BW141" s="163"/>
      <c r="BX141" s="163"/>
      <c r="BY141" s="163"/>
      <c r="BZ141" s="163"/>
      <c r="CA141" s="163"/>
      <c r="CB141" s="163"/>
      <c r="CC141" s="163"/>
      <c r="CD141" s="163"/>
      <c r="CE141" s="163"/>
      <c r="CF141" s="163"/>
      <c r="CG141" s="163"/>
      <c r="CH141" s="163"/>
      <c r="CI141" s="163"/>
      <c r="CJ141" s="163"/>
      <c r="CK141" s="163"/>
      <c r="CL141" s="163"/>
      <c r="CM141" s="163"/>
      <c r="CN141" s="163"/>
      <c r="CO141" s="163"/>
      <c r="CP141" s="163"/>
      <c r="CQ141" s="163"/>
      <c r="CR141" s="163"/>
      <c r="CS141" s="163"/>
      <c r="CT141" s="163"/>
      <c r="CU141" s="163"/>
      <c r="CV141" s="163"/>
      <c r="CW141" s="163"/>
      <c r="CX141" s="163"/>
      <c r="CY141" s="163"/>
      <c r="CZ141" s="163"/>
      <c r="DA141" s="163"/>
      <c r="DB141" s="163"/>
      <c r="DC141" s="163"/>
      <c r="DD141" s="163"/>
      <c r="DE141" s="163"/>
      <c r="DF141" s="163"/>
      <c r="DG141" s="163"/>
      <c r="DH141" s="163"/>
      <c r="DI141" s="163"/>
      <c r="DJ141" s="163"/>
      <c r="DK141" s="163"/>
      <c r="DL141" s="163"/>
      <c r="DM141" s="163"/>
      <c r="DN141" s="163"/>
      <c r="DO141" s="163"/>
      <c r="DP141" s="163"/>
      <c r="DQ141" s="163"/>
      <c r="DR141" s="163"/>
      <c r="DS141" s="163"/>
      <c r="DT141" s="163"/>
      <c r="DU141" s="163"/>
      <c r="DV141" s="163"/>
      <c r="DW141" s="163"/>
      <c r="DX141" s="163"/>
      <c r="DY141" s="163"/>
      <c r="DZ141" s="163"/>
      <c r="EA141" s="163"/>
      <c r="EB141" s="163"/>
      <c r="EC141" s="163"/>
      <c r="ED141" s="163"/>
      <c r="EE141" s="163"/>
      <c r="EF141" s="163"/>
      <c r="EG141" s="163"/>
      <c r="EH141" s="163"/>
      <c r="EI141" s="163"/>
      <c r="EJ141" s="163"/>
      <c r="EK141" s="163"/>
      <c r="EL141" s="163"/>
      <c r="EM141" s="163"/>
      <c r="EN141" s="163"/>
      <c r="EO141" s="163"/>
      <c r="EP141" s="163"/>
      <c r="EQ141" s="163"/>
      <c r="ER141" s="163"/>
      <c r="ES141" s="163"/>
      <c r="ET141" s="163"/>
      <c r="EU141" s="163"/>
      <c r="EV141" s="163"/>
      <c r="EW141" s="163"/>
      <c r="EX141" s="163"/>
      <c r="EY141" s="163"/>
      <c r="EZ141" s="163"/>
      <c r="FA141" s="163"/>
      <c r="FB141" s="163"/>
      <c r="FC141" s="163"/>
      <c r="FD141" s="163"/>
      <c r="FE141" s="163"/>
      <c r="FF141" s="163"/>
      <c r="FG141" s="163"/>
      <c r="FH141" s="163"/>
      <c r="FI141" s="163"/>
      <c r="FJ141" s="163"/>
      <c r="FK141" s="163"/>
      <c r="FL141" s="163"/>
      <c r="FM141" s="163"/>
    </row>
    <row r="142" ht="13.5" customHeight="1">
      <c r="A142" s="252" t="s">
        <v>1194</v>
      </c>
      <c r="B142" s="252">
        <v>2020.0</v>
      </c>
      <c r="C142" s="252">
        <v>81.0</v>
      </c>
      <c r="D142" s="252">
        <v>0.0</v>
      </c>
      <c r="E142" s="252">
        <v>0.0</v>
      </c>
      <c r="F142" s="252">
        <v>0.0</v>
      </c>
      <c r="G142" s="252">
        <v>0.0</v>
      </c>
      <c r="H142" s="252">
        <v>81.0</v>
      </c>
      <c r="I142" s="252"/>
      <c r="J142" s="252">
        <v>2020.0</v>
      </c>
      <c r="K142" s="252">
        <v>627.0</v>
      </c>
      <c r="L142" s="252">
        <v>559.0</v>
      </c>
      <c r="M142" s="252">
        <v>509.0</v>
      </c>
      <c r="N142" s="252">
        <v>509.0</v>
      </c>
      <c r="O142" s="252">
        <v>350.0</v>
      </c>
      <c r="P142" s="252">
        <v>2554.0</v>
      </c>
      <c r="Q142" s="131"/>
      <c r="R142" s="163"/>
      <c r="S142" s="163"/>
      <c r="T142" s="163"/>
      <c r="U142" s="163"/>
      <c r="V142" s="163"/>
      <c r="W142" s="163"/>
      <c r="X142" s="163"/>
      <c r="Y142" s="163"/>
      <c r="Z142" s="163"/>
      <c r="AA142" s="163"/>
      <c r="AB142" s="163"/>
      <c r="AC142" s="163"/>
      <c r="AD142" s="163"/>
      <c r="AE142" s="163"/>
      <c r="AF142" s="163"/>
      <c r="AG142" s="163"/>
      <c r="AH142" s="163"/>
      <c r="AI142" s="246" t="s">
        <v>338</v>
      </c>
      <c r="AJ142" s="246">
        <v>2020.0</v>
      </c>
      <c r="AK142" s="246">
        <v>616.0</v>
      </c>
      <c r="AL142" s="246">
        <v>628.0</v>
      </c>
      <c r="AM142" s="246">
        <v>733.0</v>
      </c>
      <c r="AN142" s="246">
        <v>821.0</v>
      </c>
      <c r="AO142" s="246">
        <v>523.0</v>
      </c>
      <c r="AP142" s="246">
        <v>3321.0</v>
      </c>
      <c r="AQ142" s="246"/>
      <c r="AR142" s="246">
        <v>2020.0</v>
      </c>
      <c r="AS142" s="246">
        <v>56.0</v>
      </c>
      <c r="AT142" s="246">
        <v>2.0</v>
      </c>
      <c r="AU142" s="246">
        <v>0.0</v>
      </c>
      <c r="AV142" s="246">
        <v>0.0</v>
      </c>
      <c r="AW142" s="246">
        <v>0.0</v>
      </c>
      <c r="AX142" s="246">
        <v>58.0</v>
      </c>
      <c r="AY142" s="163"/>
      <c r="AZ142" s="254" t="s">
        <v>492</v>
      </c>
      <c r="BA142" s="254">
        <v>2020.0</v>
      </c>
      <c r="BB142" s="254">
        <v>39.0</v>
      </c>
      <c r="BC142" s="254">
        <v>52.0</v>
      </c>
      <c r="BD142" s="254">
        <v>90.0</v>
      </c>
      <c r="BE142" s="254">
        <v>133.0</v>
      </c>
      <c r="BF142" s="254">
        <v>196.0</v>
      </c>
      <c r="BG142" s="254">
        <v>510.0</v>
      </c>
      <c r="BH142" s="254"/>
      <c r="BI142" s="254">
        <v>2020.0</v>
      </c>
      <c r="BJ142" s="254">
        <v>10.0</v>
      </c>
      <c r="BK142" s="254">
        <v>0.0</v>
      </c>
      <c r="BL142" s="254">
        <v>0.0</v>
      </c>
      <c r="BM142" s="254">
        <v>0.0</v>
      </c>
      <c r="BN142" s="254">
        <v>0.0</v>
      </c>
      <c r="BO142" s="254">
        <v>10.0</v>
      </c>
      <c r="BP142" s="163"/>
      <c r="BQ142" s="163"/>
      <c r="BR142" s="163"/>
      <c r="BS142" s="163"/>
      <c r="BT142" s="163"/>
      <c r="BU142" s="163"/>
      <c r="BV142" s="163"/>
      <c r="BW142" s="163"/>
      <c r="BX142" s="163"/>
      <c r="BY142" s="163"/>
      <c r="BZ142" s="163"/>
      <c r="CA142" s="163"/>
      <c r="CB142" s="163"/>
      <c r="CC142" s="163"/>
      <c r="CD142" s="163"/>
      <c r="CE142" s="163"/>
      <c r="CF142" s="163"/>
      <c r="CG142" s="163"/>
      <c r="CH142" s="163"/>
      <c r="CI142" s="163"/>
      <c r="CJ142" s="163"/>
      <c r="CK142" s="163"/>
      <c r="CL142" s="163"/>
      <c r="CM142" s="163"/>
      <c r="CN142" s="163"/>
      <c r="CO142" s="163"/>
      <c r="CP142" s="163"/>
      <c r="CQ142" s="163"/>
      <c r="CR142" s="163"/>
      <c r="CS142" s="163"/>
      <c r="CT142" s="163"/>
      <c r="CU142" s="163"/>
      <c r="CV142" s="163"/>
      <c r="CW142" s="163"/>
      <c r="CX142" s="163"/>
      <c r="CY142" s="163"/>
      <c r="CZ142" s="163"/>
      <c r="DA142" s="163"/>
      <c r="DB142" s="163"/>
      <c r="DC142" s="163"/>
      <c r="DD142" s="163"/>
      <c r="DE142" s="163"/>
      <c r="DF142" s="163"/>
      <c r="DG142" s="163"/>
      <c r="DH142" s="163"/>
      <c r="DI142" s="163"/>
      <c r="DJ142" s="163"/>
      <c r="DK142" s="163"/>
      <c r="DL142" s="163"/>
      <c r="DM142" s="163"/>
      <c r="DN142" s="163"/>
      <c r="DO142" s="163"/>
      <c r="DP142" s="163"/>
      <c r="DQ142" s="163"/>
      <c r="DR142" s="163"/>
      <c r="DS142" s="163"/>
      <c r="DT142" s="163"/>
      <c r="DU142" s="163"/>
      <c r="DV142" s="163"/>
      <c r="DW142" s="163"/>
      <c r="DX142" s="163"/>
      <c r="DY142" s="163"/>
      <c r="DZ142" s="163"/>
      <c r="EA142" s="163"/>
      <c r="EB142" s="163"/>
      <c r="EC142" s="163"/>
      <c r="ED142" s="163"/>
      <c r="EE142" s="163"/>
      <c r="EF142" s="163"/>
      <c r="EG142" s="163"/>
      <c r="EH142" s="163"/>
      <c r="EI142" s="163"/>
      <c r="EJ142" s="163"/>
      <c r="EK142" s="163"/>
      <c r="EL142" s="163"/>
      <c r="EM142" s="163"/>
      <c r="EN142" s="163"/>
      <c r="EO142" s="163"/>
      <c r="EP142" s="163"/>
      <c r="EQ142" s="163"/>
      <c r="ER142" s="163"/>
      <c r="ES142" s="163"/>
      <c r="ET142" s="163"/>
      <c r="EU142" s="163"/>
      <c r="EV142" s="163"/>
      <c r="EW142" s="163"/>
      <c r="EX142" s="163"/>
      <c r="EY142" s="163"/>
      <c r="EZ142" s="163"/>
      <c r="FA142" s="163"/>
      <c r="FB142" s="163"/>
      <c r="FC142" s="163"/>
      <c r="FD142" s="163"/>
      <c r="FE142" s="163"/>
      <c r="FF142" s="163"/>
      <c r="FG142" s="163"/>
      <c r="FH142" s="163"/>
      <c r="FI142" s="163"/>
      <c r="FJ142" s="163"/>
      <c r="FK142" s="163"/>
      <c r="FL142" s="163"/>
      <c r="FM142" s="163"/>
    </row>
    <row r="143" ht="13.5" customHeight="1">
      <c r="A143" s="252" t="s">
        <v>1197</v>
      </c>
      <c r="B143" s="252">
        <v>2020.0</v>
      </c>
      <c r="C143" s="252">
        <v>90.0</v>
      </c>
      <c r="D143" s="252">
        <v>5.0</v>
      </c>
      <c r="E143" s="252">
        <v>4.0</v>
      </c>
      <c r="F143" s="252">
        <v>0.0</v>
      </c>
      <c r="G143" s="252">
        <v>0.0</v>
      </c>
      <c r="H143" s="252">
        <v>99.0</v>
      </c>
      <c r="I143" s="252"/>
      <c r="J143" s="252">
        <v>2020.0</v>
      </c>
      <c r="K143" s="252">
        <v>579.0</v>
      </c>
      <c r="L143" s="252">
        <v>501.0</v>
      </c>
      <c r="M143" s="252">
        <v>531.0</v>
      </c>
      <c r="N143" s="252">
        <v>584.0</v>
      </c>
      <c r="O143" s="252">
        <v>355.0</v>
      </c>
      <c r="P143" s="252">
        <v>2550.0</v>
      </c>
      <c r="Q143" s="131"/>
      <c r="R143" s="163"/>
      <c r="S143" s="163"/>
      <c r="T143" s="163"/>
      <c r="U143" s="163"/>
      <c r="V143" s="163"/>
      <c r="W143" s="163"/>
      <c r="X143" s="163"/>
      <c r="Y143" s="163"/>
      <c r="Z143" s="163"/>
      <c r="AA143" s="163"/>
      <c r="AB143" s="163"/>
      <c r="AC143" s="163"/>
      <c r="AD143" s="163"/>
      <c r="AE143" s="163"/>
      <c r="AF143" s="163"/>
      <c r="AG143" s="163"/>
      <c r="AH143" s="163"/>
      <c r="AI143" s="246" t="s">
        <v>340</v>
      </c>
      <c r="AJ143" s="246">
        <v>2020.0</v>
      </c>
      <c r="AK143" s="246">
        <v>407.0</v>
      </c>
      <c r="AL143" s="246">
        <v>483.0</v>
      </c>
      <c r="AM143" s="246">
        <v>642.0</v>
      </c>
      <c r="AN143" s="246">
        <v>831.0</v>
      </c>
      <c r="AO143" s="246">
        <v>496.0</v>
      </c>
      <c r="AP143" s="246">
        <v>2859.0</v>
      </c>
      <c r="AQ143" s="246"/>
      <c r="AR143" s="246">
        <v>2020.0</v>
      </c>
      <c r="AS143" s="246">
        <v>45.0</v>
      </c>
      <c r="AT143" s="246">
        <v>4.0</v>
      </c>
      <c r="AU143" s="246">
        <v>0.0</v>
      </c>
      <c r="AV143" s="246">
        <v>1.0</v>
      </c>
      <c r="AW143" s="246">
        <v>1.0</v>
      </c>
      <c r="AX143" s="246">
        <v>51.0</v>
      </c>
      <c r="AY143" s="163"/>
      <c r="AZ143" s="254" t="s">
        <v>497</v>
      </c>
      <c r="BA143" s="254">
        <v>2020.0</v>
      </c>
      <c r="BB143" s="254">
        <v>665.0</v>
      </c>
      <c r="BC143" s="254">
        <v>553.0</v>
      </c>
      <c r="BD143" s="254">
        <v>752.0</v>
      </c>
      <c r="BE143" s="254">
        <v>1051.0</v>
      </c>
      <c r="BF143" s="254">
        <v>942.0</v>
      </c>
      <c r="BG143" s="254">
        <v>3963.0</v>
      </c>
      <c r="BH143" s="254"/>
      <c r="BI143" s="254">
        <v>2020.0</v>
      </c>
      <c r="BJ143" s="254">
        <v>42.0</v>
      </c>
      <c r="BK143" s="254">
        <v>0.0</v>
      </c>
      <c r="BL143" s="254">
        <v>0.0</v>
      </c>
      <c r="BM143" s="254">
        <v>0.0</v>
      </c>
      <c r="BN143" s="254">
        <v>0.0</v>
      </c>
      <c r="BO143" s="254">
        <v>42.0</v>
      </c>
      <c r="BP143" s="163"/>
      <c r="BQ143" s="163"/>
      <c r="BR143" s="163"/>
      <c r="BS143" s="163"/>
      <c r="BT143" s="163"/>
      <c r="BU143" s="163"/>
      <c r="BV143" s="163"/>
      <c r="BW143" s="163"/>
      <c r="BX143" s="163"/>
      <c r="BY143" s="163"/>
      <c r="BZ143" s="163"/>
      <c r="CA143" s="163"/>
      <c r="CB143" s="163"/>
      <c r="CC143" s="163"/>
      <c r="CD143" s="163"/>
      <c r="CE143" s="163"/>
      <c r="CF143" s="163"/>
      <c r="CG143" s="163"/>
      <c r="CH143" s="163"/>
      <c r="CI143" s="163"/>
      <c r="CJ143" s="163"/>
      <c r="CK143" s="163"/>
      <c r="CL143" s="163"/>
      <c r="CM143" s="163"/>
      <c r="CN143" s="163"/>
      <c r="CO143" s="163"/>
      <c r="CP143" s="163"/>
      <c r="CQ143" s="163"/>
      <c r="CR143" s="163"/>
      <c r="CS143" s="163"/>
      <c r="CT143" s="163"/>
      <c r="CU143" s="163"/>
      <c r="CV143" s="163"/>
      <c r="CW143" s="163"/>
      <c r="CX143" s="163"/>
      <c r="CY143" s="163"/>
      <c r="CZ143" s="163"/>
      <c r="DA143" s="163"/>
      <c r="DB143" s="163"/>
      <c r="DC143" s="163"/>
      <c r="DD143" s="163"/>
      <c r="DE143" s="163"/>
      <c r="DF143" s="163"/>
      <c r="DG143" s="163"/>
      <c r="DH143" s="163"/>
      <c r="DI143" s="163"/>
      <c r="DJ143" s="163"/>
      <c r="DK143" s="163"/>
      <c r="DL143" s="163"/>
      <c r="DM143" s="163"/>
      <c r="DN143" s="163"/>
      <c r="DO143" s="163"/>
      <c r="DP143" s="163"/>
      <c r="DQ143" s="163"/>
      <c r="DR143" s="163"/>
      <c r="DS143" s="163"/>
      <c r="DT143" s="163"/>
      <c r="DU143" s="163"/>
      <c r="DV143" s="163"/>
      <c r="DW143" s="163"/>
      <c r="DX143" s="163"/>
      <c r="DY143" s="163"/>
      <c r="DZ143" s="163"/>
      <c r="EA143" s="163"/>
      <c r="EB143" s="163"/>
      <c r="EC143" s="163"/>
      <c r="ED143" s="163"/>
      <c r="EE143" s="163"/>
      <c r="EF143" s="163"/>
      <c r="EG143" s="163"/>
      <c r="EH143" s="163"/>
      <c r="EI143" s="163"/>
      <c r="EJ143" s="163"/>
      <c r="EK143" s="163"/>
      <c r="EL143" s="163"/>
      <c r="EM143" s="163"/>
      <c r="EN143" s="163"/>
      <c r="EO143" s="163"/>
      <c r="EP143" s="163"/>
      <c r="EQ143" s="163"/>
      <c r="ER143" s="163"/>
      <c r="ES143" s="163"/>
      <c r="ET143" s="163"/>
      <c r="EU143" s="163"/>
      <c r="EV143" s="163"/>
      <c r="EW143" s="163"/>
      <c r="EX143" s="163"/>
      <c r="EY143" s="163"/>
      <c r="EZ143" s="163"/>
      <c r="FA143" s="163"/>
      <c r="FB143" s="163"/>
      <c r="FC143" s="163"/>
      <c r="FD143" s="163"/>
      <c r="FE143" s="163"/>
      <c r="FF143" s="163"/>
      <c r="FG143" s="163"/>
      <c r="FH143" s="163"/>
      <c r="FI143" s="163"/>
      <c r="FJ143" s="163"/>
      <c r="FK143" s="163"/>
      <c r="FL143" s="163"/>
      <c r="FM143" s="163"/>
    </row>
    <row r="144" ht="13.5" customHeight="1">
      <c r="A144" s="252" t="s">
        <v>201</v>
      </c>
      <c r="B144" s="252">
        <v>2020.0</v>
      </c>
      <c r="C144" s="252">
        <v>33.0</v>
      </c>
      <c r="D144" s="252">
        <v>2.0</v>
      </c>
      <c r="E144" s="252">
        <v>0.0</v>
      </c>
      <c r="F144" s="252">
        <v>0.0</v>
      </c>
      <c r="G144" s="252">
        <v>0.0</v>
      </c>
      <c r="H144" s="252">
        <v>35.0</v>
      </c>
      <c r="I144" s="252"/>
      <c r="J144" s="252">
        <v>2020.0</v>
      </c>
      <c r="K144" s="252">
        <v>214.0</v>
      </c>
      <c r="L144" s="252">
        <v>224.0</v>
      </c>
      <c r="M144" s="252">
        <v>291.0</v>
      </c>
      <c r="N144" s="252">
        <v>360.0</v>
      </c>
      <c r="O144" s="252">
        <v>248.0</v>
      </c>
      <c r="P144" s="252">
        <v>1337.0</v>
      </c>
      <c r="Q144" s="131"/>
      <c r="R144" s="163"/>
      <c r="S144" s="163"/>
      <c r="T144" s="163"/>
      <c r="U144" s="163"/>
      <c r="V144" s="163"/>
      <c r="W144" s="163"/>
      <c r="X144" s="163"/>
      <c r="Y144" s="163"/>
      <c r="Z144" s="163"/>
      <c r="AA144" s="163"/>
      <c r="AB144" s="163"/>
      <c r="AC144" s="163"/>
      <c r="AD144" s="163"/>
      <c r="AE144" s="163"/>
      <c r="AF144" s="163"/>
      <c r="AG144" s="163"/>
      <c r="AH144" s="163"/>
      <c r="AI144" s="246" t="s">
        <v>342</v>
      </c>
      <c r="AJ144" s="246">
        <v>2020.0</v>
      </c>
      <c r="AK144" s="246">
        <v>135.0</v>
      </c>
      <c r="AL144" s="246">
        <v>190.0</v>
      </c>
      <c r="AM144" s="246">
        <v>318.0</v>
      </c>
      <c r="AN144" s="246">
        <v>420.0</v>
      </c>
      <c r="AO144" s="246">
        <v>308.0</v>
      </c>
      <c r="AP144" s="246">
        <v>1371.0</v>
      </c>
      <c r="AQ144" s="246"/>
      <c r="AR144" s="246">
        <v>2020.0</v>
      </c>
      <c r="AS144" s="246">
        <v>22.0</v>
      </c>
      <c r="AT144" s="246">
        <v>2.0</v>
      </c>
      <c r="AU144" s="246">
        <v>0.0</v>
      </c>
      <c r="AV144" s="246">
        <v>0.0</v>
      </c>
      <c r="AW144" s="246">
        <v>0.0</v>
      </c>
      <c r="AX144" s="246">
        <v>24.0</v>
      </c>
      <c r="AY144" s="163"/>
      <c r="AZ144" s="254" t="s">
        <v>502</v>
      </c>
      <c r="BA144" s="254">
        <v>2020.0</v>
      </c>
      <c r="BB144" s="254">
        <v>104.0</v>
      </c>
      <c r="BC144" s="254">
        <v>70.0</v>
      </c>
      <c r="BD144" s="254">
        <v>138.0</v>
      </c>
      <c r="BE144" s="254">
        <v>206.0</v>
      </c>
      <c r="BF144" s="254">
        <v>193.0</v>
      </c>
      <c r="BG144" s="254">
        <v>711.0</v>
      </c>
      <c r="BH144" s="254"/>
      <c r="BI144" s="254">
        <v>2020.0</v>
      </c>
      <c r="BJ144" s="254">
        <v>45.0</v>
      </c>
      <c r="BK144" s="254">
        <v>0.0</v>
      </c>
      <c r="BL144" s="254">
        <v>0.0</v>
      </c>
      <c r="BM144" s="254">
        <v>0.0</v>
      </c>
      <c r="BN144" s="254">
        <v>0.0</v>
      </c>
      <c r="BO144" s="254">
        <v>45.0</v>
      </c>
      <c r="BP144" s="163"/>
      <c r="BQ144" s="163"/>
      <c r="BR144" s="163"/>
      <c r="BS144" s="163"/>
      <c r="BT144" s="163"/>
      <c r="BU144" s="163"/>
      <c r="BV144" s="163"/>
      <c r="BW144" s="163"/>
      <c r="BX144" s="163"/>
      <c r="BY144" s="163"/>
      <c r="BZ144" s="163"/>
      <c r="CA144" s="163"/>
      <c r="CB144" s="163"/>
      <c r="CC144" s="163"/>
      <c r="CD144" s="163"/>
      <c r="CE144" s="163"/>
      <c r="CF144" s="163"/>
      <c r="CG144" s="163"/>
      <c r="CH144" s="163"/>
      <c r="CI144" s="163"/>
      <c r="CJ144" s="163"/>
      <c r="CK144" s="163"/>
      <c r="CL144" s="163"/>
      <c r="CM144" s="163"/>
      <c r="CN144" s="163"/>
      <c r="CO144" s="163"/>
      <c r="CP144" s="163"/>
      <c r="CQ144" s="163"/>
      <c r="CR144" s="163"/>
      <c r="CS144" s="163"/>
      <c r="CT144" s="163"/>
      <c r="CU144" s="163"/>
      <c r="CV144" s="163"/>
      <c r="CW144" s="163"/>
      <c r="CX144" s="163"/>
      <c r="CY144" s="163"/>
      <c r="CZ144" s="163"/>
      <c r="DA144" s="163"/>
      <c r="DB144" s="163"/>
      <c r="DC144" s="163"/>
      <c r="DD144" s="163"/>
      <c r="DE144" s="163"/>
      <c r="DF144" s="163"/>
      <c r="DG144" s="163"/>
      <c r="DH144" s="163"/>
      <c r="DI144" s="163"/>
      <c r="DJ144" s="163"/>
      <c r="DK144" s="163"/>
      <c r="DL144" s="163"/>
      <c r="DM144" s="163"/>
      <c r="DN144" s="163"/>
      <c r="DO144" s="163"/>
      <c r="DP144" s="163"/>
      <c r="DQ144" s="163"/>
      <c r="DR144" s="163"/>
      <c r="DS144" s="163"/>
      <c r="DT144" s="163"/>
      <c r="DU144" s="163"/>
      <c r="DV144" s="163"/>
      <c r="DW144" s="163"/>
      <c r="DX144" s="163"/>
      <c r="DY144" s="163"/>
      <c r="DZ144" s="163"/>
      <c r="EA144" s="163"/>
      <c r="EB144" s="163"/>
      <c r="EC144" s="163"/>
      <c r="ED144" s="163"/>
      <c r="EE144" s="163"/>
      <c r="EF144" s="163"/>
      <c r="EG144" s="163"/>
      <c r="EH144" s="163"/>
      <c r="EI144" s="163"/>
      <c r="EJ144" s="163"/>
      <c r="EK144" s="163"/>
      <c r="EL144" s="163"/>
      <c r="EM144" s="163"/>
      <c r="EN144" s="163"/>
      <c r="EO144" s="163"/>
      <c r="EP144" s="163"/>
      <c r="EQ144" s="163"/>
      <c r="ER144" s="163"/>
      <c r="ES144" s="163"/>
      <c r="ET144" s="163"/>
      <c r="EU144" s="163"/>
      <c r="EV144" s="163"/>
      <c r="EW144" s="163"/>
      <c r="EX144" s="163"/>
      <c r="EY144" s="163"/>
      <c r="EZ144" s="163"/>
      <c r="FA144" s="163"/>
      <c r="FB144" s="163"/>
      <c r="FC144" s="163"/>
      <c r="FD144" s="163"/>
      <c r="FE144" s="163"/>
      <c r="FF144" s="163"/>
      <c r="FG144" s="163"/>
      <c r="FH144" s="163"/>
      <c r="FI144" s="163"/>
      <c r="FJ144" s="163"/>
      <c r="FK144" s="163"/>
      <c r="FL144" s="163"/>
      <c r="FM144" s="163"/>
    </row>
    <row r="145" ht="13.5" customHeight="1">
      <c r="A145" s="252" t="s">
        <v>1201</v>
      </c>
      <c r="B145" s="252">
        <v>2020.0</v>
      </c>
      <c r="C145" s="252">
        <v>63.0</v>
      </c>
      <c r="D145" s="252">
        <v>1.0</v>
      </c>
      <c r="E145" s="252">
        <v>1.0</v>
      </c>
      <c r="F145" s="252">
        <v>0.0</v>
      </c>
      <c r="G145" s="252">
        <v>1.0</v>
      </c>
      <c r="H145" s="252">
        <v>66.0</v>
      </c>
      <c r="I145" s="252"/>
      <c r="J145" s="252">
        <v>2020.0</v>
      </c>
      <c r="K145" s="252">
        <v>466.0</v>
      </c>
      <c r="L145" s="252">
        <v>370.0</v>
      </c>
      <c r="M145" s="252">
        <v>408.0</v>
      </c>
      <c r="N145" s="252">
        <v>469.0</v>
      </c>
      <c r="O145" s="252">
        <v>348.0</v>
      </c>
      <c r="P145" s="252">
        <v>2061.0</v>
      </c>
      <c r="Q145" s="131"/>
      <c r="R145" s="163"/>
      <c r="S145" s="163"/>
      <c r="T145" s="163"/>
      <c r="U145" s="163"/>
      <c r="V145" s="163"/>
      <c r="W145" s="163"/>
      <c r="X145" s="163"/>
      <c r="Y145" s="163"/>
      <c r="Z145" s="163"/>
      <c r="AA145" s="163"/>
      <c r="AB145" s="163"/>
      <c r="AC145" s="163"/>
      <c r="AD145" s="163"/>
      <c r="AE145" s="163"/>
      <c r="AF145" s="163"/>
      <c r="AG145" s="163"/>
      <c r="AH145" s="163"/>
      <c r="AI145" s="246" t="s">
        <v>344</v>
      </c>
      <c r="AJ145" s="246">
        <v>2020.0</v>
      </c>
      <c r="AK145" s="246">
        <v>246.0</v>
      </c>
      <c r="AL145" s="246">
        <v>331.0</v>
      </c>
      <c r="AM145" s="246">
        <v>392.0</v>
      </c>
      <c r="AN145" s="246">
        <v>467.0</v>
      </c>
      <c r="AO145" s="246">
        <v>374.0</v>
      </c>
      <c r="AP145" s="246">
        <v>1810.0</v>
      </c>
      <c r="AQ145" s="246"/>
      <c r="AR145" s="246">
        <v>2020.0</v>
      </c>
      <c r="AS145" s="246">
        <v>18.0</v>
      </c>
      <c r="AT145" s="246">
        <v>0.0</v>
      </c>
      <c r="AU145" s="246">
        <v>0.0</v>
      </c>
      <c r="AV145" s="246">
        <v>0.0</v>
      </c>
      <c r="AW145" s="246">
        <v>0.0</v>
      </c>
      <c r="AX145" s="246">
        <v>18.0</v>
      </c>
      <c r="AY145" s="163"/>
      <c r="AZ145" s="254" t="s">
        <v>504</v>
      </c>
      <c r="BA145" s="254">
        <v>2020.0</v>
      </c>
      <c r="BB145" s="254">
        <v>339.0</v>
      </c>
      <c r="BC145" s="254">
        <v>255.0</v>
      </c>
      <c r="BD145" s="254">
        <v>365.0</v>
      </c>
      <c r="BE145" s="254">
        <v>411.0</v>
      </c>
      <c r="BF145" s="254">
        <v>381.0</v>
      </c>
      <c r="BG145" s="254">
        <v>1751.0</v>
      </c>
      <c r="BH145" s="254"/>
      <c r="BI145" s="254">
        <v>2020.0</v>
      </c>
      <c r="BJ145" s="254">
        <v>122.0</v>
      </c>
      <c r="BK145" s="254">
        <v>0.0</v>
      </c>
      <c r="BL145" s="254">
        <v>0.0</v>
      </c>
      <c r="BM145" s="254">
        <v>0.0</v>
      </c>
      <c r="BN145" s="254">
        <v>0.0</v>
      </c>
      <c r="BO145" s="254">
        <v>122.0</v>
      </c>
      <c r="BP145" s="163"/>
      <c r="BQ145" s="163"/>
      <c r="BR145" s="163"/>
      <c r="BS145" s="163"/>
      <c r="BT145" s="163"/>
      <c r="BU145" s="163"/>
      <c r="BV145" s="163"/>
      <c r="BW145" s="163"/>
      <c r="BX145" s="163"/>
      <c r="BY145" s="163"/>
      <c r="BZ145" s="163"/>
      <c r="CA145" s="163"/>
      <c r="CB145" s="163"/>
      <c r="CC145" s="163"/>
      <c r="CD145" s="163"/>
      <c r="CE145" s="163"/>
      <c r="CF145" s="163"/>
      <c r="CG145" s="163"/>
      <c r="CH145" s="163"/>
      <c r="CI145" s="163"/>
      <c r="CJ145" s="163"/>
      <c r="CK145" s="163"/>
      <c r="CL145" s="163"/>
      <c r="CM145" s="163"/>
      <c r="CN145" s="163"/>
      <c r="CO145" s="163"/>
      <c r="CP145" s="163"/>
      <c r="CQ145" s="163"/>
      <c r="CR145" s="163"/>
      <c r="CS145" s="163"/>
      <c r="CT145" s="163"/>
      <c r="CU145" s="163"/>
      <c r="CV145" s="163"/>
      <c r="CW145" s="163"/>
      <c r="CX145" s="163"/>
      <c r="CY145" s="163"/>
      <c r="CZ145" s="163"/>
      <c r="DA145" s="163"/>
      <c r="DB145" s="163"/>
      <c r="DC145" s="163"/>
      <c r="DD145" s="163"/>
      <c r="DE145" s="163"/>
      <c r="DF145" s="163"/>
      <c r="DG145" s="163"/>
      <c r="DH145" s="163"/>
      <c r="DI145" s="163"/>
      <c r="DJ145" s="163"/>
      <c r="DK145" s="163"/>
      <c r="DL145" s="163"/>
      <c r="DM145" s="163"/>
      <c r="DN145" s="163"/>
      <c r="DO145" s="163"/>
      <c r="DP145" s="163"/>
      <c r="DQ145" s="163"/>
      <c r="DR145" s="163"/>
      <c r="DS145" s="163"/>
      <c r="DT145" s="163"/>
      <c r="DU145" s="163"/>
      <c r="DV145" s="163"/>
      <c r="DW145" s="163"/>
      <c r="DX145" s="163"/>
      <c r="DY145" s="163"/>
      <c r="DZ145" s="163"/>
      <c r="EA145" s="163"/>
      <c r="EB145" s="163"/>
      <c r="EC145" s="163"/>
      <c r="ED145" s="163"/>
      <c r="EE145" s="163"/>
      <c r="EF145" s="163"/>
      <c r="EG145" s="163"/>
      <c r="EH145" s="163"/>
      <c r="EI145" s="163"/>
      <c r="EJ145" s="163"/>
      <c r="EK145" s="163"/>
      <c r="EL145" s="163"/>
      <c r="EM145" s="163"/>
      <c r="EN145" s="163"/>
      <c r="EO145" s="163"/>
      <c r="EP145" s="163"/>
      <c r="EQ145" s="163"/>
      <c r="ER145" s="163"/>
      <c r="ES145" s="163"/>
      <c r="ET145" s="163"/>
      <c r="EU145" s="163"/>
      <c r="EV145" s="163"/>
      <c r="EW145" s="163"/>
      <c r="EX145" s="163"/>
      <c r="EY145" s="163"/>
      <c r="EZ145" s="163"/>
      <c r="FA145" s="163"/>
      <c r="FB145" s="163"/>
      <c r="FC145" s="163"/>
      <c r="FD145" s="163"/>
      <c r="FE145" s="163"/>
      <c r="FF145" s="163"/>
      <c r="FG145" s="163"/>
      <c r="FH145" s="163"/>
      <c r="FI145" s="163"/>
      <c r="FJ145" s="163"/>
      <c r="FK145" s="163"/>
      <c r="FL145" s="163"/>
      <c r="FM145" s="163"/>
    </row>
    <row r="146" ht="13.5" customHeight="1">
      <c r="A146" s="252" t="s">
        <v>1204</v>
      </c>
      <c r="B146" s="252">
        <v>2020.0</v>
      </c>
      <c r="C146" s="252">
        <v>8.0</v>
      </c>
      <c r="D146" s="252">
        <v>3.0</v>
      </c>
      <c r="E146" s="252">
        <v>1.0</v>
      </c>
      <c r="F146" s="252">
        <v>0.0</v>
      </c>
      <c r="G146" s="252">
        <v>1.0</v>
      </c>
      <c r="H146" s="252">
        <v>13.0</v>
      </c>
      <c r="I146" s="252"/>
      <c r="J146" s="252">
        <v>2020.0</v>
      </c>
      <c r="K146" s="252">
        <v>121.0</v>
      </c>
      <c r="L146" s="252">
        <v>225.0</v>
      </c>
      <c r="M146" s="252">
        <v>273.0</v>
      </c>
      <c r="N146" s="252">
        <v>374.0</v>
      </c>
      <c r="O146" s="252">
        <v>311.0</v>
      </c>
      <c r="P146" s="252">
        <v>1304.0</v>
      </c>
      <c r="Q146" s="131"/>
      <c r="R146" s="163"/>
      <c r="S146" s="163"/>
      <c r="T146" s="163"/>
      <c r="U146" s="163"/>
      <c r="V146" s="163"/>
      <c r="W146" s="163"/>
      <c r="X146" s="163"/>
      <c r="Y146" s="163"/>
      <c r="Z146" s="163"/>
      <c r="AA146" s="163"/>
      <c r="AB146" s="163"/>
      <c r="AC146" s="163"/>
      <c r="AD146" s="163"/>
      <c r="AE146" s="163"/>
      <c r="AF146" s="163"/>
      <c r="AG146" s="163"/>
      <c r="AH146" s="163"/>
      <c r="AI146" s="246" t="s">
        <v>346</v>
      </c>
      <c r="AJ146" s="246">
        <v>2020.0</v>
      </c>
      <c r="AK146" s="246">
        <v>265.0</v>
      </c>
      <c r="AL146" s="246">
        <v>309.0</v>
      </c>
      <c r="AM146" s="246">
        <v>348.0</v>
      </c>
      <c r="AN146" s="246">
        <v>344.0</v>
      </c>
      <c r="AO146" s="246">
        <v>325.0</v>
      </c>
      <c r="AP146" s="246">
        <v>1591.0</v>
      </c>
      <c r="AQ146" s="246"/>
      <c r="AR146" s="246">
        <v>2020.0</v>
      </c>
      <c r="AS146" s="246">
        <v>27.0</v>
      </c>
      <c r="AT146" s="246">
        <v>1.0</v>
      </c>
      <c r="AU146" s="246">
        <v>0.0</v>
      </c>
      <c r="AV146" s="246">
        <v>0.0</v>
      </c>
      <c r="AW146" s="246">
        <v>0.0</v>
      </c>
      <c r="AX146" s="246">
        <v>28.0</v>
      </c>
      <c r="AY146" s="163"/>
      <c r="AZ146" s="254" t="s">
        <v>506</v>
      </c>
      <c r="BA146" s="254">
        <v>2020.0</v>
      </c>
      <c r="BB146" s="254">
        <v>130.0</v>
      </c>
      <c r="BC146" s="254">
        <v>66.0</v>
      </c>
      <c r="BD146" s="254">
        <v>119.0</v>
      </c>
      <c r="BE146" s="254">
        <v>154.0</v>
      </c>
      <c r="BF146" s="254">
        <v>158.0</v>
      </c>
      <c r="BG146" s="254">
        <v>627.0</v>
      </c>
      <c r="BH146" s="254"/>
      <c r="BI146" s="254">
        <v>2020.0</v>
      </c>
      <c r="BJ146" s="254">
        <v>33.0</v>
      </c>
      <c r="BK146" s="254">
        <v>0.0</v>
      </c>
      <c r="BL146" s="254">
        <v>0.0</v>
      </c>
      <c r="BM146" s="254">
        <v>0.0</v>
      </c>
      <c r="BN146" s="254">
        <v>0.0</v>
      </c>
      <c r="BO146" s="254">
        <v>33.0</v>
      </c>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row>
    <row r="147" ht="13.5" customHeight="1">
      <c r="A147" s="252" t="s">
        <v>198</v>
      </c>
      <c r="B147" s="252">
        <v>2020.0</v>
      </c>
      <c r="C147" s="252">
        <v>11.0</v>
      </c>
      <c r="D147" s="252">
        <v>1.0</v>
      </c>
      <c r="E147" s="252">
        <v>0.0</v>
      </c>
      <c r="F147" s="252">
        <v>0.0</v>
      </c>
      <c r="G147" s="252">
        <v>0.0</v>
      </c>
      <c r="H147" s="252">
        <v>12.0</v>
      </c>
      <c r="I147" s="252"/>
      <c r="J147" s="252">
        <v>2020.0</v>
      </c>
      <c r="K147" s="252">
        <v>97.0</v>
      </c>
      <c r="L147" s="252">
        <v>153.0</v>
      </c>
      <c r="M147" s="252">
        <v>241.0</v>
      </c>
      <c r="N147" s="252">
        <v>355.0</v>
      </c>
      <c r="O147" s="252">
        <v>261.0</v>
      </c>
      <c r="P147" s="252">
        <v>1107.0</v>
      </c>
      <c r="Q147" s="131"/>
      <c r="R147" s="163"/>
      <c r="S147" s="163"/>
      <c r="T147" s="163"/>
      <c r="U147" s="163"/>
      <c r="V147" s="163"/>
      <c r="W147" s="163"/>
      <c r="X147" s="163"/>
      <c r="Y147" s="163"/>
      <c r="Z147" s="163"/>
      <c r="AA147" s="163"/>
      <c r="AB147" s="163"/>
      <c r="AC147" s="163"/>
      <c r="AD147" s="163"/>
      <c r="AE147" s="163"/>
      <c r="AF147" s="163"/>
      <c r="AG147" s="163"/>
      <c r="AH147" s="163"/>
      <c r="AI147" s="246" t="s">
        <v>348</v>
      </c>
      <c r="AJ147" s="246">
        <v>2020.0</v>
      </c>
      <c r="AK147" s="246">
        <v>167.0</v>
      </c>
      <c r="AL147" s="246">
        <v>139.0</v>
      </c>
      <c r="AM147" s="246">
        <v>208.0</v>
      </c>
      <c r="AN147" s="246">
        <v>255.0</v>
      </c>
      <c r="AO147" s="246">
        <v>267.0</v>
      </c>
      <c r="AP147" s="246">
        <v>1036.0</v>
      </c>
      <c r="AQ147" s="246"/>
      <c r="AR147" s="246">
        <v>2020.0</v>
      </c>
      <c r="AS147" s="246">
        <v>52.0</v>
      </c>
      <c r="AT147" s="246">
        <v>1.0</v>
      </c>
      <c r="AU147" s="246">
        <v>0.0</v>
      </c>
      <c r="AV147" s="246">
        <v>0.0</v>
      </c>
      <c r="AW147" s="246">
        <v>0.0</v>
      </c>
      <c r="AX147" s="246">
        <v>53.0</v>
      </c>
      <c r="AY147" s="163"/>
      <c r="AZ147" s="254" t="s">
        <v>508</v>
      </c>
      <c r="BA147" s="254">
        <v>2020.0</v>
      </c>
      <c r="BB147" s="254">
        <v>55.0</v>
      </c>
      <c r="BC147" s="254">
        <v>51.0</v>
      </c>
      <c r="BD147" s="254">
        <v>90.0</v>
      </c>
      <c r="BE147" s="254">
        <v>107.0</v>
      </c>
      <c r="BF147" s="254">
        <v>125.0</v>
      </c>
      <c r="BG147" s="254">
        <v>428.0</v>
      </c>
      <c r="BH147" s="254"/>
      <c r="BI147" s="254">
        <v>2020.0</v>
      </c>
      <c r="BJ147" s="254">
        <v>21.0</v>
      </c>
      <c r="BK147" s="254">
        <v>0.0</v>
      </c>
      <c r="BL147" s="254">
        <v>0.0</v>
      </c>
      <c r="BM147" s="254">
        <v>0.0</v>
      </c>
      <c r="BN147" s="254">
        <v>0.0</v>
      </c>
      <c r="BO147" s="254">
        <v>21.0</v>
      </c>
      <c r="BP147" s="163"/>
      <c r="BQ147" s="163"/>
      <c r="BR147" s="163"/>
      <c r="BS147" s="163"/>
      <c r="BT147" s="163"/>
      <c r="BU147" s="163"/>
      <c r="BV147" s="163"/>
      <c r="BW147" s="163"/>
      <c r="BX147" s="163"/>
      <c r="BY147" s="163"/>
      <c r="BZ147" s="163"/>
      <c r="CA147" s="163"/>
      <c r="CB147" s="163"/>
      <c r="CC147" s="163"/>
      <c r="CD147" s="163"/>
      <c r="CE147" s="163"/>
      <c r="CF147" s="163"/>
      <c r="CG147" s="163"/>
      <c r="CH147" s="163"/>
      <c r="CI147" s="163"/>
      <c r="CJ147" s="163"/>
      <c r="CK147" s="163"/>
      <c r="CL147" s="163"/>
      <c r="CM147" s="163"/>
      <c r="CN147" s="163"/>
      <c r="CO147" s="163"/>
      <c r="CP147" s="163"/>
      <c r="CQ147" s="163"/>
      <c r="CR147" s="163"/>
      <c r="CS147" s="163"/>
      <c r="CT147" s="163"/>
      <c r="CU147" s="163"/>
      <c r="CV147" s="163"/>
      <c r="CW147" s="163"/>
      <c r="CX147" s="163"/>
      <c r="CY147" s="163"/>
      <c r="CZ147" s="163"/>
      <c r="DA147" s="163"/>
      <c r="DB147" s="163"/>
      <c r="DC147" s="163"/>
      <c r="DD147" s="163"/>
      <c r="DE147" s="163"/>
      <c r="DF147" s="163"/>
      <c r="DG147" s="163"/>
      <c r="DH147" s="163"/>
      <c r="DI147" s="163"/>
      <c r="DJ147" s="163"/>
      <c r="DK147" s="163"/>
      <c r="DL147" s="163"/>
      <c r="DM147" s="163"/>
      <c r="DN147" s="163"/>
      <c r="DO147" s="163"/>
      <c r="DP147" s="163"/>
      <c r="DQ147" s="163"/>
      <c r="DR147" s="163"/>
      <c r="DS147" s="163"/>
      <c r="DT147" s="163"/>
      <c r="DU147" s="163"/>
      <c r="DV147" s="163"/>
      <c r="DW147" s="163"/>
      <c r="DX147" s="163"/>
      <c r="DY147" s="163"/>
      <c r="DZ147" s="163"/>
      <c r="EA147" s="163"/>
      <c r="EB147" s="163"/>
      <c r="EC147" s="163"/>
      <c r="ED147" s="163"/>
      <c r="EE147" s="163"/>
      <c r="EF147" s="163"/>
      <c r="EG147" s="163"/>
      <c r="EH147" s="163"/>
      <c r="EI147" s="163"/>
      <c r="EJ147" s="163"/>
      <c r="EK147" s="163"/>
      <c r="EL147" s="163"/>
      <c r="EM147" s="163"/>
      <c r="EN147" s="163"/>
      <c r="EO147" s="163"/>
      <c r="EP147" s="163"/>
      <c r="EQ147" s="163"/>
      <c r="ER147" s="163"/>
      <c r="ES147" s="163"/>
      <c r="ET147" s="163"/>
      <c r="EU147" s="163"/>
      <c r="EV147" s="163"/>
      <c r="EW147" s="163"/>
      <c r="EX147" s="163"/>
      <c r="EY147" s="163"/>
      <c r="EZ147" s="163"/>
      <c r="FA147" s="163"/>
      <c r="FB147" s="163"/>
      <c r="FC147" s="163"/>
      <c r="FD147" s="163"/>
      <c r="FE147" s="163"/>
      <c r="FF147" s="163"/>
      <c r="FG147" s="163"/>
      <c r="FH147" s="163"/>
      <c r="FI147" s="163"/>
      <c r="FJ147" s="163"/>
      <c r="FK147" s="163"/>
      <c r="FL147" s="163"/>
      <c r="FM147" s="163"/>
    </row>
    <row r="148" ht="13.5" customHeight="1">
      <c r="A148" s="252" t="s">
        <v>1209</v>
      </c>
      <c r="B148" s="252">
        <v>2020.0</v>
      </c>
      <c r="C148" s="252">
        <v>47.0</v>
      </c>
      <c r="D148" s="252">
        <v>5.0</v>
      </c>
      <c r="E148" s="252">
        <v>2.0</v>
      </c>
      <c r="F148" s="252">
        <v>1.0</v>
      </c>
      <c r="G148" s="252">
        <v>0.0</v>
      </c>
      <c r="H148" s="252">
        <v>55.0</v>
      </c>
      <c r="I148" s="252"/>
      <c r="J148" s="252">
        <v>2020.0</v>
      </c>
      <c r="K148" s="252">
        <v>385.0</v>
      </c>
      <c r="L148" s="252">
        <v>372.0</v>
      </c>
      <c r="M148" s="252">
        <v>429.0</v>
      </c>
      <c r="N148" s="252">
        <v>517.0</v>
      </c>
      <c r="O148" s="252">
        <v>383.0</v>
      </c>
      <c r="P148" s="252">
        <v>2086.0</v>
      </c>
      <c r="Q148" s="131"/>
      <c r="R148" s="163"/>
      <c r="S148" s="163"/>
      <c r="T148" s="163"/>
      <c r="U148" s="163"/>
      <c r="V148" s="163"/>
      <c r="W148" s="163"/>
      <c r="X148" s="163"/>
      <c r="Y148" s="163"/>
      <c r="Z148" s="163"/>
      <c r="AA148" s="163"/>
      <c r="AB148" s="163"/>
      <c r="AC148" s="163"/>
      <c r="AD148" s="163"/>
      <c r="AE148" s="163"/>
      <c r="AF148" s="163"/>
      <c r="AG148" s="163"/>
      <c r="AH148" s="163"/>
      <c r="AI148" s="246" t="s">
        <v>350</v>
      </c>
      <c r="AJ148" s="246">
        <v>2020.0</v>
      </c>
      <c r="AK148" s="246">
        <v>135.0</v>
      </c>
      <c r="AL148" s="246">
        <v>239.0</v>
      </c>
      <c r="AM148" s="246">
        <v>397.0</v>
      </c>
      <c r="AN148" s="246">
        <v>564.0</v>
      </c>
      <c r="AO148" s="246">
        <v>446.0</v>
      </c>
      <c r="AP148" s="246">
        <v>1781.0</v>
      </c>
      <c r="AQ148" s="246"/>
      <c r="AR148" s="246">
        <v>2020.0</v>
      </c>
      <c r="AS148" s="246">
        <v>15.0</v>
      </c>
      <c r="AT148" s="246">
        <v>4.0</v>
      </c>
      <c r="AU148" s="246">
        <v>0.0</v>
      </c>
      <c r="AV148" s="246">
        <v>1.0</v>
      </c>
      <c r="AW148" s="246">
        <v>0.0</v>
      </c>
      <c r="AX148" s="246">
        <v>20.0</v>
      </c>
      <c r="AY148" s="163"/>
      <c r="AZ148" s="254" t="s">
        <v>510</v>
      </c>
      <c r="BA148" s="254">
        <v>2020.0</v>
      </c>
      <c r="BB148" s="254">
        <v>73.0</v>
      </c>
      <c r="BC148" s="254">
        <v>55.0</v>
      </c>
      <c r="BD148" s="254">
        <v>109.0</v>
      </c>
      <c r="BE148" s="254">
        <v>161.0</v>
      </c>
      <c r="BF148" s="254">
        <v>153.0</v>
      </c>
      <c r="BG148" s="254">
        <v>551.0</v>
      </c>
      <c r="BH148" s="254"/>
      <c r="BI148" s="254">
        <v>2020.0</v>
      </c>
      <c r="BJ148" s="254">
        <v>20.0</v>
      </c>
      <c r="BK148" s="254">
        <v>0.0</v>
      </c>
      <c r="BL148" s="254">
        <v>0.0</v>
      </c>
      <c r="BM148" s="254">
        <v>0.0</v>
      </c>
      <c r="BN148" s="254">
        <v>0.0</v>
      </c>
      <c r="BO148" s="254">
        <v>20.0</v>
      </c>
      <c r="BP148" s="163"/>
      <c r="BQ148" s="163"/>
      <c r="BR148" s="163"/>
      <c r="BS148" s="163"/>
      <c r="BT148" s="163"/>
      <c r="BU148" s="163"/>
      <c r="BV148" s="163"/>
      <c r="BW148" s="163"/>
      <c r="BX148" s="163"/>
      <c r="BY148" s="163"/>
      <c r="BZ148" s="163"/>
      <c r="CA148" s="163"/>
      <c r="CB148" s="163"/>
      <c r="CC148" s="163"/>
      <c r="CD148" s="163"/>
      <c r="CE148" s="163"/>
      <c r="CF148" s="163"/>
      <c r="CG148" s="163"/>
      <c r="CH148" s="163"/>
      <c r="CI148" s="163"/>
      <c r="CJ148" s="163"/>
      <c r="CK148" s="163"/>
      <c r="CL148" s="163"/>
      <c r="CM148" s="163"/>
      <c r="CN148" s="163"/>
      <c r="CO148" s="163"/>
      <c r="CP148" s="163"/>
      <c r="CQ148" s="163"/>
      <c r="CR148" s="163"/>
      <c r="CS148" s="163"/>
      <c r="CT148" s="163"/>
      <c r="CU148" s="163"/>
      <c r="CV148" s="163"/>
      <c r="CW148" s="163"/>
      <c r="CX148" s="163"/>
      <c r="CY148" s="163"/>
      <c r="CZ148" s="163"/>
      <c r="DA148" s="163"/>
      <c r="DB148" s="163"/>
      <c r="DC148" s="163"/>
      <c r="DD148" s="163"/>
      <c r="DE148" s="163"/>
      <c r="DF148" s="163"/>
      <c r="DG148" s="163"/>
      <c r="DH148" s="163"/>
      <c r="DI148" s="163"/>
      <c r="DJ148" s="163"/>
      <c r="DK148" s="163"/>
      <c r="DL148" s="163"/>
      <c r="DM148" s="163"/>
      <c r="DN148" s="163"/>
      <c r="DO148" s="163"/>
      <c r="DP148" s="163"/>
      <c r="DQ148" s="163"/>
      <c r="DR148" s="163"/>
      <c r="DS148" s="163"/>
      <c r="DT148" s="163"/>
      <c r="DU148" s="163"/>
      <c r="DV148" s="163"/>
      <c r="DW148" s="163"/>
      <c r="DX148" s="163"/>
      <c r="DY148" s="163"/>
      <c r="DZ148" s="163"/>
      <c r="EA148" s="163"/>
      <c r="EB148" s="163"/>
      <c r="EC148" s="163"/>
      <c r="ED148" s="163"/>
      <c r="EE148" s="163"/>
      <c r="EF148" s="163"/>
      <c r="EG148" s="163"/>
      <c r="EH148" s="163"/>
      <c r="EI148" s="163"/>
      <c r="EJ148" s="163"/>
      <c r="EK148" s="163"/>
      <c r="EL148" s="163"/>
      <c r="EM148" s="163"/>
      <c r="EN148" s="163"/>
      <c r="EO148" s="163"/>
      <c r="EP148" s="163"/>
      <c r="EQ148" s="163"/>
      <c r="ER148" s="163"/>
      <c r="ES148" s="163"/>
      <c r="ET148" s="163"/>
      <c r="EU148" s="163"/>
      <c r="EV148" s="163"/>
      <c r="EW148" s="163"/>
      <c r="EX148" s="163"/>
      <c r="EY148" s="163"/>
      <c r="EZ148" s="163"/>
      <c r="FA148" s="163"/>
      <c r="FB148" s="163"/>
      <c r="FC148" s="163"/>
      <c r="FD148" s="163"/>
      <c r="FE148" s="163"/>
      <c r="FF148" s="163"/>
      <c r="FG148" s="163"/>
      <c r="FH148" s="163"/>
      <c r="FI148" s="163"/>
      <c r="FJ148" s="163"/>
      <c r="FK148" s="163"/>
      <c r="FL148" s="163"/>
      <c r="FM148" s="163"/>
    </row>
    <row r="149" ht="13.5" customHeight="1">
      <c r="A149" s="252" t="s">
        <v>208</v>
      </c>
      <c r="B149" s="252">
        <v>2020.0</v>
      </c>
      <c r="C149" s="252" t="s">
        <v>541</v>
      </c>
      <c r="D149" s="252" t="s">
        <v>541</v>
      </c>
      <c r="E149" s="252" t="s">
        <v>541</v>
      </c>
      <c r="F149" s="252" t="s">
        <v>541</v>
      </c>
      <c r="G149" s="252" t="s">
        <v>541</v>
      </c>
      <c r="H149" s="252" t="s">
        <v>541</v>
      </c>
      <c r="I149" s="252"/>
      <c r="J149" s="252">
        <v>2020.0</v>
      </c>
      <c r="K149" s="252" t="s">
        <v>541</v>
      </c>
      <c r="L149" s="252" t="s">
        <v>541</v>
      </c>
      <c r="M149" s="252" t="s">
        <v>541</v>
      </c>
      <c r="N149" s="252" t="s">
        <v>541</v>
      </c>
      <c r="O149" s="252" t="s">
        <v>541</v>
      </c>
      <c r="P149" s="252" t="s">
        <v>541</v>
      </c>
      <c r="Q149" s="131"/>
      <c r="R149" s="163"/>
      <c r="S149" s="163"/>
      <c r="T149" s="163"/>
      <c r="U149" s="163"/>
      <c r="V149" s="163"/>
      <c r="W149" s="163"/>
      <c r="X149" s="163"/>
      <c r="Y149" s="163"/>
      <c r="Z149" s="163"/>
      <c r="AA149" s="163"/>
      <c r="AB149" s="163"/>
      <c r="AC149" s="163"/>
      <c r="AD149" s="163"/>
      <c r="AE149" s="163"/>
      <c r="AF149" s="163"/>
      <c r="AG149" s="163"/>
      <c r="AH149" s="163"/>
      <c r="AI149" s="246" t="s">
        <v>352</v>
      </c>
      <c r="AJ149" s="246">
        <v>2020.0</v>
      </c>
      <c r="AK149" s="246">
        <v>122.0</v>
      </c>
      <c r="AL149" s="246">
        <v>152.0</v>
      </c>
      <c r="AM149" s="246">
        <v>224.0</v>
      </c>
      <c r="AN149" s="246">
        <v>362.0</v>
      </c>
      <c r="AO149" s="246">
        <v>250.0</v>
      </c>
      <c r="AP149" s="246">
        <v>1110.0</v>
      </c>
      <c r="AQ149" s="246"/>
      <c r="AR149" s="246">
        <v>2020.0</v>
      </c>
      <c r="AS149" s="246">
        <v>23.0</v>
      </c>
      <c r="AT149" s="246">
        <v>2.0</v>
      </c>
      <c r="AU149" s="246">
        <v>0.0</v>
      </c>
      <c r="AV149" s="246">
        <v>0.0</v>
      </c>
      <c r="AW149" s="246">
        <v>0.0</v>
      </c>
      <c r="AX149" s="246">
        <v>25.0</v>
      </c>
      <c r="AY149" s="163"/>
      <c r="AZ149" s="254" t="s">
        <v>512</v>
      </c>
      <c r="BA149" s="254">
        <v>2020.0</v>
      </c>
      <c r="BB149" s="254">
        <v>46.0</v>
      </c>
      <c r="BC149" s="254">
        <v>42.0</v>
      </c>
      <c r="BD149" s="254">
        <v>94.0</v>
      </c>
      <c r="BE149" s="254">
        <v>132.0</v>
      </c>
      <c r="BF149" s="254">
        <v>145.0</v>
      </c>
      <c r="BG149" s="254">
        <v>459.0</v>
      </c>
      <c r="BH149" s="254"/>
      <c r="BI149" s="254">
        <v>2020.0</v>
      </c>
      <c r="BJ149" s="254">
        <v>16.0</v>
      </c>
      <c r="BK149" s="254">
        <v>0.0</v>
      </c>
      <c r="BL149" s="254">
        <v>0.0</v>
      </c>
      <c r="BM149" s="254">
        <v>0.0</v>
      </c>
      <c r="BN149" s="254">
        <v>0.0</v>
      </c>
      <c r="BO149" s="254">
        <v>16.0</v>
      </c>
      <c r="BP149" s="163"/>
      <c r="BQ149" s="163"/>
      <c r="BR149" s="163"/>
      <c r="BS149" s="163"/>
      <c r="BT149" s="163"/>
      <c r="BU149" s="163"/>
      <c r="BV149" s="163"/>
      <c r="BW149" s="163"/>
      <c r="BX149" s="163"/>
      <c r="BY149" s="163"/>
      <c r="BZ149" s="163"/>
      <c r="CA149" s="163"/>
      <c r="CB149" s="163"/>
      <c r="CC149" s="163"/>
      <c r="CD149" s="163"/>
      <c r="CE149" s="163"/>
      <c r="CF149" s="163"/>
      <c r="CG149" s="163"/>
      <c r="CH149" s="163"/>
      <c r="CI149" s="163"/>
      <c r="CJ149" s="163"/>
      <c r="CK149" s="163"/>
      <c r="CL149" s="163"/>
      <c r="CM149" s="163"/>
      <c r="CN149" s="163"/>
      <c r="CO149" s="163"/>
      <c r="CP149" s="163"/>
      <c r="CQ149" s="163"/>
      <c r="CR149" s="163"/>
      <c r="CS149" s="163"/>
      <c r="CT149" s="163"/>
      <c r="CU149" s="163"/>
      <c r="CV149" s="163"/>
      <c r="CW149" s="163"/>
      <c r="CX149" s="163"/>
      <c r="CY149" s="163"/>
      <c r="CZ149" s="163"/>
      <c r="DA149" s="163"/>
      <c r="DB149" s="163"/>
      <c r="DC149" s="163"/>
      <c r="DD149" s="163"/>
      <c r="DE149" s="163"/>
      <c r="DF149" s="163"/>
      <c r="DG149" s="163"/>
      <c r="DH149" s="163"/>
      <c r="DI149" s="163"/>
      <c r="DJ149" s="163"/>
      <c r="DK149" s="163"/>
      <c r="DL149" s="163"/>
      <c r="DM149" s="163"/>
      <c r="DN149" s="163"/>
      <c r="DO149" s="163"/>
      <c r="DP149" s="163"/>
      <c r="DQ149" s="163"/>
      <c r="DR149" s="163"/>
      <c r="DS149" s="163"/>
      <c r="DT149" s="163"/>
      <c r="DU149" s="163"/>
      <c r="DV149" s="163"/>
      <c r="DW149" s="163"/>
      <c r="DX149" s="163"/>
      <c r="DY149" s="163"/>
      <c r="DZ149" s="163"/>
      <c r="EA149" s="163"/>
      <c r="EB149" s="163"/>
      <c r="EC149" s="163"/>
      <c r="ED149" s="163"/>
      <c r="EE149" s="163"/>
      <c r="EF149" s="163"/>
      <c r="EG149" s="163"/>
      <c r="EH149" s="163"/>
      <c r="EI149" s="163"/>
      <c r="EJ149" s="163"/>
      <c r="EK149" s="163"/>
      <c r="EL149" s="163"/>
      <c r="EM149" s="163"/>
      <c r="EN149" s="163"/>
      <c r="EO149" s="163"/>
      <c r="EP149" s="163"/>
      <c r="EQ149" s="163"/>
      <c r="ER149" s="163"/>
      <c r="ES149" s="163"/>
      <c r="ET149" s="163"/>
      <c r="EU149" s="163"/>
      <c r="EV149" s="163"/>
      <c r="EW149" s="163"/>
      <c r="EX149" s="163"/>
      <c r="EY149" s="163"/>
      <c r="EZ149" s="163"/>
      <c r="FA149" s="163"/>
      <c r="FB149" s="163"/>
      <c r="FC149" s="163"/>
      <c r="FD149" s="163"/>
      <c r="FE149" s="163"/>
      <c r="FF149" s="163"/>
      <c r="FG149" s="163"/>
      <c r="FH149" s="163"/>
      <c r="FI149" s="163"/>
      <c r="FJ149" s="163"/>
      <c r="FK149" s="163"/>
      <c r="FL149" s="163"/>
      <c r="FM149" s="163"/>
    </row>
    <row r="150" ht="13.5" customHeight="1">
      <c r="A150" s="252" t="s">
        <v>1214</v>
      </c>
      <c r="B150" s="252">
        <v>2020.0</v>
      </c>
      <c r="C150" s="252">
        <v>16.0</v>
      </c>
      <c r="D150" s="252">
        <v>0.0</v>
      </c>
      <c r="E150" s="252">
        <v>0.0</v>
      </c>
      <c r="F150" s="252">
        <v>0.0</v>
      </c>
      <c r="G150" s="252">
        <v>0.0</v>
      </c>
      <c r="H150" s="252">
        <v>16.0</v>
      </c>
      <c r="I150" s="252"/>
      <c r="J150" s="252">
        <v>2020.0</v>
      </c>
      <c r="K150" s="252">
        <v>151.0</v>
      </c>
      <c r="L150" s="252">
        <v>109.0</v>
      </c>
      <c r="M150" s="252">
        <v>147.0</v>
      </c>
      <c r="N150" s="252">
        <v>220.0</v>
      </c>
      <c r="O150" s="252">
        <v>288.0</v>
      </c>
      <c r="P150" s="252">
        <v>915.0</v>
      </c>
      <c r="Q150" s="131"/>
      <c r="R150" s="163"/>
      <c r="S150" s="163"/>
      <c r="T150" s="163"/>
      <c r="U150" s="163"/>
      <c r="V150" s="163"/>
      <c r="W150" s="163"/>
      <c r="X150" s="163"/>
      <c r="Y150" s="163"/>
      <c r="Z150" s="163"/>
      <c r="AA150" s="163"/>
      <c r="AB150" s="163"/>
      <c r="AC150" s="163"/>
      <c r="AD150" s="163"/>
      <c r="AE150" s="163"/>
      <c r="AF150" s="163"/>
      <c r="AG150" s="163"/>
      <c r="AH150" s="163"/>
      <c r="AI150" s="246" t="s">
        <v>356</v>
      </c>
      <c r="AJ150" s="246">
        <v>2020.0</v>
      </c>
      <c r="AK150" s="246">
        <v>314.0</v>
      </c>
      <c r="AL150" s="246">
        <v>319.0</v>
      </c>
      <c r="AM150" s="246">
        <v>536.0</v>
      </c>
      <c r="AN150" s="246">
        <v>633.0</v>
      </c>
      <c r="AO150" s="246">
        <v>485.0</v>
      </c>
      <c r="AP150" s="246">
        <v>2287.0</v>
      </c>
      <c r="AQ150" s="246"/>
      <c r="AR150" s="246">
        <v>2020.0</v>
      </c>
      <c r="AS150" s="246">
        <v>34.0</v>
      </c>
      <c r="AT150" s="246">
        <v>2.0</v>
      </c>
      <c r="AU150" s="246">
        <v>1.0</v>
      </c>
      <c r="AV150" s="246">
        <v>0.0</v>
      </c>
      <c r="AW150" s="246">
        <v>0.0</v>
      </c>
      <c r="AX150" s="246">
        <v>37.0</v>
      </c>
      <c r="AY150" s="163"/>
      <c r="AZ150" s="254" t="s">
        <v>514</v>
      </c>
      <c r="BA150" s="254">
        <v>2020.0</v>
      </c>
      <c r="BB150" s="254">
        <v>529.0</v>
      </c>
      <c r="BC150" s="254">
        <v>325.0</v>
      </c>
      <c r="BD150" s="254">
        <v>412.0</v>
      </c>
      <c r="BE150" s="254">
        <v>422.0</v>
      </c>
      <c r="BF150" s="254">
        <v>404.0</v>
      </c>
      <c r="BG150" s="254">
        <v>2092.0</v>
      </c>
      <c r="BH150" s="254"/>
      <c r="BI150" s="254">
        <v>2020.0</v>
      </c>
      <c r="BJ150" s="254">
        <v>21.0</v>
      </c>
      <c r="BK150" s="254">
        <v>0.0</v>
      </c>
      <c r="BL150" s="254">
        <v>0.0</v>
      </c>
      <c r="BM150" s="254">
        <v>0.0</v>
      </c>
      <c r="BN150" s="254">
        <v>0.0</v>
      </c>
      <c r="BO150" s="254">
        <v>21.0</v>
      </c>
      <c r="BP150" s="163"/>
      <c r="BQ150" s="163"/>
      <c r="BR150" s="163"/>
      <c r="BS150" s="163"/>
      <c r="BT150" s="163"/>
      <c r="BU150" s="163"/>
      <c r="BV150" s="163"/>
      <c r="BW150" s="163"/>
      <c r="BX150" s="163"/>
      <c r="BY150" s="163"/>
      <c r="BZ150" s="163"/>
      <c r="CA150" s="163"/>
      <c r="CB150" s="163"/>
      <c r="CC150" s="163"/>
      <c r="CD150" s="163"/>
      <c r="CE150" s="163"/>
      <c r="CF150" s="163"/>
      <c r="CG150" s="163"/>
      <c r="CH150" s="163"/>
      <c r="CI150" s="163"/>
      <c r="CJ150" s="163"/>
      <c r="CK150" s="163"/>
      <c r="CL150" s="163"/>
      <c r="CM150" s="163"/>
      <c r="CN150" s="163"/>
      <c r="CO150" s="163"/>
      <c r="CP150" s="163"/>
      <c r="CQ150" s="163"/>
      <c r="CR150" s="163"/>
      <c r="CS150" s="163"/>
      <c r="CT150" s="163"/>
      <c r="CU150" s="163"/>
      <c r="CV150" s="163"/>
      <c r="CW150" s="163"/>
      <c r="CX150" s="163"/>
      <c r="CY150" s="163"/>
      <c r="CZ150" s="163"/>
      <c r="DA150" s="163"/>
      <c r="DB150" s="163"/>
      <c r="DC150" s="163"/>
      <c r="DD150" s="163"/>
      <c r="DE150" s="163"/>
      <c r="DF150" s="163"/>
      <c r="DG150" s="163"/>
      <c r="DH150" s="163"/>
      <c r="DI150" s="163"/>
      <c r="DJ150" s="163"/>
      <c r="DK150" s="163"/>
      <c r="DL150" s="163"/>
      <c r="DM150" s="163"/>
      <c r="DN150" s="163"/>
      <c r="DO150" s="163"/>
      <c r="DP150" s="163"/>
      <c r="DQ150" s="163"/>
      <c r="DR150" s="163"/>
      <c r="DS150" s="163"/>
      <c r="DT150" s="163"/>
      <c r="DU150" s="163"/>
      <c r="DV150" s="163"/>
      <c r="DW150" s="163"/>
      <c r="DX150" s="163"/>
      <c r="DY150" s="163"/>
      <c r="DZ150" s="163"/>
      <c r="EA150" s="163"/>
      <c r="EB150" s="163"/>
      <c r="EC150" s="163"/>
      <c r="ED150" s="163"/>
      <c r="EE150" s="163"/>
      <c r="EF150" s="163"/>
      <c r="EG150" s="163"/>
      <c r="EH150" s="163"/>
      <c r="EI150" s="163"/>
      <c r="EJ150" s="163"/>
      <c r="EK150" s="163"/>
      <c r="EL150" s="163"/>
      <c r="EM150" s="163"/>
      <c r="EN150" s="163"/>
      <c r="EO150" s="163"/>
      <c r="EP150" s="163"/>
      <c r="EQ150" s="163"/>
      <c r="ER150" s="163"/>
      <c r="ES150" s="163"/>
      <c r="ET150" s="163"/>
      <c r="EU150" s="163"/>
      <c r="EV150" s="163"/>
      <c r="EW150" s="163"/>
      <c r="EX150" s="163"/>
      <c r="EY150" s="163"/>
      <c r="EZ150" s="163"/>
      <c r="FA150" s="163"/>
      <c r="FB150" s="163"/>
      <c r="FC150" s="163"/>
      <c r="FD150" s="163"/>
      <c r="FE150" s="163"/>
      <c r="FF150" s="163"/>
      <c r="FG150" s="163"/>
      <c r="FH150" s="163"/>
      <c r="FI150" s="163"/>
      <c r="FJ150" s="163"/>
      <c r="FK150" s="163"/>
      <c r="FL150" s="163"/>
      <c r="FM150" s="163"/>
    </row>
    <row r="151" ht="13.5" customHeight="1">
      <c r="A151" s="252" t="s">
        <v>1218</v>
      </c>
      <c r="B151" s="252">
        <v>2020.0</v>
      </c>
      <c r="C151" s="252">
        <v>21.0</v>
      </c>
      <c r="D151" s="252">
        <v>1.0</v>
      </c>
      <c r="E151" s="252">
        <v>1.0</v>
      </c>
      <c r="F151" s="252">
        <v>1.0</v>
      </c>
      <c r="G151" s="252">
        <v>0.0</v>
      </c>
      <c r="H151" s="252">
        <v>24.0</v>
      </c>
      <c r="I151" s="252"/>
      <c r="J151" s="252">
        <v>2020.0</v>
      </c>
      <c r="K151" s="252">
        <v>181.0</v>
      </c>
      <c r="L151" s="252">
        <v>267.0</v>
      </c>
      <c r="M151" s="252">
        <v>384.0</v>
      </c>
      <c r="N151" s="252">
        <v>513.0</v>
      </c>
      <c r="O151" s="252">
        <v>345.0</v>
      </c>
      <c r="P151" s="252">
        <v>1690.0</v>
      </c>
      <c r="Q151" s="131"/>
      <c r="R151" s="163"/>
      <c r="S151" s="163"/>
      <c r="T151" s="163"/>
      <c r="U151" s="163"/>
      <c r="V151" s="163"/>
      <c r="W151" s="163"/>
      <c r="X151" s="163"/>
      <c r="Y151" s="163"/>
      <c r="Z151" s="163"/>
      <c r="AA151" s="163"/>
      <c r="AB151" s="163"/>
      <c r="AC151" s="163"/>
      <c r="AD151" s="163"/>
      <c r="AE151" s="163"/>
      <c r="AF151" s="163"/>
      <c r="AG151" s="163"/>
      <c r="AH151" s="163"/>
      <c r="AI151" s="246" t="s">
        <v>361</v>
      </c>
      <c r="AJ151" s="246">
        <v>2020.0</v>
      </c>
      <c r="AK151" s="246">
        <v>689.0</v>
      </c>
      <c r="AL151" s="246">
        <v>590.0</v>
      </c>
      <c r="AM151" s="246">
        <v>966.0</v>
      </c>
      <c r="AN151" s="246">
        <v>1238.0</v>
      </c>
      <c r="AO151" s="246">
        <v>863.0</v>
      </c>
      <c r="AP151" s="246">
        <v>4346.0</v>
      </c>
      <c r="AQ151" s="246"/>
      <c r="AR151" s="246">
        <v>2020.0</v>
      </c>
      <c r="AS151" s="246">
        <v>35.0</v>
      </c>
      <c r="AT151" s="246">
        <v>0.0</v>
      </c>
      <c r="AU151" s="246">
        <v>0.0</v>
      </c>
      <c r="AV151" s="246">
        <v>0.0</v>
      </c>
      <c r="AW151" s="246">
        <v>0.0</v>
      </c>
      <c r="AX151" s="246">
        <v>35.0</v>
      </c>
      <c r="AY151" s="163"/>
      <c r="AZ151" s="254" t="s">
        <v>516</v>
      </c>
      <c r="BA151" s="254">
        <v>2020.0</v>
      </c>
      <c r="BB151" s="254">
        <v>230.0</v>
      </c>
      <c r="BC151" s="254">
        <v>186.0</v>
      </c>
      <c r="BD151" s="254">
        <v>281.0</v>
      </c>
      <c r="BE151" s="254">
        <v>340.0</v>
      </c>
      <c r="BF151" s="254">
        <v>329.0</v>
      </c>
      <c r="BG151" s="254">
        <v>1366.0</v>
      </c>
      <c r="BH151" s="254"/>
      <c r="BI151" s="254">
        <v>2020.0</v>
      </c>
      <c r="BJ151" s="254">
        <v>19.0</v>
      </c>
      <c r="BK151" s="254">
        <v>0.0</v>
      </c>
      <c r="BL151" s="254">
        <v>0.0</v>
      </c>
      <c r="BM151" s="254">
        <v>0.0</v>
      </c>
      <c r="BN151" s="254">
        <v>0.0</v>
      </c>
      <c r="BO151" s="254">
        <v>19.0</v>
      </c>
      <c r="BP151" s="163"/>
      <c r="BQ151" s="163"/>
      <c r="BR151" s="163"/>
      <c r="BS151" s="163"/>
      <c r="BT151" s="163"/>
      <c r="BU151" s="163"/>
      <c r="BV151" s="163"/>
      <c r="BW151" s="163"/>
      <c r="BX151" s="163"/>
      <c r="BY151" s="163"/>
      <c r="BZ151" s="163"/>
      <c r="CA151" s="163"/>
      <c r="CB151" s="163"/>
      <c r="CC151" s="163"/>
      <c r="CD151" s="163"/>
      <c r="CE151" s="163"/>
      <c r="CF151" s="163"/>
      <c r="CG151" s="163"/>
      <c r="CH151" s="163"/>
      <c r="CI151" s="163"/>
      <c r="CJ151" s="163"/>
      <c r="CK151" s="163"/>
      <c r="CL151" s="163"/>
      <c r="CM151" s="163"/>
      <c r="CN151" s="163"/>
      <c r="CO151" s="163"/>
      <c r="CP151" s="163"/>
      <c r="CQ151" s="163"/>
      <c r="CR151" s="163"/>
      <c r="CS151" s="163"/>
      <c r="CT151" s="163"/>
      <c r="CU151" s="163"/>
      <c r="CV151" s="163"/>
      <c r="CW151" s="163"/>
      <c r="CX151" s="163"/>
      <c r="CY151" s="163"/>
      <c r="CZ151" s="163"/>
      <c r="DA151" s="163"/>
      <c r="DB151" s="163"/>
      <c r="DC151" s="163"/>
      <c r="DD151" s="163"/>
      <c r="DE151" s="163"/>
      <c r="DF151" s="163"/>
      <c r="DG151" s="163"/>
      <c r="DH151" s="163"/>
      <c r="DI151" s="163"/>
      <c r="DJ151" s="163"/>
      <c r="DK151" s="163"/>
      <c r="DL151" s="163"/>
      <c r="DM151" s="163"/>
      <c r="DN151" s="163"/>
      <c r="DO151" s="163"/>
      <c r="DP151" s="163"/>
      <c r="DQ151" s="163"/>
      <c r="DR151" s="163"/>
      <c r="DS151" s="163"/>
      <c r="DT151" s="163"/>
      <c r="DU151" s="163"/>
      <c r="DV151" s="163"/>
      <c r="DW151" s="163"/>
      <c r="DX151" s="163"/>
      <c r="DY151" s="163"/>
      <c r="DZ151" s="163"/>
      <c r="EA151" s="163"/>
      <c r="EB151" s="163"/>
      <c r="EC151" s="163"/>
      <c r="ED151" s="163"/>
      <c r="EE151" s="163"/>
      <c r="EF151" s="163"/>
      <c r="EG151" s="163"/>
      <c r="EH151" s="163"/>
      <c r="EI151" s="163"/>
      <c r="EJ151" s="163"/>
      <c r="EK151" s="163"/>
      <c r="EL151" s="163"/>
      <c r="EM151" s="163"/>
      <c r="EN151" s="163"/>
      <c r="EO151" s="163"/>
      <c r="EP151" s="163"/>
      <c r="EQ151" s="163"/>
      <c r="ER151" s="163"/>
      <c r="ES151" s="163"/>
      <c r="ET151" s="163"/>
      <c r="EU151" s="163"/>
      <c r="EV151" s="163"/>
      <c r="EW151" s="163"/>
      <c r="EX151" s="163"/>
      <c r="EY151" s="163"/>
      <c r="EZ151" s="163"/>
      <c r="FA151" s="163"/>
      <c r="FB151" s="163"/>
      <c r="FC151" s="163"/>
      <c r="FD151" s="163"/>
      <c r="FE151" s="163"/>
      <c r="FF151" s="163"/>
      <c r="FG151" s="163"/>
      <c r="FH151" s="163"/>
      <c r="FI151" s="163"/>
      <c r="FJ151" s="163"/>
      <c r="FK151" s="163"/>
      <c r="FL151" s="163"/>
      <c r="FM151" s="163"/>
    </row>
    <row r="152" ht="13.5" customHeight="1">
      <c r="A152" s="252" t="s">
        <v>1221</v>
      </c>
      <c r="B152" s="252">
        <v>2020.0</v>
      </c>
      <c r="C152" s="252">
        <v>10.0</v>
      </c>
      <c r="D152" s="252">
        <v>7.0</v>
      </c>
      <c r="E152" s="252">
        <v>3.0</v>
      </c>
      <c r="F152" s="252">
        <v>2.0</v>
      </c>
      <c r="G152" s="252">
        <v>0.0</v>
      </c>
      <c r="H152" s="252">
        <v>22.0</v>
      </c>
      <c r="I152" s="252"/>
      <c r="J152" s="252">
        <v>2020.0</v>
      </c>
      <c r="K152" s="252">
        <v>105.0</v>
      </c>
      <c r="L152" s="252">
        <v>217.0</v>
      </c>
      <c r="M152" s="252">
        <v>346.0</v>
      </c>
      <c r="N152" s="252">
        <v>434.0</v>
      </c>
      <c r="O152" s="252">
        <v>319.0</v>
      </c>
      <c r="P152" s="252">
        <v>1421.0</v>
      </c>
      <c r="Q152" s="131"/>
      <c r="R152" s="163"/>
      <c r="S152" s="163"/>
      <c r="T152" s="163"/>
      <c r="U152" s="163"/>
      <c r="V152" s="163"/>
      <c r="W152" s="163"/>
      <c r="X152" s="163"/>
      <c r="Y152" s="163"/>
      <c r="Z152" s="163"/>
      <c r="AA152" s="163"/>
      <c r="AB152" s="163"/>
      <c r="AC152" s="163"/>
      <c r="AD152" s="163"/>
      <c r="AE152" s="163"/>
      <c r="AF152" s="163"/>
      <c r="AG152" s="163"/>
      <c r="AH152" s="163"/>
      <c r="AI152" s="246" t="s">
        <v>365</v>
      </c>
      <c r="AJ152" s="246">
        <v>2020.0</v>
      </c>
      <c r="AK152" s="246">
        <v>108.0</v>
      </c>
      <c r="AL152" s="246">
        <v>145.0</v>
      </c>
      <c r="AM152" s="246">
        <v>196.0</v>
      </c>
      <c r="AN152" s="246">
        <v>243.0</v>
      </c>
      <c r="AO152" s="246">
        <v>184.0</v>
      </c>
      <c r="AP152" s="246">
        <v>876.0</v>
      </c>
      <c r="AQ152" s="246"/>
      <c r="AR152" s="246">
        <v>2020.0</v>
      </c>
      <c r="AS152" s="246">
        <v>17.0</v>
      </c>
      <c r="AT152" s="246">
        <v>3.0</v>
      </c>
      <c r="AU152" s="246">
        <v>1.0</v>
      </c>
      <c r="AV152" s="246">
        <v>1.0</v>
      </c>
      <c r="AW152" s="246">
        <v>0.0</v>
      </c>
      <c r="AX152" s="246">
        <v>22.0</v>
      </c>
      <c r="AY152" s="163"/>
      <c r="AZ152" s="254" t="s">
        <v>518</v>
      </c>
      <c r="BA152" s="254">
        <v>2020.0</v>
      </c>
      <c r="BB152" s="254">
        <v>62.0</v>
      </c>
      <c r="BC152" s="254">
        <v>109.0</v>
      </c>
      <c r="BD152" s="254">
        <v>214.0</v>
      </c>
      <c r="BE152" s="254">
        <v>279.0</v>
      </c>
      <c r="BF152" s="254">
        <v>232.0</v>
      </c>
      <c r="BG152" s="254">
        <v>896.0</v>
      </c>
      <c r="BH152" s="254"/>
      <c r="BI152" s="254">
        <v>2020.0</v>
      </c>
      <c r="BJ152" s="254">
        <v>12.0</v>
      </c>
      <c r="BK152" s="254">
        <v>0.0</v>
      </c>
      <c r="BL152" s="254">
        <v>0.0</v>
      </c>
      <c r="BM152" s="254">
        <v>0.0</v>
      </c>
      <c r="BN152" s="254">
        <v>0.0</v>
      </c>
      <c r="BO152" s="254">
        <v>12.0</v>
      </c>
      <c r="BP152" s="163"/>
      <c r="BQ152" s="163"/>
      <c r="BR152" s="163"/>
      <c r="BS152" s="163"/>
      <c r="BT152" s="163"/>
      <c r="BU152" s="163"/>
      <c r="BV152" s="163"/>
      <c r="BW152" s="163"/>
      <c r="BX152" s="163"/>
      <c r="BY152" s="163"/>
      <c r="BZ152" s="163"/>
      <c r="CA152" s="163"/>
      <c r="CB152" s="163"/>
      <c r="CC152" s="163"/>
      <c r="CD152" s="163"/>
      <c r="CE152" s="163"/>
      <c r="CF152" s="163"/>
      <c r="CG152" s="163"/>
      <c r="CH152" s="163"/>
      <c r="CI152" s="163"/>
      <c r="CJ152" s="163"/>
      <c r="CK152" s="163"/>
      <c r="CL152" s="163"/>
      <c r="CM152" s="163"/>
      <c r="CN152" s="163"/>
      <c r="CO152" s="163"/>
      <c r="CP152" s="163"/>
      <c r="CQ152" s="163"/>
      <c r="CR152" s="163"/>
      <c r="CS152" s="163"/>
      <c r="CT152" s="163"/>
      <c r="CU152" s="163"/>
      <c r="CV152" s="163"/>
      <c r="CW152" s="163"/>
      <c r="CX152" s="163"/>
      <c r="CY152" s="163"/>
      <c r="CZ152" s="163"/>
      <c r="DA152" s="163"/>
      <c r="DB152" s="163"/>
      <c r="DC152" s="163"/>
      <c r="DD152" s="163"/>
      <c r="DE152" s="163"/>
      <c r="DF152" s="163"/>
      <c r="DG152" s="163"/>
      <c r="DH152" s="163"/>
      <c r="DI152" s="163"/>
      <c r="DJ152" s="163"/>
      <c r="DK152" s="163"/>
      <c r="DL152" s="163"/>
      <c r="DM152" s="163"/>
      <c r="DN152" s="163"/>
      <c r="DO152" s="163"/>
      <c r="DP152" s="163"/>
      <c r="DQ152" s="163"/>
      <c r="DR152" s="163"/>
      <c r="DS152" s="163"/>
      <c r="DT152" s="163"/>
      <c r="DU152" s="163"/>
      <c r="DV152" s="163"/>
      <c r="DW152" s="163"/>
      <c r="DX152" s="163"/>
      <c r="DY152" s="163"/>
      <c r="DZ152" s="163"/>
      <c r="EA152" s="163"/>
      <c r="EB152" s="163"/>
      <c r="EC152" s="163"/>
      <c r="ED152" s="163"/>
      <c r="EE152" s="163"/>
      <c r="EF152" s="163"/>
      <c r="EG152" s="163"/>
      <c r="EH152" s="163"/>
      <c r="EI152" s="163"/>
      <c r="EJ152" s="163"/>
      <c r="EK152" s="163"/>
      <c r="EL152" s="163"/>
      <c r="EM152" s="163"/>
      <c r="EN152" s="163"/>
      <c r="EO152" s="163"/>
      <c r="EP152" s="163"/>
      <c r="EQ152" s="163"/>
      <c r="ER152" s="163"/>
      <c r="ES152" s="163"/>
      <c r="ET152" s="163"/>
      <c r="EU152" s="163"/>
      <c r="EV152" s="163"/>
      <c r="EW152" s="163"/>
      <c r="EX152" s="163"/>
      <c r="EY152" s="163"/>
      <c r="EZ152" s="163"/>
      <c r="FA152" s="163"/>
      <c r="FB152" s="163"/>
      <c r="FC152" s="163"/>
      <c r="FD152" s="163"/>
      <c r="FE152" s="163"/>
      <c r="FF152" s="163"/>
      <c r="FG152" s="163"/>
      <c r="FH152" s="163"/>
      <c r="FI152" s="163"/>
      <c r="FJ152" s="163"/>
      <c r="FK152" s="163"/>
      <c r="FL152" s="163"/>
      <c r="FM152" s="163"/>
    </row>
    <row r="153" ht="13.5" customHeight="1">
      <c r="A153" s="252" t="s">
        <v>1224</v>
      </c>
      <c r="B153" s="252">
        <v>2020.0</v>
      </c>
      <c r="C153" s="252">
        <v>24.0</v>
      </c>
      <c r="D153" s="252">
        <v>0.0</v>
      </c>
      <c r="E153" s="252">
        <v>1.0</v>
      </c>
      <c r="F153" s="252">
        <v>0.0</v>
      </c>
      <c r="G153" s="252">
        <v>0.0</v>
      </c>
      <c r="H153" s="252">
        <v>25.0</v>
      </c>
      <c r="I153" s="252"/>
      <c r="J153" s="252">
        <v>2020.0</v>
      </c>
      <c r="K153" s="252">
        <v>185.0</v>
      </c>
      <c r="L153" s="252">
        <v>264.0</v>
      </c>
      <c r="M153" s="252">
        <v>444.0</v>
      </c>
      <c r="N153" s="252">
        <v>539.0</v>
      </c>
      <c r="O153" s="252">
        <v>382.0</v>
      </c>
      <c r="P153" s="252">
        <v>1814.0</v>
      </c>
      <c r="Q153" s="131"/>
      <c r="R153" s="163"/>
      <c r="S153" s="163"/>
      <c r="T153" s="163"/>
      <c r="U153" s="163"/>
      <c r="V153" s="163"/>
      <c r="W153" s="163"/>
      <c r="X153" s="163"/>
      <c r="Y153" s="163"/>
      <c r="Z153" s="163"/>
      <c r="AA153" s="163"/>
      <c r="AB153" s="163"/>
      <c r="AC153" s="163"/>
      <c r="AD153" s="163"/>
      <c r="AE153" s="163"/>
      <c r="AF153" s="163"/>
      <c r="AG153" s="163"/>
      <c r="AH153" s="163"/>
      <c r="AI153" s="246" t="s">
        <v>368</v>
      </c>
      <c r="AJ153" s="246">
        <v>2020.0</v>
      </c>
      <c r="AK153" s="246" t="s">
        <v>541</v>
      </c>
      <c r="AL153" s="246" t="s">
        <v>541</v>
      </c>
      <c r="AM153" s="246" t="s">
        <v>541</v>
      </c>
      <c r="AN153" s="246" t="s">
        <v>541</v>
      </c>
      <c r="AO153" s="246" t="s">
        <v>541</v>
      </c>
      <c r="AP153" s="246" t="s">
        <v>541</v>
      </c>
      <c r="AQ153" s="246"/>
      <c r="AR153" s="246">
        <v>2020.0</v>
      </c>
      <c r="AS153" s="246" t="s">
        <v>541</v>
      </c>
      <c r="AT153" s="246" t="s">
        <v>541</v>
      </c>
      <c r="AU153" s="246" t="s">
        <v>541</v>
      </c>
      <c r="AV153" s="246" t="s">
        <v>541</v>
      </c>
      <c r="AW153" s="246" t="s">
        <v>541</v>
      </c>
      <c r="AX153" s="246" t="s">
        <v>541</v>
      </c>
      <c r="AY153" s="163"/>
      <c r="AZ153" s="254" t="s">
        <v>521</v>
      </c>
      <c r="BA153" s="254">
        <v>2020.0</v>
      </c>
      <c r="BB153" s="254">
        <v>155.0</v>
      </c>
      <c r="BC153" s="254">
        <v>143.0</v>
      </c>
      <c r="BD153" s="254">
        <v>219.0</v>
      </c>
      <c r="BE153" s="254">
        <v>294.0</v>
      </c>
      <c r="BF153" s="254">
        <v>269.0</v>
      </c>
      <c r="BG153" s="254">
        <v>1080.0</v>
      </c>
      <c r="BH153" s="254"/>
      <c r="BI153" s="254">
        <v>2020.0</v>
      </c>
      <c r="BJ153" s="254">
        <v>18.0</v>
      </c>
      <c r="BK153" s="254">
        <v>0.0</v>
      </c>
      <c r="BL153" s="254">
        <v>0.0</v>
      </c>
      <c r="BM153" s="254">
        <v>0.0</v>
      </c>
      <c r="BN153" s="254">
        <v>0.0</v>
      </c>
      <c r="BO153" s="254">
        <v>18.0</v>
      </c>
      <c r="BP153" s="163"/>
      <c r="BQ153" s="163"/>
      <c r="BR153" s="163"/>
      <c r="BS153" s="163"/>
      <c r="BT153" s="163"/>
      <c r="BU153" s="163"/>
      <c r="BV153" s="163"/>
      <c r="BW153" s="163"/>
      <c r="BX153" s="163"/>
      <c r="BY153" s="163"/>
      <c r="BZ153" s="163"/>
      <c r="CA153" s="163"/>
      <c r="CB153" s="163"/>
      <c r="CC153" s="163"/>
      <c r="CD153" s="163"/>
      <c r="CE153" s="163"/>
      <c r="CF153" s="163"/>
      <c r="CG153" s="163"/>
      <c r="CH153" s="163"/>
      <c r="CI153" s="163"/>
      <c r="CJ153" s="163"/>
      <c r="CK153" s="163"/>
      <c r="CL153" s="163"/>
      <c r="CM153" s="163"/>
      <c r="CN153" s="163"/>
      <c r="CO153" s="163"/>
      <c r="CP153" s="163"/>
      <c r="CQ153" s="163"/>
      <c r="CR153" s="163"/>
      <c r="CS153" s="163"/>
      <c r="CT153" s="163"/>
      <c r="CU153" s="163"/>
      <c r="CV153" s="163"/>
      <c r="CW153" s="163"/>
      <c r="CX153" s="163"/>
      <c r="CY153" s="163"/>
      <c r="CZ153" s="163"/>
      <c r="DA153" s="163"/>
      <c r="DB153" s="163"/>
      <c r="DC153" s="163"/>
      <c r="DD153" s="163"/>
      <c r="DE153" s="163"/>
      <c r="DF153" s="163"/>
      <c r="DG153" s="163"/>
      <c r="DH153" s="163"/>
      <c r="DI153" s="163"/>
      <c r="DJ153" s="163"/>
      <c r="DK153" s="163"/>
      <c r="DL153" s="163"/>
      <c r="DM153" s="163"/>
      <c r="DN153" s="163"/>
      <c r="DO153" s="163"/>
      <c r="DP153" s="163"/>
      <c r="DQ153" s="163"/>
      <c r="DR153" s="163"/>
      <c r="DS153" s="163"/>
      <c r="DT153" s="163"/>
      <c r="DU153" s="163"/>
      <c r="DV153" s="163"/>
      <c r="DW153" s="163"/>
      <c r="DX153" s="163"/>
      <c r="DY153" s="163"/>
      <c r="DZ153" s="163"/>
      <c r="EA153" s="163"/>
      <c r="EB153" s="163"/>
      <c r="EC153" s="163"/>
      <c r="ED153" s="163"/>
      <c r="EE153" s="163"/>
      <c r="EF153" s="163"/>
      <c r="EG153" s="163"/>
      <c r="EH153" s="163"/>
      <c r="EI153" s="163"/>
      <c r="EJ153" s="163"/>
      <c r="EK153" s="163"/>
      <c r="EL153" s="163"/>
      <c r="EM153" s="163"/>
      <c r="EN153" s="163"/>
      <c r="EO153" s="163"/>
      <c r="EP153" s="163"/>
      <c r="EQ153" s="163"/>
      <c r="ER153" s="163"/>
      <c r="ES153" s="163"/>
      <c r="ET153" s="163"/>
      <c r="EU153" s="163"/>
      <c r="EV153" s="163"/>
      <c r="EW153" s="163"/>
      <c r="EX153" s="163"/>
      <c r="EY153" s="163"/>
      <c r="EZ153" s="163"/>
      <c r="FA153" s="163"/>
      <c r="FB153" s="163"/>
      <c r="FC153" s="163"/>
      <c r="FD153" s="163"/>
      <c r="FE153" s="163"/>
      <c r="FF153" s="163"/>
      <c r="FG153" s="163"/>
      <c r="FH153" s="163"/>
      <c r="FI153" s="163"/>
      <c r="FJ153" s="163"/>
      <c r="FK153" s="163"/>
      <c r="FL153" s="163"/>
      <c r="FM153" s="163"/>
    </row>
    <row r="154" ht="13.5" customHeight="1">
      <c r="A154" s="252"/>
      <c r="B154" s="252"/>
      <c r="C154" s="252"/>
      <c r="D154" s="252"/>
      <c r="E154" s="252"/>
      <c r="F154" s="252"/>
      <c r="G154" s="252"/>
      <c r="H154" s="252"/>
      <c r="I154" s="252"/>
      <c r="J154" s="252"/>
      <c r="K154" s="252"/>
      <c r="L154" s="252"/>
      <c r="M154" s="252"/>
      <c r="N154" s="252"/>
      <c r="O154" s="252"/>
      <c r="P154" s="252"/>
      <c r="Q154" s="131"/>
      <c r="R154" s="163"/>
      <c r="S154" s="163"/>
      <c r="T154" s="163"/>
      <c r="U154" s="163"/>
      <c r="V154" s="163"/>
      <c r="W154" s="163"/>
      <c r="X154" s="163"/>
      <c r="Y154" s="163"/>
      <c r="Z154" s="163"/>
      <c r="AA154" s="163"/>
      <c r="AB154" s="163"/>
      <c r="AC154" s="163"/>
      <c r="AD154" s="163"/>
      <c r="AE154" s="163"/>
      <c r="AF154" s="163"/>
      <c r="AG154" s="163"/>
      <c r="AH154" s="163"/>
      <c r="AI154" s="246" t="s">
        <v>370</v>
      </c>
      <c r="AJ154" s="246">
        <v>2020.0</v>
      </c>
      <c r="AK154" s="246">
        <v>520.0</v>
      </c>
      <c r="AL154" s="246">
        <v>422.0</v>
      </c>
      <c r="AM154" s="246">
        <v>467.0</v>
      </c>
      <c r="AN154" s="246">
        <v>454.0</v>
      </c>
      <c r="AO154" s="246">
        <v>292.0</v>
      </c>
      <c r="AP154" s="246">
        <v>2155.0</v>
      </c>
      <c r="AQ154" s="246"/>
      <c r="AR154" s="246">
        <v>2020.0</v>
      </c>
      <c r="AS154" s="246">
        <v>87.0</v>
      </c>
      <c r="AT154" s="246">
        <v>6.0</v>
      </c>
      <c r="AU154" s="246">
        <v>1.0</v>
      </c>
      <c r="AV154" s="246">
        <v>1.0</v>
      </c>
      <c r="AW154" s="246">
        <v>0.0</v>
      </c>
      <c r="AX154" s="246">
        <v>95.0</v>
      </c>
      <c r="AY154" s="163"/>
      <c r="AZ154" s="254" t="s">
        <v>523</v>
      </c>
      <c r="BA154" s="254">
        <v>2020.0</v>
      </c>
      <c r="BB154" s="254">
        <v>521.0</v>
      </c>
      <c r="BC154" s="254">
        <v>645.0</v>
      </c>
      <c r="BD154" s="254">
        <v>999.0</v>
      </c>
      <c r="BE154" s="254">
        <v>1117.0</v>
      </c>
      <c r="BF154" s="254">
        <v>908.0</v>
      </c>
      <c r="BG154" s="254">
        <v>4190.0</v>
      </c>
      <c r="BH154" s="254"/>
      <c r="BI154" s="254">
        <v>2020.0</v>
      </c>
      <c r="BJ154" s="254">
        <v>20.0</v>
      </c>
      <c r="BK154" s="254">
        <v>0.0</v>
      </c>
      <c r="BL154" s="254">
        <v>0.0</v>
      </c>
      <c r="BM154" s="254">
        <v>0.0</v>
      </c>
      <c r="BN154" s="254">
        <v>0.0</v>
      </c>
      <c r="BO154" s="254">
        <v>20.0</v>
      </c>
      <c r="BP154" s="163"/>
      <c r="BQ154" s="163"/>
      <c r="BR154" s="163"/>
      <c r="BS154" s="163"/>
      <c r="BT154" s="163"/>
      <c r="BU154" s="163"/>
      <c r="BV154" s="163"/>
      <c r="BW154" s="163"/>
      <c r="BX154" s="163"/>
      <c r="BY154" s="163"/>
      <c r="BZ154" s="163"/>
      <c r="CA154" s="163"/>
      <c r="CB154" s="163"/>
      <c r="CC154" s="163"/>
      <c r="CD154" s="163"/>
      <c r="CE154" s="163"/>
      <c r="CF154" s="163"/>
      <c r="CG154" s="163"/>
      <c r="CH154" s="163"/>
      <c r="CI154" s="163"/>
      <c r="CJ154" s="163"/>
      <c r="CK154" s="163"/>
      <c r="CL154" s="163"/>
      <c r="CM154" s="163"/>
      <c r="CN154" s="163"/>
      <c r="CO154" s="163"/>
      <c r="CP154" s="163"/>
      <c r="CQ154" s="163"/>
      <c r="CR154" s="163"/>
      <c r="CS154" s="163"/>
      <c r="CT154" s="163"/>
      <c r="CU154" s="163"/>
      <c r="CV154" s="163"/>
      <c r="CW154" s="163"/>
      <c r="CX154" s="163"/>
      <c r="CY154" s="163"/>
      <c r="CZ154" s="163"/>
      <c r="DA154" s="163"/>
      <c r="DB154" s="163"/>
      <c r="DC154" s="163"/>
      <c r="DD154" s="163"/>
      <c r="DE154" s="163"/>
      <c r="DF154" s="163"/>
      <c r="DG154" s="163"/>
      <c r="DH154" s="163"/>
      <c r="DI154" s="163"/>
      <c r="DJ154" s="163"/>
      <c r="DK154" s="163"/>
      <c r="DL154" s="163"/>
      <c r="DM154" s="163"/>
      <c r="DN154" s="163"/>
      <c r="DO154" s="163"/>
      <c r="DP154" s="163"/>
      <c r="DQ154" s="163"/>
      <c r="DR154" s="163"/>
      <c r="DS154" s="163"/>
      <c r="DT154" s="163"/>
      <c r="DU154" s="163"/>
      <c r="DV154" s="163"/>
      <c r="DW154" s="163"/>
      <c r="DX154" s="163"/>
      <c r="DY154" s="163"/>
      <c r="DZ154" s="163"/>
      <c r="EA154" s="163"/>
      <c r="EB154" s="163"/>
      <c r="EC154" s="163"/>
      <c r="ED154" s="163"/>
      <c r="EE154" s="163"/>
      <c r="EF154" s="163"/>
      <c r="EG154" s="163"/>
      <c r="EH154" s="163"/>
      <c r="EI154" s="163"/>
      <c r="EJ154" s="163"/>
      <c r="EK154" s="163"/>
      <c r="EL154" s="163"/>
      <c r="EM154" s="163"/>
      <c r="EN154" s="163"/>
      <c r="EO154" s="163"/>
      <c r="EP154" s="163"/>
      <c r="EQ154" s="163"/>
      <c r="ER154" s="163"/>
      <c r="ES154" s="163"/>
      <c r="ET154" s="163"/>
      <c r="EU154" s="163"/>
      <c r="EV154" s="163"/>
      <c r="EW154" s="163"/>
      <c r="EX154" s="163"/>
      <c r="EY154" s="163"/>
      <c r="EZ154" s="163"/>
      <c r="FA154" s="163"/>
      <c r="FB154" s="163"/>
      <c r="FC154" s="163"/>
      <c r="FD154" s="163"/>
      <c r="FE154" s="163"/>
      <c r="FF154" s="163"/>
      <c r="FG154" s="163"/>
      <c r="FH154" s="163"/>
      <c r="FI154" s="163"/>
      <c r="FJ154" s="163"/>
      <c r="FK154" s="163"/>
      <c r="FL154" s="163"/>
      <c r="FM154" s="163"/>
    </row>
    <row r="155" ht="13.5" customHeight="1">
      <c r="A155" s="252"/>
      <c r="B155" s="252"/>
      <c r="C155" s="252"/>
      <c r="D155" s="252"/>
      <c r="E155" s="252"/>
      <c r="F155" s="252"/>
      <c r="G155" s="252"/>
      <c r="H155" s="252"/>
      <c r="I155" s="252"/>
      <c r="J155" s="252"/>
      <c r="K155" s="252"/>
      <c r="L155" s="252"/>
      <c r="M155" s="252"/>
      <c r="N155" s="252"/>
      <c r="O155" s="252"/>
      <c r="P155" s="252"/>
      <c r="Q155" s="131"/>
      <c r="R155" s="163"/>
      <c r="S155" s="163"/>
      <c r="T155" s="163"/>
      <c r="U155" s="163"/>
      <c r="V155" s="163"/>
      <c r="W155" s="163"/>
      <c r="X155" s="163"/>
      <c r="Y155" s="163"/>
      <c r="Z155" s="163"/>
      <c r="AA155" s="163"/>
      <c r="AB155" s="163"/>
      <c r="AC155" s="163"/>
      <c r="AD155" s="163"/>
      <c r="AE155" s="163"/>
      <c r="AF155" s="163"/>
      <c r="AG155" s="163"/>
      <c r="AH155" s="163"/>
      <c r="AI155" s="246" t="s">
        <v>373</v>
      </c>
      <c r="AJ155" s="246">
        <v>2020.0</v>
      </c>
      <c r="AK155" s="246">
        <v>888.0</v>
      </c>
      <c r="AL155" s="246">
        <v>831.0</v>
      </c>
      <c r="AM155" s="246">
        <v>1314.0</v>
      </c>
      <c r="AN155" s="246">
        <v>1774.0</v>
      </c>
      <c r="AO155" s="246">
        <v>1352.0</v>
      </c>
      <c r="AP155" s="246">
        <v>6159.0</v>
      </c>
      <c r="AQ155" s="246"/>
      <c r="AR155" s="246">
        <v>2020.0</v>
      </c>
      <c r="AS155" s="246">
        <v>49.0</v>
      </c>
      <c r="AT155" s="246">
        <v>0.0</v>
      </c>
      <c r="AU155" s="246">
        <v>0.0</v>
      </c>
      <c r="AV155" s="246">
        <v>0.0</v>
      </c>
      <c r="AW155" s="246">
        <v>0.0</v>
      </c>
      <c r="AX155" s="246">
        <v>49.0</v>
      </c>
      <c r="AY155" s="163"/>
      <c r="AZ155" s="254" t="s">
        <v>526</v>
      </c>
      <c r="BA155" s="254">
        <v>2020.0</v>
      </c>
      <c r="BB155" s="254">
        <v>1642.0</v>
      </c>
      <c r="BC155" s="254">
        <v>1180.0</v>
      </c>
      <c r="BD155" s="254">
        <v>1104.0</v>
      </c>
      <c r="BE155" s="254">
        <v>1005.0</v>
      </c>
      <c r="BF155" s="254">
        <v>723.0</v>
      </c>
      <c r="BG155" s="254">
        <v>5654.0</v>
      </c>
      <c r="BH155" s="254"/>
      <c r="BI155" s="254">
        <v>2020.0</v>
      </c>
      <c r="BJ155" s="254">
        <v>251.0</v>
      </c>
      <c r="BK155" s="254">
        <v>3.0</v>
      </c>
      <c r="BL155" s="254">
        <v>0.0</v>
      </c>
      <c r="BM155" s="254">
        <v>0.0</v>
      </c>
      <c r="BN155" s="254">
        <v>0.0</v>
      </c>
      <c r="BO155" s="254">
        <v>254.0</v>
      </c>
      <c r="BP155" s="163"/>
      <c r="BQ155" s="163"/>
      <c r="BR155" s="163"/>
      <c r="BS155" s="163"/>
      <c r="BT155" s="163"/>
      <c r="BU155" s="163"/>
      <c r="BV155" s="163"/>
      <c r="BW155" s="163"/>
      <c r="BX155" s="163"/>
      <c r="BY155" s="163"/>
      <c r="BZ155" s="163"/>
      <c r="CA155" s="163"/>
      <c r="CB155" s="163"/>
      <c r="CC155" s="163"/>
      <c r="CD155" s="163"/>
      <c r="CE155" s="163"/>
      <c r="CF155" s="163"/>
      <c r="CG155" s="163"/>
      <c r="CH155" s="163"/>
      <c r="CI155" s="163"/>
      <c r="CJ155" s="163"/>
      <c r="CK155" s="163"/>
      <c r="CL155" s="163"/>
      <c r="CM155" s="163"/>
      <c r="CN155" s="163"/>
      <c r="CO155" s="163"/>
      <c r="CP155" s="163"/>
      <c r="CQ155" s="163"/>
      <c r="CR155" s="163"/>
      <c r="CS155" s="163"/>
      <c r="CT155" s="163"/>
      <c r="CU155" s="163"/>
      <c r="CV155" s="163"/>
      <c r="CW155" s="163"/>
      <c r="CX155" s="163"/>
      <c r="CY155" s="163"/>
      <c r="CZ155" s="163"/>
      <c r="DA155" s="163"/>
      <c r="DB155" s="163"/>
      <c r="DC155" s="163"/>
      <c r="DD155" s="163"/>
      <c r="DE155" s="163"/>
      <c r="DF155" s="163"/>
      <c r="DG155" s="163"/>
      <c r="DH155" s="163"/>
      <c r="DI155" s="163"/>
      <c r="DJ155" s="163"/>
      <c r="DK155" s="163"/>
      <c r="DL155" s="163"/>
      <c r="DM155" s="163"/>
      <c r="DN155" s="163"/>
      <c r="DO155" s="163"/>
      <c r="DP155" s="163"/>
      <c r="DQ155" s="163"/>
      <c r="DR155" s="163"/>
      <c r="DS155" s="163"/>
      <c r="DT155" s="163"/>
      <c r="DU155" s="163"/>
      <c r="DV155" s="163"/>
      <c r="DW155" s="163"/>
      <c r="DX155" s="163"/>
      <c r="DY155" s="163"/>
      <c r="DZ155" s="163"/>
      <c r="EA155" s="163"/>
      <c r="EB155" s="163"/>
      <c r="EC155" s="163"/>
      <c r="ED155" s="163"/>
      <c r="EE155" s="163"/>
      <c r="EF155" s="163"/>
      <c r="EG155" s="163"/>
      <c r="EH155" s="163"/>
      <c r="EI155" s="163"/>
      <c r="EJ155" s="163"/>
      <c r="EK155" s="163"/>
      <c r="EL155" s="163"/>
      <c r="EM155" s="163"/>
      <c r="EN155" s="163"/>
      <c r="EO155" s="163"/>
      <c r="EP155" s="163"/>
      <c r="EQ155" s="163"/>
      <c r="ER155" s="163"/>
      <c r="ES155" s="163"/>
      <c r="ET155" s="163"/>
      <c r="EU155" s="163"/>
      <c r="EV155" s="163"/>
      <c r="EW155" s="163"/>
      <c r="EX155" s="163"/>
      <c r="EY155" s="163"/>
      <c r="EZ155" s="163"/>
      <c r="FA155" s="163"/>
      <c r="FB155" s="163"/>
      <c r="FC155" s="163"/>
      <c r="FD155" s="163"/>
      <c r="FE155" s="163"/>
      <c r="FF155" s="163"/>
      <c r="FG155" s="163"/>
      <c r="FH155" s="163"/>
      <c r="FI155" s="163"/>
      <c r="FJ155" s="163"/>
      <c r="FK155" s="163"/>
      <c r="FL155" s="163"/>
      <c r="FM155" s="163"/>
    </row>
    <row r="156" ht="13.5" customHeight="1">
      <c r="A156" s="252"/>
      <c r="B156" s="252"/>
      <c r="C156" s="252"/>
      <c r="D156" s="252"/>
      <c r="E156" s="252"/>
      <c r="F156" s="252"/>
      <c r="G156" s="252"/>
      <c r="H156" s="252"/>
      <c r="I156" s="252"/>
      <c r="J156" s="252"/>
      <c r="K156" s="252"/>
      <c r="L156" s="252"/>
      <c r="M156" s="252"/>
      <c r="N156" s="252"/>
      <c r="O156" s="252"/>
      <c r="P156" s="252"/>
      <c r="Q156" s="131"/>
      <c r="R156" s="163"/>
      <c r="S156" s="163"/>
      <c r="T156" s="163"/>
      <c r="U156" s="163"/>
      <c r="V156" s="163"/>
      <c r="W156" s="163"/>
      <c r="X156" s="163"/>
      <c r="Y156" s="163"/>
      <c r="Z156" s="163"/>
      <c r="AA156" s="163"/>
      <c r="AB156" s="163"/>
      <c r="AC156" s="163"/>
      <c r="AD156" s="163"/>
      <c r="AE156" s="163"/>
      <c r="AF156" s="163"/>
      <c r="AG156" s="163"/>
      <c r="AH156" s="163"/>
      <c r="AI156" s="246" t="s">
        <v>376</v>
      </c>
      <c r="AJ156" s="246">
        <v>2020.0</v>
      </c>
      <c r="AK156" s="246">
        <v>825.0</v>
      </c>
      <c r="AL156" s="246">
        <v>1025.0</v>
      </c>
      <c r="AM156" s="246">
        <v>1450.0</v>
      </c>
      <c r="AN156" s="246">
        <v>1625.0</v>
      </c>
      <c r="AO156" s="246">
        <v>1073.0</v>
      </c>
      <c r="AP156" s="246">
        <v>5998.0</v>
      </c>
      <c r="AQ156" s="246"/>
      <c r="AR156" s="246">
        <v>2020.0</v>
      </c>
      <c r="AS156" s="246">
        <v>52.0</v>
      </c>
      <c r="AT156" s="246">
        <v>3.0</v>
      </c>
      <c r="AU156" s="246">
        <v>0.0</v>
      </c>
      <c r="AV156" s="246">
        <v>0.0</v>
      </c>
      <c r="AW156" s="246">
        <v>2.0</v>
      </c>
      <c r="AX156" s="246">
        <v>57.0</v>
      </c>
      <c r="AY156" s="163"/>
      <c r="AZ156" s="254" t="s">
        <v>528</v>
      </c>
      <c r="BA156" s="254">
        <v>2020.0</v>
      </c>
      <c r="BB156" s="254">
        <v>141.0</v>
      </c>
      <c r="BC156" s="254">
        <v>108.0</v>
      </c>
      <c r="BD156" s="254">
        <v>181.0</v>
      </c>
      <c r="BE156" s="254">
        <v>232.0</v>
      </c>
      <c r="BF156" s="254">
        <v>216.0</v>
      </c>
      <c r="BG156" s="254">
        <v>878.0</v>
      </c>
      <c r="BH156" s="254"/>
      <c r="BI156" s="254">
        <v>2020.0</v>
      </c>
      <c r="BJ156" s="254">
        <v>26.0</v>
      </c>
      <c r="BK156" s="254">
        <v>0.0</v>
      </c>
      <c r="BL156" s="254">
        <v>1.0</v>
      </c>
      <c r="BM156" s="254">
        <v>0.0</v>
      </c>
      <c r="BN156" s="254">
        <v>0.0</v>
      </c>
      <c r="BO156" s="254">
        <v>27.0</v>
      </c>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row>
    <row r="157" ht="13.5" customHeight="1">
      <c r="A157" s="252"/>
      <c r="B157" s="252"/>
      <c r="C157" s="252"/>
      <c r="D157" s="252"/>
      <c r="E157" s="252"/>
      <c r="F157" s="252"/>
      <c r="G157" s="252"/>
      <c r="H157" s="252"/>
      <c r="I157" s="252"/>
      <c r="J157" s="252"/>
      <c r="K157" s="252"/>
      <c r="L157" s="252"/>
      <c r="M157" s="252"/>
      <c r="N157" s="252"/>
      <c r="O157" s="252"/>
      <c r="P157" s="252"/>
      <c r="Q157" s="131"/>
      <c r="R157" s="163"/>
      <c r="S157" s="163"/>
      <c r="T157" s="163"/>
      <c r="U157" s="163"/>
      <c r="V157" s="163"/>
      <c r="W157" s="163"/>
      <c r="X157" s="163"/>
      <c r="Y157" s="163"/>
      <c r="Z157" s="163"/>
      <c r="AA157" s="163"/>
      <c r="AB157" s="163"/>
      <c r="AC157" s="163"/>
      <c r="AD157" s="163"/>
      <c r="AE157" s="163"/>
      <c r="AF157" s="163"/>
      <c r="AG157" s="163"/>
      <c r="AH157" s="163"/>
      <c r="AI157" s="246" t="s">
        <v>379</v>
      </c>
      <c r="AJ157" s="246">
        <v>2020.0</v>
      </c>
      <c r="AK157" s="246">
        <v>708.0</v>
      </c>
      <c r="AL157" s="246">
        <v>674.0</v>
      </c>
      <c r="AM157" s="246">
        <v>750.0</v>
      </c>
      <c r="AN157" s="246">
        <v>869.0</v>
      </c>
      <c r="AO157" s="246">
        <v>607.0</v>
      </c>
      <c r="AP157" s="246">
        <v>3608.0</v>
      </c>
      <c r="AQ157" s="246"/>
      <c r="AR157" s="246">
        <v>2020.0</v>
      </c>
      <c r="AS157" s="246">
        <v>79.0</v>
      </c>
      <c r="AT157" s="246">
        <v>0.0</v>
      </c>
      <c r="AU157" s="246">
        <v>0.0</v>
      </c>
      <c r="AV157" s="246">
        <v>1.0</v>
      </c>
      <c r="AW157" s="246">
        <v>1.0</v>
      </c>
      <c r="AX157" s="246">
        <v>81.0</v>
      </c>
      <c r="AY157" s="163"/>
      <c r="AZ157" s="254" t="s">
        <v>530</v>
      </c>
      <c r="BA157" s="254">
        <v>2020.0</v>
      </c>
      <c r="BB157" s="254">
        <v>380.0</v>
      </c>
      <c r="BC157" s="254">
        <v>523.0</v>
      </c>
      <c r="BD157" s="254">
        <v>726.0</v>
      </c>
      <c r="BE157" s="254">
        <v>853.0</v>
      </c>
      <c r="BF157" s="254">
        <v>575.0</v>
      </c>
      <c r="BG157" s="254">
        <v>3057.0</v>
      </c>
      <c r="BH157" s="254"/>
      <c r="BI157" s="254">
        <v>2020.0</v>
      </c>
      <c r="BJ157" s="254">
        <v>33.0</v>
      </c>
      <c r="BK157" s="254">
        <v>0.0</v>
      </c>
      <c r="BL157" s="254">
        <v>0.0</v>
      </c>
      <c r="BM157" s="254">
        <v>0.0</v>
      </c>
      <c r="BN157" s="254">
        <v>0.0</v>
      </c>
      <c r="BO157" s="254">
        <v>33.0</v>
      </c>
      <c r="BP157" s="163"/>
      <c r="BQ157" s="163"/>
      <c r="BR157" s="163"/>
      <c r="BS157" s="163"/>
      <c r="BT157" s="163"/>
      <c r="BU157" s="163"/>
      <c r="BV157" s="163"/>
      <c r="BW157" s="163"/>
      <c r="BX157" s="163"/>
      <c r="BY157" s="163"/>
      <c r="BZ157" s="163"/>
      <c r="CA157" s="163"/>
      <c r="CB157" s="163"/>
      <c r="CC157" s="163"/>
      <c r="CD157" s="163"/>
      <c r="CE157" s="163"/>
      <c r="CF157" s="163"/>
      <c r="CG157" s="163"/>
      <c r="CH157" s="163"/>
      <c r="CI157" s="163"/>
      <c r="CJ157" s="163"/>
      <c r="CK157" s="163"/>
      <c r="CL157" s="163"/>
      <c r="CM157" s="163"/>
      <c r="CN157" s="163"/>
      <c r="CO157" s="163"/>
      <c r="CP157" s="163"/>
      <c r="CQ157" s="163"/>
      <c r="CR157" s="163"/>
      <c r="CS157" s="163"/>
      <c r="CT157" s="163"/>
      <c r="CU157" s="163"/>
      <c r="CV157" s="163"/>
      <c r="CW157" s="163"/>
      <c r="CX157" s="163"/>
      <c r="CY157" s="163"/>
      <c r="CZ157" s="163"/>
      <c r="DA157" s="163"/>
      <c r="DB157" s="163"/>
      <c r="DC157" s="163"/>
      <c r="DD157" s="163"/>
      <c r="DE157" s="163"/>
      <c r="DF157" s="163"/>
      <c r="DG157" s="163"/>
      <c r="DH157" s="163"/>
      <c r="DI157" s="163"/>
      <c r="DJ157" s="163"/>
      <c r="DK157" s="163"/>
      <c r="DL157" s="163"/>
      <c r="DM157" s="163"/>
      <c r="DN157" s="163"/>
      <c r="DO157" s="163"/>
      <c r="DP157" s="163"/>
      <c r="DQ157" s="163"/>
      <c r="DR157" s="163"/>
      <c r="DS157" s="163"/>
      <c r="DT157" s="163"/>
      <c r="DU157" s="163"/>
      <c r="DV157" s="163"/>
      <c r="DW157" s="163"/>
      <c r="DX157" s="163"/>
      <c r="DY157" s="163"/>
      <c r="DZ157" s="163"/>
      <c r="EA157" s="163"/>
      <c r="EB157" s="163"/>
      <c r="EC157" s="163"/>
      <c r="ED157" s="163"/>
      <c r="EE157" s="163"/>
      <c r="EF157" s="163"/>
      <c r="EG157" s="163"/>
      <c r="EH157" s="163"/>
      <c r="EI157" s="163"/>
      <c r="EJ157" s="163"/>
      <c r="EK157" s="163"/>
      <c r="EL157" s="163"/>
      <c r="EM157" s="163"/>
      <c r="EN157" s="163"/>
      <c r="EO157" s="163"/>
      <c r="EP157" s="163"/>
      <c r="EQ157" s="163"/>
      <c r="ER157" s="163"/>
      <c r="ES157" s="163"/>
      <c r="ET157" s="163"/>
      <c r="EU157" s="163"/>
      <c r="EV157" s="163"/>
      <c r="EW157" s="163"/>
      <c r="EX157" s="163"/>
      <c r="EY157" s="163"/>
      <c r="EZ157" s="163"/>
      <c r="FA157" s="163"/>
      <c r="FB157" s="163"/>
      <c r="FC157" s="163"/>
      <c r="FD157" s="163"/>
      <c r="FE157" s="163"/>
      <c r="FF157" s="163"/>
      <c r="FG157" s="163"/>
      <c r="FH157" s="163"/>
      <c r="FI157" s="163"/>
      <c r="FJ157" s="163"/>
      <c r="FK157" s="163"/>
      <c r="FL157" s="163"/>
      <c r="FM157" s="163"/>
    </row>
    <row r="158" ht="13.5" customHeight="1">
      <c r="A158" s="252"/>
      <c r="B158" s="252"/>
      <c r="C158" s="252"/>
      <c r="D158" s="252"/>
      <c r="E158" s="252"/>
      <c r="F158" s="252"/>
      <c r="G158" s="252"/>
      <c r="H158" s="252"/>
      <c r="I158" s="252"/>
      <c r="J158" s="252"/>
      <c r="K158" s="252"/>
      <c r="L158" s="252"/>
      <c r="M158" s="252"/>
      <c r="N158" s="252"/>
      <c r="O158" s="252"/>
      <c r="P158" s="252"/>
      <c r="Q158" s="131"/>
      <c r="R158" s="163"/>
      <c r="S158" s="163"/>
      <c r="T158" s="163"/>
      <c r="U158" s="163"/>
      <c r="V158" s="163"/>
      <c r="W158" s="163"/>
      <c r="X158" s="163"/>
      <c r="Y158" s="163"/>
      <c r="Z158" s="163"/>
      <c r="AA158" s="163"/>
      <c r="AB158" s="163"/>
      <c r="AC158" s="163"/>
      <c r="AD158" s="163"/>
      <c r="AE158" s="163"/>
      <c r="AF158" s="163"/>
      <c r="AG158" s="163"/>
      <c r="AH158" s="163"/>
      <c r="AI158" s="246" t="s">
        <v>382</v>
      </c>
      <c r="AJ158" s="246">
        <v>2020.0</v>
      </c>
      <c r="AK158" s="246">
        <v>358.0</v>
      </c>
      <c r="AL158" s="246">
        <v>485.0</v>
      </c>
      <c r="AM158" s="246">
        <v>741.0</v>
      </c>
      <c r="AN158" s="246">
        <v>819.0</v>
      </c>
      <c r="AO158" s="246">
        <v>546.0</v>
      </c>
      <c r="AP158" s="246">
        <v>2949.0</v>
      </c>
      <c r="AQ158" s="246"/>
      <c r="AR158" s="246">
        <v>2020.0</v>
      </c>
      <c r="AS158" s="246">
        <v>22.0</v>
      </c>
      <c r="AT158" s="246">
        <v>2.0</v>
      </c>
      <c r="AU158" s="246">
        <v>0.0</v>
      </c>
      <c r="AV158" s="246">
        <v>0.0</v>
      </c>
      <c r="AW158" s="246">
        <v>1.0</v>
      </c>
      <c r="AX158" s="246">
        <v>25.0</v>
      </c>
      <c r="AY158" s="163"/>
      <c r="AZ158" s="254" t="s">
        <v>533</v>
      </c>
      <c r="BA158" s="254">
        <v>2020.0</v>
      </c>
      <c r="BB158" s="254">
        <v>146.0</v>
      </c>
      <c r="BC158" s="254">
        <v>162.0</v>
      </c>
      <c r="BD158" s="254">
        <v>389.0</v>
      </c>
      <c r="BE158" s="254">
        <v>583.0</v>
      </c>
      <c r="BF158" s="254">
        <v>445.0</v>
      </c>
      <c r="BG158" s="254">
        <v>1725.0</v>
      </c>
      <c r="BH158" s="254"/>
      <c r="BI158" s="254">
        <v>2020.0</v>
      </c>
      <c r="BJ158" s="254">
        <v>28.0</v>
      </c>
      <c r="BK158" s="254">
        <v>0.0</v>
      </c>
      <c r="BL158" s="254">
        <v>0.0</v>
      </c>
      <c r="BM158" s="254">
        <v>0.0</v>
      </c>
      <c r="BN158" s="254">
        <v>0.0</v>
      </c>
      <c r="BO158" s="254">
        <v>28.0</v>
      </c>
      <c r="BP158" s="163"/>
      <c r="BQ158" s="163"/>
      <c r="BR158" s="163"/>
      <c r="BS158" s="163"/>
      <c r="BT158" s="163"/>
      <c r="BU158" s="163"/>
      <c r="BV158" s="163"/>
      <c r="BW158" s="163"/>
      <c r="BX158" s="163"/>
      <c r="BY158" s="163"/>
      <c r="BZ158" s="163"/>
      <c r="CA158" s="163"/>
      <c r="CB158" s="163"/>
      <c r="CC158" s="163"/>
      <c r="CD158" s="163"/>
      <c r="CE158" s="163"/>
      <c r="CF158" s="163"/>
      <c r="CG158" s="163"/>
      <c r="CH158" s="163"/>
      <c r="CI158" s="163"/>
      <c r="CJ158" s="163"/>
      <c r="CK158" s="163"/>
      <c r="CL158" s="163"/>
      <c r="CM158" s="163"/>
      <c r="CN158" s="163"/>
      <c r="CO158" s="163"/>
      <c r="CP158" s="163"/>
      <c r="CQ158" s="163"/>
      <c r="CR158" s="163"/>
      <c r="CS158" s="163"/>
      <c r="CT158" s="163"/>
      <c r="CU158" s="163"/>
      <c r="CV158" s="163"/>
      <c r="CW158" s="163"/>
      <c r="CX158" s="163"/>
      <c r="CY158" s="163"/>
      <c r="CZ158" s="163"/>
      <c r="DA158" s="163"/>
      <c r="DB158" s="163"/>
      <c r="DC158" s="163"/>
      <c r="DD158" s="163"/>
      <c r="DE158" s="163"/>
      <c r="DF158" s="163"/>
      <c r="DG158" s="163"/>
      <c r="DH158" s="163"/>
      <c r="DI158" s="163"/>
      <c r="DJ158" s="163"/>
      <c r="DK158" s="163"/>
      <c r="DL158" s="163"/>
      <c r="DM158" s="163"/>
      <c r="DN158" s="163"/>
      <c r="DO158" s="163"/>
      <c r="DP158" s="163"/>
      <c r="DQ158" s="163"/>
      <c r="DR158" s="163"/>
      <c r="DS158" s="163"/>
      <c r="DT158" s="163"/>
      <c r="DU158" s="163"/>
      <c r="DV158" s="163"/>
      <c r="DW158" s="163"/>
      <c r="DX158" s="163"/>
      <c r="DY158" s="163"/>
      <c r="DZ158" s="163"/>
      <c r="EA158" s="163"/>
      <c r="EB158" s="163"/>
      <c r="EC158" s="163"/>
      <c r="ED158" s="163"/>
      <c r="EE158" s="163"/>
      <c r="EF158" s="163"/>
      <c r="EG158" s="163"/>
      <c r="EH158" s="163"/>
      <c r="EI158" s="163"/>
      <c r="EJ158" s="163"/>
      <c r="EK158" s="163"/>
      <c r="EL158" s="163"/>
      <c r="EM158" s="163"/>
      <c r="EN158" s="163"/>
      <c r="EO158" s="163"/>
      <c r="EP158" s="163"/>
      <c r="EQ158" s="163"/>
      <c r="ER158" s="163"/>
      <c r="ES158" s="163"/>
      <c r="ET158" s="163"/>
      <c r="EU158" s="163"/>
      <c r="EV158" s="163"/>
      <c r="EW158" s="163"/>
      <c r="EX158" s="163"/>
      <c r="EY158" s="163"/>
      <c r="EZ158" s="163"/>
      <c r="FA158" s="163"/>
      <c r="FB158" s="163"/>
      <c r="FC158" s="163"/>
      <c r="FD158" s="163"/>
      <c r="FE158" s="163"/>
      <c r="FF158" s="163"/>
      <c r="FG158" s="163"/>
      <c r="FH158" s="163"/>
      <c r="FI158" s="163"/>
      <c r="FJ158" s="163"/>
      <c r="FK158" s="163"/>
      <c r="FL158" s="163"/>
      <c r="FM158" s="163"/>
    </row>
    <row r="159" ht="13.5" customHeight="1">
      <c r="A159" s="252"/>
      <c r="B159" s="252"/>
      <c r="C159" s="252"/>
      <c r="D159" s="252"/>
      <c r="E159" s="252"/>
      <c r="F159" s="252"/>
      <c r="G159" s="252"/>
      <c r="H159" s="252"/>
      <c r="I159" s="252"/>
      <c r="J159" s="252"/>
      <c r="K159" s="252"/>
      <c r="L159" s="252"/>
      <c r="M159" s="252"/>
      <c r="N159" s="252"/>
      <c r="O159" s="252"/>
      <c r="P159" s="252"/>
      <c r="Q159" s="131"/>
      <c r="R159" s="163"/>
      <c r="S159" s="163"/>
      <c r="T159" s="163"/>
      <c r="U159" s="163"/>
      <c r="V159" s="163"/>
      <c r="W159" s="163"/>
      <c r="X159" s="163"/>
      <c r="Y159" s="163"/>
      <c r="Z159" s="163"/>
      <c r="AA159" s="163"/>
      <c r="AB159" s="163"/>
      <c r="AC159" s="163"/>
      <c r="AD159" s="163"/>
      <c r="AE159" s="163"/>
      <c r="AF159" s="163"/>
      <c r="AG159" s="163"/>
      <c r="AH159" s="163"/>
      <c r="AI159" s="246" t="s">
        <v>384</v>
      </c>
      <c r="AJ159" s="246">
        <v>2020.0</v>
      </c>
      <c r="AK159" s="246">
        <v>228.0</v>
      </c>
      <c r="AL159" s="246">
        <v>363.0</v>
      </c>
      <c r="AM159" s="246">
        <v>593.0</v>
      </c>
      <c r="AN159" s="246">
        <v>745.0</v>
      </c>
      <c r="AO159" s="246">
        <v>545.0</v>
      </c>
      <c r="AP159" s="246">
        <v>2474.0</v>
      </c>
      <c r="AQ159" s="246"/>
      <c r="AR159" s="246">
        <v>2020.0</v>
      </c>
      <c r="AS159" s="246">
        <v>22.0</v>
      </c>
      <c r="AT159" s="246">
        <v>3.0</v>
      </c>
      <c r="AU159" s="246">
        <v>1.0</v>
      </c>
      <c r="AV159" s="246">
        <v>1.0</v>
      </c>
      <c r="AW159" s="246">
        <v>0.0</v>
      </c>
      <c r="AX159" s="246">
        <v>27.0</v>
      </c>
      <c r="AY159" s="163"/>
      <c r="AZ159" s="254" t="s">
        <v>535</v>
      </c>
      <c r="BA159" s="254">
        <v>2020.0</v>
      </c>
      <c r="BB159" s="254">
        <v>184.0</v>
      </c>
      <c r="BC159" s="254">
        <v>244.0</v>
      </c>
      <c r="BD159" s="254">
        <v>490.0</v>
      </c>
      <c r="BE159" s="254">
        <v>700.0</v>
      </c>
      <c r="BF159" s="254">
        <v>569.0</v>
      </c>
      <c r="BG159" s="254">
        <v>2187.0</v>
      </c>
      <c r="BH159" s="254"/>
      <c r="BI159" s="254">
        <v>2020.0</v>
      </c>
      <c r="BJ159" s="254">
        <v>31.0</v>
      </c>
      <c r="BK159" s="254">
        <v>2.0</v>
      </c>
      <c r="BL159" s="254">
        <v>0.0</v>
      </c>
      <c r="BM159" s="254">
        <v>0.0</v>
      </c>
      <c r="BN159" s="254">
        <v>0.0</v>
      </c>
      <c r="BO159" s="254">
        <v>33.0</v>
      </c>
      <c r="BP159" s="163"/>
      <c r="BQ159" s="163"/>
      <c r="BR159" s="163"/>
      <c r="BS159" s="163"/>
      <c r="BT159" s="163"/>
      <c r="BU159" s="163"/>
      <c r="BV159" s="163"/>
      <c r="BW159" s="163"/>
      <c r="BX159" s="163"/>
      <c r="BY159" s="163"/>
      <c r="BZ159" s="163"/>
      <c r="CA159" s="163"/>
      <c r="CB159" s="163"/>
      <c r="CC159" s="163"/>
      <c r="CD159" s="163"/>
      <c r="CE159" s="163"/>
      <c r="CF159" s="163"/>
      <c r="CG159" s="163"/>
      <c r="CH159" s="163"/>
      <c r="CI159" s="163"/>
      <c r="CJ159" s="163"/>
      <c r="CK159" s="163"/>
      <c r="CL159" s="163"/>
      <c r="CM159" s="163"/>
      <c r="CN159" s="163"/>
      <c r="CO159" s="163"/>
      <c r="CP159" s="163"/>
      <c r="CQ159" s="163"/>
      <c r="CR159" s="163"/>
      <c r="CS159" s="163"/>
      <c r="CT159" s="163"/>
      <c r="CU159" s="163"/>
      <c r="CV159" s="163"/>
      <c r="CW159" s="163"/>
      <c r="CX159" s="163"/>
      <c r="CY159" s="163"/>
      <c r="CZ159" s="163"/>
      <c r="DA159" s="163"/>
      <c r="DB159" s="163"/>
      <c r="DC159" s="163"/>
      <c r="DD159" s="163"/>
      <c r="DE159" s="163"/>
      <c r="DF159" s="163"/>
      <c r="DG159" s="163"/>
      <c r="DH159" s="163"/>
      <c r="DI159" s="163"/>
      <c r="DJ159" s="163"/>
      <c r="DK159" s="163"/>
      <c r="DL159" s="163"/>
      <c r="DM159" s="163"/>
      <c r="DN159" s="163"/>
      <c r="DO159" s="163"/>
      <c r="DP159" s="163"/>
      <c r="DQ159" s="163"/>
      <c r="DR159" s="163"/>
      <c r="DS159" s="163"/>
      <c r="DT159" s="163"/>
      <c r="DU159" s="163"/>
      <c r="DV159" s="163"/>
      <c r="DW159" s="163"/>
      <c r="DX159" s="163"/>
      <c r="DY159" s="163"/>
      <c r="DZ159" s="163"/>
      <c r="EA159" s="163"/>
      <c r="EB159" s="163"/>
      <c r="EC159" s="163"/>
      <c r="ED159" s="163"/>
      <c r="EE159" s="163"/>
      <c r="EF159" s="163"/>
      <c r="EG159" s="163"/>
      <c r="EH159" s="163"/>
      <c r="EI159" s="163"/>
      <c r="EJ159" s="163"/>
      <c r="EK159" s="163"/>
      <c r="EL159" s="163"/>
      <c r="EM159" s="163"/>
      <c r="EN159" s="163"/>
      <c r="EO159" s="163"/>
      <c r="EP159" s="163"/>
      <c r="EQ159" s="163"/>
      <c r="ER159" s="163"/>
      <c r="ES159" s="163"/>
      <c r="ET159" s="163"/>
      <c r="EU159" s="163"/>
      <c r="EV159" s="163"/>
      <c r="EW159" s="163"/>
      <c r="EX159" s="163"/>
      <c r="EY159" s="163"/>
      <c r="EZ159" s="163"/>
      <c r="FA159" s="163"/>
      <c r="FB159" s="163"/>
      <c r="FC159" s="163"/>
      <c r="FD159" s="163"/>
      <c r="FE159" s="163"/>
      <c r="FF159" s="163"/>
      <c r="FG159" s="163"/>
      <c r="FH159" s="163"/>
      <c r="FI159" s="163"/>
      <c r="FJ159" s="163"/>
      <c r="FK159" s="163"/>
      <c r="FL159" s="163"/>
      <c r="FM159" s="163"/>
    </row>
    <row r="160" ht="13.5" customHeight="1">
      <c r="A160" s="252"/>
      <c r="B160" s="252"/>
      <c r="C160" s="252"/>
      <c r="D160" s="252"/>
      <c r="E160" s="252"/>
      <c r="F160" s="252"/>
      <c r="G160" s="252"/>
      <c r="H160" s="252"/>
      <c r="I160" s="252"/>
      <c r="J160" s="252"/>
      <c r="K160" s="252"/>
      <c r="L160" s="252"/>
      <c r="M160" s="252"/>
      <c r="N160" s="252"/>
      <c r="O160" s="252"/>
      <c r="P160" s="252"/>
      <c r="Q160" s="131"/>
      <c r="R160" s="163"/>
      <c r="S160" s="163"/>
      <c r="T160" s="163"/>
      <c r="U160" s="163"/>
      <c r="V160" s="163"/>
      <c r="W160" s="163"/>
      <c r="X160" s="163"/>
      <c r="Y160" s="163"/>
      <c r="Z160" s="163"/>
      <c r="AA160" s="163"/>
      <c r="AB160" s="163"/>
      <c r="AC160" s="163"/>
      <c r="AD160" s="163"/>
      <c r="AE160" s="163"/>
      <c r="AF160" s="163"/>
      <c r="AG160" s="163"/>
      <c r="AH160" s="163"/>
      <c r="AI160" s="246" t="s">
        <v>386</v>
      </c>
      <c r="AJ160" s="246">
        <v>2020.0</v>
      </c>
      <c r="AK160" s="246">
        <v>332.0</v>
      </c>
      <c r="AL160" s="246">
        <v>451.0</v>
      </c>
      <c r="AM160" s="246">
        <v>587.0</v>
      </c>
      <c r="AN160" s="246">
        <v>655.0</v>
      </c>
      <c r="AO160" s="246">
        <v>487.0</v>
      </c>
      <c r="AP160" s="246">
        <v>2512.0</v>
      </c>
      <c r="AQ160" s="246"/>
      <c r="AR160" s="246">
        <v>2020.0</v>
      </c>
      <c r="AS160" s="246">
        <v>23.0</v>
      </c>
      <c r="AT160" s="246">
        <v>0.0</v>
      </c>
      <c r="AU160" s="246">
        <v>0.0</v>
      </c>
      <c r="AV160" s="246">
        <v>0.0</v>
      </c>
      <c r="AW160" s="246">
        <v>0.0</v>
      </c>
      <c r="AX160" s="246">
        <v>23.0</v>
      </c>
      <c r="AY160" s="163"/>
      <c r="AZ160" s="254" t="s">
        <v>537</v>
      </c>
      <c r="BA160" s="254">
        <v>2020.0</v>
      </c>
      <c r="BB160" s="254">
        <v>234.0</v>
      </c>
      <c r="BC160" s="254">
        <v>173.0</v>
      </c>
      <c r="BD160" s="254">
        <v>277.0</v>
      </c>
      <c r="BE160" s="254">
        <v>366.0</v>
      </c>
      <c r="BF160" s="254">
        <v>322.0</v>
      </c>
      <c r="BG160" s="254">
        <v>1372.0</v>
      </c>
      <c r="BH160" s="254"/>
      <c r="BI160" s="254">
        <v>2020.0</v>
      </c>
      <c r="BJ160" s="254">
        <v>35.0</v>
      </c>
      <c r="BK160" s="254">
        <v>0.0</v>
      </c>
      <c r="BL160" s="254">
        <v>0.0</v>
      </c>
      <c r="BM160" s="254">
        <v>0.0</v>
      </c>
      <c r="BN160" s="254">
        <v>0.0</v>
      </c>
      <c r="BO160" s="254">
        <v>35.0</v>
      </c>
      <c r="BP160" s="163"/>
      <c r="BQ160" s="163"/>
      <c r="BR160" s="163"/>
      <c r="BS160" s="163"/>
      <c r="BT160" s="163"/>
      <c r="BU160" s="163"/>
      <c r="BV160" s="163"/>
      <c r="BW160" s="163"/>
      <c r="BX160" s="163"/>
      <c r="BY160" s="163"/>
      <c r="BZ160" s="163"/>
      <c r="CA160" s="163"/>
      <c r="CB160" s="163"/>
      <c r="CC160" s="163"/>
      <c r="CD160" s="163"/>
      <c r="CE160" s="163"/>
      <c r="CF160" s="163"/>
      <c r="CG160" s="163"/>
      <c r="CH160" s="163"/>
      <c r="CI160" s="163"/>
      <c r="CJ160" s="163"/>
      <c r="CK160" s="163"/>
      <c r="CL160" s="163"/>
      <c r="CM160" s="163"/>
      <c r="CN160" s="163"/>
      <c r="CO160" s="163"/>
      <c r="CP160" s="163"/>
      <c r="CQ160" s="163"/>
      <c r="CR160" s="163"/>
      <c r="CS160" s="163"/>
      <c r="CT160" s="163"/>
      <c r="CU160" s="163"/>
      <c r="CV160" s="163"/>
      <c r="CW160" s="163"/>
      <c r="CX160" s="163"/>
      <c r="CY160" s="163"/>
      <c r="CZ160" s="163"/>
      <c r="DA160" s="163"/>
      <c r="DB160" s="163"/>
      <c r="DC160" s="163"/>
      <c r="DD160" s="163"/>
      <c r="DE160" s="163"/>
      <c r="DF160" s="163"/>
      <c r="DG160" s="163"/>
      <c r="DH160" s="163"/>
      <c r="DI160" s="163"/>
      <c r="DJ160" s="163"/>
      <c r="DK160" s="163"/>
      <c r="DL160" s="163"/>
      <c r="DM160" s="163"/>
      <c r="DN160" s="163"/>
      <c r="DO160" s="163"/>
      <c r="DP160" s="163"/>
      <c r="DQ160" s="163"/>
      <c r="DR160" s="163"/>
      <c r="DS160" s="163"/>
      <c r="DT160" s="163"/>
      <c r="DU160" s="163"/>
      <c r="DV160" s="163"/>
      <c r="DW160" s="163"/>
      <c r="DX160" s="163"/>
      <c r="DY160" s="163"/>
      <c r="DZ160" s="163"/>
      <c r="EA160" s="163"/>
      <c r="EB160" s="163"/>
      <c r="EC160" s="163"/>
      <c r="ED160" s="163"/>
      <c r="EE160" s="163"/>
      <c r="EF160" s="163"/>
      <c r="EG160" s="163"/>
      <c r="EH160" s="163"/>
      <c r="EI160" s="163"/>
      <c r="EJ160" s="163"/>
      <c r="EK160" s="163"/>
      <c r="EL160" s="163"/>
      <c r="EM160" s="163"/>
      <c r="EN160" s="163"/>
      <c r="EO160" s="163"/>
      <c r="EP160" s="163"/>
      <c r="EQ160" s="163"/>
      <c r="ER160" s="163"/>
      <c r="ES160" s="163"/>
      <c r="ET160" s="163"/>
      <c r="EU160" s="163"/>
      <c r="EV160" s="163"/>
      <c r="EW160" s="163"/>
      <c r="EX160" s="163"/>
      <c r="EY160" s="163"/>
      <c r="EZ160" s="163"/>
      <c r="FA160" s="163"/>
      <c r="FB160" s="163"/>
      <c r="FC160" s="163"/>
      <c r="FD160" s="163"/>
      <c r="FE160" s="163"/>
      <c r="FF160" s="163"/>
      <c r="FG160" s="163"/>
      <c r="FH160" s="163"/>
      <c r="FI160" s="163"/>
      <c r="FJ160" s="163"/>
      <c r="FK160" s="163"/>
      <c r="FL160" s="163"/>
      <c r="FM160" s="163"/>
    </row>
    <row r="161" ht="13.5" customHeight="1">
      <c r="A161" s="252"/>
      <c r="B161" s="252"/>
      <c r="C161" s="252"/>
      <c r="D161" s="252"/>
      <c r="E161" s="252"/>
      <c r="F161" s="252"/>
      <c r="G161" s="252"/>
      <c r="H161" s="252"/>
      <c r="I161" s="252"/>
      <c r="J161" s="252"/>
      <c r="K161" s="252"/>
      <c r="L161" s="252"/>
      <c r="M161" s="252"/>
      <c r="N161" s="252"/>
      <c r="O161" s="252"/>
      <c r="P161" s="252"/>
      <c r="Q161" s="131"/>
      <c r="R161" s="163"/>
      <c r="S161" s="163"/>
      <c r="T161" s="163"/>
      <c r="U161" s="163"/>
      <c r="V161" s="163"/>
      <c r="W161" s="163"/>
      <c r="X161" s="163"/>
      <c r="Y161" s="163"/>
      <c r="Z161" s="163"/>
      <c r="AA161" s="163"/>
      <c r="AB161" s="163"/>
      <c r="AC161" s="163"/>
      <c r="AD161" s="163"/>
      <c r="AE161" s="163"/>
      <c r="AF161" s="163"/>
      <c r="AG161" s="163"/>
      <c r="AH161" s="163"/>
      <c r="AI161" s="163"/>
      <c r="AJ161" s="163"/>
      <c r="AK161" s="163"/>
      <c r="AL161" s="163"/>
      <c r="AM161" s="163"/>
      <c r="AN161" s="163"/>
      <c r="AO161" s="163"/>
      <c r="AP161" s="163"/>
      <c r="AQ161" s="163"/>
      <c r="AR161" s="163"/>
      <c r="AS161" s="163"/>
      <c r="AT161" s="163"/>
      <c r="AU161" s="163"/>
      <c r="AV161" s="163"/>
      <c r="AW161" s="163"/>
      <c r="AX161" s="163"/>
      <c r="AY161" s="163"/>
      <c r="AZ161" s="254" t="s">
        <v>539</v>
      </c>
      <c r="BA161" s="254">
        <v>2020.0</v>
      </c>
      <c r="BB161" s="254">
        <v>496.0</v>
      </c>
      <c r="BC161" s="254">
        <v>71.0</v>
      </c>
      <c r="BD161" s="254">
        <v>108.0</v>
      </c>
      <c r="BE161" s="254">
        <v>145.0</v>
      </c>
      <c r="BF161" s="254">
        <v>251.0</v>
      </c>
      <c r="BG161" s="254">
        <v>1071.0</v>
      </c>
      <c r="BH161" s="254"/>
      <c r="BI161" s="254">
        <v>2020.0</v>
      </c>
      <c r="BJ161" s="254">
        <v>150.0</v>
      </c>
      <c r="BK161" s="254">
        <v>0.0</v>
      </c>
      <c r="BL161" s="254">
        <v>0.0</v>
      </c>
      <c r="BM161" s="254">
        <v>0.0</v>
      </c>
      <c r="BN161" s="254">
        <v>0.0</v>
      </c>
      <c r="BO161" s="254">
        <v>150.0</v>
      </c>
      <c r="BP161" s="163"/>
      <c r="BQ161" s="163"/>
      <c r="BR161" s="163"/>
      <c r="BS161" s="163"/>
      <c r="BT161" s="163"/>
      <c r="BU161" s="163"/>
      <c r="BV161" s="163"/>
      <c r="BW161" s="163"/>
      <c r="BX161" s="163"/>
      <c r="BY161" s="163"/>
      <c r="BZ161" s="163"/>
      <c r="CA161" s="163"/>
      <c r="CB161" s="163"/>
      <c r="CC161" s="163"/>
      <c r="CD161" s="163"/>
      <c r="CE161" s="163"/>
      <c r="CF161" s="163"/>
      <c r="CG161" s="163"/>
      <c r="CH161" s="163"/>
      <c r="CI161" s="163"/>
      <c r="CJ161" s="163"/>
      <c r="CK161" s="163"/>
      <c r="CL161" s="163"/>
      <c r="CM161" s="163"/>
      <c r="CN161" s="163"/>
      <c r="CO161" s="163"/>
      <c r="CP161" s="163"/>
      <c r="CQ161" s="163"/>
      <c r="CR161" s="163"/>
      <c r="CS161" s="163"/>
      <c r="CT161" s="163"/>
      <c r="CU161" s="163"/>
      <c r="CV161" s="163"/>
      <c r="CW161" s="163"/>
      <c r="CX161" s="163"/>
      <c r="CY161" s="163"/>
      <c r="CZ161" s="163"/>
      <c r="DA161" s="163"/>
      <c r="DB161" s="163"/>
      <c r="DC161" s="163"/>
      <c r="DD161" s="163"/>
      <c r="DE161" s="163"/>
      <c r="DF161" s="163"/>
      <c r="DG161" s="163"/>
      <c r="DH161" s="163"/>
      <c r="DI161" s="163"/>
      <c r="DJ161" s="163"/>
      <c r="DK161" s="163"/>
      <c r="DL161" s="163"/>
      <c r="DM161" s="163"/>
      <c r="DN161" s="163"/>
      <c r="DO161" s="163"/>
      <c r="DP161" s="163"/>
      <c r="DQ161" s="163"/>
      <c r="DR161" s="163"/>
      <c r="DS161" s="163"/>
      <c r="DT161" s="163"/>
      <c r="DU161" s="163"/>
      <c r="DV161" s="163"/>
      <c r="DW161" s="163"/>
      <c r="DX161" s="163"/>
      <c r="DY161" s="163"/>
      <c r="DZ161" s="163"/>
      <c r="EA161" s="163"/>
      <c r="EB161" s="163"/>
      <c r="EC161" s="163"/>
      <c r="ED161" s="163"/>
      <c r="EE161" s="163"/>
      <c r="EF161" s="163"/>
      <c r="EG161" s="163"/>
      <c r="EH161" s="163"/>
      <c r="EI161" s="163"/>
      <c r="EJ161" s="163"/>
      <c r="EK161" s="163"/>
      <c r="EL161" s="163"/>
      <c r="EM161" s="163"/>
      <c r="EN161" s="163"/>
      <c r="EO161" s="163"/>
      <c r="EP161" s="163"/>
      <c r="EQ161" s="163"/>
      <c r="ER161" s="163"/>
      <c r="ES161" s="163"/>
      <c r="ET161" s="163"/>
      <c r="EU161" s="163"/>
      <c r="EV161" s="163"/>
      <c r="EW161" s="163"/>
      <c r="EX161" s="163"/>
      <c r="EY161" s="163"/>
      <c r="EZ161" s="163"/>
      <c r="FA161" s="163"/>
      <c r="FB161" s="163"/>
      <c r="FC161" s="163"/>
      <c r="FD161" s="163"/>
      <c r="FE161" s="163"/>
      <c r="FF161" s="163"/>
      <c r="FG161" s="163"/>
      <c r="FH161" s="163"/>
      <c r="FI161" s="163"/>
      <c r="FJ161" s="163"/>
      <c r="FK161" s="163"/>
      <c r="FL161" s="163"/>
      <c r="FM161" s="163"/>
    </row>
    <row r="162" ht="13.5" customHeight="1">
      <c r="A162" s="252"/>
      <c r="B162" s="252"/>
      <c r="C162" s="252"/>
      <c r="D162" s="252"/>
      <c r="E162" s="252"/>
      <c r="F162" s="252"/>
      <c r="G162" s="252"/>
      <c r="H162" s="252"/>
      <c r="I162" s="252"/>
      <c r="J162" s="252"/>
      <c r="K162" s="252"/>
      <c r="L162" s="252"/>
      <c r="M162" s="252"/>
      <c r="N162" s="252"/>
      <c r="O162" s="252"/>
      <c r="P162" s="252"/>
      <c r="Q162" s="131"/>
      <c r="R162" s="163"/>
      <c r="S162" s="163"/>
      <c r="T162" s="163"/>
      <c r="U162" s="163"/>
      <c r="V162" s="163"/>
      <c r="W162" s="163"/>
      <c r="X162" s="163"/>
      <c r="Y162" s="163"/>
      <c r="Z162" s="163"/>
      <c r="AA162" s="163"/>
      <c r="AB162" s="163"/>
      <c r="AC162" s="163"/>
      <c r="AD162" s="163"/>
      <c r="AE162" s="163"/>
      <c r="AF162" s="163"/>
      <c r="AG162" s="163"/>
      <c r="AH162" s="163"/>
      <c r="AI162" s="246" t="s">
        <v>388</v>
      </c>
      <c r="AJ162" s="246">
        <v>2020.0</v>
      </c>
      <c r="AK162" s="246">
        <v>384.0</v>
      </c>
      <c r="AL162" s="246">
        <v>390.0</v>
      </c>
      <c r="AM162" s="246">
        <v>328.0</v>
      </c>
      <c r="AN162" s="246">
        <v>288.0</v>
      </c>
      <c r="AO162" s="246">
        <v>464.0</v>
      </c>
      <c r="AP162" s="246">
        <v>1854.0</v>
      </c>
      <c r="AQ162" s="246"/>
      <c r="AR162" s="246">
        <v>2020.0</v>
      </c>
      <c r="AS162" s="246">
        <v>139.0</v>
      </c>
      <c r="AT162" s="246">
        <v>57.0</v>
      </c>
      <c r="AU162" s="246">
        <v>49.0</v>
      </c>
      <c r="AV162" s="246">
        <v>51.0</v>
      </c>
      <c r="AW162" s="246">
        <v>65.0</v>
      </c>
      <c r="AX162" s="246">
        <v>361.0</v>
      </c>
      <c r="AY162" s="163"/>
      <c r="AZ162" s="254" t="s">
        <v>542</v>
      </c>
      <c r="BA162" s="254">
        <v>2020.0</v>
      </c>
      <c r="BB162" s="254">
        <v>70.0</v>
      </c>
      <c r="BC162" s="254">
        <v>38.0</v>
      </c>
      <c r="BD162" s="254">
        <v>36.0</v>
      </c>
      <c r="BE162" s="254">
        <v>42.0</v>
      </c>
      <c r="BF162" s="254">
        <v>107.0</v>
      </c>
      <c r="BG162" s="254">
        <v>293.0</v>
      </c>
      <c r="BH162" s="254"/>
      <c r="BI162" s="254">
        <v>2020.0</v>
      </c>
      <c r="BJ162" s="254">
        <v>36.0</v>
      </c>
      <c r="BK162" s="254">
        <v>0.0</v>
      </c>
      <c r="BL162" s="254">
        <v>0.0</v>
      </c>
      <c r="BM162" s="254">
        <v>0.0</v>
      </c>
      <c r="BN162" s="254">
        <v>0.0</v>
      </c>
      <c r="BO162" s="254">
        <v>36.0</v>
      </c>
      <c r="BP162" s="163"/>
      <c r="BQ162" s="163"/>
      <c r="BR162" s="163"/>
      <c r="BS162" s="163"/>
      <c r="BT162" s="163"/>
      <c r="BU162" s="163"/>
      <c r="BV162" s="163"/>
      <c r="BW162" s="163"/>
      <c r="BX162" s="163"/>
      <c r="BY162" s="163"/>
      <c r="BZ162" s="163"/>
      <c r="CA162" s="163"/>
      <c r="CB162" s="163"/>
      <c r="CC162" s="163"/>
      <c r="CD162" s="163"/>
      <c r="CE162" s="163"/>
      <c r="CF162" s="163"/>
      <c r="CG162" s="163"/>
      <c r="CH162" s="163"/>
      <c r="CI162" s="163"/>
      <c r="CJ162" s="163"/>
      <c r="CK162" s="163"/>
      <c r="CL162" s="163"/>
      <c r="CM162" s="163"/>
      <c r="CN162" s="163"/>
      <c r="CO162" s="163"/>
      <c r="CP162" s="163"/>
      <c r="CQ162" s="163"/>
      <c r="CR162" s="163"/>
      <c r="CS162" s="163"/>
      <c r="CT162" s="163"/>
      <c r="CU162" s="163"/>
      <c r="CV162" s="163"/>
      <c r="CW162" s="163"/>
      <c r="CX162" s="163"/>
      <c r="CY162" s="163"/>
      <c r="CZ162" s="163"/>
      <c r="DA162" s="163"/>
      <c r="DB162" s="163"/>
      <c r="DC162" s="163"/>
      <c r="DD162" s="163"/>
      <c r="DE162" s="163"/>
      <c r="DF162" s="163"/>
      <c r="DG162" s="163"/>
      <c r="DH162" s="163"/>
      <c r="DI162" s="163"/>
      <c r="DJ162" s="163"/>
      <c r="DK162" s="163"/>
      <c r="DL162" s="163"/>
      <c r="DM162" s="163"/>
      <c r="DN162" s="163"/>
      <c r="DO162" s="163"/>
      <c r="DP162" s="163"/>
      <c r="DQ162" s="163"/>
      <c r="DR162" s="163"/>
      <c r="DS162" s="163"/>
      <c r="DT162" s="163"/>
      <c r="DU162" s="163"/>
      <c r="DV162" s="163"/>
      <c r="DW162" s="163"/>
      <c r="DX162" s="163"/>
      <c r="DY162" s="163"/>
      <c r="DZ162" s="163"/>
      <c r="EA162" s="163"/>
      <c r="EB162" s="163"/>
      <c r="EC162" s="163"/>
      <c r="ED162" s="163"/>
      <c r="EE162" s="163"/>
      <c r="EF162" s="163"/>
      <c r="EG162" s="163"/>
      <c r="EH162" s="163"/>
      <c r="EI162" s="163"/>
      <c r="EJ162" s="163"/>
      <c r="EK162" s="163"/>
      <c r="EL162" s="163"/>
      <c r="EM162" s="163"/>
      <c r="EN162" s="163"/>
      <c r="EO162" s="163"/>
      <c r="EP162" s="163"/>
      <c r="EQ162" s="163"/>
      <c r="ER162" s="163"/>
      <c r="ES162" s="163"/>
      <c r="ET162" s="163"/>
      <c r="EU162" s="163"/>
      <c r="EV162" s="163"/>
      <c r="EW162" s="163"/>
      <c r="EX162" s="163"/>
      <c r="EY162" s="163"/>
      <c r="EZ162" s="163"/>
      <c r="FA162" s="163"/>
      <c r="FB162" s="163"/>
      <c r="FC162" s="163"/>
      <c r="FD162" s="163"/>
      <c r="FE162" s="163"/>
      <c r="FF162" s="163"/>
      <c r="FG162" s="163"/>
      <c r="FH162" s="163"/>
      <c r="FI162" s="163"/>
      <c r="FJ162" s="163"/>
      <c r="FK162" s="163"/>
      <c r="FL162" s="163"/>
      <c r="FM162" s="163"/>
    </row>
    <row r="163" ht="13.5" customHeight="1">
      <c r="A163" s="252"/>
      <c r="B163" s="252"/>
      <c r="C163" s="252"/>
      <c r="D163" s="252"/>
      <c r="E163" s="252"/>
      <c r="F163" s="252"/>
      <c r="G163" s="252"/>
      <c r="H163" s="252"/>
      <c r="I163" s="252"/>
      <c r="J163" s="252"/>
      <c r="K163" s="252"/>
      <c r="L163" s="252"/>
      <c r="M163" s="252"/>
      <c r="N163" s="252"/>
      <c r="O163" s="252"/>
      <c r="P163" s="252"/>
      <c r="Q163" s="131"/>
      <c r="R163" s="163"/>
      <c r="S163" s="163"/>
      <c r="T163" s="163"/>
      <c r="U163" s="163"/>
      <c r="V163" s="163"/>
      <c r="W163" s="163"/>
      <c r="X163" s="163"/>
      <c r="Y163" s="163"/>
      <c r="Z163" s="163"/>
      <c r="AA163" s="163"/>
      <c r="AB163" s="163"/>
      <c r="AC163" s="163"/>
      <c r="AD163" s="163"/>
      <c r="AE163" s="163"/>
      <c r="AF163" s="163"/>
      <c r="AG163" s="163"/>
      <c r="AH163" s="163"/>
      <c r="AI163" s="246" t="s">
        <v>391</v>
      </c>
      <c r="AJ163" s="246">
        <v>2020.0</v>
      </c>
      <c r="AK163" s="246">
        <v>537.0</v>
      </c>
      <c r="AL163" s="246">
        <v>622.0</v>
      </c>
      <c r="AM163" s="246">
        <v>422.0</v>
      </c>
      <c r="AN163" s="246">
        <v>371.0</v>
      </c>
      <c r="AO163" s="246">
        <v>497.0</v>
      </c>
      <c r="AP163" s="246">
        <v>2449.0</v>
      </c>
      <c r="AQ163" s="246"/>
      <c r="AR163" s="246">
        <v>2020.0</v>
      </c>
      <c r="AS163" s="246">
        <v>153.0</v>
      </c>
      <c r="AT163" s="246">
        <v>39.0</v>
      </c>
      <c r="AU163" s="246">
        <v>21.0</v>
      </c>
      <c r="AV163" s="246">
        <v>26.0</v>
      </c>
      <c r="AW163" s="246">
        <v>46.0</v>
      </c>
      <c r="AX163" s="246">
        <v>285.0</v>
      </c>
      <c r="AY163" s="163"/>
      <c r="AZ163" s="254" t="s">
        <v>544</v>
      </c>
      <c r="BA163" s="254">
        <v>2020.0</v>
      </c>
      <c r="BB163" s="254">
        <v>805.0</v>
      </c>
      <c r="BC163" s="254">
        <v>665.0</v>
      </c>
      <c r="BD163" s="254">
        <v>888.0</v>
      </c>
      <c r="BE163" s="254">
        <v>845.0</v>
      </c>
      <c r="BF163" s="254">
        <v>690.0</v>
      </c>
      <c r="BG163" s="254">
        <v>3893.0</v>
      </c>
      <c r="BH163" s="254"/>
      <c r="BI163" s="254">
        <v>2020.0</v>
      </c>
      <c r="BJ163" s="254">
        <v>204.0</v>
      </c>
      <c r="BK163" s="254">
        <v>0.0</v>
      </c>
      <c r="BL163" s="254">
        <v>0.0</v>
      </c>
      <c r="BM163" s="254">
        <v>0.0</v>
      </c>
      <c r="BN163" s="254">
        <v>0.0</v>
      </c>
      <c r="BO163" s="254">
        <v>204.0</v>
      </c>
      <c r="BP163" s="163"/>
      <c r="BQ163" s="163"/>
      <c r="BR163" s="163"/>
      <c r="BS163" s="163"/>
      <c r="BT163" s="163"/>
      <c r="BU163" s="163"/>
      <c r="BV163" s="163"/>
      <c r="BW163" s="163"/>
      <c r="BX163" s="163"/>
      <c r="BY163" s="163"/>
      <c r="BZ163" s="163"/>
      <c r="CA163" s="163"/>
      <c r="CB163" s="163"/>
      <c r="CC163" s="163"/>
      <c r="CD163" s="163"/>
      <c r="CE163" s="163"/>
      <c r="CF163" s="163"/>
      <c r="CG163" s="163"/>
      <c r="CH163" s="163"/>
      <c r="CI163" s="163"/>
      <c r="CJ163" s="163"/>
      <c r="CK163" s="163"/>
      <c r="CL163" s="163"/>
      <c r="CM163" s="163"/>
      <c r="CN163" s="163"/>
      <c r="CO163" s="163"/>
      <c r="CP163" s="163"/>
      <c r="CQ163" s="163"/>
      <c r="CR163" s="163"/>
      <c r="CS163" s="163"/>
      <c r="CT163" s="163"/>
      <c r="CU163" s="163"/>
      <c r="CV163" s="163"/>
      <c r="CW163" s="163"/>
      <c r="CX163" s="163"/>
      <c r="CY163" s="163"/>
      <c r="CZ163" s="163"/>
      <c r="DA163" s="163"/>
      <c r="DB163" s="163"/>
      <c r="DC163" s="163"/>
      <c r="DD163" s="163"/>
      <c r="DE163" s="163"/>
      <c r="DF163" s="163"/>
      <c r="DG163" s="163"/>
      <c r="DH163" s="163"/>
      <c r="DI163" s="163"/>
      <c r="DJ163" s="163"/>
      <c r="DK163" s="163"/>
      <c r="DL163" s="163"/>
      <c r="DM163" s="163"/>
      <c r="DN163" s="163"/>
      <c r="DO163" s="163"/>
      <c r="DP163" s="163"/>
      <c r="DQ163" s="163"/>
      <c r="DR163" s="163"/>
      <c r="DS163" s="163"/>
      <c r="DT163" s="163"/>
      <c r="DU163" s="163"/>
      <c r="DV163" s="163"/>
      <c r="DW163" s="163"/>
      <c r="DX163" s="163"/>
      <c r="DY163" s="163"/>
      <c r="DZ163" s="163"/>
      <c r="EA163" s="163"/>
      <c r="EB163" s="163"/>
      <c r="EC163" s="163"/>
      <c r="ED163" s="163"/>
      <c r="EE163" s="163"/>
      <c r="EF163" s="163"/>
      <c r="EG163" s="163"/>
      <c r="EH163" s="163"/>
      <c r="EI163" s="163"/>
      <c r="EJ163" s="163"/>
      <c r="EK163" s="163"/>
      <c r="EL163" s="163"/>
      <c r="EM163" s="163"/>
      <c r="EN163" s="163"/>
      <c r="EO163" s="163"/>
      <c r="EP163" s="163"/>
      <c r="EQ163" s="163"/>
      <c r="ER163" s="163"/>
      <c r="ES163" s="163"/>
      <c r="ET163" s="163"/>
      <c r="EU163" s="163"/>
      <c r="EV163" s="163"/>
      <c r="EW163" s="163"/>
      <c r="EX163" s="163"/>
      <c r="EY163" s="163"/>
      <c r="EZ163" s="163"/>
      <c r="FA163" s="163"/>
      <c r="FB163" s="163"/>
      <c r="FC163" s="163"/>
      <c r="FD163" s="163"/>
      <c r="FE163" s="163"/>
      <c r="FF163" s="163"/>
      <c r="FG163" s="163"/>
      <c r="FH163" s="163"/>
      <c r="FI163" s="163"/>
      <c r="FJ163" s="163"/>
      <c r="FK163" s="163"/>
      <c r="FL163" s="163"/>
      <c r="FM163" s="163"/>
    </row>
    <row r="164" ht="13.5" customHeight="1">
      <c r="A164" s="252"/>
      <c r="B164" s="252"/>
      <c r="C164" s="252"/>
      <c r="D164" s="252"/>
      <c r="E164" s="252"/>
      <c r="F164" s="252"/>
      <c r="G164" s="252"/>
      <c r="H164" s="252"/>
      <c r="I164" s="252"/>
      <c r="J164" s="252"/>
      <c r="K164" s="252"/>
      <c r="L164" s="252"/>
      <c r="M164" s="252"/>
      <c r="N164" s="252"/>
      <c r="O164" s="252"/>
      <c r="P164" s="252"/>
      <c r="Q164" s="131"/>
      <c r="R164" s="163"/>
      <c r="S164" s="163"/>
      <c r="T164" s="163"/>
      <c r="U164" s="163"/>
      <c r="V164" s="163"/>
      <c r="W164" s="163"/>
      <c r="X164" s="163"/>
      <c r="Y164" s="163"/>
      <c r="Z164" s="163"/>
      <c r="AA164" s="163"/>
      <c r="AB164" s="163"/>
      <c r="AC164" s="163"/>
      <c r="AD164" s="163"/>
      <c r="AE164" s="163"/>
      <c r="AF164" s="163"/>
      <c r="AG164" s="163"/>
      <c r="AH164" s="163"/>
      <c r="AI164" s="246" t="s">
        <v>394</v>
      </c>
      <c r="AJ164" s="246">
        <v>2020.0</v>
      </c>
      <c r="AK164" s="246">
        <v>520.0</v>
      </c>
      <c r="AL164" s="246">
        <v>729.0</v>
      </c>
      <c r="AM164" s="246">
        <v>432.0</v>
      </c>
      <c r="AN164" s="246">
        <v>493.0</v>
      </c>
      <c r="AO164" s="246">
        <v>534.0</v>
      </c>
      <c r="AP164" s="246">
        <v>2708.0</v>
      </c>
      <c r="AQ164" s="246"/>
      <c r="AR164" s="246">
        <v>2020.0</v>
      </c>
      <c r="AS164" s="246">
        <v>135.0</v>
      </c>
      <c r="AT164" s="246">
        <v>40.0</v>
      </c>
      <c r="AU164" s="246">
        <v>40.0</v>
      </c>
      <c r="AV164" s="246">
        <v>51.0</v>
      </c>
      <c r="AW164" s="246">
        <v>41.0</v>
      </c>
      <c r="AX164" s="246">
        <v>307.0</v>
      </c>
      <c r="AY164" s="163"/>
      <c r="AZ164" s="254" t="s">
        <v>546</v>
      </c>
      <c r="BA164" s="254">
        <v>2020.0</v>
      </c>
      <c r="BB164" s="254">
        <v>128.0</v>
      </c>
      <c r="BC164" s="254">
        <v>157.0</v>
      </c>
      <c r="BD164" s="254">
        <v>281.0</v>
      </c>
      <c r="BE164" s="254">
        <v>385.0</v>
      </c>
      <c r="BF164" s="254">
        <v>373.0</v>
      </c>
      <c r="BG164" s="254">
        <v>1324.0</v>
      </c>
      <c r="BH164" s="254"/>
      <c r="BI164" s="254">
        <v>2020.0</v>
      </c>
      <c r="BJ164" s="254">
        <v>49.0</v>
      </c>
      <c r="BK164" s="254">
        <v>0.0</v>
      </c>
      <c r="BL164" s="254">
        <v>0.0</v>
      </c>
      <c r="BM164" s="254">
        <v>0.0</v>
      </c>
      <c r="BN164" s="254">
        <v>0.0</v>
      </c>
      <c r="BO164" s="254">
        <v>49.0</v>
      </c>
      <c r="BP164" s="163"/>
      <c r="BQ164" s="163"/>
      <c r="BR164" s="163"/>
      <c r="BS164" s="163"/>
      <c r="BT164" s="163"/>
      <c r="BU164" s="163"/>
      <c r="BV164" s="163"/>
      <c r="BW164" s="163"/>
      <c r="BX164" s="163"/>
      <c r="BY164" s="163"/>
      <c r="BZ164" s="163"/>
      <c r="CA164" s="163"/>
      <c r="CB164" s="163"/>
      <c r="CC164" s="163"/>
      <c r="CD164" s="163"/>
      <c r="CE164" s="163"/>
      <c r="CF164" s="163"/>
      <c r="CG164" s="163"/>
      <c r="CH164" s="163"/>
      <c r="CI164" s="163"/>
      <c r="CJ164" s="163"/>
      <c r="CK164" s="163"/>
      <c r="CL164" s="163"/>
      <c r="CM164" s="163"/>
      <c r="CN164" s="163"/>
      <c r="CO164" s="163"/>
      <c r="CP164" s="163"/>
      <c r="CQ164" s="163"/>
      <c r="CR164" s="163"/>
      <c r="CS164" s="163"/>
      <c r="CT164" s="163"/>
      <c r="CU164" s="163"/>
      <c r="CV164" s="163"/>
      <c r="CW164" s="163"/>
      <c r="CX164" s="163"/>
      <c r="CY164" s="163"/>
      <c r="CZ164" s="163"/>
      <c r="DA164" s="163"/>
      <c r="DB164" s="163"/>
      <c r="DC164" s="163"/>
      <c r="DD164" s="163"/>
      <c r="DE164" s="163"/>
      <c r="DF164" s="163"/>
      <c r="DG164" s="163"/>
      <c r="DH164" s="163"/>
      <c r="DI164" s="163"/>
      <c r="DJ164" s="163"/>
      <c r="DK164" s="163"/>
      <c r="DL164" s="163"/>
      <c r="DM164" s="163"/>
      <c r="DN164" s="163"/>
      <c r="DO164" s="163"/>
      <c r="DP164" s="163"/>
      <c r="DQ164" s="163"/>
      <c r="DR164" s="163"/>
      <c r="DS164" s="163"/>
      <c r="DT164" s="163"/>
      <c r="DU164" s="163"/>
      <c r="DV164" s="163"/>
      <c r="DW164" s="163"/>
      <c r="DX164" s="163"/>
      <c r="DY164" s="163"/>
      <c r="DZ164" s="163"/>
      <c r="EA164" s="163"/>
      <c r="EB164" s="163"/>
      <c r="EC164" s="163"/>
      <c r="ED164" s="163"/>
      <c r="EE164" s="163"/>
      <c r="EF164" s="163"/>
      <c r="EG164" s="163"/>
      <c r="EH164" s="163"/>
      <c r="EI164" s="163"/>
      <c r="EJ164" s="163"/>
      <c r="EK164" s="163"/>
      <c r="EL164" s="163"/>
      <c r="EM164" s="163"/>
      <c r="EN164" s="163"/>
      <c r="EO164" s="163"/>
      <c r="EP164" s="163"/>
      <c r="EQ164" s="163"/>
      <c r="ER164" s="163"/>
      <c r="ES164" s="163"/>
      <c r="ET164" s="163"/>
      <c r="EU164" s="163"/>
      <c r="EV164" s="163"/>
      <c r="EW164" s="163"/>
      <c r="EX164" s="163"/>
      <c r="EY164" s="163"/>
      <c r="EZ164" s="163"/>
      <c r="FA164" s="163"/>
      <c r="FB164" s="163"/>
      <c r="FC164" s="163"/>
      <c r="FD164" s="163"/>
      <c r="FE164" s="163"/>
      <c r="FF164" s="163"/>
      <c r="FG164" s="163"/>
      <c r="FH164" s="163"/>
      <c r="FI164" s="163"/>
      <c r="FJ164" s="163"/>
      <c r="FK164" s="163"/>
      <c r="FL164" s="163"/>
      <c r="FM164" s="163"/>
    </row>
    <row r="165" ht="13.5" customHeight="1">
      <c r="A165" s="252"/>
      <c r="B165" s="252"/>
      <c r="C165" s="252"/>
      <c r="D165" s="252"/>
      <c r="E165" s="252"/>
      <c r="F165" s="252"/>
      <c r="G165" s="252"/>
      <c r="H165" s="252"/>
      <c r="I165" s="252"/>
      <c r="J165" s="252"/>
      <c r="K165" s="252"/>
      <c r="L165" s="252"/>
      <c r="M165" s="252"/>
      <c r="N165" s="252"/>
      <c r="O165" s="252"/>
      <c r="P165" s="252"/>
      <c r="Q165" s="131"/>
      <c r="R165" s="163"/>
      <c r="S165" s="163"/>
      <c r="T165" s="163"/>
      <c r="U165" s="163"/>
      <c r="V165" s="163"/>
      <c r="W165" s="163"/>
      <c r="X165" s="163"/>
      <c r="Y165" s="163"/>
      <c r="Z165" s="163"/>
      <c r="AA165" s="163"/>
      <c r="AB165" s="163"/>
      <c r="AC165" s="163"/>
      <c r="AD165" s="163"/>
      <c r="AE165" s="163"/>
      <c r="AF165" s="163"/>
      <c r="AG165" s="163"/>
      <c r="AH165" s="163"/>
      <c r="AI165" s="246" t="s">
        <v>396</v>
      </c>
      <c r="AJ165" s="246">
        <v>2020.0</v>
      </c>
      <c r="AK165" s="246">
        <v>484.0</v>
      </c>
      <c r="AL165" s="246">
        <v>361.0</v>
      </c>
      <c r="AM165" s="246">
        <v>368.0</v>
      </c>
      <c r="AN165" s="246">
        <v>370.0</v>
      </c>
      <c r="AO165" s="246">
        <v>486.0</v>
      </c>
      <c r="AP165" s="246">
        <v>2069.0</v>
      </c>
      <c r="AQ165" s="246"/>
      <c r="AR165" s="246">
        <v>2020.0</v>
      </c>
      <c r="AS165" s="246">
        <v>190.0</v>
      </c>
      <c r="AT165" s="246">
        <v>35.0</v>
      </c>
      <c r="AU165" s="246">
        <v>33.0</v>
      </c>
      <c r="AV165" s="246">
        <v>22.0</v>
      </c>
      <c r="AW165" s="246">
        <v>52.0</v>
      </c>
      <c r="AX165" s="246">
        <v>332.0</v>
      </c>
      <c r="AY165" s="163"/>
      <c r="AZ165" s="254" t="s">
        <v>549</v>
      </c>
      <c r="BA165" s="254">
        <v>2020.0</v>
      </c>
      <c r="BB165" s="254">
        <v>327.0</v>
      </c>
      <c r="BC165" s="254">
        <v>488.0</v>
      </c>
      <c r="BD165" s="254">
        <v>710.0</v>
      </c>
      <c r="BE165" s="254">
        <v>766.0</v>
      </c>
      <c r="BF165" s="254">
        <v>712.0</v>
      </c>
      <c r="BG165" s="254">
        <v>3003.0</v>
      </c>
      <c r="BH165" s="254"/>
      <c r="BI165" s="254">
        <v>2020.0</v>
      </c>
      <c r="BJ165" s="254">
        <v>30.0</v>
      </c>
      <c r="BK165" s="254">
        <v>0.0</v>
      </c>
      <c r="BL165" s="254">
        <v>0.0</v>
      </c>
      <c r="BM165" s="254">
        <v>0.0</v>
      </c>
      <c r="BN165" s="254">
        <v>0.0</v>
      </c>
      <c r="BO165" s="254">
        <v>30.0</v>
      </c>
      <c r="BP165" s="163"/>
      <c r="BQ165" s="163"/>
      <c r="BR165" s="163"/>
      <c r="BS165" s="163"/>
      <c r="BT165" s="163"/>
      <c r="BU165" s="163"/>
      <c r="BV165" s="163"/>
      <c r="BW165" s="163"/>
      <c r="BX165" s="163"/>
      <c r="BY165" s="163"/>
      <c r="BZ165" s="163"/>
      <c r="CA165" s="163"/>
      <c r="CB165" s="163"/>
      <c r="CC165" s="163"/>
      <c r="CD165" s="163"/>
      <c r="CE165" s="163"/>
      <c r="CF165" s="163"/>
      <c r="CG165" s="163"/>
      <c r="CH165" s="163"/>
      <c r="CI165" s="163"/>
      <c r="CJ165" s="163"/>
      <c r="CK165" s="163"/>
      <c r="CL165" s="163"/>
      <c r="CM165" s="163"/>
      <c r="CN165" s="163"/>
      <c r="CO165" s="163"/>
      <c r="CP165" s="163"/>
      <c r="CQ165" s="163"/>
      <c r="CR165" s="163"/>
      <c r="CS165" s="163"/>
      <c r="CT165" s="163"/>
      <c r="CU165" s="163"/>
      <c r="CV165" s="163"/>
      <c r="CW165" s="163"/>
      <c r="CX165" s="163"/>
      <c r="CY165" s="163"/>
      <c r="CZ165" s="163"/>
      <c r="DA165" s="163"/>
      <c r="DB165" s="163"/>
      <c r="DC165" s="163"/>
      <c r="DD165" s="163"/>
      <c r="DE165" s="163"/>
      <c r="DF165" s="163"/>
      <c r="DG165" s="163"/>
      <c r="DH165" s="163"/>
      <c r="DI165" s="163"/>
      <c r="DJ165" s="163"/>
      <c r="DK165" s="163"/>
      <c r="DL165" s="163"/>
      <c r="DM165" s="163"/>
      <c r="DN165" s="163"/>
      <c r="DO165" s="163"/>
      <c r="DP165" s="163"/>
      <c r="DQ165" s="163"/>
      <c r="DR165" s="163"/>
      <c r="DS165" s="163"/>
      <c r="DT165" s="163"/>
      <c r="DU165" s="163"/>
      <c r="DV165" s="163"/>
      <c r="DW165" s="163"/>
      <c r="DX165" s="163"/>
      <c r="DY165" s="163"/>
      <c r="DZ165" s="163"/>
      <c r="EA165" s="163"/>
      <c r="EB165" s="163"/>
      <c r="EC165" s="163"/>
      <c r="ED165" s="163"/>
      <c r="EE165" s="163"/>
      <c r="EF165" s="163"/>
      <c r="EG165" s="163"/>
      <c r="EH165" s="163"/>
      <c r="EI165" s="163"/>
      <c r="EJ165" s="163"/>
      <c r="EK165" s="163"/>
      <c r="EL165" s="163"/>
      <c r="EM165" s="163"/>
      <c r="EN165" s="163"/>
      <c r="EO165" s="163"/>
      <c r="EP165" s="163"/>
      <c r="EQ165" s="163"/>
      <c r="ER165" s="163"/>
      <c r="ES165" s="163"/>
      <c r="ET165" s="163"/>
      <c r="EU165" s="163"/>
      <c r="EV165" s="163"/>
      <c r="EW165" s="163"/>
      <c r="EX165" s="163"/>
      <c r="EY165" s="163"/>
      <c r="EZ165" s="163"/>
      <c r="FA165" s="163"/>
      <c r="FB165" s="163"/>
      <c r="FC165" s="163"/>
      <c r="FD165" s="163"/>
      <c r="FE165" s="163"/>
      <c r="FF165" s="163"/>
      <c r="FG165" s="163"/>
      <c r="FH165" s="163"/>
      <c r="FI165" s="163"/>
      <c r="FJ165" s="163"/>
      <c r="FK165" s="163"/>
      <c r="FL165" s="163"/>
      <c r="FM165" s="163"/>
    </row>
    <row r="166" ht="13.5" customHeight="1">
      <c r="A166" s="252"/>
      <c r="B166" s="252"/>
      <c r="C166" s="252"/>
      <c r="D166" s="252"/>
      <c r="E166" s="252"/>
      <c r="F166" s="252"/>
      <c r="G166" s="252"/>
      <c r="H166" s="252"/>
      <c r="I166" s="252"/>
      <c r="J166" s="252"/>
      <c r="K166" s="252"/>
      <c r="L166" s="252"/>
      <c r="M166" s="252"/>
      <c r="N166" s="252"/>
      <c r="O166" s="252"/>
      <c r="P166" s="252"/>
      <c r="Q166" s="131"/>
      <c r="R166" s="163"/>
      <c r="S166" s="163"/>
      <c r="T166" s="163"/>
      <c r="U166" s="163"/>
      <c r="V166" s="163"/>
      <c r="W166" s="163"/>
      <c r="X166" s="163"/>
      <c r="Y166" s="163"/>
      <c r="Z166" s="163"/>
      <c r="AA166" s="163"/>
      <c r="AB166" s="163"/>
      <c r="AC166" s="163"/>
      <c r="AD166" s="163"/>
      <c r="AE166" s="163"/>
      <c r="AF166" s="163"/>
      <c r="AG166" s="163"/>
      <c r="AH166" s="163"/>
      <c r="AI166" s="246" t="s">
        <v>398</v>
      </c>
      <c r="AJ166" s="246">
        <v>2020.0</v>
      </c>
      <c r="AK166" s="246">
        <v>774.0</v>
      </c>
      <c r="AL166" s="246">
        <v>679.0</v>
      </c>
      <c r="AM166" s="246">
        <v>549.0</v>
      </c>
      <c r="AN166" s="246">
        <v>565.0</v>
      </c>
      <c r="AO166" s="246">
        <v>772.0</v>
      </c>
      <c r="AP166" s="246">
        <v>3339.0</v>
      </c>
      <c r="AQ166" s="246"/>
      <c r="AR166" s="246">
        <v>2020.0</v>
      </c>
      <c r="AS166" s="246">
        <v>144.0</v>
      </c>
      <c r="AT166" s="246">
        <v>15.0</v>
      </c>
      <c r="AU166" s="246">
        <v>12.0</v>
      </c>
      <c r="AV166" s="246">
        <v>10.0</v>
      </c>
      <c r="AW166" s="246">
        <v>23.0</v>
      </c>
      <c r="AX166" s="246">
        <v>204.0</v>
      </c>
      <c r="AY166" s="163"/>
      <c r="AZ166" s="254" t="s">
        <v>555</v>
      </c>
      <c r="BA166" s="254">
        <v>2020.0</v>
      </c>
      <c r="BB166" s="254">
        <v>120.0</v>
      </c>
      <c r="BC166" s="254">
        <v>108.0</v>
      </c>
      <c r="BD166" s="254">
        <v>243.0</v>
      </c>
      <c r="BE166" s="254">
        <v>360.0</v>
      </c>
      <c r="BF166" s="254">
        <v>352.0</v>
      </c>
      <c r="BG166" s="254">
        <v>1183.0</v>
      </c>
      <c r="BH166" s="254"/>
      <c r="BI166" s="254">
        <v>2020.0</v>
      </c>
      <c r="BJ166" s="254">
        <v>22.0</v>
      </c>
      <c r="BK166" s="254">
        <v>0.0</v>
      </c>
      <c r="BL166" s="254">
        <v>0.0</v>
      </c>
      <c r="BM166" s="254">
        <v>0.0</v>
      </c>
      <c r="BN166" s="254">
        <v>0.0</v>
      </c>
      <c r="BO166" s="254">
        <v>22.0</v>
      </c>
      <c r="BP166" s="163"/>
      <c r="BQ166" s="163"/>
      <c r="BR166" s="163"/>
      <c r="BS166" s="163"/>
      <c r="BT166" s="163"/>
      <c r="BU166" s="163"/>
      <c r="BV166" s="163"/>
      <c r="BW166" s="163"/>
      <c r="BX166" s="163"/>
      <c r="BY166" s="163"/>
      <c r="BZ166" s="163"/>
      <c r="CA166" s="163"/>
      <c r="CB166" s="163"/>
      <c r="CC166" s="163"/>
      <c r="CD166" s="163"/>
      <c r="CE166" s="163"/>
      <c r="CF166" s="163"/>
      <c r="CG166" s="163"/>
      <c r="CH166" s="163"/>
      <c r="CI166" s="163"/>
      <c r="CJ166" s="163"/>
      <c r="CK166" s="163"/>
      <c r="CL166" s="163"/>
      <c r="CM166" s="163"/>
      <c r="CN166" s="163"/>
      <c r="CO166" s="163"/>
      <c r="CP166" s="163"/>
      <c r="CQ166" s="163"/>
      <c r="CR166" s="163"/>
      <c r="CS166" s="163"/>
      <c r="CT166" s="163"/>
      <c r="CU166" s="163"/>
      <c r="CV166" s="163"/>
      <c r="CW166" s="163"/>
      <c r="CX166" s="163"/>
      <c r="CY166" s="163"/>
      <c r="CZ166" s="163"/>
      <c r="DA166" s="163"/>
      <c r="DB166" s="163"/>
      <c r="DC166" s="163"/>
      <c r="DD166" s="163"/>
      <c r="DE166" s="163"/>
      <c r="DF166" s="163"/>
      <c r="DG166" s="163"/>
      <c r="DH166" s="163"/>
      <c r="DI166" s="163"/>
      <c r="DJ166" s="163"/>
      <c r="DK166" s="163"/>
      <c r="DL166" s="163"/>
      <c r="DM166" s="163"/>
      <c r="DN166" s="163"/>
      <c r="DO166" s="163"/>
      <c r="DP166" s="163"/>
      <c r="DQ166" s="163"/>
      <c r="DR166" s="163"/>
      <c r="DS166" s="163"/>
      <c r="DT166" s="163"/>
      <c r="DU166" s="163"/>
      <c r="DV166" s="163"/>
      <c r="DW166" s="163"/>
      <c r="DX166" s="163"/>
      <c r="DY166" s="163"/>
      <c r="DZ166" s="163"/>
      <c r="EA166" s="163"/>
      <c r="EB166" s="163"/>
      <c r="EC166" s="163"/>
      <c r="ED166" s="163"/>
      <c r="EE166" s="163"/>
      <c r="EF166" s="163"/>
      <c r="EG166" s="163"/>
      <c r="EH166" s="163"/>
      <c r="EI166" s="163"/>
      <c r="EJ166" s="163"/>
      <c r="EK166" s="163"/>
      <c r="EL166" s="163"/>
      <c r="EM166" s="163"/>
      <c r="EN166" s="163"/>
      <c r="EO166" s="163"/>
      <c r="EP166" s="163"/>
      <c r="EQ166" s="163"/>
      <c r="ER166" s="163"/>
      <c r="ES166" s="163"/>
      <c r="ET166" s="163"/>
      <c r="EU166" s="163"/>
      <c r="EV166" s="163"/>
      <c r="EW166" s="163"/>
      <c r="EX166" s="163"/>
      <c r="EY166" s="163"/>
      <c r="EZ166" s="163"/>
      <c r="FA166" s="163"/>
      <c r="FB166" s="163"/>
      <c r="FC166" s="163"/>
      <c r="FD166" s="163"/>
      <c r="FE166" s="163"/>
      <c r="FF166" s="163"/>
      <c r="FG166" s="163"/>
      <c r="FH166" s="163"/>
      <c r="FI166" s="163"/>
      <c r="FJ166" s="163"/>
      <c r="FK166" s="163"/>
      <c r="FL166" s="163"/>
      <c r="FM166" s="163"/>
    </row>
    <row r="167" ht="13.5" customHeight="1">
      <c r="A167" s="252"/>
      <c r="B167" s="252"/>
      <c r="C167" s="252"/>
      <c r="D167" s="252"/>
      <c r="E167" s="252"/>
      <c r="F167" s="252"/>
      <c r="G167" s="252"/>
      <c r="H167" s="252"/>
      <c r="I167" s="252"/>
      <c r="J167" s="252"/>
      <c r="K167" s="252"/>
      <c r="L167" s="252"/>
      <c r="M167" s="252"/>
      <c r="N167" s="252"/>
      <c r="O167" s="252"/>
      <c r="P167" s="252"/>
      <c r="Q167" s="131"/>
      <c r="R167" s="163"/>
      <c r="S167" s="163"/>
      <c r="T167" s="163"/>
      <c r="U167" s="163"/>
      <c r="V167" s="163"/>
      <c r="W167" s="163"/>
      <c r="X167" s="163"/>
      <c r="Y167" s="163"/>
      <c r="Z167" s="163"/>
      <c r="AA167" s="163"/>
      <c r="AB167" s="163"/>
      <c r="AC167" s="163"/>
      <c r="AD167" s="163"/>
      <c r="AE167" s="163"/>
      <c r="AF167" s="163"/>
      <c r="AG167" s="163"/>
      <c r="AH167" s="163"/>
      <c r="AI167" s="246" t="s">
        <v>400</v>
      </c>
      <c r="AJ167" s="246">
        <v>2020.0</v>
      </c>
      <c r="AK167" s="246">
        <v>678.0</v>
      </c>
      <c r="AL167" s="246">
        <v>545.0</v>
      </c>
      <c r="AM167" s="246">
        <v>530.0</v>
      </c>
      <c r="AN167" s="246">
        <v>489.0</v>
      </c>
      <c r="AO167" s="246">
        <v>687.0</v>
      </c>
      <c r="AP167" s="246">
        <v>2929.0</v>
      </c>
      <c r="AQ167" s="246"/>
      <c r="AR167" s="246">
        <v>2020.0</v>
      </c>
      <c r="AS167" s="246">
        <v>133.0</v>
      </c>
      <c r="AT167" s="246">
        <v>23.0</v>
      </c>
      <c r="AU167" s="246">
        <v>19.0</v>
      </c>
      <c r="AV167" s="246">
        <v>20.0</v>
      </c>
      <c r="AW167" s="246">
        <v>27.0</v>
      </c>
      <c r="AX167" s="246">
        <v>222.0</v>
      </c>
      <c r="AY167" s="163"/>
      <c r="AZ167" s="254" t="s">
        <v>557</v>
      </c>
      <c r="BA167" s="254">
        <v>2020.0</v>
      </c>
      <c r="BB167" s="254">
        <v>116.0</v>
      </c>
      <c r="BC167" s="254">
        <v>192.0</v>
      </c>
      <c r="BD167" s="254">
        <v>366.0</v>
      </c>
      <c r="BE167" s="254">
        <v>447.0</v>
      </c>
      <c r="BF167" s="254">
        <v>386.0</v>
      </c>
      <c r="BG167" s="254">
        <v>1507.0</v>
      </c>
      <c r="BH167" s="254"/>
      <c r="BI167" s="254">
        <v>2020.0</v>
      </c>
      <c r="BJ167" s="254">
        <v>21.0</v>
      </c>
      <c r="BK167" s="254">
        <v>0.0</v>
      </c>
      <c r="BL167" s="254">
        <v>0.0</v>
      </c>
      <c r="BM167" s="254">
        <v>0.0</v>
      </c>
      <c r="BN167" s="254">
        <v>0.0</v>
      </c>
      <c r="BO167" s="254">
        <v>21.0</v>
      </c>
      <c r="BP167" s="163"/>
      <c r="BQ167" s="163"/>
      <c r="BR167" s="163"/>
      <c r="BS167" s="163"/>
      <c r="BT167" s="163"/>
      <c r="BU167" s="163"/>
      <c r="BV167" s="163"/>
      <c r="BW167" s="163"/>
      <c r="BX167" s="163"/>
      <c r="BY167" s="163"/>
      <c r="BZ167" s="163"/>
      <c r="CA167" s="163"/>
      <c r="CB167" s="163"/>
      <c r="CC167" s="163"/>
      <c r="CD167" s="163"/>
      <c r="CE167" s="163"/>
      <c r="CF167" s="163"/>
      <c r="CG167" s="163"/>
      <c r="CH167" s="163"/>
      <c r="CI167" s="163"/>
      <c r="CJ167" s="163"/>
      <c r="CK167" s="163"/>
      <c r="CL167" s="163"/>
      <c r="CM167" s="163"/>
      <c r="CN167" s="163"/>
      <c r="CO167" s="163"/>
      <c r="CP167" s="163"/>
      <c r="CQ167" s="163"/>
      <c r="CR167" s="163"/>
      <c r="CS167" s="163"/>
      <c r="CT167" s="163"/>
      <c r="CU167" s="163"/>
      <c r="CV167" s="163"/>
      <c r="CW167" s="163"/>
      <c r="CX167" s="163"/>
      <c r="CY167" s="163"/>
      <c r="CZ167" s="163"/>
      <c r="DA167" s="163"/>
      <c r="DB167" s="163"/>
      <c r="DC167" s="163"/>
      <c r="DD167" s="163"/>
      <c r="DE167" s="163"/>
      <c r="DF167" s="163"/>
      <c r="DG167" s="163"/>
      <c r="DH167" s="163"/>
      <c r="DI167" s="163"/>
      <c r="DJ167" s="163"/>
      <c r="DK167" s="163"/>
      <c r="DL167" s="163"/>
      <c r="DM167" s="163"/>
      <c r="DN167" s="163"/>
      <c r="DO167" s="163"/>
      <c r="DP167" s="163"/>
      <c r="DQ167" s="163"/>
      <c r="DR167" s="163"/>
      <c r="DS167" s="163"/>
      <c r="DT167" s="163"/>
      <c r="DU167" s="163"/>
      <c r="DV167" s="163"/>
      <c r="DW167" s="163"/>
      <c r="DX167" s="163"/>
      <c r="DY167" s="163"/>
      <c r="DZ167" s="163"/>
      <c r="EA167" s="163"/>
      <c r="EB167" s="163"/>
      <c r="EC167" s="163"/>
      <c r="ED167" s="163"/>
      <c r="EE167" s="163"/>
      <c r="EF167" s="163"/>
      <c r="EG167" s="163"/>
      <c r="EH167" s="163"/>
      <c r="EI167" s="163"/>
      <c r="EJ167" s="163"/>
      <c r="EK167" s="163"/>
      <c r="EL167" s="163"/>
      <c r="EM167" s="163"/>
      <c r="EN167" s="163"/>
      <c r="EO167" s="163"/>
      <c r="EP167" s="163"/>
      <c r="EQ167" s="163"/>
      <c r="ER167" s="163"/>
      <c r="ES167" s="163"/>
      <c r="ET167" s="163"/>
      <c r="EU167" s="163"/>
      <c r="EV167" s="163"/>
      <c r="EW167" s="163"/>
      <c r="EX167" s="163"/>
      <c r="EY167" s="163"/>
      <c r="EZ167" s="163"/>
      <c r="FA167" s="163"/>
      <c r="FB167" s="163"/>
      <c r="FC167" s="163"/>
      <c r="FD167" s="163"/>
      <c r="FE167" s="163"/>
      <c r="FF167" s="163"/>
      <c r="FG167" s="163"/>
      <c r="FH167" s="163"/>
      <c r="FI167" s="163"/>
      <c r="FJ167" s="163"/>
      <c r="FK167" s="163"/>
      <c r="FL167" s="163"/>
      <c r="FM167" s="163"/>
    </row>
    <row r="168" ht="13.5" customHeight="1">
      <c r="A168" s="252"/>
      <c r="B168" s="252"/>
      <c r="C168" s="252"/>
      <c r="D168" s="252"/>
      <c r="E168" s="252"/>
      <c r="F168" s="252"/>
      <c r="G168" s="252"/>
      <c r="H168" s="252"/>
      <c r="I168" s="252"/>
      <c r="J168" s="252"/>
      <c r="K168" s="252"/>
      <c r="L168" s="252"/>
      <c r="M168" s="252"/>
      <c r="N168" s="252"/>
      <c r="O168" s="252"/>
      <c r="P168" s="252"/>
      <c r="Q168" s="131"/>
      <c r="R168" s="163"/>
      <c r="S168" s="163"/>
      <c r="T168" s="163"/>
      <c r="U168" s="163"/>
      <c r="V168" s="163"/>
      <c r="W168" s="163"/>
      <c r="X168" s="163"/>
      <c r="Y168" s="163"/>
      <c r="Z168" s="163"/>
      <c r="AA168" s="163"/>
      <c r="AB168" s="163"/>
      <c r="AC168" s="163"/>
      <c r="AD168" s="163"/>
      <c r="AE168" s="163"/>
      <c r="AF168" s="163"/>
      <c r="AG168" s="163"/>
      <c r="AH168" s="163"/>
      <c r="AI168" s="246" t="s">
        <v>402</v>
      </c>
      <c r="AJ168" s="246">
        <v>2020.0</v>
      </c>
      <c r="AK168" s="246">
        <v>777.0</v>
      </c>
      <c r="AL168" s="246">
        <v>602.0</v>
      </c>
      <c r="AM168" s="246">
        <v>545.0</v>
      </c>
      <c r="AN168" s="246">
        <v>517.0</v>
      </c>
      <c r="AO168" s="246">
        <v>697.0</v>
      </c>
      <c r="AP168" s="246">
        <v>3138.0</v>
      </c>
      <c r="AQ168" s="246"/>
      <c r="AR168" s="246">
        <v>2020.0</v>
      </c>
      <c r="AS168" s="246">
        <v>227.0</v>
      </c>
      <c r="AT168" s="246">
        <v>57.0</v>
      </c>
      <c r="AU168" s="246">
        <v>51.0</v>
      </c>
      <c r="AV168" s="246">
        <v>35.0</v>
      </c>
      <c r="AW168" s="246">
        <v>53.0</v>
      </c>
      <c r="AX168" s="246">
        <v>423.0</v>
      </c>
      <c r="AY168" s="163"/>
      <c r="AZ168" s="254" t="s">
        <v>548</v>
      </c>
      <c r="BA168" s="254">
        <v>2020.0</v>
      </c>
      <c r="BB168" s="254">
        <v>1526.0</v>
      </c>
      <c r="BC168" s="254">
        <v>975.0</v>
      </c>
      <c r="BD168" s="254">
        <v>1228.0</v>
      </c>
      <c r="BE168" s="254">
        <v>1283.0</v>
      </c>
      <c r="BF168" s="254">
        <v>865.0</v>
      </c>
      <c r="BG168" s="254">
        <v>5877.0</v>
      </c>
      <c r="BH168" s="254"/>
      <c r="BI168" s="254">
        <v>2020.0</v>
      </c>
      <c r="BJ168" s="254">
        <v>390.0</v>
      </c>
      <c r="BK168" s="254">
        <v>0.0</v>
      </c>
      <c r="BL168" s="254">
        <v>0.0</v>
      </c>
      <c r="BM168" s="254">
        <v>0.0</v>
      </c>
      <c r="BN168" s="254">
        <v>0.0</v>
      </c>
      <c r="BO168" s="254">
        <v>390.0</v>
      </c>
      <c r="BP168" s="163"/>
      <c r="BQ168" s="163"/>
      <c r="BR168" s="163"/>
      <c r="BS168" s="163"/>
      <c r="BT168" s="163"/>
      <c r="BU168" s="163"/>
      <c r="BV168" s="163"/>
      <c r="BW168" s="163"/>
      <c r="BX168" s="163"/>
      <c r="BY168" s="163"/>
      <c r="BZ168" s="163"/>
      <c r="CA168" s="163"/>
      <c r="CB168" s="163"/>
      <c r="CC168" s="163"/>
      <c r="CD168" s="163"/>
      <c r="CE168" s="163"/>
      <c r="CF168" s="163"/>
      <c r="CG168" s="163"/>
      <c r="CH168" s="163"/>
      <c r="CI168" s="163"/>
      <c r="CJ168" s="163"/>
      <c r="CK168" s="163"/>
      <c r="CL168" s="163"/>
      <c r="CM168" s="163"/>
      <c r="CN168" s="163"/>
      <c r="CO168" s="163"/>
      <c r="CP168" s="163"/>
      <c r="CQ168" s="163"/>
      <c r="CR168" s="163"/>
      <c r="CS168" s="163"/>
      <c r="CT168" s="163"/>
      <c r="CU168" s="163"/>
      <c r="CV168" s="163"/>
      <c r="CW168" s="163"/>
      <c r="CX168" s="163"/>
      <c r="CY168" s="163"/>
      <c r="CZ168" s="163"/>
      <c r="DA168" s="163"/>
      <c r="DB168" s="163"/>
      <c r="DC168" s="163"/>
      <c r="DD168" s="163"/>
      <c r="DE168" s="163"/>
      <c r="DF168" s="163"/>
      <c r="DG168" s="163"/>
      <c r="DH168" s="163"/>
      <c r="DI168" s="163"/>
      <c r="DJ168" s="163"/>
      <c r="DK168" s="163"/>
      <c r="DL168" s="163"/>
      <c r="DM168" s="163"/>
      <c r="DN168" s="163"/>
      <c r="DO168" s="163"/>
      <c r="DP168" s="163"/>
      <c r="DQ168" s="163"/>
      <c r="DR168" s="163"/>
      <c r="DS168" s="163"/>
      <c r="DT168" s="163"/>
      <c r="DU168" s="163"/>
      <c r="DV168" s="163"/>
      <c r="DW168" s="163"/>
      <c r="DX168" s="163"/>
      <c r="DY168" s="163"/>
      <c r="DZ168" s="163"/>
      <c r="EA168" s="163"/>
      <c r="EB168" s="163"/>
      <c r="EC168" s="163"/>
      <c r="ED168" s="163"/>
      <c r="EE168" s="163"/>
      <c r="EF168" s="163"/>
      <c r="EG168" s="163"/>
      <c r="EH168" s="163"/>
      <c r="EI168" s="163"/>
      <c r="EJ168" s="163"/>
      <c r="EK168" s="163"/>
      <c r="EL168" s="163"/>
      <c r="EM168" s="163"/>
      <c r="EN168" s="163"/>
      <c r="EO168" s="163"/>
      <c r="EP168" s="163"/>
      <c r="EQ168" s="163"/>
      <c r="ER168" s="163"/>
      <c r="ES168" s="163"/>
      <c r="ET168" s="163"/>
      <c r="EU168" s="163"/>
      <c r="EV168" s="163"/>
      <c r="EW168" s="163"/>
      <c r="EX168" s="163"/>
      <c r="EY168" s="163"/>
      <c r="EZ168" s="163"/>
      <c r="FA168" s="163"/>
      <c r="FB168" s="163"/>
      <c r="FC168" s="163"/>
      <c r="FD168" s="163"/>
      <c r="FE168" s="163"/>
      <c r="FF168" s="163"/>
      <c r="FG168" s="163"/>
      <c r="FH168" s="163"/>
      <c r="FI168" s="163"/>
      <c r="FJ168" s="163"/>
      <c r="FK168" s="163"/>
      <c r="FL168" s="163"/>
      <c r="FM168" s="163"/>
    </row>
    <row r="169" ht="13.5" customHeight="1">
      <c r="A169" s="252"/>
      <c r="B169" s="252"/>
      <c r="C169" s="252"/>
      <c r="D169" s="252"/>
      <c r="E169" s="252"/>
      <c r="F169" s="252"/>
      <c r="G169" s="252"/>
      <c r="H169" s="252"/>
      <c r="I169" s="252"/>
      <c r="J169" s="252"/>
      <c r="K169" s="252"/>
      <c r="L169" s="252"/>
      <c r="M169" s="252"/>
      <c r="N169" s="252"/>
      <c r="O169" s="252"/>
      <c r="P169" s="252"/>
      <c r="Q169" s="131"/>
      <c r="R169" s="163"/>
      <c r="S169" s="163"/>
      <c r="T169" s="163"/>
      <c r="U169" s="163"/>
      <c r="V169" s="163"/>
      <c r="W169" s="163"/>
      <c r="X169" s="163"/>
      <c r="Y169" s="163"/>
      <c r="Z169" s="163"/>
      <c r="AA169" s="163"/>
      <c r="AB169" s="163"/>
      <c r="AC169" s="163"/>
      <c r="AD169" s="163"/>
      <c r="AE169" s="163"/>
      <c r="AF169" s="163"/>
      <c r="AG169" s="163"/>
      <c r="AH169" s="163"/>
      <c r="AI169" s="246" t="s">
        <v>404</v>
      </c>
      <c r="AJ169" s="246">
        <v>2020.0</v>
      </c>
      <c r="AK169" s="246">
        <v>592.0</v>
      </c>
      <c r="AL169" s="246">
        <v>557.0</v>
      </c>
      <c r="AM169" s="246">
        <v>445.0</v>
      </c>
      <c r="AN169" s="246">
        <v>470.0</v>
      </c>
      <c r="AO169" s="246">
        <v>627.0</v>
      </c>
      <c r="AP169" s="246">
        <v>2691.0</v>
      </c>
      <c r="AQ169" s="246"/>
      <c r="AR169" s="246">
        <v>2020.0</v>
      </c>
      <c r="AS169" s="246">
        <v>205.0</v>
      </c>
      <c r="AT169" s="246">
        <v>47.0</v>
      </c>
      <c r="AU169" s="246">
        <v>30.0</v>
      </c>
      <c r="AV169" s="246">
        <v>24.0</v>
      </c>
      <c r="AW169" s="246">
        <v>48.0</v>
      </c>
      <c r="AX169" s="246">
        <v>354.0</v>
      </c>
      <c r="AY169" s="163"/>
      <c r="AZ169" s="254" t="s">
        <v>559</v>
      </c>
      <c r="BA169" s="254">
        <v>2020.0</v>
      </c>
      <c r="BB169" s="254">
        <v>59.0</v>
      </c>
      <c r="BC169" s="254">
        <v>77.0</v>
      </c>
      <c r="BD169" s="254">
        <v>142.0</v>
      </c>
      <c r="BE169" s="254">
        <v>225.0</v>
      </c>
      <c r="BF169" s="254">
        <v>216.0</v>
      </c>
      <c r="BG169" s="254">
        <v>719.0</v>
      </c>
      <c r="BH169" s="254"/>
      <c r="BI169" s="254">
        <v>2020.0</v>
      </c>
      <c r="BJ169" s="254">
        <v>22.0</v>
      </c>
      <c r="BK169" s="254">
        <v>0.0</v>
      </c>
      <c r="BL169" s="254">
        <v>0.0</v>
      </c>
      <c r="BM169" s="254">
        <v>0.0</v>
      </c>
      <c r="BN169" s="254">
        <v>0.0</v>
      </c>
      <c r="BO169" s="254">
        <v>22.0</v>
      </c>
      <c r="BP169" s="163"/>
      <c r="BQ169" s="163"/>
      <c r="BR169" s="163"/>
      <c r="BS169" s="163"/>
      <c r="BT169" s="163"/>
      <c r="BU169" s="163"/>
      <c r="BV169" s="163"/>
      <c r="BW169" s="163"/>
      <c r="BX169" s="163"/>
      <c r="BY169" s="163"/>
      <c r="BZ169" s="163"/>
      <c r="CA169" s="163"/>
      <c r="CB169" s="163"/>
      <c r="CC169" s="163"/>
      <c r="CD169" s="163"/>
      <c r="CE169" s="163"/>
      <c r="CF169" s="163"/>
      <c r="CG169" s="163"/>
      <c r="CH169" s="163"/>
      <c r="CI169" s="163"/>
      <c r="CJ169" s="163"/>
      <c r="CK169" s="163"/>
      <c r="CL169" s="163"/>
      <c r="CM169" s="163"/>
      <c r="CN169" s="163"/>
      <c r="CO169" s="163"/>
      <c r="CP169" s="163"/>
      <c r="CQ169" s="163"/>
      <c r="CR169" s="163"/>
      <c r="CS169" s="163"/>
      <c r="CT169" s="163"/>
      <c r="CU169" s="163"/>
      <c r="CV169" s="163"/>
      <c r="CW169" s="163"/>
      <c r="CX169" s="163"/>
      <c r="CY169" s="163"/>
      <c r="CZ169" s="163"/>
      <c r="DA169" s="163"/>
      <c r="DB169" s="163"/>
      <c r="DC169" s="163"/>
      <c r="DD169" s="163"/>
      <c r="DE169" s="163"/>
      <c r="DF169" s="163"/>
      <c r="DG169" s="163"/>
      <c r="DH169" s="163"/>
      <c r="DI169" s="163"/>
      <c r="DJ169" s="163"/>
      <c r="DK169" s="163"/>
      <c r="DL169" s="163"/>
      <c r="DM169" s="163"/>
      <c r="DN169" s="163"/>
      <c r="DO169" s="163"/>
      <c r="DP169" s="163"/>
      <c r="DQ169" s="163"/>
      <c r="DR169" s="163"/>
      <c r="DS169" s="163"/>
      <c r="DT169" s="163"/>
      <c r="DU169" s="163"/>
      <c r="DV169" s="163"/>
      <c r="DW169" s="163"/>
      <c r="DX169" s="163"/>
      <c r="DY169" s="163"/>
      <c r="DZ169" s="163"/>
      <c r="EA169" s="163"/>
      <c r="EB169" s="163"/>
      <c r="EC169" s="163"/>
      <c r="ED169" s="163"/>
      <c r="EE169" s="163"/>
      <c r="EF169" s="163"/>
      <c r="EG169" s="163"/>
      <c r="EH169" s="163"/>
      <c r="EI169" s="163"/>
      <c r="EJ169" s="163"/>
      <c r="EK169" s="163"/>
      <c r="EL169" s="163"/>
      <c r="EM169" s="163"/>
      <c r="EN169" s="163"/>
      <c r="EO169" s="163"/>
      <c r="EP169" s="163"/>
      <c r="EQ169" s="163"/>
      <c r="ER169" s="163"/>
      <c r="ES169" s="163"/>
      <c r="ET169" s="163"/>
      <c r="EU169" s="163"/>
      <c r="EV169" s="163"/>
      <c r="EW169" s="163"/>
      <c r="EX169" s="163"/>
      <c r="EY169" s="163"/>
      <c r="EZ169" s="163"/>
      <c r="FA169" s="163"/>
      <c r="FB169" s="163"/>
      <c r="FC169" s="163"/>
      <c r="FD169" s="163"/>
      <c r="FE169" s="163"/>
      <c r="FF169" s="163"/>
      <c r="FG169" s="163"/>
      <c r="FH169" s="163"/>
      <c r="FI169" s="163"/>
      <c r="FJ169" s="163"/>
      <c r="FK169" s="163"/>
      <c r="FL169" s="163"/>
      <c r="FM169" s="163"/>
    </row>
    <row r="170" ht="13.5" customHeight="1">
      <c r="A170" s="252"/>
      <c r="B170" s="252"/>
      <c r="C170" s="252"/>
      <c r="D170" s="252"/>
      <c r="E170" s="252"/>
      <c r="F170" s="252"/>
      <c r="G170" s="252"/>
      <c r="H170" s="252"/>
      <c r="I170" s="252"/>
      <c r="J170" s="252"/>
      <c r="K170" s="252"/>
      <c r="L170" s="252"/>
      <c r="M170" s="252"/>
      <c r="N170" s="252"/>
      <c r="O170" s="252"/>
      <c r="P170" s="252"/>
      <c r="Q170" s="131"/>
      <c r="R170" s="163"/>
      <c r="S170" s="163"/>
      <c r="T170" s="163"/>
      <c r="U170" s="163"/>
      <c r="V170" s="163"/>
      <c r="W170" s="163"/>
      <c r="X170" s="163"/>
      <c r="Y170" s="163"/>
      <c r="Z170" s="163"/>
      <c r="AA170" s="163"/>
      <c r="AB170" s="163"/>
      <c r="AC170" s="163"/>
      <c r="AD170" s="163"/>
      <c r="AE170" s="163"/>
      <c r="AF170" s="163"/>
      <c r="AG170" s="163"/>
      <c r="AH170" s="163"/>
      <c r="AI170" s="246" t="s">
        <v>406</v>
      </c>
      <c r="AJ170" s="246">
        <v>2020.0</v>
      </c>
      <c r="AK170" s="246">
        <v>363.0</v>
      </c>
      <c r="AL170" s="246">
        <v>462.0</v>
      </c>
      <c r="AM170" s="246">
        <v>369.0</v>
      </c>
      <c r="AN170" s="246">
        <v>374.0</v>
      </c>
      <c r="AO170" s="246">
        <v>452.0</v>
      </c>
      <c r="AP170" s="246">
        <v>2020.0</v>
      </c>
      <c r="AQ170" s="246"/>
      <c r="AR170" s="246">
        <v>2020.0</v>
      </c>
      <c r="AS170" s="246">
        <v>124.0</v>
      </c>
      <c r="AT170" s="246">
        <v>54.0</v>
      </c>
      <c r="AU170" s="246">
        <v>41.0</v>
      </c>
      <c r="AV170" s="246">
        <v>46.0</v>
      </c>
      <c r="AW170" s="246">
        <v>50.0</v>
      </c>
      <c r="AX170" s="246">
        <v>315.0</v>
      </c>
      <c r="AY170" s="163"/>
      <c r="AZ170" s="254" t="s">
        <v>561</v>
      </c>
      <c r="BA170" s="254">
        <v>2020.0</v>
      </c>
      <c r="BB170" s="254">
        <v>137.0</v>
      </c>
      <c r="BC170" s="254">
        <v>87.0</v>
      </c>
      <c r="BD170" s="254">
        <v>116.0</v>
      </c>
      <c r="BE170" s="254">
        <v>147.0</v>
      </c>
      <c r="BF170" s="254">
        <v>132.0</v>
      </c>
      <c r="BG170" s="254">
        <v>619.0</v>
      </c>
      <c r="BH170" s="254"/>
      <c r="BI170" s="254">
        <v>2020.0</v>
      </c>
      <c r="BJ170" s="254">
        <v>30.0</v>
      </c>
      <c r="BK170" s="254">
        <v>0.0</v>
      </c>
      <c r="BL170" s="254">
        <v>0.0</v>
      </c>
      <c r="BM170" s="254">
        <v>0.0</v>
      </c>
      <c r="BN170" s="254">
        <v>0.0</v>
      </c>
      <c r="BO170" s="254">
        <v>30.0</v>
      </c>
      <c r="BP170" s="163"/>
      <c r="BQ170" s="163"/>
      <c r="BR170" s="163"/>
      <c r="BS170" s="163"/>
      <c r="BT170" s="163"/>
      <c r="BU170" s="163"/>
      <c r="BV170" s="163"/>
      <c r="BW170" s="163"/>
      <c r="BX170" s="163"/>
      <c r="BY170" s="163"/>
      <c r="BZ170" s="163"/>
      <c r="CA170" s="163"/>
      <c r="CB170" s="163"/>
      <c r="CC170" s="163"/>
      <c r="CD170" s="163"/>
      <c r="CE170" s="163"/>
      <c r="CF170" s="163"/>
      <c r="CG170" s="163"/>
      <c r="CH170" s="163"/>
      <c r="CI170" s="163"/>
      <c r="CJ170" s="163"/>
      <c r="CK170" s="163"/>
      <c r="CL170" s="163"/>
      <c r="CM170" s="163"/>
      <c r="CN170" s="163"/>
      <c r="CO170" s="163"/>
      <c r="CP170" s="163"/>
      <c r="CQ170" s="163"/>
      <c r="CR170" s="163"/>
      <c r="CS170" s="163"/>
      <c r="CT170" s="163"/>
      <c r="CU170" s="163"/>
      <c r="CV170" s="163"/>
      <c r="CW170" s="163"/>
      <c r="CX170" s="163"/>
      <c r="CY170" s="163"/>
      <c r="CZ170" s="163"/>
      <c r="DA170" s="163"/>
      <c r="DB170" s="163"/>
      <c r="DC170" s="163"/>
      <c r="DD170" s="163"/>
      <c r="DE170" s="163"/>
      <c r="DF170" s="163"/>
      <c r="DG170" s="163"/>
      <c r="DH170" s="163"/>
      <c r="DI170" s="163"/>
      <c r="DJ170" s="163"/>
      <c r="DK170" s="163"/>
      <c r="DL170" s="163"/>
      <c r="DM170" s="163"/>
      <c r="DN170" s="163"/>
      <c r="DO170" s="163"/>
      <c r="DP170" s="163"/>
      <c r="DQ170" s="163"/>
      <c r="DR170" s="163"/>
      <c r="DS170" s="163"/>
      <c r="DT170" s="163"/>
      <c r="DU170" s="163"/>
      <c r="DV170" s="163"/>
      <c r="DW170" s="163"/>
      <c r="DX170" s="163"/>
      <c r="DY170" s="163"/>
      <c r="DZ170" s="163"/>
      <c r="EA170" s="163"/>
      <c r="EB170" s="163"/>
      <c r="EC170" s="163"/>
      <c r="ED170" s="163"/>
      <c r="EE170" s="163"/>
      <c r="EF170" s="163"/>
      <c r="EG170" s="163"/>
      <c r="EH170" s="163"/>
      <c r="EI170" s="163"/>
      <c r="EJ170" s="163"/>
      <c r="EK170" s="163"/>
      <c r="EL170" s="163"/>
      <c r="EM170" s="163"/>
      <c r="EN170" s="163"/>
      <c r="EO170" s="163"/>
      <c r="EP170" s="163"/>
      <c r="EQ170" s="163"/>
      <c r="ER170" s="163"/>
      <c r="ES170" s="163"/>
      <c r="ET170" s="163"/>
      <c r="EU170" s="163"/>
      <c r="EV170" s="163"/>
      <c r="EW170" s="163"/>
      <c r="EX170" s="163"/>
      <c r="EY170" s="163"/>
      <c r="EZ170" s="163"/>
      <c r="FA170" s="163"/>
      <c r="FB170" s="163"/>
      <c r="FC170" s="163"/>
      <c r="FD170" s="163"/>
      <c r="FE170" s="163"/>
      <c r="FF170" s="163"/>
      <c r="FG170" s="163"/>
      <c r="FH170" s="163"/>
      <c r="FI170" s="163"/>
      <c r="FJ170" s="163"/>
      <c r="FK170" s="163"/>
      <c r="FL170" s="163"/>
      <c r="FM170" s="163"/>
    </row>
    <row r="171" ht="13.5" customHeight="1">
      <c r="A171" s="252"/>
      <c r="B171" s="252"/>
      <c r="C171" s="252"/>
      <c r="D171" s="252"/>
      <c r="E171" s="252"/>
      <c r="F171" s="252"/>
      <c r="G171" s="252"/>
      <c r="H171" s="252"/>
      <c r="I171" s="252"/>
      <c r="J171" s="252"/>
      <c r="K171" s="252"/>
      <c r="L171" s="252"/>
      <c r="M171" s="252"/>
      <c r="N171" s="252"/>
      <c r="O171" s="252"/>
      <c r="P171" s="252"/>
      <c r="Q171" s="131"/>
      <c r="R171" s="163"/>
      <c r="S171" s="163"/>
      <c r="T171" s="163"/>
      <c r="U171" s="163"/>
      <c r="V171" s="163"/>
      <c r="W171" s="163"/>
      <c r="X171" s="163"/>
      <c r="Y171" s="163"/>
      <c r="Z171" s="163"/>
      <c r="AA171" s="163"/>
      <c r="AB171" s="163"/>
      <c r="AC171" s="163"/>
      <c r="AD171" s="163"/>
      <c r="AE171" s="163"/>
      <c r="AF171" s="163"/>
      <c r="AG171" s="163"/>
      <c r="AH171" s="163"/>
      <c r="AI171" s="246" t="s">
        <v>410</v>
      </c>
      <c r="AJ171" s="246">
        <v>2020.0</v>
      </c>
      <c r="AK171" s="246">
        <v>511.0</v>
      </c>
      <c r="AL171" s="246">
        <v>618.0</v>
      </c>
      <c r="AM171" s="246">
        <v>434.0</v>
      </c>
      <c r="AN171" s="246">
        <v>431.0</v>
      </c>
      <c r="AO171" s="246">
        <v>561.0</v>
      </c>
      <c r="AP171" s="246">
        <v>2555.0</v>
      </c>
      <c r="AQ171" s="246"/>
      <c r="AR171" s="246">
        <v>2020.0</v>
      </c>
      <c r="AS171" s="246">
        <v>142.0</v>
      </c>
      <c r="AT171" s="246">
        <v>33.0</v>
      </c>
      <c r="AU171" s="246">
        <v>21.0</v>
      </c>
      <c r="AV171" s="246">
        <v>19.0</v>
      </c>
      <c r="AW171" s="246">
        <v>33.0</v>
      </c>
      <c r="AX171" s="246">
        <v>248.0</v>
      </c>
      <c r="AY171" s="163"/>
      <c r="AZ171" s="254" t="s">
        <v>563</v>
      </c>
      <c r="BA171" s="254">
        <v>2020.0</v>
      </c>
      <c r="BB171" s="254">
        <v>75.0</v>
      </c>
      <c r="BC171" s="254">
        <v>52.0</v>
      </c>
      <c r="BD171" s="254">
        <v>92.0</v>
      </c>
      <c r="BE171" s="254">
        <v>96.0</v>
      </c>
      <c r="BF171" s="254">
        <v>82.0</v>
      </c>
      <c r="BG171" s="254">
        <v>397.0</v>
      </c>
      <c r="BH171" s="254"/>
      <c r="BI171" s="254">
        <v>2020.0</v>
      </c>
      <c r="BJ171" s="254">
        <v>23.0</v>
      </c>
      <c r="BK171" s="254">
        <v>0.0</v>
      </c>
      <c r="BL171" s="254">
        <v>0.0</v>
      </c>
      <c r="BM171" s="254">
        <v>0.0</v>
      </c>
      <c r="BN171" s="254">
        <v>0.0</v>
      </c>
      <c r="BO171" s="254">
        <v>23.0</v>
      </c>
      <c r="BP171" s="163"/>
      <c r="BQ171" s="163"/>
      <c r="BR171" s="163"/>
      <c r="BS171" s="163"/>
      <c r="BT171" s="163"/>
      <c r="BU171" s="163"/>
      <c r="BV171" s="163"/>
      <c r="BW171" s="163"/>
      <c r="BX171" s="163"/>
      <c r="BY171" s="163"/>
      <c r="BZ171" s="163"/>
      <c r="CA171" s="163"/>
      <c r="CB171" s="163"/>
      <c r="CC171" s="163"/>
      <c r="CD171" s="163"/>
      <c r="CE171" s="163"/>
      <c r="CF171" s="163"/>
      <c r="CG171" s="163"/>
      <c r="CH171" s="163"/>
      <c r="CI171" s="163"/>
      <c r="CJ171" s="163"/>
      <c r="CK171" s="163"/>
      <c r="CL171" s="163"/>
      <c r="CM171" s="163"/>
      <c r="CN171" s="163"/>
      <c r="CO171" s="163"/>
      <c r="CP171" s="163"/>
      <c r="CQ171" s="163"/>
      <c r="CR171" s="163"/>
      <c r="CS171" s="163"/>
      <c r="CT171" s="163"/>
      <c r="CU171" s="163"/>
      <c r="CV171" s="163"/>
      <c r="CW171" s="163"/>
      <c r="CX171" s="163"/>
      <c r="CY171" s="163"/>
      <c r="CZ171" s="163"/>
      <c r="DA171" s="163"/>
      <c r="DB171" s="163"/>
      <c r="DC171" s="163"/>
      <c r="DD171" s="163"/>
      <c r="DE171" s="163"/>
      <c r="DF171" s="163"/>
      <c r="DG171" s="163"/>
      <c r="DH171" s="163"/>
      <c r="DI171" s="163"/>
      <c r="DJ171" s="163"/>
      <c r="DK171" s="163"/>
      <c r="DL171" s="163"/>
      <c r="DM171" s="163"/>
      <c r="DN171" s="163"/>
      <c r="DO171" s="163"/>
      <c r="DP171" s="163"/>
      <c r="DQ171" s="163"/>
      <c r="DR171" s="163"/>
      <c r="DS171" s="163"/>
      <c r="DT171" s="163"/>
      <c r="DU171" s="163"/>
      <c r="DV171" s="163"/>
      <c r="DW171" s="163"/>
      <c r="DX171" s="163"/>
      <c r="DY171" s="163"/>
      <c r="DZ171" s="163"/>
      <c r="EA171" s="163"/>
      <c r="EB171" s="163"/>
      <c r="EC171" s="163"/>
      <c r="ED171" s="163"/>
      <c r="EE171" s="163"/>
      <c r="EF171" s="163"/>
      <c r="EG171" s="163"/>
      <c r="EH171" s="163"/>
      <c r="EI171" s="163"/>
      <c r="EJ171" s="163"/>
      <c r="EK171" s="163"/>
      <c r="EL171" s="163"/>
      <c r="EM171" s="163"/>
      <c r="EN171" s="163"/>
      <c r="EO171" s="163"/>
      <c r="EP171" s="163"/>
      <c r="EQ171" s="163"/>
      <c r="ER171" s="163"/>
      <c r="ES171" s="163"/>
      <c r="ET171" s="163"/>
      <c r="EU171" s="163"/>
      <c r="EV171" s="163"/>
      <c r="EW171" s="163"/>
      <c r="EX171" s="163"/>
      <c r="EY171" s="163"/>
      <c r="EZ171" s="163"/>
      <c r="FA171" s="163"/>
      <c r="FB171" s="163"/>
      <c r="FC171" s="163"/>
      <c r="FD171" s="163"/>
      <c r="FE171" s="163"/>
      <c r="FF171" s="163"/>
      <c r="FG171" s="163"/>
      <c r="FH171" s="163"/>
      <c r="FI171" s="163"/>
      <c r="FJ171" s="163"/>
      <c r="FK171" s="163"/>
      <c r="FL171" s="163"/>
      <c r="FM171" s="163"/>
    </row>
    <row r="172" ht="13.5" customHeight="1">
      <c r="A172" s="252"/>
      <c r="B172" s="252"/>
      <c r="C172" s="252"/>
      <c r="D172" s="252"/>
      <c r="E172" s="252"/>
      <c r="F172" s="252"/>
      <c r="G172" s="252"/>
      <c r="H172" s="252"/>
      <c r="I172" s="252"/>
      <c r="J172" s="252"/>
      <c r="K172" s="252"/>
      <c r="L172" s="252"/>
      <c r="M172" s="252"/>
      <c r="N172" s="252"/>
      <c r="O172" s="252"/>
      <c r="P172" s="252"/>
      <c r="Q172" s="131"/>
      <c r="R172" s="163"/>
      <c r="S172" s="163"/>
      <c r="T172" s="163"/>
      <c r="U172" s="163"/>
      <c r="V172" s="163"/>
      <c r="W172" s="163"/>
      <c r="X172" s="163"/>
      <c r="Y172" s="163"/>
      <c r="Z172" s="163"/>
      <c r="AA172" s="163"/>
      <c r="AB172" s="163"/>
      <c r="AC172" s="163"/>
      <c r="AD172" s="163"/>
      <c r="AE172" s="163"/>
      <c r="AF172" s="163"/>
      <c r="AG172" s="163"/>
      <c r="AH172" s="163"/>
      <c r="AI172" s="163"/>
      <c r="AJ172" s="163"/>
      <c r="AK172" s="163"/>
      <c r="AL172" s="163"/>
      <c r="AM172" s="163"/>
      <c r="AN172" s="163"/>
      <c r="AO172" s="163"/>
      <c r="AP172" s="163"/>
      <c r="AQ172" s="163"/>
      <c r="AR172" s="163"/>
      <c r="AS172" s="163"/>
      <c r="AT172" s="163"/>
      <c r="AU172" s="163"/>
      <c r="AV172" s="163"/>
      <c r="AW172" s="163"/>
      <c r="AX172" s="163"/>
      <c r="AY172" s="163"/>
      <c r="AZ172" s="254" t="s">
        <v>565</v>
      </c>
      <c r="BA172" s="254">
        <v>2020.0</v>
      </c>
      <c r="BB172" s="254">
        <v>88.0</v>
      </c>
      <c r="BC172" s="254">
        <v>69.0</v>
      </c>
      <c r="BD172" s="254">
        <v>148.0</v>
      </c>
      <c r="BE172" s="254">
        <v>224.0</v>
      </c>
      <c r="BF172" s="254">
        <v>222.0</v>
      </c>
      <c r="BG172" s="254">
        <v>751.0</v>
      </c>
      <c r="BH172" s="254"/>
      <c r="BI172" s="254">
        <v>2020.0</v>
      </c>
      <c r="BJ172" s="254">
        <v>26.0</v>
      </c>
      <c r="BK172" s="254">
        <v>0.0</v>
      </c>
      <c r="BL172" s="254">
        <v>0.0</v>
      </c>
      <c r="BM172" s="254">
        <v>0.0</v>
      </c>
      <c r="BN172" s="254">
        <v>0.0</v>
      </c>
      <c r="BO172" s="254">
        <v>26.0</v>
      </c>
      <c r="BP172" s="163"/>
      <c r="BQ172" s="163"/>
      <c r="BR172" s="163"/>
      <c r="BS172" s="163"/>
      <c r="BT172" s="163"/>
      <c r="BU172" s="163"/>
      <c r="BV172" s="163"/>
      <c r="BW172" s="163"/>
      <c r="BX172" s="163"/>
      <c r="BY172" s="163"/>
      <c r="BZ172" s="163"/>
      <c r="CA172" s="163"/>
      <c r="CB172" s="163"/>
      <c r="CC172" s="163"/>
      <c r="CD172" s="163"/>
      <c r="CE172" s="163"/>
      <c r="CF172" s="163"/>
      <c r="CG172" s="163"/>
      <c r="CH172" s="163"/>
      <c r="CI172" s="163"/>
      <c r="CJ172" s="163"/>
      <c r="CK172" s="163"/>
      <c r="CL172" s="163"/>
      <c r="CM172" s="163"/>
      <c r="CN172" s="163"/>
      <c r="CO172" s="163"/>
      <c r="CP172" s="163"/>
      <c r="CQ172" s="163"/>
      <c r="CR172" s="163"/>
      <c r="CS172" s="163"/>
      <c r="CT172" s="163"/>
      <c r="CU172" s="163"/>
      <c r="CV172" s="163"/>
      <c r="CW172" s="163"/>
      <c r="CX172" s="163"/>
      <c r="CY172" s="163"/>
      <c r="CZ172" s="163"/>
      <c r="DA172" s="163"/>
      <c r="DB172" s="163"/>
      <c r="DC172" s="163"/>
      <c r="DD172" s="163"/>
      <c r="DE172" s="163"/>
      <c r="DF172" s="163"/>
      <c r="DG172" s="163"/>
      <c r="DH172" s="163"/>
      <c r="DI172" s="163"/>
      <c r="DJ172" s="163"/>
      <c r="DK172" s="163"/>
      <c r="DL172" s="163"/>
      <c r="DM172" s="163"/>
      <c r="DN172" s="163"/>
      <c r="DO172" s="163"/>
      <c r="DP172" s="163"/>
      <c r="DQ172" s="163"/>
      <c r="DR172" s="163"/>
      <c r="DS172" s="163"/>
      <c r="DT172" s="163"/>
      <c r="DU172" s="163"/>
      <c r="DV172" s="163"/>
      <c r="DW172" s="163"/>
      <c r="DX172" s="163"/>
      <c r="DY172" s="163"/>
      <c r="DZ172" s="163"/>
      <c r="EA172" s="163"/>
      <c r="EB172" s="163"/>
      <c r="EC172" s="163"/>
      <c r="ED172" s="163"/>
      <c r="EE172" s="163"/>
      <c r="EF172" s="163"/>
      <c r="EG172" s="163"/>
      <c r="EH172" s="163"/>
      <c r="EI172" s="163"/>
      <c r="EJ172" s="163"/>
      <c r="EK172" s="163"/>
      <c r="EL172" s="163"/>
      <c r="EM172" s="163"/>
      <c r="EN172" s="163"/>
      <c r="EO172" s="163"/>
      <c r="EP172" s="163"/>
      <c r="EQ172" s="163"/>
      <c r="ER172" s="163"/>
      <c r="ES172" s="163"/>
      <c r="ET172" s="163"/>
      <c r="EU172" s="163"/>
      <c r="EV172" s="163"/>
      <c r="EW172" s="163"/>
      <c r="EX172" s="163"/>
      <c r="EY172" s="163"/>
      <c r="EZ172" s="163"/>
      <c r="FA172" s="163"/>
      <c r="FB172" s="163"/>
      <c r="FC172" s="163"/>
      <c r="FD172" s="163"/>
      <c r="FE172" s="163"/>
      <c r="FF172" s="163"/>
      <c r="FG172" s="163"/>
      <c r="FH172" s="163"/>
      <c r="FI172" s="163"/>
      <c r="FJ172" s="163"/>
      <c r="FK172" s="163"/>
      <c r="FL172" s="163"/>
      <c r="FM172" s="163"/>
    </row>
    <row r="173" ht="13.5" customHeight="1">
      <c r="A173" s="252"/>
      <c r="B173" s="252"/>
      <c r="C173" s="252"/>
      <c r="D173" s="252"/>
      <c r="E173" s="252"/>
      <c r="F173" s="252"/>
      <c r="G173" s="252"/>
      <c r="H173" s="252"/>
      <c r="I173" s="252"/>
      <c r="J173" s="252"/>
      <c r="K173" s="252"/>
      <c r="L173" s="252"/>
      <c r="M173" s="252"/>
      <c r="N173" s="252"/>
      <c r="O173" s="252"/>
      <c r="P173" s="252"/>
      <c r="Q173" s="131"/>
      <c r="R173" s="163"/>
      <c r="S173" s="163"/>
      <c r="T173" s="163"/>
      <c r="U173" s="163"/>
      <c r="V173" s="163"/>
      <c r="W173" s="163"/>
      <c r="X173" s="163"/>
      <c r="Y173" s="163"/>
      <c r="Z173" s="163"/>
      <c r="AA173" s="163"/>
      <c r="AB173" s="163"/>
      <c r="AC173" s="163"/>
      <c r="AD173" s="163"/>
      <c r="AE173" s="163"/>
      <c r="AF173" s="163"/>
      <c r="AG173" s="163"/>
      <c r="AH173" s="163"/>
      <c r="AI173" s="163"/>
      <c r="AJ173" s="163"/>
      <c r="AK173" s="163"/>
      <c r="AL173" s="163"/>
      <c r="AM173" s="163"/>
      <c r="AN173" s="163"/>
      <c r="AO173" s="163"/>
      <c r="AP173" s="163"/>
      <c r="AQ173" s="163"/>
      <c r="AR173" s="163"/>
      <c r="AS173" s="163"/>
      <c r="AT173" s="163"/>
      <c r="AU173" s="163"/>
      <c r="AV173" s="163"/>
      <c r="AW173" s="163"/>
      <c r="AX173" s="163"/>
      <c r="AY173" s="163"/>
      <c r="AZ173" s="254" t="s">
        <v>567</v>
      </c>
      <c r="BA173" s="254">
        <v>2020.0</v>
      </c>
      <c r="BB173" s="254">
        <v>410.0</v>
      </c>
      <c r="BC173" s="254">
        <v>426.0</v>
      </c>
      <c r="BD173" s="254">
        <v>920.0</v>
      </c>
      <c r="BE173" s="254">
        <v>1331.0</v>
      </c>
      <c r="BF173" s="254">
        <v>1149.0</v>
      </c>
      <c r="BG173" s="254">
        <v>4236.0</v>
      </c>
      <c r="BH173" s="254"/>
      <c r="BI173" s="254">
        <v>2020.0</v>
      </c>
      <c r="BJ173" s="254">
        <v>63.0</v>
      </c>
      <c r="BK173" s="254">
        <v>0.0</v>
      </c>
      <c r="BL173" s="254">
        <v>0.0</v>
      </c>
      <c r="BM173" s="254">
        <v>0.0</v>
      </c>
      <c r="BN173" s="254">
        <v>0.0</v>
      </c>
      <c r="BO173" s="254">
        <v>63.0</v>
      </c>
      <c r="BP173" s="163"/>
      <c r="BQ173" s="163"/>
      <c r="BR173" s="163"/>
      <c r="BS173" s="163"/>
      <c r="BT173" s="163"/>
      <c r="BU173" s="163"/>
      <c r="BV173" s="163"/>
      <c r="BW173" s="163"/>
      <c r="BX173" s="163"/>
      <c r="BY173" s="163"/>
      <c r="BZ173" s="163"/>
      <c r="CA173" s="163"/>
      <c r="CB173" s="163"/>
      <c r="CC173" s="163"/>
      <c r="CD173" s="163"/>
      <c r="CE173" s="163"/>
      <c r="CF173" s="163"/>
      <c r="CG173" s="163"/>
      <c r="CH173" s="163"/>
      <c r="CI173" s="163"/>
      <c r="CJ173" s="163"/>
      <c r="CK173" s="163"/>
      <c r="CL173" s="163"/>
      <c r="CM173" s="163"/>
      <c r="CN173" s="163"/>
      <c r="CO173" s="163"/>
      <c r="CP173" s="163"/>
      <c r="CQ173" s="163"/>
      <c r="CR173" s="163"/>
      <c r="CS173" s="163"/>
      <c r="CT173" s="163"/>
      <c r="CU173" s="163"/>
      <c r="CV173" s="163"/>
      <c r="CW173" s="163"/>
      <c r="CX173" s="163"/>
      <c r="CY173" s="163"/>
      <c r="CZ173" s="163"/>
      <c r="DA173" s="163"/>
      <c r="DB173" s="163"/>
      <c r="DC173" s="163"/>
      <c r="DD173" s="163"/>
      <c r="DE173" s="163"/>
      <c r="DF173" s="163"/>
      <c r="DG173" s="163"/>
      <c r="DH173" s="163"/>
      <c r="DI173" s="163"/>
      <c r="DJ173" s="163"/>
      <c r="DK173" s="163"/>
      <c r="DL173" s="163"/>
      <c r="DM173" s="163"/>
      <c r="DN173" s="163"/>
      <c r="DO173" s="163"/>
      <c r="DP173" s="163"/>
      <c r="DQ173" s="163"/>
      <c r="DR173" s="163"/>
      <c r="DS173" s="163"/>
      <c r="DT173" s="163"/>
      <c r="DU173" s="163"/>
      <c r="DV173" s="163"/>
      <c r="DW173" s="163"/>
      <c r="DX173" s="163"/>
      <c r="DY173" s="163"/>
      <c r="DZ173" s="163"/>
      <c r="EA173" s="163"/>
      <c r="EB173" s="163"/>
      <c r="EC173" s="163"/>
      <c r="ED173" s="163"/>
      <c r="EE173" s="163"/>
      <c r="EF173" s="163"/>
      <c r="EG173" s="163"/>
      <c r="EH173" s="163"/>
      <c r="EI173" s="163"/>
      <c r="EJ173" s="163"/>
      <c r="EK173" s="163"/>
      <c r="EL173" s="163"/>
      <c r="EM173" s="163"/>
      <c r="EN173" s="163"/>
      <c r="EO173" s="163"/>
      <c r="EP173" s="163"/>
      <c r="EQ173" s="163"/>
      <c r="ER173" s="163"/>
      <c r="ES173" s="163"/>
      <c r="ET173" s="163"/>
      <c r="EU173" s="163"/>
      <c r="EV173" s="163"/>
      <c r="EW173" s="163"/>
      <c r="EX173" s="163"/>
      <c r="EY173" s="163"/>
      <c r="EZ173" s="163"/>
      <c r="FA173" s="163"/>
      <c r="FB173" s="163"/>
      <c r="FC173" s="163"/>
      <c r="FD173" s="163"/>
      <c r="FE173" s="163"/>
      <c r="FF173" s="163"/>
      <c r="FG173" s="163"/>
      <c r="FH173" s="163"/>
      <c r="FI173" s="163"/>
      <c r="FJ173" s="163"/>
      <c r="FK173" s="163"/>
      <c r="FL173" s="163"/>
      <c r="FM173" s="163"/>
    </row>
    <row r="174" ht="13.5" customHeight="1">
      <c r="A174" s="252"/>
      <c r="B174" s="252"/>
      <c r="C174" s="252"/>
      <c r="D174" s="252"/>
      <c r="E174" s="252"/>
      <c r="F174" s="252"/>
      <c r="G174" s="252"/>
      <c r="H174" s="252"/>
      <c r="I174" s="252"/>
      <c r="J174" s="252"/>
      <c r="K174" s="252"/>
      <c r="L174" s="252"/>
      <c r="M174" s="252"/>
      <c r="N174" s="252"/>
      <c r="O174" s="252"/>
      <c r="P174" s="252"/>
      <c r="Q174" s="131"/>
      <c r="R174" s="163"/>
      <c r="S174" s="163"/>
      <c r="T174" s="163"/>
      <c r="U174" s="163"/>
      <c r="V174" s="163"/>
      <c r="W174" s="163"/>
      <c r="X174" s="163"/>
      <c r="Y174" s="163"/>
      <c r="Z174" s="163"/>
      <c r="AA174" s="163"/>
      <c r="AB174" s="163"/>
      <c r="AC174" s="163"/>
      <c r="AD174" s="163"/>
      <c r="AE174" s="163"/>
      <c r="AF174" s="163"/>
      <c r="AG174" s="163"/>
      <c r="AH174" s="163"/>
      <c r="AI174" s="163"/>
      <c r="AJ174" s="163"/>
      <c r="AK174" s="163"/>
      <c r="AL174" s="163"/>
      <c r="AM174" s="163"/>
      <c r="AN174" s="163"/>
      <c r="AO174" s="163"/>
      <c r="AP174" s="163"/>
      <c r="AQ174" s="163"/>
      <c r="AR174" s="163"/>
      <c r="AS174" s="163"/>
      <c r="AT174" s="163"/>
      <c r="AU174" s="163"/>
      <c r="AV174" s="163"/>
      <c r="AW174" s="163"/>
      <c r="AX174" s="163"/>
      <c r="AY174" s="163"/>
      <c r="AZ174" s="254" t="s">
        <v>569</v>
      </c>
      <c r="BA174" s="254">
        <v>2020.0</v>
      </c>
      <c r="BB174" s="254">
        <v>179.0</v>
      </c>
      <c r="BC174" s="254">
        <v>97.0</v>
      </c>
      <c r="BD174" s="254">
        <v>202.0</v>
      </c>
      <c r="BE174" s="254">
        <v>268.0</v>
      </c>
      <c r="BF174" s="254">
        <v>282.0</v>
      </c>
      <c r="BG174" s="254">
        <v>1028.0</v>
      </c>
      <c r="BH174" s="254"/>
      <c r="BI174" s="254">
        <v>2020.0</v>
      </c>
      <c r="BJ174" s="254">
        <v>21.0</v>
      </c>
      <c r="BK174" s="254">
        <v>0.0</v>
      </c>
      <c r="BL174" s="254">
        <v>0.0</v>
      </c>
      <c r="BM174" s="254">
        <v>0.0</v>
      </c>
      <c r="BN174" s="254">
        <v>0.0</v>
      </c>
      <c r="BO174" s="254">
        <v>21.0</v>
      </c>
      <c r="BP174" s="163"/>
      <c r="BQ174" s="163"/>
      <c r="BR174" s="163"/>
      <c r="BS174" s="163"/>
      <c r="BT174" s="163"/>
      <c r="BU174" s="163"/>
      <c r="BV174" s="163"/>
      <c r="BW174" s="163"/>
      <c r="BX174" s="163"/>
      <c r="BY174" s="163"/>
      <c r="BZ174" s="163"/>
      <c r="CA174" s="163"/>
      <c r="CB174" s="163"/>
      <c r="CC174" s="163"/>
      <c r="CD174" s="163"/>
      <c r="CE174" s="163"/>
      <c r="CF174" s="163"/>
      <c r="CG174" s="163"/>
      <c r="CH174" s="163"/>
      <c r="CI174" s="163"/>
      <c r="CJ174" s="163"/>
      <c r="CK174" s="163"/>
      <c r="CL174" s="163"/>
      <c r="CM174" s="163"/>
      <c r="CN174" s="163"/>
      <c r="CO174" s="163"/>
      <c r="CP174" s="163"/>
      <c r="CQ174" s="163"/>
      <c r="CR174" s="163"/>
      <c r="CS174" s="163"/>
      <c r="CT174" s="163"/>
      <c r="CU174" s="163"/>
      <c r="CV174" s="163"/>
      <c r="CW174" s="163"/>
      <c r="CX174" s="163"/>
      <c r="CY174" s="163"/>
      <c r="CZ174" s="163"/>
      <c r="DA174" s="163"/>
      <c r="DB174" s="163"/>
      <c r="DC174" s="163"/>
      <c r="DD174" s="163"/>
      <c r="DE174" s="163"/>
      <c r="DF174" s="163"/>
      <c r="DG174" s="163"/>
      <c r="DH174" s="163"/>
      <c r="DI174" s="163"/>
      <c r="DJ174" s="163"/>
      <c r="DK174" s="163"/>
      <c r="DL174" s="163"/>
      <c r="DM174" s="163"/>
      <c r="DN174" s="163"/>
      <c r="DO174" s="163"/>
      <c r="DP174" s="163"/>
      <c r="DQ174" s="163"/>
      <c r="DR174" s="163"/>
      <c r="DS174" s="163"/>
      <c r="DT174" s="163"/>
      <c r="DU174" s="163"/>
      <c r="DV174" s="163"/>
      <c r="DW174" s="163"/>
      <c r="DX174" s="163"/>
      <c r="DY174" s="163"/>
      <c r="DZ174" s="163"/>
      <c r="EA174" s="163"/>
      <c r="EB174" s="163"/>
      <c r="EC174" s="163"/>
      <c r="ED174" s="163"/>
      <c r="EE174" s="163"/>
      <c r="EF174" s="163"/>
      <c r="EG174" s="163"/>
      <c r="EH174" s="163"/>
      <c r="EI174" s="163"/>
      <c r="EJ174" s="163"/>
      <c r="EK174" s="163"/>
      <c r="EL174" s="163"/>
      <c r="EM174" s="163"/>
      <c r="EN174" s="163"/>
      <c r="EO174" s="163"/>
      <c r="EP174" s="163"/>
      <c r="EQ174" s="163"/>
      <c r="ER174" s="163"/>
      <c r="ES174" s="163"/>
      <c r="ET174" s="163"/>
      <c r="EU174" s="163"/>
      <c r="EV174" s="163"/>
      <c r="EW174" s="163"/>
      <c r="EX174" s="163"/>
      <c r="EY174" s="163"/>
      <c r="EZ174" s="163"/>
      <c r="FA174" s="163"/>
      <c r="FB174" s="163"/>
      <c r="FC174" s="163"/>
      <c r="FD174" s="163"/>
      <c r="FE174" s="163"/>
      <c r="FF174" s="163"/>
      <c r="FG174" s="163"/>
      <c r="FH174" s="163"/>
      <c r="FI174" s="163"/>
      <c r="FJ174" s="163"/>
      <c r="FK174" s="163"/>
      <c r="FL174" s="163"/>
      <c r="FM174" s="163"/>
    </row>
    <row r="175" ht="13.5" customHeight="1">
      <c r="A175" s="252"/>
      <c r="B175" s="252"/>
      <c r="C175" s="252"/>
      <c r="D175" s="252"/>
      <c r="E175" s="252"/>
      <c r="F175" s="252"/>
      <c r="G175" s="252"/>
      <c r="H175" s="252"/>
      <c r="I175" s="252"/>
      <c r="J175" s="252"/>
      <c r="K175" s="252"/>
      <c r="L175" s="252"/>
      <c r="M175" s="252"/>
      <c r="N175" s="252"/>
      <c r="O175" s="252"/>
      <c r="P175" s="252"/>
      <c r="Q175" s="131"/>
      <c r="R175" s="163"/>
      <c r="S175" s="163"/>
      <c r="T175" s="163"/>
      <c r="U175" s="163"/>
      <c r="V175" s="163"/>
      <c r="W175" s="163"/>
      <c r="X175" s="163"/>
      <c r="Y175" s="163"/>
      <c r="Z175" s="163"/>
      <c r="AA175" s="163"/>
      <c r="AB175" s="163"/>
      <c r="AC175" s="163"/>
      <c r="AD175" s="163"/>
      <c r="AE175" s="163"/>
      <c r="AF175" s="163"/>
      <c r="AG175" s="163"/>
      <c r="AH175" s="163"/>
      <c r="AI175" s="163"/>
      <c r="AJ175" s="163"/>
      <c r="AK175" s="163"/>
      <c r="AL175" s="163"/>
      <c r="AM175" s="163"/>
      <c r="AN175" s="163"/>
      <c r="AO175" s="163"/>
      <c r="AP175" s="163"/>
      <c r="AQ175" s="163"/>
      <c r="AR175" s="163"/>
      <c r="AS175" s="163"/>
      <c r="AT175" s="163"/>
      <c r="AU175" s="163"/>
      <c r="AV175" s="163"/>
      <c r="AW175" s="163"/>
      <c r="AX175" s="163"/>
      <c r="AY175" s="163"/>
      <c r="AZ175" s="254" t="s">
        <v>571</v>
      </c>
      <c r="BA175" s="254">
        <v>2020.0</v>
      </c>
      <c r="BB175" s="254">
        <v>482.0</v>
      </c>
      <c r="BC175" s="254">
        <v>313.0</v>
      </c>
      <c r="BD175" s="254">
        <v>538.0</v>
      </c>
      <c r="BE175" s="254">
        <v>687.0</v>
      </c>
      <c r="BF175" s="254">
        <v>566.0</v>
      </c>
      <c r="BG175" s="254">
        <v>2586.0</v>
      </c>
      <c r="BH175" s="254"/>
      <c r="BI175" s="254">
        <v>2020.0</v>
      </c>
      <c r="BJ175" s="254">
        <v>60.0</v>
      </c>
      <c r="BK175" s="254">
        <v>0.0</v>
      </c>
      <c r="BL175" s="254">
        <v>0.0</v>
      </c>
      <c r="BM175" s="254">
        <v>0.0</v>
      </c>
      <c r="BN175" s="254">
        <v>0.0</v>
      </c>
      <c r="BO175" s="254">
        <v>60.0</v>
      </c>
      <c r="BP175" s="163"/>
      <c r="BQ175" s="163"/>
      <c r="BR175" s="163"/>
      <c r="BS175" s="163"/>
      <c r="BT175" s="163"/>
      <c r="BU175" s="163"/>
      <c r="BV175" s="163"/>
      <c r="BW175" s="163"/>
      <c r="BX175" s="163"/>
      <c r="BY175" s="163"/>
      <c r="BZ175" s="163"/>
      <c r="CA175" s="163"/>
      <c r="CB175" s="163"/>
      <c r="CC175" s="163"/>
      <c r="CD175" s="163"/>
      <c r="CE175" s="163"/>
      <c r="CF175" s="163"/>
      <c r="CG175" s="163"/>
      <c r="CH175" s="163"/>
      <c r="CI175" s="163"/>
      <c r="CJ175" s="163"/>
      <c r="CK175" s="163"/>
      <c r="CL175" s="163"/>
      <c r="CM175" s="163"/>
      <c r="CN175" s="163"/>
      <c r="CO175" s="163"/>
      <c r="CP175" s="163"/>
      <c r="CQ175" s="163"/>
      <c r="CR175" s="163"/>
      <c r="CS175" s="163"/>
      <c r="CT175" s="163"/>
      <c r="CU175" s="163"/>
      <c r="CV175" s="163"/>
      <c r="CW175" s="163"/>
      <c r="CX175" s="163"/>
      <c r="CY175" s="163"/>
      <c r="CZ175" s="163"/>
      <c r="DA175" s="163"/>
      <c r="DB175" s="163"/>
      <c r="DC175" s="163"/>
      <c r="DD175" s="163"/>
      <c r="DE175" s="163"/>
      <c r="DF175" s="163"/>
      <c r="DG175" s="163"/>
      <c r="DH175" s="163"/>
      <c r="DI175" s="163"/>
      <c r="DJ175" s="163"/>
      <c r="DK175" s="163"/>
      <c r="DL175" s="163"/>
      <c r="DM175" s="163"/>
      <c r="DN175" s="163"/>
      <c r="DO175" s="163"/>
      <c r="DP175" s="163"/>
      <c r="DQ175" s="163"/>
      <c r="DR175" s="163"/>
      <c r="DS175" s="163"/>
      <c r="DT175" s="163"/>
      <c r="DU175" s="163"/>
      <c r="DV175" s="163"/>
      <c r="DW175" s="163"/>
      <c r="DX175" s="163"/>
      <c r="DY175" s="163"/>
      <c r="DZ175" s="163"/>
      <c r="EA175" s="163"/>
      <c r="EB175" s="163"/>
      <c r="EC175" s="163"/>
      <c r="ED175" s="163"/>
      <c r="EE175" s="163"/>
      <c r="EF175" s="163"/>
      <c r="EG175" s="163"/>
      <c r="EH175" s="163"/>
      <c r="EI175" s="163"/>
      <c r="EJ175" s="163"/>
      <c r="EK175" s="163"/>
      <c r="EL175" s="163"/>
      <c r="EM175" s="163"/>
      <c r="EN175" s="163"/>
      <c r="EO175" s="163"/>
      <c r="EP175" s="163"/>
      <c r="EQ175" s="163"/>
      <c r="ER175" s="163"/>
      <c r="ES175" s="163"/>
      <c r="ET175" s="163"/>
      <c r="EU175" s="163"/>
      <c r="EV175" s="163"/>
      <c r="EW175" s="163"/>
      <c r="EX175" s="163"/>
      <c r="EY175" s="163"/>
      <c r="EZ175" s="163"/>
      <c r="FA175" s="163"/>
      <c r="FB175" s="163"/>
      <c r="FC175" s="163"/>
      <c r="FD175" s="163"/>
      <c r="FE175" s="163"/>
      <c r="FF175" s="163"/>
      <c r="FG175" s="163"/>
      <c r="FH175" s="163"/>
      <c r="FI175" s="163"/>
      <c r="FJ175" s="163"/>
      <c r="FK175" s="163"/>
      <c r="FL175" s="163"/>
      <c r="FM175" s="163"/>
    </row>
    <row r="176" ht="13.5" customHeight="1">
      <c r="A176" s="252"/>
      <c r="B176" s="252"/>
      <c r="C176" s="252"/>
      <c r="D176" s="252"/>
      <c r="E176" s="252"/>
      <c r="F176" s="252"/>
      <c r="G176" s="252"/>
      <c r="H176" s="252"/>
      <c r="I176" s="252"/>
      <c r="J176" s="252"/>
      <c r="K176" s="252"/>
      <c r="L176" s="252"/>
      <c r="M176" s="252"/>
      <c r="N176" s="252"/>
      <c r="O176" s="252"/>
      <c r="P176" s="252"/>
      <c r="Q176" s="131"/>
      <c r="R176" s="163"/>
      <c r="S176" s="163"/>
      <c r="T176" s="163"/>
      <c r="U176" s="163"/>
      <c r="V176" s="163"/>
      <c r="W176" s="163"/>
      <c r="X176" s="163"/>
      <c r="Y176" s="163"/>
      <c r="Z176" s="163"/>
      <c r="AA176" s="163"/>
      <c r="AB176" s="163"/>
      <c r="AC176" s="163"/>
      <c r="AD176" s="163"/>
      <c r="AE176" s="163"/>
      <c r="AF176" s="163"/>
      <c r="AG176" s="163"/>
      <c r="AH176" s="163"/>
      <c r="AI176" s="163"/>
      <c r="AJ176" s="163"/>
      <c r="AK176" s="163"/>
      <c r="AL176" s="163"/>
      <c r="AM176" s="163"/>
      <c r="AN176" s="163"/>
      <c r="AO176" s="163"/>
      <c r="AP176" s="163"/>
      <c r="AQ176" s="163"/>
      <c r="AR176" s="163"/>
      <c r="AS176" s="163"/>
      <c r="AT176" s="163"/>
      <c r="AU176" s="163"/>
      <c r="AV176" s="163"/>
      <c r="AW176" s="163"/>
      <c r="AX176" s="163"/>
      <c r="AY176" s="163"/>
      <c r="AZ176" s="254" t="s">
        <v>573</v>
      </c>
      <c r="BA176" s="254">
        <v>2020.0</v>
      </c>
      <c r="BB176" s="254">
        <v>208.0</v>
      </c>
      <c r="BC176" s="254">
        <v>197.0</v>
      </c>
      <c r="BD176" s="254">
        <v>309.0</v>
      </c>
      <c r="BE176" s="254">
        <v>429.0</v>
      </c>
      <c r="BF176" s="254">
        <v>405.0</v>
      </c>
      <c r="BG176" s="254">
        <v>1548.0</v>
      </c>
      <c r="BH176" s="254"/>
      <c r="BI176" s="254">
        <v>2020.0</v>
      </c>
      <c r="BJ176" s="254">
        <v>40.0</v>
      </c>
      <c r="BK176" s="254">
        <v>0.0</v>
      </c>
      <c r="BL176" s="254">
        <v>0.0</v>
      </c>
      <c r="BM176" s="254">
        <v>0.0</v>
      </c>
      <c r="BN176" s="254">
        <v>0.0</v>
      </c>
      <c r="BO176" s="254">
        <v>40.0</v>
      </c>
      <c r="BP176" s="163"/>
      <c r="BQ176" s="163"/>
      <c r="BR176" s="163"/>
      <c r="BS176" s="163"/>
      <c r="BT176" s="163"/>
      <c r="BU176" s="163"/>
      <c r="BV176" s="163"/>
      <c r="BW176" s="163"/>
      <c r="BX176" s="163"/>
      <c r="BY176" s="163"/>
      <c r="BZ176" s="163"/>
      <c r="CA176" s="163"/>
      <c r="CB176" s="163"/>
      <c r="CC176" s="163"/>
      <c r="CD176" s="163"/>
      <c r="CE176" s="163"/>
      <c r="CF176" s="163"/>
      <c r="CG176" s="163"/>
      <c r="CH176" s="163"/>
      <c r="CI176" s="163"/>
      <c r="CJ176" s="163"/>
      <c r="CK176" s="163"/>
      <c r="CL176" s="163"/>
      <c r="CM176" s="163"/>
      <c r="CN176" s="163"/>
      <c r="CO176" s="163"/>
      <c r="CP176" s="163"/>
      <c r="CQ176" s="163"/>
      <c r="CR176" s="163"/>
      <c r="CS176" s="163"/>
      <c r="CT176" s="163"/>
      <c r="CU176" s="163"/>
      <c r="CV176" s="163"/>
      <c r="CW176" s="163"/>
      <c r="CX176" s="163"/>
      <c r="CY176" s="163"/>
      <c r="CZ176" s="163"/>
      <c r="DA176" s="163"/>
      <c r="DB176" s="163"/>
      <c r="DC176" s="163"/>
      <c r="DD176" s="163"/>
      <c r="DE176" s="163"/>
      <c r="DF176" s="163"/>
      <c r="DG176" s="163"/>
      <c r="DH176" s="163"/>
      <c r="DI176" s="163"/>
      <c r="DJ176" s="163"/>
      <c r="DK176" s="163"/>
      <c r="DL176" s="163"/>
      <c r="DM176" s="163"/>
      <c r="DN176" s="163"/>
      <c r="DO176" s="163"/>
      <c r="DP176" s="163"/>
      <c r="DQ176" s="163"/>
      <c r="DR176" s="163"/>
      <c r="DS176" s="163"/>
      <c r="DT176" s="163"/>
      <c r="DU176" s="163"/>
      <c r="DV176" s="163"/>
      <c r="DW176" s="163"/>
      <c r="DX176" s="163"/>
      <c r="DY176" s="163"/>
      <c r="DZ176" s="163"/>
      <c r="EA176" s="163"/>
      <c r="EB176" s="163"/>
      <c r="EC176" s="163"/>
      <c r="ED176" s="163"/>
      <c r="EE176" s="163"/>
      <c r="EF176" s="163"/>
      <c r="EG176" s="163"/>
      <c r="EH176" s="163"/>
      <c r="EI176" s="163"/>
      <c r="EJ176" s="163"/>
      <c r="EK176" s="163"/>
      <c r="EL176" s="163"/>
      <c r="EM176" s="163"/>
      <c r="EN176" s="163"/>
      <c r="EO176" s="163"/>
      <c r="EP176" s="163"/>
      <c r="EQ176" s="163"/>
      <c r="ER176" s="163"/>
      <c r="ES176" s="163"/>
      <c r="ET176" s="163"/>
      <c r="EU176" s="163"/>
      <c r="EV176" s="163"/>
      <c r="EW176" s="163"/>
      <c r="EX176" s="163"/>
      <c r="EY176" s="163"/>
      <c r="EZ176" s="163"/>
      <c r="FA176" s="163"/>
      <c r="FB176" s="163"/>
      <c r="FC176" s="163"/>
      <c r="FD176" s="163"/>
      <c r="FE176" s="163"/>
      <c r="FF176" s="163"/>
      <c r="FG176" s="163"/>
      <c r="FH176" s="163"/>
      <c r="FI176" s="163"/>
      <c r="FJ176" s="163"/>
      <c r="FK176" s="163"/>
      <c r="FL176" s="163"/>
      <c r="FM176" s="163"/>
    </row>
    <row r="177" ht="13.5" customHeight="1">
      <c r="A177" s="252"/>
      <c r="B177" s="252"/>
      <c r="C177" s="252"/>
      <c r="D177" s="252"/>
      <c r="E177" s="252"/>
      <c r="F177" s="252"/>
      <c r="G177" s="252"/>
      <c r="H177" s="252"/>
      <c r="I177" s="252"/>
      <c r="J177" s="252"/>
      <c r="K177" s="252"/>
      <c r="L177" s="252"/>
      <c r="M177" s="252"/>
      <c r="N177" s="252"/>
      <c r="O177" s="252"/>
      <c r="P177" s="252"/>
      <c r="Q177" s="131"/>
      <c r="R177" s="163"/>
      <c r="S177" s="163"/>
      <c r="T177" s="163"/>
      <c r="U177" s="163"/>
      <c r="V177" s="163"/>
      <c r="W177" s="163"/>
      <c r="X177" s="163"/>
      <c r="Y177" s="163"/>
      <c r="Z177" s="163"/>
      <c r="AA177" s="163"/>
      <c r="AB177" s="163"/>
      <c r="AC177" s="163"/>
      <c r="AD177" s="163"/>
      <c r="AE177" s="163"/>
      <c r="AF177" s="163"/>
      <c r="AG177" s="163"/>
      <c r="AH177" s="163"/>
      <c r="AI177" s="163"/>
      <c r="AJ177" s="163"/>
      <c r="AK177" s="163"/>
      <c r="AL177" s="163"/>
      <c r="AM177" s="163"/>
      <c r="AN177" s="163"/>
      <c r="AO177" s="163"/>
      <c r="AP177" s="163"/>
      <c r="AQ177" s="163"/>
      <c r="AR177" s="163"/>
      <c r="AS177" s="163"/>
      <c r="AT177" s="163"/>
      <c r="AU177" s="163"/>
      <c r="AV177" s="163"/>
      <c r="AW177" s="163"/>
      <c r="AX177" s="163"/>
      <c r="AY177" s="163"/>
      <c r="AZ177" s="254" t="s">
        <v>575</v>
      </c>
      <c r="BA177" s="254">
        <v>2020.0</v>
      </c>
      <c r="BB177" s="254">
        <v>165.0</v>
      </c>
      <c r="BC177" s="254">
        <v>154.0</v>
      </c>
      <c r="BD177" s="254">
        <v>293.0</v>
      </c>
      <c r="BE177" s="254">
        <v>448.0</v>
      </c>
      <c r="BF177" s="254">
        <v>434.0</v>
      </c>
      <c r="BG177" s="254">
        <v>1494.0</v>
      </c>
      <c r="BH177" s="254"/>
      <c r="BI177" s="254">
        <v>2020.0</v>
      </c>
      <c r="BJ177" s="254">
        <v>22.0</v>
      </c>
      <c r="BK177" s="254">
        <v>0.0</v>
      </c>
      <c r="BL177" s="254">
        <v>0.0</v>
      </c>
      <c r="BM177" s="254">
        <v>0.0</v>
      </c>
      <c r="BN177" s="254">
        <v>0.0</v>
      </c>
      <c r="BO177" s="254">
        <v>22.0</v>
      </c>
      <c r="BP177" s="163"/>
      <c r="BQ177" s="163"/>
      <c r="BR177" s="163"/>
      <c r="BS177" s="163"/>
      <c r="BT177" s="163"/>
      <c r="BU177" s="163"/>
      <c r="BV177" s="163"/>
      <c r="BW177" s="163"/>
      <c r="BX177" s="163"/>
      <c r="BY177" s="163"/>
      <c r="BZ177" s="163"/>
      <c r="CA177" s="163"/>
      <c r="CB177" s="163"/>
      <c r="CC177" s="163"/>
      <c r="CD177" s="163"/>
      <c r="CE177" s="163"/>
      <c r="CF177" s="163"/>
      <c r="CG177" s="163"/>
      <c r="CH177" s="163"/>
      <c r="CI177" s="163"/>
      <c r="CJ177" s="163"/>
      <c r="CK177" s="163"/>
      <c r="CL177" s="163"/>
      <c r="CM177" s="163"/>
      <c r="CN177" s="163"/>
      <c r="CO177" s="163"/>
      <c r="CP177" s="163"/>
      <c r="CQ177" s="163"/>
      <c r="CR177" s="163"/>
      <c r="CS177" s="163"/>
      <c r="CT177" s="163"/>
      <c r="CU177" s="163"/>
      <c r="CV177" s="163"/>
      <c r="CW177" s="163"/>
      <c r="CX177" s="163"/>
      <c r="CY177" s="163"/>
      <c r="CZ177" s="163"/>
      <c r="DA177" s="163"/>
      <c r="DB177" s="163"/>
      <c r="DC177" s="163"/>
      <c r="DD177" s="163"/>
      <c r="DE177" s="163"/>
      <c r="DF177" s="163"/>
      <c r="DG177" s="163"/>
      <c r="DH177" s="163"/>
      <c r="DI177" s="163"/>
      <c r="DJ177" s="163"/>
      <c r="DK177" s="163"/>
      <c r="DL177" s="163"/>
      <c r="DM177" s="163"/>
      <c r="DN177" s="163"/>
      <c r="DO177" s="163"/>
      <c r="DP177" s="163"/>
      <c r="DQ177" s="163"/>
      <c r="DR177" s="163"/>
      <c r="DS177" s="163"/>
      <c r="DT177" s="163"/>
      <c r="DU177" s="163"/>
      <c r="DV177" s="163"/>
      <c r="DW177" s="163"/>
      <c r="DX177" s="163"/>
      <c r="DY177" s="163"/>
      <c r="DZ177" s="163"/>
      <c r="EA177" s="163"/>
      <c r="EB177" s="163"/>
      <c r="EC177" s="163"/>
      <c r="ED177" s="163"/>
      <c r="EE177" s="163"/>
      <c r="EF177" s="163"/>
      <c r="EG177" s="163"/>
      <c r="EH177" s="163"/>
      <c r="EI177" s="163"/>
      <c r="EJ177" s="163"/>
      <c r="EK177" s="163"/>
      <c r="EL177" s="163"/>
      <c r="EM177" s="163"/>
      <c r="EN177" s="163"/>
      <c r="EO177" s="163"/>
      <c r="EP177" s="163"/>
      <c r="EQ177" s="163"/>
      <c r="ER177" s="163"/>
      <c r="ES177" s="163"/>
      <c r="ET177" s="163"/>
      <c r="EU177" s="163"/>
      <c r="EV177" s="163"/>
      <c r="EW177" s="163"/>
      <c r="EX177" s="163"/>
      <c r="EY177" s="163"/>
      <c r="EZ177" s="163"/>
      <c r="FA177" s="163"/>
      <c r="FB177" s="163"/>
      <c r="FC177" s="163"/>
      <c r="FD177" s="163"/>
      <c r="FE177" s="163"/>
      <c r="FF177" s="163"/>
      <c r="FG177" s="163"/>
      <c r="FH177" s="163"/>
      <c r="FI177" s="163"/>
      <c r="FJ177" s="163"/>
      <c r="FK177" s="163"/>
      <c r="FL177" s="163"/>
      <c r="FM177" s="163"/>
    </row>
    <row r="178" ht="13.5" customHeight="1">
      <c r="A178" s="252"/>
      <c r="B178" s="252"/>
      <c r="C178" s="252"/>
      <c r="D178" s="252"/>
      <c r="E178" s="252"/>
      <c r="F178" s="252"/>
      <c r="G178" s="252"/>
      <c r="H178" s="252"/>
      <c r="I178" s="252"/>
      <c r="J178" s="252"/>
      <c r="K178" s="252"/>
      <c r="L178" s="252"/>
      <c r="M178" s="252"/>
      <c r="N178" s="252"/>
      <c r="O178" s="252"/>
      <c r="P178" s="252"/>
      <c r="Q178" s="131"/>
      <c r="R178" s="163"/>
      <c r="S178" s="163"/>
      <c r="T178" s="163"/>
      <c r="U178" s="163"/>
      <c r="V178" s="163"/>
      <c r="W178" s="163"/>
      <c r="X178" s="163"/>
      <c r="Y178" s="163"/>
      <c r="Z178" s="163"/>
      <c r="AA178" s="163"/>
      <c r="AB178" s="163"/>
      <c r="AC178" s="163"/>
      <c r="AD178" s="163"/>
      <c r="AE178" s="163"/>
      <c r="AF178" s="163"/>
      <c r="AG178" s="163"/>
      <c r="AH178" s="163"/>
      <c r="AI178" s="163"/>
      <c r="AJ178" s="163"/>
      <c r="AK178" s="163"/>
      <c r="AL178" s="163"/>
      <c r="AM178" s="163"/>
      <c r="AN178" s="163"/>
      <c r="AO178" s="163"/>
      <c r="AP178" s="163"/>
      <c r="AQ178" s="163"/>
      <c r="AR178" s="163"/>
      <c r="AS178" s="163"/>
      <c r="AT178" s="163"/>
      <c r="AU178" s="163"/>
      <c r="AV178" s="163"/>
      <c r="AW178" s="163"/>
      <c r="AX178" s="163"/>
      <c r="AY178" s="163"/>
      <c r="AZ178" s="254" t="s">
        <v>577</v>
      </c>
      <c r="BA178" s="254">
        <v>2020.0</v>
      </c>
      <c r="BB178" s="254">
        <v>125.0</v>
      </c>
      <c r="BC178" s="254">
        <v>125.0</v>
      </c>
      <c r="BD178" s="254">
        <v>227.0</v>
      </c>
      <c r="BE178" s="254">
        <v>373.0</v>
      </c>
      <c r="BF178" s="254">
        <v>308.0</v>
      </c>
      <c r="BG178" s="254">
        <v>1158.0</v>
      </c>
      <c r="BH178" s="254"/>
      <c r="BI178" s="254">
        <v>2020.0</v>
      </c>
      <c r="BJ178" s="254">
        <v>37.0</v>
      </c>
      <c r="BK178" s="254">
        <v>0.0</v>
      </c>
      <c r="BL178" s="254">
        <v>0.0</v>
      </c>
      <c r="BM178" s="254">
        <v>0.0</v>
      </c>
      <c r="BN178" s="254">
        <v>0.0</v>
      </c>
      <c r="BO178" s="254">
        <v>37.0</v>
      </c>
      <c r="BP178" s="163"/>
      <c r="BQ178" s="163"/>
      <c r="BR178" s="163"/>
      <c r="BS178" s="163"/>
      <c r="BT178" s="163"/>
      <c r="BU178" s="163"/>
      <c r="BV178" s="163"/>
      <c r="BW178" s="163"/>
      <c r="BX178" s="163"/>
      <c r="BY178" s="163"/>
      <c r="BZ178" s="163"/>
      <c r="CA178" s="163"/>
      <c r="CB178" s="163"/>
      <c r="CC178" s="163"/>
      <c r="CD178" s="163"/>
      <c r="CE178" s="163"/>
      <c r="CF178" s="163"/>
      <c r="CG178" s="163"/>
      <c r="CH178" s="163"/>
      <c r="CI178" s="163"/>
      <c r="CJ178" s="163"/>
      <c r="CK178" s="163"/>
      <c r="CL178" s="163"/>
      <c r="CM178" s="163"/>
      <c r="CN178" s="163"/>
      <c r="CO178" s="163"/>
      <c r="CP178" s="163"/>
      <c r="CQ178" s="163"/>
      <c r="CR178" s="163"/>
      <c r="CS178" s="163"/>
      <c r="CT178" s="163"/>
      <c r="CU178" s="163"/>
      <c r="CV178" s="163"/>
      <c r="CW178" s="163"/>
      <c r="CX178" s="163"/>
      <c r="CY178" s="163"/>
      <c r="CZ178" s="163"/>
      <c r="DA178" s="163"/>
      <c r="DB178" s="163"/>
      <c r="DC178" s="163"/>
      <c r="DD178" s="163"/>
      <c r="DE178" s="163"/>
      <c r="DF178" s="163"/>
      <c r="DG178" s="163"/>
      <c r="DH178" s="163"/>
      <c r="DI178" s="163"/>
      <c r="DJ178" s="163"/>
      <c r="DK178" s="163"/>
      <c r="DL178" s="163"/>
      <c r="DM178" s="163"/>
      <c r="DN178" s="163"/>
      <c r="DO178" s="163"/>
      <c r="DP178" s="163"/>
      <c r="DQ178" s="163"/>
      <c r="DR178" s="163"/>
      <c r="DS178" s="163"/>
      <c r="DT178" s="163"/>
      <c r="DU178" s="163"/>
      <c r="DV178" s="163"/>
      <c r="DW178" s="163"/>
      <c r="DX178" s="163"/>
      <c r="DY178" s="163"/>
      <c r="DZ178" s="163"/>
      <c r="EA178" s="163"/>
      <c r="EB178" s="163"/>
      <c r="EC178" s="163"/>
      <c r="ED178" s="163"/>
      <c r="EE178" s="163"/>
      <c r="EF178" s="163"/>
      <c r="EG178" s="163"/>
      <c r="EH178" s="163"/>
      <c r="EI178" s="163"/>
      <c r="EJ178" s="163"/>
      <c r="EK178" s="163"/>
      <c r="EL178" s="163"/>
      <c r="EM178" s="163"/>
      <c r="EN178" s="163"/>
      <c r="EO178" s="163"/>
      <c r="EP178" s="163"/>
      <c r="EQ178" s="163"/>
      <c r="ER178" s="163"/>
      <c r="ES178" s="163"/>
      <c r="ET178" s="163"/>
      <c r="EU178" s="163"/>
      <c r="EV178" s="163"/>
      <c r="EW178" s="163"/>
      <c r="EX178" s="163"/>
      <c r="EY178" s="163"/>
      <c r="EZ178" s="163"/>
      <c r="FA178" s="163"/>
      <c r="FB178" s="163"/>
      <c r="FC178" s="163"/>
      <c r="FD178" s="163"/>
      <c r="FE178" s="163"/>
      <c r="FF178" s="163"/>
      <c r="FG178" s="163"/>
      <c r="FH178" s="163"/>
      <c r="FI178" s="163"/>
      <c r="FJ178" s="163"/>
      <c r="FK178" s="163"/>
      <c r="FL178" s="163"/>
      <c r="FM178" s="163"/>
    </row>
    <row r="179" ht="13.5" customHeight="1">
      <c r="A179" s="252"/>
      <c r="B179" s="252"/>
      <c r="C179" s="252"/>
      <c r="D179" s="252"/>
      <c r="E179" s="252"/>
      <c r="F179" s="252"/>
      <c r="G179" s="252"/>
      <c r="H179" s="252"/>
      <c r="I179" s="252"/>
      <c r="J179" s="252"/>
      <c r="K179" s="252"/>
      <c r="L179" s="252"/>
      <c r="M179" s="252"/>
      <c r="N179" s="252"/>
      <c r="O179" s="252"/>
      <c r="P179" s="252"/>
      <c r="Q179" s="131"/>
      <c r="R179" s="163"/>
      <c r="S179" s="163"/>
      <c r="T179" s="163"/>
      <c r="U179" s="163"/>
      <c r="V179" s="163"/>
      <c r="W179" s="163"/>
      <c r="X179" s="163"/>
      <c r="Y179" s="163"/>
      <c r="Z179" s="163"/>
      <c r="AA179" s="163"/>
      <c r="AB179" s="163"/>
      <c r="AC179" s="163"/>
      <c r="AD179" s="163"/>
      <c r="AE179" s="163"/>
      <c r="AF179" s="163"/>
      <c r="AG179" s="163"/>
      <c r="AH179" s="163"/>
      <c r="AI179" s="163"/>
      <c r="AJ179" s="163"/>
      <c r="AK179" s="163"/>
      <c r="AL179" s="163"/>
      <c r="AM179" s="163"/>
      <c r="AN179" s="163"/>
      <c r="AO179" s="163"/>
      <c r="AP179" s="163"/>
      <c r="AQ179" s="163"/>
      <c r="AR179" s="163"/>
      <c r="AS179" s="163"/>
      <c r="AT179" s="163"/>
      <c r="AU179" s="163"/>
      <c r="AV179" s="163"/>
      <c r="AW179" s="163"/>
      <c r="AX179" s="163"/>
      <c r="AY179" s="163"/>
      <c r="AZ179" s="254" t="s">
        <v>579</v>
      </c>
      <c r="BA179" s="254">
        <v>2020.0</v>
      </c>
      <c r="BB179" s="254">
        <v>150.0</v>
      </c>
      <c r="BC179" s="254">
        <v>196.0</v>
      </c>
      <c r="BD179" s="254">
        <v>349.0</v>
      </c>
      <c r="BE179" s="254">
        <v>602.0</v>
      </c>
      <c r="BF179" s="254">
        <v>535.0</v>
      </c>
      <c r="BG179" s="254">
        <v>1832.0</v>
      </c>
      <c r="BH179" s="254"/>
      <c r="BI179" s="254">
        <v>2020.0</v>
      </c>
      <c r="BJ179" s="254">
        <v>41.0</v>
      </c>
      <c r="BK179" s="254">
        <v>0.0</v>
      </c>
      <c r="BL179" s="254">
        <v>0.0</v>
      </c>
      <c r="BM179" s="254">
        <v>0.0</v>
      </c>
      <c r="BN179" s="254">
        <v>0.0</v>
      </c>
      <c r="BO179" s="254">
        <v>41.0</v>
      </c>
      <c r="BP179" s="163"/>
      <c r="BQ179" s="163"/>
      <c r="BR179" s="163"/>
      <c r="BS179" s="163"/>
      <c r="BT179" s="163"/>
      <c r="BU179" s="163"/>
      <c r="BV179" s="163"/>
      <c r="BW179" s="163"/>
      <c r="BX179" s="163"/>
      <c r="BY179" s="163"/>
      <c r="BZ179" s="163"/>
      <c r="CA179" s="163"/>
      <c r="CB179" s="163"/>
      <c r="CC179" s="163"/>
      <c r="CD179" s="163"/>
      <c r="CE179" s="163"/>
      <c r="CF179" s="163"/>
      <c r="CG179" s="163"/>
      <c r="CH179" s="163"/>
      <c r="CI179" s="163"/>
      <c r="CJ179" s="163"/>
      <c r="CK179" s="163"/>
      <c r="CL179" s="163"/>
      <c r="CM179" s="163"/>
      <c r="CN179" s="163"/>
      <c r="CO179" s="163"/>
      <c r="CP179" s="163"/>
      <c r="CQ179" s="163"/>
      <c r="CR179" s="163"/>
      <c r="CS179" s="163"/>
      <c r="CT179" s="163"/>
      <c r="CU179" s="163"/>
      <c r="CV179" s="163"/>
      <c r="CW179" s="163"/>
      <c r="CX179" s="163"/>
      <c r="CY179" s="163"/>
      <c r="CZ179" s="163"/>
      <c r="DA179" s="163"/>
      <c r="DB179" s="163"/>
      <c r="DC179" s="163"/>
      <c r="DD179" s="163"/>
      <c r="DE179" s="163"/>
      <c r="DF179" s="163"/>
      <c r="DG179" s="163"/>
      <c r="DH179" s="163"/>
      <c r="DI179" s="163"/>
      <c r="DJ179" s="163"/>
      <c r="DK179" s="163"/>
      <c r="DL179" s="163"/>
      <c r="DM179" s="163"/>
      <c r="DN179" s="163"/>
      <c r="DO179" s="163"/>
      <c r="DP179" s="163"/>
      <c r="DQ179" s="163"/>
      <c r="DR179" s="163"/>
      <c r="DS179" s="163"/>
      <c r="DT179" s="163"/>
      <c r="DU179" s="163"/>
      <c r="DV179" s="163"/>
      <c r="DW179" s="163"/>
      <c r="DX179" s="163"/>
      <c r="DY179" s="163"/>
      <c r="DZ179" s="163"/>
      <c r="EA179" s="163"/>
      <c r="EB179" s="163"/>
      <c r="EC179" s="163"/>
      <c r="ED179" s="163"/>
      <c r="EE179" s="163"/>
      <c r="EF179" s="163"/>
      <c r="EG179" s="163"/>
      <c r="EH179" s="163"/>
      <c r="EI179" s="163"/>
      <c r="EJ179" s="163"/>
      <c r="EK179" s="163"/>
      <c r="EL179" s="163"/>
      <c r="EM179" s="163"/>
      <c r="EN179" s="163"/>
      <c r="EO179" s="163"/>
      <c r="EP179" s="163"/>
      <c r="EQ179" s="163"/>
      <c r="ER179" s="163"/>
      <c r="ES179" s="163"/>
      <c r="ET179" s="163"/>
      <c r="EU179" s="163"/>
      <c r="EV179" s="163"/>
      <c r="EW179" s="163"/>
      <c r="EX179" s="163"/>
      <c r="EY179" s="163"/>
      <c r="EZ179" s="163"/>
      <c r="FA179" s="163"/>
      <c r="FB179" s="163"/>
      <c r="FC179" s="163"/>
      <c r="FD179" s="163"/>
      <c r="FE179" s="163"/>
      <c r="FF179" s="163"/>
      <c r="FG179" s="163"/>
      <c r="FH179" s="163"/>
      <c r="FI179" s="163"/>
      <c r="FJ179" s="163"/>
      <c r="FK179" s="163"/>
      <c r="FL179" s="163"/>
      <c r="FM179" s="163"/>
    </row>
    <row r="180" ht="13.5" customHeight="1">
      <c r="A180" s="252"/>
      <c r="B180" s="252"/>
      <c r="C180" s="252"/>
      <c r="D180" s="252"/>
      <c r="E180" s="252"/>
      <c r="F180" s="252"/>
      <c r="G180" s="252"/>
      <c r="H180" s="252"/>
      <c r="I180" s="252"/>
      <c r="J180" s="252"/>
      <c r="K180" s="252"/>
      <c r="L180" s="252"/>
      <c r="M180" s="252"/>
      <c r="N180" s="252"/>
      <c r="O180" s="252"/>
      <c r="P180" s="252"/>
      <c r="Q180" s="131"/>
      <c r="R180" s="163"/>
      <c r="S180" s="163"/>
      <c r="T180" s="163"/>
      <c r="U180" s="163"/>
      <c r="V180" s="163"/>
      <c r="W180" s="163"/>
      <c r="X180" s="163"/>
      <c r="Y180" s="163"/>
      <c r="Z180" s="163"/>
      <c r="AA180" s="163"/>
      <c r="AB180" s="163"/>
      <c r="AC180" s="163"/>
      <c r="AD180" s="163"/>
      <c r="AE180" s="163"/>
      <c r="AF180" s="163"/>
      <c r="AG180" s="163"/>
      <c r="AH180" s="163"/>
      <c r="AI180" s="163"/>
      <c r="AJ180" s="163"/>
      <c r="AK180" s="163"/>
      <c r="AL180" s="163"/>
      <c r="AM180" s="163"/>
      <c r="AN180" s="163"/>
      <c r="AO180" s="163"/>
      <c r="AP180" s="163"/>
      <c r="AQ180" s="163"/>
      <c r="AR180" s="163"/>
      <c r="AS180" s="163"/>
      <c r="AT180" s="163"/>
      <c r="AU180" s="163"/>
      <c r="AV180" s="163"/>
      <c r="AW180" s="163"/>
      <c r="AX180" s="163"/>
      <c r="AY180" s="163"/>
      <c r="AZ180" s="254" t="s">
        <v>581</v>
      </c>
      <c r="BA180" s="254">
        <v>2020.0</v>
      </c>
      <c r="BB180" s="254">
        <v>51.0</v>
      </c>
      <c r="BC180" s="254">
        <v>63.0</v>
      </c>
      <c r="BD180" s="254">
        <v>132.0</v>
      </c>
      <c r="BE180" s="254">
        <v>205.0</v>
      </c>
      <c r="BF180" s="254">
        <v>192.0</v>
      </c>
      <c r="BG180" s="254">
        <v>643.0</v>
      </c>
      <c r="BH180" s="254"/>
      <c r="BI180" s="254">
        <v>2020.0</v>
      </c>
      <c r="BJ180" s="254">
        <v>12.0</v>
      </c>
      <c r="BK180" s="254">
        <v>0.0</v>
      </c>
      <c r="BL180" s="254">
        <v>0.0</v>
      </c>
      <c r="BM180" s="254">
        <v>0.0</v>
      </c>
      <c r="BN180" s="254">
        <v>0.0</v>
      </c>
      <c r="BO180" s="254">
        <v>12.0</v>
      </c>
      <c r="BP180" s="163"/>
      <c r="BQ180" s="163"/>
      <c r="BR180" s="163"/>
      <c r="BS180" s="163"/>
      <c r="BT180" s="163"/>
      <c r="BU180" s="163"/>
      <c r="BV180" s="163"/>
      <c r="BW180" s="163"/>
      <c r="BX180" s="163"/>
      <c r="BY180" s="163"/>
      <c r="BZ180" s="163"/>
      <c r="CA180" s="163"/>
      <c r="CB180" s="163"/>
      <c r="CC180" s="163"/>
      <c r="CD180" s="163"/>
      <c r="CE180" s="163"/>
      <c r="CF180" s="163"/>
      <c r="CG180" s="163"/>
      <c r="CH180" s="163"/>
      <c r="CI180" s="163"/>
      <c r="CJ180" s="163"/>
      <c r="CK180" s="163"/>
      <c r="CL180" s="163"/>
      <c r="CM180" s="163"/>
      <c r="CN180" s="163"/>
      <c r="CO180" s="163"/>
      <c r="CP180" s="163"/>
      <c r="CQ180" s="163"/>
      <c r="CR180" s="163"/>
      <c r="CS180" s="163"/>
      <c r="CT180" s="163"/>
      <c r="CU180" s="163"/>
      <c r="CV180" s="163"/>
      <c r="CW180" s="163"/>
      <c r="CX180" s="163"/>
      <c r="CY180" s="163"/>
      <c r="CZ180" s="163"/>
      <c r="DA180" s="163"/>
      <c r="DB180" s="163"/>
      <c r="DC180" s="163"/>
      <c r="DD180" s="163"/>
      <c r="DE180" s="163"/>
      <c r="DF180" s="163"/>
      <c r="DG180" s="163"/>
      <c r="DH180" s="163"/>
      <c r="DI180" s="163"/>
      <c r="DJ180" s="163"/>
      <c r="DK180" s="163"/>
      <c r="DL180" s="163"/>
      <c r="DM180" s="163"/>
      <c r="DN180" s="163"/>
      <c r="DO180" s="163"/>
      <c r="DP180" s="163"/>
      <c r="DQ180" s="163"/>
      <c r="DR180" s="163"/>
      <c r="DS180" s="163"/>
      <c r="DT180" s="163"/>
      <c r="DU180" s="163"/>
      <c r="DV180" s="163"/>
      <c r="DW180" s="163"/>
      <c r="DX180" s="163"/>
      <c r="DY180" s="163"/>
      <c r="DZ180" s="163"/>
      <c r="EA180" s="163"/>
      <c r="EB180" s="163"/>
      <c r="EC180" s="163"/>
      <c r="ED180" s="163"/>
      <c r="EE180" s="163"/>
      <c r="EF180" s="163"/>
      <c r="EG180" s="163"/>
      <c r="EH180" s="163"/>
      <c r="EI180" s="163"/>
      <c r="EJ180" s="163"/>
      <c r="EK180" s="163"/>
      <c r="EL180" s="163"/>
      <c r="EM180" s="163"/>
      <c r="EN180" s="163"/>
      <c r="EO180" s="163"/>
      <c r="EP180" s="163"/>
      <c r="EQ180" s="163"/>
      <c r="ER180" s="163"/>
      <c r="ES180" s="163"/>
      <c r="ET180" s="163"/>
      <c r="EU180" s="163"/>
      <c r="EV180" s="163"/>
      <c r="EW180" s="163"/>
      <c r="EX180" s="163"/>
      <c r="EY180" s="163"/>
      <c r="EZ180" s="163"/>
      <c r="FA180" s="163"/>
      <c r="FB180" s="163"/>
      <c r="FC180" s="163"/>
      <c r="FD180" s="163"/>
      <c r="FE180" s="163"/>
      <c r="FF180" s="163"/>
      <c r="FG180" s="163"/>
      <c r="FH180" s="163"/>
      <c r="FI180" s="163"/>
      <c r="FJ180" s="163"/>
      <c r="FK180" s="163"/>
      <c r="FL180" s="163"/>
      <c r="FM180" s="163"/>
    </row>
    <row r="181" ht="13.5" customHeight="1">
      <c r="A181" s="252"/>
      <c r="B181" s="252"/>
      <c r="C181" s="252"/>
      <c r="D181" s="252"/>
      <c r="E181" s="252"/>
      <c r="F181" s="252"/>
      <c r="G181" s="252"/>
      <c r="H181" s="252"/>
      <c r="I181" s="252"/>
      <c r="J181" s="252"/>
      <c r="K181" s="252"/>
      <c r="L181" s="252"/>
      <c r="M181" s="252"/>
      <c r="N181" s="252"/>
      <c r="O181" s="252"/>
      <c r="P181" s="252"/>
      <c r="Q181" s="131"/>
      <c r="R181" s="163"/>
      <c r="S181" s="163"/>
      <c r="T181" s="163"/>
      <c r="U181" s="163"/>
      <c r="V181" s="163"/>
      <c r="W181" s="163"/>
      <c r="X181" s="163"/>
      <c r="Y181" s="163"/>
      <c r="Z181" s="163"/>
      <c r="AA181" s="163"/>
      <c r="AB181" s="163"/>
      <c r="AC181" s="163"/>
      <c r="AD181" s="163"/>
      <c r="AE181" s="163"/>
      <c r="AF181" s="163"/>
      <c r="AG181" s="163"/>
      <c r="AH181" s="163"/>
      <c r="AI181" s="163"/>
      <c r="AJ181" s="163"/>
      <c r="AK181" s="163"/>
      <c r="AL181" s="163"/>
      <c r="AM181" s="163"/>
      <c r="AN181" s="163"/>
      <c r="AO181" s="163"/>
      <c r="AP181" s="163"/>
      <c r="AQ181" s="163"/>
      <c r="AR181" s="163"/>
      <c r="AS181" s="163"/>
      <c r="AT181" s="163"/>
      <c r="AU181" s="163"/>
      <c r="AV181" s="163"/>
      <c r="AW181" s="163"/>
      <c r="AX181" s="163"/>
      <c r="AY181" s="163"/>
      <c r="AZ181" s="254" t="s">
        <v>55</v>
      </c>
      <c r="BA181" s="254">
        <v>2020.0</v>
      </c>
      <c r="BB181" s="254">
        <v>369.0</v>
      </c>
      <c r="BC181" s="254">
        <v>506.0</v>
      </c>
      <c r="BD181" s="254">
        <v>884.0</v>
      </c>
      <c r="BE181" s="254">
        <v>1305.0</v>
      </c>
      <c r="BF181" s="254">
        <v>1220.0</v>
      </c>
      <c r="BG181" s="254">
        <v>4284.0</v>
      </c>
      <c r="BH181" s="254"/>
      <c r="BI181" s="254">
        <v>2020.0</v>
      </c>
      <c r="BJ181" s="254">
        <v>55.0</v>
      </c>
      <c r="BK181" s="254">
        <v>2.0</v>
      </c>
      <c r="BL181" s="254">
        <v>0.0</v>
      </c>
      <c r="BM181" s="254">
        <v>0.0</v>
      </c>
      <c r="BN181" s="254">
        <v>0.0</v>
      </c>
      <c r="BO181" s="254">
        <v>57.0</v>
      </c>
      <c r="BP181" s="163"/>
      <c r="BQ181" s="163"/>
      <c r="BR181" s="163"/>
      <c r="BS181" s="163"/>
      <c r="BT181" s="163"/>
      <c r="BU181" s="163"/>
      <c r="BV181" s="163"/>
      <c r="BW181" s="163"/>
      <c r="BX181" s="163"/>
      <c r="BY181" s="163"/>
      <c r="BZ181" s="163"/>
      <c r="CA181" s="163"/>
      <c r="CB181" s="163"/>
      <c r="CC181" s="163"/>
      <c r="CD181" s="163"/>
      <c r="CE181" s="163"/>
      <c r="CF181" s="163"/>
      <c r="CG181" s="163"/>
      <c r="CH181" s="163"/>
      <c r="CI181" s="163"/>
      <c r="CJ181" s="163"/>
      <c r="CK181" s="163"/>
      <c r="CL181" s="163"/>
      <c r="CM181" s="163"/>
      <c r="CN181" s="163"/>
      <c r="CO181" s="163"/>
      <c r="CP181" s="163"/>
      <c r="CQ181" s="163"/>
      <c r="CR181" s="163"/>
      <c r="CS181" s="163"/>
      <c r="CT181" s="163"/>
      <c r="CU181" s="163"/>
      <c r="CV181" s="163"/>
      <c r="CW181" s="163"/>
      <c r="CX181" s="163"/>
      <c r="CY181" s="163"/>
      <c r="CZ181" s="163"/>
      <c r="DA181" s="163"/>
      <c r="DB181" s="163"/>
      <c r="DC181" s="163"/>
      <c r="DD181" s="163"/>
      <c r="DE181" s="163"/>
      <c r="DF181" s="163"/>
      <c r="DG181" s="163"/>
      <c r="DH181" s="163"/>
      <c r="DI181" s="163"/>
      <c r="DJ181" s="163"/>
      <c r="DK181" s="163"/>
      <c r="DL181" s="163"/>
      <c r="DM181" s="163"/>
      <c r="DN181" s="163"/>
      <c r="DO181" s="163"/>
      <c r="DP181" s="163"/>
      <c r="DQ181" s="163"/>
      <c r="DR181" s="163"/>
      <c r="DS181" s="163"/>
      <c r="DT181" s="163"/>
      <c r="DU181" s="163"/>
      <c r="DV181" s="163"/>
      <c r="DW181" s="163"/>
      <c r="DX181" s="163"/>
      <c r="DY181" s="163"/>
      <c r="DZ181" s="163"/>
      <c r="EA181" s="163"/>
      <c r="EB181" s="163"/>
      <c r="EC181" s="163"/>
      <c r="ED181" s="163"/>
      <c r="EE181" s="163"/>
      <c r="EF181" s="163"/>
      <c r="EG181" s="163"/>
      <c r="EH181" s="163"/>
      <c r="EI181" s="163"/>
      <c r="EJ181" s="163"/>
      <c r="EK181" s="163"/>
      <c r="EL181" s="163"/>
      <c r="EM181" s="163"/>
      <c r="EN181" s="163"/>
      <c r="EO181" s="163"/>
      <c r="EP181" s="163"/>
      <c r="EQ181" s="163"/>
      <c r="ER181" s="163"/>
      <c r="ES181" s="163"/>
      <c r="ET181" s="163"/>
      <c r="EU181" s="163"/>
      <c r="EV181" s="163"/>
      <c r="EW181" s="163"/>
      <c r="EX181" s="163"/>
      <c r="EY181" s="163"/>
      <c r="EZ181" s="163"/>
      <c r="FA181" s="163"/>
      <c r="FB181" s="163"/>
      <c r="FC181" s="163"/>
      <c r="FD181" s="163"/>
      <c r="FE181" s="163"/>
      <c r="FF181" s="163"/>
      <c r="FG181" s="163"/>
      <c r="FH181" s="163"/>
      <c r="FI181" s="163"/>
      <c r="FJ181" s="163"/>
      <c r="FK181" s="163"/>
      <c r="FL181" s="163"/>
      <c r="FM181" s="163"/>
    </row>
    <row r="182" ht="13.5" customHeight="1">
      <c r="A182" s="252"/>
      <c r="B182" s="252"/>
      <c r="C182" s="252"/>
      <c r="D182" s="252"/>
      <c r="E182" s="252"/>
      <c r="F182" s="252"/>
      <c r="G182" s="252"/>
      <c r="H182" s="252"/>
      <c r="I182" s="252"/>
      <c r="J182" s="252"/>
      <c r="K182" s="252"/>
      <c r="L182" s="252"/>
      <c r="M182" s="252"/>
      <c r="N182" s="252"/>
      <c r="O182" s="252"/>
      <c r="P182" s="252"/>
      <c r="Q182" s="131"/>
      <c r="R182" s="163"/>
      <c r="S182" s="163"/>
      <c r="T182" s="163"/>
      <c r="U182" s="163"/>
      <c r="V182" s="163"/>
      <c r="W182" s="163"/>
      <c r="X182" s="163"/>
      <c r="Y182" s="163"/>
      <c r="Z182" s="163"/>
      <c r="AA182" s="163"/>
      <c r="AB182" s="163"/>
      <c r="AC182" s="163"/>
      <c r="AD182" s="163"/>
      <c r="AE182" s="163"/>
      <c r="AF182" s="163"/>
      <c r="AG182" s="163"/>
      <c r="AH182" s="163"/>
      <c r="AI182" s="163"/>
      <c r="AJ182" s="163"/>
      <c r="AK182" s="163"/>
      <c r="AL182" s="163"/>
      <c r="AM182" s="163"/>
      <c r="AN182" s="163"/>
      <c r="AO182" s="163"/>
      <c r="AP182" s="163"/>
      <c r="AQ182" s="163"/>
      <c r="AR182" s="163"/>
      <c r="AS182" s="163"/>
      <c r="AT182" s="163"/>
      <c r="AU182" s="163"/>
      <c r="AV182" s="163"/>
      <c r="AW182" s="163"/>
      <c r="AX182" s="163"/>
      <c r="AY182" s="163"/>
      <c r="AZ182" s="254" t="s">
        <v>584</v>
      </c>
      <c r="BA182" s="254">
        <v>2020.0</v>
      </c>
      <c r="BB182" s="254">
        <v>370.0</v>
      </c>
      <c r="BC182" s="254">
        <v>378.0</v>
      </c>
      <c r="BD182" s="254">
        <v>712.0</v>
      </c>
      <c r="BE182" s="254">
        <v>1042.0</v>
      </c>
      <c r="BF182" s="254">
        <v>894.0</v>
      </c>
      <c r="BG182" s="254">
        <v>3396.0</v>
      </c>
      <c r="BH182" s="254"/>
      <c r="BI182" s="254">
        <v>2020.0</v>
      </c>
      <c r="BJ182" s="254">
        <v>39.0</v>
      </c>
      <c r="BK182" s="254">
        <v>0.0</v>
      </c>
      <c r="BL182" s="254">
        <v>0.0</v>
      </c>
      <c r="BM182" s="254">
        <v>0.0</v>
      </c>
      <c r="BN182" s="254">
        <v>0.0</v>
      </c>
      <c r="BO182" s="254">
        <v>39.0</v>
      </c>
      <c r="BP182" s="163"/>
      <c r="BQ182" s="163"/>
      <c r="BR182" s="163"/>
      <c r="BS182" s="163"/>
      <c r="BT182" s="163"/>
      <c r="BU182" s="163"/>
      <c r="BV182" s="163"/>
      <c r="BW182" s="163"/>
      <c r="BX182" s="163"/>
      <c r="BY182" s="163"/>
      <c r="BZ182" s="163"/>
      <c r="CA182" s="163"/>
      <c r="CB182" s="163"/>
      <c r="CC182" s="163"/>
      <c r="CD182" s="163"/>
      <c r="CE182" s="163"/>
      <c r="CF182" s="163"/>
      <c r="CG182" s="163"/>
      <c r="CH182" s="163"/>
      <c r="CI182" s="163"/>
      <c r="CJ182" s="163"/>
      <c r="CK182" s="163"/>
      <c r="CL182" s="163"/>
      <c r="CM182" s="163"/>
      <c r="CN182" s="163"/>
      <c r="CO182" s="163"/>
      <c r="CP182" s="163"/>
      <c r="CQ182" s="163"/>
      <c r="CR182" s="163"/>
      <c r="CS182" s="163"/>
      <c r="CT182" s="163"/>
      <c r="CU182" s="163"/>
      <c r="CV182" s="163"/>
      <c r="CW182" s="163"/>
      <c r="CX182" s="163"/>
      <c r="CY182" s="163"/>
      <c r="CZ182" s="163"/>
      <c r="DA182" s="163"/>
      <c r="DB182" s="163"/>
      <c r="DC182" s="163"/>
      <c r="DD182" s="163"/>
      <c r="DE182" s="163"/>
      <c r="DF182" s="163"/>
      <c r="DG182" s="163"/>
      <c r="DH182" s="163"/>
      <c r="DI182" s="163"/>
      <c r="DJ182" s="163"/>
      <c r="DK182" s="163"/>
      <c r="DL182" s="163"/>
      <c r="DM182" s="163"/>
      <c r="DN182" s="163"/>
      <c r="DO182" s="163"/>
      <c r="DP182" s="163"/>
      <c r="DQ182" s="163"/>
      <c r="DR182" s="163"/>
      <c r="DS182" s="163"/>
      <c r="DT182" s="163"/>
      <c r="DU182" s="163"/>
      <c r="DV182" s="163"/>
      <c r="DW182" s="163"/>
      <c r="DX182" s="163"/>
      <c r="DY182" s="163"/>
      <c r="DZ182" s="163"/>
      <c r="EA182" s="163"/>
      <c r="EB182" s="163"/>
      <c r="EC182" s="163"/>
      <c r="ED182" s="163"/>
      <c r="EE182" s="163"/>
      <c r="EF182" s="163"/>
      <c r="EG182" s="163"/>
      <c r="EH182" s="163"/>
      <c r="EI182" s="163"/>
      <c r="EJ182" s="163"/>
      <c r="EK182" s="163"/>
      <c r="EL182" s="163"/>
      <c r="EM182" s="163"/>
      <c r="EN182" s="163"/>
      <c r="EO182" s="163"/>
      <c r="EP182" s="163"/>
      <c r="EQ182" s="163"/>
      <c r="ER182" s="163"/>
      <c r="ES182" s="163"/>
      <c r="ET182" s="163"/>
      <c r="EU182" s="163"/>
      <c r="EV182" s="163"/>
      <c r="EW182" s="163"/>
      <c r="EX182" s="163"/>
      <c r="EY182" s="163"/>
      <c r="EZ182" s="163"/>
      <c r="FA182" s="163"/>
      <c r="FB182" s="163"/>
      <c r="FC182" s="163"/>
      <c r="FD182" s="163"/>
      <c r="FE182" s="163"/>
      <c r="FF182" s="163"/>
      <c r="FG182" s="163"/>
      <c r="FH182" s="163"/>
      <c r="FI182" s="163"/>
      <c r="FJ182" s="163"/>
      <c r="FK182" s="163"/>
      <c r="FL182" s="163"/>
      <c r="FM182" s="163"/>
    </row>
    <row r="183" ht="13.5" customHeight="1">
      <c r="A183" s="252"/>
      <c r="B183" s="252"/>
      <c r="C183" s="252"/>
      <c r="D183" s="252"/>
      <c r="E183" s="252"/>
      <c r="F183" s="252"/>
      <c r="G183" s="252"/>
      <c r="H183" s="252"/>
      <c r="I183" s="252"/>
      <c r="J183" s="252"/>
      <c r="K183" s="252"/>
      <c r="L183" s="252"/>
      <c r="M183" s="252"/>
      <c r="N183" s="252"/>
      <c r="O183" s="252"/>
      <c r="P183" s="252"/>
      <c r="Q183" s="131"/>
      <c r="R183" s="163"/>
      <c r="S183" s="163"/>
      <c r="T183" s="163"/>
      <c r="U183" s="163"/>
      <c r="V183" s="163"/>
      <c r="W183" s="163"/>
      <c r="X183" s="163"/>
      <c r="Y183" s="163"/>
      <c r="Z183" s="163"/>
      <c r="AA183" s="163"/>
      <c r="AB183" s="163"/>
      <c r="AC183" s="163"/>
      <c r="AD183" s="163"/>
      <c r="AE183" s="163"/>
      <c r="AF183" s="163"/>
      <c r="AG183" s="163"/>
      <c r="AH183" s="163"/>
      <c r="AI183" s="163"/>
      <c r="AJ183" s="163"/>
      <c r="AK183" s="163"/>
      <c r="AL183" s="163"/>
      <c r="AM183" s="163"/>
      <c r="AN183" s="163"/>
      <c r="AO183" s="163"/>
      <c r="AP183" s="163"/>
      <c r="AQ183" s="163"/>
      <c r="AR183" s="163"/>
      <c r="AS183" s="163"/>
      <c r="AT183" s="163"/>
      <c r="AU183" s="163"/>
      <c r="AV183" s="163"/>
      <c r="AW183" s="163"/>
      <c r="AX183" s="163"/>
      <c r="AY183" s="163"/>
      <c r="AZ183" s="254" t="s">
        <v>586</v>
      </c>
      <c r="BA183" s="254">
        <v>2020.0</v>
      </c>
      <c r="BB183" s="254">
        <v>256.0</v>
      </c>
      <c r="BC183" s="254">
        <v>257.0</v>
      </c>
      <c r="BD183" s="254">
        <v>513.0</v>
      </c>
      <c r="BE183" s="254">
        <v>841.0</v>
      </c>
      <c r="BF183" s="254">
        <v>816.0</v>
      </c>
      <c r="BG183" s="254">
        <v>2683.0</v>
      </c>
      <c r="BH183" s="254"/>
      <c r="BI183" s="254">
        <v>2020.0</v>
      </c>
      <c r="BJ183" s="254">
        <v>32.0</v>
      </c>
      <c r="BK183" s="254">
        <v>1.0</v>
      </c>
      <c r="BL183" s="254">
        <v>0.0</v>
      </c>
      <c r="BM183" s="254">
        <v>0.0</v>
      </c>
      <c r="BN183" s="254">
        <v>0.0</v>
      </c>
      <c r="BO183" s="254">
        <v>33.0</v>
      </c>
      <c r="BP183" s="163"/>
      <c r="BQ183" s="163"/>
      <c r="BR183" s="163"/>
      <c r="BS183" s="163"/>
      <c r="BT183" s="163"/>
      <c r="BU183" s="163"/>
      <c r="BV183" s="163"/>
      <c r="BW183" s="163"/>
      <c r="BX183" s="163"/>
      <c r="BY183" s="163"/>
      <c r="BZ183" s="163"/>
      <c r="CA183" s="163"/>
      <c r="CB183" s="163"/>
      <c r="CC183" s="163"/>
      <c r="CD183" s="163"/>
      <c r="CE183" s="163"/>
      <c r="CF183" s="163"/>
      <c r="CG183" s="163"/>
      <c r="CH183" s="163"/>
      <c r="CI183" s="163"/>
      <c r="CJ183" s="163"/>
      <c r="CK183" s="163"/>
      <c r="CL183" s="163"/>
      <c r="CM183" s="163"/>
      <c r="CN183" s="163"/>
      <c r="CO183" s="163"/>
      <c r="CP183" s="163"/>
      <c r="CQ183" s="163"/>
      <c r="CR183" s="163"/>
      <c r="CS183" s="163"/>
      <c r="CT183" s="163"/>
      <c r="CU183" s="163"/>
      <c r="CV183" s="163"/>
      <c r="CW183" s="163"/>
      <c r="CX183" s="163"/>
      <c r="CY183" s="163"/>
      <c r="CZ183" s="163"/>
      <c r="DA183" s="163"/>
      <c r="DB183" s="163"/>
      <c r="DC183" s="163"/>
      <c r="DD183" s="163"/>
      <c r="DE183" s="163"/>
      <c r="DF183" s="163"/>
      <c r="DG183" s="163"/>
      <c r="DH183" s="163"/>
      <c r="DI183" s="163"/>
      <c r="DJ183" s="163"/>
      <c r="DK183" s="163"/>
      <c r="DL183" s="163"/>
      <c r="DM183" s="163"/>
      <c r="DN183" s="163"/>
      <c r="DO183" s="163"/>
      <c r="DP183" s="163"/>
      <c r="DQ183" s="163"/>
      <c r="DR183" s="163"/>
      <c r="DS183" s="163"/>
      <c r="DT183" s="163"/>
      <c r="DU183" s="163"/>
      <c r="DV183" s="163"/>
      <c r="DW183" s="163"/>
      <c r="DX183" s="163"/>
      <c r="DY183" s="163"/>
      <c r="DZ183" s="163"/>
      <c r="EA183" s="163"/>
      <c r="EB183" s="163"/>
      <c r="EC183" s="163"/>
      <c r="ED183" s="163"/>
      <c r="EE183" s="163"/>
      <c r="EF183" s="163"/>
      <c r="EG183" s="163"/>
      <c r="EH183" s="163"/>
      <c r="EI183" s="163"/>
      <c r="EJ183" s="163"/>
      <c r="EK183" s="163"/>
      <c r="EL183" s="163"/>
      <c r="EM183" s="163"/>
      <c r="EN183" s="163"/>
      <c r="EO183" s="163"/>
      <c r="EP183" s="163"/>
      <c r="EQ183" s="163"/>
      <c r="ER183" s="163"/>
      <c r="ES183" s="163"/>
      <c r="ET183" s="163"/>
      <c r="EU183" s="163"/>
      <c r="EV183" s="163"/>
      <c r="EW183" s="163"/>
      <c r="EX183" s="163"/>
      <c r="EY183" s="163"/>
      <c r="EZ183" s="163"/>
      <c r="FA183" s="163"/>
      <c r="FB183" s="163"/>
      <c r="FC183" s="163"/>
      <c r="FD183" s="163"/>
      <c r="FE183" s="163"/>
      <c r="FF183" s="163"/>
      <c r="FG183" s="163"/>
      <c r="FH183" s="163"/>
      <c r="FI183" s="163"/>
      <c r="FJ183" s="163"/>
      <c r="FK183" s="163"/>
      <c r="FL183" s="163"/>
      <c r="FM183" s="163"/>
    </row>
    <row r="184" ht="13.5" customHeight="1">
      <c r="A184" s="252"/>
      <c r="B184" s="252"/>
      <c r="C184" s="252"/>
      <c r="D184" s="252"/>
      <c r="E184" s="252"/>
      <c r="F184" s="252"/>
      <c r="G184" s="252"/>
      <c r="H184" s="252"/>
      <c r="I184" s="252"/>
      <c r="J184" s="252"/>
      <c r="K184" s="252"/>
      <c r="L184" s="252"/>
      <c r="M184" s="252"/>
      <c r="N184" s="252"/>
      <c r="O184" s="252"/>
      <c r="P184" s="252"/>
      <c r="Q184" s="131"/>
      <c r="R184" s="163"/>
      <c r="S184" s="163"/>
      <c r="T184" s="163"/>
      <c r="U184" s="163"/>
      <c r="V184" s="163"/>
      <c r="W184" s="163"/>
      <c r="X184" s="163"/>
      <c r="Y184" s="163"/>
      <c r="Z184" s="163"/>
      <c r="AA184" s="163"/>
      <c r="AB184" s="163"/>
      <c r="AC184" s="163"/>
      <c r="AD184" s="163"/>
      <c r="AE184" s="163"/>
      <c r="AF184" s="163"/>
      <c r="AG184" s="163"/>
      <c r="AH184" s="163"/>
      <c r="AI184" s="163"/>
      <c r="AJ184" s="163"/>
      <c r="AK184" s="163"/>
      <c r="AL184" s="163"/>
      <c r="AM184" s="163"/>
      <c r="AN184" s="163"/>
      <c r="AO184" s="163"/>
      <c r="AP184" s="163"/>
      <c r="AQ184" s="163"/>
      <c r="AR184" s="163"/>
      <c r="AS184" s="163"/>
      <c r="AT184" s="163"/>
      <c r="AU184" s="163"/>
      <c r="AV184" s="163"/>
      <c r="AW184" s="163"/>
      <c r="AX184" s="163"/>
      <c r="AY184" s="163"/>
      <c r="AZ184" s="254" t="s">
        <v>588</v>
      </c>
      <c r="BA184" s="254">
        <v>2020.0</v>
      </c>
      <c r="BB184" s="254">
        <v>88.0</v>
      </c>
      <c r="BC184" s="254">
        <v>122.0</v>
      </c>
      <c r="BD184" s="254">
        <v>218.0</v>
      </c>
      <c r="BE184" s="254">
        <v>316.0</v>
      </c>
      <c r="BF184" s="254">
        <v>310.0</v>
      </c>
      <c r="BG184" s="254">
        <v>1054.0</v>
      </c>
      <c r="BH184" s="254"/>
      <c r="BI184" s="254">
        <v>2020.0</v>
      </c>
      <c r="BJ184" s="254">
        <v>18.0</v>
      </c>
      <c r="BK184" s="254">
        <v>0.0</v>
      </c>
      <c r="BL184" s="254">
        <v>0.0</v>
      </c>
      <c r="BM184" s="254">
        <v>0.0</v>
      </c>
      <c r="BN184" s="254">
        <v>0.0</v>
      </c>
      <c r="BO184" s="254">
        <v>18.0</v>
      </c>
      <c r="BP184" s="163"/>
      <c r="BQ184" s="163"/>
      <c r="BR184" s="163"/>
      <c r="BS184" s="163"/>
      <c r="BT184" s="163"/>
      <c r="BU184" s="163"/>
      <c r="BV184" s="163"/>
      <c r="BW184" s="163"/>
      <c r="BX184" s="163"/>
      <c r="BY184" s="163"/>
      <c r="BZ184" s="163"/>
      <c r="CA184" s="163"/>
      <c r="CB184" s="163"/>
      <c r="CC184" s="163"/>
      <c r="CD184" s="163"/>
      <c r="CE184" s="163"/>
      <c r="CF184" s="163"/>
      <c r="CG184" s="163"/>
      <c r="CH184" s="163"/>
      <c r="CI184" s="163"/>
      <c r="CJ184" s="163"/>
      <c r="CK184" s="163"/>
      <c r="CL184" s="163"/>
      <c r="CM184" s="163"/>
      <c r="CN184" s="163"/>
      <c r="CO184" s="163"/>
      <c r="CP184" s="163"/>
      <c r="CQ184" s="163"/>
      <c r="CR184" s="163"/>
      <c r="CS184" s="163"/>
      <c r="CT184" s="163"/>
      <c r="CU184" s="163"/>
      <c r="CV184" s="163"/>
      <c r="CW184" s="163"/>
      <c r="CX184" s="163"/>
      <c r="CY184" s="163"/>
      <c r="CZ184" s="163"/>
      <c r="DA184" s="163"/>
      <c r="DB184" s="163"/>
      <c r="DC184" s="163"/>
      <c r="DD184" s="163"/>
      <c r="DE184" s="163"/>
      <c r="DF184" s="163"/>
      <c r="DG184" s="163"/>
      <c r="DH184" s="163"/>
      <c r="DI184" s="163"/>
      <c r="DJ184" s="163"/>
      <c r="DK184" s="163"/>
      <c r="DL184" s="163"/>
      <c r="DM184" s="163"/>
      <c r="DN184" s="163"/>
      <c r="DO184" s="163"/>
      <c r="DP184" s="163"/>
      <c r="DQ184" s="163"/>
      <c r="DR184" s="163"/>
      <c r="DS184" s="163"/>
      <c r="DT184" s="163"/>
      <c r="DU184" s="163"/>
      <c r="DV184" s="163"/>
      <c r="DW184" s="163"/>
      <c r="DX184" s="163"/>
      <c r="DY184" s="163"/>
      <c r="DZ184" s="163"/>
      <c r="EA184" s="163"/>
      <c r="EB184" s="163"/>
      <c r="EC184" s="163"/>
      <c r="ED184" s="163"/>
      <c r="EE184" s="163"/>
      <c r="EF184" s="163"/>
      <c r="EG184" s="163"/>
      <c r="EH184" s="163"/>
      <c r="EI184" s="163"/>
      <c r="EJ184" s="163"/>
      <c r="EK184" s="163"/>
      <c r="EL184" s="163"/>
      <c r="EM184" s="163"/>
      <c r="EN184" s="163"/>
      <c r="EO184" s="163"/>
      <c r="EP184" s="163"/>
      <c r="EQ184" s="163"/>
      <c r="ER184" s="163"/>
      <c r="ES184" s="163"/>
      <c r="ET184" s="163"/>
      <c r="EU184" s="163"/>
      <c r="EV184" s="163"/>
      <c r="EW184" s="163"/>
      <c r="EX184" s="163"/>
      <c r="EY184" s="163"/>
      <c r="EZ184" s="163"/>
      <c r="FA184" s="163"/>
      <c r="FB184" s="163"/>
      <c r="FC184" s="163"/>
      <c r="FD184" s="163"/>
      <c r="FE184" s="163"/>
      <c r="FF184" s="163"/>
      <c r="FG184" s="163"/>
      <c r="FH184" s="163"/>
      <c r="FI184" s="163"/>
      <c r="FJ184" s="163"/>
      <c r="FK184" s="163"/>
      <c r="FL184" s="163"/>
      <c r="FM184" s="163"/>
    </row>
    <row r="185" ht="13.5" customHeight="1">
      <c r="A185" s="252"/>
      <c r="B185" s="252"/>
      <c r="C185" s="252"/>
      <c r="D185" s="252"/>
      <c r="E185" s="252"/>
      <c r="F185" s="252"/>
      <c r="G185" s="252"/>
      <c r="H185" s="252"/>
      <c r="I185" s="252"/>
      <c r="J185" s="252"/>
      <c r="K185" s="252"/>
      <c r="L185" s="252"/>
      <c r="M185" s="252"/>
      <c r="N185" s="252"/>
      <c r="O185" s="252"/>
      <c r="P185" s="252"/>
      <c r="Q185" s="131"/>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Q185" s="163"/>
      <c r="AR185" s="163"/>
      <c r="AS185" s="163"/>
      <c r="AT185" s="163"/>
      <c r="AU185" s="163"/>
      <c r="AV185" s="163"/>
      <c r="AW185" s="163"/>
      <c r="AX185" s="163"/>
      <c r="AY185" s="163"/>
      <c r="AZ185" s="254" t="s">
        <v>590</v>
      </c>
      <c r="BA185" s="254">
        <v>2020.0</v>
      </c>
      <c r="BB185" s="254">
        <v>80.0</v>
      </c>
      <c r="BC185" s="254">
        <v>84.0</v>
      </c>
      <c r="BD185" s="254">
        <v>184.0</v>
      </c>
      <c r="BE185" s="254">
        <v>207.0</v>
      </c>
      <c r="BF185" s="254">
        <v>235.0</v>
      </c>
      <c r="BG185" s="254">
        <v>790.0</v>
      </c>
      <c r="BH185" s="254"/>
      <c r="BI185" s="254">
        <v>2020.0</v>
      </c>
      <c r="BJ185" s="254">
        <v>19.0</v>
      </c>
      <c r="BK185" s="254">
        <v>0.0</v>
      </c>
      <c r="BL185" s="254">
        <v>0.0</v>
      </c>
      <c r="BM185" s="254">
        <v>0.0</v>
      </c>
      <c r="BN185" s="254">
        <v>0.0</v>
      </c>
      <c r="BO185" s="254">
        <v>19.0</v>
      </c>
      <c r="BP185" s="163"/>
      <c r="BQ185" s="163"/>
      <c r="BR185" s="163"/>
      <c r="BS185" s="163"/>
      <c r="BT185" s="163"/>
      <c r="BU185" s="163"/>
      <c r="BV185" s="163"/>
      <c r="BW185" s="163"/>
      <c r="BX185" s="163"/>
      <c r="BY185" s="163"/>
      <c r="BZ185" s="163"/>
      <c r="CA185" s="163"/>
      <c r="CB185" s="163"/>
      <c r="CC185" s="163"/>
      <c r="CD185" s="163"/>
      <c r="CE185" s="163"/>
      <c r="CF185" s="163"/>
      <c r="CG185" s="163"/>
      <c r="CH185" s="163"/>
      <c r="CI185" s="163"/>
      <c r="CJ185" s="163"/>
      <c r="CK185" s="163"/>
      <c r="CL185" s="163"/>
      <c r="CM185" s="163"/>
      <c r="CN185" s="163"/>
      <c r="CO185" s="163"/>
      <c r="CP185" s="163"/>
      <c r="CQ185" s="163"/>
      <c r="CR185" s="163"/>
      <c r="CS185" s="163"/>
      <c r="CT185" s="163"/>
      <c r="CU185" s="163"/>
      <c r="CV185" s="163"/>
      <c r="CW185" s="163"/>
      <c r="CX185" s="163"/>
      <c r="CY185" s="163"/>
      <c r="CZ185" s="163"/>
      <c r="DA185" s="163"/>
      <c r="DB185" s="163"/>
      <c r="DC185" s="163"/>
      <c r="DD185" s="163"/>
      <c r="DE185" s="163"/>
      <c r="DF185" s="163"/>
      <c r="DG185" s="163"/>
      <c r="DH185" s="163"/>
      <c r="DI185" s="163"/>
      <c r="DJ185" s="163"/>
      <c r="DK185" s="163"/>
      <c r="DL185" s="163"/>
      <c r="DM185" s="163"/>
      <c r="DN185" s="163"/>
      <c r="DO185" s="163"/>
      <c r="DP185" s="163"/>
      <c r="DQ185" s="163"/>
      <c r="DR185" s="163"/>
      <c r="DS185" s="163"/>
      <c r="DT185" s="163"/>
      <c r="DU185" s="163"/>
      <c r="DV185" s="163"/>
      <c r="DW185" s="163"/>
      <c r="DX185" s="163"/>
      <c r="DY185" s="163"/>
      <c r="DZ185" s="163"/>
      <c r="EA185" s="163"/>
      <c r="EB185" s="163"/>
      <c r="EC185" s="163"/>
      <c r="ED185" s="163"/>
      <c r="EE185" s="163"/>
      <c r="EF185" s="163"/>
      <c r="EG185" s="163"/>
      <c r="EH185" s="163"/>
      <c r="EI185" s="163"/>
      <c r="EJ185" s="163"/>
      <c r="EK185" s="163"/>
      <c r="EL185" s="163"/>
      <c r="EM185" s="163"/>
      <c r="EN185" s="163"/>
      <c r="EO185" s="163"/>
      <c r="EP185" s="163"/>
      <c r="EQ185" s="163"/>
      <c r="ER185" s="163"/>
      <c r="ES185" s="163"/>
      <c r="ET185" s="163"/>
      <c r="EU185" s="163"/>
      <c r="EV185" s="163"/>
      <c r="EW185" s="163"/>
      <c r="EX185" s="163"/>
      <c r="EY185" s="163"/>
      <c r="EZ185" s="163"/>
      <c r="FA185" s="163"/>
      <c r="FB185" s="163"/>
      <c r="FC185" s="163"/>
      <c r="FD185" s="163"/>
      <c r="FE185" s="163"/>
      <c r="FF185" s="163"/>
      <c r="FG185" s="163"/>
      <c r="FH185" s="163"/>
      <c r="FI185" s="163"/>
      <c r="FJ185" s="163"/>
      <c r="FK185" s="163"/>
      <c r="FL185" s="163"/>
      <c r="FM185" s="163"/>
    </row>
    <row r="186" ht="13.5" customHeight="1">
      <c r="A186" s="252"/>
      <c r="B186" s="252"/>
      <c r="C186" s="252"/>
      <c r="D186" s="252"/>
      <c r="E186" s="252"/>
      <c r="F186" s="252"/>
      <c r="G186" s="252"/>
      <c r="H186" s="252"/>
      <c r="I186" s="252"/>
      <c r="J186" s="252"/>
      <c r="K186" s="252"/>
      <c r="L186" s="252"/>
      <c r="M186" s="252"/>
      <c r="N186" s="252"/>
      <c r="O186" s="252"/>
      <c r="P186" s="252"/>
      <c r="Q186" s="131"/>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Q186" s="163"/>
      <c r="AR186" s="163"/>
      <c r="AS186" s="163"/>
      <c r="AT186" s="163"/>
      <c r="AU186" s="163"/>
      <c r="AV186" s="163"/>
      <c r="AW186" s="163"/>
      <c r="AX186" s="163"/>
      <c r="AY186" s="163"/>
      <c r="AZ186" s="254" t="s">
        <v>592</v>
      </c>
      <c r="BA186" s="254">
        <v>2020.0</v>
      </c>
      <c r="BB186" s="254">
        <v>182.0</v>
      </c>
      <c r="BC186" s="254">
        <v>96.0</v>
      </c>
      <c r="BD186" s="254">
        <v>123.0</v>
      </c>
      <c r="BE186" s="254">
        <v>161.0</v>
      </c>
      <c r="BF186" s="254">
        <v>200.0</v>
      </c>
      <c r="BG186" s="254">
        <v>762.0</v>
      </c>
      <c r="BH186" s="254"/>
      <c r="BI186" s="254">
        <v>2020.0</v>
      </c>
      <c r="BJ186" s="254">
        <v>60.0</v>
      </c>
      <c r="BK186" s="254">
        <v>0.0</v>
      </c>
      <c r="BL186" s="254">
        <v>0.0</v>
      </c>
      <c r="BM186" s="254">
        <v>0.0</v>
      </c>
      <c r="BN186" s="254">
        <v>0.0</v>
      </c>
      <c r="BO186" s="254">
        <v>60.0</v>
      </c>
      <c r="BP186" s="163"/>
      <c r="BQ186" s="163"/>
      <c r="BR186" s="163"/>
      <c r="BS186" s="163"/>
      <c r="BT186" s="163"/>
      <c r="BU186" s="163"/>
      <c r="BV186" s="163"/>
      <c r="BW186" s="163"/>
      <c r="BX186" s="163"/>
      <c r="BY186" s="163"/>
      <c r="BZ186" s="163"/>
      <c r="CA186" s="163"/>
      <c r="CB186" s="163"/>
      <c r="CC186" s="163"/>
      <c r="CD186" s="163"/>
      <c r="CE186" s="163"/>
      <c r="CF186" s="163"/>
      <c r="CG186" s="163"/>
      <c r="CH186" s="163"/>
      <c r="CI186" s="163"/>
      <c r="CJ186" s="163"/>
      <c r="CK186" s="163"/>
      <c r="CL186" s="163"/>
      <c r="CM186" s="163"/>
      <c r="CN186" s="163"/>
      <c r="CO186" s="163"/>
      <c r="CP186" s="163"/>
      <c r="CQ186" s="163"/>
      <c r="CR186" s="163"/>
      <c r="CS186" s="163"/>
      <c r="CT186" s="163"/>
      <c r="CU186" s="163"/>
      <c r="CV186" s="163"/>
      <c r="CW186" s="163"/>
      <c r="CX186" s="163"/>
      <c r="CY186" s="163"/>
      <c r="CZ186" s="163"/>
      <c r="DA186" s="163"/>
      <c r="DB186" s="163"/>
      <c r="DC186" s="163"/>
      <c r="DD186" s="163"/>
      <c r="DE186" s="163"/>
      <c r="DF186" s="163"/>
      <c r="DG186" s="163"/>
      <c r="DH186" s="163"/>
      <c r="DI186" s="163"/>
      <c r="DJ186" s="163"/>
      <c r="DK186" s="163"/>
      <c r="DL186" s="163"/>
      <c r="DM186" s="163"/>
      <c r="DN186" s="163"/>
      <c r="DO186" s="163"/>
      <c r="DP186" s="163"/>
      <c r="DQ186" s="163"/>
      <c r="DR186" s="163"/>
      <c r="DS186" s="163"/>
      <c r="DT186" s="163"/>
      <c r="DU186" s="163"/>
      <c r="DV186" s="163"/>
      <c r="DW186" s="163"/>
      <c r="DX186" s="163"/>
      <c r="DY186" s="163"/>
      <c r="DZ186" s="163"/>
      <c r="EA186" s="163"/>
      <c r="EB186" s="163"/>
      <c r="EC186" s="163"/>
      <c r="ED186" s="163"/>
      <c r="EE186" s="163"/>
      <c r="EF186" s="163"/>
      <c r="EG186" s="163"/>
      <c r="EH186" s="163"/>
      <c r="EI186" s="163"/>
      <c r="EJ186" s="163"/>
      <c r="EK186" s="163"/>
      <c r="EL186" s="163"/>
      <c r="EM186" s="163"/>
      <c r="EN186" s="163"/>
      <c r="EO186" s="163"/>
      <c r="EP186" s="163"/>
      <c r="EQ186" s="163"/>
      <c r="ER186" s="163"/>
      <c r="ES186" s="163"/>
      <c r="ET186" s="163"/>
      <c r="EU186" s="163"/>
      <c r="EV186" s="163"/>
      <c r="EW186" s="163"/>
      <c r="EX186" s="163"/>
      <c r="EY186" s="163"/>
      <c r="EZ186" s="163"/>
      <c r="FA186" s="163"/>
      <c r="FB186" s="163"/>
      <c r="FC186" s="163"/>
      <c r="FD186" s="163"/>
      <c r="FE186" s="163"/>
      <c r="FF186" s="163"/>
      <c r="FG186" s="163"/>
      <c r="FH186" s="163"/>
      <c r="FI186" s="163"/>
      <c r="FJ186" s="163"/>
      <c r="FK186" s="163"/>
      <c r="FL186" s="163"/>
      <c r="FM186" s="163"/>
    </row>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4.33"/>
    <col customWidth="1" min="5" max="8" width="7.78"/>
    <col customWidth="1" min="9" max="9" width="8.78"/>
    <col customWidth="1" min="10" max="10" width="7.67"/>
    <col customWidth="1" min="11" max="11" width="4.89"/>
    <col customWidth="1" min="12" max="12" width="4.67"/>
    <col customWidth="1" min="13" max="13" width="9.78"/>
    <col customWidth="1" min="14" max="25" width="2.22"/>
    <col customWidth="1" min="26" max="26" width="8.89"/>
    <col customWidth="1" min="27" max="32" width="6.33"/>
    <col customWidth="1" min="33" max="33" width="8.89"/>
    <col customWidth="1" min="34" max="39" width="6.33"/>
    <col customWidth="1" min="40" max="40" width="3.11"/>
    <col customWidth="1" min="41" max="41" width="8.11"/>
    <col customWidth="1" hidden="1" min="42" max="42" width="10.89"/>
  </cols>
  <sheetData>
    <row r="1" ht="18.0" customHeight="1">
      <c r="A1" s="257">
        <v>1.0</v>
      </c>
      <c r="B1" s="258" t="s">
        <v>1066</v>
      </c>
      <c r="C1" s="258" t="s">
        <v>1057</v>
      </c>
      <c r="D1" s="258"/>
      <c r="E1" s="259" t="s">
        <v>44</v>
      </c>
      <c r="F1" s="259" t="s">
        <v>46</v>
      </c>
      <c r="G1" s="259" t="s">
        <v>47</v>
      </c>
      <c r="H1" s="259" t="s">
        <v>48</v>
      </c>
      <c r="I1" s="260" t="s">
        <v>161</v>
      </c>
      <c r="J1" s="185"/>
      <c r="K1" s="259" t="s">
        <v>49</v>
      </c>
      <c r="L1" s="259" t="s">
        <v>955</v>
      </c>
      <c r="M1" s="259" t="s">
        <v>1067</v>
      </c>
      <c r="N1" s="259" t="s">
        <v>1058</v>
      </c>
      <c r="O1" s="259" t="s">
        <v>1059</v>
      </c>
      <c r="P1" s="259" t="s">
        <v>1060</v>
      </c>
      <c r="Q1" s="259" t="s">
        <v>1061</v>
      </c>
      <c r="R1" s="259" t="s">
        <v>218</v>
      </c>
      <c r="S1" s="259" t="s">
        <v>219</v>
      </c>
      <c r="T1" s="259" t="s">
        <v>1058</v>
      </c>
      <c r="U1" s="259" t="s">
        <v>1059</v>
      </c>
      <c r="V1" s="259" t="s">
        <v>1060</v>
      </c>
      <c r="W1" s="259" t="s">
        <v>1061</v>
      </c>
      <c r="X1" s="259" t="s">
        <v>218</v>
      </c>
      <c r="Y1" s="259" t="s">
        <v>219</v>
      </c>
      <c r="Z1" s="259" t="s">
        <v>50</v>
      </c>
      <c r="AA1" s="259" t="s">
        <v>1068</v>
      </c>
      <c r="AB1" s="259" t="s">
        <v>39</v>
      </c>
      <c r="AC1" s="259" t="s">
        <v>1069</v>
      </c>
      <c r="AD1" s="259" t="s">
        <v>1070</v>
      </c>
      <c r="AE1" s="259" t="s">
        <v>1071</v>
      </c>
      <c r="AF1" s="259" t="s">
        <v>1072</v>
      </c>
      <c r="AG1" s="259" t="s">
        <v>1073</v>
      </c>
      <c r="AH1" s="259" t="s">
        <v>1068</v>
      </c>
      <c r="AI1" s="259" t="s">
        <v>39</v>
      </c>
      <c r="AJ1" s="259" t="s">
        <v>1069</v>
      </c>
      <c r="AK1" s="259" t="s">
        <v>1070</v>
      </c>
      <c r="AL1" s="259" t="s">
        <v>1071</v>
      </c>
      <c r="AM1" s="259" t="s">
        <v>1072</v>
      </c>
      <c r="AN1" s="261"/>
      <c r="AO1" s="259"/>
      <c r="AP1" s="262"/>
    </row>
    <row r="2" ht="18.0" customHeight="1">
      <c r="A2" s="263" t="s">
        <v>286</v>
      </c>
      <c r="B2" s="263" t="s">
        <v>1292</v>
      </c>
      <c r="C2" s="263" t="s">
        <v>287</v>
      </c>
      <c r="D2" s="263" t="s">
        <v>1293</v>
      </c>
      <c r="E2" s="264" t="s">
        <v>191</v>
      </c>
      <c r="F2" s="265">
        <f>'PolyU 參考分數'!AE3</f>
        <v>250</v>
      </c>
      <c r="G2" s="265">
        <f>'PolyU 參考分數'!AF3</f>
        <v>242.5</v>
      </c>
      <c r="H2" s="266">
        <f>'計分版'!D108</f>
        <v>0.00000001925</v>
      </c>
      <c r="I2" s="267">
        <f t="shared" ref="I2:I46" si="1">IF(I$1="差距(Median)",H2-F2,IF(I$1="差距(LQ)",H2-G2))</f>
        <v>-242.5</v>
      </c>
      <c r="J2" s="268">
        <f t="shared" ref="J2:J46" si="2">IF(I$1="差距(Median)",(H2-F2)/H2,IF(I$1="差距(LQ)",(H2-G2)/H2))</f>
        <v>-12597402596</v>
      </c>
      <c r="K2" s="264">
        <v>70.0</v>
      </c>
      <c r="L2" s="269">
        <f>'入學要求'!S88</f>
        <v>0</v>
      </c>
      <c r="M2" s="270" t="s">
        <v>541</v>
      </c>
      <c r="N2" s="270">
        <v>3.0</v>
      </c>
      <c r="O2" s="270">
        <v>3.0</v>
      </c>
      <c r="P2" s="270">
        <v>2.0</v>
      </c>
      <c r="Q2" s="270">
        <v>2.0</v>
      </c>
      <c r="R2" s="270">
        <v>3.0</v>
      </c>
      <c r="S2" s="270">
        <v>3.0</v>
      </c>
      <c r="T2" s="271">
        <f>'入學要求'!L88</f>
        <v>0</v>
      </c>
      <c r="U2" s="271">
        <f>'入學要求'!M88</f>
        <v>0</v>
      </c>
      <c r="V2" s="271">
        <f>'入學要求'!N88</f>
        <v>0</v>
      </c>
      <c r="W2" s="271">
        <f>'入學要求'!O88</f>
        <v>0</v>
      </c>
      <c r="X2" s="271">
        <f>'入學要求'!P88</f>
        <v>0</v>
      </c>
      <c r="Y2" s="271">
        <f>'入學要求'!Q88</f>
        <v>0</v>
      </c>
      <c r="Z2" s="272" t="s">
        <v>38</v>
      </c>
      <c r="AA2" s="264">
        <f>IF($Z$2="2018年",'Offer Statistics'!AX2,IF($Z$2="2019年",'Offer Statistics'!AX59,IF($Z$2="2020年",'Offer Statistics'!AX116)))</f>
        <v>66</v>
      </c>
      <c r="AB2" s="273">
        <f>IF($Z$2="2018年",'Offer Statistics'!AS2,IF($Z$2="2019年",'Offer Statistics'!AS59,IF($Z$2="2020年",'Offer Statistics'!AS116)))</f>
        <v>62</v>
      </c>
      <c r="AC2" s="273">
        <f>IF($Z$2="2018年",'Offer Statistics'!AT2,IF($Z$2="2019年",'Offer Statistics'!AT59,IF($Z$2="2020年",'Offer Statistics'!AT116)))</f>
        <v>3</v>
      </c>
      <c r="AD2" s="273">
        <f>IF($Z$2="2018年",'Offer Statistics'!AU2,IF($Z$2="2019年",'Offer Statistics'!AU59,IF($Z$2="2020年",'Offer Statistics'!AU116)))</f>
        <v>0</v>
      </c>
      <c r="AE2" s="273">
        <f>IF($Z$2="2018年",'Offer Statistics'!AV2,IF($Z$2="2019年",'Offer Statistics'!AV59,IF($Z$2="2020年",'Offer Statistics'!AV116)))</f>
        <v>1</v>
      </c>
      <c r="AF2" s="273">
        <f>IF($Z$2="2018年",'Offer Statistics'!AW2,IF($Z$2="2019年",'Offer Statistics'!AW59,IF($Z$2="2020年",'Offer Statistics'!AW116)))</f>
        <v>0</v>
      </c>
      <c r="AG2" s="272" t="str">
        <f>Z2</f>
        <v>2020年</v>
      </c>
      <c r="AH2" s="264">
        <f>IF($AG$2="2018年",'Offer Statistics'!AP2,IF($AG$2="2019年",'Offer Statistics'!AP59,IF($AG$2="2020年",'Offer Statistics'!AP116)))</f>
        <v>3447</v>
      </c>
      <c r="AI2" s="273">
        <f>IF($AG$2="2018年",'Offer Statistics'!AK2,IF($AG$2="2019年",'Offer Statistics'!AK59,IF($AG$2="2020年",'Offer Statistics'!AK116)))</f>
        <v>424</v>
      </c>
      <c r="AJ2" s="273">
        <f>IF($AG$2="2018年",'Offer Statistics'!AL2,IF($AG$2="2019年",'Offer Statistics'!AL59,IF($AG$2="2020年",'Offer Statistics'!AL116)))</f>
        <v>574</v>
      </c>
      <c r="AK2" s="273">
        <f>IF($AG$2="2018年",'Offer Statistics'!AM2,IF($AG$2="2019年",'Offer Statistics'!AM59,IF($AG$2="2020年",'Offer Statistics'!AM116)))</f>
        <v>823</v>
      </c>
      <c r="AL2" s="273">
        <f>IF($AG$2="2018年",'Offer Statistics'!AN2,IF($AG$2="2019年",'Offer Statistics'!AN59,IF($AG$2="2020年",'Offer Statistics'!AN116)))</f>
        <v>925</v>
      </c>
      <c r="AM2" s="273">
        <f>IF($AG$2="2018年",'Offer Statistics'!AO2,IF($AG$2="2019年",'Offer Statistics'!AO59,IF($AG$2="2020年",'Offer Statistics'!AO116)))</f>
        <v>701</v>
      </c>
      <c r="AN2" s="270"/>
      <c r="AO2" s="270" t="str">
        <f t="shared" ref="AO2:AO46" si="3">A2</f>
        <v>JS3337</v>
      </c>
      <c r="AP2" s="274"/>
    </row>
    <row r="3" ht="18.0" customHeight="1">
      <c r="A3" s="142" t="s">
        <v>288</v>
      </c>
      <c r="B3" s="142" t="s">
        <v>1294</v>
      </c>
      <c r="C3" s="142" t="s">
        <v>289</v>
      </c>
      <c r="D3" s="142" t="s">
        <v>1295</v>
      </c>
      <c r="E3" s="132" t="s">
        <v>21</v>
      </c>
      <c r="F3" s="199">
        <f>'PolyU 參考分數'!AE4</f>
        <v>203</v>
      </c>
      <c r="G3" s="199">
        <f>'PolyU 參考分數'!AF4</f>
        <v>188</v>
      </c>
      <c r="H3" s="200">
        <f>'計分版'!D109</f>
        <v>0.00000002175</v>
      </c>
      <c r="I3" s="201">
        <f t="shared" si="1"/>
        <v>-188</v>
      </c>
      <c r="J3" s="202">
        <f t="shared" si="2"/>
        <v>-8643678160</v>
      </c>
      <c r="K3" s="132">
        <v>26.0</v>
      </c>
      <c r="L3" s="203">
        <f>'入學要求'!S89</f>
        <v>0</v>
      </c>
      <c r="M3" s="135" t="s">
        <v>1166</v>
      </c>
      <c r="N3" s="131">
        <v>3.0</v>
      </c>
      <c r="O3" s="131">
        <v>3.0</v>
      </c>
      <c r="P3" s="131">
        <v>2.0</v>
      </c>
      <c r="Q3" s="131">
        <v>2.0</v>
      </c>
      <c r="R3" s="131">
        <v>3.0</v>
      </c>
      <c r="S3" s="131">
        <v>3.0</v>
      </c>
      <c r="T3" s="204">
        <f>'入學要求'!L89</f>
        <v>0</v>
      </c>
      <c r="U3" s="204">
        <f>'入學要求'!M89</f>
        <v>0</v>
      </c>
      <c r="V3" s="204">
        <f>'入學要求'!N89</f>
        <v>0</v>
      </c>
      <c r="W3" s="204">
        <f>'入學要求'!O89</f>
        <v>0</v>
      </c>
      <c r="X3" s="204">
        <f>'入學要求'!P89</f>
        <v>0</v>
      </c>
      <c r="Y3" s="204">
        <f>'入學要求'!Q89</f>
        <v>0</v>
      </c>
      <c r="Z3" s="205"/>
      <c r="AA3" s="132">
        <f>IF($Z$2="2018年",'Offer Statistics'!AX3,IF($Z$2="2019年",'Offer Statistics'!AX60,IF($Z$2="2020年",'Offer Statistics'!AX117)))</f>
        <v>25</v>
      </c>
      <c r="AB3" s="206">
        <f>IF($Z$2="2018年",'Offer Statistics'!AS3,IF($Z$2="2019年",'Offer Statistics'!AS60,IF($Z$2="2020年",'Offer Statistics'!AS117)))</f>
        <v>17</v>
      </c>
      <c r="AC3" s="206">
        <f>IF($Z$2="2018年",'Offer Statistics'!AT3,IF($Z$2="2019年",'Offer Statistics'!AT60,IF($Z$2="2020年",'Offer Statistics'!AT117)))</f>
        <v>4</v>
      </c>
      <c r="AD3" s="206">
        <f>IF($Z$2="2018年",'Offer Statistics'!AU3,IF($Z$2="2019年",'Offer Statistics'!AU60,IF($Z$2="2020年",'Offer Statistics'!AU117)))</f>
        <v>3</v>
      </c>
      <c r="AE3" s="206">
        <f>IF($Z$2="2018年",'Offer Statistics'!AV3,IF($Z$2="2019年",'Offer Statistics'!AV60,IF($Z$2="2020年",'Offer Statistics'!AV117)))</f>
        <v>1</v>
      </c>
      <c r="AF3" s="206">
        <f>IF($Z$2="2018年",'Offer Statistics'!AW3,IF($Z$2="2019年",'Offer Statistics'!AW60,IF($Z$2="2020年",'Offer Statistics'!AW117)))</f>
        <v>0</v>
      </c>
      <c r="AG3" s="205"/>
      <c r="AH3" s="132">
        <f>IF($AG$2="2018年",'Offer Statistics'!AP3,IF($AG$2="2019年",'Offer Statistics'!AP60,IF($AG$2="2020年",'Offer Statistics'!AP117)))</f>
        <v>3678</v>
      </c>
      <c r="AI3" s="206">
        <f>IF($AG$2="2018年",'Offer Statistics'!AK3,IF($AG$2="2019年",'Offer Statistics'!AK60,IF($AG$2="2020年",'Offer Statistics'!AK117)))</f>
        <v>271</v>
      </c>
      <c r="AJ3" s="206">
        <f>IF($AG$2="2018年",'Offer Statistics'!AL3,IF($AG$2="2019年",'Offer Statistics'!AL60,IF($AG$2="2020年",'Offer Statistics'!AL117)))</f>
        <v>503</v>
      </c>
      <c r="AK3" s="206">
        <f>IF($AG$2="2018年",'Offer Statistics'!AM3,IF($AG$2="2019年",'Offer Statistics'!AM60,IF($AG$2="2020年",'Offer Statistics'!AM117)))</f>
        <v>914</v>
      </c>
      <c r="AL3" s="206">
        <f>IF($AG$2="2018年",'Offer Statistics'!AN3,IF($AG$2="2019年",'Offer Statistics'!AN60,IF($AG$2="2020年",'Offer Statistics'!AN117)))</f>
        <v>1112</v>
      </c>
      <c r="AM3" s="206">
        <f>IF($AG$2="2018年",'Offer Statistics'!AO3,IF($AG$2="2019年",'Offer Statistics'!AO60,IF($AG$2="2020年",'Offer Statistics'!AO117)))</f>
        <v>878</v>
      </c>
      <c r="AN3" s="131"/>
      <c r="AO3" s="131" t="str">
        <f t="shared" si="3"/>
        <v>JS3349</v>
      </c>
      <c r="AP3" s="112"/>
    </row>
    <row r="4" ht="18.0" customHeight="1">
      <c r="A4" s="263" t="s">
        <v>290</v>
      </c>
      <c r="B4" s="263" t="s">
        <v>1002</v>
      </c>
      <c r="C4" s="263" t="s">
        <v>291</v>
      </c>
      <c r="D4" s="263" t="s">
        <v>1296</v>
      </c>
      <c r="E4" s="264" t="s">
        <v>21</v>
      </c>
      <c r="F4" s="265">
        <f>'PolyU 參考分數'!AE5</f>
        <v>186</v>
      </c>
      <c r="G4" s="265">
        <f>'PolyU 參考分數'!AF5</f>
        <v>170</v>
      </c>
      <c r="H4" s="266">
        <f>'計分版'!D110</f>
        <v>0.00000002175</v>
      </c>
      <c r="I4" s="267">
        <f t="shared" si="1"/>
        <v>-170</v>
      </c>
      <c r="J4" s="268">
        <f t="shared" si="2"/>
        <v>-7816091953</v>
      </c>
      <c r="K4" s="264">
        <v>23.0</v>
      </c>
      <c r="L4" s="275">
        <f>'入學要求'!S90</f>
        <v>0</v>
      </c>
      <c r="M4" s="270" t="s">
        <v>1188</v>
      </c>
      <c r="N4" s="270">
        <v>3.0</v>
      </c>
      <c r="O4" s="270">
        <v>3.0</v>
      </c>
      <c r="P4" s="270">
        <v>2.0</v>
      </c>
      <c r="Q4" s="270">
        <v>2.0</v>
      </c>
      <c r="R4" s="270">
        <v>3.0</v>
      </c>
      <c r="S4" s="270">
        <v>3.0</v>
      </c>
      <c r="T4" s="271">
        <f>'入學要求'!L90</f>
        <v>0</v>
      </c>
      <c r="U4" s="271">
        <f>'入學要求'!M90</f>
        <v>0</v>
      </c>
      <c r="V4" s="271">
        <f>'入學要求'!N90</f>
        <v>0</v>
      </c>
      <c r="W4" s="271">
        <f>'入學要求'!O90</f>
        <v>0</v>
      </c>
      <c r="X4" s="271">
        <f>'入學要求'!P90</f>
        <v>0</v>
      </c>
      <c r="Y4" s="271">
        <f>'入學要求'!Q90</f>
        <v>0</v>
      </c>
      <c r="Z4" s="205"/>
      <c r="AA4" s="264">
        <f>IF($Z$2="2018年",'Offer Statistics'!AX4,IF($Z$2="2019年",'Offer Statistics'!AX61,IF($Z$2="2020年",'Offer Statistics'!AX118)))</f>
        <v>25</v>
      </c>
      <c r="AB4" s="273">
        <f>IF($Z$2="2018年",'Offer Statistics'!AS4,IF($Z$2="2019年",'Offer Statistics'!AS61,IF($Z$2="2020年",'Offer Statistics'!AS118)))</f>
        <v>18</v>
      </c>
      <c r="AC4" s="273">
        <f>IF($Z$2="2018年",'Offer Statistics'!AT4,IF($Z$2="2019年",'Offer Statistics'!AT61,IF($Z$2="2020年",'Offer Statistics'!AT118)))</f>
        <v>4</v>
      </c>
      <c r="AD4" s="273">
        <f>IF($Z$2="2018年",'Offer Statistics'!AU4,IF($Z$2="2019年",'Offer Statistics'!AU61,IF($Z$2="2020年",'Offer Statistics'!AU118)))</f>
        <v>3</v>
      </c>
      <c r="AE4" s="273">
        <f>IF($Z$2="2018年",'Offer Statistics'!AV4,IF($Z$2="2019年",'Offer Statistics'!AV61,IF($Z$2="2020年",'Offer Statistics'!AV118)))</f>
        <v>0</v>
      </c>
      <c r="AF4" s="273">
        <f>IF($Z$2="2018年",'Offer Statistics'!AW4,IF($Z$2="2019年",'Offer Statistics'!AW61,IF($Z$2="2020年",'Offer Statistics'!AW118)))</f>
        <v>0</v>
      </c>
      <c r="AG4" s="205"/>
      <c r="AH4" s="264">
        <f>IF($AG$2="2018年",'Offer Statistics'!AP4,IF($AG$2="2019年",'Offer Statistics'!AP61,IF($AG$2="2020年",'Offer Statistics'!AP118)))</f>
        <v>1752</v>
      </c>
      <c r="AI4" s="273">
        <f>IF($AG$2="2018年",'Offer Statistics'!AK4,IF($AG$2="2019年",'Offer Statistics'!AK61,IF($AG$2="2020年",'Offer Statistics'!AK118)))</f>
        <v>197</v>
      </c>
      <c r="AJ4" s="273">
        <f>IF($AG$2="2018年",'Offer Statistics'!AL4,IF($AG$2="2019年",'Offer Statistics'!AL61,IF($AG$2="2020年",'Offer Statistics'!AL118)))</f>
        <v>271</v>
      </c>
      <c r="AK4" s="273">
        <f>IF($AG$2="2018年",'Offer Statistics'!AM4,IF($AG$2="2019年",'Offer Statistics'!AM61,IF($AG$2="2020年",'Offer Statistics'!AM118)))</f>
        <v>407</v>
      </c>
      <c r="AL4" s="273">
        <f>IF($AG$2="2018年",'Offer Statistics'!AN4,IF($AG$2="2019年",'Offer Statistics'!AN61,IF($AG$2="2020年",'Offer Statistics'!AN118)))</f>
        <v>476</v>
      </c>
      <c r="AM4" s="273">
        <f>IF($AG$2="2018年",'Offer Statistics'!AO4,IF($AG$2="2019年",'Offer Statistics'!AO61,IF($AG$2="2020年",'Offer Statistics'!AO118)))</f>
        <v>401</v>
      </c>
      <c r="AN4" s="270"/>
      <c r="AO4" s="270" t="str">
        <f t="shared" si="3"/>
        <v>JS3351</v>
      </c>
      <c r="AP4" s="274"/>
    </row>
    <row r="5" ht="18.0" customHeight="1">
      <c r="A5" s="142" t="s">
        <v>292</v>
      </c>
      <c r="B5" s="142" t="s">
        <v>1297</v>
      </c>
      <c r="C5" s="142" t="s">
        <v>293</v>
      </c>
      <c r="D5" s="142" t="s">
        <v>1298</v>
      </c>
      <c r="E5" s="134" t="s">
        <v>21</v>
      </c>
      <c r="F5" s="199">
        <f>'PolyU 參考分數'!AE6</f>
        <v>178</v>
      </c>
      <c r="G5" s="199">
        <f>'PolyU 參考分數'!AF6</f>
        <v>171</v>
      </c>
      <c r="H5" s="200">
        <f>'計分版'!D111</f>
        <v>0.00000001975</v>
      </c>
      <c r="I5" s="201">
        <f t="shared" si="1"/>
        <v>-171</v>
      </c>
      <c r="J5" s="202">
        <f t="shared" si="2"/>
        <v>-8658227847</v>
      </c>
      <c r="K5" s="132">
        <v>27.0</v>
      </c>
      <c r="L5" s="203">
        <f>'入學要求'!S91</f>
        <v>0</v>
      </c>
      <c r="M5" s="135" t="s">
        <v>1166</v>
      </c>
      <c r="N5" s="131">
        <v>3.0</v>
      </c>
      <c r="O5" s="131">
        <v>3.0</v>
      </c>
      <c r="P5" s="131">
        <v>2.0</v>
      </c>
      <c r="Q5" s="131">
        <v>2.0</v>
      </c>
      <c r="R5" s="131">
        <v>3.0</v>
      </c>
      <c r="S5" s="131">
        <v>3.0</v>
      </c>
      <c r="T5" s="204">
        <f>'入學要求'!L91</f>
        <v>0</v>
      </c>
      <c r="U5" s="204">
        <f>'入學要求'!M91</f>
        <v>0</v>
      </c>
      <c r="V5" s="204">
        <f>'入學要求'!N91</f>
        <v>0</v>
      </c>
      <c r="W5" s="204">
        <f>'入學要求'!O91</f>
        <v>0</v>
      </c>
      <c r="X5" s="204">
        <f>'入學要求'!P91</f>
        <v>0</v>
      </c>
      <c r="Y5" s="204">
        <f>'入學要求'!Q91</f>
        <v>0</v>
      </c>
      <c r="Z5" s="205"/>
      <c r="AA5" s="132">
        <f>IF($Z$2="2018年",'Offer Statistics'!AX5,IF($Z$2="2019年",'Offer Statistics'!AX62,IF($Z$2="2020年",'Offer Statistics'!AX119)))</f>
        <v>25</v>
      </c>
      <c r="AB5" s="206">
        <f>IF($Z$2="2018年",'Offer Statistics'!AS5,IF($Z$2="2019年",'Offer Statistics'!AS62,IF($Z$2="2020年",'Offer Statistics'!AS119)))</f>
        <v>15</v>
      </c>
      <c r="AC5" s="206">
        <f>IF($Z$2="2018年",'Offer Statistics'!AT5,IF($Z$2="2019年",'Offer Statistics'!AT62,IF($Z$2="2020年",'Offer Statistics'!AT119)))</f>
        <v>3</v>
      </c>
      <c r="AD5" s="206">
        <f>IF($Z$2="2018年",'Offer Statistics'!AU5,IF($Z$2="2019年",'Offer Statistics'!AU62,IF($Z$2="2020年",'Offer Statistics'!AU119)))</f>
        <v>5</v>
      </c>
      <c r="AE5" s="206">
        <f>IF($Z$2="2018年",'Offer Statistics'!AV5,IF($Z$2="2019年",'Offer Statistics'!AV62,IF($Z$2="2020年",'Offer Statistics'!AV119)))</f>
        <v>1</v>
      </c>
      <c r="AF5" s="206">
        <f>IF($Z$2="2018年",'Offer Statistics'!AW5,IF($Z$2="2019年",'Offer Statistics'!AW62,IF($Z$2="2020年",'Offer Statistics'!AW119)))</f>
        <v>1</v>
      </c>
      <c r="AG5" s="205"/>
      <c r="AH5" s="132">
        <f>IF($AG$2="2018年",'Offer Statistics'!AP5,IF($AG$2="2019年",'Offer Statistics'!AP62,IF($AG$2="2020年",'Offer Statistics'!AP119)))</f>
        <v>2166</v>
      </c>
      <c r="AI5" s="206">
        <f>IF($AG$2="2018年",'Offer Statistics'!AK5,IF($AG$2="2019年",'Offer Statistics'!AK62,IF($AG$2="2020年",'Offer Statistics'!AK119)))</f>
        <v>184</v>
      </c>
      <c r="AJ5" s="206">
        <f>IF($AG$2="2018年",'Offer Statistics'!AL5,IF($AG$2="2019年",'Offer Statistics'!AL62,IF($AG$2="2020年",'Offer Statistics'!AL119)))</f>
        <v>339</v>
      </c>
      <c r="AK5" s="206">
        <f>IF($AG$2="2018年",'Offer Statistics'!AM5,IF($AG$2="2019年",'Offer Statistics'!AM62,IF($AG$2="2020年",'Offer Statistics'!AM119)))</f>
        <v>494</v>
      </c>
      <c r="AL5" s="206">
        <f>IF($AG$2="2018年",'Offer Statistics'!AN5,IF($AG$2="2019年",'Offer Statistics'!AN62,IF($AG$2="2020年",'Offer Statistics'!AN119)))</f>
        <v>662</v>
      </c>
      <c r="AM5" s="206">
        <f>IF($AG$2="2018年",'Offer Statistics'!AO5,IF($AG$2="2019年",'Offer Statistics'!AO62,IF($AG$2="2020年",'Offer Statistics'!AO119)))</f>
        <v>487</v>
      </c>
      <c r="AN5" s="131"/>
      <c r="AO5" s="131" t="str">
        <f t="shared" si="3"/>
        <v>JS3375</v>
      </c>
      <c r="AP5" s="112"/>
    </row>
    <row r="6" ht="18.0" customHeight="1">
      <c r="A6" s="263" t="s">
        <v>294</v>
      </c>
      <c r="B6" s="263" t="s">
        <v>1297</v>
      </c>
      <c r="C6" s="263" t="s">
        <v>295</v>
      </c>
      <c r="D6" s="263" t="s">
        <v>1299</v>
      </c>
      <c r="E6" s="276" t="s">
        <v>21</v>
      </c>
      <c r="F6" s="265">
        <f>'PolyU 參考分數'!AE7</f>
        <v>164.5</v>
      </c>
      <c r="G6" s="265">
        <f>'PolyU 參考分數'!AF7</f>
        <v>163.5</v>
      </c>
      <c r="H6" s="266">
        <f>'計分版'!D112</f>
        <v>0.00000001975</v>
      </c>
      <c r="I6" s="267">
        <f t="shared" si="1"/>
        <v>-163.5</v>
      </c>
      <c r="J6" s="268">
        <f t="shared" si="2"/>
        <v>-8278481012</v>
      </c>
      <c r="K6" s="264">
        <v>37.0</v>
      </c>
      <c r="L6" s="275">
        <f>'入學要求'!S92</f>
        <v>0</v>
      </c>
      <c r="M6" s="277" t="s">
        <v>1166</v>
      </c>
      <c r="N6" s="270">
        <v>3.0</v>
      </c>
      <c r="O6" s="270">
        <v>3.0</v>
      </c>
      <c r="P6" s="270">
        <v>2.0</v>
      </c>
      <c r="Q6" s="270">
        <v>2.0</v>
      </c>
      <c r="R6" s="270">
        <v>3.0</v>
      </c>
      <c r="S6" s="270">
        <v>3.0</v>
      </c>
      <c r="T6" s="271">
        <f>'入學要求'!L92</f>
        <v>0</v>
      </c>
      <c r="U6" s="271">
        <f>'入學要求'!M92</f>
        <v>0</v>
      </c>
      <c r="V6" s="271">
        <f>'入學要求'!N92</f>
        <v>0</v>
      </c>
      <c r="W6" s="271">
        <f>'入學要求'!O92</f>
        <v>0</v>
      </c>
      <c r="X6" s="271">
        <f>'入學要求'!P92</f>
        <v>0</v>
      </c>
      <c r="Y6" s="271">
        <f>'入學要求'!Q92</f>
        <v>0</v>
      </c>
      <c r="Z6" s="205"/>
      <c r="AA6" s="264">
        <f>IF($Z$2="2018年",'Offer Statistics'!AX6,IF($Z$2="2019年",'Offer Statistics'!AX63,IF($Z$2="2020年",'Offer Statistics'!AX120)))</f>
        <v>33</v>
      </c>
      <c r="AB6" s="273">
        <f>IF($Z$2="2018年",'Offer Statistics'!AS6,IF($Z$2="2019年",'Offer Statistics'!AS63,IF($Z$2="2020年",'Offer Statistics'!AS120)))</f>
        <v>31</v>
      </c>
      <c r="AC6" s="273">
        <f>IF($Z$2="2018年",'Offer Statistics'!AT6,IF($Z$2="2019年",'Offer Statistics'!AT63,IF($Z$2="2020年",'Offer Statistics'!AT120)))</f>
        <v>2</v>
      </c>
      <c r="AD6" s="273">
        <f>IF($Z$2="2018年",'Offer Statistics'!AU6,IF($Z$2="2019年",'Offer Statistics'!AU63,IF($Z$2="2020年",'Offer Statistics'!AU120)))</f>
        <v>0</v>
      </c>
      <c r="AE6" s="273">
        <f>IF($Z$2="2018年",'Offer Statistics'!AV6,IF($Z$2="2019年",'Offer Statistics'!AV63,IF($Z$2="2020年",'Offer Statistics'!AV120)))</f>
        <v>0</v>
      </c>
      <c r="AF6" s="273">
        <f>IF($Z$2="2018年",'Offer Statistics'!AW6,IF($Z$2="2019年",'Offer Statistics'!AW63,IF($Z$2="2020年",'Offer Statistics'!AW120)))</f>
        <v>0</v>
      </c>
      <c r="AG6" s="205"/>
      <c r="AH6" s="264">
        <f>IF($AG$2="2018年",'Offer Statistics'!AP6,IF($AG$2="2019年",'Offer Statistics'!AP63,IF($AG$2="2020年",'Offer Statistics'!AP120)))</f>
        <v>1804</v>
      </c>
      <c r="AI6" s="273">
        <f>IF($AG$2="2018年",'Offer Statistics'!AK6,IF($AG$2="2019年",'Offer Statistics'!AK63,IF($AG$2="2020年",'Offer Statistics'!AK120)))</f>
        <v>239</v>
      </c>
      <c r="AJ6" s="273">
        <f>IF($AG$2="2018年",'Offer Statistics'!AL6,IF($AG$2="2019年",'Offer Statistics'!AL63,IF($AG$2="2020年",'Offer Statistics'!AL120)))</f>
        <v>246</v>
      </c>
      <c r="AK6" s="273">
        <f>IF($AG$2="2018年",'Offer Statistics'!AM6,IF($AG$2="2019年",'Offer Statistics'!AM63,IF($AG$2="2020年",'Offer Statistics'!AM120)))</f>
        <v>373</v>
      </c>
      <c r="AL6" s="273">
        <f>IF($AG$2="2018年",'Offer Statistics'!AN6,IF($AG$2="2019年",'Offer Statistics'!AN63,IF($AG$2="2020年",'Offer Statistics'!AN120)))</f>
        <v>557</v>
      </c>
      <c r="AM6" s="273">
        <f>IF($AG$2="2018年",'Offer Statistics'!AO6,IF($AG$2="2019年",'Offer Statistics'!AO63,IF($AG$2="2020年",'Offer Statistics'!AO120)))</f>
        <v>389</v>
      </c>
      <c r="AN6" s="270"/>
      <c r="AO6" s="270" t="str">
        <f t="shared" si="3"/>
        <v>JS3387</v>
      </c>
      <c r="AP6" s="274"/>
    </row>
    <row r="7" ht="18.0" customHeight="1">
      <c r="A7" s="142" t="s">
        <v>296</v>
      </c>
      <c r="B7" s="142" t="s">
        <v>1297</v>
      </c>
      <c r="C7" s="142" t="s">
        <v>297</v>
      </c>
      <c r="D7" s="142" t="s">
        <v>1300</v>
      </c>
      <c r="E7" s="132" t="s">
        <v>21</v>
      </c>
      <c r="F7" s="199">
        <f>'PolyU 參考分數'!AE8</f>
        <v>144.5</v>
      </c>
      <c r="G7" s="199">
        <f>'PolyU 參考分數'!AF8</f>
        <v>137</v>
      </c>
      <c r="H7" s="200">
        <f>'計分版'!D113</f>
        <v>0.00000003875</v>
      </c>
      <c r="I7" s="201">
        <f t="shared" si="1"/>
        <v>-137</v>
      </c>
      <c r="J7" s="202">
        <f t="shared" si="2"/>
        <v>-3535483870</v>
      </c>
      <c r="K7" s="132">
        <v>22.0</v>
      </c>
      <c r="L7" s="203">
        <f>'入學要求'!S93</f>
        <v>0</v>
      </c>
      <c r="M7" s="135" t="s">
        <v>1166</v>
      </c>
      <c r="N7" s="131">
        <v>3.0</v>
      </c>
      <c r="O7" s="131">
        <v>3.0</v>
      </c>
      <c r="P7" s="131">
        <v>2.0</v>
      </c>
      <c r="Q7" s="131">
        <v>2.0</v>
      </c>
      <c r="R7" s="131">
        <v>3.0</v>
      </c>
      <c r="S7" s="131">
        <v>3.0</v>
      </c>
      <c r="T7" s="204">
        <f>'入學要求'!L93</f>
        <v>0</v>
      </c>
      <c r="U7" s="204">
        <f>'入學要求'!M93</f>
        <v>0</v>
      </c>
      <c r="V7" s="204">
        <f>'入學要求'!N93</f>
        <v>0</v>
      </c>
      <c r="W7" s="204">
        <f>'入學要求'!O93</f>
        <v>0</v>
      </c>
      <c r="X7" s="204">
        <f>'入學要求'!P93</f>
        <v>0</v>
      </c>
      <c r="Y7" s="204">
        <f>'入學要求'!Q93</f>
        <v>0</v>
      </c>
      <c r="Z7" s="205"/>
      <c r="AA7" s="132">
        <f>IF($Z$2="2018年",'Offer Statistics'!AX7,IF($Z$2="2019年",'Offer Statistics'!AX64,IF($Z$2="2020年",'Offer Statistics'!AX121)))</f>
        <v>23</v>
      </c>
      <c r="AB7" s="206">
        <f>IF($Z$2="2018年",'Offer Statistics'!AS7,IF($Z$2="2019年",'Offer Statistics'!AS64,IF($Z$2="2020年",'Offer Statistics'!AS121)))</f>
        <v>22</v>
      </c>
      <c r="AC7" s="206">
        <f>IF($Z$2="2018年",'Offer Statistics'!AT7,IF($Z$2="2019年",'Offer Statistics'!AT64,IF($Z$2="2020年",'Offer Statistics'!AT121)))</f>
        <v>0</v>
      </c>
      <c r="AD7" s="206">
        <f>IF($Z$2="2018年",'Offer Statistics'!AU7,IF($Z$2="2019年",'Offer Statistics'!AU64,IF($Z$2="2020年",'Offer Statistics'!AU121)))</f>
        <v>1</v>
      </c>
      <c r="AE7" s="206">
        <f>IF($Z$2="2018年",'Offer Statistics'!AV7,IF($Z$2="2019年",'Offer Statistics'!AV64,IF($Z$2="2020年",'Offer Statistics'!AV121)))</f>
        <v>0</v>
      </c>
      <c r="AF7" s="206">
        <f>IF($Z$2="2018年",'Offer Statistics'!AW7,IF($Z$2="2019年",'Offer Statistics'!AW64,IF($Z$2="2020年",'Offer Statistics'!AW121)))</f>
        <v>0</v>
      </c>
      <c r="AG7" s="205"/>
      <c r="AH7" s="132">
        <f>IF($AG$2="2018年",'Offer Statistics'!AP7,IF($AG$2="2019年",'Offer Statistics'!AP64,IF($AG$2="2020年",'Offer Statistics'!AP121)))</f>
        <v>2186</v>
      </c>
      <c r="AI7" s="206">
        <f>IF($AG$2="2018年",'Offer Statistics'!AK7,IF($AG$2="2019年",'Offer Statistics'!AK64,IF($AG$2="2020年",'Offer Statistics'!AK121)))</f>
        <v>295</v>
      </c>
      <c r="AJ7" s="206">
        <f>IF($AG$2="2018年",'Offer Statistics'!AL7,IF($AG$2="2019年",'Offer Statistics'!AL64,IF($AG$2="2020年",'Offer Statistics'!AL121)))</f>
        <v>330</v>
      </c>
      <c r="AK7" s="206">
        <f>IF($AG$2="2018年",'Offer Statistics'!AM7,IF($AG$2="2019年",'Offer Statistics'!AM64,IF($AG$2="2020年",'Offer Statistics'!AM121)))</f>
        <v>467</v>
      </c>
      <c r="AL7" s="206">
        <f>IF($AG$2="2018年",'Offer Statistics'!AN7,IF($AG$2="2019年",'Offer Statistics'!AN64,IF($AG$2="2020年",'Offer Statistics'!AN121)))</f>
        <v>595</v>
      </c>
      <c r="AM7" s="206">
        <f>IF($AG$2="2018年",'Offer Statistics'!AO7,IF($AG$2="2019年",'Offer Statistics'!AO64,IF($AG$2="2020年",'Offer Statistics'!AO121)))</f>
        <v>499</v>
      </c>
      <c r="AN7" s="131"/>
      <c r="AO7" s="131" t="str">
        <f t="shared" si="3"/>
        <v>JS3442</v>
      </c>
      <c r="AP7" s="112"/>
    </row>
    <row r="8" ht="18.0" customHeight="1">
      <c r="A8" s="263" t="s">
        <v>298</v>
      </c>
      <c r="B8" s="263" t="s">
        <v>1301</v>
      </c>
      <c r="C8" s="263" t="s">
        <v>299</v>
      </c>
      <c r="D8" s="263" t="s">
        <v>1302</v>
      </c>
      <c r="E8" s="264" t="s">
        <v>21</v>
      </c>
      <c r="F8" s="265">
        <f>'PolyU 參考分數'!AE9</f>
        <v>172.5</v>
      </c>
      <c r="G8" s="265">
        <f>'PolyU 參考分數'!AF9</f>
        <v>163.5</v>
      </c>
      <c r="H8" s="266">
        <f>'計分版'!D114</f>
        <v>0.00000001825</v>
      </c>
      <c r="I8" s="267">
        <f t="shared" si="1"/>
        <v>-163.5</v>
      </c>
      <c r="J8" s="268">
        <f t="shared" si="2"/>
        <v>-8958904109</v>
      </c>
      <c r="K8" s="264">
        <v>38.0</v>
      </c>
      <c r="L8" s="275">
        <f>'入學要求'!S94</f>
        <v>0</v>
      </c>
      <c r="M8" s="270" t="s">
        <v>1077</v>
      </c>
      <c r="N8" s="270">
        <v>3.0</v>
      </c>
      <c r="O8" s="270">
        <v>3.0</v>
      </c>
      <c r="P8" s="270">
        <v>2.0</v>
      </c>
      <c r="Q8" s="270">
        <v>2.0</v>
      </c>
      <c r="R8" s="270">
        <v>3.0</v>
      </c>
      <c r="S8" s="270">
        <v>3.0</v>
      </c>
      <c r="T8" s="271">
        <f>'入學要求'!L94</f>
        <v>0</v>
      </c>
      <c r="U8" s="271">
        <f>'入學要求'!M94</f>
        <v>0</v>
      </c>
      <c r="V8" s="271">
        <f>'入學要求'!N94</f>
        <v>0</v>
      </c>
      <c r="W8" s="271">
        <f>'入學要求'!O94</f>
        <v>0</v>
      </c>
      <c r="X8" s="271">
        <f>'入學要求'!P94</f>
        <v>0</v>
      </c>
      <c r="Y8" s="271">
        <f>'入學要求'!Q94</f>
        <v>0</v>
      </c>
      <c r="Z8" s="205"/>
      <c r="AA8" s="264">
        <f>IF($Z$2="2018年",'Offer Statistics'!AX8,IF($Z$2="2019年",'Offer Statistics'!AX65,IF($Z$2="2020年",'Offer Statistics'!AX122)))</f>
        <v>38</v>
      </c>
      <c r="AB8" s="273">
        <f>IF($Z$2="2018年",'Offer Statistics'!AS8,IF($Z$2="2019年",'Offer Statistics'!AS65,IF($Z$2="2020年",'Offer Statistics'!AS122)))</f>
        <v>36</v>
      </c>
      <c r="AC8" s="273">
        <f>IF($Z$2="2018年",'Offer Statistics'!AT8,IF($Z$2="2019年",'Offer Statistics'!AT65,IF($Z$2="2020年",'Offer Statistics'!AT122)))</f>
        <v>2</v>
      </c>
      <c r="AD8" s="273">
        <f>IF($Z$2="2018年",'Offer Statistics'!AU8,IF($Z$2="2019年",'Offer Statistics'!AU65,IF($Z$2="2020年",'Offer Statistics'!AU122)))</f>
        <v>0</v>
      </c>
      <c r="AE8" s="273">
        <f>IF($Z$2="2018年",'Offer Statistics'!AV8,IF($Z$2="2019年",'Offer Statistics'!AV65,IF($Z$2="2020年",'Offer Statistics'!AV122)))</f>
        <v>0</v>
      </c>
      <c r="AF8" s="273">
        <f>IF($Z$2="2018年",'Offer Statistics'!AW8,IF($Z$2="2019年",'Offer Statistics'!AW65,IF($Z$2="2020年",'Offer Statistics'!AW122)))</f>
        <v>0</v>
      </c>
      <c r="AG8" s="205"/>
      <c r="AH8" s="264">
        <f>IF($AG$2="2018年",'Offer Statistics'!AP8,IF($AG$2="2019年",'Offer Statistics'!AP65,IF($AG$2="2020年",'Offer Statistics'!AP122)))</f>
        <v>3410</v>
      </c>
      <c r="AI8" s="273">
        <f>IF($AG$2="2018年",'Offer Statistics'!AK8,IF($AG$2="2019年",'Offer Statistics'!AK65,IF($AG$2="2020年",'Offer Statistics'!AK122)))</f>
        <v>377</v>
      </c>
      <c r="AJ8" s="273">
        <f>IF($AG$2="2018年",'Offer Statistics'!AL8,IF($AG$2="2019年",'Offer Statistics'!AL65,IF($AG$2="2020年",'Offer Statistics'!AL122)))</f>
        <v>626</v>
      </c>
      <c r="AK8" s="273">
        <f>IF($AG$2="2018年",'Offer Statistics'!AM8,IF($AG$2="2019年",'Offer Statistics'!AM65,IF($AG$2="2020年",'Offer Statistics'!AM122)))</f>
        <v>862</v>
      </c>
      <c r="AL8" s="273">
        <f>IF($AG$2="2018年",'Offer Statistics'!AN8,IF($AG$2="2019年",'Offer Statistics'!AN65,IF($AG$2="2020年",'Offer Statistics'!AN122)))</f>
        <v>937</v>
      </c>
      <c r="AM8" s="273">
        <f>IF($AG$2="2018年",'Offer Statistics'!AO8,IF($AG$2="2019年",'Offer Statistics'!AO65,IF($AG$2="2020年",'Offer Statistics'!AO122)))</f>
        <v>608</v>
      </c>
      <c r="AN8" s="270"/>
      <c r="AO8" s="270" t="str">
        <f t="shared" si="3"/>
        <v>JS3466</v>
      </c>
      <c r="AP8" s="274"/>
    </row>
    <row r="9" ht="18.0" customHeight="1">
      <c r="A9" s="142" t="s">
        <v>300</v>
      </c>
      <c r="B9" s="142" t="s">
        <v>1292</v>
      </c>
      <c r="C9" s="142" t="s">
        <v>301</v>
      </c>
      <c r="D9" s="142" t="s">
        <v>1303</v>
      </c>
      <c r="E9" s="132" t="s">
        <v>24</v>
      </c>
      <c r="F9" s="199">
        <f>'PolyU 參考分數'!AE10</f>
        <v>323.5</v>
      </c>
      <c r="G9" s="199">
        <f>'PolyU 參考分數'!AF10</f>
        <v>316.5</v>
      </c>
      <c r="H9" s="200">
        <f>'計分版'!D115</f>
        <v>0.00000002475</v>
      </c>
      <c r="I9" s="201">
        <f t="shared" si="1"/>
        <v>-316.5</v>
      </c>
      <c r="J9" s="202">
        <f t="shared" si="2"/>
        <v>-12787878787</v>
      </c>
      <c r="K9" s="132">
        <v>54.0</v>
      </c>
      <c r="L9" s="203">
        <f>'入學要求'!S95</f>
        <v>0</v>
      </c>
      <c r="M9" s="131" t="s">
        <v>541</v>
      </c>
      <c r="N9" s="131">
        <v>3.0</v>
      </c>
      <c r="O9" s="131">
        <v>3.0</v>
      </c>
      <c r="P9" s="131">
        <v>2.0</v>
      </c>
      <c r="Q9" s="131">
        <v>2.0</v>
      </c>
      <c r="R9" s="131">
        <v>3.0</v>
      </c>
      <c r="S9" s="131">
        <v>3.0</v>
      </c>
      <c r="T9" s="204">
        <f>'入學要求'!L95</f>
        <v>0</v>
      </c>
      <c r="U9" s="204">
        <f>'入學要求'!M95</f>
        <v>0</v>
      </c>
      <c r="V9" s="204">
        <f>'入學要求'!N95</f>
        <v>0</v>
      </c>
      <c r="W9" s="204">
        <f>'入學要求'!O95</f>
        <v>0</v>
      </c>
      <c r="X9" s="204">
        <f>'入學要求'!P95</f>
        <v>0</v>
      </c>
      <c r="Y9" s="204">
        <f>'入學要求'!Q95</f>
        <v>0</v>
      </c>
      <c r="Z9" s="205"/>
      <c r="AA9" s="132">
        <f>IF($Z$2="2018年",'Offer Statistics'!AX9,IF($Z$2="2019年",'Offer Statistics'!AX66,IF($Z$2="2020年",'Offer Statistics'!AX123)))</f>
        <v>55</v>
      </c>
      <c r="AB9" s="206">
        <f>IF($Z$2="2018年",'Offer Statistics'!AS9,IF($Z$2="2019年",'Offer Statistics'!AS66,IF($Z$2="2020年",'Offer Statistics'!AS123)))</f>
        <v>53</v>
      </c>
      <c r="AC9" s="206">
        <f>IF($Z$2="2018年",'Offer Statistics'!AT9,IF($Z$2="2019年",'Offer Statistics'!AT66,IF($Z$2="2020年",'Offer Statistics'!AT123)))</f>
        <v>1</v>
      </c>
      <c r="AD9" s="206">
        <f>IF($Z$2="2018年",'Offer Statistics'!AU9,IF($Z$2="2019年",'Offer Statistics'!AU66,IF($Z$2="2020年",'Offer Statistics'!AU123)))</f>
        <v>0</v>
      </c>
      <c r="AE9" s="206">
        <f>IF($Z$2="2018年",'Offer Statistics'!AV9,IF($Z$2="2019年",'Offer Statistics'!AV66,IF($Z$2="2020年",'Offer Statistics'!AV123)))</f>
        <v>1</v>
      </c>
      <c r="AF9" s="206">
        <f>IF($Z$2="2018年",'Offer Statistics'!AW9,IF($Z$2="2019年",'Offer Statistics'!AW66,IF($Z$2="2020年",'Offer Statistics'!AW123)))</f>
        <v>0</v>
      </c>
      <c r="AG9" s="205"/>
      <c r="AH9" s="132">
        <f>IF($AG$2="2018年",'Offer Statistics'!AP9,IF($AG$2="2019年",'Offer Statistics'!AP66,IF($AG$2="2020年",'Offer Statistics'!AP123)))</f>
        <v>2013</v>
      </c>
      <c r="AI9" s="206">
        <f>IF($AG$2="2018年",'Offer Statistics'!AK9,IF($AG$2="2019年",'Offer Statistics'!AK66,IF($AG$2="2020年",'Offer Statistics'!AK123)))</f>
        <v>286</v>
      </c>
      <c r="AJ9" s="206">
        <f>IF($AG$2="2018年",'Offer Statistics'!AL9,IF($AG$2="2019年",'Offer Statistics'!AL66,IF($AG$2="2020年",'Offer Statistics'!AL123)))</f>
        <v>246</v>
      </c>
      <c r="AK9" s="206">
        <f>IF($AG$2="2018年",'Offer Statistics'!AM9,IF($AG$2="2019年",'Offer Statistics'!AM66,IF($AG$2="2020年",'Offer Statistics'!AM123)))</f>
        <v>410</v>
      </c>
      <c r="AL9" s="206">
        <f>IF($AG$2="2018年",'Offer Statistics'!AN9,IF($AG$2="2019年",'Offer Statistics'!AN66,IF($AG$2="2020年",'Offer Statistics'!AN123)))</f>
        <v>559</v>
      </c>
      <c r="AM9" s="206">
        <f>IF($AG$2="2018年",'Offer Statistics'!AO9,IF($AG$2="2019年",'Offer Statistics'!AO66,IF($AG$2="2020年",'Offer Statistics'!AO123)))</f>
        <v>512</v>
      </c>
      <c r="AN9" s="131"/>
      <c r="AO9" s="131" t="str">
        <f t="shared" si="3"/>
        <v>JS3478</v>
      </c>
      <c r="AP9" s="112"/>
    </row>
    <row r="10" ht="18.0" customHeight="1">
      <c r="A10" s="263" t="s">
        <v>302</v>
      </c>
      <c r="B10" s="263" t="s">
        <v>1294</v>
      </c>
      <c r="C10" s="263" t="s">
        <v>303</v>
      </c>
      <c r="D10" s="263" t="s">
        <v>1304</v>
      </c>
      <c r="E10" s="264" t="s">
        <v>21</v>
      </c>
      <c r="F10" s="265">
        <f>'PolyU 參考分數'!AE11</f>
        <v>176</v>
      </c>
      <c r="G10" s="265">
        <f>'PolyU 參考分數'!AF11</f>
        <v>166</v>
      </c>
      <c r="H10" s="266">
        <f>'計分版'!D116</f>
        <v>0.00000001975</v>
      </c>
      <c r="I10" s="267">
        <f t="shared" si="1"/>
        <v>-166</v>
      </c>
      <c r="J10" s="268">
        <f t="shared" si="2"/>
        <v>-8405063290</v>
      </c>
      <c r="K10" s="264">
        <v>92.0</v>
      </c>
      <c r="L10" s="275">
        <f>'入學要求'!S96</f>
        <v>0</v>
      </c>
      <c r="M10" s="270" t="s">
        <v>541</v>
      </c>
      <c r="N10" s="270">
        <v>3.0</v>
      </c>
      <c r="O10" s="270">
        <v>3.0</v>
      </c>
      <c r="P10" s="270">
        <v>2.0</v>
      </c>
      <c r="Q10" s="270">
        <v>2.0</v>
      </c>
      <c r="R10" s="270">
        <v>3.0</v>
      </c>
      <c r="S10" s="270">
        <v>3.0</v>
      </c>
      <c r="T10" s="271">
        <f>'入學要求'!L96</f>
        <v>0</v>
      </c>
      <c r="U10" s="271">
        <f>'入學要求'!M96</f>
        <v>0</v>
      </c>
      <c r="V10" s="271">
        <f>'入學要求'!N96</f>
        <v>0</v>
      </c>
      <c r="W10" s="271">
        <f>'入學要求'!O96</f>
        <v>0</v>
      </c>
      <c r="X10" s="271">
        <f>'入學要求'!P96</f>
        <v>0</v>
      </c>
      <c r="Y10" s="271">
        <f>'入學要求'!Q96</f>
        <v>0</v>
      </c>
      <c r="Z10" s="205"/>
      <c r="AA10" s="264">
        <f>IF($Z$2="2018年",'Offer Statistics'!AX10,IF($Z$2="2019年",'Offer Statistics'!AX67,IF($Z$2="2020年",'Offer Statistics'!AX124)))</f>
        <v>92</v>
      </c>
      <c r="AB10" s="273">
        <f>IF($Z$2="2018年",'Offer Statistics'!AS10,IF($Z$2="2019年",'Offer Statistics'!AS67,IF($Z$2="2020年",'Offer Statistics'!AS124)))</f>
        <v>77</v>
      </c>
      <c r="AC10" s="273">
        <f>IF($Z$2="2018年",'Offer Statistics'!AT10,IF($Z$2="2019年",'Offer Statistics'!AT67,IF($Z$2="2020年",'Offer Statistics'!AT124)))</f>
        <v>6</v>
      </c>
      <c r="AD10" s="273">
        <f>IF($Z$2="2018年",'Offer Statistics'!AU10,IF($Z$2="2019年",'Offer Statistics'!AU67,IF($Z$2="2020年",'Offer Statistics'!AU124)))</f>
        <v>6</v>
      </c>
      <c r="AE10" s="273">
        <f>IF($Z$2="2018年",'Offer Statistics'!AV10,IF($Z$2="2019年",'Offer Statistics'!AV67,IF($Z$2="2020年",'Offer Statistics'!AV124)))</f>
        <v>3</v>
      </c>
      <c r="AF10" s="273">
        <f>IF($Z$2="2018年",'Offer Statistics'!AW10,IF($Z$2="2019年",'Offer Statistics'!AW67,IF($Z$2="2020年",'Offer Statistics'!AW124)))</f>
        <v>0</v>
      </c>
      <c r="AG10" s="205"/>
      <c r="AH10" s="264">
        <f>IF($AG$2="2018年",'Offer Statistics'!AP10,IF($AG$2="2019年",'Offer Statistics'!AP67,IF($AG$2="2020年",'Offer Statistics'!AP124)))</f>
        <v>2243</v>
      </c>
      <c r="AI10" s="273">
        <f>IF($AG$2="2018年",'Offer Statistics'!AK10,IF($AG$2="2019年",'Offer Statistics'!AK67,IF($AG$2="2020年",'Offer Statistics'!AK124)))</f>
        <v>560</v>
      </c>
      <c r="AJ10" s="273">
        <f>IF($AG$2="2018年",'Offer Statistics'!AL10,IF($AG$2="2019年",'Offer Statistics'!AL67,IF($AG$2="2020年",'Offer Statistics'!AL124)))</f>
        <v>357</v>
      </c>
      <c r="AK10" s="273">
        <f>IF($AG$2="2018年",'Offer Statistics'!AM10,IF($AG$2="2019年",'Offer Statistics'!AM67,IF($AG$2="2020年",'Offer Statistics'!AM124)))</f>
        <v>427</v>
      </c>
      <c r="AL10" s="273">
        <f>IF($AG$2="2018年",'Offer Statistics'!AN10,IF($AG$2="2019年",'Offer Statistics'!AN67,IF($AG$2="2020年",'Offer Statistics'!AN124)))</f>
        <v>555</v>
      </c>
      <c r="AM10" s="273">
        <f>IF($AG$2="2018年",'Offer Statistics'!AO10,IF($AG$2="2019年",'Offer Statistics'!AO67,IF($AG$2="2020年",'Offer Statistics'!AO124)))</f>
        <v>344</v>
      </c>
      <c r="AN10" s="270"/>
      <c r="AO10" s="270" t="str">
        <f t="shared" si="3"/>
        <v>JS3492</v>
      </c>
      <c r="AP10" s="274"/>
    </row>
    <row r="11" ht="18.0" customHeight="1">
      <c r="A11" s="142" t="s">
        <v>304</v>
      </c>
      <c r="B11" s="142" t="s">
        <v>1002</v>
      </c>
      <c r="C11" s="142" t="s">
        <v>305</v>
      </c>
      <c r="D11" s="142" t="s">
        <v>1305</v>
      </c>
      <c r="E11" s="132" t="s">
        <v>21</v>
      </c>
      <c r="F11" s="199">
        <f>'PolyU 參考分數'!AE12</f>
        <v>185</v>
      </c>
      <c r="G11" s="199">
        <f>'PolyU 參考分數'!AF12</f>
        <v>171</v>
      </c>
      <c r="H11" s="200">
        <f>'計分版'!D117</f>
        <v>0.00000002175</v>
      </c>
      <c r="I11" s="201">
        <f t="shared" si="1"/>
        <v>-171</v>
      </c>
      <c r="J11" s="202">
        <f t="shared" si="2"/>
        <v>-7862068965</v>
      </c>
      <c r="K11" s="132">
        <v>56.0</v>
      </c>
      <c r="L11" s="203">
        <f>'入學要求'!S97</f>
        <v>0</v>
      </c>
      <c r="M11" s="131" t="s">
        <v>541</v>
      </c>
      <c r="N11" s="131">
        <v>3.0</v>
      </c>
      <c r="O11" s="131">
        <v>3.0</v>
      </c>
      <c r="P11" s="131">
        <v>2.0</v>
      </c>
      <c r="Q11" s="131">
        <v>2.0</v>
      </c>
      <c r="R11" s="131">
        <v>3.0</v>
      </c>
      <c r="S11" s="131">
        <v>3.0</v>
      </c>
      <c r="T11" s="204">
        <f>'入學要求'!L97</f>
        <v>0</v>
      </c>
      <c r="U11" s="204">
        <f>'入學要求'!M97</f>
        <v>0</v>
      </c>
      <c r="V11" s="204">
        <f>'入學要求'!N97</f>
        <v>0</v>
      </c>
      <c r="W11" s="204">
        <f>'入學要求'!O97</f>
        <v>0</v>
      </c>
      <c r="X11" s="204">
        <f>'入學要求'!P97</f>
        <v>0</v>
      </c>
      <c r="Y11" s="204">
        <f>'入學要求'!Q97</f>
        <v>0</v>
      </c>
      <c r="Z11" s="205"/>
      <c r="AA11" s="132">
        <f>IF($Z$2="2018年",'Offer Statistics'!AX11,IF($Z$2="2019年",'Offer Statistics'!AX68,IF($Z$2="2020年",'Offer Statistics'!AX125)))</f>
        <v>49</v>
      </c>
      <c r="AB11" s="206">
        <f>IF($Z$2="2018年",'Offer Statistics'!AS11,IF($Z$2="2019年",'Offer Statistics'!AS68,IF($Z$2="2020年",'Offer Statistics'!AS125)))</f>
        <v>35</v>
      </c>
      <c r="AC11" s="206">
        <f>IF($Z$2="2018年",'Offer Statistics'!AT11,IF($Z$2="2019年",'Offer Statistics'!AT68,IF($Z$2="2020年",'Offer Statistics'!AT125)))</f>
        <v>5</v>
      </c>
      <c r="AD11" s="206">
        <f>IF($Z$2="2018年",'Offer Statistics'!AU11,IF($Z$2="2019年",'Offer Statistics'!AU68,IF($Z$2="2020年",'Offer Statistics'!AU125)))</f>
        <v>3</v>
      </c>
      <c r="AE11" s="206">
        <f>IF($Z$2="2018年",'Offer Statistics'!AV11,IF($Z$2="2019年",'Offer Statistics'!AV68,IF($Z$2="2020年",'Offer Statistics'!AV125)))</f>
        <v>4</v>
      </c>
      <c r="AF11" s="206">
        <f>IF($Z$2="2018年",'Offer Statistics'!AW11,IF($Z$2="2019年",'Offer Statistics'!AW68,IF($Z$2="2020年",'Offer Statistics'!AW125)))</f>
        <v>2</v>
      </c>
      <c r="AG11" s="205"/>
      <c r="AH11" s="132">
        <f>IF($AG$2="2018年",'Offer Statistics'!AP11,IF($AG$2="2019年",'Offer Statistics'!AP68,IF($AG$2="2020年",'Offer Statistics'!AP125)))</f>
        <v>2869</v>
      </c>
      <c r="AI11" s="206">
        <f>IF($AG$2="2018年",'Offer Statistics'!AK11,IF($AG$2="2019年",'Offer Statistics'!AK68,IF($AG$2="2020年",'Offer Statistics'!AK125)))</f>
        <v>409</v>
      </c>
      <c r="AJ11" s="206">
        <f>IF($AG$2="2018年",'Offer Statistics'!AL11,IF($AG$2="2019年",'Offer Statistics'!AL68,IF($AG$2="2020年",'Offer Statistics'!AL125)))</f>
        <v>395</v>
      </c>
      <c r="AK11" s="206">
        <f>IF($AG$2="2018年",'Offer Statistics'!AM11,IF($AG$2="2019年",'Offer Statistics'!AM68,IF($AG$2="2020年",'Offer Statistics'!AM125)))</f>
        <v>710</v>
      </c>
      <c r="AL11" s="206">
        <f>IF($AG$2="2018年",'Offer Statistics'!AN11,IF($AG$2="2019年",'Offer Statistics'!AN68,IF($AG$2="2020年",'Offer Statistics'!AN125)))</f>
        <v>754</v>
      </c>
      <c r="AM11" s="206">
        <f>IF($AG$2="2018年",'Offer Statistics'!AO11,IF($AG$2="2019年",'Offer Statistics'!AO68,IF($AG$2="2020年",'Offer Statistics'!AO125)))</f>
        <v>601</v>
      </c>
      <c r="AN11" s="131"/>
      <c r="AO11" s="131" t="str">
        <f t="shared" si="3"/>
        <v>JS3507</v>
      </c>
      <c r="AP11" s="112"/>
    </row>
    <row r="12" ht="18.0" customHeight="1">
      <c r="A12" s="263" t="s">
        <v>306</v>
      </c>
      <c r="B12" s="263" t="s">
        <v>1002</v>
      </c>
      <c r="C12" s="263" t="s">
        <v>307</v>
      </c>
      <c r="D12" s="263" t="s">
        <v>1306</v>
      </c>
      <c r="E12" s="264" t="s">
        <v>21</v>
      </c>
      <c r="F12" s="265">
        <f>'PolyU 參考分數'!AE13</f>
        <v>190</v>
      </c>
      <c r="G12" s="265">
        <f>'PolyU 參考分數'!AF13</f>
        <v>175</v>
      </c>
      <c r="H12" s="266">
        <f>'計分版'!D118</f>
        <v>0.00000002175</v>
      </c>
      <c r="I12" s="267">
        <f t="shared" si="1"/>
        <v>-175</v>
      </c>
      <c r="J12" s="268">
        <f t="shared" si="2"/>
        <v>-8045977010</v>
      </c>
      <c r="K12" s="264">
        <v>27.0</v>
      </c>
      <c r="L12" s="275">
        <f>'入學要求'!S98</f>
        <v>0</v>
      </c>
      <c r="M12" s="270" t="s">
        <v>1188</v>
      </c>
      <c r="N12" s="270">
        <v>3.0</v>
      </c>
      <c r="O12" s="270">
        <v>3.0</v>
      </c>
      <c r="P12" s="270">
        <v>2.0</v>
      </c>
      <c r="Q12" s="270">
        <v>2.0</v>
      </c>
      <c r="R12" s="270">
        <v>3.0</v>
      </c>
      <c r="S12" s="270">
        <v>3.0</v>
      </c>
      <c r="T12" s="271">
        <f>'入學要求'!L98</f>
        <v>0</v>
      </c>
      <c r="U12" s="271">
        <f>'入學要求'!M98</f>
        <v>0</v>
      </c>
      <c r="V12" s="271">
        <f>'入學要求'!N98</f>
        <v>0</v>
      </c>
      <c r="W12" s="271">
        <f>'入學要求'!O98</f>
        <v>0</v>
      </c>
      <c r="X12" s="271">
        <f>'入學要求'!P98</f>
        <v>0</v>
      </c>
      <c r="Y12" s="271">
        <f>'入學要求'!Q98</f>
        <v>0</v>
      </c>
      <c r="Z12" s="205"/>
      <c r="AA12" s="264">
        <f>IF($Z$2="2018年",'Offer Statistics'!AX12,IF($Z$2="2019年",'Offer Statistics'!AX69,IF($Z$2="2020年",'Offer Statistics'!AX126)))</f>
        <v>26</v>
      </c>
      <c r="AB12" s="273">
        <f>IF($Z$2="2018年",'Offer Statistics'!AS12,IF($Z$2="2019年",'Offer Statistics'!AS69,IF($Z$2="2020年",'Offer Statistics'!AS126)))</f>
        <v>22</v>
      </c>
      <c r="AC12" s="273">
        <f>IF($Z$2="2018年",'Offer Statistics'!AT12,IF($Z$2="2019年",'Offer Statistics'!AT69,IF($Z$2="2020年",'Offer Statistics'!AT126)))</f>
        <v>1</v>
      </c>
      <c r="AD12" s="273">
        <f>IF($Z$2="2018年",'Offer Statistics'!AU12,IF($Z$2="2019年",'Offer Statistics'!AU69,IF($Z$2="2020年",'Offer Statistics'!AU126)))</f>
        <v>3</v>
      </c>
      <c r="AE12" s="273">
        <f>IF($Z$2="2018年",'Offer Statistics'!AV12,IF($Z$2="2019年",'Offer Statistics'!AV69,IF($Z$2="2020年",'Offer Statistics'!AV126)))</f>
        <v>0</v>
      </c>
      <c r="AF12" s="273">
        <f>IF($Z$2="2018年",'Offer Statistics'!AW12,IF($Z$2="2019年",'Offer Statistics'!AW69,IF($Z$2="2020年",'Offer Statistics'!AW126)))</f>
        <v>0</v>
      </c>
      <c r="AG12" s="205"/>
      <c r="AH12" s="264">
        <f>IF($AG$2="2018年",'Offer Statistics'!AP12,IF($AG$2="2019年",'Offer Statistics'!AP69,IF($AG$2="2020年",'Offer Statistics'!AP126)))</f>
        <v>3116</v>
      </c>
      <c r="AI12" s="273">
        <f>IF($AG$2="2018年",'Offer Statistics'!AK12,IF($AG$2="2019年",'Offer Statistics'!AK69,IF($AG$2="2020年",'Offer Statistics'!AK126)))</f>
        <v>564</v>
      </c>
      <c r="AJ12" s="273">
        <f>IF($AG$2="2018年",'Offer Statistics'!AL12,IF($AG$2="2019年",'Offer Statistics'!AL69,IF($AG$2="2020年",'Offer Statistics'!AL126)))</f>
        <v>563</v>
      </c>
      <c r="AK12" s="273">
        <f>IF($AG$2="2018年",'Offer Statistics'!AM12,IF($AG$2="2019年",'Offer Statistics'!AM69,IF($AG$2="2020年",'Offer Statistics'!AM126)))</f>
        <v>690</v>
      </c>
      <c r="AL12" s="273">
        <f>IF($AG$2="2018年",'Offer Statistics'!AN12,IF($AG$2="2019年",'Offer Statistics'!AN69,IF($AG$2="2020年",'Offer Statistics'!AN126)))</f>
        <v>750</v>
      </c>
      <c r="AM12" s="273">
        <f>IF($AG$2="2018年",'Offer Statistics'!AO12,IF($AG$2="2019年",'Offer Statistics'!AO69,IF($AG$2="2020年",'Offer Statistics'!AO126)))</f>
        <v>549</v>
      </c>
      <c r="AN12" s="270"/>
      <c r="AO12" s="270" t="str">
        <f t="shared" si="3"/>
        <v>JS3519</v>
      </c>
      <c r="AP12" s="274"/>
    </row>
    <row r="13" ht="18.0" customHeight="1">
      <c r="A13" s="142" t="s">
        <v>308</v>
      </c>
      <c r="B13" s="142" t="s">
        <v>1002</v>
      </c>
      <c r="C13" s="142" t="s">
        <v>309</v>
      </c>
      <c r="D13" s="142" t="s">
        <v>1307</v>
      </c>
      <c r="E13" s="132" t="s">
        <v>21</v>
      </c>
      <c r="F13" s="199">
        <f>'PolyU 參考分數'!AE14</f>
        <v>149.5</v>
      </c>
      <c r="G13" s="199">
        <f>'PolyU 參考分數'!AF14</f>
        <v>149</v>
      </c>
      <c r="H13" s="200">
        <f>'計分版'!D119</f>
        <v>0.00000001975</v>
      </c>
      <c r="I13" s="201">
        <f t="shared" si="1"/>
        <v>-149</v>
      </c>
      <c r="J13" s="202">
        <f t="shared" si="2"/>
        <v>-7544303796</v>
      </c>
      <c r="K13" s="132">
        <v>56.0</v>
      </c>
      <c r="L13" s="203">
        <f>'入學要求'!S99</f>
        <v>0</v>
      </c>
      <c r="M13" s="131" t="s">
        <v>541</v>
      </c>
      <c r="N13" s="131">
        <v>3.0</v>
      </c>
      <c r="O13" s="131">
        <v>3.0</v>
      </c>
      <c r="P13" s="131">
        <v>2.0</v>
      </c>
      <c r="Q13" s="131">
        <v>2.0</v>
      </c>
      <c r="R13" s="131">
        <v>3.0</v>
      </c>
      <c r="S13" s="131">
        <v>3.0</v>
      </c>
      <c r="T13" s="204">
        <f>'入學要求'!L99</f>
        <v>0</v>
      </c>
      <c r="U13" s="204">
        <f>'入學要求'!M99</f>
        <v>0</v>
      </c>
      <c r="V13" s="204">
        <f>'入學要求'!N99</f>
        <v>0</v>
      </c>
      <c r="W13" s="204">
        <f>'入學要求'!O99</f>
        <v>0</v>
      </c>
      <c r="X13" s="204">
        <f>'入學要求'!P99</f>
        <v>0</v>
      </c>
      <c r="Y13" s="204">
        <f>'入學要求'!Q99</f>
        <v>0</v>
      </c>
      <c r="Z13" s="205"/>
      <c r="AA13" s="132">
        <f>IF($Z$2="2018年",'Offer Statistics'!AX13,IF($Z$2="2019年",'Offer Statistics'!AX70,IF($Z$2="2020年",'Offer Statistics'!AX127)))</f>
        <v>46</v>
      </c>
      <c r="AB13" s="206">
        <f>IF($Z$2="2018年",'Offer Statistics'!AS13,IF($Z$2="2019年",'Offer Statistics'!AS70,IF($Z$2="2020年",'Offer Statistics'!AS127)))</f>
        <v>38</v>
      </c>
      <c r="AC13" s="206">
        <f>IF($Z$2="2018年",'Offer Statistics'!AT13,IF($Z$2="2019年",'Offer Statistics'!AT70,IF($Z$2="2020年",'Offer Statistics'!AT127)))</f>
        <v>5</v>
      </c>
      <c r="AD13" s="206">
        <f>IF($Z$2="2018年",'Offer Statistics'!AU13,IF($Z$2="2019年",'Offer Statistics'!AU70,IF($Z$2="2020年",'Offer Statistics'!AU127)))</f>
        <v>2</v>
      </c>
      <c r="AE13" s="206">
        <f>IF($Z$2="2018年",'Offer Statistics'!AV13,IF($Z$2="2019年",'Offer Statistics'!AV70,IF($Z$2="2020年",'Offer Statistics'!AV127)))</f>
        <v>1</v>
      </c>
      <c r="AF13" s="206">
        <f>IF($Z$2="2018年",'Offer Statistics'!AW13,IF($Z$2="2019年",'Offer Statistics'!AW70,IF($Z$2="2020年",'Offer Statistics'!AW127)))</f>
        <v>0</v>
      </c>
      <c r="AG13" s="205"/>
      <c r="AH13" s="132">
        <f>IF($AG$2="2018年",'Offer Statistics'!AP13,IF($AG$2="2019年",'Offer Statistics'!AP70,IF($AG$2="2020年",'Offer Statistics'!AP127)))</f>
        <v>2308</v>
      </c>
      <c r="AI13" s="206">
        <f>IF($AG$2="2018年",'Offer Statistics'!AK13,IF($AG$2="2019年",'Offer Statistics'!AK70,IF($AG$2="2020年",'Offer Statistics'!AK127)))</f>
        <v>371</v>
      </c>
      <c r="AJ13" s="206">
        <f>IF($AG$2="2018年",'Offer Statistics'!AL13,IF($AG$2="2019年",'Offer Statistics'!AL70,IF($AG$2="2020年",'Offer Statistics'!AL127)))</f>
        <v>400</v>
      </c>
      <c r="AK13" s="206">
        <f>IF($AG$2="2018年",'Offer Statistics'!AM13,IF($AG$2="2019年",'Offer Statistics'!AM70,IF($AG$2="2020年",'Offer Statistics'!AM127)))</f>
        <v>495</v>
      </c>
      <c r="AL13" s="206">
        <f>IF($AG$2="2018年",'Offer Statistics'!AN13,IF($AG$2="2019年",'Offer Statistics'!AN70,IF($AG$2="2020年",'Offer Statistics'!AN127)))</f>
        <v>598</v>
      </c>
      <c r="AM13" s="206">
        <f>IF($AG$2="2018年",'Offer Statistics'!AO13,IF($AG$2="2019年",'Offer Statistics'!AO70,IF($AG$2="2020年",'Offer Statistics'!AO127)))</f>
        <v>444</v>
      </c>
      <c r="AN13" s="131"/>
      <c r="AO13" s="131" t="str">
        <f t="shared" si="3"/>
        <v>JS3557</v>
      </c>
      <c r="AP13" s="112"/>
    </row>
    <row r="14" ht="18.0" customHeight="1">
      <c r="A14" s="263" t="s">
        <v>310</v>
      </c>
      <c r="B14" s="263" t="s">
        <v>1308</v>
      </c>
      <c r="C14" s="263" t="s">
        <v>311</v>
      </c>
      <c r="D14" s="263" t="s">
        <v>1309</v>
      </c>
      <c r="E14" s="264" t="s">
        <v>21</v>
      </c>
      <c r="F14" s="265">
        <f>'PolyU 參考分數'!AE15</f>
        <v>200</v>
      </c>
      <c r="G14" s="265">
        <f>'PolyU 參考分數'!AF15</f>
        <v>180</v>
      </c>
      <c r="H14" s="266">
        <f>'計分版'!D120</f>
        <v>0.00000002075</v>
      </c>
      <c r="I14" s="267">
        <f t="shared" si="1"/>
        <v>-180</v>
      </c>
      <c r="J14" s="268">
        <f t="shared" si="2"/>
        <v>-8674698794</v>
      </c>
      <c r="K14" s="264">
        <v>81.0</v>
      </c>
      <c r="L14" s="275">
        <f>'入學要求'!S100</f>
        <v>0</v>
      </c>
      <c r="M14" s="270" t="s">
        <v>1188</v>
      </c>
      <c r="N14" s="270">
        <v>3.0</v>
      </c>
      <c r="O14" s="270">
        <v>3.0</v>
      </c>
      <c r="P14" s="270">
        <v>2.0</v>
      </c>
      <c r="Q14" s="270">
        <v>2.0</v>
      </c>
      <c r="R14" s="270">
        <v>3.0</v>
      </c>
      <c r="S14" s="270">
        <v>3.0</v>
      </c>
      <c r="T14" s="271">
        <f>'入學要求'!L100</f>
        <v>0</v>
      </c>
      <c r="U14" s="271">
        <f>'入學要求'!M100</f>
        <v>0</v>
      </c>
      <c r="V14" s="271">
        <f>'入學要求'!N100</f>
        <v>0</v>
      </c>
      <c r="W14" s="271">
        <f>'入學要求'!O100</f>
        <v>0</v>
      </c>
      <c r="X14" s="271">
        <f>'入學要求'!P100</f>
        <v>0</v>
      </c>
      <c r="Y14" s="271">
        <f>'入學要求'!Q100</f>
        <v>0</v>
      </c>
      <c r="Z14" s="205"/>
      <c r="AA14" s="264">
        <f>IF($Z$2="2018年",'Offer Statistics'!AX14,IF($Z$2="2019年",'Offer Statistics'!AX71,IF($Z$2="2020年",'Offer Statistics'!AX128)))</f>
        <v>65</v>
      </c>
      <c r="AB14" s="273">
        <f>IF($Z$2="2018年",'Offer Statistics'!AS14,IF($Z$2="2019年",'Offer Statistics'!AS71,IF($Z$2="2020年",'Offer Statistics'!AS128)))</f>
        <v>64</v>
      </c>
      <c r="AC14" s="273">
        <f>IF($Z$2="2018年",'Offer Statistics'!AT14,IF($Z$2="2019年",'Offer Statistics'!AT71,IF($Z$2="2020年",'Offer Statistics'!AT128)))</f>
        <v>1</v>
      </c>
      <c r="AD14" s="273">
        <f>IF($Z$2="2018年",'Offer Statistics'!AU14,IF($Z$2="2019年",'Offer Statistics'!AU71,IF($Z$2="2020年",'Offer Statistics'!AU128)))</f>
        <v>0</v>
      </c>
      <c r="AE14" s="273">
        <f>IF($Z$2="2018年",'Offer Statistics'!AV14,IF($Z$2="2019年",'Offer Statistics'!AV71,IF($Z$2="2020年",'Offer Statistics'!AV128)))</f>
        <v>0</v>
      </c>
      <c r="AF14" s="273">
        <f>IF($Z$2="2018年",'Offer Statistics'!AW14,IF($Z$2="2019年",'Offer Statistics'!AW71,IF($Z$2="2020年",'Offer Statistics'!AW128)))</f>
        <v>0</v>
      </c>
      <c r="AG14" s="205"/>
      <c r="AH14" s="264">
        <f>IF($AG$2="2018年",'Offer Statistics'!AP14,IF($AG$2="2019年",'Offer Statistics'!AP71,IF($AG$2="2020年",'Offer Statistics'!AP128)))</f>
        <v>2896</v>
      </c>
      <c r="AI14" s="273">
        <f>IF($AG$2="2018年",'Offer Statistics'!AK14,IF($AG$2="2019年",'Offer Statistics'!AK71,IF($AG$2="2020年",'Offer Statistics'!AK128)))</f>
        <v>1043</v>
      </c>
      <c r="AJ14" s="273">
        <f>IF($AG$2="2018年",'Offer Statistics'!AL14,IF($AG$2="2019年",'Offer Statistics'!AL71,IF($AG$2="2020年",'Offer Statistics'!AL128)))</f>
        <v>459</v>
      </c>
      <c r="AK14" s="273">
        <f>IF($AG$2="2018年",'Offer Statistics'!AM14,IF($AG$2="2019年",'Offer Statistics'!AM71,IF($AG$2="2020年",'Offer Statistics'!AM128)))</f>
        <v>480</v>
      </c>
      <c r="AL14" s="273">
        <f>IF($AG$2="2018年",'Offer Statistics'!AN14,IF($AG$2="2019年",'Offer Statistics'!AN71,IF($AG$2="2020年",'Offer Statistics'!AN128)))</f>
        <v>568</v>
      </c>
      <c r="AM14" s="273">
        <f>IF($AG$2="2018年",'Offer Statistics'!AO14,IF($AG$2="2019年",'Offer Statistics'!AO71,IF($AG$2="2020年",'Offer Statistics'!AO128)))</f>
        <v>346</v>
      </c>
      <c r="AN14" s="270"/>
      <c r="AO14" s="270" t="str">
        <f t="shared" si="3"/>
        <v>JS3569</v>
      </c>
      <c r="AP14" s="274"/>
    </row>
    <row r="15" ht="18.0" customHeight="1">
      <c r="A15" s="142" t="s">
        <v>312</v>
      </c>
      <c r="B15" s="142" t="s">
        <v>1002</v>
      </c>
      <c r="C15" s="142" t="s">
        <v>313</v>
      </c>
      <c r="D15" s="142" t="s">
        <v>1310</v>
      </c>
      <c r="E15" s="132" t="s">
        <v>21</v>
      </c>
      <c r="F15" s="199">
        <f>'PolyU 參考分數'!AE16</f>
        <v>149.5</v>
      </c>
      <c r="G15" s="199">
        <f>'PolyU 參考分數'!AF16</f>
        <v>146</v>
      </c>
      <c r="H15" s="200">
        <f>'計分版'!D121</f>
        <v>0.00000001975</v>
      </c>
      <c r="I15" s="201">
        <f t="shared" si="1"/>
        <v>-146</v>
      </c>
      <c r="J15" s="202">
        <f t="shared" si="2"/>
        <v>-7392405062</v>
      </c>
      <c r="K15" s="132">
        <v>51.0</v>
      </c>
      <c r="L15" s="203">
        <f>'入學要求'!S101</f>
        <v>0</v>
      </c>
      <c r="M15" s="131" t="s">
        <v>541</v>
      </c>
      <c r="N15" s="131">
        <v>3.0</v>
      </c>
      <c r="O15" s="131">
        <v>3.0</v>
      </c>
      <c r="P15" s="131">
        <v>2.0</v>
      </c>
      <c r="Q15" s="131">
        <v>2.0</v>
      </c>
      <c r="R15" s="131">
        <v>3.0</v>
      </c>
      <c r="S15" s="131">
        <v>3.0</v>
      </c>
      <c r="T15" s="204">
        <f>'入學要求'!L101</f>
        <v>0</v>
      </c>
      <c r="U15" s="204">
        <f>'入學要求'!M101</f>
        <v>0</v>
      </c>
      <c r="V15" s="204">
        <f>'入學要求'!N101</f>
        <v>0</v>
      </c>
      <c r="W15" s="204">
        <f>'入學要求'!O101</f>
        <v>0</v>
      </c>
      <c r="X15" s="204">
        <f>'入學要求'!P101</f>
        <v>0</v>
      </c>
      <c r="Y15" s="204">
        <f>'入學要求'!Q101</f>
        <v>0</v>
      </c>
      <c r="Z15" s="205"/>
      <c r="AA15" s="132">
        <f>IF($Z$2="2018年",'Offer Statistics'!AX15,IF($Z$2="2019年",'Offer Statistics'!AX72,IF($Z$2="2020年",'Offer Statistics'!AX129)))</f>
        <v>41</v>
      </c>
      <c r="AB15" s="206">
        <f>IF($Z$2="2018年",'Offer Statistics'!AS15,IF($Z$2="2019年",'Offer Statistics'!AS72,IF($Z$2="2020年",'Offer Statistics'!AS129)))</f>
        <v>34</v>
      </c>
      <c r="AC15" s="206">
        <f>IF($Z$2="2018年",'Offer Statistics'!AT15,IF($Z$2="2019年",'Offer Statistics'!AT72,IF($Z$2="2020年",'Offer Statistics'!AT129)))</f>
        <v>3</v>
      </c>
      <c r="AD15" s="206">
        <f>IF($Z$2="2018年",'Offer Statistics'!AU15,IF($Z$2="2019年",'Offer Statistics'!AU72,IF($Z$2="2020年",'Offer Statistics'!AU129)))</f>
        <v>4</v>
      </c>
      <c r="AE15" s="206">
        <f>IF($Z$2="2018年",'Offer Statistics'!AV15,IF($Z$2="2019年",'Offer Statistics'!AV72,IF($Z$2="2020年",'Offer Statistics'!AV129)))</f>
        <v>0</v>
      </c>
      <c r="AF15" s="206">
        <f>IF($Z$2="2018年",'Offer Statistics'!AW15,IF($Z$2="2019年",'Offer Statistics'!AW72,IF($Z$2="2020年",'Offer Statistics'!AW129)))</f>
        <v>0</v>
      </c>
      <c r="AG15" s="205"/>
      <c r="AH15" s="132">
        <f>IF($AG$2="2018年",'Offer Statistics'!AP15,IF($AG$2="2019年",'Offer Statistics'!AP72,IF($AG$2="2020年",'Offer Statistics'!AP129)))</f>
        <v>1980</v>
      </c>
      <c r="AI15" s="206">
        <f>IF($AG$2="2018年",'Offer Statistics'!AK15,IF($AG$2="2019年",'Offer Statistics'!AK72,IF($AG$2="2020年",'Offer Statistics'!AK129)))</f>
        <v>227</v>
      </c>
      <c r="AJ15" s="206">
        <f>IF($AG$2="2018年",'Offer Statistics'!AL15,IF($AG$2="2019年",'Offer Statistics'!AL72,IF($AG$2="2020年",'Offer Statistics'!AL129)))</f>
        <v>278</v>
      </c>
      <c r="AK15" s="206">
        <f>IF($AG$2="2018年",'Offer Statistics'!AM15,IF($AG$2="2019年",'Offer Statistics'!AM72,IF($AG$2="2020年",'Offer Statistics'!AM129)))</f>
        <v>451</v>
      </c>
      <c r="AL15" s="206">
        <f>IF($AG$2="2018年",'Offer Statistics'!AN15,IF($AG$2="2019年",'Offer Statistics'!AN72,IF($AG$2="2020年",'Offer Statistics'!AN129)))</f>
        <v>549</v>
      </c>
      <c r="AM15" s="206">
        <f>IF($AG$2="2018年",'Offer Statistics'!AO15,IF($AG$2="2019年",'Offer Statistics'!AO72,IF($AG$2="2020年",'Offer Statistics'!AO129)))</f>
        <v>475</v>
      </c>
      <c r="AN15" s="131"/>
      <c r="AO15" s="131" t="str">
        <f t="shared" si="3"/>
        <v>JS3571</v>
      </c>
      <c r="AP15" s="112"/>
    </row>
    <row r="16" ht="18.0" customHeight="1">
      <c r="A16" s="263" t="s">
        <v>314</v>
      </c>
      <c r="B16" s="263" t="s">
        <v>1301</v>
      </c>
      <c r="C16" s="263" t="s">
        <v>315</v>
      </c>
      <c r="D16" s="263" t="s">
        <v>1311</v>
      </c>
      <c r="E16" s="264" t="s">
        <v>21</v>
      </c>
      <c r="F16" s="265">
        <f>'PolyU 參考分數'!AE17</f>
        <v>161</v>
      </c>
      <c r="G16" s="265">
        <f>'PolyU 參考分數'!AF17</f>
        <v>156.5</v>
      </c>
      <c r="H16" s="266">
        <f>'計分版'!D122</f>
        <v>0.00000001975</v>
      </c>
      <c r="I16" s="267">
        <f t="shared" si="1"/>
        <v>-156.5</v>
      </c>
      <c r="J16" s="268">
        <f t="shared" si="2"/>
        <v>-7924050632</v>
      </c>
      <c r="K16" s="264">
        <v>50.0</v>
      </c>
      <c r="L16" s="275">
        <f>'入學要求'!S102</f>
        <v>0</v>
      </c>
      <c r="M16" s="270" t="s">
        <v>1077</v>
      </c>
      <c r="N16" s="270">
        <v>3.0</v>
      </c>
      <c r="O16" s="270">
        <v>3.0</v>
      </c>
      <c r="P16" s="270">
        <v>2.0</v>
      </c>
      <c r="Q16" s="270">
        <v>2.0</v>
      </c>
      <c r="R16" s="270">
        <v>3.0</v>
      </c>
      <c r="S16" s="270">
        <v>3.0</v>
      </c>
      <c r="T16" s="271">
        <f>'入學要求'!L102</f>
        <v>0</v>
      </c>
      <c r="U16" s="271">
        <f>'入學要求'!M102</f>
        <v>0</v>
      </c>
      <c r="V16" s="271">
        <f>'入學要求'!N102</f>
        <v>0</v>
      </c>
      <c r="W16" s="271">
        <f>'入學要求'!O102</f>
        <v>0</v>
      </c>
      <c r="X16" s="271">
        <f>'入學要求'!P102</f>
        <v>0</v>
      </c>
      <c r="Y16" s="271">
        <f>'入學要求'!Q102</f>
        <v>0</v>
      </c>
      <c r="Z16" s="205"/>
      <c r="AA16" s="264">
        <f>IF($Z$2="2018年",'Offer Statistics'!AX16,IF($Z$2="2019年",'Offer Statistics'!AX73,IF($Z$2="2020年",'Offer Statistics'!AX130)))</f>
        <v>49</v>
      </c>
      <c r="AB16" s="273">
        <f>IF($Z$2="2018年",'Offer Statistics'!AS16,IF($Z$2="2019年",'Offer Statistics'!AS73,IF($Z$2="2020年",'Offer Statistics'!AS130)))</f>
        <v>42</v>
      </c>
      <c r="AC16" s="273">
        <f>IF($Z$2="2018年",'Offer Statistics'!AT16,IF($Z$2="2019年",'Offer Statistics'!AT73,IF($Z$2="2020年",'Offer Statistics'!AT130)))</f>
        <v>5</v>
      </c>
      <c r="AD16" s="273">
        <f>IF($Z$2="2018年",'Offer Statistics'!AU16,IF($Z$2="2019年",'Offer Statistics'!AU73,IF($Z$2="2020年",'Offer Statistics'!AU130)))</f>
        <v>0</v>
      </c>
      <c r="AE16" s="273">
        <f>IF($Z$2="2018年",'Offer Statistics'!AV16,IF($Z$2="2019年",'Offer Statistics'!AV73,IF($Z$2="2020年",'Offer Statistics'!AV130)))</f>
        <v>0</v>
      </c>
      <c r="AF16" s="273">
        <f>IF($Z$2="2018年",'Offer Statistics'!AW16,IF($Z$2="2019年",'Offer Statistics'!AW73,IF($Z$2="2020年",'Offer Statistics'!AW130)))</f>
        <v>2</v>
      </c>
      <c r="AG16" s="205"/>
      <c r="AH16" s="264">
        <f>IF($AG$2="2018年",'Offer Statistics'!AP16,IF($AG$2="2019年",'Offer Statistics'!AP73,IF($AG$2="2020年",'Offer Statistics'!AP130)))</f>
        <v>5381</v>
      </c>
      <c r="AI16" s="273">
        <f>IF($AG$2="2018年",'Offer Statistics'!AK16,IF($AG$2="2019年",'Offer Statistics'!AK73,IF($AG$2="2020年",'Offer Statistics'!AK130)))</f>
        <v>619</v>
      </c>
      <c r="AJ16" s="273">
        <f>IF($AG$2="2018年",'Offer Statistics'!AL16,IF($AG$2="2019年",'Offer Statistics'!AL73,IF($AG$2="2020年",'Offer Statistics'!AL130)))</f>
        <v>952</v>
      </c>
      <c r="AK16" s="273">
        <f>IF($AG$2="2018年",'Offer Statistics'!AM16,IF($AG$2="2019年",'Offer Statistics'!AM73,IF($AG$2="2020年",'Offer Statistics'!AM130)))</f>
        <v>1398</v>
      </c>
      <c r="AL16" s="273">
        <f>IF($AG$2="2018年",'Offer Statistics'!AN16,IF($AG$2="2019年",'Offer Statistics'!AN73,IF($AG$2="2020年",'Offer Statistics'!AN130)))</f>
        <v>1531</v>
      </c>
      <c r="AM16" s="273">
        <f>IF($AG$2="2018年",'Offer Statistics'!AO16,IF($AG$2="2019年",'Offer Statistics'!AO73,IF($AG$2="2020年",'Offer Statistics'!AO130)))</f>
        <v>881</v>
      </c>
      <c r="AN16" s="270"/>
      <c r="AO16" s="270" t="str">
        <f t="shared" si="3"/>
        <v>JS3583</v>
      </c>
      <c r="AP16" s="274"/>
    </row>
    <row r="17" ht="18.0" customHeight="1">
      <c r="A17" s="142" t="s">
        <v>316</v>
      </c>
      <c r="B17" s="142" t="s">
        <v>1301</v>
      </c>
      <c r="C17" s="142" t="s">
        <v>317</v>
      </c>
      <c r="D17" s="142" t="s">
        <v>1312</v>
      </c>
      <c r="E17" s="132" t="s">
        <v>21</v>
      </c>
      <c r="F17" s="199">
        <f>'PolyU 參考分數'!AE18</f>
        <v>153.5</v>
      </c>
      <c r="G17" s="199">
        <f>'PolyU 參考分數'!AF18</f>
        <v>149</v>
      </c>
      <c r="H17" s="200">
        <f>'計分版'!D123</f>
        <v>0.00000001975</v>
      </c>
      <c r="I17" s="201">
        <f t="shared" si="1"/>
        <v>-149</v>
      </c>
      <c r="J17" s="202">
        <f t="shared" si="2"/>
        <v>-7544303796</v>
      </c>
      <c r="K17" s="132">
        <v>30.0</v>
      </c>
      <c r="L17" s="203">
        <f>'入學要求'!S103</f>
        <v>0</v>
      </c>
      <c r="M17" s="131" t="s">
        <v>1077</v>
      </c>
      <c r="N17" s="131">
        <v>3.0</v>
      </c>
      <c r="O17" s="131">
        <v>3.0</v>
      </c>
      <c r="P17" s="131">
        <v>2.0</v>
      </c>
      <c r="Q17" s="131">
        <v>2.0</v>
      </c>
      <c r="R17" s="131">
        <v>3.0</v>
      </c>
      <c r="S17" s="131">
        <v>3.0</v>
      </c>
      <c r="T17" s="204">
        <f>'入學要求'!L103</f>
        <v>0</v>
      </c>
      <c r="U17" s="204">
        <f>'入學要求'!M103</f>
        <v>0</v>
      </c>
      <c r="V17" s="204">
        <f>'入學要求'!N103</f>
        <v>0</v>
      </c>
      <c r="W17" s="204">
        <f>'入學要求'!O103</f>
        <v>0</v>
      </c>
      <c r="X17" s="204">
        <f>'入學要求'!P103</f>
        <v>0</v>
      </c>
      <c r="Y17" s="204">
        <f>'入學要求'!Q103</f>
        <v>0</v>
      </c>
      <c r="Z17" s="205"/>
      <c r="AA17" s="132">
        <f>IF($Z$2="2018年",'Offer Statistics'!AX17,IF($Z$2="2019年",'Offer Statistics'!AX74,IF($Z$2="2020年",'Offer Statistics'!AX131)))</f>
        <v>26</v>
      </c>
      <c r="AB17" s="206">
        <f>IF($Z$2="2018年",'Offer Statistics'!AS17,IF($Z$2="2019年",'Offer Statistics'!AS74,IF($Z$2="2020年",'Offer Statistics'!AS131)))</f>
        <v>22</v>
      </c>
      <c r="AC17" s="206">
        <f>IF($Z$2="2018年",'Offer Statistics'!AT17,IF($Z$2="2019年",'Offer Statistics'!AT74,IF($Z$2="2020年",'Offer Statistics'!AT131)))</f>
        <v>3</v>
      </c>
      <c r="AD17" s="206">
        <f>IF($Z$2="2018年",'Offer Statistics'!AU17,IF($Z$2="2019年",'Offer Statistics'!AU74,IF($Z$2="2020年",'Offer Statistics'!AU131)))</f>
        <v>1</v>
      </c>
      <c r="AE17" s="206">
        <f>IF($Z$2="2018年",'Offer Statistics'!AV17,IF($Z$2="2019年",'Offer Statistics'!AV74,IF($Z$2="2020年",'Offer Statistics'!AV131)))</f>
        <v>0</v>
      </c>
      <c r="AF17" s="206">
        <f>IF($Z$2="2018年",'Offer Statistics'!AW17,IF($Z$2="2019年",'Offer Statistics'!AW74,IF($Z$2="2020年",'Offer Statistics'!AW131)))</f>
        <v>0</v>
      </c>
      <c r="AG17" s="205"/>
      <c r="AH17" s="132">
        <f>IF($AG$2="2018年",'Offer Statistics'!AP17,IF($AG$2="2019年",'Offer Statistics'!AP74,IF($AG$2="2020年",'Offer Statistics'!AP131)))</f>
        <v>2924</v>
      </c>
      <c r="AI17" s="206">
        <f>IF($AG$2="2018年",'Offer Statistics'!AK17,IF($AG$2="2019年",'Offer Statistics'!AK74,IF($AG$2="2020年",'Offer Statistics'!AK131)))</f>
        <v>264</v>
      </c>
      <c r="AJ17" s="206">
        <f>IF($AG$2="2018年",'Offer Statistics'!AL17,IF($AG$2="2019年",'Offer Statistics'!AL74,IF($AG$2="2020年",'Offer Statistics'!AL131)))</f>
        <v>446</v>
      </c>
      <c r="AK17" s="206">
        <f>IF($AG$2="2018年",'Offer Statistics'!AM17,IF($AG$2="2019年",'Offer Statistics'!AM74,IF($AG$2="2020年",'Offer Statistics'!AM131)))</f>
        <v>777</v>
      </c>
      <c r="AL17" s="206">
        <f>IF($AG$2="2018年",'Offer Statistics'!AN17,IF($AG$2="2019年",'Offer Statistics'!AN74,IF($AG$2="2020年",'Offer Statistics'!AN131)))</f>
        <v>847</v>
      </c>
      <c r="AM17" s="206">
        <f>IF($AG$2="2018年",'Offer Statistics'!AO17,IF($AG$2="2019年",'Offer Statistics'!AO74,IF($AG$2="2020年",'Offer Statistics'!AO131)))</f>
        <v>590</v>
      </c>
      <c r="AN17" s="131"/>
      <c r="AO17" s="131" t="str">
        <f t="shared" si="3"/>
        <v>JS3595</v>
      </c>
      <c r="AP17" s="112"/>
    </row>
    <row r="18" ht="18.0" customHeight="1">
      <c r="A18" s="263" t="s">
        <v>318</v>
      </c>
      <c r="B18" s="263" t="s">
        <v>1002</v>
      </c>
      <c r="C18" s="263" t="s">
        <v>319</v>
      </c>
      <c r="D18" s="263" t="s">
        <v>1313</v>
      </c>
      <c r="E18" s="264" t="s">
        <v>21</v>
      </c>
      <c r="F18" s="265">
        <f>'PolyU 參考分數'!AE19</f>
        <v>218.5</v>
      </c>
      <c r="G18" s="265">
        <f>'PolyU 參考分數'!AF19</f>
        <v>206</v>
      </c>
      <c r="H18" s="266">
        <f>'計分版'!D124</f>
        <v>0.00000002175</v>
      </c>
      <c r="I18" s="267">
        <f t="shared" si="1"/>
        <v>-206</v>
      </c>
      <c r="J18" s="268">
        <f t="shared" si="2"/>
        <v>-9471264367</v>
      </c>
      <c r="K18" s="264">
        <v>19.0</v>
      </c>
      <c r="L18" s="275">
        <f>'入學要求'!S104</f>
        <v>0</v>
      </c>
      <c r="M18" s="270" t="s">
        <v>541</v>
      </c>
      <c r="N18" s="270">
        <v>3.0</v>
      </c>
      <c r="O18" s="270">
        <v>3.0</v>
      </c>
      <c r="P18" s="270">
        <v>2.0</v>
      </c>
      <c r="Q18" s="270">
        <v>2.0</v>
      </c>
      <c r="R18" s="270">
        <v>3.0</v>
      </c>
      <c r="S18" s="270">
        <v>3.0</v>
      </c>
      <c r="T18" s="271">
        <f>'入學要求'!L104</f>
        <v>0</v>
      </c>
      <c r="U18" s="271">
        <f>'入學要求'!M104</f>
        <v>0</v>
      </c>
      <c r="V18" s="271">
        <f>'入學要求'!N104</f>
        <v>0</v>
      </c>
      <c r="W18" s="271">
        <f>'入學要求'!O104</f>
        <v>0</v>
      </c>
      <c r="X18" s="271">
        <f>'入學要求'!P104</f>
        <v>0</v>
      </c>
      <c r="Y18" s="271">
        <f>'入學要求'!Q104</f>
        <v>0</v>
      </c>
      <c r="Z18" s="205"/>
      <c r="AA18" s="264">
        <f>IF($Z$2="2018年",'Offer Statistics'!AX18,IF($Z$2="2019年",'Offer Statistics'!AX75,IF($Z$2="2020年",'Offer Statistics'!AX132)))</f>
        <v>26</v>
      </c>
      <c r="AB18" s="273">
        <f>IF($Z$2="2018年",'Offer Statistics'!AS18,IF($Z$2="2019年",'Offer Statistics'!AS75,IF($Z$2="2020年",'Offer Statistics'!AS132)))</f>
        <v>20</v>
      </c>
      <c r="AC18" s="273">
        <f>IF($Z$2="2018年",'Offer Statistics'!AT18,IF($Z$2="2019年",'Offer Statistics'!AT75,IF($Z$2="2020年",'Offer Statistics'!AT132)))</f>
        <v>3</v>
      </c>
      <c r="AD18" s="273">
        <f>IF($Z$2="2018年",'Offer Statistics'!AU18,IF($Z$2="2019年",'Offer Statistics'!AU75,IF($Z$2="2020年",'Offer Statistics'!AU132)))</f>
        <v>0</v>
      </c>
      <c r="AE18" s="273">
        <f>IF($Z$2="2018年",'Offer Statistics'!AV18,IF($Z$2="2019年",'Offer Statistics'!AV75,IF($Z$2="2020年",'Offer Statistics'!AV132)))</f>
        <v>2</v>
      </c>
      <c r="AF18" s="273">
        <f>IF($Z$2="2018年",'Offer Statistics'!AW18,IF($Z$2="2019年",'Offer Statistics'!AW75,IF($Z$2="2020年",'Offer Statistics'!AW132)))</f>
        <v>1</v>
      </c>
      <c r="AG18" s="205"/>
      <c r="AH18" s="264">
        <f>IF($AG$2="2018年",'Offer Statistics'!AP18,IF($AG$2="2019年",'Offer Statistics'!AP75,IF($AG$2="2020年",'Offer Statistics'!AP132)))</f>
        <v>2568</v>
      </c>
      <c r="AI18" s="273">
        <f>IF($AG$2="2018年",'Offer Statistics'!AK18,IF($AG$2="2019年",'Offer Statistics'!AK75,IF($AG$2="2020年",'Offer Statistics'!AK132)))</f>
        <v>197</v>
      </c>
      <c r="AJ18" s="273">
        <f>IF($AG$2="2018年",'Offer Statistics'!AL18,IF($AG$2="2019年",'Offer Statistics'!AL75,IF($AG$2="2020年",'Offer Statistics'!AL132)))</f>
        <v>324</v>
      </c>
      <c r="AK18" s="273">
        <f>IF($AG$2="2018年",'Offer Statistics'!AM18,IF($AG$2="2019年",'Offer Statistics'!AM75,IF($AG$2="2020年",'Offer Statistics'!AM132)))</f>
        <v>554</v>
      </c>
      <c r="AL18" s="273">
        <f>IF($AG$2="2018年",'Offer Statistics'!AN18,IF($AG$2="2019年",'Offer Statistics'!AN75,IF($AG$2="2020年",'Offer Statistics'!AN132)))</f>
        <v>853</v>
      </c>
      <c r="AM18" s="273">
        <f>IF($AG$2="2018年",'Offer Statistics'!AO18,IF($AG$2="2019年",'Offer Statistics'!AO75,IF($AG$2="2020年",'Offer Statistics'!AO132)))</f>
        <v>640</v>
      </c>
      <c r="AN18" s="270"/>
      <c r="AO18" s="270" t="str">
        <f t="shared" si="3"/>
        <v>JS3600</v>
      </c>
      <c r="AP18" s="274"/>
    </row>
    <row r="19" ht="18.0" customHeight="1">
      <c r="A19" s="142" t="s">
        <v>320</v>
      </c>
      <c r="B19" s="142" t="s">
        <v>1292</v>
      </c>
      <c r="C19" s="142" t="s">
        <v>321</v>
      </c>
      <c r="D19" s="142" t="s">
        <v>1314</v>
      </c>
      <c r="E19" s="132" t="s">
        <v>24</v>
      </c>
      <c r="F19" s="199">
        <f>'PolyU 參考分數'!AE20</f>
        <v>345</v>
      </c>
      <c r="G19" s="199">
        <f>'PolyU 參考分數'!AF20</f>
        <v>335</v>
      </c>
      <c r="H19" s="200">
        <f>'計分版'!D125</f>
        <v>0.00000002275</v>
      </c>
      <c r="I19" s="201">
        <f t="shared" si="1"/>
        <v>-335</v>
      </c>
      <c r="J19" s="202">
        <f t="shared" si="2"/>
        <v>-14725274724</v>
      </c>
      <c r="K19" s="132">
        <v>110.0</v>
      </c>
      <c r="L19" s="203">
        <f>'入學要求'!S105</f>
        <v>0</v>
      </c>
      <c r="M19" s="131" t="s">
        <v>541</v>
      </c>
      <c r="N19" s="131">
        <v>3.0</v>
      </c>
      <c r="O19" s="131">
        <v>3.0</v>
      </c>
      <c r="P19" s="131">
        <v>2.0</v>
      </c>
      <c r="Q19" s="131">
        <v>2.0</v>
      </c>
      <c r="R19" s="131">
        <v>3.0</v>
      </c>
      <c r="S19" s="131">
        <v>3.0</v>
      </c>
      <c r="T19" s="204">
        <f>'入學要求'!L105</f>
        <v>0</v>
      </c>
      <c r="U19" s="204">
        <f>'入學要求'!M105</f>
        <v>0</v>
      </c>
      <c r="V19" s="204">
        <f>'入學要求'!N105</f>
        <v>0</v>
      </c>
      <c r="W19" s="204">
        <f>'入學要求'!O105</f>
        <v>0</v>
      </c>
      <c r="X19" s="204">
        <f>'入學要求'!P105</f>
        <v>0</v>
      </c>
      <c r="Y19" s="204">
        <f>'入學要求'!Q105</f>
        <v>0</v>
      </c>
      <c r="Z19" s="205"/>
      <c r="AA19" s="132">
        <f>IF($Z$2="2018年",'Offer Statistics'!AX19,IF($Z$2="2019年",'Offer Statistics'!AX76,IF($Z$2="2020年",'Offer Statistics'!AX133)))</f>
        <v>113</v>
      </c>
      <c r="AB19" s="206">
        <f>IF($Z$2="2018年",'Offer Statistics'!AS19,IF($Z$2="2019年",'Offer Statistics'!AS76,IF($Z$2="2020年",'Offer Statistics'!AS133)))</f>
        <v>112</v>
      </c>
      <c r="AC19" s="206">
        <f>IF($Z$2="2018年",'Offer Statistics'!AT19,IF($Z$2="2019年",'Offer Statistics'!AT76,IF($Z$2="2020年",'Offer Statistics'!AT133)))</f>
        <v>1</v>
      </c>
      <c r="AD19" s="206">
        <f>IF($Z$2="2018年",'Offer Statistics'!AU19,IF($Z$2="2019年",'Offer Statistics'!AU76,IF($Z$2="2020年",'Offer Statistics'!AU133)))</f>
        <v>0</v>
      </c>
      <c r="AE19" s="206">
        <f>IF($Z$2="2018年",'Offer Statistics'!AV19,IF($Z$2="2019年",'Offer Statistics'!AV76,IF($Z$2="2020年",'Offer Statistics'!AV133)))</f>
        <v>0</v>
      </c>
      <c r="AF19" s="206">
        <f>IF($Z$2="2018年",'Offer Statistics'!AW19,IF($Z$2="2019年",'Offer Statistics'!AW76,IF($Z$2="2020年",'Offer Statistics'!AW133)))</f>
        <v>0</v>
      </c>
      <c r="AG19" s="205"/>
      <c r="AH19" s="132">
        <f>IF($AG$2="2018年",'Offer Statistics'!AP19,IF($AG$2="2019年",'Offer Statistics'!AP76,IF($AG$2="2020年",'Offer Statistics'!AP133)))</f>
        <v>2332</v>
      </c>
      <c r="AI19" s="206">
        <f>IF($AG$2="2018年",'Offer Statistics'!AK19,IF($AG$2="2019年",'Offer Statistics'!AK76,IF($AG$2="2020年",'Offer Statistics'!AK133)))</f>
        <v>587</v>
      </c>
      <c r="AJ19" s="206">
        <f>IF($AG$2="2018年",'Offer Statistics'!AL19,IF($AG$2="2019年",'Offer Statistics'!AL76,IF($AG$2="2020年",'Offer Statistics'!AL133)))</f>
        <v>291</v>
      </c>
      <c r="AK19" s="206">
        <f>IF($AG$2="2018年",'Offer Statistics'!AM19,IF($AG$2="2019年",'Offer Statistics'!AM76,IF($AG$2="2020年",'Offer Statistics'!AM133)))</f>
        <v>404</v>
      </c>
      <c r="AL19" s="206">
        <f>IF($AG$2="2018年",'Offer Statistics'!AN19,IF($AG$2="2019年",'Offer Statistics'!AN76,IF($AG$2="2020年",'Offer Statistics'!AN133)))</f>
        <v>502</v>
      </c>
      <c r="AM19" s="206">
        <f>IF($AG$2="2018年",'Offer Statistics'!AO19,IF($AG$2="2019年",'Offer Statistics'!AO76,IF($AG$2="2020年",'Offer Statistics'!AO133)))</f>
        <v>548</v>
      </c>
      <c r="AN19" s="131"/>
      <c r="AO19" s="131" t="str">
        <f t="shared" si="3"/>
        <v>JS3612</v>
      </c>
      <c r="AP19" s="112"/>
    </row>
    <row r="20" ht="18.0" customHeight="1">
      <c r="A20" s="263" t="s">
        <v>322</v>
      </c>
      <c r="B20" s="263" t="s">
        <v>1292</v>
      </c>
      <c r="C20" s="263" t="s">
        <v>323</v>
      </c>
      <c r="D20" s="263" t="s">
        <v>1315</v>
      </c>
      <c r="E20" s="264" t="s">
        <v>24</v>
      </c>
      <c r="F20" s="265">
        <f>'PolyU 參考分數'!AE21</f>
        <v>327</v>
      </c>
      <c r="G20" s="265">
        <f>'PolyU 參考分數'!AF21</f>
        <v>327</v>
      </c>
      <c r="H20" s="266">
        <f>'計分版'!D126</f>
        <v>0.00000002255</v>
      </c>
      <c r="I20" s="267">
        <f t="shared" si="1"/>
        <v>-327</v>
      </c>
      <c r="J20" s="268">
        <f t="shared" si="2"/>
        <v>-14501108646</v>
      </c>
      <c r="K20" s="264">
        <v>100.0</v>
      </c>
      <c r="L20" s="275">
        <f>'入學要求'!S106</f>
        <v>0</v>
      </c>
      <c r="M20" s="277" t="s">
        <v>1166</v>
      </c>
      <c r="N20" s="270">
        <v>3.0</v>
      </c>
      <c r="O20" s="270">
        <v>3.0</v>
      </c>
      <c r="P20" s="270">
        <v>2.0</v>
      </c>
      <c r="Q20" s="270">
        <v>2.0</v>
      </c>
      <c r="R20" s="270">
        <v>3.0</v>
      </c>
      <c r="S20" s="270">
        <v>3.0</v>
      </c>
      <c r="T20" s="271">
        <f>'入學要求'!L106</f>
        <v>0</v>
      </c>
      <c r="U20" s="271">
        <f>'入學要求'!M106</f>
        <v>0</v>
      </c>
      <c r="V20" s="271">
        <f>'入學要求'!N106</f>
        <v>0</v>
      </c>
      <c r="W20" s="271">
        <f>'入學要求'!O106</f>
        <v>0</v>
      </c>
      <c r="X20" s="271">
        <f>'入學要求'!P106</f>
        <v>0</v>
      </c>
      <c r="Y20" s="271">
        <f>'入學要求'!Q106</f>
        <v>0</v>
      </c>
      <c r="Z20" s="205"/>
      <c r="AA20" s="264">
        <f>IF($Z$2="2018年",'Offer Statistics'!AX20,IF($Z$2="2019年",'Offer Statistics'!AX77,IF($Z$2="2020年",'Offer Statistics'!AX134)))</f>
        <v>101</v>
      </c>
      <c r="AB20" s="273">
        <f>IF($Z$2="2018年",'Offer Statistics'!AS20,IF($Z$2="2019年",'Offer Statistics'!AS77,IF($Z$2="2020年",'Offer Statistics'!AS134)))</f>
        <v>100</v>
      </c>
      <c r="AC20" s="273">
        <f>IF($Z$2="2018年",'Offer Statistics'!AT20,IF($Z$2="2019年",'Offer Statistics'!AT77,IF($Z$2="2020年",'Offer Statistics'!AT134)))</f>
        <v>1</v>
      </c>
      <c r="AD20" s="273">
        <f>IF($Z$2="2018年",'Offer Statistics'!AU20,IF($Z$2="2019年",'Offer Statistics'!AU77,IF($Z$2="2020年",'Offer Statistics'!AU134)))</f>
        <v>0</v>
      </c>
      <c r="AE20" s="273">
        <f>IF($Z$2="2018年",'Offer Statistics'!AV20,IF($Z$2="2019年",'Offer Statistics'!AV77,IF($Z$2="2020年",'Offer Statistics'!AV134)))</f>
        <v>0</v>
      </c>
      <c r="AF20" s="273">
        <f>IF($Z$2="2018年",'Offer Statistics'!AW20,IF($Z$2="2019年",'Offer Statistics'!AW77,IF($Z$2="2020年",'Offer Statistics'!AW134)))</f>
        <v>0</v>
      </c>
      <c r="AG20" s="205"/>
      <c r="AH20" s="264">
        <f>IF($AG$2="2018年",'Offer Statistics'!AP20,IF($AG$2="2019年",'Offer Statistics'!AP77,IF($AG$2="2020年",'Offer Statistics'!AP134)))</f>
        <v>2169</v>
      </c>
      <c r="AI20" s="273">
        <f>IF($AG$2="2018年",'Offer Statistics'!AK20,IF($AG$2="2019年",'Offer Statistics'!AK77,IF($AG$2="2020年",'Offer Statistics'!AK134)))</f>
        <v>483</v>
      </c>
      <c r="AJ20" s="273">
        <f>IF($AG$2="2018年",'Offer Statistics'!AL20,IF($AG$2="2019年",'Offer Statistics'!AL77,IF($AG$2="2020年",'Offer Statistics'!AL134)))</f>
        <v>252</v>
      </c>
      <c r="AK20" s="273">
        <f>IF($AG$2="2018年",'Offer Statistics'!AM20,IF($AG$2="2019年",'Offer Statistics'!AM77,IF($AG$2="2020年",'Offer Statistics'!AM134)))</f>
        <v>400</v>
      </c>
      <c r="AL20" s="273">
        <f>IF($AG$2="2018年",'Offer Statistics'!AN20,IF($AG$2="2019年",'Offer Statistics'!AN77,IF($AG$2="2020年",'Offer Statistics'!AN134)))</f>
        <v>534</v>
      </c>
      <c r="AM20" s="273">
        <f>IF($AG$2="2018年",'Offer Statistics'!AO20,IF($AG$2="2019年",'Offer Statistics'!AO77,IF($AG$2="2020年",'Offer Statistics'!AO134)))</f>
        <v>500</v>
      </c>
      <c r="AN20" s="270"/>
      <c r="AO20" s="270" t="str">
        <f t="shared" si="3"/>
        <v>JS3624</v>
      </c>
      <c r="AP20" s="274"/>
    </row>
    <row r="21" ht="18.0" customHeight="1">
      <c r="A21" s="142" t="s">
        <v>324</v>
      </c>
      <c r="B21" s="142" t="s">
        <v>1292</v>
      </c>
      <c r="C21" s="142" t="s">
        <v>325</v>
      </c>
      <c r="D21" s="142" t="s">
        <v>1316</v>
      </c>
      <c r="E21" s="132" t="s">
        <v>24</v>
      </c>
      <c r="F21" s="199">
        <f>'PolyU 參考分數'!AE22</f>
        <v>322.5</v>
      </c>
      <c r="G21" s="199">
        <f>'PolyU 參考分數'!AF22</f>
        <v>306</v>
      </c>
      <c r="H21" s="200">
        <f>'計分版'!D127</f>
        <v>0.00000002255</v>
      </c>
      <c r="I21" s="201">
        <f t="shared" si="1"/>
        <v>-306</v>
      </c>
      <c r="J21" s="202">
        <f t="shared" si="2"/>
        <v>-13569844788</v>
      </c>
      <c r="K21" s="132">
        <v>150.0</v>
      </c>
      <c r="L21" s="203">
        <f>'入學要求'!S107</f>
        <v>0</v>
      </c>
      <c r="M21" s="135" t="s">
        <v>1166</v>
      </c>
      <c r="N21" s="131">
        <v>3.0</v>
      </c>
      <c r="O21" s="131">
        <v>3.0</v>
      </c>
      <c r="P21" s="131">
        <v>2.0</v>
      </c>
      <c r="Q21" s="131">
        <v>2.0</v>
      </c>
      <c r="R21" s="131">
        <v>3.0</v>
      </c>
      <c r="S21" s="131">
        <v>3.0</v>
      </c>
      <c r="T21" s="204">
        <f>'入學要求'!L107</f>
        <v>0</v>
      </c>
      <c r="U21" s="204">
        <f>'入學要求'!M107</f>
        <v>0</v>
      </c>
      <c r="V21" s="204">
        <f>'入學要求'!N107</f>
        <v>0</v>
      </c>
      <c r="W21" s="204">
        <f>'入學要求'!O107</f>
        <v>0</v>
      </c>
      <c r="X21" s="204">
        <f>'入學要求'!P107</f>
        <v>0</v>
      </c>
      <c r="Y21" s="204">
        <f>'入學要求'!Q107</f>
        <v>0</v>
      </c>
      <c r="Z21" s="205"/>
      <c r="AA21" s="132">
        <f>IF($Z$2="2018年",'Offer Statistics'!AX21,IF($Z$2="2019年",'Offer Statistics'!AX78,IF($Z$2="2020年",'Offer Statistics'!AX135)))</f>
        <v>142</v>
      </c>
      <c r="AB21" s="206">
        <f>IF($Z$2="2018年",'Offer Statistics'!AS21,IF($Z$2="2019年",'Offer Statistics'!AS78,IF($Z$2="2020年",'Offer Statistics'!AS135)))</f>
        <v>139</v>
      </c>
      <c r="AC21" s="206">
        <f>IF($Z$2="2018年",'Offer Statistics'!AT21,IF($Z$2="2019年",'Offer Statistics'!AT78,IF($Z$2="2020年",'Offer Statistics'!AT135)))</f>
        <v>3</v>
      </c>
      <c r="AD21" s="206">
        <f>IF($Z$2="2018年",'Offer Statistics'!AU21,IF($Z$2="2019年",'Offer Statistics'!AU78,IF($Z$2="2020年",'Offer Statistics'!AU135)))</f>
        <v>0</v>
      </c>
      <c r="AE21" s="206">
        <f>IF($Z$2="2018年",'Offer Statistics'!AV21,IF($Z$2="2019年",'Offer Statistics'!AV78,IF($Z$2="2020年",'Offer Statistics'!AV135)))</f>
        <v>0</v>
      </c>
      <c r="AF21" s="206">
        <f>IF($Z$2="2018年",'Offer Statistics'!AW21,IF($Z$2="2019年",'Offer Statistics'!AW78,IF($Z$2="2020年",'Offer Statistics'!AW135)))</f>
        <v>0</v>
      </c>
      <c r="AG21" s="205"/>
      <c r="AH21" s="132">
        <f>IF($AG$2="2018年",'Offer Statistics'!AP21,IF($AG$2="2019年",'Offer Statistics'!AP78,IF($AG$2="2020年",'Offer Statistics'!AP135)))</f>
        <v>2424</v>
      </c>
      <c r="AI21" s="206">
        <f>IF($AG$2="2018年",'Offer Statistics'!AK21,IF($AG$2="2019年",'Offer Statistics'!AK78,IF($AG$2="2020年",'Offer Statistics'!AK135)))</f>
        <v>518</v>
      </c>
      <c r="AJ21" s="206">
        <f>IF($AG$2="2018年",'Offer Statistics'!AL21,IF($AG$2="2019年",'Offer Statistics'!AL78,IF($AG$2="2020年",'Offer Statistics'!AL135)))</f>
        <v>296</v>
      </c>
      <c r="AK21" s="206">
        <f>IF($AG$2="2018年",'Offer Statistics'!AM21,IF($AG$2="2019年",'Offer Statistics'!AM78,IF($AG$2="2020年",'Offer Statistics'!AM135)))</f>
        <v>429</v>
      </c>
      <c r="AL21" s="206">
        <f>IF($AG$2="2018年",'Offer Statistics'!AN21,IF($AG$2="2019年",'Offer Statistics'!AN78,IF($AG$2="2020年",'Offer Statistics'!AN135)))</f>
        <v>608</v>
      </c>
      <c r="AM21" s="206">
        <f>IF($AG$2="2018年",'Offer Statistics'!AO21,IF($AG$2="2019年",'Offer Statistics'!AO78,IF($AG$2="2020年",'Offer Statistics'!AO135)))</f>
        <v>573</v>
      </c>
      <c r="AN21" s="131"/>
      <c r="AO21" s="131" t="str">
        <f t="shared" si="3"/>
        <v>JS3636</v>
      </c>
      <c r="AP21" s="112"/>
    </row>
    <row r="22" ht="18.0" customHeight="1">
      <c r="A22" s="263" t="s">
        <v>326</v>
      </c>
      <c r="B22" s="263" t="s">
        <v>1292</v>
      </c>
      <c r="C22" s="263" t="s">
        <v>327</v>
      </c>
      <c r="D22" s="263" t="s">
        <v>1317</v>
      </c>
      <c r="E22" s="264" t="s">
        <v>191</v>
      </c>
      <c r="F22" s="265">
        <f>'PolyU 參考分數'!AE23</f>
        <v>265</v>
      </c>
      <c r="G22" s="265">
        <f>'PolyU 參考分數'!AF23</f>
        <v>257.5</v>
      </c>
      <c r="H22" s="266">
        <f>'計分版'!D128</f>
        <v>0.00000001925</v>
      </c>
      <c r="I22" s="267">
        <f t="shared" si="1"/>
        <v>-257.5</v>
      </c>
      <c r="J22" s="268">
        <f t="shared" si="2"/>
        <v>-13376623376</v>
      </c>
      <c r="K22" s="264">
        <v>193.0</v>
      </c>
      <c r="L22" s="275">
        <f>'入學要求'!S108</f>
        <v>0</v>
      </c>
      <c r="M22" s="270" t="s">
        <v>541</v>
      </c>
      <c r="N22" s="270">
        <v>3.0</v>
      </c>
      <c r="O22" s="270">
        <v>3.0</v>
      </c>
      <c r="P22" s="270">
        <v>2.0</v>
      </c>
      <c r="Q22" s="270">
        <v>2.0</v>
      </c>
      <c r="R22" s="270">
        <v>3.0</v>
      </c>
      <c r="S22" s="270">
        <v>3.0</v>
      </c>
      <c r="T22" s="271">
        <f>'入學要求'!L108</f>
        <v>0</v>
      </c>
      <c r="U22" s="271">
        <f>'入學要求'!M108</f>
        <v>0</v>
      </c>
      <c r="V22" s="271">
        <f>'入學要求'!N108</f>
        <v>0</v>
      </c>
      <c r="W22" s="271">
        <f>'入學要求'!O108</f>
        <v>0</v>
      </c>
      <c r="X22" s="271">
        <f>'入學要求'!P108</f>
        <v>0</v>
      </c>
      <c r="Y22" s="271">
        <f>'入學要求'!Q108</f>
        <v>0</v>
      </c>
      <c r="Z22" s="205"/>
      <c r="AA22" s="264">
        <f>IF($Z$2="2018年",'Offer Statistics'!AX22,IF($Z$2="2019年",'Offer Statistics'!AX79,IF($Z$2="2020年",'Offer Statistics'!AX136)))</f>
        <v>165</v>
      </c>
      <c r="AB22" s="273">
        <f>IF($Z$2="2018年",'Offer Statistics'!AS22,IF($Z$2="2019年",'Offer Statistics'!AS79,IF($Z$2="2020年",'Offer Statistics'!AS136)))</f>
        <v>163</v>
      </c>
      <c r="AC22" s="273">
        <f>IF($Z$2="2018年",'Offer Statistics'!AT22,IF($Z$2="2019年",'Offer Statistics'!AT79,IF($Z$2="2020年",'Offer Statistics'!AT136)))</f>
        <v>1</v>
      </c>
      <c r="AD22" s="273">
        <f>IF($Z$2="2018年",'Offer Statistics'!AU22,IF($Z$2="2019年",'Offer Statistics'!AU79,IF($Z$2="2020年",'Offer Statistics'!AU136)))</f>
        <v>1</v>
      </c>
      <c r="AE22" s="273">
        <f>IF($Z$2="2018年",'Offer Statistics'!AV22,IF($Z$2="2019年",'Offer Statistics'!AV79,IF($Z$2="2020年",'Offer Statistics'!AV136)))</f>
        <v>0</v>
      </c>
      <c r="AF22" s="273">
        <f>IF($Z$2="2018年",'Offer Statistics'!AW22,IF($Z$2="2019年",'Offer Statistics'!AW79,IF($Z$2="2020年",'Offer Statistics'!AW136)))</f>
        <v>0</v>
      </c>
      <c r="AG22" s="205"/>
      <c r="AH22" s="264">
        <f>IF($AG$2="2018年",'Offer Statistics'!AP22,IF($AG$2="2019年",'Offer Statistics'!AP79,IF($AG$2="2020年",'Offer Statistics'!AP136)))</f>
        <v>4864</v>
      </c>
      <c r="AI22" s="273">
        <f>IF($AG$2="2018年",'Offer Statistics'!AK22,IF($AG$2="2019年",'Offer Statistics'!AK79,IF($AG$2="2020年",'Offer Statistics'!AK136)))</f>
        <v>1154</v>
      </c>
      <c r="AJ22" s="273">
        <f>IF($AG$2="2018年",'Offer Statistics'!AL22,IF($AG$2="2019年",'Offer Statistics'!AL79,IF($AG$2="2020年",'Offer Statistics'!AL136)))</f>
        <v>862</v>
      </c>
      <c r="AK22" s="273">
        <f>IF($AG$2="2018年",'Offer Statistics'!AM22,IF($AG$2="2019年",'Offer Statistics'!AM79,IF($AG$2="2020年",'Offer Statistics'!AM136)))</f>
        <v>996</v>
      </c>
      <c r="AL22" s="273">
        <f>IF($AG$2="2018年",'Offer Statistics'!AN22,IF($AG$2="2019年",'Offer Statistics'!AN79,IF($AG$2="2020年",'Offer Statistics'!AN136)))</f>
        <v>1063</v>
      </c>
      <c r="AM22" s="273">
        <f>IF($AG$2="2018年",'Offer Statistics'!AO22,IF($AG$2="2019年",'Offer Statistics'!AO79,IF($AG$2="2020年",'Offer Statistics'!AO136)))</f>
        <v>789</v>
      </c>
      <c r="AN22" s="270"/>
      <c r="AO22" s="270" t="str">
        <f t="shared" si="3"/>
        <v>JS3648</v>
      </c>
      <c r="AP22" s="274"/>
    </row>
    <row r="23" ht="18.0" customHeight="1">
      <c r="A23" s="142" t="s">
        <v>328</v>
      </c>
      <c r="B23" s="142" t="s">
        <v>1292</v>
      </c>
      <c r="C23" s="142" t="s">
        <v>329</v>
      </c>
      <c r="D23" s="142" t="s">
        <v>1318</v>
      </c>
      <c r="E23" s="132" t="s">
        <v>24</v>
      </c>
      <c r="F23" s="199">
        <f>'PolyU 參考分數'!AE24</f>
        <v>360</v>
      </c>
      <c r="G23" s="199">
        <f>'PolyU 參考分數'!AF24</f>
        <v>318</v>
      </c>
      <c r="H23" s="200">
        <f>'計分版'!D129</f>
        <v>0.00000002475</v>
      </c>
      <c r="I23" s="201">
        <f t="shared" si="1"/>
        <v>-318</v>
      </c>
      <c r="J23" s="202">
        <f t="shared" si="2"/>
        <v>-12848484847</v>
      </c>
      <c r="K23" s="132">
        <v>45.0</v>
      </c>
      <c r="L23" s="203">
        <f>'入學要求'!S109</f>
        <v>0</v>
      </c>
      <c r="M23" s="131" t="s">
        <v>541</v>
      </c>
      <c r="N23" s="131">
        <v>3.0</v>
      </c>
      <c r="O23" s="131">
        <v>3.0</v>
      </c>
      <c r="P23" s="131">
        <v>2.0</v>
      </c>
      <c r="Q23" s="131">
        <v>2.0</v>
      </c>
      <c r="R23" s="131">
        <v>3.0</v>
      </c>
      <c r="S23" s="131">
        <v>3.0</v>
      </c>
      <c r="T23" s="204">
        <f>'入學要求'!L109</f>
        <v>0</v>
      </c>
      <c r="U23" s="204">
        <f>'入學要求'!M109</f>
        <v>0</v>
      </c>
      <c r="V23" s="204">
        <f>'入學要求'!N109</f>
        <v>0</v>
      </c>
      <c r="W23" s="204">
        <f>'入學要求'!O109</f>
        <v>0</v>
      </c>
      <c r="X23" s="204">
        <f>'入學要求'!P109</f>
        <v>0</v>
      </c>
      <c r="Y23" s="204">
        <f>'入學要求'!Q109</f>
        <v>0</v>
      </c>
      <c r="Z23" s="205"/>
      <c r="AA23" s="132">
        <f>IF($Z$2="2018年",'Offer Statistics'!AX23,IF($Z$2="2019年",'Offer Statistics'!AX80,IF($Z$2="2020年",'Offer Statistics'!AX137)))</f>
        <v>51</v>
      </c>
      <c r="AB23" s="206">
        <f>IF($Z$2="2018年",'Offer Statistics'!AS23,IF($Z$2="2019年",'Offer Statistics'!AS80,IF($Z$2="2020年",'Offer Statistics'!AS137)))</f>
        <v>46</v>
      </c>
      <c r="AC23" s="206">
        <f>IF($Z$2="2018年",'Offer Statistics'!AT23,IF($Z$2="2019年",'Offer Statistics'!AT80,IF($Z$2="2020年",'Offer Statistics'!AT137)))</f>
        <v>5</v>
      </c>
      <c r="AD23" s="206">
        <f>IF($Z$2="2018年",'Offer Statistics'!AU23,IF($Z$2="2019年",'Offer Statistics'!AU80,IF($Z$2="2020年",'Offer Statistics'!AU137)))</f>
        <v>0</v>
      </c>
      <c r="AE23" s="206">
        <f>IF($Z$2="2018年",'Offer Statistics'!AV23,IF($Z$2="2019年",'Offer Statistics'!AV80,IF($Z$2="2020年",'Offer Statistics'!AV137)))</f>
        <v>0</v>
      </c>
      <c r="AF23" s="206">
        <f>IF($Z$2="2018年",'Offer Statistics'!AW23,IF($Z$2="2019年",'Offer Statistics'!AW80,IF($Z$2="2020年",'Offer Statistics'!AW137)))</f>
        <v>0</v>
      </c>
      <c r="AG23" s="205"/>
      <c r="AH23" s="132">
        <f>IF($AG$2="2018年",'Offer Statistics'!AP23,IF($AG$2="2019年",'Offer Statistics'!AP80,IF($AG$2="2020年",'Offer Statistics'!AP137)))</f>
        <v>1810</v>
      </c>
      <c r="AI23" s="206">
        <f>IF($AG$2="2018年",'Offer Statistics'!AK23,IF($AG$2="2019年",'Offer Statistics'!AK80,IF($AG$2="2020年",'Offer Statistics'!AK137)))</f>
        <v>264</v>
      </c>
      <c r="AJ23" s="206">
        <f>IF($AG$2="2018年",'Offer Statistics'!AL23,IF($AG$2="2019年",'Offer Statistics'!AL80,IF($AG$2="2020年",'Offer Statistics'!AL137)))</f>
        <v>231</v>
      </c>
      <c r="AK23" s="206">
        <f>IF($AG$2="2018年",'Offer Statistics'!AM23,IF($AG$2="2019年",'Offer Statistics'!AM80,IF($AG$2="2020年",'Offer Statistics'!AM137)))</f>
        <v>378</v>
      </c>
      <c r="AL23" s="206">
        <f>IF($AG$2="2018年",'Offer Statistics'!AN23,IF($AG$2="2019年",'Offer Statistics'!AN80,IF($AG$2="2020年",'Offer Statistics'!AN137)))</f>
        <v>466</v>
      </c>
      <c r="AM23" s="206">
        <f>IF($AG$2="2018年",'Offer Statistics'!AO23,IF($AG$2="2019年",'Offer Statistics'!AO80,IF($AG$2="2020年",'Offer Statistics'!AO137)))</f>
        <v>471</v>
      </c>
      <c r="AN23" s="131"/>
      <c r="AO23" s="131" t="str">
        <f t="shared" si="3"/>
        <v>JS3650</v>
      </c>
      <c r="AP23" s="112"/>
    </row>
    <row r="24" ht="18.0" customHeight="1">
      <c r="A24" s="263" t="s">
        <v>330</v>
      </c>
      <c r="B24" s="263" t="s">
        <v>1292</v>
      </c>
      <c r="C24" s="263" t="s">
        <v>331</v>
      </c>
      <c r="D24" s="263" t="s">
        <v>1319</v>
      </c>
      <c r="E24" s="270" t="s">
        <v>191</v>
      </c>
      <c r="F24" s="265">
        <f>'PolyU 參考分數'!AE25</f>
        <v>184</v>
      </c>
      <c r="G24" s="265">
        <f>'PolyU 參考分數'!AF25</f>
        <v>183.5</v>
      </c>
      <c r="H24" s="266">
        <f>'計分版'!D130</f>
        <v>0.00000001625</v>
      </c>
      <c r="I24" s="267">
        <f t="shared" si="1"/>
        <v>-183.5</v>
      </c>
      <c r="J24" s="268">
        <f t="shared" si="2"/>
        <v>-11292307691</v>
      </c>
      <c r="K24" s="264">
        <v>32.0</v>
      </c>
      <c r="L24" s="275">
        <f>'入學要求'!S110</f>
        <v>0</v>
      </c>
      <c r="M24" s="277" t="s">
        <v>1166</v>
      </c>
      <c r="N24" s="270">
        <v>3.0</v>
      </c>
      <c r="O24" s="270">
        <v>3.0</v>
      </c>
      <c r="P24" s="270">
        <v>2.0</v>
      </c>
      <c r="Q24" s="270">
        <v>2.0</v>
      </c>
      <c r="R24" s="270">
        <v>3.0</v>
      </c>
      <c r="S24" s="270">
        <v>3.0</v>
      </c>
      <c r="T24" s="271">
        <f>'入學要求'!L110</f>
        <v>0</v>
      </c>
      <c r="U24" s="271">
        <f>'入學要求'!M110</f>
        <v>0</v>
      </c>
      <c r="V24" s="271">
        <f>'入學要求'!N110</f>
        <v>0</v>
      </c>
      <c r="W24" s="271">
        <f>'入學要求'!O110</f>
        <v>0</v>
      </c>
      <c r="X24" s="271">
        <f>'入學要求'!P110</f>
        <v>0</v>
      </c>
      <c r="Y24" s="271">
        <f>'入學要求'!Q110</f>
        <v>0</v>
      </c>
      <c r="Z24" s="205"/>
      <c r="AA24" s="264">
        <f>IF($Z$2="2018年",'Offer Statistics'!AX24,IF($Z$2="2019年",'Offer Statistics'!AX81,IF($Z$2="2020年",'Offer Statistics'!AX138)))</f>
        <v>35</v>
      </c>
      <c r="AB24" s="273">
        <f>IF($Z$2="2018年",'Offer Statistics'!AS24,IF($Z$2="2019年",'Offer Statistics'!AS81,IF($Z$2="2020年",'Offer Statistics'!AS138)))</f>
        <v>35</v>
      </c>
      <c r="AC24" s="273">
        <f>IF($Z$2="2018年",'Offer Statistics'!AT24,IF($Z$2="2019年",'Offer Statistics'!AT81,IF($Z$2="2020年",'Offer Statistics'!AT138)))</f>
        <v>0</v>
      </c>
      <c r="AD24" s="273">
        <f>IF($Z$2="2018年",'Offer Statistics'!AU24,IF($Z$2="2019年",'Offer Statistics'!AU81,IF($Z$2="2020年",'Offer Statistics'!AU138)))</f>
        <v>0</v>
      </c>
      <c r="AE24" s="273">
        <f>IF($Z$2="2018年",'Offer Statistics'!AV24,IF($Z$2="2019年",'Offer Statistics'!AV81,IF($Z$2="2020年",'Offer Statistics'!AV138)))</f>
        <v>0</v>
      </c>
      <c r="AF24" s="273">
        <f>IF($Z$2="2018年",'Offer Statistics'!AW24,IF($Z$2="2019年",'Offer Statistics'!AW81,IF($Z$2="2020年",'Offer Statistics'!AW138)))</f>
        <v>0</v>
      </c>
      <c r="AG24" s="205"/>
      <c r="AH24" s="264">
        <f>IF($AG$2="2018年",'Offer Statistics'!AP24,IF($AG$2="2019年",'Offer Statistics'!AP81,IF($AG$2="2020年",'Offer Statistics'!AP138)))</f>
        <v>4090</v>
      </c>
      <c r="AI24" s="273">
        <f>IF($AG$2="2018年",'Offer Statistics'!AK24,IF($AG$2="2019年",'Offer Statistics'!AK81,IF($AG$2="2020年",'Offer Statistics'!AK138)))</f>
        <v>546</v>
      </c>
      <c r="AJ24" s="273">
        <f>IF($AG$2="2018年",'Offer Statistics'!AL24,IF($AG$2="2019年",'Offer Statistics'!AL81,IF($AG$2="2020年",'Offer Statistics'!AL138)))</f>
        <v>493</v>
      </c>
      <c r="AK24" s="273">
        <f>IF($AG$2="2018年",'Offer Statistics'!AM24,IF($AG$2="2019年",'Offer Statistics'!AM81,IF($AG$2="2020年",'Offer Statistics'!AM138)))</f>
        <v>822</v>
      </c>
      <c r="AL24" s="273">
        <f>IF($AG$2="2018年",'Offer Statistics'!AN24,IF($AG$2="2019年",'Offer Statistics'!AN81,IF($AG$2="2020年",'Offer Statistics'!AN138)))</f>
        <v>1202</v>
      </c>
      <c r="AM24" s="273">
        <f>IF($AG$2="2018年",'Offer Statistics'!AO24,IF($AG$2="2019年",'Offer Statistics'!AO81,IF($AG$2="2020年",'Offer Statistics'!AO138)))</f>
        <v>1027</v>
      </c>
      <c r="AN24" s="270"/>
      <c r="AO24" s="270" t="str">
        <f t="shared" si="3"/>
        <v>JS3662</v>
      </c>
      <c r="AP24" s="274"/>
    </row>
    <row r="25" ht="18.0" customHeight="1">
      <c r="A25" s="142" t="s">
        <v>332</v>
      </c>
      <c r="B25" s="142" t="s">
        <v>1301</v>
      </c>
      <c r="C25" s="142" t="s">
        <v>333</v>
      </c>
      <c r="D25" s="142" t="s">
        <v>1320</v>
      </c>
      <c r="E25" s="132" t="s">
        <v>21</v>
      </c>
      <c r="F25" s="199">
        <f>'PolyU 參考分數'!AE26</f>
        <v>151</v>
      </c>
      <c r="G25" s="199">
        <f>'PolyU 參考分數'!AF26</f>
        <v>146</v>
      </c>
      <c r="H25" s="200">
        <f>'計分版'!D131</f>
        <v>0.00000001975</v>
      </c>
      <c r="I25" s="201">
        <f t="shared" si="1"/>
        <v>-146</v>
      </c>
      <c r="J25" s="202">
        <f t="shared" si="2"/>
        <v>-7392405062</v>
      </c>
      <c r="K25" s="132">
        <v>31.0</v>
      </c>
      <c r="L25" s="203">
        <f>'入學要求'!S111</f>
        <v>0</v>
      </c>
      <c r="M25" s="135" t="s">
        <v>1166</v>
      </c>
      <c r="N25" s="131">
        <v>3.0</v>
      </c>
      <c r="O25" s="131">
        <v>3.0</v>
      </c>
      <c r="P25" s="131">
        <v>2.0</v>
      </c>
      <c r="Q25" s="131">
        <v>2.0</v>
      </c>
      <c r="R25" s="131">
        <v>3.0</v>
      </c>
      <c r="S25" s="131">
        <v>3.0</v>
      </c>
      <c r="T25" s="204">
        <f>'入學要求'!L111</f>
        <v>0</v>
      </c>
      <c r="U25" s="204">
        <f>'入學要求'!M111</f>
        <v>0</v>
      </c>
      <c r="V25" s="204">
        <f>'入學要求'!N111</f>
        <v>0</v>
      </c>
      <c r="W25" s="204">
        <f>'入學要求'!O111</f>
        <v>0</v>
      </c>
      <c r="X25" s="204">
        <f>'入學要求'!P111</f>
        <v>0</v>
      </c>
      <c r="Y25" s="204">
        <f>'入學要求'!Q111</f>
        <v>0</v>
      </c>
      <c r="Z25" s="205"/>
      <c r="AA25" s="132">
        <f>IF($Z$2="2018年",'Offer Statistics'!AX25,IF($Z$2="2019年",'Offer Statistics'!AX82,IF($Z$2="2020年",'Offer Statistics'!AX139)))</f>
        <v>34</v>
      </c>
      <c r="AB25" s="206">
        <f>IF($Z$2="2018年",'Offer Statistics'!AS25,IF($Z$2="2019年",'Offer Statistics'!AS82,IF($Z$2="2020年",'Offer Statistics'!AS139)))</f>
        <v>19</v>
      </c>
      <c r="AC25" s="206">
        <f>IF($Z$2="2018年",'Offer Statistics'!AT25,IF($Z$2="2019年",'Offer Statistics'!AT82,IF($Z$2="2020年",'Offer Statistics'!AT139)))</f>
        <v>5</v>
      </c>
      <c r="AD25" s="206">
        <f>IF($Z$2="2018年",'Offer Statistics'!AU25,IF($Z$2="2019年",'Offer Statistics'!AU82,IF($Z$2="2020年",'Offer Statistics'!AU139)))</f>
        <v>6</v>
      </c>
      <c r="AE25" s="206">
        <f>IF($Z$2="2018年",'Offer Statistics'!AV25,IF($Z$2="2019年",'Offer Statistics'!AV82,IF($Z$2="2020年",'Offer Statistics'!AV139)))</f>
        <v>2</v>
      </c>
      <c r="AF25" s="206">
        <f>IF($Z$2="2018年",'Offer Statistics'!AW25,IF($Z$2="2019年",'Offer Statistics'!AW82,IF($Z$2="2020年",'Offer Statistics'!AW139)))</f>
        <v>2</v>
      </c>
      <c r="AG25" s="205"/>
      <c r="AH25" s="132">
        <f>IF($AG$2="2018年",'Offer Statistics'!AP25,IF($AG$2="2019年",'Offer Statistics'!AP82,IF($AG$2="2020年",'Offer Statistics'!AP139)))</f>
        <v>2453</v>
      </c>
      <c r="AI25" s="206">
        <f>IF($AG$2="2018年",'Offer Statistics'!AK25,IF($AG$2="2019年",'Offer Statistics'!AK82,IF($AG$2="2020年",'Offer Statistics'!AK139)))</f>
        <v>199</v>
      </c>
      <c r="AJ25" s="206">
        <f>IF($AG$2="2018年",'Offer Statistics'!AL25,IF($AG$2="2019年",'Offer Statistics'!AL82,IF($AG$2="2020年",'Offer Statistics'!AL139)))</f>
        <v>334</v>
      </c>
      <c r="AK25" s="206">
        <f>IF($AG$2="2018年",'Offer Statistics'!AM25,IF($AG$2="2019年",'Offer Statistics'!AM82,IF($AG$2="2020年",'Offer Statistics'!AM139)))</f>
        <v>619</v>
      </c>
      <c r="AL25" s="206">
        <f>IF($AG$2="2018年",'Offer Statistics'!AN25,IF($AG$2="2019年",'Offer Statistics'!AN82,IF($AG$2="2020年",'Offer Statistics'!AN139)))</f>
        <v>714</v>
      </c>
      <c r="AM25" s="206">
        <f>IF($AG$2="2018年",'Offer Statistics'!AO25,IF($AG$2="2019年",'Offer Statistics'!AO82,IF($AG$2="2020年",'Offer Statistics'!AO139)))</f>
        <v>587</v>
      </c>
      <c r="AN25" s="131"/>
      <c r="AO25" s="131" t="str">
        <f t="shared" si="3"/>
        <v>JS3674</v>
      </c>
      <c r="AP25" s="112"/>
    </row>
    <row r="26" ht="18.0" customHeight="1">
      <c r="A26" s="263" t="s">
        <v>334</v>
      </c>
      <c r="B26" s="263" t="s">
        <v>1002</v>
      </c>
      <c r="C26" s="263" t="s">
        <v>335</v>
      </c>
      <c r="D26" s="263" t="s">
        <v>1321</v>
      </c>
      <c r="E26" s="264" t="s">
        <v>21</v>
      </c>
      <c r="F26" s="265">
        <f>'PolyU 參考分數'!AE27</f>
        <v>180</v>
      </c>
      <c r="G26" s="265">
        <f>'PolyU 參考分數'!AF27</f>
        <v>170</v>
      </c>
      <c r="H26" s="266">
        <f>'計分版'!D132</f>
        <v>0.00000002175</v>
      </c>
      <c r="I26" s="267">
        <f t="shared" si="1"/>
        <v>-170</v>
      </c>
      <c r="J26" s="268">
        <f t="shared" si="2"/>
        <v>-7816091953</v>
      </c>
      <c r="K26" s="264">
        <v>37.0</v>
      </c>
      <c r="L26" s="275">
        <f>'入學要求'!S112</f>
        <v>0</v>
      </c>
      <c r="M26" s="270" t="s">
        <v>1188</v>
      </c>
      <c r="N26" s="270">
        <v>3.0</v>
      </c>
      <c r="O26" s="270">
        <v>3.0</v>
      </c>
      <c r="P26" s="270">
        <v>2.0</v>
      </c>
      <c r="Q26" s="270">
        <v>2.0</v>
      </c>
      <c r="R26" s="270">
        <v>3.0</v>
      </c>
      <c r="S26" s="270">
        <v>3.0</v>
      </c>
      <c r="T26" s="271">
        <f>'入學要求'!L112</f>
        <v>0</v>
      </c>
      <c r="U26" s="271">
        <f>'入學要求'!M112</f>
        <v>0</v>
      </c>
      <c r="V26" s="271">
        <f>'入學要求'!N112</f>
        <v>0</v>
      </c>
      <c r="W26" s="271">
        <f>'入學要求'!O112</f>
        <v>0</v>
      </c>
      <c r="X26" s="271">
        <f>'入學要求'!P112</f>
        <v>0</v>
      </c>
      <c r="Y26" s="271">
        <f>'入學要求'!Q112</f>
        <v>0</v>
      </c>
      <c r="Z26" s="205"/>
      <c r="AA26" s="264">
        <f>IF($Z$2="2018年",'Offer Statistics'!AX26,IF($Z$2="2019年",'Offer Statistics'!AX83,IF($Z$2="2020年",'Offer Statistics'!AX140)))</f>
        <v>30</v>
      </c>
      <c r="AB26" s="273">
        <f>IF($Z$2="2018年",'Offer Statistics'!AS26,IF($Z$2="2019年",'Offer Statistics'!AS83,IF($Z$2="2020年",'Offer Statistics'!AS140)))</f>
        <v>21</v>
      </c>
      <c r="AC26" s="273">
        <f>IF($Z$2="2018年",'Offer Statistics'!AT26,IF($Z$2="2019年",'Offer Statistics'!AT83,IF($Z$2="2020年",'Offer Statistics'!AT140)))</f>
        <v>2</v>
      </c>
      <c r="AD26" s="273">
        <f>IF($Z$2="2018年",'Offer Statistics'!AU26,IF($Z$2="2019年",'Offer Statistics'!AU83,IF($Z$2="2020年",'Offer Statistics'!AU140)))</f>
        <v>5</v>
      </c>
      <c r="AE26" s="273">
        <f>IF($Z$2="2018年",'Offer Statistics'!AV26,IF($Z$2="2019年",'Offer Statistics'!AV83,IF($Z$2="2020年",'Offer Statistics'!AV140)))</f>
        <v>2</v>
      </c>
      <c r="AF26" s="273">
        <f>IF($Z$2="2018年",'Offer Statistics'!AW26,IF($Z$2="2019年",'Offer Statistics'!AW83,IF($Z$2="2020年",'Offer Statistics'!AW140)))</f>
        <v>0</v>
      </c>
      <c r="AG26" s="205"/>
      <c r="AH26" s="264">
        <f>IF($AG$2="2018年",'Offer Statistics'!AP26,IF($AG$2="2019年",'Offer Statistics'!AP83,IF($AG$2="2020年",'Offer Statistics'!AP140)))</f>
        <v>3250</v>
      </c>
      <c r="AI26" s="273">
        <f>IF($AG$2="2018年",'Offer Statistics'!AK26,IF($AG$2="2019年",'Offer Statistics'!AK83,IF($AG$2="2020年",'Offer Statistics'!AK140)))</f>
        <v>456</v>
      </c>
      <c r="AJ26" s="273">
        <f>IF($AG$2="2018年",'Offer Statistics'!AL26,IF($AG$2="2019年",'Offer Statistics'!AL83,IF($AG$2="2020年",'Offer Statistics'!AL140)))</f>
        <v>591</v>
      </c>
      <c r="AK26" s="273">
        <f>IF($AG$2="2018年",'Offer Statistics'!AM26,IF($AG$2="2019年",'Offer Statistics'!AM83,IF($AG$2="2020年",'Offer Statistics'!AM140)))</f>
        <v>835</v>
      </c>
      <c r="AL26" s="273">
        <f>IF($AG$2="2018年",'Offer Statistics'!AN26,IF($AG$2="2019年",'Offer Statistics'!AN83,IF($AG$2="2020年",'Offer Statistics'!AN140)))</f>
        <v>836</v>
      </c>
      <c r="AM26" s="273">
        <f>IF($AG$2="2018年",'Offer Statistics'!AO26,IF($AG$2="2019年",'Offer Statistics'!AO83,IF($AG$2="2020年",'Offer Statistics'!AO140)))</f>
        <v>532</v>
      </c>
      <c r="AN26" s="270"/>
      <c r="AO26" s="270" t="str">
        <f t="shared" si="3"/>
        <v>JS3703</v>
      </c>
      <c r="AP26" s="274"/>
    </row>
    <row r="27" ht="18.0" customHeight="1">
      <c r="A27" s="142" t="s">
        <v>336</v>
      </c>
      <c r="B27" s="142" t="s">
        <v>1002</v>
      </c>
      <c r="C27" s="142" t="s">
        <v>337</v>
      </c>
      <c r="D27" s="142" t="s">
        <v>1322</v>
      </c>
      <c r="E27" s="132" t="s">
        <v>21</v>
      </c>
      <c r="F27" s="199">
        <f>'PolyU 參考分數'!AE28</f>
        <v>220</v>
      </c>
      <c r="G27" s="199">
        <f>'PolyU 參考分數'!AF28</f>
        <v>186</v>
      </c>
      <c r="H27" s="200">
        <f>'計分版'!D133</f>
        <v>0.00000002175</v>
      </c>
      <c r="I27" s="201">
        <f t="shared" si="1"/>
        <v>-186</v>
      </c>
      <c r="J27" s="202">
        <f t="shared" si="2"/>
        <v>-8551724137</v>
      </c>
      <c r="K27" s="132">
        <v>39.0</v>
      </c>
      <c r="L27" s="203">
        <f>'入學要求'!S113</f>
        <v>0</v>
      </c>
      <c r="M27" s="131" t="s">
        <v>1188</v>
      </c>
      <c r="N27" s="131">
        <v>3.0</v>
      </c>
      <c r="O27" s="131">
        <v>3.0</v>
      </c>
      <c r="P27" s="131">
        <v>2.0</v>
      </c>
      <c r="Q27" s="131">
        <v>2.0</v>
      </c>
      <c r="R27" s="131">
        <v>3.0</v>
      </c>
      <c r="S27" s="131">
        <v>3.0</v>
      </c>
      <c r="T27" s="204">
        <f>'入學要求'!L113</f>
        <v>0</v>
      </c>
      <c r="U27" s="204">
        <f>'入學要求'!M113</f>
        <v>0</v>
      </c>
      <c r="V27" s="204">
        <f>'入學要求'!N113</f>
        <v>0</v>
      </c>
      <c r="W27" s="204">
        <f>'入學要求'!O113</f>
        <v>0</v>
      </c>
      <c r="X27" s="204">
        <f>'入學要求'!P113</f>
        <v>0</v>
      </c>
      <c r="Y27" s="204">
        <f>'入學要求'!Q113</f>
        <v>0</v>
      </c>
      <c r="Z27" s="205"/>
      <c r="AA27" s="132">
        <f>IF($Z$2="2018年",'Offer Statistics'!AX27,IF($Z$2="2019年",'Offer Statistics'!AX84,IF($Z$2="2020年",'Offer Statistics'!AX141)))</f>
        <v>41</v>
      </c>
      <c r="AB27" s="206">
        <f>IF($Z$2="2018年",'Offer Statistics'!AS27,IF($Z$2="2019年",'Offer Statistics'!AS84,IF($Z$2="2020年",'Offer Statistics'!AS141)))</f>
        <v>38</v>
      </c>
      <c r="AC27" s="206">
        <f>IF($Z$2="2018年",'Offer Statistics'!AT27,IF($Z$2="2019年",'Offer Statistics'!AT84,IF($Z$2="2020年",'Offer Statistics'!AT141)))</f>
        <v>2</v>
      </c>
      <c r="AD27" s="206">
        <f>IF($Z$2="2018年",'Offer Statistics'!AU27,IF($Z$2="2019年",'Offer Statistics'!AU84,IF($Z$2="2020年",'Offer Statistics'!AU141)))</f>
        <v>1</v>
      </c>
      <c r="AE27" s="206">
        <f>IF($Z$2="2018年",'Offer Statistics'!AV27,IF($Z$2="2019年",'Offer Statistics'!AV84,IF($Z$2="2020年",'Offer Statistics'!AV141)))</f>
        <v>0</v>
      </c>
      <c r="AF27" s="206">
        <f>IF($Z$2="2018年",'Offer Statistics'!AW27,IF($Z$2="2019年",'Offer Statistics'!AW84,IF($Z$2="2020年",'Offer Statistics'!AW141)))</f>
        <v>0</v>
      </c>
      <c r="AG27" s="205"/>
      <c r="AH27" s="132">
        <f>IF($AG$2="2018年",'Offer Statistics'!AP27,IF($AG$2="2019年",'Offer Statistics'!AP84,IF($AG$2="2020年",'Offer Statistics'!AP141)))</f>
        <v>2682</v>
      </c>
      <c r="AI27" s="206">
        <f>IF($AG$2="2018年",'Offer Statistics'!AK27,IF($AG$2="2019年",'Offer Statistics'!AK84,IF($AG$2="2020年",'Offer Statistics'!AK141)))</f>
        <v>282</v>
      </c>
      <c r="AJ27" s="206">
        <f>IF($AG$2="2018年",'Offer Statistics'!AL27,IF($AG$2="2019年",'Offer Statistics'!AL84,IF($AG$2="2020年",'Offer Statistics'!AL141)))</f>
        <v>431</v>
      </c>
      <c r="AK27" s="206">
        <f>IF($AG$2="2018年",'Offer Statistics'!AM27,IF($AG$2="2019年",'Offer Statistics'!AM84,IF($AG$2="2020年",'Offer Statistics'!AM141)))</f>
        <v>677</v>
      </c>
      <c r="AL27" s="206">
        <f>IF($AG$2="2018年",'Offer Statistics'!AN27,IF($AG$2="2019年",'Offer Statistics'!AN84,IF($AG$2="2020年",'Offer Statistics'!AN141)))</f>
        <v>791</v>
      </c>
      <c r="AM27" s="206">
        <f>IF($AG$2="2018年",'Offer Statistics'!AO27,IF($AG$2="2019年",'Offer Statistics'!AO84,IF($AG$2="2020年",'Offer Statistics'!AO141)))</f>
        <v>501</v>
      </c>
      <c r="AN27" s="131"/>
      <c r="AO27" s="131" t="str">
        <f t="shared" si="3"/>
        <v>JS3715</v>
      </c>
      <c r="AP27" s="112"/>
    </row>
    <row r="28" ht="18.0" customHeight="1">
      <c r="A28" s="263" t="s">
        <v>338</v>
      </c>
      <c r="B28" s="263" t="s">
        <v>1297</v>
      </c>
      <c r="C28" s="263" t="s">
        <v>339</v>
      </c>
      <c r="D28" s="263" t="s">
        <v>1323</v>
      </c>
      <c r="E28" s="264" t="s">
        <v>21</v>
      </c>
      <c r="F28" s="265">
        <f>'PolyU 參考分數'!AE29</f>
        <v>191</v>
      </c>
      <c r="G28" s="265">
        <f>'PolyU 參考分數'!AF29</f>
        <v>184</v>
      </c>
      <c r="H28" s="266">
        <f>'計分版'!D134</f>
        <v>0.00000002175</v>
      </c>
      <c r="I28" s="267">
        <f t="shared" si="1"/>
        <v>-184</v>
      </c>
      <c r="J28" s="268">
        <f t="shared" si="2"/>
        <v>-8459770114</v>
      </c>
      <c r="K28" s="264">
        <v>62.0</v>
      </c>
      <c r="L28" s="275">
        <f>'入學要求'!S114</f>
        <v>0</v>
      </c>
      <c r="M28" s="277" t="s">
        <v>1166</v>
      </c>
      <c r="N28" s="270">
        <v>3.0</v>
      </c>
      <c r="O28" s="270">
        <v>3.0</v>
      </c>
      <c r="P28" s="270">
        <v>2.0</v>
      </c>
      <c r="Q28" s="270">
        <v>2.0</v>
      </c>
      <c r="R28" s="270">
        <v>3.0</v>
      </c>
      <c r="S28" s="270">
        <v>3.0</v>
      </c>
      <c r="T28" s="271">
        <f>'入學要求'!L114</f>
        <v>0</v>
      </c>
      <c r="U28" s="271">
        <f>'入學要求'!M114</f>
        <v>0</v>
      </c>
      <c r="V28" s="271">
        <f>'入學要求'!N114</f>
        <v>0</v>
      </c>
      <c r="W28" s="271">
        <f>'入學要求'!O114</f>
        <v>0</v>
      </c>
      <c r="X28" s="271">
        <f>'入學要求'!P114</f>
        <v>0</v>
      </c>
      <c r="Y28" s="271">
        <f>'入學要求'!Q114</f>
        <v>0</v>
      </c>
      <c r="Z28" s="205"/>
      <c r="AA28" s="264">
        <f>IF($Z$2="2018年",'Offer Statistics'!AX28,IF($Z$2="2019年",'Offer Statistics'!AX85,IF($Z$2="2020年",'Offer Statistics'!AX142)))</f>
        <v>58</v>
      </c>
      <c r="AB28" s="273">
        <f>IF($Z$2="2018年",'Offer Statistics'!AS28,IF($Z$2="2019年",'Offer Statistics'!AS85,IF($Z$2="2020年",'Offer Statistics'!AS142)))</f>
        <v>56</v>
      </c>
      <c r="AC28" s="273">
        <f>IF($Z$2="2018年",'Offer Statistics'!AT28,IF($Z$2="2019年",'Offer Statistics'!AT85,IF($Z$2="2020年",'Offer Statistics'!AT142)))</f>
        <v>2</v>
      </c>
      <c r="AD28" s="273">
        <f>IF($Z$2="2018年",'Offer Statistics'!AU28,IF($Z$2="2019年",'Offer Statistics'!AU85,IF($Z$2="2020年",'Offer Statistics'!AU142)))</f>
        <v>0</v>
      </c>
      <c r="AE28" s="273">
        <f>IF($Z$2="2018年",'Offer Statistics'!AV28,IF($Z$2="2019年",'Offer Statistics'!AV85,IF($Z$2="2020年",'Offer Statistics'!AV142)))</f>
        <v>0</v>
      </c>
      <c r="AF28" s="273">
        <f>IF($Z$2="2018年",'Offer Statistics'!AW28,IF($Z$2="2019年",'Offer Statistics'!AW85,IF($Z$2="2020年",'Offer Statistics'!AW142)))</f>
        <v>0</v>
      </c>
      <c r="AG28" s="205"/>
      <c r="AH28" s="264">
        <f>IF($AG$2="2018年",'Offer Statistics'!AP28,IF($AG$2="2019年",'Offer Statistics'!AP85,IF($AG$2="2020年",'Offer Statistics'!AP142)))</f>
        <v>3321</v>
      </c>
      <c r="AI28" s="273">
        <f>IF($AG$2="2018年",'Offer Statistics'!AK28,IF($AG$2="2019年",'Offer Statistics'!AK85,IF($AG$2="2020年",'Offer Statistics'!AK142)))</f>
        <v>616</v>
      </c>
      <c r="AJ28" s="273">
        <f>IF($AG$2="2018年",'Offer Statistics'!AL28,IF($AG$2="2019年",'Offer Statistics'!AL85,IF($AG$2="2020年",'Offer Statistics'!AL142)))</f>
        <v>628</v>
      </c>
      <c r="AK28" s="273">
        <f>IF($AG$2="2018年",'Offer Statistics'!AM28,IF($AG$2="2019年",'Offer Statistics'!AM85,IF($AG$2="2020年",'Offer Statistics'!AM142)))</f>
        <v>733</v>
      </c>
      <c r="AL28" s="273">
        <f>IF($AG$2="2018年",'Offer Statistics'!AN28,IF($AG$2="2019年",'Offer Statistics'!AN85,IF($AG$2="2020年",'Offer Statistics'!AN142)))</f>
        <v>821</v>
      </c>
      <c r="AM28" s="273">
        <f>IF($AG$2="2018年",'Offer Statistics'!AO28,IF($AG$2="2019年",'Offer Statistics'!AO85,IF($AG$2="2020年",'Offer Statistics'!AO142)))</f>
        <v>523</v>
      </c>
      <c r="AN28" s="270"/>
      <c r="AO28" s="270" t="str">
        <f t="shared" si="3"/>
        <v>JS3739</v>
      </c>
      <c r="AP28" s="274"/>
    </row>
    <row r="29" ht="18.0" customHeight="1">
      <c r="A29" s="142" t="s">
        <v>340</v>
      </c>
      <c r="B29" s="142" t="s">
        <v>1002</v>
      </c>
      <c r="C29" s="142" t="s">
        <v>341</v>
      </c>
      <c r="D29" s="142" t="s">
        <v>1324</v>
      </c>
      <c r="E29" s="132" t="s">
        <v>21</v>
      </c>
      <c r="F29" s="199">
        <f>'PolyU 參考分數'!AE30</f>
        <v>180</v>
      </c>
      <c r="G29" s="199">
        <f>'PolyU 參考分數'!AF30</f>
        <v>176</v>
      </c>
      <c r="H29" s="200">
        <f>'計分版'!D135</f>
        <v>0.00000002175</v>
      </c>
      <c r="I29" s="201">
        <f t="shared" si="1"/>
        <v>-176</v>
      </c>
      <c r="J29" s="202">
        <f t="shared" si="2"/>
        <v>-8091954022</v>
      </c>
      <c r="K29" s="132">
        <v>62.0</v>
      </c>
      <c r="L29" s="203">
        <f>'入學要求'!S115</f>
        <v>0</v>
      </c>
      <c r="M29" s="131" t="s">
        <v>541</v>
      </c>
      <c r="N29" s="131">
        <v>3.0</v>
      </c>
      <c r="O29" s="131">
        <v>3.0</v>
      </c>
      <c r="P29" s="131">
        <v>2.0</v>
      </c>
      <c r="Q29" s="131">
        <v>2.0</v>
      </c>
      <c r="R29" s="131">
        <v>3.0</v>
      </c>
      <c r="S29" s="131">
        <v>3.0</v>
      </c>
      <c r="T29" s="204">
        <f>'入學要求'!L115</f>
        <v>0</v>
      </c>
      <c r="U29" s="204">
        <f>'入學要求'!M115</f>
        <v>0</v>
      </c>
      <c r="V29" s="204">
        <f>'入學要求'!N115</f>
        <v>0</v>
      </c>
      <c r="W29" s="204">
        <f>'入學要求'!O115</f>
        <v>0</v>
      </c>
      <c r="X29" s="204">
        <f>'入學要求'!P115</f>
        <v>0</v>
      </c>
      <c r="Y29" s="204">
        <f>'入學要求'!Q115</f>
        <v>0</v>
      </c>
      <c r="Z29" s="205"/>
      <c r="AA29" s="132">
        <f>IF($Z$2="2018年",'Offer Statistics'!AX29,IF($Z$2="2019年",'Offer Statistics'!AX86,IF($Z$2="2020年",'Offer Statistics'!AX143)))</f>
        <v>51</v>
      </c>
      <c r="AB29" s="206">
        <f>IF($Z$2="2018年",'Offer Statistics'!AS29,IF($Z$2="2019年",'Offer Statistics'!AS86,IF($Z$2="2020年",'Offer Statistics'!AS143)))</f>
        <v>45</v>
      </c>
      <c r="AC29" s="206">
        <f>IF($Z$2="2018年",'Offer Statistics'!AT29,IF($Z$2="2019年",'Offer Statistics'!AT86,IF($Z$2="2020年",'Offer Statistics'!AT143)))</f>
        <v>4</v>
      </c>
      <c r="AD29" s="206">
        <f>IF($Z$2="2018年",'Offer Statistics'!AU29,IF($Z$2="2019年",'Offer Statistics'!AU86,IF($Z$2="2020年",'Offer Statistics'!AU143)))</f>
        <v>0</v>
      </c>
      <c r="AE29" s="206">
        <f>IF($Z$2="2018年",'Offer Statistics'!AV29,IF($Z$2="2019年",'Offer Statistics'!AV86,IF($Z$2="2020年",'Offer Statistics'!AV143)))</f>
        <v>1</v>
      </c>
      <c r="AF29" s="206">
        <f>IF($Z$2="2018年",'Offer Statistics'!AW29,IF($Z$2="2019年",'Offer Statistics'!AW86,IF($Z$2="2020年",'Offer Statistics'!AW143)))</f>
        <v>1</v>
      </c>
      <c r="AG29" s="205"/>
      <c r="AH29" s="132">
        <f>IF($AG$2="2018年",'Offer Statistics'!AP29,IF($AG$2="2019年",'Offer Statistics'!AP86,IF($AG$2="2020年",'Offer Statistics'!AP143)))</f>
        <v>2859</v>
      </c>
      <c r="AI29" s="206">
        <f>IF($AG$2="2018年",'Offer Statistics'!AK29,IF($AG$2="2019年",'Offer Statistics'!AK86,IF($AG$2="2020年",'Offer Statistics'!AK143)))</f>
        <v>407</v>
      </c>
      <c r="AJ29" s="206">
        <f>IF($AG$2="2018年",'Offer Statistics'!AL29,IF($AG$2="2019年",'Offer Statistics'!AL86,IF($AG$2="2020年",'Offer Statistics'!AL143)))</f>
        <v>483</v>
      </c>
      <c r="AK29" s="206">
        <f>IF($AG$2="2018年",'Offer Statistics'!AM29,IF($AG$2="2019年",'Offer Statistics'!AM86,IF($AG$2="2020年",'Offer Statistics'!AM143)))</f>
        <v>642</v>
      </c>
      <c r="AL29" s="206">
        <f>IF($AG$2="2018年",'Offer Statistics'!AN29,IF($AG$2="2019年",'Offer Statistics'!AN86,IF($AG$2="2020年",'Offer Statistics'!AN143)))</f>
        <v>831</v>
      </c>
      <c r="AM29" s="206">
        <f>IF($AG$2="2018年",'Offer Statistics'!AO29,IF($AG$2="2019年",'Offer Statistics'!AO86,IF($AG$2="2020年",'Offer Statistics'!AO143)))</f>
        <v>496</v>
      </c>
      <c r="AN29" s="131"/>
      <c r="AO29" s="131" t="str">
        <f t="shared" si="3"/>
        <v>JS3741</v>
      </c>
      <c r="AP29" s="112"/>
    </row>
    <row r="30" ht="18.0" customHeight="1">
      <c r="A30" s="263" t="s">
        <v>342</v>
      </c>
      <c r="B30" s="263" t="s">
        <v>1297</v>
      </c>
      <c r="C30" s="263" t="s">
        <v>343</v>
      </c>
      <c r="D30" s="263" t="s">
        <v>1325</v>
      </c>
      <c r="E30" s="264" t="s">
        <v>21</v>
      </c>
      <c r="F30" s="265">
        <f>'PolyU 參考分數'!AE31</f>
        <v>176</v>
      </c>
      <c r="G30" s="265">
        <f>'PolyU 參考分數'!AF31</f>
        <v>159</v>
      </c>
      <c r="H30" s="266">
        <f>'計分版'!D136</f>
        <v>0.00000001975</v>
      </c>
      <c r="I30" s="267">
        <f t="shared" si="1"/>
        <v>-159</v>
      </c>
      <c r="J30" s="268">
        <f t="shared" si="2"/>
        <v>-8050632910</v>
      </c>
      <c r="K30" s="264">
        <v>29.0</v>
      </c>
      <c r="L30" s="275">
        <f>'入學要求'!S116</f>
        <v>0</v>
      </c>
      <c r="M30" s="277" t="s">
        <v>1166</v>
      </c>
      <c r="N30" s="270">
        <v>3.0</v>
      </c>
      <c r="O30" s="270">
        <v>3.0</v>
      </c>
      <c r="P30" s="270">
        <v>2.0</v>
      </c>
      <c r="Q30" s="270">
        <v>2.0</v>
      </c>
      <c r="R30" s="270">
        <v>3.0</v>
      </c>
      <c r="S30" s="270">
        <v>3.0</v>
      </c>
      <c r="T30" s="271">
        <f>'入學要求'!L116</f>
        <v>0</v>
      </c>
      <c r="U30" s="271">
        <f>'入學要求'!M116</f>
        <v>0</v>
      </c>
      <c r="V30" s="271">
        <f>'入學要求'!N116</f>
        <v>0</v>
      </c>
      <c r="W30" s="271">
        <f>'入學要求'!O116</f>
        <v>0</v>
      </c>
      <c r="X30" s="271">
        <f>'入學要求'!P116</f>
        <v>0</v>
      </c>
      <c r="Y30" s="271">
        <f>'入學要求'!Q116</f>
        <v>0</v>
      </c>
      <c r="Z30" s="205"/>
      <c r="AA30" s="264">
        <f>IF($Z$2="2018年",'Offer Statistics'!AX30,IF($Z$2="2019年",'Offer Statistics'!AX87,IF($Z$2="2020年",'Offer Statistics'!AX144)))</f>
        <v>24</v>
      </c>
      <c r="AB30" s="273">
        <f>IF($Z$2="2018年",'Offer Statistics'!AS30,IF($Z$2="2019年",'Offer Statistics'!AS87,IF($Z$2="2020年",'Offer Statistics'!AS144)))</f>
        <v>22</v>
      </c>
      <c r="AC30" s="273">
        <f>IF($Z$2="2018年",'Offer Statistics'!AT30,IF($Z$2="2019年",'Offer Statistics'!AT87,IF($Z$2="2020年",'Offer Statistics'!AT144)))</f>
        <v>2</v>
      </c>
      <c r="AD30" s="273">
        <f>IF($Z$2="2018年",'Offer Statistics'!AU30,IF($Z$2="2019年",'Offer Statistics'!AU87,IF($Z$2="2020年",'Offer Statistics'!AU144)))</f>
        <v>0</v>
      </c>
      <c r="AE30" s="273">
        <f>IF($Z$2="2018年",'Offer Statistics'!AV30,IF($Z$2="2019年",'Offer Statistics'!AV87,IF($Z$2="2020年",'Offer Statistics'!AV144)))</f>
        <v>0</v>
      </c>
      <c r="AF30" s="273">
        <f>IF($Z$2="2018年",'Offer Statistics'!AW30,IF($Z$2="2019年",'Offer Statistics'!AW87,IF($Z$2="2020年",'Offer Statistics'!AW144)))</f>
        <v>0</v>
      </c>
      <c r="AG30" s="205"/>
      <c r="AH30" s="264">
        <f>IF($AG$2="2018年",'Offer Statistics'!AP30,IF($AG$2="2019年",'Offer Statistics'!AP87,IF($AG$2="2020年",'Offer Statistics'!AP144)))</f>
        <v>1371</v>
      </c>
      <c r="AI30" s="273">
        <f>IF($AG$2="2018年",'Offer Statistics'!AK30,IF($AG$2="2019年",'Offer Statistics'!AK87,IF($AG$2="2020年",'Offer Statistics'!AK144)))</f>
        <v>135</v>
      </c>
      <c r="AJ30" s="273">
        <f>IF($AG$2="2018年",'Offer Statistics'!AL30,IF($AG$2="2019年",'Offer Statistics'!AL87,IF($AG$2="2020年",'Offer Statistics'!AL144)))</f>
        <v>190</v>
      </c>
      <c r="AK30" s="273">
        <f>IF($AG$2="2018年",'Offer Statistics'!AM30,IF($AG$2="2019年",'Offer Statistics'!AM87,IF($AG$2="2020年",'Offer Statistics'!AM144)))</f>
        <v>318</v>
      </c>
      <c r="AL30" s="273">
        <f>IF($AG$2="2018年",'Offer Statistics'!AN30,IF($AG$2="2019年",'Offer Statistics'!AN87,IF($AG$2="2020年",'Offer Statistics'!AN144)))</f>
        <v>420</v>
      </c>
      <c r="AM30" s="273">
        <f>IF($AG$2="2018年",'Offer Statistics'!AO30,IF($AG$2="2019年",'Offer Statistics'!AO87,IF($AG$2="2020年",'Offer Statistics'!AO144)))</f>
        <v>308</v>
      </c>
      <c r="AN30" s="270"/>
      <c r="AO30" s="270" t="str">
        <f t="shared" si="3"/>
        <v>JS3753</v>
      </c>
      <c r="AP30" s="274"/>
    </row>
    <row r="31" ht="18.0" customHeight="1">
      <c r="A31" s="142" t="s">
        <v>344</v>
      </c>
      <c r="B31" s="142" t="s">
        <v>1292</v>
      </c>
      <c r="C31" s="142" t="s">
        <v>345</v>
      </c>
      <c r="D31" s="142" t="s">
        <v>1326</v>
      </c>
      <c r="E31" s="131" t="s">
        <v>191</v>
      </c>
      <c r="F31" s="199">
        <f>'PolyU 參考分數'!AE32</f>
        <v>153</v>
      </c>
      <c r="G31" s="199">
        <f>'PolyU 參考分數'!AF32</f>
        <v>154</v>
      </c>
      <c r="H31" s="200">
        <f>'計分版'!D137</f>
        <v>0.00000001625</v>
      </c>
      <c r="I31" s="201">
        <f t="shared" si="1"/>
        <v>-154</v>
      </c>
      <c r="J31" s="202">
        <f t="shared" si="2"/>
        <v>-9476923076</v>
      </c>
      <c r="K31" s="132">
        <v>18.0</v>
      </c>
      <c r="L31" s="203">
        <f>'入學要求'!S117</f>
        <v>0</v>
      </c>
      <c r="M31" s="135" t="s">
        <v>1166</v>
      </c>
      <c r="N31" s="131">
        <v>3.0</v>
      </c>
      <c r="O31" s="131">
        <v>3.0</v>
      </c>
      <c r="P31" s="131">
        <v>2.0</v>
      </c>
      <c r="Q31" s="131">
        <v>2.0</v>
      </c>
      <c r="R31" s="131">
        <v>3.0</v>
      </c>
      <c r="S31" s="131">
        <v>3.0</v>
      </c>
      <c r="T31" s="204">
        <f>'入學要求'!L117</f>
        <v>0</v>
      </c>
      <c r="U31" s="204">
        <f>'入學要求'!M117</f>
        <v>0</v>
      </c>
      <c r="V31" s="204">
        <f>'入學要求'!N117</f>
        <v>0</v>
      </c>
      <c r="W31" s="204">
        <f>'入學要求'!O117</f>
        <v>0</v>
      </c>
      <c r="X31" s="204">
        <f>'入學要求'!P117</f>
        <v>0</v>
      </c>
      <c r="Y31" s="204">
        <f>'入學要求'!Q117</f>
        <v>0</v>
      </c>
      <c r="Z31" s="205"/>
      <c r="AA31" s="132">
        <f>IF($Z$2="2018年",'Offer Statistics'!AX31,IF($Z$2="2019年",'Offer Statistics'!AX88,IF($Z$2="2020年",'Offer Statistics'!AX145)))</f>
        <v>18</v>
      </c>
      <c r="AB31" s="206">
        <f>IF($Z$2="2018年",'Offer Statistics'!AS31,IF($Z$2="2019年",'Offer Statistics'!AS88,IF($Z$2="2020年",'Offer Statistics'!AS145)))</f>
        <v>18</v>
      </c>
      <c r="AC31" s="206">
        <f>IF($Z$2="2018年",'Offer Statistics'!AT31,IF($Z$2="2019年",'Offer Statistics'!AT88,IF($Z$2="2020年",'Offer Statistics'!AT145)))</f>
        <v>0</v>
      </c>
      <c r="AD31" s="206">
        <f>IF($Z$2="2018年",'Offer Statistics'!AU31,IF($Z$2="2019年",'Offer Statistics'!AU88,IF($Z$2="2020年",'Offer Statistics'!AU145)))</f>
        <v>0</v>
      </c>
      <c r="AE31" s="206">
        <f>IF($Z$2="2018年",'Offer Statistics'!AV31,IF($Z$2="2019年",'Offer Statistics'!AV88,IF($Z$2="2020年",'Offer Statistics'!AV145)))</f>
        <v>0</v>
      </c>
      <c r="AF31" s="206">
        <f>IF($Z$2="2018年",'Offer Statistics'!AW31,IF($Z$2="2019年",'Offer Statistics'!AW88,IF($Z$2="2020年",'Offer Statistics'!AW145)))</f>
        <v>0</v>
      </c>
      <c r="AG31" s="205"/>
      <c r="AH31" s="132">
        <f>IF($AG$2="2018年",'Offer Statistics'!AP31,IF($AG$2="2019年",'Offer Statistics'!AP88,IF($AG$2="2020年",'Offer Statistics'!AP145)))</f>
        <v>1810</v>
      </c>
      <c r="AI31" s="206">
        <f>IF($AG$2="2018年",'Offer Statistics'!AK31,IF($AG$2="2019年",'Offer Statistics'!AK88,IF($AG$2="2020年",'Offer Statistics'!AK145)))</f>
        <v>246</v>
      </c>
      <c r="AJ31" s="206">
        <f>IF($AG$2="2018年",'Offer Statistics'!AL31,IF($AG$2="2019年",'Offer Statistics'!AL88,IF($AG$2="2020年",'Offer Statistics'!AL145)))</f>
        <v>331</v>
      </c>
      <c r="AK31" s="206">
        <f>IF($AG$2="2018年",'Offer Statistics'!AM31,IF($AG$2="2019年",'Offer Statistics'!AM88,IF($AG$2="2020年",'Offer Statistics'!AM145)))</f>
        <v>392</v>
      </c>
      <c r="AL31" s="206">
        <f>IF($AG$2="2018年",'Offer Statistics'!AN31,IF($AG$2="2019年",'Offer Statistics'!AN88,IF($AG$2="2020年",'Offer Statistics'!AN145)))</f>
        <v>467</v>
      </c>
      <c r="AM31" s="206">
        <f>IF($AG$2="2018年",'Offer Statistics'!AO31,IF($AG$2="2019年",'Offer Statistics'!AO88,IF($AG$2="2020年",'Offer Statistics'!AO145)))</f>
        <v>374</v>
      </c>
      <c r="AN31" s="131"/>
      <c r="AO31" s="131" t="str">
        <f t="shared" si="3"/>
        <v>JS3765</v>
      </c>
      <c r="AP31" s="112"/>
    </row>
    <row r="32" ht="18.0" customHeight="1">
      <c r="A32" s="263" t="s">
        <v>346</v>
      </c>
      <c r="B32" s="263" t="s">
        <v>1297</v>
      </c>
      <c r="C32" s="263" t="s">
        <v>347</v>
      </c>
      <c r="D32" s="263" t="s">
        <v>1327</v>
      </c>
      <c r="E32" s="264" t="s">
        <v>21</v>
      </c>
      <c r="F32" s="265">
        <f>'PolyU 參考分數'!AE33</f>
        <v>162</v>
      </c>
      <c r="G32" s="265">
        <f>'PolyU 參考分數'!AF33</f>
        <v>159</v>
      </c>
      <c r="H32" s="266">
        <f>'計分版'!D138</f>
        <v>0.00000002175</v>
      </c>
      <c r="I32" s="267">
        <f t="shared" si="1"/>
        <v>-159</v>
      </c>
      <c r="J32" s="268">
        <f t="shared" si="2"/>
        <v>-7310344827</v>
      </c>
      <c r="K32" s="264">
        <v>30.0</v>
      </c>
      <c r="L32" s="275">
        <f>'入學要求'!S118</f>
        <v>0</v>
      </c>
      <c r="M32" s="277" t="s">
        <v>1166</v>
      </c>
      <c r="N32" s="270">
        <v>3.0</v>
      </c>
      <c r="O32" s="270">
        <v>3.0</v>
      </c>
      <c r="P32" s="270">
        <v>2.0</v>
      </c>
      <c r="Q32" s="270">
        <v>2.0</v>
      </c>
      <c r="R32" s="270">
        <v>3.0</v>
      </c>
      <c r="S32" s="270">
        <v>3.0</v>
      </c>
      <c r="T32" s="271">
        <f>'入學要求'!L118</f>
        <v>0</v>
      </c>
      <c r="U32" s="271">
        <f>'入學要求'!M118</f>
        <v>0</v>
      </c>
      <c r="V32" s="271">
        <f>'入學要求'!N118</f>
        <v>0</v>
      </c>
      <c r="W32" s="271">
        <f>'入學要求'!O118</f>
        <v>0</v>
      </c>
      <c r="X32" s="271">
        <f>'入學要求'!P118</f>
        <v>0</v>
      </c>
      <c r="Y32" s="271">
        <f>'入學要求'!Q118</f>
        <v>0</v>
      </c>
      <c r="Z32" s="205"/>
      <c r="AA32" s="264">
        <f>IF($Z$2="2018年",'Offer Statistics'!AX32,IF($Z$2="2019年",'Offer Statistics'!AX89,IF($Z$2="2020年",'Offer Statistics'!AX146)))</f>
        <v>28</v>
      </c>
      <c r="AB32" s="273">
        <f>IF($Z$2="2018年",'Offer Statistics'!AS32,IF($Z$2="2019年",'Offer Statistics'!AS89,IF($Z$2="2020年",'Offer Statistics'!AS146)))</f>
        <v>27</v>
      </c>
      <c r="AC32" s="273">
        <f>IF($Z$2="2018年",'Offer Statistics'!AT32,IF($Z$2="2019年",'Offer Statistics'!AT89,IF($Z$2="2020年",'Offer Statistics'!AT146)))</f>
        <v>1</v>
      </c>
      <c r="AD32" s="273">
        <f>IF($Z$2="2018年",'Offer Statistics'!AU32,IF($Z$2="2019年",'Offer Statistics'!AU89,IF($Z$2="2020年",'Offer Statistics'!AU146)))</f>
        <v>0</v>
      </c>
      <c r="AE32" s="273">
        <f>IF($Z$2="2018年",'Offer Statistics'!AV32,IF($Z$2="2019年",'Offer Statistics'!AV89,IF($Z$2="2020年",'Offer Statistics'!AV146)))</f>
        <v>0</v>
      </c>
      <c r="AF32" s="273">
        <f>IF($Z$2="2018年",'Offer Statistics'!AW32,IF($Z$2="2019年",'Offer Statistics'!AW89,IF($Z$2="2020年",'Offer Statistics'!AW146)))</f>
        <v>0</v>
      </c>
      <c r="AG32" s="205"/>
      <c r="AH32" s="264">
        <f>IF($AG$2="2018年",'Offer Statistics'!AP32,IF($AG$2="2019年",'Offer Statistics'!AP89,IF($AG$2="2020年",'Offer Statistics'!AP146)))</f>
        <v>1591</v>
      </c>
      <c r="AI32" s="273">
        <f>IF($AG$2="2018年",'Offer Statistics'!AK32,IF($AG$2="2019年",'Offer Statistics'!AK89,IF($AG$2="2020年",'Offer Statistics'!AK146)))</f>
        <v>265</v>
      </c>
      <c r="AJ32" s="273">
        <f>IF($AG$2="2018年",'Offer Statistics'!AL32,IF($AG$2="2019年",'Offer Statistics'!AL89,IF($AG$2="2020年",'Offer Statistics'!AL146)))</f>
        <v>309</v>
      </c>
      <c r="AK32" s="273">
        <f>IF($AG$2="2018年",'Offer Statistics'!AM32,IF($AG$2="2019年",'Offer Statistics'!AM89,IF($AG$2="2020年",'Offer Statistics'!AM146)))</f>
        <v>348</v>
      </c>
      <c r="AL32" s="273">
        <f>IF($AG$2="2018年",'Offer Statistics'!AN32,IF($AG$2="2019年",'Offer Statistics'!AN89,IF($AG$2="2020年",'Offer Statistics'!AN146)))</f>
        <v>344</v>
      </c>
      <c r="AM32" s="273">
        <f>IF($AG$2="2018年",'Offer Statistics'!AO32,IF($AG$2="2019年",'Offer Statistics'!AO89,IF($AG$2="2020年",'Offer Statistics'!AO146)))</f>
        <v>325</v>
      </c>
      <c r="AN32" s="270"/>
      <c r="AO32" s="270" t="str">
        <f t="shared" si="3"/>
        <v>JS3777</v>
      </c>
      <c r="AP32" s="274"/>
    </row>
    <row r="33" ht="18.0" customHeight="1">
      <c r="A33" s="142" t="s">
        <v>348</v>
      </c>
      <c r="B33" s="142" t="s">
        <v>1297</v>
      </c>
      <c r="C33" s="142" t="s">
        <v>349</v>
      </c>
      <c r="D33" s="142" t="s">
        <v>1328</v>
      </c>
      <c r="E33" s="132" t="s">
        <v>21</v>
      </c>
      <c r="F33" s="199">
        <f>'PolyU 參考分數'!AE34</f>
        <v>173</v>
      </c>
      <c r="G33" s="199">
        <f>'PolyU 參考分數'!AF34</f>
        <v>172.5</v>
      </c>
      <c r="H33" s="200">
        <f>'計分版'!D139</f>
        <v>0.00000001975</v>
      </c>
      <c r="I33" s="201">
        <f t="shared" si="1"/>
        <v>-172.5</v>
      </c>
      <c r="J33" s="202">
        <f t="shared" si="2"/>
        <v>-8734177214</v>
      </c>
      <c r="K33" s="132">
        <v>47.0</v>
      </c>
      <c r="L33" s="203">
        <f>'入學要求'!S119</f>
        <v>0</v>
      </c>
      <c r="M33" s="135" t="s">
        <v>1166</v>
      </c>
      <c r="N33" s="131">
        <v>3.0</v>
      </c>
      <c r="O33" s="131">
        <v>3.0</v>
      </c>
      <c r="P33" s="131">
        <v>2.0</v>
      </c>
      <c r="Q33" s="131">
        <v>2.0</v>
      </c>
      <c r="R33" s="131">
        <v>3.0</v>
      </c>
      <c r="S33" s="131">
        <v>3.0</v>
      </c>
      <c r="T33" s="204">
        <f>'入學要求'!L119</f>
        <v>0</v>
      </c>
      <c r="U33" s="204">
        <f>'入學要求'!M119</f>
        <v>0</v>
      </c>
      <c r="V33" s="204">
        <f>'入學要求'!N119</f>
        <v>0</v>
      </c>
      <c r="W33" s="204">
        <f>'入學要求'!O119</f>
        <v>0</v>
      </c>
      <c r="X33" s="204">
        <f>'入學要求'!P119</f>
        <v>0</v>
      </c>
      <c r="Y33" s="204">
        <f>'入學要求'!Q119</f>
        <v>0</v>
      </c>
      <c r="Z33" s="205"/>
      <c r="AA33" s="132">
        <f>IF($Z$2="2018年",'Offer Statistics'!AX33,IF($Z$2="2019年",'Offer Statistics'!AX90,IF($Z$2="2020年",'Offer Statistics'!AX147)))</f>
        <v>53</v>
      </c>
      <c r="AB33" s="206">
        <f>IF($Z$2="2018年",'Offer Statistics'!AS33,IF($Z$2="2019年",'Offer Statistics'!AS90,IF($Z$2="2020年",'Offer Statistics'!AS147)))</f>
        <v>52</v>
      </c>
      <c r="AC33" s="206">
        <f>IF($Z$2="2018年",'Offer Statistics'!AT33,IF($Z$2="2019年",'Offer Statistics'!AT90,IF($Z$2="2020年",'Offer Statistics'!AT147)))</f>
        <v>1</v>
      </c>
      <c r="AD33" s="206">
        <f>IF($Z$2="2018年",'Offer Statistics'!AU33,IF($Z$2="2019年",'Offer Statistics'!AU90,IF($Z$2="2020年",'Offer Statistics'!AU147)))</f>
        <v>0</v>
      </c>
      <c r="AE33" s="206">
        <f>IF($Z$2="2018年",'Offer Statistics'!AV33,IF($Z$2="2019年",'Offer Statistics'!AV90,IF($Z$2="2020年",'Offer Statistics'!AV147)))</f>
        <v>0</v>
      </c>
      <c r="AF33" s="206">
        <f>IF($Z$2="2018年",'Offer Statistics'!AW33,IF($Z$2="2019年",'Offer Statistics'!AW90,IF($Z$2="2020年",'Offer Statistics'!AW147)))</f>
        <v>0</v>
      </c>
      <c r="AG33" s="205"/>
      <c r="AH33" s="132">
        <f>IF($AG$2="2018年",'Offer Statistics'!AP33,IF($AG$2="2019年",'Offer Statistics'!AP90,IF($AG$2="2020年",'Offer Statistics'!AP147)))</f>
        <v>1036</v>
      </c>
      <c r="AI33" s="206">
        <f>IF($AG$2="2018年",'Offer Statistics'!AK33,IF($AG$2="2019年",'Offer Statistics'!AK90,IF($AG$2="2020年",'Offer Statistics'!AK147)))</f>
        <v>167</v>
      </c>
      <c r="AJ33" s="206">
        <f>IF($AG$2="2018年",'Offer Statistics'!AL33,IF($AG$2="2019年",'Offer Statistics'!AL90,IF($AG$2="2020年",'Offer Statistics'!AL147)))</f>
        <v>139</v>
      </c>
      <c r="AK33" s="206">
        <f>IF($AG$2="2018年",'Offer Statistics'!AM33,IF($AG$2="2019年",'Offer Statistics'!AM90,IF($AG$2="2020年",'Offer Statistics'!AM147)))</f>
        <v>208</v>
      </c>
      <c r="AL33" s="206">
        <f>IF($AG$2="2018年",'Offer Statistics'!AN33,IF($AG$2="2019年",'Offer Statistics'!AN90,IF($AG$2="2020年",'Offer Statistics'!AN147)))</f>
        <v>255</v>
      </c>
      <c r="AM33" s="206">
        <f>IF($AG$2="2018年",'Offer Statistics'!AO33,IF($AG$2="2019年",'Offer Statistics'!AO90,IF($AG$2="2020年",'Offer Statistics'!AO147)))</f>
        <v>267</v>
      </c>
      <c r="AN33" s="131"/>
      <c r="AO33" s="131" t="str">
        <f t="shared" si="3"/>
        <v>JS3789</v>
      </c>
      <c r="AP33" s="112"/>
    </row>
    <row r="34" ht="18.0" customHeight="1">
      <c r="A34" s="263" t="s">
        <v>350</v>
      </c>
      <c r="B34" s="263" t="s">
        <v>1297</v>
      </c>
      <c r="C34" s="263" t="s">
        <v>351</v>
      </c>
      <c r="D34" s="263" t="s">
        <v>1329</v>
      </c>
      <c r="E34" s="264" t="s">
        <v>21</v>
      </c>
      <c r="F34" s="265">
        <f>'PolyU 參考分數'!AE35</f>
        <v>174</v>
      </c>
      <c r="G34" s="265">
        <f>'PolyU 參考分數'!AF35</f>
        <v>152</v>
      </c>
      <c r="H34" s="266">
        <f>'計分版'!D140</f>
        <v>0.00000002175</v>
      </c>
      <c r="I34" s="267">
        <f t="shared" si="1"/>
        <v>-152</v>
      </c>
      <c r="J34" s="268">
        <f t="shared" si="2"/>
        <v>-6988505746</v>
      </c>
      <c r="K34" s="264">
        <v>22.0</v>
      </c>
      <c r="L34" s="275">
        <f>'入學要求'!S120</f>
        <v>0</v>
      </c>
      <c r="M34" s="277" t="s">
        <v>1166</v>
      </c>
      <c r="N34" s="270">
        <v>3.0</v>
      </c>
      <c r="O34" s="270">
        <v>3.0</v>
      </c>
      <c r="P34" s="270">
        <v>2.0</v>
      </c>
      <c r="Q34" s="270">
        <v>2.0</v>
      </c>
      <c r="R34" s="270">
        <v>3.0</v>
      </c>
      <c r="S34" s="270">
        <v>3.0</v>
      </c>
      <c r="T34" s="271">
        <f>'入學要求'!L120</f>
        <v>0</v>
      </c>
      <c r="U34" s="271">
        <f>'入學要求'!M120</f>
        <v>0</v>
      </c>
      <c r="V34" s="271">
        <f>'入學要求'!N120</f>
        <v>0</v>
      </c>
      <c r="W34" s="271">
        <f>'入學要求'!O120</f>
        <v>0</v>
      </c>
      <c r="X34" s="271">
        <f>'入學要求'!P120</f>
        <v>0</v>
      </c>
      <c r="Y34" s="271">
        <f>'入學要求'!Q120</f>
        <v>0</v>
      </c>
      <c r="Z34" s="205"/>
      <c r="AA34" s="264">
        <f>IF($Z$2="2018年",'Offer Statistics'!AX34,IF($Z$2="2019年",'Offer Statistics'!AX91,IF($Z$2="2020年",'Offer Statistics'!AX148)))</f>
        <v>20</v>
      </c>
      <c r="AB34" s="273">
        <f>IF($Z$2="2018年",'Offer Statistics'!AS34,IF($Z$2="2019年",'Offer Statistics'!AS91,IF($Z$2="2020年",'Offer Statistics'!AS148)))</f>
        <v>15</v>
      </c>
      <c r="AC34" s="273">
        <f>IF($Z$2="2018年",'Offer Statistics'!AT34,IF($Z$2="2019年",'Offer Statistics'!AT91,IF($Z$2="2020年",'Offer Statistics'!AT148)))</f>
        <v>4</v>
      </c>
      <c r="AD34" s="273">
        <f>IF($Z$2="2018年",'Offer Statistics'!AU34,IF($Z$2="2019年",'Offer Statistics'!AU91,IF($Z$2="2020年",'Offer Statistics'!AU148)))</f>
        <v>0</v>
      </c>
      <c r="AE34" s="273">
        <f>IF($Z$2="2018年",'Offer Statistics'!AV34,IF($Z$2="2019年",'Offer Statistics'!AV91,IF($Z$2="2020年",'Offer Statistics'!AV148)))</f>
        <v>1</v>
      </c>
      <c r="AF34" s="273">
        <f>IF($Z$2="2018年",'Offer Statistics'!AW34,IF($Z$2="2019年",'Offer Statistics'!AW91,IF($Z$2="2020年",'Offer Statistics'!AW148)))</f>
        <v>0</v>
      </c>
      <c r="AG34" s="205"/>
      <c r="AH34" s="264">
        <f>IF($AG$2="2018年",'Offer Statistics'!AP34,IF($AG$2="2019年",'Offer Statistics'!AP91,IF($AG$2="2020年",'Offer Statistics'!AP148)))</f>
        <v>1781</v>
      </c>
      <c r="AI34" s="273">
        <f>IF($AG$2="2018年",'Offer Statistics'!AK34,IF($AG$2="2019年",'Offer Statistics'!AK91,IF($AG$2="2020年",'Offer Statistics'!AK148)))</f>
        <v>135</v>
      </c>
      <c r="AJ34" s="273">
        <f>IF($AG$2="2018年",'Offer Statistics'!AL34,IF($AG$2="2019年",'Offer Statistics'!AL91,IF($AG$2="2020年",'Offer Statistics'!AL148)))</f>
        <v>239</v>
      </c>
      <c r="AK34" s="273">
        <f>IF($AG$2="2018年",'Offer Statistics'!AM34,IF($AG$2="2019年",'Offer Statistics'!AM91,IF($AG$2="2020年",'Offer Statistics'!AM148)))</f>
        <v>397</v>
      </c>
      <c r="AL34" s="273">
        <f>IF($AG$2="2018年",'Offer Statistics'!AN34,IF($AG$2="2019年",'Offer Statistics'!AN91,IF($AG$2="2020年",'Offer Statistics'!AN148)))</f>
        <v>564</v>
      </c>
      <c r="AM34" s="273">
        <f>IF($AG$2="2018年",'Offer Statistics'!AO34,IF($AG$2="2019年",'Offer Statistics'!AO91,IF($AG$2="2020年",'Offer Statistics'!AO148)))</f>
        <v>446</v>
      </c>
      <c r="AN34" s="270"/>
      <c r="AO34" s="270" t="str">
        <f t="shared" si="3"/>
        <v>JS3791</v>
      </c>
      <c r="AP34" s="274"/>
    </row>
    <row r="35" ht="18.0" customHeight="1">
      <c r="A35" s="142" t="s">
        <v>352</v>
      </c>
      <c r="B35" s="142" t="s">
        <v>1294</v>
      </c>
      <c r="C35" s="142" t="s">
        <v>353</v>
      </c>
      <c r="D35" s="142" t="s">
        <v>1330</v>
      </c>
      <c r="E35" s="132" t="s">
        <v>21</v>
      </c>
      <c r="F35" s="199">
        <f>'PolyU 參考分數'!AE36</f>
        <v>166.5</v>
      </c>
      <c r="G35" s="199">
        <f>'PolyU 參考分數'!AF36</f>
        <v>156.5</v>
      </c>
      <c r="H35" s="200">
        <f>'計分版'!D141</f>
        <v>0.00000001975</v>
      </c>
      <c r="I35" s="201">
        <f t="shared" si="1"/>
        <v>-156.5</v>
      </c>
      <c r="J35" s="202">
        <f t="shared" si="2"/>
        <v>-7924050632</v>
      </c>
      <c r="K35" s="132">
        <v>19.0</v>
      </c>
      <c r="L35" s="203">
        <f>'入學要求'!S121</f>
        <v>0</v>
      </c>
      <c r="M35" s="131" t="s">
        <v>1077</v>
      </c>
      <c r="N35" s="131">
        <v>3.0</v>
      </c>
      <c r="O35" s="131">
        <v>3.0</v>
      </c>
      <c r="P35" s="131">
        <v>2.0</v>
      </c>
      <c r="Q35" s="131">
        <v>2.0</v>
      </c>
      <c r="R35" s="131">
        <v>3.0</v>
      </c>
      <c r="S35" s="131">
        <v>3.0</v>
      </c>
      <c r="T35" s="204">
        <f>'入學要求'!L121</f>
        <v>0</v>
      </c>
      <c r="U35" s="204">
        <f>'入學要求'!M121</f>
        <v>0</v>
      </c>
      <c r="V35" s="204">
        <f>'入學要求'!N121</f>
        <v>0</v>
      </c>
      <c r="W35" s="204">
        <f>'入學要求'!O121</f>
        <v>0</v>
      </c>
      <c r="X35" s="204">
        <f>'入學要求'!P121</f>
        <v>0</v>
      </c>
      <c r="Y35" s="204">
        <f>'入學要求'!Q121</f>
        <v>0</v>
      </c>
      <c r="Z35" s="205"/>
      <c r="AA35" s="132">
        <f>IF($Z$2="2018年",'Offer Statistics'!AX35,IF($Z$2="2019年",'Offer Statistics'!AX92,IF($Z$2="2020年",'Offer Statistics'!AX149)))</f>
        <v>25</v>
      </c>
      <c r="AB35" s="206">
        <f>IF($Z$2="2018年",'Offer Statistics'!AS35,IF($Z$2="2019年",'Offer Statistics'!AS92,IF($Z$2="2020年",'Offer Statistics'!AS149)))</f>
        <v>23</v>
      </c>
      <c r="AC35" s="206">
        <f>IF($Z$2="2018年",'Offer Statistics'!AT35,IF($Z$2="2019年",'Offer Statistics'!AT92,IF($Z$2="2020年",'Offer Statistics'!AT149)))</f>
        <v>2</v>
      </c>
      <c r="AD35" s="206">
        <f>IF($Z$2="2018年",'Offer Statistics'!AU35,IF($Z$2="2019年",'Offer Statistics'!AU92,IF($Z$2="2020年",'Offer Statistics'!AU149)))</f>
        <v>0</v>
      </c>
      <c r="AE35" s="206">
        <f>IF($Z$2="2018年",'Offer Statistics'!AV35,IF($Z$2="2019年",'Offer Statistics'!AV92,IF($Z$2="2020年",'Offer Statistics'!AV149)))</f>
        <v>0</v>
      </c>
      <c r="AF35" s="206">
        <f>IF($Z$2="2018年",'Offer Statistics'!AW35,IF($Z$2="2019年",'Offer Statistics'!AW92,IF($Z$2="2020年",'Offer Statistics'!AW149)))</f>
        <v>0</v>
      </c>
      <c r="AG35" s="205"/>
      <c r="AH35" s="132">
        <f>IF($AG$2="2018年",'Offer Statistics'!AP35,IF($AG$2="2019年",'Offer Statistics'!AP92,IF($AG$2="2020年",'Offer Statistics'!AP149)))</f>
        <v>1110</v>
      </c>
      <c r="AI35" s="206">
        <f>IF($AG$2="2018年",'Offer Statistics'!AK35,IF($AG$2="2019年",'Offer Statistics'!AK92,IF($AG$2="2020年",'Offer Statistics'!AK149)))</f>
        <v>122</v>
      </c>
      <c r="AJ35" s="206">
        <f>IF($AG$2="2018年",'Offer Statistics'!AL35,IF($AG$2="2019年",'Offer Statistics'!AL92,IF($AG$2="2020年",'Offer Statistics'!AL149)))</f>
        <v>152</v>
      </c>
      <c r="AK35" s="206">
        <f>IF($AG$2="2018年",'Offer Statistics'!AM35,IF($AG$2="2019年",'Offer Statistics'!AM92,IF($AG$2="2020年",'Offer Statistics'!AM149)))</f>
        <v>224</v>
      </c>
      <c r="AL35" s="206">
        <f>IF($AG$2="2018年",'Offer Statistics'!AN35,IF($AG$2="2019年",'Offer Statistics'!AN92,IF($AG$2="2020年",'Offer Statistics'!AN149)))</f>
        <v>362</v>
      </c>
      <c r="AM35" s="206">
        <f>IF($AG$2="2018年",'Offer Statistics'!AO35,IF($AG$2="2019年",'Offer Statistics'!AO92,IF($AG$2="2020年",'Offer Statistics'!AO149)))</f>
        <v>250</v>
      </c>
      <c r="AN35" s="131"/>
      <c r="AO35" s="131" t="str">
        <f t="shared" si="3"/>
        <v>JS3806</v>
      </c>
      <c r="AP35" s="112"/>
    </row>
    <row r="36" ht="18.0" customHeight="1">
      <c r="A36" s="263" t="s">
        <v>356</v>
      </c>
      <c r="B36" s="263" t="s">
        <v>1331</v>
      </c>
      <c r="C36" s="263" t="s">
        <v>357</v>
      </c>
      <c r="D36" s="263" t="s">
        <v>1332</v>
      </c>
      <c r="E36" s="264" t="s">
        <v>358</v>
      </c>
      <c r="F36" s="265">
        <f>'PolyU 參考分數'!AE37</f>
        <v>171</v>
      </c>
      <c r="G36" s="265">
        <f>'PolyU 參考分數'!AF37</f>
        <v>163.5</v>
      </c>
      <c r="H36" s="266">
        <f>'計分版'!D142</f>
        <v>0.00000001625</v>
      </c>
      <c r="I36" s="267">
        <f t="shared" si="1"/>
        <v>-163.5</v>
      </c>
      <c r="J36" s="268">
        <f t="shared" si="2"/>
        <v>-10061538461</v>
      </c>
      <c r="K36" s="264">
        <v>37.0</v>
      </c>
      <c r="L36" s="275">
        <f>'入學要求'!S122</f>
        <v>0</v>
      </c>
      <c r="M36" s="277" t="s">
        <v>1166</v>
      </c>
      <c r="N36" s="270">
        <v>3.0</v>
      </c>
      <c r="O36" s="270">
        <v>3.0</v>
      </c>
      <c r="P36" s="270">
        <v>2.0</v>
      </c>
      <c r="Q36" s="270">
        <v>2.0</v>
      </c>
      <c r="R36" s="270">
        <v>3.0</v>
      </c>
      <c r="S36" s="270">
        <v>3.0</v>
      </c>
      <c r="T36" s="271">
        <f>'入學要求'!L122</f>
        <v>0</v>
      </c>
      <c r="U36" s="271">
        <f>'入學要求'!M122</f>
        <v>0</v>
      </c>
      <c r="V36" s="271">
        <f>'入學要求'!N122</f>
        <v>0</v>
      </c>
      <c r="W36" s="271">
        <f>'入學要求'!O122</f>
        <v>0</v>
      </c>
      <c r="X36" s="271">
        <f>'入學要求'!P122</f>
        <v>0</v>
      </c>
      <c r="Y36" s="271">
        <f>'入學要求'!Q122</f>
        <v>0</v>
      </c>
      <c r="Z36" s="205"/>
      <c r="AA36" s="264">
        <f>IF($Z$2="2018年",'Offer Statistics'!AX36,IF($Z$2="2019年",'Offer Statistics'!AX93,IF($Z$2="2020年",'Offer Statistics'!AX150)))</f>
        <v>37</v>
      </c>
      <c r="AB36" s="273">
        <f>IF($Z$2="2018年",'Offer Statistics'!AS36,IF($Z$2="2019年",'Offer Statistics'!AS93,IF($Z$2="2020年",'Offer Statistics'!AS150)))</f>
        <v>34</v>
      </c>
      <c r="AC36" s="273">
        <f>IF($Z$2="2018年",'Offer Statistics'!AT36,IF($Z$2="2019年",'Offer Statistics'!AT93,IF($Z$2="2020年",'Offer Statistics'!AT150)))</f>
        <v>2</v>
      </c>
      <c r="AD36" s="273">
        <f>IF($Z$2="2018年",'Offer Statistics'!AU36,IF($Z$2="2019年",'Offer Statistics'!AU93,IF($Z$2="2020年",'Offer Statistics'!AU150)))</f>
        <v>1</v>
      </c>
      <c r="AE36" s="273">
        <f>IF($Z$2="2018年",'Offer Statistics'!AV36,IF($Z$2="2019年",'Offer Statistics'!AV93,IF($Z$2="2020年",'Offer Statistics'!AV150)))</f>
        <v>0</v>
      </c>
      <c r="AF36" s="273">
        <f>IF($Z$2="2018年",'Offer Statistics'!AW36,IF($Z$2="2019年",'Offer Statistics'!AW93,IF($Z$2="2020年",'Offer Statistics'!AW150)))</f>
        <v>0</v>
      </c>
      <c r="AG36" s="205"/>
      <c r="AH36" s="264">
        <f>IF($AG$2="2018年",'Offer Statistics'!AP36,IF($AG$2="2019年",'Offer Statistics'!AP93,IF($AG$2="2020年",'Offer Statistics'!AP150)))</f>
        <v>2287</v>
      </c>
      <c r="AI36" s="273">
        <f>IF($AG$2="2018年",'Offer Statistics'!AK36,IF($AG$2="2019年",'Offer Statistics'!AK93,IF($AG$2="2020年",'Offer Statistics'!AK150)))</f>
        <v>314</v>
      </c>
      <c r="AJ36" s="273">
        <f>IF($AG$2="2018年",'Offer Statistics'!AL36,IF($AG$2="2019年",'Offer Statistics'!AL93,IF($AG$2="2020年",'Offer Statistics'!AL150)))</f>
        <v>319</v>
      </c>
      <c r="AK36" s="273">
        <f>IF($AG$2="2018年",'Offer Statistics'!AM36,IF($AG$2="2019年",'Offer Statistics'!AM93,IF($AG$2="2020年",'Offer Statistics'!AM150)))</f>
        <v>536</v>
      </c>
      <c r="AL36" s="273">
        <f>IF($AG$2="2018年",'Offer Statistics'!AN36,IF($AG$2="2019年",'Offer Statistics'!AN93,IF($AG$2="2020年",'Offer Statistics'!AN150)))</f>
        <v>633</v>
      </c>
      <c r="AM36" s="273">
        <f>IF($AG$2="2018年",'Offer Statistics'!AO36,IF($AG$2="2019年",'Offer Statistics'!AO93,IF($AG$2="2020年",'Offer Statistics'!AO150)))</f>
        <v>485</v>
      </c>
      <c r="AN36" s="270"/>
      <c r="AO36" s="270" t="str">
        <f t="shared" si="3"/>
        <v>JS3818</v>
      </c>
      <c r="AP36" s="274"/>
    </row>
    <row r="37" ht="18.0" customHeight="1">
      <c r="A37" s="142" t="s">
        <v>361</v>
      </c>
      <c r="B37" s="142" t="s">
        <v>1333</v>
      </c>
      <c r="C37" s="142" t="s">
        <v>362</v>
      </c>
      <c r="D37" s="142" t="s">
        <v>1334</v>
      </c>
      <c r="E37" s="132" t="s">
        <v>21</v>
      </c>
      <c r="F37" s="199">
        <f>'PolyU 參考分數'!AE38</f>
        <v>154.5</v>
      </c>
      <c r="G37" s="199">
        <f>'PolyU 參考分數'!AF38</f>
        <v>137</v>
      </c>
      <c r="H37" s="200">
        <f>'計分版'!D143</f>
        <v>0.00000001975</v>
      </c>
      <c r="I37" s="201">
        <f t="shared" si="1"/>
        <v>-137</v>
      </c>
      <c r="J37" s="202">
        <f t="shared" si="2"/>
        <v>-6936708860</v>
      </c>
      <c r="K37" s="132">
        <v>32.0</v>
      </c>
      <c r="L37" s="203">
        <f>'入學要求'!S123</f>
        <v>0</v>
      </c>
      <c r="M37" s="135" t="s">
        <v>1166</v>
      </c>
      <c r="N37" s="131">
        <v>3.0</v>
      </c>
      <c r="O37" s="131">
        <v>3.0</v>
      </c>
      <c r="P37" s="131">
        <v>2.0</v>
      </c>
      <c r="Q37" s="131">
        <v>2.0</v>
      </c>
      <c r="R37" s="131">
        <v>3.0</v>
      </c>
      <c r="S37" s="131">
        <v>3.0</v>
      </c>
      <c r="T37" s="204">
        <f>'入學要求'!L123</f>
        <v>0</v>
      </c>
      <c r="U37" s="204">
        <f>'入學要求'!M123</f>
        <v>0</v>
      </c>
      <c r="V37" s="204">
        <f>'入學要求'!N123</f>
        <v>0</v>
      </c>
      <c r="W37" s="204">
        <f>'入學要求'!O123</f>
        <v>0</v>
      </c>
      <c r="X37" s="204">
        <f>'入學要求'!P123</f>
        <v>0</v>
      </c>
      <c r="Y37" s="204">
        <f>'入學要求'!Q123</f>
        <v>0</v>
      </c>
      <c r="Z37" s="205"/>
      <c r="AA37" s="132">
        <f>IF($Z$2="2018年",'Offer Statistics'!AX37,IF($Z$2="2019年",'Offer Statistics'!AX94,IF($Z$2="2020年",'Offer Statistics'!AX151)))</f>
        <v>35</v>
      </c>
      <c r="AB37" s="206">
        <f>IF($Z$2="2018年",'Offer Statistics'!AS37,IF($Z$2="2019年",'Offer Statistics'!AS94,IF($Z$2="2020年",'Offer Statistics'!AS151)))</f>
        <v>35</v>
      </c>
      <c r="AC37" s="206">
        <f>IF($Z$2="2018年",'Offer Statistics'!AT37,IF($Z$2="2019年",'Offer Statistics'!AT94,IF($Z$2="2020年",'Offer Statistics'!AT151)))</f>
        <v>0</v>
      </c>
      <c r="AD37" s="206">
        <f>IF($Z$2="2018年",'Offer Statistics'!AU37,IF($Z$2="2019年",'Offer Statistics'!AU94,IF($Z$2="2020年",'Offer Statistics'!AU151)))</f>
        <v>0</v>
      </c>
      <c r="AE37" s="206">
        <f>IF($Z$2="2018年",'Offer Statistics'!AV37,IF($Z$2="2019年",'Offer Statistics'!AV94,IF($Z$2="2020年",'Offer Statistics'!AV151)))</f>
        <v>0</v>
      </c>
      <c r="AF37" s="206">
        <f>IF($Z$2="2018年",'Offer Statistics'!AW37,IF($Z$2="2019年",'Offer Statistics'!AW94,IF($Z$2="2020年",'Offer Statistics'!AW151)))</f>
        <v>0</v>
      </c>
      <c r="AG37" s="205"/>
      <c r="AH37" s="132">
        <f>IF($AG$2="2018年",'Offer Statistics'!AP37,IF($AG$2="2019年",'Offer Statistics'!AP94,IF($AG$2="2020年",'Offer Statistics'!AP151)))</f>
        <v>4346</v>
      </c>
      <c r="AI37" s="206">
        <f>IF($AG$2="2018年",'Offer Statistics'!AK37,IF($AG$2="2019年",'Offer Statistics'!AK94,IF($AG$2="2020年",'Offer Statistics'!AK151)))</f>
        <v>689</v>
      </c>
      <c r="AJ37" s="206">
        <f>IF($AG$2="2018年",'Offer Statistics'!AL37,IF($AG$2="2019年",'Offer Statistics'!AL94,IF($AG$2="2020年",'Offer Statistics'!AL151)))</f>
        <v>590</v>
      </c>
      <c r="AK37" s="206">
        <f>IF($AG$2="2018年",'Offer Statistics'!AM37,IF($AG$2="2019年",'Offer Statistics'!AM94,IF($AG$2="2020年",'Offer Statistics'!AM151)))</f>
        <v>966</v>
      </c>
      <c r="AL37" s="206">
        <f>IF($AG$2="2018年",'Offer Statistics'!AN37,IF($AG$2="2019年",'Offer Statistics'!AN94,IF($AG$2="2020年",'Offer Statistics'!AN151)))</f>
        <v>1238</v>
      </c>
      <c r="AM37" s="206">
        <f>IF($AG$2="2018年",'Offer Statistics'!AO37,IF($AG$2="2019年",'Offer Statistics'!AO94,IF($AG$2="2020年",'Offer Statistics'!AO151)))</f>
        <v>863</v>
      </c>
      <c r="AN37" s="131"/>
      <c r="AO37" s="131" t="str">
        <f t="shared" si="3"/>
        <v>JS3820</v>
      </c>
      <c r="AP37" s="112"/>
    </row>
    <row r="38" ht="18.0" customHeight="1">
      <c r="A38" s="263" t="s">
        <v>365</v>
      </c>
      <c r="B38" s="263" t="s">
        <v>1331</v>
      </c>
      <c r="C38" s="263" t="s">
        <v>1335</v>
      </c>
      <c r="D38" s="263" t="s">
        <v>1336</v>
      </c>
      <c r="E38" s="264" t="s">
        <v>358</v>
      </c>
      <c r="F38" s="265">
        <f>'PolyU 參考分數'!AE39</f>
        <v>164</v>
      </c>
      <c r="G38" s="265">
        <f>'PolyU 參考分數'!AF39</f>
        <v>159</v>
      </c>
      <c r="H38" s="266">
        <f>'計分版'!D144</f>
        <v>0.00000001625</v>
      </c>
      <c r="I38" s="267">
        <f t="shared" si="1"/>
        <v>-159</v>
      </c>
      <c r="J38" s="268">
        <f t="shared" si="2"/>
        <v>-9784615384</v>
      </c>
      <c r="K38" s="264">
        <v>41.0</v>
      </c>
      <c r="L38" s="275">
        <f>'入學要求'!S124</f>
        <v>0</v>
      </c>
      <c r="M38" s="277" t="s">
        <v>1166</v>
      </c>
      <c r="N38" s="270">
        <v>3.0</v>
      </c>
      <c r="O38" s="270">
        <v>3.0</v>
      </c>
      <c r="P38" s="270">
        <v>2.0</v>
      </c>
      <c r="Q38" s="270">
        <v>2.0</v>
      </c>
      <c r="R38" s="270">
        <v>3.0</v>
      </c>
      <c r="S38" s="270">
        <v>3.0</v>
      </c>
      <c r="T38" s="271">
        <f>'入學要求'!L124</f>
        <v>0</v>
      </c>
      <c r="U38" s="271">
        <f>'入學要求'!M124</f>
        <v>0</v>
      </c>
      <c r="V38" s="271">
        <f>'入學要求'!N124</f>
        <v>0</v>
      </c>
      <c r="W38" s="271">
        <f>'入學要求'!O124</f>
        <v>0</v>
      </c>
      <c r="X38" s="271">
        <f>'入學要求'!P124</f>
        <v>0</v>
      </c>
      <c r="Y38" s="271">
        <f>'入學要求'!Q124</f>
        <v>0</v>
      </c>
      <c r="Z38" s="205"/>
      <c r="AA38" s="264">
        <f>IF($Z$2="2018年",'Offer Statistics'!AX38,IF($Z$2="2019年",'Offer Statistics'!AX95,IF($Z$2="2020年",'Offer Statistics'!AX152)))</f>
        <v>22</v>
      </c>
      <c r="AB38" s="273">
        <f>IF($Z$2="2018年",'Offer Statistics'!AS38,IF($Z$2="2019年",'Offer Statistics'!AS95,IF($Z$2="2020年",'Offer Statistics'!AS152)))</f>
        <v>17</v>
      </c>
      <c r="AC38" s="273">
        <f>IF($Z$2="2018年",'Offer Statistics'!AT38,IF($Z$2="2019年",'Offer Statistics'!AT95,IF($Z$2="2020年",'Offer Statistics'!AT152)))</f>
        <v>3</v>
      </c>
      <c r="AD38" s="273">
        <f>IF($Z$2="2018年",'Offer Statistics'!AU38,IF($Z$2="2019年",'Offer Statistics'!AU95,IF($Z$2="2020年",'Offer Statistics'!AU152)))</f>
        <v>1</v>
      </c>
      <c r="AE38" s="273">
        <f>IF($Z$2="2018年",'Offer Statistics'!AV38,IF($Z$2="2019年",'Offer Statistics'!AV95,IF($Z$2="2020年",'Offer Statistics'!AV152)))</f>
        <v>1</v>
      </c>
      <c r="AF38" s="273">
        <f>IF($Z$2="2018年",'Offer Statistics'!AW38,IF($Z$2="2019年",'Offer Statistics'!AW95,IF($Z$2="2020年",'Offer Statistics'!AW152)))</f>
        <v>0</v>
      </c>
      <c r="AG38" s="205"/>
      <c r="AH38" s="264">
        <f>IF($AG$2="2018年",'Offer Statistics'!AP38,IF($AG$2="2019年",'Offer Statistics'!AP95,IF($AG$2="2020年",'Offer Statistics'!AP152)))</f>
        <v>876</v>
      </c>
      <c r="AI38" s="273">
        <f>IF($AG$2="2018年",'Offer Statistics'!AK38,IF($AG$2="2019年",'Offer Statistics'!AK95,IF($AG$2="2020年",'Offer Statistics'!AK152)))</f>
        <v>108</v>
      </c>
      <c r="AJ38" s="273">
        <f>IF($AG$2="2018年",'Offer Statistics'!AL38,IF($AG$2="2019年",'Offer Statistics'!AL95,IF($AG$2="2020年",'Offer Statistics'!AL152)))</f>
        <v>145</v>
      </c>
      <c r="AK38" s="273">
        <f>IF($AG$2="2018年",'Offer Statistics'!AM38,IF($AG$2="2019年",'Offer Statistics'!AM95,IF($AG$2="2020年",'Offer Statistics'!AM152)))</f>
        <v>196</v>
      </c>
      <c r="AL38" s="273">
        <f>IF($AG$2="2018年",'Offer Statistics'!AN38,IF($AG$2="2019年",'Offer Statistics'!AN95,IF($AG$2="2020年",'Offer Statistics'!AN152)))</f>
        <v>243</v>
      </c>
      <c r="AM38" s="273">
        <f>IF($AG$2="2018年",'Offer Statistics'!AO38,IF($AG$2="2019年",'Offer Statistics'!AO95,IF($AG$2="2020年",'Offer Statistics'!AO152)))</f>
        <v>184</v>
      </c>
      <c r="AN38" s="270"/>
      <c r="AO38" s="270" t="str">
        <f t="shared" si="3"/>
        <v>JS3832</v>
      </c>
      <c r="AP38" s="274"/>
    </row>
    <row r="39" ht="18.0" customHeight="1">
      <c r="A39" s="142" t="s">
        <v>368</v>
      </c>
      <c r="B39" s="142" t="s">
        <v>1301</v>
      </c>
      <c r="C39" s="142" t="s">
        <v>369</v>
      </c>
      <c r="D39" s="142" t="s">
        <v>1337</v>
      </c>
      <c r="E39" s="132" t="s">
        <v>21</v>
      </c>
      <c r="F39" s="199">
        <f>'PolyU 參考分數'!AE40</f>
        <v>156.5</v>
      </c>
      <c r="G39" s="199">
        <f>'PolyU 參考分數'!AF40</f>
        <v>146.5</v>
      </c>
      <c r="H39" s="200">
        <f>'計分版'!D145</f>
        <v>0.00000001975</v>
      </c>
      <c r="I39" s="201">
        <f t="shared" si="1"/>
        <v>-146.5</v>
      </c>
      <c r="J39" s="202">
        <f t="shared" si="2"/>
        <v>-7417721518</v>
      </c>
      <c r="K39" s="132">
        <v>29.0</v>
      </c>
      <c r="L39" s="203">
        <f>'入學要求'!S125</f>
        <v>0</v>
      </c>
      <c r="M39" s="135" t="s">
        <v>1166</v>
      </c>
      <c r="N39" s="131">
        <v>3.0</v>
      </c>
      <c r="O39" s="131">
        <v>3.0</v>
      </c>
      <c r="P39" s="131">
        <v>2.0</v>
      </c>
      <c r="Q39" s="131">
        <v>2.0</v>
      </c>
      <c r="R39" s="131">
        <v>3.0</v>
      </c>
      <c r="S39" s="131">
        <v>3.0</v>
      </c>
      <c r="T39" s="204">
        <f>'入學要求'!L125</f>
        <v>0</v>
      </c>
      <c r="U39" s="204">
        <f>'入學要求'!M125</f>
        <v>0</v>
      </c>
      <c r="V39" s="204">
        <f>'入學要求'!N125</f>
        <v>0</v>
      </c>
      <c r="W39" s="204">
        <f>'入學要求'!O125</f>
        <v>0</v>
      </c>
      <c r="X39" s="204">
        <f>'入學要求'!P125</f>
        <v>0</v>
      </c>
      <c r="Y39" s="204">
        <f>'入學要求'!Q125</f>
        <v>0</v>
      </c>
      <c r="Z39" s="205"/>
      <c r="AA39" s="132" t="str">
        <f>IF($Z$2="2018年",'Offer Statistics'!AX39,IF($Z$2="2019年",'Offer Statistics'!AX96,IF($Z$2="2020年",'Offer Statistics'!AX153)))</f>
        <v>/</v>
      </c>
      <c r="AB39" s="206" t="str">
        <f>IF($Z$2="2018年",'Offer Statistics'!AS39,IF($Z$2="2019年",'Offer Statistics'!AS96,IF($Z$2="2020年",'Offer Statistics'!AS153)))</f>
        <v>/</v>
      </c>
      <c r="AC39" s="206" t="str">
        <f>IF($Z$2="2018年",'Offer Statistics'!AT39,IF($Z$2="2019年",'Offer Statistics'!AT96,IF($Z$2="2020年",'Offer Statistics'!AT153)))</f>
        <v>/</v>
      </c>
      <c r="AD39" s="206" t="str">
        <f>IF($Z$2="2018年",'Offer Statistics'!AU39,IF($Z$2="2019年",'Offer Statistics'!AU96,IF($Z$2="2020年",'Offer Statistics'!AU153)))</f>
        <v>/</v>
      </c>
      <c r="AE39" s="206" t="str">
        <f>IF($Z$2="2018年",'Offer Statistics'!AV39,IF($Z$2="2019年",'Offer Statistics'!AV96,IF($Z$2="2020年",'Offer Statistics'!AV153)))</f>
        <v>/</v>
      </c>
      <c r="AF39" s="206" t="str">
        <f>IF($Z$2="2018年",'Offer Statistics'!AW39,IF($Z$2="2019年",'Offer Statistics'!AW96,IF($Z$2="2020年",'Offer Statistics'!AW153)))</f>
        <v>/</v>
      </c>
      <c r="AG39" s="205"/>
      <c r="AH39" s="132" t="str">
        <f>IF($AG$2="2018年",'Offer Statistics'!AP39,IF($AG$2="2019年",'Offer Statistics'!AP96,IF($AG$2="2020年",'Offer Statistics'!AP153)))</f>
        <v>/</v>
      </c>
      <c r="AI39" s="206" t="str">
        <f>IF($AG$2="2018年",'Offer Statistics'!AK39,IF($AG$2="2019年",'Offer Statistics'!AK96,IF($AG$2="2020年",'Offer Statistics'!AK153)))</f>
        <v>/</v>
      </c>
      <c r="AJ39" s="206" t="str">
        <f>IF($AG$2="2018年",'Offer Statistics'!AL39,IF($AG$2="2019年",'Offer Statistics'!AL96,IF($AG$2="2020年",'Offer Statistics'!AL153)))</f>
        <v>/</v>
      </c>
      <c r="AK39" s="206" t="str">
        <f>IF($AG$2="2018年",'Offer Statistics'!AM39,IF($AG$2="2019年",'Offer Statistics'!AM96,IF($AG$2="2020年",'Offer Statistics'!AM153)))</f>
        <v>/</v>
      </c>
      <c r="AL39" s="206" t="str">
        <f>IF($AG$2="2018年",'Offer Statistics'!AN39,IF($AG$2="2019年",'Offer Statistics'!AN96,IF($AG$2="2020年",'Offer Statistics'!AN153)))</f>
        <v>/</v>
      </c>
      <c r="AM39" s="206" t="str">
        <f>IF($AG$2="2018年",'Offer Statistics'!AO39,IF($AG$2="2019年",'Offer Statistics'!AO96,IF($AG$2="2020年",'Offer Statistics'!AO153)))</f>
        <v>/</v>
      </c>
      <c r="AN39" s="131"/>
      <c r="AO39" s="131" t="str">
        <f t="shared" si="3"/>
        <v>JS3844</v>
      </c>
      <c r="AP39" s="112"/>
    </row>
    <row r="40" ht="18.0" customHeight="1">
      <c r="A40" s="263" t="s">
        <v>370</v>
      </c>
      <c r="B40" s="263" t="s">
        <v>1002</v>
      </c>
      <c r="C40" s="263" t="s">
        <v>371</v>
      </c>
      <c r="D40" s="263" t="s">
        <v>1338</v>
      </c>
      <c r="E40" s="264" t="s">
        <v>21</v>
      </c>
      <c r="F40" s="265">
        <f>'PolyU 參考分數'!AE41</f>
        <v>188</v>
      </c>
      <c r="G40" s="265">
        <f>'PolyU 參考分數'!AF41</f>
        <v>181</v>
      </c>
      <c r="H40" s="266">
        <f>'計分版'!D146</f>
        <v>0.00000002175</v>
      </c>
      <c r="I40" s="267">
        <f t="shared" si="1"/>
        <v>-181</v>
      </c>
      <c r="J40" s="268">
        <f t="shared" si="2"/>
        <v>-8321839079</v>
      </c>
      <c r="K40" s="264">
        <v>110.0</v>
      </c>
      <c r="L40" s="275">
        <f>'入學要求'!S126</f>
        <v>0</v>
      </c>
      <c r="M40" s="270" t="s">
        <v>1077</v>
      </c>
      <c r="N40" s="270">
        <v>3.0</v>
      </c>
      <c r="O40" s="270">
        <v>3.0</v>
      </c>
      <c r="P40" s="270">
        <v>2.0</v>
      </c>
      <c r="Q40" s="270">
        <v>2.0</v>
      </c>
      <c r="R40" s="270">
        <v>3.0</v>
      </c>
      <c r="S40" s="270">
        <v>3.0</v>
      </c>
      <c r="T40" s="271">
        <f>'入學要求'!L126</f>
        <v>0</v>
      </c>
      <c r="U40" s="271">
        <f>'入學要求'!M126</f>
        <v>0</v>
      </c>
      <c r="V40" s="271">
        <f>'入學要求'!N126</f>
        <v>0</v>
      </c>
      <c r="W40" s="271">
        <f>'入學要求'!O126</f>
        <v>0</v>
      </c>
      <c r="X40" s="271">
        <f>'入學要求'!P126</f>
        <v>0</v>
      </c>
      <c r="Y40" s="271">
        <f>'入學要求'!Q126</f>
        <v>0</v>
      </c>
      <c r="Z40" s="205"/>
      <c r="AA40" s="264">
        <f>IF($Z$2="2018年",'Offer Statistics'!AX40,IF($Z$2="2019年",'Offer Statistics'!AX97,IF($Z$2="2020年",'Offer Statistics'!AX154)))</f>
        <v>95</v>
      </c>
      <c r="AB40" s="273">
        <f>IF($Z$2="2018年",'Offer Statistics'!AS40,IF($Z$2="2019年",'Offer Statistics'!AS97,IF($Z$2="2020年",'Offer Statistics'!AS154)))</f>
        <v>87</v>
      </c>
      <c r="AC40" s="273">
        <f>IF($Z$2="2018年",'Offer Statistics'!AT40,IF($Z$2="2019年",'Offer Statistics'!AT97,IF($Z$2="2020年",'Offer Statistics'!AT154)))</f>
        <v>6</v>
      </c>
      <c r="AD40" s="273">
        <f>IF($Z$2="2018年",'Offer Statistics'!AU40,IF($Z$2="2019年",'Offer Statistics'!AU97,IF($Z$2="2020年",'Offer Statistics'!AU154)))</f>
        <v>1</v>
      </c>
      <c r="AE40" s="273">
        <f>IF($Z$2="2018年",'Offer Statistics'!AV40,IF($Z$2="2019年",'Offer Statistics'!AV97,IF($Z$2="2020年",'Offer Statistics'!AV154)))</f>
        <v>1</v>
      </c>
      <c r="AF40" s="273">
        <f>IF($Z$2="2018年",'Offer Statistics'!AW40,IF($Z$2="2019年",'Offer Statistics'!AW97,IF($Z$2="2020年",'Offer Statistics'!AW154)))</f>
        <v>0</v>
      </c>
      <c r="AG40" s="205"/>
      <c r="AH40" s="264">
        <f>IF($AG$2="2018年",'Offer Statistics'!AP40,IF($AG$2="2019年",'Offer Statistics'!AP97,IF($AG$2="2020年",'Offer Statistics'!AP154)))</f>
        <v>2155</v>
      </c>
      <c r="AI40" s="273">
        <f>IF($AG$2="2018年",'Offer Statistics'!AK40,IF($AG$2="2019年",'Offer Statistics'!AK97,IF($AG$2="2020年",'Offer Statistics'!AK154)))</f>
        <v>520</v>
      </c>
      <c r="AJ40" s="273">
        <f>IF($AG$2="2018年",'Offer Statistics'!AL40,IF($AG$2="2019年",'Offer Statistics'!AL97,IF($AG$2="2020年",'Offer Statistics'!AL154)))</f>
        <v>422</v>
      </c>
      <c r="AK40" s="273">
        <f>IF($AG$2="2018年",'Offer Statistics'!AM40,IF($AG$2="2019年",'Offer Statistics'!AM97,IF($AG$2="2020年",'Offer Statistics'!AM154)))</f>
        <v>467</v>
      </c>
      <c r="AL40" s="273">
        <f>IF($AG$2="2018年",'Offer Statistics'!AN40,IF($AG$2="2019年",'Offer Statistics'!AN97,IF($AG$2="2020年",'Offer Statistics'!AN154)))</f>
        <v>454</v>
      </c>
      <c r="AM40" s="273">
        <f>IF($AG$2="2018年",'Offer Statistics'!AO40,IF($AG$2="2019年",'Offer Statistics'!AO97,IF($AG$2="2020年",'Offer Statistics'!AO154)))</f>
        <v>292</v>
      </c>
      <c r="AN40" s="270"/>
      <c r="AO40" s="270" t="str">
        <f t="shared" si="3"/>
        <v>JS3868</v>
      </c>
      <c r="AP40" s="274"/>
    </row>
    <row r="41" ht="18.0" customHeight="1">
      <c r="A41" s="142" t="s">
        <v>373</v>
      </c>
      <c r="B41" s="142" t="s">
        <v>1333</v>
      </c>
      <c r="C41" s="142" t="s">
        <v>374</v>
      </c>
      <c r="D41" s="142" t="s">
        <v>1339</v>
      </c>
      <c r="E41" s="132" t="s">
        <v>21</v>
      </c>
      <c r="F41" s="199">
        <f>'PolyU 參考分數'!AE42</f>
        <v>154.5</v>
      </c>
      <c r="G41" s="199">
        <f>'PolyU 參考分數'!AF42</f>
        <v>134.5</v>
      </c>
      <c r="H41" s="200">
        <f>'計分版'!D147</f>
        <v>0.00000001975</v>
      </c>
      <c r="I41" s="201">
        <f t="shared" si="1"/>
        <v>-134.5</v>
      </c>
      <c r="J41" s="202">
        <f t="shared" si="2"/>
        <v>-6810126581</v>
      </c>
      <c r="K41" s="132">
        <v>45.0</v>
      </c>
      <c r="L41" s="203">
        <f>'入學要求'!S127</f>
        <v>0</v>
      </c>
      <c r="M41" s="131" t="s">
        <v>541</v>
      </c>
      <c r="N41" s="131">
        <v>3.0</v>
      </c>
      <c r="O41" s="131">
        <v>3.0</v>
      </c>
      <c r="P41" s="131">
        <v>2.0</v>
      </c>
      <c r="Q41" s="131">
        <v>2.0</v>
      </c>
      <c r="R41" s="131">
        <v>3.0</v>
      </c>
      <c r="S41" s="131">
        <v>3.0</v>
      </c>
      <c r="T41" s="204">
        <f>'入學要求'!L127</f>
        <v>0</v>
      </c>
      <c r="U41" s="204">
        <f>'入學要求'!M127</f>
        <v>0</v>
      </c>
      <c r="V41" s="204">
        <f>'入學要求'!N127</f>
        <v>0</v>
      </c>
      <c r="W41" s="204">
        <f>'入學要求'!O127</f>
        <v>0</v>
      </c>
      <c r="X41" s="204">
        <f>'入學要求'!P127</f>
        <v>0</v>
      </c>
      <c r="Y41" s="204">
        <f>'入學要求'!Q127</f>
        <v>0</v>
      </c>
      <c r="Z41" s="205"/>
      <c r="AA41" s="132">
        <f>IF($Z$2="2018年",'Offer Statistics'!AX41,IF($Z$2="2019年",'Offer Statistics'!AX98,IF($Z$2="2020年",'Offer Statistics'!AX155)))</f>
        <v>49</v>
      </c>
      <c r="AB41" s="206">
        <f>IF($Z$2="2018年",'Offer Statistics'!AS41,IF($Z$2="2019年",'Offer Statistics'!AS98,IF($Z$2="2020年",'Offer Statistics'!AS155)))</f>
        <v>49</v>
      </c>
      <c r="AC41" s="206">
        <f>IF($Z$2="2018年",'Offer Statistics'!AT41,IF($Z$2="2019年",'Offer Statistics'!AT98,IF($Z$2="2020年",'Offer Statistics'!AT155)))</f>
        <v>0</v>
      </c>
      <c r="AD41" s="206">
        <f>IF($Z$2="2018年",'Offer Statistics'!AU41,IF($Z$2="2019年",'Offer Statistics'!AU98,IF($Z$2="2020年",'Offer Statistics'!AU155)))</f>
        <v>0</v>
      </c>
      <c r="AE41" s="206">
        <f>IF($Z$2="2018年",'Offer Statistics'!AV41,IF($Z$2="2019年",'Offer Statistics'!AV98,IF($Z$2="2020年",'Offer Statistics'!AV155)))</f>
        <v>0</v>
      </c>
      <c r="AF41" s="206">
        <f>IF($Z$2="2018年",'Offer Statistics'!AW41,IF($Z$2="2019年",'Offer Statistics'!AW98,IF($Z$2="2020年",'Offer Statistics'!AW155)))</f>
        <v>0</v>
      </c>
      <c r="AG41" s="205"/>
      <c r="AH41" s="132">
        <f>IF($AG$2="2018年",'Offer Statistics'!AP41,IF($AG$2="2019年",'Offer Statistics'!AP98,IF($AG$2="2020年",'Offer Statistics'!AP155)))</f>
        <v>6159</v>
      </c>
      <c r="AI41" s="206">
        <f>IF($AG$2="2018年",'Offer Statistics'!AK41,IF($AG$2="2019年",'Offer Statistics'!AK98,IF($AG$2="2020年",'Offer Statistics'!AK155)))</f>
        <v>888</v>
      </c>
      <c r="AJ41" s="206">
        <f>IF($AG$2="2018年",'Offer Statistics'!AL41,IF($AG$2="2019年",'Offer Statistics'!AL98,IF($AG$2="2020年",'Offer Statistics'!AL155)))</f>
        <v>831</v>
      </c>
      <c r="AK41" s="206">
        <f>IF($AG$2="2018年",'Offer Statistics'!AM41,IF($AG$2="2019年",'Offer Statistics'!AM98,IF($AG$2="2020年",'Offer Statistics'!AM155)))</f>
        <v>1314</v>
      </c>
      <c r="AL41" s="206">
        <f>IF($AG$2="2018年",'Offer Statistics'!AN41,IF($AG$2="2019年",'Offer Statistics'!AN98,IF($AG$2="2020年",'Offer Statistics'!AN155)))</f>
        <v>1774</v>
      </c>
      <c r="AM41" s="206">
        <f>IF($AG$2="2018年",'Offer Statistics'!AO41,IF($AG$2="2019年",'Offer Statistics'!AO98,IF($AG$2="2020年",'Offer Statistics'!AO155)))</f>
        <v>1352</v>
      </c>
      <c r="AN41" s="131"/>
      <c r="AO41" s="131" t="str">
        <f t="shared" si="3"/>
        <v>JS3882</v>
      </c>
      <c r="AP41" s="112"/>
    </row>
    <row r="42" ht="18.0" customHeight="1">
      <c r="A42" s="263" t="s">
        <v>376</v>
      </c>
      <c r="B42" s="263" t="s">
        <v>1301</v>
      </c>
      <c r="C42" s="263" t="s">
        <v>377</v>
      </c>
      <c r="D42" s="263" t="s">
        <v>1340</v>
      </c>
      <c r="E42" s="264" t="s">
        <v>21</v>
      </c>
      <c r="F42" s="265">
        <f>'PolyU 參考分數'!AE43</f>
        <v>163.5</v>
      </c>
      <c r="G42" s="265">
        <f>'PolyU 參考分數'!AF43</f>
        <v>146</v>
      </c>
      <c r="H42" s="266">
        <f>'計分版'!D148</f>
        <v>0.00000001975</v>
      </c>
      <c r="I42" s="267">
        <f t="shared" si="1"/>
        <v>-146</v>
      </c>
      <c r="J42" s="268">
        <f t="shared" si="2"/>
        <v>-7392405062</v>
      </c>
      <c r="K42" s="264">
        <v>58.0</v>
      </c>
      <c r="L42" s="275">
        <f>'入學要求'!S128</f>
        <v>0</v>
      </c>
      <c r="M42" s="270" t="s">
        <v>1077</v>
      </c>
      <c r="N42" s="270">
        <v>3.0</v>
      </c>
      <c r="O42" s="270">
        <v>3.0</v>
      </c>
      <c r="P42" s="270">
        <v>2.0</v>
      </c>
      <c r="Q42" s="270">
        <v>2.0</v>
      </c>
      <c r="R42" s="270">
        <v>3.0</v>
      </c>
      <c r="S42" s="270">
        <v>3.0</v>
      </c>
      <c r="T42" s="271">
        <f>'入學要求'!L128</f>
        <v>0</v>
      </c>
      <c r="U42" s="271">
        <f>'入學要求'!M128</f>
        <v>0</v>
      </c>
      <c r="V42" s="271">
        <f>'入學要求'!N128</f>
        <v>0</v>
      </c>
      <c r="W42" s="271">
        <f>'入學要求'!O128</f>
        <v>0</v>
      </c>
      <c r="X42" s="271">
        <f>'入學要求'!P128</f>
        <v>0</v>
      </c>
      <c r="Y42" s="271">
        <f>'入學要求'!Q128</f>
        <v>0</v>
      </c>
      <c r="Z42" s="205"/>
      <c r="AA42" s="264">
        <f>IF($Z$2="2018年",'Offer Statistics'!AX42,IF($Z$2="2019年",'Offer Statistics'!AX99,IF($Z$2="2020年",'Offer Statistics'!AX156)))</f>
        <v>57</v>
      </c>
      <c r="AB42" s="273">
        <f>IF($Z$2="2018年",'Offer Statistics'!AS42,IF($Z$2="2019年",'Offer Statistics'!AS99,IF($Z$2="2020年",'Offer Statistics'!AS156)))</f>
        <v>52</v>
      </c>
      <c r="AC42" s="273">
        <f>IF($Z$2="2018年",'Offer Statistics'!AT42,IF($Z$2="2019年",'Offer Statistics'!AT99,IF($Z$2="2020年",'Offer Statistics'!AT156)))</f>
        <v>3</v>
      </c>
      <c r="AD42" s="273">
        <f>IF($Z$2="2018年",'Offer Statistics'!AU42,IF($Z$2="2019年",'Offer Statistics'!AU99,IF($Z$2="2020年",'Offer Statistics'!AU156)))</f>
        <v>0</v>
      </c>
      <c r="AE42" s="273">
        <f>IF($Z$2="2018年",'Offer Statistics'!AV42,IF($Z$2="2019年",'Offer Statistics'!AV99,IF($Z$2="2020年",'Offer Statistics'!AV156)))</f>
        <v>0</v>
      </c>
      <c r="AF42" s="273">
        <f>IF($Z$2="2018年",'Offer Statistics'!AW42,IF($Z$2="2019年",'Offer Statistics'!AW99,IF($Z$2="2020年",'Offer Statistics'!AW156)))</f>
        <v>2</v>
      </c>
      <c r="AG42" s="205"/>
      <c r="AH42" s="264">
        <f>IF($AG$2="2018年",'Offer Statistics'!AP42,IF($AG$2="2019年",'Offer Statistics'!AP99,IF($AG$2="2020年",'Offer Statistics'!AP156)))</f>
        <v>5998</v>
      </c>
      <c r="AI42" s="273">
        <f>IF($AG$2="2018年",'Offer Statistics'!AK42,IF($AG$2="2019年",'Offer Statistics'!AK99,IF($AG$2="2020年",'Offer Statistics'!AK156)))</f>
        <v>825</v>
      </c>
      <c r="AJ42" s="273">
        <f>IF($AG$2="2018年",'Offer Statistics'!AL42,IF($AG$2="2019年",'Offer Statistics'!AL99,IF($AG$2="2020年",'Offer Statistics'!AL156)))</f>
        <v>1025</v>
      </c>
      <c r="AK42" s="273">
        <f>IF($AG$2="2018年",'Offer Statistics'!AM42,IF($AG$2="2019年",'Offer Statistics'!AM99,IF($AG$2="2020年",'Offer Statistics'!AM156)))</f>
        <v>1450</v>
      </c>
      <c r="AL42" s="273">
        <f>IF($AG$2="2018年",'Offer Statistics'!AN42,IF($AG$2="2019年",'Offer Statistics'!AN99,IF($AG$2="2020年",'Offer Statistics'!AN156)))</f>
        <v>1625</v>
      </c>
      <c r="AM42" s="273">
        <f>IF($AG$2="2018年",'Offer Statistics'!AO42,IF($AG$2="2019年",'Offer Statistics'!AO99,IF($AG$2="2020年",'Offer Statistics'!AO156)))</f>
        <v>1073</v>
      </c>
      <c r="AN42" s="270"/>
      <c r="AO42" s="270" t="str">
        <f t="shared" si="3"/>
        <v>JS3894</v>
      </c>
      <c r="AP42" s="274"/>
    </row>
    <row r="43" ht="18.0" customHeight="1">
      <c r="A43" s="142" t="s">
        <v>379</v>
      </c>
      <c r="B43" s="142" t="s">
        <v>1301</v>
      </c>
      <c r="C43" s="142" t="s">
        <v>380</v>
      </c>
      <c r="D43" s="142" t="s">
        <v>1341</v>
      </c>
      <c r="E43" s="132" t="s">
        <v>21</v>
      </c>
      <c r="F43" s="199">
        <f>'PolyU 參考分數'!AE44</f>
        <v>171</v>
      </c>
      <c r="G43" s="199">
        <f>'PolyU 參考分數'!AF44</f>
        <v>166.5</v>
      </c>
      <c r="H43" s="200">
        <f>'計分版'!D149</f>
        <v>0.00000002025</v>
      </c>
      <c r="I43" s="201">
        <f t="shared" si="1"/>
        <v>-166.5</v>
      </c>
      <c r="J43" s="202">
        <f t="shared" si="2"/>
        <v>-8222222221</v>
      </c>
      <c r="K43" s="132">
        <v>108.0</v>
      </c>
      <c r="L43" s="203">
        <f>'入學要求'!S129</f>
        <v>0</v>
      </c>
      <c r="M43" s="131" t="s">
        <v>1077</v>
      </c>
      <c r="N43" s="131">
        <v>3.0</v>
      </c>
      <c r="O43" s="131">
        <v>3.0</v>
      </c>
      <c r="P43" s="131">
        <v>2.0</v>
      </c>
      <c r="Q43" s="131">
        <v>2.0</v>
      </c>
      <c r="R43" s="131">
        <v>3.0</v>
      </c>
      <c r="S43" s="131">
        <v>3.0</v>
      </c>
      <c r="T43" s="204">
        <f>'入學要求'!L129</f>
        <v>0</v>
      </c>
      <c r="U43" s="204">
        <f>'入學要求'!M129</f>
        <v>0</v>
      </c>
      <c r="V43" s="204">
        <f>'入學要求'!N129</f>
        <v>0</v>
      </c>
      <c r="W43" s="204">
        <f>'入學要求'!O129</f>
        <v>0</v>
      </c>
      <c r="X43" s="204">
        <f>'入學要求'!P129</f>
        <v>0</v>
      </c>
      <c r="Y43" s="204">
        <f>'入學要求'!Q129</f>
        <v>0</v>
      </c>
      <c r="Z43" s="205"/>
      <c r="AA43" s="132">
        <f>IF($Z$2="2018年",'Offer Statistics'!AX43,IF($Z$2="2019年",'Offer Statistics'!AX100,IF($Z$2="2020年",'Offer Statistics'!AX157)))</f>
        <v>81</v>
      </c>
      <c r="AB43" s="206">
        <f>IF($Z$2="2018年",'Offer Statistics'!AS43,IF($Z$2="2019年",'Offer Statistics'!AS100,IF($Z$2="2020年",'Offer Statistics'!AS157)))</f>
        <v>79</v>
      </c>
      <c r="AC43" s="206">
        <f>IF($Z$2="2018年",'Offer Statistics'!AT43,IF($Z$2="2019年",'Offer Statistics'!AT100,IF($Z$2="2020年",'Offer Statistics'!AT157)))</f>
        <v>0</v>
      </c>
      <c r="AD43" s="206">
        <f>IF($Z$2="2018年",'Offer Statistics'!AU43,IF($Z$2="2019年",'Offer Statistics'!AU100,IF($Z$2="2020年",'Offer Statistics'!AU157)))</f>
        <v>0</v>
      </c>
      <c r="AE43" s="206">
        <f>IF($Z$2="2018年",'Offer Statistics'!AV43,IF($Z$2="2019年",'Offer Statistics'!AV100,IF($Z$2="2020年",'Offer Statistics'!AV157)))</f>
        <v>1</v>
      </c>
      <c r="AF43" s="206">
        <f>IF($Z$2="2018年",'Offer Statistics'!AW43,IF($Z$2="2019年",'Offer Statistics'!AW100,IF($Z$2="2020年",'Offer Statistics'!AW157)))</f>
        <v>1</v>
      </c>
      <c r="AG43" s="205"/>
      <c r="AH43" s="132">
        <f>IF($AG$2="2018年",'Offer Statistics'!AP43,IF($AG$2="2019年",'Offer Statistics'!AP100,IF($AG$2="2020年",'Offer Statistics'!AP157)))</f>
        <v>3608</v>
      </c>
      <c r="AI43" s="206">
        <f>IF($AG$2="2018年",'Offer Statistics'!AK43,IF($AG$2="2019年",'Offer Statistics'!AK100,IF($AG$2="2020年",'Offer Statistics'!AK157)))</f>
        <v>708</v>
      </c>
      <c r="AJ43" s="206">
        <f>IF($AG$2="2018年",'Offer Statistics'!AL43,IF($AG$2="2019年",'Offer Statistics'!AL100,IF($AG$2="2020年",'Offer Statistics'!AL157)))</f>
        <v>674</v>
      </c>
      <c r="AK43" s="206">
        <f>IF($AG$2="2018年",'Offer Statistics'!AM43,IF($AG$2="2019年",'Offer Statistics'!AM100,IF($AG$2="2020年",'Offer Statistics'!AM157)))</f>
        <v>750</v>
      </c>
      <c r="AL43" s="206">
        <f>IF($AG$2="2018年",'Offer Statistics'!AN43,IF($AG$2="2019年",'Offer Statistics'!AN100,IF($AG$2="2020年",'Offer Statistics'!AN157)))</f>
        <v>869</v>
      </c>
      <c r="AM43" s="206">
        <f>IF($AG$2="2018年",'Offer Statistics'!AO43,IF($AG$2="2019年",'Offer Statistics'!AO100,IF($AG$2="2020年",'Offer Statistics'!AO157)))</f>
        <v>607</v>
      </c>
      <c r="AN43" s="131"/>
      <c r="AO43" s="131" t="str">
        <f t="shared" si="3"/>
        <v>JS3911</v>
      </c>
      <c r="AP43" s="112"/>
    </row>
    <row r="44" ht="18.0" customHeight="1">
      <c r="A44" s="263" t="s">
        <v>382</v>
      </c>
      <c r="B44" s="263" t="s">
        <v>1294</v>
      </c>
      <c r="C44" s="263" t="s">
        <v>383</v>
      </c>
      <c r="D44" s="263" t="s">
        <v>1342</v>
      </c>
      <c r="E44" s="264" t="s">
        <v>21</v>
      </c>
      <c r="F44" s="265">
        <f>'PolyU 參考分數'!AE45</f>
        <v>186.5</v>
      </c>
      <c r="G44" s="265">
        <f>'PolyU 參考分數'!AF45</f>
        <v>184</v>
      </c>
      <c r="H44" s="266">
        <f>'計分版'!D150</f>
        <v>0.00000001975</v>
      </c>
      <c r="I44" s="267">
        <f t="shared" si="1"/>
        <v>-184</v>
      </c>
      <c r="J44" s="268">
        <f t="shared" si="2"/>
        <v>-9316455695</v>
      </c>
      <c r="K44" s="264">
        <v>26.0</v>
      </c>
      <c r="L44" s="275">
        <f>'入學要求'!S130</f>
        <v>0</v>
      </c>
      <c r="M44" s="277" t="s">
        <v>1166</v>
      </c>
      <c r="N44" s="270">
        <v>3.0</v>
      </c>
      <c r="O44" s="270">
        <v>3.0</v>
      </c>
      <c r="P44" s="270">
        <v>2.0</v>
      </c>
      <c r="Q44" s="270">
        <v>2.0</v>
      </c>
      <c r="R44" s="270">
        <v>3.0</v>
      </c>
      <c r="S44" s="270">
        <v>3.0</v>
      </c>
      <c r="T44" s="271">
        <f>'入學要求'!L130</f>
        <v>0</v>
      </c>
      <c r="U44" s="271">
        <f>'入學要求'!M130</f>
        <v>0</v>
      </c>
      <c r="V44" s="271">
        <f>'入學要求'!N130</f>
        <v>0</v>
      </c>
      <c r="W44" s="271">
        <f>'入學要求'!O130</f>
        <v>0</v>
      </c>
      <c r="X44" s="271">
        <f>'入學要求'!P130</f>
        <v>0</v>
      </c>
      <c r="Y44" s="271">
        <f>'入學要求'!Q130</f>
        <v>0</v>
      </c>
      <c r="Z44" s="205"/>
      <c r="AA44" s="264">
        <f>IF($Z$2="2018年",'Offer Statistics'!AX44,IF($Z$2="2019年",'Offer Statistics'!AX101,IF($Z$2="2020年",'Offer Statistics'!AX158)))</f>
        <v>25</v>
      </c>
      <c r="AB44" s="273">
        <f>IF($Z$2="2018年",'Offer Statistics'!AS44,IF($Z$2="2019年",'Offer Statistics'!AS101,IF($Z$2="2020年",'Offer Statistics'!AS158)))</f>
        <v>22</v>
      </c>
      <c r="AC44" s="273">
        <f>IF($Z$2="2018年",'Offer Statistics'!AT44,IF($Z$2="2019年",'Offer Statistics'!AT101,IF($Z$2="2020年",'Offer Statistics'!AT158)))</f>
        <v>2</v>
      </c>
      <c r="AD44" s="273">
        <f>IF($Z$2="2018年",'Offer Statistics'!AU44,IF($Z$2="2019年",'Offer Statistics'!AU101,IF($Z$2="2020年",'Offer Statistics'!AU158)))</f>
        <v>0</v>
      </c>
      <c r="AE44" s="273">
        <f>IF($Z$2="2018年",'Offer Statistics'!AV44,IF($Z$2="2019年",'Offer Statistics'!AV101,IF($Z$2="2020年",'Offer Statistics'!AV158)))</f>
        <v>0</v>
      </c>
      <c r="AF44" s="273">
        <f>IF($Z$2="2018年",'Offer Statistics'!AW44,IF($Z$2="2019年",'Offer Statistics'!AW101,IF($Z$2="2020年",'Offer Statistics'!AW158)))</f>
        <v>1</v>
      </c>
      <c r="AG44" s="205"/>
      <c r="AH44" s="264">
        <f>IF($AG$2="2018年",'Offer Statistics'!AP44,IF($AG$2="2019年",'Offer Statistics'!AP101,IF($AG$2="2020年",'Offer Statistics'!AP158)))</f>
        <v>2949</v>
      </c>
      <c r="AI44" s="273">
        <f>IF($AG$2="2018年",'Offer Statistics'!AK44,IF($AG$2="2019年",'Offer Statistics'!AK101,IF($AG$2="2020年",'Offer Statistics'!AK158)))</f>
        <v>358</v>
      </c>
      <c r="AJ44" s="273">
        <f>IF($AG$2="2018年",'Offer Statistics'!AL44,IF($AG$2="2019年",'Offer Statistics'!AL101,IF($AG$2="2020年",'Offer Statistics'!AL158)))</f>
        <v>485</v>
      </c>
      <c r="AK44" s="273">
        <f>IF($AG$2="2018年",'Offer Statistics'!AM44,IF($AG$2="2019年",'Offer Statistics'!AM101,IF($AG$2="2020年",'Offer Statistics'!AM158)))</f>
        <v>741</v>
      </c>
      <c r="AL44" s="273">
        <f>IF($AG$2="2018年",'Offer Statistics'!AN44,IF($AG$2="2019年",'Offer Statistics'!AN101,IF($AG$2="2020年",'Offer Statistics'!AN158)))</f>
        <v>819</v>
      </c>
      <c r="AM44" s="273">
        <f>IF($AG$2="2018年",'Offer Statistics'!AO44,IF($AG$2="2019年",'Offer Statistics'!AO101,IF($AG$2="2020年",'Offer Statistics'!AO158)))</f>
        <v>546</v>
      </c>
      <c r="AN44" s="270"/>
      <c r="AO44" s="270" t="str">
        <f t="shared" si="3"/>
        <v>JS3923</v>
      </c>
      <c r="AP44" s="274"/>
    </row>
    <row r="45" ht="18.0" customHeight="1">
      <c r="A45" s="142" t="s">
        <v>384</v>
      </c>
      <c r="B45" s="142" t="s">
        <v>1294</v>
      </c>
      <c r="C45" s="142" t="s">
        <v>385</v>
      </c>
      <c r="D45" s="142" t="s">
        <v>1343</v>
      </c>
      <c r="E45" s="132" t="s">
        <v>21</v>
      </c>
      <c r="F45" s="199">
        <f>'PolyU 參考分數'!AE46</f>
        <v>159</v>
      </c>
      <c r="G45" s="199">
        <f>'PolyU 參考分數'!AF46</f>
        <v>158</v>
      </c>
      <c r="H45" s="200">
        <f>'計分版'!D151</f>
        <v>0.00000002075</v>
      </c>
      <c r="I45" s="201">
        <f t="shared" si="1"/>
        <v>-158</v>
      </c>
      <c r="J45" s="202">
        <f t="shared" si="2"/>
        <v>-7614457830</v>
      </c>
      <c r="K45" s="132">
        <v>25.0</v>
      </c>
      <c r="L45" s="203">
        <f>'入學要求'!S131</f>
        <v>0</v>
      </c>
      <c r="M45" s="135" t="s">
        <v>1166</v>
      </c>
      <c r="N45" s="131">
        <v>3.0</v>
      </c>
      <c r="O45" s="131">
        <v>3.0</v>
      </c>
      <c r="P45" s="131">
        <v>2.0</v>
      </c>
      <c r="Q45" s="131">
        <v>2.0</v>
      </c>
      <c r="R45" s="131">
        <v>3.0</v>
      </c>
      <c r="S45" s="131">
        <v>3.0</v>
      </c>
      <c r="T45" s="204">
        <f>'入學要求'!L131</f>
        <v>0</v>
      </c>
      <c r="U45" s="204">
        <f>'入學要求'!M131</f>
        <v>0</v>
      </c>
      <c r="V45" s="204">
        <f>'入學要求'!N131</f>
        <v>0</v>
      </c>
      <c r="W45" s="204">
        <f>'入學要求'!O131</f>
        <v>0</v>
      </c>
      <c r="X45" s="204">
        <f>'入學要求'!P131</f>
        <v>0</v>
      </c>
      <c r="Y45" s="204">
        <f>'入學要求'!Q131</f>
        <v>0</v>
      </c>
      <c r="Z45" s="205"/>
      <c r="AA45" s="132">
        <f>IF($Z$2="2018年",'Offer Statistics'!AX45,IF($Z$2="2019年",'Offer Statistics'!AX102,IF($Z$2="2020年",'Offer Statistics'!AX159)))</f>
        <v>27</v>
      </c>
      <c r="AB45" s="206">
        <f>IF($Z$2="2018年",'Offer Statistics'!AS45,IF($Z$2="2019年",'Offer Statistics'!AS102,IF($Z$2="2020年",'Offer Statistics'!AS159)))</f>
        <v>22</v>
      </c>
      <c r="AC45" s="206">
        <f>IF($Z$2="2018年",'Offer Statistics'!AT45,IF($Z$2="2019年",'Offer Statistics'!AT102,IF($Z$2="2020年",'Offer Statistics'!AT159)))</f>
        <v>3</v>
      </c>
      <c r="AD45" s="206">
        <f>IF($Z$2="2018年",'Offer Statistics'!AU45,IF($Z$2="2019年",'Offer Statistics'!AU102,IF($Z$2="2020年",'Offer Statistics'!AU159)))</f>
        <v>1</v>
      </c>
      <c r="AE45" s="206">
        <f>IF($Z$2="2018年",'Offer Statistics'!AV45,IF($Z$2="2019年",'Offer Statistics'!AV102,IF($Z$2="2020年",'Offer Statistics'!AV159)))</f>
        <v>1</v>
      </c>
      <c r="AF45" s="206">
        <f>IF($Z$2="2018年",'Offer Statistics'!AW45,IF($Z$2="2019年",'Offer Statistics'!AW102,IF($Z$2="2020年",'Offer Statistics'!AW159)))</f>
        <v>0</v>
      </c>
      <c r="AG45" s="205"/>
      <c r="AH45" s="132">
        <f>IF($AG$2="2018年",'Offer Statistics'!AP45,IF($AG$2="2019年",'Offer Statistics'!AP102,IF($AG$2="2020年",'Offer Statistics'!AP159)))</f>
        <v>2474</v>
      </c>
      <c r="AI45" s="206">
        <f>IF($AG$2="2018年",'Offer Statistics'!AK45,IF($AG$2="2019年",'Offer Statistics'!AK102,IF($AG$2="2020年",'Offer Statistics'!AK159)))</f>
        <v>228</v>
      </c>
      <c r="AJ45" s="206">
        <f>IF($AG$2="2018年",'Offer Statistics'!AL45,IF($AG$2="2019年",'Offer Statistics'!AL102,IF($AG$2="2020年",'Offer Statistics'!AL159)))</f>
        <v>363</v>
      </c>
      <c r="AK45" s="206">
        <f>IF($AG$2="2018年",'Offer Statistics'!AM45,IF($AG$2="2019年",'Offer Statistics'!AM102,IF($AG$2="2020年",'Offer Statistics'!AM159)))</f>
        <v>593</v>
      </c>
      <c r="AL45" s="206">
        <f>IF($AG$2="2018年",'Offer Statistics'!AN45,IF($AG$2="2019年",'Offer Statistics'!AN102,IF($AG$2="2020年",'Offer Statistics'!AN159)))</f>
        <v>745</v>
      </c>
      <c r="AM45" s="206">
        <f>IF($AG$2="2018年",'Offer Statistics'!AO45,IF($AG$2="2019年",'Offer Statistics'!AO102,IF($AG$2="2020年",'Offer Statistics'!AO159)))</f>
        <v>545</v>
      </c>
      <c r="AN45" s="131"/>
      <c r="AO45" s="131" t="str">
        <f t="shared" si="3"/>
        <v>JS3985</v>
      </c>
      <c r="AP45" s="112"/>
    </row>
    <row r="46" ht="18.0" customHeight="1">
      <c r="A46" s="263" t="s">
        <v>386</v>
      </c>
      <c r="B46" s="263" t="s">
        <v>1294</v>
      </c>
      <c r="C46" s="263" t="s">
        <v>387</v>
      </c>
      <c r="D46" s="263" t="s">
        <v>1344</v>
      </c>
      <c r="E46" s="264" t="s">
        <v>21</v>
      </c>
      <c r="F46" s="265">
        <f>'PolyU 參考分數'!AE47</f>
        <v>176</v>
      </c>
      <c r="G46" s="265">
        <f>'PolyU 參考分數'!AF47</f>
        <v>171</v>
      </c>
      <c r="H46" s="266">
        <f>'計分版'!D152</f>
        <v>0.00000001975</v>
      </c>
      <c r="I46" s="267">
        <f t="shared" si="1"/>
        <v>-171</v>
      </c>
      <c r="J46" s="268">
        <f t="shared" si="2"/>
        <v>-8658227847</v>
      </c>
      <c r="K46" s="264">
        <v>26.0</v>
      </c>
      <c r="L46" s="275">
        <f>'入學要求'!S132</f>
        <v>0</v>
      </c>
      <c r="M46" s="270" t="s">
        <v>1077</v>
      </c>
      <c r="N46" s="270">
        <v>3.0</v>
      </c>
      <c r="O46" s="270">
        <v>3.0</v>
      </c>
      <c r="P46" s="270">
        <v>2.0</v>
      </c>
      <c r="Q46" s="270">
        <v>2.0</v>
      </c>
      <c r="R46" s="270">
        <v>3.0</v>
      </c>
      <c r="S46" s="270">
        <v>3.0</v>
      </c>
      <c r="T46" s="271">
        <f>'入學要求'!L132</f>
        <v>0</v>
      </c>
      <c r="U46" s="271">
        <f>'入學要求'!M132</f>
        <v>0</v>
      </c>
      <c r="V46" s="271">
        <f>'入學要求'!N132</f>
        <v>0</v>
      </c>
      <c r="W46" s="271">
        <f>'入學要求'!O132</f>
        <v>0</v>
      </c>
      <c r="X46" s="271">
        <f>'入學要求'!P132</f>
        <v>0</v>
      </c>
      <c r="Y46" s="271">
        <f>'入學要求'!Q132</f>
        <v>0</v>
      </c>
      <c r="Z46" s="205"/>
      <c r="AA46" s="264">
        <f>IF($Z$2="2018年",'Offer Statistics'!AX46,IF($Z$2="2019年",'Offer Statistics'!AX103,IF($Z$2="2020年",'Offer Statistics'!AX160)))</f>
        <v>23</v>
      </c>
      <c r="AB46" s="273">
        <f>IF($Z$2="2018年",'Offer Statistics'!AS46,IF($Z$2="2019年",'Offer Statistics'!AS103,IF($Z$2="2020年",'Offer Statistics'!AS160)))</f>
        <v>23</v>
      </c>
      <c r="AC46" s="273">
        <f>IF($Z$2="2018年",'Offer Statistics'!AT46,IF($Z$2="2019年",'Offer Statistics'!AT103,IF($Z$2="2020年",'Offer Statistics'!AT160)))</f>
        <v>0</v>
      </c>
      <c r="AD46" s="273">
        <f>IF($Z$2="2018年",'Offer Statistics'!AU46,IF($Z$2="2019年",'Offer Statistics'!AU103,IF($Z$2="2020年",'Offer Statistics'!AU160)))</f>
        <v>0</v>
      </c>
      <c r="AE46" s="273">
        <f>IF($Z$2="2018年",'Offer Statistics'!AV46,IF($Z$2="2019年",'Offer Statistics'!AV103,IF($Z$2="2020年",'Offer Statistics'!AV160)))</f>
        <v>0</v>
      </c>
      <c r="AF46" s="273">
        <f>IF($Z$2="2018年",'Offer Statistics'!AW46,IF($Z$2="2019年",'Offer Statistics'!AW103,IF($Z$2="2020年",'Offer Statistics'!AW160)))</f>
        <v>0</v>
      </c>
      <c r="AG46" s="205"/>
      <c r="AH46" s="264">
        <f>IF($AG$2="2018年",'Offer Statistics'!AP46,IF($AG$2="2019年",'Offer Statistics'!AP103,IF($AG$2="2020年",'Offer Statistics'!AP160)))</f>
        <v>2512</v>
      </c>
      <c r="AI46" s="273">
        <f>IF($AG$2="2018年",'Offer Statistics'!AK46,IF($AG$2="2019年",'Offer Statistics'!AK103,IF($AG$2="2020年",'Offer Statistics'!AK160)))</f>
        <v>332</v>
      </c>
      <c r="AJ46" s="273">
        <f>IF($AG$2="2018年",'Offer Statistics'!AL46,IF($AG$2="2019年",'Offer Statistics'!AL103,IF($AG$2="2020年",'Offer Statistics'!AL160)))</f>
        <v>451</v>
      </c>
      <c r="AK46" s="273">
        <f>IF($AG$2="2018年",'Offer Statistics'!AM46,IF($AG$2="2019年",'Offer Statistics'!AM103,IF($AG$2="2020年",'Offer Statistics'!AM160)))</f>
        <v>587</v>
      </c>
      <c r="AL46" s="273">
        <f>IF($AG$2="2018年",'Offer Statistics'!AN46,IF($AG$2="2019年",'Offer Statistics'!AN103,IF($AG$2="2020年",'Offer Statistics'!AN160)))</f>
        <v>655</v>
      </c>
      <c r="AM46" s="273">
        <f>IF($AG$2="2018年",'Offer Statistics'!AO46,IF($AG$2="2019年",'Offer Statistics'!AO103,IF($AG$2="2020年",'Offer Statistics'!AO160)))</f>
        <v>487</v>
      </c>
      <c r="AN46" s="270"/>
      <c r="AO46" s="270" t="str">
        <f t="shared" si="3"/>
        <v>JS3997</v>
      </c>
      <c r="AP46" s="274"/>
    </row>
    <row r="47" ht="18.0" customHeight="1">
      <c r="A47" s="142"/>
      <c r="B47" s="142"/>
      <c r="C47" s="142"/>
      <c r="D47" s="142" t="s">
        <v>1345</v>
      </c>
      <c r="E47" s="131"/>
      <c r="F47" s="132" t="s">
        <v>957</v>
      </c>
      <c r="G47" s="142"/>
      <c r="H47" s="131"/>
      <c r="I47" s="142"/>
      <c r="J47" s="142"/>
      <c r="K47" s="142"/>
      <c r="L47" s="203"/>
      <c r="M47" s="131"/>
      <c r="N47" s="220" t="s">
        <v>1058</v>
      </c>
      <c r="O47" s="220" t="s">
        <v>1059</v>
      </c>
      <c r="P47" s="220" t="s">
        <v>1346</v>
      </c>
      <c r="Q47" s="220"/>
      <c r="R47" s="220"/>
      <c r="S47" s="142"/>
      <c r="T47" s="131"/>
      <c r="U47" s="131"/>
      <c r="V47" s="131"/>
      <c r="W47" s="131"/>
      <c r="X47" s="131"/>
      <c r="Y47" s="131"/>
      <c r="Z47" s="205"/>
      <c r="AA47" s="132"/>
      <c r="AB47" s="206"/>
      <c r="AC47" s="206"/>
      <c r="AD47" s="206"/>
      <c r="AE47" s="206"/>
      <c r="AF47" s="206"/>
      <c r="AG47" s="205"/>
      <c r="AH47" s="132"/>
      <c r="AI47" s="206"/>
      <c r="AJ47" s="206"/>
      <c r="AK47" s="206"/>
      <c r="AL47" s="206"/>
      <c r="AM47" s="206"/>
      <c r="AN47" s="131"/>
      <c r="AO47" s="131"/>
      <c r="AP47" s="112"/>
    </row>
    <row r="48" ht="18.0" customHeight="1">
      <c r="A48" s="263" t="s">
        <v>388</v>
      </c>
      <c r="B48" s="263" t="s">
        <v>1294</v>
      </c>
      <c r="C48" s="263" t="s">
        <v>389</v>
      </c>
      <c r="D48" s="263" t="s">
        <v>1347</v>
      </c>
      <c r="E48" s="264" t="s">
        <v>358</v>
      </c>
      <c r="F48" s="264">
        <v>14.1</v>
      </c>
      <c r="G48" s="263"/>
      <c r="H48" s="266">
        <f>'計分版'!D153</f>
        <v>0.00000000295</v>
      </c>
      <c r="I48" s="267">
        <f t="shared" ref="I48:I50" si="4">H48-F48</f>
        <v>-14.1</v>
      </c>
      <c r="J48" s="268">
        <f t="shared" ref="J48:J50" si="5">(H48-F48)/H48</f>
        <v>-4779661016</v>
      </c>
      <c r="K48" s="264">
        <v>51.0</v>
      </c>
      <c r="L48" s="275">
        <f>'入學要求'!S134</f>
        <v>0</v>
      </c>
      <c r="M48" s="277" t="s">
        <v>1166</v>
      </c>
      <c r="N48" s="270">
        <v>2.0</v>
      </c>
      <c r="O48" s="270">
        <v>2.0</v>
      </c>
      <c r="P48" s="270">
        <v>2.0</v>
      </c>
      <c r="Q48" s="270">
        <v>2.0</v>
      </c>
      <c r="R48" s="270">
        <v>2.0</v>
      </c>
      <c r="S48" s="263"/>
      <c r="T48" s="271">
        <f>'入學要求'!L134</f>
        <v>0</v>
      </c>
      <c r="U48" s="271">
        <f>'入學要求'!M134</f>
        <v>0</v>
      </c>
      <c r="V48" s="271">
        <f>'入學要求'!N134</f>
        <v>0</v>
      </c>
      <c r="W48" s="271">
        <f>'入學要求'!O134</f>
        <v>0</v>
      </c>
      <c r="X48" s="271">
        <f>'入學要求'!P134</f>
        <v>0</v>
      </c>
      <c r="Y48" s="270"/>
      <c r="Z48" s="205"/>
      <c r="AA48" s="264">
        <f>IF($Z$2="2018年",'Offer Statistics'!AX48,IF($Z$2="2019年",'Offer Statistics'!AX105,IF($Z$2="2020年",'Offer Statistics'!AX162)))</f>
        <v>361</v>
      </c>
      <c r="AB48" s="273">
        <f>IF($Z$2="2018年",'Offer Statistics'!AS48,IF($Z$2="2019年",'Offer Statistics'!AS105,IF($Z$2="2020年",'Offer Statistics'!AS162)))</f>
        <v>139</v>
      </c>
      <c r="AC48" s="273">
        <f>IF($Z$2="2018年",'Offer Statistics'!AT48,IF($Z$2="2019年",'Offer Statistics'!AT105,IF($Z$2="2020年",'Offer Statistics'!AT162)))</f>
        <v>57</v>
      </c>
      <c r="AD48" s="273">
        <f>IF($Z$2="2018年",'Offer Statistics'!AU48,IF($Z$2="2019年",'Offer Statistics'!AU105,IF($Z$2="2020年",'Offer Statistics'!AU162)))</f>
        <v>49</v>
      </c>
      <c r="AE48" s="273">
        <f>IF($Z$2="2018年",'Offer Statistics'!AV48,IF($Z$2="2019年",'Offer Statistics'!AV105,IF($Z$2="2020年",'Offer Statistics'!AV162)))</f>
        <v>51</v>
      </c>
      <c r="AF48" s="273">
        <f>IF($Z$2="2018年",'Offer Statistics'!AW48,IF($Z$2="2019年",'Offer Statistics'!AW105,IF($Z$2="2020年",'Offer Statistics'!AW162)))</f>
        <v>65</v>
      </c>
      <c r="AG48" s="205"/>
      <c r="AH48" s="264">
        <f>IF($AG$2="2018年",'Offer Statistics'!AP48,IF($AG$2="2019年",'Offer Statistics'!AP105,IF($AG$2="2020年",'Offer Statistics'!AP162)))</f>
        <v>1854</v>
      </c>
      <c r="AI48" s="273">
        <f>IF($AG$2="2018年",'Offer Statistics'!AK48,IF($AG$2="2019年",'Offer Statistics'!AK105,IF($AG$2="2020年",'Offer Statistics'!AK162)))</f>
        <v>384</v>
      </c>
      <c r="AJ48" s="273">
        <f>IF($AG$2="2018年",'Offer Statistics'!AL48,IF($AG$2="2019年",'Offer Statistics'!AL105,IF($AG$2="2020年",'Offer Statistics'!AL162)))</f>
        <v>390</v>
      </c>
      <c r="AK48" s="273">
        <f>IF($AG$2="2018年",'Offer Statistics'!AM48,IF($AG$2="2019年",'Offer Statistics'!AM105,IF($AG$2="2020年",'Offer Statistics'!AM162)))</f>
        <v>328</v>
      </c>
      <c r="AL48" s="273">
        <f>IF($AG$2="2018年",'Offer Statistics'!AN48,IF($AG$2="2019年",'Offer Statistics'!AN105,IF($AG$2="2020年",'Offer Statistics'!AN162)))</f>
        <v>288</v>
      </c>
      <c r="AM48" s="273">
        <f>IF($AG$2="2018年",'Offer Statistics'!AO48,IF($AG$2="2019年",'Offer Statistics'!AO105,IF($AG$2="2020年",'Offer Statistics'!AO162)))</f>
        <v>464</v>
      </c>
      <c r="AN48" s="270"/>
      <c r="AO48" s="270" t="str">
        <f t="shared" ref="AO48:AO57" si="6">A48</f>
        <v>JS3014</v>
      </c>
      <c r="AP48" s="274"/>
    </row>
    <row r="49" ht="18.0" customHeight="1">
      <c r="A49" s="142" t="s">
        <v>391</v>
      </c>
      <c r="B49" s="142" t="s">
        <v>1297</v>
      </c>
      <c r="C49" s="142" t="s">
        <v>392</v>
      </c>
      <c r="D49" s="142" t="s">
        <v>1348</v>
      </c>
      <c r="E49" s="132" t="s">
        <v>358</v>
      </c>
      <c r="F49" s="132">
        <v>14.4</v>
      </c>
      <c r="G49" s="142"/>
      <c r="H49" s="200">
        <f>'計分版'!D154</f>
        <v>0.00000000295</v>
      </c>
      <c r="I49" s="201">
        <f t="shared" si="4"/>
        <v>-14.4</v>
      </c>
      <c r="J49" s="202">
        <f t="shared" si="5"/>
        <v>-4881355931</v>
      </c>
      <c r="K49" s="132">
        <v>75.0</v>
      </c>
      <c r="L49" s="203">
        <f>'入學要求'!S135</f>
        <v>0</v>
      </c>
      <c r="M49" s="131" t="s">
        <v>541</v>
      </c>
      <c r="N49" s="131">
        <v>2.0</v>
      </c>
      <c r="O49" s="131">
        <v>2.0</v>
      </c>
      <c r="P49" s="131">
        <v>2.0</v>
      </c>
      <c r="Q49" s="131">
        <v>2.0</v>
      </c>
      <c r="R49" s="131">
        <v>2.0</v>
      </c>
      <c r="S49" s="142"/>
      <c r="T49" s="204">
        <f>'入學要求'!L135</f>
        <v>0</v>
      </c>
      <c r="U49" s="204">
        <f>'入學要求'!M135</f>
        <v>0</v>
      </c>
      <c r="V49" s="204">
        <f>'入學要求'!N135</f>
        <v>0</v>
      </c>
      <c r="W49" s="204">
        <f>'入學要求'!O135</f>
        <v>0</v>
      </c>
      <c r="X49" s="204">
        <f>'入學要求'!P135</f>
        <v>0</v>
      </c>
      <c r="Y49" s="131"/>
      <c r="Z49" s="205"/>
      <c r="AA49" s="132">
        <f>IF($Z$2="2018年",'Offer Statistics'!AX49,IF($Z$2="2019年",'Offer Statistics'!AX106,IF($Z$2="2020年",'Offer Statistics'!AX163)))</f>
        <v>285</v>
      </c>
      <c r="AB49" s="206">
        <f>IF($Z$2="2018年",'Offer Statistics'!AS49,IF($Z$2="2019年",'Offer Statistics'!AS106,IF($Z$2="2020年",'Offer Statistics'!AS163)))</f>
        <v>153</v>
      </c>
      <c r="AC49" s="206">
        <f>IF($Z$2="2018年",'Offer Statistics'!AT49,IF($Z$2="2019年",'Offer Statistics'!AT106,IF($Z$2="2020年",'Offer Statistics'!AT163)))</f>
        <v>39</v>
      </c>
      <c r="AD49" s="206">
        <f>IF($Z$2="2018年",'Offer Statistics'!AU49,IF($Z$2="2019年",'Offer Statistics'!AU106,IF($Z$2="2020年",'Offer Statistics'!AU163)))</f>
        <v>21</v>
      </c>
      <c r="AE49" s="206">
        <f>IF($Z$2="2018年",'Offer Statistics'!AV49,IF($Z$2="2019年",'Offer Statistics'!AV106,IF($Z$2="2020年",'Offer Statistics'!AV163)))</f>
        <v>26</v>
      </c>
      <c r="AF49" s="206">
        <f>IF($Z$2="2018年",'Offer Statistics'!AW49,IF($Z$2="2019年",'Offer Statistics'!AW106,IF($Z$2="2020年",'Offer Statistics'!AW163)))</f>
        <v>46</v>
      </c>
      <c r="AG49" s="205"/>
      <c r="AH49" s="132">
        <f>IF($AG$2="2018年",'Offer Statistics'!AP49,IF($AG$2="2019年",'Offer Statistics'!AP106,IF($AG$2="2020年",'Offer Statistics'!AP163)))</f>
        <v>2449</v>
      </c>
      <c r="AI49" s="206">
        <f>IF($AG$2="2018年",'Offer Statistics'!AK49,IF($AG$2="2019年",'Offer Statistics'!AK106,IF($AG$2="2020年",'Offer Statistics'!AK163)))</f>
        <v>537</v>
      </c>
      <c r="AJ49" s="206">
        <f>IF($AG$2="2018年",'Offer Statistics'!AL49,IF($AG$2="2019年",'Offer Statistics'!AL106,IF($AG$2="2020年",'Offer Statistics'!AL163)))</f>
        <v>622</v>
      </c>
      <c r="AK49" s="206">
        <f>IF($AG$2="2018年",'Offer Statistics'!AM49,IF($AG$2="2019年",'Offer Statistics'!AM106,IF($AG$2="2020年",'Offer Statistics'!AM163)))</f>
        <v>422</v>
      </c>
      <c r="AL49" s="206">
        <f>IF($AG$2="2018年",'Offer Statistics'!AN49,IF($AG$2="2019年",'Offer Statistics'!AN106,IF($AG$2="2020年",'Offer Statistics'!AN163)))</f>
        <v>371</v>
      </c>
      <c r="AM49" s="206">
        <f>IF($AG$2="2018年",'Offer Statistics'!AO49,IF($AG$2="2019年",'Offer Statistics'!AO106,IF($AG$2="2020年",'Offer Statistics'!AO163)))</f>
        <v>497</v>
      </c>
      <c r="AN49" s="131"/>
      <c r="AO49" s="131" t="str">
        <f t="shared" si="6"/>
        <v>JS3026</v>
      </c>
      <c r="AP49" s="112"/>
    </row>
    <row r="50" ht="18.0" customHeight="1">
      <c r="A50" s="263" t="s">
        <v>394</v>
      </c>
      <c r="B50" s="263" t="s">
        <v>1297</v>
      </c>
      <c r="C50" s="263" t="s">
        <v>395</v>
      </c>
      <c r="D50" s="263" t="s">
        <v>1349</v>
      </c>
      <c r="E50" s="270" t="s">
        <v>358</v>
      </c>
      <c r="F50" s="264">
        <v>14.2</v>
      </c>
      <c r="G50" s="263"/>
      <c r="H50" s="266">
        <f>'計分版'!D155</f>
        <v>0.00000000295</v>
      </c>
      <c r="I50" s="267">
        <f t="shared" si="4"/>
        <v>-14.2</v>
      </c>
      <c r="J50" s="268">
        <f t="shared" si="5"/>
        <v>-4813559321</v>
      </c>
      <c r="K50" s="264">
        <v>40.0</v>
      </c>
      <c r="L50" s="275">
        <f>'入學要求'!S136</f>
        <v>0</v>
      </c>
      <c r="M50" s="270" t="s">
        <v>541</v>
      </c>
      <c r="N50" s="270">
        <v>2.0</v>
      </c>
      <c r="O50" s="270">
        <v>2.0</v>
      </c>
      <c r="P50" s="270">
        <v>2.0</v>
      </c>
      <c r="Q50" s="270">
        <v>2.0</v>
      </c>
      <c r="R50" s="270">
        <v>2.0</v>
      </c>
      <c r="S50" s="263"/>
      <c r="T50" s="271">
        <f>'入學要求'!L136</f>
        <v>0</v>
      </c>
      <c r="U50" s="271">
        <f>'入學要求'!M136</f>
        <v>0</v>
      </c>
      <c r="V50" s="271">
        <f>'入學要求'!N136</f>
        <v>0</v>
      </c>
      <c r="W50" s="271">
        <f>'入學要求'!O136</f>
        <v>0</v>
      </c>
      <c r="X50" s="271">
        <f>'入學要求'!P136</f>
        <v>0</v>
      </c>
      <c r="Y50" s="270"/>
      <c r="Z50" s="205"/>
      <c r="AA50" s="264">
        <f>IF($Z$2="2018年",'Offer Statistics'!AX50,IF($Z$2="2019年",'Offer Statistics'!AX107,IF($Z$2="2020年",'Offer Statistics'!AX164)))</f>
        <v>307</v>
      </c>
      <c r="AB50" s="273">
        <f>IF($Z$2="2018年",'Offer Statistics'!AS50,IF($Z$2="2019年",'Offer Statistics'!AS107,IF($Z$2="2020年",'Offer Statistics'!AS164)))</f>
        <v>135</v>
      </c>
      <c r="AC50" s="273">
        <f>IF($Z$2="2018年",'Offer Statistics'!AT50,IF($Z$2="2019年",'Offer Statistics'!AT107,IF($Z$2="2020年",'Offer Statistics'!AT164)))</f>
        <v>40</v>
      </c>
      <c r="AD50" s="273">
        <f>IF($Z$2="2018年",'Offer Statistics'!AU50,IF($Z$2="2019年",'Offer Statistics'!AU107,IF($Z$2="2020年",'Offer Statistics'!AU164)))</f>
        <v>40</v>
      </c>
      <c r="AE50" s="273">
        <f>IF($Z$2="2018年",'Offer Statistics'!AV50,IF($Z$2="2019年",'Offer Statistics'!AV107,IF($Z$2="2020年",'Offer Statistics'!AV164)))</f>
        <v>51</v>
      </c>
      <c r="AF50" s="273">
        <f>IF($Z$2="2018年",'Offer Statistics'!AW50,IF($Z$2="2019年",'Offer Statistics'!AW107,IF($Z$2="2020年",'Offer Statistics'!AW164)))</f>
        <v>41</v>
      </c>
      <c r="AG50" s="205"/>
      <c r="AH50" s="264">
        <f>IF($AG$2="2018年",'Offer Statistics'!AP50,IF($AG$2="2019年",'Offer Statistics'!AP107,IF($AG$2="2020年",'Offer Statistics'!AP164)))</f>
        <v>2708</v>
      </c>
      <c r="AI50" s="273">
        <f>IF($AG$2="2018年",'Offer Statistics'!AK50,IF($AG$2="2019年",'Offer Statistics'!AK107,IF($AG$2="2020年",'Offer Statistics'!AK164)))</f>
        <v>520</v>
      </c>
      <c r="AJ50" s="273">
        <f>IF($AG$2="2018年",'Offer Statistics'!AL50,IF($AG$2="2019年",'Offer Statistics'!AL107,IF($AG$2="2020年",'Offer Statistics'!AL164)))</f>
        <v>729</v>
      </c>
      <c r="AK50" s="273">
        <f>IF($AG$2="2018年",'Offer Statistics'!AM50,IF($AG$2="2019年",'Offer Statistics'!AM107,IF($AG$2="2020年",'Offer Statistics'!AM164)))</f>
        <v>432</v>
      </c>
      <c r="AL50" s="273">
        <f>IF($AG$2="2018年",'Offer Statistics'!AN50,IF($AG$2="2019年",'Offer Statistics'!AN107,IF($AG$2="2020年",'Offer Statistics'!AN164)))</f>
        <v>493</v>
      </c>
      <c r="AM50" s="273">
        <f>IF($AG$2="2018年",'Offer Statistics'!AO50,IF($AG$2="2019年",'Offer Statistics'!AO107,IF($AG$2="2020年",'Offer Statistics'!AO164)))</f>
        <v>534</v>
      </c>
      <c r="AN50" s="270"/>
      <c r="AO50" s="270" t="str">
        <f t="shared" si="6"/>
        <v>JS3038</v>
      </c>
      <c r="AP50" s="274"/>
    </row>
    <row r="51" ht="18.0" customHeight="1">
      <c r="A51" s="142" t="s">
        <v>396</v>
      </c>
      <c r="B51" s="142" t="s">
        <v>1294</v>
      </c>
      <c r="C51" s="142" t="s">
        <v>397</v>
      </c>
      <c r="D51" s="142" t="s">
        <v>1350</v>
      </c>
      <c r="E51" s="132" t="s">
        <v>358</v>
      </c>
      <c r="F51" s="132">
        <v>16.5</v>
      </c>
      <c r="G51" s="142"/>
      <c r="H51" s="200">
        <f>'計分版'!D156</f>
        <v>0.00000000295</v>
      </c>
      <c r="I51" s="201">
        <f>H51-F57</f>
        <v>-15.5</v>
      </c>
      <c r="J51" s="202">
        <f>(H51-F57)/H51</f>
        <v>-5254237287</v>
      </c>
      <c r="K51" s="132">
        <v>48.0</v>
      </c>
      <c r="L51" s="203">
        <f>'入學要求'!S137</f>
        <v>0</v>
      </c>
      <c r="M51" s="135" t="s">
        <v>1166</v>
      </c>
      <c r="N51" s="131">
        <v>2.0</v>
      </c>
      <c r="O51" s="131">
        <v>2.0</v>
      </c>
      <c r="P51" s="131">
        <v>2.0</v>
      </c>
      <c r="Q51" s="131">
        <v>2.0</v>
      </c>
      <c r="R51" s="131">
        <v>2.0</v>
      </c>
      <c r="S51" s="142"/>
      <c r="T51" s="204">
        <f>'入學要求'!L137</f>
        <v>0</v>
      </c>
      <c r="U51" s="204">
        <f>'入學要求'!M137</f>
        <v>0</v>
      </c>
      <c r="V51" s="204">
        <f>'入學要求'!N137</f>
        <v>0</v>
      </c>
      <c r="W51" s="204">
        <f>'入學要求'!O137</f>
        <v>0</v>
      </c>
      <c r="X51" s="204">
        <f>'入學要求'!P137</f>
        <v>0</v>
      </c>
      <c r="Y51" s="131"/>
      <c r="Z51" s="205"/>
      <c r="AA51" s="132">
        <f>IF($Z$2="2018年",'Offer Statistics'!AX51,IF($Z$2="2019年",'Offer Statistics'!AX108,IF($Z$2="2020年",'Offer Statistics'!AX165)))</f>
        <v>332</v>
      </c>
      <c r="AB51" s="206">
        <f>IF($Z$2="2018年",'Offer Statistics'!AS51,IF($Z$2="2019年",'Offer Statistics'!AS108,IF($Z$2="2020年",'Offer Statistics'!AS165)))</f>
        <v>190</v>
      </c>
      <c r="AC51" s="206">
        <f>IF($Z$2="2018年",'Offer Statistics'!AT51,IF($Z$2="2019年",'Offer Statistics'!AT108,IF($Z$2="2020年",'Offer Statistics'!AT165)))</f>
        <v>35</v>
      </c>
      <c r="AD51" s="206">
        <f>IF($Z$2="2018年",'Offer Statistics'!AU51,IF($Z$2="2019年",'Offer Statistics'!AU108,IF($Z$2="2020年",'Offer Statistics'!AU165)))</f>
        <v>33</v>
      </c>
      <c r="AE51" s="206">
        <f>IF($Z$2="2018年",'Offer Statistics'!AV51,IF($Z$2="2019年",'Offer Statistics'!AV108,IF($Z$2="2020年",'Offer Statistics'!AV165)))</f>
        <v>22</v>
      </c>
      <c r="AF51" s="206">
        <f>IF($Z$2="2018年",'Offer Statistics'!AW51,IF($Z$2="2019年",'Offer Statistics'!AW108,IF($Z$2="2020年",'Offer Statistics'!AW165)))</f>
        <v>52</v>
      </c>
      <c r="AG51" s="205"/>
      <c r="AH51" s="132">
        <f>IF($AG$2="2018年",'Offer Statistics'!AP51,IF($AG$2="2019年",'Offer Statistics'!AP108,IF($AG$2="2020年",'Offer Statistics'!AP165)))</f>
        <v>2069</v>
      </c>
      <c r="AI51" s="206">
        <f>IF($AG$2="2018年",'Offer Statistics'!AK51,IF($AG$2="2019年",'Offer Statistics'!AK108,IF($AG$2="2020年",'Offer Statistics'!AK165)))</f>
        <v>484</v>
      </c>
      <c r="AJ51" s="206">
        <f>IF($AG$2="2018年",'Offer Statistics'!AL51,IF($AG$2="2019年",'Offer Statistics'!AL108,IF($AG$2="2020年",'Offer Statistics'!AL165)))</f>
        <v>361</v>
      </c>
      <c r="AK51" s="206">
        <f>IF($AG$2="2018年",'Offer Statistics'!AM51,IF($AG$2="2019年",'Offer Statistics'!AM108,IF($AG$2="2020年",'Offer Statistics'!AM165)))</f>
        <v>368</v>
      </c>
      <c r="AL51" s="206">
        <f>IF($AG$2="2018年",'Offer Statistics'!AN51,IF($AG$2="2019年",'Offer Statistics'!AN108,IF($AG$2="2020年",'Offer Statistics'!AN165)))</f>
        <v>370</v>
      </c>
      <c r="AM51" s="206">
        <f>IF($AG$2="2018年",'Offer Statistics'!AO51,IF($AG$2="2019年",'Offer Statistics'!AO108,IF($AG$2="2020年",'Offer Statistics'!AO165)))</f>
        <v>486</v>
      </c>
      <c r="AN51" s="131"/>
      <c r="AO51" s="131" t="str">
        <f t="shared" si="6"/>
        <v>JS3040</v>
      </c>
      <c r="AP51" s="112"/>
    </row>
    <row r="52" ht="18.0" customHeight="1">
      <c r="A52" s="263" t="s">
        <v>398</v>
      </c>
      <c r="B52" s="263" t="s">
        <v>1297</v>
      </c>
      <c r="C52" s="263" t="s">
        <v>399</v>
      </c>
      <c r="D52" s="263" t="s">
        <v>1351</v>
      </c>
      <c r="E52" s="264" t="s">
        <v>358</v>
      </c>
      <c r="F52" s="264">
        <v>18.3</v>
      </c>
      <c r="G52" s="263"/>
      <c r="H52" s="266">
        <f>'計分版'!D157</f>
        <v>0.00000000295</v>
      </c>
      <c r="I52" s="267">
        <f t="shared" ref="I52:I55" si="7">H52-F51</f>
        <v>-16.5</v>
      </c>
      <c r="J52" s="268">
        <f t="shared" ref="J52:J55" si="8">(H52-F51)/H52</f>
        <v>-5593220338</v>
      </c>
      <c r="K52" s="264">
        <v>73.0</v>
      </c>
      <c r="L52" s="275">
        <f>'入學要求'!S138</f>
        <v>0</v>
      </c>
      <c r="M52" s="277" t="s">
        <v>1166</v>
      </c>
      <c r="N52" s="270">
        <v>2.0</v>
      </c>
      <c r="O52" s="270">
        <v>2.0</v>
      </c>
      <c r="P52" s="270">
        <v>2.0</v>
      </c>
      <c r="Q52" s="270">
        <v>2.0</v>
      </c>
      <c r="R52" s="270">
        <v>2.0</v>
      </c>
      <c r="S52" s="263"/>
      <c r="T52" s="271">
        <f>'入學要求'!L138</f>
        <v>0</v>
      </c>
      <c r="U52" s="271">
        <f>'入學要求'!M138</f>
        <v>0</v>
      </c>
      <c r="V52" s="271">
        <f>'入學要求'!N138</f>
        <v>0</v>
      </c>
      <c r="W52" s="271">
        <f>'入學要求'!O138</f>
        <v>0</v>
      </c>
      <c r="X52" s="271">
        <f>'入學要求'!P138</f>
        <v>0</v>
      </c>
      <c r="Y52" s="270"/>
      <c r="Z52" s="205"/>
      <c r="AA52" s="264">
        <f>IF($Z$2="2018年",'Offer Statistics'!AX52,IF($Z$2="2019年",'Offer Statistics'!AX109,IF($Z$2="2020年",'Offer Statistics'!AX166)))</f>
        <v>204</v>
      </c>
      <c r="AB52" s="273">
        <f>IF($Z$2="2018年",'Offer Statistics'!AS52,IF($Z$2="2019年",'Offer Statistics'!AS109,IF($Z$2="2020年",'Offer Statistics'!AS166)))</f>
        <v>144</v>
      </c>
      <c r="AC52" s="273">
        <f>IF($Z$2="2018年",'Offer Statistics'!AT52,IF($Z$2="2019年",'Offer Statistics'!AT109,IF($Z$2="2020年",'Offer Statistics'!AT166)))</f>
        <v>15</v>
      </c>
      <c r="AD52" s="273">
        <f>IF($Z$2="2018年",'Offer Statistics'!AU52,IF($Z$2="2019年",'Offer Statistics'!AU109,IF($Z$2="2020年",'Offer Statistics'!AU166)))</f>
        <v>12</v>
      </c>
      <c r="AE52" s="273">
        <f>IF($Z$2="2018年",'Offer Statistics'!AV52,IF($Z$2="2019年",'Offer Statistics'!AV109,IF($Z$2="2020年",'Offer Statistics'!AV166)))</f>
        <v>10</v>
      </c>
      <c r="AF52" s="273">
        <f>IF($Z$2="2018年",'Offer Statistics'!AW52,IF($Z$2="2019年",'Offer Statistics'!AW109,IF($Z$2="2020年",'Offer Statistics'!AW166)))</f>
        <v>23</v>
      </c>
      <c r="AG52" s="205"/>
      <c r="AH52" s="264">
        <f>IF($AG$2="2018年",'Offer Statistics'!AP52,IF($AG$2="2019年",'Offer Statistics'!AP109,IF($AG$2="2020年",'Offer Statistics'!AP166)))</f>
        <v>3339</v>
      </c>
      <c r="AI52" s="273">
        <f>IF($AG$2="2018年",'Offer Statistics'!AK52,IF($AG$2="2019年",'Offer Statistics'!AK109,IF($AG$2="2020年",'Offer Statistics'!AK166)))</f>
        <v>774</v>
      </c>
      <c r="AJ52" s="273">
        <f>IF($AG$2="2018年",'Offer Statistics'!AL52,IF($AG$2="2019年",'Offer Statistics'!AL109,IF($AG$2="2020年",'Offer Statistics'!AL166)))</f>
        <v>679</v>
      </c>
      <c r="AK52" s="273">
        <f>IF($AG$2="2018年",'Offer Statistics'!AM52,IF($AG$2="2019年",'Offer Statistics'!AM109,IF($AG$2="2020年",'Offer Statistics'!AM166)))</f>
        <v>549</v>
      </c>
      <c r="AL52" s="273">
        <f>IF($AG$2="2018年",'Offer Statistics'!AN52,IF($AG$2="2019年",'Offer Statistics'!AN109,IF($AG$2="2020年",'Offer Statistics'!AN166)))</f>
        <v>565</v>
      </c>
      <c r="AM52" s="273">
        <f>IF($AG$2="2018年",'Offer Statistics'!AO52,IF($AG$2="2019年",'Offer Statistics'!AO109,IF($AG$2="2020年",'Offer Statistics'!AO166)))</f>
        <v>772</v>
      </c>
      <c r="AN52" s="270"/>
      <c r="AO52" s="270" t="str">
        <f t="shared" si="6"/>
        <v>JS3052</v>
      </c>
      <c r="AP52" s="274"/>
    </row>
    <row r="53" ht="18.0" customHeight="1">
      <c r="A53" s="142" t="s">
        <v>400</v>
      </c>
      <c r="B53" s="142" t="s">
        <v>1002</v>
      </c>
      <c r="C53" s="142" t="s">
        <v>401</v>
      </c>
      <c r="D53" s="142" t="s">
        <v>1352</v>
      </c>
      <c r="E53" s="132" t="s">
        <v>358</v>
      </c>
      <c r="F53" s="132">
        <v>16.9</v>
      </c>
      <c r="G53" s="142"/>
      <c r="H53" s="200">
        <f>'計分版'!D158</f>
        <v>0.00000000295</v>
      </c>
      <c r="I53" s="201">
        <f t="shared" si="7"/>
        <v>-18.3</v>
      </c>
      <c r="J53" s="202">
        <f t="shared" si="8"/>
        <v>-6203389830</v>
      </c>
      <c r="K53" s="132">
        <v>53.0</v>
      </c>
      <c r="L53" s="203">
        <f>'入學要求'!S139</f>
        <v>0</v>
      </c>
      <c r="M53" s="131" t="s">
        <v>541</v>
      </c>
      <c r="N53" s="131">
        <v>2.0</v>
      </c>
      <c r="O53" s="131">
        <v>2.0</v>
      </c>
      <c r="P53" s="131">
        <v>2.0</v>
      </c>
      <c r="Q53" s="131">
        <v>2.0</v>
      </c>
      <c r="R53" s="131">
        <v>2.0</v>
      </c>
      <c r="S53" s="142"/>
      <c r="T53" s="204">
        <f>'入學要求'!L139</f>
        <v>0</v>
      </c>
      <c r="U53" s="204">
        <f>'入學要求'!M139</f>
        <v>0</v>
      </c>
      <c r="V53" s="204">
        <f>'入學要求'!N139</f>
        <v>0</v>
      </c>
      <c r="W53" s="204">
        <f>'入學要求'!O139</f>
        <v>0</v>
      </c>
      <c r="X53" s="204">
        <f>'入學要求'!P139</f>
        <v>0</v>
      </c>
      <c r="Y53" s="131"/>
      <c r="Z53" s="205"/>
      <c r="AA53" s="132">
        <f>IF($Z$2="2018年",'Offer Statistics'!AX53,IF($Z$2="2019年",'Offer Statistics'!AX110,IF($Z$2="2020年",'Offer Statistics'!AX167)))</f>
        <v>222</v>
      </c>
      <c r="AB53" s="206">
        <f>IF($Z$2="2018年",'Offer Statistics'!AS53,IF($Z$2="2019年",'Offer Statistics'!AS110,IF($Z$2="2020年",'Offer Statistics'!AS167)))</f>
        <v>133</v>
      </c>
      <c r="AC53" s="206">
        <f>IF($Z$2="2018年",'Offer Statistics'!AT53,IF($Z$2="2019年",'Offer Statistics'!AT110,IF($Z$2="2020年",'Offer Statistics'!AT167)))</f>
        <v>23</v>
      </c>
      <c r="AD53" s="206">
        <f>IF($Z$2="2018年",'Offer Statistics'!AU53,IF($Z$2="2019年",'Offer Statistics'!AU110,IF($Z$2="2020年",'Offer Statistics'!AU167)))</f>
        <v>19</v>
      </c>
      <c r="AE53" s="206">
        <f>IF($Z$2="2018年",'Offer Statistics'!AV53,IF($Z$2="2019年",'Offer Statistics'!AV110,IF($Z$2="2020年",'Offer Statistics'!AV167)))</f>
        <v>20</v>
      </c>
      <c r="AF53" s="206">
        <f>IF($Z$2="2018年",'Offer Statistics'!AW53,IF($Z$2="2019年",'Offer Statistics'!AW110,IF($Z$2="2020年",'Offer Statistics'!AW167)))</f>
        <v>27</v>
      </c>
      <c r="AG53" s="205"/>
      <c r="AH53" s="132">
        <f>IF($AG$2="2018年",'Offer Statistics'!AP53,IF($AG$2="2019年",'Offer Statistics'!AP110,IF($AG$2="2020年",'Offer Statistics'!AP167)))</f>
        <v>2929</v>
      </c>
      <c r="AI53" s="206">
        <f>IF($AG$2="2018年",'Offer Statistics'!AK53,IF($AG$2="2019年",'Offer Statistics'!AK110,IF($AG$2="2020年",'Offer Statistics'!AK167)))</f>
        <v>678</v>
      </c>
      <c r="AJ53" s="206">
        <f>IF($AG$2="2018年",'Offer Statistics'!AL53,IF($AG$2="2019年",'Offer Statistics'!AL110,IF($AG$2="2020年",'Offer Statistics'!AL167)))</f>
        <v>545</v>
      </c>
      <c r="AK53" s="206">
        <f>IF($AG$2="2018年",'Offer Statistics'!AM53,IF($AG$2="2019年",'Offer Statistics'!AM110,IF($AG$2="2020年",'Offer Statistics'!AM167)))</f>
        <v>530</v>
      </c>
      <c r="AL53" s="206">
        <f>IF($AG$2="2018年",'Offer Statistics'!AN53,IF($AG$2="2019年",'Offer Statistics'!AN110,IF($AG$2="2020年",'Offer Statistics'!AN167)))</f>
        <v>489</v>
      </c>
      <c r="AM53" s="206">
        <f>IF($AG$2="2018年",'Offer Statistics'!AO53,IF($AG$2="2019年",'Offer Statistics'!AO110,IF($AG$2="2020年",'Offer Statistics'!AO167)))</f>
        <v>687</v>
      </c>
      <c r="AN53" s="131"/>
      <c r="AO53" s="131" t="str">
        <f t="shared" si="6"/>
        <v>JS3064</v>
      </c>
      <c r="AP53" s="112"/>
    </row>
    <row r="54" ht="18.0" customHeight="1">
      <c r="A54" s="263" t="s">
        <v>402</v>
      </c>
      <c r="B54" s="263" t="s">
        <v>1002</v>
      </c>
      <c r="C54" s="263" t="s">
        <v>403</v>
      </c>
      <c r="D54" s="263" t="s">
        <v>1353</v>
      </c>
      <c r="E54" s="264" t="s">
        <v>358</v>
      </c>
      <c r="F54" s="264">
        <v>16.4</v>
      </c>
      <c r="G54" s="263"/>
      <c r="H54" s="266">
        <f>'計分版'!D159</f>
        <v>0.00000000295</v>
      </c>
      <c r="I54" s="267">
        <f t="shared" si="7"/>
        <v>-16.9</v>
      </c>
      <c r="J54" s="268">
        <f t="shared" si="8"/>
        <v>-5728813558</v>
      </c>
      <c r="K54" s="264">
        <v>88.0</v>
      </c>
      <c r="L54" s="275">
        <f>'入學要求'!S140</f>
        <v>0</v>
      </c>
      <c r="M54" s="277" t="s">
        <v>1166</v>
      </c>
      <c r="N54" s="270">
        <v>2.0</v>
      </c>
      <c r="O54" s="270">
        <v>2.0</v>
      </c>
      <c r="P54" s="270">
        <v>2.0</v>
      </c>
      <c r="Q54" s="270">
        <v>2.0</v>
      </c>
      <c r="R54" s="270">
        <v>2.0</v>
      </c>
      <c r="S54" s="263"/>
      <c r="T54" s="271">
        <f>'入學要求'!L140</f>
        <v>0</v>
      </c>
      <c r="U54" s="271">
        <f>'入學要求'!M140</f>
        <v>0</v>
      </c>
      <c r="V54" s="271">
        <f>'入學要求'!N140</f>
        <v>0</v>
      </c>
      <c r="W54" s="271">
        <f>'入學要求'!O140</f>
        <v>0</v>
      </c>
      <c r="X54" s="271">
        <f>'入學要求'!P140</f>
        <v>0</v>
      </c>
      <c r="Y54" s="270"/>
      <c r="Z54" s="205"/>
      <c r="AA54" s="264">
        <f>IF($Z$2="2018年",'Offer Statistics'!AX54,IF($Z$2="2019年",'Offer Statistics'!AX111,IF($Z$2="2020年",'Offer Statistics'!AX168)))</f>
        <v>423</v>
      </c>
      <c r="AB54" s="273">
        <f>IF($Z$2="2018年",'Offer Statistics'!AS54,IF($Z$2="2019年",'Offer Statistics'!AS111,IF($Z$2="2020年",'Offer Statistics'!AS168)))</f>
        <v>227</v>
      </c>
      <c r="AC54" s="273">
        <f>IF($Z$2="2018年",'Offer Statistics'!AT54,IF($Z$2="2019年",'Offer Statistics'!AT111,IF($Z$2="2020年",'Offer Statistics'!AT168)))</f>
        <v>57</v>
      </c>
      <c r="AD54" s="273">
        <f>IF($Z$2="2018年",'Offer Statistics'!AU54,IF($Z$2="2019年",'Offer Statistics'!AU111,IF($Z$2="2020年",'Offer Statistics'!AU168)))</f>
        <v>51</v>
      </c>
      <c r="AE54" s="273">
        <f>IF($Z$2="2018年",'Offer Statistics'!AV54,IF($Z$2="2019年",'Offer Statistics'!AV111,IF($Z$2="2020年",'Offer Statistics'!AV168)))</f>
        <v>35</v>
      </c>
      <c r="AF54" s="273">
        <f>IF($Z$2="2018年",'Offer Statistics'!AW54,IF($Z$2="2019年",'Offer Statistics'!AW111,IF($Z$2="2020年",'Offer Statistics'!AW168)))</f>
        <v>53</v>
      </c>
      <c r="AG54" s="205"/>
      <c r="AH54" s="264">
        <f>IF($AG$2="2018年",'Offer Statistics'!AP54,IF($AG$2="2019年",'Offer Statistics'!AP111,IF($AG$2="2020年",'Offer Statistics'!AP168)))</f>
        <v>3138</v>
      </c>
      <c r="AI54" s="273">
        <f>IF($AG$2="2018年",'Offer Statistics'!AK54,IF($AG$2="2019年",'Offer Statistics'!AK111,IF($AG$2="2020年",'Offer Statistics'!AK168)))</f>
        <v>777</v>
      </c>
      <c r="AJ54" s="273">
        <f>IF($AG$2="2018年",'Offer Statistics'!AL54,IF($AG$2="2019年",'Offer Statistics'!AL111,IF($AG$2="2020年",'Offer Statistics'!AL168)))</f>
        <v>602</v>
      </c>
      <c r="AK54" s="273">
        <f>IF($AG$2="2018年",'Offer Statistics'!AM54,IF($AG$2="2019年",'Offer Statistics'!AM111,IF($AG$2="2020年",'Offer Statistics'!AM168)))</f>
        <v>545</v>
      </c>
      <c r="AL54" s="273">
        <f>IF($AG$2="2018年",'Offer Statistics'!AN54,IF($AG$2="2019年",'Offer Statistics'!AN111,IF($AG$2="2020年",'Offer Statistics'!AN168)))</f>
        <v>517</v>
      </c>
      <c r="AM54" s="273">
        <f>IF($AG$2="2018年",'Offer Statistics'!AO54,IF($AG$2="2019年",'Offer Statistics'!AO111,IF($AG$2="2020年",'Offer Statistics'!AO168)))</f>
        <v>697</v>
      </c>
      <c r="AN54" s="270"/>
      <c r="AO54" s="270" t="str">
        <f t="shared" si="6"/>
        <v>JS3076</v>
      </c>
      <c r="AP54" s="274"/>
    </row>
    <row r="55" ht="18.0" customHeight="1">
      <c r="A55" s="142" t="s">
        <v>404</v>
      </c>
      <c r="B55" s="142" t="s">
        <v>1297</v>
      </c>
      <c r="C55" s="142" t="s">
        <v>405</v>
      </c>
      <c r="D55" s="142" t="s">
        <v>1354</v>
      </c>
      <c r="E55" s="131" t="s">
        <v>358</v>
      </c>
      <c r="F55" s="132">
        <v>16.4</v>
      </c>
      <c r="G55" s="142"/>
      <c r="H55" s="200">
        <f>'計分版'!D160</f>
        <v>0.00000000295</v>
      </c>
      <c r="I55" s="201">
        <f t="shared" si="7"/>
        <v>-16.4</v>
      </c>
      <c r="J55" s="202">
        <f t="shared" si="8"/>
        <v>-5559322033</v>
      </c>
      <c r="K55" s="132">
        <v>71.0</v>
      </c>
      <c r="L55" s="203">
        <f>'入學要求'!S141</f>
        <v>0</v>
      </c>
      <c r="M55" s="131" t="s">
        <v>541</v>
      </c>
      <c r="N55" s="131">
        <v>2.0</v>
      </c>
      <c r="O55" s="131">
        <v>2.0</v>
      </c>
      <c r="P55" s="131">
        <v>2.0</v>
      </c>
      <c r="Q55" s="131">
        <v>2.0</v>
      </c>
      <c r="R55" s="131">
        <v>2.0</v>
      </c>
      <c r="S55" s="142"/>
      <c r="T55" s="204">
        <f>'入學要求'!L141</f>
        <v>0</v>
      </c>
      <c r="U55" s="204">
        <f>'入學要求'!M141</f>
        <v>0</v>
      </c>
      <c r="V55" s="204">
        <f>'入學要求'!N141</f>
        <v>0</v>
      </c>
      <c r="W55" s="204">
        <f>'入學要求'!O141</f>
        <v>0</v>
      </c>
      <c r="X55" s="204">
        <f>'入學要求'!P141</f>
        <v>0</v>
      </c>
      <c r="Y55" s="131"/>
      <c r="Z55" s="205"/>
      <c r="AA55" s="132">
        <f>IF($Z$2="2018年",'Offer Statistics'!AX55,IF($Z$2="2019年",'Offer Statistics'!AX112,IF($Z$2="2020年",'Offer Statistics'!AX169)))</f>
        <v>354</v>
      </c>
      <c r="AB55" s="206">
        <f>IF($Z$2="2018年",'Offer Statistics'!AS55,IF($Z$2="2019年",'Offer Statistics'!AS112,IF($Z$2="2020年",'Offer Statistics'!AS169)))</f>
        <v>205</v>
      </c>
      <c r="AC55" s="206">
        <f>IF($Z$2="2018年",'Offer Statistics'!AT55,IF($Z$2="2019年",'Offer Statistics'!AT112,IF($Z$2="2020年",'Offer Statistics'!AT169)))</f>
        <v>47</v>
      </c>
      <c r="AD55" s="206">
        <f>IF($Z$2="2018年",'Offer Statistics'!AU55,IF($Z$2="2019年",'Offer Statistics'!AU112,IF($Z$2="2020年",'Offer Statistics'!AU169)))</f>
        <v>30</v>
      </c>
      <c r="AE55" s="206">
        <f>IF($Z$2="2018年",'Offer Statistics'!AV55,IF($Z$2="2019年",'Offer Statistics'!AV112,IF($Z$2="2020年",'Offer Statistics'!AV169)))</f>
        <v>24</v>
      </c>
      <c r="AF55" s="206">
        <f>IF($Z$2="2018年",'Offer Statistics'!AW55,IF($Z$2="2019年",'Offer Statistics'!AW112,IF($Z$2="2020年",'Offer Statistics'!AW169)))</f>
        <v>48</v>
      </c>
      <c r="AG55" s="205"/>
      <c r="AH55" s="132">
        <f>IF($AG$2="2018年",'Offer Statistics'!AP55,IF($AG$2="2019年",'Offer Statistics'!AP112,IF($AG$2="2020年",'Offer Statistics'!AP169)))</f>
        <v>2691</v>
      </c>
      <c r="AI55" s="206">
        <f>IF($AG$2="2018年",'Offer Statistics'!AK55,IF($AG$2="2019年",'Offer Statistics'!AK112,IF($AG$2="2020年",'Offer Statistics'!AK169)))</f>
        <v>592</v>
      </c>
      <c r="AJ55" s="206">
        <f>IF($AG$2="2018年",'Offer Statistics'!AL55,IF($AG$2="2019年",'Offer Statistics'!AL112,IF($AG$2="2020年",'Offer Statistics'!AL169)))</f>
        <v>557</v>
      </c>
      <c r="AK55" s="206">
        <f>IF($AG$2="2018年",'Offer Statistics'!AM55,IF($AG$2="2019年",'Offer Statistics'!AM112,IF($AG$2="2020年",'Offer Statistics'!AM169)))</f>
        <v>445</v>
      </c>
      <c r="AL55" s="206">
        <f>IF($AG$2="2018年",'Offer Statistics'!AN55,IF($AG$2="2019年",'Offer Statistics'!AN112,IF($AG$2="2020年",'Offer Statistics'!AN169)))</f>
        <v>470</v>
      </c>
      <c r="AM55" s="206">
        <f>IF($AG$2="2018年",'Offer Statistics'!AO55,IF($AG$2="2019年",'Offer Statistics'!AO112,IF($AG$2="2020年",'Offer Statistics'!AO169)))</f>
        <v>627</v>
      </c>
      <c r="AN55" s="131"/>
      <c r="AO55" s="131" t="str">
        <f t="shared" si="6"/>
        <v>JS3105</v>
      </c>
      <c r="AP55" s="112"/>
    </row>
    <row r="56" ht="18.0" customHeight="1">
      <c r="A56" s="263" t="s">
        <v>406</v>
      </c>
      <c r="B56" s="263" t="s">
        <v>1002</v>
      </c>
      <c r="C56" s="263" t="s">
        <v>407</v>
      </c>
      <c r="D56" s="263" t="s">
        <v>1355</v>
      </c>
      <c r="E56" s="264" t="s">
        <v>358</v>
      </c>
      <c r="F56" s="264">
        <v>12.6</v>
      </c>
      <c r="G56" s="263"/>
      <c r="H56" s="266">
        <f>'計分版'!D161</f>
        <v>0.00000000295</v>
      </c>
      <c r="I56" s="267">
        <f>H56-F56</f>
        <v>-12.6</v>
      </c>
      <c r="J56" s="268">
        <f>(H56-F56)/H56</f>
        <v>-4271186440</v>
      </c>
      <c r="K56" s="264">
        <v>43.0</v>
      </c>
      <c r="L56" s="275">
        <f>'入學要求'!S142</f>
        <v>0</v>
      </c>
      <c r="M56" s="270" t="s">
        <v>541</v>
      </c>
      <c r="N56" s="270">
        <v>2.0</v>
      </c>
      <c r="O56" s="270">
        <v>2.0</v>
      </c>
      <c r="P56" s="270">
        <v>2.0</v>
      </c>
      <c r="Q56" s="270">
        <v>2.0</v>
      </c>
      <c r="R56" s="270">
        <v>2.0</v>
      </c>
      <c r="S56" s="263"/>
      <c r="T56" s="271">
        <f>'入學要求'!L142</f>
        <v>0</v>
      </c>
      <c r="U56" s="271">
        <f>'入學要求'!M142</f>
        <v>0</v>
      </c>
      <c r="V56" s="271">
        <f>'入學要求'!N142</f>
        <v>0</v>
      </c>
      <c r="W56" s="271">
        <f>'入學要求'!O142</f>
        <v>0</v>
      </c>
      <c r="X56" s="271">
        <f>'入學要求'!P142</f>
        <v>0</v>
      </c>
      <c r="Y56" s="270"/>
      <c r="Z56" s="205"/>
      <c r="AA56" s="264">
        <f>IF($Z$2="2018年",'Offer Statistics'!AX56,IF($Z$2="2019年",'Offer Statistics'!AX113,IF($Z$2="2020年",'Offer Statistics'!AX170)))</f>
        <v>315</v>
      </c>
      <c r="AB56" s="273">
        <f>IF($Z$2="2018年",'Offer Statistics'!AS56,IF($Z$2="2019年",'Offer Statistics'!AS113,IF($Z$2="2020年",'Offer Statistics'!AS170)))</f>
        <v>124</v>
      </c>
      <c r="AC56" s="273">
        <f>IF($Z$2="2018年",'Offer Statistics'!AT56,IF($Z$2="2019年",'Offer Statistics'!AT113,IF($Z$2="2020年",'Offer Statistics'!AT170)))</f>
        <v>54</v>
      </c>
      <c r="AD56" s="273">
        <f>IF($Z$2="2018年",'Offer Statistics'!AU56,IF($Z$2="2019年",'Offer Statistics'!AU113,IF($Z$2="2020年",'Offer Statistics'!AU170)))</f>
        <v>41</v>
      </c>
      <c r="AE56" s="273">
        <f>IF($Z$2="2018年",'Offer Statistics'!AV56,IF($Z$2="2019年",'Offer Statistics'!AV113,IF($Z$2="2020年",'Offer Statistics'!AV170)))</f>
        <v>46</v>
      </c>
      <c r="AF56" s="273">
        <f>IF($Z$2="2018年",'Offer Statistics'!AW56,IF($Z$2="2019年",'Offer Statistics'!AW113,IF($Z$2="2020年",'Offer Statistics'!AW170)))</f>
        <v>50</v>
      </c>
      <c r="AG56" s="205"/>
      <c r="AH56" s="264">
        <f>IF($AG$2="2018年",'Offer Statistics'!AP56,IF($AG$2="2019年",'Offer Statistics'!AP113,IF($AG$2="2020年",'Offer Statistics'!AP170)))</f>
        <v>2020</v>
      </c>
      <c r="AI56" s="273">
        <f>IF($AG$2="2018年",'Offer Statistics'!AK56,IF($AG$2="2019年",'Offer Statistics'!AK113,IF($AG$2="2020年",'Offer Statistics'!AK170)))</f>
        <v>363</v>
      </c>
      <c r="AJ56" s="273">
        <f>IF($AG$2="2018年",'Offer Statistics'!AL56,IF($AG$2="2019年",'Offer Statistics'!AL113,IF($AG$2="2020年",'Offer Statistics'!AL170)))</f>
        <v>462</v>
      </c>
      <c r="AK56" s="273">
        <f>IF($AG$2="2018年",'Offer Statistics'!AM56,IF($AG$2="2019年",'Offer Statistics'!AM113,IF($AG$2="2020年",'Offer Statistics'!AM170)))</f>
        <v>369</v>
      </c>
      <c r="AL56" s="273">
        <f>IF($AG$2="2018年",'Offer Statistics'!AN56,IF($AG$2="2019年",'Offer Statistics'!AN113,IF($AG$2="2020年",'Offer Statistics'!AN170)))</f>
        <v>374</v>
      </c>
      <c r="AM56" s="273">
        <f>IF($AG$2="2018年",'Offer Statistics'!AO56,IF($AG$2="2019年",'Offer Statistics'!AO113,IF($AG$2="2020年",'Offer Statistics'!AO170)))</f>
        <v>452</v>
      </c>
      <c r="AN56" s="270"/>
      <c r="AO56" s="270" t="str">
        <f t="shared" si="6"/>
        <v>JS3117</v>
      </c>
      <c r="AP56" s="274"/>
    </row>
    <row r="57" ht="18.0" customHeight="1">
      <c r="A57" s="142" t="s">
        <v>410</v>
      </c>
      <c r="B57" s="142" t="s">
        <v>1297</v>
      </c>
      <c r="C57" s="142" t="s">
        <v>411</v>
      </c>
      <c r="D57" s="142" t="s">
        <v>1356</v>
      </c>
      <c r="E57" s="131" t="s">
        <v>358</v>
      </c>
      <c r="F57" s="132">
        <v>15.5</v>
      </c>
      <c r="G57" s="142"/>
      <c r="H57" s="200">
        <f>'計分版'!D162</f>
        <v>0.00000000295</v>
      </c>
      <c r="I57" s="201">
        <f>H57-F55</f>
        <v>-16.4</v>
      </c>
      <c r="J57" s="202">
        <f>(H57-F55)/H57</f>
        <v>-5559322033</v>
      </c>
      <c r="K57" s="132">
        <v>55.0</v>
      </c>
      <c r="L57" s="218">
        <f>'入學要求'!S143</f>
        <v>0</v>
      </c>
      <c r="M57" s="131" t="s">
        <v>541</v>
      </c>
      <c r="N57" s="131">
        <v>2.0</v>
      </c>
      <c r="O57" s="131">
        <v>2.0</v>
      </c>
      <c r="P57" s="131">
        <v>2.0</v>
      </c>
      <c r="Q57" s="131">
        <v>2.0</v>
      </c>
      <c r="R57" s="131">
        <v>2.0</v>
      </c>
      <c r="S57" s="142"/>
      <c r="T57" s="204">
        <f>'入學要求'!L143</f>
        <v>0</v>
      </c>
      <c r="U57" s="204">
        <f>'入學要求'!M143</f>
        <v>0</v>
      </c>
      <c r="V57" s="204">
        <f>'入學要求'!N143</f>
        <v>0</v>
      </c>
      <c r="W57" s="204">
        <f>'入學要求'!O143</f>
        <v>0</v>
      </c>
      <c r="X57" s="204">
        <f>'入學要求'!P143</f>
        <v>0</v>
      </c>
      <c r="Y57" s="131"/>
      <c r="Z57" s="205"/>
      <c r="AA57" s="132">
        <f>IF($Z$2="2018年",'Offer Statistics'!AX57,IF($Z$2="2019年",'Offer Statistics'!AX114,IF($Z$2="2020年",'Offer Statistics'!AX171)))</f>
        <v>248</v>
      </c>
      <c r="AB57" s="206">
        <f>IF($Z$2="2018年",'Offer Statistics'!AS57,IF($Z$2="2019年",'Offer Statistics'!AS114,IF($Z$2="2020年",'Offer Statistics'!AS171)))</f>
        <v>142</v>
      </c>
      <c r="AC57" s="206">
        <f>IF($Z$2="2018年",'Offer Statistics'!AT57,IF($Z$2="2019年",'Offer Statistics'!AT114,IF($Z$2="2020年",'Offer Statistics'!AT171)))</f>
        <v>33</v>
      </c>
      <c r="AD57" s="206">
        <f>IF($Z$2="2018年",'Offer Statistics'!AU57,IF($Z$2="2019年",'Offer Statistics'!AU114,IF($Z$2="2020年",'Offer Statistics'!AU171)))</f>
        <v>21</v>
      </c>
      <c r="AE57" s="206">
        <f>IF($Z$2="2018年",'Offer Statistics'!AV57,IF($Z$2="2019年",'Offer Statistics'!AV114,IF($Z$2="2020年",'Offer Statistics'!AV171)))</f>
        <v>19</v>
      </c>
      <c r="AF57" s="206">
        <f>IF($Z$2="2018年",'Offer Statistics'!AW57,IF($Z$2="2019年",'Offer Statistics'!AW114,IF($Z$2="2020年",'Offer Statistics'!AW171)))</f>
        <v>33</v>
      </c>
      <c r="AG57" s="205"/>
      <c r="AH57" s="132">
        <f>IF($AG$2="2018年",'Offer Statistics'!AP57,IF($AG$2="2019年",'Offer Statistics'!AP114,IF($AG$2="2020年",'Offer Statistics'!AP171)))</f>
        <v>2555</v>
      </c>
      <c r="AI57" s="206">
        <f>IF($AG$2="2018年",'Offer Statistics'!AK57,IF($AG$2="2019年",'Offer Statistics'!AK114,IF($AG$2="2020年",'Offer Statistics'!AK171)))</f>
        <v>511</v>
      </c>
      <c r="AJ57" s="206">
        <f>IF($AG$2="2018年",'Offer Statistics'!AL57,IF($AG$2="2019年",'Offer Statistics'!AL114,IF($AG$2="2020年",'Offer Statistics'!AL171)))</f>
        <v>618</v>
      </c>
      <c r="AK57" s="206">
        <f>IF($AG$2="2018年",'Offer Statistics'!AM57,IF($AG$2="2019年",'Offer Statistics'!AM114,IF($AG$2="2020年",'Offer Statistics'!AM171)))</f>
        <v>434</v>
      </c>
      <c r="AL57" s="206">
        <f>IF($AG$2="2018年",'Offer Statistics'!AN57,IF($AG$2="2019年",'Offer Statistics'!AN114,IF($AG$2="2020年",'Offer Statistics'!AN171)))</f>
        <v>431</v>
      </c>
      <c r="AM57" s="206">
        <f>IF($AG$2="2018年",'Offer Statistics'!AO57,IF($AG$2="2019年",'Offer Statistics'!AO114,IF($AG$2="2020年",'Offer Statistics'!AO171)))</f>
        <v>561</v>
      </c>
      <c r="AN57" s="142"/>
      <c r="AO57" s="131" t="str">
        <f t="shared" si="6"/>
        <v>JS3284</v>
      </c>
      <c r="AP57" s="112"/>
    </row>
    <row r="58" ht="18.0" customHeight="1">
      <c r="A58" s="278"/>
      <c r="B58" s="278"/>
      <c r="C58" s="278"/>
      <c r="D58" s="278"/>
      <c r="E58" s="116"/>
      <c r="F58" s="278"/>
      <c r="G58" s="278"/>
      <c r="H58" s="116"/>
      <c r="I58" s="278"/>
      <c r="J58" s="278"/>
      <c r="K58" s="278"/>
      <c r="L58" s="116"/>
      <c r="M58" s="116"/>
      <c r="N58" s="278"/>
      <c r="O58" s="278"/>
      <c r="P58" s="278"/>
      <c r="Q58" s="278"/>
      <c r="R58" s="278"/>
      <c r="S58" s="278"/>
      <c r="T58" s="116"/>
      <c r="U58" s="116"/>
      <c r="V58" s="116"/>
      <c r="W58" s="116"/>
      <c r="X58" s="116"/>
      <c r="Y58" s="116"/>
      <c r="Z58" s="278"/>
      <c r="AA58" s="278"/>
      <c r="AB58" s="278"/>
      <c r="AC58" s="278"/>
      <c r="AD58" s="278"/>
      <c r="AE58" s="278"/>
      <c r="AF58" s="278"/>
      <c r="AG58" s="278"/>
      <c r="AH58" s="278"/>
      <c r="AI58" s="278"/>
      <c r="AJ58" s="278"/>
      <c r="AK58" s="278"/>
      <c r="AL58" s="278"/>
      <c r="AM58" s="278"/>
      <c r="AN58" s="278"/>
      <c r="AO58" s="278"/>
      <c r="AP58" s="112"/>
    </row>
    <row r="59" ht="18.0" customHeight="1">
      <c r="A59" s="220" t="s">
        <v>1357</v>
      </c>
      <c r="B59" s="142"/>
      <c r="C59" s="142"/>
      <c r="D59" s="142"/>
      <c r="E59" s="132"/>
      <c r="F59" s="131"/>
      <c r="G59" s="131"/>
      <c r="H59" s="131"/>
      <c r="I59" s="219"/>
      <c r="J59" s="198"/>
      <c r="K59" s="131"/>
      <c r="L59" s="131"/>
      <c r="M59" s="131"/>
      <c r="N59" s="131"/>
      <c r="O59" s="131"/>
      <c r="P59" s="131"/>
      <c r="Q59" s="131"/>
      <c r="R59" s="131"/>
      <c r="S59" s="131"/>
      <c r="T59" s="131"/>
      <c r="U59" s="131"/>
      <c r="V59" s="131"/>
      <c r="W59" s="131"/>
      <c r="X59" s="131"/>
      <c r="Y59" s="131"/>
      <c r="Z59" s="278"/>
      <c r="AA59" s="278"/>
      <c r="AB59" s="278"/>
      <c r="AC59" s="278"/>
      <c r="AD59" s="278"/>
      <c r="AE59" s="278"/>
      <c r="AF59" s="278"/>
      <c r="AG59" s="278"/>
      <c r="AH59" s="278"/>
      <c r="AI59" s="278"/>
      <c r="AJ59" s="278"/>
      <c r="AK59" s="278"/>
      <c r="AL59" s="278"/>
      <c r="AM59" s="278"/>
      <c r="AN59" s="278"/>
      <c r="AO59" s="278"/>
      <c r="AP59" s="112"/>
    </row>
    <row r="60" ht="18.0" customHeight="1">
      <c r="A60" s="142" t="s">
        <v>1358</v>
      </c>
      <c r="B60" s="142"/>
      <c r="C60" s="142"/>
      <c r="D60" s="142"/>
      <c r="E60" s="132"/>
      <c r="F60" s="131"/>
      <c r="G60" s="131"/>
      <c r="H60" s="131"/>
      <c r="I60" s="219"/>
      <c r="J60" s="198"/>
      <c r="K60" s="131"/>
      <c r="L60" s="131"/>
      <c r="M60" s="131"/>
      <c r="N60" s="131"/>
      <c r="O60" s="131"/>
      <c r="P60" s="131"/>
      <c r="Q60" s="131"/>
      <c r="R60" s="131"/>
      <c r="S60" s="131"/>
      <c r="T60" s="131"/>
      <c r="U60" s="131"/>
      <c r="V60" s="131"/>
      <c r="W60" s="131"/>
      <c r="X60" s="131"/>
      <c r="Y60" s="131"/>
      <c r="Z60" s="278"/>
      <c r="AA60" s="278"/>
      <c r="AB60" s="278"/>
      <c r="AC60" s="278"/>
      <c r="AD60" s="278"/>
      <c r="AE60" s="278"/>
      <c r="AF60" s="278"/>
      <c r="AG60" s="278"/>
      <c r="AH60" s="278"/>
      <c r="AI60" s="278"/>
      <c r="AJ60" s="278"/>
      <c r="AK60" s="278"/>
      <c r="AL60" s="278"/>
      <c r="AM60" s="278"/>
      <c r="AN60" s="278"/>
      <c r="AO60" s="278"/>
      <c r="AP60" s="112"/>
    </row>
    <row r="61" ht="18.0" customHeight="1">
      <c r="A61" s="142" t="s">
        <v>1359</v>
      </c>
      <c r="B61" s="142"/>
      <c r="C61" s="142"/>
      <c r="D61" s="142"/>
      <c r="E61" s="132"/>
      <c r="F61" s="131"/>
      <c r="G61" s="131"/>
      <c r="H61" s="131"/>
      <c r="I61" s="219"/>
      <c r="J61" s="198"/>
      <c r="K61" s="131"/>
      <c r="L61" s="131"/>
      <c r="M61" s="131"/>
      <c r="N61" s="131"/>
      <c r="O61" s="131"/>
      <c r="P61" s="131"/>
      <c r="Q61" s="131"/>
      <c r="R61" s="131"/>
      <c r="S61" s="131"/>
      <c r="T61" s="131"/>
      <c r="U61" s="131"/>
      <c r="V61" s="131"/>
      <c r="W61" s="131"/>
      <c r="X61" s="131"/>
      <c r="Y61" s="131"/>
      <c r="Z61" s="278"/>
      <c r="AA61" s="278"/>
      <c r="AB61" s="278"/>
      <c r="AC61" s="278"/>
      <c r="AD61" s="278"/>
      <c r="AE61" s="278"/>
      <c r="AF61" s="278"/>
      <c r="AG61" s="278"/>
      <c r="AH61" s="278"/>
      <c r="AI61" s="278"/>
      <c r="AJ61" s="278"/>
      <c r="AK61" s="278"/>
      <c r="AL61" s="278"/>
      <c r="AM61" s="278"/>
      <c r="AN61" s="278"/>
      <c r="AO61" s="278"/>
      <c r="AP61" s="112"/>
    </row>
    <row r="62" ht="18.0" customHeight="1">
      <c r="A62" s="142"/>
      <c r="B62" s="142"/>
      <c r="C62" s="198"/>
      <c r="D62" s="142"/>
      <c r="E62" s="131"/>
      <c r="F62" s="142"/>
      <c r="G62" s="142"/>
      <c r="H62" s="131"/>
      <c r="I62" s="142"/>
      <c r="J62" s="142"/>
      <c r="K62" s="132"/>
      <c r="L62" s="131"/>
      <c r="M62" s="142"/>
      <c r="N62" s="142"/>
      <c r="O62" s="142"/>
      <c r="P62" s="142"/>
      <c r="Q62" s="142"/>
      <c r="R62" s="142"/>
      <c r="S62" s="142"/>
      <c r="T62" s="142"/>
      <c r="U62" s="142"/>
      <c r="V62" s="142"/>
      <c r="W62" s="142"/>
      <c r="X62" s="142"/>
      <c r="Y62" s="142"/>
      <c r="Z62" s="142"/>
      <c r="AA62" s="142"/>
      <c r="AB62" s="142"/>
      <c r="AC62" s="142"/>
      <c r="AD62" s="142"/>
      <c r="AE62" s="142"/>
      <c r="AF62" s="142"/>
      <c r="AG62" s="142"/>
      <c r="AH62" s="142"/>
      <c r="AI62" s="142"/>
      <c r="AJ62" s="142"/>
      <c r="AK62" s="142"/>
      <c r="AL62" s="142"/>
      <c r="AM62" s="142"/>
      <c r="AN62" s="142"/>
      <c r="AO62" s="142"/>
      <c r="AP62" s="130"/>
    </row>
    <row r="63" ht="18.0" customHeight="1">
      <c r="A63" s="142" t="s">
        <v>1229</v>
      </c>
      <c r="B63" s="142"/>
      <c r="C63" s="142"/>
      <c r="D63" s="142"/>
      <c r="E63" s="132"/>
      <c r="F63" s="131"/>
      <c r="G63" s="131"/>
      <c r="H63" s="131"/>
      <c r="I63" s="131"/>
      <c r="J63" s="219"/>
      <c r="K63" s="198"/>
      <c r="L63" s="131"/>
      <c r="M63" s="142"/>
      <c r="N63" s="131"/>
      <c r="O63" s="131"/>
      <c r="P63" s="131"/>
      <c r="Q63" s="131"/>
      <c r="R63" s="131"/>
      <c r="S63" s="131"/>
      <c r="T63" s="142"/>
      <c r="U63" s="142"/>
      <c r="V63" s="142"/>
      <c r="W63" s="142"/>
      <c r="X63" s="142"/>
      <c r="Y63" s="142"/>
      <c r="Z63" s="131"/>
      <c r="AA63" s="131"/>
      <c r="AB63" s="131"/>
      <c r="AC63" s="131"/>
      <c r="AD63" s="131"/>
      <c r="AE63" s="131"/>
      <c r="AF63" s="131"/>
      <c r="AG63" s="131"/>
      <c r="AH63" s="131"/>
      <c r="AI63" s="131"/>
      <c r="AJ63" s="131"/>
      <c r="AK63" s="131"/>
      <c r="AL63" s="131"/>
      <c r="AM63" s="131"/>
      <c r="AN63" s="131"/>
      <c r="AO63" s="142"/>
      <c r="AP63" s="163"/>
    </row>
    <row r="64" ht="18.0" customHeight="1">
      <c r="A64" s="142"/>
      <c r="B64" s="142"/>
      <c r="C64" s="142"/>
      <c r="D64" s="142"/>
      <c r="E64" s="132"/>
      <c r="F64" s="131"/>
      <c r="G64" s="131"/>
      <c r="H64" s="131"/>
      <c r="I64" s="219"/>
      <c r="J64" s="198"/>
      <c r="K64" s="131"/>
      <c r="L64" s="131"/>
      <c r="M64" s="131"/>
      <c r="N64" s="131"/>
      <c r="O64" s="131"/>
      <c r="P64" s="131"/>
      <c r="Q64" s="131"/>
      <c r="R64" s="131"/>
      <c r="S64" s="131"/>
      <c r="T64" s="131"/>
      <c r="U64" s="131"/>
      <c r="V64" s="131"/>
      <c r="W64" s="131"/>
      <c r="X64" s="131"/>
      <c r="Y64" s="131"/>
      <c r="Z64" s="278"/>
      <c r="AA64" s="278"/>
      <c r="AB64" s="278"/>
      <c r="AC64" s="278"/>
      <c r="AD64" s="278"/>
      <c r="AE64" s="278"/>
      <c r="AF64" s="278"/>
      <c r="AG64" s="278"/>
      <c r="AH64" s="278"/>
      <c r="AI64" s="278"/>
      <c r="AJ64" s="278"/>
      <c r="AK64" s="278"/>
      <c r="AL64" s="278"/>
      <c r="AM64" s="278"/>
      <c r="AN64" s="278"/>
      <c r="AO64" s="278"/>
      <c r="AP64" s="112"/>
    </row>
    <row r="65" ht="18.0" customHeight="1">
      <c r="A65" s="220" t="s">
        <v>1230</v>
      </c>
      <c r="B65" s="142"/>
      <c r="C65" s="142"/>
      <c r="D65" s="142"/>
      <c r="E65" s="132"/>
      <c r="F65" s="131"/>
      <c r="G65" s="131"/>
      <c r="H65" s="131"/>
      <c r="I65" s="219"/>
      <c r="J65" s="198"/>
      <c r="K65" s="131"/>
      <c r="L65" s="131"/>
      <c r="M65" s="131"/>
      <c r="N65" s="131"/>
      <c r="O65" s="131"/>
      <c r="P65" s="131"/>
      <c r="Q65" s="131"/>
      <c r="R65" s="131"/>
      <c r="S65" s="131"/>
      <c r="T65" s="131"/>
      <c r="U65" s="131"/>
      <c r="V65" s="131"/>
      <c r="W65" s="131"/>
      <c r="X65" s="131"/>
      <c r="Y65" s="131"/>
      <c r="Z65" s="278"/>
      <c r="AA65" s="278"/>
      <c r="AB65" s="278"/>
      <c r="AC65" s="278"/>
      <c r="AD65" s="278"/>
      <c r="AE65" s="278"/>
      <c r="AF65" s="278"/>
      <c r="AG65" s="278"/>
      <c r="AH65" s="278"/>
      <c r="AI65" s="278"/>
      <c r="AJ65" s="278"/>
      <c r="AK65" s="278"/>
      <c r="AL65" s="278"/>
      <c r="AM65" s="278"/>
      <c r="AN65" s="278"/>
      <c r="AO65" s="278"/>
      <c r="AP65" s="112"/>
    </row>
    <row r="66" ht="18.0" customHeight="1">
      <c r="A66" s="142" t="s">
        <v>1360</v>
      </c>
      <c r="B66" s="142"/>
      <c r="C66" s="142"/>
      <c r="D66" s="142"/>
      <c r="E66" s="132"/>
      <c r="F66" s="131"/>
      <c r="G66" s="131"/>
      <c r="H66" s="131"/>
      <c r="I66" s="219"/>
      <c r="J66" s="198"/>
      <c r="K66" s="131"/>
      <c r="L66" s="131"/>
      <c r="M66" s="131"/>
      <c r="N66" s="131"/>
      <c r="O66" s="131"/>
      <c r="P66" s="131"/>
      <c r="Q66" s="131"/>
      <c r="R66" s="131"/>
      <c r="S66" s="131"/>
      <c r="T66" s="131"/>
      <c r="U66" s="131"/>
      <c r="V66" s="131"/>
      <c r="W66" s="131"/>
      <c r="X66" s="131"/>
      <c r="Y66" s="131"/>
      <c r="Z66" s="278"/>
      <c r="AA66" s="278"/>
      <c r="AB66" s="278"/>
      <c r="AC66" s="278"/>
      <c r="AD66" s="278"/>
      <c r="AE66" s="278"/>
      <c r="AF66" s="278"/>
      <c r="AG66" s="278"/>
      <c r="AH66" s="278"/>
      <c r="AI66" s="278"/>
      <c r="AJ66" s="278"/>
      <c r="AK66" s="278"/>
      <c r="AL66" s="278"/>
      <c r="AM66" s="278"/>
      <c r="AN66" s="278"/>
      <c r="AO66" s="278"/>
      <c r="AP66" s="112"/>
    </row>
    <row r="67" ht="18.0" customHeight="1">
      <c r="A67" s="130" t="s">
        <v>1361</v>
      </c>
      <c r="B67" s="142"/>
      <c r="C67" s="142"/>
      <c r="D67" s="142"/>
      <c r="E67" s="132"/>
      <c r="F67" s="131"/>
      <c r="G67" s="131"/>
      <c r="H67" s="131"/>
      <c r="I67" s="219"/>
      <c r="J67" s="198"/>
      <c r="K67" s="131"/>
      <c r="L67" s="131"/>
      <c r="M67" s="131"/>
      <c r="N67" s="131"/>
      <c r="O67" s="131"/>
      <c r="P67" s="131"/>
      <c r="Q67" s="131"/>
      <c r="R67" s="131"/>
      <c r="S67" s="131"/>
      <c r="T67" s="131"/>
      <c r="U67" s="131"/>
      <c r="V67" s="131"/>
      <c r="W67" s="131"/>
      <c r="X67" s="131"/>
      <c r="Y67" s="131"/>
      <c r="Z67" s="278"/>
      <c r="AA67" s="278"/>
      <c r="AB67" s="278"/>
      <c r="AC67" s="278"/>
      <c r="AD67" s="278"/>
      <c r="AE67" s="278"/>
      <c r="AF67" s="278"/>
      <c r="AG67" s="278"/>
      <c r="AH67" s="278"/>
      <c r="AI67" s="278"/>
      <c r="AJ67" s="278"/>
      <c r="AK67" s="278"/>
      <c r="AL67" s="278"/>
      <c r="AM67" s="278"/>
      <c r="AN67" s="278"/>
      <c r="AO67" s="278"/>
      <c r="AP67" s="112"/>
    </row>
    <row r="68" ht="18.0" customHeight="1">
      <c r="A68" s="142" t="s">
        <v>1362</v>
      </c>
      <c r="B68" s="142"/>
      <c r="C68" s="142"/>
      <c r="D68" s="142"/>
      <c r="E68" s="132"/>
      <c r="F68" s="131"/>
      <c r="G68" s="131"/>
      <c r="H68" s="131"/>
      <c r="I68" s="219"/>
      <c r="J68" s="198"/>
      <c r="K68" s="131"/>
      <c r="L68" s="131"/>
      <c r="M68" s="131"/>
      <c r="N68" s="131"/>
      <c r="O68" s="131"/>
      <c r="P68" s="131"/>
      <c r="Q68" s="131"/>
      <c r="R68" s="131"/>
      <c r="S68" s="131"/>
      <c r="T68" s="131"/>
      <c r="U68" s="131"/>
      <c r="V68" s="131"/>
      <c r="W68" s="131"/>
      <c r="X68" s="131"/>
      <c r="Y68" s="131"/>
      <c r="Z68" s="278"/>
      <c r="AA68" s="278"/>
      <c r="AB68" s="278"/>
      <c r="AC68" s="278"/>
      <c r="AD68" s="278"/>
      <c r="AE68" s="278"/>
      <c r="AF68" s="278"/>
      <c r="AG68" s="278"/>
      <c r="AH68" s="278"/>
      <c r="AI68" s="278"/>
      <c r="AJ68" s="278"/>
      <c r="AK68" s="278"/>
      <c r="AL68" s="278"/>
      <c r="AM68" s="278"/>
      <c r="AN68" s="278"/>
      <c r="AO68" s="278"/>
      <c r="AP68" s="112"/>
    </row>
    <row r="69" ht="18.0" customHeight="1">
      <c r="A69" s="142"/>
      <c r="B69" s="142" t="s">
        <v>1363</v>
      </c>
      <c r="C69" s="142"/>
      <c r="D69" s="142"/>
      <c r="E69" s="132"/>
      <c r="F69" s="131"/>
      <c r="G69" s="131"/>
      <c r="H69" s="131"/>
      <c r="I69" s="219"/>
      <c r="J69" s="198"/>
      <c r="K69" s="131"/>
      <c r="L69" s="131"/>
      <c r="M69" s="131"/>
      <c r="N69" s="131"/>
      <c r="O69" s="131"/>
      <c r="P69" s="131"/>
      <c r="Q69" s="131"/>
      <c r="R69" s="131"/>
      <c r="S69" s="131"/>
      <c r="T69" s="131"/>
      <c r="U69" s="131"/>
      <c r="V69" s="131"/>
      <c r="W69" s="131"/>
      <c r="X69" s="131"/>
      <c r="Y69" s="131"/>
      <c r="Z69" s="278"/>
      <c r="AA69" s="278"/>
      <c r="AB69" s="278"/>
      <c r="AC69" s="278"/>
      <c r="AD69" s="278"/>
      <c r="AE69" s="278"/>
      <c r="AF69" s="278"/>
      <c r="AG69" s="278"/>
      <c r="AH69" s="278"/>
      <c r="AI69" s="278"/>
      <c r="AJ69" s="278"/>
      <c r="AK69" s="278"/>
      <c r="AL69" s="278"/>
      <c r="AM69" s="278"/>
      <c r="AN69" s="278"/>
      <c r="AO69" s="278"/>
      <c r="AP69" s="112"/>
    </row>
    <row r="70" ht="18.0" customHeight="1">
      <c r="A70" s="142"/>
      <c r="B70" s="142"/>
      <c r="C70" s="142"/>
      <c r="D70" s="142"/>
      <c r="E70" s="132"/>
      <c r="F70" s="131"/>
      <c r="G70" s="131"/>
      <c r="H70" s="131"/>
      <c r="I70" s="219"/>
      <c r="J70" s="198"/>
      <c r="K70" s="131"/>
      <c r="L70" s="131"/>
      <c r="M70" s="131"/>
      <c r="N70" s="131"/>
      <c r="O70" s="131"/>
      <c r="P70" s="131"/>
      <c r="Q70" s="131"/>
      <c r="R70" s="131"/>
      <c r="S70" s="131"/>
      <c r="T70" s="131"/>
      <c r="U70" s="131"/>
      <c r="V70" s="131"/>
      <c r="W70" s="131"/>
      <c r="X70" s="131"/>
      <c r="Y70" s="131"/>
      <c r="Z70" s="278"/>
      <c r="AA70" s="278"/>
      <c r="AB70" s="278"/>
      <c r="AC70" s="278"/>
      <c r="AD70" s="278"/>
      <c r="AE70" s="278"/>
      <c r="AF70" s="278"/>
      <c r="AG70" s="278"/>
      <c r="AH70" s="278"/>
      <c r="AI70" s="278"/>
      <c r="AJ70" s="278"/>
      <c r="AK70" s="278"/>
      <c r="AL70" s="278"/>
      <c r="AM70" s="278"/>
      <c r="AN70" s="278"/>
      <c r="AO70" s="278"/>
      <c r="AP70" s="112"/>
    </row>
    <row r="71" ht="18.0" customHeight="1">
      <c r="A71" s="142" t="s">
        <v>1364</v>
      </c>
      <c r="B71" s="142"/>
      <c r="C71" s="142"/>
      <c r="D71" s="142"/>
      <c r="E71" s="132"/>
      <c r="F71" s="131"/>
      <c r="G71" s="131"/>
      <c r="H71" s="131"/>
      <c r="I71" s="219"/>
      <c r="J71" s="198"/>
      <c r="K71" s="131"/>
      <c r="L71" s="131"/>
      <c r="M71" s="131"/>
      <c r="N71" s="131"/>
      <c r="O71" s="131"/>
      <c r="P71" s="131"/>
      <c r="Q71" s="131"/>
      <c r="R71" s="131"/>
      <c r="S71" s="131"/>
      <c r="T71" s="131"/>
      <c r="U71" s="131"/>
      <c r="V71" s="131"/>
      <c r="W71" s="131"/>
      <c r="X71" s="131"/>
      <c r="Y71" s="131"/>
      <c r="Z71" s="278"/>
      <c r="AA71" s="278"/>
      <c r="AB71" s="278"/>
      <c r="AC71" s="278"/>
      <c r="AD71" s="278"/>
      <c r="AE71" s="278"/>
      <c r="AF71" s="278"/>
      <c r="AG71" s="278"/>
      <c r="AH71" s="278"/>
      <c r="AI71" s="278"/>
      <c r="AJ71" s="278"/>
      <c r="AK71" s="278"/>
      <c r="AL71" s="278"/>
      <c r="AM71" s="278"/>
      <c r="AN71" s="278"/>
      <c r="AO71" s="278"/>
      <c r="AP71" s="112"/>
    </row>
    <row r="72" ht="18.0" customHeight="1">
      <c r="A72" s="142"/>
      <c r="B72" s="142"/>
      <c r="C72" s="142"/>
      <c r="D72" s="142"/>
      <c r="E72" s="132"/>
      <c r="F72" s="131"/>
      <c r="G72" s="131"/>
      <c r="H72" s="131"/>
      <c r="I72" s="219"/>
      <c r="J72" s="198"/>
      <c r="K72" s="131"/>
      <c r="L72" s="131"/>
      <c r="M72" s="131"/>
      <c r="N72" s="131"/>
      <c r="O72" s="131"/>
      <c r="P72" s="131"/>
      <c r="Q72" s="131"/>
      <c r="R72" s="131"/>
      <c r="S72" s="131"/>
      <c r="T72" s="131"/>
      <c r="U72" s="131"/>
      <c r="V72" s="131"/>
      <c r="W72" s="131"/>
      <c r="X72" s="131"/>
      <c r="Y72" s="131"/>
      <c r="Z72" s="278"/>
      <c r="AA72" s="278"/>
      <c r="AB72" s="278"/>
      <c r="AC72" s="278"/>
      <c r="AD72" s="278"/>
      <c r="AE72" s="278"/>
      <c r="AF72" s="278"/>
      <c r="AG72" s="278"/>
      <c r="AH72" s="278"/>
      <c r="AI72" s="278"/>
      <c r="AJ72" s="278"/>
      <c r="AK72" s="278"/>
      <c r="AL72" s="278"/>
      <c r="AM72" s="278"/>
      <c r="AN72" s="278"/>
      <c r="AO72" s="278"/>
      <c r="AP72" s="112"/>
    </row>
    <row r="73" ht="18.0" customHeight="1">
      <c r="A73" s="142" t="s">
        <v>1365</v>
      </c>
      <c r="B73" s="142"/>
      <c r="C73" s="142"/>
      <c r="D73" s="142"/>
      <c r="E73" s="132"/>
      <c r="F73" s="131"/>
      <c r="G73" s="131"/>
      <c r="H73" s="131"/>
      <c r="I73" s="219"/>
      <c r="J73" s="198"/>
      <c r="K73" s="131"/>
      <c r="L73" s="131"/>
      <c r="M73" s="131"/>
      <c r="N73" s="131"/>
      <c r="O73" s="131"/>
      <c r="P73" s="131"/>
      <c r="Q73" s="131"/>
      <c r="R73" s="131"/>
      <c r="S73" s="131"/>
      <c r="T73" s="131"/>
      <c r="U73" s="131"/>
      <c r="V73" s="131"/>
      <c r="W73" s="131"/>
      <c r="X73" s="131"/>
      <c r="Y73" s="131"/>
      <c r="Z73" s="278"/>
      <c r="AA73" s="278"/>
      <c r="AB73" s="278"/>
      <c r="AC73" s="278"/>
      <c r="AD73" s="278"/>
      <c r="AE73" s="278"/>
      <c r="AF73" s="278"/>
      <c r="AG73" s="278"/>
      <c r="AH73" s="278"/>
      <c r="AI73" s="278"/>
      <c r="AJ73" s="278"/>
      <c r="AK73" s="278"/>
      <c r="AL73" s="278"/>
      <c r="AM73" s="278"/>
      <c r="AN73" s="278"/>
      <c r="AO73" s="278"/>
      <c r="AP73" s="112"/>
    </row>
    <row r="74" ht="18.0" customHeight="1">
      <c r="A74" s="142"/>
      <c r="B74" s="142"/>
      <c r="C74" s="142"/>
      <c r="D74" s="142"/>
      <c r="E74" s="132"/>
      <c r="F74" s="131"/>
      <c r="G74" s="131"/>
      <c r="H74" s="131"/>
      <c r="I74" s="219"/>
      <c r="J74" s="198"/>
      <c r="K74" s="131"/>
      <c r="L74" s="131"/>
      <c r="M74" s="131"/>
      <c r="N74" s="131"/>
      <c r="O74" s="131"/>
      <c r="P74" s="131"/>
      <c r="Q74" s="131"/>
      <c r="R74" s="131"/>
      <c r="S74" s="131"/>
      <c r="T74" s="131"/>
      <c r="U74" s="131"/>
      <c r="V74" s="131"/>
      <c r="W74" s="131"/>
      <c r="X74" s="131"/>
      <c r="Y74" s="131"/>
      <c r="Z74" s="278"/>
      <c r="AA74" s="278"/>
      <c r="AB74" s="278"/>
      <c r="AC74" s="278"/>
      <c r="AD74" s="278"/>
      <c r="AE74" s="278"/>
      <c r="AF74" s="278"/>
      <c r="AG74" s="278"/>
      <c r="AH74" s="278"/>
      <c r="AI74" s="278"/>
      <c r="AJ74" s="278"/>
      <c r="AK74" s="278"/>
      <c r="AL74" s="278"/>
      <c r="AM74" s="278"/>
      <c r="AN74" s="278"/>
      <c r="AO74" s="278"/>
      <c r="AP74" s="112"/>
    </row>
    <row r="75" ht="18.0" customHeight="1">
      <c r="A75" s="142" t="s">
        <v>1366</v>
      </c>
      <c r="B75" s="142"/>
      <c r="C75" s="142"/>
      <c r="D75" s="142"/>
      <c r="E75" s="132"/>
      <c r="F75" s="131"/>
      <c r="G75" s="131"/>
      <c r="H75" s="131"/>
      <c r="I75" s="219"/>
      <c r="J75" s="198"/>
      <c r="K75" s="131"/>
      <c r="L75" s="131"/>
      <c r="M75" s="131"/>
      <c r="N75" s="131"/>
      <c r="O75" s="131"/>
      <c r="P75" s="131"/>
      <c r="Q75" s="131"/>
      <c r="R75" s="131"/>
      <c r="S75" s="131"/>
      <c r="T75" s="131"/>
      <c r="U75" s="131"/>
      <c r="V75" s="131"/>
      <c r="W75" s="131"/>
      <c r="X75" s="131"/>
      <c r="Y75" s="131"/>
      <c r="Z75" s="278"/>
      <c r="AA75" s="278"/>
      <c r="AB75" s="278"/>
      <c r="AC75" s="278"/>
      <c r="AD75" s="278"/>
      <c r="AE75" s="278"/>
      <c r="AF75" s="278"/>
      <c r="AG75" s="278"/>
      <c r="AH75" s="278"/>
      <c r="AI75" s="278"/>
      <c r="AJ75" s="278"/>
      <c r="AK75" s="278"/>
      <c r="AL75" s="278"/>
      <c r="AM75" s="278"/>
      <c r="AN75" s="278"/>
      <c r="AO75" s="278"/>
      <c r="AP75" s="112"/>
    </row>
    <row r="76" ht="18.0" customHeight="1">
      <c r="A76" s="142"/>
      <c r="B76" s="142" t="s">
        <v>1367</v>
      </c>
      <c r="C76" s="142"/>
      <c r="D76" s="142"/>
      <c r="E76" s="132"/>
      <c r="F76" s="131"/>
      <c r="G76" s="131"/>
      <c r="H76" s="131"/>
      <c r="I76" s="219"/>
      <c r="J76" s="198"/>
      <c r="K76" s="131"/>
      <c r="L76" s="131"/>
      <c r="M76" s="131"/>
      <c r="N76" s="131"/>
      <c r="O76" s="131"/>
      <c r="P76" s="131"/>
      <c r="Q76" s="131"/>
      <c r="R76" s="131"/>
      <c r="S76" s="131"/>
      <c r="T76" s="131"/>
      <c r="U76" s="131"/>
      <c r="V76" s="131"/>
      <c r="W76" s="131"/>
      <c r="X76" s="131"/>
      <c r="Y76" s="131"/>
      <c r="Z76" s="278"/>
      <c r="AA76" s="278"/>
      <c r="AB76" s="278"/>
      <c r="AC76" s="278"/>
      <c r="AD76" s="278"/>
      <c r="AE76" s="278"/>
      <c r="AF76" s="278"/>
      <c r="AG76" s="278"/>
      <c r="AH76" s="278"/>
      <c r="AI76" s="278"/>
      <c r="AJ76" s="278"/>
      <c r="AK76" s="278"/>
      <c r="AL76" s="278"/>
      <c r="AM76" s="278"/>
      <c r="AN76" s="278"/>
      <c r="AO76" s="278"/>
      <c r="AP76" s="112"/>
    </row>
    <row r="77" ht="18.0" customHeight="1">
      <c r="A77" s="112"/>
      <c r="B77" s="142" t="s">
        <v>1368</v>
      </c>
      <c r="C77" s="142"/>
      <c r="D77" s="142"/>
      <c r="E77" s="132"/>
      <c r="F77" s="131"/>
      <c r="G77" s="131"/>
      <c r="H77" s="131"/>
      <c r="I77" s="219"/>
      <c r="J77" s="198"/>
      <c r="K77" s="131"/>
      <c r="L77" s="131"/>
      <c r="M77" s="131"/>
      <c r="N77" s="131"/>
      <c r="O77" s="131"/>
      <c r="P77" s="131"/>
      <c r="Q77" s="131"/>
      <c r="R77" s="131"/>
      <c r="S77" s="131"/>
      <c r="T77" s="131"/>
      <c r="U77" s="131"/>
      <c r="V77" s="131"/>
      <c r="W77" s="131"/>
      <c r="X77" s="131"/>
      <c r="Y77" s="131"/>
      <c r="Z77" s="278"/>
      <c r="AA77" s="278"/>
      <c r="AB77" s="278"/>
      <c r="AC77" s="278"/>
      <c r="AD77" s="278"/>
      <c r="AE77" s="278"/>
      <c r="AF77" s="278"/>
      <c r="AG77" s="278"/>
      <c r="AH77" s="278"/>
      <c r="AI77" s="278"/>
      <c r="AJ77" s="278"/>
      <c r="AK77" s="278"/>
      <c r="AL77" s="278"/>
      <c r="AM77" s="278"/>
      <c r="AN77" s="278"/>
      <c r="AO77" s="278"/>
      <c r="AP77" s="112"/>
    </row>
    <row r="78" ht="18.0" customHeight="1">
      <c r="A78" s="142"/>
      <c r="B78" s="142" t="s">
        <v>1369</v>
      </c>
      <c r="C78" s="142"/>
      <c r="D78" s="142"/>
      <c r="E78" s="132"/>
      <c r="F78" s="131"/>
      <c r="G78" s="131"/>
      <c r="H78" s="131"/>
      <c r="I78" s="219"/>
      <c r="J78" s="198"/>
      <c r="K78" s="131"/>
      <c r="L78" s="131"/>
      <c r="M78" s="131"/>
      <c r="N78" s="131"/>
      <c r="O78" s="131"/>
      <c r="P78" s="131"/>
      <c r="Q78" s="131"/>
      <c r="R78" s="131"/>
      <c r="S78" s="131"/>
      <c r="T78" s="131"/>
      <c r="U78" s="131"/>
      <c r="V78" s="131"/>
      <c r="W78" s="131"/>
      <c r="X78" s="131"/>
      <c r="Y78" s="131"/>
      <c r="Z78" s="278"/>
      <c r="AA78" s="278"/>
      <c r="AB78" s="278"/>
      <c r="AC78" s="278"/>
      <c r="AD78" s="278"/>
      <c r="AE78" s="278"/>
      <c r="AF78" s="278"/>
      <c r="AG78" s="278"/>
      <c r="AH78" s="278"/>
      <c r="AI78" s="278"/>
      <c r="AJ78" s="278"/>
      <c r="AK78" s="278"/>
      <c r="AL78" s="278"/>
      <c r="AM78" s="278"/>
      <c r="AN78" s="278"/>
      <c r="AO78" s="278"/>
      <c r="AP78" s="112"/>
    </row>
    <row r="79" ht="18.0" customHeight="1">
      <c r="A79" s="142"/>
      <c r="B79" s="142" t="s">
        <v>1370</v>
      </c>
      <c r="C79" s="142"/>
      <c r="D79" s="142"/>
      <c r="E79" s="132"/>
      <c r="F79" s="131"/>
      <c r="G79" s="131"/>
      <c r="H79" s="131"/>
      <c r="I79" s="219"/>
      <c r="J79" s="198"/>
      <c r="K79" s="131"/>
      <c r="L79" s="131"/>
      <c r="M79" s="131"/>
      <c r="N79" s="131"/>
      <c r="O79" s="131"/>
      <c r="P79" s="131"/>
      <c r="Q79" s="131"/>
      <c r="R79" s="131"/>
      <c r="S79" s="131"/>
      <c r="T79" s="131"/>
      <c r="U79" s="131"/>
      <c r="V79" s="131"/>
      <c r="W79" s="131"/>
      <c r="X79" s="131"/>
      <c r="Y79" s="131"/>
      <c r="Z79" s="278"/>
      <c r="AA79" s="278"/>
      <c r="AB79" s="278"/>
      <c r="AC79" s="278"/>
      <c r="AD79" s="278"/>
      <c r="AE79" s="278"/>
      <c r="AF79" s="278"/>
      <c r="AG79" s="278"/>
      <c r="AH79" s="278"/>
      <c r="AI79" s="278"/>
      <c r="AJ79" s="278"/>
      <c r="AK79" s="278"/>
      <c r="AL79" s="278"/>
      <c r="AM79" s="278"/>
      <c r="AN79" s="278"/>
      <c r="AO79" s="278"/>
      <c r="AP79" s="112"/>
    </row>
    <row r="80" ht="18.0" customHeight="1">
      <c r="A80" s="142"/>
      <c r="B80" s="142"/>
      <c r="C80" s="142"/>
      <c r="D80" s="142"/>
      <c r="E80" s="132"/>
      <c r="F80" s="131"/>
      <c r="G80" s="131"/>
      <c r="H80" s="131"/>
      <c r="I80" s="219"/>
      <c r="J80" s="198"/>
      <c r="K80" s="131"/>
      <c r="L80" s="131"/>
      <c r="M80" s="131"/>
      <c r="N80" s="131"/>
      <c r="O80" s="131"/>
      <c r="P80" s="131"/>
      <c r="Q80" s="131"/>
      <c r="R80" s="131"/>
      <c r="S80" s="131"/>
      <c r="T80" s="131"/>
      <c r="U80" s="131"/>
      <c r="V80" s="131"/>
      <c r="W80" s="131"/>
      <c r="X80" s="131"/>
      <c r="Y80" s="131"/>
      <c r="Z80" s="278"/>
      <c r="AA80" s="278"/>
      <c r="AB80" s="278"/>
      <c r="AC80" s="278"/>
      <c r="AD80" s="278"/>
      <c r="AE80" s="278"/>
      <c r="AF80" s="278"/>
      <c r="AG80" s="278"/>
      <c r="AH80" s="278"/>
      <c r="AI80" s="278"/>
      <c r="AJ80" s="278"/>
      <c r="AK80" s="278"/>
      <c r="AL80" s="278"/>
      <c r="AM80" s="278"/>
      <c r="AN80" s="278"/>
      <c r="AO80" s="278"/>
      <c r="AP80" s="112"/>
    </row>
    <row r="81" ht="18.0" customHeight="1">
      <c r="A81" s="142" t="s">
        <v>1371</v>
      </c>
      <c r="B81" s="142"/>
      <c r="C81" s="142"/>
      <c r="D81" s="142"/>
      <c r="E81" s="132"/>
      <c r="F81" s="131"/>
      <c r="G81" s="131"/>
      <c r="H81" s="131"/>
      <c r="I81" s="219"/>
      <c r="J81" s="198"/>
      <c r="K81" s="131"/>
      <c r="L81" s="131"/>
      <c r="M81" s="131"/>
      <c r="N81" s="131"/>
      <c r="O81" s="131"/>
      <c r="P81" s="131"/>
      <c r="Q81" s="131"/>
      <c r="R81" s="131"/>
      <c r="S81" s="131"/>
      <c r="T81" s="131"/>
      <c r="U81" s="131"/>
      <c r="V81" s="131"/>
      <c r="W81" s="131"/>
      <c r="X81" s="131"/>
      <c r="Y81" s="131"/>
      <c r="Z81" s="278"/>
      <c r="AA81" s="278"/>
      <c r="AB81" s="278"/>
      <c r="AC81" s="278"/>
      <c r="AD81" s="278"/>
      <c r="AE81" s="278"/>
      <c r="AF81" s="278"/>
      <c r="AG81" s="278"/>
      <c r="AH81" s="278"/>
      <c r="AI81" s="278"/>
      <c r="AJ81" s="278"/>
      <c r="AK81" s="278"/>
      <c r="AL81" s="278"/>
      <c r="AM81" s="278"/>
      <c r="AN81" s="278"/>
      <c r="AO81" s="278"/>
      <c r="AP81" s="112"/>
    </row>
    <row r="82" ht="18.0" customHeight="1">
      <c r="A82" s="142"/>
      <c r="B82" s="142" t="s">
        <v>1372</v>
      </c>
      <c r="C82" s="142"/>
      <c r="D82" s="142"/>
      <c r="E82" s="132"/>
      <c r="F82" s="131"/>
      <c r="G82" s="131"/>
      <c r="H82" s="131"/>
      <c r="I82" s="219"/>
      <c r="J82" s="198"/>
      <c r="K82" s="131"/>
      <c r="L82" s="131"/>
      <c r="M82" s="131"/>
      <c r="N82" s="131"/>
      <c r="O82" s="131"/>
      <c r="P82" s="131"/>
      <c r="Q82" s="131"/>
      <c r="R82" s="131"/>
      <c r="S82" s="131"/>
      <c r="T82" s="131"/>
      <c r="U82" s="131"/>
      <c r="V82" s="131"/>
      <c r="W82" s="131"/>
      <c r="X82" s="131"/>
      <c r="Y82" s="131"/>
      <c r="Z82" s="278"/>
      <c r="AA82" s="278"/>
      <c r="AB82" s="278"/>
      <c r="AC82" s="278"/>
      <c r="AD82" s="278"/>
      <c r="AE82" s="278"/>
      <c r="AF82" s="278"/>
      <c r="AG82" s="278"/>
      <c r="AH82" s="278"/>
      <c r="AI82" s="278"/>
      <c r="AJ82" s="278"/>
      <c r="AK82" s="278"/>
      <c r="AL82" s="278"/>
      <c r="AM82" s="278"/>
      <c r="AN82" s="278"/>
      <c r="AO82" s="278"/>
      <c r="AP82" s="112"/>
    </row>
    <row r="83" ht="18.0" customHeight="1">
      <c r="A83" s="112"/>
      <c r="B83" s="142" t="s">
        <v>1373</v>
      </c>
      <c r="C83" s="142"/>
      <c r="D83" s="142"/>
      <c r="E83" s="132"/>
      <c r="F83" s="131"/>
      <c r="G83" s="131"/>
      <c r="H83" s="131"/>
      <c r="I83" s="219"/>
      <c r="J83" s="198"/>
      <c r="K83" s="131"/>
      <c r="L83" s="131"/>
      <c r="M83" s="131"/>
      <c r="N83" s="131"/>
      <c r="O83" s="131"/>
      <c r="P83" s="131"/>
      <c r="Q83" s="131"/>
      <c r="R83" s="131"/>
      <c r="S83" s="131"/>
      <c r="T83" s="131"/>
      <c r="U83" s="131"/>
      <c r="V83" s="131"/>
      <c r="W83" s="131"/>
      <c r="X83" s="131"/>
      <c r="Y83" s="131"/>
      <c r="Z83" s="278"/>
      <c r="AA83" s="278"/>
      <c r="AB83" s="278"/>
      <c r="AC83" s="278"/>
      <c r="AD83" s="278"/>
      <c r="AE83" s="278"/>
      <c r="AF83" s="278"/>
      <c r="AG83" s="278"/>
      <c r="AH83" s="278"/>
      <c r="AI83" s="278"/>
      <c r="AJ83" s="278"/>
      <c r="AK83" s="278"/>
      <c r="AL83" s="278"/>
      <c r="AM83" s="278"/>
      <c r="AN83" s="278"/>
      <c r="AO83" s="278"/>
      <c r="AP83" s="112"/>
    </row>
    <row r="84" ht="18.0" customHeight="1">
      <c r="A84" s="142"/>
      <c r="B84" s="142"/>
      <c r="C84" s="142"/>
      <c r="D84" s="142"/>
      <c r="E84" s="132"/>
      <c r="F84" s="131"/>
      <c r="G84" s="131"/>
      <c r="H84" s="131"/>
      <c r="I84" s="219"/>
      <c r="J84" s="198"/>
      <c r="K84" s="131"/>
      <c r="L84" s="131"/>
      <c r="M84" s="131"/>
      <c r="N84" s="131"/>
      <c r="O84" s="131"/>
      <c r="P84" s="131"/>
      <c r="Q84" s="131"/>
      <c r="R84" s="131"/>
      <c r="S84" s="131"/>
      <c r="T84" s="131"/>
      <c r="U84" s="131"/>
      <c r="V84" s="131"/>
      <c r="W84" s="131"/>
      <c r="X84" s="131"/>
      <c r="Y84" s="131"/>
      <c r="Z84" s="278"/>
      <c r="AA84" s="278"/>
      <c r="AB84" s="278"/>
      <c r="AC84" s="278"/>
      <c r="AD84" s="278"/>
      <c r="AE84" s="278"/>
      <c r="AF84" s="278"/>
      <c r="AG84" s="278"/>
      <c r="AH84" s="278"/>
      <c r="AI84" s="278"/>
      <c r="AJ84" s="278"/>
      <c r="AK84" s="278"/>
      <c r="AL84" s="278"/>
      <c r="AM84" s="278"/>
      <c r="AN84" s="278"/>
      <c r="AO84" s="278"/>
      <c r="AP84" s="112"/>
    </row>
    <row r="85" ht="18.0" customHeight="1">
      <c r="A85" s="142" t="s">
        <v>1374</v>
      </c>
      <c r="B85" s="142"/>
      <c r="C85" s="142"/>
      <c r="D85" s="142"/>
      <c r="E85" s="132"/>
      <c r="F85" s="131"/>
      <c r="G85" s="131"/>
      <c r="H85" s="131"/>
      <c r="I85" s="219"/>
      <c r="J85" s="198"/>
      <c r="K85" s="131"/>
      <c r="L85" s="131"/>
      <c r="M85" s="131"/>
      <c r="N85" s="131"/>
      <c r="O85" s="131"/>
      <c r="P85" s="131"/>
      <c r="Q85" s="131"/>
      <c r="R85" s="131"/>
      <c r="S85" s="131"/>
      <c r="T85" s="131"/>
      <c r="U85" s="131"/>
      <c r="V85" s="131"/>
      <c r="W85" s="131"/>
      <c r="X85" s="131"/>
      <c r="Y85" s="131"/>
      <c r="Z85" s="278"/>
      <c r="AA85" s="278"/>
      <c r="AB85" s="278"/>
      <c r="AC85" s="278"/>
      <c r="AD85" s="278"/>
      <c r="AE85" s="278"/>
      <c r="AF85" s="278"/>
      <c r="AG85" s="278"/>
      <c r="AH85" s="278"/>
      <c r="AI85" s="278"/>
      <c r="AJ85" s="278"/>
      <c r="AK85" s="278"/>
      <c r="AL85" s="278"/>
      <c r="AM85" s="278"/>
      <c r="AN85" s="278"/>
      <c r="AO85" s="278"/>
      <c r="AP85" s="112"/>
    </row>
    <row r="86" ht="18.0" customHeight="1">
      <c r="A86" s="142"/>
      <c r="B86" s="142" t="s">
        <v>1375</v>
      </c>
      <c r="C86" s="142"/>
      <c r="D86" s="142"/>
      <c r="E86" s="132"/>
      <c r="F86" s="131"/>
      <c r="G86" s="131"/>
      <c r="H86" s="131"/>
      <c r="I86" s="219"/>
      <c r="J86" s="198"/>
      <c r="K86" s="131"/>
      <c r="L86" s="131"/>
      <c r="M86" s="131"/>
      <c r="N86" s="131"/>
      <c r="O86" s="131"/>
      <c r="P86" s="131"/>
      <c r="Q86" s="131"/>
      <c r="R86" s="131"/>
      <c r="S86" s="131"/>
      <c r="T86" s="131"/>
      <c r="U86" s="131"/>
      <c r="V86" s="131"/>
      <c r="W86" s="131"/>
      <c r="X86" s="131"/>
      <c r="Y86" s="131"/>
      <c r="Z86" s="278"/>
      <c r="AA86" s="278"/>
      <c r="AB86" s="278"/>
      <c r="AC86" s="278"/>
      <c r="AD86" s="278"/>
      <c r="AE86" s="278"/>
      <c r="AF86" s="278"/>
      <c r="AG86" s="278"/>
      <c r="AH86" s="278"/>
      <c r="AI86" s="278"/>
      <c r="AJ86" s="278"/>
      <c r="AK86" s="278"/>
      <c r="AL86" s="278"/>
      <c r="AM86" s="278"/>
      <c r="AN86" s="278"/>
      <c r="AO86" s="278"/>
      <c r="AP86" s="112"/>
    </row>
    <row r="87" ht="18.0" customHeight="1">
      <c r="A87" s="142"/>
      <c r="B87" s="142" t="s">
        <v>1376</v>
      </c>
      <c r="C87" s="142"/>
      <c r="D87" s="142"/>
      <c r="E87" s="132"/>
      <c r="F87" s="131"/>
      <c r="G87" s="131"/>
      <c r="H87" s="131"/>
      <c r="I87" s="219"/>
      <c r="J87" s="198"/>
      <c r="K87" s="131"/>
      <c r="L87" s="131"/>
      <c r="M87" s="131"/>
      <c r="N87" s="131"/>
      <c r="O87" s="131"/>
      <c r="P87" s="131"/>
      <c r="Q87" s="131"/>
      <c r="R87" s="131"/>
      <c r="S87" s="131"/>
      <c r="T87" s="131"/>
      <c r="U87" s="131"/>
      <c r="V87" s="131"/>
      <c r="W87" s="131"/>
      <c r="X87" s="131"/>
      <c r="Y87" s="131"/>
      <c r="Z87" s="278"/>
      <c r="AA87" s="278"/>
      <c r="AB87" s="278"/>
      <c r="AC87" s="278"/>
      <c r="AD87" s="278"/>
      <c r="AE87" s="278"/>
      <c r="AF87" s="278"/>
      <c r="AG87" s="278"/>
      <c r="AH87" s="278"/>
      <c r="AI87" s="278"/>
      <c r="AJ87" s="278"/>
      <c r="AK87" s="278"/>
      <c r="AL87" s="278"/>
      <c r="AM87" s="278"/>
      <c r="AN87" s="278"/>
      <c r="AO87" s="278"/>
      <c r="AP87" s="112"/>
    </row>
    <row r="88" ht="18.0" customHeight="1">
      <c r="A88" s="142"/>
      <c r="B88" s="142"/>
      <c r="C88" s="142" t="s">
        <v>1377</v>
      </c>
      <c r="D88" s="142"/>
      <c r="E88" s="132"/>
      <c r="F88" s="131"/>
      <c r="G88" s="131"/>
      <c r="H88" s="131"/>
      <c r="I88" s="219"/>
      <c r="J88" s="198"/>
      <c r="K88" s="131"/>
      <c r="L88" s="131"/>
      <c r="M88" s="131"/>
      <c r="N88" s="131"/>
      <c r="O88" s="131"/>
      <c r="P88" s="131"/>
      <c r="Q88" s="131"/>
      <c r="R88" s="131"/>
      <c r="S88" s="131"/>
      <c r="T88" s="131"/>
      <c r="U88" s="131"/>
      <c r="V88" s="131"/>
      <c r="W88" s="131"/>
      <c r="X88" s="131"/>
      <c r="Y88" s="131"/>
      <c r="Z88" s="278"/>
      <c r="AA88" s="278"/>
      <c r="AB88" s="278"/>
      <c r="AC88" s="278"/>
      <c r="AD88" s="278"/>
      <c r="AE88" s="278"/>
      <c r="AF88" s="278"/>
      <c r="AG88" s="278"/>
      <c r="AH88" s="278"/>
      <c r="AI88" s="278"/>
      <c r="AJ88" s="278"/>
      <c r="AK88" s="278"/>
      <c r="AL88" s="278"/>
      <c r="AM88" s="278"/>
      <c r="AN88" s="278"/>
      <c r="AO88" s="278"/>
      <c r="AP88" s="112"/>
    </row>
    <row r="89" ht="18.0" customHeight="1">
      <c r="A89" s="142"/>
      <c r="B89" s="142"/>
      <c r="C89" s="142" t="s">
        <v>1378</v>
      </c>
      <c r="D89" s="142"/>
      <c r="E89" s="132"/>
      <c r="F89" s="131"/>
      <c r="G89" s="131"/>
      <c r="H89" s="131"/>
      <c r="I89" s="219"/>
      <c r="J89" s="198"/>
      <c r="K89" s="131"/>
      <c r="L89" s="131"/>
      <c r="M89" s="131"/>
      <c r="N89" s="131"/>
      <c r="O89" s="131"/>
      <c r="P89" s="131"/>
      <c r="Q89" s="131"/>
      <c r="R89" s="131"/>
      <c r="S89" s="131"/>
      <c r="T89" s="131"/>
      <c r="U89" s="131"/>
      <c r="V89" s="131"/>
      <c r="W89" s="131"/>
      <c r="X89" s="131"/>
      <c r="Y89" s="131"/>
      <c r="Z89" s="278"/>
      <c r="AA89" s="278"/>
      <c r="AB89" s="278"/>
      <c r="AC89" s="278"/>
      <c r="AD89" s="278"/>
      <c r="AE89" s="278"/>
      <c r="AF89" s="278"/>
      <c r="AG89" s="278"/>
      <c r="AH89" s="278"/>
      <c r="AI89" s="278"/>
      <c r="AJ89" s="278"/>
      <c r="AK89" s="278"/>
      <c r="AL89" s="278"/>
      <c r="AM89" s="278"/>
      <c r="AN89" s="278"/>
      <c r="AO89" s="278"/>
      <c r="AP89" s="112"/>
    </row>
    <row r="90" ht="18.0" customHeight="1">
      <c r="A90" s="142"/>
      <c r="B90" s="142"/>
      <c r="C90" s="142" t="s">
        <v>1379</v>
      </c>
      <c r="D90" s="142"/>
      <c r="E90" s="132"/>
      <c r="F90" s="131"/>
      <c r="G90" s="131"/>
      <c r="H90" s="131"/>
      <c r="I90" s="219"/>
      <c r="J90" s="198"/>
      <c r="K90" s="131"/>
      <c r="L90" s="131"/>
      <c r="M90" s="131"/>
      <c r="N90" s="131"/>
      <c r="O90" s="131"/>
      <c r="P90" s="131"/>
      <c r="Q90" s="131"/>
      <c r="R90" s="131"/>
      <c r="S90" s="131"/>
      <c r="T90" s="131"/>
      <c r="U90" s="131"/>
      <c r="V90" s="131"/>
      <c r="W90" s="131"/>
      <c r="X90" s="131"/>
      <c r="Y90" s="131"/>
      <c r="Z90" s="278"/>
      <c r="AA90" s="278"/>
      <c r="AB90" s="278"/>
      <c r="AC90" s="278"/>
      <c r="AD90" s="278"/>
      <c r="AE90" s="278"/>
      <c r="AF90" s="278"/>
      <c r="AG90" s="278"/>
      <c r="AH90" s="278"/>
      <c r="AI90" s="278"/>
      <c r="AJ90" s="278"/>
      <c r="AK90" s="278"/>
      <c r="AL90" s="278"/>
      <c r="AM90" s="278"/>
      <c r="AN90" s="278"/>
      <c r="AO90" s="278"/>
      <c r="AP90" s="112"/>
    </row>
    <row r="91" ht="18.0" customHeight="1">
      <c r="A91" s="142"/>
      <c r="B91" s="142"/>
      <c r="C91" s="142" t="s">
        <v>1380</v>
      </c>
      <c r="D91" s="142"/>
      <c r="E91" s="132"/>
      <c r="F91" s="131"/>
      <c r="G91" s="131"/>
      <c r="H91" s="131"/>
      <c r="I91" s="219"/>
      <c r="J91" s="198"/>
      <c r="K91" s="131"/>
      <c r="L91" s="131"/>
      <c r="M91" s="131"/>
      <c r="N91" s="131"/>
      <c r="O91" s="131"/>
      <c r="P91" s="131"/>
      <c r="Q91" s="131"/>
      <c r="R91" s="131"/>
      <c r="S91" s="131"/>
      <c r="T91" s="131"/>
      <c r="U91" s="131"/>
      <c r="V91" s="131"/>
      <c r="W91" s="131"/>
      <c r="X91" s="131"/>
      <c r="Y91" s="131"/>
      <c r="Z91" s="278"/>
      <c r="AA91" s="278"/>
      <c r="AB91" s="278"/>
      <c r="AC91" s="278"/>
      <c r="AD91" s="278"/>
      <c r="AE91" s="278"/>
      <c r="AF91" s="278"/>
      <c r="AG91" s="278"/>
      <c r="AH91" s="278"/>
      <c r="AI91" s="278"/>
      <c r="AJ91" s="278"/>
      <c r="AK91" s="278"/>
      <c r="AL91" s="278"/>
      <c r="AM91" s="278"/>
      <c r="AN91" s="278"/>
      <c r="AO91" s="278"/>
      <c r="AP91" s="112"/>
    </row>
    <row r="92" ht="18.0" customHeight="1">
      <c r="A92" s="142"/>
      <c r="B92" s="142"/>
      <c r="C92" s="142" t="s">
        <v>1381</v>
      </c>
      <c r="D92" s="142"/>
      <c r="E92" s="132"/>
      <c r="F92" s="131"/>
      <c r="G92" s="131"/>
      <c r="H92" s="131"/>
      <c r="I92" s="219"/>
      <c r="J92" s="198"/>
      <c r="K92" s="131"/>
      <c r="L92" s="131"/>
      <c r="M92" s="131"/>
      <c r="N92" s="131"/>
      <c r="O92" s="131"/>
      <c r="P92" s="131"/>
      <c r="Q92" s="131"/>
      <c r="R92" s="131"/>
      <c r="S92" s="131"/>
      <c r="T92" s="131"/>
      <c r="U92" s="131"/>
      <c r="V92" s="131"/>
      <c r="W92" s="131"/>
      <c r="X92" s="131"/>
      <c r="Y92" s="131"/>
      <c r="Z92" s="278"/>
      <c r="AA92" s="278"/>
      <c r="AB92" s="278"/>
      <c r="AC92" s="278"/>
      <c r="AD92" s="278"/>
      <c r="AE92" s="278"/>
      <c r="AF92" s="278"/>
      <c r="AG92" s="278"/>
      <c r="AH92" s="278"/>
      <c r="AI92" s="278"/>
      <c r="AJ92" s="278"/>
      <c r="AK92" s="278"/>
      <c r="AL92" s="278"/>
      <c r="AM92" s="278"/>
      <c r="AN92" s="278"/>
      <c r="AO92" s="278"/>
      <c r="AP92" s="112"/>
    </row>
    <row r="93" ht="18.0" customHeight="1">
      <c r="A93" s="142"/>
      <c r="B93" s="142"/>
      <c r="C93" s="142" t="s">
        <v>1382</v>
      </c>
      <c r="D93" s="142"/>
      <c r="E93" s="132"/>
      <c r="F93" s="131"/>
      <c r="G93" s="131"/>
      <c r="H93" s="131"/>
      <c r="I93" s="219"/>
      <c r="J93" s="198"/>
      <c r="K93" s="131"/>
      <c r="L93" s="131"/>
      <c r="M93" s="131"/>
      <c r="N93" s="131"/>
      <c r="O93" s="131"/>
      <c r="P93" s="131"/>
      <c r="Q93" s="131"/>
      <c r="R93" s="131"/>
      <c r="S93" s="131"/>
      <c r="T93" s="131"/>
      <c r="U93" s="131"/>
      <c r="V93" s="131"/>
      <c r="W93" s="131"/>
      <c r="X93" s="131"/>
      <c r="Y93" s="131"/>
      <c r="Z93" s="278"/>
      <c r="AA93" s="278"/>
      <c r="AB93" s="278"/>
      <c r="AC93" s="278"/>
      <c r="AD93" s="278"/>
      <c r="AE93" s="278"/>
      <c r="AF93" s="278"/>
      <c r="AG93" s="278"/>
      <c r="AH93" s="278"/>
      <c r="AI93" s="278"/>
      <c r="AJ93" s="278"/>
      <c r="AK93" s="278"/>
      <c r="AL93" s="278"/>
      <c r="AM93" s="278"/>
      <c r="AN93" s="278"/>
      <c r="AO93" s="278"/>
      <c r="AP93" s="112"/>
    </row>
    <row r="94" ht="18.0" customHeight="1">
      <c r="A94" s="142"/>
      <c r="B94" s="142"/>
      <c r="C94" s="142" t="s">
        <v>1383</v>
      </c>
      <c r="D94" s="142"/>
      <c r="E94" s="132"/>
      <c r="F94" s="131"/>
      <c r="G94" s="131"/>
      <c r="H94" s="131"/>
      <c r="I94" s="219"/>
      <c r="J94" s="198"/>
      <c r="K94" s="131"/>
      <c r="L94" s="131"/>
      <c r="M94" s="131"/>
      <c r="N94" s="131"/>
      <c r="O94" s="131"/>
      <c r="P94" s="131"/>
      <c r="Q94" s="131"/>
      <c r="R94" s="131"/>
      <c r="S94" s="131"/>
      <c r="T94" s="131"/>
      <c r="U94" s="131"/>
      <c r="V94" s="131"/>
      <c r="W94" s="131"/>
      <c r="X94" s="131"/>
      <c r="Y94" s="131"/>
      <c r="Z94" s="278"/>
      <c r="AA94" s="278"/>
      <c r="AB94" s="278"/>
      <c r="AC94" s="278"/>
      <c r="AD94" s="278"/>
      <c r="AE94" s="278"/>
      <c r="AF94" s="278"/>
      <c r="AG94" s="278"/>
      <c r="AH94" s="278"/>
      <c r="AI94" s="278"/>
      <c r="AJ94" s="278"/>
      <c r="AK94" s="278"/>
      <c r="AL94" s="278"/>
      <c r="AM94" s="278"/>
      <c r="AN94" s="278"/>
      <c r="AO94" s="278"/>
      <c r="AP94" s="112"/>
    </row>
    <row r="95" ht="18.0" customHeight="1">
      <c r="A95" s="142"/>
      <c r="B95" s="142"/>
      <c r="C95" s="142"/>
      <c r="D95" s="142"/>
      <c r="E95" s="132"/>
      <c r="F95" s="131"/>
      <c r="G95" s="131"/>
      <c r="H95" s="131"/>
      <c r="I95" s="219"/>
      <c r="J95" s="198"/>
      <c r="K95" s="131"/>
      <c r="L95" s="131"/>
      <c r="M95" s="131"/>
      <c r="N95" s="131"/>
      <c r="O95" s="131"/>
      <c r="P95" s="131"/>
      <c r="Q95" s="131"/>
      <c r="R95" s="131"/>
      <c r="S95" s="131"/>
      <c r="T95" s="131"/>
      <c r="U95" s="131"/>
      <c r="V95" s="131"/>
      <c r="W95" s="131"/>
      <c r="X95" s="131"/>
      <c r="Y95" s="131"/>
      <c r="Z95" s="278"/>
      <c r="AA95" s="278"/>
      <c r="AB95" s="278"/>
      <c r="AC95" s="278"/>
      <c r="AD95" s="278"/>
      <c r="AE95" s="278"/>
      <c r="AF95" s="278"/>
      <c r="AG95" s="278"/>
      <c r="AH95" s="278"/>
      <c r="AI95" s="278"/>
      <c r="AJ95" s="278"/>
      <c r="AK95" s="278"/>
      <c r="AL95" s="278"/>
      <c r="AM95" s="278"/>
      <c r="AN95" s="278"/>
      <c r="AO95" s="278"/>
      <c r="AP95" s="112"/>
    </row>
    <row r="96" ht="18.0" customHeight="1">
      <c r="A96" s="142" t="s">
        <v>1384</v>
      </c>
      <c r="B96" s="142"/>
      <c r="C96" s="142"/>
      <c r="D96" s="142"/>
      <c r="E96" s="132"/>
      <c r="F96" s="131"/>
      <c r="G96" s="131"/>
      <c r="H96" s="131"/>
      <c r="I96" s="219"/>
      <c r="J96" s="198"/>
      <c r="K96" s="131"/>
      <c r="L96" s="131"/>
      <c r="M96" s="131"/>
      <c r="N96" s="131"/>
      <c r="O96" s="131"/>
      <c r="P96" s="131"/>
      <c r="Q96" s="131"/>
      <c r="R96" s="131"/>
      <c r="S96" s="131"/>
      <c r="T96" s="131"/>
      <c r="U96" s="131"/>
      <c r="V96" s="131"/>
      <c r="W96" s="131"/>
      <c r="X96" s="131"/>
      <c r="Y96" s="131"/>
      <c r="Z96" s="278"/>
      <c r="AA96" s="278"/>
      <c r="AB96" s="278"/>
      <c r="AC96" s="278"/>
      <c r="AD96" s="278"/>
      <c r="AE96" s="278"/>
      <c r="AF96" s="278"/>
      <c r="AG96" s="278"/>
      <c r="AH96" s="278"/>
      <c r="AI96" s="278"/>
      <c r="AJ96" s="278"/>
      <c r="AK96" s="278"/>
      <c r="AL96" s="278"/>
      <c r="AM96" s="278"/>
      <c r="AN96" s="278"/>
      <c r="AO96" s="278"/>
      <c r="AP96" s="112"/>
    </row>
    <row r="97" ht="18.0" customHeight="1">
      <c r="A97" s="142"/>
      <c r="B97" s="142"/>
      <c r="C97" s="142"/>
      <c r="D97" s="142"/>
      <c r="E97" s="132"/>
      <c r="F97" s="131"/>
      <c r="G97" s="131"/>
      <c r="H97" s="131"/>
      <c r="I97" s="219"/>
      <c r="J97" s="198"/>
      <c r="K97" s="131"/>
      <c r="L97" s="131"/>
      <c r="M97" s="131"/>
      <c r="N97" s="131"/>
      <c r="O97" s="131"/>
      <c r="P97" s="131"/>
      <c r="Q97" s="131"/>
      <c r="R97" s="131"/>
      <c r="S97" s="131"/>
      <c r="T97" s="131"/>
      <c r="U97" s="131"/>
      <c r="V97" s="131"/>
      <c r="W97" s="131"/>
      <c r="X97" s="131"/>
      <c r="Y97" s="131"/>
      <c r="Z97" s="278"/>
      <c r="AA97" s="278"/>
      <c r="AB97" s="278"/>
      <c r="AC97" s="278"/>
      <c r="AD97" s="278"/>
      <c r="AE97" s="278"/>
      <c r="AF97" s="278"/>
      <c r="AG97" s="278"/>
      <c r="AH97" s="278"/>
      <c r="AI97" s="278"/>
      <c r="AJ97" s="278"/>
      <c r="AK97" s="278"/>
      <c r="AL97" s="278"/>
      <c r="AM97" s="278"/>
      <c r="AN97" s="278"/>
      <c r="AO97" s="278"/>
      <c r="AP97" s="112"/>
    </row>
    <row r="98" ht="18.0" customHeight="1">
      <c r="A98" s="142" t="s">
        <v>1385</v>
      </c>
      <c r="B98" s="142"/>
      <c r="C98" s="142"/>
      <c r="D98" s="142"/>
      <c r="E98" s="132"/>
      <c r="F98" s="131"/>
      <c r="G98" s="131"/>
      <c r="H98" s="131"/>
      <c r="I98" s="219"/>
      <c r="J98" s="198"/>
      <c r="K98" s="131"/>
      <c r="L98" s="131"/>
      <c r="M98" s="131"/>
      <c r="N98" s="131"/>
      <c r="O98" s="131"/>
      <c r="P98" s="131"/>
      <c r="Q98" s="131"/>
      <c r="R98" s="131"/>
      <c r="S98" s="131"/>
      <c r="T98" s="131"/>
      <c r="U98" s="131"/>
      <c r="V98" s="131"/>
      <c r="W98" s="131"/>
      <c r="X98" s="131"/>
      <c r="Y98" s="131"/>
      <c r="Z98" s="278"/>
      <c r="AA98" s="278"/>
      <c r="AB98" s="278"/>
      <c r="AC98" s="278"/>
      <c r="AD98" s="278"/>
      <c r="AE98" s="278"/>
      <c r="AF98" s="278"/>
      <c r="AG98" s="278"/>
      <c r="AH98" s="278"/>
      <c r="AI98" s="278"/>
      <c r="AJ98" s="278"/>
      <c r="AK98" s="278"/>
      <c r="AL98" s="278"/>
      <c r="AM98" s="278"/>
      <c r="AN98" s="278"/>
      <c r="AO98" s="278"/>
      <c r="AP98" s="112"/>
    </row>
    <row r="99" ht="18.0" customHeight="1">
      <c r="A99" s="221"/>
      <c r="B99" s="142"/>
      <c r="C99" s="142"/>
      <c r="D99" s="142"/>
      <c r="E99" s="132"/>
      <c r="F99" s="131"/>
      <c r="G99" s="131"/>
      <c r="H99" s="131"/>
      <c r="I99" s="219"/>
      <c r="J99" s="198"/>
      <c r="K99" s="131"/>
      <c r="L99" s="131"/>
      <c r="M99" s="131"/>
      <c r="N99" s="131"/>
      <c r="O99" s="131"/>
      <c r="P99" s="131"/>
      <c r="Q99" s="131"/>
      <c r="R99" s="131"/>
      <c r="S99" s="131"/>
      <c r="T99" s="131"/>
      <c r="U99" s="131"/>
      <c r="V99" s="131"/>
      <c r="W99" s="131"/>
      <c r="X99" s="131"/>
      <c r="Y99" s="131"/>
      <c r="Z99" s="278"/>
      <c r="AA99" s="278"/>
      <c r="AB99" s="278"/>
      <c r="AC99" s="278"/>
      <c r="AD99" s="278"/>
      <c r="AE99" s="278"/>
      <c r="AF99" s="278"/>
      <c r="AG99" s="278"/>
      <c r="AH99" s="278"/>
      <c r="AI99" s="278"/>
      <c r="AJ99" s="278"/>
      <c r="AK99" s="278"/>
      <c r="AL99" s="278"/>
      <c r="AM99" s="278"/>
      <c r="AN99" s="278"/>
      <c r="AO99" s="278"/>
      <c r="AP99" s="112"/>
    </row>
    <row r="100" ht="18.0" customHeight="1">
      <c r="A100" s="220" t="s">
        <v>1232</v>
      </c>
      <c r="B100" s="142"/>
      <c r="C100" s="142"/>
      <c r="D100" s="142"/>
      <c r="E100" s="132"/>
      <c r="F100" s="131"/>
      <c r="G100" s="131"/>
      <c r="H100" s="131"/>
      <c r="I100" s="219"/>
      <c r="J100" s="198"/>
      <c r="K100" s="131"/>
      <c r="L100" s="131"/>
      <c r="M100" s="131"/>
      <c r="N100" s="131"/>
      <c r="O100" s="131"/>
      <c r="P100" s="131"/>
      <c r="Q100" s="131"/>
      <c r="R100" s="131"/>
      <c r="S100" s="131"/>
      <c r="T100" s="131"/>
      <c r="U100" s="131"/>
      <c r="V100" s="131"/>
      <c r="W100" s="131"/>
      <c r="X100" s="131"/>
      <c r="Y100" s="131"/>
      <c r="Z100" s="278"/>
      <c r="AA100" s="278"/>
      <c r="AB100" s="278"/>
      <c r="AC100" s="278"/>
      <c r="AD100" s="278"/>
      <c r="AE100" s="278"/>
      <c r="AF100" s="278"/>
      <c r="AG100" s="278"/>
      <c r="AH100" s="278"/>
      <c r="AI100" s="278"/>
      <c r="AJ100" s="278"/>
      <c r="AK100" s="278"/>
      <c r="AL100" s="278"/>
      <c r="AM100" s="278"/>
      <c r="AN100" s="278"/>
      <c r="AO100" s="278"/>
      <c r="AP100" s="112"/>
    </row>
    <row r="101" ht="18.0" customHeight="1">
      <c r="A101" s="221" t="s">
        <v>1386</v>
      </c>
      <c r="B101" s="142"/>
      <c r="C101" s="142"/>
      <c r="D101" s="142"/>
      <c r="E101" s="132"/>
      <c r="F101" s="131"/>
      <c r="G101" s="131"/>
      <c r="H101" s="131"/>
      <c r="I101" s="219"/>
      <c r="J101" s="198"/>
      <c r="K101" s="131"/>
      <c r="L101" s="131"/>
      <c r="M101" s="131"/>
      <c r="N101" s="131"/>
      <c r="O101" s="131"/>
      <c r="P101" s="131"/>
      <c r="Q101" s="131"/>
      <c r="R101" s="131"/>
      <c r="S101" s="131"/>
      <c r="T101" s="131"/>
      <c r="U101" s="131"/>
      <c r="V101" s="131"/>
      <c r="W101" s="131"/>
      <c r="X101" s="131"/>
      <c r="Y101" s="131"/>
      <c r="Z101" s="278"/>
      <c r="AA101" s="278"/>
      <c r="AB101" s="278"/>
      <c r="AC101" s="278"/>
      <c r="AD101" s="278"/>
      <c r="AE101" s="278"/>
      <c r="AF101" s="278"/>
      <c r="AG101" s="278"/>
      <c r="AH101" s="278"/>
      <c r="AI101" s="278"/>
      <c r="AJ101" s="278"/>
      <c r="AK101" s="278"/>
      <c r="AL101" s="278"/>
      <c r="AM101" s="278"/>
      <c r="AN101" s="278"/>
      <c r="AO101" s="278"/>
      <c r="AP101" s="112"/>
    </row>
    <row r="102" ht="18.0" customHeight="1">
      <c r="A102" s="221" t="s">
        <v>1387</v>
      </c>
      <c r="B102" s="142"/>
      <c r="C102" s="142"/>
      <c r="D102" s="142"/>
      <c r="E102" s="131"/>
      <c r="F102" s="142"/>
      <c r="G102" s="142"/>
      <c r="H102" s="116"/>
      <c r="I102" s="278"/>
      <c r="J102" s="278"/>
      <c r="K102" s="278"/>
      <c r="L102" s="116"/>
      <c r="M102" s="116"/>
      <c r="N102" s="278"/>
      <c r="O102" s="278"/>
      <c r="P102" s="278"/>
      <c r="Q102" s="278"/>
      <c r="R102" s="278"/>
      <c r="S102" s="278"/>
      <c r="T102" s="116"/>
      <c r="U102" s="116"/>
      <c r="V102" s="116"/>
      <c r="W102" s="116"/>
      <c r="X102" s="116"/>
      <c r="Y102" s="116"/>
      <c r="Z102" s="278"/>
      <c r="AA102" s="278"/>
      <c r="AB102" s="278"/>
      <c r="AC102" s="278"/>
      <c r="AD102" s="278"/>
      <c r="AE102" s="278"/>
      <c r="AF102" s="278"/>
      <c r="AG102" s="278"/>
      <c r="AH102" s="278"/>
      <c r="AI102" s="278"/>
      <c r="AJ102" s="278"/>
      <c r="AK102" s="278"/>
      <c r="AL102" s="278"/>
      <c r="AM102" s="278"/>
      <c r="AN102" s="278"/>
      <c r="AO102" s="278"/>
      <c r="AP102" s="112"/>
    </row>
    <row r="103" ht="18.0" customHeight="1">
      <c r="A103" s="221" t="s">
        <v>1388</v>
      </c>
      <c r="B103" s="142"/>
      <c r="C103" s="142"/>
      <c r="D103" s="142"/>
      <c r="E103" s="131"/>
      <c r="F103" s="142"/>
      <c r="G103" s="142"/>
      <c r="H103" s="116"/>
      <c r="I103" s="278"/>
      <c r="J103" s="278"/>
      <c r="K103" s="278"/>
      <c r="L103" s="116"/>
      <c r="M103" s="116"/>
      <c r="N103" s="278"/>
      <c r="O103" s="278"/>
      <c r="P103" s="278"/>
      <c r="Q103" s="278"/>
      <c r="R103" s="278"/>
      <c r="S103" s="278"/>
      <c r="T103" s="116"/>
      <c r="U103" s="116"/>
      <c r="V103" s="116"/>
      <c r="W103" s="116"/>
      <c r="X103" s="116"/>
      <c r="Y103" s="116"/>
      <c r="Z103" s="278"/>
      <c r="AA103" s="278"/>
      <c r="AB103" s="278"/>
      <c r="AC103" s="278"/>
      <c r="AD103" s="278"/>
      <c r="AE103" s="278"/>
      <c r="AF103" s="278"/>
      <c r="AG103" s="278"/>
      <c r="AH103" s="278"/>
      <c r="AI103" s="278"/>
      <c r="AJ103" s="278"/>
      <c r="AK103" s="278"/>
      <c r="AL103" s="278"/>
      <c r="AM103" s="278"/>
      <c r="AN103" s="278"/>
      <c r="AO103" s="278"/>
      <c r="AP103" s="112"/>
    </row>
    <row r="104" ht="18.0" customHeight="1">
      <c r="A104" s="221" t="s">
        <v>1389</v>
      </c>
      <c r="B104" s="142"/>
      <c r="C104" s="142"/>
      <c r="D104" s="142"/>
      <c r="E104" s="131"/>
      <c r="F104" s="142"/>
      <c r="G104" s="142"/>
      <c r="H104" s="116"/>
      <c r="I104" s="278"/>
      <c r="J104" s="278"/>
      <c r="K104" s="278"/>
      <c r="L104" s="116"/>
      <c r="M104" s="116"/>
      <c r="N104" s="278"/>
      <c r="O104" s="278"/>
      <c r="P104" s="278"/>
      <c r="Q104" s="278"/>
      <c r="R104" s="278"/>
      <c r="S104" s="278"/>
      <c r="T104" s="116"/>
      <c r="U104" s="116"/>
      <c r="V104" s="116"/>
      <c r="W104" s="116"/>
      <c r="X104" s="116"/>
      <c r="Y104" s="116"/>
      <c r="Z104" s="278"/>
      <c r="AA104" s="278"/>
      <c r="AB104" s="278"/>
      <c r="AC104" s="278"/>
      <c r="AD104" s="278"/>
      <c r="AE104" s="278"/>
      <c r="AF104" s="278"/>
      <c r="AG104" s="278"/>
      <c r="AH104" s="278"/>
      <c r="AI104" s="278"/>
      <c r="AJ104" s="278"/>
      <c r="AK104" s="278"/>
      <c r="AL104" s="278"/>
      <c r="AM104" s="278"/>
      <c r="AN104" s="278"/>
      <c r="AO104" s="278"/>
      <c r="AP104" s="112"/>
    </row>
    <row r="105" ht="18.0" customHeight="1">
      <c r="A105" s="221"/>
      <c r="B105" s="142"/>
      <c r="C105" s="142"/>
      <c r="D105" s="142"/>
      <c r="E105" s="131"/>
      <c r="F105" s="142"/>
      <c r="G105" s="142"/>
      <c r="H105" s="116"/>
      <c r="I105" s="278"/>
      <c r="J105" s="278"/>
      <c r="K105" s="278"/>
      <c r="L105" s="116"/>
      <c r="M105" s="116"/>
      <c r="N105" s="278"/>
      <c r="O105" s="278"/>
      <c r="P105" s="278"/>
      <c r="Q105" s="278"/>
      <c r="R105" s="278"/>
      <c r="S105" s="278"/>
      <c r="T105" s="116"/>
      <c r="U105" s="116"/>
      <c r="V105" s="116"/>
      <c r="W105" s="116"/>
      <c r="X105" s="116"/>
      <c r="Y105" s="116"/>
      <c r="Z105" s="278"/>
      <c r="AA105" s="278"/>
      <c r="AB105" s="278"/>
      <c r="AC105" s="278"/>
      <c r="AD105" s="278"/>
      <c r="AE105" s="278"/>
      <c r="AF105" s="278"/>
      <c r="AG105" s="278"/>
      <c r="AH105" s="278"/>
      <c r="AI105" s="278"/>
      <c r="AJ105" s="278"/>
      <c r="AK105" s="278"/>
      <c r="AL105" s="278"/>
      <c r="AM105" s="278"/>
      <c r="AN105" s="278"/>
      <c r="AO105" s="278"/>
      <c r="AP105" s="112"/>
    </row>
    <row r="106" ht="15.75" hidden="1" customHeight="1">
      <c r="A106" s="142"/>
      <c r="B106" s="278"/>
      <c r="C106" s="278"/>
      <c r="D106" s="278"/>
      <c r="E106" s="116"/>
      <c r="F106" s="278"/>
      <c r="G106" s="278"/>
      <c r="H106" s="116"/>
      <c r="I106" s="278"/>
      <c r="J106" s="278"/>
      <c r="K106" s="278"/>
      <c r="L106" s="116"/>
      <c r="M106" s="116"/>
      <c r="N106" s="278"/>
      <c r="O106" s="278"/>
      <c r="P106" s="278"/>
      <c r="Q106" s="278"/>
      <c r="R106" s="278"/>
      <c r="S106" s="278"/>
      <c r="T106" s="116"/>
      <c r="U106" s="116"/>
      <c r="V106" s="116"/>
      <c r="W106" s="116"/>
      <c r="X106" s="116"/>
      <c r="Y106" s="116"/>
      <c r="Z106" s="278"/>
      <c r="AA106" s="278"/>
      <c r="AB106" s="278"/>
      <c r="AC106" s="278"/>
      <c r="AD106" s="278"/>
      <c r="AE106" s="278"/>
      <c r="AF106" s="278"/>
      <c r="AG106" s="278"/>
      <c r="AH106" s="278"/>
      <c r="AI106" s="278"/>
      <c r="AJ106" s="278"/>
      <c r="AK106" s="278"/>
      <c r="AL106" s="278"/>
      <c r="AM106" s="278"/>
      <c r="AN106" s="278"/>
      <c r="AO106" s="278"/>
      <c r="AP106" s="112"/>
    </row>
    <row r="107" ht="15.75" hidden="1" customHeight="1">
      <c r="A107" s="278"/>
      <c r="B107" s="278"/>
      <c r="C107" s="278"/>
      <c r="D107" s="278"/>
      <c r="E107" s="116"/>
      <c r="F107" s="278"/>
      <c r="G107" s="278"/>
      <c r="H107" s="116"/>
      <c r="I107" s="278"/>
      <c r="J107" s="278"/>
      <c r="K107" s="278"/>
      <c r="L107" s="116"/>
      <c r="M107" s="116"/>
      <c r="N107" s="278"/>
      <c r="O107" s="278"/>
      <c r="P107" s="278"/>
      <c r="Q107" s="278"/>
      <c r="R107" s="278"/>
      <c r="S107" s="278"/>
      <c r="T107" s="116"/>
      <c r="U107" s="116"/>
      <c r="V107" s="116"/>
      <c r="W107" s="116"/>
      <c r="X107" s="116"/>
      <c r="Y107" s="116"/>
      <c r="Z107" s="278"/>
      <c r="AA107" s="278"/>
      <c r="AB107" s="278"/>
      <c r="AC107" s="278"/>
      <c r="AD107" s="278"/>
      <c r="AE107" s="278"/>
      <c r="AF107" s="278"/>
      <c r="AG107" s="278"/>
      <c r="AH107" s="278"/>
      <c r="AI107" s="278"/>
      <c r="AJ107" s="278"/>
      <c r="AK107" s="278"/>
      <c r="AL107" s="278"/>
      <c r="AM107" s="278"/>
      <c r="AN107" s="278"/>
      <c r="AO107" s="278"/>
      <c r="AP107" s="112"/>
    </row>
    <row r="108" ht="15.75" customHeight="1">
      <c r="A108" s="112"/>
      <c r="B108" s="112"/>
      <c r="C108" s="112"/>
      <c r="D108" s="112"/>
      <c r="E108" s="128"/>
      <c r="F108" s="112"/>
      <c r="G108" s="112"/>
      <c r="H108" s="128"/>
      <c r="I108" s="112"/>
      <c r="J108" s="112"/>
      <c r="K108" s="112"/>
      <c r="L108" s="128"/>
      <c r="M108" s="128"/>
      <c r="N108" s="112"/>
      <c r="O108" s="112"/>
      <c r="P108" s="112"/>
      <c r="Q108" s="112"/>
      <c r="R108" s="112"/>
      <c r="S108" s="112"/>
      <c r="T108" s="128"/>
      <c r="U108" s="128"/>
      <c r="V108" s="128"/>
      <c r="W108" s="128"/>
      <c r="X108" s="128"/>
      <c r="Y108" s="128"/>
      <c r="Z108" s="112"/>
      <c r="AA108" s="112"/>
      <c r="AB108" s="112"/>
      <c r="AC108" s="112"/>
      <c r="AD108" s="112"/>
      <c r="AE108" s="112"/>
      <c r="AF108" s="112"/>
      <c r="AG108" s="112"/>
      <c r="AH108" s="112"/>
      <c r="AI108" s="112"/>
      <c r="AJ108" s="112"/>
      <c r="AK108" s="112"/>
      <c r="AL108" s="112"/>
      <c r="AM108" s="112"/>
      <c r="AN108" s="112"/>
      <c r="AO108" s="112"/>
      <c r="AP108" s="112"/>
    </row>
    <row r="109" ht="15.75" customHeight="1">
      <c r="A109" s="112"/>
      <c r="B109" s="112"/>
      <c r="C109" s="112"/>
      <c r="D109" s="112"/>
      <c r="E109" s="128"/>
      <c r="F109" s="112"/>
      <c r="G109" s="112"/>
      <c r="H109" s="128"/>
      <c r="I109" s="112"/>
      <c r="J109" s="112"/>
      <c r="K109" s="112"/>
      <c r="L109" s="128"/>
      <c r="M109" s="128"/>
      <c r="N109" s="112"/>
      <c r="O109" s="112"/>
      <c r="P109" s="112"/>
      <c r="Q109" s="112"/>
      <c r="R109" s="112"/>
      <c r="S109" s="112"/>
      <c r="T109" s="128"/>
      <c r="U109" s="128"/>
      <c r="V109" s="128"/>
      <c r="W109" s="128"/>
      <c r="X109" s="128"/>
      <c r="Y109" s="128"/>
      <c r="Z109" s="112"/>
      <c r="AA109" s="112"/>
      <c r="AB109" s="112"/>
      <c r="AC109" s="112"/>
      <c r="AD109" s="112"/>
      <c r="AE109" s="112"/>
      <c r="AF109" s="112"/>
      <c r="AG109" s="112"/>
      <c r="AH109" s="112"/>
      <c r="AI109" s="112"/>
      <c r="AJ109" s="112"/>
      <c r="AK109" s="112"/>
      <c r="AL109" s="112"/>
      <c r="AM109" s="112"/>
      <c r="AN109" s="112"/>
      <c r="AO109" s="112"/>
      <c r="AP109" s="112"/>
    </row>
    <row r="110" ht="15.75" customHeight="1">
      <c r="A110" s="112"/>
      <c r="B110" s="112"/>
      <c r="C110" s="112"/>
      <c r="D110" s="112"/>
      <c r="E110" s="128"/>
      <c r="F110" s="112"/>
      <c r="G110" s="112"/>
      <c r="H110" s="128"/>
      <c r="I110" s="112"/>
      <c r="J110" s="112"/>
      <c r="K110" s="112"/>
      <c r="L110" s="128"/>
      <c r="M110" s="128"/>
      <c r="N110" s="112"/>
      <c r="O110" s="112"/>
      <c r="P110" s="112"/>
      <c r="Q110" s="112"/>
      <c r="R110" s="112"/>
      <c r="S110" s="112"/>
      <c r="T110" s="128"/>
      <c r="U110" s="128"/>
      <c r="V110" s="128"/>
      <c r="W110" s="128"/>
      <c r="X110" s="128"/>
      <c r="Y110" s="128"/>
      <c r="Z110" s="112"/>
      <c r="AA110" s="112"/>
      <c r="AB110" s="112"/>
      <c r="AC110" s="112"/>
      <c r="AD110" s="112"/>
      <c r="AE110" s="112"/>
      <c r="AF110" s="112"/>
      <c r="AG110" s="112"/>
      <c r="AH110" s="112"/>
      <c r="AI110" s="112"/>
      <c r="AJ110" s="112"/>
      <c r="AK110" s="112"/>
      <c r="AL110" s="112"/>
      <c r="AM110" s="112"/>
      <c r="AN110" s="112"/>
      <c r="AO110" s="112"/>
      <c r="AP110" s="112"/>
    </row>
    <row r="111" ht="15.75" customHeight="1">
      <c r="A111" s="112"/>
      <c r="B111" s="112"/>
      <c r="C111" s="112"/>
      <c r="D111" s="112"/>
      <c r="E111" s="128"/>
      <c r="F111" s="112"/>
      <c r="G111" s="112"/>
      <c r="H111" s="128"/>
      <c r="I111" s="112"/>
      <c r="J111" s="112"/>
      <c r="K111" s="112"/>
      <c r="L111" s="128"/>
      <c r="M111" s="128"/>
      <c r="N111" s="112"/>
      <c r="O111" s="112"/>
      <c r="P111" s="112"/>
      <c r="Q111" s="112"/>
      <c r="R111" s="112"/>
      <c r="S111" s="112"/>
      <c r="T111" s="128"/>
      <c r="U111" s="128"/>
      <c r="V111" s="128"/>
      <c r="W111" s="128"/>
      <c r="X111" s="128"/>
      <c r="Y111" s="128"/>
      <c r="Z111" s="112"/>
      <c r="AA111" s="112"/>
      <c r="AB111" s="112"/>
      <c r="AC111" s="112"/>
      <c r="AD111" s="112"/>
      <c r="AE111" s="112"/>
      <c r="AF111" s="112"/>
      <c r="AG111" s="112"/>
      <c r="AH111" s="112"/>
      <c r="AI111" s="112"/>
      <c r="AJ111" s="112"/>
      <c r="AK111" s="112"/>
      <c r="AL111" s="112"/>
      <c r="AM111" s="112"/>
      <c r="AN111" s="112"/>
      <c r="AO111" s="112"/>
      <c r="AP111" s="112"/>
    </row>
    <row r="112" ht="15.75" customHeight="1">
      <c r="A112" s="112"/>
      <c r="B112" s="112"/>
      <c r="C112" s="112"/>
      <c r="D112" s="112"/>
      <c r="E112" s="128"/>
      <c r="F112" s="112"/>
      <c r="G112" s="112"/>
      <c r="H112" s="128"/>
      <c r="I112" s="112"/>
      <c r="J112" s="112"/>
      <c r="K112" s="112"/>
      <c r="L112" s="128"/>
      <c r="M112" s="128"/>
      <c r="N112" s="112"/>
      <c r="O112" s="112"/>
      <c r="P112" s="112"/>
      <c r="Q112" s="112"/>
      <c r="R112" s="112"/>
      <c r="S112" s="112"/>
      <c r="T112" s="128"/>
      <c r="U112" s="128"/>
      <c r="V112" s="128"/>
      <c r="W112" s="128"/>
      <c r="X112" s="128"/>
      <c r="Y112" s="128"/>
      <c r="Z112" s="112"/>
      <c r="AA112" s="112"/>
      <c r="AB112" s="112"/>
      <c r="AC112" s="112"/>
      <c r="AD112" s="112"/>
      <c r="AE112" s="112"/>
      <c r="AF112" s="112"/>
      <c r="AG112" s="112"/>
      <c r="AH112" s="112"/>
      <c r="AI112" s="112"/>
      <c r="AJ112" s="112"/>
      <c r="AK112" s="112"/>
      <c r="AL112" s="112"/>
      <c r="AM112" s="112"/>
      <c r="AN112" s="112"/>
      <c r="AO112" s="112"/>
      <c r="AP112" s="112"/>
    </row>
    <row r="113" ht="15.75" customHeight="1">
      <c r="A113" s="112"/>
      <c r="B113" s="112"/>
      <c r="C113" s="112"/>
      <c r="D113" s="112"/>
      <c r="E113" s="128"/>
      <c r="F113" s="112"/>
      <c r="G113" s="112"/>
      <c r="H113" s="128"/>
      <c r="I113" s="112"/>
      <c r="J113" s="112"/>
      <c r="K113" s="112"/>
      <c r="L113" s="128"/>
      <c r="M113" s="128"/>
      <c r="N113" s="112"/>
      <c r="O113" s="112"/>
      <c r="P113" s="112"/>
      <c r="Q113" s="112"/>
      <c r="R113" s="112"/>
      <c r="S113" s="112"/>
      <c r="T113" s="128"/>
      <c r="U113" s="128"/>
      <c r="V113" s="128"/>
      <c r="W113" s="128"/>
      <c r="X113" s="128"/>
      <c r="Y113" s="128"/>
      <c r="Z113" s="112"/>
      <c r="AA113" s="112"/>
      <c r="AB113" s="112"/>
      <c r="AC113" s="112"/>
      <c r="AD113" s="112"/>
      <c r="AE113" s="112"/>
      <c r="AF113" s="112"/>
      <c r="AG113" s="112"/>
      <c r="AH113" s="112"/>
      <c r="AI113" s="112"/>
      <c r="AJ113" s="112"/>
      <c r="AK113" s="112"/>
      <c r="AL113" s="112"/>
      <c r="AM113" s="112"/>
      <c r="AN113" s="112"/>
      <c r="AO113" s="112"/>
      <c r="AP113" s="112"/>
    </row>
    <row r="114" ht="15.75" customHeight="1">
      <c r="A114" s="112"/>
      <c r="B114" s="112"/>
      <c r="C114" s="112"/>
      <c r="D114" s="112"/>
      <c r="E114" s="128"/>
      <c r="F114" s="112"/>
      <c r="G114" s="112"/>
      <c r="H114" s="128"/>
      <c r="I114" s="112"/>
      <c r="J114" s="112"/>
      <c r="K114" s="112"/>
      <c r="L114" s="128"/>
      <c r="M114" s="128"/>
      <c r="N114" s="112"/>
      <c r="O114" s="112"/>
      <c r="P114" s="112"/>
      <c r="Q114" s="112"/>
      <c r="R114" s="112"/>
      <c r="S114" s="112"/>
      <c r="T114" s="128"/>
      <c r="U114" s="128"/>
      <c r="V114" s="128"/>
      <c r="W114" s="128"/>
      <c r="X114" s="128"/>
      <c r="Y114" s="128"/>
      <c r="Z114" s="112"/>
      <c r="AA114" s="112"/>
      <c r="AB114" s="112"/>
      <c r="AC114" s="112"/>
      <c r="AD114" s="112"/>
      <c r="AE114" s="112"/>
      <c r="AF114" s="112"/>
      <c r="AG114" s="112"/>
      <c r="AH114" s="112"/>
      <c r="AI114" s="112"/>
      <c r="AJ114" s="112"/>
      <c r="AK114" s="112"/>
      <c r="AL114" s="112"/>
      <c r="AM114" s="112"/>
      <c r="AN114" s="112"/>
      <c r="AO114" s="112"/>
      <c r="AP114" s="112"/>
    </row>
    <row r="115" ht="15.75" customHeight="1">
      <c r="A115" s="112"/>
      <c r="B115" s="112"/>
      <c r="C115" s="112"/>
      <c r="D115" s="112"/>
      <c r="E115" s="128"/>
      <c r="F115" s="112"/>
      <c r="G115" s="112"/>
      <c r="H115" s="128"/>
      <c r="I115" s="112"/>
      <c r="J115" s="112"/>
      <c r="K115" s="112"/>
      <c r="L115" s="128"/>
      <c r="M115" s="128"/>
      <c r="N115" s="112"/>
      <c r="O115" s="112"/>
      <c r="P115" s="112"/>
      <c r="Q115" s="112"/>
      <c r="R115" s="112"/>
      <c r="S115" s="112"/>
      <c r="T115" s="128"/>
      <c r="U115" s="128"/>
      <c r="V115" s="128"/>
      <c r="W115" s="128"/>
      <c r="X115" s="128"/>
      <c r="Y115" s="128"/>
      <c r="Z115" s="112"/>
      <c r="AA115" s="112"/>
      <c r="AB115" s="112"/>
      <c r="AC115" s="112"/>
      <c r="AD115" s="112"/>
      <c r="AE115" s="112"/>
      <c r="AF115" s="112"/>
      <c r="AG115" s="112"/>
      <c r="AH115" s="112"/>
      <c r="AI115" s="112"/>
      <c r="AJ115" s="112"/>
      <c r="AK115" s="112"/>
      <c r="AL115" s="112"/>
      <c r="AM115" s="112"/>
      <c r="AN115" s="112"/>
      <c r="AO115" s="112"/>
      <c r="AP115" s="112"/>
    </row>
    <row r="116" ht="15.75" customHeight="1">
      <c r="A116" s="112"/>
      <c r="B116" s="112"/>
      <c r="C116" s="112"/>
      <c r="D116" s="112"/>
      <c r="E116" s="128"/>
      <c r="F116" s="112"/>
      <c r="G116" s="112"/>
      <c r="H116" s="128"/>
      <c r="I116" s="112"/>
      <c r="J116" s="112"/>
      <c r="K116" s="112"/>
      <c r="L116" s="128"/>
      <c r="M116" s="128"/>
      <c r="N116" s="112"/>
      <c r="O116" s="112"/>
      <c r="P116" s="112"/>
      <c r="Q116" s="112"/>
      <c r="R116" s="112"/>
      <c r="S116" s="112"/>
      <c r="T116" s="128"/>
      <c r="U116" s="128"/>
      <c r="V116" s="128"/>
      <c r="W116" s="128"/>
      <c r="X116" s="128"/>
      <c r="Y116" s="128"/>
      <c r="Z116" s="112"/>
      <c r="AA116" s="112"/>
      <c r="AB116" s="112"/>
      <c r="AC116" s="112"/>
      <c r="AD116" s="112"/>
      <c r="AE116" s="112"/>
      <c r="AF116" s="112"/>
      <c r="AG116" s="112"/>
      <c r="AH116" s="112"/>
      <c r="AI116" s="112"/>
      <c r="AJ116" s="112"/>
      <c r="AK116" s="112"/>
      <c r="AL116" s="112"/>
      <c r="AM116" s="112"/>
      <c r="AN116" s="112"/>
      <c r="AO116" s="112"/>
      <c r="AP116" s="112"/>
    </row>
    <row r="117" ht="15.75" customHeight="1">
      <c r="A117" s="112"/>
      <c r="B117" s="112"/>
      <c r="C117" s="112"/>
      <c r="D117" s="112"/>
      <c r="E117" s="128"/>
      <c r="F117" s="112"/>
      <c r="G117" s="112"/>
      <c r="H117" s="128"/>
      <c r="I117" s="112"/>
      <c r="J117" s="112"/>
      <c r="K117" s="112"/>
      <c r="L117" s="128"/>
      <c r="M117" s="128"/>
      <c r="N117" s="112"/>
      <c r="O117" s="112"/>
      <c r="P117" s="112"/>
      <c r="Q117" s="112"/>
      <c r="R117" s="112"/>
      <c r="S117" s="112"/>
      <c r="T117" s="128"/>
      <c r="U117" s="128"/>
      <c r="V117" s="128"/>
      <c r="W117" s="128"/>
      <c r="X117" s="128"/>
      <c r="Y117" s="128"/>
      <c r="Z117" s="112"/>
      <c r="AA117" s="112"/>
      <c r="AB117" s="112"/>
      <c r="AC117" s="112"/>
      <c r="AD117" s="112"/>
      <c r="AE117" s="112"/>
      <c r="AF117" s="112"/>
      <c r="AG117" s="112"/>
      <c r="AH117" s="112"/>
      <c r="AI117" s="112"/>
      <c r="AJ117" s="112"/>
      <c r="AK117" s="112"/>
      <c r="AL117" s="112"/>
      <c r="AM117" s="112"/>
      <c r="AN117" s="112"/>
      <c r="AO117" s="112"/>
      <c r="AP117" s="112"/>
    </row>
    <row r="118" ht="15.75" customHeight="1">
      <c r="A118" s="112"/>
      <c r="B118" s="112"/>
      <c r="C118" s="112"/>
      <c r="D118" s="112"/>
      <c r="E118" s="128"/>
      <c r="F118" s="112"/>
      <c r="G118" s="112"/>
      <c r="H118" s="128"/>
      <c r="I118" s="112"/>
      <c r="J118" s="112"/>
      <c r="K118" s="112"/>
      <c r="L118" s="128"/>
      <c r="M118" s="128"/>
      <c r="N118" s="112"/>
      <c r="O118" s="112"/>
      <c r="P118" s="112"/>
      <c r="Q118" s="112"/>
      <c r="R118" s="112"/>
      <c r="S118" s="112"/>
      <c r="T118" s="128"/>
      <c r="U118" s="128"/>
      <c r="V118" s="128"/>
      <c r="W118" s="128"/>
      <c r="X118" s="128"/>
      <c r="Y118" s="128"/>
      <c r="Z118" s="112"/>
      <c r="AA118" s="112"/>
      <c r="AB118" s="112"/>
      <c r="AC118" s="112"/>
      <c r="AD118" s="112"/>
      <c r="AE118" s="112"/>
      <c r="AF118" s="112"/>
      <c r="AG118" s="112"/>
      <c r="AH118" s="112"/>
      <c r="AI118" s="112"/>
      <c r="AJ118" s="112"/>
      <c r="AK118" s="112"/>
      <c r="AL118" s="112"/>
      <c r="AM118" s="112"/>
      <c r="AN118" s="112"/>
      <c r="AO118" s="112"/>
      <c r="AP118" s="112"/>
    </row>
    <row r="119" ht="15.75" customHeight="1">
      <c r="A119" s="112"/>
      <c r="B119" s="112"/>
      <c r="C119" s="112"/>
      <c r="D119" s="112"/>
      <c r="E119" s="128"/>
      <c r="F119" s="112"/>
      <c r="G119" s="112"/>
      <c r="H119" s="128"/>
      <c r="I119" s="112"/>
      <c r="J119" s="112"/>
      <c r="K119" s="112"/>
      <c r="L119" s="128"/>
      <c r="M119" s="128"/>
      <c r="N119" s="112"/>
      <c r="O119" s="112"/>
      <c r="P119" s="112"/>
      <c r="Q119" s="112"/>
      <c r="R119" s="112"/>
      <c r="S119" s="112"/>
      <c r="T119" s="128"/>
      <c r="U119" s="128"/>
      <c r="V119" s="128"/>
      <c r="W119" s="128"/>
      <c r="X119" s="128"/>
      <c r="Y119" s="128"/>
      <c r="Z119" s="112"/>
      <c r="AA119" s="112"/>
      <c r="AB119" s="112"/>
      <c r="AC119" s="112"/>
      <c r="AD119" s="112"/>
      <c r="AE119" s="112"/>
      <c r="AF119" s="112"/>
      <c r="AG119" s="112"/>
      <c r="AH119" s="112"/>
      <c r="AI119" s="112"/>
      <c r="AJ119" s="112"/>
      <c r="AK119" s="112"/>
      <c r="AL119" s="112"/>
      <c r="AM119" s="112"/>
      <c r="AN119" s="112"/>
      <c r="AO119" s="112"/>
      <c r="AP119" s="112"/>
    </row>
    <row r="120" ht="15.75" customHeight="1">
      <c r="A120" s="112"/>
      <c r="B120" s="112"/>
      <c r="C120" s="112"/>
      <c r="D120" s="112"/>
      <c r="E120" s="128"/>
      <c r="F120" s="112"/>
      <c r="G120" s="112"/>
      <c r="H120" s="128"/>
      <c r="I120" s="112"/>
      <c r="J120" s="112"/>
      <c r="K120" s="112"/>
      <c r="L120" s="128"/>
      <c r="M120" s="128"/>
      <c r="N120" s="112"/>
      <c r="O120" s="112"/>
      <c r="P120" s="112"/>
      <c r="Q120" s="112"/>
      <c r="R120" s="112"/>
      <c r="S120" s="112"/>
      <c r="T120" s="128"/>
      <c r="U120" s="128"/>
      <c r="V120" s="128"/>
      <c r="W120" s="128"/>
      <c r="X120" s="128"/>
      <c r="Y120" s="128"/>
      <c r="Z120" s="112"/>
      <c r="AA120" s="112"/>
      <c r="AB120" s="112"/>
      <c r="AC120" s="112"/>
      <c r="AD120" s="112"/>
      <c r="AE120" s="112"/>
      <c r="AF120" s="112"/>
      <c r="AG120" s="112"/>
      <c r="AH120" s="112"/>
      <c r="AI120" s="112"/>
      <c r="AJ120" s="112"/>
      <c r="AK120" s="112"/>
      <c r="AL120" s="112"/>
      <c r="AM120" s="112"/>
      <c r="AN120" s="112"/>
      <c r="AO120" s="112"/>
      <c r="AP120" s="112"/>
    </row>
    <row r="121" ht="15.75" customHeight="1">
      <c r="A121" s="112"/>
      <c r="B121" s="112"/>
      <c r="C121" s="112"/>
      <c r="D121" s="112"/>
      <c r="E121" s="128"/>
      <c r="F121" s="112"/>
      <c r="G121" s="112"/>
      <c r="H121" s="128"/>
      <c r="I121" s="112"/>
      <c r="J121" s="112"/>
      <c r="K121" s="112"/>
      <c r="L121" s="128"/>
      <c r="M121" s="128"/>
      <c r="N121" s="112"/>
      <c r="O121" s="112"/>
      <c r="P121" s="112"/>
      <c r="Q121" s="112"/>
      <c r="R121" s="112"/>
      <c r="S121" s="112"/>
      <c r="T121" s="128"/>
      <c r="U121" s="128"/>
      <c r="V121" s="128"/>
      <c r="W121" s="128"/>
      <c r="X121" s="128"/>
      <c r="Y121" s="128"/>
      <c r="Z121" s="112"/>
      <c r="AA121" s="112"/>
      <c r="AB121" s="112"/>
      <c r="AC121" s="112"/>
      <c r="AD121" s="112"/>
      <c r="AE121" s="112"/>
      <c r="AF121" s="112"/>
      <c r="AG121" s="112"/>
      <c r="AH121" s="112"/>
      <c r="AI121" s="112"/>
      <c r="AJ121" s="112"/>
      <c r="AK121" s="112"/>
      <c r="AL121" s="112"/>
      <c r="AM121" s="112"/>
      <c r="AN121" s="112"/>
      <c r="AO121" s="112"/>
      <c r="AP121" s="112"/>
    </row>
    <row r="122" ht="15.75" customHeight="1">
      <c r="A122" s="112"/>
      <c r="B122" s="112"/>
      <c r="C122" s="112"/>
      <c r="D122" s="112"/>
      <c r="E122" s="128"/>
      <c r="F122" s="112"/>
      <c r="G122" s="112"/>
      <c r="H122" s="128"/>
      <c r="I122" s="112"/>
      <c r="J122" s="112"/>
      <c r="K122" s="112"/>
      <c r="L122" s="128"/>
      <c r="M122" s="128"/>
      <c r="N122" s="112"/>
      <c r="O122" s="112"/>
      <c r="P122" s="112"/>
      <c r="Q122" s="112"/>
      <c r="R122" s="112"/>
      <c r="S122" s="112"/>
      <c r="T122" s="128"/>
      <c r="U122" s="128"/>
      <c r="V122" s="128"/>
      <c r="W122" s="128"/>
      <c r="X122" s="128"/>
      <c r="Y122" s="128"/>
      <c r="Z122" s="112"/>
      <c r="AA122" s="112"/>
      <c r="AB122" s="112"/>
      <c r="AC122" s="112"/>
      <c r="AD122" s="112"/>
      <c r="AE122" s="112"/>
      <c r="AF122" s="112"/>
      <c r="AG122" s="112"/>
      <c r="AH122" s="112"/>
      <c r="AI122" s="112"/>
      <c r="AJ122" s="112"/>
      <c r="AK122" s="112"/>
      <c r="AL122" s="112"/>
      <c r="AM122" s="112"/>
      <c r="AN122" s="112"/>
      <c r="AO122" s="112"/>
      <c r="AP122" s="112"/>
    </row>
    <row r="123" ht="15.75" customHeight="1">
      <c r="A123" s="112"/>
      <c r="B123" s="112"/>
      <c r="C123" s="112"/>
      <c r="D123" s="112"/>
      <c r="E123" s="128"/>
      <c r="F123" s="112"/>
      <c r="G123" s="112"/>
      <c r="H123" s="128"/>
      <c r="I123" s="112"/>
      <c r="J123" s="112"/>
      <c r="K123" s="112"/>
      <c r="L123" s="128"/>
      <c r="M123" s="128"/>
      <c r="N123" s="112"/>
      <c r="O123" s="112"/>
      <c r="P123" s="112"/>
      <c r="Q123" s="112"/>
      <c r="R123" s="112"/>
      <c r="S123" s="112"/>
      <c r="T123" s="128"/>
      <c r="U123" s="128"/>
      <c r="V123" s="128"/>
      <c r="W123" s="128"/>
      <c r="X123" s="128"/>
      <c r="Y123" s="128"/>
      <c r="Z123" s="112"/>
      <c r="AA123" s="112"/>
      <c r="AB123" s="112"/>
      <c r="AC123" s="112"/>
      <c r="AD123" s="112"/>
      <c r="AE123" s="112"/>
      <c r="AF123" s="112"/>
      <c r="AG123" s="112"/>
      <c r="AH123" s="112"/>
      <c r="AI123" s="112"/>
      <c r="AJ123" s="112"/>
      <c r="AK123" s="112"/>
      <c r="AL123" s="112"/>
      <c r="AM123" s="112"/>
      <c r="AN123" s="112"/>
      <c r="AO123" s="112"/>
      <c r="AP123" s="112"/>
    </row>
    <row r="124" ht="15.75" customHeight="1">
      <c r="A124" s="112"/>
      <c r="B124" s="112"/>
      <c r="C124" s="112"/>
      <c r="D124" s="112"/>
      <c r="E124" s="128"/>
      <c r="F124" s="112"/>
      <c r="G124" s="112"/>
      <c r="H124" s="128"/>
      <c r="I124" s="112"/>
      <c r="J124" s="112"/>
      <c r="K124" s="112"/>
      <c r="L124" s="128"/>
      <c r="M124" s="128"/>
      <c r="N124" s="112"/>
      <c r="O124" s="112"/>
      <c r="P124" s="112"/>
      <c r="Q124" s="112"/>
      <c r="R124" s="112"/>
      <c r="S124" s="112"/>
      <c r="T124" s="128"/>
      <c r="U124" s="128"/>
      <c r="V124" s="128"/>
      <c r="W124" s="128"/>
      <c r="X124" s="128"/>
      <c r="Y124" s="128"/>
      <c r="Z124" s="112"/>
      <c r="AA124" s="112"/>
      <c r="AB124" s="112"/>
      <c r="AC124" s="112"/>
      <c r="AD124" s="112"/>
      <c r="AE124" s="112"/>
      <c r="AF124" s="112"/>
      <c r="AG124" s="112"/>
      <c r="AH124" s="112"/>
      <c r="AI124" s="112"/>
      <c r="AJ124" s="112"/>
      <c r="AK124" s="112"/>
      <c r="AL124" s="112"/>
      <c r="AM124" s="112"/>
      <c r="AN124" s="112"/>
      <c r="AO124" s="112"/>
      <c r="AP124" s="112"/>
    </row>
    <row r="125" ht="15.75" customHeight="1">
      <c r="A125" s="112"/>
      <c r="B125" s="112"/>
      <c r="C125" s="112"/>
      <c r="D125" s="112"/>
      <c r="E125" s="128"/>
      <c r="F125" s="112"/>
      <c r="G125" s="112"/>
      <c r="H125" s="128"/>
      <c r="I125" s="112"/>
      <c r="J125" s="112"/>
      <c r="K125" s="112"/>
      <c r="L125" s="128"/>
      <c r="M125" s="128"/>
      <c r="N125" s="112"/>
      <c r="O125" s="112"/>
      <c r="P125" s="112"/>
      <c r="Q125" s="112"/>
      <c r="R125" s="112"/>
      <c r="S125" s="112"/>
      <c r="T125" s="128"/>
      <c r="U125" s="128"/>
      <c r="V125" s="128"/>
      <c r="W125" s="128"/>
      <c r="X125" s="128"/>
      <c r="Y125" s="128"/>
      <c r="Z125" s="112"/>
      <c r="AA125" s="112"/>
      <c r="AB125" s="112"/>
      <c r="AC125" s="112"/>
      <c r="AD125" s="112"/>
      <c r="AE125" s="112"/>
      <c r="AF125" s="112"/>
      <c r="AG125" s="112"/>
      <c r="AH125" s="112"/>
      <c r="AI125" s="112"/>
      <c r="AJ125" s="112"/>
      <c r="AK125" s="112"/>
      <c r="AL125" s="112"/>
      <c r="AM125" s="112"/>
      <c r="AN125" s="112"/>
      <c r="AO125" s="112"/>
      <c r="AP125" s="112"/>
    </row>
    <row r="126" ht="15.75" customHeight="1">
      <c r="A126" s="112"/>
      <c r="B126" s="112"/>
      <c r="C126" s="112"/>
      <c r="D126" s="112"/>
      <c r="E126" s="128"/>
      <c r="F126" s="112"/>
      <c r="G126" s="112"/>
      <c r="H126" s="128"/>
      <c r="I126" s="112"/>
      <c r="J126" s="112"/>
      <c r="K126" s="112"/>
      <c r="L126" s="128"/>
      <c r="M126" s="128"/>
      <c r="N126" s="112"/>
      <c r="O126" s="112"/>
      <c r="P126" s="112"/>
      <c r="Q126" s="112"/>
      <c r="R126" s="112"/>
      <c r="S126" s="112"/>
      <c r="T126" s="128"/>
      <c r="U126" s="128"/>
      <c r="V126" s="128"/>
      <c r="W126" s="128"/>
      <c r="X126" s="128"/>
      <c r="Y126" s="128"/>
      <c r="Z126" s="112"/>
      <c r="AA126" s="112"/>
      <c r="AB126" s="112"/>
      <c r="AC126" s="112"/>
      <c r="AD126" s="112"/>
      <c r="AE126" s="112"/>
      <c r="AF126" s="112"/>
      <c r="AG126" s="112"/>
      <c r="AH126" s="112"/>
      <c r="AI126" s="112"/>
      <c r="AJ126" s="112"/>
      <c r="AK126" s="112"/>
      <c r="AL126" s="112"/>
      <c r="AM126" s="112"/>
      <c r="AN126" s="112"/>
      <c r="AO126" s="112"/>
      <c r="AP126" s="112"/>
    </row>
    <row r="127" ht="15.75" customHeight="1">
      <c r="A127" s="112"/>
      <c r="B127" s="112"/>
      <c r="C127" s="112"/>
      <c r="D127" s="112"/>
      <c r="E127" s="128"/>
      <c r="F127" s="112"/>
      <c r="G127" s="112"/>
      <c r="H127" s="128"/>
      <c r="I127" s="112"/>
      <c r="J127" s="112"/>
      <c r="K127" s="112"/>
      <c r="L127" s="128"/>
      <c r="M127" s="128"/>
      <c r="N127" s="112"/>
      <c r="O127" s="112"/>
      <c r="P127" s="112"/>
      <c r="Q127" s="112"/>
      <c r="R127" s="112"/>
      <c r="S127" s="112"/>
      <c r="T127" s="128"/>
      <c r="U127" s="128"/>
      <c r="V127" s="128"/>
      <c r="W127" s="128"/>
      <c r="X127" s="128"/>
      <c r="Y127" s="128"/>
      <c r="Z127" s="112"/>
      <c r="AA127" s="112"/>
      <c r="AB127" s="112"/>
      <c r="AC127" s="112"/>
      <c r="AD127" s="112"/>
      <c r="AE127" s="112"/>
      <c r="AF127" s="112"/>
      <c r="AG127" s="112"/>
      <c r="AH127" s="112"/>
      <c r="AI127" s="112"/>
      <c r="AJ127" s="112"/>
      <c r="AK127" s="112"/>
      <c r="AL127" s="112"/>
      <c r="AM127" s="112"/>
      <c r="AN127" s="112"/>
      <c r="AO127" s="112"/>
      <c r="AP127" s="112"/>
    </row>
    <row r="128" ht="15.75" customHeight="1">
      <c r="A128" s="112"/>
      <c r="B128" s="112"/>
      <c r="C128" s="112"/>
      <c r="D128" s="112"/>
      <c r="E128" s="128"/>
      <c r="F128" s="112"/>
      <c r="G128" s="112"/>
      <c r="H128" s="128"/>
      <c r="I128" s="112"/>
      <c r="J128" s="112"/>
      <c r="K128" s="112"/>
      <c r="L128" s="128"/>
      <c r="M128" s="128"/>
      <c r="N128" s="112"/>
      <c r="O128" s="112"/>
      <c r="P128" s="112"/>
      <c r="Q128" s="112"/>
      <c r="R128" s="112"/>
      <c r="S128" s="112"/>
      <c r="T128" s="128"/>
      <c r="U128" s="128"/>
      <c r="V128" s="128"/>
      <c r="W128" s="128"/>
      <c r="X128" s="128"/>
      <c r="Y128" s="128"/>
      <c r="Z128" s="112"/>
      <c r="AA128" s="112"/>
      <c r="AB128" s="112"/>
      <c r="AC128" s="112"/>
      <c r="AD128" s="112"/>
      <c r="AE128" s="112"/>
      <c r="AF128" s="112"/>
      <c r="AG128" s="112"/>
      <c r="AH128" s="112"/>
      <c r="AI128" s="112"/>
      <c r="AJ128" s="112"/>
      <c r="AK128" s="112"/>
      <c r="AL128" s="112"/>
      <c r="AM128" s="112"/>
      <c r="AN128" s="112"/>
      <c r="AO128" s="112"/>
      <c r="AP128" s="112"/>
    </row>
    <row r="129" ht="15.75" customHeight="1">
      <c r="A129" s="112"/>
      <c r="B129" s="112"/>
      <c r="C129" s="112"/>
      <c r="D129" s="112"/>
      <c r="E129" s="128"/>
      <c r="F129" s="112"/>
      <c r="G129" s="112"/>
      <c r="H129" s="128"/>
      <c r="I129" s="112"/>
      <c r="J129" s="112"/>
      <c r="K129" s="112"/>
      <c r="L129" s="128"/>
      <c r="M129" s="128"/>
      <c r="N129" s="112"/>
      <c r="O129" s="112"/>
      <c r="P129" s="112"/>
      <c r="Q129" s="112"/>
      <c r="R129" s="112"/>
      <c r="S129" s="112"/>
      <c r="T129" s="128"/>
      <c r="U129" s="128"/>
      <c r="V129" s="128"/>
      <c r="W129" s="128"/>
      <c r="X129" s="128"/>
      <c r="Y129" s="128"/>
      <c r="Z129" s="112"/>
      <c r="AA129" s="112"/>
      <c r="AB129" s="112"/>
      <c r="AC129" s="112"/>
      <c r="AD129" s="112"/>
      <c r="AE129" s="112"/>
      <c r="AF129" s="112"/>
      <c r="AG129" s="112"/>
      <c r="AH129" s="112"/>
      <c r="AI129" s="112"/>
      <c r="AJ129" s="112"/>
      <c r="AK129" s="112"/>
      <c r="AL129" s="112"/>
      <c r="AM129" s="112"/>
      <c r="AN129" s="112"/>
      <c r="AO129" s="112"/>
      <c r="AP129" s="112"/>
    </row>
    <row r="130" ht="15.75" customHeight="1">
      <c r="A130" s="112"/>
      <c r="B130" s="112"/>
      <c r="C130" s="112"/>
      <c r="D130" s="112"/>
      <c r="E130" s="128"/>
      <c r="F130" s="112"/>
      <c r="G130" s="112"/>
      <c r="H130" s="128"/>
      <c r="I130" s="112"/>
      <c r="J130" s="112"/>
      <c r="K130" s="112"/>
      <c r="L130" s="128"/>
      <c r="M130" s="128"/>
      <c r="N130" s="112"/>
      <c r="O130" s="112"/>
      <c r="P130" s="112"/>
      <c r="Q130" s="112"/>
      <c r="R130" s="112"/>
      <c r="S130" s="112"/>
      <c r="T130" s="128"/>
      <c r="U130" s="128"/>
      <c r="V130" s="128"/>
      <c r="W130" s="128"/>
      <c r="X130" s="128"/>
      <c r="Y130" s="128"/>
      <c r="Z130" s="112"/>
      <c r="AA130" s="112"/>
      <c r="AB130" s="112"/>
      <c r="AC130" s="112"/>
      <c r="AD130" s="112"/>
      <c r="AE130" s="112"/>
      <c r="AF130" s="112"/>
      <c r="AG130" s="112"/>
      <c r="AH130" s="112"/>
      <c r="AI130" s="112"/>
      <c r="AJ130" s="112"/>
      <c r="AK130" s="112"/>
      <c r="AL130" s="112"/>
      <c r="AM130" s="112"/>
      <c r="AN130" s="112"/>
      <c r="AO130" s="112"/>
      <c r="AP130" s="112"/>
    </row>
    <row r="131" ht="15.75" customHeight="1">
      <c r="A131" s="112"/>
      <c r="B131" s="112"/>
      <c r="C131" s="112"/>
      <c r="D131" s="112"/>
      <c r="E131" s="128"/>
      <c r="F131" s="112"/>
      <c r="G131" s="112"/>
      <c r="H131" s="128"/>
      <c r="I131" s="112"/>
      <c r="J131" s="112"/>
      <c r="K131" s="112"/>
      <c r="L131" s="128"/>
      <c r="M131" s="128"/>
      <c r="N131" s="112"/>
      <c r="O131" s="112"/>
      <c r="P131" s="112"/>
      <c r="Q131" s="112"/>
      <c r="R131" s="112"/>
      <c r="S131" s="112"/>
      <c r="T131" s="128"/>
      <c r="U131" s="128"/>
      <c r="V131" s="128"/>
      <c r="W131" s="128"/>
      <c r="X131" s="128"/>
      <c r="Y131" s="128"/>
      <c r="Z131" s="112"/>
      <c r="AA131" s="112"/>
      <c r="AB131" s="112"/>
      <c r="AC131" s="112"/>
      <c r="AD131" s="112"/>
      <c r="AE131" s="112"/>
      <c r="AF131" s="112"/>
      <c r="AG131" s="112"/>
      <c r="AH131" s="112"/>
      <c r="AI131" s="112"/>
      <c r="AJ131" s="112"/>
      <c r="AK131" s="112"/>
      <c r="AL131" s="112"/>
      <c r="AM131" s="112"/>
      <c r="AN131" s="112"/>
      <c r="AO131" s="112"/>
      <c r="AP131" s="112"/>
    </row>
    <row r="132" ht="15.75" customHeight="1">
      <c r="A132" s="112"/>
      <c r="B132" s="112"/>
      <c r="C132" s="112"/>
      <c r="D132" s="112"/>
      <c r="E132" s="128"/>
      <c r="F132" s="112"/>
      <c r="G132" s="112"/>
      <c r="H132" s="128"/>
      <c r="I132" s="112"/>
      <c r="J132" s="112"/>
      <c r="K132" s="112"/>
      <c r="L132" s="128"/>
      <c r="M132" s="128"/>
      <c r="N132" s="112"/>
      <c r="O132" s="112"/>
      <c r="P132" s="112"/>
      <c r="Q132" s="112"/>
      <c r="R132" s="112"/>
      <c r="S132" s="112"/>
      <c r="T132" s="128"/>
      <c r="U132" s="128"/>
      <c r="V132" s="128"/>
      <c r="W132" s="128"/>
      <c r="X132" s="128"/>
      <c r="Y132" s="128"/>
      <c r="Z132" s="112"/>
      <c r="AA132" s="112"/>
      <c r="AB132" s="112"/>
      <c r="AC132" s="112"/>
      <c r="AD132" s="112"/>
      <c r="AE132" s="112"/>
      <c r="AF132" s="112"/>
      <c r="AG132" s="112"/>
      <c r="AH132" s="112"/>
      <c r="AI132" s="112"/>
      <c r="AJ132" s="112"/>
      <c r="AK132" s="112"/>
      <c r="AL132" s="112"/>
      <c r="AM132" s="112"/>
      <c r="AN132" s="112"/>
      <c r="AO132" s="112"/>
      <c r="AP132" s="112"/>
    </row>
    <row r="133" ht="15.75" customHeight="1">
      <c r="A133" s="112"/>
      <c r="B133" s="112"/>
      <c r="C133" s="112"/>
      <c r="D133" s="112"/>
      <c r="E133" s="128"/>
      <c r="F133" s="112"/>
      <c r="G133" s="112"/>
      <c r="H133" s="128"/>
      <c r="I133" s="112"/>
      <c r="J133" s="112"/>
      <c r="K133" s="112"/>
      <c r="L133" s="128"/>
      <c r="M133" s="128"/>
      <c r="N133" s="112"/>
      <c r="O133" s="112"/>
      <c r="P133" s="112"/>
      <c r="Q133" s="112"/>
      <c r="R133" s="112"/>
      <c r="S133" s="112"/>
      <c r="T133" s="128"/>
      <c r="U133" s="128"/>
      <c r="V133" s="128"/>
      <c r="W133" s="128"/>
      <c r="X133" s="128"/>
      <c r="Y133" s="128"/>
      <c r="Z133" s="112"/>
      <c r="AA133" s="112"/>
      <c r="AB133" s="112"/>
      <c r="AC133" s="112"/>
      <c r="AD133" s="112"/>
      <c r="AE133" s="112"/>
      <c r="AF133" s="112"/>
      <c r="AG133" s="112"/>
      <c r="AH133" s="112"/>
      <c r="AI133" s="112"/>
      <c r="AJ133" s="112"/>
      <c r="AK133" s="112"/>
      <c r="AL133" s="112"/>
      <c r="AM133" s="112"/>
      <c r="AN133" s="112"/>
      <c r="AO133" s="112"/>
      <c r="AP133" s="112"/>
    </row>
    <row r="134" ht="15.75" customHeight="1">
      <c r="A134" s="112"/>
      <c r="B134" s="112"/>
      <c r="C134" s="112"/>
      <c r="D134" s="112"/>
      <c r="E134" s="128"/>
      <c r="F134" s="112"/>
      <c r="G134" s="112"/>
      <c r="H134" s="128"/>
      <c r="I134" s="112"/>
      <c r="J134" s="112"/>
      <c r="K134" s="112"/>
      <c r="L134" s="128"/>
      <c r="M134" s="128"/>
      <c r="N134" s="112"/>
      <c r="O134" s="112"/>
      <c r="P134" s="112"/>
      <c r="Q134" s="112"/>
      <c r="R134" s="112"/>
      <c r="S134" s="112"/>
      <c r="T134" s="128"/>
      <c r="U134" s="128"/>
      <c r="V134" s="128"/>
      <c r="W134" s="128"/>
      <c r="X134" s="128"/>
      <c r="Y134" s="128"/>
      <c r="Z134" s="112"/>
      <c r="AA134" s="112"/>
      <c r="AB134" s="112"/>
      <c r="AC134" s="112"/>
      <c r="AD134" s="112"/>
      <c r="AE134" s="112"/>
      <c r="AF134" s="112"/>
      <c r="AG134" s="112"/>
      <c r="AH134" s="112"/>
      <c r="AI134" s="112"/>
      <c r="AJ134" s="112"/>
      <c r="AK134" s="112"/>
      <c r="AL134" s="112"/>
      <c r="AM134" s="112"/>
      <c r="AN134" s="112"/>
      <c r="AO134" s="112"/>
      <c r="AP134" s="112"/>
    </row>
    <row r="135" ht="15.75" customHeight="1">
      <c r="A135" s="112"/>
      <c r="B135" s="112"/>
      <c r="C135" s="112"/>
      <c r="D135" s="112"/>
      <c r="E135" s="128"/>
      <c r="F135" s="112"/>
      <c r="G135" s="112"/>
      <c r="H135" s="128"/>
      <c r="I135" s="112"/>
      <c r="J135" s="112"/>
      <c r="K135" s="112"/>
      <c r="L135" s="128"/>
      <c r="M135" s="128"/>
      <c r="N135" s="112"/>
      <c r="O135" s="112"/>
      <c r="P135" s="112"/>
      <c r="Q135" s="112"/>
      <c r="R135" s="112"/>
      <c r="S135" s="112"/>
      <c r="T135" s="128"/>
      <c r="U135" s="128"/>
      <c r="V135" s="128"/>
      <c r="W135" s="128"/>
      <c r="X135" s="128"/>
      <c r="Y135" s="128"/>
      <c r="Z135" s="112"/>
      <c r="AA135" s="112"/>
      <c r="AB135" s="112"/>
      <c r="AC135" s="112"/>
      <c r="AD135" s="112"/>
      <c r="AE135" s="112"/>
      <c r="AF135" s="112"/>
      <c r="AG135" s="112"/>
      <c r="AH135" s="112"/>
      <c r="AI135" s="112"/>
      <c r="AJ135" s="112"/>
      <c r="AK135" s="112"/>
      <c r="AL135" s="112"/>
      <c r="AM135" s="112"/>
      <c r="AN135" s="112"/>
      <c r="AO135" s="112"/>
      <c r="AP135" s="112"/>
    </row>
    <row r="136" ht="15.75" customHeight="1">
      <c r="A136" s="112"/>
      <c r="B136" s="112"/>
      <c r="C136" s="112"/>
      <c r="D136" s="112"/>
      <c r="E136" s="128"/>
      <c r="F136" s="112"/>
      <c r="G136" s="112"/>
      <c r="H136" s="128"/>
      <c r="I136" s="112"/>
      <c r="J136" s="112"/>
      <c r="K136" s="112"/>
      <c r="L136" s="128"/>
      <c r="M136" s="128"/>
      <c r="N136" s="112"/>
      <c r="O136" s="112"/>
      <c r="P136" s="112"/>
      <c r="Q136" s="112"/>
      <c r="R136" s="112"/>
      <c r="S136" s="112"/>
      <c r="T136" s="128"/>
      <c r="U136" s="128"/>
      <c r="V136" s="128"/>
      <c r="W136" s="128"/>
      <c r="X136" s="128"/>
      <c r="Y136" s="128"/>
      <c r="Z136" s="112"/>
      <c r="AA136" s="112"/>
      <c r="AB136" s="112"/>
      <c r="AC136" s="112"/>
      <c r="AD136" s="112"/>
      <c r="AE136" s="112"/>
      <c r="AF136" s="112"/>
      <c r="AG136" s="112"/>
      <c r="AH136" s="112"/>
      <c r="AI136" s="112"/>
      <c r="AJ136" s="112"/>
      <c r="AK136" s="112"/>
      <c r="AL136" s="112"/>
      <c r="AM136" s="112"/>
      <c r="AN136" s="112"/>
      <c r="AO136" s="112"/>
      <c r="AP136" s="112"/>
    </row>
    <row r="137" ht="15.75" customHeight="1">
      <c r="A137" s="112"/>
      <c r="B137" s="112"/>
      <c r="C137" s="112"/>
      <c r="D137" s="112"/>
      <c r="E137" s="128"/>
      <c r="F137" s="112"/>
      <c r="G137" s="112"/>
      <c r="H137" s="128"/>
      <c r="I137" s="112"/>
      <c r="J137" s="112"/>
      <c r="K137" s="112"/>
      <c r="L137" s="128"/>
      <c r="M137" s="128"/>
      <c r="N137" s="112"/>
      <c r="O137" s="112"/>
      <c r="P137" s="112"/>
      <c r="Q137" s="112"/>
      <c r="R137" s="112"/>
      <c r="S137" s="112"/>
      <c r="T137" s="128"/>
      <c r="U137" s="128"/>
      <c r="V137" s="128"/>
      <c r="W137" s="128"/>
      <c r="X137" s="128"/>
      <c r="Y137" s="128"/>
      <c r="Z137" s="112"/>
      <c r="AA137" s="112"/>
      <c r="AB137" s="112"/>
      <c r="AC137" s="112"/>
      <c r="AD137" s="112"/>
      <c r="AE137" s="112"/>
      <c r="AF137" s="112"/>
      <c r="AG137" s="112"/>
      <c r="AH137" s="112"/>
      <c r="AI137" s="112"/>
      <c r="AJ137" s="112"/>
      <c r="AK137" s="112"/>
      <c r="AL137" s="112"/>
      <c r="AM137" s="112"/>
      <c r="AN137" s="112"/>
      <c r="AO137" s="112"/>
      <c r="AP137" s="112"/>
    </row>
    <row r="138" ht="15.75" customHeight="1">
      <c r="A138" s="112"/>
      <c r="B138" s="112"/>
      <c r="C138" s="112"/>
      <c r="D138" s="112"/>
      <c r="E138" s="128"/>
      <c r="F138" s="112"/>
      <c r="G138" s="112"/>
      <c r="H138" s="128"/>
      <c r="I138" s="112"/>
      <c r="J138" s="112"/>
      <c r="K138" s="112"/>
      <c r="L138" s="128"/>
      <c r="M138" s="128"/>
      <c r="N138" s="112"/>
      <c r="O138" s="112"/>
      <c r="P138" s="112"/>
      <c r="Q138" s="112"/>
      <c r="R138" s="112"/>
      <c r="S138" s="112"/>
      <c r="T138" s="128"/>
      <c r="U138" s="128"/>
      <c r="V138" s="128"/>
      <c r="W138" s="128"/>
      <c r="X138" s="128"/>
      <c r="Y138" s="128"/>
      <c r="Z138" s="112"/>
      <c r="AA138" s="112"/>
      <c r="AB138" s="112"/>
      <c r="AC138" s="112"/>
      <c r="AD138" s="112"/>
      <c r="AE138" s="112"/>
      <c r="AF138" s="112"/>
      <c r="AG138" s="112"/>
      <c r="AH138" s="112"/>
      <c r="AI138" s="112"/>
      <c r="AJ138" s="112"/>
      <c r="AK138" s="112"/>
      <c r="AL138" s="112"/>
      <c r="AM138" s="112"/>
      <c r="AN138" s="112"/>
      <c r="AO138" s="112"/>
      <c r="AP138" s="112"/>
    </row>
    <row r="139" ht="15.75" customHeight="1">
      <c r="A139" s="112"/>
      <c r="B139" s="112"/>
      <c r="C139" s="112"/>
      <c r="D139" s="112"/>
      <c r="E139" s="128"/>
      <c r="F139" s="112"/>
      <c r="G139" s="112"/>
      <c r="H139" s="128"/>
      <c r="I139" s="112"/>
      <c r="J139" s="112"/>
      <c r="K139" s="112"/>
      <c r="L139" s="128"/>
      <c r="M139" s="128"/>
      <c r="N139" s="112"/>
      <c r="O139" s="112"/>
      <c r="P139" s="112"/>
      <c r="Q139" s="112"/>
      <c r="R139" s="112"/>
      <c r="S139" s="112"/>
      <c r="T139" s="128"/>
      <c r="U139" s="128"/>
      <c r="V139" s="128"/>
      <c r="W139" s="128"/>
      <c r="X139" s="128"/>
      <c r="Y139" s="128"/>
      <c r="Z139" s="112"/>
      <c r="AA139" s="112"/>
      <c r="AB139" s="112"/>
      <c r="AC139" s="112"/>
      <c r="AD139" s="112"/>
      <c r="AE139" s="112"/>
      <c r="AF139" s="112"/>
      <c r="AG139" s="112"/>
      <c r="AH139" s="112"/>
      <c r="AI139" s="112"/>
      <c r="AJ139" s="112"/>
      <c r="AK139" s="112"/>
      <c r="AL139" s="112"/>
      <c r="AM139" s="112"/>
      <c r="AN139" s="112"/>
      <c r="AO139" s="112"/>
      <c r="AP139" s="112"/>
    </row>
    <row r="140" ht="15.75" customHeight="1">
      <c r="A140" s="112"/>
      <c r="B140" s="112"/>
      <c r="C140" s="112"/>
      <c r="D140" s="112"/>
      <c r="E140" s="128"/>
      <c r="F140" s="112"/>
      <c r="G140" s="112"/>
      <c r="H140" s="128"/>
      <c r="I140" s="112"/>
      <c r="J140" s="112"/>
      <c r="K140" s="112"/>
      <c r="L140" s="128"/>
      <c r="M140" s="128"/>
      <c r="N140" s="112"/>
      <c r="O140" s="112"/>
      <c r="P140" s="112"/>
      <c r="Q140" s="112"/>
      <c r="R140" s="112"/>
      <c r="S140" s="112"/>
      <c r="T140" s="128"/>
      <c r="U140" s="128"/>
      <c r="V140" s="128"/>
      <c r="W140" s="128"/>
      <c r="X140" s="128"/>
      <c r="Y140" s="128"/>
      <c r="Z140" s="112"/>
      <c r="AA140" s="112"/>
      <c r="AB140" s="112"/>
      <c r="AC140" s="112"/>
      <c r="AD140" s="112"/>
      <c r="AE140" s="112"/>
      <c r="AF140" s="112"/>
      <c r="AG140" s="112"/>
      <c r="AH140" s="112"/>
      <c r="AI140" s="112"/>
      <c r="AJ140" s="112"/>
      <c r="AK140" s="112"/>
      <c r="AL140" s="112"/>
      <c r="AM140" s="112"/>
      <c r="AN140" s="112"/>
      <c r="AO140" s="112"/>
      <c r="AP140" s="112"/>
    </row>
    <row r="141" ht="15.75" customHeight="1">
      <c r="A141" s="112"/>
      <c r="B141" s="112"/>
      <c r="C141" s="112"/>
      <c r="D141" s="112"/>
      <c r="E141" s="128"/>
      <c r="F141" s="112"/>
      <c r="G141" s="112"/>
      <c r="H141" s="128"/>
      <c r="I141" s="112"/>
      <c r="J141" s="112"/>
      <c r="K141" s="112"/>
      <c r="L141" s="128"/>
      <c r="M141" s="128"/>
      <c r="N141" s="112"/>
      <c r="O141" s="112"/>
      <c r="P141" s="112"/>
      <c r="Q141" s="112"/>
      <c r="R141" s="112"/>
      <c r="S141" s="112"/>
      <c r="T141" s="128"/>
      <c r="U141" s="128"/>
      <c r="V141" s="128"/>
      <c r="W141" s="128"/>
      <c r="X141" s="128"/>
      <c r="Y141" s="128"/>
      <c r="Z141" s="112"/>
      <c r="AA141" s="112"/>
      <c r="AB141" s="112"/>
      <c r="AC141" s="112"/>
      <c r="AD141" s="112"/>
      <c r="AE141" s="112"/>
      <c r="AF141" s="112"/>
      <c r="AG141" s="112"/>
      <c r="AH141" s="112"/>
      <c r="AI141" s="112"/>
      <c r="AJ141" s="112"/>
      <c r="AK141" s="112"/>
      <c r="AL141" s="112"/>
      <c r="AM141" s="112"/>
      <c r="AN141" s="112"/>
      <c r="AO141" s="112"/>
      <c r="AP141" s="112"/>
    </row>
    <row r="142" ht="15.75" customHeight="1">
      <c r="A142" s="112"/>
      <c r="B142" s="112"/>
      <c r="C142" s="112"/>
      <c r="D142" s="112"/>
      <c r="E142" s="128"/>
      <c r="F142" s="112"/>
      <c r="G142" s="112"/>
      <c r="H142" s="128"/>
      <c r="I142" s="112"/>
      <c r="J142" s="112"/>
      <c r="K142" s="112"/>
      <c r="L142" s="128"/>
      <c r="M142" s="128"/>
      <c r="N142" s="112"/>
      <c r="O142" s="112"/>
      <c r="P142" s="112"/>
      <c r="Q142" s="112"/>
      <c r="R142" s="112"/>
      <c r="S142" s="112"/>
      <c r="T142" s="128"/>
      <c r="U142" s="128"/>
      <c r="V142" s="128"/>
      <c r="W142" s="128"/>
      <c r="X142" s="128"/>
      <c r="Y142" s="128"/>
      <c r="Z142" s="112"/>
      <c r="AA142" s="112"/>
      <c r="AB142" s="112"/>
      <c r="AC142" s="112"/>
      <c r="AD142" s="112"/>
      <c r="AE142" s="112"/>
      <c r="AF142" s="112"/>
      <c r="AG142" s="112"/>
      <c r="AH142" s="112"/>
      <c r="AI142" s="112"/>
      <c r="AJ142" s="112"/>
      <c r="AK142" s="112"/>
      <c r="AL142" s="112"/>
      <c r="AM142" s="112"/>
      <c r="AN142" s="112"/>
      <c r="AO142" s="112"/>
      <c r="AP142" s="112"/>
    </row>
    <row r="143" ht="15.75" customHeight="1">
      <c r="A143" s="112"/>
      <c r="B143" s="112"/>
      <c r="C143" s="112"/>
      <c r="D143" s="112"/>
      <c r="E143" s="128"/>
      <c r="F143" s="112"/>
      <c r="G143" s="112"/>
      <c r="H143" s="128"/>
      <c r="I143" s="112"/>
      <c r="J143" s="112"/>
      <c r="K143" s="112"/>
      <c r="L143" s="128"/>
      <c r="M143" s="128"/>
      <c r="N143" s="112"/>
      <c r="O143" s="112"/>
      <c r="P143" s="112"/>
      <c r="Q143" s="112"/>
      <c r="R143" s="112"/>
      <c r="S143" s="112"/>
      <c r="T143" s="128"/>
      <c r="U143" s="128"/>
      <c r="V143" s="128"/>
      <c r="W143" s="128"/>
      <c r="X143" s="128"/>
      <c r="Y143" s="128"/>
      <c r="Z143" s="112"/>
      <c r="AA143" s="112"/>
      <c r="AB143" s="112"/>
      <c r="AC143" s="112"/>
      <c r="AD143" s="112"/>
      <c r="AE143" s="112"/>
      <c r="AF143" s="112"/>
      <c r="AG143" s="112"/>
      <c r="AH143" s="112"/>
      <c r="AI143" s="112"/>
      <c r="AJ143" s="112"/>
      <c r="AK143" s="112"/>
      <c r="AL143" s="112"/>
      <c r="AM143" s="112"/>
      <c r="AN143" s="112"/>
      <c r="AO143" s="112"/>
      <c r="AP143" s="112"/>
    </row>
    <row r="144" ht="15.75" customHeight="1">
      <c r="A144" s="112"/>
      <c r="B144" s="112"/>
      <c r="C144" s="112"/>
      <c r="D144" s="112"/>
      <c r="E144" s="128"/>
      <c r="F144" s="112"/>
      <c r="G144" s="112"/>
      <c r="H144" s="128"/>
      <c r="I144" s="112"/>
      <c r="J144" s="112"/>
      <c r="K144" s="112"/>
      <c r="L144" s="128"/>
      <c r="M144" s="128"/>
      <c r="N144" s="112"/>
      <c r="O144" s="112"/>
      <c r="P144" s="112"/>
      <c r="Q144" s="112"/>
      <c r="R144" s="112"/>
      <c r="S144" s="112"/>
      <c r="T144" s="128"/>
      <c r="U144" s="128"/>
      <c r="V144" s="128"/>
      <c r="W144" s="128"/>
      <c r="X144" s="128"/>
      <c r="Y144" s="128"/>
      <c r="Z144" s="112"/>
      <c r="AA144" s="112"/>
      <c r="AB144" s="112"/>
      <c r="AC144" s="112"/>
      <c r="AD144" s="112"/>
      <c r="AE144" s="112"/>
      <c r="AF144" s="112"/>
      <c r="AG144" s="112"/>
      <c r="AH144" s="112"/>
      <c r="AI144" s="112"/>
      <c r="AJ144" s="112"/>
      <c r="AK144" s="112"/>
      <c r="AL144" s="112"/>
      <c r="AM144" s="112"/>
      <c r="AN144" s="112"/>
      <c r="AO144" s="112"/>
      <c r="AP144" s="112"/>
    </row>
    <row r="145" ht="15.75" customHeight="1">
      <c r="A145" s="112"/>
      <c r="B145" s="112"/>
      <c r="C145" s="112"/>
      <c r="D145" s="112"/>
      <c r="E145" s="128"/>
      <c r="F145" s="112"/>
      <c r="G145" s="112"/>
      <c r="H145" s="128"/>
      <c r="I145" s="112"/>
      <c r="J145" s="112"/>
      <c r="K145" s="112"/>
      <c r="L145" s="128"/>
      <c r="M145" s="128"/>
      <c r="N145" s="112"/>
      <c r="O145" s="112"/>
      <c r="P145" s="112"/>
      <c r="Q145" s="112"/>
      <c r="R145" s="112"/>
      <c r="S145" s="112"/>
      <c r="T145" s="128"/>
      <c r="U145" s="128"/>
      <c r="V145" s="128"/>
      <c r="W145" s="128"/>
      <c r="X145" s="128"/>
      <c r="Y145" s="128"/>
      <c r="Z145" s="112"/>
      <c r="AA145" s="112"/>
      <c r="AB145" s="112"/>
      <c r="AC145" s="112"/>
      <c r="AD145" s="112"/>
      <c r="AE145" s="112"/>
      <c r="AF145" s="112"/>
      <c r="AG145" s="112"/>
      <c r="AH145" s="112"/>
      <c r="AI145" s="112"/>
      <c r="AJ145" s="112"/>
      <c r="AK145" s="112"/>
      <c r="AL145" s="112"/>
      <c r="AM145" s="112"/>
      <c r="AN145" s="112"/>
      <c r="AO145" s="112"/>
      <c r="AP145" s="112"/>
    </row>
    <row r="146" ht="15.75" customHeight="1">
      <c r="A146" s="112"/>
      <c r="B146" s="112"/>
      <c r="C146" s="112"/>
      <c r="D146" s="112"/>
      <c r="E146" s="128"/>
      <c r="F146" s="112"/>
      <c r="G146" s="112"/>
      <c r="H146" s="128"/>
      <c r="I146" s="112"/>
      <c r="J146" s="112"/>
      <c r="K146" s="112"/>
      <c r="L146" s="128"/>
      <c r="M146" s="128"/>
      <c r="N146" s="112"/>
      <c r="O146" s="112"/>
      <c r="P146" s="112"/>
      <c r="Q146" s="112"/>
      <c r="R146" s="112"/>
      <c r="S146" s="112"/>
      <c r="T146" s="128"/>
      <c r="U146" s="128"/>
      <c r="V146" s="128"/>
      <c r="W146" s="128"/>
      <c r="X146" s="128"/>
      <c r="Y146" s="128"/>
      <c r="Z146" s="112"/>
      <c r="AA146" s="112"/>
      <c r="AB146" s="112"/>
      <c r="AC146" s="112"/>
      <c r="AD146" s="112"/>
      <c r="AE146" s="112"/>
      <c r="AF146" s="112"/>
      <c r="AG146" s="112"/>
      <c r="AH146" s="112"/>
      <c r="AI146" s="112"/>
      <c r="AJ146" s="112"/>
      <c r="AK146" s="112"/>
      <c r="AL146" s="112"/>
      <c r="AM146" s="112"/>
      <c r="AN146" s="112"/>
      <c r="AO146" s="112"/>
      <c r="AP146" s="112"/>
    </row>
    <row r="147" ht="15.75" customHeight="1">
      <c r="A147" s="112"/>
      <c r="B147" s="112"/>
      <c r="C147" s="112"/>
      <c r="D147" s="112"/>
      <c r="E147" s="128"/>
      <c r="F147" s="112"/>
      <c r="G147" s="112"/>
      <c r="H147" s="128"/>
      <c r="I147" s="112"/>
      <c r="J147" s="112"/>
      <c r="K147" s="112"/>
      <c r="L147" s="128"/>
      <c r="M147" s="128"/>
      <c r="N147" s="112"/>
      <c r="O147" s="112"/>
      <c r="P147" s="112"/>
      <c r="Q147" s="112"/>
      <c r="R147" s="112"/>
      <c r="S147" s="112"/>
      <c r="T147" s="128"/>
      <c r="U147" s="128"/>
      <c r="V147" s="128"/>
      <c r="W147" s="128"/>
      <c r="X147" s="128"/>
      <c r="Y147" s="128"/>
      <c r="Z147" s="112"/>
      <c r="AA147" s="112"/>
      <c r="AB147" s="112"/>
      <c r="AC147" s="112"/>
      <c r="AD147" s="112"/>
      <c r="AE147" s="112"/>
      <c r="AF147" s="112"/>
      <c r="AG147" s="112"/>
      <c r="AH147" s="112"/>
      <c r="AI147" s="112"/>
      <c r="AJ147" s="112"/>
      <c r="AK147" s="112"/>
      <c r="AL147" s="112"/>
      <c r="AM147" s="112"/>
      <c r="AN147" s="112"/>
      <c r="AO147" s="112"/>
      <c r="AP147" s="112"/>
    </row>
    <row r="148" ht="15.75" customHeight="1">
      <c r="A148" s="112"/>
      <c r="B148" s="112"/>
      <c r="C148" s="112"/>
      <c r="D148" s="112"/>
      <c r="E148" s="128"/>
      <c r="F148" s="112"/>
      <c r="G148" s="112"/>
      <c r="H148" s="128"/>
      <c r="I148" s="112"/>
      <c r="J148" s="112"/>
      <c r="K148" s="112"/>
      <c r="L148" s="128"/>
      <c r="M148" s="128"/>
      <c r="N148" s="112"/>
      <c r="O148" s="112"/>
      <c r="P148" s="112"/>
      <c r="Q148" s="112"/>
      <c r="R148" s="112"/>
      <c r="S148" s="112"/>
      <c r="T148" s="128"/>
      <c r="U148" s="128"/>
      <c r="V148" s="128"/>
      <c r="W148" s="128"/>
      <c r="X148" s="128"/>
      <c r="Y148" s="128"/>
      <c r="Z148" s="112"/>
      <c r="AA148" s="112"/>
      <c r="AB148" s="112"/>
      <c r="AC148" s="112"/>
      <c r="AD148" s="112"/>
      <c r="AE148" s="112"/>
      <c r="AF148" s="112"/>
      <c r="AG148" s="112"/>
      <c r="AH148" s="112"/>
      <c r="AI148" s="112"/>
      <c r="AJ148" s="112"/>
      <c r="AK148" s="112"/>
      <c r="AL148" s="112"/>
      <c r="AM148" s="112"/>
      <c r="AN148" s="112"/>
      <c r="AO148" s="112"/>
      <c r="AP148" s="112"/>
    </row>
    <row r="149" ht="15.75" customHeight="1">
      <c r="A149" s="112"/>
      <c r="B149" s="112"/>
      <c r="C149" s="112"/>
      <c r="D149" s="112"/>
      <c r="E149" s="128"/>
      <c r="F149" s="112"/>
      <c r="G149" s="112"/>
      <c r="H149" s="128"/>
      <c r="I149" s="112"/>
      <c r="J149" s="112"/>
      <c r="K149" s="112"/>
      <c r="L149" s="128"/>
      <c r="M149" s="128"/>
      <c r="N149" s="112"/>
      <c r="O149" s="112"/>
      <c r="P149" s="112"/>
      <c r="Q149" s="112"/>
      <c r="R149" s="112"/>
      <c r="S149" s="112"/>
      <c r="T149" s="128"/>
      <c r="U149" s="128"/>
      <c r="V149" s="128"/>
      <c r="W149" s="128"/>
      <c r="X149" s="128"/>
      <c r="Y149" s="128"/>
      <c r="Z149" s="112"/>
      <c r="AA149" s="112"/>
      <c r="AB149" s="112"/>
      <c r="AC149" s="112"/>
      <c r="AD149" s="112"/>
      <c r="AE149" s="112"/>
      <c r="AF149" s="112"/>
      <c r="AG149" s="112"/>
      <c r="AH149" s="112"/>
      <c r="AI149" s="112"/>
      <c r="AJ149" s="112"/>
      <c r="AK149" s="112"/>
      <c r="AL149" s="112"/>
      <c r="AM149" s="112"/>
      <c r="AN149" s="112"/>
      <c r="AO149" s="112"/>
      <c r="AP149" s="112"/>
    </row>
    <row r="150" ht="15.75" customHeight="1">
      <c r="A150" s="112"/>
      <c r="B150" s="112"/>
      <c r="C150" s="112"/>
      <c r="D150" s="112"/>
      <c r="E150" s="128"/>
      <c r="F150" s="112"/>
      <c r="G150" s="112"/>
      <c r="H150" s="128"/>
      <c r="I150" s="112"/>
      <c r="J150" s="112"/>
      <c r="K150" s="112"/>
      <c r="L150" s="128"/>
      <c r="M150" s="128"/>
      <c r="N150" s="112"/>
      <c r="O150" s="112"/>
      <c r="P150" s="112"/>
      <c r="Q150" s="112"/>
      <c r="R150" s="112"/>
      <c r="S150" s="112"/>
      <c r="T150" s="128"/>
      <c r="U150" s="128"/>
      <c r="V150" s="128"/>
      <c r="W150" s="128"/>
      <c r="X150" s="128"/>
      <c r="Y150" s="128"/>
      <c r="Z150" s="112"/>
      <c r="AA150" s="112"/>
      <c r="AB150" s="112"/>
      <c r="AC150" s="112"/>
      <c r="AD150" s="112"/>
      <c r="AE150" s="112"/>
      <c r="AF150" s="112"/>
      <c r="AG150" s="112"/>
      <c r="AH150" s="112"/>
      <c r="AI150" s="112"/>
      <c r="AJ150" s="112"/>
      <c r="AK150" s="112"/>
      <c r="AL150" s="112"/>
      <c r="AM150" s="112"/>
      <c r="AN150" s="112"/>
      <c r="AO150" s="112"/>
      <c r="AP150" s="112"/>
    </row>
    <row r="151" ht="15.75" customHeight="1">
      <c r="A151" s="112"/>
      <c r="B151" s="112"/>
      <c r="C151" s="112"/>
      <c r="D151" s="112"/>
      <c r="E151" s="128"/>
      <c r="F151" s="112"/>
      <c r="G151" s="112"/>
      <c r="H151" s="128"/>
      <c r="I151" s="112"/>
      <c r="J151" s="112"/>
      <c r="K151" s="112"/>
      <c r="L151" s="128"/>
      <c r="M151" s="128"/>
      <c r="N151" s="112"/>
      <c r="O151" s="112"/>
      <c r="P151" s="112"/>
      <c r="Q151" s="112"/>
      <c r="R151" s="112"/>
      <c r="S151" s="112"/>
      <c r="T151" s="128"/>
      <c r="U151" s="128"/>
      <c r="V151" s="128"/>
      <c r="W151" s="128"/>
      <c r="X151" s="128"/>
      <c r="Y151" s="128"/>
      <c r="Z151" s="112"/>
      <c r="AA151" s="112"/>
      <c r="AB151" s="112"/>
      <c r="AC151" s="112"/>
      <c r="AD151" s="112"/>
      <c r="AE151" s="112"/>
      <c r="AF151" s="112"/>
      <c r="AG151" s="112"/>
      <c r="AH151" s="112"/>
      <c r="AI151" s="112"/>
      <c r="AJ151" s="112"/>
      <c r="AK151" s="112"/>
      <c r="AL151" s="112"/>
      <c r="AM151" s="112"/>
      <c r="AN151" s="112"/>
      <c r="AO151" s="112"/>
      <c r="AP151" s="112"/>
    </row>
    <row r="152" ht="15.75" customHeight="1">
      <c r="A152" s="112"/>
      <c r="B152" s="112"/>
      <c r="C152" s="112"/>
      <c r="D152" s="112"/>
      <c r="E152" s="128"/>
      <c r="F152" s="112"/>
      <c r="G152" s="112"/>
      <c r="H152" s="128"/>
      <c r="I152" s="112"/>
      <c r="J152" s="112"/>
      <c r="K152" s="112"/>
      <c r="L152" s="128"/>
      <c r="M152" s="128"/>
      <c r="N152" s="112"/>
      <c r="O152" s="112"/>
      <c r="P152" s="112"/>
      <c r="Q152" s="112"/>
      <c r="R152" s="112"/>
      <c r="S152" s="112"/>
      <c r="T152" s="128"/>
      <c r="U152" s="128"/>
      <c r="V152" s="128"/>
      <c r="W152" s="128"/>
      <c r="X152" s="128"/>
      <c r="Y152" s="128"/>
      <c r="Z152" s="112"/>
      <c r="AA152" s="112"/>
      <c r="AB152" s="112"/>
      <c r="AC152" s="112"/>
      <c r="AD152" s="112"/>
      <c r="AE152" s="112"/>
      <c r="AF152" s="112"/>
      <c r="AG152" s="112"/>
      <c r="AH152" s="112"/>
      <c r="AI152" s="112"/>
      <c r="AJ152" s="112"/>
      <c r="AK152" s="112"/>
      <c r="AL152" s="112"/>
      <c r="AM152" s="112"/>
      <c r="AN152" s="112"/>
      <c r="AO152" s="112"/>
      <c r="AP152" s="112"/>
    </row>
    <row r="153" ht="15.75" customHeight="1">
      <c r="A153" s="112"/>
      <c r="B153" s="112"/>
      <c r="C153" s="112"/>
      <c r="D153" s="112"/>
      <c r="E153" s="128"/>
      <c r="F153" s="112"/>
      <c r="G153" s="112"/>
      <c r="H153" s="128"/>
      <c r="I153" s="112"/>
      <c r="J153" s="112"/>
      <c r="K153" s="112"/>
      <c r="L153" s="128"/>
      <c r="M153" s="128"/>
      <c r="N153" s="112"/>
      <c r="O153" s="112"/>
      <c r="P153" s="112"/>
      <c r="Q153" s="112"/>
      <c r="R153" s="112"/>
      <c r="S153" s="112"/>
      <c r="T153" s="128"/>
      <c r="U153" s="128"/>
      <c r="V153" s="128"/>
      <c r="W153" s="128"/>
      <c r="X153" s="128"/>
      <c r="Y153" s="128"/>
      <c r="Z153" s="112"/>
      <c r="AA153" s="112"/>
      <c r="AB153" s="112"/>
      <c r="AC153" s="112"/>
      <c r="AD153" s="112"/>
      <c r="AE153" s="112"/>
      <c r="AF153" s="112"/>
      <c r="AG153" s="112"/>
      <c r="AH153" s="112"/>
      <c r="AI153" s="112"/>
      <c r="AJ153" s="112"/>
      <c r="AK153" s="112"/>
      <c r="AL153" s="112"/>
      <c r="AM153" s="112"/>
      <c r="AN153" s="112"/>
      <c r="AO153" s="112"/>
      <c r="AP153" s="112"/>
    </row>
    <row r="154" ht="15.75" customHeight="1">
      <c r="A154" s="112"/>
      <c r="B154" s="112"/>
      <c r="C154" s="112"/>
      <c r="D154" s="112"/>
      <c r="E154" s="128"/>
      <c r="F154" s="112"/>
      <c r="G154" s="112"/>
      <c r="H154" s="128"/>
      <c r="I154" s="112"/>
      <c r="J154" s="112"/>
      <c r="K154" s="112"/>
      <c r="L154" s="128"/>
      <c r="M154" s="128"/>
      <c r="N154" s="112"/>
      <c r="O154" s="112"/>
      <c r="P154" s="112"/>
      <c r="Q154" s="112"/>
      <c r="R154" s="112"/>
      <c r="S154" s="112"/>
      <c r="T154" s="128"/>
      <c r="U154" s="128"/>
      <c r="V154" s="128"/>
      <c r="W154" s="128"/>
      <c r="X154" s="128"/>
      <c r="Y154" s="128"/>
      <c r="Z154" s="112"/>
      <c r="AA154" s="112"/>
      <c r="AB154" s="112"/>
      <c r="AC154" s="112"/>
      <c r="AD154" s="112"/>
      <c r="AE154" s="112"/>
      <c r="AF154" s="112"/>
      <c r="AG154" s="112"/>
      <c r="AH154" s="112"/>
      <c r="AI154" s="112"/>
      <c r="AJ154" s="112"/>
      <c r="AK154" s="112"/>
      <c r="AL154" s="112"/>
      <c r="AM154" s="112"/>
      <c r="AN154" s="112"/>
      <c r="AO154" s="112"/>
      <c r="AP154" s="112"/>
    </row>
    <row r="155" ht="15.75" customHeight="1">
      <c r="A155" s="112"/>
      <c r="B155" s="112"/>
      <c r="C155" s="112"/>
      <c r="D155" s="112"/>
      <c r="E155" s="128"/>
      <c r="F155" s="112"/>
      <c r="G155" s="112"/>
      <c r="H155" s="128"/>
      <c r="I155" s="112"/>
      <c r="J155" s="112"/>
      <c r="K155" s="112"/>
      <c r="L155" s="128"/>
      <c r="M155" s="128"/>
      <c r="N155" s="112"/>
      <c r="O155" s="112"/>
      <c r="P155" s="112"/>
      <c r="Q155" s="112"/>
      <c r="R155" s="112"/>
      <c r="S155" s="112"/>
      <c r="T155" s="128"/>
      <c r="U155" s="128"/>
      <c r="V155" s="128"/>
      <c r="W155" s="128"/>
      <c r="X155" s="128"/>
      <c r="Y155" s="128"/>
      <c r="Z155" s="112"/>
      <c r="AA155" s="112"/>
      <c r="AB155" s="112"/>
      <c r="AC155" s="112"/>
      <c r="AD155" s="112"/>
      <c r="AE155" s="112"/>
      <c r="AF155" s="112"/>
      <c r="AG155" s="112"/>
      <c r="AH155" s="112"/>
      <c r="AI155" s="112"/>
      <c r="AJ155" s="112"/>
      <c r="AK155" s="112"/>
      <c r="AL155" s="112"/>
      <c r="AM155" s="112"/>
      <c r="AN155" s="112"/>
      <c r="AO155" s="112"/>
      <c r="AP155" s="112"/>
    </row>
    <row r="156" ht="15.75" customHeight="1">
      <c r="A156" s="112"/>
      <c r="B156" s="112"/>
      <c r="C156" s="112"/>
      <c r="D156" s="112"/>
      <c r="E156" s="128"/>
      <c r="F156" s="112"/>
      <c r="G156" s="112"/>
      <c r="H156" s="128"/>
      <c r="I156" s="112"/>
      <c r="J156" s="112"/>
      <c r="K156" s="112"/>
      <c r="L156" s="128"/>
      <c r="M156" s="128"/>
      <c r="N156" s="112"/>
      <c r="O156" s="112"/>
      <c r="P156" s="112"/>
      <c r="Q156" s="112"/>
      <c r="R156" s="112"/>
      <c r="S156" s="112"/>
      <c r="T156" s="128"/>
      <c r="U156" s="128"/>
      <c r="V156" s="128"/>
      <c r="W156" s="128"/>
      <c r="X156" s="128"/>
      <c r="Y156" s="128"/>
      <c r="Z156" s="112"/>
      <c r="AA156" s="112"/>
      <c r="AB156" s="112"/>
      <c r="AC156" s="112"/>
      <c r="AD156" s="112"/>
      <c r="AE156" s="112"/>
      <c r="AF156" s="112"/>
      <c r="AG156" s="112"/>
      <c r="AH156" s="112"/>
      <c r="AI156" s="112"/>
      <c r="AJ156" s="112"/>
      <c r="AK156" s="112"/>
      <c r="AL156" s="112"/>
      <c r="AM156" s="112"/>
      <c r="AN156" s="112"/>
      <c r="AO156" s="112"/>
      <c r="AP156" s="112"/>
    </row>
    <row r="157" ht="15.75" customHeight="1">
      <c r="A157" s="112"/>
      <c r="B157" s="112"/>
      <c r="C157" s="112"/>
      <c r="D157" s="112"/>
      <c r="E157" s="128"/>
      <c r="F157" s="112"/>
      <c r="G157" s="112"/>
      <c r="H157" s="128"/>
      <c r="I157" s="112"/>
      <c r="J157" s="112"/>
      <c r="K157" s="112"/>
      <c r="L157" s="128"/>
      <c r="M157" s="128"/>
      <c r="N157" s="112"/>
      <c r="O157" s="112"/>
      <c r="P157" s="112"/>
      <c r="Q157" s="112"/>
      <c r="R157" s="112"/>
      <c r="S157" s="112"/>
      <c r="T157" s="128"/>
      <c r="U157" s="128"/>
      <c r="V157" s="128"/>
      <c r="W157" s="128"/>
      <c r="X157" s="128"/>
      <c r="Y157" s="128"/>
      <c r="Z157" s="112"/>
      <c r="AA157" s="112"/>
      <c r="AB157" s="112"/>
      <c r="AC157" s="112"/>
      <c r="AD157" s="112"/>
      <c r="AE157" s="112"/>
      <c r="AF157" s="112"/>
      <c r="AG157" s="112"/>
      <c r="AH157" s="112"/>
      <c r="AI157" s="112"/>
      <c r="AJ157" s="112"/>
      <c r="AK157" s="112"/>
      <c r="AL157" s="112"/>
      <c r="AM157" s="112"/>
      <c r="AN157" s="112"/>
      <c r="AO157" s="112"/>
      <c r="AP157" s="112"/>
    </row>
    <row r="158" ht="15.75" customHeight="1">
      <c r="A158" s="112"/>
      <c r="B158" s="112"/>
      <c r="C158" s="112"/>
      <c r="D158" s="112"/>
      <c r="E158" s="128"/>
      <c r="F158" s="112"/>
      <c r="G158" s="112"/>
      <c r="H158" s="128"/>
      <c r="I158" s="112"/>
      <c r="J158" s="112"/>
      <c r="K158" s="112"/>
      <c r="L158" s="128"/>
      <c r="M158" s="128"/>
      <c r="N158" s="112"/>
      <c r="O158" s="112"/>
      <c r="P158" s="112"/>
      <c r="Q158" s="112"/>
      <c r="R158" s="112"/>
      <c r="S158" s="112"/>
      <c r="T158" s="128"/>
      <c r="U158" s="128"/>
      <c r="V158" s="128"/>
      <c r="W158" s="128"/>
      <c r="X158" s="128"/>
      <c r="Y158" s="128"/>
      <c r="Z158" s="112"/>
      <c r="AA158" s="112"/>
      <c r="AB158" s="112"/>
      <c r="AC158" s="112"/>
      <c r="AD158" s="112"/>
      <c r="AE158" s="112"/>
      <c r="AF158" s="112"/>
      <c r="AG158" s="112"/>
      <c r="AH158" s="112"/>
      <c r="AI158" s="112"/>
      <c r="AJ158" s="112"/>
      <c r="AK158" s="112"/>
      <c r="AL158" s="112"/>
      <c r="AM158" s="112"/>
      <c r="AN158" s="112"/>
      <c r="AO158" s="112"/>
      <c r="AP158" s="112"/>
    </row>
    <row r="159" ht="15.75" customHeight="1">
      <c r="A159" s="112"/>
      <c r="B159" s="112"/>
      <c r="C159" s="112"/>
      <c r="D159" s="112"/>
      <c r="E159" s="128"/>
      <c r="F159" s="112"/>
      <c r="G159" s="112"/>
      <c r="H159" s="128"/>
      <c r="I159" s="112"/>
      <c r="J159" s="112"/>
      <c r="K159" s="112"/>
      <c r="L159" s="128"/>
      <c r="M159" s="128"/>
      <c r="N159" s="112"/>
      <c r="O159" s="112"/>
      <c r="P159" s="112"/>
      <c r="Q159" s="112"/>
      <c r="R159" s="112"/>
      <c r="S159" s="112"/>
      <c r="T159" s="128"/>
      <c r="U159" s="128"/>
      <c r="V159" s="128"/>
      <c r="W159" s="128"/>
      <c r="X159" s="128"/>
      <c r="Y159" s="128"/>
      <c r="Z159" s="112"/>
      <c r="AA159" s="112"/>
      <c r="AB159" s="112"/>
      <c r="AC159" s="112"/>
      <c r="AD159" s="112"/>
      <c r="AE159" s="112"/>
      <c r="AF159" s="112"/>
      <c r="AG159" s="112"/>
      <c r="AH159" s="112"/>
      <c r="AI159" s="112"/>
      <c r="AJ159" s="112"/>
      <c r="AK159" s="112"/>
      <c r="AL159" s="112"/>
      <c r="AM159" s="112"/>
      <c r="AN159" s="112"/>
      <c r="AO159" s="112"/>
      <c r="AP159" s="112"/>
    </row>
    <row r="160" ht="15.75" customHeight="1">
      <c r="A160" s="112"/>
      <c r="B160" s="112"/>
      <c r="C160" s="112"/>
      <c r="D160" s="112"/>
      <c r="E160" s="128"/>
      <c r="F160" s="112"/>
      <c r="G160" s="112"/>
      <c r="H160" s="128"/>
      <c r="I160" s="112"/>
      <c r="J160" s="112"/>
      <c r="K160" s="112"/>
      <c r="L160" s="128"/>
      <c r="M160" s="128"/>
      <c r="N160" s="112"/>
      <c r="O160" s="112"/>
      <c r="P160" s="112"/>
      <c r="Q160" s="112"/>
      <c r="R160" s="112"/>
      <c r="S160" s="112"/>
      <c r="T160" s="128"/>
      <c r="U160" s="128"/>
      <c r="V160" s="128"/>
      <c r="W160" s="128"/>
      <c r="X160" s="128"/>
      <c r="Y160" s="128"/>
      <c r="Z160" s="112"/>
      <c r="AA160" s="112"/>
      <c r="AB160" s="112"/>
      <c r="AC160" s="112"/>
      <c r="AD160" s="112"/>
      <c r="AE160" s="112"/>
      <c r="AF160" s="112"/>
      <c r="AG160" s="112"/>
      <c r="AH160" s="112"/>
      <c r="AI160" s="112"/>
      <c r="AJ160" s="112"/>
      <c r="AK160" s="112"/>
      <c r="AL160" s="112"/>
      <c r="AM160" s="112"/>
      <c r="AN160" s="112"/>
      <c r="AO160" s="112"/>
      <c r="AP160" s="112"/>
    </row>
    <row r="161" ht="15.75" customHeight="1">
      <c r="A161" s="112"/>
      <c r="B161" s="112"/>
      <c r="C161" s="112"/>
      <c r="D161" s="112"/>
      <c r="E161" s="128"/>
      <c r="F161" s="112"/>
      <c r="G161" s="112"/>
      <c r="H161" s="128"/>
      <c r="I161" s="112"/>
      <c r="J161" s="112"/>
      <c r="K161" s="112"/>
      <c r="L161" s="128"/>
      <c r="M161" s="128"/>
      <c r="N161" s="112"/>
      <c r="O161" s="112"/>
      <c r="P161" s="112"/>
      <c r="Q161" s="112"/>
      <c r="R161" s="112"/>
      <c r="S161" s="112"/>
      <c r="T161" s="128"/>
      <c r="U161" s="128"/>
      <c r="V161" s="128"/>
      <c r="W161" s="128"/>
      <c r="X161" s="128"/>
      <c r="Y161" s="128"/>
      <c r="Z161" s="112"/>
      <c r="AA161" s="112"/>
      <c r="AB161" s="112"/>
      <c r="AC161" s="112"/>
      <c r="AD161" s="112"/>
      <c r="AE161" s="112"/>
      <c r="AF161" s="112"/>
      <c r="AG161" s="112"/>
      <c r="AH161" s="112"/>
      <c r="AI161" s="112"/>
      <c r="AJ161" s="112"/>
      <c r="AK161" s="112"/>
      <c r="AL161" s="112"/>
      <c r="AM161" s="112"/>
      <c r="AN161" s="112"/>
      <c r="AO161" s="112"/>
      <c r="AP161" s="112"/>
    </row>
    <row r="162" ht="15.75" customHeight="1">
      <c r="A162" s="112"/>
      <c r="B162" s="112"/>
      <c r="C162" s="112"/>
      <c r="D162" s="112"/>
      <c r="E162" s="128"/>
      <c r="F162" s="112"/>
      <c r="G162" s="112"/>
      <c r="H162" s="128"/>
      <c r="I162" s="112"/>
      <c r="J162" s="112"/>
      <c r="K162" s="112"/>
      <c r="L162" s="128"/>
      <c r="M162" s="128"/>
      <c r="N162" s="112"/>
      <c r="O162" s="112"/>
      <c r="P162" s="112"/>
      <c r="Q162" s="112"/>
      <c r="R162" s="112"/>
      <c r="S162" s="112"/>
      <c r="T162" s="128"/>
      <c r="U162" s="128"/>
      <c r="V162" s="128"/>
      <c r="W162" s="128"/>
      <c r="X162" s="128"/>
      <c r="Y162" s="128"/>
      <c r="Z162" s="112"/>
      <c r="AA162" s="112"/>
      <c r="AB162" s="112"/>
      <c r="AC162" s="112"/>
      <c r="AD162" s="112"/>
      <c r="AE162" s="112"/>
      <c r="AF162" s="112"/>
      <c r="AG162" s="112"/>
      <c r="AH162" s="112"/>
      <c r="AI162" s="112"/>
      <c r="AJ162" s="112"/>
      <c r="AK162" s="112"/>
      <c r="AL162" s="112"/>
      <c r="AM162" s="112"/>
      <c r="AN162" s="112"/>
      <c r="AO162" s="112"/>
      <c r="AP162" s="112"/>
    </row>
    <row r="163" ht="15.75" customHeight="1">
      <c r="A163" s="112"/>
      <c r="B163" s="112"/>
      <c r="C163" s="112"/>
      <c r="D163" s="112"/>
      <c r="E163" s="128"/>
      <c r="F163" s="112"/>
      <c r="G163" s="112"/>
      <c r="H163" s="128"/>
      <c r="I163" s="112"/>
      <c r="J163" s="112"/>
      <c r="K163" s="112"/>
      <c r="L163" s="128"/>
      <c r="M163" s="128"/>
      <c r="N163" s="112"/>
      <c r="O163" s="112"/>
      <c r="P163" s="112"/>
      <c r="Q163" s="112"/>
      <c r="R163" s="112"/>
      <c r="S163" s="112"/>
      <c r="T163" s="128"/>
      <c r="U163" s="128"/>
      <c r="V163" s="128"/>
      <c r="W163" s="128"/>
      <c r="X163" s="128"/>
      <c r="Y163" s="128"/>
      <c r="Z163" s="112"/>
      <c r="AA163" s="112"/>
      <c r="AB163" s="112"/>
      <c r="AC163" s="112"/>
      <c r="AD163" s="112"/>
      <c r="AE163" s="112"/>
      <c r="AF163" s="112"/>
      <c r="AG163" s="112"/>
      <c r="AH163" s="112"/>
      <c r="AI163" s="112"/>
      <c r="AJ163" s="112"/>
      <c r="AK163" s="112"/>
      <c r="AL163" s="112"/>
      <c r="AM163" s="112"/>
      <c r="AN163" s="112"/>
      <c r="AO163" s="112"/>
      <c r="AP163" s="112"/>
    </row>
    <row r="164" ht="15.75" customHeight="1">
      <c r="A164" s="112"/>
      <c r="B164" s="112"/>
      <c r="C164" s="112"/>
      <c r="D164" s="112"/>
      <c r="E164" s="128"/>
      <c r="F164" s="112"/>
      <c r="G164" s="112"/>
      <c r="H164" s="128"/>
      <c r="I164" s="112"/>
      <c r="J164" s="112"/>
      <c r="K164" s="112"/>
      <c r="L164" s="128"/>
      <c r="M164" s="128"/>
      <c r="N164" s="112"/>
      <c r="O164" s="112"/>
      <c r="P164" s="112"/>
      <c r="Q164" s="112"/>
      <c r="R164" s="112"/>
      <c r="S164" s="112"/>
      <c r="T164" s="128"/>
      <c r="U164" s="128"/>
      <c r="V164" s="128"/>
      <c r="W164" s="128"/>
      <c r="X164" s="128"/>
      <c r="Y164" s="128"/>
      <c r="Z164" s="112"/>
      <c r="AA164" s="112"/>
      <c r="AB164" s="112"/>
      <c r="AC164" s="112"/>
      <c r="AD164" s="112"/>
      <c r="AE164" s="112"/>
      <c r="AF164" s="112"/>
      <c r="AG164" s="112"/>
      <c r="AH164" s="112"/>
      <c r="AI164" s="112"/>
      <c r="AJ164" s="112"/>
      <c r="AK164" s="112"/>
      <c r="AL164" s="112"/>
      <c r="AM164" s="112"/>
      <c r="AN164" s="112"/>
      <c r="AO164" s="112"/>
      <c r="AP164" s="112"/>
    </row>
    <row r="165" ht="15.75" customHeight="1">
      <c r="A165" s="112"/>
      <c r="B165" s="112"/>
      <c r="C165" s="112"/>
      <c r="D165" s="112"/>
      <c r="E165" s="128"/>
      <c r="F165" s="112"/>
      <c r="G165" s="112"/>
      <c r="H165" s="128"/>
      <c r="I165" s="112"/>
      <c r="J165" s="112"/>
      <c r="K165" s="112"/>
      <c r="L165" s="128"/>
      <c r="M165" s="128"/>
      <c r="N165" s="112"/>
      <c r="O165" s="112"/>
      <c r="P165" s="112"/>
      <c r="Q165" s="112"/>
      <c r="R165" s="112"/>
      <c r="S165" s="112"/>
      <c r="T165" s="128"/>
      <c r="U165" s="128"/>
      <c r="V165" s="128"/>
      <c r="W165" s="128"/>
      <c r="X165" s="128"/>
      <c r="Y165" s="128"/>
      <c r="Z165" s="112"/>
      <c r="AA165" s="112"/>
      <c r="AB165" s="112"/>
      <c r="AC165" s="112"/>
      <c r="AD165" s="112"/>
      <c r="AE165" s="112"/>
      <c r="AF165" s="112"/>
      <c r="AG165" s="112"/>
      <c r="AH165" s="112"/>
      <c r="AI165" s="112"/>
      <c r="AJ165" s="112"/>
      <c r="AK165" s="112"/>
      <c r="AL165" s="112"/>
      <c r="AM165" s="112"/>
      <c r="AN165" s="112"/>
      <c r="AO165" s="112"/>
      <c r="AP165" s="112"/>
    </row>
    <row r="166" ht="15.75" customHeight="1">
      <c r="A166" s="112"/>
      <c r="B166" s="112"/>
      <c r="C166" s="112"/>
      <c r="D166" s="112"/>
      <c r="E166" s="128"/>
      <c r="F166" s="112"/>
      <c r="G166" s="112"/>
      <c r="H166" s="128"/>
      <c r="I166" s="112"/>
      <c r="J166" s="112"/>
      <c r="K166" s="112"/>
      <c r="L166" s="128"/>
      <c r="M166" s="128"/>
      <c r="N166" s="112"/>
      <c r="O166" s="112"/>
      <c r="P166" s="112"/>
      <c r="Q166" s="112"/>
      <c r="R166" s="112"/>
      <c r="S166" s="112"/>
      <c r="T166" s="128"/>
      <c r="U166" s="128"/>
      <c r="V166" s="128"/>
      <c r="W166" s="128"/>
      <c r="X166" s="128"/>
      <c r="Y166" s="128"/>
      <c r="Z166" s="112"/>
      <c r="AA166" s="112"/>
      <c r="AB166" s="112"/>
      <c r="AC166" s="112"/>
      <c r="AD166" s="112"/>
      <c r="AE166" s="112"/>
      <c r="AF166" s="112"/>
      <c r="AG166" s="112"/>
      <c r="AH166" s="112"/>
      <c r="AI166" s="112"/>
      <c r="AJ166" s="112"/>
      <c r="AK166" s="112"/>
      <c r="AL166" s="112"/>
      <c r="AM166" s="112"/>
      <c r="AN166" s="112"/>
      <c r="AO166" s="112"/>
      <c r="AP166" s="112"/>
    </row>
    <row r="167" ht="15.75" customHeight="1">
      <c r="A167" s="112"/>
      <c r="B167" s="112"/>
      <c r="C167" s="112"/>
      <c r="D167" s="112"/>
      <c r="E167" s="128"/>
      <c r="F167" s="112"/>
      <c r="G167" s="112"/>
      <c r="H167" s="128"/>
      <c r="I167" s="112"/>
      <c r="J167" s="112"/>
      <c r="K167" s="112"/>
      <c r="L167" s="128"/>
      <c r="M167" s="128"/>
      <c r="N167" s="112"/>
      <c r="O167" s="112"/>
      <c r="P167" s="112"/>
      <c r="Q167" s="112"/>
      <c r="R167" s="112"/>
      <c r="S167" s="112"/>
      <c r="T167" s="128"/>
      <c r="U167" s="128"/>
      <c r="V167" s="128"/>
      <c r="W167" s="128"/>
      <c r="X167" s="128"/>
      <c r="Y167" s="128"/>
      <c r="Z167" s="112"/>
      <c r="AA167" s="112"/>
      <c r="AB167" s="112"/>
      <c r="AC167" s="112"/>
      <c r="AD167" s="112"/>
      <c r="AE167" s="112"/>
      <c r="AF167" s="112"/>
      <c r="AG167" s="112"/>
      <c r="AH167" s="112"/>
      <c r="AI167" s="112"/>
      <c r="AJ167" s="112"/>
      <c r="AK167" s="112"/>
      <c r="AL167" s="112"/>
      <c r="AM167" s="112"/>
      <c r="AN167" s="112"/>
      <c r="AO167" s="112"/>
      <c r="AP167" s="112"/>
    </row>
    <row r="168" ht="15.75" customHeight="1">
      <c r="A168" s="112"/>
      <c r="B168" s="112"/>
      <c r="C168" s="112"/>
      <c r="D168" s="112"/>
      <c r="E168" s="128"/>
      <c r="F168" s="112"/>
      <c r="G168" s="112"/>
      <c r="H168" s="128"/>
      <c r="I168" s="112"/>
      <c r="J168" s="112"/>
      <c r="K168" s="112"/>
      <c r="L168" s="128"/>
      <c r="M168" s="128"/>
      <c r="N168" s="112"/>
      <c r="O168" s="112"/>
      <c r="P168" s="112"/>
      <c r="Q168" s="112"/>
      <c r="R168" s="112"/>
      <c r="S168" s="112"/>
      <c r="T168" s="128"/>
      <c r="U168" s="128"/>
      <c r="V168" s="128"/>
      <c r="W168" s="128"/>
      <c r="X168" s="128"/>
      <c r="Y168" s="128"/>
      <c r="Z168" s="112"/>
      <c r="AA168" s="112"/>
      <c r="AB168" s="112"/>
      <c r="AC168" s="112"/>
      <c r="AD168" s="112"/>
      <c r="AE168" s="112"/>
      <c r="AF168" s="112"/>
      <c r="AG168" s="112"/>
      <c r="AH168" s="112"/>
      <c r="AI168" s="112"/>
      <c r="AJ168" s="112"/>
      <c r="AK168" s="112"/>
      <c r="AL168" s="112"/>
      <c r="AM168" s="112"/>
      <c r="AN168" s="112"/>
      <c r="AO168" s="112"/>
      <c r="AP168" s="112"/>
    </row>
    <row r="169" ht="15.75" customHeight="1">
      <c r="A169" s="112"/>
      <c r="B169" s="112"/>
      <c r="C169" s="112"/>
      <c r="D169" s="112"/>
      <c r="E169" s="128"/>
      <c r="F169" s="112"/>
      <c r="G169" s="112"/>
      <c r="H169" s="128"/>
      <c r="I169" s="112"/>
      <c r="J169" s="112"/>
      <c r="K169" s="112"/>
      <c r="L169" s="128"/>
      <c r="M169" s="128"/>
      <c r="N169" s="112"/>
      <c r="O169" s="112"/>
      <c r="P169" s="112"/>
      <c r="Q169" s="112"/>
      <c r="R169" s="112"/>
      <c r="S169" s="112"/>
      <c r="T169" s="128"/>
      <c r="U169" s="128"/>
      <c r="V169" s="128"/>
      <c r="W169" s="128"/>
      <c r="X169" s="128"/>
      <c r="Y169" s="128"/>
      <c r="Z169" s="112"/>
      <c r="AA169" s="112"/>
      <c r="AB169" s="112"/>
      <c r="AC169" s="112"/>
      <c r="AD169" s="112"/>
      <c r="AE169" s="112"/>
      <c r="AF169" s="112"/>
      <c r="AG169" s="112"/>
      <c r="AH169" s="112"/>
      <c r="AI169" s="112"/>
      <c r="AJ169" s="112"/>
      <c r="AK169" s="112"/>
      <c r="AL169" s="112"/>
      <c r="AM169" s="112"/>
      <c r="AN169" s="112"/>
      <c r="AO169" s="112"/>
      <c r="AP169" s="112"/>
    </row>
    <row r="170" ht="15.75" customHeight="1">
      <c r="A170" s="112"/>
      <c r="B170" s="112"/>
      <c r="C170" s="112"/>
      <c r="D170" s="112"/>
      <c r="E170" s="128"/>
      <c r="F170" s="112"/>
      <c r="G170" s="112"/>
      <c r="H170" s="128"/>
      <c r="I170" s="112"/>
      <c r="J170" s="112"/>
      <c r="K170" s="112"/>
      <c r="L170" s="128"/>
      <c r="M170" s="128"/>
      <c r="N170" s="112"/>
      <c r="O170" s="112"/>
      <c r="P170" s="112"/>
      <c r="Q170" s="112"/>
      <c r="R170" s="112"/>
      <c r="S170" s="112"/>
      <c r="T170" s="128"/>
      <c r="U170" s="128"/>
      <c r="V170" s="128"/>
      <c r="W170" s="128"/>
      <c r="X170" s="128"/>
      <c r="Y170" s="128"/>
      <c r="Z170" s="112"/>
      <c r="AA170" s="112"/>
      <c r="AB170" s="112"/>
      <c r="AC170" s="112"/>
      <c r="AD170" s="112"/>
      <c r="AE170" s="112"/>
      <c r="AF170" s="112"/>
      <c r="AG170" s="112"/>
      <c r="AH170" s="112"/>
      <c r="AI170" s="112"/>
      <c r="AJ170" s="112"/>
      <c r="AK170" s="112"/>
      <c r="AL170" s="112"/>
      <c r="AM170" s="112"/>
      <c r="AN170" s="112"/>
      <c r="AO170" s="112"/>
      <c r="AP170" s="112"/>
    </row>
    <row r="171" ht="15.75" customHeight="1">
      <c r="A171" s="112"/>
      <c r="B171" s="112"/>
      <c r="C171" s="112"/>
      <c r="D171" s="112"/>
      <c r="E171" s="128"/>
      <c r="F171" s="112"/>
      <c r="G171" s="112"/>
      <c r="H171" s="128"/>
      <c r="I171" s="112"/>
      <c r="J171" s="112"/>
      <c r="K171" s="112"/>
      <c r="L171" s="128"/>
      <c r="M171" s="128"/>
      <c r="N171" s="112"/>
      <c r="O171" s="112"/>
      <c r="P171" s="112"/>
      <c r="Q171" s="112"/>
      <c r="R171" s="112"/>
      <c r="S171" s="112"/>
      <c r="T171" s="128"/>
      <c r="U171" s="128"/>
      <c r="V171" s="128"/>
      <c r="W171" s="128"/>
      <c r="X171" s="128"/>
      <c r="Y171" s="128"/>
      <c r="Z171" s="112"/>
      <c r="AA171" s="112"/>
      <c r="AB171" s="112"/>
      <c r="AC171" s="112"/>
      <c r="AD171" s="112"/>
      <c r="AE171" s="112"/>
      <c r="AF171" s="112"/>
      <c r="AG171" s="112"/>
      <c r="AH171" s="112"/>
      <c r="AI171" s="112"/>
      <c r="AJ171" s="112"/>
      <c r="AK171" s="112"/>
      <c r="AL171" s="112"/>
      <c r="AM171" s="112"/>
      <c r="AN171" s="112"/>
      <c r="AO171" s="112"/>
      <c r="AP171" s="112"/>
    </row>
    <row r="172" ht="15.75" customHeight="1">
      <c r="A172" s="112"/>
      <c r="B172" s="112"/>
      <c r="C172" s="112"/>
      <c r="D172" s="112"/>
      <c r="E172" s="128"/>
      <c r="F172" s="112"/>
      <c r="G172" s="112"/>
      <c r="H172" s="128"/>
      <c r="I172" s="112"/>
      <c r="J172" s="112"/>
      <c r="K172" s="112"/>
      <c r="L172" s="128"/>
      <c r="M172" s="128"/>
      <c r="N172" s="112"/>
      <c r="O172" s="112"/>
      <c r="P172" s="112"/>
      <c r="Q172" s="112"/>
      <c r="R172" s="112"/>
      <c r="S172" s="112"/>
      <c r="T172" s="128"/>
      <c r="U172" s="128"/>
      <c r="V172" s="128"/>
      <c r="W172" s="128"/>
      <c r="X172" s="128"/>
      <c r="Y172" s="128"/>
      <c r="Z172" s="112"/>
      <c r="AA172" s="112"/>
      <c r="AB172" s="112"/>
      <c r="AC172" s="112"/>
      <c r="AD172" s="112"/>
      <c r="AE172" s="112"/>
      <c r="AF172" s="112"/>
      <c r="AG172" s="112"/>
      <c r="AH172" s="112"/>
      <c r="AI172" s="112"/>
      <c r="AJ172" s="112"/>
      <c r="AK172" s="112"/>
      <c r="AL172" s="112"/>
      <c r="AM172" s="112"/>
      <c r="AN172" s="112"/>
      <c r="AO172" s="112"/>
      <c r="AP172" s="112"/>
    </row>
    <row r="173" ht="15.75" customHeight="1">
      <c r="A173" s="112"/>
      <c r="B173" s="112"/>
      <c r="C173" s="112"/>
      <c r="D173" s="112"/>
      <c r="E173" s="128"/>
      <c r="F173" s="112"/>
      <c r="G173" s="112"/>
      <c r="H173" s="128"/>
      <c r="I173" s="112"/>
      <c r="J173" s="112"/>
      <c r="K173" s="112"/>
      <c r="L173" s="128"/>
      <c r="M173" s="128"/>
      <c r="N173" s="112"/>
      <c r="O173" s="112"/>
      <c r="P173" s="112"/>
      <c r="Q173" s="112"/>
      <c r="R173" s="112"/>
      <c r="S173" s="112"/>
      <c r="T173" s="128"/>
      <c r="U173" s="128"/>
      <c r="V173" s="128"/>
      <c r="W173" s="128"/>
      <c r="X173" s="128"/>
      <c r="Y173" s="128"/>
      <c r="Z173" s="112"/>
      <c r="AA173" s="112"/>
      <c r="AB173" s="112"/>
      <c r="AC173" s="112"/>
      <c r="AD173" s="112"/>
      <c r="AE173" s="112"/>
      <c r="AF173" s="112"/>
      <c r="AG173" s="112"/>
      <c r="AH173" s="112"/>
      <c r="AI173" s="112"/>
      <c r="AJ173" s="112"/>
      <c r="AK173" s="112"/>
      <c r="AL173" s="112"/>
      <c r="AM173" s="112"/>
      <c r="AN173" s="112"/>
      <c r="AO173" s="112"/>
      <c r="AP173" s="112"/>
    </row>
    <row r="174" ht="15.75" customHeight="1">
      <c r="A174" s="112"/>
      <c r="B174" s="112"/>
      <c r="C174" s="112"/>
      <c r="D174" s="112"/>
      <c r="E174" s="128"/>
      <c r="F174" s="112"/>
      <c r="G174" s="112"/>
      <c r="H174" s="128"/>
      <c r="I174" s="112"/>
      <c r="J174" s="112"/>
      <c r="K174" s="112"/>
      <c r="L174" s="128"/>
      <c r="M174" s="128"/>
      <c r="N174" s="112"/>
      <c r="O174" s="112"/>
      <c r="P174" s="112"/>
      <c r="Q174" s="112"/>
      <c r="R174" s="112"/>
      <c r="S174" s="112"/>
      <c r="T174" s="128"/>
      <c r="U174" s="128"/>
      <c r="V174" s="128"/>
      <c r="W174" s="128"/>
      <c r="X174" s="128"/>
      <c r="Y174" s="128"/>
      <c r="Z174" s="112"/>
      <c r="AA174" s="112"/>
      <c r="AB174" s="112"/>
      <c r="AC174" s="112"/>
      <c r="AD174" s="112"/>
      <c r="AE174" s="112"/>
      <c r="AF174" s="112"/>
      <c r="AG174" s="112"/>
      <c r="AH174" s="112"/>
      <c r="AI174" s="112"/>
      <c r="AJ174" s="112"/>
      <c r="AK174" s="112"/>
      <c r="AL174" s="112"/>
      <c r="AM174" s="112"/>
      <c r="AN174" s="112"/>
      <c r="AO174" s="112"/>
      <c r="AP174" s="112"/>
    </row>
    <row r="175" ht="15.75" customHeight="1">
      <c r="A175" s="112"/>
      <c r="B175" s="112"/>
      <c r="C175" s="112"/>
      <c r="D175" s="112"/>
      <c r="E175" s="128"/>
      <c r="F175" s="112"/>
      <c r="G175" s="112"/>
      <c r="H175" s="128"/>
      <c r="I175" s="112"/>
      <c r="J175" s="112"/>
      <c r="K175" s="112"/>
      <c r="L175" s="128"/>
      <c r="M175" s="128"/>
      <c r="N175" s="112"/>
      <c r="O175" s="112"/>
      <c r="P175" s="112"/>
      <c r="Q175" s="112"/>
      <c r="R175" s="112"/>
      <c r="S175" s="112"/>
      <c r="T175" s="128"/>
      <c r="U175" s="128"/>
      <c r="V175" s="128"/>
      <c r="W175" s="128"/>
      <c r="X175" s="128"/>
      <c r="Y175" s="128"/>
      <c r="Z175" s="112"/>
      <c r="AA175" s="112"/>
      <c r="AB175" s="112"/>
      <c r="AC175" s="112"/>
      <c r="AD175" s="112"/>
      <c r="AE175" s="112"/>
      <c r="AF175" s="112"/>
      <c r="AG175" s="112"/>
      <c r="AH175" s="112"/>
      <c r="AI175" s="112"/>
      <c r="AJ175" s="112"/>
      <c r="AK175" s="112"/>
      <c r="AL175" s="112"/>
      <c r="AM175" s="112"/>
      <c r="AN175" s="112"/>
      <c r="AO175" s="112"/>
      <c r="AP175" s="112"/>
    </row>
    <row r="176" ht="15.75" customHeight="1">
      <c r="A176" s="112"/>
      <c r="B176" s="112"/>
      <c r="C176" s="112"/>
      <c r="D176" s="112"/>
      <c r="E176" s="128"/>
      <c r="F176" s="112"/>
      <c r="G176" s="112"/>
      <c r="H176" s="128"/>
      <c r="I176" s="112"/>
      <c r="J176" s="112"/>
      <c r="K176" s="112"/>
      <c r="L176" s="128"/>
      <c r="M176" s="128"/>
      <c r="N176" s="112"/>
      <c r="O176" s="112"/>
      <c r="P176" s="112"/>
      <c r="Q176" s="112"/>
      <c r="R176" s="112"/>
      <c r="S176" s="112"/>
      <c r="T176" s="128"/>
      <c r="U176" s="128"/>
      <c r="V176" s="128"/>
      <c r="W176" s="128"/>
      <c r="X176" s="128"/>
      <c r="Y176" s="128"/>
      <c r="Z176" s="112"/>
      <c r="AA176" s="112"/>
      <c r="AB176" s="112"/>
      <c r="AC176" s="112"/>
      <c r="AD176" s="112"/>
      <c r="AE176" s="112"/>
      <c r="AF176" s="112"/>
      <c r="AG176" s="112"/>
      <c r="AH176" s="112"/>
      <c r="AI176" s="112"/>
      <c r="AJ176" s="112"/>
      <c r="AK176" s="112"/>
      <c r="AL176" s="112"/>
      <c r="AM176" s="112"/>
      <c r="AN176" s="112"/>
      <c r="AO176" s="112"/>
      <c r="AP176" s="112"/>
    </row>
    <row r="177" ht="15.75" customHeight="1">
      <c r="A177" s="112"/>
      <c r="B177" s="112"/>
      <c r="C177" s="112"/>
      <c r="D177" s="112"/>
      <c r="E177" s="128"/>
      <c r="F177" s="112"/>
      <c r="G177" s="112"/>
      <c r="H177" s="128"/>
      <c r="I177" s="112"/>
      <c r="J177" s="112"/>
      <c r="K177" s="112"/>
      <c r="L177" s="128"/>
      <c r="M177" s="128"/>
      <c r="N177" s="112"/>
      <c r="O177" s="112"/>
      <c r="P177" s="112"/>
      <c r="Q177" s="112"/>
      <c r="R177" s="112"/>
      <c r="S177" s="112"/>
      <c r="T177" s="128"/>
      <c r="U177" s="128"/>
      <c r="V177" s="128"/>
      <c r="W177" s="128"/>
      <c r="X177" s="128"/>
      <c r="Y177" s="128"/>
      <c r="Z177" s="112"/>
      <c r="AA177" s="112"/>
      <c r="AB177" s="112"/>
      <c r="AC177" s="112"/>
      <c r="AD177" s="112"/>
      <c r="AE177" s="112"/>
      <c r="AF177" s="112"/>
      <c r="AG177" s="112"/>
      <c r="AH177" s="112"/>
      <c r="AI177" s="112"/>
      <c r="AJ177" s="112"/>
      <c r="AK177" s="112"/>
      <c r="AL177" s="112"/>
      <c r="AM177" s="112"/>
      <c r="AN177" s="112"/>
      <c r="AO177" s="112"/>
      <c r="AP177" s="112"/>
    </row>
    <row r="178" ht="15.75" customHeight="1">
      <c r="A178" s="112"/>
      <c r="B178" s="112"/>
      <c r="C178" s="112"/>
      <c r="D178" s="112"/>
      <c r="E178" s="128"/>
      <c r="F178" s="112"/>
      <c r="G178" s="112"/>
      <c r="H178" s="128"/>
      <c r="I178" s="112"/>
      <c r="J178" s="112"/>
      <c r="K178" s="112"/>
      <c r="L178" s="128"/>
      <c r="M178" s="128"/>
      <c r="N178" s="112"/>
      <c r="O178" s="112"/>
      <c r="P178" s="112"/>
      <c r="Q178" s="112"/>
      <c r="R178" s="112"/>
      <c r="S178" s="112"/>
      <c r="T178" s="128"/>
      <c r="U178" s="128"/>
      <c r="V178" s="128"/>
      <c r="W178" s="128"/>
      <c r="X178" s="128"/>
      <c r="Y178" s="128"/>
      <c r="Z178" s="112"/>
      <c r="AA178" s="112"/>
      <c r="AB178" s="112"/>
      <c r="AC178" s="112"/>
      <c r="AD178" s="112"/>
      <c r="AE178" s="112"/>
      <c r="AF178" s="112"/>
      <c r="AG178" s="112"/>
      <c r="AH178" s="112"/>
      <c r="AI178" s="112"/>
      <c r="AJ178" s="112"/>
      <c r="AK178" s="112"/>
      <c r="AL178" s="112"/>
      <c r="AM178" s="112"/>
      <c r="AN178" s="112"/>
      <c r="AO178" s="112"/>
      <c r="AP178" s="112"/>
    </row>
    <row r="179" ht="15.75" customHeight="1">
      <c r="A179" s="112"/>
      <c r="B179" s="112"/>
      <c r="C179" s="112"/>
      <c r="D179" s="112"/>
      <c r="E179" s="128"/>
      <c r="F179" s="112"/>
      <c r="G179" s="112"/>
      <c r="H179" s="128"/>
      <c r="I179" s="112"/>
      <c r="J179" s="112"/>
      <c r="K179" s="112"/>
      <c r="L179" s="128"/>
      <c r="M179" s="128"/>
      <c r="N179" s="112"/>
      <c r="O179" s="112"/>
      <c r="P179" s="112"/>
      <c r="Q179" s="112"/>
      <c r="R179" s="112"/>
      <c r="S179" s="112"/>
      <c r="T179" s="128"/>
      <c r="U179" s="128"/>
      <c r="V179" s="128"/>
      <c r="W179" s="128"/>
      <c r="X179" s="128"/>
      <c r="Y179" s="128"/>
      <c r="Z179" s="112"/>
      <c r="AA179" s="112"/>
      <c r="AB179" s="112"/>
      <c r="AC179" s="112"/>
      <c r="AD179" s="112"/>
      <c r="AE179" s="112"/>
      <c r="AF179" s="112"/>
      <c r="AG179" s="112"/>
      <c r="AH179" s="112"/>
      <c r="AI179" s="112"/>
      <c r="AJ179" s="112"/>
      <c r="AK179" s="112"/>
      <c r="AL179" s="112"/>
      <c r="AM179" s="112"/>
      <c r="AN179" s="112"/>
      <c r="AO179" s="112"/>
      <c r="AP179" s="112"/>
    </row>
    <row r="180" ht="15.75" customHeight="1">
      <c r="A180" s="112"/>
      <c r="B180" s="112"/>
      <c r="C180" s="112"/>
      <c r="D180" s="112"/>
      <c r="E180" s="128"/>
      <c r="F180" s="112"/>
      <c r="G180" s="112"/>
      <c r="H180" s="128"/>
      <c r="I180" s="112"/>
      <c r="J180" s="112"/>
      <c r="K180" s="112"/>
      <c r="L180" s="128"/>
      <c r="M180" s="128"/>
      <c r="N180" s="112"/>
      <c r="O180" s="112"/>
      <c r="P180" s="112"/>
      <c r="Q180" s="112"/>
      <c r="R180" s="112"/>
      <c r="S180" s="112"/>
      <c r="T180" s="128"/>
      <c r="U180" s="128"/>
      <c r="V180" s="128"/>
      <c r="W180" s="128"/>
      <c r="X180" s="128"/>
      <c r="Y180" s="128"/>
      <c r="Z180" s="112"/>
      <c r="AA180" s="112"/>
      <c r="AB180" s="112"/>
      <c r="AC180" s="112"/>
      <c r="AD180" s="112"/>
      <c r="AE180" s="112"/>
      <c r="AF180" s="112"/>
      <c r="AG180" s="112"/>
      <c r="AH180" s="112"/>
      <c r="AI180" s="112"/>
      <c r="AJ180" s="112"/>
      <c r="AK180" s="112"/>
      <c r="AL180" s="112"/>
      <c r="AM180" s="112"/>
      <c r="AN180" s="112"/>
      <c r="AO180" s="112"/>
      <c r="AP180" s="112"/>
    </row>
    <row r="181" ht="15.75" customHeight="1">
      <c r="A181" s="112"/>
      <c r="B181" s="112"/>
      <c r="C181" s="112"/>
      <c r="D181" s="112"/>
      <c r="E181" s="128"/>
      <c r="F181" s="112"/>
      <c r="G181" s="112"/>
      <c r="H181" s="128"/>
      <c r="I181" s="112"/>
      <c r="J181" s="112"/>
      <c r="K181" s="112"/>
      <c r="L181" s="128"/>
      <c r="M181" s="128"/>
      <c r="N181" s="112"/>
      <c r="O181" s="112"/>
      <c r="P181" s="112"/>
      <c r="Q181" s="112"/>
      <c r="R181" s="112"/>
      <c r="S181" s="112"/>
      <c r="T181" s="128"/>
      <c r="U181" s="128"/>
      <c r="V181" s="128"/>
      <c r="W181" s="128"/>
      <c r="X181" s="128"/>
      <c r="Y181" s="128"/>
      <c r="Z181" s="112"/>
      <c r="AA181" s="112"/>
      <c r="AB181" s="112"/>
      <c r="AC181" s="112"/>
      <c r="AD181" s="112"/>
      <c r="AE181" s="112"/>
      <c r="AF181" s="112"/>
      <c r="AG181" s="112"/>
      <c r="AH181" s="112"/>
      <c r="AI181" s="112"/>
      <c r="AJ181" s="112"/>
      <c r="AK181" s="112"/>
      <c r="AL181" s="112"/>
      <c r="AM181" s="112"/>
      <c r="AN181" s="112"/>
      <c r="AO181" s="112"/>
      <c r="AP181" s="112"/>
    </row>
    <row r="182" ht="15.75" customHeight="1">
      <c r="A182" s="112"/>
      <c r="B182" s="112"/>
      <c r="C182" s="112"/>
      <c r="D182" s="112"/>
      <c r="E182" s="128"/>
      <c r="F182" s="112"/>
      <c r="G182" s="112"/>
      <c r="H182" s="128"/>
      <c r="I182" s="112"/>
      <c r="J182" s="112"/>
      <c r="K182" s="112"/>
      <c r="L182" s="128"/>
      <c r="M182" s="128"/>
      <c r="N182" s="112"/>
      <c r="O182" s="112"/>
      <c r="P182" s="112"/>
      <c r="Q182" s="112"/>
      <c r="R182" s="112"/>
      <c r="S182" s="112"/>
      <c r="T182" s="128"/>
      <c r="U182" s="128"/>
      <c r="V182" s="128"/>
      <c r="W182" s="128"/>
      <c r="X182" s="128"/>
      <c r="Y182" s="128"/>
      <c r="Z182" s="112"/>
      <c r="AA182" s="112"/>
      <c r="AB182" s="112"/>
      <c r="AC182" s="112"/>
      <c r="AD182" s="112"/>
      <c r="AE182" s="112"/>
      <c r="AF182" s="112"/>
      <c r="AG182" s="112"/>
      <c r="AH182" s="112"/>
      <c r="AI182" s="112"/>
      <c r="AJ182" s="112"/>
      <c r="AK182" s="112"/>
      <c r="AL182" s="112"/>
      <c r="AM182" s="112"/>
      <c r="AN182" s="112"/>
      <c r="AO182" s="112"/>
      <c r="AP182" s="112"/>
    </row>
    <row r="183" ht="15.75" customHeight="1">
      <c r="A183" s="112"/>
      <c r="B183" s="112"/>
      <c r="C183" s="112"/>
      <c r="D183" s="112"/>
      <c r="E183" s="128"/>
      <c r="F183" s="112"/>
      <c r="G183" s="112"/>
      <c r="H183" s="128"/>
      <c r="I183" s="112"/>
      <c r="J183" s="112"/>
      <c r="K183" s="112"/>
      <c r="L183" s="128"/>
      <c r="M183" s="128"/>
      <c r="N183" s="112"/>
      <c r="O183" s="112"/>
      <c r="P183" s="112"/>
      <c r="Q183" s="112"/>
      <c r="R183" s="112"/>
      <c r="S183" s="112"/>
      <c r="T183" s="128"/>
      <c r="U183" s="128"/>
      <c r="V183" s="128"/>
      <c r="W183" s="128"/>
      <c r="X183" s="128"/>
      <c r="Y183" s="128"/>
      <c r="Z183" s="112"/>
      <c r="AA183" s="112"/>
      <c r="AB183" s="112"/>
      <c r="AC183" s="112"/>
      <c r="AD183" s="112"/>
      <c r="AE183" s="112"/>
      <c r="AF183" s="112"/>
      <c r="AG183" s="112"/>
      <c r="AH183" s="112"/>
      <c r="AI183" s="112"/>
      <c r="AJ183" s="112"/>
      <c r="AK183" s="112"/>
      <c r="AL183" s="112"/>
      <c r="AM183" s="112"/>
      <c r="AN183" s="112"/>
      <c r="AO183" s="112"/>
      <c r="AP183" s="112"/>
    </row>
    <row r="184" ht="15.75" customHeight="1">
      <c r="A184" s="112"/>
      <c r="B184" s="112"/>
      <c r="C184" s="112"/>
      <c r="D184" s="112"/>
      <c r="E184" s="128"/>
      <c r="F184" s="112"/>
      <c r="G184" s="112"/>
      <c r="H184" s="128"/>
      <c r="I184" s="112"/>
      <c r="J184" s="112"/>
      <c r="K184" s="112"/>
      <c r="L184" s="128"/>
      <c r="M184" s="128"/>
      <c r="N184" s="112"/>
      <c r="O184" s="112"/>
      <c r="P184" s="112"/>
      <c r="Q184" s="112"/>
      <c r="R184" s="112"/>
      <c r="S184" s="112"/>
      <c r="T184" s="128"/>
      <c r="U184" s="128"/>
      <c r="V184" s="128"/>
      <c r="W184" s="128"/>
      <c r="X184" s="128"/>
      <c r="Y184" s="128"/>
      <c r="Z184" s="112"/>
      <c r="AA184" s="112"/>
      <c r="AB184" s="112"/>
      <c r="AC184" s="112"/>
      <c r="AD184" s="112"/>
      <c r="AE184" s="112"/>
      <c r="AF184" s="112"/>
      <c r="AG184" s="112"/>
      <c r="AH184" s="112"/>
      <c r="AI184" s="112"/>
      <c r="AJ184" s="112"/>
      <c r="AK184" s="112"/>
      <c r="AL184" s="112"/>
      <c r="AM184" s="112"/>
      <c r="AN184" s="112"/>
      <c r="AO184" s="112"/>
      <c r="AP184" s="112"/>
    </row>
    <row r="185" ht="15.75" customHeight="1">
      <c r="A185" s="112"/>
      <c r="B185" s="112"/>
      <c r="C185" s="112"/>
      <c r="D185" s="112"/>
      <c r="E185" s="128"/>
      <c r="F185" s="112"/>
      <c r="G185" s="112"/>
      <c r="H185" s="128"/>
      <c r="I185" s="112"/>
      <c r="J185" s="112"/>
      <c r="K185" s="112"/>
      <c r="L185" s="128"/>
      <c r="M185" s="128"/>
      <c r="N185" s="112"/>
      <c r="O185" s="112"/>
      <c r="P185" s="112"/>
      <c r="Q185" s="112"/>
      <c r="R185" s="112"/>
      <c r="S185" s="112"/>
      <c r="T185" s="128"/>
      <c r="U185" s="128"/>
      <c r="V185" s="128"/>
      <c r="W185" s="128"/>
      <c r="X185" s="128"/>
      <c r="Y185" s="128"/>
      <c r="Z185" s="112"/>
      <c r="AA185" s="112"/>
      <c r="AB185" s="112"/>
      <c r="AC185" s="112"/>
      <c r="AD185" s="112"/>
      <c r="AE185" s="112"/>
      <c r="AF185" s="112"/>
      <c r="AG185" s="112"/>
      <c r="AH185" s="112"/>
      <c r="AI185" s="112"/>
      <c r="AJ185" s="112"/>
      <c r="AK185" s="112"/>
      <c r="AL185" s="112"/>
      <c r="AM185" s="112"/>
      <c r="AN185" s="112"/>
      <c r="AO185" s="112"/>
      <c r="AP185" s="112"/>
    </row>
    <row r="186" ht="15.75" customHeight="1">
      <c r="A186" s="112"/>
      <c r="B186" s="112"/>
      <c r="C186" s="112"/>
      <c r="D186" s="112"/>
      <c r="E186" s="128"/>
      <c r="F186" s="112"/>
      <c r="G186" s="112"/>
      <c r="H186" s="128"/>
      <c r="I186" s="112"/>
      <c r="J186" s="112"/>
      <c r="K186" s="112"/>
      <c r="L186" s="128"/>
      <c r="M186" s="128"/>
      <c r="N186" s="112"/>
      <c r="O186" s="112"/>
      <c r="P186" s="112"/>
      <c r="Q186" s="112"/>
      <c r="R186" s="112"/>
      <c r="S186" s="112"/>
      <c r="T186" s="128"/>
      <c r="U186" s="128"/>
      <c r="V186" s="128"/>
      <c r="W186" s="128"/>
      <c r="X186" s="128"/>
      <c r="Y186" s="128"/>
      <c r="Z186" s="112"/>
      <c r="AA186" s="112"/>
      <c r="AB186" s="112"/>
      <c r="AC186" s="112"/>
      <c r="AD186" s="112"/>
      <c r="AE186" s="112"/>
      <c r="AF186" s="112"/>
      <c r="AG186" s="112"/>
      <c r="AH186" s="112"/>
      <c r="AI186" s="112"/>
      <c r="AJ186" s="112"/>
      <c r="AK186" s="112"/>
      <c r="AL186" s="112"/>
      <c r="AM186" s="112"/>
      <c r="AN186" s="112"/>
      <c r="AO186" s="112"/>
      <c r="AP186" s="112"/>
    </row>
    <row r="187" ht="15.75" customHeight="1">
      <c r="A187" s="112"/>
      <c r="B187" s="112"/>
      <c r="C187" s="112"/>
      <c r="D187" s="112"/>
      <c r="E187" s="128"/>
      <c r="F187" s="112"/>
      <c r="G187" s="112"/>
      <c r="H187" s="128"/>
      <c r="I187" s="112"/>
      <c r="J187" s="112"/>
      <c r="K187" s="112"/>
      <c r="L187" s="128"/>
      <c r="M187" s="128"/>
      <c r="N187" s="112"/>
      <c r="O187" s="112"/>
      <c r="P187" s="112"/>
      <c r="Q187" s="112"/>
      <c r="R187" s="112"/>
      <c r="S187" s="112"/>
      <c r="T187" s="128"/>
      <c r="U187" s="128"/>
      <c r="V187" s="128"/>
      <c r="W187" s="128"/>
      <c r="X187" s="128"/>
      <c r="Y187" s="128"/>
      <c r="Z187" s="112"/>
      <c r="AA187" s="112"/>
      <c r="AB187" s="112"/>
      <c r="AC187" s="112"/>
      <c r="AD187" s="112"/>
      <c r="AE187" s="112"/>
      <c r="AF187" s="112"/>
      <c r="AG187" s="112"/>
      <c r="AH187" s="112"/>
      <c r="AI187" s="112"/>
      <c r="AJ187" s="112"/>
      <c r="AK187" s="112"/>
      <c r="AL187" s="112"/>
      <c r="AM187" s="112"/>
      <c r="AN187" s="112"/>
      <c r="AO187" s="112"/>
      <c r="AP187" s="112"/>
    </row>
    <row r="188" ht="15.75" customHeight="1">
      <c r="A188" s="112"/>
      <c r="B188" s="112"/>
      <c r="C188" s="112"/>
      <c r="D188" s="112"/>
      <c r="E188" s="128"/>
      <c r="F188" s="112"/>
      <c r="G188" s="112"/>
      <c r="H188" s="128"/>
      <c r="I188" s="112"/>
      <c r="J188" s="112"/>
      <c r="K188" s="112"/>
      <c r="L188" s="128"/>
      <c r="M188" s="128"/>
      <c r="N188" s="112"/>
      <c r="O188" s="112"/>
      <c r="P188" s="112"/>
      <c r="Q188" s="112"/>
      <c r="R188" s="112"/>
      <c r="S188" s="112"/>
      <c r="T188" s="128"/>
      <c r="U188" s="128"/>
      <c r="V188" s="128"/>
      <c r="W188" s="128"/>
      <c r="X188" s="128"/>
      <c r="Y188" s="128"/>
      <c r="Z188" s="112"/>
      <c r="AA188" s="112"/>
      <c r="AB188" s="112"/>
      <c r="AC188" s="112"/>
      <c r="AD188" s="112"/>
      <c r="AE188" s="112"/>
      <c r="AF188" s="112"/>
      <c r="AG188" s="112"/>
      <c r="AH188" s="112"/>
      <c r="AI188" s="112"/>
      <c r="AJ188" s="112"/>
      <c r="AK188" s="112"/>
      <c r="AL188" s="112"/>
      <c r="AM188" s="112"/>
      <c r="AN188" s="112"/>
      <c r="AO188" s="112"/>
      <c r="AP188" s="112"/>
    </row>
    <row r="189" ht="15.75" customHeight="1">
      <c r="A189" s="112"/>
      <c r="B189" s="112"/>
      <c r="C189" s="112"/>
      <c r="D189" s="112"/>
      <c r="E189" s="128"/>
      <c r="F189" s="112"/>
      <c r="G189" s="112"/>
      <c r="H189" s="128"/>
      <c r="I189" s="112"/>
      <c r="J189" s="112"/>
      <c r="K189" s="112"/>
      <c r="L189" s="128"/>
      <c r="M189" s="128"/>
      <c r="N189" s="112"/>
      <c r="O189" s="112"/>
      <c r="P189" s="112"/>
      <c r="Q189" s="112"/>
      <c r="R189" s="112"/>
      <c r="S189" s="112"/>
      <c r="T189" s="128"/>
      <c r="U189" s="128"/>
      <c r="V189" s="128"/>
      <c r="W189" s="128"/>
      <c r="X189" s="128"/>
      <c r="Y189" s="128"/>
      <c r="Z189" s="112"/>
      <c r="AA189" s="112"/>
      <c r="AB189" s="112"/>
      <c r="AC189" s="112"/>
      <c r="AD189" s="112"/>
      <c r="AE189" s="112"/>
      <c r="AF189" s="112"/>
      <c r="AG189" s="112"/>
      <c r="AH189" s="112"/>
      <c r="AI189" s="112"/>
      <c r="AJ189" s="112"/>
      <c r="AK189" s="112"/>
      <c r="AL189" s="112"/>
      <c r="AM189" s="112"/>
      <c r="AN189" s="112"/>
      <c r="AO189" s="112"/>
      <c r="AP189" s="112"/>
    </row>
    <row r="190" ht="15.75" customHeight="1">
      <c r="A190" s="112"/>
      <c r="B190" s="112"/>
      <c r="C190" s="112"/>
      <c r="D190" s="112"/>
      <c r="E190" s="128"/>
      <c r="F190" s="112"/>
      <c r="G190" s="112"/>
      <c r="H190" s="128"/>
      <c r="I190" s="112"/>
      <c r="J190" s="112"/>
      <c r="K190" s="112"/>
      <c r="L190" s="128"/>
      <c r="M190" s="128"/>
      <c r="N190" s="112"/>
      <c r="O190" s="112"/>
      <c r="P190" s="112"/>
      <c r="Q190" s="112"/>
      <c r="R190" s="112"/>
      <c r="S190" s="112"/>
      <c r="T190" s="128"/>
      <c r="U190" s="128"/>
      <c r="V190" s="128"/>
      <c r="W190" s="128"/>
      <c r="X190" s="128"/>
      <c r="Y190" s="128"/>
      <c r="Z190" s="112"/>
      <c r="AA190" s="112"/>
      <c r="AB190" s="112"/>
      <c r="AC190" s="112"/>
      <c r="AD190" s="112"/>
      <c r="AE190" s="112"/>
      <c r="AF190" s="112"/>
      <c r="AG190" s="112"/>
      <c r="AH190" s="112"/>
      <c r="AI190" s="112"/>
      <c r="AJ190" s="112"/>
      <c r="AK190" s="112"/>
      <c r="AL190" s="112"/>
      <c r="AM190" s="112"/>
      <c r="AN190" s="112"/>
      <c r="AO190" s="112"/>
      <c r="AP190" s="112"/>
    </row>
    <row r="191" ht="15.75" customHeight="1">
      <c r="A191" s="112"/>
      <c r="B191" s="112"/>
      <c r="C191" s="112"/>
      <c r="D191" s="112"/>
      <c r="E191" s="128"/>
      <c r="F191" s="112"/>
      <c r="G191" s="112"/>
      <c r="H191" s="128"/>
      <c r="I191" s="112"/>
      <c r="J191" s="112"/>
      <c r="K191" s="112"/>
      <c r="L191" s="128"/>
      <c r="M191" s="128"/>
      <c r="N191" s="112"/>
      <c r="O191" s="112"/>
      <c r="P191" s="112"/>
      <c r="Q191" s="112"/>
      <c r="R191" s="112"/>
      <c r="S191" s="112"/>
      <c r="T191" s="128"/>
      <c r="U191" s="128"/>
      <c r="V191" s="128"/>
      <c r="W191" s="128"/>
      <c r="X191" s="128"/>
      <c r="Y191" s="128"/>
      <c r="Z191" s="112"/>
      <c r="AA191" s="112"/>
      <c r="AB191" s="112"/>
      <c r="AC191" s="112"/>
      <c r="AD191" s="112"/>
      <c r="AE191" s="112"/>
      <c r="AF191" s="112"/>
      <c r="AG191" s="112"/>
      <c r="AH191" s="112"/>
      <c r="AI191" s="112"/>
      <c r="AJ191" s="112"/>
      <c r="AK191" s="112"/>
      <c r="AL191" s="112"/>
      <c r="AM191" s="112"/>
      <c r="AN191" s="112"/>
      <c r="AO191" s="112"/>
      <c r="AP191" s="112"/>
    </row>
    <row r="192" ht="15.75" customHeight="1">
      <c r="A192" s="112"/>
      <c r="B192" s="112"/>
      <c r="C192" s="112"/>
      <c r="D192" s="112"/>
      <c r="E192" s="128"/>
      <c r="F192" s="112"/>
      <c r="G192" s="112"/>
      <c r="H192" s="128"/>
      <c r="I192" s="112"/>
      <c r="J192" s="112"/>
      <c r="K192" s="112"/>
      <c r="L192" s="128"/>
      <c r="M192" s="128"/>
      <c r="N192" s="112"/>
      <c r="O192" s="112"/>
      <c r="P192" s="112"/>
      <c r="Q192" s="112"/>
      <c r="R192" s="112"/>
      <c r="S192" s="112"/>
      <c r="T192" s="128"/>
      <c r="U192" s="128"/>
      <c r="V192" s="128"/>
      <c r="W192" s="128"/>
      <c r="X192" s="128"/>
      <c r="Y192" s="128"/>
      <c r="Z192" s="112"/>
      <c r="AA192" s="112"/>
      <c r="AB192" s="112"/>
      <c r="AC192" s="112"/>
      <c r="AD192" s="112"/>
      <c r="AE192" s="112"/>
      <c r="AF192" s="112"/>
      <c r="AG192" s="112"/>
      <c r="AH192" s="112"/>
      <c r="AI192" s="112"/>
      <c r="AJ192" s="112"/>
      <c r="AK192" s="112"/>
      <c r="AL192" s="112"/>
      <c r="AM192" s="112"/>
      <c r="AN192" s="112"/>
      <c r="AO192" s="112"/>
      <c r="AP192" s="112"/>
    </row>
    <row r="193" ht="15.75" customHeight="1">
      <c r="A193" s="112"/>
      <c r="B193" s="112"/>
      <c r="C193" s="112"/>
      <c r="D193" s="112"/>
      <c r="E193" s="128"/>
      <c r="F193" s="112"/>
      <c r="G193" s="112"/>
      <c r="H193" s="128"/>
      <c r="I193" s="112"/>
      <c r="J193" s="112"/>
      <c r="K193" s="112"/>
      <c r="L193" s="128"/>
      <c r="M193" s="128"/>
      <c r="N193" s="112"/>
      <c r="O193" s="112"/>
      <c r="P193" s="112"/>
      <c r="Q193" s="112"/>
      <c r="R193" s="112"/>
      <c r="S193" s="112"/>
      <c r="T193" s="128"/>
      <c r="U193" s="128"/>
      <c r="V193" s="128"/>
      <c r="W193" s="128"/>
      <c r="X193" s="128"/>
      <c r="Y193" s="128"/>
      <c r="Z193" s="112"/>
      <c r="AA193" s="112"/>
      <c r="AB193" s="112"/>
      <c r="AC193" s="112"/>
      <c r="AD193" s="112"/>
      <c r="AE193" s="112"/>
      <c r="AF193" s="112"/>
      <c r="AG193" s="112"/>
      <c r="AH193" s="112"/>
      <c r="AI193" s="112"/>
      <c r="AJ193" s="112"/>
      <c r="AK193" s="112"/>
      <c r="AL193" s="112"/>
      <c r="AM193" s="112"/>
      <c r="AN193" s="112"/>
      <c r="AO193" s="112"/>
      <c r="AP193" s="112"/>
    </row>
    <row r="194" ht="15.75" customHeight="1">
      <c r="A194" s="112"/>
      <c r="B194" s="112"/>
      <c r="C194" s="112"/>
      <c r="D194" s="112"/>
      <c r="E194" s="128"/>
      <c r="F194" s="112"/>
      <c r="G194" s="112"/>
      <c r="H194" s="128"/>
      <c r="I194" s="112"/>
      <c r="J194" s="112"/>
      <c r="K194" s="112"/>
      <c r="L194" s="128"/>
      <c r="M194" s="128"/>
      <c r="N194" s="112"/>
      <c r="O194" s="112"/>
      <c r="P194" s="112"/>
      <c r="Q194" s="112"/>
      <c r="R194" s="112"/>
      <c r="S194" s="112"/>
      <c r="T194" s="128"/>
      <c r="U194" s="128"/>
      <c r="V194" s="128"/>
      <c r="W194" s="128"/>
      <c r="X194" s="128"/>
      <c r="Y194" s="128"/>
      <c r="Z194" s="112"/>
      <c r="AA194" s="112"/>
      <c r="AB194" s="112"/>
      <c r="AC194" s="112"/>
      <c r="AD194" s="112"/>
      <c r="AE194" s="112"/>
      <c r="AF194" s="112"/>
      <c r="AG194" s="112"/>
      <c r="AH194" s="112"/>
      <c r="AI194" s="112"/>
      <c r="AJ194" s="112"/>
      <c r="AK194" s="112"/>
      <c r="AL194" s="112"/>
      <c r="AM194" s="112"/>
      <c r="AN194" s="112"/>
      <c r="AO194" s="112"/>
      <c r="AP194" s="112"/>
    </row>
    <row r="195" ht="15.75" customHeight="1">
      <c r="A195" s="112"/>
      <c r="B195" s="112"/>
      <c r="C195" s="112"/>
      <c r="D195" s="112"/>
      <c r="E195" s="128"/>
      <c r="F195" s="112"/>
      <c r="G195" s="112"/>
      <c r="H195" s="128"/>
      <c r="I195" s="112"/>
      <c r="J195" s="112"/>
      <c r="K195" s="112"/>
      <c r="L195" s="128"/>
      <c r="M195" s="128"/>
      <c r="N195" s="112"/>
      <c r="O195" s="112"/>
      <c r="P195" s="112"/>
      <c r="Q195" s="112"/>
      <c r="R195" s="112"/>
      <c r="S195" s="112"/>
      <c r="T195" s="128"/>
      <c r="U195" s="128"/>
      <c r="V195" s="128"/>
      <c r="W195" s="128"/>
      <c r="X195" s="128"/>
      <c r="Y195" s="128"/>
      <c r="Z195" s="112"/>
      <c r="AA195" s="112"/>
      <c r="AB195" s="112"/>
      <c r="AC195" s="112"/>
      <c r="AD195" s="112"/>
      <c r="AE195" s="112"/>
      <c r="AF195" s="112"/>
      <c r="AG195" s="112"/>
      <c r="AH195" s="112"/>
      <c r="AI195" s="112"/>
      <c r="AJ195" s="112"/>
      <c r="AK195" s="112"/>
      <c r="AL195" s="112"/>
      <c r="AM195" s="112"/>
      <c r="AN195" s="112"/>
      <c r="AO195" s="112"/>
      <c r="AP195" s="112"/>
    </row>
    <row r="196" ht="15.75" customHeight="1">
      <c r="A196" s="112"/>
      <c r="B196" s="112"/>
      <c r="C196" s="112"/>
      <c r="D196" s="112"/>
      <c r="E196" s="128"/>
      <c r="F196" s="112"/>
      <c r="G196" s="112"/>
      <c r="H196" s="128"/>
      <c r="I196" s="112"/>
      <c r="J196" s="112"/>
      <c r="K196" s="112"/>
      <c r="L196" s="128"/>
      <c r="M196" s="128"/>
      <c r="N196" s="112"/>
      <c r="O196" s="112"/>
      <c r="P196" s="112"/>
      <c r="Q196" s="112"/>
      <c r="R196" s="112"/>
      <c r="S196" s="112"/>
      <c r="T196" s="128"/>
      <c r="U196" s="128"/>
      <c r="V196" s="128"/>
      <c r="W196" s="128"/>
      <c r="X196" s="128"/>
      <c r="Y196" s="128"/>
      <c r="Z196" s="112"/>
      <c r="AA196" s="112"/>
      <c r="AB196" s="112"/>
      <c r="AC196" s="112"/>
      <c r="AD196" s="112"/>
      <c r="AE196" s="112"/>
      <c r="AF196" s="112"/>
      <c r="AG196" s="112"/>
      <c r="AH196" s="112"/>
      <c r="AI196" s="112"/>
      <c r="AJ196" s="112"/>
      <c r="AK196" s="112"/>
      <c r="AL196" s="112"/>
      <c r="AM196" s="112"/>
      <c r="AN196" s="112"/>
      <c r="AO196" s="112"/>
      <c r="AP196" s="112"/>
    </row>
    <row r="197" ht="15.75" customHeight="1">
      <c r="A197" s="112"/>
      <c r="B197" s="112"/>
      <c r="C197" s="112"/>
      <c r="D197" s="112"/>
      <c r="E197" s="128"/>
      <c r="F197" s="112"/>
      <c r="G197" s="112"/>
      <c r="H197" s="128"/>
      <c r="I197" s="112"/>
      <c r="J197" s="112"/>
      <c r="K197" s="112"/>
      <c r="L197" s="128"/>
      <c r="M197" s="128"/>
      <c r="N197" s="112"/>
      <c r="O197" s="112"/>
      <c r="P197" s="112"/>
      <c r="Q197" s="112"/>
      <c r="R197" s="112"/>
      <c r="S197" s="112"/>
      <c r="T197" s="128"/>
      <c r="U197" s="128"/>
      <c r="V197" s="128"/>
      <c r="W197" s="128"/>
      <c r="X197" s="128"/>
      <c r="Y197" s="128"/>
      <c r="Z197" s="112"/>
      <c r="AA197" s="112"/>
      <c r="AB197" s="112"/>
      <c r="AC197" s="112"/>
      <c r="AD197" s="112"/>
      <c r="AE197" s="112"/>
      <c r="AF197" s="112"/>
      <c r="AG197" s="112"/>
      <c r="AH197" s="112"/>
      <c r="AI197" s="112"/>
      <c r="AJ197" s="112"/>
      <c r="AK197" s="112"/>
      <c r="AL197" s="112"/>
      <c r="AM197" s="112"/>
      <c r="AN197" s="112"/>
      <c r="AO197" s="112"/>
      <c r="AP197" s="112"/>
    </row>
    <row r="198" ht="15.75" customHeight="1">
      <c r="A198" s="112"/>
      <c r="B198" s="112"/>
      <c r="C198" s="112"/>
      <c r="D198" s="112"/>
      <c r="E198" s="128"/>
      <c r="F198" s="112"/>
      <c r="G198" s="112"/>
      <c r="H198" s="128"/>
      <c r="I198" s="112"/>
      <c r="J198" s="112"/>
      <c r="K198" s="112"/>
      <c r="L198" s="128"/>
      <c r="M198" s="128"/>
      <c r="N198" s="112"/>
      <c r="O198" s="112"/>
      <c r="P198" s="112"/>
      <c r="Q198" s="112"/>
      <c r="R198" s="112"/>
      <c r="S198" s="112"/>
      <c r="T198" s="128"/>
      <c r="U198" s="128"/>
      <c r="V198" s="128"/>
      <c r="W198" s="128"/>
      <c r="X198" s="128"/>
      <c r="Y198" s="128"/>
      <c r="Z198" s="112"/>
      <c r="AA198" s="112"/>
      <c r="AB198" s="112"/>
      <c r="AC198" s="112"/>
      <c r="AD198" s="112"/>
      <c r="AE198" s="112"/>
      <c r="AF198" s="112"/>
      <c r="AG198" s="112"/>
      <c r="AH198" s="112"/>
      <c r="AI198" s="112"/>
      <c r="AJ198" s="112"/>
      <c r="AK198" s="112"/>
      <c r="AL198" s="112"/>
      <c r="AM198" s="112"/>
      <c r="AN198" s="112"/>
      <c r="AO198" s="112"/>
      <c r="AP198" s="112"/>
    </row>
    <row r="199" ht="15.75" customHeight="1">
      <c r="A199" s="112"/>
      <c r="B199" s="112"/>
      <c r="C199" s="112"/>
      <c r="D199" s="112"/>
      <c r="E199" s="128"/>
      <c r="F199" s="112"/>
      <c r="G199" s="112"/>
      <c r="H199" s="128"/>
      <c r="I199" s="112"/>
      <c r="J199" s="112"/>
      <c r="K199" s="112"/>
      <c r="L199" s="128"/>
      <c r="M199" s="128"/>
      <c r="N199" s="112"/>
      <c r="O199" s="112"/>
      <c r="P199" s="112"/>
      <c r="Q199" s="112"/>
      <c r="R199" s="112"/>
      <c r="S199" s="112"/>
      <c r="T199" s="128"/>
      <c r="U199" s="128"/>
      <c r="V199" s="128"/>
      <c r="W199" s="128"/>
      <c r="X199" s="128"/>
      <c r="Y199" s="128"/>
      <c r="Z199" s="112"/>
      <c r="AA199" s="112"/>
      <c r="AB199" s="112"/>
      <c r="AC199" s="112"/>
      <c r="AD199" s="112"/>
      <c r="AE199" s="112"/>
      <c r="AF199" s="112"/>
      <c r="AG199" s="112"/>
      <c r="AH199" s="112"/>
      <c r="AI199" s="112"/>
      <c r="AJ199" s="112"/>
      <c r="AK199" s="112"/>
      <c r="AL199" s="112"/>
      <c r="AM199" s="112"/>
      <c r="AN199" s="112"/>
      <c r="AO199" s="112"/>
      <c r="AP199" s="112"/>
    </row>
    <row r="200" ht="15.75" customHeight="1">
      <c r="A200" s="112"/>
      <c r="B200" s="112"/>
      <c r="C200" s="112"/>
      <c r="D200" s="112"/>
      <c r="E200" s="128"/>
      <c r="F200" s="112"/>
      <c r="G200" s="112"/>
      <c r="H200" s="128"/>
      <c r="I200" s="112"/>
      <c r="J200" s="112"/>
      <c r="K200" s="112"/>
      <c r="L200" s="128"/>
      <c r="M200" s="128"/>
      <c r="N200" s="112"/>
      <c r="O200" s="112"/>
      <c r="P200" s="112"/>
      <c r="Q200" s="112"/>
      <c r="R200" s="112"/>
      <c r="S200" s="112"/>
      <c r="T200" s="128"/>
      <c r="U200" s="128"/>
      <c r="V200" s="128"/>
      <c r="W200" s="128"/>
      <c r="X200" s="128"/>
      <c r="Y200" s="128"/>
      <c r="Z200" s="112"/>
      <c r="AA200" s="112"/>
      <c r="AB200" s="112"/>
      <c r="AC200" s="112"/>
      <c r="AD200" s="112"/>
      <c r="AE200" s="112"/>
      <c r="AF200" s="112"/>
      <c r="AG200" s="112"/>
      <c r="AH200" s="112"/>
      <c r="AI200" s="112"/>
      <c r="AJ200" s="112"/>
      <c r="AK200" s="112"/>
      <c r="AL200" s="112"/>
      <c r="AM200" s="112"/>
      <c r="AN200" s="112"/>
      <c r="AO200" s="112"/>
      <c r="AP200" s="112"/>
    </row>
    <row r="201" ht="15.75" customHeight="1">
      <c r="A201" s="112"/>
      <c r="B201" s="112"/>
      <c r="C201" s="112"/>
      <c r="D201" s="112"/>
      <c r="E201" s="128"/>
      <c r="F201" s="112"/>
      <c r="G201" s="112"/>
      <c r="H201" s="128"/>
      <c r="I201" s="112"/>
      <c r="J201" s="112"/>
      <c r="K201" s="112"/>
      <c r="L201" s="128"/>
      <c r="M201" s="128"/>
      <c r="N201" s="112"/>
      <c r="O201" s="112"/>
      <c r="P201" s="112"/>
      <c r="Q201" s="112"/>
      <c r="R201" s="112"/>
      <c r="S201" s="112"/>
      <c r="T201" s="128"/>
      <c r="U201" s="128"/>
      <c r="V201" s="128"/>
      <c r="W201" s="128"/>
      <c r="X201" s="128"/>
      <c r="Y201" s="128"/>
      <c r="Z201" s="112"/>
      <c r="AA201" s="112"/>
      <c r="AB201" s="112"/>
      <c r="AC201" s="112"/>
      <c r="AD201" s="112"/>
      <c r="AE201" s="112"/>
      <c r="AF201" s="112"/>
      <c r="AG201" s="112"/>
      <c r="AH201" s="112"/>
      <c r="AI201" s="112"/>
      <c r="AJ201" s="112"/>
      <c r="AK201" s="112"/>
      <c r="AL201" s="112"/>
      <c r="AM201" s="112"/>
      <c r="AN201" s="112"/>
      <c r="AO201" s="112"/>
      <c r="AP201" s="112"/>
    </row>
    <row r="202" ht="15.75" customHeight="1">
      <c r="A202" s="112"/>
      <c r="B202" s="112"/>
      <c r="C202" s="112"/>
      <c r="D202" s="112"/>
      <c r="E202" s="128"/>
      <c r="F202" s="112"/>
      <c r="G202" s="112"/>
      <c r="H202" s="128"/>
      <c r="I202" s="112"/>
      <c r="J202" s="112"/>
      <c r="K202" s="112"/>
      <c r="L202" s="128"/>
      <c r="M202" s="128"/>
      <c r="N202" s="112"/>
      <c r="O202" s="112"/>
      <c r="P202" s="112"/>
      <c r="Q202" s="112"/>
      <c r="R202" s="112"/>
      <c r="S202" s="112"/>
      <c r="T202" s="128"/>
      <c r="U202" s="128"/>
      <c r="V202" s="128"/>
      <c r="W202" s="128"/>
      <c r="X202" s="128"/>
      <c r="Y202" s="128"/>
      <c r="Z202" s="112"/>
      <c r="AA202" s="112"/>
      <c r="AB202" s="112"/>
      <c r="AC202" s="112"/>
      <c r="AD202" s="112"/>
      <c r="AE202" s="112"/>
      <c r="AF202" s="112"/>
      <c r="AG202" s="112"/>
      <c r="AH202" s="112"/>
      <c r="AI202" s="112"/>
      <c r="AJ202" s="112"/>
      <c r="AK202" s="112"/>
      <c r="AL202" s="112"/>
      <c r="AM202" s="112"/>
      <c r="AN202" s="112"/>
      <c r="AO202" s="112"/>
      <c r="AP202" s="112"/>
    </row>
    <row r="203" ht="15.75" customHeight="1">
      <c r="A203" s="112"/>
      <c r="B203" s="112"/>
      <c r="C203" s="112"/>
      <c r="D203" s="112"/>
      <c r="E203" s="128"/>
      <c r="F203" s="112"/>
      <c r="G203" s="112"/>
      <c r="H203" s="128"/>
      <c r="I203" s="112"/>
      <c r="J203" s="112"/>
      <c r="K203" s="112"/>
      <c r="L203" s="128"/>
      <c r="M203" s="128"/>
      <c r="N203" s="112"/>
      <c r="O203" s="112"/>
      <c r="P203" s="112"/>
      <c r="Q203" s="112"/>
      <c r="R203" s="112"/>
      <c r="S203" s="112"/>
      <c r="T203" s="128"/>
      <c r="U203" s="128"/>
      <c r="V203" s="128"/>
      <c r="W203" s="128"/>
      <c r="X203" s="128"/>
      <c r="Y203" s="128"/>
      <c r="Z203" s="112"/>
      <c r="AA203" s="112"/>
      <c r="AB203" s="112"/>
      <c r="AC203" s="112"/>
      <c r="AD203" s="112"/>
      <c r="AE203" s="112"/>
      <c r="AF203" s="112"/>
      <c r="AG203" s="112"/>
      <c r="AH203" s="112"/>
      <c r="AI203" s="112"/>
      <c r="AJ203" s="112"/>
      <c r="AK203" s="112"/>
      <c r="AL203" s="112"/>
      <c r="AM203" s="112"/>
      <c r="AN203" s="112"/>
      <c r="AO203" s="112"/>
      <c r="AP203" s="112"/>
    </row>
    <row r="204" ht="15.75" customHeight="1">
      <c r="A204" s="112"/>
      <c r="B204" s="112"/>
      <c r="C204" s="112"/>
      <c r="D204" s="112"/>
      <c r="E204" s="128"/>
      <c r="F204" s="112"/>
      <c r="G204" s="112"/>
      <c r="H204" s="128"/>
      <c r="I204" s="112"/>
      <c r="J204" s="112"/>
      <c r="K204" s="112"/>
      <c r="L204" s="128"/>
      <c r="M204" s="128"/>
      <c r="N204" s="112"/>
      <c r="O204" s="112"/>
      <c r="P204" s="112"/>
      <c r="Q204" s="112"/>
      <c r="R204" s="112"/>
      <c r="S204" s="112"/>
      <c r="T204" s="128"/>
      <c r="U204" s="128"/>
      <c r="V204" s="128"/>
      <c r="W204" s="128"/>
      <c r="X204" s="128"/>
      <c r="Y204" s="128"/>
      <c r="Z204" s="112"/>
      <c r="AA204" s="112"/>
      <c r="AB204" s="112"/>
      <c r="AC204" s="112"/>
      <c r="AD204" s="112"/>
      <c r="AE204" s="112"/>
      <c r="AF204" s="112"/>
      <c r="AG204" s="112"/>
      <c r="AH204" s="112"/>
      <c r="AI204" s="112"/>
      <c r="AJ204" s="112"/>
      <c r="AK204" s="112"/>
      <c r="AL204" s="112"/>
      <c r="AM204" s="112"/>
      <c r="AN204" s="112"/>
      <c r="AO204" s="112"/>
      <c r="AP204" s="112"/>
    </row>
    <row r="205" ht="15.75" customHeight="1">
      <c r="A205" s="112"/>
      <c r="B205" s="112"/>
      <c r="C205" s="112"/>
      <c r="D205" s="112"/>
      <c r="E205" s="128"/>
      <c r="F205" s="112"/>
      <c r="G205" s="112"/>
      <c r="H205" s="128"/>
      <c r="I205" s="112"/>
      <c r="J205" s="112"/>
      <c r="K205" s="112"/>
      <c r="L205" s="128"/>
      <c r="M205" s="128"/>
      <c r="N205" s="112"/>
      <c r="O205" s="112"/>
      <c r="P205" s="112"/>
      <c r="Q205" s="112"/>
      <c r="R205" s="112"/>
      <c r="S205" s="112"/>
      <c r="T205" s="128"/>
      <c r="U205" s="128"/>
      <c r="V205" s="128"/>
      <c r="W205" s="128"/>
      <c r="X205" s="128"/>
      <c r="Y205" s="128"/>
      <c r="Z205" s="112"/>
      <c r="AA205" s="112"/>
      <c r="AB205" s="112"/>
      <c r="AC205" s="112"/>
      <c r="AD205" s="112"/>
      <c r="AE205" s="112"/>
      <c r="AF205" s="112"/>
      <c r="AG205" s="112"/>
      <c r="AH205" s="112"/>
      <c r="AI205" s="112"/>
      <c r="AJ205" s="112"/>
      <c r="AK205" s="112"/>
      <c r="AL205" s="112"/>
      <c r="AM205" s="112"/>
      <c r="AN205" s="112"/>
      <c r="AO205" s="112"/>
      <c r="AP205" s="112"/>
    </row>
    <row r="206" ht="15.75" customHeight="1">
      <c r="A206" s="112"/>
      <c r="B206" s="112"/>
      <c r="C206" s="112"/>
      <c r="D206" s="112"/>
      <c r="E206" s="128"/>
      <c r="F206" s="112"/>
      <c r="G206" s="112"/>
      <c r="H206" s="128"/>
      <c r="I206" s="112"/>
      <c r="J206" s="112"/>
      <c r="K206" s="112"/>
      <c r="L206" s="128"/>
      <c r="M206" s="128"/>
      <c r="N206" s="112"/>
      <c r="O206" s="112"/>
      <c r="P206" s="112"/>
      <c r="Q206" s="112"/>
      <c r="R206" s="112"/>
      <c r="S206" s="112"/>
      <c r="T206" s="128"/>
      <c r="U206" s="128"/>
      <c r="V206" s="128"/>
      <c r="W206" s="128"/>
      <c r="X206" s="128"/>
      <c r="Y206" s="128"/>
      <c r="Z206" s="112"/>
      <c r="AA206" s="112"/>
      <c r="AB206" s="112"/>
      <c r="AC206" s="112"/>
      <c r="AD206" s="112"/>
      <c r="AE206" s="112"/>
      <c r="AF206" s="112"/>
      <c r="AG206" s="112"/>
      <c r="AH206" s="112"/>
      <c r="AI206" s="112"/>
      <c r="AJ206" s="112"/>
      <c r="AK206" s="112"/>
      <c r="AL206" s="112"/>
      <c r="AM206" s="112"/>
      <c r="AN206" s="112"/>
      <c r="AO206" s="112"/>
      <c r="AP206" s="112"/>
    </row>
    <row r="207" ht="15.75" customHeight="1">
      <c r="A207" s="112"/>
      <c r="B207" s="112"/>
      <c r="C207" s="112"/>
      <c r="D207" s="112"/>
      <c r="E207" s="128"/>
      <c r="F207" s="112"/>
      <c r="G207" s="112"/>
      <c r="H207" s="128"/>
      <c r="I207" s="112"/>
      <c r="J207" s="112"/>
      <c r="K207" s="112"/>
      <c r="L207" s="128"/>
      <c r="M207" s="128"/>
      <c r="N207" s="112"/>
      <c r="O207" s="112"/>
      <c r="P207" s="112"/>
      <c r="Q207" s="112"/>
      <c r="R207" s="112"/>
      <c r="S207" s="112"/>
      <c r="T207" s="128"/>
      <c r="U207" s="128"/>
      <c r="V207" s="128"/>
      <c r="W207" s="128"/>
      <c r="X207" s="128"/>
      <c r="Y207" s="128"/>
      <c r="Z207" s="112"/>
      <c r="AA207" s="112"/>
      <c r="AB207" s="112"/>
      <c r="AC207" s="112"/>
      <c r="AD207" s="112"/>
      <c r="AE207" s="112"/>
      <c r="AF207" s="112"/>
      <c r="AG207" s="112"/>
      <c r="AH207" s="112"/>
      <c r="AI207" s="112"/>
      <c r="AJ207" s="112"/>
      <c r="AK207" s="112"/>
      <c r="AL207" s="112"/>
      <c r="AM207" s="112"/>
      <c r="AN207" s="112"/>
      <c r="AO207" s="112"/>
      <c r="AP207" s="112"/>
    </row>
    <row r="208" ht="15.75" customHeight="1">
      <c r="A208" s="112"/>
      <c r="B208" s="112"/>
      <c r="C208" s="112"/>
      <c r="D208" s="112"/>
      <c r="E208" s="128"/>
      <c r="F208" s="112"/>
      <c r="G208" s="112"/>
      <c r="H208" s="128"/>
      <c r="I208" s="112"/>
      <c r="J208" s="112"/>
      <c r="K208" s="112"/>
      <c r="L208" s="128"/>
      <c r="M208" s="128"/>
      <c r="N208" s="112"/>
      <c r="O208" s="112"/>
      <c r="P208" s="112"/>
      <c r="Q208" s="112"/>
      <c r="R208" s="112"/>
      <c r="S208" s="112"/>
      <c r="T208" s="128"/>
      <c r="U208" s="128"/>
      <c r="V208" s="128"/>
      <c r="W208" s="128"/>
      <c r="X208" s="128"/>
      <c r="Y208" s="128"/>
      <c r="Z208" s="112"/>
      <c r="AA208" s="112"/>
      <c r="AB208" s="112"/>
      <c r="AC208" s="112"/>
      <c r="AD208" s="112"/>
      <c r="AE208" s="112"/>
      <c r="AF208" s="112"/>
      <c r="AG208" s="112"/>
      <c r="AH208" s="112"/>
      <c r="AI208" s="112"/>
      <c r="AJ208" s="112"/>
      <c r="AK208" s="112"/>
      <c r="AL208" s="112"/>
      <c r="AM208" s="112"/>
      <c r="AN208" s="112"/>
      <c r="AO208" s="112"/>
      <c r="AP208" s="112"/>
    </row>
    <row r="209" ht="15.75" customHeight="1">
      <c r="A209" s="112"/>
      <c r="B209" s="112"/>
      <c r="C209" s="112"/>
      <c r="D209" s="112"/>
      <c r="E209" s="128"/>
      <c r="F209" s="112"/>
      <c r="G209" s="112"/>
      <c r="H209" s="128"/>
      <c r="I209" s="112"/>
      <c r="J209" s="112"/>
      <c r="K209" s="112"/>
      <c r="L209" s="128"/>
      <c r="M209" s="128"/>
      <c r="N209" s="112"/>
      <c r="O209" s="112"/>
      <c r="P209" s="112"/>
      <c r="Q209" s="112"/>
      <c r="R209" s="112"/>
      <c r="S209" s="112"/>
      <c r="T209" s="128"/>
      <c r="U209" s="128"/>
      <c r="V209" s="128"/>
      <c r="W209" s="128"/>
      <c r="X209" s="128"/>
      <c r="Y209" s="128"/>
      <c r="Z209" s="112"/>
      <c r="AA209" s="112"/>
      <c r="AB209" s="112"/>
      <c r="AC209" s="112"/>
      <c r="AD209" s="112"/>
      <c r="AE209" s="112"/>
      <c r="AF209" s="112"/>
      <c r="AG209" s="112"/>
      <c r="AH209" s="112"/>
      <c r="AI209" s="112"/>
      <c r="AJ209" s="112"/>
      <c r="AK209" s="112"/>
      <c r="AL209" s="112"/>
      <c r="AM209" s="112"/>
      <c r="AN209" s="112"/>
      <c r="AO209" s="112"/>
      <c r="AP209" s="112"/>
    </row>
    <row r="210" ht="15.75" customHeight="1">
      <c r="A210" s="112"/>
      <c r="B210" s="112"/>
      <c r="C210" s="112"/>
      <c r="D210" s="112"/>
      <c r="E210" s="128"/>
      <c r="F210" s="112"/>
      <c r="G210" s="112"/>
      <c r="H210" s="128"/>
      <c r="I210" s="112"/>
      <c r="J210" s="112"/>
      <c r="K210" s="112"/>
      <c r="L210" s="128"/>
      <c r="M210" s="128"/>
      <c r="N210" s="112"/>
      <c r="O210" s="112"/>
      <c r="P210" s="112"/>
      <c r="Q210" s="112"/>
      <c r="R210" s="112"/>
      <c r="S210" s="112"/>
      <c r="T210" s="128"/>
      <c r="U210" s="128"/>
      <c r="V210" s="128"/>
      <c r="W210" s="128"/>
      <c r="X210" s="128"/>
      <c r="Y210" s="128"/>
      <c r="Z210" s="112"/>
      <c r="AA210" s="112"/>
      <c r="AB210" s="112"/>
      <c r="AC210" s="112"/>
      <c r="AD210" s="112"/>
      <c r="AE210" s="112"/>
      <c r="AF210" s="112"/>
      <c r="AG210" s="112"/>
      <c r="AH210" s="112"/>
      <c r="AI210" s="112"/>
      <c r="AJ210" s="112"/>
      <c r="AK210" s="112"/>
      <c r="AL210" s="112"/>
      <c r="AM210" s="112"/>
      <c r="AN210" s="112"/>
      <c r="AO210" s="112"/>
      <c r="AP210" s="112"/>
    </row>
    <row r="211" ht="15.75" customHeight="1">
      <c r="A211" s="112"/>
      <c r="B211" s="112"/>
      <c r="C211" s="112"/>
      <c r="D211" s="112"/>
      <c r="E211" s="128"/>
      <c r="F211" s="112"/>
      <c r="G211" s="112"/>
      <c r="H211" s="128"/>
      <c r="I211" s="112"/>
      <c r="J211" s="112"/>
      <c r="K211" s="112"/>
      <c r="L211" s="128"/>
      <c r="M211" s="128"/>
      <c r="N211" s="112"/>
      <c r="O211" s="112"/>
      <c r="P211" s="112"/>
      <c r="Q211" s="112"/>
      <c r="R211" s="112"/>
      <c r="S211" s="112"/>
      <c r="T211" s="128"/>
      <c r="U211" s="128"/>
      <c r="V211" s="128"/>
      <c r="W211" s="128"/>
      <c r="X211" s="128"/>
      <c r="Y211" s="128"/>
      <c r="Z211" s="112"/>
      <c r="AA211" s="112"/>
      <c r="AB211" s="112"/>
      <c r="AC211" s="112"/>
      <c r="AD211" s="112"/>
      <c r="AE211" s="112"/>
      <c r="AF211" s="112"/>
      <c r="AG211" s="112"/>
      <c r="AH211" s="112"/>
      <c r="AI211" s="112"/>
      <c r="AJ211" s="112"/>
      <c r="AK211" s="112"/>
      <c r="AL211" s="112"/>
      <c r="AM211" s="112"/>
      <c r="AN211" s="112"/>
      <c r="AO211" s="112"/>
      <c r="AP211" s="112"/>
    </row>
    <row r="212" ht="15.75" customHeight="1">
      <c r="A212" s="112"/>
      <c r="B212" s="112"/>
      <c r="C212" s="112"/>
      <c r="D212" s="112"/>
      <c r="E212" s="128"/>
      <c r="F212" s="112"/>
      <c r="G212" s="112"/>
      <c r="H212" s="128"/>
      <c r="I212" s="112"/>
      <c r="J212" s="112"/>
      <c r="K212" s="112"/>
      <c r="L212" s="128"/>
      <c r="M212" s="128"/>
      <c r="N212" s="112"/>
      <c r="O212" s="112"/>
      <c r="P212" s="112"/>
      <c r="Q212" s="112"/>
      <c r="R212" s="112"/>
      <c r="S212" s="112"/>
      <c r="T212" s="128"/>
      <c r="U212" s="128"/>
      <c r="V212" s="128"/>
      <c r="W212" s="128"/>
      <c r="X212" s="128"/>
      <c r="Y212" s="128"/>
      <c r="Z212" s="112"/>
      <c r="AA212" s="112"/>
      <c r="AB212" s="112"/>
      <c r="AC212" s="112"/>
      <c r="AD212" s="112"/>
      <c r="AE212" s="112"/>
      <c r="AF212" s="112"/>
      <c r="AG212" s="112"/>
      <c r="AH212" s="112"/>
      <c r="AI212" s="112"/>
      <c r="AJ212" s="112"/>
      <c r="AK212" s="112"/>
      <c r="AL212" s="112"/>
      <c r="AM212" s="112"/>
      <c r="AN212" s="112"/>
      <c r="AO212" s="112"/>
      <c r="AP212" s="112"/>
    </row>
    <row r="213" ht="15.75" customHeight="1">
      <c r="A213" s="112"/>
      <c r="B213" s="112"/>
      <c r="C213" s="112"/>
      <c r="D213" s="112"/>
      <c r="E213" s="128"/>
      <c r="F213" s="112"/>
      <c r="G213" s="112"/>
      <c r="H213" s="128"/>
      <c r="I213" s="112"/>
      <c r="J213" s="112"/>
      <c r="K213" s="112"/>
      <c r="L213" s="128"/>
      <c r="M213" s="128"/>
      <c r="N213" s="112"/>
      <c r="O213" s="112"/>
      <c r="P213" s="112"/>
      <c r="Q213" s="112"/>
      <c r="R213" s="112"/>
      <c r="S213" s="112"/>
      <c r="T213" s="128"/>
      <c r="U213" s="128"/>
      <c r="V213" s="128"/>
      <c r="W213" s="128"/>
      <c r="X213" s="128"/>
      <c r="Y213" s="128"/>
      <c r="Z213" s="112"/>
      <c r="AA213" s="112"/>
      <c r="AB213" s="112"/>
      <c r="AC213" s="112"/>
      <c r="AD213" s="112"/>
      <c r="AE213" s="112"/>
      <c r="AF213" s="112"/>
      <c r="AG213" s="112"/>
      <c r="AH213" s="112"/>
      <c r="AI213" s="112"/>
      <c r="AJ213" s="112"/>
      <c r="AK213" s="112"/>
      <c r="AL213" s="112"/>
      <c r="AM213" s="112"/>
      <c r="AN213" s="112"/>
      <c r="AO213" s="112"/>
      <c r="AP213" s="112"/>
    </row>
    <row r="214" ht="15.75" customHeight="1">
      <c r="A214" s="112"/>
      <c r="B214" s="112"/>
      <c r="C214" s="112"/>
      <c r="D214" s="112"/>
      <c r="E214" s="128"/>
      <c r="F214" s="112"/>
      <c r="G214" s="112"/>
      <c r="H214" s="128"/>
      <c r="I214" s="112"/>
      <c r="J214" s="112"/>
      <c r="K214" s="112"/>
      <c r="L214" s="128"/>
      <c r="M214" s="128"/>
      <c r="N214" s="112"/>
      <c r="O214" s="112"/>
      <c r="P214" s="112"/>
      <c r="Q214" s="112"/>
      <c r="R214" s="112"/>
      <c r="S214" s="112"/>
      <c r="T214" s="128"/>
      <c r="U214" s="128"/>
      <c r="V214" s="128"/>
      <c r="W214" s="128"/>
      <c r="X214" s="128"/>
      <c r="Y214" s="128"/>
      <c r="Z214" s="112"/>
      <c r="AA214" s="112"/>
      <c r="AB214" s="112"/>
      <c r="AC214" s="112"/>
      <c r="AD214" s="112"/>
      <c r="AE214" s="112"/>
      <c r="AF214" s="112"/>
      <c r="AG214" s="112"/>
      <c r="AH214" s="112"/>
      <c r="AI214" s="112"/>
      <c r="AJ214" s="112"/>
      <c r="AK214" s="112"/>
      <c r="AL214" s="112"/>
      <c r="AM214" s="112"/>
      <c r="AN214" s="112"/>
      <c r="AO214" s="112"/>
      <c r="AP214" s="112"/>
    </row>
    <row r="215" ht="15.75" customHeight="1">
      <c r="A215" s="112"/>
      <c r="B215" s="112"/>
      <c r="C215" s="112"/>
      <c r="D215" s="112"/>
      <c r="E215" s="128"/>
      <c r="F215" s="112"/>
      <c r="G215" s="112"/>
      <c r="H215" s="128"/>
      <c r="I215" s="112"/>
      <c r="J215" s="112"/>
      <c r="K215" s="112"/>
      <c r="L215" s="128"/>
      <c r="M215" s="128"/>
      <c r="N215" s="112"/>
      <c r="O215" s="112"/>
      <c r="P215" s="112"/>
      <c r="Q215" s="112"/>
      <c r="R215" s="112"/>
      <c r="S215" s="112"/>
      <c r="T215" s="128"/>
      <c r="U215" s="128"/>
      <c r="V215" s="128"/>
      <c r="W215" s="128"/>
      <c r="X215" s="128"/>
      <c r="Y215" s="128"/>
      <c r="Z215" s="112"/>
      <c r="AA215" s="112"/>
      <c r="AB215" s="112"/>
      <c r="AC215" s="112"/>
      <c r="AD215" s="112"/>
      <c r="AE215" s="112"/>
      <c r="AF215" s="112"/>
      <c r="AG215" s="112"/>
      <c r="AH215" s="112"/>
      <c r="AI215" s="112"/>
      <c r="AJ215" s="112"/>
      <c r="AK215" s="112"/>
      <c r="AL215" s="112"/>
      <c r="AM215" s="112"/>
      <c r="AN215" s="112"/>
      <c r="AO215" s="112"/>
      <c r="AP215" s="112"/>
    </row>
    <row r="216" ht="15.75" customHeight="1">
      <c r="A216" s="112"/>
      <c r="B216" s="112"/>
      <c r="C216" s="112"/>
      <c r="D216" s="112"/>
      <c r="E216" s="128"/>
      <c r="F216" s="112"/>
      <c r="G216" s="112"/>
      <c r="H216" s="128"/>
      <c r="I216" s="112"/>
      <c r="J216" s="112"/>
      <c r="K216" s="112"/>
      <c r="L216" s="128"/>
      <c r="M216" s="128"/>
      <c r="N216" s="112"/>
      <c r="O216" s="112"/>
      <c r="P216" s="112"/>
      <c r="Q216" s="112"/>
      <c r="R216" s="112"/>
      <c r="S216" s="112"/>
      <c r="T216" s="128"/>
      <c r="U216" s="128"/>
      <c r="V216" s="128"/>
      <c r="W216" s="128"/>
      <c r="X216" s="128"/>
      <c r="Y216" s="128"/>
      <c r="Z216" s="112"/>
      <c r="AA216" s="112"/>
      <c r="AB216" s="112"/>
      <c r="AC216" s="112"/>
      <c r="AD216" s="112"/>
      <c r="AE216" s="112"/>
      <c r="AF216" s="112"/>
      <c r="AG216" s="112"/>
      <c r="AH216" s="112"/>
      <c r="AI216" s="112"/>
      <c r="AJ216" s="112"/>
      <c r="AK216" s="112"/>
      <c r="AL216" s="112"/>
      <c r="AM216" s="112"/>
      <c r="AN216" s="112"/>
      <c r="AO216" s="112"/>
      <c r="AP216" s="112"/>
    </row>
    <row r="217" ht="15.75" customHeight="1">
      <c r="A217" s="112"/>
      <c r="B217" s="112"/>
      <c r="C217" s="112"/>
      <c r="D217" s="112"/>
      <c r="E217" s="128"/>
      <c r="F217" s="112"/>
      <c r="G217" s="112"/>
      <c r="H217" s="128"/>
      <c r="I217" s="112"/>
      <c r="J217" s="112"/>
      <c r="K217" s="112"/>
      <c r="L217" s="128"/>
      <c r="M217" s="128"/>
      <c r="N217" s="112"/>
      <c r="O217" s="112"/>
      <c r="P217" s="112"/>
      <c r="Q217" s="112"/>
      <c r="R217" s="112"/>
      <c r="S217" s="112"/>
      <c r="T217" s="128"/>
      <c r="U217" s="128"/>
      <c r="V217" s="128"/>
      <c r="W217" s="128"/>
      <c r="X217" s="128"/>
      <c r="Y217" s="128"/>
      <c r="Z217" s="112"/>
      <c r="AA217" s="112"/>
      <c r="AB217" s="112"/>
      <c r="AC217" s="112"/>
      <c r="AD217" s="112"/>
      <c r="AE217" s="112"/>
      <c r="AF217" s="112"/>
      <c r="AG217" s="112"/>
      <c r="AH217" s="112"/>
      <c r="AI217" s="112"/>
      <c r="AJ217" s="112"/>
      <c r="AK217" s="112"/>
      <c r="AL217" s="112"/>
      <c r="AM217" s="112"/>
      <c r="AN217" s="112"/>
      <c r="AO217" s="112"/>
      <c r="AP217" s="112"/>
    </row>
    <row r="218" ht="15.75" customHeight="1">
      <c r="A218" s="112"/>
      <c r="B218" s="112"/>
      <c r="C218" s="112"/>
      <c r="D218" s="112"/>
      <c r="E218" s="128"/>
      <c r="F218" s="112"/>
      <c r="G218" s="112"/>
      <c r="H218" s="128"/>
      <c r="I218" s="112"/>
      <c r="J218" s="112"/>
      <c r="K218" s="112"/>
      <c r="L218" s="128"/>
      <c r="M218" s="128"/>
      <c r="N218" s="112"/>
      <c r="O218" s="112"/>
      <c r="P218" s="112"/>
      <c r="Q218" s="112"/>
      <c r="R218" s="112"/>
      <c r="S218" s="112"/>
      <c r="T218" s="128"/>
      <c r="U218" s="128"/>
      <c r="V218" s="128"/>
      <c r="W218" s="128"/>
      <c r="X218" s="128"/>
      <c r="Y218" s="128"/>
      <c r="Z218" s="112"/>
      <c r="AA218" s="112"/>
      <c r="AB218" s="112"/>
      <c r="AC218" s="112"/>
      <c r="AD218" s="112"/>
      <c r="AE218" s="112"/>
      <c r="AF218" s="112"/>
      <c r="AG218" s="112"/>
      <c r="AH218" s="112"/>
      <c r="AI218" s="112"/>
      <c r="AJ218" s="112"/>
      <c r="AK218" s="112"/>
      <c r="AL218" s="112"/>
      <c r="AM218" s="112"/>
      <c r="AN218" s="112"/>
      <c r="AO218" s="112"/>
      <c r="AP218" s="112"/>
    </row>
    <row r="219" ht="15.75" customHeight="1">
      <c r="A219" s="112"/>
      <c r="B219" s="112"/>
      <c r="C219" s="112"/>
      <c r="D219" s="112"/>
      <c r="E219" s="128"/>
      <c r="F219" s="112"/>
      <c r="G219" s="112"/>
      <c r="H219" s="128"/>
      <c r="I219" s="112"/>
      <c r="J219" s="112"/>
      <c r="K219" s="112"/>
      <c r="L219" s="128"/>
      <c r="M219" s="128"/>
      <c r="N219" s="112"/>
      <c r="O219" s="112"/>
      <c r="P219" s="112"/>
      <c r="Q219" s="112"/>
      <c r="R219" s="112"/>
      <c r="S219" s="112"/>
      <c r="T219" s="128"/>
      <c r="U219" s="128"/>
      <c r="V219" s="128"/>
      <c r="W219" s="128"/>
      <c r="X219" s="128"/>
      <c r="Y219" s="128"/>
      <c r="Z219" s="112"/>
      <c r="AA219" s="112"/>
      <c r="AB219" s="112"/>
      <c r="AC219" s="112"/>
      <c r="AD219" s="112"/>
      <c r="AE219" s="112"/>
      <c r="AF219" s="112"/>
      <c r="AG219" s="112"/>
      <c r="AH219" s="112"/>
      <c r="AI219" s="112"/>
      <c r="AJ219" s="112"/>
      <c r="AK219" s="112"/>
      <c r="AL219" s="112"/>
      <c r="AM219" s="112"/>
      <c r="AN219" s="112"/>
      <c r="AO219" s="112"/>
      <c r="AP219" s="112"/>
    </row>
    <row r="220" ht="15.75" customHeight="1">
      <c r="A220" s="112"/>
      <c r="B220" s="112"/>
      <c r="C220" s="112"/>
      <c r="D220" s="112"/>
      <c r="E220" s="128"/>
      <c r="F220" s="112"/>
      <c r="G220" s="112"/>
      <c r="H220" s="128"/>
      <c r="I220" s="112"/>
      <c r="J220" s="112"/>
      <c r="K220" s="112"/>
      <c r="L220" s="128"/>
      <c r="M220" s="128"/>
      <c r="N220" s="112"/>
      <c r="O220" s="112"/>
      <c r="P220" s="112"/>
      <c r="Q220" s="112"/>
      <c r="R220" s="112"/>
      <c r="S220" s="112"/>
      <c r="T220" s="128"/>
      <c r="U220" s="128"/>
      <c r="V220" s="128"/>
      <c r="W220" s="128"/>
      <c r="X220" s="128"/>
      <c r="Y220" s="128"/>
      <c r="Z220" s="112"/>
      <c r="AA220" s="112"/>
      <c r="AB220" s="112"/>
      <c r="AC220" s="112"/>
      <c r="AD220" s="112"/>
      <c r="AE220" s="112"/>
      <c r="AF220" s="112"/>
      <c r="AG220" s="112"/>
      <c r="AH220" s="112"/>
      <c r="AI220" s="112"/>
      <c r="AJ220" s="112"/>
      <c r="AK220" s="112"/>
      <c r="AL220" s="112"/>
      <c r="AM220" s="112"/>
      <c r="AN220" s="112"/>
      <c r="AO220" s="112"/>
      <c r="AP220" s="112"/>
    </row>
    <row r="221" ht="15.75" customHeight="1">
      <c r="A221" s="112"/>
      <c r="B221" s="112"/>
      <c r="C221" s="112"/>
      <c r="D221" s="112"/>
      <c r="E221" s="128"/>
      <c r="F221" s="112"/>
      <c r="G221" s="112"/>
      <c r="H221" s="128"/>
      <c r="I221" s="112"/>
      <c r="J221" s="112"/>
      <c r="K221" s="112"/>
      <c r="L221" s="128"/>
      <c r="M221" s="128"/>
      <c r="N221" s="112"/>
      <c r="O221" s="112"/>
      <c r="P221" s="112"/>
      <c r="Q221" s="112"/>
      <c r="R221" s="112"/>
      <c r="S221" s="112"/>
      <c r="T221" s="128"/>
      <c r="U221" s="128"/>
      <c r="V221" s="128"/>
      <c r="W221" s="128"/>
      <c r="X221" s="128"/>
      <c r="Y221" s="128"/>
      <c r="Z221" s="112"/>
      <c r="AA221" s="112"/>
      <c r="AB221" s="112"/>
      <c r="AC221" s="112"/>
      <c r="AD221" s="112"/>
      <c r="AE221" s="112"/>
      <c r="AF221" s="112"/>
      <c r="AG221" s="112"/>
      <c r="AH221" s="112"/>
      <c r="AI221" s="112"/>
      <c r="AJ221" s="112"/>
      <c r="AK221" s="112"/>
      <c r="AL221" s="112"/>
      <c r="AM221" s="112"/>
      <c r="AN221" s="112"/>
      <c r="AO221" s="112"/>
      <c r="AP221" s="112"/>
    </row>
    <row r="222" ht="15.75" customHeight="1">
      <c r="A222" s="112"/>
      <c r="B222" s="112"/>
      <c r="C222" s="112"/>
      <c r="D222" s="112"/>
      <c r="E222" s="128"/>
      <c r="F222" s="112"/>
      <c r="G222" s="112"/>
      <c r="H222" s="128"/>
      <c r="I222" s="112"/>
      <c r="J222" s="112"/>
      <c r="K222" s="112"/>
      <c r="L222" s="128"/>
      <c r="M222" s="128"/>
      <c r="N222" s="112"/>
      <c r="O222" s="112"/>
      <c r="P222" s="112"/>
      <c r="Q222" s="112"/>
      <c r="R222" s="112"/>
      <c r="S222" s="112"/>
      <c r="T222" s="128"/>
      <c r="U222" s="128"/>
      <c r="V222" s="128"/>
      <c r="W222" s="128"/>
      <c r="X222" s="128"/>
      <c r="Y222" s="128"/>
      <c r="Z222" s="112"/>
      <c r="AA222" s="112"/>
      <c r="AB222" s="112"/>
      <c r="AC222" s="112"/>
      <c r="AD222" s="112"/>
      <c r="AE222" s="112"/>
      <c r="AF222" s="112"/>
      <c r="AG222" s="112"/>
      <c r="AH222" s="112"/>
      <c r="AI222" s="112"/>
      <c r="AJ222" s="112"/>
      <c r="AK222" s="112"/>
      <c r="AL222" s="112"/>
      <c r="AM222" s="112"/>
      <c r="AN222" s="112"/>
      <c r="AO222" s="112"/>
      <c r="AP222" s="112"/>
    </row>
    <row r="223" ht="15.75" customHeight="1">
      <c r="A223" s="112"/>
      <c r="B223" s="112"/>
      <c r="C223" s="112"/>
      <c r="D223" s="112"/>
      <c r="E223" s="128"/>
      <c r="F223" s="112"/>
      <c r="G223" s="112"/>
      <c r="H223" s="128"/>
      <c r="I223" s="112"/>
      <c r="J223" s="112"/>
      <c r="K223" s="112"/>
      <c r="L223" s="128"/>
      <c r="M223" s="128"/>
      <c r="N223" s="112"/>
      <c r="O223" s="112"/>
      <c r="P223" s="112"/>
      <c r="Q223" s="112"/>
      <c r="R223" s="112"/>
      <c r="S223" s="112"/>
      <c r="T223" s="128"/>
      <c r="U223" s="128"/>
      <c r="V223" s="128"/>
      <c r="W223" s="128"/>
      <c r="X223" s="128"/>
      <c r="Y223" s="128"/>
      <c r="Z223" s="112"/>
      <c r="AA223" s="112"/>
      <c r="AB223" s="112"/>
      <c r="AC223" s="112"/>
      <c r="AD223" s="112"/>
      <c r="AE223" s="112"/>
      <c r="AF223" s="112"/>
      <c r="AG223" s="112"/>
      <c r="AH223" s="112"/>
      <c r="AI223" s="112"/>
      <c r="AJ223" s="112"/>
      <c r="AK223" s="112"/>
      <c r="AL223" s="112"/>
      <c r="AM223" s="112"/>
      <c r="AN223" s="112"/>
      <c r="AO223" s="112"/>
      <c r="AP223" s="112"/>
    </row>
    <row r="224" ht="15.75" customHeight="1">
      <c r="A224" s="112"/>
      <c r="B224" s="112"/>
      <c r="C224" s="112"/>
      <c r="D224" s="112"/>
      <c r="E224" s="128"/>
      <c r="F224" s="112"/>
      <c r="G224" s="112"/>
      <c r="H224" s="128"/>
      <c r="I224" s="112"/>
      <c r="J224" s="112"/>
      <c r="K224" s="112"/>
      <c r="L224" s="128"/>
      <c r="M224" s="128"/>
      <c r="N224" s="112"/>
      <c r="O224" s="112"/>
      <c r="P224" s="112"/>
      <c r="Q224" s="112"/>
      <c r="R224" s="112"/>
      <c r="S224" s="112"/>
      <c r="T224" s="128"/>
      <c r="U224" s="128"/>
      <c r="V224" s="128"/>
      <c r="W224" s="128"/>
      <c r="X224" s="128"/>
      <c r="Y224" s="128"/>
      <c r="Z224" s="112"/>
      <c r="AA224" s="112"/>
      <c r="AB224" s="112"/>
      <c r="AC224" s="112"/>
      <c r="AD224" s="112"/>
      <c r="AE224" s="112"/>
      <c r="AF224" s="112"/>
      <c r="AG224" s="112"/>
      <c r="AH224" s="112"/>
      <c r="AI224" s="112"/>
      <c r="AJ224" s="112"/>
      <c r="AK224" s="112"/>
      <c r="AL224" s="112"/>
      <c r="AM224" s="112"/>
      <c r="AN224" s="112"/>
      <c r="AO224" s="112"/>
      <c r="AP224" s="112"/>
    </row>
    <row r="225" ht="15.75" customHeight="1">
      <c r="A225" s="112"/>
      <c r="B225" s="112"/>
      <c r="C225" s="112"/>
      <c r="D225" s="112"/>
      <c r="E225" s="128"/>
      <c r="F225" s="112"/>
      <c r="G225" s="112"/>
      <c r="H225" s="128"/>
      <c r="I225" s="112"/>
      <c r="J225" s="112"/>
      <c r="K225" s="112"/>
      <c r="L225" s="128"/>
      <c r="M225" s="128"/>
      <c r="N225" s="112"/>
      <c r="O225" s="112"/>
      <c r="P225" s="112"/>
      <c r="Q225" s="112"/>
      <c r="R225" s="112"/>
      <c r="S225" s="112"/>
      <c r="T225" s="128"/>
      <c r="U225" s="128"/>
      <c r="V225" s="128"/>
      <c r="W225" s="128"/>
      <c r="X225" s="128"/>
      <c r="Y225" s="128"/>
      <c r="Z225" s="112"/>
      <c r="AA225" s="112"/>
      <c r="AB225" s="112"/>
      <c r="AC225" s="112"/>
      <c r="AD225" s="112"/>
      <c r="AE225" s="112"/>
      <c r="AF225" s="112"/>
      <c r="AG225" s="112"/>
      <c r="AH225" s="112"/>
      <c r="AI225" s="112"/>
      <c r="AJ225" s="112"/>
      <c r="AK225" s="112"/>
      <c r="AL225" s="112"/>
      <c r="AM225" s="112"/>
      <c r="AN225" s="112"/>
      <c r="AO225" s="112"/>
      <c r="AP225" s="112"/>
    </row>
    <row r="226" ht="15.75" customHeight="1">
      <c r="A226" s="112"/>
      <c r="B226" s="112"/>
      <c r="C226" s="112"/>
      <c r="D226" s="112"/>
      <c r="E226" s="128"/>
      <c r="F226" s="112"/>
      <c r="G226" s="112"/>
      <c r="H226" s="128"/>
      <c r="I226" s="112"/>
      <c r="J226" s="112"/>
      <c r="K226" s="112"/>
      <c r="L226" s="128"/>
      <c r="M226" s="128"/>
      <c r="N226" s="112"/>
      <c r="O226" s="112"/>
      <c r="P226" s="112"/>
      <c r="Q226" s="112"/>
      <c r="R226" s="112"/>
      <c r="S226" s="112"/>
      <c r="T226" s="128"/>
      <c r="U226" s="128"/>
      <c r="V226" s="128"/>
      <c r="W226" s="128"/>
      <c r="X226" s="128"/>
      <c r="Y226" s="128"/>
      <c r="Z226" s="112"/>
      <c r="AA226" s="112"/>
      <c r="AB226" s="112"/>
      <c r="AC226" s="112"/>
      <c r="AD226" s="112"/>
      <c r="AE226" s="112"/>
      <c r="AF226" s="112"/>
      <c r="AG226" s="112"/>
      <c r="AH226" s="112"/>
      <c r="AI226" s="112"/>
      <c r="AJ226" s="112"/>
      <c r="AK226" s="112"/>
      <c r="AL226" s="112"/>
      <c r="AM226" s="112"/>
      <c r="AN226" s="112"/>
      <c r="AO226" s="112"/>
      <c r="AP226" s="112"/>
    </row>
    <row r="227" ht="15.75" customHeight="1">
      <c r="A227" s="112"/>
      <c r="B227" s="112"/>
      <c r="C227" s="112"/>
      <c r="D227" s="112"/>
      <c r="E227" s="128"/>
      <c r="F227" s="112"/>
      <c r="G227" s="112"/>
      <c r="H227" s="128"/>
      <c r="I227" s="112"/>
      <c r="J227" s="112"/>
      <c r="K227" s="112"/>
      <c r="L227" s="128"/>
      <c r="M227" s="128"/>
      <c r="N227" s="112"/>
      <c r="O227" s="112"/>
      <c r="P227" s="112"/>
      <c r="Q227" s="112"/>
      <c r="R227" s="112"/>
      <c r="S227" s="112"/>
      <c r="T227" s="128"/>
      <c r="U227" s="128"/>
      <c r="V227" s="128"/>
      <c r="W227" s="128"/>
      <c r="X227" s="128"/>
      <c r="Y227" s="128"/>
      <c r="Z227" s="112"/>
      <c r="AA227" s="112"/>
      <c r="AB227" s="112"/>
      <c r="AC227" s="112"/>
      <c r="AD227" s="112"/>
      <c r="AE227" s="112"/>
      <c r="AF227" s="112"/>
      <c r="AG227" s="112"/>
      <c r="AH227" s="112"/>
      <c r="AI227" s="112"/>
      <c r="AJ227" s="112"/>
      <c r="AK227" s="112"/>
      <c r="AL227" s="112"/>
      <c r="AM227" s="112"/>
      <c r="AN227" s="112"/>
      <c r="AO227" s="112"/>
      <c r="AP227" s="112"/>
    </row>
    <row r="228" ht="15.75" customHeight="1">
      <c r="A228" s="112"/>
      <c r="B228" s="112"/>
      <c r="C228" s="112"/>
      <c r="D228" s="112"/>
      <c r="E228" s="128"/>
      <c r="F228" s="112"/>
      <c r="G228" s="112"/>
      <c r="H228" s="128"/>
      <c r="I228" s="112"/>
      <c r="J228" s="112"/>
      <c r="K228" s="112"/>
      <c r="L228" s="128"/>
      <c r="M228" s="128"/>
      <c r="N228" s="112"/>
      <c r="O228" s="112"/>
      <c r="P228" s="112"/>
      <c r="Q228" s="112"/>
      <c r="R228" s="112"/>
      <c r="S228" s="112"/>
      <c r="T228" s="128"/>
      <c r="U228" s="128"/>
      <c r="V228" s="128"/>
      <c r="W228" s="128"/>
      <c r="X228" s="128"/>
      <c r="Y228" s="128"/>
      <c r="Z228" s="112"/>
      <c r="AA228" s="112"/>
      <c r="AB228" s="112"/>
      <c r="AC228" s="112"/>
      <c r="AD228" s="112"/>
      <c r="AE228" s="112"/>
      <c r="AF228" s="112"/>
      <c r="AG228" s="112"/>
      <c r="AH228" s="112"/>
      <c r="AI228" s="112"/>
      <c r="AJ228" s="112"/>
      <c r="AK228" s="112"/>
      <c r="AL228" s="112"/>
      <c r="AM228" s="112"/>
      <c r="AN228" s="112"/>
      <c r="AO228" s="112"/>
      <c r="AP228" s="112"/>
    </row>
    <row r="229" ht="15.75" customHeight="1">
      <c r="A229" s="112"/>
      <c r="B229" s="112"/>
      <c r="C229" s="112"/>
      <c r="D229" s="112"/>
      <c r="E229" s="128"/>
      <c r="F229" s="112"/>
      <c r="G229" s="112"/>
      <c r="H229" s="128"/>
      <c r="I229" s="112"/>
      <c r="J229" s="112"/>
      <c r="K229" s="112"/>
      <c r="L229" s="128"/>
      <c r="M229" s="128"/>
      <c r="N229" s="112"/>
      <c r="O229" s="112"/>
      <c r="P229" s="112"/>
      <c r="Q229" s="112"/>
      <c r="R229" s="112"/>
      <c r="S229" s="112"/>
      <c r="T229" s="128"/>
      <c r="U229" s="128"/>
      <c r="V229" s="128"/>
      <c r="W229" s="128"/>
      <c r="X229" s="128"/>
      <c r="Y229" s="128"/>
      <c r="Z229" s="112"/>
      <c r="AA229" s="112"/>
      <c r="AB229" s="112"/>
      <c r="AC229" s="112"/>
      <c r="AD229" s="112"/>
      <c r="AE229" s="112"/>
      <c r="AF229" s="112"/>
      <c r="AG229" s="112"/>
      <c r="AH229" s="112"/>
      <c r="AI229" s="112"/>
      <c r="AJ229" s="112"/>
      <c r="AK229" s="112"/>
      <c r="AL229" s="112"/>
      <c r="AM229" s="112"/>
      <c r="AN229" s="112"/>
      <c r="AO229" s="112"/>
      <c r="AP229" s="112"/>
    </row>
    <row r="230" ht="15.75" customHeight="1">
      <c r="A230" s="112"/>
      <c r="B230" s="112"/>
      <c r="C230" s="112"/>
      <c r="D230" s="112"/>
      <c r="E230" s="128"/>
      <c r="F230" s="112"/>
      <c r="G230" s="112"/>
      <c r="H230" s="128"/>
      <c r="I230" s="112"/>
      <c r="J230" s="112"/>
      <c r="K230" s="112"/>
      <c r="L230" s="128"/>
      <c r="M230" s="128"/>
      <c r="N230" s="112"/>
      <c r="O230" s="112"/>
      <c r="P230" s="112"/>
      <c r="Q230" s="112"/>
      <c r="R230" s="112"/>
      <c r="S230" s="112"/>
      <c r="T230" s="128"/>
      <c r="U230" s="128"/>
      <c r="V230" s="128"/>
      <c r="W230" s="128"/>
      <c r="X230" s="128"/>
      <c r="Y230" s="128"/>
      <c r="Z230" s="112"/>
      <c r="AA230" s="112"/>
      <c r="AB230" s="112"/>
      <c r="AC230" s="112"/>
      <c r="AD230" s="112"/>
      <c r="AE230" s="112"/>
      <c r="AF230" s="112"/>
      <c r="AG230" s="112"/>
      <c r="AH230" s="112"/>
      <c r="AI230" s="112"/>
      <c r="AJ230" s="112"/>
      <c r="AK230" s="112"/>
      <c r="AL230" s="112"/>
      <c r="AM230" s="112"/>
      <c r="AN230" s="112"/>
      <c r="AO230" s="112"/>
      <c r="AP230" s="112"/>
    </row>
    <row r="231" ht="15.75" customHeight="1">
      <c r="A231" s="112"/>
      <c r="B231" s="112"/>
      <c r="C231" s="112"/>
      <c r="D231" s="112"/>
      <c r="E231" s="128"/>
      <c r="F231" s="112"/>
      <c r="G231" s="112"/>
      <c r="H231" s="128"/>
      <c r="I231" s="112"/>
      <c r="J231" s="112"/>
      <c r="K231" s="112"/>
      <c r="L231" s="128"/>
      <c r="M231" s="128"/>
      <c r="N231" s="112"/>
      <c r="O231" s="112"/>
      <c r="P231" s="112"/>
      <c r="Q231" s="112"/>
      <c r="R231" s="112"/>
      <c r="S231" s="112"/>
      <c r="T231" s="128"/>
      <c r="U231" s="128"/>
      <c r="V231" s="128"/>
      <c r="W231" s="128"/>
      <c r="X231" s="128"/>
      <c r="Y231" s="128"/>
      <c r="Z231" s="112"/>
      <c r="AA231" s="112"/>
      <c r="AB231" s="112"/>
      <c r="AC231" s="112"/>
      <c r="AD231" s="112"/>
      <c r="AE231" s="112"/>
      <c r="AF231" s="112"/>
      <c r="AG231" s="112"/>
      <c r="AH231" s="112"/>
      <c r="AI231" s="112"/>
      <c r="AJ231" s="112"/>
      <c r="AK231" s="112"/>
      <c r="AL231" s="112"/>
      <c r="AM231" s="112"/>
      <c r="AN231" s="112"/>
      <c r="AO231" s="112"/>
      <c r="AP231" s="112"/>
    </row>
    <row r="232" ht="15.75" customHeight="1">
      <c r="A232" s="112"/>
      <c r="B232" s="112"/>
      <c r="C232" s="112"/>
      <c r="D232" s="112"/>
      <c r="E232" s="128"/>
      <c r="F232" s="112"/>
      <c r="G232" s="112"/>
      <c r="H232" s="128"/>
      <c r="I232" s="112"/>
      <c r="J232" s="112"/>
      <c r="K232" s="112"/>
      <c r="L232" s="128"/>
      <c r="M232" s="128"/>
      <c r="N232" s="112"/>
      <c r="O232" s="112"/>
      <c r="P232" s="112"/>
      <c r="Q232" s="112"/>
      <c r="R232" s="112"/>
      <c r="S232" s="112"/>
      <c r="T232" s="128"/>
      <c r="U232" s="128"/>
      <c r="V232" s="128"/>
      <c r="W232" s="128"/>
      <c r="X232" s="128"/>
      <c r="Y232" s="128"/>
      <c r="Z232" s="112"/>
      <c r="AA232" s="112"/>
      <c r="AB232" s="112"/>
      <c r="AC232" s="112"/>
      <c r="AD232" s="112"/>
      <c r="AE232" s="112"/>
      <c r="AF232" s="112"/>
      <c r="AG232" s="112"/>
      <c r="AH232" s="112"/>
      <c r="AI232" s="112"/>
      <c r="AJ232" s="112"/>
      <c r="AK232" s="112"/>
      <c r="AL232" s="112"/>
      <c r="AM232" s="112"/>
      <c r="AN232" s="112"/>
      <c r="AO232" s="112"/>
      <c r="AP232" s="112"/>
    </row>
    <row r="233" ht="15.75" customHeight="1">
      <c r="A233" s="112"/>
      <c r="B233" s="112"/>
      <c r="C233" s="112"/>
      <c r="D233" s="112"/>
      <c r="E233" s="128"/>
      <c r="F233" s="112"/>
      <c r="G233" s="112"/>
      <c r="H233" s="128"/>
      <c r="I233" s="112"/>
      <c r="J233" s="112"/>
      <c r="K233" s="112"/>
      <c r="L233" s="128"/>
      <c r="M233" s="128"/>
      <c r="N233" s="112"/>
      <c r="O233" s="112"/>
      <c r="P233" s="112"/>
      <c r="Q233" s="112"/>
      <c r="R233" s="112"/>
      <c r="S233" s="112"/>
      <c r="T233" s="128"/>
      <c r="U233" s="128"/>
      <c r="V233" s="128"/>
      <c r="W233" s="128"/>
      <c r="X233" s="128"/>
      <c r="Y233" s="128"/>
      <c r="Z233" s="112"/>
      <c r="AA233" s="112"/>
      <c r="AB233" s="112"/>
      <c r="AC233" s="112"/>
      <c r="AD233" s="112"/>
      <c r="AE233" s="112"/>
      <c r="AF233" s="112"/>
      <c r="AG233" s="112"/>
      <c r="AH233" s="112"/>
      <c r="AI233" s="112"/>
      <c r="AJ233" s="112"/>
      <c r="AK233" s="112"/>
      <c r="AL233" s="112"/>
      <c r="AM233" s="112"/>
      <c r="AN233" s="112"/>
      <c r="AO233" s="112"/>
      <c r="AP233" s="112"/>
    </row>
    <row r="234" ht="15.75" customHeight="1">
      <c r="A234" s="112"/>
      <c r="B234" s="112"/>
      <c r="C234" s="112"/>
      <c r="D234" s="112"/>
      <c r="E234" s="128"/>
      <c r="F234" s="112"/>
      <c r="G234" s="112"/>
      <c r="H234" s="128"/>
      <c r="I234" s="112"/>
      <c r="J234" s="112"/>
      <c r="K234" s="112"/>
      <c r="L234" s="128"/>
      <c r="M234" s="128"/>
      <c r="N234" s="112"/>
      <c r="O234" s="112"/>
      <c r="P234" s="112"/>
      <c r="Q234" s="112"/>
      <c r="R234" s="112"/>
      <c r="S234" s="112"/>
      <c r="T234" s="128"/>
      <c r="U234" s="128"/>
      <c r="V234" s="128"/>
      <c r="W234" s="128"/>
      <c r="X234" s="128"/>
      <c r="Y234" s="128"/>
      <c r="Z234" s="112"/>
      <c r="AA234" s="112"/>
      <c r="AB234" s="112"/>
      <c r="AC234" s="112"/>
      <c r="AD234" s="112"/>
      <c r="AE234" s="112"/>
      <c r="AF234" s="112"/>
      <c r="AG234" s="112"/>
      <c r="AH234" s="112"/>
      <c r="AI234" s="112"/>
      <c r="AJ234" s="112"/>
      <c r="AK234" s="112"/>
      <c r="AL234" s="112"/>
      <c r="AM234" s="112"/>
      <c r="AN234" s="112"/>
      <c r="AO234" s="112"/>
      <c r="AP234" s="112"/>
    </row>
    <row r="235" ht="15.75" customHeight="1">
      <c r="A235" s="112"/>
      <c r="B235" s="112"/>
      <c r="C235" s="112"/>
      <c r="D235" s="112"/>
      <c r="E235" s="128"/>
      <c r="F235" s="112"/>
      <c r="G235" s="112"/>
      <c r="H235" s="128"/>
      <c r="I235" s="112"/>
      <c r="J235" s="112"/>
      <c r="K235" s="112"/>
      <c r="L235" s="128"/>
      <c r="M235" s="128"/>
      <c r="N235" s="112"/>
      <c r="O235" s="112"/>
      <c r="P235" s="112"/>
      <c r="Q235" s="112"/>
      <c r="R235" s="112"/>
      <c r="S235" s="112"/>
      <c r="T235" s="128"/>
      <c r="U235" s="128"/>
      <c r="V235" s="128"/>
      <c r="W235" s="128"/>
      <c r="X235" s="128"/>
      <c r="Y235" s="128"/>
      <c r="Z235" s="112"/>
      <c r="AA235" s="112"/>
      <c r="AB235" s="112"/>
      <c r="AC235" s="112"/>
      <c r="AD235" s="112"/>
      <c r="AE235" s="112"/>
      <c r="AF235" s="112"/>
      <c r="AG235" s="112"/>
      <c r="AH235" s="112"/>
      <c r="AI235" s="112"/>
      <c r="AJ235" s="112"/>
      <c r="AK235" s="112"/>
      <c r="AL235" s="112"/>
      <c r="AM235" s="112"/>
      <c r="AN235" s="112"/>
      <c r="AO235" s="112"/>
      <c r="AP235" s="112"/>
    </row>
    <row r="236" ht="15.75" customHeight="1">
      <c r="A236" s="112"/>
      <c r="B236" s="112"/>
      <c r="C236" s="112"/>
      <c r="D236" s="112"/>
      <c r="E236" s="128"/>
      <c r="F236" s="112"/>
      <c r="G236" s="112"/>
      <c r="H236" s="128"/>
      <c r="I236" s="112"/>
      <c r="J236" s="112"/>
      <c r="K236" s="112"/>
      <c r="L236" s="128"/>
      <c r="M236" s="128"/>
      <c r="N236" s="112"/>
      <c r="O236" s="112"/>
      <c r="P236" s="112"/>
      <c r="Q236" s="112"/>
      <c r="R236" s="112"/>
      <c r="S236" s="112"/>
      <c r="T236" s="128"/>
      <c r="U236" s="128"/>
      <c r="V236" s="128"/>
      <c r="W236" s="128"/>
      <c r="X236" s="128"/>
      <c r="Y236" s="128"/>
      <c r="Z236" s="112"/>
      <c r="AA236" s="112"/>
      <c r="AB236" s="112"/>
      <c r="AC236" s="112"/>
      <c r="AD236" s="112"/>
      <c r="AE236" s="112"/>
      <c r="AF236" s="112"/>
      <c r="AG236" s="112"/>
      <c r="AH236" s="112"/>
      <c r="AI236" s="112"/>
      <c r="AJ236" s="112"/>
      <c r="AK236" s="112"/>
      <c r="AL236" s="112"/>
      <c r="AM236" s="112"/>
      <c r="AN236" s="112"/>
      <c r="AO236" s="112"/>
      <c r="AP236" s="112"/>
    </row>
    <row r="237" ht="15.75" customHeight="1">
      <c r="A237" s="112"/>
      <c r="B237" s="112"/>
      <c r="C237" s="112"/>
      <c r="D237" s="112"/>
      <c r="E237" s="128"/>
      <c r="F237" s="112"/>
      <c r="G237" s="112"/>
      <c r="H237" s="128"/>
      <c r="I237" s="112"/>
      <c r="J237" s="112"/>
      <c r="K237" s="112"/>
      <c r="L237" s="128"/>
      <c r="M237" s="128"/>
      <c r="N237" s="112"/>
      <c r="O237" s="112"/>
      <c r="P237" s="112"/>
      <c r="Q237" s="112"/>
      <c r="R237" s="112"/>
      <c r="S237" s="112"/>
      <c r="T237" s="128"/>
      <c r="U237" s="128"/>
      <c r="V237" s="128"/>
      <c r="W237" s="128"/>
      <c r="X237" s="128"/>
      <c r="Y237" s="128"/>
      <c r="Z237" s="112"/>
      <c r="AA237" s="112"/>
      <c r="AB237" s="112"/>
      <c r="AC237" s="112"/>
      <c r="AD237" s="112"/>
      <c r="AE237" s="112"/>
      <c r="AF237" s="112"/>
      <c r="AG237" s="112"/>
      <c r="AH237" s="112"/>
      <c r="AI237" s="112"/>
      <c r="AJ237" s="112"/>
      <c r="AK237" s="112"/>
      <c r="AL237" s="112"/>
      <c r="AM237" s="112"/>
      <c r="AN237" s="112"/>
      <c r="AO237" s="112"/>
      <c r="AP237" s="112"/>
    </row>
    <row r="238" ht="15.75" customHeight="1">
      <c r="A238" s="112"/>
      <c r="B238" s="112"/>
      <c r="C238" s="112"/>
      <c r="D238" s="112"/>
      <c r="E238" s="128"/>
      <c r="F238" s="112"/>
      <c r="G238" s="112"/>
      <c r="H238" s="128"/>
      <c r="I238" s="112"/>
      <c r="J238" s="112"/>
      <c r="K238" s="112"/>
      <c r="L238" s="128"/>
      <c r="M238" s="128"/>
      <c r="N238" s="112"/>
      <c r="O238" s="112"/>
      <c r="P238" s="112"/>
      <c r="Q238" s="112"/>
      <c r="R238" s="112"/>
      <c r="S238" s="112"/>
      <c r="T238" s="128"/>
      <c r="U238" s="128"/>
      <c r="V238" s="128"/>
      <c r="W238" s="128"/>
      <c r="X238" s="128"/>
      <c r="Y238" s="128"/>
      <c r="Z238" s="112"/>
      <c r="AA238" s="112"/>
      <c r="AB238" s="112"/>
      <c r="AC238" s="112"/>
      <c r="AD238" s="112"/>
      <c r="AE238" s="112"/>
      <c r="AF238" s="112"/>
      <c r="AG238" s="112"/>
      <c r="AH238" s="112"/>
      <c r="AI238" s="112"/>
      <c r="AJ238" s="112"/>
      <c r="AK238" s="112"/>
      <c r="AL238" s="112"/>
      <c r="AM238" s="112"/>
      <c r="AN238" s="112"/>
      <c r="AO238" s="112"/>
      <c r="AP238" s="112"/>
    </row>
    <row r="239" ht="15.75" customHeight="1">
      <c r="A239" s="112"/>
      <c r="B239" s="112"/>
      <c r="C239" s="112"/>
      <c r="D239" s="112"/>
      <c r="E239" s="128"/>
      <c r="F239" s="112"/>
      <c r="G239" s="112"/>
      <c r="H239" s="128"/>
      <c r="I239" s="112"/>
      <c r="J239" s="112"/>
      <c r="K239" s="112"/>
      <c r="L239" s="128"/>
      <c r="M239" s="128"/>
      <c r="N239" s="112"/>
      <c r="O239" s="112"/>
      <c r="P239" s="112"/>
      <c r="Q239" s="112"/>
      <c r="R239" s="112"/>
      <c r="S239" s="112"/>
      <c r="T239" s="128"/>
      <c r="U239" s="128"/>
      <c r="V239" s="128"/>
      <c r="W239" s="128"/>
      <c r="X239" s="128"/>
      <c r="Y239" s="128"/>
      <c r="Z239" s="112"/>
      <c r="AA239" s="112"/>
      <c r="AB239" s="112"/>
      <c r="AC239" s="112"/>
      <c r="AD239" s="112"/>
      <c r="AE239" s="112"/>
      <c r="AF239" s="112"/>
      <c r="AG239" s="112"/>
      <c r="AH239" s="112"/>
      <c r="AI239" s="112"/>
      <c r="AJ239" s="112"/>
      <c r="AK239" s="112"/>
      <c r="AL239" s="112"/>
      <c r="AM239" s="112"/>
      <c r="AN239" s="112"/>
      <c r="AO239" s="112"/>
      <c r="AP239" s="112"/>
    </row>
    <row r="240" ht="15.75" customHeight="1">
      <c r="A240" s="112"/>
      <c r="B240" s="112"/>
      <c r="C240" s="112"/>
      <c r="D240" s="112"/>
      <c r="E240" s="128"/>
      <c r="F240" s="112"/>
      <c r="G240" s="112"/>
      <c r="H240" s="128"/>
      <c r="I240" s="112"/>
      <c r="J240" s="112"/>
      <c r="K240" s="112"/>
      <c r="L240" s="128"/>
      <c r="M240" s="128"/>
      <c r="N240" s="112"/>
      <c r="O240" s="112"/>
      <c r="P240" s="112"/>
      <c r="Q240" s="112"/>
      <c r="R240" s="112"/>
      <c r="S240" s="112"/>
      <c r="T240" s="128"/>
      <c r="U240" s="128"/>
      <c r="V240" s="128"/>
      <c r="W240" s="128"/>
      <c r="X240" s="128"/>
      <c r="Y240" s="128"/>
      <c r="Z240" s="112"/>
      <c r="AA240" s="112"/>
      <c r="AB240" s="112"/>
      <c r="AC240" s="112"/>
      <c r="AD240" s="112"/>
      <c r="AE240" s="112"/>
      <c r="AF240" s="112"/>
      <c r="AG240" s="112"/>
      <c r="AH240" s="112"/>
      <c r="AI240" s="112"/>
      <c r="AJ240" s="112"/>
      <c r="AK240" s="112"/>
      <c r="AL240" s="112"/>
      <c r="AM240" s="112"/>
      <c r="AN240" s="112"/>
      <c r="AO240" s="112"/>
      <c r="AP240" s="112"/>
    </row>
    <row r="241" ht="15.75" customHeight="1">
      <c r="A241" s="112"/>
      <c r="B241" s="112"/>
      <c r="C241" s="112"/>
      <c r="D241" s="112"/>
      <c r="E241" s="128"/>
      <c r="F241" s="112"/>
      <c r="G241" s="112"/>
      <c r="H241" s="128"/>
      <c r="I241" s="112"/>
      <c r="J241" s="112"/>
      <c r="K241" s="112"/>
      <c r="L241" s="128"/>
      <c r="M241" s="128"/>
      <c r="N241" s="112"/>
      <c r="O241" s="112"/>
      <c r="P241" s="112"/>
      <c r="Q241" s="112"/>
      <c r="R241" s="112"/>
      <c r="S241" s="112"/>
      <c r="T241" s="128"/>
      <c r="U241" s="128"/>
      <c r="V241" s="128"/>
      <c r="W241" s="128"/>
      <c r="X241" s="128"/>
      <c r="Y241" s="128"/>
      <c r="Z241" s="112"/>
      <c r="AA241" s="112"/>
      <c r="AB241" s="112"/>
      <c r="AC241" s="112"/>
      <c r="AD241" s="112"/>
      <c r="AE241" s="112"/>
      <c r="AF241" s="112"/>
      <c r="AG241" s="112"/>
      <c r="AH241" s="112"/>
      <c r="AI241" s="112"/>
      <c r="AJ241" s="112"/>
      <c r="AK241" s="112"/>
      <c r="AL241" s="112"/>
      <c r="AM241" s="112"/>
      <c r="AN241" s="112"/>
      <c r="AO241" s="112"/>
      <c r="AP241" s="112"/>
    </row>
    <row r="242" ht="15.75" customHeight="1">
      <c r="A242" s="112"/>
      <c r="B242" s="112"/>
      <c r="C242" s="112"/>
      <c r="D242" s="112"/>
      <c r="E242" s="128"/>
      <c r="F242" s="112"/>
      <c r="G242" s="112"/>
      <c r="H242" s="128"/>
      <c r="I242" s="112"/>
      <c r="J242" s="112"/>
      <c r="K242" s="112"/>
      <c r="L242" s="128"/>
      <c r="M242" s="128"/>
      <c r="N242" s="112"/>
      <c r="O242" s="112"/>
      <c r="P242" s="112"/>
      <c r="Q242" s="112"/>
      <c r="R242" s="112"/>
      <c r="S242" s="112"/>
      <c r="T242" s="128"/>
      <c r="U242" s="128"/>
      <c r="V242" s="128"/>
      <c r="W242" s="128"/>
      <c r="X242" s="128"/>
      <c r="Y242" s="128"/>
      <c r="Z242" s="112"/>
      <c r="AA242" s="112"/>
      <c r="AB242" s="112"/>
      <c r="AC242" s="112"/>
      <c r="AD242" s="112"/>
      <c r="AE242" s="112"/>
      <c r="AF242" s="112"/>
      <c r="AG242" s="112"/>
      <c r="AH242" s="112"/>
      <c r="AI242" s="112"/>
      <c r="AJ242" s="112"/>
      <c r="AK242" s="112"/>
      <c r="AL242" s="112"/>
      <c r="AM242" s="112"/>
      <c r="AN242" s="112"/>
      <c r="AO242" s="112"/>
      <c r="AP242" s="112"/>
    </row>
    <row r="243" ht="15.75" customHeight="1">
      <c r="A243" s="112"/>
      <c r="B243" s="112"/>
      <c r="C243" s="112"/>
      <c r="D243" s="112"/>
      <c r="E243" s="128"/>
      <c r="F243" s="112"/>
      <c r="G243" s="112"/>
      <c r="H243" s="128"/>
      <c r="I243" s="112"/>
      <c r="J243" s="112"/>
      <c r="K243" s="112"/>
      <c r="L243" s="128"/>
      <c r="M243" s="128"/>
      <c r="N243" s="112"/>
      <c r="O243" s="112"/>
      <c r="P243" s="112"/>
      <c r="Q243" s="112"/>
      <c r="R243" s="112"/>
      <c r="S243" s="112"/>
      <c r="T243" s="128"/>
      <c r="U243" s="128"/>
      <c r="V243" s="128"/>
      <c r="W243" s="128"/>
      <c r="X243" s="128"/>
      <c r="Y243" s="128"/>
      <c r="Z243" s="112"/>
      <c r="AA243" s="112"/>
      <c r="AB243" s="112"/>
      <c r="AC243" s="112"/>
      <c r="AD243" s="112"/>
      <c r="AE243" s="112"/>
      <c r="AF243" s="112"/>
      <c r="AG243" s="112"/>
      <c r="AH243" s="112"/>
      <c r="AI243" s="112"/>
      <c r="AJ243" s="112"/>
      <c r="AK243" s="112"/>
      <c r="AL243" s="112"/>
      <c r="AM243" s="112"/>
      <c r="AN243" s="112"/>
      <c r="AO243" s="112"/>
      <c r="AP243" s="112"/>
    </row>
    <row r="244" ht="15.75" customHeight="1">
      <c r="A244" s="112"/>
      <c r="B244" s="112"/>
      <c r="C244" s="112"/>
      <c r="D244" s="112"/>
      <c r="E244" s="128"/>
      <c r="F244" s="112"/>
      <c r="G244" s="112"/>
      <c r="H244" s="128"/>
      <c r="I244" s="112"/>
      <c r="J244" s="112"/>
      <c r="K244" s="112"/>
      <c r="L244" s="128"/>
      <c r="M244" s="128"/>
      <c r="N244" s="112"/>
      <c r="O244" s="112"/>
      <c r="P244" s="112"/>
      <c r="Q244" s="112"/>
      <c r="R244" s="112"/>
      <c r="S244" s="112"/>
      <c r="T244" s="128"/>
      <c r="U244" s="128"/>
      <c r="V244" s="128"/>
      <c r="W244" s="128"/>
      <c r="X244" s="128"/>
      <c r="Y244" s="128"/>
      <c r="Z244" s="112"/>
      <c r="AA244" s="112"/>
      <c r="AB244" s="112"/>
      <c r="AC244" s="112"/>
      <c r="AD244" s="112"/>
      <c r="AE244" s="112"/>
      <c r="AF244" s="112"/>
      <c r="AG244" s="112"/>
      <c r="AH244" s="112"/>
      <c r="AI244" s="112"/>
      <c r="AJ244" s="112"/>
      <c r="AK244" s="112"/>
      <c r="AL244" s="112"/>
      <c r="AM244" s="112"/>
      <c r="AN244" s="112"/>
      <c r="AO244" s="112"/>
      <c r="AP244" s="112"/>
    </row>
    <row r="245" ht="15.75" customHeight="1">
      <c r="A245" s="112"/>
      <c r="B245" s="112"/>
      <c r="C245" s="112"/>
      <c r="D245" s="112"/>
      <c r="E245" s="128"/>
      <c r="F245" s="112"/>
      <c r="G245" s="112"/>
      <c r="H245" s="128"/>
      <c r="I245" s="112"/>
      <c r="J245" s="112"/>
      <c r="K245" s="112"/>
      <c r="L245" s="128"/>
      <c r="M245" s="128"/>
      <c r="N245" s="112"/>
      <c r="O245" s="112"/>
      <c r="P245" s="112"/>
      <c r="Q245" s="112"/>
      <c r="R245" s="112"/>
      <c r="S245" s="112"/>
      <c r="T245" s="128"/>
      <c r="U245" s="128"/>
      <c r="V245" s="128"/>
      <c r="W245" s="128"/>
      <c r="X245" s="128"/>
      <c r="Y245" s="128"/>
      <c r="Z245" s="112"/>
      <c r="AA245" s="112"/>
      <c r="AB245" s="112"/>
      <c r="AC245" s="112"/>
      <c r="AD245" s="112"/>
      <c r="AE245" s="112"/>
      <c r="AF245" s="112"/>
      <c r="AG245" s="112"/>
      <c r="AH245" s="112"/>
      <c r="AI245" s="112"/>
      <c r="AJ245" s="112"/>
      <c r="AK245" s="112"/>
      <c r="AL245" s="112"/>
      <c r="AM245" s="112"/>
      <c r="AN245" s="112"/>
      <c r="AO245" s="112"/>
      <c r="AP245" s="112"/>
    </row>
    <row r="246" ht="15.75" customHeight="1">
      <c r="A246" s="112"/>
      <c r="B246" s="112"/>
      <c r="C246" s="112"/>
      <c r="D246" s="112"/>
      <c r="E246" s="128"/>
      <c r="F246" s="112"/>
      <c r="G246" s="112"/>
      <c r="H246" s="128"/>
      <c r="I246" s="112"/>
      <c r="J246" s="112"/>
      <c r="K246" s="112"/>
      <c r="L246" s="128"/>
      <c r="M246" s="128"/>
      <c r="N246" s="112"/>
      <c r="O246" s="112"/>
      <c r="P246" s="112"/>
      <c r="Q246" s="112"/>
      <c r="R246" s="112"/>
      <c r="S246" s="112"/>
      <c r="T246" s="128"/>
      <c r="U246" s="128"/>
      <c r="V246" s="128"/>
      <c r="W246" s="128"/>
      <c r="X246" s="128"/>
      <c r="Y246" s="128"/>
      <c r="Z246" s="112"/>
      <c r="AA246" s="112"/>
      <c r="AB246" s="112"/>
      <c r="AC246" s="112"/>
      <c r="AD246" s="112"/>
      <c r="AE246" s="112"/>
      <c r="AF246" s="112"/>
      <c r="AG246" s="112"/>
      <c r="AH246" s="112"/>
      <c r="AI246" s="112"/>
      <c r="AJ246" s="112"/>
      <c r="AK246" s="112"/>
      <c r="AL246" s="112"/>
      <c r="AM246" s="112"/>
      <c r="AN246" s="112"/>
      <c r="AO246" s="112"/>
      <c r="AP246" s="112"/>
    </row>
    <row r="247" ht="15.75" customHeight="1">
      <c r="A247" s="112"/>
      <c r="B247" s="112"/>
      <c r="C247" s="112"/>
      <c r="D247" s="112"/>
      <c r="E247" s="128"/>
      <c r="F247" s="112"/>
      <c r="G247" s="112"/>
      <c r="H247" s="128"/>
      <c r="I247" s="112"/>
      <c r="J247" s="112"/>
      <c r="K247" s="112"/>
      <c r="L247" s="128"/>
      <c r="M247" s="128"/>
      <c r="N247" s="112"/>
      <c r="O247" s="112"/>
      <c r="P247" s="112"/>
      <c r="Q247" s="112"/>
      <c r="R247" s="112"/>
      <c r="S247" s="112"/>
      <c r="T247" s="128"/>
      <c r="U247" s="128"/>
      <c r="V247" s="128"/>
      <c r="W247" s="128"/>
      <c r="X247" s="128"/>
      <c r="Y247" s="128"/>
      <c r="Z247" s="112"/>
      <c r="AA247" s="112"/>
      <c r="AB247" s="112"/>
      <c r="AC247" s="112"/>
      <c r="AD247" s="112"/>
      <c r="AE247" s="112"/>
      <c r="AF247" s="112"/>
      <c r="AG247" s="112"/>
      <c r="AH247" s="112"/>
      <c r="AI247" s="112"/>
      <c r="AJ247" s="112"/>
      <c r="AK247" s="112"/>
      <c r="AL247" s="112"/>
      <c r="AM247" s="112"/>
      <c r="AN247" s="112"/>
      <c r="AO247" s="112"/>
      <c r="AP247" s="112"/>
    </row>
    <row r="248" ht="15.75" customHeight="1">
      <c r="A248" s="112"/>
      <c r="B248" s="112"/>
      <c r="C248" s="112"/>
      <c r="D248" s="112"/>
      <c r="E248" s="128"/>
      <c r="F248" s="112"/>
      <c r="G248" s="112"/>
      <c r="H248" s="128"/>
      <c r="I248" s="112"/>
      <c r="J248" s="112"/>
      <c r="K248" s="112"/>
      <c r="L248" s="128"/>
      <c r="M248" s="128"/>
      <c r="N248" s="112"/>
      <c r="O248" s="112"/>
      <c r="P248" s="112"/>
      <c r="Q248" s="112"/>
      <c r="R248" s="112"/>
      <c r="S248" s="112"/>
      <c r="T248" s="128"/>
      <c r="U248" s="128"/>
      <c r="V248" s="128"/>
      <c r="W248" s="128"/>
      <c r="X248" s="128"/>
      <c r="Y248" s="128"/>
      <c r="Z248" s="112"/>
      <c r="AA248" s="112"/>
      <c r="AB248" s="112"/>
      <c r="AC248" s="112"/>
      <c r="AD248" s="112"/>
      <c r="AE248" s="112"/>
      <c r="AF248" s="112"/>
      <c r="AG248" s="112"/>
      <c r="AH248" s="112"/>
      <c r="AI248" s="112"/>
      <c r="AJ248" s="112"/>
      <c r="AK248" s="112"/>
      <c r="AL248" s="112"/>
      <c r="AM248" s="112"/>
      <c r="AN248" s="112"/>
      <c r="AO248" s="112"/>
      <c r="AP248" s="112"/>
    </row>
    <row r="249" ht="15.75" customHeight="1">
      <c r="A249" s="112"/>
      <c r="B249" s="112"/>
      <c r="C249" s="112"/>
      <c r="D249" s="112"/>
      <c r="E249" s="128"/>
      <c r="F249" s="112"/>
      <c r="G249" s="112"/>
      <c r="H249" s="128"/>
      <c r="I249" s="112"/>
      <c r="J249" s="112"/>
      <c r="K249" s="112"/>
      <c r="L249" s="128"/>
      <c r="M249" s="128"/>
      <c r="N249" s="112"/>
      <c r="O249" s="112"/>
      <c r="P249" s="112"/>
      <c r="Q249" s="112"/>
      <c r="R249" s="112"/>
      <c r="S249" s="112"/>
      <c r="T249" s="128"/>
      <c r="U249" s="128"/>
      <c r="V249" s="128"/>
      <c r="W249" s="128"/>
      <c r="X249" s="128"/>
      <c r="Y249" s="128"/>
      <c r="Z249" s="112"/>
      <c r="AA249" s="112"/>
      <c r="AB249" s="112"/>
      <c r="AC249" s="112"/>
      <c r="AD249" s="112"/>
      <c r="AE249" s="112"/>
      <c r="AF249" s="112"/>
      <c r="AG249" s="112"/>
      <c r="AH249" s="112"/>
      <c r="AI249" s="112"/>
      <c r="AJ249" s="112"/>
      <c r="AK249" s="112"/>
      <c r="AL249" s="112"/>
      <c r="AM249" s="112"/>
      <c r="AN249" s="112"/>
      <c r="AO249" s="112"/>
      <c r="AP249" s="112"/>
    </row>
    <row r="250" ht="15.75" customHeight="1">
      <c r="A250" s="112"/>
      <c r="B250" s="112"/>
      <c r="C250" s="112"/>
      <c r="D250" s="112"/>
      <c r="E250" s="128"/>
      <c r="F250" s="112"/>
      <c r="G250" s="112"/>
      <c r="H250" s="128"/>
      <c r="I250" s="112"/>
      <c r="J250" s="112"/>
      <c r="K250" s="112"/>
      <c r="L250" s="128"/>
      <c r="M250" s="128"/>
      <c r="N250" s="112"/>
      <c r="O250" s="112"/>
      <c r="P250" s="112"/>
      <c r="Q250" s="112"/>
      <c r="R250" s="112"/>
      <c r="S250" s="112"/>
      <c r="T250" s="128"/>
      <c r="U250" s="128"/>
      <c r="V250" s="128"/>
      <c r="W250" s="128"/>
      <c r="X250" s="128"/>
      <c r="Y250" s="128"/>
      <c r="Z250" s="112"/>
      <c r="AA250" s="112"/>
      <c r="AB250" s="112"/>
      <c r="AC250" s="112"/>
      <c r="AD250" s="112"/>
      <c r="AE250" s="112"/>
      <c r="AF250" s="112"/>
      <c r="AG250" s="112"/>
      <c r="AH250" s="112"/>
      <c r="AI250" s="112"/>
      <c r="AJ250" s="112"/>
      <c r="AK250" s="112"/>
      <c r="AL250" s="112"/>
      <c r="AM250" s="112"/>
      <c r="AN250" s="112"/>
      <c r="AO250" s="112"/>
      <c r="AP250" s="112"/>
    </row>
    <row r="251" ht="15.75" customHeight="1">
      <c r="A251" s="112"/>
      <c r="B251" s="112"/>
      <c r="C251" s="112"/>
      <c r="D251" s="112"/>
      <c r="E251" s="128"/>
      <c r="F251" s="112"/>
      <c r="G251" s="112"/>
      <c r="H251" s="128"/>
      <c r="I251" s="112"/>
      <c r="J251" s="112"/>
      <c r="K251" s="112"/>
      <c r="L251" s="128"/>
      <c r="M251" s="128"/>
      <c r="N251" s="112"/>
      <c r="O251" s="112"/>
      <c r="P251" s="112"/>
      <c r="Q251" s="112"/>
      <c r="R251" s="112"/>
      <c r="S251" s="112"/>
      <c r="T251" s="128"/>
      <c r="U251" s="128"/>
      <c r="V251" s="128"/>
      <c r="W251" s="128"/>
      <c r="X251" s="128"/>
      <c r="Y251" s="128"/>
      <c r="Z251" s="112"/>
      <c r="AA251" s="112"/>
      <c r="AB251" s="112"/>
      <c r="AC251" s="112"/>
      <c r="AD251" s="112"/>
      <c r="AE251" s="112"/>
      <c r="AF251" s="112"/>
      <c r="AG251" s="112"/>
      <c r="AH251" s="112"/>
      <c r="AI251" s="112"/>
      <c r="AJ251" s="112"/>
      <c r="AK251" s="112"/>
      <c r="AL251" s="112"/>
      <c r="AM251" s="112"/>
      <c r="AN251" s="112"/>
      <c r="AO251" s="112"/>
      <c r="AP251" s="112"/>
    </row>
    <row r="252" ht="15.75" customHeight="1">
      <c r="A252" s="112"/>
      <c r="B252" s="112"/>
      <c r="C252" s="112"/>
      <c r="D252" s="112"/>
      <c r="E252" s="128"/>
      <c r="F252" s="112"/>
      <c r="G252" s="112"/>
      <c r="H252" s="128"/>
      <c r="I252" s="112"/>
      <c r="J252" s="112"/>
      <c r="K252" s="112"/>
      <c r="L252" s="128"/>
      <c r="M252" s="128"/>
      <c r="N252" s="112"/>
      <c r="O252" s="112"/>
      <c r="P252" s="112"/>
      <c r="Q252" s="112"/>
      <c r="R252" s="112"/>
      <c r="S252" s="112"/>
      <c r="T252" s="128"/>
      <c r="U252" s="128"/>
      <c r="V252" s="128"/>
      <c r="W252" s="128"/>
      <c r="X252" s="128"/>
      <c r="Y252" s="128"/>
      <c r="Z252" s="112"/>
      <c r="AA252" s="112"/>
      <c r="AB252" s="112"/>
      <c r="AC252" s="112"/>
      <c r="AD252" s="112"/>
      <c r="AE252" s="112"/>
      <c r="AF252" s="112"/>
      <c r="AG252" s="112"/>
      <c r="AH252" s="112"/>
      <c r="AI252" s="112"/>
      <c r="AJ252" s="112"/>
      <c r="AK252" s="112"/>
      <c r="AL252" s="112"/>
      <c r="AM252" s="112"/>
      <c r="AN252" s="112"/>
      <c r="AO252" s="112"/>
      <c r="AP252" s="112"/>
    </row>
    <row r="253" ht="15.75" customHeight="1">
      <c r="A253" s="112"/>
      <c r="B253" s="112"/>
      <c r="C253" s="112"/>
      <c r="D253" s="112"/>
      <c r="E253" s="128"/>
      <c r="F253" s="112"/>
      <c r="G253" s="112"/>
      <c r="H253" s="128"/>
      <c r="I253" s="112"/>
      <c r="J253" s="112"/>
      <c r="K253" s="112"/>
      <c r="L253" s="128"/>
      <c r="M253" s="128"/>
      <c r="N253" s="112"/>
      <c r="O253" s="112"/>
      <c r="P253" s="112"/>
      <c r="Q253" s="112"/>
      <c r="R253" s="112"/>
      <c r="S253" s="112"/>
      <c r="T253" s="128"/>
      <c r="U253" s="128"/>
      <c r="V253" s="128"/>
      <c r="W253" s="128"/>
      <c r="X253" s="128"/>
      <c r="Y253" s="128"/>
      <c r="Z253" s="112"/>
      <c r="AA253" s="112"/>
      <c r="AB253" s="112"/>
      <c r="AC253" s="112"/>
      <c r="AD253" s="112"/>
      <c r="AE253" s="112"/>
      <c r="AF253" s="112"/>
      <c r="AG253" s="112"/>
      <c r="AH253" s="112"/>
      <c r="AI253" s="112"/>
      <c r="AJ253" s="112"/>
      <c r="AK253" s="112"/>
      <c r="AL253" s="112"/>
      <c r="AM253" s="112"/>
      <c r="AN253" s="112"/>
      <c r="AO253" s="112"/>
      <c r="AP253" s="112"/>
    </row>
    <row r="254" ht="15.75" customHeight="1">
      <c r="A254" s="112"/>
      <c r="B254" s="112"/>
      <c r="C254" s="112"/>
      <c r="D254" s="112"/>
      <c r="E254" s="128"/>
      <c r="F254" s="112"/>
      <c r="G254" s="112"/>
      <c r="H254" s="128"/>
      <c r="I254" s="112"/>
      <c r="J254" s="112"/>
      <c r="K254" s="112"/>
      <c r="L254" s="128"/>
      <c r="M254" s="128"/>
      <c r="N254" s="112"/>
      <c r="O254" s="112"/>
      <c r="P254" s="112"/>
      <c r="Q254" s="112"/>
      <c r="R254" s="112"/>
      <c r="S254" s="112"/>
      <c r="T254" s="128"/>
      <c r="U254" s="128"/>
      <c r="V254" s="128"/>
      <c r="W254" s="128"/>
      <c r="X254" s="128"/>
      <c r="Y254" s="128"/>
      <c r="Z254" s="112"/>
      <c r="AA254" s="112"/>
      <c r="AB254" s="112"/>
      <c r="AC254" s="112"/>
      <c r="AD254" s="112"/>
      <c r="AE254" s="112"/>
      <c r="AF254" s="112"/>
      <c r="AG254" s="112"/>
      <c r="AH254" s="112"/>
      <c r="AI254" s="112"/>
      <c r="AJ254" s="112"/>
      <c r="AK254" s="112"/>
      <c r="AL254" s="112"/>
      <c r="AM254" s="112"/>
      <c r="AN254" s="112"/>
      <c r="AO254" s="112"/>
      <c r="AP254" s="112"/>
    </row>
    <row r="255" ht="15.75" customHeight="1">
      <c r="A255" s="112"/>
      <c r="B255" s="112"/>
      <c r="C255" s="112"/>
      <c r="D255" s="112"/>
      <c r="E255" s="128"/>
      <c r="F255" s="112"/>
      <c r="G255" s="112"/>
      <c r="H255" s="128"/>
      <c r="I255" s="112"/>
      <c r="J255" s="112"/>
      <c r="K255" s="112"/>
      <c r="L255" s="128"/>
      <c r="M255" s="128"/>
      <c r="N255" s="112"/>
      <c r="O255" s="112"/>
      <c r="P255" s="112"/>
      <c r="Q255" s="112"/>
      <c r="R255" s="112"/>
      <c r="S255" s="112"/>
      <c r="T255" s="128"/>
      <c r="U255" s="128"/>
      <c r="V255" s="128"/>
      <c r="W255" s="128"/>
      <c r="X255" s="128"/>
      <c r="Y255" s="128"/>
      <c r="Z255" s="112"/>
      <c r="AA255" s="112"/>
      <c r="AB255" s="112"/>
      <c r="AC255" s="112"/>
      <c r="AD255" s="112"/>
      <c r="AE255" s="112"/>
      <c r="AF255" s="112"/>
      <c r="AG255" s="112"/>
      <c r="AH255" s="112"/>
      <c r="AI255" s="112"/>
      <c r="AJ255" s="112"/>
      <c r="AK255" s="112"/>
      <c r="AL255" s="112"/>
      <c r="AM255" s="112"/>
      <c r="AN255" s="112"/>
      <c r="AO255" s="112"/>
      <c r="AP255" s="112"/>
    </row>
    <row r="256" ht="15.75" customHeight="1">
      <c r="A256" s="112"/>
      <c r="B256" s="112"/>
      <c r="C256" s="112"/>
      <c r="D256" s="112"/>
      <c r="E256" s="128"/>
      <c r="F256" s="112"/>
      <c r="G256" s="112"/>
      <c r="H256" s="128"/>
      <c r="I256" s="112"/>
      <c r="J256" s="112"/>
      <c r="K256" s="112"/>
      <c r="L256" s="128"/>
      <c r="M256" s="128"/>
      <c r="N256" s="112"/>
      <c r="O256" s="112"/>
      <c r="P256" s="112"/>
      <c r="Q256" s="112"/>
      <c r="R256" s="112"/>
      <c r="S256" s="112"/>
      <c r="T256" s="128"/>
      <c r="U256" s="128"/>
      <c r="V256" s="128"/>
      <c r="W256" s="128"/>
      <c r="X256" s="128"/>
      <c r="Y256" s="128"/>
      <c r="Z256" s="112"/>
      <c r="AA256" s="112"/>
      <c r="AB256" s="112"/>
      <c r="AC256" s="112"/>
      <c r="AD256" s="112"/>
      <c r="AE256" s="112"/>
      <c r="AF256" s="112"/>
      <c r="AG256" s="112"/>
      <c r="AH256" s="112"/>
      <c r="AI256" s="112"/>
      <c r="AJ256" s="112"/>
      <c r="AK256" s="112"/>
      <c r="AL256" s="112"/>
      <c r="AM256" s="112"/>
      <c r="AN256" s="112"/>
      <c r="AO256" s="112"/>
      <c r="AP256" s="112"/>
    </row>
    <row r="257" ht="15.75" customHeight="1">
      <c r="A257" s="112"/>
      <c r="B257" s="112"/>
      <c r="C257" s="112"/>
      <c r="D257" s="112"/>
      <c r="E257" s="128"/>
      <c r="F257" s="112"/>
      <c r="G257" s="112"/>
      <c r="H257" s="128"/>
      <c r="I257" s="112"/>
      <c r="J257" s="112"/>
      <c r="K257" s="112"/>
      <c r="L257" s="128"/>
      <c r="M257" s="128"/>
      <c r="N257" s="112"/>
      <c r="O257" s="112"/>
      <c r="P257" s="112"/>
      <c r="Q257" s="112"/>
      <c r="R257" s="112"/>
      <c r="S257" s="112"/>
      <c r="T257" s="128"/>
      <c r="U257" s="128"/>
      <c r="V257" s="128"/>
      <c r="W257" s="128"/>
      <c r="X257" s="128"/>
      <c r="Y257" s="128"/>
      <c r="Z257" s="112"/>
      <c r="AA257" s="112"/>
      <c r="AB257" s="112"/>
      <c r="AC257" s="112"/>
      <c r="AD257" s="112"/>
      <c r="AE257" s="112"/>
      <c r="AF257" s="112"/>
      <c r="AG257" s="112"/>
      <c r="AH257" s="112"/>
      <c r="AI257" s="112"/>
      <c r="AJ257" s="112"/>
      <c r="AK257" s="112"/>
      <c r="AL257" s="112"/>
      <c r="AM257" s="112"/>
      <c r="AN257" s="112"/>
      <c r="AO257" s="112"/>
      <c r="AP257" s="112"/>
    </row>
    <row r="258" ht="15.75" customHeight="1">
      <c r="A258" s="112"/>
      <c r="B258" s="112"/>
      <c r="C258" s="112"/>
      <c r="D258" s="112"/>
      <c r="E258" s="128"/>
      <c r="F258" s="112"/>
      <c r="G258" s="112"/>
      <c r="H258" s="128"/>
      <c r="I258" s="112"/>
      <c r="J258" s="112"/>
      <c r="K258" s="112"/>
      <c r="L258" s="128"/>
      <c r="M258" s="128"/>
      <c r="N258" s="112"/>
      <c r="O258" s="112"/>
      <c r="P258" s="112"/>
      <c r="Q258" s="112"/>
      <c r="R258" s="112"/>
      <c r="S258" s="112"/>
      <c r="T258" s="128"/>
      <c r="U258" s="128"/>
      <c r="V258" s="128"/>
      <c r="W258" s="128"/>
      <c r="X258" s="128"/>
      <c r="Y258" s="128"/>
      <c r="Z258" s="112"/>
      <c r="AA258" s="112"/>
      <c r="AB258" s="112"/>
      <c r="AC258" s="112"/>
      <c r="AD258" s="112"/>
      <c r="AE258" s="112"/>
      <c r="AF258" s="112"/>
      <c r="AG258" s="112"/>
      <c r="AH258" s="112"/>
      <c r="AI258" s="112"/>
      <c r="AJ258" s="112"/>
      <c r="AK258" s="112"/>
      <c r="AL258" s="112"/>
      <c r="AM258" s="112"/>
      <c r="AN258" s="112"/>
      <c r="AO258" s="112"/>
      <c r="AP258" s="112"/>
    </row>
    <row r="259" ht="15.75" customHeight="1">
      <c r="A259" s="112"/>
      <c r="B259" s="112"/>
      <c r="C259" s="112"/>
      <c r="D259" s="112"/>
      <c r="E259" s="128"/>
      <c r="F259" s="112"/>
      <c r="G259" s="112"/>
      <c r="H259" s="128"/>
      <c r="I259" s="112"/>
      <c r="J259" s="112"/>
      <c r="K259" s="112"/>
      <c r="L259" s="128"/>
      <c r="M259" s="128"/>
      <c r="N259" s="112"/>
      <c r="O259" s="112"/>
      <c r="P259" s="112"/>
      <c r="Q259" s="112"/>
      <c r="R259" s="112"/>
      <c r="S259" s="112"/>
      <c r="T259" s="128"/>
      <c r="U259" s="128"/>
      <c r="V259" s="128"/>
      <c r="W259" s="128"/>
      <c r="X259" s="128"/>
      <c r="Y259" s="128"/>
      <c r="Z259" s="112"/>
      <c r="AA259" s="112"/>
      <c r="AB259" s="112"/>
      <c r="AC259" s="112"/>
      <c r="AD259" s="112"/>
      <c r="AE259" s="112"/>
      <c r="AF259" s="112"/>
      <c r="AG259" s="112"/>
      <c r="AH259" s="112"/>
      <c r="AI259" s="112"/>
      <c r="AJ259" s="112"/>
      <c r="AK259" s="112"/>
      <c r="AL259" s="112"/>
      <c r="AM259" s="112"/>
      <c r="AN259" s="112"/>
      <c r="AO259" s="112"/>
      <c r="AP259" s="112"/>
    </row>
    <row r="260" ht="15.75" customHeight="1">
      <c r="A260" s="112"/>
      <c r="B260" s="112"/>
      <c r="C260" s="112"/>
      <c r="D260" s="112"/>
      <c r="E260" s="128"/>
      <c r="F260" s="112"/>
      <c r="G260" s="112"/>
      <c r="H260" s="128"/>
      <c r="I260" s="112"/>
      <c r="J260" s="112"/>
      <c r="K260" s="112"/>
      <c r="L260" s="128"/>
      <c r="M260" s="128"/>
      <c r="N260" s="112"/>
      <c r="O260" s="112"/>
      <c r="P260" s="112"/>
      <c r="Q260" s="112"/>
      <c r="R260" s="112"/>
      <c r="S260" s="112"/>
      <c r="T260" s="128"/>
      <c r="U260" s="128"/>
      <c r="V260" s="128"/>
      <c r="W260" s="128"/>
      <c r="X260" s="128"/>
      <c r="Y260" s="128"/>
      <c r="Z260" s="112"/>
      <c r="AA260" s="112"/>
      <c r="AB260" s="112"/>
      <c r="AC260" s="112"/>
      <c r="AD260" s="112"/>
      <c r="AE260" s="112"/>
      <c r="AF260" s="112"/>
      <c r="AG260" s="112"/>
      <c r="AH260" s="112"/>
      <c r="AI260" s="112"/>
      <c r="AJ260" s="112"/>
      <c r="AK260" s="112"/>
      <c r="AL260" s="112"/>
      <c r="AM260" s="112"/>
      <c r="AN260" s="112"/>
      <c r="AO260" s="112"/>
      <c r="AP260" s="112"/>
    </row>
    <row r="261" ht="15.75" customHeight="1">
      <c r="A261" s="112"/>
      <c r="B261" s="112"/>
      <c r="C261" s="112"/>
      <c r="D261" s="112"/>
      <c r="E261" s="128"/>
      <c r="F261" s="112"/>
      <c r="G261" s="112"/>
      <c r="H261" s="128"/>
      <c r="I261" s="112"/>
      <c r="J261" s="112"/>
      <c r="K261" s="112"/>
      <c r="L261" s="128"/>
      <c r="M261" s="128"/>
      <c r="N261" s="112"/>
      <c r="O261" s="112"/>
      <c r="P261" s="112"/>
      <c r="Q261" s="112"/>
      <c r="R261" s="112"/>
      <c r="S261" s="112"/>
      <c r="T261" s="128"/>
      <c r="U261" s="128"/>
      <c r="V261" s="128"/>
      <c r="W261" s="128"/>
      <c r="X261" s="128"/>
      <c r="Y261" s="128"/>
      <c r="Z261" s="112"/>
      <c r="AA261" s="112"/>
      <c r="AB261" s="112"/>
      <c r="AC261" s="112"/>
      <c r="AD261" s="112"/>
      <c r="AE261" s="112"/>
      <c r="AF261" s="112"/>
      <c r="AG261" s="112"/>
      <c r="AH261" s="112"/>
      <c r="AI261" s="112"/>
      <c r="AJ261" s="112"/>
      <c r="AK261" s="112"/>
      <c r="AL261" s="112"/>
      <c r="AM261" s="112"/>
      <c r="AN261" s="112"/>
      <c r="AO261" s="112"/>
      <c r="AP261" s="112"/>
    </row>
    <row r="262" ht="15.75" customHeight="1">
      <c r="A262" s="112"/>
      <c r="B262" s="112"/>
      <c r="C262" s="112"/>
      <c r="D262" s="112"/>
      <c r="E262" s="128"/>
      <c r="F262" s="112"/>
      <c r="G262" s="112"/>
      <c r="H262" s="128"/>
      <c r="I262" s="112"/>
      <c r="J262" s="112"/>
      <c r="K262" s="112"/>
      <c r="L262" s="128"/>
      <c r="M262" s="128"/>
      <c r="N262" s="112"/>
      <c r="O262" s="112"/>
      <c r="P262" s="112"/>
      <c r="Q262" s="112"/>
      <c r="R262" s="112"/>
      <c r="S262" s="112"/>
      <c r="T262" s="128"/>
      <c r="U262" s="128"/>
      <c r="V262" s="128"/>
      <c r="W262" s="128"/>
      <c r="X262" s="128"/>
      <c r="Y262" s="128"/>
      <c r="Z262" s="112"/>
      <c r="AA262" s="112"/>
      <c r="AB262" s="112"/>
      <c r="AC262" s="112"/>
      <c r="AD262" s="112"/>
      <c r="AE262" s="112"/>
      <c r="AF262" s="112"/>
      <c r="AG262" s="112"/>
      <c r="AH262" s="112"/>
      <c r="AI262" s="112"/>
      <c r="AJ262" s="112"/>
      <c r="AK262" s="112"/>
      <c r="AL262" s="112"/>
      <c r="AM262" s="112"/>
      <c r="AN262" s="112"/>
      <c r="AO262" s="112"/>
      <c r="AP262" s="112"/>
    </row>
    <row r="263" ht="15.75" customHeight="1">
      <c r="A263" s="112"/>
      <c r="B263" s="112"/>
      <c r="C263" s="112"/>
      <c r="D263" s="112"/>
      <c r="E263" s="128"/>
      <c r="F263" s="112"/>
      <c r="G263" s="112"/>
      <c r="H263" s="128"/>
      <c r="I263" s="112"/>
      <c r="J263" s="112"/>
      <c r="K263" s="112"/>
      <c r="L263" s="128"/>
      <c r="M263" s="128"/>
      <c r="N263" s="112"/>
      <c r="O263" s="112"/>
      <c r="P263" s="112"/>
      <c r="Q263" s="112"/>
      <c r="R263" s="112"/>
      <c r="S263" s="112"/>
      <c r="T263" s="128"/>
      <c r="U263" s="128"/>
      <c r="V263" s="128"/>
      <c r="W263" s="128"/>
      <c r="X263" s="128"/>
      <c r="Y263" s="128"/>
      <c r="Z263" s="112"/>
      <c r="AA263" s="112"/>
      <c r="AB263" s="112"/>
      <c r="AC263" s="112"/>
      <c r="AD263" s="112"/>
      <c r="AE263" s="112"/>
      <c r="AF263" s="112"/>
      <c r="AG263" s="112"/>
      <c r="AH263" s="112"/>
      <c r="AI263" s="112"/>
      <c r="AJ263" s="112"/>
      <c r="AK263" s="112"/>
      <c r="AL263" s="112"/>
      <c r="AM263" s="112"/>
      <c r="AN263" s="112"/>
      <c r="AO263" s="112"/>
      <c r="AP263" s="112"/>
    </row>
    <row r="264" ht="15.75" customHeight="1">
      <c r="A264" s="112"/>
      <c r="B264" s="112"/>
      <c r="C264" s="112"/>
      <c r="D264" s="112"/>
      <c r="E264" s="128"/>
      <c r="F264" s="112"/>
      <c r="G264" s="112"/>
      <c r="H264" s="128"/>
      <c r="I264" s="112"/>
      <c r="J264" s="112"/>
      <c r="K264" s="112"/>
      <c r="L264" s="128"/>
      <c r="M264" s="128"/>
      <c r="N264" s="112"/>
      <c r="O264" s="112"/>
      <c r="P264" s="112"/>
      <c r="Q264" s="112"/>
      <c r="R264" s="112"/>
      <c r="S264" s="112"/>
      <c r="T264" s="128"/>
      <c r="U264" s="128"/>
      <c r="V264" s="128"/>
      <c r="W264" s="128"/>
      <c r="X264" s="128"/>
      <c r="Y264" s="128"/>
      <c r="Z264" s="112"/>
      <c r="AA264" s="112"/>
      <c r="AB264" s="112"/>
      <c r="AC264" s="112"/>
      <c r="AD264" s="112"/>
      <c r="AE264" s="112"/>
      <c r="AF264" s="112"/>
      <c r="AG264" s="112"/>
      <c r="AH264" s="112"/>
      <c r="AI264" s="112"/>
      <c r="AJ264" s="112"/>
      <c r="AK264" s="112"/>
      <c r="AL264" s="112"/>
      <c r="AM264" s="112"/>
      <c r="AN264" s="112"/>
      <c r="AO264" s="112"/>
      <c r="AP264" s="112"/>
    </row>
    <row r="265" ht="15.75" customHeight="1">
      <c r="A265" s="112"/>
      <c r="B265" s="112"/>
      <c r="C265" s="112"/>
      <c r="D265" s="112"/>
      <c r="E265" s="128"/>
      <c r="F265" s="112"/>
      <c r="G265" s="112"/>
      <c r="H265" s="128"/>
      <c r="I265" s="112"/>
      <c r="J265" s="112"/>
      <c r="K265" s="112"/>
      <c r="L265" s="128"/>
      <c r="M265" s="128"/>
      <c r="N265" s="112"/>
      <c r="O265" s="112"/>
      <c r="P265" s="112"/>
      <c r="Q265" s="112"/>
      <c r="R265" s="112"/>
      <c r="S265" s="112"/>
      <c r="T265" s="128"/>
      <c r="U265" s="128"/>
      <c r="V265" s="128"/>
      <c r="W265" s="128"/>
      <c r="X265" s="128"/>
      <c r="Y265" s="128"/>
      <c r="Z265" s="112"/>
      <c r="AA265" s="112"/>
      <c r="AB265" s="112"/>
      <c r="AC265" s="112"/>
      <c r="AD265" s="112"/>
      <c r="AE265" s="112"/>
      <c r="AF265" s="112"/>
      <c r="AG265" s="112"/>
      <c r="AH265" s="112"/>
      <c r="AI265" s="112"/>
      <c r="AJ265" s="112"/>
      <c r="AK265" s="112"/>
      <c r="AL265" s="112"/>
      <c r="AM265" s="112"/>
      <c r="AN265" s="112"/>
      <c r="AO265" s="112"/>
      <c r="AP265" s="112"/>
    </row>
    <row r="266" ht="15.75" customHeight="1">
      <c r="A266" s="112"/>
      <c r="B266" s="112"/>
      <c r="C266" s="112"/>
      <c r="D266" s="112"/>
      <c r="E266" s="128"/>
      <c r="F266" s="112"/>
      <c r="G266" s="112"/>
      <c r="H266" s="128"/>
      <c r="I266" s="112"/>
      <c r="J266" s="112"/>
      <c r="K266" s="112"/>
      <c r="L266" s="128"/>
      <c r="M266" s="128"/>
      <c r="N266" s="112"/>
      <c r="O266" s="112"/>
      <c r="P266" s="112"/>
      <c r="Q266" s="112"/>
      <c r="R266" s="112"/>
      <c r="S266" s="112"/>
      <c r="T266" s="128"/>
      <c r="U266" s="128"/>
      <c r="V266" s="128"/>
      <c r="W266" s="128"/>
      <c r="X266" s="128"/>
      <c r="Y266" s="128"/>
      <c r="Z266" s="112"/>
      <c r="AA266" s="112"/>
      <c r="AB266" s="112"/>
      <c r="AC266" s="112"/>
      <c r="AD266" s="112"/>
      <c r="AE266" s="112"/>
      <c r="AF266" s="112"/>
      <c r="AG266" s="112"/>
      <c r="AH266" s="112"/>
      <c r="AI266" s="112"/>
      <c r="AJ266" s="112"/>
      <c r="AK266" s="112"/>
      <c r="AL266" s="112"/>
      <c r="AM266" s="112"/>
      <c r="AN266" s="112"/>
      <c r="AO266" s="112"/>
      <c r="AP266" s="112"/>
    </row>
    <row r="267" ht="15.75" customHeight="1">
      <c r="A267" s="112"/>
      <c r="B267" s="112"/>
      <c r="C267" s="112"/>
      <c r="D267" s="112"/>
      <c r="E267" s="128"/>
      <c r="F267" s="112"/>
      <c r="G267" s="112"/>
      <c r="H267" s="128"/>
      <c r="I267" s="112"/>
      <c r="J267" s="112"/>
      <c r="K267" s="112"/>
      <c r="L267" s="128"/>
      <c r="M267" s="128"/>
      <c r="N267" s="112"/>
      <c r="O267" s="112"/>
      <c r="P267" s="112"/>
      <c r="Q267" s="112"/>
      <c r="R267" s="112"/>
      <c r="S267" s="112"/>
      <c r="T267" s="128"/>
      <c r="U267" s="128"/>
      <c r="V267" s="128"/>
      <c r="W267" s="128"/>
      <c r="X267" s="128"/>
      <c r="Y267" s="128"/>
      <c r="Z267" s="112"/>
      <c r="AA267" s="112"/>
      <c r="AB267" s="112"/>
      <c r="AC267" s="112"/>
      <c r="AD267" s="112"/>
      <c r="AE267" s="112"/>
      <c r="AF267" s="112"/>
      <c r="AG267" s="112"/>
      <c r="AH267" s="112"/>
      <c r="AI267" s="112"/>
      <c r="AJ267" s="112"/>
      <c r="AK267" s="112"/>
      <c r="AL267" s="112"/>
      <c r="AM267" s="112"/>
      <c r="AN267" s="112"/>
      <c r="AO267" s="112"/>
      <c r="AP267" s="112"/>
    </row>
    <row r="268" ht="15.75" customHeight="1">
      <c r="A268" s="112"/>
      <c r="B268" s="112"/>
      <c r="C268" s="112"/>
      <c r="D268" s="112"/>
      <c r="E268" s="128"/>
      <c r="F268" s="112"/>
      <c r="G268" s="112"/>
      <c r="H268" s="128"/>
      <c r="I268" s="112"/>
      <c r="J268" s="112"/>
      <c r="K268" s="112"/>
      <c r="L268" s="128"/>
      <c r="M268" s="128"/>
      <c r="N268" s="112"/>
      <c r="O268" s="112"/>
      <c r="P268" s="112"/>
      <c r="Q268" s="112"/>
      <c r="R268" s="112"/>
      <c r="S268" s="112"/>
      <c r="T268" s="128"/>
      <c r="U268" s="128"/>
      <c r="V268" s="128"/>
      <c r="W268" s="128"/>
      <c r="X268" s="128"/>
      <c r="Y268" s="128"/>
      <c r="Z268" s="112"/>
      <c r="AA268" s="112"/>
      <c r="AB268" s="112"/>
      <c r="AC268" s="112"/>
      <c r="AD268" s="112"/>
      <c r="AE268" s="112"/>
      <c r="AF268" s="112"/>
      <c r="AG268" s="112"/>
      <c r="AH268" s="112"/>
      <c r="AI268" s="112"/>
      <c r="AJ268" s="112"/>
      <c r="AK268" s="112"/>
      <c r="AL268" s="112"/>
      <c r="AM268" s="112"/>
      <c r="AN268" s="112"/>
      <c r="AO268" s="112"/>
      <c r="AP268" s="112"/>
    </row>
    <row r="269" ht="15.75" customHeight="1">
      <c r="A269" s="112"/>
      <c r="B269" s="112"/>
      <c r="C269" s="112"/>
      <c r="D269" s="112"/>
      <c r="E269" s="128"/>
      <c r="F269" s="112"/>
      <c r="G269" s="112"/>
      <c r="H269" s="128"/>
      <c r="I269" s="112"/>
      <c r="J269" s="112"/>
      <c r="K269" s="112"/>
      <c r="L269" s="128"/>
      <c r="M269" s="128"/>
      <c r="N269" s="112"/>
      <c r="O269" s="112"/>
      <c r="P269" s="112"/>
      <c r="Q269" s="112"/>
      <c r="R269" s="112"/>
      <c r="S269" s="112"/>
      <c r="T269" s="128"/>
      <c r="U269" s="128"/>
      <c r="V269" s="128"/>
      <c r="W269" s="128"/>
      <c r="X269" s="128"/>
      <c r="Y269" s="128"/>
      <c r="Z269" s="112"/>
      <c r="AA269" s="112"/>
      <c r="AB269" s="112"/>
      <c r="AC269" s="112"/>
      <c r="AD269" s="112"/>
      <c r="AE269" s="112"/>
      <c r="AF269" s="112"/>
      <c r="AG269" s="112"/>
      <c r="AH269" s="112"/>
      <c r="AI269" s="112"/>
      <c r="AJ269" s="112"/>
      <c r="AK269" s="112"/>
      <c r="AL269" s="112"/>
      <c r="AM269" s="112"/>
      <c r="AN269" s="112"/>
      <c r="AO269" s="112"/>
      <c r="AP269" s="112"/>
    </row>
    <row r="270" ht="15.75" customHeight="1">
      <c r="A270" s="112"/>
      <c r="B270" s="112"/>
      <c r="C270" s="112"/>
      <c r="D270" s="112"/>
      <c r="E270" s="128"/>
      <c r="F270" s="112"/>
      <c r="G270" s="112"/>
      <c r="H270" s="128"/>
      <c r="I270" s="112"/>
      <c r="J270" s="112"/>
      <c r="K270" s="112"/>
      <c r="L270" s="128"/>
      <c r="M270" s="128"/>
      <c r="N270" s="112"/>
      <c r="O270" s="112"/>
      <c r="P270" s="112"/>
      <c r="Q270" s="112"/>
      <c r="R270" s="112"/>
      <c r="S270" s="112"/>
      <c r="T270" s="128"/>
      <c r="U270" s="128"/>
      <c r="V270" s="128"/>
      <c r="W270" s="128"/>
      <c r="X270" s="128"/>
      <c r="Y270" s="128"/>
      <c r="Z270" s="112"/>
      <c r="AA270" s="112"/>
      <c r="AB270" s="112"/>
      <c r="AC270" s="112"/>
      <c r="AD270" s="112"/>
      <c r="AE270" s="112"/>
      <c r="AF270" s="112"/>
      <c r="AG270" s="112"/>
      <c r="AH270" s="112"/>
      <c r="AI270" s="112"/>
      <c r="AJ270" s="112"/>
      <c r="AK270" s="112"/>
      <c r="AL270" s="112"/>
      <c r="AM270" s="112"/>
      <c r="AN270" s="112"/>
      <c r="AO270" s="112"/>
      <c r="AP270" s="112"/>
    </row>
    <row r="271" ht="15.75" customHeight="1">
      <c r="A271" s="112"/>
      <c r="B271" s="112"/>
      <c r="C271" s="112"/>
      <c r="D271" s="112"/>
      <c r="E271" s="128"/>
      <c r="F271" s="112"/>
      <c r="G271" s="112"/>
      <c r="H271" s="128"/>
      <c r="I271" s="112"/>
      <c r="J271" s="112"/>
      <c r="K271" s="112"/>
      <c r="L271" s="128"/>
      <c r="M271" s="128"/>
      <c r="N271" s="112"/>
      <c r="O271" s="112"/>
      <c r="P271" s="112"/>
      <c r="Q271" s="112"/>
      <c r="R271" s="112"/>
      <c r="S271" s="112"/>
      <c r="T271" s="128"/>
      <c r="U271" s="128"/>
      <c r="V271" s="128"/>
      <c r="W271" s="128"/>
      <c r="X271" s="128"/>
      <c r="Y271" s="128"/>
      <c r="Z271" s="112"/>
      <c r="AA271" s="112"/>
      <c r="AB271" s="112"/>
      <c r="AC271" s="112"/>
      <c r="AD271" s="112"/>
      <c r="AE271" s="112"/>
      <c r="AF271" s="112"/>
      <c r="AG271" s="112"/>
      <c r="AH271" s="112"/>
      <c r="AI271" s="112"/>
      <c r="AJ271" s="112"/>
      <c r="AK271" s="112"/>
      <c r="AL271" s="112"/>
      <c r="AM271" s="112"/>
      <c r="AN271" s="112"/>
      <c r="AO271" s="112"/>
      <c r="AP271" s="112"/>
    </row>
    <row r="272" ht="15.75" customHeight="1">
      <c r="A272" s="112"/>
      <c r="B272" s="112"/>
      <c r="C272" s="112"/>
      <c r="D272" s="112"/>
      <c r="E272" s="128"/>
      <c r="F272" s="112"/>
      <c r="G272" s="112"/>
      <c r="H272" s="128"/>
      <c r="I272" s="112"/>
      <c r="J272" s="112"/>
      <c r="K272" s="112"/>
      <c r="L272" s="128"/>
      <c r="M272" s="128"/>
      <c r="N272" s="112"/>
      <c r="O272" s="112"/>
      <c r="P272" s="112"/>
      <c r="Q272" s="112"/>
      <c r="R272" s="112"/>
      <c r="S272" s="112"/>
      <c r="T272" s="128"/>
      <c r="U272" s="128"/>
      <c r="V272" s="128"/>
      <c r="W272" s="128"/>
      <c r="X272" s="128"/>
      <c r="Y272" s="128"/>
      <c r="Z272" s="112"/>
      <c r="AA272" s="112"/>
      <c r="AB272" s="112"/>
      <c r="AC272" s="112"/>
      <c r="AD272" s="112"/>
      <c r="AE272" s="112"/>
      <c r="AF272" s="112"/>
      <c r="AG272" s="112"/>
      <c r="AH272" s="112"/>
      <c r="AI272" s="112"/>
      <c r="AJ272" s="112"/>
      <c r="AK272" s="112"/>
      <c r="AL272" s="112"/>
      <c r="AM272" s="112"/>
      <c r="AN272" s="112"/>
      <c r="AO272" s="112"/>
      <c r="AP272" s="112"/>
    </row>
    <row r="273" ht="15.75" customHeight="1">
      <c r="A273" s="112"/>
      <c r="B273" s="112"/>
      <c r="C273" s="112"/>
      <c r="D273" s="112"/>
      <c r="E273" s="128"/>
      <c r="F273" s="112"/>
      <c r="G273" s="112"/>
      <c r="H273" s="128"/>
      <c r="I273" s="112"/>
      <c r="J273" s="112"/>
      <c r="K273" s="112"/>
      <c r="L273" s="128"/>
      <c r="M273" s="128"/>
      <c r="N273" s="112"/>
      <c r="O273" s="112"/>
      <c r="P273" s="112"/>
      <c r="Q273" s="112"/>
      <c r="R273" s="112"/>
      <c r="S273" s="112"/>
      <c r="T273" s="128"/>
      <c r="U273" s="128"/>
      <c r="V273" s="128"/>
      <c r="W273" s="128"/>
      <c r="X273" s="128"/>
      <c r="Y273" s="128"/>
      <c r="Z273" s="112"/>
      <c r="AA273" s="112"/>
      <c r="AB273" s="112"/>
      <c r="AC273" s="112"/>
      <c r="AD273" s="112"/>
      <c r="AE273" s="112"/>
      <c r="AF273" s="112"/>
      <c r="AG273" s="112"/>
      <c r="AH273" s="112"/>
      <c r="AI273" s="112"/>
      <c r="AJ273" s="112"/>
      <c r="AK273" s="112"/>
      <c r="AL273" s="112"/>
      <c r="AM273" s="112"/>
      <c r="AN273" s="112"/>
      <c r="AO273" s="112"/>
      <c r="AP273" s="112"/>
    </row>
    <row r="274" ht="15.75" customHeight="1">
      <c r="A274" s="112"/>
      <c r="B274" s="112"/>
      <c r="C274" s="112"/>
      <c r="D274" s="112"/>
      <c r="E274" s="128"/>
      <c r="F274" s="112"/>
      <c r="G274" s="112"/>
      <c r="H274" s="128"/>
      <c r="I274" s="112"/>
      <c r="J274" s="112"/>
      <c r="K274" s="112"/>
      <c r="L274" s="128"/>
      <c r="M274" s="128"/>
      <c r="N274" s="112"/>
      <c r="O274" s="112"/>
      <c r="P274" s="112"/>
      <c r="Q274" s="112"/>
      <c r="R274" s="112"/>
      <c r="S274" s="112"/>
      <c r="T274" s="128"/>
      <c r="U274" s="128"/>
      <c r="V274" s="128"/>
      <c r="W274" s="128"/>
      <c r="X274" s="128"/>
      <c r="Y274" s="128"/>
      <c r="Z274" s="112"/>
      <c r="AA274" s="112"/>
      <c r="AB274" s="112"/>
      <c r="AC274" s="112"/>
      <c r="AD274" s="112"/>
      <c r="AE274" s="112"/>
      <c r="AF274" s="112"/>
      <c r="AG274" s="112"/>
      <c r="AH274" s="112"/>
      <c r="AI274" s="112"/>
      <c r="AJ274" s="112"/>
      <c r="AK274" s="112"/>
      <c r="AL274" s="112"/>
      <c r="AM274" s="112"/>
      <c r="AN274" s="112"/>
      <c r="AO274" s="112"/>
      <c r="AP274" s="112"/>
    </row>
    <row r="275" ht="15.75" customHeight="1">
      <c r="A275" s="112"/>
      <c r="B275" s="112"/>
      <c r="C275" s="112"/>
      <c r="D275" s="112"/>
      <c r="E275" s="128"/>
      <c r="F275" s="112"/>
      <c r="G275" s="112"/>
      <c r="H275" s="128"/>
      <c r="I275" s="112"/>
      <c r="J275" s="112"/>
      <c r="K275" s="112"/>
      <c r="L275" s="128"/>
      <c r="M275" s="128"/>
      <c r="N275" s="112"/>
      <c r="O275" s="112"/>
      <c r="P275" s="112"/>
      <c r="Q275" s="112"/>
      <c r="R275" s="112"/>
      <c r="S275" s="112"/>
      <c r="T275" s="128"/>
      <c r="U275" s="128"/>
      <c r="V275" s="128"/>
      <c r="W275" s="128"/>
      <c r="X275" s="128"/>
      <c r="Y275" s="128"/>
      <c r="Z275" s="112"/>
      <c r="AA275" s="112"/>
      <c r="AB275" s="112"/>
      <c r="AC275" s="112"/>
      <c r="AD275" s="112"/>
      <c r="AE275" s="112"/>
      <c r="AF275" s="112"/>
      <c r="AG275" s="112"/>
      <c r="AH275" s="112"/>
      <c r="AI275" s="112"/>
      <c r="AJ275" s="112"/>
      <c r="AK275" s="112"/>
      <c r="AL275" s="112"/>
      <c r="AM275" s="112"/>
      <c r="AN275" s="112"/>
      <c r="AO275" s="112"/>
      <c r="AP275" s="112"/>
    </row>
    <row r="276" ht="15.75" customHeight="1">
      <c r="A276" s="112"/>
      <c r="B276" s="112"/>
      <c r="C276" s="112"/>
      <c r="D276" s="112"/>
      <c r="E276" s="128"/>
      <c r="F276" s="112"/>
      <c r="G276" s="112"/>
      <c r="H276" s="128"/>
      <c r="I276" s="112"/>
      <c r="J276" s="112"/>
      <c r="K276" s="112"/>
      <c r="L276" s="128"/>
      <c r="M276" s="128"/>
      <c r="N276" s="112"/>
      <c r="O276" s="112"/>
      <c r="P276" s="112"/>
      <c r="Q276" s="112"/>
      <c r="R276" s="112"/>
      <c r="S276" s="112"/>
      <c r="T276" s="128"/>
      <c r="U276" s="128"/>
      <c r="V276" s="128"/>
      <c r="W276" s="128"/>
      <c r="X276" s="128"/>
      <c r="Y276" s="128"/>
      <c r="Z276" s="112"/>
      <c r="AA276" s="112"/>
      <c r="AB276" s="112"/>
      <c r="AC276" s="112"/>
      <c r="AD276" s="112"/>
      <c r="AE276" s="112"/>
      <c r="AF276" s="112"/>
      <c r="AG276" s="112"/>
      <c r="AH276" s="112"/>
      <c r="AI276" s="112"/>
      <c r="AJ276" s="112"/>
      <c r="AK276" s="112"/>
      <c r="AL276" s="112"/>
      <c r="AM276" s="112"/>
      <c r="AN276" s="112"/>
      <c r="AO276" s="112"/>
      <c r="AP276" s="112"/>
    </row>
    <row r="277" ht="15.75" customHeight="1">
      <c r="A277" s="112"/>
      <c r="B277" s="112"/>
      <c r="C277" s="112"/>
      <c r="D277" s="112"/>
      <c r="E277" s="128"/>
      <c r="F277" s="112"/>
      <c r="G277" s="112"/>
      <c r="H277" s="128"/>
      <c r="I277" s="112"/>
      <c r="J277" s="112"/>
      <c r="K277" s="112"/>
      <c r="L277" s="128"/>
      <c r="M277" s="128"/>
      <c r="N277" s="112"/>
      <c r="O277" s="112"/>
      <c r="P277" s="112"/>
      <c r="Q277" s="112"/>
      <c r="R277" s="112"/>
      <c r="S277" s="112"/>
      <c r="T277" s="128"/>
      <c r="U277" s="128"/>
      <c r="V277" s="128"/>
      <c r="W277" s="128"/>
      <c r="X277" s="128"/>
      <c r="Y277" s="128"/>
      <c r="Z277" s="112"/>
      <c r="AA277" s="112"/>
      <c r="AB277" s="112"/>
      <c r="AC277" s="112"/>
      <c r="AD277" s="112"/>
      <c r="AE277" s="112"/>
      <c r="AF277" s="112"/>
      <c r="AG277" s="112"/>
      <c r="AH277" s="112"/>
      <c r="AI277" s="112"/>
      <c r="AJ277" s="112"/>
      <c r="AK277" s="112"/>
      <c r="AL277" s="112"/>
      <c r="AM277" s="112"/>
      <c r="AN277" s="112"/>
      <c r="AO277" s="112"/>
      <c r="AP277" s="112"/>
    </row>
    <row r="278" ht="15.75" customHeight="1">
      <c r="A278" s="112"/>
      <c r="B278" s="112"/>
      <c r="C278" s="112"/>
      <c r="D278" s="112"/>
      <c r="E278" s="128"/>
      <c r="F278" s="112"/>
      <c r="G278" s="112"/>
      <c r="H278" s="128"/>
      <c r="I278" s="112"/>
      <c r="J278" s="112"/>
      <c r="K278" s="112"/>
      <c r="L278" s="128"/>
      <c r="M278" s="128"/>
      <c r="N278" s="112"/>
      <c r="O278" s="112"/>
      <c r="P278" s="112"/>
      <c r="Q278" s="112"/>
      <c r="R278" s="112"/>
      <c r="S278" s="112"/>
      <c r="T278" s="128"/>
      <c r="U278" s="128"/>
      <c r="V278" s="128"/>
      <c r="W278" s="128"/>
      <c r="X278" s="128"/>
      <c r="Y278" s="128"/>
      <c r="Z278" s="112"/>
      <c r="AA278" s="112"/>
      <c r="AB278" s="112"/>
      <c r="AC278" s="112"/>
      <c r="AD278" s="112"/>
      <c r="AE278" s="112"/>
      <c r="AF278" s="112"/>
      <c r="AG278" s="112"/>
      <c r="AH278" s="112"/>
      <c r="AI278" s="112"/>
      <c r="AJ278" s="112"/>
      <c r="AK278" s="112"/>
      <c r="AL278" s="112"/>
      <c r="AM278" s="112"/>
      <c r="AN278" s="112"/>
      <c r="AO278" s="112"/>
      <c r="AP278" s="112"/>
    </row>
    <row r="279" ht="15.75" customHeight="1">
      <c r="A279" s="112"/>
      <c r="B279" s="112"/>
      <c r="C279" s="112"/>
      <c r="D279" s="112"/>
      <c r="E279" s="128"/>
      <c r="F279" s="112"/>
      <c r="G279" s="112"/>
      <c r="H279" s="128"/>
      <c r="I279" s="112"/>
      <c r="J279" s="112"/>
      <c r="K279" s="112"/>
      <c r="L279" s="128"/>
      <c r="M279" s="128"/>
      <c r="N279" s="112"/>
      <c r="O279" s="112"/>
      <c r="P279" s="112"/>
      <c r="Q279" s="112"/>
      <c r="R279" s="112"/>
      <c r="S279" s="112"/>
      <c r="T279" s="128"/>
      <c r="U279" s="128"/>
      <c r="V279" s="128"/>
      <c r="W279" s="128"/>
      <c r="X279" s="128"/>
      <c r="Y279" s="128"/>
      <c r="Z279" s="112"/>
      <c r="AA279" s="112"/>
      <c r="AB279" s="112"/>
      <c r="AC279" s="112"/>
      <c r="AD279" s="112"/>
      <c r="AE279" s="112"/>
      <c r="AF279" s="112"/>
      <c r="AG279" s="112"/>
      <c r="AH279" s="112"/>
      <c r="AI279" s="112"/>
      <c r="AJ279" s="112"/>
      <c r="AK279" s="112"/>
      <c r="AL279" s="112"/>
      <c r="AM279" s="112"/>
      <c r="AN279" s="112"/>
      <c r="AO279" s="112"/>
      <c r="AP279" s="112"/>
    </row>
    <row r="280" ht="15.75" customHeight="1">
      <c r="A280" s="112"/>
      <c r="B280" s="112"/>
      <c r="C280" s="112"/>
      <c r="D280" s="112"/>
      <c r="E280" s="128"/>
      <c r="F280" s="112"/>
      <c r="G280" s="112"/>
      <c r="H280" s="128"/>
      <c r="I280" s="112"/>
      <c r="J280" s="112"/>
      <c r="K280" s="112"/>
      <c r="L280" s="128"/>
      <c r="M280" s="128"/>
      <c r="N280" s="112"/>
      <c r="O280" s="112"/>
      <c r="P280" s="112"/>
      <c r="Q280" s="112"/>
      <c r="R280" s="112"/>
      <c r="S280" s="112"/>
      <c r="T280" s="128"/>
      <c r="U280" s="128"/>
      <c r="V280" s="128"/>
      <c r="W280" s="128"/>
      <c r="X280" s="128"/>
      <c r="Y280" s="128"/>
      <c r="Z280" s="112"/>
      <c r="AA280" s="112"/>
      <c r="AB280" s="112"/>
      <c r="AC280" s="112"/>
      <c r="AD280" s="112"/>
      <c r="AE280" s="112"/>
      <c r="AF280" s="112"/>
      <c r="AG280" s="112"/>
      <c r="AH280" s="112"/>
      <c r="AI280" s="112"/>
      <c r="AJ280" s="112"/>
      <c r="AK280" s="112"/>
      <c r="AL280" s="112"/>
      <c r="AM280" s="112"/>
      <c r="AN280" s="112"/>
      <c r="AO280" s="112"/>
      <c r="AP280" s="112"/>
    </row>
    <row r="281" ht="15.75" customHeight="1">
      <c r="A281" s="112"/>
      <c r="B281" s="112"/>
      <c r="C281" s="112"/>
      <c r="D281" s="112"/>
      <c r="E281" s="128"/>
      <c r="F281" s="112"/>
      <c r="G281" s="112"/>
      <c r="H281" s="128"/>
      <c r="I281" s="112"/>
      <c r="J281" s="112"/>
      <c r="K281" s="112"/>
      <c r="L281" s="128"/>
      <c r="M281" s="128"/>
      <c r="N281" s="112"/>
      <c r="O281" s="112"/>
      <c r="P281" s="112"/>
      <c r="Q281" s="112"/>
      <c r="R281" s="112"/>
      <c r="S281" s="112"/>
      <c r="T281" s="128"/>
      <c r="U281" s="128"/>
      <c r="V281" s="128"/>
      <c r="W281" s="128"/>
      <c r="X281" s="128"/>
      <c r="Y281" s="128"/>
      <c r="Z281" s="112"/>
      <c r="AA281" s="112"/>
      <c r="AB281" s="112"/>
      <c r="AC281" s="112"/>
      <c r="AD281" s="112"/>
      <c r="AE281" s="112"/>
      <c r="AF281" s="112"/>
      <c r="AG281" s="112"/>
      <c r="AH281" s="112"/>
      <c r="AI281" s="112"/>
      <c r="AJ281" s="112"/>
      <c r="AK281" s="112"/>
      <c r="AL281" s="112"/>
      <c r="AM281" s="112"/>
      <c r="AN281" s="112"/>
      <c r="AO281" s="112"/>
      <c r="AP281" s="112"/>
    </row>
    <row r="282" ht="15.75" customHeight="1">
      <c r="A282" s="112"/>
      <c r="B282" s="112"/>
      <c r="C282" s="112"/>
      <c r="D282" s="112"/>
      <c r="E282" s="128"/>
      <c r="F282" s="112"/>
      <c r="G282" s="112"/>
      <c r="H282" s="128"/>
      <c r="I282" s="112"/>
      <c r="J282" s="112"/>
      <c r="K282" s="112"/>
      <c r="L282" s="128"/>
      <c r="M282" s="128"/>
      <c r="N282" s="112"/>
      <c r="O282" s="112"/>
      <c r="P282" s="112"/>
      <c r="Q282" s="112"/>
      <c r="R282" s="112"/>
      <c r="S282" s="112"/>
      <c r="T282" s="128"/>
      <c r="U282" s="128"/>
      <c r="V282" s="128"/>
      <c r="W282" s="128"/>
      <c r="X282" s="128"/>
      <c r="Y282" s="128"/>
      <c r="Z282" s="112"/>
      <c r="AA282" s="112"/>
      <c r="AB282" s="112"/>
      <c r="AC282" s="112"/>
      <c r="AD282" s="112"/>
      <c r="AE282" s="112"/>
      <c r="AF282" s="112"/>
      <c r="AG282" s="112"/>
      <c r="AH282" s="112"/>
      <c r="AI282" s="112"/>
      <c r="AJ282" s="112"/>
      <c r="AK282" s="112"/>
      <c r="AL282" s="112"/>
      <c r="AM282" s="112"/>
      <c r="AN282" s="112"/>
      <c r="AO282" s="112"/>
      <c r="AP282" s="112"/>
    </row>
    <row r="283" ht="15.75" customHeight="1">
      <c r="A283" s="112"/>
      <c r="B283" s="112"/>
      <c r="C283" s="112"/>
      <c r="D283" s="112"/>
      <c r="E283" s="128"/>
      <c r="F283" s="112"/>
      <c r="G283" s="112"/>
      <c r="H283" s="128"/>
      <c r="I283" s="112"/>
      <c r="J283" s="112"/>
      <c r="K283" s="112"/>
      <c r="L283" s="128"/>
      <c r="M283" s="128"/>
      <c r="N283" s="112"/>
      <c r="O283" s="112"/>
      <c r="P283" s="112"/>
      <c r="Q283" s="112"/>
      <c r="R283" s="112"/>
      <c r="S283" s="112"/>
      <c r="T283" s="128"/>
      <c r="U283" s="128"/>
      <c r="V283" s="128"/>
      <c r="W283" s="128"/>
      <c r="X283" s="128"/>
      <c r="Y283" s="128"/>
      <c r="Z283" s="112"/>
      <c r="AA283" s="112"/>
      <c r="AB283" s="112"/>
      <c r="AC283" s="112"/>
      <c r="AD283" s="112"/>
      <c r="AE283" s="112"/>
      <c r="AF283" s="112"/>
      <c r="AG283" s="112"/>
      <c r="AH283" s="112"/>
      <c r="AI283" s="112"/>
      <c r="AJ283" s="112"/>
      <c r="AK283" s="112"/>
      <c r="AL283" s="112"/>
      <c r="AM283" s="112"/>
      <c r="AN283" s="112"/>
      <c r="AO283" s="112"/>
      <c r="AP283" s="112"/>
    </row>
    <row r="284" ht="15.75" customHeight="1">
      <c r="A284" s="112"/>
      <c r="B284" s="112"/>
      <c r="C284" s="112"/>
      <c r="D284" s="112"/>
      <c r="E284" s="128"/>
      <c r="F284" s="112"/>
      <c r="G284" s="112"/>
      <c r="H284" s="128"/>
      <c r="I284" s="112"/>
      <c r="J284" s="112"/>
      <c r="K284" s="112"/>
      <c r="L284" s="128"/>
      <c r="M284" s="128"/>
      <c r="N284" s="112"/>
      <c r="O284" s="112"/>
      <c r="P284" s="112"/>
      <c r="Q284" s="112"/>
      <c r="R284" s="112"/>
      <c r="S284" s="112"/>
      <c r="T284" s="128"/>
      <c r="U284" s="128"/>
      <c r="V284" s="128"/>
      <c r="W284" s="128"/>
      <c r="X284" s="128"/>
      <c r="Y284" s="128"/>
      <c r="Z284" s="112"/>
      <c r="AA284" s="112"/>
      <c r="AB284" s="112"/>
      <c r="AC284" s="112"/>
      <c r="AD284" s="112"/>
      <c r="AE284" s="112"/>
      <c r="AF284" s="112"/>
      <c r="AG284" s="112"/>
      <c r="AH284" s="112"/>
      <c r="AI284" s="112"/>
      <c r="AJ284" s="112"/>
      <c r="AK284" s="112"/>
      <c r="AL284" s="112"/>
      <c r="AM284" s="112"/>
      <c r="AN284" s="112"/>
      <c r="AO284" s="112"/>
      <c r="AP284" s="112"/>
    </row>
    <row r="285" ht="15.75" customHeight="1">
      <c r="A285" s="112"/>
      <c r="B285" s="112"/>
      <c r="C285" s="112"/>
      <c r="D285" s="112"/>
      <c r="E285" s="128"/>
      <c r="F285" s="112"/>
      <c r="G285" s="112"/>
      <c r="H285" s="128"/>
      <c r="I285" s="112"/>
      <c r="J285" s="112"/>
      <c r="K285" s="112"/>
      <c r="L285" s="128"/>
      <c r="M285" s="128"/>
      <c r="N285" s="112"/>
      <c r="O285" s="112"/>
      <c r="P285" s="112"/>
      <c r="Q285" s="112"/>
      <c r="R285" s="112"/>
      <c r="S285" s="112"/>
      <c r="T285" s="128"/>
      <c r="U285" s="128"/>
      <c r="V285" s="128"/>
      <c r="W285" s="128"/>
      <c r="X285" s="128"/>
      <c r="Y285" s="128"/>
      <c r="Z285" s="112"/>
      <c r="AA285" s="112"/>
      <c r="AB285" s="112"/>
      <c r="AC285" s="112"/>
      <c r="AD285" s="112"/>
      <c r="AE285" s="112"/>
      <c r="AF285" s="112"/>
      <c r="AG285" s="112"/>
      <c r="AH285" s="112"/>
      <c r="AI285" s="112"/>
      <c r="AJ285" s="112"/>
      <c r="AK285" s="112"/>
      <c r="AL285" s="112"/>
      <c r="AM285" s="112"/>
      <c r="AN285" s="112"/>
      <c r="AO285" s="112"/>
      <c r="AP285" s="112"/>
    </row>
    <row r="286" ht="15.75" customHeight="1">
      <c r="A286" s="112"/>
      <c r="B286" s="112"/>
      <c r="C286" s="112"/>
      <c r="D286" s="112"/>
      <c r="E286" s="128"/>
      <c r="F286" s="112"/>
      <c r="G286" s="112"/>
      <c r="H286" s="128"/>
      <c r="I286" s="112"/>
      <c r="J286" s="112"/>
      <c r="K286" s="112"/>
      <c r="L286" s="128"/>
      <c r="M286" s="128"/>
      <c r="N286" s="112"/>
      <c r="O286" s="112"/>
      <c r="P286" s="112"/>
      <c r="Q286" s="112"/>
      <c r="R286" s="112"/>
      <c r="S286" s="112"/>
      <c r="T286" s="128"/>
      <c r="U286" s="128"/>
      <c r="V286" s="128"/>
      <c r="W286" s="128"/>
      <c r="X286" s="128"/>
      <c r="Y286" s="128"/>
      <c r="Z286" s="112"/>
      <c r="AA286" s="112"/>
      <c r="AB286" s="112"/>
      <c r="AC286" s="112"/>
      <c r="AD286" s="112"/>
      <c r="AE286" s="112"/>
      <c r="AF286" s="112"/>
      <c r="AG286" s="112"/>
      <c r="AH286" s="112"/>
      <c r="AI286" s="112"/>
      <c r="AJ286" s="112"/>
      <c r="AK286" s="112"/>
      <c r="AL286" s="112"/>
      <c r="AM286" s="112"/>
      <c r="AN286" s="112"/>
      <c r="AO286" s="112"/>
      <c r="AP286" s="112"/>
    </row>
    <row r="287" ht="15.75" customHeight="1">
      <c r="A287" s="112"/>
      <c r="B287" s="112"/>
      <c r="C287" s="112"/>
      <c r="D287" s="112"/>
      <c r="E287" s="128"/>
      <c r="F287" s="112"/>
      <c r="G287" s="112"/>
      <c r="H287" s="128"/>
      <c r="I287" s="112"/>
      <c r="J287" s="112"/>
      <c r="K287" s="112"/>
      <c r="L287" s="128"/>
      <c r="M287" s="128"/>
      <c r="N287" s="112"/>
      <c r="O287" s="112"/>
      <c r="P287" s="112"/>
      <c r="Q287" s="112"/>
      <c r="R287" s="112"/>
      <c r="S287" s="112"/>
      <c r="T287" s="128"/>
      <c r="U287" s="128"/>
      <c r="V287" s="128"/>
      <c r="W287" s="128"/>
      <c r="X287" s="128"/>
      <c r="Y287" s="128"/>
      <c r="Z287" s="112"/>
      <c r="AA287" s="112"/>
      <c r="AB287" s="112"/>
      <c r="AC287" s="112"/>
      <c r="AD287" s="112"/>
      <c r="AE287" s="112"/>
      <c r="AF287" s="112"/>
      <c r="AG287" s="112"/>
      <c r="AH287" s="112"/>
      <c r="AI287" s="112"/>
      <c r="AJ287" s="112"/>
      <c r="AK287" s="112"/>
      <c r="AL287" s="112"/>
      <c r="AM287" s="112"/>
      <c r="AN287" s="112"/>
      <c r="AO287" s="112"/>
      <c r="AP287" s="112"/>
    </row>
    <row r="288" ht="15.75" customHeight="1">
      <c r="A288" s="112"/>
      <c r="B288" s="112"/>
      <c r="C288" s="112"/>
      <c r="D288" s="112"/>
      <c r="E288" s="128"/>
      <c r="F288" s="112"/>
      <c r="G288" s="112"/>
      <c r="H288" s="128"/>
      <c r="I288" s="112"/>
      <c r="J288" s="112"/>
      <c r="K288" s="112"/>
      <c r="L288" s="128"/>
      <c r="M288" s="128"/>
      <c r="N288" s="112"/>
      <c r="O288" s="112"/>
      <c r="P288" s="112"/>
      <c r="Q288" s="112"/>
      <c r="R288" s="112"/>
      <c r="S288" s="112"/>
      <c r="T288" s="128"/>
      <c r="U288" s="128"/>
      <c r="V288" s="128"/>
      <c r="W288" s="128"/>
      <c r="X288" s="128"/>
      <c r="Y288" s="128"/>
      <c r="Z288" s="112"/>
      <c r="AA288" s="112"/>
      <c r="AB288" s="112"/>
      <c r="AC288" s="112"/>
      <c r="AD288" s="112"/>
      <c r="AE288" s="112"/>
      <c r="AF288" s="112"/>
      <c r="AG288" s="112"/>
      <c r="AH288" s="112"/>
      <c r="AI288" s="112"/>
      <c r="AJ288" s="112"/>
      <c r="AK288" s="112"/>
      <c r="AL288" s="112"/>
      <c r="AM288" s="112"/>
      <c r="AN288" s="112"/>
      <c r="AO288" s="112"/>
      <c r="AP288" s="112"/>
    </row>
    <row r="289" ht="15.75" customHeight="1">
      <c r="A289" s="112"/>
      <c r="B289" s="112"/>
      <c r="C289" s="112"/>
      <c r="D289" s="112"/>
      <c r="E289" s="128"/>
      <c r="F289" s="112"/>
      <c r="G289" s="112"/>
      <c r="H289" s="128"/>
      <c r="I289" s="112"/>
      <c r="J289" s="112"/>
      <c r="K289" s="112"/>
      <c r="L289" s="128"/>
      <c r="M289" s="128"/>
      <c r="N289" s="112"/>
      <c r="O289" s="112"/>
      <c r="P289" s="112"/>
      <c r="Q289" s="112"/>
      <c r="R289" s="112"/>
      <c r="S289" s="112"/>
      <c r="T289" s="128"/>
      <c r="U289" s="128"/>
      <c r="V289" s="128"/>
      <c r="W289" s="128"/>
      <c r="X289" s="128"/>
      <c r="Y289" s="128"/>
      <c r="Z289" s="112"/>
      <c r="AA289" s="112"/>
      <c r="AB289" s="112"/>
      <c r="AC289" s="112"/>
      <c r="AD289" s="112"/>
      <c r="AE289" s="112"/>
      <c r="AF289" s="112"/>
      <c r="AG289" s="112"/>
      <c r="AH289" s="112"/>
      <c r="AI289" s="112"/>
      <c r="AJ289" s="112"/>
      <c r="AK289" s="112"/>
      <c r="AL289" s="112"/>
      <c r="AM289" s="112"/>
      <c r="AN289" s="112"/>
      <c r="AO289" s="112"/>
      <c r="AP289" s="112"/>
    </row>
    <row r="290" ht="15.75" customHeight="1">
      <c r="A290" s="112"/>
      <c r="B290" s="112"/>
      <c r="C290" s="112"/>
      <c r="D290" s="112"/>
      <c r="E290" s="128"/>
      <c r="F290" s="112"/>
      <c r="G290" s="112"/>
      <c r="H290" s="128"/>
      <c r="I290" s="112"/>
      <c r="J290" s="112"/>
      <c r="K290" s="112"/>
      <c r="L290" s="128"/>
      <c r="M290" s="128"/>
      <c r="N290" s="112"/>
      <c r="O290" s="112"/>
      <c r="P290" s="112"/>
      <c r="Q290" s="112"/>
      <c r="R290" s="112"/>
      <c r="S290" s="112"/>
      <c r="T290" s="128"/>
      <c r="U290" s="128"/>
      <c r="V290" s="128"/>
      <c r="W290" s="128"/>
      <c r="X290" s="128"/>
      <c r="Y290" s="128"/>
      <c r="Z290" s="112"/>
      <c r="AA290" s="112"/>
      <c r="AB290" s="112"/>
      <c r="AC290" s="112"/>
      <c r="AD290" s="112"/>
      <c r="AE290" s="112"/>
      <c r="AF290" s="112"/>
      <c r="AG290" s="112"/>
      <c r="AH290" s="112"/>
      <c r="AI290" s="112"/>
      <c r="AJ290" s="112"/>
      <c r="AK290" s="112"/>
      <c r="AL290" s="112"/>
      <c r="AM290" s="112"/>
      <c r="AN290" s="112"/>
      <c r="AO290" s="112"/>
      <c r="AP290" s="112"/>
    </row>
    <row r="291" ht="15.75" customHeight="1">
      <c r="A291" s="112"/>
      <c r="B291" s="112"/>
      <c r="C291" s="112"/>
      <c r="D291" s="112"/>
      <c r="E291" s="128"/>
      <c r="F291" s="112"/>
      <c r="G291" s="112"/>
      <c r="H291" s="128"/>
      <c r="I291" s="112"/>
      <c r="J291" s="112"/>
      <c r="K291" s="112"/>
      <c r="L291" s="128"/>
      <c r="M291" s="128"/>
      <c r="N291" s="112"/>
      <c r="O291" s="112"/>
      <c r="P291" s="112"/>
      <c r="Q291" s="112"/>
      <c r="R291" s="112"/>
      <c r="S291" s="112"/>
      <c r="T291" s="128"/>
      <c r="U291" s="128"/>
      <c r="V291" s="128"/>
      <c r="W291" s="128"/>
      <c r="X291" s="128"/>
      <c r="Y291" s="128"/>
      <c r="Z291" s="112"/>
      <c r="AA291" s="112"/>
      <c r="AB291" s="112"/>
      <c r="AC291" s="112"/>
      <c r="AD291" s="112"/>
      <c r="AE291" s="112"/>
      <c r="AF291" s="112"/>
      <c r="AG291" s="112"/>
      <c r="AH291" s="112"/>
      <c r="AI291" s="112"/>
      <c r="AJ291" s="112"/>
      <c r="AK291" s="112"/>
      <c r="AL291" s="112"/>
      <c r="AM291" s="112"/>
      <c r="AN291" s="112"/>
      <c r="AO291" s="112"/>
      <c r="AP291" s="112"/>
    </row>
    <row r="292" ht="15.75" customHeight="1">
      <c r="A292" s="112"/>
      <c r="B292" s="112"/>
      <c r="C292" s="112"/>
      <c r="D292" s="112"/>
      <c r="E292" s="128"/>
      <c r="F292" s="112"/>
      <c r="G292" s="112"/>
      <c r="H292" s="128"/>
      <c r="I292" s="112"/>
      <c r="J292" s="112"/>
      <c r="K292" s="112"/>
      <c r="L292" s="128"/>
      <c r="M292" s="128"/>
      <c r="N292" s="112"/>
      <c r="O292" s="112"/>
      <c r="P292" s="112"/>
      <c r="Q292" s="112"/>
      <c r="R292" s="112"/>
      <c r="S292" s="112"/>
      <c r="T292" s="128"/>
      <c r="U292" s="128"/>
      <c r="V292" s="128"/>
      <c r="W292" s="128"/>
      <c r="X292" s="128"/>
      <c r="Y292" s="128"/>
      <c r="Z292" s="112"/>
      <c r="AA292" s="112"/>
      <c r="AB292" s="112"/>
      <c r="AC292" s="112"/>
      <c r="AD292" s="112"/>
      <c r="AE292" s="112"/>
      <c r="AF292" s="112"/>
      <c r="AG292" s="112"/>
      <c r="AH292" s="112"/>
      <c r="AI292" s="112"/>
      <c r="AJ292" s="112"/>
      <c r="AK292" s="112"/>
      <c r="AL292" s="112"/>
      <c r="AM292" s="112"/>
      <c r="AN292" s="112"/>
      <c r="AO292" s="112"/>
      <c r="AP292" s="112"/>
    </row>
    <row r="293" ht="15.75" customHeight="1">
      <c r="A293" s="112"/>
      <c r="B293" s="112"/>
      <c r="C293" s="112"/>
      <c r="D293" s="112"/>
      <c r="E293" s="128"/>
      <c r="F293" s="112"/>
      <c r="G293" s="112"/>
      <c r="H293" s="128"/>
      <c r="I293" s="112"/>
      <c r="J293" s="112"/>
      <c r="K293" s="112"/>
      <c r="L293" s="128"/>
      <c r="M293" s="128"/>
      <c r="N293" s="112"/>
      <c r="O293" s="112"/>
      <c r="P293" s="112"/>
      <c r="Q293" s="112"/>
      <c r="R293" s="112"/>
      <c r="S293" s="112"/>
      <c r="T293" s="128"/>
      <c r="U293" s="128"/>
      <c r="V293" s="128"/>
      <c r="W293" s="128"/>
      <c r="X293" s="128"/>
      <c r="Y293" s="128"/>
      <c r="Z293" s="112"/>
      <c r="AA293" s="112"/>
      <c r="AB293" s="112"/>
      <c r="AC293" s="112"/>
      <c r="AD293" s="112"/>
      <c r="AE293" s="112"/>
      <c r="AF293" s="112"/>
      <c r="AG293" s="112"/>
      <c r="AH293" s="112"/>
      <c r="AI293" s="112"/>
      <c r="AJ293" s="112"/>
      <c r="AK293" s="112"/>
      <c r="AL293" s="112"/>
      <c r="AM293" s="112"/>
      <c r="AN293" s="112"/>
      <c r="AO293" s="112"/>
      <c r="AP293" s="112"/>
    </row>
    <row r="294" ht="15.75" customHeight="1">
      <c r="A294" s="112"/>
      <c r="B294" s="112"/>
      <c r="C294" s="112"/>
      <c r="D294" s="112"/>
      <c r="E294" s="128"/>
      <c r="F294" s="112"/>
      <c r="G294" s="112"/>
      <c r="H294" s="128"/>
      <c r="I294" s="112"/>
      <c r="J294" s="112"/>
      <c r="K294" s="112"/>
      <c r="L294" s="128"/>
      <c r="M294" s="128"/>
      <c r="N294" s="112"/>
      <c r="O294" s="112"/>
      <c r="P294" s="112"/>
      <c r="Q294" s="112"/>
      <c r="R294" s="112"/>
      <c r="S294" s="112"/>
      <c r="T294" s="128"/>
      <c r="U294" s="128"/>
      <c r="V294" s="128"/>
      <c r="W294" s="128"/>
      <c r="X294" s="128"/>
      <c r="Y294" s="128"/>
      <c r="Z294" s="112"/>
      <c r="AA294" s="112"/>
      <c r="AB294" s="112"/>
      <c r="AC294" s="112"/>
      <c r="AD294" s="112"/>
      <c r="AE294" s="112"/>
      <c r="AF294" s="112"/>
      <c r="AG294" s="112"/>
      <c r="AH294" s="112"/>
      <c r="AI294" s="112"/>
      <c r="AJ294" s="112"/>
      <c r="AK294" s="112"/>
      <c r="AL294" s="112"/>
      <c r="AM294" s="112"/>
      <c r="AN294" s="112"/>
      <c r="AO294" s="112"/>
      <c r="AP294" s="112"/>
    </row>
    <row r="295" ht="15.75" customHeight="1">
      <c r="A295" s="112"/>
      <c r="B295" s="112"/>
      <c r="C295" s="112"/>
      <c r="D295" s="112"/>
      <c r="E295" s="128"/>
      <c r="F295" s="112"/>
      <c r="G295" s="112"/>
      <c r="H295" s="128"/>
      <c r="I295" s="112"/>
      <c r="J295" s="112"/>
      <c r="K295" s="112"/>
      <c r="L295" s="128"/>
      <c r="M295" s="128"/>
      <c r="N295" s="112"/>
      <c r="O295" s="112"/>
      <c r="P295" s="112"/>
      <c r="Q295" s="112"/>
      <c r="R295" s="112"/>
      <c r="S295" s="112"/>
      <c r="T295" s="128"/>
      <c r="U295" s="128"/>
      <c r="V295" s="128"/>
      <c r="W295" s="128"/>
      <c r="X295" s="128"/>
      <c r="Y295" s="128"/>
      <c r="Z295" s="112"/>
      <c r="AA295" s="112"/>
      <c r="AB295" s="112"/>
      <c r="AC295" s="112"/>
      <c r="AD295" s="112"/>
      <c r="AE295" s="112"/>
      <c r="AF295" s="112"/>
      <c r="AG295" s="112"/>
      <c r="AH295" s="112"/>
      <c r="AI295" s="112"/>
      <c r="AJ295" s="112"/>
      <c r="AK295" s="112"/>
      <c r="AL295" s="112"/>
      <c r="AM295" s="112"/>
      <c r="AN295" s="112"/>
      <c r="AO295" s="112"/>
      <c r="AP295" s="112"/>
    </row>
    <row r="296" ht="15.75" customHeight="1">
      <c r="A296" s="112"/>
      <c r="B296" s="112"/>
      <c r="C296" s="112"/>
      <c r="D296" s="112"/>
      <c r="E296" s="128"/>
      <c r="F296" s="112"/>
      <c r="G296" s="112"/>
      <c r="H296" s="128"/>
      <c r="I296" s="112"/>
      <c r="J296" s="112"/>
      <c r="K296" s="112"/>
      <c r="L296" s="128"/>
      <c r="M296" s="128"/>
      <c r="N296" s="112"/>
      <c r="O296" s="112"/>
      <c r="P296" s="112"/>
      <c r="Q296" s="112"/>
      <c r="R296" s="112"/>
      <c r="S296" s="112"/>
      <c r="T296" s="128"/>
      <c r="U296" s="128"/>
      <c r="V296" s="128"/>
      <c r="W296" s="128"/>
      <c r="X296" s="128"/>
      <c r="Y296" s="128"/>
      <c r="Z296" s="112"/>
      <c r="AA296" s="112"/>
      <c r="AB296" s="112"/>
      <c r="AC296" s="112"/>
      <c r="AD296" s="112"/>
      <c r="AE296" s="112"/>
      <c r="AF296" s="112"/>
      <c r="AG296" s="112"/>
      <c r="AH296" s="112"/>
      <c r="AI296" s="112"/>
      <c r="AJ296" s="112"/>
      <c r="AK296" s="112"/>
      <c r="AL296" s="112"/>
      <c r="AM296" s="112"/>
      <c r="AN296" s="112"/>
      <c r="AO296" s="112"/>
      <c r="AP296" s="112"/>
    </row>
    <row r="297" ht="15.75" customHeight="1">
      <c r="A297" s="112"/>
      <c r="B297" s="112"/>
      <c r="C297" s="112"/>
      <c r="D297" s="112"/>
      <c r="E297" s="128"/>
      <c r="F297" s="112"/>
      <c r="G297" s="112"/>
      <c r="H297" s="128"/>
      <c r="I297" s="112"/>
      <c r="J297" s="112"/>
      <c r="K297" s="112"/>
      <c r="L297" s="128"/>
      <c r="M297" s="128"/>
      <c r="N297" s="112"/>
      <c r="O297" s="112"/>
      <c r="P297" s="112"/>
      <c r="Q297" s="112"/>
      <c r="R297" s="112"/>
      <c r="S297" s="112"/>
      <c r="T297" s="128"/>
      <c r="U297" s="128"/>
      <c r="V297" s="128"/>
      <c r="W297" s="128"/>
      <c r="X297" s="128"/>
      <c r="Y297" s="128"/>
      <c r="Z297" s="112"/>
      <c r="AA297" s="112"/>
      <c r="AB297" s="112"/>
      <c r="AC297" s="112"/>
      <c r="AD297" s="112"/>
      <c r="AE297" s="112"/>
      <c r="AF297" s="112"/>
      <c r="AG297" s="112"/>
      <c r="AH297" s="112"/>
      <c r="AI297" s="112"/>
      <c r="AJ297" s="112"/>
      <c r="AK297" s="112"/>
      <c r="AL297" s="112"/>
      <c r="AM297" s="112"/>
      <c r="AN297" s="112"/>
      <c r="AO297" s="112"/>
      <c r="AP297" s="112"/>
    </row>
    <row r="298" ht="15.75" customHeight="1">
      <c r="A298" s="112"/>
      <c r="B298" s="112"/>
      <c r="C298" s="112"/>
      <c r="D298" s="112"/>
      <c r="E298" s="128"/>
      <c r="F298" s="112"/>
      <c r="G298" s="112"/>
      <c r="H298" s="128"/>
      <c r="I298" s="112"/>
      <c r="J298" s="112"/>
      <c r="K298" s="112"/>
      <c r="L298" s="128"/>
      <c r="M298" s="128"/>
      <c r="N298" s="112"/>
      <c r="O298" s="112"/>
      <c r="P298" s="112"/>
      <c r="Q298" s="112"/>
      <c r="R298" s="112"/>
      <c r="S298" s="112"/>
      <c r="T298" s="128"/>
      <c r="U298" s="128"/>
      <c r="V298" s="128"/>
      <c r="W298" s="128"/>
      <c r="X298" s="128"/>
      <c r="Y298" s="128"/>
      <c r="Z298" s="112"/>
      <c r="AA298" s="112"/>
      <c r="AB298" s="112"/>
      <c r="AC298" s="112"/>
      <c r="AD298" s="112"/>
      <c r="AE298" s="112"/>
      <c r="AF298" s="112"/>
      <c r="AG298" s="112"/>
      <c r="AH298" s="112"/>
      <c r="AI298" s="112"/>
      <c r="AJ298" s="112"/>
      <c r="AK298" s="112"/>
      <c r="AL298" s="112"/>
      <c r="AM298" s="112"/>
      <c r="AN298" s="112"/>
      <c r="AO298" s="112"/>
      <c r="AP298" s="112"/>
    </row>
    <row r="299" ht="15.75" customHeight="1">
      <c r="A299" s="112"/>
      <c r="B299" s="112"/>
      <c r="C299" s="112"/>
      <c r="D299" s="112"/>
      <c r="E299" s="128"/>
      <c r="F299" s="112"/>
      <c r="G299" s="112"/>
      <c r="H299" s="128"/>
      <c r="I299" s="112"/>
      <c r="J299" s="112"/>
      <c r="K299" s="112"/>
      <c r="L299" s="128"/>
      <c r="M299" s="128"/>
      <c r="N299" s="112"/>
      <c r="O299" s="112"/>
      <c r="P299" s="112"/>
      <c r="Q299" s="112"/>
      <c r="R299" s="112"/>
      <c r="S299" s="112"/>
      <c r="T299" s="128"/>
      <c r="U299" s="128"/>
      <c r="V299" s="128"/>
      <c r="W299" s="128"/>
      <c r="X299" s="128"/>
      <c r="Y299" s="128"/>
      <c r="Z299" s="112"/>
      <c r="AA299" s="112"/>
      <c r="AB299" s="112"/>
      <c r="AC299" s="112"/>
      <c r="AD299" s="112"/>
      <c r="AE299" s="112"/>
      <c r="AF299" s="112"/>
      <c r="AG299" s="112"/>
      <c r="AH299" s="112"/>
      <c r="AI299" s="112"/>
      <c r="AJ299" s="112"/>
      <c r="AK299" s="112"/>
      <c r="AL299" s="112"/>
      <c r="AM299" s="112"/>
      <c r="AN299" s="112"/>
      <c r="AO299" s="112"/>
      <c r="AP299" s="112"/>
    </row>
    <row r="300" ht="15.75" customHeight="1">
      <c r="A300" s="112"/>
      <c r="B300" s="112"/>
      <c r="C300" s="112"/>
      <c r="D300" s="112"/>
      <c r="E300" s="128"/>
      <c r="F300" s="112"/>
      <c r="G300" s="112"/>
      <c r="H300" s="128"/>
      <c r="I300" s="112"/>
      <c r="J300" s="112"/>
      <c r="K300" s="112"/>
      <c r="L300" s="128"/>
      <c r="M300" s="128"/>
      <c r="N300" s="112"/>
      <c r="O300" s="112"/>
      <c r="P300" s="112"/>
      <c r="Q300" s="112"/>
      <c r="R300" s="112"/>
      <c r="S300" s="112"/>
      <c r="T300" s="128"/>
      <c r="U300" s="128"/>
      <c r="V300" s="128"/>
      <c r="W300" s="128"/>
      <c r="X300" s="128"/>
      <c r="Y300" s="128"/>
      <c r="Z300" s="112"/>
      <c r="AA300" s="112"/>
      <c r="AB300" s="112"/>
      <c r="AC300" s="112"/>
      <c r="AD300" s="112"/>
      <c r="AE300" s="112"/>
      <c r="AF300" s="112"/>
      <c r="AG300" s="112"/>
      <c r="AH300" s="112"/>
      <c r="AI300" s="112"/>
      <c r="AJ300" s="112"/>
      <c r="AK300" s="112"/>
      <c r="AL300" s="112"/>
      <c r="AM300" s="112"/>
      <c r="AN300" s="112"/>
      <c r="AO300" s="112"/>
      <c r="AP300" s="112"/>
    </row>
    <row r="301" ht="15.75" customHeight="1">
      <c r="A301" s="112"/>
      <c r="B301" s="112"/>
      <c r="C301" s="112"/>
      <c r="D301" s="112"/>
      <c r="E301" s="128"/>
      <c r="F301" s="112"/>
      <c r="G301" s="112"/>
      <c r="H301" s="128"/>
      <c r="I301" s="112"/>
      <c r="J301" s="112"/>
      <c r="K301" s="112"/>
      <c r="L301" s="128"/>
      <c r="M301" s="128"/>
      <c r="N301" s="112"/>
      <c r="O301" s="112"/>
      <c r="P301" s="112"/>
      <c r="Q301" s="112"/>
      <c r="R301" s="112"/>
      <c r="S301" s="112"/>
      <c r="T301" s="128"/>
      <c r="U301" s="128"/>
      <c r="V301" s="128"/>
      <c r="W301" s="128"/>
      <c r="X301" s="128"/>
      <c r="Y301" s="128"/>
      <c r="Z301" s="112"/>
      <c r="AA301" s="112"/>
      <c r="AB301" s="112"/>
      <c r="AC301" s="112"/>
      <c r="AD301" s="112"/>
      <c r="AE301" s="112"/>
      <c r="AF301" s="112"/>
      <c r="AG301" s="112"/>
      <c r="AH301" s="112"/>
      <c r="AI301" s="112"/>
      <c r="AJ301" s="112"/>
      <c r="AK301" s="112"/>
      <c r="AL301" s="112"/>
      <c r="AM301" s="112"/>
      <c r="AN301" s="112"/>
      <c r="AO301" s="112"/>
      <c r="AP301" s="112"/>
    </row>
    <row r="302" ht="15.75" customHeight="1">
      <c r="A302" s="112"/>
      <c r="B302" s="112"/>
      <c r="C302" s="112"/>
      <c r="D302" s="112"/>
      <c r="E302" s="128"/>
      <c r="F302" s="112"/>
      <c r="G302" s="112"/>
      <c r="H302" s="128"/>
      <c r="I302" s="112"/>
      <c r="J302" s="112"/>
      <c r="K302" s="112"/>
      <c r="L302" s="128"/>
      <c r="M302" s="128"/>
      <c r="N302" s="112"/>
      <c r="O302" s="112"/>
      <c r="P302" s="112"/>
      <c r="Q302" s="112"/>
      <c r="R302" s="112"/>
      <c r="S302" s="112"/>
      <c r="T302" s="128"/>
      <c r="U302" s="128"/>
      <c r="V302" s="128"/>
      <c r="W302" s="128"/>
      <c r="X302" s="128"/>
      <c r="Y302" s="128"/>
      <c r="Z302" s="112"/>
      <c r="AA302" s="112"/>
      <c r="AB302" s="112"/>
      <c r="AC302" s="112"/>
      <c r="AD302" s="112"/>
      <c r="AE302" s="112"/>
      <c r="AF302" s="112"/>
      <c r="AG302" s="112"/>
      <c r="AH302" s="112"/>
      <c r="AI302" s="112"/>
      <c r="AJ302" s="112"/>
      <c r="AK302" s="112"/>
      <c r="AL302" s="112"/>
      <c r="AM302" s="112"/>
      <c r="AN302" s="112"/>
      <c r="AO302" s="112"/>
      <c r="AP302" s="112"/>
    </row>
    <row r="303" ht="15.75" customHeight="1">
      <c r="A303" s="112"/>
      <c r="B303" s="112"/>
      <c r="C303" s="112"/>
      <c r="D303" s="112"/>
      <c r="E303" s="128"/>
      <c r="F303" s="112"/>
      <c r="G303" s="112"/>
      <c r="H303" s="128"/>
      <c r="I303" s="112"/>
      <c r="J303" s="112"/>
      <c r="K303" s="112"/>
      <c r="L303" s="128"/>
      <c r="M303" s="128"/>
      <c r="N303" s="112"/>
      <c r="O303" s="112"/>
      <c r="P303" s="112"/>
      <c r="Q303" s="112"/>
      <c r="R303" s="112"/>
      <c r="S303" s="112"/>
      <c r="T303" s="128"/>
      <c r="U303" s="128"/>
      <c r="V303" s="128"/>
      <c r="W303" s="128"/>
      <c r="X303" s="128"/>
      <c r="Y303" s="128"/>
      <c r="Z303" s="112"/>
      <c r="AA303" s="112"/>
      <c r="AB303" s="112"/>
      <c r="AC303" s="112"/>
      <c r="AD303" s="112"/>
      <c r="AE303" s="112"/>
      <c r="AF303" s="112"/>
      <c r="AG303" s="112"/>
      <c r="AH303" s="112"/>
      <c r="AI303" s="112"/>
      <c r="AJ303" s="112"/>
      <c r="AK303" s="112"/>
      <c r="AL303" s="112"/>
      <c r="AM303" s="112"/>
      <c r="AN303" s="112"/>
      <c r="AO303" s="112"/>
      <c r="AP303" s="112"/>
    </row>
    <row r="304" ht="15.75" customHeight="1">
      <c r="A304" s="112"/>
      <c r="B304" s="112"/>
      <c r="C304" s="112"/>
      <c r="D304" s="112"/>
      <c r="E304" s="128"/>
      <c r="F304" s="112"/>
      <c r="G304" s="112"/>
      <c r="H304" s="128"/>
      <c r="I304" s="112"/>
      <c r="J304" s="112"/>
      <c r="K304" s="112"/>
      <c r="L304" s="128"/>
      <c r="M304" s="128"/>
      <c r="N304" s="112"/>
      <c r="O304" s="112"/>
      <c r="P304" s="112"/>
      <c r="Q304" s="112"/>
      <c r="R304" s="112"/>
      <c r="S304" s="112"/>
      <c r="T304" s="128"/>
      <c r="U304" s="128"/>
      <c r="V304" s="128"/>
      <c r="W304" s="128"/>
      <c r="X304" s="128"/>
      <c r="Y304" s="128"/>
      <c r="Z304" s="112"/>
      <c r="AA304" s="112"/>
      <c r="AB304" s="112"/>
      <c r="AC304" s="112"/>
      <c r="AD304" s="112"/>
      <c r="AE304" s="112"/>
      <c r="AF304" s="112"/>
      <c r="AG304" s="112"/>
      <c r="AH304" s="112"/>
      <c r="AI304" s="112"/>
      <c r="AJ304" s="112"/>
      <c r="AK304" s="112"/>
      <c r="AL304" s="112"/>
      <c r="AM304" s="112"/>
      <c r="AN304" s="112"/>
      <c r="AO304" s="112"/>
      <c r="AP304" s="112"/>
    </row>
    <row r="305" ht="15.75" customHeight="1">
      <c r="A305" s="112"/>
      <c r="B305" s="112"/>
      <c r="C305" s="112"/>
      <c r="D305" s="112"/>
      <c r="E305" s="128"/>
      <c r="F305" s="112"/>
      <c r="G305" s="112"/>
      <c r="H305" s="128"/>
      <c r="I305" s="112"/>
      <c r="J305" s="112"/>
      <c r="K305" s="112"/>
      <c r="L305" s="128"/>
      <c r="M305" s="128"/>
      <c r="N305" s="112"/>
      <c r="O305" s="112"/>
      <c r="P305" s="112"/>
      <c r="Q305" s="112"/>
      <c r="R305" s="112"/>
      <c r="S305" s="112"/>
      <c r="T305" s="128"/>
      <c r="U305" s="128"/>
      <c r="V305" s="128"/>
      <c r="W305" s="128"/>
      <c r="X305" s="128"/>
      <c r="Y305" s="128"/>
      <c r="Z305" s="112"/>
      <c r="AA305" s="112"/>
      <c r="AB305" s="112"/>
      <c r="AC305" s="112"/>
      <c r="AD305" s="112"/>
      <c r="AE305" s="112"/>
      <c r="AF305" s="112"/>
      <c r="AG305" s="112"/>
      <c r="AH305" s="112"/>
      <c r="AI305" s="112"/>
      <c r="AJ305" s="112"/>
      <c r="AK305" s="112"/>
      <c r="AL305" s="112"/>
      <c r="AM305" s="112"/>
      <c r="AN305" s="112"/>
      <c r="AO305" s="112"/>
      <c r="AP305" s="112"/>
    </row>
    <row r="306" ht="15.75" customHeight="1">
      <c r="A306" s="112"/>
      <c r="B306" s="112"/>
      <c r="C306" s="112"/>
      <c r="D306" s="112"/>
      <c r="E306" s="128"/>
      <c r="F306" s="112"/>
      <c r="G306" s="112"/>
      <c r="H306" s="128"/>
      <c r="I306" s="112"/>
      <c r="J306" s="112"/>
      <c r="K306" s="112"/>
      <c r="L306" s="128"/>
      <c r="M306" s="128"/>
      <c r="N306" s="112"/>
      <c r="O306" s="112"/>
      <c r="P306" s="112"/>
      <c r="Q306" s="112"/>
      <c r="R306" s="112"/>
      <c r="S306" s="112"/>
      <c r="T306" s="128"/>
      <c r="U306" s="128"/>
      <c r="V306" s="128"/>
      <c r="W306" s="128"/>
      <c r="X306" s="128"/>
      <c r="Y306" s="128"/>
      <c r="Z306" s="112"/>
      <c r="AA306" s="112"/>
      <c r="AB306" s="112"/>
      <c r="AC306" s="112"/>
      <c r="AD306" s="112"/>
      <c r="AE306" s="112"/>
      <c r="AF306" s="112"/>
      <c r="AG306" s="112"/>
      <c r="AH306" s="112"/>
      <c r="AI306" s="112"/>
      <c r="AJ306" s="112"/>
      <c r="AK306" s="112"/>
      <c r="AL306" s="112"/>
      <c r="AM306" s="112"/>
      <c r="AN306" s="112"/>
      <c r="AO306" s="112"/>
      <c r="AP306" s="112"/>
    </row>
    <row r="307" ht="15.75" customHeight="1">
      <c r="A307" s="112"/>
      <c r="B307" s="112"/>
      <c r="C307" s="112"/>
      <c r="D307" s="112"/>
      <c r="E307" s="128"/>
      <c r="F307" s="112"/>
      <c r="G307" s="112"/>
      <c r="H307" s="128"/>
      <c r="I307" s="112"/>
      <c r="J307" s="112"/>
      <c r="K307" s="112"/>
      <c r="L307" s="128"/>
      <c r="M307" s="128"/>
      <c r="N307" s="112"/>
      <c r="O307" s="112"/>
      <c r="P307" s="112"/>
      <c r="Q307" s="112"/>
      <c r="R307" s="112"/>
      <c r="S307" s="112"/>
      <c r="T307" s="128"/>
      <c r="U307" s="128"/>
      <c r="V307" s="128"/>
      <c r="W307" s="128"/>
      <c r="X307" s="128"/>
      <c r="Y307" s="128"/>
      <c r="Z307" s="112"/>
      <c r="AA307" s="112"/>
      <c r="AB307" s="112"/>
      <c r="AC307" s="112"/>
      <c r="AD307" s="112"/>
      <c r="AE307" s="112"/>
      <c r="AF307" s="112"/>
      <c r="AG307" s="112"/>
      <c r="AH307" s="112"/>
      <c r="AI307" s="112"/>
      <c r="AJ307" s="112"/>
      <c r="AK307" s="112"/>
      <c r="AL307" s="112"/>
      <c r="AM307" s="112"/>
      <c r="AN307" s="112"/>
      <c r="AO307" s="112"/>
      <c r="AP307" s="112"/>
    </row>
    <row r="308" ht="15.75" customHeight="1">
      <c r="A308" s="112"/>
      <c r="B308" s="112"/>
      <c r="C308" s="112"/>
      <c r="D308" s="112"/>
      <c r="E308" s="128"/>
      <c r="F308" s="112"/>
      <c r="G308" s="112"/>
      <c r="H308" s="128"/>
      <c r="I308" s="112"/>
      <c r="J308" s="112"/>
      <c r="K308" s="112"/>
      <c r="L308" s="128"/>
      <c r="M308" s="128"/>
      <c r="N308" s="112"/>
      <c r="O308" s="112"/>
      <c r="P308" s="112"/>
      <c r="Q308" s="112"/>
      <c r="R308" s="112"/>
      <c r="S308" s="112"/>
      <c r="T308" s="128"/>
      <c r="U308" s="128"/>
      <c r="V308" s="128"/>
      <c r="W308" s="128"/>
      <c r="X308" s="128"/>
      <c r="Y308" s="128"/>
      <c r="Z308" s="112"/>
      <c r="AA308" s="112"/>
      <c r="AB308" s="112"/>
      <c r="AC308" s="112"/>
      <c r="AD308" s="112"/>
      <c r="AE308" s="112"/>
      <c r="AF308" s="112"/>
      <c r="AG308" s="112"/>
      <c r="AH308" s="112"/>
      <c r="AI308" s="112"/>
      <c r="AJ308" s="112"/>
      <c r="AK308" s="112"/>
      <c r="AL308" s="112"/>
      <c r="AM308" s="112"/>
      <c r="AN308" s="112"/>
      <c r="AO308" s="112"/>
      <c r="AP308" s="112"/>
    </row>
    <row r="309" ht="15.75" customHeight="1">
      <c r="A309" s="112"/>
      <c r="B309" s="112"/>
      <c r="C309" s="112"/>
      <c r="D309" s="112"/>
      <c r="E309" s="128"/>
      <c r="F309" s="112"/>
      <c r="G309" s="112"/>
      <c r="H309" s="128"/>
      <c r="I309" s="112"/>
      <c r="J309" s="112"/>
      <c r="K309" s="112"/>
      <c r="L309" s="128"/>
      <c r="M309" s="128"/>
      <c r="N309" s="112"/>
      <c r="O309" s="112"/>
      <c r="P309" s="112"/>
      <c r="Q309" s="112"/>
      <c r="R309" s="112"/>
      <c r="S309" s="112"/>
      <c r="T309" s="128"/>
      <c r="U309" s="128"/>
      <c r="V309" s="128"/>
      <c r="W309" s="128"/>
      <c r="X309" s="128"/>
      <c r="Y309" s="128"/>
      <c r="Z309" s="112"/>
      <c r="AA309" s="112"/>
      <c r="AB309" s="112"/>
      <c r="AC309" s="112"/>
      <c r="AD309" s="112"/>
      <c r="AE309" s="112"/>
      <c r="AF309" s="112"/>
      <c r="AG309" s="112"/>
      <c r="AH309" s="112"/>
      <c r="AI309" s="112"/>
      <c r="AJ309" s="112"/>
      <c r="AK309" s="112"/>
      <c r="AL309" s="112"/>
      <c r="AM309" s="112"/>
      <c r="AN309" s="112"/>
      <c r="AO309" s="112"/>
      <c r="AP309" s="112"/>
    </row>
    <row r="310" ht="15.75" customHeight="1">
      <c r="A310" s="112"/>
      <c r="B310" s="112"/>
      <c r="C310" s="112"/>
      <c r="D310" s="112"/>
      <c r="E310" s="128"/>
      <c r="F310" s="112"/>
      <c r="G310" s="112"/>
      <c r="H310" s="128"/>
      <c r="I310" s="112"/>
      <c r="J310" s="112"/>
      <c r="K310" s="112"/>
      <c r="L310" s="128"/>
      <c r="M310" s="128"/>
      <c r="N310" s="112"/>
      <c r="O310" s="112"/>
      <c r="P310" s="112"/>
      <c r="Q310" s="112"/>
      <c r="R310" s="112"/>
      <c r="S310" s="112"/>
      <c r="T310" s="128"/>
      <c r="U310" s="128"/>
      <c r="V310" s="128"/>
      <c r="W310" s="128"/>
      <c r="X310" s="128"/>
      <c r="Y310" s="128"/>
      <c r="Z310" s="112"/>
      <c r="AA310" s="112"/>
      <c r="AB310" s="112"/>
      <c r="AC310" s="112"/>
      <c r="AD310" s="112"/>
      <c r="AE310" s="112"/>
      <c r="AF310" s="112"/>
      <c r="AG310" s="112"/>
      <c r="AH310" s="112"/>
      <c r="AI310" s="112"/>
      <c r="AJ310" s="112"/>
      <c r="AK310" s="112"/>
      <c r="AL310" s="112"/>
      <c r="AM310" s="112"/>
      <c r="AN310" s="112"/>
      <c r="AO310" s="112"/>
      <c r="AP310" s="112"/>
    </row>
    <row r="311" ht="15.75" customHeight="1">
      <c r="A311" s="112"/>
      <c r="B311" s="112"/>
      <c r="C311" s="112"/>
      <c r="D311" s="112"/>
      <c r="E311" s="128"/>
      <c r="F311" s="112"/>
      <c r="G311" s="112"/>
      <c r="H311" s="128"/>
      <c r="I311" s="112"/>
      <c r="J311" s="112"/>
      <c r="K311" s="112"/>
      <c r="L311" s="128"/>
      <c r="M311" s="128"/>
      <c r="N311" s="112"/>
      <c r="O311" s="112"/>
      <c r="P311" s="112"/>
      <c r="Q311" s="112"/>
      <c r="R311" s="112"/>
      <c r="S311" s="112"/>
      <c r="T311" s="128"/>
      <c r="U311" s="128"/>
      <c r="V311" s="128"/>
      <c r="W311" s="128"/>
      <c r="X311" s="128"/>
      <c r="Y311" s="128"/>
      <c r="Z311" s="112"/>
      <c r="AA311" s="112"/>
      <c r="AB311" s="112"/>
      <c r="AC311" s="112"/>
      <c r="AD311" s="112"/>
      <c r="AE311" s="112"/>
      <c r="AF311" s="112"/>
      <c r="AG311" s="112"/>
      <c r="AH311" s="112"/>
      <c r="AI311" s="112"/>
      <c r="AJ311" s="112"/>
      <c r="AK311" s="112"/>
      <c r="AL311" s="112"/>
      <c r="AM311" s="112"/>
      <c r="AN311" s="112"/>
      <c r="AO311" s="112"/>
      <c r="AP311" s="112"/>
    </row>
    <row r="312" ht="15.75" customHeight="1">
      <c r="A312" s="112"/>
      <c r="B312" s="112"/>
      <c r="C312" s="112"/>
      <c r="D312" s="112"/>
      <c r="E312" s="128"/>
      <c r="F312" s="112"/>
      <c r="G312" s="112"/>
      <c r="H312" s="128"/>
      <c r="I312" s="112"/>
      <c r="J312" s="112"/>
      <c r="K312" s="112"/>
      <c r="L312" s="128"/>
      <c r="M312" s="128"/>
      <c r="N312" s="112"/>
      <c r="O312" s="112"/>
      <c r="P312" s="112"/>
      <c r="Q312" s="112"/>
      <c r="R312" s="112"/>
      <c r="S312" s="112"/>
      <c r="T312" s="128"/>
      <c r="U312" s="128"/>
      <c r="V312" s="128"/>
      <c r="W312" s="128"/>
      <c r="X312" s="128"/>
      <c r="Y312" s="128"/>
      <c r="Z312" s="112"/>
      <c r="AA312" s="112"/>
      <c r="AB312" s="112"/>
      <c r="AC312" s="112"/>
      <c r="AD312" s="112"/>
      <c r="AE312" s="112"/>
      <c r="AF312" s="112"/>
      <c r="AG312" s="112"/>
      <c r="AH312" s="112"/>
      <c r="AI312" s="112"/>
      <c r="AJ312" s="112"/>
      <c r="AK312" s="112"/>
      <c r="AL312" s="112"/>
      <c r="AM312" s="112"/>
      <c r="AN312" s="112"/>
      <c r="AO312" s="112"/>
      <c r="AP312" s="112"/>
    </row>
    <row r="313" ht="15.75" customHeight="1">
      <c r="A313" s="112"/>
      <c r="B313" s="112"/>
      <c r="C313" s="112"/>
      <c r="D313" s="112"/>
      <c r="E313" s="128"/>
      <c r="F313" s="112"/>
      <c r="G313" s="112"/>
      <c r="H313" s="128"/>
      <c r="I313" s="112"/>
      <c r="J313" s="112"/>
      <c r="K313" s="112"/>
      <c r="L313" s="128"/>
      <c r="M313" s="128"/>
      <c r="N313" s="112"/>
      <c r="O313" s="112"/>
      <c r="P313" s="112"/>
      <c r="Q313" s="112"/>
      <c r="R313" s="112"/>
      <c r="S313" s="112"/>
      <c r="T313" s="128"/>
      <c r="U313" s="128"/>
      <c r="V313" s="128"/>
      <c r="W313" s="128"/>
      <c r="X313" s="128"/>
      <c r="Y313" s="128"/>
      <c r="Z313" s="112"/>
      <c r="AA313" s="112"/>
      <c r="AB313" s="112"/>
      <c r="AC313" s="112"/>
      <c r="AD313" s="112"/>
      <c r="AE313" s="112"/>
      <c r="AF313" s="112"/>
      <c r="AG313" s="112"/>
      <c r="AH313" s="112"/>
      <c r="AI313" s="112"/>
      <c r="AJ313" s="112"/>
      <c r="AK313" s="112"/>
      <c r="AL313" s="112"/>
      <c r="AM313" s="112"/>
      <c r="AN313" s="112"/>
      <c r="AO313" s="112"/>
      <c r="AP313" s="112"/>
    </row>
    <row r="314" ht="15.75" customHeight="1">
      <c r="A314" s="112"/>
      <c r="B314" s="112"/>
      <c r="C314" s="112"/>
      <c r="D314" s="112"/>
      <c r="E314" s="128"/>
      <c r="F314" s="112"/>
      <c r="G314" s="112"/>
      <c r="H314" s="128"/>
      <c r="I314" s="112"/>
      <c r="J314" s="112"/>
      <c r="K314" s="112"/>
      <c r="L314" s="128"/>
      <c r="M314" s="128"/>
      <c r="N314" s="112"/>
      <c r="O314" s="112"/>
      <c r="P314" s="112"/>
      <c r="Q314" s="112"/>
      <c r="R314" s="112"/>
      <c r="S314" s="112"/>
      <c r="T314" s="128"/>
      <c r="U314" s="128"/>
      <c r="V314" s="128"/>
      <c r="W314" s="128"/>
      <c r="X314" s="128"/>
      <c r="Y314" s="128"/>
      <c r="Z314" s="112"/>
      <c r="AA314" s="112"/>
      <c r="AB314" s="112"/>
      <c r="AC314" s="112"/>
      <c r="AD314" s="112"/>
      <c r="AE314" s="112"/>
      <c r="AF314" s="112"/>
      <c r="AG314" s="112"/>
      <c r="AH314" s="112"/>
      <c r="AI314" s="112"/>
      <c r="AJ314" s="112"/>
      <c r="AK314" s="112"/>
      <c r="AL314" s="112"/>
      <c r="AM314" s="112"/>
      <c r="AN314" s="112"/>
      <c r="AO314" s="112"/>
      <c r="AP314" s="112"/>
    </row>
    <row r="315" ht="15.75" customHeight="1">
      <c r="A315" s="112"/>
      <c r="B315" s="112"/>
      <c r="C315" s="112"/>
      <c r="D315" s="112"/>
      <c r="E315" s="128"/>
      <c r="F315" s="112"/>
      <c r="G315" s="112"/>
      <c r="H315" s="128"/>
      <c r="I315" s="112"/>
      <c r="J315" s="112"/>
      <c r="K315" s="112"/>
      <c r="L315" s="128"/>
      <c r="M315" s="128"/>
      <c r="N315" s="112"/>
      <c r="O315" s="112"/>
      <c r="P315" s="112"/>
      <c r="Q315" s="112"/>
      <c r="R315" s="112"/>
      <c r="S315" s="112"/>
      <c r="T315" s="128"/>
      <c r="U315" s="128"/>
      <c r="V315" s="128"/>
      <c r="W315" s="128"/>
      <c r="X315" s="128"/>
      <c r="Y315" s="128"/>
      <c r="Z315" s="112"/>
      <c r="AA315" s="112"/>
      <c r="AB315" s="112"/>
      <c r="AC315" s="112"/>
      <c r="AD315" s="112"/>
      <c r="AE315" s="112"/>
      <c r="AF315" s="112"/>
      <c r="AG315" s="112"/>
      <c r="AH315" s="112"/>
      <c r="AI315" s="112"/>
      <c r="AJ315" s="112"/>
      <c r="AK315" s="112"/>
      <c r="AL315" s="112"/>
      <c r="AM315" s="112"/>
      <c r="AN315" s="112"/>
      <c r="AO315" s="112"/>
      <c r="AP315" s="112"/>
    </row>
    <row r="316" ht="15.75" customHeight="1">
      <c r="A316" s="112"/>
      <c r="B316" s="112"/>
      <c r="C316" s="112"/>
      <c r="D316" s="112"/>
      <c r="E316" s="128"/>
      <c r="F316" s="112"/>
      <c r="G316" s="112"/>
      <c r="H316" s="128"/>
      <c r="I316" s="112"/>
      <c r="J316" s="112"/>
      <c r="K316" s="112"/>
      <c r="L316" s="128"/>
      <c r="M316" s="128"/>
      <c r="N316" s="112"/>
      <c r="O316" s="112"/>
      <c r="P316" s="112"/>
      <c r="Q316" s="112"/>
      <c r="R316" s="112"/>
      <c r="S316" s="112"/>
      <c r="T316" s="128"/>
      <c r="U316" s="128"/>
      <c r="V316" s="128"/>
      <c r="W316" s="128"/>
      <c r="X316" s="128"/>
      <c r="Y316" s="128"/>
      <c r="Z316" s="112"/>
      <c r="AA316" s="112"/>
      <c r="AB316" s="112"/>
      <c r="AC316" s="112"/>
      <c r="AD316" s="112"/>
      <c r="AE316" s="112"/>
      <c r="AF316" s="112"/>
      <c r="AG316" s="112"/>
      <c r="AH316" s="112"/>
      <c r="AI316" s="112"/>
      <c r="AJ316" s="112"/>
      <c r="AK316" s="112"/>
      <c r="AL316" s="112"/>
      <c r="AM316" s="112"/>
      <c r="AN316" s="112"/>
      <c r="AO316" s="112"/>
      <c r="AP316" s="112"/>
    </row>
    <row r="317" ht="15.75" customHeight="1">
      <c r="A317" s="112"/>
      <c r="B317" s="112"/>
      <c r="C317" s="112"/>
      <c r="D317" s="112"/>
      <c r="E317" s="128"/>
      <c r="F317" s="112"/>
      <c r="G317" s="112"/>
      <c r="H317" s="128"/>
      <c r="I317" s="112"/>
      <c r="J317" s="112"/>
      <c r="K317" s="112"/>
      <c r="L317" s="128"/>
      <c r="M317" s="128"/>
      <c r="N317" s="112"/>
      <c r="O317" s="112"/>
      <c r="P317" s="112"/>
      <c r="Q317" s="112"/>
      <c r="R317" s="112"/>
      <c r="S317" s="112"/>
      <c r="T317" s="128"/>
      <c r="U317" s="128"/>
      <c r="V317" s="128"/>
      <c r="W317" s="128"/>
      <c r="X317" s="128"/>
      <c r="Y317" s="128"/>
      <c r="Z317" s="112"/>
      <c r="AA317" s="112"/>
      <c r="AB317" s="112"/>
      <c r="AC317" s="112"/>
      <c r="AD317" s="112"/>
      <c r="AE317" s="112"/>
      <c r="AF317" s="112"/>
      <c r="AG317" s="112"/>
      <c r="AH317" s="112"/>
      <c r="AI317" s="112"/>
      <c r="AJ317" s="112"/>
      <c r="AK317" s="112"/>
      <c r="AL317" s="112"/>
      <c r="AM317" s="112"/>
      <c r="AN317" s="112"/>
      <c r="AO317" s="112"/>
      <c r="AP317" s="112"/>
    </row>
    <row r="318" ht="15.75" customHeight="1">
      <c r="A318" s="112"/>
      <c r="B318" s="112"/>
      <c r="C318" s="112"/>
      <c r="D318" s="112"/>
      <c r="E318" s="128"/>
      <c r="F318" s="112"/>
      <c r="G318" s="112"/>
      <c r="H318" s="128"/>
      <c r="I318" s="112"/>
      <c r="J318" s="112"/>
      <c r="K318" s="112"/>
      <c r="L318" s="128"/>
      <c r="M318" s="128"/>
      <c r="N318" s="112"/>
      <c r="O318" s="112"/>
      <c r="P318" s="112"/>
      <c r="Q318" s="112"/>
      <c r="R318" s="112"/>
      <c r="S318" s="112"/>
      <c r="T318" s="128"/>
      <c r="U318" s="128"/>
      <c r="V318" s="128"/>
      <c r="W318" s="128"/>
      <c r="X318" s="128"/>
      <c r="Y318" s="128"/>
      <c r="Z318" s="112"/>
      <c r="AA318" s="112"/>
      <c r="AB318" s="112"/>
      <c r="AC318" s="112"/>
      <c r="AD318" s="112"/>
      <c r="AE318" s="112"/>
      <c r="AF318" s="112"/>
      <c r="AG318" s="112"/>
      <c r="AH318" s="112"/>
      <c r="AI318" s="112"/>
      <c r="AJ318" s="112"/>
      <c r="AK318" s="112"/>
      <c r="AL318" s="112"/>
      <c r="AM318" s="112"/>
      <c r="AN318" s="112"/>
      <c r="AO318" s="112"/>
      <c r="AP318" s="112"/>
    </row>
    <row r="319" ht="15.75" customHeight="1">
      <c r="A319" s="112"/>
      <c r="B319" s="112"/>
      <c r="C319" s="112"/>
      <c r="D319" s="112"/>
      <c r="E319" s="128"/>
      <c r="F319" s="112"/>
      <c r="G319" s="112"/>
      <c r="H319" s="128"/>
      <c r="I319" s="112"/>
      <c r="J319" s="112"/>
      <c r="K319" s="112"/>
      <c r="L319" s="128"/>
      <c r="M319" s="128"/>
      <c r="N319" s="112"/>
      <c r="O319" s="112"/>
      <c r="P319" s="112"/>
      <c r="Q319" s="112"/>
      <c r="R319" s="112"/>
      <c r="S319" s="112"/>
      <c r="T319" s="128"/>
      <c r="U319" s="128"/>
      <c r="V319" s="128"/>
      <c r="W319" s="128"/>
      <c r="X319" s="128"/>
      <c r="Y319" s="128"/>
      <c r="Z319" s="112"/>
      <c r="AA319" s="112"/>
      <c r="AB319" s="112"/>
      <c r="AC319" s="112"/>
      <c r="AD319" s="112"/>
      <c r="AE319" s="112"/>
      <c r="AF319" s="112"/>
      <c r="AG319" s="112"/>
      <c r="AH319" s="112"/>
      <c r="AI319" s="112"/>
      <c r="AJ319" s="112"/>
      <c r="AK319" s="112"/>
      <c r="AL319" s="112"/>
      <c r="AM319" s="112"/>
      <c r="AN319" s="112"/>
      <c r="AO319" s="112"/>
      <c r="AP319" s="112"/>
    </row>
    <row r="320" ht="15.75" customHeight="1">
      <c r="A320" s="112"/>
      <c r="B320" s="112"/>
      <c r="C320" s="112"/>
      <c r="D320" s="112"/>
      <c r="E320" s="128"/>
      <c r="F320" s="112"/>
      <c r="G320" s="112"/>
      <c r="H320" s="128"/>
      <c r="I320" s="112"/>
      <c r="J320" s="112"/>
      <c r="K320" s="112"/>
      <c r="L320" s="128"/>
      <c r="M320" s="128"/>
      <c r="N320" s="112"/>
      <c r="O320" s="112"/>
      <c r="P320" s="112"/>
      <c r="Q320" s="112"/>
      <c r="R320" s="112"/>
      <c r="S320" s="112"/>
      <c r="T320" s="128"/>
      <c r="U320" s="128"/>
      <c r="V320" s="128"/>
      <c r="W320" s="128"/>
      <c r="X320" s="128"/>
      <c r="Y320" s="128"/>
      <c r="Z320" s="112"/>
      <c r="AA320" s="112"/>
      <c r="AB320" s="112"/>
      <c r="AC320" s="112"/>
      <c r="AD320" s="112"/>
      <c r="AE320" s="112"/>
      <c r="AF320" s="112"/>
      <c r="AG320" s="112"/>
      <c r="AH320" s="112"/>
      <c r="AI320" s="112"/>
      <c r="AJ320" s="112"/>
      <c r="AK320" s="112"/>
      <c r="AL320" s="112"/>
      <c r="AM320" s="112"/>
      <c r="AN320" s="112"/>
      <c r="AO320" s="112"/>
      <c r="AP320" s="112"/>
    </row>
    <row r="321" ht="15.75" customHeight="1">
      <c r="A321" s="112"/>
      <c r="B321" s="112"/>
      <c r="C321" s="112"/>
      <c r="D321" s="112"/>
      <c r="E321" s="128"/>
      <c r="F321" s="112"/>
      <c r="G321" s="112"/>
      <c r="H321" s="128"/>
      <c r="I321" s="112"/>
      <c r="J321" s="112"/>
      <c r="K321" s="112"/>
      <c r="L321" s="128"/>
      <c r="M321" s="128"/>
      <c r="N321" s="112"/>
      <c r="O321" s="112"/>
      <c r="P321" s="112"/>
      <c r="Q321" s="112"/>
      <c r="R321" s="112"/>
      <c r="S321" s="112"/>
      <c r="T321" s="128"/>
      <c r="U321" s="128"/>
      <c r="V321" s="128"/>
      <c r="W321" s="128"/>
      <c r="X321" s="128"/>
      <c r="Y321" s="128"/>
      <c r="Z321" s="112"/>
      <c r="AA321" s="112"/>
      <c r="AB321" s="112"/>
      <c r="AC321" s="112"/>
      <c r="AD321" s="112"/>
      <c r="AE321" s="112"/>
      <c r="AF321" s="112"/>
      <c r="AG321" s="112"/>
      <c r="AH321" s="112"/>
      <c r="AI321" s="112"/>
      <c r="AJ321" s="112"/>
      <c r="AK321" s="112"/>
      <c r="AL321" s="112"/>
      <c r="AM321" s="112"/>
      <c r="AN321" s="112"/>
      <c r="AO321" s="112"/>
      <c r="AP321" s="112"/>
    </row>
    <row r="322" ht="15.75" customHeight="1">
      <c r="A322" s="112"/>
      <c r="B322" s="112"/>
      <c r="C322" s="112"/>
      <c r="D322" s="112"/>
      <c r="E322" s="128"/>
      <c r="F322" s="112"/>
      <c r="G322" s="112"/>
      <c r="H322" s="128"/>
      <c r="I322" s="112"/>
      <c r="J322" s="112"/>
      <c r="K322" s="112"/>
      <c r="L322" s="128"/>
      <c r="M322" s="128"/>
      <c r="N322" s="112"/>
      <c r="O322" s="112"/>
      <c r="P322" s="112"/>
      <c r="Q322" s="112"/>
      <c r="R322" s="112"/>
      <c r="S322" s="112"/>
      <c r="T322" s="128"/>
      <c r="U322" s="128"/>
      <c r="V322" s="128"/>
      <c r="W322" s="128"/>
      <c r="X322" s="128"/>
      <c r="Y322" s="128"/>
      <c r="Z322" s="112"/>
      <c r="AA322" s="112"/>
      <c r="AB322" s="112"/>
      <c r="AC322" s="112"/>
      <c r="AD322" s="112"/>
      <c r="AE322" s="112"/>
      <c r="AF322" s="112"/>
      <c r="AG322" s="112"/>
      <c r="AH322" s="112"/>
      <c r="AI322" s="112"/>
      <c r="AJ322" s="112"/>
      <c r="AK322" s="112"/>
      <c r="AL322" s="112"/>
      <c r="AM322" s="112"/>
      <c r="AN322" s="112"/>
      <c r="AO322" s="112"/>
      <c r="AP322" s="112"/>
    </row>
    <row r="323" ht="15.75" customHeight="1">
      <c r="A323" s="112"/>
      <c r="B323" s="112"/>
      <c r="C323" s="112"/>
      <c r="D323" s="112"/>
      <c r="E323" s="128"/>
      <c r="F323" s="112"/>
      <c r="G323" s="112"/>
      <c r="H323" s="128"/>
      <c r="I323" s="112"/>
      <c r="J323" s="112"/>
      <c r="K323" s="112"/>
      <c r="L323" s="128"/>
      <c r="M323" s="128"/>
      <c r="N323" s="112"/>
      <c r="O323" s="112"/>
      <c r="P323" s="112"/>
      <c r="Q323" s="112"/>
      <c r="R323" s="112"/>
      <c r="S323" s="112"/>
      <c r="T323" s="128"/>
      <c r="U323" s="128"/>
      <c r="V323" s="128"/>
      <c r="W323" s="128"/>
      <c r="X323" s="128"/>
      <c r="Y323" s="128"/>
      <c r="Z323" s="112"/>
      <c r="AA323" s="112"/>
      <c r="AB323" s="112"/>
      <c r="AC323" s="112"/>
      <c r="AD323" s="112"/>
      <c r="AE323" s="112"/>
      <c r="AF323" s="112"/>
      <c r="AG323" s="112"/>
      <c r="AH323" s="112"/>
      <c r="AI323" s="112"/>
      <c r="AJ323" s="112"/>
      <c r="AK323" s="112"/>
      <c r="AL323" s="112"/>
      <c r="AM323" s="112"/>
      <c r="AN323" s="112"/>
      <c r="AO323" s="112"/>
      <c r="AP323" s="112"/>
    </row>
    <row r="324" ht="15.75" customHeight="1">
      <c r="A324" s="112"/>
      <c r="B324" s="112"/>
      <c r="C324" s="112"/>
      <c r="D324" s="112"/>
      <c r="E324" s="128"/>
      <c r="F324" s="112"/>
      <c r="G324" s="112"/>
      <c r="H324" s="128"/>
      <c r="I324" s="112"/>
      <c r="J324" s="112"/>
      <c r="K324" s="112"/>
      <c r="L324" s="128"/>
      <c r="M324" s="128"/>
      <c r="N324" s="112"/>
      <c r="O324" s="112"/>
      <c r="P324" s="112"/>
      <c r="Q324" s="112"/>
      <c r="R324" s="112"/>
      <c r="S324" s="112"/>
      <c r="T324" s="128"/>
      <c r="U324" s="128"/>
      <c r="V324" s="128"/>
      <c r="W324" s="128"/>
      <c r="X324" s="128"/>
      <c r="Y324" s="128"/>
      <c r="Z324" s="112"/>
      <c r="AA324" s="112"/>
      <c r="AB324" s="112"/>
      <c r="AC324" s="112"/>
      <c r="AD324" s="112"/>
      <c r="AE324" s="112"/>
      <c r="AF324" s="112"/>
      <c r="AG324" s="112"/>
      <c r="AH324" s="112"/>
      <c r="AI324" s="112"/>
      <c r="AJ324" s="112"/>
      <c r="AK324" s="112"/>
      <c r="AL324" s="112"/>
      <c r="AM324" s="112"/>
      <c r="AN324" s="112"/>
      <c r="AO324" s="112"/>
      <c r="AP324" s="112"/>
    </row>
    <row r="325" ht="15.75" customHeight="1">
      <c r="A325" s="112"/>
      <c r="B325" s="112"/>
      <c r="C325" s="112"/>
      <c r="D325" s="112"/>
      <c r="E325" s="128"/>
      <c r="F325" s="112"/>
      <c r="G325" s="112"/>
      <c r="H325" s="128"/>
      <c r="I325" s="112"/>
      <c r="J325" s="112"/>
      <c r="K325" s="112"/>
      <c r="L325" s="128"/>
      <c r="M325" s="128"/>
      <c r="N325" s="112"/>
      <c r="O325" s="112"/>
      <c r="P325" s="112"/>
      <c r="Q325" s="112"/>
      <c r="R325" s="112"/>
      <c r="S325" s="112"/>
      <c r="T325" s="128"/>
      <c r="U325" s="128"/>
      <c r="V325" s="128"/>
      <c r="W325" s="128"/>
      <c r="X325" s="128"/>
      <c r="Y325" s="128"/>
      <c r="Z325" s="112"/>
      <c r="AA325" s="112"/>
      <c r="AB325" s="112"/>
      <c r="AC325" s="112"/>
      <c r="AD325" s="112"/>
      <c r="AE325" s="112"/>
      <c r="AF325" s="112"/>
      <c r="AG325" s="112"/>
      <c r="AH325" s="112"/>
      <c r="AI325" s="112"/>
      <c r="AJ325" s="112"/>
      <c r="AK325" s="112"/>
      <c r="AL325" s="112"/>
      <c r="AM325" s="112"/>
      <c r="AN325" s="112"/>
      <c r="AO325" s="112"/>
      <c r="AP325" s="112"/>
    </row>
    <row r="326" ht="15.75" customHeight="1">
      <c r="A326" s="112"/>
      <c r="B326" s="112"/>
      <c r="C326" s="112"/>
      <c r="D326" s="112"/>
      <c r="E326" s="128"/>
      <c r="F326" s="112"/>
      <c r="G326" s="112"/>
      <c r="H326" s="128"/>
      <c r="I326" s="112"/>
      <c r="J326" s="112"/>
      <c r="K326" s="112"/>
      <c r="L326" s="128"/>
      <c r="M326" s="128"/>
      <c r="N326" s="112"/>
      <c r="O326" s="112"/>
      <c r="P326" s="112"/>
      <c r="Q326" s="112"/>
      <c r="R326" s="112"/>
      <c r="S326" s="112"/>
      <c r="T326" s="128"/>
      <c r="U326" s="128"/>
      <c r="V326" s="128"/>
      <c r="W326" s="128"/>
      <c r="X326" s="128"/>
      <c r="Y326" s="128"/>
      <c r="Z326" s="112"/>
      <c r="AA326" s="112"/>
      <c r="AB326" s="112"/>
      <c r="AC326" s="112"/>
      <c r="AD326" s="112"/>
      <c r="AE326" s="112"/>
      <c r="AF326" s="112"/>
      <c r="AG326" s="112"/>
      <c r="AH326" s="112"/>
      <c r="AI326" s="112"/>
      <c r="AJ326" s="112"/>
      <c r="AK326" s="112"/>
      <c r="AL326" s="112"/>
      <c r="AM326" s="112"/>
      <c r="AN326" s="112"/>
      <c r="AO326" s="112"/>
      <c r="AP326" s="112"/>
    </row>
    <row r="327" ht="15.75" customHeight="1">
      <c r="A327" s="112"/>
      <c r="B327" s="112"/>
      <c r="C327" s="112"/>
      <c r="D327" s="112"/>
      <c r="E327" s="128"/>
      <c r="F327" s="112"/>
      <c r="G327" s="112"/>
      <c r="H327" s="128"/>
      <c r="I327" s="112"/>
      <c r="J327" s="112"/>
      <c r="K327" s="112"/>
      <c r="L327" s="128"/>
      <c r="M327" s="128"/>
      <c r="N327" s="112"/>
      <c r="O327" s="112"/>
      <c r="P327" s="112"/>
      <c r="Q327" s="112"/>
      <c r="R327" s="112"/>
      <c r="S327" s="112"/>
      <c r="T327" s="128"/>
      <c r="U327" s="128"/>
      <c r="V327" s="128"/>
      <c r="W327" s="128"/>
      <c r="X327" s="128"/>
      <c r="Y327" s="128"/>
      <c r="Z327" s="112"/>
      <c r="AA327" s="112"/>
      <c r="AB327" s="112"/>
      <c r="AC327" s="112"/>
      <c r="AD327" s="112"/>
      <c r="AE327" s="112"/>
      <c r="AF327" s="112"/>
      <c r="AG327" s="112"/>
      <c r="AH327" s="112"/>
      <c r="AI327" s="112"/>
      <c r="AJ327" s="112"/>
      <c r="AK327" s="112"/>
      <c r="AL327" s="112"/>
      <c r="AM327" s="112"/>
      <c r="AN327" s="112"/>
      <c r="AO327" s="112"/>
      <c r="AP327" s="112"/>
    </row>
    <row r="328" ht="15.75" customHeight="1">
      <c r="A328" s="112"/>
      <c r="B328" s="112"/>
      <c r="C328" s="112"/>
      <c r="D328" s="112"/>
      <c r="E328" s="128"/>
      <c r="F328" s="112"/>
      <c r="G328" s="112"/>
      <c r="H328" s="128"/>
      <c r="I328" s="112"/>
      <c r="J328" s="112"/>
      <c r="K328" s="112"/>
      <c r="L328" s="128"/>
      <c r="M328" s="128"/>
      <c r="N328" s="112"/>
      <c r="O328" s="112"/>
      <c r="P328" s="112"/>
      <c r="Q328" s="112"/>
      <c r="R328" s="112"/>
      <c r="S328" s="112"/>
      <c r="T328" s="128"/>
      <c r="U328" s="128"/>
      <c r="V328" s="128"/>
      <c r="W328" s="128"/>
      <c r="X328" s="128"/>
      <c r="Y328" s="128"/>
      <c r="Z328" s="112"/>
      <c r="AA328" s="112"/>
      <c r="AB328" s="112"/>
      <c r="AC328" s="112"/>
      <c r="AD328" s="112"/>
      <c r="AE328" s="112"/>
      <c r="AF328" s="112"/>
      <c r="AG328" s="112"/>
      <c r="AH328" s="112"/>
      <c r="AI328" s="112"/>
      <c r="AJ328" s="112"/>
      <c r="AK328" s="112"/>
      <c r="AL328" s="112"/>
      <c r="AM328" s="112"/>
      <c r="AN328" s="112"/>
      <c r="AO328" s="112"/>
      <c r="AP328" s="112"/>
    </row>
    <row r="329" ht="15.75" customHeight="1">
      <c r="A329" s="112"/>
      <c r="B329" s="112"/>
      <c r="C329" s="112"/>
      <c r="D329" s="112"/>
      <c r="E329" s="128"/>
      <c r="F329" s="112"/>
      <c r="G329" s="112"/>
      <c r="H329" s="128"/>
      <c r="I329" s="112"/>
      <c r="J329" s="112"/>
      <c r="K329" s="112"/>
      <c r="L329" s="128"/>
      <c r="M329" s="128"/>
      <c r="N329" s="112"/>
      <c r="O329" s="112"/>
      <c r="P329" s="112"/>
      <c r="Q329" s="112"/>
      <c r="R329" s="112"/>
      <c r="S329" s="112"/>
      <c r="T329" s="128"/>
      <c r="U329" s="128"/>
      <c r="V329" s="128"/>
      <c r="W329" s="128"/>
      <c r="X329" s="128"/>
      <c r="Y329" s="128"/>
      <c r="Z329" s="112"/>
      <c r="AA329" s="112"/>
      <c r="AB329" s="112"/>
      <c r="AC329" s="112"/>
      <c r="AD329" s="112"/>
      <c r="AE329" s="112"/>
      <c r="AF329" s="112"/>
      <c r="AG329" s="112"/>
      <c r="AH329" s="112"/>
      <c r="AI329" s="112"/>
      <c r="AJ329" s="112"/>
      <c r="AK329" s="112"/>
      <c r="AL329" s="112"/>
      <c r="AM329" s="112"/>
      <c r="AN329" s="112"/>
      <c r="AO329" s="112"/>
      <c r="AP329" s="112"/>
    </row>
    <row r="330" ht="15.75" customHeight="1">
      <c r="A330" s="112"/>
      <c r="B330" s="112"/>
      <c r="C330" s="112"/>
      <c r="D330" s="112"/>
      <c r="E330" s="128"/>
      <c r="F330" s="112"/>
      <c r="G330" s="112"/>
      <c r="H330" s="128"/>
      <c r="I330" s="112"/>
      <c r="J330" s="112"/>
      <c r="K330" s="112"/>
      <c r="L330" s="128"/>
      <c r="M330" s="128"/>
      <c r="N330" s="112"/>
      <c r="O330" s="112"/>
      <c r="P330" s="112"/>
      <c r="Q330" s="112"/>
      <c r="R330" s="112"/>
      <c r="S330" s="112"/>
      <c r="T330" s="128"/>
      <c r="U330" s="128"/>
      <c r="V330" s="128"/>
      <c r="W330" s="128"/>
      <c r="X330" s="128"/>
      <c r="Y330" s="128"/>
      <c r="Z330" s="112"/>
      <c r="AA330" s="112"/>
      <c r="AB330" s="112"/>
      <c r="AC330" s="112"/>
      <c r="AD330" s="112"/>
      <c r="AE330" s="112"/>
      <c r="AF330" s="112"/>
      <c r="AG330" s="112"/>
      <c r="AH330" s="112"/>
      <c r="AI330" s="112"/>
      <c r="AJ330" s="112"/>
      <c r="AK330" s="112"/>
      <c r="AL330" s="112"/>
      <c r="AM330" s="112"/>
      <c r="AN330" s="112"/>
      <c r="AO330" s="112"/>
      <c r="AP330" s="112"/>
    </row>
    <row r="331" ht="15.75" customHeight="1">
      <c r="A331" s="112"/>
      <c r="B331" s="112"/>
      <c r="C331" s="112"/>
      <c r="D331" s="112"/>
      <c r="E331" s="128"/>
      <c r="F331" s="112"/>
      <c r="G331" s="112"/>
      <c r="H331" s="128"/>
      <c r="I331" s="112"/>
      <c r="J331" s="112"/>
      <c r="K331" s="112"/>
      <c r="L331" s="128"/>
      <c r="M331" s="128"/>
      <c r="N331" s="112"/>
      <c r="O331" s="112"/>
      <c r="P331" s="112"/>
      <c r="Q331" s="112"/>
      <c r="R331" s="112"/>
      <c r="S331" s="112"/>
      <c r="T331" s="128"/>
      <c r="U331" s="128"/>
      <c r="V331" s="128"/>
      <c r="W331" s="128"/>
      <c r="X331" s="128"/>
      <c r="Y331" s="128"/>
      <c r="Z331" s="112"/>
      <c r="AA331" s="112"/>
      <c r="AB331" s="112"/>
      <c r="AC331" s="112"/>
      <c r="AD331" s="112"/>
      <c r="AE331" s="112"/>
      <c r="AF331" s="112"/>
      <c r="AG331" s="112"/>
      <c r="AH331" s="112"/>
      <c r="AI331" s="112"/>
      <c r="AJ331" s="112"/>
      <c r="AK331" s="112"/>
      <c r="AL331" s="112"/>
      <c r="AM331" s="112"/>
      <c r="AN331" s="112"/>
      <c r="AO331" s="112"/>
      <c r="AP331" s="112"/>
    </row>
    <row r="332" ht="15.75" customHeight="1">
      <c r="A332" s="112"/>
      <c r="B332" s="112"/>
      <c r="C332" s="112"/>
      <c r="D332" s="112"/>
      <c r="E332" s="128"/>
      <c r="F332" s="112"/>
      <c r="G332" s="112"/>
      <c r="H332" s="128"/>
      <c r="I332" s="112"/>
      <c r="J332" s="112"/>
      <c r="K332" s="112"/>
      <c r="L332" s="128"/>
      <c r="M332" s="128"/>
      <c r="N332" s="112"/>
      <c r="O332" s="112"/>
      <c r="P332" s="112"/>
      <c r="Q332" s="112"/>
      <c r="R332" s="112"/>
      <c r="S332" s="112"/>
      <c r="T332" s="128"/>
      <c r="U332" s="128"/>
      <c r="V332" s="128"/>
      <c r="W332" s="128"/>
      <c r="X332" s="128"/>
      <c r="Y332" s="128"/>
      <c r="Z332" s="112"/>
      <c r="AA332" s="112"/>
      <c r="AB332" s="112"/>
      <c r="AC332" s="112"/>
      <c r="AD332" s="112"/>
      <c r="AE332" s="112"/>
      <c r="AF332" s="112"/>
      <c r="AG332" s="112"/>
      <c r="AH332" s="112"/>
      <c r="AI332" s="112"/>
      <c r="AJ332" s="112"/>
      <c r="AK332" s="112"/>
      <c r="AL332" s="112"/>
      <c r="AM332" s="112"/>
      <c r="AN332" s="112"/>
      <c r="AO332" s="112"/>
      <c r="AP332" s="112"/>
    </row>
    <row r="333" ht="15.75" customHeight="1">
      <c r="A333" s="112"/>
      <c r="B333" s="112"/>
      <c r="C333" s="112"/>
      <c r="D333" s="112"/>
      <c r="E333" s="128"/>
      <c r="F333" s="112"/>
      <c r="G333" s="112"/>
      <c r="H333" s="128"/>
      <c r="I333" s="112"/>
      <c r="J333" s="112"/>
      <c r="K333" s="112"/>
      <c r="L333" s="128"/>
      <c r="M333" s="128"/>
      <c r="N333" s="112"/>
      <c r="O333" s="112"/>
      <c r="P333" s="112"/>
      <c r="Q333" s="112"/>
      <c r="R333" s="112"/>
      <c r="S333" s="112"/>
      <c r="T333" s="128"/>
      <c r="U333" s="128"/>
      <c r="V333" s="128"/>
      <c r="W333" s="128"/>
      <c r="X333" s="128"/>
      <c r="Y333" s="128"/>
      <c r="Z333" s="112"/>
      <c r="AA333" s="112"/>
      <c r="AB333" s="112"/>
      <c r="AC333" s="112"/>
      <c r="AD333" s="112"/>
      <c r="AE333" s="112"/>
      <c r="AF333" s="112"/>
      <c r="AG333" s="112"/>
      <c r="AH333" s="112"/>
      <c r="AI333" s="112"/>
      <c r="AJ333" s="112"/>
      <c r="AK333" s="112"/>
      <c r="AL333" s="112"/>
      <c r="AM333" s="112"/>
      <c r="AN333" s="112"/>
      <c r="AO333" s="112"/>
      <c r="AP333" s="112"/>
    </row>
    <row r="334" ht="15.75" customHeight="1">
      <c r="A334" s="112"/>
      <c r="B334" s="112"/>
      <c r="C334" s="112"/>
      <c r="D334" s="112"/>
      <c r="E334" s="128"/>
      <c r="F334" s="112"/>
      <c r="G334" s="112"/>
      <c r="H334" s="128"/>
      <c r="I334" s="112"/>
      <c r="J334" s="112"/>
      <c r="K334" s="112"/>
      <c r="L334" s="128"/>
      <c r="M334" s="128"/>
      <c r="N334" s="112"/>
      <c r="O334" s="112"/>
      <c r="P334" s="112"/>
      <c r="Q334" s="112"/>
      <c r="R334" s="112"/>
      <c r="S334" s="112"/>
      <c r="T334" s="128"/>
      <c r="U334" s="128"/>
      <c r="V334" s="128"/>
      <c r="W334" s="128"/>
      <c r="X334" s="128"/>
      <c r="Y334" s="128"/>
      <c r="Z334" s="112"/>
      <c r="AA334" s="112"/>
      <c r="AB334" s="112"/>
      <c r="AC334" s="112"/>
      <c r="AD334" s="112"/>
      <c r="AE334" s="112"/>
      <c r="AF334" s="112"/>
      <c r="AG334" s="112"/>
      <c r="AH334" s="112"/>
      <c r="AI334" s="112"/>
      <c r="AJ334" s="112"/>
      <c r="AK334" s="112"/>
      <c r="AL334" s="112"/>
      <c r="AM334" s="112"/>
      <c r="AN334" s="112"/>
      <c r="AO334" s="112"/>
      <c r="AP334" s="112"/>
    </row>
    <row r="335" ht="15.75" customHeight="1">
      <c r="A335" s="112"/>
      <c r="B335" s="112"/>
      <c r="C335" s="112"/>
      <c r="D335" s="112"/>
      <c r="E335" s="128"/>
      <c r="F335" s="112"/>
      <c r="G335" s="112"/>
      <c r="H335" s="128"/>
      <c r="I335" s="112"/>
      <c r="J335" s="112"/>
      <c r="K335" s="112"/>
      <c r="L335" s="128"/>
      <c r="M335" s="128"/>
      <c r="N335" s="112"/>
      <c r="O335" s="112"/>
      <c r="P335" s="112"/>
      <c r="Q335" s="112"/>
      <c r="R335" s="112"/>
      <c r="S335" s="112"/>
      <c r="T335" s="128"/>
      <c r="U335" s="128"/>
      <c r="V335" s="128"/>
      <c r="W335" s="128"/>
      <c r="X335" s="128"/>
      <c r="Y335" s="128"/>
      <c r="Z335" s="112"/>
      <c r="AA335" s="112"/>
      <c r="AB335" s="112"/>
      <c r="AC335" s="112"/>
      <c r="AD335" s="112"/>
      <c r="AE335" s="112"/>
      <c r="AF335" s="112"/>
      <c r="AG335" s="112"/>
      <c r="AH335" s="112"/>
      <c r="AI335" s="112"/>
      <c r="AJ335" s="112"/>
      <c r="AK335" s="112"/>
      <c r="AL335" s="112"/>
      <c r="AM335" s="112"/>
      <c r="AN335" s="112"/>
      <c r="AO335" s="112"/>
      <c r="AP335" s="112"/>
    </row>
    <row r="336" ht="15.75" customHeight="1">
      <c r="A336" s="112"/>
      <c r="B336" s="112"/>
      <c r="C336" s="112"/>
      <c r="D336" s="112"/>
      <c r="E336" s="128"/>
      <c r="F336" s="112"/>
      <c r="G336" s="112"/>
      <c r="H336" s="128"/>
      <c r="I336" s="112"/>
      <c r="J336" s="112"/>
      <c r="K336" s="112"/>
      <c r="L336" s="128"/>
      <c r="M336" s="128"/>
      <c r="N336" s="112"/>
      <c r="O336" s="112"/>
      <c r="P336" s="112"/>
      <c r="Q336" s="112"/>
      <c r="R336" s="112"/>
      <c r="S336" s="112"/>
      <c r="T336" s="128"/>
      <c r="U336" s="128"/>
      <c r="V336" s="128"/>
      <c r="W336" s="128"/>
      <c r="X336" s="128"/>
      <c r="Y336" s="128"/>
      <c r="Z336" s="112"/>
      <c r="AA336" s="112"/>
      <c r="AB336" s="112"/>
      <c r="AC336" s="112"/>
      <c r="AD336" s="112"/>
      <c r="AE336" s="112"/>
      <c r="AF336" s="112"/>
      <c r="AG336" s="112"/>
      <c r="AH336" s="112"/>
      <c r="AI336" s="112"/>
      <c r="AJ336" s="112"/>
      <c r="AK336" s="112"/>
      <c r="AL336" s="112"/>
      <c r="AM336" s="112"/>
      <c r="AN336" s="112"/>
      <c r="AO336" s="112"/>
      <c r="AP336" s="112"/>
    </row>
    <row r="337" ht="15.75" customHeight="1">
      <c r="A337" s="112"/>
      <c r="B337" s="112"/>
      <c r="C337" s="112"/>
      <c r="D337" s="112"/>
      <c r="E337" s="128"/>
      <c r="F337" s="112"/>
      <c r="G337" s="112"/>
      <c r="H337" s="128"/>
      <c r="I337" s="112"/>
      <c r="J337" s="112"/>
      <c r="K337" s="112"/>
      <c r="L337" s="128"/>
      <c r="M337" s="128"/>
      <c r="N337" s="112"/>
      <c r="O337" s="112"/>
      <c r="P337" s="112"/>
      <c r="Q337" s="112"/>
      <c r="R337" s="112"/>
      <c r="S337" s="112"/>
      <c r="T337" s="128"/>
      <c r="U337" s="128"/>
      <c r="V337" s="128"/>
      <c r="W337" s="128"/>
      <c r="X337" s="128"/>
      <c r="Y337" s="128"/>
      <c r="Z337" s="112"/>
      <c r="AA337" s="112"/>
      <c r="AB337" s="112"/>
      <c r="AC337" s="112"/>
      <c r="AD337" s="112"/>
      <c r="AE337" s="112"/>
      <c r="AF337" s="112"/>
      <c r="AG337" s="112"/>
      <c r="AH337" s="112"/>
      <c r="AI337" s="112"/>
      <c r="AJ337" s="112"/>
      <c r="AK337" s="112"/>
      <c r="AL337" s="112"/>
      <c r="AM337" s="112"/>
      <c r="AN337" s="112"/>
      <c r="AO337" s="112"/>
      <c r="AP337" s="112"/>
    </row>
    <row r="338" ht="15.75" customHeight="1">
      <c r="A338" s="112"/>
      <c r="B338" s="112"/>
      <c r="C338" s="112"/>
      <c r="D338" s="112"/>
      <c r="E338" s="128"/>
      <c r="F338" s="112"/>
      <c r="G338" s="112"/>
      <c r="H338" s="128"/>
      <c r="I338" s="112"/>
      <c r="J338" s="112"/>
      <c r="K338" s="112"/>
      <c r="L338" s="128"/>
      <c r="M338" s="128"/>
      <c r="N338" s="112"/>
      <c r="O338" s="112"/>
      <c r="P338" s="112"/>
      <c r="Q338" s="112"/>
      <c r="R338" s="112"/>
      <c r="S338" s="112"/>
      <c r="T338" s="128"/>
      <c r="U338" s="128"/>
      <c r="V338" s="128"/>
      <c r="W338" s="128"/>
      <c r="X338" s="128"/>
      <c r="Y338" s="128"/>
      <c r="Z338" s="112"/>
      <c r="AA338" s="112"/>
      <c r="AB338" s="112"/>
      <c r="AC338" s="112"/>
      <c r="AD338" s="112"/>
      <c r="AE338" s="112"/>
      <c r="AF338" s="112"/>
      <c r="AG338" s="112"/>
      <c r="AH338" s="112"/>
      <c r="AI338" s="112"/>
      <c r="AJ338" s="112"/>
      <c r="AK338" s="112"/>
      <c r="AL338" s="112"/>
      <c r="AM338" s="112"/>
      <c r="AN338" s="112"/>
      <c r="AO338" s="112"/>
      <c r="AP338" s="112"/>
    </row>
    <row r="339" ht="15.75" customHeight="1">
      <c r="A339" s="112"/>
      <c r="B339" s="112"/>
      <c r="C339" s="112"/>
      <c r="D339" s="112"/>
      <c r="E339" s="128"/>
      <c r="F339" s="112"/>
      <c r="G339" s="112"/>
      <c r="H339" s="128"/>
      <c r="I339" s="112"/>
      <c r="J339" s="112"/>
      <c r="K339" s="112"/>
      <c r="L339" s="128"/>
      <c r="M339" s="128"/>
      <c r="N339" s="112"/>
      <c r="O339" s="112"/>
      <c r="P339" s="112"/>
      <c r="Q339" s="112"/>
      <c r="R339" s="112"/>
      <c r="S339" s="112"/>
      <c r="T339" s="128"/>
      <c r="U339" s="128"/>
      <c r="V339" s="128"/>
      <c r="W339" s="128"/>
      <c r="X339" s="128"/>
      <c r="Y339" s="128"/>
      <c r="Z339" s="112"/>
      <c r="AA339" s="112"/>
      <c r="AB339" s="112"/>
      <c r="AC339" s="112"/>
      <c r="AD339" s="112"/>
      <c r="AE339" s="112"/>
      <c r="AF339" s="112"/>
      <c r="AG339" s="112"/>
      <c r="AH339" s="112"/>
      <c r="AI339" s="112"/>
      <c r="AJ339" s="112"/>
      <c r="AK339" s="112"/>
      <c r="AL339" s="112"/>
      <c r="AM339" s="112"/>
      <c r="AN339" s="112"/>
      <c r="AO339" s="112"/>
      <c r="AP339" s="112"/>
    </row>
    <row r="340" ht="15.75" customHeight="1">
      <c r="A340" s="112"/>
      <c r="B340" s="112"/>
      <c r="C340" s="112"/>
      <c r="D340" s="112"/>
      <c r="E340" s="128"/>
      <c r="F340" s="112"/>
      <c r="G340" s="112"/>
      <c r="H340" s="128"/>
      <c r="I340" s="112"/>
      <c r="J340" s="112"/>
      <c r="K340" s="112"/>
      <c r="L340" s="128"/>
      <c r="M340" s="128"/>
      <c r="N340" s="112"/>
      <c r="O340" s="112"/>
      <c r="P340" s="112"/>
      <c r="Q340" s="112"/>
      <c r="R340" s="112"/>
      <c r="S340" s="112"/>
      <c r="T340" s="128"/>
      <c r="U340" s="128"/>
      <c r="V340" s="128"/>
      <c r="W340" s="128"/>
      <c r="X340" s="128"/>
      <c r="Y340" s="128"/>
      <c r="Z340" s="112"/>
      <c r="AA340" s="112"/>
      <c r="AB340" s="112"/>
      <c r="AC340" s="112"/>
      <c r="AD340" s="112"/>
      <c r="AE340" s="112"/>
      <c r="AF340" s="112"/>
      <c r="AG340" s="112"/>
      <c r="AH340" s="112"/>
      <c r="AI340" s="112"/>
      <c r="AJ340" s="112"/>
      <c r="AK340" s="112"/>
      <c r="AL340" s="112"/>
      <c r="AM340" s="112"/>
      <c r="AN340" s="112"/>
      <c r="AO340" s="112"/>
      <c r="AP340" s="112"/>
    </row>
    <row r="341" ht="15.75" customHeight="1">
      <c r="A341" s="112"/>
      <c r="B341" s="112"/>
      <c r="C341" s="112"/>
      <c r="D341" s="112"/>
      <c r="E341" s="128"/>
      <c r="F341" s="112"/>
      <c r="G341" s="112"/>
      <c r="H341" s="128"/>
      <c r="I341" s="112"/>
      <c r="J341" s="112"/>
      <c r="K341" s="112"/>
      <c r="L341" s="128"/>
      <c r="M341" s="128"/>
      <c r="N341" s="112"/>
      <c r="O341" s="112"/>
      <c r="P341" s="112"/>
      <c r="Q341" s="112"/>
      <c r="R341" s="112"/>
      <c r="S341" s="112"/>
      <c r="T341" s="128"/>
      <c r="U341" s="128"/>
      <c r="V341" s="128"/>
      <c r="W341" s="128"/>
      <c r="X341" s="128"/>
      <c r="Y341" s="128"/>
      <c r="Z341" s="112"/>
      <c r="AA341" s="112"/>
      <c r="AB341" s="112"/>
      <c r="AC341" s="112"/>
      <c r="AD341" s="112"/>
      <c r="AE341" s="112"/>
      <c r="AF341" s="112"/>
      <c r="AG341" s="112"/>
      <c r="AH341" s="112"/>
      <c r="AI341" s="112"/>
      <c r="AJ341" s="112"/>
      <c r="AK341" s="112"/>
      <c r="AL341" s="112"/>
      <c r="AM341" s="112"/>
      <c r="AN341" s="112"/>
      <c r="AO341" s="112"/>
      <c r="AP341" s="112"/>
    </row>
    <row r="342" ht="15.75" customHeight="1">
      <c r="A342" s="112"/>
      <c r="B342" s="112"/>
      <c r="C342" s="112"/>
      <c r="D342" s="112"/>
      <c r="E342" s="128"/>
      <c r="F342" s="112"/>
      <c r="G342" s="112"/>
      <c r="H342" s="128"/>
      <c r="I342" s="112"/>
      <c r="J342" s="112"/>
      <c r="K342" s="112"/>
      <c r="L342" s="128"/>
      <c r="M342" s="128"/>
      <c r="N342" s="112"/>
      <c r="O342" s="112"/>
      <c r="P342" s="112"/>
      <c r="Q342" s="112"/>
      <c r="R342" s="112"/>
      <c r="S342" s="112"/>
      <c r="T342" s="128"/>
      <c r="U342" s="128"/>
      <c r="V342" s="128"/>
      <c r="W342" s="128"/>
      <c r="X342" s="128"/>
      <c r="Y342" s="128"/>
      <c r="Z342" s="112"/>
      <c r="AA342" s="112"/>
      <c r="AB342" s="112"/>
      <c r="AC342" s="112"/>
      <c r="AD342" s="112"/>
      <c r="AE342" s="112"/>
      <c r="AF342" s="112"/>
      <c r="AG342" s="112"/>
      <c r="AH342" s="112"/>
      <c r="AI342" s="112"/>
      <c r="AJ342" s="112"/>
      <c r="AK342" s="112"/>
      <c r="AL342" s="112"/>
      <c r="AM342" s="112"/>
      <c r="AN342" s="112"/>
      <c r="AO342" s="112"/>
      <c r="AP342" s="112"/>
    </row>
    <row r="343" ht="15.75" customHeight="1">
      <c r="A343" s="112"/>
      <c r="B343" s="112"/>
      <c r="C343" s="112"/>
      <c r="D343" s="112"/>
      <c r="E343" s="128"/>
      <c r="F343" s="112"/>
      <c r="G343" s="112"/>
      <c r="H343" s="128"/>
      <c r="I343" s="112"/>
      <c r="J343" s="112"/>
      <c r="K343" s="112"/>
      <c r="L343" s="128"/>
      <c r="M343" s="128"/>
      <c r="N343" s="112"/>
      <c r="O343" s="112"/>
      <c r="P343" s="112"/>
      <c r="Q343" s="112"/>
      <c r="R343" s="112"/>
      <c r="S343" s="112"/>
      <c r="T343" s="128"/>
      <c r="U343" s="128"/>
      <c r="V343" s="128"/>
      <c r="W343" s="128"/>
      <c r="X343" s="128"/>
      <c r="Y343" s="128"/>
      <c r="Z343" s="112"/>
      <c r="AA343" s="112"/>
      <c r="AB343" s="112"/>
      <c r="AC343" s="112"/>
      <c r="AD343" s="112"/>
      <c r="AE343" s="112"/>
      <c r="AF343" s="112"/>
      <c r="AG343" s="112"/>
      <c r="AH343" s="112"/>
      <c r="AI343" s="112"/>
      <c r="AJ343" s="112"/>
      <c r="AK343" s="112"/>
      <c r="AL343" s="112"/>
      <c r="AM343" s="112"/>
      <c r="AN343" s="112"/>
      <c r="AO343" s="112"/>
      <c r="AP343" s="112"/>
    </row>
    <row r="344" ht="15.75" customHeight="1">
      <c r="A344" s="112"/>
      <c r="B344" s="112"/>
      <c r="C344" s="112"/>
      <c r="D344" s="112"/>
      <c r="E344" s="128"/>
      <c r="F344" s="112"/>
      <c r="G344" s="112"/>
      <c r="H344" s="128"/>
      <c r="I344" s="112"/>
      <c r="J344" s="112"/>
      <c r="K344" s="112"/>
      <c r="L344" s="128"/>
      <c r="M344" s="128"/>
      <c r="N344" s="112"/>
      <c r="O344" s="112"/>
      <c r="P344" s="112"/>
      <c r="Q344" s="112"/>
      <c r="R344" s="112"/>
      <c r="S344" s="112"/>
      <c r="T344" s="128"/>
      <c r="U344" s="128"/>
      <c r="V344" s="128"/>
      <c r="W344" s="128"/>
      <c r="X344" s="128"/>
      <c r="Y344" s="128"/>
      <c r="Z344" s="112"/>
      <c r="AA344" s="112"/>
      <c r="AB344" s="112"/>
      <c r="AC344" s="112"/>
      <c r="AD344" s="112"/>
      <c r="AE344" s="112"/>
      <c r="AF344" s="112"/>
      <c r="AG344" s="112"/>
      <c r="AH344" s="112"/>
      <c r="AI344" s="112"/>
      <c r="AJ344" s="112"/>
      <c r="AK344" s="112"/>
      <c r="AL344" s="112"/>
      <c r="AM344" s="112"/>
      <c r="AN344" s="112"/>
      <c r="AO344" s="112"/>
      <c r="AP344" s="112"/>
    </row>
    <row r="345" ht="15.75" customHeight="1">
      <c r="A345" s="112"/>
      <c r="B345" s="112"/>
      <c r="C345" s="112"/>
      <c r="D345" s="112"/>
      <c r="E345" s="128"/>
      <c r="F345" s="112"/>
      <c r="G345" s="112"/>
      <c r="H345" s="128"/>
      <c r="I345" s="112"/>
      <c r="J345" s="112"/>
      <c r="K345" s="112"/>
      <c r="L345" s="128"/>
      <c r="M345" s="128"/>
      <c r="N345" s="112"/>
      <c r="O345" s="112"/>
      <c r="P345" s="112"/>
      <c r="Q345" s="112"/>
      <c r="R345" s="112"/>
      <c r="S345" s="112"/>
      <c r="T345" s="128"/>
      <c r="U345" s="128"/>
      <c r="V345" s="128"/>
      <c r="W345" s="128"/>
      <c r="X345" s="128"/>
      <c r="Y345" s="128"/>
      <c r="Z345" s="112"/>
      <c r="AA345" s="112"/>
      <c r="AB345" s="112"/>
      <c r="AC345" s="112"/>
      <c r="AD345" s="112"/>
      <c r="AE345" s="112"/>
      <c r="AF345" s="112"/>
      <c r="AG345" s="112"/>
      <c r="AH345" s="112"/>
      <c r="AI345" s="112"/>
      <c r="AJ345" s="112"/>
      <c r="AK345" s="112"/>
      <c r="AL345" s="112"/>
      <c r="AM345" s="112"/>
      <c r="AN345" s="112"/>
      <c r="AO345" s="112"/>
      <c r="AP345" s="112"/>
    </row>
    <row r="346" ht="15.75" customHeight="1">
      <c r="A346" s="112"/>
      <c r="B346" s="112"/>
      <c r="C346" s="112"/>
      <c r="D346" s="112"/>
      <c r="E346" s="128"/>
      <c r="F346" s="112"/>
      <c r="G346" s="112"/>
      <c r="H346" s="128"/>
      <c r="I346" s="112"/>
      <c r="J346" s="112"/>
      <c r="K346" s="112"/>
      <c r="L346" s="128"/>
      <c r="M346" s="128"/>
      <c r="N346" s="112"/>
      <c r="O346" s="112"/>
      <c r="P346" s="112"/>
      <c r="Q346" s="112"/>
      <c r="R346" s="112"/>
      <c r="S346" s="112"/>
      <c r="T346" s="128"/>
      <c r="U346" s="128"/>
      <c r="V346" s="128"/>
      <c r="W346" s="128"/>
      <c r="X346" s="128"/>
      <c r="Y346" s="128"/>
      <c r="Z346" s="112"/>
      <c r="AA346" s="112"/>
      <c r="AB346" s="112"/>
      <c r="AC346" s="112"/>
      <c r="AD346" s="112"/>
      <c r="AE346" s="112"/>
      <c r="AF346" s="112"/>
      <c r="AG346" s="112"/>
      <c r="AH346" s="112"/>
      <c r="AI346" s="112"/>
      <c r="AJ346" s="112"/>
      <c r="AK346" s="112"/>
      <c r="AL346" s="112"/>
      <c r="AM346" s="112"/>
      <c r="AN346" s="112"/>
      <c r="AO346" s="112"/>
      <c r="AP346" s="112"/>
    </row>
    <row r="347" ht="15.75" customHeight="1">
      <c r="A347" s="112"/>
      <c r="B347" s="112"/>
      <c r="C347" s="112"/>
      <c r="D347" s="112"/>
      <c r="E347" s="128"/>
      <c r="F347" s="112"/>
      <c r="G347" s="112"/>
      <c r="H347" s="128"/>
      <c r="I347" s="112"/>
      <c r="J347" s="112"/>
      <c r="K347" s="112"/>
      <c r="L347" s="128"/>
      <c r="M347" s="128"/>
      <c r="N347" s="112"/>
      <c r="O347" s="112"/>
      <c r="P347" s="112"/>
      <c r="Q347" s="112"/>
      <c r="R347" s="112"/>
      <c r="S347" s="112"/>
      <c r="T347" s="128"/>
      <c r="U347" s="128"/>
      <c r="V347" s="128"/>
      <c r="W347" s="128"/>
      <c r="X347" s="128"/>
      <c r="Y347" s="128"/>
      <c r="Z347" s="112"/>
      <c r="AA347" s="112"/>
      <c r="AB347" s="112"/>
      <c r="AC347" s="112"/>
      <c r="AD347" s="112"/>
      <c r="AE347" s="112"/>
      <c r="AF347" s="112"/>
      <c r="AG347" s="112"/>
      <c r="AH347" s="112"/>
      <c r="AI347" s="112"/>
      <c r="AJ347" s="112"/>
      <c r="AK347" s="112"/>
      <c r="AL347" s="112"/>
      <c r="AM347" s="112"/>
      <c r="AN347" s="112"/>
      <c r="AO347" s="112"/>
      <c r="AP347" s="112"/>
    </row>
    <row r="348" ht="15.75" customHeight="1">
      <c r="A348" s="112"/>
      <c r="B348" s="112"/>
      <c r="C348" s="112"/>
      <c r="D348" s="112"/>
      <c r="E348" s="128"/>
      <c r="F348" s="112"/>
      <c r="G348" s="112"/>
      <c r="H348" s="128"/>
      <c r="I348" s="112"/>
      <c r="J348" s="112"/>
      <c r="K348" s="112"/>
      <c r="L348" s="128"/>
      <c r="M348" s="128"/>
      <c r="N348" s="112"/>
      <c r="O348" s="112"/>
      <c r="P348" s="112"/>
      <c r="Q348" s="112"/>
      <c r="R348" s="112"/>
      <c r="S348" s="112"/>
      <c r="T348" s="128"/>
      <c r="U348" s="128"/>
      <c r="V348" s="128"/>
      <c r="W348" s="128"/>
      <c r="X348" s="128"/>
      <c r="Y348" s="128"/>
      <c r="Z348" s="112"/>
      <c r="AA348" s="112"/>
      <c r="AB348" s="112"/>
      <c r="AC348" s="112"/>
      <c r="AD348" s="112"/>
      <c r="AE348" s="112"/>
      <c r="AF348" s="112"/>
      <c r="AG348" s="112"/>
      <c r="AH348" s="112"/>
      <c r="AI348" s="112"/>
      <c r="AJ348" s="112"/>
      <c r="AK348" s="112"/>
      <c r="AL348" s="112"/>
      <c r="AM348" s="112"/>
      <c r="AN348" s="112"/>
      <c r="AO348" s="112"/>
      <c r="AP348" s="112"/>
    </row>
    <row r="349" ht="15.75" customHeight="1">
      <c r="A349" s="112"/>
      <c r="B349" s="112"/>
      <c r="C349" s="112"/>
      <c r="D349" s="112"/>
      <c r="E349" s="128"/>
      <c r="F349" s="112"/>
      <c r="G349" s="112"/>
      <c r="H349" s="128"/>
      <c r="I349" s="112"/>
      <c r="J349" s="112"/>
      <c r="K349" s="112"/>
      <c r="L349" s="128"/>
      <c r="M349" s="128"/>
      <c r="N349" s="112"/>
      <c r="O349" s="112"/>
      <c r="P349" s="112"/>
      <c r="Q349" s="112"/>
      <c r="R349" s="112"/>
      <c r="S349" s="112"/>
      <c r="T349" s="128"/>
      <c r="U349" s="128"/>
      <c r="V349" s="128"/>
      <c r="W349" s="128"/>
      <c r="X349" s="128"/>
      <c r="Y349" s="128"/>
      <c r="Z349" s="112"/>
      <c r="AA349" s="112"/>
      <c r="AB349" s="112"/>
      <c r="AC349" s="112"/>
      <c r="AD349" s="112"/>
      <c r="AE349" s="112"/>
      <c r="AF349" s="112"/>
      <c r="AG349" s="112"/>
      <c r="AH349" s="112"/>
      <c r="AI349" s="112"/>
      <c r="AJ349" s="112"/>
      <c r="AK349" s="112"/>
      <c r="AL349" s="112"/>
      <c r="AM349" s="112"/>
      <c r="AN349" s="112"/>
      <c r="AO349" s="112"/>
      <c r="AP349" s="112"/>
    </row>
    <row r="350" ht="15.75" customHeight="1">
      <c r="A350" s="112"/>
      <c r="B350" s="112"/>
      <c r="C350" s="112"/>
      <c r="D350" s="112"/>
      <c r="E350" s="128"/>
      <c r="F350" s="112"/>
      <c r="G350" s="112"/>
      <c r="H350" s="128"/>
      <c r="I350" s="112"/>
      <c r="J350" s="112"/>
      <c r="K350" s="112"/>
      <c r="L350" s="128"/>
      <c r="M350" s="128"/>
      <c r="N350" s="112"/>
      <c r="O350" s="112"/>
      <c r="P350" s="112"/>
      <c r="Q350" s="112"/>
      <c r="R350" s="112"/>
      <c r="S350" s="112"/>
      <c r="T350" s="128"/>
      <c r="U350" s="128"/>
      <c r="V350" s="128"/>
      <c r="W350" s="128"/>
      <c r="X350" s="128"/>
      <c r="Y350" s="128"/>
      <c r="Z350" s="112"/>
      <c r="AA350" s="112"/>
      <c r="AB350" s="112"/>
      <c r="AC350" s="112"/>
      <c r="AD350" s="112"/>
      <c r="AE350" s="112"/>
      <c r="AF350" s="112"/>
      <c r="AG350" s="112"/>
      <c r="AH350" s="112"/>
      <c r="AI350" s="112"/>
      <c r="AJ350" s="112"/>
      <c r="AK350" s="112"/>
      <c r="AL350" s="112"/>
      <c r="AM350" s="112"/>
      <c r="AN350" s="112"/>
      <c r="AO350" s="112"/>
      <c r="AP350" s="112"/>
    </row>
    <row r="351" ht="15.75" customHeight="1">
      <c r="A351" s="112"/>
      <c r="B351" s="112"/>
      <c r="C351" s="112"/>
      <c r="D351" s="112"/>
      <c r="E351" s="128"/>
      <c r="F351" s="112"/>
      <c r="G351" s="112"/>
      <c r="H351" s="128"/>
      <c r="I351" s="112"/>
      <c r="J351" s="112"/>
      <c r="K351" s="112"/>
      <c r="L351" s="128"/>
      <c r="M351" s="128"/>
      <c r="N351" s="112"/>
      <c r="O351" s="112"/>
      <c r="P351" s="112"/>
      <c r="Q351" s="112"/>
      <c r="R351" s="112"/>
      <c r="S351" s="112"/>
      <c r="T351" s="128"/>
      <c r="U351" s="128"/>
      <c r="V351" s="128"/>
      <c r="W351" s="128"/>
      <c r="X351" s="128"/>
      <c r="Y351" s="128"/>
      <c r="Z351" s="112"/>
      <c r="AA351" s="112"/>
      <c r="AB351" s="112"/>
      <c r="AC351" s="112"/>
      <c r="AD351" s="112"/>
      <c r="AE351" s="112"/>
      <c r="AF351" s="112"/>
      <c r="AG351" s="112"/>
      <c r="AH351" s="112"/>
      <c r="AI351" s="112"/>
      <c r="AJ351" s="112"/>
      <c r="AK351" s="112"/>
      <c r="AL351" s="112"/>
      <c r="AM351" s="112"/>
      <c r="AN351" s="112"/>
      <c r="AO351" s="112"/>
      <c r="AP351" s="112"/>
    </row>
    <row r="352" ht="15.75" customHeight="1">
      <c r="A352" s="112"/>
      <c r="B352" s="112"/>
      <c r="C352" s="112"/>
      <c r="D352" s="112"/>
      <c r="E352" s="128"/>
      <c r="F352" s="112"/>
      <c r="G352" s="112"/>
      <c r="H352" s="128"/>
      <c r="I352" s="112"/>
      <c r="J352" s="112"/>
      <c r="K352" s="112"/>
      <c r="L352" s="128"/>
      <c r="M352" s="128"/>
      <c r="N352" s="112"/>
      <c r="O352" s="112"/>
      <c r="P352" s="112"/>
      <c r="Q352" s="112"/>
      <c r="R352" s="112"/>
      <c r="S352" s="112"/>
      <c r="T352" s="128"/>
      <c r="U352" s="128"/>
      <c r="V352" s="128"/>
      <c r="W352" s="128"/>
      <c r="X352" s="128"/>
      <c r="Y352" s="128"/>
      <c r="Z352" s="112"/>
      <c r="AA352" s="112"/>
      <c r="AB352" s="112"/>
      <c r="AC352" s="112"/>
      <c r="AD352" s="112"/>
      <c r="AE352" s="112"/>
      <c r="AF352" s="112"/>
      <c r="AG352" s="112"/>
      <c r="AH352" s="112"/>
      <c r="AI352" s="112"/>
      <c r="AJ352" s="112"/>
      <c r="AK352" s="112"/>
      <c r="AL352" s="112"/>
      <c r="AM352" s="112"/>
      <c r="AN352" s="112"/>
      <c r="AO352" s="112"/>
      <c r="AP352" s="112"/>
    </row>
    <row r="353" ht="15.75" customHeight="1">
      <c r="A353" s="112"/>
      <c r="B353" s="112"/>
      <c r="C353" s="112"/>
      <c r="D353" s="112"/>
      <c r="E353" s="128"/>
      <c r="F353" s="112"/>
      <c r="G353" s="112"/>
      <c r="H353" s="128"/>
      <c r="I353" s="112"/>
      <c r="J353" s="112"/>
      <c r="K353" s="112"/>
      <c r="L353" s="128"/>
      <c r="M353" s="128"/>
      <c r="N353" s="112"/>
      <c r="O353" s="112"/>
      <c r="P353" s="112"/>
      <c r="Q353" s="112"/>
      <c r="R353" s="112"/>
      <c r="S353" s="112"/>
      <c r="T353" s="128"/>
      <c r="U353" s="128"/>
      <c r="V353" s="128"/>
      <c r="W353" s="128"/>
      <c r="X353" s="128"/>
      <c r="Y353" s="128"/>
      <c r="Z353" s="112"/>
      <c r="AA353" s="112"/>
      <c r="AB353" s="112"/>
      <c r="AC353" s="112"/>
      <c r="AD353" s="112"/>
      <c r="AE353" s="112"/>
      <c r="AF353" s="112"/>
      <c r="AG353" s="112"/>
      <c r="AH353" s="112"/>
      <c r="AI353" s="112"/>
      <c r="AJ353" s="112"/>
      <c r="AK353" s="112"/>
      <c r="AL353" s="112"/>
      <c r="AM353" s="112"/>
      <c r="AN353" s="112"/>
      <c r="AO353" s="112"/>
      <c r="AP353" s="112"/>
    </row>
    <row r="354" ht="15.75" customHeight="1">
      <c r="A354" s="112"/>
      <c r="B354" s="112"/>
      <c r="C354" s="112"/>
      <c r="D354" s="112"/>
      <c r="E354" s="128"/>
      <c r="F354" s="112"/>
      <c r="G354" s="112"/>
      <c r="H354" s="128"/>
      <c r="I354" s="112"/>
      <c r="J354" s="112"/>
      <c r="K354" s="112"/>
      <c r="L354" s="128"/>
      <c r="M354" s="128"/>
      <c r="N354" s="112"/>
      <c r="O354" s="112"/>
      <c r="P354" s="112"/>
      <c r="Q354" s="112"/>
      <c r="R354" s="112"/>
      <c r="S354" s="112"/>
      <c r="T354" s="128"/>
      <c r="U354" s="128"/>
      <c r="V354" s="128"/>
      <c r="W354" s="128"/>
      <c r="X354" s="128"/>
      <c r="Y354" s="128"/>
      <c r="Z354" s="112"/>
      <c r="AA354" s="112"/>
      <c r="AB354" s="112"/>
      <c r="AC354" s="112"/>
      <c r="AD354" s="112"/>
      <c r="AE354" s="112"/>
      <c r="AF354" s="112"/>
      <c r="AG354" s="112"/>
      <c r="AH354" s="112"/>
      <c r="AI354" s="112"/>
      <c r="AJ354" s="112"/>
      <c r="AK354" s="112"/>
      <c r="AL354" s="112"/>
      <c r="AM354" s="112"/>
      <c r="AN354" s="112"/>
      <c r="AO354" s="112"/>
      <c r="AP354" s="112"/>
    </row>
    <row r="355" ht="15.75" customHeight="1">
      <c r="A355" s="112"/>
      <c r="B355" s="112"/>
      <c r="C355" s="112"/>
      <c r="D355" s="112"/>
      <c r="E355" s="128"/>
      <c r="F355" s="112"/>
      <c r="G355" s="112"/>
      <c r="H355" s="128"/>
      <c r="I355" s="112"/>
      <c r="J355" s="112"/>
      <c r="K355" s="112"/>
      <c r="L355" s="128"/>
      <c r="M355" s="128"/>
      <c r="N355" s="112"/>
      <c r="O355" s="112"/>
      <c r="P355" s="112"/>
      <c r="Q355" s="112"/>
      <c r="R355" s="112"/>
      <c r="S355" s="112"/>
      <c r="T355" s="128"/>
      <c r="U355" s="128"/>
      <c r="V355" s="128"/>
      <c r="W355" s="128"/>
      <c r="X355" s="128"/>
      <c r="Y355" s="128"/>
      <c r="Z355" s="112"/>
      <c r="AA355" s="112"/>
      <c r="AB355" s="112"/>
      <c r="AC355" s="112"/>
      <c r="AD355" s="112"/>
      <c r="AE355" s="112"/>
      <c r="AF355" s="112"/>
      <c r="AG355" s="112"/>
      <c r="AH355" s="112"/>
      <c r="AI355" s="112"/>
      <c r="AJ355" s="112"/>
      <c r="AK355" s="112"/>
      <c r="AL355" s="112"/>
      <c r="AM355" s="112"/>
      <c r="AN355" s="112"/>
      <c r="AO355" s="112"/>
      <c r="AP355" s="112"/>
    </row>
    <row r="356" ht="15.75" customHeight="1">
      <c r="A356" s="112"/>
      <c r="B356" s="112"/>
      <c r="C356" s="112"/>
      <c r="D356" s="112"/>
      <c r="E356" s="128"/>
      <c r="F356" s="112"/>
      <c r="G356" s="112"/>
      <c r="H356" s="128"/>
      <c r="I356" s="112"/>
      <c r="J356" s="112"/>
      <c r="K356" s="112"/>
      <c r="L356" s="128"/>
      <c r="M356" s="128"/>
      <c r="N356" s="112"/>
      <c r="O356" s="112"/>
      <c r="P356" s="112"/>
      <c r="Q356" s="112"/>
      <c r="R356" s="112"/>
      <c r="S356" s="112"/>
      <c r="T356" s="128"/>
      <c r="U356" s="128"/>
      <c r="V356" s="128"/>
      <c r="W356" s="128"/>
      <c r="X356" s="128"/>
      <c r="Y356" s="128"/>
      <c r="Z356" s="112"/>
      <c r="AA356" s="112"/>
      <c r="AB356" s="112"/>
      <c r="AC356" s="112"/>
      <c r="AD356" s="112"/>
      <c r="AE356" s="112"/>
      <c r="AF356" s="112"/>
      <c r="AG356" s="112"/>
      <c r="AH356" s="112"/>
      <c r="AI356" s="112"/>
      <c r="AJ356" s="112"/>
      <c r="AK356" s="112"/>
      <c r="AL356" s="112"/>
      <c r="AM356" s="112"/>
      <c r="AN356" s="112"/>
      <c r="AO356" s="112"/>
      <c r="AP356" s="112"/>
    </row>
    <row r="357" ht="15.75" customHeight="1">
      <c r="A357" s="112"/>
      <c r="B357" s="112"/>
      <c r="C357" s="112"/>
      <c r="D357" s="112"/>
      <c r="E357" s="128"/>
      <c r="F357" s="112"/>
      <c r="G357" s="112"/>
      <c r="H357" s="128"/>
      <c r="I357" s="112"/>
      <c r="J357" s="112"/>
      <c r="K357" s="112"/>
      <c r="L357" s="128"/>
      <c r="M357" s="128"/>
      <c r="N357" s="112"/>
      <c r="O357" s="112"/>
      <c r="P357" s="112"/>
      <c r="Q357" s="112"/>
      <c r="R357" s="112"/>
      <c r="S357" s="112"/>
      <c r="T357" s="128"/>
      <c r="U357" s="128"/>
      <c r="V357" s="128"/>
      <c r="W357" s="128"/>
      <c r="X357" s="128"/>
      <c r="Y357" s="128"/>
      <c r="Z357" s="112"/>
      <c r="AA357" s="112"/>
      <c r="AB357" s="112"/>
      <c r="AC357" s="112"/>
      <c r="AD357" s="112"/>
      <c r="AE357" s="112"/>
      <c r="AF357" s="112"/>
      <c r="AG357" s="112"/>
      <c r="AH357" s="112"/>
      <c r="AI357" s="112"/>
      <c r="AJ357" s="112"/>
      <c r="AK357" s="112"/>
      <c r="AL357" s="112"/>
      <c r="AM357" s="112"/>
      <c r="AN357" s="112"/>
      <c r="AO357" s="112"/>
      <c r="AP357" s="112"/>
    </row>
    <row r="358" ht="15.75" customHeight="1">
      <c r="A358" s="112"/>
      <c r="B358" s="112"/>
      <c r="C358" s="112"/>
      <c r="D358" s="112"/>
      <c r="E358" s="128"/>
      <c r="F358" s="112"/>
      <c r="G358" s="112"/>
      <c r="H358" s="128"/>
      <c r="I358" s="112"/>
      <c r="J358" s="112"/>
      <c r="K358" s="112"/>
      <c r="L358" s="128"/>
      <c r="M358" s="128"/>
      <c r="N358" s="112"/>
      <c r="O358" s="112"/>
      <c r="P358" s="112"/>
      <c r="Q358" s="112"/>
      <c r="R358" s="112"/>
      <c r="S358" s="112"/>
      <c r="T358" s="128"/>
      <c r="U358" s="128"/>
      <c r="V358" s="128"/>
      <c r="W358" s="128"/>
      <c r="X358" s="128"/>
      <c r="Y358" s="128"/>
      <c r="Z358" s="112"/>
      <c r="AA358" s="112"/>
      <c r="AB358" s="112"/>
      <c r="AC358" s="112"/>
      <c r="AD358" s="112"/>
      <c r="AE358" s="112"/>
      <c r="AF358" s="112"/>
      <c r="AG358" s="112"/>
      <c r="AH358" s="112"/>
      <c r="AI358" s="112"/>
      <c r="AJ358" s="112"/>
      <c r="AK358" s="112"/>
      <c r="AL358" s="112"/>
      <c r="AM358" s="112"/>
      <c r="AN358" s="112"/>
      <c r="AO358" s="112"/>
      <c r="AP358" s="112"/>
    </row>
    <row r="359" ht="15.75" customHeight="1">
      <c r="A359" s="112"/>
      <c r="B359" s="112"/>
      <c r="C359" s="112"/>
      <c r="D359" s="112"/>
      <c r="E359" s="128"/>
      <c r="F359" s="112"/>
      <c r="G359" s="112"/>
      <c r="H359" s="128"/>
      <c r="I359" s="112"/>
      <c r="J359" s="112"/>
      <c r="K359" s="112"/>
      <c r="L359" s="128"/>
      <c r="M359" s="128"/>
      <c r="N359" s="112"/>
      <c r="O359" s="112"/>
      <c r="P359" s="112"/>
      <c r="Q359" s="112"/>
      <c r="R359" s="112"/>
      <c r="S359" s="112"/>
      <c r="T359" s="128"/>
      <c r="U359" s="128"/>
      <c r="V359" s="128"/>
      <c r="W359" s="128"/>
      <c r="X359" s="128"/>
      <c r="Y359" s="128"/>
      <c r="Z359" s="112"/>
      <c r="AA359" s="112"/>
      <c r="AB359" s="112"/>
      <c r="AC359" s="112"/>
      <c r="AD359" s="112"/>
      <c r="AE359" s="112"/>
      <c r="AF359" s="112"/>
      <c r="AG359" s="112"/>
      <c r="AH359" s="112"/>
      <c r="AI359" s="112"/>
      <c r="AJ359" s="112"/>
      <c r="AK359" s="112"/>
      <c r="AL359" s="112"/>
      <c r="AM359" s="112"/>
      <c r="AN359" s="112"/>
      <c r="AO359" s="112"/>
      <c r="AP359" s="112"/>
    </row>
    <row r="360" ht="15.75" customHeight="1">
      <c r="A360" s="112"/>
      <c r="B360" s="112"/>
      <c r="C360" s="112"/>
      <c r="D360" s="112"/>
      <c r="E360" s="128"/>
      <c r="F360" s="112"/>
      <c r="G360" s="112"/>
      <c r="H360" s="128"/>
      <c r="I360" s="112"/>
      <c r="J360" s="112"/>
      <c r="K360" s="112"/>
      <c r="L360" s="128"/>
      <c r="M360" s="128"/>
      <c r="N360" s="112"/>
      <c r="O360" s="112"/>
      <c r="P360" s="112"/>
      <c r="Q360" s="112"/>
      <c r="R360" s="112"/>
      <c r="S360" s="112"/>
      <c r="T360" s="128"/>
      <c r="U360" s="128"/>
      <c r="V360" s="128"/>
      <c r="W360" s="128"/>
      <c r="X360" s="128"/>
      <c r="Y360" s="128"/>
      <c r="Z360" s="112"/>
      <c r="AA360" s="112"/>
      <c r="AB360" s="112"/>
      <c r="AC360" s="112"/>
      <c r="AD360" s="112"/>
      <c r="AE360" s="112"/>
      <c r="AF360" s="112"/>
      <c r="AG360" s="112"/>
      <c r="AH360" s="112"/>
      <c r="AI360" s="112"/>
      <c r="AJ360" s="112"/>
      <c r="AK360" s="112"/>
      <c r="AL360" s="112"/>
      <c r="AM360" s="112"/>
      <c r="AN360" s="112"/>
      <c r="AO360" s="112"/>
      <c r="AP360" s="112"/>
    </row>
    <row r="361" ht="15.75" customHeight="1">
      <c r="A361" s="112"/>
      <c r="B361" s="112"/>
      <c r="C361" s="112"/>
      <c r="D361" s="112"/>
      <c r="E361" s="128"/>
      <c r="F361" s="112"/>
      <c r="G361" s="112"/>
      <c r="H361" s="128"/>
      <c r="I361" s="112"/>
      <c r="J361" s="112"/>
      <c r="K361" s="112"/>
      <c r="L361" s="128"/>
      <c r="M361" s="128"/>
      <c r="N361" s="112"/>
      <c r="O361" s="112"/>
      <c r="P361" s="112"/>
      <c r="Q361" s="112"/>
      <c r="R361" s="112"/>
      <c r="S361" s="112"/>
      <c r="T361" s="128"/>
      <c r="U361" s="128"/>
      <c r="V361" s="128"/>
      <c r="W361" s="128"/>
      <c r="X361" s="128"/>
      <c r="Y361" s="128"/>
      <c r="Z361" s="112"/>
      <c r="AA361" s="112"/>
      <c r="AB361" s="112"/>
      <c r="AC361" s="112"/>
      <c r="AD361" s="112"/>
      <c r="AE361" s="112"/>
      <c r="AF361" s="112"/>
      <c r="AG361" s="112"/>
      <c r="AH361" s="112"/>
      <c r="AI361" s="112"/>
      <c r="AJ361" s="112"/>
      <c r="AK361" s="112"/>
      <c r="AL361" s="112"/>
      <c r="AM361" s="112"/>
      <c r="AN361" s="112"/>
      <c r="AO361" s="112"/>
      <c r="AP361" s="112"/>
    </row>
    <row r="362" ht="15.75" customHeight="1">
      <c r="A362" s="112"/>
      <c r="B362" s="112"/>
      <c r="C362" s="112"/>
      <c r="D362" s="112"/>
      <c r="E362" s="128"/>
      <c r="F362" s="112"/>
      <c r="G362" s="112"/>
      <c r="H362" s="128"/>
      <c r="I362" s="112"/>
      <c r="J362" s="112"/>
      <c r="K362" s="112"/>
      <c r="L362" s="128"/>
      <c r="M362" s="128"/>
      <c r="N362" s="112"/>
      <c r="O362" s="112"/>
      <c r="P362" s="112"/>
      <c r="Q362" s="112"/>
      <c r="R362" s="112"/>
      <c r="S362" s="112"/>
      <c r="T362" s="128"/>
      <c r="U362" s="128"/>
      <c r="V362" s="128"/>
      <c r="W362" s="128"/>
      <c r="X362" s="128"/>
      <c r="Y362" s="128"/>
      <c r="Z362" s="112"/>
      <c r="AA362" s="112"/>
      <c r="AB362" s="112"/>
      <c r="AC362" s="112"/>
      <c r="AD362" s="112"/>
      <c r="AE362" s="112"/>
      <c r="AF362" s="112"/>
      <c r="AG362" s="112"/>
      <c r="AH362" s="112"/>
      <c r="AI362" s="112"/>
      <c r="AJ362" s="112"/>
      <c r="AK362" s="112"/>
      <c r="AL362" s="112"/>
      <c r="AM362" s="112"/>
      <c r="AN362" s="112"/>
      <c r="AO362" s="112"/>
      <c r="AP362" s="112"/>
    </row>
    <row r="363" ht="15.75" customHeight="1">
      <c r="A363" s="112"/>
      <c r="B363" s="112"/>
      <c r="C363" s="112"/>
      <c r="D363" s="112"/>
      <c r="E363" s="128"/>
      <c r="F363" s="112"/>
      <c r="G363" s="112"/>
      <c r="H363" s="128"/>
      <c r="I363" s="112"/>
      <c r="J363" s="112"/>
      <c r="K363" s="112"/>
      <c r="L363" s="128"/>
      <c r="M363" s="128"/>
      <c r="N363" s="112"/>
      <c r="O363" s="112"/>
      <c r="P363" s="112"/>
      <c r="Q363" s="112"/>
      <c r="R363" s="112"/>
      <c r="S363" s="112"/>
      <c r="T363" s="128"/>
      <c r="U363" s="128"/>
      <c r="V363" s="128"/>
      <c r="W363" s="128"/>
      <c r="X363" s="128"/>
      <c r="Y363" s="128"/>
      <c r="Z363" s="112"/>
      <c r="AA363" s="112"/>
      <c r="AB363" s="112"/>
      <c r="AC363" s="112"/>
      <c r="AD363" s="112"/>
      <c r="AE363" s="112"/>
      <c r="AF363" s="112"/>
      <c r="AG363" s="112"/>
      <c r="AH363" s="112"/>
      <c r="AI363" s="112"/>
      <c r="AJ363" s="112"/>
      <c r="AK363" s="112"/>
      <c r="AL363" s="112"/>
      <c r="AM363" s="112"/>
      <c r="AN363" s="112"/>
      <c r="AO363" s="112"/>
      <c r="AP363" s="112"/>
    </row>
    <row r="364" ht="15.75" customHeight="1">
      <c r="A364" s="112"/>
      <c r="B364" s="112"/>
      <c r="C364" s="112"/>
      <c r="D364" s="112"/>
      <c r="E364" s="128"/>
      <c r="F364" s="112"/>
      <c r="G364" s="112"/>
      <c r="H364" s="128"/>
      <c r="I364" s="112"/>
      <c r="J364" s="112"/>
      <c r="K364" s="112"/>
      <c r="L364" s="128"/>
      <c r="M364" s="128"/>
      <c r="N364" s="112"/>
      <c r="O364" s="112"/>
      <c r="P364" s="112"/>
      <c r="Q364" s="112"/>
      <c r="R364" s="112"/>
      <c r="S364" s="112"/>
      <c r="T364" s="128"/>
      <c r="U364" s="128"/>
      <c r="V364" s="128"/>
      <c r="W364" s="128"/>
      <c r="X364" s="128"/>
      <c r="Y364" s="128"/>
      <c r="Z364" s="112"/>
      <c r="AA364" s="112"/>
      <c r="AB364" s="112"/>
      <c r="AC364" s="112"/>
      <c r="AD364" s="112"/>
      <c r="AE364" s="112"/>
      <c r="AF364" s="112"/>
      <c r="AG364" s="112"/>
      <c r="AH364" s="112"/>
      <c r="AI364" s="112"/>
      <c r="AJ364" s="112"/>
      <c r="AK364" s="112"/>
      <c r="AL364" s="112"/>
      <c r="AM364" s="112"/>
      <c r="AN364" s="112"/>
      <c r="AO364" s="112"/>
      <c r="AP364" s="112"/>
    </row>
    <row r="365" ht="15.75" customHeight="1">
      <c r="A365" s="112"/>
      <c r="B365" s="112"/>
      <c r="C365" s="112"/>
      <c r="D365" s="112"/>
      <c r="E365" s="128"/>
      <c r="F365" s="112"/>
      <c r="G365" s="112"/>
      <c r="H365" s="128"/>
      <c r="I365" s="112"/>
      <c r="J365" s="112"/>
      <c r="K365" s="112"/>
      <c r="L365" s="128"/>
      <c r="M365" s="128"/>
      <c r="N365" s="112"/>
      <c r="O365" s="112"/>
      <c r="P365" s="112"/>
      <c r="Q365" s="112"/>
      <c r="R365" s="112"/>
      <c r="S365" s="112"/>
      <c r="T365" s="128"/>
      <c r="U365" s="128"/>
      <c r="V365" s="128"/>
      <c r="W365" s="128"/>
      <c r="X365" s="128"/>
      <c r="Y365" s="128"/>
      <c r="Z365" s="112"/>
      <c r="AA365" s="112"/>
      <c r="AB365" s="112"/>
      <c r="AC365" s="112"/>
      <c r="AD365" s="112"/>
      <c r="AE365" s="112"/>
      <c r="AF365" s="112"/>
      <c r="AG365" s="112"/>
      <c r="AH365" s="112"/>
      <c r="AI365" s="112"/>
      <c r="AJ365" s="112"/>
      <c r="AK365" s="112"/>
      <c r="AL365" s="112"/>
      <c r="AM365" s="112"/>
      <c r="AN365" s="112"/>
      <c r="AO365" s="112"/>
      <c r="AP365" s="112"/>
    </row>
    <row r="366" ht="15.75" customHeight="1">
      <c r="A366" s="112"/>
      <c r="B366" s="112"/>
      <c r="C366" s="112"/>
      <c r="D366" s="112"/>
      <c r="E366" s="128"/>
      <c r="F366" s="112"/>
      <c r="G366" s="112"/>
      <c r="H366" s="128"/>
      <c r="I366" s="112"/>
      <c r="J366" s="112"/>
      <c r="K366" s="112"/>
      <c r="L366" s="128"/>
      <c r="M366" s="128"/>
      <c r="N366" s="112"/>
      <c r="O366" s="112"/>
      <c r="P366" s="112"/>
      <c r="Q366" s="112"/>
      <c r="R366" s="112"/>
      <c r="S366" s="112"/>
      <c r="T366" s="128"/>
      <c r="U366" s="128"/>
      <c r="V366" s="128"/>
      <c r="W366" s="128"/>
      <c r="X366" s="128"/>
      <c r="Y366" s="128"/>
      <c r="Z366" s="112"/>
      <c r="AA366" s="112"/>
      <c r="AB366" s="112"/>
      <c r="AC366" s="112"/>
      <c r="AD366" s="112"/>
      <c r="AE366" s="112"/>
      <c r="AF366" s="112"/>
      <c r="AG366" s="112"/>
      <c r="AH366" s="112"/>
      <c r="AI366" s="112"/>
      <c r="AJ366" s="112"/>
      <c r="AK366" s="112"/>
      <c r="AL366" s="112"/>
      <c r="AM366" s="112"/>
      <c r="AN366" s="112"/>
      <c r="AO366" s="112"/>
      <c r="AP366" s="112"/>
    </row>
    <row r="367" ht="15.75" customHeight="1">
      <c r="A367" s="112"/>
      <c r="B367" s="112"/>
      <c r="C367" s="112"/>
      <c r="D367" s="112"/>
      <c r="E367" s="128"/>
      <c r="F367" s="112"/>
      <c r="G367" s="112"/>
      <c r="H367" s="128"/>
      <c r="I367" s="112"/>
      <c r="J367" s="112"/>
      <c r="K367" s="112"/>
      <c r="L367" s="128"/>
      <c r="M367" s="128"/>
      <c r="N367" s="112"/>
      <c r="O367" s="112"/>
      <c r="P367" s="112"/>
      <c r="Q367" s="112"/>
      <c r="R367" s="112"/>
      <c r="S367" s="112"/>
      <c r="T367" s="128"/>
      <c r="U367" s="128"/>
      <c r="V367" s="128"/>
      <c r="W367" s="128"/>
      <c r="X367" s="128"/>
      <c r="Y367" s="128"/>
      <c r="Z367" s="112"/>
      <c r="AA367" s="112"/>
      <c r="AB367" s="112"/>
      <c r="AC367" s="112"/>
      <c r="AD367" s="112"/>
      <c r="AE367" s="112"/>
      <c r="AF367" s="112"/>
      <c r="AG367" s="112"/>
      <c r="AH367" s="112"/>
      <c r="AI367" s="112"/>
      <c r="AJ367" s="112"/>
      <c r="AK367" s="112"/>
      <c r="AL367" s="112"/>
      <c r="AM367" s="112"/>
      <c r="AN367" s="112"/>
      <c r="AO367" s="112"/>
      <c r="AP367" s="112"/>
    </row>
    <row r="368" ht="15.75" customHeight="1">
      <c r="A368" s="112"/>
      <c r="B368" s="112"/>
      <c r="C368" s="112"/>
      <c r="D368" s="112"/>
      <c r="E368" s="128"/>
      <c r="F368" s="112"/>
      <c r="G368" s="112"/>
      <c r="H368" s="128"/>
      <c r="I368" s="112"/>
      <c r="J368" s="112"/>
      <c r="K368" s="112"/>
      <c r="L368" s="128"/>
      <c r="M368" s="128"/>
      <c r="N368" s="112"/>
      <c r="O368" s="112"/>
      <c r="P368" s="112"/>
      <c r="Q368" s="112"/>
      <c r="R368" s="112"/>
      <c r="S368" s="112"/>
      <c r="T368" s="128"/>
      <c r="U368" s="128"/>
      <c r="V368" s="128"/>
      <c r="W368" s="128"/>
      <c r="X368" s="128"/>
      <c r="Y368" s="128"/>
      <c r="Z368" s="112"/>
      <c r="AA368" s="112"/>
      <c r="AB368" s="112"/>
      <c r="AC368" s="112"/>
      <c r="AD368" s="112"/>
      <c r="AE368" s="112"/>
      <c r="AF368" s="112"/>
      <c r="AG368" s="112"/>
      <c r="AH368" s="112"/>
      <c r="AI368" s="112"/>
      <c r="AJ368" s="112"/>
      <c r="AK368" s="112"/>
      <c r="AL368" s="112"/>
      <c r="AM368" s="112"/>
      <c r="AN368" s="112"/>
      <c r="AO368" s="112"/>
      <c r="AP368" s="112"/>
    </row>
    <row r="369" ht="15.75" customHeight="1">
      <c r="A369" s="112"/>
      <c r="B369" s="112"/>
      <c r="C369" s="112"/>
      <c r="D369" s="112"/>
      <c r="E369" s="128"/>
      <c r="F369" s="112"/>
      <c r="G369" s="112"/>
      <c r="H369" s="128"/>
      <c r="I369" s="112"/>
      <c r="J369" s="112"/>
      <c r="K369" s="112"/>
      <c r="L369" s="128"/>
      <c r="M369" s="128"/>
      <c r="N369" s="112"/>
      <c r="O369" s="112"/>
      <c r="P369" s="112"/>
      <c r="Q369" s="112"/>
      <c r="R369" s="112"/>
      <c r="S369" s="112"/>
      <c r="T369" s="128"/>
      <c r="U369" s="128"/>
      <c r="V369" s="128"/>
      <c r="W369" s="128"/>
      <c r="X369" s="128"/>
      <c r="Y369" s="128"/>
      <c r="Z369" s="112"/>
      <c r="AA369" s="112"/>
      <c r="AB369" s="112"/>
      <c r="AC369" s="112"/>
      <c r="AD369" s="112"/>
      <c r="AE369" s="112"/>
      <c r="AF369" s="112"/>
      <c r="AG369" s="112"/>
      <c r="AH369" s="112"/>
      <c r="AI369" s="112"/>
      <c r="AJ369" s="112"/>
      <c r="AK369" s="112"/>
      <c r="AL369" s="112"/>
      <c r="AM369" s="112"/>
      <c r="AN369" s="112"/>
      <c r="AO369" s="112"/>
      <c r="AP369" s="112"/>
    </row>
    <row r="370" ht="15.75" customHeight="1">
      <c r="A370" s="112"/>
      <c r="B370" s="112"/>
      <c r="C370" s="112"/>
      <c r="D370" s="112"/>
      <c r="E370" s="128"/>
      <c r="F370" s="112"/>
      <c r="G370" s="112"/>
      <c r="H370" s="128"/>
      <c r="I370" s="112"/>
      <c r="J370" s="112"/>
      <c r="K370" s="112"/>
      <c r="L370" s="128"/>
      <c r="M370" s="128"/>
      <c r="N370" s="112"/>
      <c r="O370" s="112"/>
      <c r="P370" s="112"/>
      <c r="Q370" s="112"/>
      <c r="R370" s="112"/>
      <c r="S370" s="112"/>
      <c r="T370" s="128"/>
      <c r="U370" s="128"/>
      <c r="V370" s="128"/>
      <c r="W370" s="128"/>
      <c r="X370" s="128"/>
      <c r="Y370" s="128"/>
      <c r="Z370" s="112"/>
      <c r="AA370" s="112"/>
      <c r="AB370" s="112"/>
      <c r="AC370" s="112"/>
      <c r="AD370" s="112"/>
      <c r="AE370" s="112"/>
      <c r="AF370" s="112"/>
      <c r="AG370" s="112"/>
      <c r="AH370" s="112"/>
      <c r="AI370" s="112"/>
      <c r="AJ370" s="112"/>
      <c r="AK370" s="112"/>
      <c r="AL370" s="112"/>
      <c r="AM370" s="112"/>
      <c r="AN370" s="112"/>
      <c r="AO370" s="112"/>
      <c r="AP370" s="112"/>
    </row>
    <row r="371" ht="15.75" customHeight="1">
      <c r="A371" s="112"/>
      <c r="B371" s="112"/>
      <c r="C371" s="112"/>
      <c r="D371" s="112"/>
      <c r="E371" s="128"/>
      <c r="F371" s="112"/>
      <c r="G371" s="112"/>
      <c r="H371" s="128"/>
      <c r="I371" s="112"/>
      <c r="J371" s="112"/>
      <c r="K371" s="112"/>
      <c r="L371" s="128"/>
      <c r="M371" s="128"/>
      <c r="N371" s="112"/>
      <c r="O371" s="112"/>
      <c r="P371" s="112"/>
      <c r="Q371" s="112"/>
      <c r="R371" s="112"/>
      <c r="S371" s="112"/>
      <c r="T371" s="128"/>
      <c r="U371" s="128"/>
      <c r="V371" s="128"/>
      <c r="W371" s="128"/>
      <c r="X371" s="128"/>
      <c r="Y371" s="128"/>
      <c r="Z371" s="112"/>
      <c r="AA371" s="112"/>
      <c r="AB371" s="112"/>
      <c r="AC371" s="112"/>
      <c r="AD371" s="112"/>
      <c r="AE371" s="112"/>
      <c r="AF371" s="112"/>
      <c r="AG371" s="112"/>
      <c r="AH371" s="112"/>
      <c r="AI371" s="112"/>
      <c r="AJ371" s="112"/>
      <c r="AK371" s="112"/>
      <c r="AL371" s="112"/>
      <c r="AM371" s="112"/>
      <c r="AN371" s="112"/>
      <c r="AO371" s="112"/>
      <c r="AP371" s="112"/>
    </row>
    <row r="372" ht="15.75" customHeight="1">
      <c r="A372" s="112"/>
      <c r="B372" s="112"/>
      <c r="C372" s="112"/>
      <c r="D372" s="112"/>
      <c r="E372" s="128"/>
      <c r="F372" s="112"/>
      <c r="G372" s="112"/>
      <c r="H372" s="128"/>
      <c r="I372" s="112"/>
      <c r="J372" s="112"/>
      <c r="K372" s="112"/>
      <c r="L372" s="128"/>
      <c r="M372" s="128"/>
      <c r="N372" s="112"/>
      <c r="O372" s="112"/>
      <c r="P372" s="112"/>
      <c r="Q372" s="112"/>
      <c r="R372" s="112"/>
      <c r="S372" s="112"/>
      <c r="T372" s="128"/>
      <c r="U372" s="128"/>
      <c r="V372" s="128"/>
      <c r="W372" s="128"/>
      <c r="X372" s="128"/>
      <c r="Y372" s="128"/>
      <c r="Z372" s="112"/>
      <c r="AA372" s="112"/>
      <c r="AB372" s="112"/>
      <c r="AC372" s="112"/>
      <c r="AD372" s="112"/>
      <c r="AE372" s="112"/>
      <c r="AF372" s="112"/>
      <c r="AG372" s="112"/>
      <c r="AH372" s="112"/>
      <c r="AI372" s="112"/>
      <c r="AJ372" s="112"/>
      <c r="AK372" s="112"/>
      <c r="AL372" s="112"/>
      <c r="AM372" s="112"/>
      <c r="AN372" s="112"/>
      <c r="AO372" s="112"/>
      <c r="AP372" s="112"/>
    </row>
    <row r="373" ht="15.75" customHeight="1">
      <c r="A373" s="112"/>
      <c r="B373" s="112"/>
      <c r="C373" s="112"/>
      <c r="D373" s="112"/>
      <c r="E373" s="128"/>
      <c r="F373" s="112"/>
      <c r="G373" s="112"/>
      <c r="H373" s="128"/>
      <c r="I373" s="112"/>
      <c r="J373" s="112"/>
      <c r="K373" s="112"/>
      <c r="L373" s="128"/>
      <c r="M373" s="128"/>
      <c r="N373" s="112"/>
      <c r="O373" s="112"/>
      <c r="P373" s="112"/>
      <c r="Q373" s="112"/>
      <c r="R373" s="112"/>
      <c r="S373" s="112"/>
      <c r="T373" s="128"/>
      <c r="U373" s="128"/>
      <c r="V373" s="128"/>
      <c r="W373" s="128"/>
      <c r="X373" s="128"/>
      <c r="Y373" s="128"/>
      <c r="Z373" s="112"/>
      <c r="AA373" s="112"/>
      <c r="AB373" s="112"/>
      <c r="AC373" s="112"/>
      <c r="AD373" s="112"/>
      <c r="AE373" s="112"/>
      <c r="AF373" s="112"/>
      <c r="AG373" s="112"/>
      <c r="AH373" s="112"/>
      <c r="AI373" s="112"/>
      <c r="AJ373" s="112"/>
      <c r="AK373" s="112"/>
      <c r="AL373" s="112"/>
      <c r="AM373" s="112"/>
      <c r="AN373" s="112"/>
      <c r="AO373" s="112"/>
      <c r="AP373" s="112"/>
    </row>
    <row r="374" ht="15.75" customHeight="1">
      <c r="A374" s="112"/>
      <c r="B374" s="112"/>
      <c r="C374" s="112"/>
      <c r="D374" s="112"/>
      <c r="E374" s="128"/>
      <c r="F374" s="112"/>
      <c r="G374" s="112"/>
      <c r="H374" s="128"/>
      <c r="I374" s="112"/>
      <c r="J374" s="112"/>
      <c r="K374" s="112"/>
      <c r="L374" s="128"/>
      <c r="M374" s="128"/>
      <c r="N374" s="112"/>
      <c r="O374" s="112"/>
      <c r="P374" s="112"/>
      <c r="Q374" s="112"/>
      <c r="R374" s="112"/>
      <c r="S374" s="112"/>
      <c r="T374" s="128"/>
      <c r="U374" s="128"/>
      <c r="V374" s="128"/>
      <c r="W374" s="128"/>
      <c r="X374" s="128"/>
      <c r="Y374" s="128"/>
      <c r="Z374" s="112"/>
      <c r="AA374" s="112"/>
      <c r="AB374" s="112"/>
      <c r="AC374" s="112"/>
      <c r="AD374" s="112"/>
      <c r="AE374" s="112"/>
      <c r="AF374" s="112"/>
      <c r="AG374" s="112"/>
      <c r="AH374" s="112"/>
      <c r="AI374" s="112"/>
      <c r="AJ374" s="112"/>
      <c r="AK374" s="112"/>
      <c r="AL374" s="112"/>
      <c r="AM374" s="112"/>
      <c r="AN374" s="112"/>
      <c r="AO374" s="112"/>
      <c r="AP374" s="112"/>
    </row>
    <row r="375" ht="15.75" customHeight="1">
      <c r="A375" s="112"/>
      <c r="B375" s="112"/>
      <c r="C375" s="112"/>
      <c r="D375" s="112"/>
      <c r="E375" s="128"/>
      <c r="F375" s="112"/>
      <c r="G375" s="112"/>
      <c r="H375" s="128"/>
      <c r="I375" s="112"/>
      <c r="J375" s="112"/>
      <c r="K375" s="112"/>
      <c r="L375" s="128"/>
      <c r="M375" s="128"/>
      <c r="N375" s="112"/>
      <c r="O375" s="112"/>
      <c r="P375" s="112"/>
      <c r="Q375" s="112"/>
      <c r="R375" s="112"/>
      <c r="S375" s="112"/>
      <c r="T375" s="128"/>
      <c r="U375" s="128"/>
      <c r="V375" s="128"/>
      <c r="W375" s="128"/>
      <c r="X375" s="128"/>
      <c r="Y375" s="128"/>
      <c r="Z375" s="112"/>
      <c r="AA375" s="112"/>
      <c r="AB375" s="112"/>
      <c r="AC375" s="112"/>
      <c r="AD375" s="112"/>
      <c r="AE375" s="112"/>
      <c r="AF375" s="112"/>
      <c r="AG375" s="112"/>
      <c r="AH375" s="112"/>
      <c r="AI375" s="112"/>
      <c r="AJ375" s="112"/>
      <c r="AK375" s="112"/>
      <c r="AL375" s="112"/>
      <c r="AM375" s="112"/>
      <c r="AN375" s="112"/>
      <c r="AO375" s="112"/>
      <c r="AP375" s="112"/>
    </row>
    <row r="376" ht="15.75" customHeight="1">
      <c r="A376" s="112"/>
      <c r="B376" s="112"/>
      <c r="C376" s="112"/>
      <c r="D376" s="112"/>
      <c r="E376" s="128"/>
      <c r="F376" s="112"/>
      <c r="G376" s="112"/>
      <c r="H376" s="128"/>
      <c r="I376" s="112"/>
      <c r="J376" s="112"/>
      <c r="K376" s="112"/>
      <c r="L376" s="128"/>
      <c r="M376" s="128"/>
      <c r="N376" s="112"/>
      <c r="O376" s="112"/>
      <c r="P376" s="112"/>
      <c r="Q376" s="112"/>
      <c r="R376" s="112"/>
      <c r="S376" s="112"/>
      <c r="T376" s="128"/>
      <c r="U376" s="128"/>
      <c r="V376" s="128"/>
      <c r="W376" s="128"/>
      <c r="X376" s="128"/>
      <c r="Y376" s="128"/>
      <c r="Z376" s="112"/>
      <c r="AA376" s="112"/>
      <c r="AB376" s="112"/>
      <c r="AC376" s="112"/>
      <c r="AD376" s="112"/>
      <c r="AE376" s="112"/>
      <c r="AF376" s="112"/>
      <c r="AG376" s="112"/>
      <c r="AH376" s="112"/>
      <c r="AI376" s="112"/>
      <c r="AJ376" s="112"/>
      <c r="AK376" s="112"/>
      <c r="AL376" s="112"/>
      <c r="AM376" s="112"/>
      <c r="AN376" s="112"/>
      <c r="AO376" s="112"/>
      <c r="AP376" s="112"/>
    </row>
    <row r="377" ht="15.75" customHeight="1">
      <c r="A377" s="112"/>
      <c r="B377" s="112"/>
      <c r="C377" s="112"/>
      <c r="D377" s="112"/>
      <c r="E377" s="128"/>
      <c r="F377" s="112"/>
      <c r="G377" s="112"/>
      <c r="H377" s="128"/>
      <c r="I377" s="112"/>
      <c r="J377" s="112"/>
      <c r="K377" s="112"/>
      <c r="L377" s="128"/>
      <c r="M377" s="128"/>
      <c r="N377" s="112"/>
      <c r="O377" s="112"/>
      <c r="P377" s="112"/>
      <c r="Q377" s="112"/>
      <c r="R377" s="112"/>
      <c r="S377" s="112"/>
      <c r="T377" s="128"/>
      <c r="U377" s="128"/>
      <c r="V377" s="128"/>
      <c r="W377" s="128"/>
      <c r="X377" s="128"/>
      <c r="Y377" s="128"/>
      <c r="Z377" s="112"/>
      <c r="AA377" s="112"/>
      <c r="AB377" s="112"/>
      <c r="AC377" s="112"/>
      <c r="AD377" s="112"/>
      <c r="AE377" s="112"/>
      <c r="AF377" s="112"/>
      <c r="AG377" s="112"/>
      <c r="AH377" s="112"/>
      <c r="AI377" s="112"/>
      <c r="AJ377" s="112"/>
      <c r="AK377" s="112"/>
      <c r="AL377" s="112"/>
      <c r="AM377" s="112"/>
      <c r="AN377" s="112"/>
      <c r="AO377" s="112"/>
      <c r="AP377" s="112"/>
    </row>
    <row r="378" ht="15.75" customHeight="1">
      <c r="A378" s="112"/>
      <c r="B378" s="112"/>
      <c r="C378" s="112"/>
      <c r="D378" s="112"/>
      <c r="E378" s="128"/>
      <c r="F378" s="112"/>
      <c r="G378" s="112"/>
      <c r="H378" s="128"/>
      <c r="I378" s="112"/>
      <c r="J378" s="112"/>
      <c r="K378" s="112"/>
      <c r="L378" s="128"/>
      <c r="M378" s="128"/>
      <c r="N378" s="112"/>
      <c r="O378" s="112"/>
      <c r="P378" s="112"/>
      <c r="Q378" s="112"/>
      <c r="R378" s="112"/>
      <c r="S378" s="112"/>
      <c r="T378" s="128"/>
      <c r="U378" s="128"/>
      <c r="V378" s="128"/>
      <c r="W378" s="128"/>
      <c r="X378" s="128"/>
      <c r="Y378" s="128"/>
      <c r="Z378" s="112"/>
      <c r="AA378" s="112"/>
      <c r="AB378" s="112"/>
      <c r="AC378" s="112"/>
      <c r="AD378" s="112"/>
      <c r="AE378" s="112"/>
      <c r="AF378" s="112"/>
      <c r="AG378" s="112"/>
      <c r="AH378" s="112"/>
      <c r="AI378" s="112"/>
      <c r="AJ378" s="112"/>
      <c r="AK378" s="112"/>
      <c r="AL378" s="112"/>
      <c r="AM378" s="112"/>
      <c r="AN378" s="112"/>
      <c r="AO378" s="112"/>
      <c r="AP378" s="112"/>
    </row>
    <row r="379" ht="15.75" customHeight="1">
      <c r="A379" s="112"/>
      <c r="B379" s="112"/>
      <c r="C379" s="112"/>
      <c r="D379" s="112"/>
      <c r="E379" s="128"/>
      <c r="F379" s="112"/>
      <c r="G379" s="112"/>
      <c r="H379" s="128"/>
      <c r="I379" s="112"/>
      <c r="J379" s="112"/>
      <c r="K379" s="112"/>
      <c r="L379" s="128"/>
      <c r="M379" s="128"/>
      <c r="N379" s="112"/>
      <c r="O379" s="112"/>
      <c r="P379" s="112"/>
      <c r="Q379" s="112"/>
      <c r="R379" s="112"/>
      <c r="S379" s="112"/>
      <c r="T379" s="128"/>
      <c r="U379" s="128"/>
      <c r="V379" s="128"/>
      <c r="W379" s="128"/>
      <c r="X379" s="128"/>
      <c r="Y379" s="128"/>
      <c r="Z379" s="112"/>
      <c r="AA379" s="112"/>
      <c r="AB379" s="112"/>
      <c r="AC379" s="112"/>
      <c r="AD379" s="112"/>
      <c r="AE379" s="112"/>
      <c r="AF379" s="112"/>
      <c r="AG379" s="112"/>
      <c r="AH379" s="112"/>
      <c r="AI379" s="112"/>
      <c r="AJ379" s="112"/>
      <c r="AK379" s="112"/>
      <c r="AL379" s="112"/>
      <c r="AM379" s="112"/>
      <c r="AN379" s="112"/>
      <c r="AO379" s="112"/>
      <c r="AP379" s="112"/>
    </row>
    <row r="380" ht="15.75" customHeight="1">
      <c r="A380" s="112"/>
      <c r="B380" s="112"/>
      <c r="C380" s="112"/>
      <c r="D380" s="112"/>
      <c r="E380" s="128"/>
      <c r="F380" s="112"/>
      <c r="G380" s="112"/>
      <c r="H380" s="128"/>
      <c r="I380" s="112"/>
      <c r="J380" s="112"/>
      <c r="K380" s="112"/>
      <c r="L380" s="128"/>
      <c r="M380" s="128"/>
      <c r="N380" s="112"/>
      <c r="O380" s="112"/>
      <c r="P380" s="112"/>
      <c r="Q380" s="112"/>
      <c r="R380" s="112"/>
      <c r="S380" s="112"/>
      <c r="T380" s="128"/>
      <c r="U380" s="128"/>
      <c r="V380" s="128"/>
      <c r="W380" s="128"/>
      <c r="X380" s="128"/>
      <c r="Y380" s="128"/>
      <c r="Z380" s="112"/>
      <c r="AA380" s="112"/>
      <c r="AB380" s="112"/>
      <c r="AC380" s="112"/>
      <c r="AD380" s="112"/>
      <c r="AE380" s="112"/>
      <c r="AF380" s="112"/>
      <c r="AG380" s="112"/>
      <c r="AH380" s="112"/>
      <c r="AI380" s="112"/>
      <c r="AJ380" s="112"/>
      <c r="AK380" s="112"/>
      <c r="AL380" s="112"/>
      <c r="AM380" s="112"/>
      <c r="AN380" s="112"/>
      <c r="AO380" s="112"/>
      <c r="AP380" s="112"/>
    </row>
    <row r="381" ht="15.75" customHeight="1">
      <c r="A381" s="112"/>
      <c r="B381" s="112"/>
      <c r="C381" s="112"/>
      <c r="D381" s="112"/>
      <c r="E381" s="128"/>
      <c r="F381" s="112"/>
      <c r="G381" s="112"/>
      <c r="H381" s="128"/>
      <c r="I381" s="112"/>
      <c r="J381" s="112"/>
      <c r="K381" s="112"/>
      <c r="L381" s="128"/>
      <c r="M381" s="128"/>
      <c r="N381" s="112"/>
      <c r="O381" s="112"/>
      <c r="P381" s="112"/>
      <c r="Q381" s="112"/>
      <c r="R381" s="112"/>
      <c r="S381" s="112"/>
      <c r="T381" s="128"/>
      <c r="U381" s="128"/>
      <c r="V381" s="128"/>
      <c r="W381" s="128"/>
      <c r="X381" s="128"/>
      <c r="Y381" s="128"/>
      <c r="Z381" s="112"/>
      <c r="AA381" s="112"/>
      <c r="AB381" s="112"/>
      <c r="AC381" s="112"/>
      <c r="AD381" s="112"/>
      <c r="AE381" s="112"/>
      <c r="AF381" s="112"/>
      <c r="AG381" s="112"/>
      <c r="AH381" s="112"/>
      <c r="AI381" s="112"/>
      <c r="AJ381" s="112"/>
      <c r="AK381" s="112"/>
      <c r="AL381" s="112"/>
      <c r="AM381" s="112"/>
      <c r="AN381" s="112"/>
      <c r="AO381" s="112"/>
      <c r="AP381" s="112"/>
    </row>
    <row r="382" ht="15.75" customHeight="1">
      <c r="A382" s="112"/>
      <c r="B382" s="112"/>
      <c r="C382" s="112"/>
      <c r="D382" s="112"/>
      <c r="E382" s="128"/>
      <c r="F382" s="112"/>
      <c r="G382" s="112"/>
      <c r="H382" s="128"/>
      <c r="I382" s="112"/>
      <c r="J382" s="112"/>
      <c r="K382" s="112"/>
      <c r="L382" s="128"/>
      <c r="M382" s="128"/>
      <c r="N382" s="112"/>
      <c r="O382" s="112"/>
      <c r="P382" s="112"/>
      <c r="Q382" s="112"/>
      <c r="R382" s="112"/>
      <c r="S382" s="112"/>
      <c r="T382" s="128"/>
      <c r="U382" s="128"/>
      <c r="V382" s="128"/>
      <c r="W382" s="128"/>
      <c r="X382" s="128"/>
      <c r="Y382" s="128"/>
      <c r="Z382" s="112"/>
      <c r="AA382" s="112"/>
      <c r="AB382" s="112"/>
      <c r="AC382" s="112"/>
      <c r="AD382" s="112"/>
      <c r="AE382" s="112"/>
      <c r="AF382" s="112"/>
      <c r="AG382" s="112"/>
      <c r="AH382" s="112"/>
      <c r="AI382" s="112"/>
      <c r="AJ382" s="112"/>
      <c r="AK382" s="112"/>
      <c r="AL382" s="112"/>
      <c r="AM382" s="112"/>
      <c r="AN382" s="112"/>
      <c r="AO382" s="112"/>
      <c r="AP382" s="112"/>
    </row>
    <row r="383" ht="15.75" customHeight="1">
      <c r="A383" s="112"/>
      <c r="B383" s="112"/>
      <c r="C383" s="112"/>
      <c r="D383" s="112"/>
      <c r="E383" s="128"/>
      <c r="F383" s="112"/>
      <c r="G383" s="112"/>
      <c r="H383" s="128"/>
      <c r="I383" s="112"/>
      <c r="J383" s="112"/>
      <c r="K383" s="112"/>
      <c r="L383" s="128"/>
      <c r="M383" s="128"/>
      <c r="N383" s="112"/>
      <c r="O383" s="112"/>
      <c r="P383" s="112"/>
      <c r="Q383" s="112"/>
      <c r="R383" s="112"/>
      <c r="S383" s="112"/>
      <c r="T383" s="128"/>
      <c r="U383" s="128"/>
      <c r="V383" s="128"/>
      <c r="W383" s="128"/>
      <c r="X383" s="128"/>
      <c r="Y383" s="128"/>
      <c r="Z383" s="112"/>
      <c r="AA383" s="112"/>
      <c r="AB383" s="112"/>
      <c r="AC383" s="112"/>
      <c r="AD383" s="112"/>
      <c r="AE383" s="112"/>
      <c r="AF383" s="112"/>
      <c r="AG383" s="112"/>
      <c r="AH383" s="112"/>
      <c r="AI383" s="112"/>
      <c r="AJ383" s="112"/>
      <c r="AK383" s="112"/>
      <c r="AL383" s="112"/>
      <c r="AM383" s="112"/>
      <c r="AN383" s="112"/>
      <c r="AO383" s="112"/>
      <c r="AP383" s="112"/>
    </row>
    <row r="384" ht="15.75" customHeight="1">
      <c r="A384" s="112"/>
      <c r="B384" s="112"/>
      <c r="C384" s="112"/>
      <c r="D384" s="112"/>
      <c r="E384" s="128"/>
      <c r="F384" s="112"/>
      <c r="G384" s="112"/>
      <c r="H384" s="128"/>
      <c r="I384" s="112"/>
      <c r="J384" s="112"/>
      <c r="K384" s="112"/>
      <c r="L384" s="128"/>
      <c r="M384" s="128"/>
      <c r="N384" s="112"/>
      <c r="O384" s="112"/>
      <c r="P384" s="112"/>
      <c r="Q384" s="112"/>
      <c r="R384" s="112"/>
      <c r="S384" s="112"/>
      <c r="T384" s="128"/>
      <c r="U384" s="128"/>
      <c r="V384" s="128"/>
      <c r="W384" s="128"/>
      <c r="X384" s="128"/>
      <c r="Y384" s="128"/>
      <c r="Z384" s="112"/>
      <c r="AA384" s="112"/>
      <c r="AB384" s="112"/>
      <c r="AC384" s="112"/>
      <c r="AD384" s="112"/>
      <c r="AE384" s="112"/>
      <c r="AF384" s="112"/>
      <c r="AG384" s="112"/>
      <c r="AH384" s="112"/>
      <c r="AI384" s="112"/>
      <c r="AJ384" s="112"/>
      <c r="AK384" s="112"/>
      <c r="AL384" s="112"/>
      <c r="AM384" s="112"/>
      <c r="AN384" s="112"/>
      <c r="AO384" s="112"/>
      <c r="AP384" s="112"/>
    </row>
    <row r="385" ht="15.75" customHeight="1">
      <c r="A385" s="112"/>
      <c r="B385" s="112"/>
      <c r="C385" s="112"/>
      <c r="D385" s="112"/>
      <c r="E385" s="128"/>
      <c r="F385" s="112"/>
      <c r="G385" s="112"/>
      <c r="H385" s="128"/>
      <c r="I385" s="112"/>
      <c r="J385" s="112"/>
      <c r="K385" s="112"/>
      <c r="L385" s="128"/>
      <c r="M385" s="128"/>
      <c r="N385" s="112"/>
      <c r="O385" s="112"/>
      <c r="P385" s="112"/>
      <c r="Q385" s="112"/>
      <c r="R385" s="112"/>
      <c r="S385" s="112"/>
      <c r="T385" s="128"/>
      <c r="U385" s="128"/>
      <c r="V385" s="128"/>
      <c r="W385" s="128"/>
      <c r="X385" s="128"/>
      <c r="Y385" s="128"/>
      <c r="Z385" s="112"/>
      <c r="AA385" s="112"/>
      <c r="AB385" s="112"/>
      <c r="AC385" s="112"/>
      <c r="AD385" s="112"/>
      <c r="AE385" s="112"/>
      <c r="AF385" s="112"/>
      <c r="AG385" s="112"/>
      <c r="AH385" s="112"/>
      <c r="AI385" s="112"/>
      <c r="AJ385" s="112"/>
      <c r="AK385" s="112"/>
      <c r="AL385" s="112"/>
      <c r="AM385" s="112"/>
      <c r="AN385" s="112"/>
      <c r="AO385" s="112"/>
      <c r="AP385" s="112"/>
    </row>
    <row r="386" ht="15.75" customHeight="1">
      <c r="A386" s="112"/>
      <c r="B386" s="112"/>
      <c r="C386" s="112"/>
      <c r="D386" s="112"/>
      <c r="E386" s="128"/>
      <c r="F386" s="112"/>
      <c r="G386" s="112"/>
      <c r="H386" s="128"/>
      <c r="I386" s="112"/>
      <c r="J386" s="112"/>
      <c r="K386" s="112"/>
      <c r="L386" s="128"/>
      <c r="M386" s="128"/>
      <c r="N386" s="112"/>
      <c r="O386" s="112"/>
      <c r="P386" s="112"/>
      <c r="Q386" s="112"/>
      <c r="R386" s="112"/>
      <c r="S386" s="112"/>
      <c r="T386" s="128"/>
      <c r="U386" s="128"/>
      <c r="V386" s="128"/>
      <c r="W386" s="128"/>
      <c r="X386" s="128"/>
      <c r="Y386" s="128"/>
      <c r="Z386" s="112"/>
      <c r="AA386" s="112"/>
      <c r="AB386" s="112"/>
      <c r="AC386" s="112"/>
      <c r="AD386" s="112"/>
      <c r="AE386" s="112"/>
      <c r="AF386" s="112"/>
      <c r="AG386" s="112"/>
      <c r="AH386" s="112"/>
      <c r="AI386" s="112"/>
      <c r="AJ386" s="112"/>
      <c r="AK386" s="112"/>
      <c r="AL386" s="112"/>
      <c r="AM386" s="112"/>
      <c r="AN386" s="112"/>
      <c r="AO386" s="112"/>
      <c r="AP386" s="112"/>
    </row>
    <row r="387" ht="15.75" customHeight="1">
      <c r="A387" s="112"/>
      <c r="B387" s="112"/>
      <c r="C387" s="112"/>
      <c r="D387" s="112"/>
      <c r="E387" s="128"/>
      <c r="F387" s="112"/>
      <c r="G387" s="112"/>
      <c r="H387" s="128"/>
      <c r="I387" s="112"/>
      <c r="J387" s="112"/>
      <c r="K387" s="112"/>
      <c r="L387" s="128"/>
      <c r="M387" s="128"/>
      <c r="N387" s="112"/>
      <c r="O387" s="112"/>
      <c r="P387" s="112"/>
      <c r="Q387" s="112"/>
      <c r="R387" s="112"/>
      <c r="S387" s="112"/>
      <c r="T387" s="128"/>
      <c r="U387" s="128"/>
      <c r="V387" s="128"/>
      <c r="W387" s="128"/>
      <c r="X387" s="128"/>
      <c r="Y387" s="128"/>
      <c r="Z387" s="112"/>
      <c r="AA387" s="112"/>
      <c r="AB387" s="112"/>
      <c r="AC387" s="112"/>
      <c r="AD387" s="112"/>
      <c r="AE387" s="112"/>
      <c r="AF387" s="112"/>
      <c r="AG387" s="112"/>
      <c r="AH387" s="112"/>
      <c r="AI387" s="112"/>
      <c r="AJ387" s="112"/>
      <c r="AK387" s="112"/>
      <c r="AL387" s="112"/>
      <c r="AM387" s="112"/>
      <c r="AN387" s="112"/>
      <c r="AO387" s="112"/>
      <c r="AP387" s="112"/>
    </row>
    <row r="388" ht="15.75" customHeight="1">
      <c r="A388" s="112"/>
      <c r="B388" s="112"/>
      <c r="C388" s="112"/>
      <c r="D388" s="112"/>
      <c r="E388" s="128"/>
      <c r="F388" s="112"/>
      <c r="G388" s="112"/>
      <c r="H388" s="128"/>
      <c r="I388" s="112"/>
      <c r="J388" s="112"/>
      <c r="K388" s="112"/>
      <c r="L388" s="128"/>
      <c r="M388" s="128"/>
      <c r="N388" s="112"/>
      <c r="O388" s="112"/>
      <c r="P388" s="112"/>
      <c r="Q388" s="112"/>
      <c r="R388" s="112"/>
      <c r="S388" s="112"/>
      <c r="T388" s="128"/>
      <c r="U388" s="128"/>
      <c r="V388" s="128"/>
      <c r="W388" s="128"/>
      <c r="X388" s="128"/>
      <c r="Y388" s="128"/>
      <c r="Z388" s="112"/>
      <c r="AA388" s="112"/>
      <c r="AB388" s="112"/>
      <c r="AC388" s="112"/>
      <c r="AD388" s="112"/>
      <c r="AE388" s="112"/>
      <c r="AF388" s="112"/>
      <c r="AG388" s="112"/>
      <c r="AH388" s="112"/>
      <c r="AI388" s="112"/>
      <c r="AJ388" s="112"/>
      <c r="AK388" s="112"/>
      <c r="AL388" s="112"/>
      <c r="AM388" s="112"/>
      <c r="AN388" s="112"/>
      <c r="AO388" s="112"/>
      <c r="AP388" s="112"/>
    </row>
    <row r="389" ht="15.75" customHeight="1">
      <c r="A389" s="112"/>
      <c r="B389" s="112"/>
      <c r="C389" s="112"/>
      <c r="D389" s="112"/>
      <c r="E389" s="128"/>
      <c r="F389" s="112"/>
      <c r="G389" s="112"/>
      <c r="H389" s="128"/>
      <c r="I389" s="112"/>
      <c r="J389" s="112"/>
      <c r="K389" s="112"/>
      <c r="L389" s="128"/>
      <c r="M389" s="128"/>
      <c r="N389" s="112"/>
      <c r="O389" s="112"/>
      <c r="P389" s="112"/>
      <c r="Q389" s="112"/>
      <c r="R389" s="112"/>
      <c r="S389" s="112"/>
      <c r="T389" s="128"/>
      <c r="U389" s="128"/>
      <c r="V389" s="128"/>
      <c r="W389" s="128"/>
      <c r="X389" s="128"/>
      <c r="Y389" s="128"/>
      <c r="Z389" s="112"/>
      <c r="AA389" s="112"/>
      <c r="AB389" s="112"/>
      <c r="AC389" s="112"/>
      <c r="AD389" s="112"/>
      <c r="AE389" s="112"/>
      <c r="AF389" s="112"/>
      <c r="AG389" s="112"/>
      <c r="AH389" s="112"/>
      <c r="AI389" s="112"/>
      <c r="AJ389" s="112"/>
      <c r="AK389" s="112"/>
      <c r="AL389" s="112"/>
      <c r="AM389" s="112"/>
      <c r="AN389" s="112"/>
      <c r="AO389" s="112"/>
      <c r="AP389" s="112"/>
    </row>
    <row r="390" ht="15.75" customHeight="1">
      <c r="A390" s="112"/>
      <c r="B390" s="112"/>
      <c r="C390" s="112"/>
      <c r="D390" s="112"/>
      <c r="E390" s="128"/>
      <c r="F390" s="112"/>
      <c r="G390" s="112"/>
      <c r="H390" s="128"/>
      <c r="I390" s="112"/>
      <c r="J390" s="112"/>
      <c r="K390" s="112"/>
      <c r="L390" s="128"/>
      <c r="M390" s="128"/>
      <c r="N390" s="112"/>
      <c r="O390" s="112"/>
      <c r="P390" s="112"/>
      <c r="Q390" s="112"/>
      <c r="R390" s="112"/>
      <c r="S390" s="112"/>
      <c r="T390" s="128"/>
      <c r="U390" s="128"/>
      <c r="V390" s="128"/>
      <c r="W390" s="128"/>
      <c r="X390" s="128"/>
      <c r="Y390" s="128"/>
      <c r="Z390" s="112"/>
      <c r="AA390" s="112"/>
      <c r="AB390" s="112"/>
      <c r="AC390" s="112"/>
      <c r="AD390" s="112"/>
      <c r="AE390" s="112"/>
      <c r="AF390" s="112"/>
      <c r="AG390" s="112"/>
      <c r="AH390" s="112"/>
      <c r="AI390" s="112"/>
      <c r="AJ390" s="112"/>
      <c r="AK390" s="112"/>
      <c r="AL390" s="112"/>
      <c r="AM390" s="112"/>
      <c r="AN390" s="112"/>
      <c r="AO390" s="112"/>
      <c r="AP390" s="112"/>
    </row>
    <row r="391" ht="15.75" customHeight="1">
      <c r="A391" s="112"/>
      <c r="B391" s="112"/>
      <c r="C391" s="112"/>
      <c r="D391" s="112"/>
      <c r="E391" s="128"/>
      <c r="F391" s="112"/>
      <c r="G391" s="112"/>
      <c r="H391" s="128"/>
      <c r="I391" s="112"/>
      <c r="J391" s="112"/>
      <c r="K391" s="112"/>
      <c r="L391" s="128"/>
      <c r="M391" s="128"/>
      <c r="N391" s="112"/>
      <c r="O391" s="112"/>
      <c r="P391" s="112"/>
      <c r="Q391" s="112"/>
      <c r="R391" s="112"/>
      <c r="S391" s="112"/>
      <c r="T391" s="128"/>
      <c r="U391" s="128"/>
      <c r="V391" s="128"/>
      <c r="W391" s="128"/>
      <c r="X391" s="128"/>
      <c r="Y391" s="128"/>
      <c r="Z391" s="112"/>
      <c r="AA391" s="112"/>
      <c r="AB391" s="112"/>
      <c r="AC391" s="112"/>
      <c r="AD391" s="112"/>
      <c r="AE391" s="112"/>
      <c r="AF391" s="112"/>
      <c r="AG391" s="112"/>
      <c r="AH391" s="112"/>
      <c r="AI391" s="112"/>
      <c r="AJ391" s="112"/>
      <c r="AK391" s="112"/>
      <c r="AL391" s="112"/>
      <c r="AM391" s="112"/>
      <c r="AN391" s="112"/>
      <c r="AO391" s="112"/>
      <c r="AP391" s="112"/>
    </row>
    <row r="392" ht="15.75" customHeight="1">
      <c r="A392" s="112"/>
      <c r="B392" s="112"/>
      <c r="C392" s="112"/>
      <c r="D392" s="112"/>
      <c r="E392" s="128"/>
      <c r="F392" s="112"/>
      <c r="G392" s="112"/>
      <c r="H392" s="128"/>
      <c r="I392" s="112"/>
      <c r="J392" s="112"/>
      <c r="K392" s="112"/>
      <c r="L392" s="128"/>
      <c r="M392" s="128"/>
      <c r="N392" s="112"/>
      <c r="O392" s="112"/>
      <c r="P392" s="112"/>
      <c r="Q392" s="112"/>
      <c r="R392" s="112"/>
      <c r="S392" s="112"/>
      <c r="T392" s="128"/>
      <c r="U392" s="128"/>
      <c r="V392" s="128"/>
      <c r="W392" s="128"/>
      <c r="X392" s="128"/>
      <c r="Y392" s="128"/>
      <c r="Z392" s="112"/>
      <c r="AA392" s="112"/>
      <c r="AB392" s="112"/>
      <c r="AC392" s="112"/>
      <c r="AD392" s="112"/>
      <c r="AE392" s="112"/>
      <c r="AF392" s="112"/>
      <c r="AG392" s="112"/>
      <c r="AH392" s="112"/>
      <c r="AI392" s="112"/>
      <c r="AJ392" s="112"/>
      <c r="AK392" s="112"/>
      <c r="AL392" s="112"/>
      <c r="AM392" s="112"/>
      <c r="AN392" s="112"/>
      <c r="AO392" s="112"/>
      <c r="AP392" s="112"/>
    </row>
    <row r="393" ht="15.75" customHeight="1">
      <c r="A393" s="112"/>
      <c r="B393" s="112"/>
      <c r="C393" s="112"/>
      <c r="D393" s="112"/>
      <c r="E393" s="128"/>
      <c r="F393" s="112"/>
      <c r="G393" s="112"/>
      <c r="H393" s="128"/>
      <c r="I393" s="112"/>
      <c r="J393" s="112"/>
      <c r="K393" s="112"/>
      <c r="L393" s="128"/>
      <c r="M393" s="128"/>
      <c r="N393" s="112"/>
      <c r="O393" s="112"/>
      <c r="P393" s="112"/>
      <c r="Q393" s="112"/>
      <c r="R393" s="112"/>
      <c r="S393" s="112"/>
      <c r="T393" s="128"/>
      <c r="U393" s="128"/>
      <c r="V393" s="128"/>
      <c r="W393" s="128"/>
      <c r="X393" s="128"/>
      <c r="Y393" s="128"/>
      <c r="Z393" s="112"/>
      <c r="AA393" s="112"/>
      <c r="AB393" s="112"/>
      <c r="AC393" s="112"/>
      <c r="AD393" s="112"/>
      <c r="AE393" s="112"/>
      <c r="AF393" s="112"/>
      <c r="AG393" s="112"/>
      <c r="AH393" s="112"/>
      <c r="AI393" s="112"/>
      <c r="AJ393" s="112"/>
      <c r="AK393" s="112"/>
      <c r="AL393" s="112"/>
      <c r="AM393" s="112"/>
      <c r="AN393" s="112"/>
      <c r="AO393" s="112"/>
      <c r="AP393" s="112"/>
    </row>
    <row r="394" ht="15.75" customHeight="1">
      <c r="A394" s="112"/>
      <c r="B394" s="112"/>
      <c r="C394" s="112"/>
      <c r="D394" s="112"/>
      <c r="E394" s="128"/>
      <c r="F394" s="112"/>
      <c r="G394" s="112"/>
      <c r="H394" s="128"/>
      <c r="I394" s="112"/>
      <c r="J394" s="112"/>
      <c r="K394" s="112"/>
      <c r="L394" s="128"/>
      <c r="M394" s="128"/>
      <c r="N394" s="112"/>
      <c r="O394" s="112"/>
      <c r="P394" s="112"/>
      <c r="Q394" s="112"/>
      <c r="R394" s="112"/>
      <c r="S394" s="112"/>
      <c r="T394" s="128"/>
      <c r="U394" s="128"/>
      <c r="V394" s="128"/>
      <c r="W394" s="128"/>
      <c r="X394" s="128"/>
      <c r="Y394" s="128"/>
      <c r="Z394" s="112"/>
      <c r="AA394" s="112"/>
      <c r="AB394" s="112"/>
      <c r="AC394" s="112"/>
      <c r="AD394" s="112"/>
      <c r="AE394" s="112"/>
      <c r="AF394" s="112"/>
      <c r="AG394" s="112"/>
      <c r="AH394" s="112"/>
      <c r="AI394" s="112"/>
      <c r="AJ394" s="112"/>
      <c r="AK394" s="112"/>
      <c r="AL394" s="112"/>
      <c r="AM394" s="112"/>
      <c r="AN394" s="112"/>
      <c r="AO394" s="112"/>
      <c r="AP394" s="112"/>
    </row>
    <row r="395" ht="15.75" customHeight="1">
      <c r="A395" s="112"/>
      <c r="B395" s="112"/>
      <c r="C395" s="112"/>
      <c r="D395" s="112"/>
      <c r="E395" s="128"/>
      <c r="F395" s="112"/>
      <c r="G395" s="112"/>
      <c r="H395" s="128"/>
      <c r="I395" s="112"/>
      <c r="J395" s="112"/>
      <c r="K395" s="112"/>
      <c r="L395" s="128"/>
      <c r="M395" s="128"/>
      <c r="N395" s="112"/>
      <c r="O395" s="112"/>
      <c r="P395" s="112"/>
      <c r="Q395" s="112"/>
      <c r="R395" s="112"/>
      <c r="S395" s="112"/>
      <c r="T395" s="128"/>
      <c r="U395" s="128"/>
      <c r="V395" s="128"/>
      <c r="W395" s="128"/>
      <c r="X395" s="128"/>
      <c r="Y395" s="128"/>
      <c r="Z395" s="112"/>
      <c r="AA395" s="112"/>
      <c r="AB395" s="112"/>
      <c r="AC395" s="112"/>
      <c r="AD395" s="112"/>
      <c r="AE395" s="112"/>
      <c r="AF395" s="112"/>
      <c r="AG395" s="112"/>
      <c r="AH395" s="112"/>
      <c r="AI395" s="112"/>
      <c r="AJ395" s="112"/>
      <c r="AK395" s="112"/>
      <c r="AL395" s="112"/>
      <c r="AM395" s="112"/>
      <c r="AN395" s="112"/>
      <c r="AO395" s="112"/>
      <c r="AP395" s="112"/>
    </row>
    <row r="396" ht="15.75" customHeight="1">
      <c r="A396" s="112"/>
      <c r="B396" s="112"/>
      <c r="C396" s="112"/>
      <c r="D396" s="112"/>
      <c r="E396" s="128"/>
      <c r="F396" s="112"/>
      <c r="G396" s="112"/>
      <c r="H396" s="128"/>
      <c r="I396" s="112"/>
      <c r="J396" s="112"/>
      <c r="K396" s="112"/>
      <c r="L396" s="128"/>
      <c r="M396" s="128"/>
      <c r="N396" s="112"/>
      <c r="O396" s="112"/>
      <c r="P396" s="112"/>
      <c r="Q396" s="112"/>
      <c r="R396" s="112"/>
      <c r="S396" s="112"/>
      <c r="T396" s="128"/>
      <c r="U396" s="128"/>
      <c r="V396" s="128"/>
      <c r="W396" s="128"/>
      <c r="X396" s="128"/>
      <c r="Y396" s="128"/>
      <c r="Z396" s="112"/>
      <c r="AA396" s="112"/>
      <c r="AB396" s="112"/>
      <c r="AC396" s="112"/>
      <c r="AD396" s="112"/>
      <c r="AE396" s="112"/>
      <c r="AF396" s="112"/>
      <c r="AG396" s="112"/>
      <c r="AH396" s="112"/>
      <c r="AI396" s="112"/>
      <c r="AJ396" s="112"/>
      <c r="AK396" s="112"/>
      <c r="AL396" s="112"/>
      <c r="AM396" s="112"/>
      <c r="AN396" s="112"/>
      <c r="AO396" s="112"/>
      <c r="AP396" s="112"/>
    </row>
    <row r="397" ht="15.75" customHeight="1">
      <c r="A397" s="112"/>
      <c r="B397" s="112"/>
      <c r="C397" s="112"/>
      <c r="D397" s="112"/>
      <c r="E397" s="128"/>
      <c r="F397" s="112"/>
      <c r="G397" s="112"/>
      <c r="H397" s="128"/>
      <c r="I397" s="112"/>
      <c r="J397" s="112"/>
      <c r="K397" s="112"/>
      <c r="L397" s="128"/>
      <c r="M397" s="128"/>
      <c r="N397" s="112"/>
      <c r="O397" s="112"/>
      <c r="P397" s="112"/>
      <c r="Q397" s="112"/>
      <c r="R397" s="112"/>
      <c r="S397" s="112"/>
      <c r="T397" s="128"/>
      <c r="U397" s="128"/>
      <c r="V397" s="128"/>
      <c r="W397" s="128"/>
      <c r="X397" s="128"/>
      <c r="Y397" s="128"/>
      <c r="Z397" s="112"/>
      <c r="AA397" s="112"/>
      <c r="AB397" s="112"/>
      <c r="AC397" s="112"/>
      <c r="AD397" s="112"/>
      <c r="AE397" s="112"/>
      <c r="AF397" s="112"/>
      <c r="AG397" s="112"/>
      <c r="AH397" s="112"/>
      <c r="AI397" s="112"/>
      <c r="AJ397" s="112"/>
      <c r="AK397" s="112"/>
      <c r="AL397" s="112"/>
      <c r="AM397" s="112"/>
      <c r="AN397" s="112"/>
      <c r="AO397" s="112"/>
      <c r="AP397" s="112"/>
    </row>
    <row r="398" ht="15.75" customHeight="1">
      <c r="A398" s="112"/>
      <c r="B398" s="112"/>
      <c r="C398" s="112"/>
      <c r="D398" s="112"/>
      <c r="E398" s="128"/>
      <c r="F398" s="112"/>
      <c r="G398" s="112"/>
      <c r="H398" s="128"/>
      <c r="I398" s="112"/>
      <c r="J398" s="112"/>
      <c r="K398" s="112"/>
      <c r="L398" s="128"/>
      <c r="M398" s="128"/>
      <c r="N398" s="112"/>
      <c r="O398" s="112"/>
      <c r="P398" s="112"/>
      <c r="Q398" s="112"/>
      <c r="R398" s="112"/>
      <c r="S398" s="112"/>
      <c r="T398" s="128"/>
      <c r="U398" s="128"/>
      <c r="V398" s="128"/>
      <c r="W398" s="128"/>
      <c r="X398" s="128"/>
      <c r="Y398" s="128"/>
      <c r="Z398" s="112"/>
      <c r="AA398" s="112"/>
      <c r="AB398" s="112"/>
      <c r="AC398" s="112"/>
      <c r="AD398" s="112"/>
      <c r="AE398" s="112"/>
      <c r="AF398" s="112"/>
      <c r="AG398" s="112"/>
      <c r="AH398" s="112"/>
      <c r="AI398" s="112"/>
      <c r="AJ398" s="112"/>
      <c r="AK398" s="112"/>
      <c r="AL398" s="112"/>
      <c r="AM398" s="112"/>
      <c r="AN398" s="112"/>
      <c r="AO398" s="112"/>
      <c r="AP398" s="112"/>
    </row>
    <row r="399" ht="15.75" customHeight="1">
      <c r="A399" s="112"/>
      <c r="B399" s="112"/>
      <c r="C399" s="112"/>
      <c r="D399" s="112"/>
      <c r="E399" s="128"/>
      <c r="F399" s="112"/>
      <c r="G399" s="112"/>
      <c r="H399" s="128"/>
      <c r="I399" s="112"/>
      <c r="J399" s="112"/>
      <c r="K399" s="112"/>
      <c r="L399" s="128"/>
      <c r="M399" s="128"/>
      <c r="N399" s="112"/>
      <c r="O399" s="112"/>
      <c r="P399" s="112"/>
      <c r="Q399" s="112"/>
      <c r="R399" s="112"/>
      <c r="S399" s="112"/>
      <c r="T399" s="128"/>
      <c r="U399" s="128"/>
      <c r="V399" s="128"/>
      <c r="W399" s="128"/>
      <c r="X399" s="128"/>
      <c r="Y399" s="128"/>
      <c r="Z399" s="112"/>
      <c r="AA399" s="112"/>
      <c r="AB399" s="112"/>
      <c r="AC399" s="112"/>
      <c r="AD399" s="112"/>
      <c r="AE399" s="112"/>
      <c r="AF399" s="112"/>
      <c r="AG399" s="112"/>
      <c r="AH399" s="112"/>
      <c r="AI399" s="112"/>
      <c r="AJ399" s="112"/>
      <c r="AK399" s="112"/>
      <c r="AL399" s="112"/>
      <c r="AM399" s="112"/>
      <c r="AN399" s="112"/>
      <c r="AO399" s="112"/>
      <c r="AP399" s="112"/>
    </row>
    <row r="400" ht="15.75" customHeight="1">
      <c r="A400" s="112"/>
      <c r="B400" s="112"/>
      <c r="C400" s="112"/>
      <c r="D400" s="112"/>
      <c r="E400" s="128"/>
      <c r="F400" s="112"/>
      <c r="G400" s="112"/>
      <c r="H400" s="128"/>
      <c r="I400" s="112"/>
      <c r="J400" s="112"/>
      <c r="K400" s="112"/>
      <c r="L400" s="128"/>
      <c r="M400" s="128"/>
      <c r="N400" s="112"/>
      <c r="O400" s="112"/>
      <c r="P400" s="112"/>
      <c r="Q400" s="112"/>
      <c r="R400" s="112"/>
      <c r="S400" s="112"/>
      <c r="T400" s="128"/>
      <c r="U400" s="128"/>
      <c r="V400" s="128"/>
      <c r="W400" s="128"/>
      <c r="X400" s="128"/>
      <c r="Y400" s="128"/>
      <c r="Z400" s="112"/>
      <c r="AA400" s="112"/>
      <c r="AB400" s="112"/>
      <c r="AC400" s="112"/>
      <c r="AD400" s="112"/>
      <c r="AE400" s="112"/>
      <c r="AF400" s="112"/>
      <c r="AG400" s="112"/>
      <c r="AH400" s="112"/>
      <c r="AI400" s="112"/>
      <c r="AJ400" s="112"/>
      <c r="AK400" s="112"/>
      <c r="AL400" s="112"/>
      <c r="AM400" s="112"/>
      <c r="AN400" s="112"/>
      <c r="AO400" s="112"/>
      <c r="AP400" s="112"/>
    </row>
    <row r="401" ht="15.75" customHeight="1">
      <c r="A401" s="112"/>
      <c r="B401" s="112"/>
      <c r="C401" s="112"/>
      <c r="D401" s="112"/>
      <c r="E401" s="128"/>
      <c r="F401" s="112"/>
      <c r="G401" s="112"/>
      <c r="H401" s="128"/>
      <c r="I401" s="112"/>
      <c r="J401" s="112"/>
      <c r="K401" s="112"/>
      <c r="L401" s="128"/>
      <c r="M401" s="128"/>
      <c r="N401" s="112"/>
      <c r="O401" s="112"/>
      <c r="P401" s="112"/>
      <c r="Q401" s="112"/>
      <c r="R401" s="112"/>
      <c r="S401" s="112"/>
      <c r="T401" s="128"/>
      <c r="U401" s="128"/>
      <c r="V401" s="128"/>
      <c r="W401" s="128"/>
      <c r="X401" s="128"/>
      <c r="Y401" s="128"/>
      <c r="Z401" s="112"/>
      <c r="AA401" s="112"/>
      <c r="AB401" s="112"/>
      <c r="AC401" s="112"/>
      <c r="AD401" s="112"/>
      <c r="AE401" s="112"/>
      <c r="AF401" s="112"/>
      <c r="AG401" s="112"/>
      <c r="AH401" s="112"/>
      <c r="AI401" s="112"/>
      <c r="AJ401" s="112"/>
      <c r="AK401" s="112"/>
      <c r="AL401" s="112"/>
      <c r="AM401" s="112"/>
      <c r="AN401" s="112"/>
      <c r="AO401" s="112"/>
      <c r="AP401" s="112"/>
    </row>
    <row r="402" ht="15.75" customHeight="1">
      <c r="A402" s="112"/>
      <c r="B402" s="112"/>
      <c r="C402" s="112"/>
      <c r="D402" s="112"/>
      <c r="E402" s="128"/>
      <c r="F402" s="112"/>
      <c r="G402" s="112"/>
      <c r="H402" s="128"/>
      <c r="I402" s="112"/>
      <c r="J402" s="112"/>
      <c r="K402" s="112"/>
      <c r="L402" s="128"/>
      <c r="M402" s="128"/>
      <c r="N402" s="112"/>
      <c r="O402" s="112"/>
      <c r="P402" s="112"/>
      <c r="Q402" s="112"/>
      <c r="R402" s="112"/>
      <c r="S402" s="112"/>
      <c r="T402" s="128"/>
      <c r="U402" s="128"/>
      <c r="V402" s="128"/>
      <c r="W402" s="128"/>
      <c r="X402" s="128"/>
      <c r="Y402" s="128"/>
      <c r="Z402" s="112"/>
      <c r="AA402" s="112"/>
      <c r="AB402" s="112"/>
      <c r="AC402" s="112"/>
      <c r="AD402" s="112"/>
      <c r="AE402" s="112"/>
      <c r="AF402" s="112"/>
      <c r="AG402" s="112"/>
      <c r="AH402" s="112"/>
      <c r="AI402" s="112"/>
      <c r="AJ402" s="112"/>
      <c r="AK402" s="112"/>
      <c r="AL402" s="112"/>
      <c r="AM402" s="112"/>
      <c r="AN402" s="112"/>
      <c r="AO402" s="112"/>
      <c r="AP402" s="112"/>
    </row>
    <row r="403" ht="15.75" customHeight="1">
      <c r="A403" s="112"/>
      <c r="B403" s="112"/>
      <c r="C403" s="112"/>
      <c r="D403" s="112"/>
      <c r="E403" s="128"/>
      <c r="F403" s="112"/>
      <c r="G403" s="112"/>
      <c r="H403" s="128"/>
      <c r="I403" s="112"/>
      <c r="J403" s="112"/>
      <c r="K403" s="112"/>
      <c r="L403" s="128"/>
      <c r="M403" s="128"/>
      <c r="N403" s="112"/>
      <c r="O403" s="112"/>
      <c r="P403" s="112"/>
      <c r="Q403" s="112"/>
      <c r="R403" s="112"/>
      <c r="S403" s="112"/>
      <c r="T403" s="128"/>
      <c r="U403" s="128"/>
      <c r="V403" s="128"/>
      <c r="W403" s="128"/>
      <c r="X403" s="128"/>
      <c r="Y403" s="128"/>
      <c r="Z403" s="112"/>
      <c r="AA403" s="112"/>
      <c r="AB403" s="112"/>
      <c r="AC403" s="112"/>
      <c r="AD403" s="112"/>
      <c r="AE403" s="112"/>
      <c r="AF403" s="112"/>
      <c r="AG403" s="112"/>
      <c r="AH403" s="112"/>
      <c r="AI403" s="112"/>
      <c r="AJ403" s="112"/>
      <c r="AK403" s="112"/>
      <c r="AL403" s="112"/>
      <c r="AM403" s="112"/>
      <c r="AN403" s="112"/>
      <c r="AO403" s="112"/>
      <c r="AP403" s="112"/>
    </row>
    <row r="404" ht="15.75" customHeight="1">
      <c r="A404" s="112"/>
      <c r="B404" s="112"/>
      <c r="C404" s="112"/>
      <c r="D404" s="112"/>
      <c r="E404" s="128"/>
      <c r="F404" s="112"/>
      <c r="G404" s="112"/>
      <c r="H404" s="128"/>
      <c r="I404" s="112"/>
      <c r="J404" s="112"/>
      <c r="K404" s="112"/>
      <c r="L404" s="128"/>
      <c r="M404" s="128"/>
      <c r="N404" s="112"/>
      <c r="O404" s="112"/>
      <c r="P404" s="112"/>
      <c r="Q404" s="112"/>
      <c r="R404" s="112"/>
      <c r="S404" s="112"/>
      <c r="T404" s="128"/>
      <c r="U404" s="128"/>
      <c r="V404" s="128"/>
      <c r="W404" s="128"/>
      <c r="X404" s="128"/>
      <c r="Y404" s="128"/>
      <c r="Z404" s="112"/>
      <c r="AA404" s="112"/>
      <c r="AB404" s="112"/>
      <c r="AC404" s="112"/>
      <c r="AD404" s="112"/>
      <c r="AE404" s="112"/>
      <c r="AF404" s="112"/>
      <c r="AG404" s="112"/>
      <c r="AH404" s="112"/>
      <c r="AI404" s="112"/>
      <c r="AJ404" s="112"/>
      <c r="AK404" s="112"/>
      <c r="AL404" s="112"/>
      <c r="AM404" s="112"/>
      <c r="AN404" s="112"/>
      <c r="AO404" s="112"/>
      <c r="AP404" s="112"/>
    </row>
    <row r="405" ht="15.75" customHeight="1">
      <c r="A405" s="112"/>
      <c r="B405" s="112"/>
      <c r="C405" s="112"/>
      <c r="D405" s="112"/>
      <c r="E405" s="128"/>
      <c r="F405" s="112"/>
      <c r="G405" s="112"/>
      <c r="H405" s="128"/>
      <c r="I405" s="112"/>
      <c r="J405" s="112"/>
      <c r="K405" s="112"/>
      <c r="L405" s="128"/>
      <c r="M405" s="128"/>
      <c r="N405" s="112"/>
      <c r="O405" s="112"/>
      <c r="P405" s="112"/>
      <c r="Q405" s="112"/>
      <c r="R405" s="112"/>
      <c r="S405" s="112"/>
      <c r="T405" s="128"/>
      <c r="U405" s="128"/>
      <c r="V405" s="128"/>
      <c r="W405" s="128"/>
      <c r="X405" s="128"/>
      <c r="Y405" s="128"/>
      <c r="Z405" s="112"/>
      <c r="AA405" s="112"/>
      <c r="AB405" s="112"/>
      <c r="AC405" s="112"/>
      <c r="AD405" s="112"/>
      <c r="AE405" s="112"/>
      <c r="AF405" s="112"/>
      <c r="AG405" s="112"/>
      <c r="AH405" s="112"/>
      <c r="AI405" s="112"/>
      <c r="AJ405" s="112"/>
      <c r="AK405" s="112"/>
      <c r="AL405" s="112"/>
      <c r="AM405" s="112"/>
      <c r="AN405" s="112"/>
      <c r="AO405" s="112"/>
      <c r="AP405" s="112"/>
    </row>
    <row r="406" ht="15.75" customHeight="1">
      <c r="A406" s="112"/>
      <c r="B406" s="112"/>
      <c r="C406" s="112"/>
      <c r="D406" s="112"/>
      <c r="E406" s="128"/>
      <c r="F406" s="112"/>
      <c r="G406" s="112"/>
      <c r="H406" s="128"/>
      <c r="I406" s="112"/>
      <c r="J406" s="112"/>
      <c r="K406" s="112"/>
      <c r="L406" s="128"/>
      <c r="M406" s="128"/>
      <c r="N406" s="112"/>
      <c r="O406" s="112"/>
      <c r="P406" s="112"/>
      <c r="Q406" s="112"/>
      <c r="R406" s="112"/>
      <c r="S406" s="112"/>
      <c r="T406" s="128"/>
      <c r="U406" s="128"/>
      <c r="V406" s="128"/>
      <c r="W406" s="128"/>
      <c r="X406" s="128"/>
      <c r="Y406" s="128"/>
      <c r="Z406" s="112"/>
      <c r="AA406" s="112"/>
      <c r="AB406" s="112"/>
      <c r="AC406" s="112"/>
      <c r="AD406" s="112"/>
      <c r="AE406" s="112"/>
      <c r="AF406" s="112"/>
      <c r="AG406" s="112"/>
      <c r="AH406" s="112"/>
      <c r="AI406" s="112"/>
      <c r="AJ406" s="112"/>
      <c r="AK406" s="112"/>
      <c r="AL406" s="112"/>
      <c r="AM406" s="112"/>
      <c r="AN406" s="112"/>
      <c r="AO406" s="112"/>
      <c r="AP406" s="112"/>
    </row>
    <row r="407" ht="15.75" customHeight="1">
      <c r="A407" s="112"/>
      <c r="B407" s="112"/>
      <c r="C407" s="112"/>
      <c r="D407" s="112"/>
      <c r="E407" s="128"/>
      <c r="F407" s="112"/>
      <c r="G407" s="112"/>
      <c r="H407" s="128"/>
      <c r="I407" s="112"/>
      <c r="J407" s="112"/>
      <c r="K407" s="112"/>
      <c r="L407" s="128"/>
      <c r="M407" s="128"/>
      <c r="N407" s="112"/>
      <c r="O407" s="112"/>
      <c r="P407" s="112"/>
      <c r="Q407" s="112"/>
      <c r="R407" s="112"/>
      <c r="S407" s="112"/>
      <c r="T407" s="128"/>
      <c r="U407" s="128"/>
      <c r="V407" s="128"/>
      <c r="W407" s="128"/>
      <c r="X407" s="128"/>
      <c r="Y407" s="128"/>
      <c r="Z407" s="112"/>
      <c r="AA407" s="112"/>
      <c r="AB407" s="112"/>
      <c r="AC407" s="112"/>
      <c r="AD407" s="112"/>
      <c r="AE407" s="112"/>
      <c r="AF407" s="112"/>
      <c r="AG407" s="112"/>
      <c r="AH407" s="112"/>
      <c r="AI407" s="112"/>
      <c r="AJ407" s="112"/>
      <c r="AK407" s="112"/>
      <c r="AL407" s="112"/>
      <c r="AM407" s="112"/>
      <c r="AN407" s="112"/>
      <c r="AO407" s="112"/>
      <c r="AP407" s="112"/>
    </row>
    <row r="408" ht="15.75" customHeight="1">
      <c r="A408" s="112"/>
      <c r="B408" s="112"/>
      <c r="C408" s="112"/>
      <c r="D408" s="112"/>
      <c r="E408" s="128"/>
      <c r="F408" s="112"/>
      <c r="G408" s="112"/>
      <c r="H408" s="128"/>
      <c r="I408" s="112"/>
      <c r="J408" s="112"/>
      <c r="K408" s="112"/>
      <c r="L408" s="128"/>
      <c r="M408" s="128"/>
      <c r="N408" s="112"/>
      <c r="O408" s="112"/>
      <c r="P408" s="112"/>
      <c r="Q408" s="112"/>
      <c r="R408" s="112"/>
      <c r="S408" s="112"/>
      <c r="T408" s="128"/>
      <c r="U408" s="128"/>
      <c r="V408" s="128"/>
      <c r="W408" s="128"/>
      <c r="X408" s="128"/>
      <c r="Y408" s="128"/>
      <c r="Z408" s="112"/>
      <c r="AA408" s="112"/>
      <c r="AB408" s="112"/>
      <c r="AC408" s="112"/>
      <c r="AD408" s="112"/>
      <c r="AE408" s="112"/>
      <c r="AF408" s="112"/>
      <c r="AG408" s="112"/>
      <c r="AH408" s="112"/>
      <c r="AI408" s="112"/>
      <c r="AJ408" s="112"/>
      <c r="AK408" s="112"/>
      <c r="AL408" s="112"/>
      <c r="AM408" s="112"/>
      <c r="AN408" s="112"/>
      <c r="AO408" s="112"/>
      <c r="AP408" s="112"/>
    </row>
    <row r="409" ht="15.75" customHeight="1">
      <c r="A409" s="112"/>
      <c r="B409" s="112"/>
      <c r="C409" s="112"/>
      <c r="D409" s="112"/>
      <c r="E409" s="128"/>
      <c r="F409" s="112"/>
      <c r="G409" s="112"/>
      <c r="H409" s="128"/>
      <c r="I409" s="112"/>
      <c r="J409" s="112"/>
      <c r="K409" s="112"/>
      <c r="L409" s="128"/>
      <c r="M409" s="128"/>
      <c r="N409" s="112"/>
      <c r="O409" s="112"/>
      <c r="P409" s="112"/>
      <c r="Q409" s="112"/>
      <c r="R409" s="112"/>
      <c r="S409" s="112"/>
      <c r="T409" s="128"/>
      <c r="U409" s="128"/>
      <c r="V409" s="128"/>
      <c r="W409" s="128"/>
      <c r="X409" s="128"/>
      <c r="Y409" s="128"/>
      <c r="Z409" s="112"/>
      <c r="AA409" s="112"/>
      <c r="AB409" s="112"/>
      <c r="AC409" s="112"/>
      <c r="AD409" s="112"/>
      <c r="AE409" s="112"/>
      <c r="AF409" s="112"/>
      <c r="AG409" s="112"/>
      <c r="AH409" s="112"/>
      <c r="AI409" s="112"/>
      <c r="AJ409" s="112"/>
      <c r="AK409" s="112"/>
      <c r="AL409" s="112"/>
      <c r="AM409" s="112"/>
      <c r="AN409" s="112"/>
      <c r="AO409" s="112"/>
      <c r="AP409" s="112"/>
    </row>
    <row r="410" ht="15.75" customHeight="1">
      <c r="A410" s="112"/>
      <c r="B410" s="112"/>
      <c r="C410" s="112"/>
      <c r="D410" s="112"/>
      <c r="E410" s="128"/>
      <c r="F410" s="112"/>
      <c r="G410" s="112"/>
      <c r="H410" s="128"/>
      <c r="I410" s="112"/>
      <c r="J410" s="112"/>
      <c r="K410" s="112"/>
      <c r="L410" s="128"/>
      <c r="M410" s="128"/>
      <c r="N410" s="112"/>
      <c r="O410" s="112"/>
      <c r="P410" s="112"/>
      <c r="Q410" s="112"/>
      <c r="R410" s="112"/>
      <c r="S410" s="112"/>
      <c r="T410" s="128"/>
      <c r="U410" s="128"/>
      <c r="V410" s="128"/>
      <c r="W410" s="128"/>
      <c r="X410" s="128"/>
      <c r="Y410" s="128"/>
      <c r="Z410" s="112"/>
      <c r="AA410" s="112"/>
      <c r="AB410" s="112"/>
      <c r="AC410" s="112"/>
      <c r="AD410" s="112"/>
      <c r="AE410" s="112"/>
      <c r="AF410" s="112"/>
      <c r="AG410" s="112"/>
      <c r="AH410" s="112"/>
      <c r="AI410" s="112"/>
      <c r="AJ410" s="112"/>
      <c r="AK410" s="112"/>
      <c r="AL410" s="112"/>
      <c r="AM410" s="112"/>
      <c r="AN410" s="112"/>
      <c r="AO410" s="112"/>
      <c r="AP410" s="112"/>
    </row>
    <row r="411" ht="15.75" customHeight="1">
      <c r="A411" s="112"/>
      <c r="B411" s="112"/>
      <c r="C411" s="112"/>
      <c r="D411" s="112"/>
      <c r="E411" s="128"/>
      <c r="F411" s="112"/>
      <c r="G411" s="112"/>
      <c r="H411" s="128"/>
      <c r="I411" s="112"/>
      <c r="J411" s="112"/>
      <c r="K411" s="112"/>
      <c r="L411" s="128"/>
      <c r="M411" s="128"/>
      <c r="N411" s="112"/>
      <c r="O411" s="112"/>
      <c r="P411" s="112"/>
      <c r="Q411" s="112"/>
      <c r="R411" s="112"/>
      <c r="S411" s="112"/>
      <c r="T411" s="128"/>
      <c r="U411" s="128"/>
      <c r="V411" s="128"/>
      <c r="W411" s="128"/>
      <c r="X411" s="128"/>
      <c r="Y411" s="128"/>
      <c r="Z411" s="112"/>
      <c r="AA411" s="112"/>
      <c r="AB411" s="112"/>
      <c r="AC411" s="112"/>
      <c r="AD411" s="112"/>
      <c r="AE411" s="112"/>
      <c r="AF411" s="112"/>
      <c r="AG411" s="112"/>
      <c r="AH411" s="112"/>
      <c r="AI411" s="112"/>
      <c r="AJ411" s="112"/>
      <c r="AK411" s="112"/>
      <c r="AL411" s="112"/>
      <c r="AM411" s="112"/>
      <c r="AN411" s="112"/>
      <c r="AO411" s="112"/>
      <c r="AP411" s="112"/>
    </row>
    <row r="412" ht="15.75" customHeight="1">
      <c r="A412" s="112"/>
      <c r="B412" s="112"/>
      <c r="C412" s="112"/>
      <c r="D412" s="112"/>
      <c r="E412" s="128"/>
      <c r="F412" s="112"/>
      <c r="G412" s="112"/>
      <c r="H412" s="128"/>
      <c r="I412" s="112"/>
      <c r="J412" s="112"/>
      <c r="K412" s="112"/>
      <c r="L412" s="128"/>
      <c r="M412" s="128"/>
      <c r="N412" s="112"/>
      <c r="O412" s="112"/>
      <c r="P412" s="112"/>
      <c r="Q412" s="112"/>
      <c r="R412" s="112"/>
      <c r="S412" s="112"/>
      <c r="T412" s="128"/>
      <c r="U412" s="128"/>
      <c r="V412" s="128"/>
      <c r="W412" s="128"/>
      <c r="X412" s="128"/>
      <c r="Y412" s="128"/>
      <c r="Z412" s="112"/>
      <c r="AA412" s="112"/>
      <c r="AB412" s="112"/>
      <c r="AC412" s="112"/>
      <c r="AD412" s="112"/>
      <c r="AE412" s="112"/>
      <c r="AF412" s="112"/>
      <c r="AG412" s="112"/>
      <c r="AH412" s="112"/>
      <c r="AI412" s="112"/>
      <c r="AJ412" s="112"/>
      <c r="AK412" s="112"/>
      <c r="AL412" s="112"/>
      <c r="AM412" s="112"/>
      <c r="AN412" s="112"/>
      <c r="AO412" s="112"/>
      <c r="AP412" s="112"/>
    </row>
    <row r="413" ht="15.75" customHeight="1">
      <c r="A413" s="112"/>
      <c r="B413" s="112"/>
      <c r="C413" s="112"/>
      <c r="D413" s="112"/>
      <c r="E413" s="128"/>
      <c r="F413" s="112"/>
      <c r="G413" s="112"/>
      <c r="H413" s="128"/>
      <c r="I413" s="112"/>
      <c r="J413" s="112"/>
      <c r="K413" s="112"/>
      <c r="L413" s="128"/>
      <c r="M413" s="128"/>
      <c r="N413" s="112"/>
      <c r="O413" s="112"/>
      <c r="P413" s="112"/>
      <c r="Q413" s="112"/>
      <c r="R413" s="112"/>
      <c r="S413" s="112"/>
      <c r="T413" s="128"/>
      <c r="U413" s="128"/>
      <c r="V413" s="128"/>
      <c r="W413" s="128"/>
      <c r="X413" s="128"/>
      <c r="Y413" s="128"/>
      <c r="Z413" s="112"/>
      <c r="AA413" s="112"/>
      <c r="AB413" s="112"/>
      <c r="AC413" s="112"/>
      <c r="AD413" s="112"/>
      <c r="AE413" s="112"/>
      <c r="AF413" s="112"/>
      <c r="AG413" s="112"/>
      <c r="AH413" s="112"/>
      <c r="AI413" s="112"/>
      <c r="AJ413" s="112"/>
      <c r="AK413" s="112"/>
      <c r="AL413" s="112"/>
      <c r="AM413" s="112"/>
      <c r="AN413" s="112"/>
      <c r="AO413" s="112"/>
      <c r="AP413" s="112"/>
    </row>
    <row r="414" ht="15.75" customHeight="1">
      <c r="A414" s="112"/>
      <c r="B414" s="112"/>
      <c r="C414" s="112"/>
      <c r="D414" s="112"/>
      <c r="E414" s="128"/>
      <c r="F414" s="112"/>
      <c r="G414" s="112"/>
      <c r="H414" s="128"/>
      <c r="I414" s="112"/>
      <c r="J414" s="112"/>
      <c r="K414" s="112"/>
      <c r="L414" s="128"/>
      <c r="M414" s="128"/>
      <c r="N414" s="112"/>
      <c r="O414" s="112"/>
      <c r="P414" s="112"/>
      <c r="Q414" s="112"/>
      <c r="R414" s="112"/>
      <c r="S414" s="112"/>
      <c r="T414" s="128"/>
      <c r="U414" s="128"/>
      <c r="V414" s="128"/>
      <c r="W414" s="128"/>
      <c r="X414" s="128"/>
      <c r="Y414" s="128"/>
      <c r="Z414" s="112"/>
      <c r="AA414" s="112"/>
      <c r="AB414" s="112"/>
      <c r="AC414" s="112"/>
      <c r="AD414" s="112"/>
      <c r="AE414" s="112"/>
      <c r="AF414" s="112"/>
      <c r="AG414" s="112"/>
      <c r="AH414" s="112"/>
      <c r="AI414" s="112"/>
      <c r="AJ414" s="112"/>
      <c r="AK414" s="112"/>
      <c r="AL414" s="112"/>
      <c r="AM414" s="112"/>
      <c r="AN414" s="112"/>
      <c r="AO414" s="112"/>
      <c r="AP414" s="112"/>
    </row>
    <row r="415" ht="15.75" customHeight="1">
      <c r="A415" s="112"/>
      <c r="B415" s="112"/>
      <c r="C415" s="112"/>
      <c r="D415" s="112"/>
      <c r="E415" s="128"/>
      <c r="F415" s="112"/>
      <c r="G415" s="112"/>
      <c r="H415" s="128"/>
      <c r="I415" s="112"/>
      <c r="J415" s="112"/>
      <c r="K415" s="112"/>
      <c r="L415" s="128"/>
      <c r="M415" s="128"/>
      <c r="N415" s="112"/>
      <c r="O415" s="112"/>
      <c r="P415" s="112"/>
      <c r="Q415" s="112"/>
      <c r="R415" s="112"/>
      <c r="S415" s="112"/>
      <c r="T415" s="128"/>
      <c r="U415" s="128"/>
      <c r="V415" s="128"/>
      <c r="W415" s="128"/>
      <c r="X415" s="128"/>
      <c r="Y415" s="128"/>
      <c r="Z415" s="112"/>
      <c r="AA415" s="112"/>
      <c r="AB415" s="112"/>
      <c r="AC415" s="112"/>
      <c r="AD415" s="112"/>
      <c r="AE415" s="112"/>
      <c r="AF415" s="112"/>
      <c r="AG415" s="112"/>
      <c r="AH415" s="112"/>
      <c r="AI415" s="112"/>
      <c r="AJ415" s="112"/>
      <c r="AK415" s="112"/>
      <c r="AL415" s="112"/>
      <c r="AM415" s="112"/>
      <c r="AN415" s="112"/>
      <c r="AO415" s="112"/>
      <c r="AP415" s="112"/>
    </row>
    <row r="416" ht="15.75" customHeight="1">
      <c r="A416" s="112"/>
      <c r="B416" s="112"/>
      <c r="C416" s="112"/>
      <c r="D416" s="112"/>
      <c r="E416" s="128"/>
      <c r="F416" s="112"/>
      <c r="G416" s="112"/>
      <c r="H416" s="128"/>
      <c r="I416" s="112"/>
      <c r="J416" s="112"/>
      <c r="K416" s="112"/>
      <c r="L416" s="128"/>
      <c r="M416" s="128"/>
      <c r="N416" s="112"/>
      <c r="O416" s="112"/>
      <c r="P416" s="112"/>
      <c r="Q416" s="112"/>
      <c r="R416" s="112"/>
      <c r="S416" s="112"/>
      <c r="T416" s="128"/>
      <c r="U416" s="128"/>
      <c r="V416" s="128"/>
      <c r="W416" s="128"/>
      <c r="X416" s="128"/>
      <c r="Y416" s="128"/>
      <c r="Z416" s="112"/>
      <c r="AA416" s="112"/>
      <c r="AB416" s="112"/>
      <c r="AC416" s="112"/>
      <c r="AD416" s="112"/>
      <c r="AE416" s="112"/>
      <c r="AF416" s="112"/>
      <c r="AG416" s="112"/>
      <c r="AH416" s="112"/>
      <c r="AI416" s="112"/>
      <c r="AJ416" s="112"/>
      <c r="AK416" s="112"/>
      <c r="AL416" s="112"/>
      <c r="AM416" s="112"/>
      <c r="AN416" s="112"/>
      <c r="AO416" s="112"/>
      <c r="AP416" s="112"/>
    </row>
    <row r="417" ht="15.75" customHeight="1">
      <c r="A417" s="112"/>
      <c r="B417" s="112"/>
      <c r="C417" s="112"/>
      <c r="D417" s="112"/>
      <c r="E417" s="128"/>
      <c r="F417" s="112"/>
      <c r="G417" s="112"/>
      <c r="H417" s="128"/>
      <c r="I417" s="112"/>
      <c r="J417" s="112"/>
      <c r="K417" s="112"/>
      <c r="L417" s="128"/>
      <c r="M417" s="128"/>
      <c r="N417" s="112"/>
      <c r="O417" s="112"/>
      <c r="P417" s="112"/>
      <c r="Q417" s="112"/>
      <c r="R417" s="112"/>
      <c r="S417" s="112"/>
      <c r="T417" s="128"/>
      <c r="U417" s="128"/>
      <c r="V417" s="128"/>
      <c r="W417" s="128"/>
      <c r="X417" s="128"/>
      <c r="Y417" s="128"/>
      <c r="Z417" s="112"/>
      <c r="AA417" s="112"/>
      <c r="AB417" s="112"/>
      <c r="AC417" s="112"/>
      <c r="AD417" s="112"/>
      <c r="AE417" s="112"/>
      <c r="AF417" s="112"/>
      <c r="AG417" s="112"/>
      <c r="AH417" s="112"/>
      <c r="AI417" s="112"/>
      <c r="AJ417" s="112"/>
      <c r="AK417" s="112"/>
      <c r="AL417" s="112"/>
      <c r="AM417" s="112"/>
      <c r="AN417" s="112"/>
      <c r="AO417" s="112"/>
      <c r="AP417" s="112"/>
    </row>
    <row r="418" ht="15.75" customHeight="1">
      <c r="A418" s="112"/>
      <c r="B418" s="112"/>
      <c r="C418" s="112"/>
      <c r="D418" s="112"/>
      <c r="E418" s="128"/>
      <c r="F418" s="112"/>
      <c r="G418" s="112"/>
      <c r="H418" s="128"/>
      <c r="I418" s="112"/>
      <c r="J418" s="112"/>
      <c r="K418" s="112"/>
      <c r="L418" s="128"/>
      <c r="M418" s="128"/>
      <c r="N418" s="112"/>
      <c r="O418" s="112"/>
      <c r="P418" s="112"/>
      <c r="Q418" s="112"/>
      <c r="R418" s="112"/>
      <c r="S418" s="112"/>
      <c r="T418" s="128"/>
      <c r="U418" s="128"/>
      <c r="V418" s="128"/>
      <c r="W418" s="128"/>
      <c r="X418" s="128"/>
      <c r="Y418" s="128"/>
      <c r="Z418" s="112"/>
      <c r="AA418" s="112"/>
      <c r="AB418" s="112"/>
      <c r="AC418" s="112"/>
      <c r="AD418" s="112"/>
      <c r="AE418" s="112"/>
      <c r="AF418" s="112"/>
      <c r="AG418" s="112"/>
      <c r="AH418" s="112"/>
      <c r="AI418" s="112"/>
      <c r="AJ418" s="112"/>
      <c r="AK418" s="112"/>
      <c r="AL418" s="112"/>
      <c r="AM418" s="112"/>
      <c r="AN418" s="112"/>
      <c r="AO418" s="112"/>
      <c r="AP418" s="112"/>
    </row>
    <row r="419" ht="15.75" customHeight="1">
      <c r="A419" s="112"/>
      <c r="B419" s="112"/>
      <c r="C419" s="112"/>
      <c r="D419" s="112"/>
      <c r="E419" s="128"/>
      <c r="F419" s="112"/>
      <c r="G419" s="112"/>
      <c r="H419" s="128"/>
      <c r="I419" s="112"/>
      <c r="J419" s="112"/>
      <c r="K419" s="112"/>
      <c r="L419" s="128"/>
      <c r="M419" s="128"/>
      <c r="N419" s="112"/>
      <c r="O419" s="112"/>
      <c r="P419" s="112"/>
      <c r="Q419" s="112"/>
      <c r="R419" s="112"/>
      <c r="S419" s="112"/>
      <c r="T419" s="128"/>
      <c r="U419" s="128"/>
      <c r="V419" s="128"/>
      <c r="W419" s="128"/>
      <c r="X419" s="128"/>
      <c r="Y419" s="128"/>
      <c r="Z419" s="112"/>
      <c r="AA419" s="112"/>
      <c r="AB419" s="112"/>
      <c r="AC419" s="112"/>
      <c r="AD419" s="112"/>
      <c r="AE419" s="112"/>
      <c r="AF419" s="112"/>
      <c r="AG419" s="112"/>
      <c r="AH419" s="112"/>
      <c r="AI419" s="112"/>
      <c r="AJ419" s="112"/>
      <c r="AK419" s="112"/>
      <c r="AL419" s="112"/>
      <c r="AM419" s="112"/>
      <c r="AN419" s="112"/>
      <c r="AO419" s="112"/>
      <c r="AP419" s="112"/>
    </row>
    <row r="420" ht="15.75" customHeight="1">
      <c r="A420" s="112"/>
      <c r="B420" s="112"/>
      <c r="C420" s="112"/>
      <c r="D420" s="112"/>
      <c r="E420" s="128"/>
      <c r="F420" s="112"/>
      <c r="G420" s="112"/>
      <c r="H420" s="128"/>
      <c r="I420" s="112"/>
      <c r="J420" s="112"/>
      <c r="K420" s="112"/>
      <c r="L420" s="128"/>
      <c r="M420" s="128"/>
      <c r="N420" s="112"/>
      <c r="O420" s="112"/>
      <c r="P420" s="112"/>
      <c r="Q420" s="112"/>
      <c r="R420" s="112"/>
      <c r="S420" s="112"/>
      <c r="T420" s="128"/>
      <c r="U420" s="128"/>
      <c r="V420" s="128"/>
      <c r="W420" s="128"/>
      <c r="X420" s="128"/>
      <c r="Y420" s="128"/>
      <c r="Z420" s="112"/>
      <c r="AA420" s="112"/>
      <c r="AB420" s="112"/>
      <c r="AC420" s="112"/>
      <c r="AD420" s="112"/>
      <c r="AE420" s="112"/>
      <c r="AF420" s="112"/>
      <c r="AG420" s="112"/>
      <c r="AH420" s="112"/>
      <c r="AI420" s="112"/>
      <c r="AJ420" s="112"/>
      <c r="AK420" s="112"/>
      <c r="AL420" s="112"/>
      <c r="AM420" s="112"/>
      <c r="AN420" s="112"/>
      <c r="AO420" s="112"/>
      <c r="AP420" s="112"/>
    </row>
    <row r="421" ht="15.75" customHeight="1">
      <c r="A421" s="112"/>
      <c r="B421" s="112"/>
      <c r="C421" s="112"/>
      <c r="D421" s="112"/>
      <c r="E421" s="128"/>
      <c r="F421" s="112"/>
      <c r="G421" s="112"/>
      <c r="H421" s="128"/>
      <c r="I421" s="112"/>
      <c r="J421" s="112"/>
      <c r="K421" s="112"/>
      <c r="L421" s="128"/>
      <c r="M421" s="128"/>
      <c r="N421" s="112"/>
      <c r="O421" s="112"/>
      <c r="P421" s="112"/>
      <c r="Q421" s="112"/>
      <c r="R421" s="112"/>
      <c r="S421" s="112"/>
      <c r="T421" s="128"/>
      <c r="U421" s="128"/>
      <c r="V421" s="128"/>
      <c r="W421" s="128"/>
      <c r="X421" s="128"/>
      <c r="Y421" s="128"/>
      <c r="Z421" s="112"/>
      <c r="AA421" s="112"/>
      <c r="AB421" s="112"/>
      <c r="AC421" s="112"/>
      <c r="AD421" s="112"/>
      <c r="AE421" s="112"/>
      <c r="AF421" s="112"/>
      <c r="AG421" s="112"/>
      <c r="AH421" s="112"/>
      <c r="AI421" s="112"/>
      <c r="AJ421" s="112"/>
      <c r="AK421" s="112"/>
      <c r="AL421" s="112"/>
      <c r="AM421" s="112"/>
      <c r="AN421" s="112"/>
      <c r="AO421" s="112"/>
      <c r="AP421" s="112"/>
    </row>
    <row r="422" ht="15.75" customHeight="1">
      <c r="A422" s="112"/>
      <c r="B422" s="112"/>
      <c r="C422" s="112"/>
      <c r="D422" s="112"/>
      <c r="E422" s="128"/>
      <c r="F422" s="112"/>
      <c r="G422" s="112"/>
      <c r="H422" s="128"/>
      <c r="I422" s="112"/>
      <c r="J422" s="112"/>
      <c r="K422" s="112"/>
      <c r="L422" s="128"/>
      <c r="M422" s="128"/>
      <c r="N422" s="112"/>
      <c r="O422" s="112"/>
      <c r="P422" s="112"/>
      <c r="Q422" s="112"/>
      <c r="R422" s="112"/>
      <c r="S422" s="112"/>
      <c r="T422" s="128"/>
      <c r="U422" s="128"/>
      <c r="V422" s="128"/>
      <c r="W422" s="128"/>
      <c r="X422" s="128"/>
      <c r="Y422" s="128"/>
      <c r="Z422" s="112"/>
      <c r="AA422" s="112"/>
      <c r="AB422" s="112"/>
      <c r="AC422" s="112"/>
      <c r="AD422" s="112"/>
      <c r="AE422" s="112"/>
      <c r="AF422" s="112"/>
      <c r="AG422" s="112"/>
      <c r="AH422" s="112"/>
      <c r="AI422" s="112"/>
      <c r="AJ422" s="112"/>
      <c r="AK422" s="112"/>
      <c r="AL422" s="112"/>
      <c r="AM422" s="112"/>
      <c r="AN422" s="112"/>
      <c r="AO422" s="112"/>
      <c r="AP422" s="112"/>
    </row>
    <row r="423" ht="15.75" customHeight="1">
      <c r="A423" s="112"/>
      <c r="B423" s="112"/>
      <c r="C423" s="112"/>
      <c r="D423" s="112"/>
      <c r="E423" s="128"/>
      <c r="F423" s="112"/>
      <c r="G423" s="112"/>
      <c r="H423" s="128"/>
      <c r="I423" s="112"/>
      <c r="J423" s="112"/>
      <c r="K423" s="112"/>
      <c r="L423" s="128"/>
      <c r="M423" s="128"/>
      <c r="N423" s="112"/>
      <c r="O423" s="112"/>
      <c r="P423" s="112"/>
      <c r="Q423" s="112"/>
      <c r="R423" s="112"/>
      <c r="S423" s="112"/>
      <c r="T423" s="128"/>
      <c r="U423" s="128"/>
      <c r="V423" s="128"/>
      <c r="W423" s="128"/>
      <c r="X423" s="128"/>
      <c r="Y423" s="128"/>
      <c r="Z423" s="112"/>
      <c r="AA423" s="112"/>
      <c r="AB423" s="112"/>
      <c r="AC423" s="112"/>
      <c r="AD423" s="112"/>
      <c r="AE423" s="112"/>
      <c r="AF423" s="112"/>
      <c r="AG423" s="112"/>
      <c r="AH423" s="112"/>
      <c r="AI423" s="112"/>
      <c r="AJ423" s="112"/>
      <c r="AK423" s="112"/>
      <c r="AL423" s="112"/>
      <c r="AM423" s="112"/>
      <c r="AN423" s="112"/>
      <c r="AO423" s="112"/>
      <c r="AP423" s="112"/>
    </row>
    <row r="424" ht="15.75" customHeight="1">
      <c r="A424" s="112"/>
      <c r="B424" s="112"/>
      <c r="C424" s="112"/>
      <c r="D424" s="112"/>
      <c r="E424" s="128"/>
      <c r="F424" s="112"/>
      <c r="G424" s="112"/>
      <c r="H424" s="128"/>
      <c r="I424" s="112"/>
      <c r="J424" s="112"/>
      <c r="K424" s="112"/>
      <c r="L424" s="128"/>
      <c r="M424" s="128"/>
      <c r="N424" s="112"/>
      <c r="O424" s="112"/>
      <c r="P424" s="112"/>
      <c r="Q424" s="112"/>
      <c r="R424" s="112"/>
      <c r="S424" s="112"/>
      <c r="T424" s="128"/>
      <c r="U424" s="128"/>
      <c r="V424" s="128"/>
      <c r="W424" s="128"/>
      <c r="X424" s="128"/>
      <c r="Y424" s="128"/>
      <c r="Z424" s="112"/>
      <c r="AA424" s="112"/>
      <c r="AB424" s="112"/>
      <c r="AC424" s="112"/>
      <c r="AD424" s="112"/>
      <c r="AE424" s="112"/>
      <c r="AF424" s="112"/>
      <c r="AG424" s="112"/>
      <c r="AH424" s="112"/>
      <c r="AI424" s="112"/>
      <c r="AJ424" s="112"/>
      <c r="AK424" s="112"/>
      <c r="AL424" s="112"/>
      <c r="AM424" s="112"/>
      <c r="AN424" s="112"/>
      <c r="AO424" s="112"/>
      <c r="AP424" s="112"/>
    </row>
    <row r="425" ht="15.75" customHeight="1">
      <c r="A425" s="112"/>
      <c r="B425" s="112"/>
      <c r="C425" s="112"/>
      <c r="D425" s="112"/>
      <c r="E425" s="128"/>
      <c r="F425" s="112"/>
      <c r="G425" s="112"/>
      <c r="H425" s="128"/>
      <c r="I425" s="112"/>
      <c r="J425" s="112"/>
      <c r="K425" s="112"/>
      <c r="L425" s="128"/>
      <c r="M425" s="128"/>
      <c r="N425" s="112"/>
      <c r="O425" s="112"/>
      <c r="P425" s="112"/>
      <c r="Q425" s="112"/>
      <c r="R425" s="112"/>
      <c r="S425" s="112"/>
      <c r="T425" s="128"/>
      <c r="U425" s="128"/>
      <c r="V425" s="128"/>
      <c r="W425" s="128"/>
      <c r="X425" s="128"/>
      <c r="Y425" s="128"/>
      <c r="Z425" s="112"/>
      <c r="AA425" s="112"/>
      <c r="AB425" s="112"/>
      <c r="AC425" s="112"/>
      <c r="AD425" s="112"/>
      <c r="AE425" s="112"/>
      <c r="AF425" s="112"/>
      <c r="AG425" s="112"/>
      <c r="AH425" s="112"/>
      <c r="AI425" s="112"/>
      <c r="AJ425" s="112"/>
      <c r="AK425" s="112"/>
      <c r="AL425" s="112"/>
      <c r="AM425" s="112"/>
      <c r="AN425" s="112"/>
      <c r="AO425" s="112"/>
      <c r="AP425" s="112"/>
    </row>
    <row r="426" ht="15.75" customHeight="1">
      <c r="A426" s="112"/>
      <c r="B426" s="112"/>
      <c r="C426" s="112"/>
      <c r="D426" s="112"/>
      <c r="E426" s="128"/>
      <c r="F426" s="112"/>
      <c r="G426" s="112"/>
      <c r="H426" s="128"/>
      <c r="I426" s="112"/>
      <c r="J426" s="112"/>
      <c r="K426" s="112"/>
      <c r="L426" s="128"/>
      <c r="M426" s="128"/>
      <c r="N426" s="112"/>
      <c r="O426" s="112"/>
      <c r="P426" s="112"/>
      <c r="Q426" s="112"/>
      <c r="R426" s="112"/>
      <c r="S426" s="112"/>
      <c r="T426" s="128"/>
      <c r="U426" s="128"/>
      <c r="V426" s="128"/>
      <c r="W426" s="128"/>
      <c r="X426" s="128"/>
      <c r="Y426" s="128"/>
      <c r="Z426" s="112"/>
      <c r="AA426" s="112"/>
      <c r="AB426" s="112"/>
      <c r="AC426" s="112"/>
      <c r="AD426" s="112"/>
      <c r="AE426" s="112"/>
      <c r="AF426" s="112"/>
      <c r="AG426" s="112"/>
      <c r="AH426" s="112"/>
      <c r="AI426" s="112"/>
      <c r="AJ426" s="112"/>
      <c r="AK426" s="112"/>
      <c r="AL426" s="112"/>
      <c r="AM426" s="112"/>
      <c r="AN426" s="112"/>
      <c r="AO426" s="112"/>
      <c r="AP426" s="112"/>
    </row>
    <row r="427" ht="15.75" customHeight="1">
      <c r="A427" s="112"/>
      <c r="B427" s="112"/>
      <c r="C427" s="112"/>
      <c r="D427" s="112"/>
      <c r="E427" s="128"/>
      <c r="F427" s="112"/>
      <c r="G427" s="112"/>
      <c r="H427" s="128"/>
      <c r="I427" s="112"/>
      <c r="J427" s="112"/>
      <c r="K427" s="112"/>
      <c r="L427" s="128"/>
      <c r="M427" s="128"/>
      <c r="N427" s="112"/>
      <c r="O427" s="112"/>
      <c r="P427" s="112"/>
      <c r="Q427" s="112"/>
      <c r="R427" s="112"/>
      <c r="S427" s="112"/>
      <c r="T427" s="128"/>
      <c r="U427" s="128"/>
      <c r="V427" s="128"/>
      <c r="W427" s="128"/>
      <c r="X427" s="128"/>
      <c r="Y427" s="128"/>
      <c r="Z427" s="112"/>
      <c r="AA427" s="112"/>
      <c r="AB427" s="112"/>
      <c r="AC427" s="112"/>
      <c r="AD427" s="112"/>
      <c r="AE427" s="112"/>
      <c r="AF427" s="112"/>
      <c r="AG427" s="112"/>
      <c r="AH427" s="112"/>
      <c r="AI427" s="112"/>
      <c r="AJ427" s="112"/>
      <c r="AK427" s="112"/>
      <c r="AL427" s="112"/>
      <c r="AM427" s="112"/>
      <c r="AN427" s="112"/>
      <c r="AO427" s="112"/>
      <c r="AP427" s="112"/>
    </row>
    <row r="428" ht="15.75" customHeight="1">
      <c r="A428" s="112"/>
      <c r="B428" s="112"/>
      <c r="C428" s="112"/>
      <c r="D428" s="112"/>
      <c r="E428" s="128"/>
      <c r="F428" s="112"/>
      <c r="G428" s="112"/>
      <c r="H428" s="128"/>
      <c r="I428" s="112"/>
      <c r="J428" s="112"/>
      <c r="K428" s="112"/>
      <c r="L428" s="128"/>
      <c r="M428" s="128"/>
      <c r="N428" s="112"/>
      <c r="O428" s="112"/>
      <c r="P428" s="112"/>
      <c r="Q428" s="112"/>
      <c r="R428" s="112"/>
      <c r="S428" s="112"/>
      <c r="T428" s="128"/>
      <c r="U428" s="128"/>
      <c r="V428" s="128"/>
      <c r="W428" s="128"/>
      <c r="X428" s="128"/>
      <c r="Y428" s="128"/>
      <c r="Z428" s="112"/>
      <c r="AA428" s="112"/>
      <c r="AB428" s="112"/>
      <c r="AC428" s="112"/>
      <c r="AD428" s="112"/>
      <c r="AE428" s="112"/>
      <c r="AF428" s="112"/>
      <c r="AG428" s="112"/>
      <c r="AH428" s="112"/>
      <c r="AI428" s="112"/>
      <c r="AJ428" s="112"/>
      <c r="AK428" s="112"/>
      <c r="AL428" s="112"/>
      <c r="AM428" s="112"/>
      <c r="AN428" s="112"/>
      <c r="AO428" s="112"/>
      <c r="AP428" s="112"/>
    </row>
    <row r="429" ht="15.75" customHeight="1">
      <c r="A429" s="112"/>
      <c r="B429" s="112"/>
      <c r="C429" s="112"/>
      <c r="D429" s="112"/>
      <c r="E429" s="128"/>
      <c r="F429" s="112"/>
      <c r="G429" s="112"/>
      <c r="H429" s="128"/>
      <c r="I429" s="112"/>
      <c r="J429" s="112"/>
      <c r="K429" s="112"/>
      <c r="L429" s="128"/>
      <c r="M429" s="128"/>
      <c r="N429" s="112"/>
      <c r="O429" s="112"/>
      <c r="P429" s="112"/>
      <c r="Q429" s="112"/>
      <c r="R429" s="112"/>
      <c r="S429" s="112"/>
      <c r="T429" s="128"/>
      <c r="U429" s="128"/>
      <c r="V429" s="128"/>
      <c r="W429" s="128"/>
      <c r="X429" s="128"/>
      <c r="Y429" s="128"/>
      <c r="Z429" s="112"/>
      <c r="AA429" s="112"/>
      <c r="AB429" s="112"/>
      <c r="AC429" s="112"/>
      <c r="AD429" s="112"/>
      <c r="AE429" s="112"/>
      <c r="AF429" s="112"/>
      <c r="AG429" s="112"/>
      <c r="AH429" s="112"/>
      <c r="AI429" s="112"/>
      <c r="AJ429" s="112"/>
      <c r="AK429" s="112"/>
      <c r="AL429" s="112"/>
      <c r="AM429" s="112"/>
      <c r="AN429" s="112"/>
      <c r="AO429" s="112"/>
      <c r="AP429" s="112"/>
    </row>
    <row r="430" ht="15.75" customHeight="1">
      <c r="A430" s="112"/>
      <c r="B430" s="112"/>
      <c r="C430" s="112"/>
      <c r="D430" s="112"/>
      <c r="E430" s="128"/>
      <c r="F430" s="112"/>
      <c r="G430" s="112"/>
      <c r="H430" s="128"/>
      <c r="I430" s="112"/>
      <c r="J430" s="112"/>
      <c r="K430" s="112"/>
      <c r="L430" s="128"/>
      <c r="M430" s="128"/>
      <c r="N430" s="112"/>
      <c r="O430" s="112"/>
      <c r="P430" s="112"/>
      <c r="Q430" s="112"/>
      <c r="R430" s="112"/>
      <c r="S430" s="112"/>
      <c r="T430" s="128"/>
      <c r="U430" s="128"/>
      <c r="V430" s="128"/>
      <c r="W430" s="128"/>
      <c r="X430" s="128"/>
      <c r="Y430" s="128"/>
      <c r="Z430" s="112"/>
      <c r="AA430" s="112"/>
      <c r="AB430" s="112"/>
      <c r="AC430" s="112"/>
      <c r="AD430" s="112"/>
      <c r="AE430" s="112"/>
      <c r="AF430" s="112"/>
      <c r="AG430" s="112"/>
      <c r="AH430" s="112"/>
      <c r="AI430" s="112"/>
      <c r="AJ430" s="112"/>
      <c r="AK430" s="112"/>
      <c r="AL430" s="112"/>
      <c r="AM430" s="112"/>
      <c r="AN430" s="112"/>
      <c r="AO430" s="112"/>
      <c r="AP430" s="112"/>
    </row>
    <row r="431" ht="15.75" customHeight="1">
      <c r="A431" s="112"/>
      <c r="B431" s="112"/>
      <c r="C431" s="112"/>
      <c r="D431" s="112"/>
      <c r="E431" s="128"/>
      <c r="F431" s="112"/>
      <c r="G431" s="112"/>
      <c r="H431" s="128"/>
      <c r="I431" s="112"/>
      <c r="J431" s="112"/>
      <c r="K431" s="112"/>
      <c r="L431" s="128"/>
      <c r="M431" s="128"/>
      <c r="N431" s="112"/>
      <c r="O431" s="112"/>
      <c r="P431" s="112"/>
      <c r="Q431" s="112"/>
      <c r="R431" s="112"/>
      <c r="S431" s="112"/>
      <c r="T431" s="128"/>
      <c r="U431" s="128"/>
      <c r="V431" s="128"/>
      <c r="W431" s="128"/>
      <c r="X431" s="128"/>
      <c r="Y431" s="128"/>
      <c r="Z431" s="112"/>
      <c r="AA431" s="112"/>
      <c r="AB431" s="112"/>
      <c r="AC431" s="112"/>
      <c r="AD431" s="112"/>
      <c r="AE431" s="112"/>
      <c r="AF431" s="112"/>
      <c r="AG431" s="112"/>
      <c r="AH431" s="112"/>
      <c r="AI431" s="112"/>
      <c r="AJ431" s="112"/>
      <c r="AK431" s="112"/>
      <c r="AL431" s="112"/>
      <c r="AM431" s="112"/>
      <c r="AN431" s="112"/>
      <c r="AO431" s="112"/>
      <c r="AP431" s="112"/>
    </row>
    <row r="432" ht="15.75" customHeight="1">
      <c r="A432" s="112"/>
      <c r="B432" s="112"/>
      <c r="C432" s="112"/>
      <c r="D432" s="112"/>
      <c r="E432" s="128"/>
      <c r="F432" s="112"/>
      <c r="G432" s="112"/>
      <c r="H432" s="128"/>
      <c r="I432" s="112"/>
      <c r="J432" s="112"/>
      <c r="K432" s="112"/>
      <c r="L432" s="128"/>
      <c r="M432" s="128"/>
      <c r="N432" s="112"/>
      <c r="O432" s="112"/>
      <c r="P432" s="112"/>
      <c r="Q432" s="112"/>
      <c r="R432" s="112"/>
      <c r="S432" s="112"/>
      <c r="T432" s="128"/>
      <c r="U432" s="128"/>
      <c r="V432" s="128"/>
      <c r="W432" s="128"/>
      <c r="X432" s="128"/>
      <c r="Y432" s="128"/>
      <c r="Z432" s="112"/>
      <c r="AA432" s="112"/>
      <c r="AB432" s="112"/>
      <c r="AC432" s="112"/>
      <c r="AD432" s="112"/>
      <c r="AE432" s="112"/>
      <c r="AF432" s="112"/>
      <c r="AG432" s="112"/>
      <c r="AH432" s="112"/>
      <c r="AI432" s="112"/>
      <c r="AJ432" s="112"/>
      <c r="AK432" s="112"/>
      <c r="AL432" s="112"/>
      <c r="AM432" s="112"/>
      <c r="AN432" s="112"/>
      <c r="AO432" s="112"/>
      <c r="AP432" s="112"/>
    </row>
    <row r="433" ht="15.75" customHeight="1">
      <c r="A433" s="112"/>
      <c r="B433" s="112"/>
      <c r="C433" s="112"/>
      <c r="D433" s="112"/>
      <c r="E433" s="128"/>
      <c r="F433" s="112"/>
      <c r="G433" s="112"/>
      <c r="H433" s="128"/>
      <c r="I433" s="112"/>
      <c r="J433" s="112"/>
      <c r="K433" s="112"/>
      <c r="L433" s="128"/>
      <c r="M433" s="128"/>
      <c r="N433" s="112"/>
      <c r="O433" s="112"/>
      <c r="P433" s="112"/>
      <c r="Q433" s="112"/>
      <c r="R433" s="112"/>
      <c r="S433" s="112"/>
      <c r="T433" s="128"/>
      <c r="U433" s="128"/>
      <c r="V433" s="128"/>
      <c r="W433" s="128"/>
      <c r="X433" s="128"/>
      <c r="Y433" s="128"/>
      <c r="Z433" s="112"/>
      <c r="AA433" s="112"/>
      <c r="AB433" s="112"/>
      <c r="AC433" s="112"/>
      <c r="AD433" s="112"/>
      <c r="AE433" s="112"/>
      <c r="AF433" s="112"/>
      <c r="AG433" s="112"/>
      <c r="AH433" s="112"/>
      <c r="AI433" s="112"/>
      <c r="AJ433" s="112"/>
      <c r="AK433" s="112"/>
      <c r="AL433" s="112"/>
      <c r="AM433" s="112"/>
      <c r="AN433" s="112"/>
      <c r="AO433" s="112"/>
      <c r="AP433" s="112"/>
    </row>
    <row r="434" ht="15.75" customHeight="1">
      <c r="A434" s="112"/>
      <c r="B434" s="112"/>
      <c r="C434" s="112"/>
      <c r="D434" s="112"/>
      <c r="E434" s="128"/>
      <c r="F434" s="112"/>
      <c r="G434" s="112"/>
      <c r="H434" s="128"/>
      <c r="I434" s="112"/>
      <c r="J434" s="112"/>
      <c r="K434" s="112"/>
      <c r="L434" s="128"/>
      <c r="M434" s="128"/>
      <c r="N434" s="112"/>
      <c r="O434" s="112"/>
      <c r="P434" s="112"/>
      <c r="Q434" s="112"/>
      <c r="R434" s="112"/>
      <c r="S434" s="112"/>
      <c r="T434" s="128"/>
      <c r="U434" s="128"/>
      <c r="V434" s="128"/>
      <c r="W434" s="128"/>
      <c r="X434" s="128"/>
      <c r="Y434" s="128"/>
      <c r="Z434" s="112"/>
      <c r="AA434" s="112"/>
      <c r="AB434" s="112"/>
      <c r="AC434" s="112"/>
      <c r="AD434" s="112"/>
      <c r="AE434" s="112"/>
      <c r="AF434" s="112"/>
      <c r="AG434" s="112"/>
      <c r="AH434" s="112"/>
      <c r="AI434" s="112"/>
      <c r="AJ434" s="112"/>
      <c r="AK434" s="112"/>
      <c r="AL434" s="112"/>
      <c r="AM434" s="112"/>
      <c r="AN434" s="112"/>
      <c r="AO434" s="112"/>
      <c r="AP434" s="112"/>
    </row>
    <row r="435" ht="15.75" customHeight="1">
      <c r="A435" s="112"/>
      <c r="B435" s="112"/>
      <c r="C435" s="112"/>
      <c r="D435" s="112"/>
      <c r="E435" s="128"/>
      <c r="F435" s="112"/>
      <c r="G435" s="112"/>
      <c r="H435" s="128"/>
      <c r="I435" s="112"/>
      <c r="J435" s="112"/>
      <c r="K435" s="112"/>
      <c r="L435" s="128"/>
      <c r="M435" s="128"/>
      <c r="N435" s="112"/>
      <c r="O435" s="112"/>
      <c r="P435" s="112"/>
      <c r="Q435" s="112"/>
      <c r="R435" s="112"/>
      <c r="S435" s="112"/>
      <c r="T435" s="128"/>
      <c r="U435" s="128"/>
      <c r="V435" s="128"/>
      <c r="W435" s="128"/>
      <c r="X435" s="128"/>
      <c r="Y435" s="128"/>
      <c r="Z435" s="112"/>
      <c r="AA435" s="112"/>
      <c r="AB435" s="112"/>
      <c r="AC435" s="112"/>
      <c r="AD435" s="112"/>
      <c r="AE435" s="112"/>
      <c r="AF435" s="112"/>
      <c r="AG435" s="112"/>
      <c r="AH435" s="112"/>
      <c r="AI435" s="112"/>
      <c r="AJ435" s="112"/>
      <c r="AK435" s="112"/>
      <c r="AL435" s="112"/>
      <c r="AM435" s="112"/>
      <c r="AN435" s="112"/>
      <c r="AO435" s="112"/>
      <c r="AP435" s="112"/>
    </row>
    <row r="436" ht="15.75" customHeight="1">
      <c r="A436" s="112"/>
      <c r="B436" s="112"/>
      <c r="C436" s="112"/>
      <c r="D436" s="112"/>
      <c r="E436" s="128"/>
      <c r="F436" s="112"/>
      <c r="G436" s="112"/>
      <c r="H436" s="128"/>
      <c r="I436" s="112"/>
      <c r="J436" s="112"/>
      <c r="K436" s="112"/>
      <c r="L436" s="128"/>
      <c r="M436" s="128"/>
      <c r="N436" s="112"/>
      <c r="O436" s="112"/>
      <c r="P436" s="112"/>
      <c r="Q436" s="112"/>
      <c r="R436" s="112"/>
      <c r="S436" s="112"/>
      <c r="T436" s="128"/>
      <c r="U436" s="128"/>
      <c r="V436" s="128"/>
      <c r="W436" s="128"/>
      <c r="X436" s="128"/>
      <c r="Y436" s="128"/>
      <c r="Z436" s="112"/>
      <c r="AA436" s="112"/>
      <c r="AB436" s="112"/>
      <c r="AC436" s="112"/>
      <c r="AD436" s="112"/>
      <c r="AE436" s="112"/>
      <c r="AF436" s="112"/>
      <c r="AG436" s="112"/>
      <c r="AH436" s="112"/>
      <c r="AI436" s="112"/>
      <c r="AJ436" s="112"/>
      <c r="AK436" s="112"/>
      <c r="AL436" s="112"/>
      <c r="AM436" s="112"/>
      <c r="AN436" s="112"/>
      <c r="AO436" s="112"/>
      <c r="AP436" s="112"/>
    </row>
    <row r="437" ht="15.75" customHeight="1">
      <c r="A437" s="112"/>
      <c r="B437" s="112"/>
      <c r="C437" s="112"/>
      <c r="D437" s="112"/>
      <c r="E437" s="128"/>
      <c r="F437" s="112"/>
      <c r="G437" s="112"/>
      <c r="H437" s="128"/>
      <c r="I437" s="112"/>
      <c r="J437" s="112"/>
      <c r="K437" s="112"/>
      <c r="L437" s="128"/>
      <c r="M437" s="128"/>
      <c r="N437" s="112"/>
      <c r="O437" s="112"/>
      <c r="P437" s="112"/>
      <c r="Q437" s="112"/>
      <c r="R437" s="112"/>
      <c r="S437" s="112"/>
      <c r="T437" s="128"/>
      <c r="U437" s="128"/>
      <c r="V437" s="128"/>
      <c r="W437" s="128"/>
      <c r="X437" s="128"/>
      <c r="Y437" s="128"/>
      <c r="Z437" s="112"/>
      <c r="AA437" s="112"/>
      <c r="AB437" s="112"/>
      <c r="AC437" s="112"/>
      <c r="AD437" s="112"/>
      <c r="AE437" s="112"/>
      <c r="AF437" s="112"/>
      <c r="AG437" s="112"/>
      <c r="AH437" s="112"/>
      <c r="AI437" s="112"/>
      <c r="AJ437" s="112"/>
      <c r="AK437" s="112"/>
      <c r="AL437" s="112"/>
      <c r="AM437" s="112"/>
      <c r="AN437" s="112"/>
      <c r="AO437" s="112"/>
      <c r="AP437" s="112"/>
    </row>
    <row r="438" ht="15.75" customHeight="1">
      <c r="A438" s="112"/>
      <c r="B438" s="112"/>
      <c r="C438" s="112"/>
      <c r="D438" s="112"/>
      <c r="E438" s="128"/>
      <c r="F438" s="112"/>
      <c r="G438" s="112"/>
      <c r="H438" s="128"/>
      <c r="I438" s="112"/>
      <c r="J438" s="112"/>
      <c r="K438" s="112"/>
      <c r="L438" s="128"/>
      <c r="M438" s="128"/>
      <c r="N438" s="112"/>
      <c r="O438" s="112"/>
      <c r="P438" s="112"/>
      <c r="Q438" s="112"/>
      <c r="R438" s="112"/>
      <c r="S438" s="112"/>
      <c r="T438" s="128"/>
      <c r="U438" s="128"/>
      <c r="V438" s="128"/>
      <c r="W438" s="128"/>
      <c r="X438" s="128"/>
      <c r="Y438" s="128"/>
      <c r="Z438" s="112"/>
      <c r="AA438" s="112"/>
      <c r="AB438" s="112"/>
      <c r="AC438" s="112"/>
      <c r="AD438" s="112"/>
      <c r="AE438" s="112"/>
      <c r="AF438" s="112"/>
      <c r="AG438" s="112"/>
      <c r="AH438" s="112"/>
      <c r="AI438" s="112"/>
      <c r="AJ438" s="112"/>
      <c r="AK438" s="112"/>
      <c r="AL438" s="112"/>
      <c r="AM438" s="112"/>
      <c r="AN438" s="112"/>
      <c r="AO438" s="112"/>
      <c r="AP438" s="112"/>
    </row>
    <row r="439" ht="15.75" customHeight="1">
      <c r="A439" s="112"/>
      <c r="B439" s="112"/>
      <c r="C439" s="112"/>
      <c r="D439" s="112"/>
      <c r="E439" s="128"/>
      <c r="F439" s="112"/>
      <c r="G439" s="112"/>
      <c r="H439" s="128"/>
      <c r="I439" s="112"/>
      <c r="J439" s="112"/>
      <c r="K439" s="112"/>
      <c r="L439" s="128"/>
      <c r="M439" s="128"/>
      <c r="N439" s="112"/>
      <c r="O439" s="112"/>
      <c r="P439" s="112"/>
      <c r="Q439" s="112"/>
      <c r="R439" s="112"/>
      <c r="S439" s="112"/>
      <c r="T439" s="128"/>
      <c r="U439" s="128"/>
      <c r="V439" s="128"/>
      <c r="W439" s="128"/>
      <c r="X439" s="128"/>
      <c r="Y439" s="128"/>
      <c r="Z439" s="112"/>
      <c r="AA439" s="112"/>
      <c r="AB439" s="112"/>
      <c r="AC439" s="112"/>
      <c r="AD439" s="112"/>
      <c r="AE439" s="112"/>
      <c r="AF439" s="112"/>
      <c r="AG439" s="112"/>
      <c r="AH439" s="112"/>
      <c r="AI439" s="112"/>
      <c r="AJ439" s="112"/>
      <c r="AK439" s="112"/>
      <c r="AL439" s="112"/>
      <c r="AM439" s="112"/>
      <c r="AN439" s="112"/>
      <c r="AO439" s="112"/>
      <c r="AP439" s="112"/>
    </row>
    <row r="440" ht="15.75" customHeight="1">
      <c r="A440" s="112"/>
      <c r="B440" s="112"/>
      <c r="C440" s="112"/>
      <c r="D440" s="112"/>
      <c r="E440" s="128"/>
      <c r="F440" s="112"/>
      <c r="G440" s="112"/>
      <c r="H440" s="128"/>
      <c r="I440" s="112"/>
      <c r="J440" s="112"/>
      <c r="K440" s="112"/>
      <c r="L440" s="128"/>
      <c r="M440" s="128"/>
      <c r="N440" s="112"/>
      <c r="O440" s="112"/>
      <c r="P440" s="112"/>
      <c r="Q440" s="112"/>
      <c r="R440" s="112"/>
      <c r="S440" s="112"/>
      <c r="T440" s="128"/>
      <c r="U440" s="128"/>
      <c r="V440" s="128"/>
      <c r="W440" s="128"/>
      <c r="X440" s="128"/>
      <c r="Y440" s="128"/>
      <c r="Z440" s="112"/>
      <c r="AA440" s="112"/>
      <c r="AB440" s="112"/>
      <c r="AC440" s="112"/>
      <c r="AD440" s="112"/>
      <c r="AE440" s="112"/>
      <c r="AF440" s="112"/>
      <c r="AG440" s="112"/>
      <c r="AH440" s="112"/>
      <c r="AI440" s="112"/>
      <c r="AJ440" s="112"/>
      <c r="AK440" s="112"/>
      <c r="AL440" s="112"/>
      <c r="AM440" s="112"/>
      <c r="AN440" s="112"/>
      <c r="AO440" s="112"/>
      <c r="AP440" s="112"/>
    </row>
    <row r="441" ht="15.75" customHeight="1">
      <c r="A441" s="112"/>
      <c r="B441" s="112"/>
      <c r="C441" s="112"/>
      <c r="D441" s="112"/>
      <c r="E441" s="128"/>
      <c r="F441" s="112"/>
      <c r="G441" s="112"/>
      <c r="H441" s="128"/>
      <c r="I441" s="112"/>
      <c r="J441" s="112"/>
      <c r="K441" s="112"/>
      <c r="L441" s="128"/>
      <c r="M441" s="128"/>
      <c r="N441" s="112"/>
      <c r="O441" s="112"/>
      <c r="P441" s="112"/>
      <c r="Q441" s="112"/>
      <c r="R441" s="112"/>
      <c r="S441" s="112"/>
      <c r="T441" s="128"/>
      <c r="U441" s="128"/>
      <c r="V441" s="128"/>
      <c r="W441" s="128"/>
      <c r="X441" s="128"/>
      <c r="Y441" s="128"/>
      <c r="Z441" s="112"/>
      <c r="AA441" s="112"/>
      <c r="AB441" s="112"/>
      <c r="AC441" s="112"/>
      <c r="AD441" s="112"/>
      <c r="AE441" s="112"/>
      <c r="AF441" s="112"/>
      <c r="AG441" s="112"/>
      <c r="AH441" s="112"/>
      <c r="AI441" s="112"/>
      <c r="AJ441" s="112"/>
      <c r="AK441" s="112"/>
      <c r="AL441" s="112"/>
      <c r="AM441" s="112"/>
      <c r="AN441" s="112"/>
      <c r="AO441" s="112"/>
      <c r="AP441" s="112"/>
    </row>
    <row r="442" ht="15.75" customHeight="1">
      <c r="A442" s="112"/>
      <c r="B442" s="112"/>
      <c r="C442" s="112"/>
      <c r="D442" s="112"/>
      <c r="E442" s="128"/>
      <c r="F442" s="112"/>
      <c r="G442" s="112"/>
      <c r="H442" s="128"/>
      <c r="I442" s="112"/>
      <c r="J442" s="112"/>
      <c r="K442" s="112"/>
      <c r="L442" s="128"/>
      <c r="M442" s="128"/>
      <c r="N442" s="112"/>
      <c r="O442" s="112"/>
      <c r="P442" s="112"/>
      <c r="Q442" s="112"/>
      <c r="R442" s="112"/>
      <c r="S442" s="112"/>
      <c r="T442" s="128"/>
      <c r="U442" s="128"/>
      <c r="V442" s="128"/>
      <c r="W442" s="128"/>
      <c r="X442" s="128"/>
      <c r="Y442" s="128"/>
      <c r="Z442" s="112"/>
      <c r="AA442" s="112"/>
      <c r="AB442" s="112"/>
      <c r="AC442" s="112"/>
      <c r="AD442" s="112"/>
      <c r="AE442" s="112"/>
      <c r="AF442" s="112"/>
      <c r="AG442" s="112"/>
      <c r="AH442" s="112"/>
      <c r="AI442" s="112"/>
      <c r="AJ442" s="112"/>
      <c r="AK442" s="112"/>
      <c r="AL442" s="112"/>
      <c r="AM442" s="112"/>
      <c r="AN442" s="112"/>
      <c r="AO442" s="112"/>
      <c r="AP442" s="112"/>
    </row>
    <row r="443" ht="15.75" customHeight="1">
      <c r="A443" s="112"/>
      <c r="B443" s="112"/>
      <c r="C443" s="112"/>
      <c r="D443" s="112"/>
      <c r="E443" s="128"/>
      <c r="F443" s="112"/>
      <c r="G443" s="112"/>
      <c r="H443" s="128"/>
      <c r="I443" s="112"/>
      <c r="J443" s="112"/>
      <c r="K443" s="112"/>
      <c r="L443" s="128"/>
      <c r="M443" s="128"/>
      <c r="N443" s="112"/>
      <c r="O443" s="112"/>
      <c r="P443" s="112"/>
      <c r="Q443" s="112"/>
      <c r="R443" s="112"/>
      <c r="S443" s="112"/>
      <c r="T443" s="128"/>
      <c r="U443" s="128"/>
      <c r="V443" s="128"/>
      <c r="W443" s="128"/>
      <c r="X443" s="128"/>
      <c r="Y443" s="128"/>
      <c r="Z443" s="112"/>
      <c r="AA443" s="112"/>
      <c r="AB443" s="112"/>
      <c r="AC443" s="112"/>
      <c r="AD443" s="112"/>
      <c r="AE443" s="112"/>
      <c r="AF443" s="112"/>
      <c r="AG443" s="112"/>
      <c r="AH443" s="112"/>
      <c r="AI443" s="112"/>
      <c r="AJ443" s="112"/>
      <c r="AK443" s="112"/>
      <c r="AL443" s="112"/>
      <c r="AM443" s="112"/>
      <c r="AN443" s="112"/>
      <c r="AO443" s="112"/>
      <c r="AP443" s="112"/>
    </row>
    <row r="444" ht="15.75" customHeight="1">
      <c r="A444" s="112"/>
      <c r="B444" s="112"/>
      <c r="C444" s="112"/>
      <c r="D444" s="112"/>
      <c r="E444" s="128"/>
      <c r="F444" s="112"/>
      <c r="G444" s="112"/>
      <c r="H444" s="128"/>
      <c r="I444" s="112"/>
      <c r="J444" s="112"/>
      <c r="K444" s="112"/>
      <c r="L444" s="128"/>
      <c r="M444" s="128"/>
      <c r="N444" s="112"/>
      <c r="O444" s="112"/>
      <c r="P444" s="112"/>
      <c r="Q444" s="112"/>
      <c r="R444" s="112"/>
      <c r="S444" s="112"/>
      <c r="T444" s="128"/>
      <c r="U444" s="128"/>
      <c r="V444" s="128"/>
      <c r="W444" s="128"/>
      <c r="X444" s="128"/>
      <c r="Y444" s="128"/>
      <c r="Z444" s="112"/>
      <c r="AA444" s="112"/>
      <c r="AB444" s="112"/>
      <c r="AC444" s="112"/>
      <c r="AD444" s="112"/>
      <c r="AE444" s="112"/>
      <c r="AF444" s="112"/>
      <c r="AG444" s="112"/>
      <c r="AH444" s="112"/>
      <c r="AI444" s="112"/>
      <c r="AJ444" s="112"/>
      <c r="AK444" s="112"/>
      <c r="AL444" s="112"/>
      <c r="AM444" s="112"/>
      <c r="AN444" s="112"/>
      <c r="AO444" s="112"/>
      <c r="AP444" s="112"/>
    </row>
    <row r="445" ht="15.75" customHeight="1">
      <c r="A445" s="112"/>
      <c r="B445" s="112"/>
      <c r="C445" s="112"/>
      <c r="D445" s="112"/>
      <c r="E445" s="128"/>
      <c r="F445" s="112"/>
      <c r="G445" s="112"/>
      <c r="H445" s="128"/>
      <c r="I445" s="112"/>
      <c r="J445" s="112"/>
      <c r="K445" s="112"/>
      <c r="L445" s="128"/>
      <c r="M445" s="128"/>
      <c r="N445" s="112"/>
      <c r="O445" s="112"/>
      <c r="P445" s="112"/>
      <c r="Q445" s="112"/>
      <c r="R445" s="112"/>
      <c r="S445" s="112"/>
      <c r="T445" s="128"/>
      <c r="U445" s="128"/>
      <c r="V445" s="128"/>
      <c r="W445" s="128"/>
      <c r="X445" s="128"/>
      <c r="Y445" s="128"/>
      <c r="Z445" s="112"/>
      <c r="AA445" s="112"/>
      <c r="AB445" s="112"/>
      <c r="AC445" s="112"/>
      <c r="AD445" s="112"/>
      <c r="AE445" s="112"/>
      <c r="AF445" s="112"/>
      <c r="AG445" s="112"/>
      <c r="AH445" s="112"/>
      <c r="AI445" s="112"/>
      <c r="AJ445" s="112"/>
      <c r="AK445" s="112"/>
      <c r="AL445" s="112"/>
      <c r="AM445" s="112"/>
      <c r="AN445" s="112"/>
      <c r="AO445" s="112"/>
      <c r="AP445" s="112"/>
    </row>
    <row r="446" ht="15.75" customHeight="1">
      <c r="A446" s="112"/>
      <c r="B446" s="112"/>
      <c r="C446" s="112"/>
      <c r="D446" s="112"/>
      <c r="E446" s="128"/>
      <c r="F446" s="112"/>
      <c r="G446" s="112"/>
      <c r="H446" s="128"/>
      <c r="I446" s="112"/>
      <c r="J446" s="112"/>
      <c r="K446" s="112"/>
      <c r="L446" s="128"/>
      <c r="M446" s="128"/>
      <c r="N446" s="112"/>
      <c r="O446" s="112"/>
      <c r="P446" s="112"/>
      <c r="Q446" s="112"/>
      <c r="R446" s="112"/>
      <c r="S446" s="112"/>
      <c r="T446" s="128"/>
      <c r="U446" s="128"/>
      <c r="V446" s="128"/>
      <c r="W446" s="128"/>
      <c r="X446" s="128"/>
      <c r="Y446" s="128"/>
      <c r="Z446" s="112"/>
      <c r="AA446" s="112"/>
      <c r="AB446" s="112"/>
      <c r="AC446" s="112"/>
      <c r="AD446" s="112"/>
      <c r="AE446" s="112"/>
      <c r="AF446" s="112"/>
      <c r="AG446" s="112"/>
      <c r="AH446" s="112"/>
      <c r="AI446" s="112"/>
      <c r="AJ446" s="112"/>
      <c r="AK446" s="112"/>
      <c r="AL446" s="112"/>
      <c r="AM446" s="112"/>
      <c r="AN446" s="112"/>
      <c r="AO446" s="112"/>
      <c r="AP446" s="112"/>
    </row>
    <row r="447" ht="15.75" customHeight="1">
      <c r="A447" s="112"/>
      <c r="B447" s="112"/>
      <c r="C447" s="112"/>
      <c r="D447" s="112"/>
      <c r="E447" s="128"/>
      <c r="F447" s="112"/>
      <c r="G447" s="112"/>
      <c r="H447" s="128"/>
      <c r="I447" s="112"/>
      <c r="J447" s="112"/>
      <c r="K447" s="112"/>
      <c r="L447" s="128"/>
      <c r="M447" s="128"/>
      <c r="N447" s="112"/>
      <c r="O447" s="112"/>
      <c r="P447" s="112"/>
      <c r="Q447" s="112"/>
      <c r="R447" s="112"/>
      <c r="S447" s="112"/>
      <c r="T447" s="128"/>
      <c r="U447" s="128"/>
      <c r="V447" s="128"/>
      <c r="W447" s="128"/>
      <c r="X447" s="128"/>
      <c r="Y447" s="128"/>
      <c r="Z447" s="112"/>
      <c r="AA447" s="112"/>
      <c r="AB447" s="112"/>
      <c r="AC447" s="112"/>
      <c r="AD447" s="112"/>
      <c r="AE447" s="112"/>
      <c r="AF447" s="112"/>
      <c r="AG447" s="112"/>
      <c r="AH447" s="112"/>
      <c r="AI447" s="112"/>
      <c r="AJ447" s="112"/>
      <c r="AK447" s="112"/>
      <c r="AL447" s="112"/>
      <c r="AM447" s="112"/>
      <c r="AN447" s="112"/>
      <c r="AO447" s="112"/>
      <c r="AP447" s="112"/>
    </row>
    <row r="448" ht="15.75" customHeight="1">
      <c r="A448" s="112"/>
      <c r="B448" s="112"/>
      <c r="C448" s="112"/>
      <c r="D448" s="112"/>
      <c r="E448" s="128"/>
      <c r="F448" s="112"/>
      <c r="G448" s="112"/>
      <c r="H448" s="128"/>
      <c r="I448" s="112"/>
      <c r="J448" s="112"/>
      <c r="K448" s="112"/>
      <c r="L448" s="128"/>
      <c r="M448" s="128"/>
      <c r="N448" s="112"/>
      <c r="O448" s="112"/>
      <c r="P448" s="112"/>
      <c r="Q448" s="112"/>
      <c r="R448" s="112"/>
      <c r="S448" s="112"/>
      <c r="T448" s="128"/>
      <c r="U448" s="128"/>
      <c r="V448" s="128"/>
      <c r="W448" s="128"/>
      <c r="X448" s="128"/>
      <c r="Y448" s="128"/>
      <c r="Z448" s="112"/>
      <c r="AA448" s="112"/>
      <c r="AB448" s="112"/>
      <c r="AC448" s="112"/>
      <c r="AD448" s="112"/>
      <c r="AE448" s="112"/>
      <c r="AF448" s="112"/>
      <c r="AG448" s="112"/>
      <c r="AH448" s="112"/>
      <c r="AI448" s="112"/>
      <c r="AJ448" s="112"/>
      <c r="AK448" s="112"/>
      <c r="AL448" s="112"/>
      <c r="AM448" s="112"/>
      <c r="AN448" s="112"/>
      <c r="AO448" s="112"/>
      <c r="AP448" s="112"/>
    </row>
    <row r="449" ht="15.75" customHeight="1">
      <c r="A449" s="112"/>
      <c r="B449" s="112"/>
      <c r="C449" s="112"/>
      <c r="D449" s="112"/>
      <c r="E449" s="128"/>
      <c r="F449" s="112"/>
      <c r="G449" s="112"/>
      <c r="H449" s="128"/>
      <c r="I449" s="112"/>
      <c r="J449" s="112"/>
      <c r="K449" s="112"/>
      <c r="L449" s="128"/>
      <c r="M449" s="128"/>
      <c r="N449" s="112"/>
      <c r="O449" s="112"/>
      <c r="P449" s="112"/>
      <c r="Q449" s="112"/>
      <c r="R449" s="112"/>
      <c r="S449" s="112"/>
      <c r="T449" s="128"/>
      <c r="U449" s="128"/>
      <c r="V449" s="128"/>
      <c r="W449" s="128"/>
      <c r="X449" s="128"/>
      <c r="Y449" s="128"/>
      <c r="Z449" s="112"/>
      <c r="AA449" s="112"/>
      <c r="AB449" s="112"/>
      <c r="AC449" s="112"/>
      <c r="AD449" s="112"/>
      <c r="AE449" s="112"/>
      <c r="AF449" s="112"/>
      <c r="AG449" s="112"/>
      <c r="AH449" s="112"/>
      <c r="AI449" s="112"/>
      <c r="AJ449" s="112"/>
      <c r="AK449" s="112"/>
      <c r="AL449" s="112"/>
      <c r="AM449" s="112"/>
      <c r="AN449" s="112"/>
      <c r="AO449" s="112"/>
      <c r="AP449" s="112"/>
    </row>
    <row r="450" ht="15.75" customHeight="1">
      <c r="A450" s="112"/>
      <c r="B450" s="112"/>
      <c r="C450" s="112"/>
      <c r="D450" s="112"/>
      <c r="E450" s="128"/>
      <c r="F450" s="112"/>
      <c r="G450" s="112"/>
      <c r="H450" s="128"/>
      <c r="I450" s="112"/>
      <c r="J450" s="112"/>
      <c r="K450" s="112"/>
      <c r="L450" s="128"/>
      <c r="M450" s="128"/>
      <c r="N450" s="112"/>
      <c r="O450" s="112"/>
      <c r="P450" s="112"/>
      <c r="Q450" s="112"/>
      <c r="R450" s="112"/>
      <c r="S450" s="112"/>
      <c r="T450" s="128"/>
      <c r="U450" s="128"/>
      <c r="V450" s="128"/>
      <c r="W450" s="128"/>
      <c r="X450" s="128"/>
      <c r="Y450" s="128"/>
      <c r="Z450" s="112"/>
      <c r="AA450" s="112"/>
      <c r="AB450" s="112"/>
      <c r="AC450" s="112"/>
      <c r="AD450" s="112"/>
      <c r="AE450" s="112"/>
      <c r="AF450" s="112"/>
      <c r="AG450" s="112"/>
      <c r="AH450" s="112"/>
      <c r="AI450" s="112"/>
      <c r="AJ450" s="112"/>
      <c r="AK450" s="112"/>
      <c r="AL450" s="112"/>
      <c r="AM450" s="112"/>
      <c r="AN450" s="112"/>
      <c r="AO450" s="112"/>
      <c r="AP450" s="112"/>
    </row>
    <row r="451" ht="15.75" customHeight="1">
      <c r="A451" s="112"/>
      <c r="B451" s="112"/>
      <c r="C451" s="112"/>
      <c r="D451" s="112"/>
      <c r="E451" s="128"/>
      <c r="F451" s="112"/>
      <c r="G451" s="112"/>
      <c r="H451" s="128"/>
      <c r="I451" s="112"/>
      <c r="J451" s="112"/>
      <c r="K451" s="112"/>
      <c r="L451" s="128"/>
      <c r="M451" s="128"/>
      <c r="N451" s="112"/>
      <c r="O451" s="112"/>
      <c r="P451" s="112"/>
      <c r="Q451" s="112"/>
      <c r="R451" s="112"/>
      <c r="S451" s="112"/>
      <c r="T451" s="128"/>
      <c r="U451" s="128"/>
      <c r="V451" s="128"/>
      <c r="W451" s="128"/>
      <c r="X451" s="128"/>
      <c r="Y451" s="128"/>
      <c r="Z451" s="112"/>
      <c r="AA451" s="112"/>
      <c r="AB451" s="112"/>
      <c r="AC451" s="112"/>
      <c r="AD451" s="112"/>
      <c r="AE451" s="112"/>
      <c r="AF451" s="112"/>
      <c r="AG451" s="112"/>
      <c r="AH451" s="112"/>
      <c r="AI451" s="112"/>
      <c r="AJ451" s="112"/>
      <c r="AK451" s="112"/>
      <c r="AL451" s="112"/>
      <c r="AM451" s="112"/>
      <c r="AN451" s="112"/>
      <c r="AO451" s="112"/>
      <c r="AP451" s="112"/>
    </row>
    <row r="452" ht="15.75" customHeight="1">
      <c r="A452" s="112"/>
      <c r="B452" s="112"/>
      <c r="C452" s="112"/>
      <c r="D452" s="112"/>
      <c r="E452" s="128"/>
      <c r="F452" s="112"/>
      <c r="G452" s="112"/>
      <c r="H452" s="128"/>
      <c r="I452" s="112"/>
      <c r="J452" s="112"/>
      <c r="K452" s="112"/>
      <c r="L452" s="128"/>
      <c r="M452" s="128"/>
      <c r="N452" s="112"/>
      <c r="O452" s="112"/>
      <c r="P452" s="112"/>
      <c r="Q452" s="112"/>
      <c r="R452" s="112"/>
      <c r="S452" s="112"/>
      <c r="T452" s="128"/>
      <c r="U452" s="128"/>
      <c r="V452" s="128"/>
      <c r="W452" s="128"/>
      <c r="X452" s="128"/>
      <c r="Y452" s="128"/>
      <c r="Z452" s="112"/>
      <c r="AA452" s="112"/>
      <c r="AB452" s="112"/>
      <c r="AC452" s="112"/>
      <c r="AD452" s="112"/>
      <c r="AE452" s="112"/>
      <c r="AF452" s="112"/>
      <c r="AG452" s="112"/>
      <c r="AH452" s="112"/>
      <c r="AI452" s="112"/>
      <c r="AJ452" s="112"/>
      <c r="AK452" s="112"/>
      <c r="AL452" s="112"/>
      <c r="AM452" s="112"/>
      <c r="AN452" s="112"/>
      <c r="AO452" s="112"/>
      <c r="AP452" s="112"/>
    </row>
    <row r="453" ht="15.75" customHeight="1">
      <c r="A453" s="112"/>
      <c r="B453" s="112"/>
      <c r="C453" s="112"/>
      <c r="D453" s="112"/>
      <c r="E453" s="128"/>
      <c r="F453" s="112"/>
      <c r="G453" s="112"/>
      <c r="H453" s="128"/>
      <c r="I453" s="112"/>
      <c r="J453" s="112"/>
      <c r="K453" s="112"/>
      <c r="L453" s="128"/>
      <c r="M453" s="128"/>
      <c r="N453" s="112"/>
      <c r="O453" s="112"/>
      <c r="P453" s="112"/>
      <c r="Q453" s="112"/>
      <c r="R453" s="112"/>
      <c r="S453" s="112"/>
      <c r="T453" s="128"/>
      <c r="U453" s="128"/>
      <c r="V453" s="128"/>
      <c r="W453" s="128"/>
      <c r="X453" s="128"/>
      <c r="Y453" s="128"/>
      <c r="Z453" s="112"/>
      <c r="AA453" s="112"/>
      <c r="AB453" s="112"/>
      <c r="AC453" s="112"/>
      <c r="AD453" s="112"/>
      <c r="AE453" s="112"/>
      <c r="AF453" s="112"/>
      <c r="AG453" s="112"/>
      <c r="AH453" s="112"/>
      <c r="AI453" s="112"/>
      <c r="AJ453" s="112"/>
      <c r="AK453" s="112"/>
      <c r="AL453" s="112"/>
      <c r="AM453" s="112"/>
      <c r="AN453" s="112"/>
      <c r="AO453" s="112"/>
      <c r="AP453" s="112"/>
    </row>
    <row r="454" ht="15.75" customHeight="1">
      <c r="A454" s="112"/>
      <c r="B454" s="112"/>
      <c r="C454" s="112"/>
      <c r="D454" s="112"/>
      <c r="E454" s="128"/>
      <c r="F454" s="112"/>
      <c r="G454" s="112"/>
      <c r="H454" s="128"/>
      <c r="I454" s="112"/>
      <c r="J454" s="112"/>
      <c r="K454" s="112"/>
      <c r="L454" s="128"/>
      <c r="M454" s="128"/>
      <c r="N454" s="112"/>
      <c r="O454" s="112"/>
      <c r="P454" s="112"/>
      <c r="Q454" s="112"/>
      <c r="R454" s="112"/>
      <c r="S454" s="112"/>
      <c r="T454" s="128"/>
      <c r="U454" s="128"/>
      <c r="V454" s="128"/>
      <c r="W454" s="128"/>
      <c r="X454" s="128"/>
      <c r="Y454" s="128"/>
      <c r="Z454" s="112"/>
      <c r="AA454" s="112"/>
      <c r="AB454" s="112"/>
      <c r="AC454" s="112"/>
      <c r="AD454" s="112"/>
      <c r="AE454" s="112"/>
      <c r="AF454" s="112"/>
      <c r="AG454" s="112"/>
      <c r="AH454" s="112"/>
      <c r="AI454" s="112"/>
      <c r="AJ454" s="112"/>
      <c r="AK454" s="112"/>
      <c r="AL454" s="112"/>
      <c r="AM454" s="112"/>
      <c r="AN454" s="112"/>
      <c r="AO454" s="112"/>
      <c r="AP454" s="112"/>
    </row>
    <row r="455" ht="15.75" customHeight="1">
      <c r="A455" s="112"/>
      <c r="B455" s="112"/>
      <c r="C455" s="112"/>
      <c r="D455" s="112"/>
      <c r="E455" s="128"/>
      <c r="F455" s="112"/>
      <c r="G455" s="112"/>
      <c r="H455" s="128"/>
      <c r="I455" s="112"/>
      <c r="J455" s="112"/>
      <c r="K455" s="112"/>
      <c r="L455" s="128"/>
      <c r="M455" s="128"/>
      <c r="N455" s="112"/>
      <c r="O455" s="112"/>
      <c r="P455" s="112"/>
      <c r="Q455" s="112"/>
      <c r="R455" s="112"/>
      <c r="S455" s="112"/>
      <c r="T455" s="128"/>
      <c r="U455" s="128"/>
      <c r="V455" s="128"/>
      <c r="W455" s="128"/>
      <c r="X455" s="128"/>
      <c r="Y455" s="128"/>
      <c r="Z455" s="112"/>
      <c r="AA455" s="112"/>
      <c r="AB455" s="112"/>
      <c r="AC455" s="112"/>
      <c r="AD455" s="112"/>
      <c r="AE455" s="112"/>
      <c r="AF455" s="112"/>
      <c r="AG455" s="112"/>
      <c r="AH455" s="112"/>
      <c r="AI455" s="112"/>
      <c r="AJ455" s="112"/>
      <c r="AK455" s="112"/>
      <c r="AL455" s="112"/>
      <c r="AM455" s="112"/>
      <c r="AN455" s="112"/>
      <c r="AO455" s="112"/>
      <c r="AP455" s="112"/>
    </row>
    <row r="456" ht="15.75" customHeight="1">
      <c r="A456" s="112"/>
      <c r="B456" s="112"/>
      <c r="C456" s="112"/>
      <c r="D456" s="112"/>
      <c r="E456" s="128"/>
      <c r="F456" s="112"/>
      <c r="G456" s="112"/>
      <c r="H456" s="128"/>
      <c r="I456" s="112"/>
      <c r="J456" s="112"/>
      <c r="K456" s="112"/>
      <c r="L456" s="128"/>
      <c r="M456" s="128"/>
      <c r="N456" s="112"/>
      <c r="O456" s="112"/>
      <c r="P456" s="112"/>
      <c r="Q456" s="112"/>
      <c r="R456" s="112"/>
      <c r="S456" s="112"/>
      <c r="T456" s="128"/>
      <c r="U456" s="128"/>
      <c r="V456" s="128"/>
      <c r="W456" s="128"/>
      <c r="X456" s="128"/>
      <c r="Y456" s="128"/>
      <c r="Z456" s="112"/>
      <c r="AA456" s="112"/>
      <c r="AB456" s="112"/>
      <c r="AC456" s="112"/>
      <c r="AD456" s="112"/>
      <c r="AE456" s="112"/>
      <c r="AF456" s="112"/>
      <c r="AG456" s="112"/>
      <c r="AH456" s="112"/>
      <c r="AI456" s="112"/>
      <c r="AJ456" s="112"/>
      <c r="AK456" s="112"/>
      <c r="AL456" s="112"/>
      <c r="AM456" s="112"/>
      <c r="AN456" s="112"/>
      <c r="AO456" s="112"/>
      <c r="AP456" s="112"/>
    </row>
    <row r="457" ht="15.75" customHeight="1">
      <c r="A457" s="112"/>
      <c r="B457" s="112"/>
      <c r="C457" s="112"/>
      <c r="D457" s="112"/>
      <c r="E457" s="128"/>
      <c r="F457" s="112"/>
      <c r="G457" s="112"/>
      <c r="H457" s="128"/>
      <c r="I457" s="112"/>
      <c r="J457" s="112"/>
      <c r="K457" s="112"/>
      <c r="L457" s="128"/>
      <c r="M457" s="128"/>
      <c r="N457" s="112"/>
      <c r="O457" s="112"/>
      <c r="P457" s="112"/>
      <c r="Q457" s="112"/>
      <c r="R457" s="112"/>
      <c r="S457" s="112"/>
      <c r="T457" s="128"/>
      <c r="U457" s="128"/>
      <c r="V457" s="128"/>
      <c r="W457" s="128"/>
      <c r="X457" s="128"/>
      <c r="Y457" s="128"/>
      <c r="Z457" s="112"/>
      <c r="AA457" s="112"/>
      <c r="AB457" s="112"/>
      <c r="AC457" s="112"/>
      <c r="AD457" s="112"/>
      <c r="AE457" s="112"/>
      <c r="AF457" s="112"/>
      <c r="AG457" s="112"/>
      <c r="AH457" s="112"/>
      <c r="AI457" s="112"/>
      <c r="AJ457" s="112"/>
      <c r="AK457" s="112"/>
      <c r="AL457" s="112"/>
      <c r="AM457" s="112"/>
      <c r="AN457" s="112"/>
      <c r="AO457" s="112"/>
      <c r="AP457" s="112"/>
    </row>
    <row r="458" ht="15.75" customHeight="1">
      <c r="A458" s="112"/>
      <c r="B458" s="112"/>
      <c r="C458" s="112"/>
      <c r="D458" s="112"/>
      <c r="E458" s="128"/>
      <c r="F458" s="112"/>
      <c r="G458" s="112"/>
      <c r="H458" s="128"/>
      <c r="I458" s="112"/>
      <c r="J458" s="112"/>
      <c r="K458" s="112"/>
      <c r="L458" s="128"/>
      <c r="M458" s="128"/>
      <c r="N458" s="112"/>
      <c r="O458" s="112"/>
      <c r="P458" s="112"/>
      <c r="Q458" s="112"/>
      <c r="R458" s="112"/>
      <c r="S458" s="112"/>
      <c r="T458" s="128"/>
      <c r="U458" s="128"/>
      <c r="V458" s="128"/>
      <c r="W458" s="128"/>
      <c r="X458" s="128"/>
      <c r="Y458" s="128"/>
      <c r="Z458" s="112"/>
      <c r="AA458" s="112"/>
      <c r="AB458" s="112"/>
      <c r="AC458" s="112"/>
      <c r="AD458" s="112"/>
      <c r="AE458" s="112"/>
      <c r="AF458" s="112"/>
      <c r="AG458" s="112"/>
      <c r="AH458" s="112"/>
      <c r="AI458" s="112"/>
      <c r="AJ458" s="112"/>
      <c r="AK458" s="112"/>
      <c r="AL458" s="112"/>
      <c r="AM458" s="112"/>
      <c r="AN458" s="112"/>
      <c r="AO458" s="112"/>
      <c r="AP458" s="112"/>
    </row>
    <row r="459" ht="15.75" customHeight="1">
      <c r="A459" s="112"/>
      <c r="B459" s="112"/>
      <c r="C459" s="112"/>
      <c r="D459" s="112"/>
      <c r="E459" s="128"/>
      <c r="F459" s="112"/>
      <c r="G459" s="112"/>
      <c r="H459" s="128"/>
      <c r="I459" s="112"/>
      <c r="J459" s="112"/>
      <c r="K459" s="112"/>
      <c r="L459" s="128"/>
      <c r="M459" s="128"/>
      <c r="N459" s="112"/>
      <c r="O459" s="112"/>
      <c r="P459" s="112"/>
      <c r="Q459" s="112"/>
      <c r="R459" s="112"/>
      <c r="S459" s="112"/>
      <c r="T459" s="128"/>
      <c r="U459" s="128"/>
      <c r="V459" s="128"/>
      <c r="W459" s="128"/>
      <c r="X459" s="128"/>
      <c r="Y459" s="128"/>
      <c r="Z459" s="112"/>
      <c r="AA459" s="112"/>
      <c r="AB459" s="112"/>
      <c r="AC459" s="112"/>
      <c r="AD459" s="112"/>
      <c r="AE459" s="112"/>
      <c r="AF459" s="112"/>
      <c r="AG459" s="112"/>
      <c r="AH459" s="112"/>
      <c r="AI459" s="112"/>
      <c r="AJ459" s="112"/>
      <c r="AK459" s="112"/>
      <c r="AL459" s="112"/>
      <c r="AM459" s="112"/>
      <c r="AN459" s="112"/>
      <c r="AO459" s="112"/>
      <c r="AP459" s="112"/>
    </row>
    <row r="460" ht="15.75" customHeight="1">
      <c r="A460" s="112"/>
      <c r="B460" s="112"/>
      <c r="C460" s="112"/>
      <c r="D460" s="112"/>
      <c r="E460" s="128"/>
      <c r="F460" s="112"/>
      <c r="G460" s="112"/>
      <c r="H460" s="128"/>
      <c r="I460" s="112"/>
      <c r="J460" s="112"/>
      <c r="K460" s="112"/>
      <c r="L460" s="128"/>
      <c r="M460" s="128"/>
      <c r="N460" s="112"/>
      <c r="O460" s="112"/>
      <c r="P460" s="112"/>
      <c r="Q460" s="112"/>
      <c r="R460" s="112"/>
      <c r="S460" s="112"/>
      <c r="T460" s="128"/>
      <c r="U460" s="128"/>
      <c r="V460" s="128"/>
      <c r="W460" s="128"/>
      <c r="X460" s="128"/>
      <c r="Y460" s="128"/>
      <c r="Z460" s="112"/>
      <c r="AA460" s="112"/>
      <c r="AB460" s="112"/>
      <c r="AC460" s="112"/>
      <c r="AD460" s="112"/>
      <c r="AE460" s="112"/>
      <c r="AF460" s="112"/>
      <c r="AG460" s="112"/>
      <c r="AH460" s="112"/>
      <c r="AI460" s="112"/>
      <c r="AJ460" s="112"/>
      <c r="AK460" s="112"/>
      <c r="AL460" s="112"/>
      <c r="AM460" s="112"/>
      <c r="AN460" s="112"/>
      <c r="AO460" s="112"/>
      <c r="AP460" s="112"/>
    </row>
    <row r="461" ht="15.75" customHeight="1">
      <c r="A461" s="112"/>
      <c r="B461" s="112"/>
      <c r="C461" s="112"/>
      <c r="D461" s="112"/>
      <c r="E461" s="128"/>
      <c r="F461" s="112"/>
      <c r="G461" s="112"/>
      <c r="H461" s="128"/>
      <c r="I461" s="112"/>
      <c r="J461" s="112"/>
      <c r="K461" s="112"/>
      <c r="L461" s="128"/>
      <c r="M461" s="128"/>
      <c r="N461" s="112"/>
      <c r="O461" s="112"/>
      <c r="P461" s="112"/>
      <c r="Q461" s="112"/>
      <c r="R461" s="112"/>
      <c r="S461" s="112"/>
      <c r="T461" s="128"/>
      <c r="U461" s="128"/>
      <c r="V461" s="128"/>
      <c r="W461" s="128"/>
      <c r="X461" s="128"/>
      <c r="Y461" s="128"/>
      <c r="Z461" s="112"/>
      <c r="AA461" s="112"/>
      <c r="AB461" s="112"/>
      <c r="AC461" s="112"/>
      <c r="AD461" s="112"/>
      <c r="AE461" s="112"/>
      <c r="AF461" s="112"/>
      <c r="AG461" s="112"/>
      <c r="AH461" s="112"/>
      <c r="AI461" s="112"/>
      <c r="AJ461" s="112"/>
      <c r="AK461" s="112"/>
      <c r="AL461" s="112"/>
      <c r="AM461" s="112"/>
      <c r="AN461" s="112"/>
      <c r="AO461" s="112"/>
      <c r="AP461" s="112"/>
    </row>
    <row r="462" ht="15.75" customHeight="1">
      <c r="A462" s="112"/>
      <c r="B462" s="112"/>
      <c r="C462" s="112"/>
      <c r="D462" s="112"/>
      <c r="E462" s="128"/>
      <c r="F462" s="112"/>
      <c r="G462" s="112"/>
      <c r="H462" s="128"/>
      <c r="I462" s="112"/>
      <c r="J462" s="112"/>
      <c r="K462" s="112"/>
      <c r="L462" s="128"/>
      <c r="M462" s="128"/>
      <c r="N462" s="112"/>
      <c r="O462" s="112"/>
      <c r="P462" s="112"/>
      <c r="Q462" s="112"/>
      <c r="R462" s="112"/>
      <c r="S462" s="112"/>
      <c r="T462" s="128"/>
      <c r="U462" s="128"/>
      <c r="V462" s="128"/>
      <c r="W462" s="128"/>
      <c r="X462" s="128"/>
      <c r="Y462" s="128"/>
      <c r="Z462" s="112"/>
      <c r="AA462" s="112"/>
      <c r="AB462" s="112"/>
      <c r="AC462" s="112"/>
      <c r="AD462" s="112"/>
      <c r="AE462" s="112"/>
      <c r="AF462" s="112"/>
      <c r="AG462" s="112"/>
      <c r="AH462" s="112"/>
      <c r="AI462" s="112"/>
      <c r="AJ462" s="112"/>
      <c r="AK462" s="112"/>
      <c r="AL462" s="112"/>
      <c r="AM462" s="112"/>
      <c r="AN462" s="112"/>
      <c r="AO462" s="112"/>
      <c r="AP462" s="112"/>
    </row>
    <row r="463" ht="15.75" customHeight="1">
      <c r="A463" s="112"/>
      <c r="B463" s="112"/>
      <c r="C463" s="112"/>
      <c r="D463" s="112"/>
      <c r="E463" s="128"/>
      <c r="F463" s="112"/>
      <c r="G463" s="112"/>
      <c r="H463" s="128"/>
      <c r="I463" s="112"/>
      <c r="J463" s="112"/>
      <c r="K463" s="112"/>
      <c r="L463" s="128"/>
      <c r="M463" s="128"/>
      <c r="N463" s="112"/>
      <c r="O463" s="112"/>
      <c r="P463" s="112"/>
      <c r="Q463" s="112"/>
      <c r="R463" s="112"/>
      <c r="S463" s="112"/>
      <c r="T463" s="128"/>
      <c r="U463" s="128"/>
      <c r="V463" s="128"/>
      <c r="W463" s="128"/>
      <c r="X463" s="128"/>
      <c r="Y463" s="128"/>
      <c r="Z463" s="112"/>
      <c r="AA463" s="112"/>
      <c r="AB463" s="112"/>
      <c r="AC463" s="112"/>
      <c r="AD463" s="112"/>
      <c r="AE463" s="112"/>
      <c r="AF463" s="112"/>
      <c r="AG463" s="112"/>
      <c r="AH463" s="112"/>
      <c r="AI463" s="112"/>
      <c r="AJ463" s="112"/>
      <c r="AK463" s="112"/>
      <c r="AL463" s="112"/>
      <c r="AM463" s="112"/>
      <c r="AN463" s="112"/>
      <c r="AO463" s="112"/>
      <c r="AP463" s="112"/>
    </row>
    <row r="464" ht="15.75" customHeight="1">
      <c r="A464" s="112"/>
      <c r="B464" s="112"/>
      <c r="C464" s="112"/>
      <c r="D464" s="112"/>
      <c r="E464" s="128"/>
      <c r="F464" s="112"/>
      <c r="G464" s="112"/>
      <c r="H464" s="128"/>
      <c r="I464" s="112"/>
      <c r="J464" s="112"/>
      <c r="K464" s="112"/>
      <c r="L464" s="128"/>
      <c r="M464" s="128"/>
      <c r="N464" s="112"/>
      <c r="O464" s="112"/>
      <c r="P464" s="112"/>
      <c r="Q464" s="112"/>
      <c r="R464" s="112"/>
      <c r="S464" s="112"/>
      <c r="T464" s="128"/>
      <c r="U464" s="128"/>
      <c r="V464" s="128"/>
      <c r="W464" s="128"/>
      <c r="X464" s="128"/>
      <c r="Y464" s="128"/>
      <c r="Z464" s="112"/>
      <c r="AA464" s="112"/>
      <c r="AB464" s="112"/>
      <c r="AC464" s="112"/>
      <c r="AD464" s="112"/>
      <c r="AE464" s="112"/>
      <c r="AF464" s="112"/>
      <c r="AG464" s="112"/>
      <c r="AH464" s="112"/>
      <c r="AI464" s="112"/>
      <c r="AJ464" s="112"/>
      <c r="AK464" s="112"/>
      <c r="AL464" s="112"/>
      <c r="AM464" s="112"/>
      <c r="AN464" s="112"/>
      <c r="AO464" s="112"/>
      <c r="AP464" s="112"/>
    </row>
    <row r="465" ht="15.75" customHeight="1">
      <c r="A465" s="112"/>
      <c r="B465" s="112"/>
      <c r="C465" s="112"/>
      <c r="D465" s="112"/>
      <c r="E465" s="128"/>
      <c r="F465" s="112"/>
      <c r="G465" s="112"/>
      <c r="H465" s="128"/>
      <c r="I465" s="112"/>
      <c r="J465" s="112"/>
      <c r="K465" s="112"/>
      <c r="L465" s="128"/>
      <c r="M465" s="128"/>
      <c r="N465" s="112"/>
      <c r="O465" s="112"/>
      <c r="P465" s="112"/>
      <c r="Q465" s="112"/>
      <c r="R465" s="112"/>
      <c r="S465" s="112"/>
      <c r="T465" s="128"/>
      <c r="U465" s="128"/>
      <c r="V465" s="128"/>
      <c r="W465" s="128"/>
      <c r="X465" s="128"/>
      <c r="Y465" s="128"/>
      <c r="Z465" s="112"/>
      <c r="AA465" s="112"/>
      <c r="AB465" s="112"/>
      <c r="AC465" s="112"/>
      <c r="AD465" s="112"/>
      <c r="AE465" s="112"/>
      <c r="AF465" s="112"/>
      <c r="AG465" s="112"/>
      <c r="AH465" s="112"/>
      <c r="AI465" s="112"/>
      <c r="AJ465" s="112"/>
      <c r="AK465" s="112"/>
      <c r="AL465" s="112"/>
      <c r="AM465" s="112"/>
      <c r="AN465" s="112"/>
      <c r="AO465" s="112"/>
      <c r="AP465" s="112"/>
    </row>
    <row r="466" ht="15.75" customHeight="1">
      <c r="A466" s="112"/>
      <c r="B466" s="112"/>
      <c r="C466" s="112"/>
      <c r="D466" s="112"/>
      <c r="E466" s="128"/>
      <c r="F466" s="112"/>
      <c r="G466" s="112"/>
      <c r="H466" s="128"/>
      <c r="I466" s="112"/>
      <c r="J466" s="112"/>
      <c r="K466" s="112"/>
      <c r="L466" s="128"/>
      <c r="M466" s="128"/>
      <c r="N466" s="112"/>
      <c r="O466" s="112"/>
      <c r="P466" s="112"/>
      <c r="Q466" s="112"/>
      <c r="R466" s="112"/>
      <c r="S466" s="112"/>
      <c r="T466" s="128"/>
      <c r="U466" s="128"/>
      <c r="V466" s="128"/>
      <c r="W466" s="128"/>
      <c r="X466" s="128"/>
      <c r="Y466" s="128"/>
      <c r="Z466" s="112"/>
      <c r="AA466" s="112"/>
      <c r="AB466" s="112"/>
      <c r="AC466" s="112"/>
      <c r="AD466" s="112"/>
      <c r="AE466" s="112"/>
      <c r="AF466" s="112"/>
      <c r="AG466" s="112"/>
      <c r="AH466" s="112"/>
      <c r="AI466" s="112"/>
      <c r="AJ466" s="112"/>
      <c r="AK466" s="112"/>
      <c r="AL466" s="112"/>
      <c r="AM466" s="112"/>
      <c r="AN466" s="112"/>
      <c r="AO466" s="112"/>
      <c r="AP466" s="112"/>
    </row>
    <row r="467" ht="15.75" customHeight="1">
      <c r="A467" s="112"/>
      <c r="B467" s="112"/>
      <c r="C467" s="112"/>
      <c r="D467" s="112"/>
      <c r="E467" s="128"/>
      <c r="F467" s="112"/>
      <c r="G467" s="112"/>
      <c r="H467" s="128"/>
      <c r="I467" s="112"/>
      <c r="J467" s="112"/>
      <c r="K467" s="112"/>
      <c r="L467" s="128"/>
      <c r="M467" s="128"/>
      <c r="N467" s="112"/>
      <c r="O467" s="112"/>
      <c r="P467" s="112"/>
      <c r="Q467" s="112"/>
      <c r="R467" s="112"/>
      <c r="S467" s="112"/>
      <c r="T467" s="128"/>
      <c r="U467" s="128"/>
      <c r="V467" s="128"/>
      <c r="W467" s="128"/>
      <c r="X467" s="128"/>
      <c r="Y467" s="128"/>
      <c r="Z467" s="112"/>
      <c r="AA467" s="112"/>
      <c r="AB467" s="112"/>
      <c r="AC467" s="112"/>
      <c r="AD467" s="112"/>
      <c r="AE467" s="112"/>
      <c r="AF467" s="112"/>
      <c r="AG467" s="112"/>
      <c r="AH467" s="112"/>
      <c r="AI467" s="112"/>
      <c r="AJ467" s="112"/>
      <c r="AK467" s="112"/>
      <c r="AL467" s="112"/>
      <c r="AM467" s="112"/>
      <c r="AN467" s="112"/>
      <c r="AO467" s="112"/>
      <c r="AP467" s="112"/>
    </row>
    <row r="468" ht="15.75" customHeight="1">
      <c r="A468" s="112"/>
      <c r="B468" s="112"/>
      <c r="C468" s="112"/>
      <c r="D468" s="112"/>
      <c r="E468" s="128"/>
      <c r="F468" s="112"/>
      <c r="G468" s="112"/>
      <c r="H468" s="128"/>
      <c r="I468" s="112"/>
      <c r="J468" s="112"/>
      <c r="K468" s="112"/>
      <c r="L468" s="128"/>
      <c r="M468" s="128"/>
      <c r="N468" s="112"/>
      <c r="O468" s="112"/>
      <c r="P468" s="112"/>
      <c r="Q468" s="112"/>
      <c r="R468" s="112"/>
      <c r="S468" s="112"/>
      <c r="T468" s="128"/>
      <c r="U468" s="128"/>
      <c r="V468" s="128"/>
      <c r="W468" s="128"/>
      <c r="X468" s="128"/>
      <c r="Y468" s="128"/>
      <c r="Z468" s="112"/>
      <c r="AA468" s="112"/>
      <c r="AB468" s="112"/>
      <c r="AC468" s="112"/>
      <c r="AD468" s="112"/>
      <c r="AE468" s="112"/>
      <c r="AF468" s="112"/>
      <c r="AG468" s="112"/>
      <c r="AH468" s="112"/>
      <c r="AI468" s="112"/>
      <c r="AJ468" s="112"/>
      <c r="AK468" s="112"/>
      <c r="AL468" s="112"/>
      <c r="AM468" s="112"/>
      <c r="AN468" s="112"/>
      <c r="AO468" s="112"/>
      <c r="AP468" s="112"/>
    </row>
    <row r="469" ht="15.75" customHeight="1">
      <c r="A469" s="112"/>
      <c r="B469" s="112"/>
      <c r="C469" s="112"/>
      <c r="D469" s="112"/>
      <c r="E469" s="128"/>
      <c r="F469" s="112"/>
      <c r="G469" s="112"/>
      <c r="H469" s="128"/>
      <c r="I469" s="112"/>
      <c r="J469" s="112"/>
      <c r="K469" s="112"/>
      <c r="L469" s="128"/>
      <c r="M469" s="128"/>
      <c r="N469" s="112"/>
      <c r="O469" s="112"/>
      <c r="P469" s="112"/>
      <c r="Q469" s="112"/>
      <c r="R469" s="112"/>
      <c r="S469" s="112"/>
      <c r="T469" s="128"/>
      <c r="U469" s="128"/>
      <c r="V469" s="128"/>
      <c r="W469" s="128"/>
      <c r="X469" s="128"/>
      <c r="Y469" s="128"/>
      <c r="Z469" s="112"/>
      <c r="AA469" s="112"/>
      <c r="AB469" s="112"/>
      <c r="AC469" s="112"/>
      <c r="AD469" s="112"/>
      <c r="AE469" s="112"/>
      <c r="AF469" s="112"/>
      <c r="AG469" s="112"/>
      <c r="AH469" s="112"/>
      <c r="AI469" s="112"/>
      <c r="AJ469" s="112"/>
      <c r="AK469" s="112"/>
      <c r="AL469" s="112"/>
      <c r="AM469" s="112"/>
      <c r="AN469" s="112"/>
      <c r="AO469" s="112"/>
      <c r="AP469" s="112"/>
    </row>
    <row r="470" ht="15.75" customHeight="1">
      <c r="A470" s="112"/>
      <c r="B470" s="112"/>
      <c r="C470" s="112"/>
      <c r="D470" s="112"/>
      <c r="E470" s="128"/>
      <c r="F470" s="112"/>
      <c r="G470" s="112"/>
      <c r="H470" s="128"/>
      <c r="I470" s="112"/>
      <c r="J470" s="112"/>
      <c r="K470" s="112"/>
      <c r="L470" s="128"/>
      <c r="M470" s="128"/>
      <c r="N470" s="112"/>
      <c r="O470" s="112"/>
      <c r="P470" s="112"/>
      <c r="Q470" s="112"/>
      <c r="R470" s="112"/>
      <c r="S470" s="112"/>
      <c r="T470" s="128"/>
      <c r="U470" s="128"/>
      <c r="V470" s="128"/>
      <c r="W470" s="128"/>
      <c r="X470" s="128"/>
      <c r="Y470" s="128"/>
      <c r="Z470" s="112"/>
      <c r="AA470" s="112"/>
      <c r="AB470" s="112"/>
      <c r="AC470" s="112"/>
      <c r="AD470" s="112"/>
      <c r="AE470" s="112"/>
      <c r="AF470" s="112"/>
      <c r="AG470" s="112"/>
      <c r="AH470" s="112"/>
      <c r="AI470" s="112"/>
      <c r="AJ470" s="112"/>
      <c r="AK470" s="112"/>
      <c r="AL470" s="112"/>
      <c r="AM470" s="112"/>
      <c r="AN470" s="112"/>
      <c r="AO470" s="112"/>
      <c r="AP470" s="112"/>
    </row>
    <row r="471" ht="15.75" customHeight="1">
      <c r="A471" s="112"/>
      <c r="B471" s="112"/>
      <c r="C471" s="112"/>
      <c r="D471" s="112"/>
      <c r="E471" s="128"/>
      <c r="F471" s="112"/>
      <c r="G471" s="112"/>
      <c r="H471" s="128"/>
      <c r="I471" s="112"/>
      <c r="J471" s="112"/>
      <c r="K471" s="112"/>
      <c r="L471" s="128"/>
      <c r="M471" s="128"/>
      <c r="N471" s="112"/>
      <c r="O471" s="112"/>
      <c r="P471" s="112"/>
      <c r="Q471" s="112"/>
      <c r="R471" s="112"/>
      <c r="S471" s="112"/>
      <c r="T471" s="128"/>
      <c r="U471" s="128"/>
      <c r="V471" s="128"/>
      <c r="W471" s="128"/>
      <c r="X471" s="128"/>
      <c r="Y471" s="128"/>
      <c r="Z471" s="112"/>
      <c r="AA471" s="112"/>
      <c r="AB471" s="112"/>
      <c r="AC471" s="112"/>
      <c r="AD471" s="112"/>
      <c r="AE471" s="112"/>
      <c r="AF471" s="112"/>
      <c r="AG471" s="112"/>
      <c r="AH471" s="112"/>
      <c r="AI471" s="112"/>
      <c r="AJ471" s="112"/>
      <c r="AK471" s="112"/>
      <c r="AL471" s="112"/>
      <c r="AM471" s="112"/>
      <c r="AN471" s="112"/>
      <c r="AO471" s="112"/>
      <c r="AP471" s="112"/>
    </row>
    <row r="472" ht="15.75" customHeight="1">
      <c r="A472" s="112"/>
      <c r="B472" s="112"/>
      <c r="C472" s="112"/>
      <c r="D472" s="112"/>
      <c r="E472" s="128"/>
      <c r="F472" s="112"/>
      <c r="G472" s="112"/>
      <c r="H472" s="128"/>
      <c r="I472" s="112"/>
      <c r="J472" s="112"/>
      <c r="K472" s="112"/>
      <c r="L472" s="128"/>
      <c r="M472" s="128"/>
      <c r="N472" s="112"/>
      <c r="O472" s="112"/>
      <c r="P472" s="112"/>
      <c r="Q472" s="112"/>
      <c r="R472" s="112"/>
      <c r="S472" s="112"/>
      <c r="T472" s="128"/>
      <c r="U472" s="128"/>
      <c r="V472" s="128"/>
      <c r="W472" s="128"/>
      <c r="X472" s="128"/>
      <c r="Y472" s="128"/>
      <c r="Z472" s="112"/>
      <c r="AA472" s="112"/>
      <c r="AB472" s="112"/>
      <c r="AC472" s="112"/>
      <c r="AD472" s="112"/>
      <c r="AE472" s="112"/>
      <c r="AF472" s="112"/>
      <c r="AG472" s="112"/>
      <c r="AH472" s="112"/>
      <c r="AI472" s="112"/>
      <c r="AJ472" s="112"/>
      <c r="AK472" s="112"/>
      <c r="AL472" s="112"/>
      <c r="AM472" s="112"/>
      <c r="AN472" s="112"/>
      <c r="AO472" s="112"/>
      <c r="AP472" s="112"/>
    </row>
    <row r="473" ht="15.75" customHeight="1">
      <c r="A473" s="112"/>
      <c r="B473" s="112"/>
      <c r="C473" s="112"/>
      <c r="D473" s="112"/>
      <c r="E473" s="128"/>
      <c r="F473" s="112"/>
      <c r="G473" s="112"/>
      <c r="H473" s="128"/>
      <c r="I473" s="112"/>
      <c r="J473" s="112"/>
      <c r="K473" s="112"/>
      <c r="L473" s="128"/>
      <c r="M473" s="128"/>
      <c r="N473" s="112"/>
      <c r="O473" s="112"/>
      <c r="P473" s="112"/>
      <c r="Q473" s="112"/>
      <c r="R473" s="112"/>
      <c r="S473" s="112"/>
      <c r="T473" s="128"/>
      <c r="U473" s="128"/>
      <c r="V473" s="128"/>
      <c r="W473" s="128"/>
      <c r="X473" s="128"/>
      <c r="Y473" s="128"/>
      <c r="Z473" s="112"/>
      <c r="AA473" s="112"/>
      <c r="AB473" s="112"/>
      <c r="AC473" s="112"/>
      <c r="AD473" s="112"/>
      <c r="AE473" s="112"/>
      <c r="AF473" s="112"/>
      <c r="AG473" s="112"/>
      <c r="AH473" s="112"/>
      <c r="AI473" s="112"/>
      <c r="AJ473" s="112"/>
      <c r="AK473" s="112"/>
      <c r="AL473" s="112"/>
      <c r="AM473" s="112"/>
      <c r="AN473" s="112"/>
      <c r="AO473" s="112"/>
      <c r="AP473" s="112"/>
    </row>
    <row r="474" ht="15.75" customHeight="1">
      <c r="A474" s="112"/>
      <c r="B474" s="112"/>
      <c r="C474" s="112"/>
      <c r="D474" s="112"/>
      <c r="E474" s="128"/>
      <c r="F474" s="112"/>
      <c r="G474" s="112"/>
      <c r="H474" s="128"/>
      <c r="I474" s="112"/>
      <c r="J474" s="112"/>
      <c r="K474" s="112"/>
      <c r="L474" s="128"/>
      <c r="M474" s="128"/>
      <c r="N474" s="112"/>
      <c r="O474" s="112"/>
      <c r="P474" s="112"/>
      <c r="Q474" s="112"/>
      <c r="R474" s="112"/>
      <c r="S474" s="112"/>
      <c r="T474" s="128"/>
      <c r="U474" s="128"/>
      <c r="V474" s="128"/>
      <c r="W474" s="128"/>
      <c r="X474" s="128"/>
      <c r="Y474" s="128"/>
      <c r="Z474" s="112"/>
      <c r="AA474" s="112"/>
      <c r="AB474" s="112"/>
      <c r="AC474" s="112"/>
      <c r="AD474" s="112"/>
      <c r="AE474" s="112"/>
      <c r="AF474" s="112"/>
      <c r="AG474" s="112"/>
      <c r="AH474" s="112"/>
      <c r="AI474" s="112"/>
      <c r="AJ474" s="112"/>
      <c r="AK474" s="112"/>
      <c r="AL474" s="112"/>
      <c r="AM474" s="112"/>
      <c r="AN474" s="112"/>
      <c r="AO474" s="112"/>
      <c r="AP474" s="112"/>
    </row>
    <row r="475" ht="15.75" customHeight="1">
      <c r="A475" s="112"/>
      <c r="B475" s="112"/>
      <c r="C475" s="112"/>
      <c r="D475" s="112"/>
      <c r="E475" s="128"/>
      <c r="F475" s="112"/>
      <c r="G475" s="112"/>
      <c r="H475" s="128"/>
      <c r="I475" s="112"/>
      <c r="J475" s="112"/>
      <c r="K475" s="112"/>
      <c r="L475" s="128"/>
      <c r="M475" s="128"/>
      <c r="N475" s="112"/>
      <c r="O475" s="112"/>
      <c r="P475" s="112"/>
      <c r="Q475" s="112"/>
      <c r="R475" s="112"/>
      <c r="S475" s="112"/>
      <c r="T475" s="128"/>
      <c r="U475" s="128"/>
      <c r="V475" s="128"/>
      <c r="W475" s="128"/>
      <c r="X475" s="128"/>
      <c r="Y475" s="128"/>
      <c r="Z475" s="112"/>
      <c r="AA475" s="112"/>
      <c r="AB475" s="112"/>
      <c r="AC475" s="112"/>
      <c r="AD475" s="112"/>
      <c r="AE475" s="112"/>
      <c r="AF475" s="112"/>
      <c r="AG475" s="112"/>
      <c r="AH475" s="112"/>
      <c r="AI475" s="112"/>
      <c r="AJ475" s="112"/>
      <c r="AK475" s="112"/>
      <c r="AL475" s="112"/>
      <c r="AM475" s="112"/>
      <c r="AN475" s="112"/>
      <c r="AO475" s="112"/>
      <c r="AP475" s="112"/>
    </row>
    <row r="476" ht="15.75" customHeight="1">
      <c r="A476" s="112"/>
      <c r="B476" s="112"/>
      <c r="C476" s="112"/>
      <c r="D476" s="112"/>
      <c r="E476" s="128"/>
      <c r="F476" s="112"/>
      <c r="G476" s="112"/>
      <c r="H476" s="128"/>
      <c r="I476" s="112"/>
      <c r="J476" s="112"/>
      <c r="K476" s="112"/>
      <c r="L476" s="128"/>
      <c r="M476" s="128"/>
      <c r="N476" s="112"/>
      <c r="O476" s="112"/>
      <c r="P476" s="112"/>
      <c r="Q476" s="112"/>
      <c r="R476" s="112"/>
      <c r="S476" s="112"/>
      <c r="T476" s="128"/>
      <c r="U476" s="128"/>
      <c r="V476" s="128"/>
      <c r="W476" s="128"/>
      <c r="X476" s="128"/>
      <c r="Y476" s="128"/>
      <c r="Z476" s="112"/>
      <c r="AA476" s="112"/>
      <c r="AB476" s="112"/>
      <c r="AC476" s="112"/>
      <c r="AD476" s="112"/>
      <c r="AE476" s="112"/>
      <c r="AF476" s="112"/>
      <c r="AG476" s="112"/>
      <c r="AH476" s="112"/>
      <c r="AI476" s="112"/>
      <c r="AJ476" s="112"/>
      <c r="AK476" s="112"/>
      <c r="AL476" s="112"/>
      <c r="AM476" s="112"/>
      <c r="AN476" s="112"/>
      <c r="AO476" s="112"/>
      <c r="AP476" s="112"/>
    </row>
    <row r="477" ht="15.75" customHeight="1">
      <c r="A477" s="112"/>
      <c r="B477" s="112"/>
      <c r="C477" s="112"/>
      <c r="D477" s="112"/>
      <c r="E477" s="128"/>
      <c r="F477" s="112"/>
      <c r="G477" s="112"/>
      <c r="H477" s="128"/>
      <c r="I477" s="112"/>
      <c r="J477" s="112"/>
      <c r="K477" s="112"/>
      <c r="L477" s="128"/>
      <c r="M477" s="128"/>
      <c r="N477" s="112"/>
      <c r="O477" s="112"/>
      <c r="P477" s="112"/>
      <c r="Q477" s="112"/>
      <c r="R477" s="112"/>
      <c r="S477" s="112"/>
      <c r="T477" s="128"/>
      <c r="U477" s="128"/>
      <c r="V477" s="128"/>
      <c r="W477" s="128"/>
      <c r="X477" s="128"/>
      <c r="Y477" s="128"/>
      <c r="Z477" s="112"/>
      <c r="AA477" s="112"/>
      <c r="AB477" s="112"/>
      <c r="AC477" s="112"/>
      <c r="AD477" s="112"/>
      <c r="AE477" s="112"/>
      <c r="AF477" s="112"/>
      <c r="AG477" s="112"/>
      <c r="AH477" s="112"/>
      <c r="AI477" s="112"/>
      <c r="AJ477" s="112"/>
      <c r="AK477" s="112"/>
      <c r="AL477" s="112"/>
      <c r="AM477" s="112"/>
      <c r="AN477" s="112"/>
      <c r="AO477" s="112"/>
      <c r="AP477" s="112"/>
    </row>
    <row r="478" ht="15.75" customHeight="1">
      <c r="A478" s="112"/>
      <c r="B478" s="112"/>
      <c r="C478" s="112"/>
      <c r="D478" s="112"/>
      <c r="E478" s="128"/>
      <c r="F478" s="112"/>
      <c r="G478" s="112"/>
      <c r="H478" s="128"/>
      <c r="I478" s="112"/>
      <c r="J478" s="112"/>
      <c r="K478" s="112"/>
      <c r="L478" s="128"/>
      <c r="M478" s="128"/>
      <c r="N478" s="112"/>
      <c r="O478" s="112"/>
      <c r="P478" s="112"/>
      <c r="Q478" s="112"/>
      <c r="R478" s="112"/>
      <c r="S478" s="112"/>
      <c r="T478" s="128"/>
      <c r="U478" s="128"/>
      <c r="V478" s="128"/>
      <c r="W478" s="128"/>
      <c r="X478" s="128"/>
      <c r="Y478" s="128"/>
      <c r="Z478" s="112"/>
      <c r="AA478" s="112"/>
      <c r="AB478" s="112"/>
      <c r="AC478" s="112"/>
      <c r="AD478" s="112"/>
      <c r="AE478" s="112"/>
      <c r="AF478" s="112"/>
      <c r="AG478" s="112"/>
      <c r="AH478" s="112"/>
      <c r="AI478" s="112"/>
      <c r="AJ478" s="112"/>
      <c r="AK478" s="112"/>
      <c r="AL478" s="112"/>
      <c r="AM478" s="112"/>
      <c r="AN478" s="112"/>
      <c r="AO478" s="112"/>
      <c r="AP478" s="112"/>
    </row>
    <row r="479" ht="15.75" customHeight="1">
      <c r="A479" s="112"/>
      <c r="B479" s="112"/>
      <c r="C479" s="112"/>
      <c r="D479" s="112"/>
      <c r="E479" s="128"/>
      <c r="F479" s="112"/>
      <c r="G479" s="112"/>
      <c r="H479" s="128"/>
      <c r="I479" s="112"/>
      <c r="J479" s="112"/>
      <c r="K479" s="112"/>
      <c r="L479" s="128"/>
      <c r="M479" s="128"/>
      <c r="N479" s="112"/>
      <c r="O479" s="112"/>
      <c r="P479" s="112"/>
      <c r="Q479" s="112"/>
      <c r="R479" s="112"/>
      <c r="S479" s="112"/>
      <c r="T479" s="128"/>
      <c r="U479" s="128"/>
      <c r="V479" s="128"/>
      <c r="W479" s="128"/>
      <c r="X479" s="128"/>
      <c r="Y479" s="128"/>
      <c r="Z479" s="112"/>
      <c r="AA479" s="112"/>
      <c r="AB479" s="112"/>
      <c r="AC479" s="112"/>
      <c r="AD479" s="112"/>
      <c r="AE479" s="112"/>
      <c r="AF479" s="112"/>
      <c r="AG479" s="112"/>
      <c r="AH479" s="112"/>
      <c r="AI479" s="112"/>
      <c r="AJ479" s="112"/>
      <c r="AK479" s="112"/>
      <c r="AL479" s="112"/>
      <c r="AM479" s="112"/>
      <c r="AN479" s="112"/>
      <c r="AO479" s="112"/>
      <c r="AP479" s="112"/>
    </row>
    <row r="480" ht="15.75" customHeight="1">
      <c r="A480" s="112"/>
      <c r="B480" s="112"/>
      <c r="C480" s="112"/>
      <c r="D480" s="112"/>
      <c r="E480" s="128"/>
      <c r="F480" s="112"/>
      <c r="G480" s="112"/>
      <c r="H480" s="128"/>
      <c r="I480" s="112"/>
      <c r="J480" s="112"/>
      <c r="K480" s="112"/>
      <c r="L480" s="128"/>
      <c r="M480" s="128"/>
      <c r="N480" s="112"/>
      <c r="O480" s="112"/>
      <c r="P480" s="112"/>
      <c r="Q480" s="112"/>
      <c r="R480" s="112"/>
      <c r="S480" s="112"/>
      <c r="T480" s="128"/>
      <c r="U480" s="128"/>
      <c r="V480" s="128"/>
      <c r="W480" s="128"/>
      <c r="X480" s="128"/>
      <c r="Y480" s="128"/>
      <c r="Z480" s="112"/>
      <c r="AA480" s="112"/>
      <c r="AB480" s="112"/>
      <c r="AC480" s="112"/>
      <c r="AD480" s="112"/>
      <c r="AE480" s="112"/>
      <c r="AF480" s="112"/>
      <c r="AG480" s="112"/>
      <c r="AH480" s="112"/>
      <c r="AI480" s="112"/>
      <c r="AJ480" s="112"/>
      <c r="AK480" s="112"/>
      <c r="AL480" s="112"/>
      <c r="AM480" s="112"/>
      <c r="AN480" s="112"/>
      <c r="AO480" s="112"/>
      <c r="AP480" s="112"/>
    </row>
    <row r="481" ht="15.75" customHeight="1">
      <c r="A481" s="112"/>
      <c r="B481" s="112"/>
      <c r="C481" s="112"/>
      <c r="D481" s="112"/>
      <c r="E481" s="128"/>
      <c r="F481" s="112"/>
      <c r="G481" s="112"/>
      <c r="H481" s="128"/>
      <c r="I481" s="112"/>
      <c r="J481" s="112"/>
      <c r="K481" s="112"/>
      <c r="L481" s="128"/>
      <c r="M481" s="128"/>
      <c r="N481" s="112"/>
      <c r="O481" s="112"/>
      <c r="P481" s="112"/>
      <c r="Q481" s="112"/>
      <c r="R481" s="112"/>
      <c r="S481" s="112"/>
      <c r="T481" s="128"/>
      <c r="U481" s="128"/>
      <c r="V481" s="128"/>
      <c r="W481" s="128"/>
      <c r="X481" s="128"/>
      <c r="Y481" s="128"/>
      <c r="Z481" s="112"/>
      <c r="AA481" s="112"/>
      <c r="AB481" s="112"/>
      <c r="AC481" s="112"/>
      <c r="AD481" s="112"/>
      <c r="AE481" s="112"/>
      <c r="AF481" s="112"/>
      <c r="AG481" s="112"/>
      <c r="AH481" s="112"/>
      <c r="AI481" s="112"/>
      <c r="AJ481" s="112"/>
      <c r="AK481" s="112"/>
      <c r="AL481" s="112"/>
      <c r="AM481" s="112"/>
      <c r="AN481" s="112"/>
      <c r="AO481" s="112"/>
      <c r="AP481" s="112"/>
    </row>
    <row r="482" ht="15.75" customHeight="1">
      <c r="A482" s="112"/>
      <c r="B482" s="112"/>
      <c r="C482" s="112"/>
      <c r="D482" s="112"/>
      <c r="E482" s="128"/>
      <c r="F482" s="112"/>
      <c r="G482" s="112"/>
      <c r="H482" s="128"/>
      <c r="I482" s="112"/>
      <c r="J482" s="112"/>
      <c r="K482" s="112"/>
      <c r="L482" s="128"/>
      <c r="M482" s="128"/>
      <c r="N482" s="112"/>
      <c r="O482" s="112"/>
      <c r="P482" s="112"/>
      <c r="Q482" s="112"/>
      <c r="R482" s="112"/>
      <c r="S482" s="112"/>
      <c r="T482" s="128"/>
      <c r="U482" s="128"/>
      <c r="V482" s="128"/>
      <c r="W482" s="128"/>
      <c r="X482" s="128"/>
      <c r="Y482" s="128"/>
      <c r="Z482" s="112"/>
      <c r="AA482" s="112"/>
      <c r="AB482" s="112"/>
      <c r="AC482" s="112"/>
      <c r="AD482" s="112"/>
      <c r="AE482" s="112"/>
      <c r="AF482" s="112"/>
      <c r="AG482" s="112"/>
      <c r="AH482" s="112"/>
      <c r="AI482" s="112"/>
      <c r="AJ482" s="112"/>
      <c r="AK482" s="112"/>
      <c r="AL482" s="112"/>
      <c r="AM482" s="112"/>
      <c r="AN482" s="112"/>
      <c r="AO482" s="112"/>
      <c r="AP482" s="112"/>
    </row>
    <row r="483" ht="15.75" customHeight="1">
      <c r="A483" s="112"/>
      <c r="B483" s="112"/>
      <c r="C483" s="112"/>
      <c r="D483" s="112"/>
      <c r="E483" s="128"/>
      <c r="F483" s="112"/>
      <c r="G483" s="112"/>
      <c r="H483" s="128"/>
      <c r="I483" s="112"/>
      <c r="J483" s="112"/>
      <c r="K483" s="112"/>
      <c r="L483" s="128"/>
      <c r="M483" s="128"/>
      <c r="N483" s="112"/>
      <c r="O483" s="112"/>
      <c r="P483" s="112"/>
      <c r="Q483" s="112"/>
      <c r="R483" s="112"/>
      <c r="S483" s="112"/>
      <c r="T483" s="128"/>
      <c r="U483" s="128"/>
      <c r="V483" s="128"/>
      <c r="W483" s="128"/>
      <c r="X483" s="128"/>
      <c r="Y483" s="128"/>
      <c r="Z483" s="112"/>
      <c r="AA483" s="112"/>
      <c r="AB483" s="112"/>
      <c r="AC483" s="112"/>
      <c r="AD483" s="112"/>
      <c r="AE483" s="112"/>
      <c r="AF483" s="112"/>
      <c r="AG483" s="112"/>
      <c r="AH483" s="112"/>
      <c r="AI483" s="112"/>
      <c r="AJ483" s="112"/>
      <c r="AK483" s="112"/>
      <c r="AL483" s="112"/>
      <c r="AM483" s="112"/>
      <c r="AN483" s="112"/>
      <c r="AO483" s="112"/>
      <c r="AP483" s="112"/>
    </row>
    <row r="484" ht="15.75" customHeight="1">
      <c r="A484" s="112"/>
      <c r="B484" s="112"/>
      <c r="C484" s="112"/>
      <c r="D484" s="112"/>
      <c r="E484" s="128"/>
      <c r="F484" s="112"/>
      <c r="G484" s="112"/>
      <c r="H484" s="128"/>
      <c r="I484" s="112"/>
      <c r="J484" s="112"/>
      <c r="K484" s="112"/>
      <c r="L484" s="128"/>
      <c r="M484" s="128"/>
      <c r="N484" s="112"/>
      <c r="O484" s="112"/>
      <c r="P484" s="112"/>
      <c r="Q484" s="112"/>
      <c r="R484" s="112"/>
      <c r="S484" s="112"/>
      <c r="T484" s="128"/>
      <c r="U484" s="128"/>
      <c r="V484" s="128"/>
      <c r="W484" s="128"/>
      <c r="X484" s="128"/>
      <c r="Y484" s="128"/>
      <c r="Z484" s="112"/>
      <c r="AA484" s="112"/>
      <c r="AB484" s="112"/>
      <c r="AC484" s="112"/>
      <c r="AD484" s="112"/>
      <c r="AE484" s="112"/>
      <c r="AF484" s="112"/>
      <c r="AG484" s="112"/>
      <c r="AH484" s="112"/>
      <c r="AI484" s="112"/>
      <c r="AJ484" s="112"/>
      <c r="AK484" s="112"/>
      <c r="AL484" s="112"/>
      <c r="AM484" s="112"/>
      <c r="AN484" s="112"/>
      <c r="AO484" s="112"/>
      <c r="AP484" s="112"/>
    </row>
    <row r="485" ht="15.75" customHeight="1">
      <c r="A485" s="112"/>
      <c r="B485" s="112"/>
      <c r="C485" s="112"/>
      <c r="D485" s="112"/>
      <c r="E485" s="128"/>
      <c r="F485" s="112"/>
      <c r="G485" s="112"/>
      <c r="H485" s="128"/>
      <c r="I485" s="112"/>
      <c r="J485" s="112"/>
      <c r="K485" s="112"/>
      <c r="L485" s="128"/>
      <c r="M485" s="128"/>
      <c r="N485" s="112"/>
      <c r="O485" s="112"/>
      <c r="P485" s="112"/>
      <c r="Q485" s="112"/>
      <c r="R485" s="112"/>
      <c r="S485" s="112"/>
      <c r="T485" s="128"/>
      <c r="U485" s="128"/>
      <c r="V485" s="128"/>
      <c r="W485" s="128"/>
      <c r="X485" s="128"/>
      <c r="Y485" s="128"/>
      <c r="Z485" s="112"/>
      <c r="AA485" s="112"/>
      <c r="AB485" s="112"/>
      <c r="AC485" s="112"/>
      <c r="AD485" s="112"/>
      <c r="AE485" s="112"/>
      <c r="AF485" s="112"/>
      <c r="AG485" s="112"/>
      <c r="AH485" s="112"/>
      <c r="AI485" s="112"/>
      <c r="AJ485" s="112"/>
      <c r="AK485" s="112"/>
      <c r="AL485" s="112"/>
      <c r="AM485" s="112"/>
      <c r="AN485" s="112"/>
      <c r="AO485" s="112"/>
      <c r="AP485" s="112"/>
    </row>
    <row r="486" ht="15.75" customHeight="1">
      <c r="A486" s="112"/>
      <c r="B486" s="112"/>
      <c r="C486" s="112"/>
      <c r="D486" s="112"/>
      <c r="E486" s="128"/>
      <c r="F486" s="112"/>
      <c r="G486" s="112"/>
      <c r="H486" s="128"/>
      <c r="I486" s="112"/>
      <c r="J486" s="112"/>
      <c r="K486" s="112"/>
      <c r="L486" s="128"/>
      <c r="M486" s="128"/>
      <c r="N486" s="112"/>
      <c r="O486" s="112"/>
      <c r="P486" s="112"/>
      <c r="Q486" s="112"/>
      <c r="R486" s="112"/>
      <c r="S486" s="112"/>
      <c r="T486" s="128"/>
      <c r="U486" s="128"/>
      <c r="V486" s="128"/>
      <c r="W486" s="128"/>
      <c r="X486" s="128"/>
      <c r="Y486" s="128"/>
      <c r="Z486" s="112"/>
      <c r="AA486" s="112"/>
      <c r="AB486" s="112"/>
      <c r="AC486" s="112"/>
      <c r="AD486" s="112"/>
      <c r="AE486" s="112"/>
      <c r="AF486" s="112"/>
      <c r="AG486" s="112"/>
      <c r="AH486" s="112"/>
      <c r="AI486" s="112"/>
      <c r="AJ486" s="112"/>
      <c r="AK486" s="112"/>
      <c r="AL486" s="112"/>
      <c r="AM486" s="112"/>
      <c r="AN486" s="112"/>
      <c r="AO486" s="112"/>
      <c r="AP486" s="112"/>
    </row>
    <row r="487" ht="15.75" customHeight="1">
      <c r="A487" s="112"/>
      <c r="B487" s="112"/>
      <c r="C487" s="112"/>
      <c r="D487" s="112"/>
      <c r="E487" s="128"/>
      <c r="F487" s="112"/>
      <c r="G487" s="112"/>
      <c r="H487" s="128"/>
      <c r="I487" s="112"/>
      <c r="J487" s="112"/>
      <c r="K487" s="112"/>
      <c r="L487" s="128"/>
      <c r="M487" s="128"/>
      <c r="N487" s="112"/>
      <c r="O487" s="112"/>
      <c r="P487" s="112"/>
      <c r="Q487" s="112"/>
      <c r="R487" s="112"/>
      <c r="S487" s="112"/>
      <c r="T487" s="128"/>
      <c r="U487" s="128"/>
      <c r="V487" s="128"/>
      <c r="W487" s="128"/>
      <c r="X487" s="128"/>
      <c r="Y487" s="128"/>
      <c r="Z487" s="112"/>
      <c r="AA487" s="112"/>
      <c r="AB487" s="112"/>
      <c r="AC487" s="112"/>
      <c r="AD487" s="112"/>
      <c r="AE487" s="112"/>
      <c r="AF487" s="112"/>
      <c r="AG487" s="112"/>
      <c r="AH487" s="112"/>
      <c r="AI487" s="112"/>
      <c r="AJ487" s="112"/>
      <c r="AK487" s="112"/>
      <c r="AL487" s="112"/>
      <c r="AM487" s="112"/>
      <c r="AN487" s="112"/>
      <c r="AO487" s="112"/>
      <c r="AP487" s="112"/>
    </row>
    <row r="488" ht="15.75" customHeight="1">
      <c r="A488" s="112"/>
      <c r="B488" s="112"/>
      <c r="C488" s="112"/>
      <c r="D488" s="112"/>
      <c r="E488" s="128"/>
      <c r="F488" s="112"/>
      <c r="G488" s="112"/>
      <c r="H488" s="128"/>
      <c r="I488" s="112"/>
      <c r="J488" s="112"/>
      <c r="K488" s="112"/>
      <c r="L488" s="128"/>
      <c r="M488" s="128"/>
      <c r="N488" s="112"/>
      <c r="O488" s="112"/>
      <c r="P488" s="112"/>
      <c r="Q488" s="112"/>
      <c r="R488" s="112"/>
      <c r="S488" s="112"/>
      <c r="T488" s="128"/>
      <c r="U488" s="128"/>
      <c r="V488" s="128"/>
      <c r="W488" s="128"/>
      <c r="X488" s="128"/>
      <c r="Y488" s="128"/>
      <c r="Z488" s="112"/>
      <c r="AA488" s="112"/>
      <c r="AB488" s="112"/>
      <c r="AC488" s="112"/>
      <c r="AD488" s="112"/>
      <c r="AE488" s="112"/>
      <c r="AF488" s="112"/>
      <c r="AG488" s="112"/>
      <c r="AH488" s="112"/>
      <c r="AI488" s="112"/>
      <c r="AJ488" s="112"/>
      <c r="AK488" s="112"/>
      <c r="AL488" s="112"/>
      <c r="AM488" s="112"/>
      <c r="AN488" s="112"/>
      <c r="AO488" s="112"/>
      <c r="AP488" s="112"/>
    </row>
    <row r="489" ht="15.75" customHeight="1">
      <c r="A489" s="112"/>
      <c r="B489" s="112"/>
      <c r="C489" s="112"/>
      <c r="D489" s="112"/>
      <c r="E489" s="128"/>
      <c r="F489" s="112"/>
      <c r="G489" s="112"/>
      <c r="H489" s="128"/>
      <c r="I489" s="112"/>
      <c r="J489" s="112"/>
      <c r="K489" s="112"/>
      <c r="L489" s="128"/>
      <c r="M489" s="128"/>
      <c r="N489" s="112"/>
      <c r="O489" s="112"/>
      <c r="P489" s="112"/>
      <c r="Q489" s="112"/>
      <c r="R489" s="112"/>
      <c r="S489" s="112"/>
      <c r="T489" s="128"/>
      <c r="U489" s="128"/>
      <c r="V489" s="128"/>
      <c r="W489" s="128"/>
      <c r="X489" s="128"/>
      <c r="Y489" s="128"/>
      <c r="Z489" s="112"/>
      <c r="AA489" s="112"/>
      <c r="AB489" s="112"/>
      <c r="AC489" s="112"/>
      <c r="AD489" s="112"/>
      <c r="AE489" s="112"/>
      <c r="AF489" s="112"/>
      <c r="AG489" s="112"/>
      <c r="AH489" s="112"/>
      <c r="AI489" s="112"/>
      <c r="AJ489" s="112"/>
      <c r="AK489" s="112"/>
      <c r="AL489" s="112"/>
      <c r="AM489" s="112"/>
      <c r="AN489" s="112"/>
      <c r="AO489" s="112"/>
      <c r="AP489" s="112"/>
    </row>
    <row r="490" ht="15.75" customHeight="1">
      <c r="A490" s="112"/>
      <c r="B490" s="112"/>
      <c r="C490" s="112"/>
      <c r="D490" s="112"/>
      <c r="E490" s="128"/>
      <c r="F490" s="112"/>
      <c r="G490" s="112"/>
      <c r="H490" s="128"/>
      <c r="I490" s="112"/>
      <c r="J490" s="112"/>
      <c r="K490" s="112"/>
      <c r="L490" s="128"/>
      <c r="M490" s="128"/>
      <c r="N490" s="112"/>
      <c r="O490" s="112"/>
      <c r="P490" s="112"/>
      <c r="Q490" s="112"/>
      <c r="R490" s="112"/>
      <c r="S490" s="112"/>
      <c r="T490" s="128"/>
      <c r="U490" s="128"/>
      <c r="V490" s="128"/>
      <c r="W490" s="128"/>
      <c r="X490" s="128"/>
      <c r="Y490" s="128"/>
      <c r="Z490" s="112"/>
      <c r="AA490" s="112"/>
      <c r="AB490" s="112"/>
      <c r="AC490" s="112"/>
      <c r="AD490" s="112"/>
      <c r="AE490" s="112"/>
      <c r="AF490" s="112"/>
      <c r="AG490" s="112"/>
      <c r="AH490" s="112"/>
      <c r="AI490" s="112"/>
      <c r="AJ490" s="112"/>
      <c r="AK490" s="112"/>
      <c r="AL490" s="112"/>
      <c r="AM490" s="112"/>
      <c r="AN490" s="112"/>
      <c r="AO490" s="112"/>
      <c r="AP490" s="112"/>
    </row>
    <row r="491" ht="15.75" customHeight="1">
      <c r="A491" s="112"/>
      <c r="B491" s="112"/>
      <c r="C491" s="112"/>
      <c r="D491" s="112"/>
      <c r="E491" s="128"/>
      <c r="F491" s="112"/>
      <c r="G491" s="112"/>
      <c r="H491" s="128"/>
      <c r="I491" s="112"/>
      <c r="J491" s="112"/>
      <c r="K491" s="112"/>
      <c r="L491" s="128"/>
      <c r="M491" s="128"/>
      <c r="N491" s="112"/>
      <c r="O491" s="112"/>
      <c r="P491" s="112"/>
      <c r="Q491" s="112"/>
      <c r="R491" s="112"/>
      <c r="S491" s="112"/>
      <c r="T491" s="128"/>
      <c r="U491" s="128"/>
      <c r="V491" s="128"/>
      <c r="W491" s="128"/>
      <c r="X491" s="128"/>
      <c r="Y491" s="128"/>
      <c r="Z491" s="112"/>
      <c r="AA491" s="112"/>
      <c r="AB491" s="112"/>
      <c r="AC491" s="112"/>
      <c r="AD491" s="112"/>
      <c r="AE491" s="112"/>
      <c r="AF491" s="112"/>
      <c r="AG491" s="112"/>
      <c r="AH491" s="112"/>
      <c r="AI491" s="112"/>
      <c r="AJ491" s="112"/>
      <c r="AK491" s="112"/>
      <c r="AL491" s="112"/>
      <c r="AM491" s="112"/>
      <c r="AN491" s="112"/>
      <c r="AO491" s="112"/>
      <c r="AP491" s="112"/>
    </row>
    <row r="492" ht="15.75" customHeight="1">
      <c r="A492" s="112"/>
      <c r="B492" s="112"/>
      <c r="C492" s="112"/>
      <c r="D492" s="112"/>
      <c r="E492" s="128"/>
      <c r="F492" s="112"/>
      <c r="G492" s="112"/>
      <c r="H492" s="128"/>
      <c r="I492" s="112"/>
      <c r="J492" s="112"/>
      <c r="K492" s="112"/>
      <c r="L492" s="128"/>
      <c r="M492" s="128"/>
      <c r="N492" s="112"/>
      <c r="O492" s="112"/>
      <c r="P492" s="112"/>
      <c r="Q492" s="112"/>
      <c r="R492" s="112"/>
      <c r="S492" s="112"/>
      <c r="T492" s="128"/>
      <c r="U492" s="128"/>
      <c r="V492" s="128"/>
      <c r="W492" s="128"/>
      <c r="X492" s="128"/>
      <c r="Y492" s="128"/>
      <c r="Z492" s="112"/>
      <c r="AA492" s="112"/>
      <c r="AB492" s="112"/>
      <c r="AC492" s="112"/>
      <c r="AD492" s="112"/>
      <c r="AE492" s="112"/>
      <c r="AF492" s="112"/>
      <c r="AG492" s="112"/>
      <c r="AH492" s="112"/>
      <c r="AI492" s="112"/>
      <c r="AJ492" s="112"/>
      <c r="AK492" s="112"/>
      <c r="AL492" s="112"/>
      <c r="AM492" s="112"/>
      <c r="AN492" s="112"/>
      <c r="AO492" s="112"/>
      <c r="AP492" s="112"/>
    </row>
    <row r="493" ht="15.75" customHeight="1">
      <c r="A493" s="112"/>
      <c r="B493" s="112"/>
      <c r="C493" s="112"/>
      <c r="D493" s="112"/>
      <c r="E493" s="128"/>
      <c r="F493" s="112"/>
      <c r="G493" s="112"/>
      <c r="H493" s="128"/>
      <c r="I493" s="112"/>
      <c r="J493" s="112"/>
      <c r="K493" s="112"/>
      <c r="L493" s="128"/>
      <c r="M493" s="128"/>
      <c r="N493" s="112"/>
      <c r="O493" s="112"/>
      <c r="P493" s="112"/>
      <c r="Q493" s="112"/>
      <c r="R493" s="112"/>
      <c r="S493" s="112"/>
      <c r="T493" s="128"/>
      <c r="U493" s="128"/>
      <c r="V493" s="128"/>
      <c r="W493" s="128"/>
      <c r="X493" s="128"/>
      <c r="Y493" s="128"/>
      <c r="Z493" s="112"/>
      <c r="AA493" s="112"/>
      <c r="AB493" s="112"/>
      <c r="AC493" s="112"/>
      <c r="AD493" s="112"/>
      <c r="AE493" s="112"/>
      <c r="AF493" s="112"/>
      <c r="AG493" s="112"/>
      <c r="AH493" s="112"/>
      <c r="AI493" s="112"/>
      <c r="AJ493" s="112"/>
      <c r="AK493" s="112"/>
      <c r="AL493" s="112"/>
      <c r="AM493" s="112"/>
      <c r="AN493" s="112"/>
      <c r="AO493" s="112"/>
      <c r="AP493" s="112"/>
    </row>
    <row r="494" ht="15.75" customHeight="1">
      <c r="A494" s="112"/>
      <c r="B494" s="112"/>
      <c r="C494" s="112"/>
      <c r="D494" s="112"/>
      <c r="E494" s="128"/>
      <c r="F494" s="112"/>
      <c r="G494" s="112"/>
      <c r="H494" s="128"/>
      <c r="I494" s="112"/>
      <c r="J494" s="112"/>
      <c r="K494" s="112"/>
      <c r="L494" s="128"/>
      <c r="M494" s="128"/>
      <c r="N494" s="112"/>
      <c r="O494" s="112"/>
      <c r="P494" s="112"/>
      <c r="Q494" s="112"/>
      <c r="R494" s="112"/>
      <c r="S494" s="112"/>
      <c r="T494" s="128"/>
      <c r="U494" s="128"/>
      <c r="V494" s="128"/>
      <c r="W494" s="128"/>
      <c r="X494" s="128"/>
      <c r="Y494" s="128"/>
      <c r="Z494" s="112"/>
      <c r="AA494" s="112"/>
      <c r="AB494" s="112"/>
      <c r="AC494" s="112"/>
      <c r="AD494" s="112"/>
      <c r="AE494" s="112"/>
      <c r="AF494" s="112"/>
      <c r="AG494" s="112"/>
      <c r="AH494" s="112"/>
      <c r="AI494" s="112"/>
      <c r="AJ494" s="112"/>
      <c r="AK494" s="112"/>
      <c r="AL494" s="112"/>
      <c r="AM494" s="112"/>
      <c r="AN494" s="112"/>
      <c r="AO494" s="112"/>
      <c r="AP494" s="112"/>
    </row>
    <row r="495" ht="15.75" customHeight="1">
      <c r="A495" s="112"/>
      <c r="B495" s="112"/>
      <c r="C495" s="112"/>
      <c r="D495" s="112"/>
      <c r="E495" s="128"/>
      <c r="F495" s="112"/>
      <c r="G495" s="112"/>
      <c r="H495" s="128"/>
      <c r="I495" s="112"/>
      <c r="J495" s="112"/>
      <c r="K495" s="112"/>
      <c r="L495" s="128"/>
      <c r="M495" s="128"/>
      <c r="N495" s="112"/>
      <c r="O495" s="112"/>
      <c r="P495" s="112"/>
      <c r="Q495" s="112"/>
      <c r="R495" s="112"/>
      <c r="S495" s="112"/>
      <c r="T495" s="128"/>
      <c r="U495" s="128"/>
      <c r="V495" s="128"/>
      <c r="W495" s="128"/>
      <c r="X495" s="128"/>
      <c r="Y495" s="128"/>
      <c r="Z495" s="112"/>
      <c r="AA495" s="112"/>
      <c r="AB495" s="112"/>
      <c r="AC495" s="112"/>
      <c r="AD495" s="112"/>
      <c r="AE495" s="112"/>
      <c r="AF495" s="112"/>
      <c r="AG495" s="112"/>
      <c r="AH495" s="112"/>
      <c r="AI495" s="112"/>
      <c r="AJ495" s="112"/>
      <c r="AK495" s="112"/>
      <c r="AL495" s="112"/>
      <c r="AM495" s="112"/>
      <c r="AN495" s="112"/>
      <c r="AO495" s="112"/>
      <c r="AP495" s="112"/>
    </row>
    <row r="496" ht="15.75" customHeight="1">
      <c r="A496" s="112"/>
      <c r="B496" s="112"/>
      <c r="C496" s="112"/>
      <c r="D496" s="112"/>
      <c r="E496" s="128"/>
      <c r="F496" s="112"/>
      <c r="G496" s="112"/>
      <c r="H496" s="128"/>
      <c r="I496" s="112"/>
      <c r="J496" s="112"/>
      <c r="K496" s="112"/>
      <c r="L496" s="128"/>
      <c r="M496" s="128"/>
      <c r="N496" s="112"/>
      <c r="O496" s="112"/>
      <c r="P496" s="112"/>
      <c r="Q496" s="112"/>
      <c r="R496" s="112"/>
      <c r="S496" s="112"/>
      <c r="T496" s="128"/>
      <c r="U496" s="128"/>
      <c r="V496" s="128"/>
      <c r="W496" s="128"/>
      <c r="X496" s="128"/>
      <c r="Y496" s="128"/>
      <c r="Z496" s="112"/>
      <c r="AA496" s="112"/>
      <c r="AB496" s="112"/>
      <c r="AC496" s="112"/>
      <c r="AD496" s="112"/>
      <c r="AE496" s="112"/>
      <c r="AF496" s="112"/>
      <c r="AG496" s="112"/>
      <c r="AH496" s="112"/>
      <c r="AI496" s="112"/>
      <c r="AJ496" s="112"/>
      <c r="AK496" s="112"/>
      <c r="AL496" s="112"/>
      <c r="AM496" s="112"/>
      <c r="AN496" s="112"/>
      <c r="AO496" s="112"/>
      <c r="AP496" s="112"/>
    </row>
    <row r="497" ht="15.75" customHeight="1">
      <c r="A497" s="112"/>
      <c r="B497" s="112"/>
      <c r="C497" s="112"/>
      <c r="D497" s="112"/>
      <c r="E497" s="128"/>
      <c r="F497" s="112"/>
      <c r="G497" s="112"/>
      <c r="H497" s="128"/>
      <c r="I497" s="112"/>
      <c r="J497" s="112"/>
      <c r="K497" s="112"/>
      <c r="L497" s="128"/>
      <c r="M497" s="128"/>
      <c r="N497" s="112"/>
      <c r="O497" s="112"/>
      <c r="P497" s="112"/>
      <c r="Q497" s="112"/>
      <c r="R497" s="112"/>
      <c r="S497" s="112"/>
      <c r="T497" s="128"/>
      <c r="U497" s="128"/>
      <c r="V497" s="128"/>
      <c r="W497" s="128"/>
      <c r="X497" s="128"/>
      <c r="Y497" s="128"/>
      <c r="Z497" s="112"/>
      <c r="AA497" s="112"/>
      <c r="AB497" s="112"/>
      <c r="AC497" s="112"/>
      <c r="AD497" s="112"/>
      <c r="AE497" s="112"/>
      <c r="AF497" s="112"/>
      <c r="AG497" s="112"/>
      <c r="AH497" s="112"/>
      <c r="AI497" s="112"/>
      <c r="AJ497" s="112"/>
      <c r="AK497" s="112"/>
      <c r="AL497" s="112"/>
      <c r="AM497" s="112"/>
      <c r="AN497" s="112"/>
      <c r="AO497" s="112"/>
      <c r="AP497" s="112"/>
    </row>
    <row r="498" ht="15.75" customHeight="1">
      <c r="A498" s="112"/>
      <c r="B498" s="112"/>
      <c r="C498" s="112"/>
      <c r="D498" s="112"/>
      <c r="E498" s="128"/>
      <c r="F498" s="112"/>
      <c r="G498" s="112"/>
      <c r="H498" s="128"/>
      <c r="I498" s="112"/>
      <c r="J498" s="112"/>
      <c r="K498" s="112"/>
      <c r="L498" s="128"/>
      <c r="M498" s="128"/>
      <c r="N498" s="112"/>
      <c r="O498" s="112"/>
      <c r="P498" s="112"/>
      <c r="Q498" s="112"/>
      <c r="R498" s="112"/>
      <c r="S498" s="112"/>
      <c r="T498" s="128"/>
      <c r="U498" s="128"/>
      <c r="V498" s="128"/>
      <c r="W498" s="128"/>
      <c r="X498" s="128"/>
      <c r="Y498" s="128"/>
      <c r="Z498" s="112"/>
      <c r="AA498" s="112"/>
      <c r="AB498" s="112"/>
      <c r="AC498" s="112"/>
      <c r="AD498" s="112"/>
      <c r="AE498" s="112"/>
      <c r="AF498" s="112"/>
      <c r="AG498" s="112"/>
      <c r="AH498" s="112"/>
      <c r="AI498" s="112"/>
      <c r="AJ498" s="112"/>
      <c r="AK498" s="112"/>
      <c r="AL498" s="112"/>
      <c r="AM498" s="112"/>
      <c r="AN498" s="112"/>
      <c r="AO498" s="112"/>
      <c r="AP498" s="112"/>
    </row>
    <row r="499" ht="15.75" customHeight="1">
      <c r="A499" s="112"/>
      <c r="B499" s="112"/>
      <c r="C499" s="112"/>
      <c r="D499" s="112"/>
      <c r="E499" s="128"/>
      <c r="F499" s="112"/>
      <c r="G499" s="112"/>
      <c r="H499" s="128"/>
      <c r="I499" s="112"/>
      <c r="J499" s="112"/>
      <c r="K499" s="112"/>
      <c r="L499" s="128"/>
      <c r="M499" s="128"/>
      <c r="N499" s="112"/>
      <c r="O499" s="112"/>
      <c r="P499" s="112"/>
      <c r="Q499" s="112"/>
      <c r="R499" s="112"/>
      <c r="S499" s="112"/>
      <c r="T499" s="128"/>
      <c r="U499" s="128"/>
      <c r="V499" s="128"/>
      <c r="W499" s="128"/>
      <c r="X499" s="128"/>
      <c r="Y499" s="128"/>
      <c r="Z499" s="112"/>
      <c r="AA499" s="112"/>
      <c r="AB499" s="112"/>
      <c r="AC499" s="112"/>
      <c r="AD499" s="112"/>
      <c r="AE499" s="112"/>
      <c r="AF499" s="112"/>
      <c r="AG499" s="112"/>
      <c r="AH499" s="112"/>
      <c r="AI499" s="112"/>
      <c r="AJ499" s="112"/>
      <c r="AK499" s="112"/>
      <c r="AL499" s="112"/>
      <c r="AM499" s="112"/>
      <c r="AN499" s="112"/>
      <c r="AO499" s="112"/>
      <c r="AP499" s="112"/>
    </row>
    <row r="500" ht="15.75" customHeight="1">
      <c r="A500" s="112"/>
      <c r="B500" s="112"/>
      <c r="C500" s="112"/>
      <c r="D500" s="112"/>
      <c r="E500" s="128"/>
      <c r="F500" s="112"/>
      <c r="G500" s="112"/>
      <c r="H500" s="128"/>
      <c r="I500" s="112"/>
      <c r="J500" s="112"/>
      <c r="K500" s="112"/>
      <c r="L500" s="128"/>
      <c r="M500" s="128"/>
      <c r="N500" s="112"/>
      <c r="O500" s="112"/>
      <c r="P500" s="112"/>
      <c r="Q500" s="112"/>
      <c r="R500" s="112"/>
      <c r="S500" s="112"/>
      <c r="T500" s="128"/>
      <c r="U500" s="128"/>
      <c r="V500" s="128"/>
      <c r="W500" s="128"/>
      <c r="X500" s="128"/>
      <c r="Y500" s="128"/>
      <c r="Z500" s="112"/>
      <c r="AA500" s="112"/>
      <c r="AB500" s="112"/>
      <c r="AC500" s="112"/>
      <c r="AD500" s="112"/>
      <c r="AE500" s="112"/>
      <c r="AF500" s="112"/>
      <c r="AG500" s="112"/>
      <c r="AH500" s="112"/>
      <c r="AI500" s="112"/>
      <c r="AJ500" s="112"/>
      <c r="AK500" s="112"/>
      <c r="AL500" s="112"/>
      <c r="AM500" s="112"/>
      <c r="AN500" s="112"/>
      <c r="AO500" s="112"/>
      <c r="AP500" s="112"/>
    </row>
    <row r="501" ht="15.75" customHeight="1">
      <c r="A501" s="112"/>
      <c r="B501" s="112"/>
      <c r="C501" s="112"/>
      <c r="D501" s="112"/>
      <c r="E501" s="128"/>
      <c r="F501" s="112"/>
      <c r="G501" s="112"/>
      <c r="H501" s="128"/>
      <c r="I501" s="112"/>
      <c r="J501" s="112"/>
      <c r="K501" s="112"/>
      <c r="L501" s="128"/>
      <c r="M501" s="128"/>
      <c r="N501" s="112"/>
      <c r="O501" s="112"/>
      <c r="P501" s="112"/>
      <c r="Q501" s="112"/>
      <c r="R501" s="112"/>
      <c r="S501" s="112"/>
      <c r="T501" s="128"/>
      <c r="U501" s="128"/>
      <c r="V501" s="128"/>
      <c r="W501" s="128"/>
      <c r="X501" s="128"/>
      <c r="Y501" s="128"/>
      <c r="Z501" s="112"/>
      <c r="AA501" s="112"/>
      <c r="AB501" s="112"/>
      <c r="AC501" s="112"/>
      <c r="AD501" s="112"/>
      <c r="AE501" s="112"/>
      <c r="AF501" s="112"/>
      <c r="AG501" s="112"/>
      <c r="AH501" s="112"/>
      <c r="AI501" s="112"/>
      <c r="AJ501" s="112"/>
      <c r="AK501" s="112"/>
      <c r="AL501" s="112"/>
      <c r="AM501" s="112"/>
      <c r="AN501" s="112"/>
      <c r="AO501" s="112"/>
      <c r="AP501" s="112"/>
    </row>
    <row r="502" ht="15.75" customHeight="1">
      <c r="A502" s="112"/>
      <c r="B502" s="112"/>
      <c r="C502" s="112"/>
      <c r="D502" s="112"/>
      <c r="E502" s="128"/>
      <c r="F502" s="112"/>
      <c r="G502" s="112"/>
      <c r="H502" s="128"/>
      <c r="I502" s="112"/>
      <c r="J502" s="112"/>
      <c r="K502" s="112"/>
      <c r="L502" s="128"/>
      <c r="M502" s="128"/>
      <c r="N502" s="112"/>
      <c r="O502" s="112"/>
      <c r="P502" s="112"/>
      <c r="Q502" s="112"/>
      <c r="R502" s="112"/>
      <c r="S502" s="112"/>
      <c r="T502" s="128"/>
      <c r="U502" s="128"/>
      <c r="V502" s="128"/>
      <c r="W502" s="128"/>
      <c r="X502" s="128"/>
      <c r="Y502" s="128"/>
      <c r="Z502" s="112"/>
      <c r="AA502" s="112"/>
      <c r="AB502" s="112"/>
      <c r="AC502" s="112"/>
      <c r="AD502" s="112"/>
      <c r="AE502" s="112"/>
      <c r="AF502" s="112"/>
      <c r="AG502" s="112"/>
      <c r="AH502" s="112"/>
      <c r="AI502" s="112"/>
      <c r="AJ502" s="112"/>
      <c r="AK502" s="112"/>
      <c r="AL502" s="112"/>
      <c r="AM502" s="112"/>
      <c r="AN502" s="112"/>
      <c r="AO502" s="112"/>
      <c r="AP502" s="112"/>
    </row>
    <row r="503" ht="15.75" customHeight="1">
      <c r="A503" s="112"/>
      <c r="B503" s="112"/>
      <c r="C503" s="112"/>
      <c r="D503" s="112"/>
      <c r="E503" s="128"/>
      <c r="F503" s="112"/>
      <c r="G503" s="112"/>
      <c r="H503" s="128"/>
      <c r="I503" s="112"/>
      <c r="J503" s="112"/>
      <c r="K503" s="112"/>
      <c r="L503" s="128"/>
      <c r="M503" s="128"/>
      <c r="N503" s="112"/>
      <c r="O503" s="112"/>
      <c r="P503" s="112"/>
      <c r="Q503" s="112"/>
      <c r="R503" s="112"/>
      <c r="S503" s="112"/>
      <c r="T503" s="128"/>
      <c r="U503" s="128"/>
      <c r="V503" s="128"/>
      <c r="W503" s="128"/>
      <c r="X503" s="128"/>
      <c r="Y503" s="128"/>
      <c r="Z503" s="112"/>
      <c r="AA503" s="112"/>
      <c r="AB503" s="112"/>
      <c r="AC503" s="112"/>
      <c r="AD503" s="112"/>
      <c r="AE503" s="112"/>
      <c r="AF503" s="112"/>
      <c r="AG503" s="112"/>
      <c r="AH503" s="112"/>
      <c r="AI503" s="112"/>
      <c r="AJ503" s="112"/>
      <c r="AK503" s="112"/>
      <c r="AL503" s="112"/>
      <c r="AM503" s="112"/>
      <c r="AN503" s="112"/>
      <c r="AO503" s="112"/>
      <c r="AP503" s="112"/>
    </row>
    <row r="504" ht="15.75" customHeight="1">
      <c r="A504" s="112"/>
      <c r="B504" s="112"/>
      <c r="C504" s="112"/>
      <c r="D504" s="112"/>
      <c r="E504" s="128"/>
      <c r="F504" s="112"/>
      <c r="G504" s="112"/>
      <c r="H504" s="128"/>
      <c r="I504" s="112"/>
      <c r="J504" s="112"/>
      <c r="K504" s="112"/>
      <c r="L504" s="128"/>
      <c r="M504" s="128"/>
      <c r="N504" s="112"/>
      <c r="O504" s="112"/>
      <c r="P504" s="112"/>
      <c r="Q504" s="112"/>
      <c r="R504" s="112"/>
      <c r="S504" s="112"/>
      <c r="T504" s="128"/>
      <c r="U504" s="128"/>
      <c r="V504" s="128"/>
      <c r="W504" s="128"/>
      <c r="X504" s="128"/>
      <c r="Y504" s="128"/>
      <c r="Z504" s="112"/>
      <c r="AA504" s="112"/>
      <c r="AB504" s="112"/>
      <c r="AC504" s="112"/>
      <c r="AD504" s="112"/>
      <c r="AE504" s="112"/>
      <c r="AF504" s="112"/>
      <c r="AG504" s="112"/>
      <c r="AH504" s="112"/>
      <c r="AI504" s="112"/>
      <c r="AJ504" s="112"/>
      <c r="AK504" s="112"/>
      <c r="AL504" s="112"/>
      <c r="AM504" s="112"/>
      <c r="AN504" s="112"/>
      <c r="AO504" s="112"/>
      <c r="AP504" s="112"/>
    </row>
    <row r="505" ht="15.75" customHeight="1">
      <c r="A505" s="112"/>
      <c r="B505" s="112"/>
      <c r="C505" s="112"/>
      <c r="D505" s="112"/>
      <c r="E505" s="128"/>
      <c r="F505" s="112"/>
      <c r="G505" s="112"/>
      <c r="H505" s="128"/>
      <c r="I505" s="112"/>
      <c r="J505" s="112"/>
      <c r="K505" s="112"/>
      <c r="L505" s="128"/>
      <c r="M505" s="128"/>
      <c r="N505" s="112"/>
      <c r="O505" s="112"/>
      <c r="P505" s="112"/>
      <c r="Q505" s="112"/>
      <c r="R505" s="112"/>
      <c r="S505" s="112"/>
      <c r="T505" s="128"/>
      <c r="U505" s="128"/>
      <c r="V505" s="128"/>
      <c r="W505" s="128"/>
      <c r="X505" s="128"/>
      <c r="Y505" s="128"/>
      <c r="Z505" s="112"/>
      <c r="AA505" s="112"/>
      <c r="AB505" s="112"/>
      <c r="AC505" s="112"/>
      <c r="AD505" s="112"/>
      <c r="AE505" s="112"/>
      <c r="AF505" s="112"/>
      <c r="AG505" s="112"/>
      <c r="AH505" s="112"/>
      <c r="AI505" s="112"/>
      <c r="AJ505" s="112"/>
      <c r="AK505" s="112"/>
      <c r="AL505" s="112"/>
      <c r="AM505" s="112"/>
      <c r="AN505" s="112"/>
      <c r="AO505" s="112"/>
      <c r="AP505" s="112"/>
    </row>
    <row r="506" ht="15.75" customHeight="1">
      <c r="A506" s="112"/>
      <c r="B506" s="112"/>
      <c r="C506" s="112"/>
      <c r="D506" s="112"/>
      <c r="E506" s="128"/>
      <c r="F506" s="112"/>
      <c r="G506" s="112"/>
      <c r="H506" s="128"/>
      <c r="I506" s="112"/>
      <c r="J506" s="112"/>
      <c r="K506" s="112"/>
      <c r="L506" s="128"/>
      <c r="M506" s="128"/>
      <c r="N506" s="112"/>
      <c r="O506" s="112"/>
      <c r="P506" s="112"/>
      <c r="Q506" s="112"/>
      <c r="R506" s="112"/>
      <c r="S506" s="112"/>
      <c r="T506" s="128"/>
      <c r="U506" s="128"/>
      <c r="V506" s="128"/>
      <c r="W506" s="128"/>
      <c r="X506" s="128"/>
      <c r="Y506" s="128"/>
      <c r="Z506" s="112"/>
      <c r="AA506" s="112"/>
      <c r="AB506" s="112"/>
      <c r="AC506" s="112"/>
      <c r="AD506" s="112"/>
      <c r="AE506" s="112"/>
      <c r="AF506" s="112"/>
      <c r="AG506" s="112"/>
      <c r="AH506" s="112"/>
      <c r="AI506" s="112"/>
      <c r="AJ506" s="112"/>
      <c r="AK506" s="112"/>
      <c r="AL506" s="112"/>
      <c r="AM506" s="112"/>
      <c r="AN506" s="112"/>
      <c r="AO506" s="112"/>
      <c r="AP506" s="112"/>
    </row>
    <row r="507" ht="15.75" customHeight="1">
      <c r="A507" s="112"/>
      <c r="B507" s="112"/>
      <c r="C507" s="112"/>
      <c r="D507" s="112"/>
      <c r="E507" s="128"/>
      <c r="F507" s="112"/>
      <c r="G507" s="112"/>
      <c r="H507" s="128"/>
      <c r="I507" s="112"/>
      <c r="J507" s="112"/>
      <c r="K507" s="112"/>
      <c r="L507" s="128"/>
      <c r="M507" s="128"/>
      <c r="N507" s="112"/>
      <c r="O507" s="112"/>
      <c r="P507" s="112"/>
      <c r="Q507" s="112"/>
      <c r="R507" s="112"/>
      <c r="S507" s="112"/>
      <c r="T507" s="128"/>
      <c r="U507" s="128"/>
      <c r="V507" s="128"/>
      <c r="W507" s="128"/>
      <c r="X507" s="128"/>
      <c r="Y507" s="128"/>
      <c r="Z507" s="112"/>
      <c r="AA507" s="112"/>
      <c r="AB507" s="112"/>
      <c r="AC507" s="112"/>
      <c r="AD507" s="112"/>
      <c r="AE507" s="112"/>
      <c r="AF507" s="112"/>
      <c r="AG507" s="112"/>
      <c r="AH507" s="112"/>
      <c r="AI507" s="112"/>
      <c r="AJ507" s="112"/>
      <c r="AK507" s="112"/>
      <c r="AL507" s="112"/>
      <c r="AM507" s="112"/>
      <c r="AN507" s="112"/>
      <c r="AO507" s="112"/>
      <c r="AP507" s="112"/>
    </row>
    <row r="508" ht="15.75" customHeight="1">
      <c r="A508" s="112"/>
      <c r="B508" s="112"/>
      <c r="C508" s="112"/>
      <c r="D508" s="112"/>
      <c r="E508" s="128"/>
      <c r="F508" s="112"/>
      <c r="G508" s="112"/>
      <c r="H508" s="128"/>
      <c r="I508" s="112"/>
      <c r="J508" s="112"/>
      <c r="K508" s="112"/>
      <c r="L508" s="128"/>
      <c r="M508" s="128"/>
      <c r="N508" s="112"/>
      <c r="O508" s="112"/>
      <c r="P508" s="112"/>
      <c r="Q508" s="112"/>
      <c r="R508" s="112"/>
      <c r="S508" s="112"/>
      <c r="T508" s="128"/>
      <c r="U508" s="128"/>
      <c r="V508" s="128"/>
      <c r="W508" s="128"/>
      <c r="X508" s="128"/>
      <c r="Y508" s="128"/>
      <c r="Z508" s="112"/>
      <c r="AA508" s="112"/>
      <c r="AB508" s="112"/>
      <c r="AC508" s="112"/>
      <c r="AD508" s="112"/>
      <c r="AE508" s="112"/>
      <c r="AF508" s="112"/>
      <c r="AG508" s="112"/>
      <c r="AH508" s="112"/>
      <c r="AI508" s="112"/>
      <c r="AJ508" s="112"/>
      <c r="AK508" s="112"/>
      <c r="AL508" s="112"/>
      <c r="AM508" s="112"/>
      <c r="AN508" s="112"/>
      <c r="AO508" s="112"/>
      <c r="AP508" s="112"/>
    </row>
    <row r="509" ht="15.75" customHeight="1">
      <c r="A509" s="112"/>
      <c r="B509" s="112"/>
      <c r="C509" s="112"/>
      <c r="D509" s="112"/>
      <c r="E509" s="128"/>
      <c r="F509" s="112"/>
      <c r="G509" s="112"/>
      <c r="H509" s="128"/>
      <c r="I509" s="112"/>
      <c r="J509" s="112"/>
      <c r="K509" s="112"/>
      <c r="L509" s="128"/>
      <c r="M509" s="128"/>
      <c r="N509" s="112"/>
      <c r="O509" s="112"/>
      <c r="P509" s="112"/>
      <c r="Q509" s="112"/>
      <c r="R509" s="112"/>
      <c r="S509" s="112"/>
      <c r="T509" s="128"/>
      <c r="U509" s="128"/>
      <c r="V509" s="128"/>
      <c r="W509" s="128"/>
      <c r="X509" s="128"/>
      <c r="Y509" s="128"/>
      <c r="Z509" s="112"/>
      <c r="AA509" s="112"/>
      <c r="AB509" s="112"/>
      <c r="AC509" s="112"/>
      <c r="AD509" s="112"/>
      <c r="AE509" s="112"/>
      <c r="AF509" s="112"/>
      <c r="AG509" s="112"/>
      <c r="AH509" s="112"/>
      <c r="AI509" s="112"/>
      <c r="AJ509" s="112"/>
      <c r="AK509" s="112"/>
      <c r="AL509" s="112"/>
      <c r="AM509" s="112"/>
      <c r="AN509" s="112"/>
      <c r="AO509" s="112"/>
      <c r="AP509" s="112"/>
    </row>
    <row r="510" ht="15.75" customHeight="1">
      <c r="A510" s="112"/>
      <c r="B510" s="112"/>
      <c r="C510" s="112"/>
      <c r="D510" s="112"/>
      <c r="E510" s="128"/>
      <c r="F510" s="112"/>
      <c r="G510" s="112"/>
      <c r="H510" s="128"/>
      <c r="I510" s="112"/>
      <c r="J510" s="112"/>
      <c r="K510" s="112"/>
      <c r="L510" s="128"/>
      <c r="M510" s="128"/>
      <c r="N510" s="112"/>
      <c r="O510" s="112"/>
      <c r="P510" s="112"/>
      <c r="Q510" s="112"/>
      <c r="R510" s="112"/>
      <c r="S510" s="112"/>
      <c r="T510" s="128"/>
      <c r="U510" s="128"/>
      <c r="V510" s="128"/>
      <c r="W510" s="128"/>
      <c r="X510" s="128"/>
      <c r="Y510" s="128"/>
      <c r="Z510" s="112"/>
      <c r="AA510" s="112"/>
      <c r="AB510" s="112"/>
      <c r="AC510" s="112"/>
      <c r="AD510" s="112"/>
      <c r="AE510" s="112"/>
      <c r="AF510" s="112"/>
      <c r="AG510" s="112"/>
      <c r="AH510" s="112"/>
      <c r="AI510" s="112"/>
      <c r="AJ510" s="112"/>
      <c r="AK510" s="112"/>
      <c r="AL510" s="112"/>
      <c r="AM510" s="112"/>
      <c r="AN510" s="112"/>
      <c r="AO510" s="112"/>
      <c r="AP510" s="112"/>
    </row>
    <row r="511" ht="15.75" customHeight="1">
      <c r="A511" s="112"/>
      <c r="B511" s="112"/>
      <c r="C511" s="112"/>
      <c r="D511" s="112"/>
      <c r="E511" s="128"/>
      <c r="F511" s="112"/>
      <c r="G511" s="112"/>
      <c r="H511" s="128"/>
      <c r="I511" s="112"/>
      <c r="J511" s="112"/>
      <c r="K511" s="112"/>
      <c r="L511" s="128"/>
      <c r="M511" s="128"/>
      <c r="N511" s="112"/>
      <c r="O511" s="112"/>
      <c r="P511" s="112"/>
      <c r="Q511" s="112"/>
      <c r="R511" s="112"/>
      <c r="S511" s="112"/>
      <c r="T511" s="128"/>
      <c r="U511" s="128"/>
      <c r="V511" s="128"/>
      <c r="W511" s="128"/>
      <c r="X511" s="128"/>
      <c r="Y511" s="128"/>
      <c r="Z511" s="112"/>
      <c r="AA511" s="112"/>
      <c r="AB511" s="112"/>
      <c r="AC511" s="112"/>
      <c r="AD511" s="112"/>
      <c r="AE511" s="112"/>
      <c r="AF511" s="112"/>
      <c r="AG511" s="112"/>
      <c r="AH511" s="112"/>
      <c r="AI511" s="112"/>
      <c r="AJ511" s="112"/>
      <c r="AK511" s="112"/>
      <c r="AL511" s="112"/>
      <c r="AM511" s="112"/>
      <c r="AN511" s="112"/>
      <c r="AO511" s="112"/>
      <c r="AP511" s="112"/>
    </row>
    <row r="512" ht="15.75" customHeight="1">
      <c r="A512" s="112"/>
      <c r="B512" s="112"/>
      <c r="C512" s="112"/>
      <c r="D512" s="112"/>
      <c r="E512" s="128"/>
      <c r="F512" s="112"/>
      <c r="G512" s="112"/>
      <c r="H512" s="128"/>
      <c r="I512" s="112"/>
      <c r="J512" s="112"/>
      <c r="K512" s="112"/>
      <c r="L512" s="128"/>
      <c r="M512" s="128"/>
      <c r="N512" s="112"/>
      <c r="O512" s="112"/>
      <c r="P512" s="112"/>
      <c r="Q512" s="112"/>
      <c r="R512" s="112"/>
      <c r="S512" s="112"/>
      <c r="T512" s="128"/>
      <c r="U512" s="128"/>
      <c r="V512" s="128"/>
      <c r="W512" s="128"/>
      <c r="X512" s="128"/>
      <c r="Y512" s="128"/>
      <c r="Z512" s="112"/>
      <c r="AA512" s="112"/>
      <c r="AB512" s="112"/>
      <c r="AC512" s="112"/>
      <c r="AD512" s="112"/>
      <c r="AE512" s="112"/>
      <c r="AF512" s="112"/>
      <c r="AG512" s="112"/>
      <c r="AH512" s="112"/>
      <c r="AI512" s="112"/>
      <c r="AJ512" s="112"/>
      <c r="AK512" s="112"/>
      <c r="AL512" s="112"/>
      <c r="AM512" s="112"/>
      <c r="AN512" s="112"/>
      <c r="AO512" s="112"/>
      <c r="AP512" s="112"/>
    </row>
    <row r="513" ht="15.75" customHeight="1">
      <c r="A513" s="112"/>
      <c r="B513" s="112"/>
      <c r="C513" s="112"/>
      <c r="D513" s="112"/>
      <c r="E513" s="128"/>
      <c r="F513" s="112"/>
      <c r="G513" s="112"/>
      <c r="H513" s="128"/>
      <c r="I513" s="112"/>
      <c r="J513" s="112"/>
      <c r="K513" s="112"/>
      <c r="L513" s="128"/>
      <c r="M513" s="128"/>
      <c r="N513" s="112"/>
      <c r="O513" s="112"/>
      <c r="P513" s="112"/>
      <c r="Q513" s="112"/>
      <c r="R513" s="112"/>
      <c r="S513" s="112"/>
      <c r="T513" s="128"/>
      <c r="U513" s="128"/>
      <c r="V513" s="128"/>
      <c r="W513" s="128"/>
      <c r="X513" s="128"/>
      <c r="Y513" s="128"/>
      <c r="Z513" s="112"/>
      <c r="AA513" s="112"/>
      <c r="AB513" s="112"/>
      <c r="AC513" s="112"/>
      <c r="AD513" s="112"/>
      <c r="AE513" s="112"/>
      <c r="AF513" s="112"/>
      <c r="AG513" s="112"/>
      <c r="AH513" s="112"/>
      <c r="AI513" s="112"/>
      <c r="AJ513" s="112"/>
      <c r="AK513" s="112"/>
      <c r="AL513" s="112"/>
      <c r="AM513" s="112"/>
      <c r="AN513" s="112"/>
      <c r="AO513" s="112"/>
      <c r="AP513" s="112"/>
    </row>
    <row r="514" ht="15.75" customHeight="1">
      <c r="A514" s="112"/>
      <c r="B514" s="112"/>
      <c r="C514" s="112"/>
      <c r="D514" s="112"/>
      <c r="E514" s="128"/>
      <c r="F514" s="112"/>
      <c r="G514" s="112"/>
      <c r="H514" s="128"/>
      <c r="I514" s="112"/>
      <c r="J514" s="112"/>
      <c r="K514" s="112"/>
      <c r="L514" s="128"/>
      <c r="M514" s="128"/>
      <c r="N514" s="112"/>
      <c r="O514" s="112"/>
      <c r="P514" s="112"/>
      <c r="Q514" s="112"/>
      <c r="R514" s="112"/>
      <c r="S514" s="112"/>
      <c r="T514" s="128"/>
      <c r="U514" s="128"/>
      <c r="V514" s="128"/>
      <c r="W514" s="128"/>
      <c r="X514" s="128"/>
      <c r="Y514" s="128"/>
      <c r="Z514" s="112"/>
      <c r="AA514" s="112"/>
      <c r="AB514" s="112"/>
      <c r="AC514" s="112"/>
      <c r="AD514" s="112"/>
      <c r="AE514" s="112"/>
      <c r="AF514" s="112"/>
      <c r="AG514" s="112"/>
      <c r="AH514" s="112"/>
      <c r="AI514" s="112"/>
      <c r="AJ514" s="112"/>
      <c r="AK514" s="112"/>
      <c r="AL514" s="112"/>
      <c r="AM514" s="112"/>
      <c r="AN514" s="112"/>
      <c r="AO514" s="112"/>
      <c r="AP514" s="112"/>
    </row>
    <row r="515" ht="15.75" customHeight="1">
      <c r="A515" s="112"/>
      <c r="B515" s="112"/>
      <c r="C515" s="112"/>
      <c r="D515" s="112"/>
      <c r="E515" s="128"/>
      <c r="F515" s="112"/>
      <c r="G515" s="112"/>
      <c r="H515" s="128"/>
      <c r="I515" s="112"/>
      <c r="J515" s="112"/>
      <c r="K515" s="112"/>
      <c r="L515" s="128"/>
      <c r="M515" s="128"/>
      <c r="N515" s="112"/>
      <c r="O515" s="112"/>
      <c r="P515" s="112"/>
      <c r="Q515" s="112"/>
      <c r="R515" s="112"/>
      <c r="S515" s="112"/>
      <c r="T515" s="128"/>
      <c r="U515" s="128"/>
      <c r="V515" s="128"/>
      <c r="W515" s="128"/>
      <c r="X515" s="128"/>
      <c r="Y515" s="128"/>
      <c r="Z515" s="112"/>
      <c r="AA515" s="112"/>
      <c r="AB515" s="112"/>
      <c r="AC515" s="112"/>
      <c r="AD515" s="112"/>
      <c r="AE515" s="112"/>
      <c r="AF515" s="112"/>
      <c r="AG515" s="112"/>
      <c r="AH515" s="112"/>
      <c r="AI515" s="112"/>
      <c r="AJ515" s="112"/>
      <c r="AK515" s="112"/>
      <c r="AL515" s="112"/>
      <c r="AM515" s="112"/>
      <c r="AN515" s="112"/>
      <c r="AO515" s="112"/>
      <c r="AP515" s="112"/>
    </row>
    <row r="516" ht="15.75" customHeight="1">
      <c r="A516" s="112"/>
      <c r="B516" s="112"/>
      <c r="C516" s="112"/>
      <c r="D516" s="112"/>
      <c r="E516" s="128"/>
      <c r="F516" s="112"/>
      <c r="G516" s="112"/>
      <c r="H516" s="128"/>
      <c r="I516" s="112"/>
      <c r="J516" s="112"/>
      <c r="K516" s="112"/>
      <c r="L516" s="128"/>
      <c r="M516" s="128"/>
      <c r="N516" s="112"/>
      <c r="O516" s="112"/>
      <c r="P516" s="112"/>
      <c r="Q516" s="112"/>
      <c r="R516" s="112"/>
      <c r="S516" s="112"/>
      <c r="T516" s="128"/>
      <c r="U516" s="128"/>
      <c r="V516" s="128"/>
      <c r="W516" s="128"/>
      <c r="X516" s="128"/>
      <c r="Y516" s="128"/>
      <c r="Z516" s="112"/>
      <c r="AA516" s="112"/>
      <c r="AB516" s="112"/>
      <c r="AC516" s="112"/>
      <c r="AD516" s="112"/>
      <c r="AE516" s="112"/>
      <c r="AF516" s="112"/>
      <c r="AG516" s="112"/>
      <c r="AH516" s="112"/>
      <c r="AI516" s="112"/>
      <c r="AJ516" s="112"/>
      <c r="AK516" s="112"/>
      <c r="AL516" s="112"/>
      <c r="AM516" s="112"/>
      <c r="AN516" s="112"/>
      <c r="AO516" s="112"/>
      <c r="AP516" s="112"/>
    </row>
    <row r="517" ht="15.75" customHeight="1">
      <c r="A517" s="112"/>
      <c r="B517" s="112"/>
      <c r="C517" s="112"/>
      <c r="D517" s="112"/>
      <c r="E517" s="128"/>
      <c r="F517" s="112"/>
      <c r="G517" s="112"/>
      <c r="H517" s="128"/>
      <c r="I517" s="112"/>
      <c r="J517" s="112"/>
      <c r="K517" s="112"/>
      <c r="L517" s="128"/>
      <c r="M517" s="128"/>
      <c r="N517" s="112"/>
      <c r="O517" s="112"/>
      <c r="P517" s="112"/>
      <c r="Q517" s="112"/>
      <c r="R517" s="112"/>
      <c r="S517" s="112"/>
      <c r="T517" s="128"/>
      <c r="U517" s="128"/>
      <c r="V517" s="128"/>
      <c r="W517" s="128"/>
      <c r="X517" s="128"/>
      <c r="Y517" s="128"/>
      <c r="Z517" s="112"/>
      <c r="AA517" s="112"/>
      <c r="AB517" s="112"/>
      <c r="AC517" s="112"/>
      <c r="AD517" s="112"/>
      <c r="AE517" s="112"/>
      <c r="AF517" s="112"/>
      <c r="AG517" s="112"/>
      <c r="AH517" s="112"/>
      <c r="AI517" s="112"/>
      <c r="AJ517" s="112"/>
      <c r="AK517" s="112"/>
      <c r="AL517" s="112"/>
      <c r="AM517" s="112"/>
      <c r="AN517" s="112"/>
      <c r="AO517" s="112"/>
      <c r="AP517" s="112"/>
    </row>
    <row r="518" ht="15.75" customHeight="1">
      <c r="A518" s="112"/>
      <c r="B518" s="112"/>
      <c r="C518" s="112"/>
      <c r="D518" s="112"/>
      <c r="E518" s="128"/>
      <c r="F518" s="112"/>
      <c r="G518" s="112"/>
      <c r="H518" s="128"/>
      <c r="I518" s="112"/>
      <c r="J518" s="112"/>
      <c r="K518" s="112"/>
      <c r="L518" s="128"/>
      <c r="M518" s="128"/>
      <c r="N518" s="112"/>
      <c r="O518" s="112"/>
      <c r="P518" s="112"/>
      <c r="Q518" s="112"/>
      <c r="R518" s="112"/>
      <c r="S518" s="112"/>
      <c r="T518" s="128"/>
      <c r="U518" s="128"/>
      <c r="V518" s="128"/>
      <c r="W518" s="128"/>
      <c r="X518" s="128"/>
      <c r="Y518" s="128"/>
      <c r="Z518" s="112"/>
      <c r="AA518" s="112"/>
      <c r="AB518" s="112"/>
      <c r="AC518" s="112"/>
      <c r="AD518" s="112"/>
      <c r="AE518" s="112"/>
      <c r="AF518" s="112"/>
      <c r="AG518" s="112"/>
      <c r="AH518" s="112"/>
      <c r="AI518" s="112"/>
      <c r="AJ518" s="112"/>
      <c r="AK518" s="112"/>
      <c r="AL518" s="112"/>
      <c r="AM518" s="112"/>
      <c r="AN518" s="112"/>
      <c r="AO518" s="112"/>
      <c r="AP518" s="112"/>
    </row>
    <row r="519" ht="15.75" customHeight="1">
      <c r="A519" s="112"/>
      <c r="B519" s="112"/>
      <c r="C519" s="112"/>
      <c r="D519" s="112"/>
      <c r="E519" s="128"/>
      <c r="F519" s="112"/>
      <c r="G519" s="112"/>
      <c r="H519" s="128"/>
      <c r="I519" s="112"/>
      <c r="J519" s="112"/>
      <c r="K519" s="112"/>
      <c r="L519" s="128"/>
      <c r="M519" s="128"/>
      <c r="N519" s="112"/>
      <c r="O519" s="112"/>
      <c r="P519" s="112"/>
      <c r="Q519" s="112"/>
      <c r="R519" s="112"/>
      <c r="S519" s="112"/>
      <c r="T519" s="128"/>
      <c r="U519" s="128"/>
      <c r="V519" s="128"/>
      <c r="W519" s="128"/>
      <c r="X519" s="128"/>
      <c r="Y519" s="128"/>
      <c r="Z519" s="112"/>
      <c r="AA519" s="112"/>
      <c r="AB519" s="112"/>
      <c r="AC519" s="112"/>
      <c r="AD519" s="112"/>
      <c r="AE519" s="112"/>
      <c r="AF519" s="112"/>
      <c r="AG519" s="112"/>
      <c r="AH519" s="112"/>
      <c r="AI519" s="112"/>
      <c r="AJ519" s="112"/>
      <c r="AK519" s="112"/>
      <c r="AL519" s="112"/>
      <c r="AM519" s="112"/>
      <c r="AN519" s="112"/>
      <c r="AO519" s="112"/>
      <c r="AP519" s="112"/>
    </row>
    <row r="520" ht="15.75" customHeight="1">
      <c r="A520" s="112"/>
      <c r="B520" s="112"/>
      <c r="C520" s="112"/>
      <c r="D520" s="112"/>
      <c r="E520" s="128"/>
      <c r="F520" s="112"/>
      <c r="G520" s="112"/>
      <c r="H520" s="128"/>
      <c r="I520" s="112"/>
      <c r="J520" s="112"/>
      <c r="K520" s="112"/>
      <c r="L520" s="128"/>
      <c r="M520" s="128"/>
      <c r="N520" s="112"/>
      <c r="O520" s="112"/>
      <c r="P520" s="112"/>
      <c r="Q520" s="112"/>
      <c r="R520" s="112"/>
      <c r="S520" s="112"/>
      <c r="T520" s="128"/>
      <c r="U520" s="128"/>
      <c r="V520" s="128"/>
      <c r="W520" s="128"/>
      <c r="X520" s="128"/>
      <c r="Y520" s="128"/>
      <c r="Z520" s="112"/>
      <c r="AA520" s="112"/>
      <c r="AB520" s="112"/>
      <c r="AC520" s="112"/>
      <c r="AD520" s="112"/>
      <c r="AE520" s="112"/>
      <c r="AF520" s="112"/>
      <c r="AG520" s="112"/>
      <c r="AH520" s="112"/>
      <c r="AI520" s="112"/>
      <c r="AJ520" s="112"/>
      <c r="AK520" s="112"/>
      <c r="AL520" s="112"/>
      <c r="AM520" s="112"/>
      <c r="AN520" s="112"/>
      <c r="AO520" s="112"/>
      <c r="AP520" s="112"/>
    </row>
    <row r="521" ht="15.75" customHeight="1">
      <c r="A521" s="112"/>
      <c r="B521" s="112"/>
      <c r="C521" s="112"/>
      <c r="D521" s="112"/>
      <c r="E521" s="128"/>
      <c r="F521" s="112"/>
      <c r="G521" s="112"/>
      <c r="H521" s="128"/>
      <c r="I521" s="112"/>
      <c r="J521" s="112"/>
      <c r="K521" s="112"/>
      <c r="L521" s="128"/>
      <c r="M521" s="128"/>
      <c r="N521" s="112"/>
      <c r="O521" s="112"/>
      <c r="P521" s="112"/>
      <c r="Q521" s="112"/>
      <c r="R521" s="112"/>
      <c r="S521" s="112"/>
      <c r="T521" s="128"/>
      <c r="U521" s="128"/>
      <c r="V521" s="128"/>
      <c r="W521" s="128"/>
      <c r="X521" s="128"/>
      <c r="Y521" s="128"/>
      <c r="Z521" s="112"/>
      <c r="AA521" s="112"/>
      <c r="AB521" s="112"/>
      <c r="AC521" s="112"/>
      <c r="AD521" s="112"/>
      <c r="AE521" s="112"/>
      <c r="AF521" s="112"/>
      <c r="AG521" s="112"/>
      <c r="AH521" s="112"/>
      <c r="AI521" s="112"/>
      <c r="AJ521" s="112"/>
      <c r="AK521" s="112"/>
      <c r="AL521" s="112"/>
      <c r="AM521" s="112"/>
      <c r="AN521" s="112"/>
      <c r="AO521" s="112"/>
      <c r="AP521" s="112"/>
    </row>
    <row r="522" ht="15.75" customHeight="1">
      <c r="A522" s="112"/>
      <c r="B522" s="112"/>
      <c r="C522" s="112"/>
      <c r="D522" s="112"/>
      <c r="E522" s="128"/>
      <c r="F522" s="112"/>
      <c r="G522" s="112"/>
      <c r="H522" s="128"/>
      <c r="I522" s="112"/>
      <c r="J522" s="112"/>
      <c r="K522" s="112"/>
      <c r="L522" s="128"/>
      <c r="M522" s="128"/>
      <c r="N522" s="112"/>
      <c r="O522" s="112"/>
      <c r="P522" s="112"/>
      <c r="Q522" s="112"/>
      <c r="R522" s="112"/>
      <c r="S522" s="112"/>
      <c r="T522" s="128"/>
      <c r="U522" s="128"/>
      <c r="V522" s="128"/>
      <c r="W522" s="128"/>
      <c r="X522" s="128"/>
      <c r="Y522" s="128"/>
      <c r="Z522" s="112"/>
      <c r="AA522" s="112"/>
      <c r="AB522" s="112"/>
      <c r="AC522" s="112"/>
      <c r="AD522" s="112"/>
      <c r="AE522" s="112"/>
      <c r="AF522" s="112"/>
      <c r="AG522" s="112"/>
      <c r="AH522" s="112"/>
      <c r="AI522" s="112"/>
      <c r="AJ522" s="112"/>
      <c r="AK522" s="112"/>
      <c r="AL522" s="112"/>
      <c r="AM522" s="112"/>
      <c r="AN522" s="112"/>
      <c r="AO522" s="112"/>
      <c r="AP522" s="112"/>
    </row>
    <row r="523" ht="15.75" customHeight="1">
      <c r="A523" s="112"/>
      <c r="B523" s="112"/>
      <c r="C523" s="112"/>
      <c r="D523" s="112"/>
      <c r="E523" s="128"/>
      <c r="F523" s="112"/>
      <c r="G523" s="112"/>
      <c r="H523" s="128"/>
      <c r="I523" s="112"/>
      <c r="J523" s="112"/>
      <c r="K523" s="112"/>
      <c r="L523" s="128"/>
      <c r="M523" s="128"/>
      <c r="N523" s="112"/>
      <c r="O523" s="112"/>
      <c r="P523" s="112"/>
      <c r="Q523" s="112"/>
      <c r="R523" s="112"/>
      <c r="S523" s="112"/>
      <c r="T523" s="128"/>
      <c r="U523" s="128"/>
      <c r="V523" s="128"/>
      <c r="W523" s="128"/>
      <c r="X523" s="128"/>
      <c r="Y523" s="128"/>
      <c r="Z523" s="112"/>
      <c r="AA523" s="112"/>
      <c r="AB523" s="112"/>
      <c r="AC523" s="112"/>
      <c r="AD523" s="112"/>
      <c r="AE523" s="112"/>
      <c r="AF523" s="112"/>
      <c r="AG523" s="112"/>
      <c r="AH523" s="112"/>
      <c r="AI523" s="112"/>
      <c r="AJ523" s="112"/>
      <c r="AK523" s="112"/>
      <c r="AL523" s="112"/>
      <c r="AM523" s="112"/>
      <c r="AN523" s="112"/>
      <c r="AO523" s="112"/>
      <c r="AP523" s="112"/>
    </row>
    <row r="524" ht="15.75" customHeight="1">
      <c r="A524" s="112"/>
      <c r="B524" s="112"/>
      <c r="C524" s="112"/>
      <c r="D524" s="112"/>
      <c r="E524" s="128"/>
      <c r="F524" s="112"/>
      <c r="G524" s="112"/>
      <c r="H524" s="128"/>
      <c r="I524" s="112"/>
      <c r="J524" s="112"/>
      <c r="K524" s="112"/>
      <c r="L524" s="128"/>
      <c r="M524" s="128"/>
      <c r="N524" s="112"/>
      <c r="O524" s="112"/>
      <c r="P524" s="112"/>
      <c r="Q524" s="112"/>
      <c r="R524" s="112"/>
      <c r="S524" s="112"/>
      <c r="T524" s="128"/>
      <c r="U524" s="128"/>
      <c r="V524" s="128"/>
      <c r="W524" s="128"/>
      <c r="X524" s="128"/>
      <c r="Y524" s="128"/>
      <c r="Z524" s="112"/>
      <c r="AA524" s="112"/>
      <c r="AB524" s="112"/>
      <c r="AC524" s="112"/>
      <c r="AD524" s="112"/>
      <c r="AE524" s="112"/>
      <c r="AF524" s="112"/>
      <c r="AG524" s="112"/>
      <c r="AH524" s="112"/>
      <c r="AI524" s="112"/>
      <c r="AJ524" s="112"/>
      <c r="AK524" s="112"/>
      <c r="AL524" s="112"/>
      <c r="AM524" s="112"/>
      <c r="AN524" s="112"/>
      <c r="AO524" s="112"/>
      <c r="AP524" s="112"/>
    </row>
    <row r="525" ht="15.75" customHeight="1">
      <c r="A525" s="112"/>
      <c r="B525" s="112"/>
      <c r="C525" s="112"/>
      <c r="D525" s="112"/>
      <c r="E525" s="128"/>
      <c r="F525" s="112"/>
      <c r="G525" s="112"/>
      <c r="H525" s="128"/>
      <c r="I525" s="112"/>
      <c r="J525" s="112"/>
      <c r="K525" s="112"/>
      <c r="L525" s="128"/>
      <c r="M525" s="128"/>
      <c r="N525" s="112"/>
      <c r="O525" s="112"/>
      <c r="P525" s="112"/>
      <c r="Q525" s="112"/>
      <c r="R525" s="112"/>
      <c r="S525" s="112"/>
      <c r="T525" s="128"/>
      <c r="U525" s="128"/>
      <c r="V525" s="128"/>
      <c r="W525" s="128"/>
      <c r="X525" s="128"/>
      <c r="Y525" s="128"/>
      <c r="Z525" s="112"/>
      <c r="AA525" s="112"/>
      <c r="AB525" s="112"/>
      <c r="AC525" s="112"/>
      <c r="AD525" s="112"/>
      <c r="AE525" s="112"/>
      <c r="AF525" s="112"/>
      <c r="AG525" s="112"/>
      <c r="AH525" s="112"/>
      <c r="AI525" s="112"/>
      <c r="AJ525" s="112"/>
      <c r="AK525" s="112"/>
      <c r="AL525" s="112"/>
      <c r="AM525" s="112"/>
      <c r="AN525" s="112"/>
      <c r="AO525" s="112"/>
      <c r="AP525" s="112"/>
    </row>
    <row r="526" ht="15.75" customHeight="1">
      <c r="A526" s="112"/>
      <c r="B526" s="112"/>
      <c r="C526" s="112"/>
      <c r="D526" s="112"/>
      <c r="E526" s="128"/>
      <c r="F526" s="112"/>
      <c r="G526" s="112"/>
      <c r="H526" s="128"/>
      <c r="I526" s="112"/>
      <c r="J526" s="112"/>
      <c r="K526" s="112"/>
      <c r="L526" s="128"/>
      <c r="M526" s="128"/>
      <c r="N526" s="112"/>
      <c r="O526" s="112"/>
      <c r="P526" s="112"/>
      <c r="Q526" s="112"/>
      <c r="R526" s="112"/>
      <c r="S526" s="112"/>
      <c r="T526" s="128"/>
      <c r="U526" s="128"/>
      <c r="V526" s="128"/>
      <c r="W526" s="128"/>
      <c r="X526" s="128"/>
      <c r="Y526" s="128"/>
      <c r="Z526" s="112"/>
      <c r="AA526" s="112"/>
      <c r="AB526" s="112"/>
      <c r="AC526" s="112"/>
      <c r="AD526" s="112"/>
      <c r="AE526" s="112"/>
      <c r="AF526" s="112"/>
      <c r="AG526" s="112"/>
      <c r="AH526" s="112"/>
      <c r="AI526" s="112"/>
      <c r="AJ526" s="112"/>
      <c r="AK526" s="112"/>
      <c r="AL526" s="112"/>
      <c r="AM526" s="112"/>
      <c r="AN526" s="112"/>
      <c r="AO526" s="112"/>
      <c r="AP526" s="112"/>
    </row>
    <row r="527" ht="15.75" customHeight="1">
      <c r="A527" s="112"/>
      <c r="B527" s="112"/>
      <c r="C527" s="112"/>
      <c r="D527" s="112"/>
      <c r="E527" s="128"/>
      <c r="F527" s="112"/>
      <c r="G527" s="112"/>
      <c r="H527" s="128"/>
      <c r="I527" s="112"/>
      <c r="J527" s="112"/>
      <c r="K527" s="112"/>
      <c r="L527" s="128"/>
      <c r="M527" s="128"/>
      <c r="N527" s="112"/>
      <c r="O527" s="112"/>
      <c r="P527" s="112"/>
      <c r="Q527" s="112"/>
      <c r="R527" s="112"/>
      <c r="S527" s="112"/>
      <c r="T527" s="128"/>
      <c r="U527" s="128"/>
      <c r="V527" s="128"/>
      <c r="W527" s="128"/>
      <c r="X527" s="128"/>
      <c r="Y527" s="128"/>
      <c r="Z527" s="112"/>
      <c r="AA527" s="112"/>
      <c r="AB527" s="112"/>
      <c r="AC527" s="112"/>
      <c r="AD527" s="112"/>
      <c r="AE527" s="112"/>
      <c r="AF527" s="112"/>
      <c r="AG527" s="112"/>
      <c r="AH527" s="112"/>
      <c r="AI527" s="112"/>
      <c r="AJ527" s="112"/>
      <c r="AK527" s="112"/>
      <c r="AL527" s="112"/>
      <c r="AM527" s="112"/>
      <c r="AN527" s="112"/>
      <c r="AO527" s="112"/>
      <c r="AP527" s="112"/>
    </row>
    <row r="528" ht="15.75" customHeight="1">
      <c r="A528" s="112"/>
      <c r="B528" s="112"/>
      <c r="C528" s="112"/>
      <c r="D528" s="112"/>
      <c r="E528" s="128"/>
      <c r="F528" s="112"/>
      <c r="G528" s="112"/>
      <c r="H528" s="128"/>
      <c r="I528" s="112"/>
      <c r="J528" s="112"/>
      <c r="K528" s="112"/>
      <c r="L528" s="128"/>
      <c r="M528" s="128"/>
      <c r="N528" s="112"/>
      <c r="O528" s="112"/>
      <c r="P528" s="112"/>
      <c r="Q528" s="112"/>
      <c r="R528" s="112"/>
      <c r="S528" s="112"/>
      <c r="T528" s="128"/>
      <c r="U528" s="128"/>
      <c r="V528" s="128"/>
      <c r="W528" s="128"/>
      <c r="X528" s="128"/>
      <c r="Y528" s="128"/>
      <c r="Z528" s="112"/>
      <c r="AA528" s="112"/>
      <c r="AB528" s="112"/>
      <c r="AC528" s="112"/>
      <c r="AD528" s="112"/>
      <c r="AE528" s="112"/>
      <c r="AF528" s="112"/>
      <c r="AG528" s="112"/>
      <c r="AH528" s="112"/>
      <c r="AI528" s="112"/>
      <c r="AJ528" s="112"/>
      <c r="AK528" s="112"/>
      <c r="AL528" s="112"/>
      <c r="AM528" s="112"/>
      <c r="AN528" s="112"/>
      <c r="AO528" s="112"/>
      <c r="AP528" s="112"/>
    </row>
    <row r="529" ht="15.75" customHeight="1">
      <c r="A529" s="112"/>
      <c r="B529" s="112"/>
      <c r="C529" s="112"/>
      <c r="D529" s="112"/>
      <c r="E529" s="128"/>
      <c r="F529" s="112"/>
      <c r="G529" s="112"/>
      <c r="H529" s="128"/>
      <c r="I529" s="112"/>
      <c r="J529" s="112"/>
      <c r="K529" s="112"/>
      <c r="L529" s="128"/>
      <c r="M529" s="128"/>
      <c r="N529" s="112"/>
      <c r="O529" s="112"/>
      <c r="P529" s="112"/>
      <c r="Q529" s="112"/>
      <c r="R529" s="112"/>
      <c r="S529" s="112"/>
      <c r="T529" s="128"/>
      <c r="U529" s="128"/>
      <c r="V529" s="128"/>
      <c r="W529" s="128"/>
      <c r="X529" s="128"/>
      <c r="Y529" s="128"/>
      <c r="Z529" s="112"/>
      <c r="AA529" s="112"/>
      <c r="AB529" s="112"/>
      <c r="AC529" s="112"/>
      <c r="AD529" s="112"/>
      <c r="AE529" s="112"/>
      <c r="AF529" s="112"/>
      <c r="AG529" s="112"/>
      <c r="AH529" s="112"/>
      <c r="AI529" s="112"/>
      <c r="AJ529" s="112"/>
      <c r="AK529" s="112"/>
      <c r="AL529" s="112"/>
      <c r="AM529" s="112"/>
      <c r="AN529" s="112"/>
      <c r="AO529" s="112"/>
      <c r="AP529" s="112"/>
    </row>
    <row r="530" ht="15.75" customHeight="1">
      <c r="A530" s="112"/>
      <c r="B530" s="112"/>
      <c r="C530" s="112"/>
      <c r="D530" s="112"/>
      <c r="E530" s="128"/>
      <c r="F530" s="112"/>
      <c r="G530" s="112"/>
      <c r="H530" s="128"/>
      <c r="I530" s="112"/>
      <c r="J530" s="112"/>
      <c r="K530" s="112"/>
      <c r="L530" s="128"/>
      <c r="M530" s="128"/>
      <c r="N530" s="112"/>
      <c r="O530" s="112"/>
      <c r="P530" s="112"/>
      <c r="Q530" s="112"/>
      <c r="R530" s="112"/>
      <c r="S530" s="112"/>
      <c r="T530" s="128"/>
      <c r="U530" s="128"/>
      <c r="V530" s="128"/>
      <c r="W530" s="128"/>
      <c r="X530" s="128"/>
      <c r="Y530" s="128"/>
      <c r="Z530" s="112"/>
      <c r="AA530" s="112"/>
      <c r="AB530" s="112"/>
      <c r="AC530" s="112"/>
      <c r="AD530" s="112"/>
      <c r="AE530" s="112"/>
      <c r="AF530" s="112"/>
      <c r="AG530" s="112"/>
      <c r="AH530" s="112"/>
      <c r="AI530" s="112"/>
      <c r="AJ530" s="112"/>
      <c r="AK530" s="112"/>
      <c r="AL530" s="112"/>
      <c r="AM530" s="112"/>
      <c r="AN530" s="112"/>
      <c r="AO530" s="112"/>
      <c r="AP530" s="112"/>
    </row>
    <row r="531" ht="15.75" customHeight="1">
      <c r="A531" s="112"/>
      <c r="B531" s="112"/>
      <c r="C531" s="112"/>
      <c r="D531" s="112"/>
      <c r="E531" s="128"/>
      <c r="F531" s="112"/>
      <c r="G531" s="112"/>
      <c r="H531" s="128"/>
      <c r="I531" s="112"/>
      <c r="J531" s="112"/>
      <c r="K531" s="112"/>
      <c r="L531" s="128"/>
      <c r="M531" s="128"/>
      <c r="N531" s="112"/>
      <c r="O531" s="112"/>
      <c r="P531" s="112"/>
      <c r="Q531" s="112"/>
      <c r="R531" s="112"/>
      <c r="S531" s="112"/>
      <c r="T531" s="128"/>
      <c r="U531" s="128"/>
      <c r="V531" s="128"/>
      <c r="W531" s="128"/>
      <c r="X531" s="128"/>
      <c r="Y531" s="128"/>
      <c r="Z531" s="112"/>
      <c r="AA531" s="112"/>
      <c r="AB531" s="112"/>
      <c r="AC531" s="112"/>
      <c r="AD531" s="112"/>
      <c r="AE531" s="112"/>
      <c r="AF531" s="112"/>
      <c r="AG531" s="112"/>
      <c r="AH531" s="112"/>
      <c r="AI531" s="112"/>
      <c r="AJ531" s="112"/>
      <c r="AK531" s="112"/>
      <c r="AL531" s="112"/>
      <c r="AM531" s="112"/>
      <c r="AN531" s="112"/>
      <c r="AO531" s="112"/>
      <c r="AP531" s="112"/>
    </row>
    <row r="532" ht="15.75" customHeight="1">
      <c r="A532" s="112"/>
      <c r="B532" s="112"/>
      <c r="C532" s="112"/>
      <c r="D532" s="112"/>
      <c r="E532" s="128"/>
      <c r="F532" s="112"/>
      <c r="G532" s="112"/>
      <c r="H532" s="128"/>
      <c r="I532" s="112"/>
      <c r="J532" s="112"/>
      <c r="K532" s="112"/>
      <c r="L532" s="128"/>
      <c r="M532" s="128"/>
      <c r="N532" s="112"/>
      <c r="O532" s="112"/>
      <c r="P532" s="112"/>
      <c r="Q532" s="112"/>
      <c r="R532" s="112"/>
      <c r="S532" s="112"/>
      <c r="T532" s="128"/>
      <c r="U532" s="128"/>
      <c r="V532" s="128"/>
      <c r="W532" s="128"/>
      <c r="X532" s="128"/>
      <c r="Y532" s="128"/>
      <c r="Z532" s="112"/>
      <c r="AA532" s="112"/>
      <c r="AB532" s="112"/>
      <c r="AC532" s="112"/>
      <c r="AD532" s="112"/>
      <c r="AE532" s="112"/>
      <c r="AF532" s="112"/>
      <c r="AG532" s="112"/>
      <c r="AH532" s="112"/>
      <c r="AI532" s="112"/>
      <c r="AJ532" s="112"/>
      <c r="AK532" s="112"/>
      <c r="AL532" s="112"/>
      <c r="AM532" s="112"/>
      <c r="AN532" s="112"/>
      <c r="AO532" s="112"/>
      <c r="AP532" s="112"/>
    </row>
    <row r="533" ht="15.75" customHeight="1">
      <c r="A533" s="112"/>
      <c r="B533" s="112"/>
      <c r="C533" s="112"/>
      <c r="D533" s="112"/>
      <c r="E533" s="128"/>
      <c r="F533" s="112"/>
      <c r="G533" s="112"/>
      <c r="H533" s="128"/>
      <c r="I533" s="112"/>
      <c r="J533" s="112"/>
      <c r="K533" s="112"/>
      <c r="L533" s="128"/>
      <c r="M533" s="128"/>
      <c r="N533" s="112"/>
      <c r="O533" s="112"/>
      <c r="P533" s="112"/>
      <c r="Q533" s="112"/>
      <c r="R533" s="112"/>
      <c r="S533" s="112"/>
      <c r="T533" s="128"/>
      <c r="U533" s="128"/>
      <c r="V533" s="128"/>
      <c r="W533" s="128"/>
      <c r="X533" s="128"/>
      <c r="Y533" s="128"/>
      <c r="Z533" s="112"/>
      <c r="AA533" s="112"/>
      <c r="AB533" s="112"/>
      <c r="AC533" s="112"/>
      <c r="AD533" s="112"/>
      <c r="AE533" s="112"/>
      <c r="AF533" s="112"/>
      <c r="AG533" s="112"/>
      <c r="AH533" s="112"/>
      <c r="AI533" s="112"/>
      <c r="AJ533" s="112"/>
      <c r="AK533" s="112"/>
      <c r="AL533" s="112"/>
      <c r="AM533" s="112"/>
      <c r="AN533" s="112"/>
      <c r="AO533" s="112"/>
      <c r="AP533" s="112"/>
    </row>
    <row r="534" ht="15.75" customHeight="1">
      <c r="A534" s="112"/>
      <c r="B534" s="112"/>
      <c r="C534" s="112"/>
      <c r="D534" s="112"/>
      <c r="E534" s="128"/>
      <c r="F534" s="112"/>
      <c r="G534" s="112"/>
      <c r="H534" s="128"/>
      <c r="I534" s="112"/>
      <c r="J534" s="112"/>
      <c r="K534" s="112"/>
      <c r="L534" s="128"/>
      <c r="M534" s="128"/>
      <c r="N534" s="112"/>
      <c r="O534" s="112"/>
      <c r="P534" s="112"/>
      <c r="Q534" s="112"/>
      <c r="R534" s="112"/>
      <c r="S534" s="112"/>
      <c r="T534" s="128"/>
      <c r="U534" s="128"/>
      <c r="V534" s="128"/>
      <c r="W534" s="128"/>
      <c r="X534" s="128"/>
      <c r="Y534" s="128"/>
      <c r="Z534" s="112"/>
      <c r="AA534" s="112"/>
      <c r="AB534" s="112"/>
      <c r="AC534" s="112"/>
      <c r="AD534" s="112"/>
      <c r="AE534" s="112"/>
      <c r="AF534" s="112"/>
      <c r="AG534" s="112"/>
      <c r="AH534" s="112"/>
      <c r="AI534" s="112"/>
      <c r="AJ534" s="112"/>
      <c r="AK534" s="112"/>
      <c r="AL534" s="112"/>
      <c r="AM534" s="112"/>
      <c r="AN534" s="112"/>
      <c r="AO534" s="112"/>
      <c r="AP534" s="112"/>
    </row>
    <row r="535" ht="15.75" customHeight="1">
      <c r="A535" s="112"/>
      <c r="B535" s="112"/>
      <c r="C535" s="112"/>
      <c r="D535" s="112"/>
      <c r="E535" s="128"/>
      <c r="F535" s="112"/>
      <c r="G535" s="112"/>
      <c r="H535" s="128"/>
      <c r="I535" s="112"/>
      <c r="J535" s="112"/>
      <c r="K535" s="112"/>
      <c r="L535" s="128"/>
      <c r="M535" s="128"/>
      <c r="N535" s="112"/>
      <c r="O535" s="112"/>
      <c r="P535" s="112"/>
      <c r="Q535" s="112"/>
      <c r="R535" s="112"/>
      <c r="S535" s="112"/>
      <c r="T535" s="128"/>
      <c r="U535" s="128"/>
      <c r="V535" s="128"/>
      <c r="W535" s="128"/>
      <c r="X535" s="128"/>
      <c r="Y535" s="128"/>
      <c r="Z535" s="112"/>
      <c r="AA535" s="112"/>
      <c r="AB535" s="112"/>
      <c r="AC535" s="112"/>
      <c r="AD535" s="112"/>
      <c r="AE535" s="112"/>
      <c r="AF535" s="112"/>
      <c r="AG535" s="112"/>
      <c r="AH535" s="112"/>
      <c r="AI535" s="112"/>
      <c r="AJ535" s="112"/>
      <c r="AK535" s="112"/>
      <c r="AL535" s="112"/>
      <c r="AM535" s="112"/>
      <c r="AN535" s="112"/>
      <c r="AO535" s="112"/>
      <c r="AP535" s="112"/>
    </row>
    <row r="536" ht="15.75" customHeight="1">
      <c r="A536" s="112"/>
      <c r="B536" s="112"/>
      <c r="C536" s="112"/>
      <c r="D536" s="112"/>
      <c r="E536" s="128"/>
      <c r="F536" s="112"/>
      <c r="G536" s="112"/>
      <c r="H536" s="128"/>
      <c r="I536" s="112"/>
      <c r="J536" s="112"/>
      <c r="K536" s="112"/>
      <c r="L536" s="128"/>
      <c r="M536" s="128"/>
      <c r="N536" s="112"/>
      <c r="O536" s="112"/>
      <c r="P536" s="112"/>
      <c r="Q536" s="112"/>
      <c r="R536" s="112"/>
      <c r="S536" s="112"/>
      <c r="T536" s="128"/>
      <c r="U536" s="128"/>
      <c r="V536" s="128"/>
      <c r="W536" s="128"/>
      <c r="X536" s="128"/>
      <c r="Y536" s="128"/>
      <c r="Z536" s="112"/>
      <c r="AA536" s="112"/>
      <c r="AB536" s="112"/>
      <c r="AC536" s="112"/>
      <c r="AD536" s="112"/>
      <c r="AE536" s="112"/>
      <c r="AF536" s="112"/>
      <c r="AG536" s="112"/>
      <c r="AH536" s="112"/>
      <c r="AI536" s="112"/>
      <c r="AJ536" s="112"/>
      <c r="AK536" s="112"/>
      <c r="AL536" s="112"/>
      <c r="AM536" s="112"/>
      <c r="AN536" s="112"/>
      <c r="AO536" s="112"/>
      <c r="AP536" s="112"/>
    </row>
    <row r="537" ht="15.75" customHeight="1">
      <c r="A537" s="112"/>
      <c r="B537" s="112"/>
      <c r="C537" s="112"/>
      <c r="D537" s="112"/>
      <c r="E537" s="128"/>
      <c r="F537" s="112"/>
      <c r="G537" s="112"/>
      <c r="H537" s="128"/>
      <c r="I537" s="112"/>
      <c r="J537" s="112"/>
      <c r="K537" s="112"/>
      <c r="L537" s="128"/>
      <c r="M537" s="128"/>
      <c r="N537" s="112"/>
      <c r="O537" s="112"/>
      <c r="P537" s="112"/>
      <c r="Q537" s="112"/>
      <c r="R537" s="112"/>
      <c r="S537" s="112"/>
      <c r="T537" s="128"/>
      <c r="U537" s="128"/>
      <c r="V537" s="128"/>
      <c r="W537" s="128"/>
      <c r="X537" s="128"/>
      <c r="Y537" s="128"/>
      <c r="Z537" s="112"/>
      <c r="AA537" s="112"/>
      <c r="AB537" s="112"/>
      <c r="AC537" s="112"/>
      <c r="AD537" s="112"/>
      <c r="AE537" s="112"/>
      <c r="AF537" s="112"/>
      <c r="AG537" s="112"/>
      <c r="AH537" s="112"/>
      <c r="AI537" s="112"/>
      <c r="AJ537" s="112"/>
      <c r="AK537" s="112"/>
      <c r="AL537" s="112"/>
      <c r="AM537" s="112"/>
      <c r="AN537" s="112"/>
      <c r="AO537" s="112"/>
      <c r="AP537" s="112"/>
    </row>
    <row r="538" ht="15.75" customHeight="1">
      <c r="A538" s="112"/>
      <c r="B538" s="112"/>
      <c r="C538" s="112"/>
      <c r="D538" s="112"/>
      <c r="E538" s="128"/>
      <c r="F538" s="112"/>
      <c r="G538" s="112"/>
      <c r="H538" s="128"/>
      <c r="I538" s="112"/>
      <c r="J538" s="112"/>
      <c r="K538" s="112"/>
      <c r="L538" s="128"/>
      <c r="M538" s="128"/>
      <c r="N538" s="112"/>
      <c r="O538" s="112"/>
      <c r="P538" s="112"/>
      <c r="Q538" s="112"/>
      <c r="R538" s="112"/>
      <c r="S538" s="112"/>
      <c r="T538" s="128"/>
      <c r="U538" s="128"/>
      <c r="V538" s="128"/>
      <c r="W538" s="128"/>
      <c r="X538" s="128"/>
      <c r="Y538" s="128"/>
      <c r="Z538" s="112"/>
      <c r="AA538" s="112"/>
      <c r="AB538" s="112"/>
      <c r="AC538" s="112"/>
      <c r="AD538" s="112"/>
      <c r="AE538" s="112"/>
      <c r="AF538" s="112"/>
      <c r="AG538" s="112"/>
      <c r="AH538" s="112"/>
      <c r="AI538" s="112"/>
      <c r="AJ538" s="112"/>
      <c r="AK538" s="112"/>
      <c r="AL538" s="112"/>
      <c r="AM538" s="112"/>
      <c r="AN538" s="112"/>
      <c r="AO538" s="112"/>
      <c r="AP538" s="112"/>
    </row>
    <row r="539" ht="15.75" customHeight="1">
      <c r="A539" s="112"/>
      <c r="B539" s="112"/>
      <c r="C539" s="112"/>
      <c r="D539" s="112"/>
      <c r="E539" s="128"/>
      <c r="F539" s="112"/>
      <c r="G539" s="112"/>
      <c r="H539" s="128"/>
      <c r="I539" s="112"/>
      <c r="J539" s="112"/>
      <c r="K539" s="112"/>
      <c r="L539" s="128"/>
      <c r="M539" s="128"/>
      <c r="N539" s="112"/>
      <c r="O539" s="112"/>
      <c r="P539" s="112"/>
      <c r="Q539" s="112"/>
      <c r="R539" s="112"/>
      <c r="S539" s="112"/>
      <c r="T539" s="128"/>
      <c r="U539" s="128"/>
      <c r="V539" s="128"/>
      <c r="W539" s="128"/>
      <c r="X539" s="128"/>
      <c r="Y539" s="128"/>
      <c r="Z539" s="112"/>
      <c r="AA539" s="112"/>
      <c r="AB539" s="112"/>
      <c r="AC539" s="112"/>
      <c r="AD539" s="112"/>
      <c r="AE539" s="112"/>
      <c r="AF539" s="112"/>
      <c r="AG539" s="112"/>
      <c r="AH539" s="112"/>
      <c r="AI539" s="112"/>
      <c r="AJ539" s="112"/>
      <c r="AK539" s="112"/>
      <c r="AL539" s="112"/>
      <c r="AM539" s="112"/>
      <c r="AN539" s="112"/>
      <c r="AO539" s="112"/>
      <c r="AP539" s="112"/>
    </row>
    <row r="540" ht="15.75" customHeight="1">
      <c r="A540" s="112"/>
      <c r="B540" s="112"/>
      <c r="C540" s="112"/>
      <c r="D540" s="112"/>
      <c r="E540" s="128"/>
      <c r="F540" s="112"/>
      <c r="G540" s="112"/>
      <c r="H540" s="128"/>
      <c r="I540" s="112"/>
      <c r="J540" s="112"/>
      <c r="K540" s="112"/>
      <c r="L540" s="128"/>
      <c r="M540" s="128"/>
      <c r="N540" s="112"/>
      <c r="O540" s="112"/>
      <c r="P540" s="112"/>
      <c r="Q540" s="112"/>
      <c r="R540" s="112"/>
      <c r="S540" s="112"/>
      <c r="T540" s="128"/>
      <c r="U540" s="128"/>
      <c r="V540" s="128"/>
      <c r="W540" s="128"/>
      <c r="X540" s="128"/>
      <c r="Y540" s="128"/>
      <c r="Z540" s="112"/>
      <c r="AA540" s="112"/>
      <c r="AB540" s="112"/>
      <c r="AC540" s="112"/>
      <c r="AD540" s="112"/>
      <c r="AE540" s="112"/>
      <c r="AF540" s="112"/>
      <c r="AG540" s="112"/>
      <c r="AH540" s="112"/>
      <c r="AI540" s="112"/>
      <c r="AJ540" s="112"/>
      <c r="AK540" s="112"/>
      <c r="AL540" s="112"/>
      <c r="AM540" s="112"/>
      <c r="AN540" s="112"/>
      <c r="AO540" s="112"/>
      <c r="AP540" s="112"/>
    </row>
    <row r="541" ht="15.75" customHeight="1">
      <c r="A541" s="112"/>
      <c r="B541" s="112"/>
      <c r="C541" s="112"/>
      <c r="D541" s="112"/>
      <c r="E541" s="128"/>
      <c r="F541" s="112"/>
      <c r="G541" s="112"/>
      <c r="H541" s="128"/>
      <c r="I541" s="112"/>
      <c r="J541" s="112"/>
      <c r="K541" s="112"/>
      <c r="L541" s="128"/>
      <c r="M541" s="128"/>
      <c r="N541" s="112"/>
      <c r="O541" s="112"/>
      <c r="P541" s="112"/>
      <c r="Q541" s="112"/>
      <c r="R541" s="112"/>
      <c r="S541" s="112"/>
      <c r="T541" s="128"/>
      <c r="U541" s="128"/>
      <c r="V541" s="128"/>
      <c r="W541" s="128"/>
      <c r="X541" s="128"/>
      <c r="Y541" s="128"/>
      <c r="Z541" s="112"/>
      <c r="AA541" s="112"/>
      <c r="AB541" s="112"/>
      <c r="AC541" s="112"/>
      <c r="AD541" s="112"/>
      <c r="AE541" s="112"/>
      <c r="AF541" s="112"/>
      <c r="AG541" s="112"/>
      <c r="AH541" s="112"/>
      <c r="AI541" s="112"/>
      <c r="AJ541" s="112"/>
      <c r="AK541" s="112"/>
      <c r="AL541" s="112"/>
      <c r="AM541" s="112"/>
      <c r="AN541" s="112"/>
      <c r="AO541" s="112"/>
      <c r="AP541" s="112"/>
    </row>
    <row r="542" ht="15.75" customHeight="1">
      <c r="A542" s="112"/>
      <c r="B542" s="112"/>
      <c r="C542" s="112"/>
      <c r="D542" s="112"/>
      <c r="E542" s="128"/>
      <c r="F542" s="112"/>
      <c r="G542" s="112"/>
      <c r="H542" s="128"/>
      <c r="I542" s="112"/>
      <c r="J542" s="112"/>
      <c r="K542" s="112"/>
      <c r="L542" s="128"/>
      <c r="M542" s="128"/>
      <c r="N542" s="112"/>
      <c r="O542" s="112"/>
      <c r="P542" s="112"/>
      <c r="Q542" s="112"/>
      <c r="R542" s="112"/>
      <c r="S542" s="112"/>
      <c r="T542" s="128"/>
      <c r="U542" s="128"/>
      <c r="V542" s="128"/>
      <c r="W542" s="128"/>
      <c r="X542" s="128"/>
      <c r="Y542" s="128"/>
      <c r="Z542" s="112"/>
      <c r="AA542" s="112"/>
      <c r="AB542" s="112"/>
      <c r="AC542" s="112"/>
      <c r="AD542" s="112"/>
      <c r="AE542" s="112"/>
      <c r="AF542" s="112"/>
      <c r="AG542" s="112"/>
      <c r="AH542" s="112"/>
      <c r="AI542" s="112"/>
      <c r="AJ542" s="112"/>
      <c r="AK542" s="112"/>
      <c r="AL542" s="112"/>
      <c r="AM542" s="112"/>
      <c r="AN542" s="112"/>
      <c r="AO542" s="112"/>
      <c r="AP542" s="112"/>
    </row>
    <row r="543" ht="15.75" customHeight="1">
      <c r="A543" s="112"/>
      <c r="B543" s="112"/>
      <c r="C543" s="112"/>
      <c r="D543" s="112"/>
      <c r="E543" s="128"/>
      <c r="F543" s="112"/>
      <c r="G543" s="112"/>
      <c r="H543" s="128"/>
      <c r="I543" s="112"/>
      <c r="J543" s="112"/>
      <c r="K543" s="112"/>
      <c r="L543" s="128"/>
      <c r="M543" s="128"/>
      <c r="N543" s="112"/>
      <c r="O543" s="112"/>
      <c r="P543" s="112"/>
      <c r="Q543" s="112"/>
      <c r="R543" s="112"/>
      <c r="S543" s="112"/>
      <c r="T543" s="128"/>
      <c r="U543" s="128"/>
      <c r="V543" s="128"/>
      <c r="W543" s="128"/>
      <c r="X543" s="128"/>
      <c r="Y543" s="128"/>
      <c r="Z543" s="112"/>
      <c r="AA543" s="112"/>
      <c r="AB543" s="112"/>
      <c r="AC543" s="112"/>
      <c r="AD543" s="112"/>
      <c r="AE543" s="112"/>
      <c r="AF543" s="112"/>
      <c r="AG543" s="112"/>
      <c r="AH543" s="112"/>
      <c r="AI543" s="112"/>
      <c r="AJ543" s="112"/>
      <c r="AK543" s="112"/>
      <c r="AL543" s="112"/>
      <c r="AM543" s="112"/>
      <c r="AN543" s="112"/>
      <c r="AO543" s="112"/>
      <c r="AP543" s="112"/>
    </row>
    <row r="544" ht="15.75" customHeight="1">
      <c r="A544" s="112"/>
      <c r="B544" s="112"/>
      <c r="C544" s="112"/>
      <c r="D544" s="112"/>
      <c r="E544" s="128"/>
      <c r="F544" s="112"/>
      <c r="G544" s="112"/>
      <c r="H544" s="128"/>
      <c r="I544" s="112"/>
      <c r="J544" s="112"/>
      <c r="K544" s="112"/>
      <c r="L544" s="128"/>
      <c r="M544" s="128"/>
      <c r="N544" s="112"/>
      <c r="O544" s="112"/>
      <c r="P544" s="112"/>
      <c r="Q544" s="112"/>
      <c r="R544" s="112"/>
      <c r="S544" s="112"/>
      <c r="T544" s="128"/>
      <c r="U544" s="128"/>
      <c r="V544" s="128"/>
      <c r="W544" s="128"/>
      <c r="X544" s="128"/>
      <c r="Y544" s="128"/>
      <c r="Z544" s="112"/>
      <c r="AA544" s="112"/>
      <c r="AB544" s="112"/>
      <c r="AC544" s="112"/>
      <c r="AD544" s="112"/>
      <c r="AE544" s="112"/>
      <c r="AF544" s="112"/>
      <c r="AG544" s="112"/>
      <c r="AH544" s="112"/>
      <c r="AI544" s="112"/>
      <c r="AJ544" s="112"/>
      <c r="AK544" s="112"/>
      <c r="AL544" s="112"/>
      <c r="AM544" s="112"/>
      <c r="AN544" s="112"/>
      <c r="AO544" s="112"/>
      <c r="AP544" s="112"/>
    </row>
    <row r="545" ht="15.75" customHeight="1">
      <c r="A545" s="112"/>
      <c r="B545" s="112"/>
      <c r="C545" s="112"/>
      <c r="D545" s="112"/>
      <c r="E545" s="128"/>
      <c r="F545" s="112"/>
      <c r="G545" s="112"/>
      <c r="H545" s="128"/>
      <c r="I545" s="112"/>
      <c r="J545" s="112"/>
      <c r="K545" s="112"/>
      <c r="L545" s="128"/>
      <c r="M545" s="128"/>
      <c r="N545" s="112"/>
      <c r="O545" s="112"/>
      <c r="P545" s="112"/>
      <c r="Q545" s="112"/>
      <c r="R545" s="112"/>
      <c r="S545" s="112"/>
      <c r="T545" s="128"/>
      <c r="U545" s="128"/>
      <c r="V545" s="128"/>
      <c r="W545" s="128"/>
      <c r="X545" s="128"/>
      <c r="Y545" s="128"/>
      <c r="Z545" s="112"/>
      <c r="AA545" s="112"/>
      <c r="AB545" s="112"/>
      <c r="AC545" s="112"/>
      <c r="AD545" s="112"/>
      <c r="AE545" s="112"/>
      <c r="AF545" s="112"/>
      <c r="AG545" s="112"/>
      <c r="AH545" s="112"/>
      <c r="AI545" s="112"/>
      <c r="AJ545" s="112"/>
      <c r="AK545" s="112"/>
      <c r="AL545" s="112"/>
      <c r="AM545" s="112"/>
      <c r="AN545" s="112"/>
      <c r="AO545" s="112"/>
      <c r="AP545" s="112"/>
    </row>
    <row r="546" ht="15.75" customHeight="1">
      <c r="A546" s="112"/>
      <c r="B546" s="112"/>
      <c r="C546" s="112"/>
      <c r="D546" s="112"/>
      <c r="E546" s="128"/>
      <c r="F546" s="112"/>
      <c r="G546" s="112"/>
      <c r="H546" s="128"/>
      <c r="I546" s="112"/>
      <c r="J546" s="112"/>
      <c r="K546" s="112"/>
      <c r="L546" s="128"/>
      <c r="M546" s="128"/>
      <c r="N546" s="112"/>
      <c r="O546" s="112"/>
      <c r="P546" s="112"/>
      <c r="Q546" s="112"/>
      <c r="R546" s="112"/>
      <c r="S546" s="112"/>
      <c r="T546" s="128"/>
      <c r="U546" s="128"/>
      <c r="V546" s="128"/>
      <c r="W546" s="128"/>
      <c r="X546" s="128"/>
      <c r="Y546" s="128"/>
      <c r="Z546" s="112"/>
      <c r="AA546" s="112"/>
      <c r="AB546" s="112"/>
      <c r="AC546" s="112"/>
      <c r="AD546" s="112"/>
      <c r="AE546" s="112"/>
      <c r="AF546" s="112"/>
      <c r="AG546" s="112"/>
      <c r="AH546" s="112"/>
      <c r="AI546" s="112"/>
      <c r="AJ546" s="112"/>
      <c r="AK546" s="112"/>
      <c r="AL546" s="112"/>
      <c r="AM546" s="112"/>
      <c r="AN546" s="112"/>
      <c r="AO546" s="112"/>
      <c r="AP546" s="112"/>
    </row>
    <row r="547" ht="15.75" customHeight="1">
      <c r="A547" s="112"/>
      <c r="B547" s="112"/>
      <c r="C547" s="112"/>
      <c r="D547" s="112"/>
      <c r="E547" s="128"/>
      <c r="F547" s="112"/>
      <c r="G547" s="112"/>
      <c r="H547" s="128"/>
      <c r="I547" s="112"/>
      <c r="J547" s="112"/>
      <c r="K547" s="112"/>
      <c r="L547" s="128"/>
      <c r="M547" s="128"/>
      <c r="N547" s="112"/>
      <c r="O547" s="112"/>
      <c r="P547" s="112"/>
      <c r="Q547" s="112"/>
      <c r="R547" s="112"/>
      <c r="S547" s="112"/>
      <c r="T547" s="128"/>
      <c r="U547" s="128"/>
      <c r="V547" s="128"/>
      <c r="W547" s="128"/>
      <c r="X547" s="128"/>
      <c r="Y547" s="128"/>
      <c r="Z547" s="112"/>
      <c r="AA547" s="112"/>
      <c r="AB547" s="112"/>
      <c r="AC547" s="112"/>
      <c r="AD547" s="112"/>
      <c r="AE547" s="112"/>
      <c r="AF547" s="112"/>
      <c r="AG547" s="112"/>
      <c r="AH547" s="112"/>
      <c r="AI547" s="112"/>
      <c r="AJ547" s="112"/>
      <c r="AK547" s="112"/>
      <c r="AL547" s="112"/>
      <c r="AM547" s="112"/>
      <c r="AN547" s="112"/>
      <c r="AO547" s="112"/>
      <c r="AP547" s="112"/>
    </row>
    <row r="548" ht="15.75" customHeight="1">
      <c r="A548" s="112"/>
      <c r="B548" s="112"/>
      <c r="C548" s="112"/>
      <c r="D548" s="112"/>
      <c r="E548" s="128"/>
      <c r="F548" s="112"/>
      <c r="G548" s="112"/>
      <c r="H548" s="128"/>
      <c r="I548" s="112"/>
      <c r="J548" s="112"/>
      <c r="K548" s="112"/>
      <c r="L548" s="128"/>
      <c r="M548" s="128"/>
      <c r="N548" s="112"/>
      <c r="O548" s="112"/>
      <c r="P548" s="112"/>
      <c r="Q548" s="112"/>
      <c r="R548" s="112"/>
      <c r="S548" s="112"/>
      <c r="T548" s="128"/>
      <c r="U548" s="128"/>
      <c r="V548" s="128"/>
      <c r="W548" s="128"/>
      <c r="X548" s="128"/>
      <c r="Y548" s="128"/>
      <c r="Z548" s="112"/>
      <c r="AA548" s="112"/>
      <c r="AB548" s="112"/>
      <c r="AC548" s="112"/>
      <c r="AD548" s="112"/>
      <c r="AE548" s="112"/>
      <c r="AF548" s="112"/>
      <c r="AG548" s="112"/>
      <c r="AH548" s="112"/>
      <c r="AI548" s="112"/>
      <c r="AJ548" s="112"/>
      <c r="AK548" s="112"/>
      <c r="AL548" s="112"/>
      <c r="AM548" s="112"/>
      <c r="AN548" s="112"/>
      <c r="AO548" s="112"/>
      <c r="AP548" s="112"/>
    </row>
    <row r="549" ht="15.75" customHeight="1">
      <c r="A549" s="112"/>
      <c r="B549" s="112"/>
      <c r="C549" s="112"/>
      <c r="D549" s="112"/>
      <c r="E549" s="128"/>
      <c r="F549" s="112"/>
      <c r="G549" s="112"/>
      <c r="H549" s="128"/>
      <c r="I549" s="112"/>
      <c r="J549" s="112"/>
      <c r="K549" s="112"/>
      <c r="L549" s="128"/>
      <c r="M549" s="128"/>
      <c r="N549" s="112"/>
      <c r="O549" s="112"/>
      <c r="P549" s="112"/>
      <c r="Q549" s="112"/>
      <c r="R549" s="112"/>
      <c r="S549" s="112"/>
      <c r="T549" s="128"/>
      <c r="U549" s="128"/>
      <c r="V549" s="128"/>
      <c r="W549" s="128"/>
      <c r="X549" s="128"/>
      <c r="Y549" s="128"/>
      <c r="Z549" s="112"/>
      <c r="AA549" s="112"/>
      <c r="AB549" s="112"/>
      <c r="AC549" s="112"/>
      <c r="AD549" s="112"/>
      <c r="AE549" s="112"/>
      <c r="AF549" s="112"/>
      <c r="AG549" s="112"/>
      <c r="AH549" s="112"/>
      <c r="AI549" s="112"/>
      <c r="AJ549" s="112"/>
      <c r="AK549" s="112"/>
      <c r="AL549" s="112"/>
      <c r="AM549" s="112"/>
      <c r="AN549" s="112"/>
      <c r="AO549" s="112"/>
      <c r="AP549" s="112"/>
    </row>
    <row r="550" ht="15.75" customHeight="1">
      <c r="A550" s="112"/>
      <c r="B550" s="112"/>
      <c r="C550" s="112"/>
      <c r="D550" s="112"/>
      <c r="E550" s="128"/>
      <c r="F550" s="112"/>
      <c r="G550" s="112"/>
      <c r="H550" s="128"/>
      <c r="I550" s="112"/>
      <c r="J550" s="112"/>
      <c r="K550" s="112"/>
      <c r="L550" s="128"/>
      <c r="M550" s="128"/>
      <c r="N550" s="112"/>
      <c r="O550" s="112"/>
      <c r="P550" s="112"/>
      <c r="Q550" s="112"/>
      <c r="R550" s="112"/>
      <c r="S550" s="112"/>
      <c r="T550" s="128"/>
      <c r="U550" s="128"/>
      <c r="V550" s="128"/>
      <c r="W550" s="128"/>
      <c r="X550" s="128"/>
      <c r="Y550" s="128"/>
      <c r="Z550" s="112"/>
      <c r="AA550" s="112"/>
      <c r="AB550" s="112"/>
      <c r="AC550" s="112"/>
      <c r="AD550" s="112"/>
      <c r="AE550" s="112"/>
      <c r="AF550" s="112"/>
      <c r="AG550" s="112"/>
      <c r="AH550" s="112"/>
      <c r="AI550" s="112"/>
      <c r="AJ550" s="112"/>
      <c r="AK550" s="112"/>
      <c r="AL550" s="112"/>
      <c r="AM550" s="112"/>
      <c r="AN550" s="112"/>
      <c r="AO550" s="112"/>
      <c r="AP550" s="112"/>
    </row>
    <row r="551" ht="15.75" customHeight="1">
      <c r="A551" s="112"/>
      <c r="B551" s="112"/>
      <c r="C551" s="112"/>
      <c r="D551" s="112"/>
      <c r="E551" s="128"/>
      <c r="F551" s="112"/>
      <c r="G551" s="112"/>
      <c r="H551" s="128"/>
      <c r="I551" s="112"/>
      <c r="J551" s="112"/>
      <c r="K551" s="112"/>
      <c r="L551" s="128"/>
      <c r="M551" s="128"/>
      <c r="N551" s="112"/>
      <c r="O551" s="112"/>
      <c r="P551" s="112"/>
      <c r="Q551" s="112"/>
      <c r="R551" s="112"/>
      <c r="S551" s="112"/>
      <c r="T551" s="128"/>
      <c r="U551" s="128"/>
      <c r="V551" s="128"/>
      <c r="W551" s="128"/>
      <c r="X551" s="128"/>
      <c r="Y551" s="128"/>
      <c r="Z551" s="112"/>
      <c r="AA551" s="112"/>
      <c r="AB551" s="112"/>
      <c r="AC551" s="112"/>
      <c r="AD551" s="112"/>
      <c r="AE551" s="112"/>
      <c r="AF551" s="112"/>
      <c r="AG551" s="112"/>
      <c r="AH551" s="112"/>
      <c r="AI551" s="112"/>
      <c r="AJ551" s="112"/>
      <c r="AK551" s="112"/>
      <c r="AL551" s="112"/>
      <c r="AM551" s="112"/>
      <c r="AN551" s="112"/>
      <c r="AO551" s="112"/>
      <c r="AP551" s="112"/>
    </row>
    <row r="552" ht="15.75" customHeight="1">
      <c r="A552" s="112"/>
      <c r="B552" s="112"/>
      <c r="C552" s="112"/>
      <c r="D552" s="112"/>
      <c r="E552" s="128"/>
      <c r="F552" s="112"/>
      <c r="G552" s="112"/>
      <c r="H552" s="128"/>
      <c r="I552" s="112"/>
      <c r="J552" s="112"/>
      <c r="K552" s="112"/>
      <c r="L552" s="128"/>
      <c r="M552" s="128"/>
      <c r="N552" s="112"/>
      <c r="O552" s="112"/>
      <c r="P552" s="112"/>
      <c r="Q552" s="112"/>
      <c r="R552" s="112"/>
      <c r="S552" s="112"/>
      <c r="T552" s="128"/>
      <c r="U552" s="128"/>
      <c r="V552" s="128"/>
      <c r="W552" s="128"/>
      <c r="X552" s="128"/>
      <c r="Y552" s="128"/>
      <c r="Z552" s="112"/>
      <c r="AA552" s="112"/>
      <c r="AB552" s="112"/>
      <c r="AC552" s="112"/>
      <c r="AD552" s="112"/>
      <c r="AE552" s="112"/>
      <c r="AF552" s="112"/>
      <c r="AG552" s="112"/>
      <c r="AH552" s="112"/>
      <c r="AI552" s="112"/>
      <c r="AJ552" s="112"/>
      <c r="AK552" s="112"/>
      <c r="AL552" s="112"/>
      <c r="AM552" s="112"/>
      <c r="AN552" s="112"/>
      <c r="AO552" s="112"/>
      <c r="AP552" s="112"/>
    </row>
    <row r="553" ht="15.75" customHeight="1">
      <c r="A553" s="112"/>
      <c r="B553" s="112"/>
      <c r="C553" s="112"/>
      <c r="D553" s="112"/>
      <c r="E553" s="128"/>
      <c r="F553" s="112"/>
      <c r="G553" s="112"/>
      <c r="H553" s="128"/>
      <c r="I553" s="112"/>
      <c r="J553" s="112"/>
      <c r="K553" s="112"/>
      <c r="L553" s="128"/>
      <c r="M553" s="128"/>
      <c r="N553" s="112"/>
      <c r="O553" s="112"/>
      <c r="P553" s="112"/>
      <c r="Q553" s="112"/>
      <c r="R553" s="112"/>
      <c r="S553" s="112"/>
      <c r="T553" s="128"/>
      <c r="U553" s="128"/>
      <c r="V553" s="128"/>
      <c r="W553" s="128"/>
      <c r="X553" s="128"/>
      <c r="Y553" s="128"/>
      <c r="Z553" s="112"/>
      <c r="AA553" s="112"/>
      <c r="AB553" s="112"/>
      <c r="AC553" s="112"/>
      <c r="AD553" s="112"/>
      <c r="AE553" s="112"/>
      <c r="AF553" s="112"/>
      <c r="AG553" s="112"/>
      <c r="AH553" s="112"/>
      <c r="AI553" s="112"/>
      <c r="AJ553" s="112"/>
      <c r="AK553" s="112"/>
      <c r="AL553" s="112"/>
      <c r="AM553" s="112"/>
      <c r="AN553" s="112"/>
      <c r="AO553" s="112"/>
      <c r="AP553" s="112"/>
    </row>
    <row r="554" ht="15.75" customHeight="1">
      <c r="A554" s="112"/>
      <c r="B554" s="112"/>
      <c r="C554" s="112"/>
      <c r="D554" s="112"/>
      <c r="E554" s="128"/>
      <c r="F554" s="112"/>
      <c r="G554" s="112"/>
      <c r="H554" s="128"/>
      <c r="I554" s="112"/>
      <c r="J554" s="112"/>
      <c r="K554" s="112"/>
      <c r="L554" s="128"/>
      <c r="M554" s="128"/>
      <c r="N554" s="112"/>
      <c r="O554" s="112"/>
      <c r="P554" s="112"/>
      <c r="Q554" s="112"/>
      <c r="R554" s="112"/>
      <c r="S554" s="112"/>
      <c r="T554" s="128"/>
      <c r="U554" s="128"/>
      <c r="V554" s="128"/>
      <c r="W554" s="128"/>
      <c r="X554" s="128"/>
      <c r="Y554" s="128"/>
      <c r="Z554" s="112"/>
      <c r="AA554" s="112"/>
      <c r="AB554" s="112"/>
      <c r="AC554" s="112"/>
      <c r="AD554" s="112"/>
      <c r="AE554" s="112"/>
      <c r="AF554" s="112"/>
      <c r="AG554" s="112"/>
      <c r="AH554" s="112"/>
      <c r="AI554" s="112"/>
      <c r="AJ554" s="112"/>
      <c r="AK554" s="112"/>
      <c r="AL554" s="112"/>
      <c r="AM554" s="112"/>
      <c r="AN554" s="112"/>
      <c r="AO554" s="112"/>
      <c r="AP554" s="112"/>
    </row>
    <row r="555" ht="15.75" customHeight="1">
      <c r="A555" s="112"/>
      <c r="B555" s="112"/>
      <c r="C555" s="112"/>
      <c r="D555" s="112"/>
      <c r="E555" s="128"/>
      <c r="F555" s="112"/>
      <c r="G555" s="112"/>
      <c r="H555" s="128"/>
      <c r="I555" s="112"/>
      <c r="J555" s="112"/>
      <c r="K555" s="112"/>
      <c r="L555" s="128"/>
      <c r="M555" s="128"/>
      <c r="N555" s="112"/>
      <c r="O555" s="112"/>
      <c r="P555" s="112"/>
      <c r="Q555" s="112"/>
      <c r="R555" s="112"/>
      <c r="S555" s="112"/>
      <c r="T555" s="128"/>
      <c r="U555" s="128"/>
      <c r="V555" s="128"/>
      <c r="W555" s="128"/>
      <c r="X555" s="128"/>
      <c r="Y555" s="128"/>
      <c r="Z555" s="112"/>
      <c r="AA555" s="112"/>
      <c r="AB555" s="112"/>
      <c r="AC555" s="112"/>
      <c r="AD555" s="112"/>
      <c r="AE555" s="112"/>
      <c r="AF555" s="112"/>
      <c r="AG555" s="112"/>
      <c r="AH555" s="112"/>
      <c r="AI555" s="112"/>
      <c r="AJ555" s="112"/>
      <c r="AK555" s="112"/>
      <c r="AL555" s="112"/>
      <c r="AM555" s="112"/>
      <c r="AN555" s="112"/>
      <c r="AO555" s="112"/>
      <c r="AP555" s="112"/>
    </row>
    <row r="556" ht="15.75" customHeight="1">
      <c r="A556" s="112"/>
      <c r="B556" s="112"/>
      <c r="C556" s="112"/>
      <c r="D556" s="112"/>
      <c r="E556" s="128"/>
      <c r="F556" s="112"/>
      <c r="G556" s="112"/>
      <c r="H556" s="128"/>
      <c r="I556" s="112"/>
      <c r="J556" s="112"/>
      <c r="K556" s="112"/>
      <c r="L556" s="128"/>
      <c r="M556" s="128"/>
      <c r="N556" s="112"/>
      <c r="O556" s="112"/>
      <c r="P556" s="112"/>
      <c r="Q556" s="112"/>
      <c r="R556" s="112"/>
      <c r="S556" s="112"/>
      <c r="T556" s="128"/>
      <c r="U556" s="128"/>
      <c r="V556" s="128"/>
      <c r="W556" s="128"/>
      <c r="X556" s="128"/>
      <c r="Y556" s="128"/>
      <c r="Z556" s="112"/>
      <c r="AA556" s="112"/>
      <c r="AB556" s="112"/>
      <c r="AC556" s="112"/>
      <c r="AD556" s="112"/>
      <c r="AE556" s="112"/>
      <c r="AF556" s="112"/>
      <c r="AG556" s="112"/>
      <c r="AH556" s="112"/>
      <c r="AI556" s="112"/>
      <c r="AJ556" s="112"/>
      <c r="AK556" s="112"/>
      <c r="AL556" s="112"/>
      <c r="AM556" s="112"/>
      <c r="AN556" s="112"/>
      <c r="AO556" s="112"/>
      <c r="AP556" s="112"/>
    </row>
    <row r="557" ht="15.75" customHeight="1">
      <c r="A557" s="112"/>
      <c r="B557" s="112"/>
      <c r="C557" s="112"/>
      <c r="D557" s="112"/>
      <c r="E557" s="128"/>
      <c r="F557" s="112"/>
      <c r="G557" s="112"/>
      <c r="H557" s="128"/>
      <c r="I557" s="112"/>
      <c r="J557" s="112"/>
      <c r="K557" s="112"/>
      <c r="L557" s="128"/>
      <c r="M557" s="128"/>
      <c r="N557" s="112"/>
      <c r="O557" s="112"/>
      <c r="P557" s="112"/>
      <c r="Q557" s="112"/>
      <c r="R557" s="112"/>
      <c r="S557" s="112"/>
      <c r="T557" s="128"/>
      <c r="U557" s="128"/>
      <c r="V557" s="128"/>
      <c r="W557" s="128"/>
      <c r="X557" s="128"/>
      <c r="Y557" s="128"/>
      <c r="Z557" s="112"/>
      <c r="AA557" s="112"/>
      <c r="AB557" s="112"/>
      <c r="AC557" s="112"/>
      <c r="AD557" s="112"/>
      <c r="AE557" s="112"/>
      <c r="AF557" s="112"/>
      <c r="AG557" s="112"/>
      <c r="AH557" s="112"/>
      <c r="AI557" s="112"/>
      <c r="AJ557" s="112"/>
      <c r="AK557" s="112"/>
      <c r="AL557" s="112"/>
      <c r="AM557" s="112"/>
      <c r="AN557" s="112"/>
      <c r="AO557" s="112"/>
      <c r="AP557" s="112"/>
    </row>
    <row r="558" ht="15.75" customHeight="1">
      <c r="A558" s="112"/>
      <c r="B558" s="112"/>
      <c r="C558" s="112"/>
      <c r="D558" s="112"/>
      <c r="E558" s="128"/>
      <c r="F558" s="112"/>
      <c r="G558" s="112"/>
      <c r="H558" s="128"/>
      <c r="I558" s="112"/>
      <c r="J558" s="112"/>
      <c r="K558" s="112"/>
      <c r="L558" s="128"/>
      <c r="M558" s="128"/>
      <c r="N558" s="112"/>
      <c r="O558" s="112"/>
      <c r="P558" s="112"/>
      <c r="Q558" s="112"/>
      <c r="R558" s="112"/>
      <c r="S558" s="112"/>
      <c r="T558" s="128"/>
      <c r="U558" s="128"/>
      <c r="V558" s="128"/>
      <c r="W558" s="128"/>
      <c r="X558" s="128"/>
      <c r="Y558" s="128"/>
      <c r="Z558" s="112"/>
      <c r="AA558" s="112"/>
      <c r="AB558" s="112"/>
      <c r="AC558" s="112"/>
      <c r="AD558" s="112"/>
      <c r="AE558" s="112"/>
      <c r="AF558" s="112"/>
      <c r="AG558" s="112"/>
      <c r="AH558" s="112"/>
      <c r="AI558" s="112"/>
      <c r="AJ558" s="112"/>
      <c r="AK558" s="112"/>
      <c r="AL558" s="112"/>
      <c r="AM558" s="112"/>
      <c r="AN558" s="112"/>
      <c r="AO558" s="112"/>
      <c r="AP558" s="112"/>
    </row>
    <row r="559" ht="15.75" customHeight="1">
      <c r="A559" s="112"/>
      <c r="B559" s="112"/>
      <c r="C559" s="112"/>
      <c r="D559" s="112"/>
      <c r="E559" s="128"/>
      <c r="F559" s="112"/>
      <c r="G559" s="112"/>
      <c r="H559" s="128"/>
      <c r="I559" s="112"/>
      <c r="J559" s="112"/>
      <c r="K559" s="112"/>
      <c r="L559" s="128"/>
      <c r="M559" s="128"/>
      <c r="N559" s="112"/>
      <c r="O559" s="112"/>
      <c r="P559" s="112"/>
      <c r="Q559" s="112"/>
      <c r="R559" s="112"/>
      <c r="S559" s="112"/>
      <c r="T559" s="128"/>
      <c r="U559" s="128"/>
      <c r="V559" s="128"/>
      <c r="W559" s="128"/>
      <c r="X559" s="128"/>
      <c r="Y559" s="128"/>
      <c r="Z559" s="112"/>
      <c r="AA559" s="112"/>
      <c r="AB559" s="112"/>
      <c r="AC559" s="112"/>
      <c r="AD559" s="112"/>
      <c r="AE559" s="112"/>
      <c r="AF559" s="112"/>
      <c r="AG559" s="112"/>
      <c r="AH559" s="112"/>
      <c r="AI559" s="112"/>
      <c r="AJ559" s="112"/>
      <c r="AK559" s="112"/>
      <c r="AL559" s="112"/>
      <c r="AM559" s="112"/>
      <c r="AN559" s="112"/>
      <c r="AO559" s="112"/>
      <c r="AP559" s="112"/>
    </row>
    <row r="560" ht="15.75" customHeight="1">
      <c r="A560" s="112"/>
      <c r="B560" s="112"/>
      <c r="C560" s="112"/>
      <c r="D560" s="112"/>
      <c r="E560" s="128"/>
      <c r="F560" s="112"/>
      <c r="G560" s="112"/>
      <c r="H560" s="128"/>
      <c r="I560" s="112"/>
      <c r="J560" s="112"/>
      <c r="K560" s="112"/>
      <c r="L560" s="128"/>
      <c r="M560" s="128"/>
      <c r="N560" s="112"/>
      <c r="O560" s="112"/>
      <c r="P560" s="112"/>
      <c r="Q560" s="112"/>
      <c r="R560" s="112"/>
      <c r="S560" s="112"/>
      <c r="T560" s="128"/>
      <c r="U560" s="128"/>
      <c r="V560" s="128"/>
      <c r="W560" s="128"/>
      <c r="X560" s="128"/>
      <c r="Y560" s="128"/>
      <c r="Z560" s="112"/>
      <c r="AA560" s="112"/>
      <c r="AB560" s="112"/>
      <c r="AC560" s="112"/>
      <c r="AD560" s="112"/>
      <c r="AE560" s="112"/>
      <c r="AF560" s="112"/>
      <c r="AG560" s="112"/>
      <c r="AH560" s="112"/>
      <c r="AI560" s="112"/>
      <c r="AJ560" s="112"/>
      <c r="AK560" s="112"/>
      <c r="AL560" s="112"/>
      <c r="AM560" s="112"/>
      <c r="AN560" s="112"/>
      <c r="AO560" s="112"/>
      <c r="AP560" s="112"/>
    </row>
    <row r="561" ht="15.75" customHeight="1">
      <c r="A561" s="112"/>
      <c r="B561" s="112"/>
      <c r="C561" s="112"/>
      <c r="D561" s="112"/>
      <c r="E561" s="128"/>
      <c r="F561" s="112"/>
      <c r="G561" s="112"/>
      <c r="H561" s="128"/>
      <c r="I561" s="112"/>
      <c r="J561" s="112"/>
      <c r="K561" s="112"/>
      <c r="L561" s="128"/>
      <c r="M561" s="128"/>
      <c r="N561" s="112"/>
      <c r="O561" s="112"/>
      <c r="P561" s="112"/>
      <c r="Q561" s="112"/>
      <c r="R561" s="112"/>
      <c r="S561" s="112"/>
      <c r="T561" s="128"/>
      <c r="U561" s="128"/>
      <c r="V561" s="128"/>
      <c r="W561" s="128"/>
      <c r="X561" s="128"/>
      <c r="Y561" s="128"/>
      <c r="Z561" s="112"/>
      <c r="AA561" s="112"/>
      <c r="AB561" s="112"/>
      <c r="AC561" s="112"/>
      <c r="AD561" s="112"/>
      <c r="AE561" s="112"/>
      <c r="AF561" s="112"/>
      <c r="AG561" s="112"/>
      <c r="AH561" s="112"/>
      <c r="AI561" s="112"/>
      <c r="AJ561" s="112"/>
      <c r="AK561" s="112"/>
      <c r="AL561" s="112"/>
      <c r="AM561" s="112"/>
      <c r="AN561" s="112"/>
      <c r="AO561" s="112"/>
      <c r="AP561" s="112"/>
    </row>
    <row r="562" ht="15.75" customHeight="1">
      <c r="A562" s="112"/>
      <c r="B562" s="112"/>
      <c r="C562" s="112"/>
      <c r="D562" s="112"/>
      <c r="E562" s="128"/>
      <c r="F562" s="112"/>
      <c r="G562" s="112"/>
      <c r="H562" s="128"/>
      <c r="I562" s="112"/>
      <c r="J562" s="112"/>
      <c r="K562" s="112"/>
      <c r="L562" s="128"/>
      <c r="M562" s="128"/>
      <c r="N562" s="112"/>
      <c r="O562" s="112"/>
      <c r="P562" s="112"/>
      <c r="Q562" s="112"/>
      <c r="R562" s="112"/>
      <c r="S562" s="112"/>
      <c r="T562" s="128"/>
      <c r="U562" s="128"/>
      <c r="V562" s="128"/>
      <c r="W562" s="128"/>
      <c r="X562" s="128"/>
      <c r="Y562" s="128"/>
      <c r="Z562" s="112"/>
      <c r="AA562" s="112"/>
      <c r="AB562" s="112"/>
      <c r="AC562" s="112"/>
      <c r="AD562" s="112"/>
      <c r="AE562" s="112"/>
      <c r="AF562" s="112"/>
      <c r="AG562" s="112"/>
      <c r="AH562" s="112"/>
      <c r="AI562" s="112"/>
      <c r="AJ562" s="112"/>
      <c r="AK562" s="112"/>
      <c r="AL562" s="112"/>
      <c r="AM562" s="112"/>
      <c r="AN562" s="112"/>
      <c r="AO562" s="112"/>
      <c r="AP562" s="112"/>
    </row>
    <row r="563" ht="15.75" customHeight="1">
      <c r="A563" s="112"/>
      <c r="B563" s="112"/>
      <c r="C563" s="112"/>
      <c r="D563" s="112"/>
      <c r="E563" s="128"/>
      <c r="F563" s="112"/>
      <c r="G563" s="112"/>
      <c r="H563" s="128"/>
      <c r="I563" s="112"/>
      <c r="J563" s="112"/>
      <c r="K563" s="112"/>
      <c r="L563" s="128"/>
      <c r="M563" s="128"/>
      <c r="N563" s="112"/>
      <c r="O563" s="112"/>
      <c r="P563" s="112"/>
      <c r="Q563" s="112"/>
      <c r="R563" s="112"/>
      <c r="S563" s="112"/>
      <c r="T563" s="128"/>
      <c r="U563" s="128"/>
      <c r="V563" s="128"/>
      <c r="W563" s="128"/>
      <c r="X563" s="128"/>
      <c r="Y563" s="128"/>
      <c r="Z563" s="112"/>
      <c r="AA563" s="112"/>
      <c r="AB563" s="112"/>
      <c r="AC563" s="112"/>
      <c r="AD563" s="112"/>
      <c r="AE563" s="112"/>
      <c r="AF563" s="112"/>
      <c r="AG563" s="112"/>
      <c r="AH563" s="112"/>
      <c r="AI563" s="112"/>
      <c r="AJ563" s="112"/>
      <c r="AK563" s="112"/>
      <c r="AL563" s="112"/>
      <c r="AM563" s="112"/>
      <c r="AN563" s="112"/>
      <c r="AO563" s="112"/>
      <c r="AP563" s="112"/>
    </row>
    <row r="564" ht="15.75" customHeight="1">
      <c r="A564" s="112"/>
      <c r="B564" s="112"/>
      <c r="C564" s="112"/>
      <c r="D564" s="112"/>
      <c r="E564" s="128"/>
      <c r="F564" s="112"/>
      <c r="G564" s="112"/>
      <c r="H564" s="128"/>
      <c r="I564" s="112"/>
      <c r="J564" s="112"/>
      <c r="K564" s="112"/>
      <c r="L564" s="128"/>
      <c r="M564" s="128"/>
      <c r="N564" s="112"/>
      <c r="O564" s="112"/>
      <c r="P564" s="112"/>
      <c r="Q564" s="112"/>
      <c r="R564" s="112"/>
      <c r="S564" s="112"/>
      <c r="T564" s="128"/>
      <c r="U564" s="128"/>
      <c r="V564" s="128"/>
      <c r="W564" s="128"/>
      <c r="X564" s="128"/>
      <c r="Y564" s="128"/>
      <c r="Z564" s="112"/>
      <c r="AA564" s="112"/>
      <c r="AB564" s="112"/>
      <c r="AC564" s="112"/>
      <c r="AD564" s="112"/>
      <c r="AE564" s="112"/>
      <c r="AF564" s="112"/>
      <c r="AG564" s="112"/>
      <c r="AH564" s="112"/>
      <c r="AI564" s="112"/>
      <c r="AJ564" s="112"/>
      <c r="AK564" s="112"/>
      <c r="AL564" s="112"/>
      <c r="AM564" s="112"/>
      <c r="AN564" s="112"/>
      <c r="AO564" s="112"/>
      <c r="AP564" s="112"/>
    </row>
    <row r="565" ht="15.75" customHeight="1">
      <c r="A565" s="112"/>
      <c r="B565" s="112"/>
      <c r="C565" s="112"/>
      <c r="D565" s="112"/>
      <c r="E565" s="128"/>
      <c r="F565" s="112"/>
      <c r="G565" s="112"/>
      <c r="H565" s="128"/>
      <c r="I565" s="112"/>
      <c r="J565" s="112"/>
      <c r="K565" s="112"/>
      <c r="L565" s="128"/>
      <c r="M565" s="128"/>
      <c r="N565" s="112"/>
      <c r="O565" s="112"/>
      <c r="P565" s="112"/>
      <c r="Q565" s="112"/>
      <c r="R565" s="112"/>
      <c r="S565" s="112"/>
      <c r="T565" s="128"/>
      <c r="U565" s="128"/>
      <c r="V565" s="128"/>
      <c r="W565" s="128"/>
      <c r="X565" s="128"/>
      <c r="Y565" s="128"/>
      <c r="Z565" s="112"/>
      <c r="AA565" s="112"/>
      <c r="AB565" s="112"/>
      <c r="AC565" s="112"/>
      <c r="AD565" s="112"/>
      <c r="AE565" s="112"/>
      <c r="AF565" s="112"/>
      <c r="AG565" s="112"/>
      <c r="AH565" s="112"/>
      <c r="AI565" s="112"/>
      <c r="AJ565" s="112"/>
      <c r="AK565" s="112"/>
      <c r="AL565" s="112"/>
      <c r="AM565" s="112"/>
      <c r="AN565" s="112"/>
      <c r="AO565" s="112"/>
      <c r="AP565" s="112"/>
    </row>
    <row r="566" ht="15.75" customHeight="1">
      <c r="A566" s="112"/>
      <c r="B566" s="112"/>
      <c r="C566" s="112"/>
      <c r="D566" s="112"/>
      <c r="E566" s="128"/>
      <c r="F566" s="112"/>
      <c r="G566" s="112"/>
      <c r="H566" s="128"/>
      <c r="I566" s="112"/>
      <c r="J566" s="112"/>
      <c r="K566" s="112"/>
      <c r="L566" s="128"/>
      <c r="M566" s="128"/>
      <c r="N566" s="112"/>
      <c r="O566" s="112"/>
      <c r="P566" s="112"/>
      <c r="Q566" s="112"/>
      <c r="R566" s="112"/>
      <c r="S566" s="112"/>
      <c r="T566" s="128"/>
      <c r="U566" s="128"/>
      <c r="V566" s="128"/>
      <c r="W566" s="128"/>
      <c r="X566" s="128"/>
      <c r="Y566" s="128"/>
      <c r="Z566" s="112"/>
      <c r="AA566" s="112"/>
      <c r="AB566" s="112"/>
      <c r="AC566" s="112"/>
      <c r="AD566" s="112"/>
      <c r="AE566" s="112"/>
      <c r="AF566" s="112"/>
      <c r="AG566" s="112"/>
      <c r="AH566" s="112"/>
      <c r="AI566" s="112"/>
      <c r="AJ566" s="112"/>
      <c r="AK566" s="112"/>
      <c r="AL566" s="112"/>
      <c r="AM566" s="112"/>
      <c r="AN566" s="112"/>
      <c r="AO566" s="112"/>
      <c r="AP566" s="112"/>
    </row>
    <row r="567" ht="15.75" customHeight="1">
      <c r="A567" s="112"/>
      <c r="B567" s="112"/>
      <c r="C567" s="112"/>
      <c r="D567" s="112"/>
      <c r="E567" s="128"/>
      <c r="F567" s="112"/>
      <c r="G567" s="112"/>
      <c r="H567" s="128"/>
      <c r="I567" s="112"/>
      <c r="J567" s="112"/>
      <c r="K567" s="112"/>
      <c r="L567" s="128"/>
      <c r="M567" s="128"/>
      <c r="N567" s="112"/>
      <c r="O567" s="112"/>
      <c r="P567" s="112"/>
      <c r="Q567" s="112"/>
      <c r="R567" s="112"/>
      <c r="S567" s="112"/>
      <c r="T567" s="128"/>
      <c r="U567" s="128"/>
      <c r="V567" s="128"/>
      <c r="W567" s="128"/>
      <c r="X567" s="128"/>
      <c r="Y567" s="128"/>
      <c r="Z567" s="112"/>
      <c r="AA567" s="112"/>
      <c r="AB567" s="112"/>
      <c r="AC567" s="112"/>
      <c r="AD567" s="112"/>
      <c r="AE567" s="112"/>
      <c r="AF567" s="112"/>
      <c r="AG567" s="112"/>
      <c r="AH567" s="112"/>
      <c r="AI567" s="112"/>
      <c r="AJ567" s="112"/>
      <c r="AK567" s="112"/>
      <c r="AL567" s="112"/>
      <c r="AM567" s="112"/>
      <c r="AN567" s="112"/>
      <c r="AO567" s="112"/>
      <c r="AP567" s="112"/>
    </row>
    <row r="568" ht="15.75" customHeight="1">
      <c r="A568" s="112"/>
      <c r="B568" s="112"/>
      <c r="C568" s="112"/>
      <c r="D568" s="112"/>
      <c r="E568" s="128"/>
      <c r="F568" s="112"/>
      <c r="G568" s="112"/>
      <c r="H568" s="128"/>
      <c r="I568" s="112"/>
      <c r="J568" s="112"/>
      <c r="K568" s="112"/>
      <c r="L568" s="128"/>
      <c r="M568" s="128"/>
      <c r="N568" s="112"/>
      <c r="O568" s="112"/>
      <c r="P568" s="112"/>
      <c r="Q568" s="112"/>
      <c r="R568" s="112"/>
      <c r="S568" s="112"/>
      <c r="T568" s="128"/>
      <c r="U568" s="128"/>
      <c r="V568" s="128"/>
      <c r="W568" s="128"/>
      <c r="X568" s="128"/>
      <c r="Y568" s="128"/>
      <c r="Z568" s="112"/>
      <c r="AA568" s="112"/>
      <c r="AB568" s="112"/>
      <c r="AC568" s="112"/>
      <c r="AD568" s="112"/>
      <c r="AE568" s="112"/>
      <c r="AF568" s="112"/>
      <c r="AG568" s="112"/>
      <c r="AH568" s="112"/>
      <c r="AI568" s="112"/>
      <c r="AJ568" s="112"/>
      <c r="AK568" s="112"/>
      <c r="AL568" s="112"/>
      <c r="AM568" s="112"/>
      <c r="AN568" s="112"/>
      <c r="AO568" s="112"/>
      <c r="AP568" s="112"/>
    </row>
    <row r="569" ht="15.75" customHeight="1">
      <c r="A569" s="112"/>
      <c r="B569" s="112"/>
      <c r="C569" s="112"/>
      <c r="D569" s="112"/>
      <c r="E569" s="128"/>
      <c r="F569" s="112"/>
      <c r="G569" s="112"/>
      <c r="H569" s="128"/>
      <c r="I569" s="112"/>
      <c r="J569" s="112"/>
      <c r="K569" s="112"/>
      <c r="L569" s="128"/>
      <c r="M569" s="128"/>
      <c r="N569" s="112"/>
      <c r="O569" s="112"/>
      <c r="P569" s="112"/>
      <c r="Q569" s="112"/>
      <c r="R569" s="112"/>
      <c r="S569" s="112"/>
      <c r="T569" s="128"/>
      <c r="U569" s="128"/>
      <c r="V569" s="128"/>
      <c r="W569" s="128"/>
      <c r="X569" s="128"/>
      <c r="Y569" s="128"/>
      <c r="Z569" s="112"/>
      <c r="AA569" s="112"/>
      <c r="AB569" s="112"/>
      <c r="AC569" s="112"/>
      <c r="AD569" s="112"/>
      <c r="AE569" s="112"/>
      <c r="AF569" s="112"/>
      <c r="AG569" s="112"/>
      <c r="AH569" s="112"/>
      <c r="AI569" s="112"/>
      <c r="AJ569" s="112"/>
      <c r="AK569" s="112"/>
      <c r="AL569" s="112"/>
      <c r="AM569" s="112"/>
      <c r="AN569" s="112"/>
      <c r="AO569" s="112"/>
      <c r="AP569" s="112"/>
    </row>
    <row r="570" ht="15.75" customHeight="1">
      <c r="A570" s="112"/>
      <c r="B570" s="112"/>
      <c r="C570" s="112"/>
      <c r="D570" s="112"/>
      <c r="E570" s="128"/>
      <c r="F570" s="112"/>
      <c r="G570" s="112"/>
      <c r="H570" s="128"/>
      <c r="I570" s="112"/>
      <c r="J570" s="112"/>
      <c r="K570" s="112"/>
      <c r="L570" s="128"/>
      <c r="M570" s="128"/>
      <c r="N570" s="112"/>
      <c r="O570" s="112"/>
      <c r="P570" s="112"/>
      <c r="Q570" s="112"/>
      <c r="R570" s="112"/>
      <c r="S570" s="112"/>
      <c r="T570" s="128"/>
      <c r="U570" s="128"/>
      <c r="V570" s="128"/>
      <c r="W570" s="128"/>
      <c r="X570" s="128"/>
      <c r="Y570" s="128"/>
      <c r="Z570" s="112"/>
      <c r="AA570" s="112"/>
      <c r="AB570" s="112"/>
      <c r="AC570" s="112"/>
      <c r="AD570" s="112"/>
      <c r="AE570" s="112"/>
      <c r="AF570" s="112"/>
      <c r="AG570" s="112"/>
      <c r="AH570" s="112"/>
      <c r="AI570" s="112"/>
      <c r="AJ570" s="112"/>
      <c r="AK570" s="112"/>
      <c r="AL570" s="112"/>
      <c r="AM570" s="112"/>
      <c r="AN570" s="112"/>
      <c r="AO570" s="112"/>
      <c r="AP570" s="112"/>
    </row>
    <row r="571" ht="15.75" customHeight="1">
      <c r="A571" s="112"/>
      <c r="B571" s="112"/>
      <c r="C571" s="112"/>
      <c r="D571" s="112"/>
      <c r="E571" s="128"/>
      <c r="F571" s="112"/>
      <c r="G571" s="112"/>
      <c r="H571" s="128"/>
      <c r="I571" s="112"/>
      <c r="J571" s="112"/>
      <c r="K571" s="112"/>
      <c r="L571" s="128"/>
      <c r="M571" s="128"/>
      <c r="N571" s="112"/>
      <c r="O571" s="112"/>
      <c r="P571" s="112"/>
      <c r="Q571" s="112"/>
      <c r="R571" s="112"/>
      <c r="S571" s="112"/>
      <c r="T571" s="128"/>
      <c r="U571" s="128"/>
      <c r="V571" s="128"/>
      <c r="W571" s="128"/>
      <c r="X571" s="128"/>
      <c r="Y571" s="128"/>
      <c r="Z571" s="112"/>
      <c r="AA571" s="112"/>
      <c r="AB571" s="112"/>
      <c r="AC571" s="112"/>
      <c r="AD571" s="112"/>
      <c r="AE571" s="112"/>
      <c r="AF571" s="112"/>
      <c r="AG571" s="112"/>
      <c r="AH571" s="112"/>
      <c r="AI571" s="112"/>
      <c r="AJ571" s="112"/>
      <c r="AK571" s="112"/>
      <c r="AL571" s="112"/>
      <c r="AM571" s="112"/>
      <c r="AN571" s="112"/>
      <c r="AO571" s="112"/>
      <c r="AP571" s="112"/>
    </row>
    <row r="572" ht="15.75" customHeight="1">
      <c r="A572" s="112"/>
      <c r="B572" s="112"/>
      <c r="C572" s="112"/>
      <c r="D572" s="112"/>
      <c r="E572" s="128"/>
      <c r="F572" s="112"/>
      <c r="G572" s="112"/>
      <c r="H572" s="128"/>
      <c r="I572" s="112"/>
      <c r="J572" s="112"/>
      <c r="K572" s="112"/>
      <c r="L572" s="128"/>
      <c r="M572" s="128"/>
      <c r="N572" s="112"/>
      <c r="O572" s="112"/>
      <c r="P572" s="112"/>
      <c r="Q572" s="112"/>
      <c r="R572" s="112"/>
      <c r="S572" s="112"/>
      <c r="T572" s="128"/>
      <c r="U572" s="128"/>
      <c r="V572" s="128"/>
      <c r="W572" s="128"/>
      <c r="X572" s="128"/>
      <c r="Y572" s="128"/>
      <c r="Z572" s="112"/>
      <c r="AA572" s="112"/>
      <c r="AB572" s="112"/>
      <c r="AC572" s="112"/>
      <c r="AD572" s="112"/>
      <c r="AE572" s="112"/>
      <c r="AF572" s="112"/>
      <c r="AG572" s="112"/>
      <c r="AH572" s="112"/>
      <c r="AI572" s="112"/>
      <c r="AJ572" s="112"/>
      <c r="AK572" s="112"/>
      <c r="AL572" s="112"/>
      <c r="AM572" s="112"/>
      <c r="AN572" s="112"/>
      <c r="AO572" s="112"/>
      <c r="AP572" s="112"/>
    </row>
    <row r="573" ht="15.75" customHeight="1">
      <c r="A573" s="112"/>
      <c r="B573" s="112"/>
      <c r="C573" s="112"/>
      <c r="D573" s="112"/>
      <c r="E573" s="128"/>
      <c r="F573" s="112"/>
      <c r="G573" s="112"/>
      <c r="H573" s="128"/>
      <c r="I573" s="112"/>
      <c r="J573" s="112"/>
      <c r="K573" s="112"/>
      <c r="L573" s="128"/>
      <c r="M573" s="128"/>
      <c r="N573" s="112"/>
      <c r="O573" s="112"/>
      <c r="P573" s="112"/>
      <c r="Q573" s="112"/>
      <c r="R573" s="112"/>
      <c r="S573" s="112"/>
      <c r="T573" s="128"/>
      <c r="U573" s="128"/>
      <c r="V573" s="128"/>
      <c r="W573" s="128"/>
      <c r="X573" s="128"/>
      <c r="Y573" s="128"/>
      <c r="Z573" s="112"/>
      <c r="AA573" s="112"/>
      <c r="AB573" s="112"/>
      <c r="AC573" s="112"/>
      <c r="AD573" s="112"/>
      <c r="AE573" s="112"/>
      <c r="AF573" s="112"/>
      <c r="AG573" s="112"/>
      <c r="AH573" s="112"/>
      <c r="AI573" s="112"/>
      <c r="AJ573" s="112"/>
      <c r="AK573" s="112"/>
      <c r="AL573" s="112"/>
      <c r="AM573" s="112"/>
      <c r="AN573" s="112"/>
      <c r="AO573" s="112"/>
      <c r="AP573" s="112"/>
    </row>
    <row r="574" ht="15.75" customHeight="1">
      <c r="A574" s="112"/>
      <c r="B574" s="112"/>
      <c r="C574" s="112"/>
      <c r="D574" s="112"/>
      <c r="E574" s="128"/>
      <c r="F574" s="112"/>
      <c r="G574" s="112"/>
      <c r="H574" s="128"/>
      <c r="I574" s="112"/>
      <c r="J574" s="112"/>
      <c r="K574" s="112"/>
      <c r="L574" s="128"/>
      <c r="M574" s="128"/>
      <c r="N574" s="112"/>
      <c r="O574" s="112"/>
      <c r="P574" s="112"/>
      <c r="Q574" s="112"/>
      <c r="R574" s="112"/>
      <c r="S574" s="112"/>
      <c r="T574" s="128"/>
      <c r="U574" s="128"/>
      <c r="V574" s="128"/>
      <c r="W574" s="128"/>
      <c r="X574" s="128"/>
      <c r="Y574" s="128"/>
      <c r="Z574" s="112"/>
      <c r="AA574" s="112"/>
      <c r="AB574" s="112"/>
      <c r="AC574" s="112"/>
      <c r="AD574" s="112"/>
      <c r="AE574" s="112"/>
      <c r="AF574" s="112"/>
      <c r="AG574" s="112"/>
      <c r="AH574" s="112"/>
      <c r="AI574" s="112"/>
      <c r="AJ574" s="112"/>
      <c r="AK574" s="112"/>
      <c r="AL574" s="112"/>
      <c r="AM574" s="112"/>
      <c r="AN574" s="112"/>
      <c r="AO574" s="112"/>
      <c r="AP574" s="112"/>
    </row>
    <row r="575" ht="15.75" customHeight="1">
      <c r="A575" s="112"/>
      <c r="B575" s="112"/>
      <c r="C575" s="112"/>
      <c r="D575" s="112"/>
      <c r="E575" s="128"/>
      <c r="F575" s="112"/>
      <c r="G575" s="112"/>
      <c r="H575" s="128"/>
      <c r="I575" s="112"/>
      <c r="J575" s="112"/>
      <c r="K575" s="112"/>
      <c r="L575" s="128"/>
      <c r="M575" s="128"/>
      <c r="N575" s="112"/>
      <c r="O575" s="112"/>
      <c r="P575" s="112"/>
      <c r="Q575" s="112"/>
      <c r="R575" s="112"/>
      <c r="S575" s="112"/>
      <c r="T575" s="128"/>
      <c r="U575" s="128"/>
      <c r="V575" s="128"/>
      <c r="W575" s="128"/>
      <c r="X575" s="128"/>
      <c r="Y575" s="128"/>
      <c r="Z575" s="112"/>
      <c r="AA575" s="112"/>
      <c r="AB575" s="112"/>
      <c r="AC575" s="112"/>
      <c r="AD575" s="112"/>
      <c r="AE575" s="112"/>
      <c r="AF575" s="112"/>
      <c r="AG575" s="112"/>
      <c r="AH575" s="112"/>
      <c r="AI575" s="112"/>
      <c r="AJ575" s="112"/>
      <c r="AK575" s="112"/>
      <c r="AL575" s="112"/>
      <c r="AM575" s="112"/>
      <c r="AN575" s="112"/>
      <c r="AO575" s="112"/>
      <c r="AP575" s="112"/>
    </row>
    <row r="576" ht="15.75" customHeight="1">
      <c r="A576" s="112"/>
      <c r="B576" s="112"/>
      <c r="C576" s="112"/>
      <c r="D576" s="112"/>
      <c r="E576" s="128"/>
      <c r="F576" s="112"/>
      <c r="G576" s="112"/>
      <c r="H576" s="128"/>
      <c r="I576" s="112"/>
      <c r="J576" s="112"/>
      <c r="K576" s="112"/>
      <c r="L576" s="128"/>
      <c r="M576" s="128"/>
      <c r="N576" s="112"/>
      <c r="O576" s="112"/>
      <c r="P576" s="112"/>
      <c r="Q576" s="112"/>
      <c r="R576" s="112"/>
      <c r="S576" s="112"/>
      <c r="T576" s="128"/>
      <c r="U576" s="128"/>
      <c r="V576" s="128"/>
      <c r="W576" s="128"/>
      <c r="X576" s="128"/>
      <c r="Y576" s="128"/>
      <c r="Z576" s="112"/>
      <c r="AA576" s="112"/>
      <c r="AB576" s="112"/>
      <c r="AC576" s="112"/>
      <c r="AD576" s="112"/>
      <c r="AE576" s="112"/>
      <c r="AF576" s="112"/>
      <c r="AG576" s="112"/>
      <c r="AH576" s="112"/>
      <c r="AI576" s="112"/>
      <c r="AJ576" s="112"/>
      <c r="AK576" s="112"/>
      <c r="AL576" s="112"/>
      <c r="AM576" s="112"/>
      <c r="AN576" s="112"/>
      <c r="AO576" s="112"/>
      <c r="AP576" s="112"/>
    </row>
    <row r="577" ht="15.75" customHeight="1">
      <c r="A577" s="112"/>
      <c r="B577" s="112"/>
      <c r="C577" s="112"/>
      <c r="D577" s="112"/>
      <c r="E577" s="128"/>
      <c r="F577" s="112"/>
      <c r="G577" s="112"/>
      <c r="H577" s="128"/>
      <c r="I577" s="112"/>
      <c r="J577" s="112"/>
      <c r="K577" s="112"/>
      <c r="L577" s="128"/>
      <c r="M577" s="128"/>
      <c r="N577" s="112"/>
      <c r="O577" s="112"/>
      <c r="P577" s="112"/>
      <c r="Q577" s="112"/>
      <c r="R577" s="112"/>
      <c r="S577" s="112"/>
      <c r="T577" s="128"/>
      <c r="U577" s="128"/>
      <c r="V577" s="128"/>
      <c r="W577" s="128"/>
      <c r="X577" s="128"/>
      <c r="Y577" s="128"/>
      <c r="Z577" s="112"/>
      <c r="AA577" s="112"/>
      <c r="AB577" s="112"/>
      <c r="AC577" s="112"/>
      <c r="AD577" s="112"/>
      <c r="AE577" s="112"/>
      <c r="AF577" s="112"/>
      <c r="AG577" s="112"/>
      <c r="AH577" s="112"/>
      <c r="AI577" s="112"/>
      <c r="AJ577" s="112"/>
      <c r="AK577" s="112"/>
      <c r="AL577" s="112"/>
      <c r="AM577" s="112"/>
      <c r="AN577" s="112"/>
      <c r="AO577" s="112"/>
      <c r="AP577" s="112"/>
    </row>
    <row r="578" ht="15.75" customHeight="1">
      <c r="A578" s="112"/>
      <c r="B578" s="112"/>
      <c r="C578" s="112"/>
      <c r="D578" s="112"/>
      <c r="E578" s="128"/>
      <c r="F578" s="112"/>
      <c r="G578" s="112"/>
      <c r="H578" s="128"/>
      <c r="I578" s="112"/>
      <c r="J578" s="112"/>
      <c r="K578" s="112"/>
      <c r="L578" s="128"/>
      <c r="M578" s="128"/>
      <c r="N578" s="112"/>
      <c r="O578" s="112"/>
      <c r="P578" s="112"/>
      <c r="Q578" s="112"/>
      <c r="R578" s="112"/>
      <c r="S578" s="112"/>
      <c r="T578" s="128"/>
      <c r="U578" s="128"/>
      <c r="V578" s="128"/>
      <c r="W578" s="128"/>
      <c r="X578" s="128"/>
      <c r="Y578" s="128"/>
      <c r="Z578" s="112"/>
      <c r="AA578" s="112"/>
      <c r="AB578" s="112"/>
      <c r="AC578" s="112"/>
      <c r="AD578" s="112"/>
      <c r="AE578" s="112"/>
      <c r="AF578" s="112"/>
      <c r="AG578" s="112"/>
      <c r="AH578" s="112"/>
      <c r="AI578" s="112"/>
      <c r="AJ578" s="112"/>
      <c r="AK578" s="112"/>
      <c r="AL578" s="112"/>
      <c r="AM578" s="112"/>
      <c r="AN578" s="112"/>
      <c r="AO578" s="112"/>
      <c r="AP578" s="112"/>
    </row>
    <row r="579" ht="15.75" customHeight="1">
      <c r="A579" s="112"/>
      <c r="B579" s="112"/>
      <c r="C579" s="112"/>
      <c r="D579" s="112"/>
      <c r="E579" s="128"/>
      <c r="F579" s="112"/>
      <c r="G579" s="112"/>
      <c r="H579" s="128"/>
      <c r="I579" s="112"/>
      <c r="J579" s="112"/>
      <c r="K579" s="112"/>
      <c r="L579" s="128"/>
      <c r="M579" s="128"/>
      <c r="N579" s="112"/>
      <c r="O579" s="112"/>
      <c r="P579" s="112"/>
      <c r="Q579" s="112"/>
      <c r="R579" s="112"/>
      <c r="S579" s="112"/>
      <c r="T579" s="128"/>
      <c r="U579" s="128"/>
      <c r="V579" s="128"/>
      <c r="W579" s="128"/>
      <c r="X579" s="128"/>
      <c r="Y579" s="128"/>
      <c r="Z579" s="112"/>
      <c r="AA579" s="112"/>
      <c r="AB579" s="112"/>
      <c r="AC579" s="112"/>
      <c r="AD579" s="112"/>
      <c r="AE579" s="112"/>
      <c r="AF579" s="112"/>
      <c r="AG579" s="112"/>
      <c r="AH579" s="112"/>
      <c r="AI579" s="112"/>
      <c r="AJ579" s="112"/>
      <c r="AK579" s="112"/>
      <c r="AL579" s="112"/>
      <c r="AM579" s="112"/>
      <c r="AN579" s="112"/>
      <c r="AO579" s="112"/>
      <c r="AP579" s="112"/>
    </row>
    <row r="580" ht="15.75" customHeight="1">
      <c r="A580" s="112"/>
      <c r="B580" s="112"/>
      <c r="C580" s="112"/>
      <c r="D580" s="112"/>
      <c r="E580" s="128"/>
      <c r="F580" s="112"/>
      <c r="G580" s="112"/>
      <c r="H580" s="128"/>
      <c r="I580" s="112"/>
      <c r="J580" s="112"/>
      <c r="K580" s="112"/>
      <c r="L580" s="128"/>
      <c r="M580" s="128"/>
      <c r="N580" s="112"/>
      <c r="O580" s="112"/>
      <c r="P580" s="112"/>
      <c r="Q580" s="112"/>
      <c r="R580" s="112"/>
      <c r="S580" s="112"/>
      <c r="T580" s="128"/>
      <c r="U580" s="128"/>
      <c r="V580" s="128"/>
      <c r="W580" s="128"/>
      <c r="X580" s="128"/>
      <c r="Y580" s="128"/>
      <c r="Z580" s="112"/>
      <c r="AA580" s="112"/>
      <c r="AB580" s="112"/>
      <c r="AC580" s="112"/>
      <c r="AD580" s="112"/>
      <c r="AE580" s="112"/>
      <c r="AF580" s="112"/>
      <c r="AG580" s="112"/>
      <c r="AH580" s="112"/>
      <c r="AI580" s="112"/>
      <c r="AJ580" s="112"/>
      <c r="AK580" s="112"/>
      <c r="AL580" s="112"/>
      <c r="AM580" s="112"/>
      <c r="AN580" s="112"/>
      <c r="AO580" s="112"/>
      <c r="AP580" s="112"/>
    </row>
    <row r="581" ht="15.75" customHeight="1">
      <c r="A581" s="112"/>
      <c r="B581" s="112"/>
      <c r="C581" s="112"/>
      <c r="D581" s="112"/>
      <c r="E581" s="128"/>
      <c r="F581" s="112"/>
      <c r="G581" s="112"/>
      <c r="H581" s="128"/>
      <c r="I581" s="112"/>
      <c r="J581" s="112"/>
      <c r="K581" s="112"/>
      <c r="L581" s="128"/>
      <c r="M581" s="128"/>
      <c r="N581" s="112"/>
      <c r="O581" s="112"/>
      <c r="P581" s="112"/>
      <c r="Q581" s="112"/>
      <c r="R581" s="112"/>
      <c r="S581" s="112"/>
      <c r="T581" s="128"/>
      <c r="U581" s="128"/>
      <c r="V581" s="128"/>
      <c r="W581" s="128"/>
      <c r="X581" s="128"/>
      <c r="Y581" s="128"/>
      <c r="Z581" s="112"/>
      <c r="AA581" s="112"/>
      <c r="AB581" s="112"/>
      <c r="AC581" s="112"/>
      <c r="AD581" s="112"/>
      <c r="AE581" s="112"/>
      <c r="AF581" s="112"/>
      <c r="AG581" s="112"/>
      <c r="AH581" s="112"/>
      <c r="AI581" s="112"/>
      <c r="AJ581" s="112"/>
      <c r="AK581" s="112"/>
      <c r="AL581" s="112"/>
      <c r="AM581" s="112"/>
      <c r="AN581" s="112"/>
      <c r="AO581" s="112"/>
      <c r="AP581" s="112"/>
    </row>
    <row r="582" ht="15.75" customHeight="1">
      <c r="A582" s="112"/>
      <c r="B582" s="112"/>
      <c r="C582" s="112"/>
      <c r="D582" s="112"/>
      <c r="E582" s="128"/>
      <c r="F582" s="112"/>
      <c r="G582" s="112"/>
      <c r="H582" s="128"/>
      <c r="I582" s="112"/>
      <c r="J582" s="112"/>
      <c r="K582" s="112"/>
      <c r="L582" s="128"/>
      <c r="M582" s="128"/>
      <c r="N582" s="112"/>
      <c r="O582" s="112"/>
      <c r="P582" s="112"/>
      <c r="Q582" s="112"/>
      <c r="R582" s="112"/>
      <c r="S582" s="112"/>
      <c r="T582" s="128"/>
      <c r="U582" s="128"/>
      <c r="V582" s="128"/>
      <c r="W582" s="128"/>
      <c r="X582" s="128"/>
      <c r="Y582" s="128"/>
      <c r="Z582" s="112"/>
      <c r="AA582" s="112"/>
      <c r="AB582" s="112"/>
      <c r="AC582" s="112"/>
      <c r="AD582" s="112"/>
      <c r="AE582" s="112"/>
      <c r="AF582" s="112"/>
      <c r="AG582" s="112"/>
      <c r="AH582" s="112"/>
      <c r="AI582" s="112"/>
      <c r="AJ582" s="112"/>
      <c r="AK582" s="112"/>
      <c r="AL582" s="112"/>
      <c r="AM582" s="112"/>
      <c r="AN582" s="112"/>
      <c r="AO582" s="112"/>
      <c r="AP582" s="112"/>
    </row>
    <row r="583" ht="15.75" customHeight="1">
      <c r="A583" s="112"/>
      <c r="B583" s="112"/>
      <c r="C583" s="112"/>
      <c r="D583" s="112"/>
      <c r="E583" s="128"/>
      <c r="F583" s="112"/>
      <c r="G583" s="112"/>
      <c r="H583" s="128"/>
      <c r="I583" s="112"/>
      <c r="J583" s="112"/>
      <c r="K583" s="112"/>
      <c r="L583" s="128"/>
      <c r="M583" s="128"/>
      <c r="N583" s="112"/>
      <c r="O583" s="112"/>
      <c r="P583" s="112"/>
      <c r="Q583" s="112"/>
      <c r="R583" s="112"/>
      <c r="S583" s="112"/>
      <c r="T583" s="128"/>
      <c r="U583" s="128"/>
      <c r="V583" s="128"/>
      <c r="W583" s="128"/>
      <c r="X583" s="128"/>
      <c r="Y583" s="128"/>
      <c r="Z583" s="112"/>
      <c r="AA583" s="112"/>
      <c r="AB583" s="112"/>
      <c r="AC583" s="112"/>
      <c r="AD583" s="112"/>
      <c r="AE583" s="112"/>
      <c r="AF583" s="112"/>
      <c r="AG583" s="112"/>
      <c r="AH583" s="112"/>
      <c r="AI583" s="112"/>
      <c r="AJ583" s="112"/>
      <c r="AK583" s="112"/>
      <c r="AL583" s="112"/>
      <c r="AM583" s="112"/>
      <c r="AN583" s="112"/>
      <c r="AO583" s="112"/>
      <c r="AP583" s="112"/>
    </row>
    <row r="584" ht="15.75" customHeight="1">
      <c r="A584" s="112"/>
      <c r="B584" s="112"/>
      <c r="C584" s="112"/>
      <c r="D584" s="112"/>
      <c r="E584" s="128"/>
      <c r="F584" s="112"/>
      <c r="G584" s="112"/>
      <c r="H584" s="128"/>
      <c r="I584" s="112"/>
      <c r="J584" s="112"/>
      <c r="K584" s="112"/>
      <c r="L584" s="128"/>
      <c r="M584" s="128"/>
      <c r="N584" s="112"/>
      <c r="O584" s="112"/>
      <c r="P584" s="112"/>
      <c r="Q584" s="112"/>
      <c r="R584" s="112"/>
      <c r="S584" s="112"/>
      <c r="T584" s="128"/>
      <c r="U584" s="128"/>
      <c r="V584" s="128"/>
      <c r="W584" s="128"/>
      <c r="X584" s="128"/>
      <c r="Y584" s="128"/>
      <c r="Z584" s="112"/>
      <c r="AA584" s="112"/>
      <c r="AB584" s="112"/>
      <c r="AC584" s="112"/>
      <c r="AD584" s="112"/>
      <c r="AE584" s="112"/>
      <c r="AF584" s="112"/>
      <c r="AG584" s="112"/>
      <c r="AH584" s="112"/>
      <c r="AI584" s="112"/>
      <c r="AJ584" s="112"/>
      <c r="AK584" s="112"/>
      <c r="AL584" s="112"/>
      <c r="AM584" s="112"/>
      <c r="AN584" s="112"/>
      <c r="AO584" s="112"/>
      <c r="AP584" s="112"/>
    </row>
    <row r="585" ht="15.75" customHeight="1">
      <c r="A585" s="112"/>
      <c r="B585" s="112"/>
      <c r="C585" s="112"/>
      <c r="D585" s="112"/>
      <c r="E585" s="128"/>
      <c r="F585" s="112"/>
      <c r="G585" s="112"/>
      <c r="H585" s="128"/>
      <c r="I585" s="112"/>
      <c r="J585" s="112"/>
      <c r="K585" s="112"/>
      <c r="L585" s="128"/>
      <c r="M585" s="128"/>
      <c r="N585" s="112"/>
      <c r="O585" s="112"/>
      <c r="P585" s="112"/>
      <c r="Q585" s="112"/>
      <c r="R585" s="112"/>
      <c r="S585" s="112"/>
      <c r="T585" s="128"/>
      <c r="U585" s="128"/>
      <c r="V585" s="128"/>
      <c r="W585" s="128"/>
      <c r="X585" s="128"/>
      <c r="Y585" s="128"/>
      <c r="Z585" s="112"/>
      <c r="AA585" s="112"/>
      <c r="AB585" s="112"/>
      <c r="AC585" s="112"/>
      <c r="AD585" s="112"/>
      <c r="AE585" s="112"/>
      <c r="AF585" s="112"/>
      <c r="AG585" s="112"/>
      <c r="AH585" s="112"/>
      <c r="AI585" s="112"/>
      <c r="AJ585" s="112"/>
      <c r="AK585" s="112"/>
      <c r="AL585" s="112"/>
      <c r="AM585" s="112"/>
      <c r="AN585" s="112"/>
      <c r="AO585" s="112"/>
      <c r="AP585" s="112"/>
    </row>
    <row r="586" ht="15.75" customHeight="1">
      <c r="A586" s="112"/>
      <c r="B586" s="112"/>
      <c r="C586" s="112"/>
      <c r="D586" s="112"/>
      <c r="E586" s="128"/>
      <c r="F586" s="112"/>
      <c r="G586" s="112"/>
      <c r="H586" s="128"/>
      <c r="I586" s="112"/>
      <c r="J586" s="112"/>
      <c r="K586" s="112"/>
      <c r="L586" s="128"/>
      <c r="M586" s="128"/>
      <c r="N586" s="112"/>
      <c r="O586" s="112"/>
      <c r="P586" s="112"/>
      <c r="Q586" s="112"/>
      <c r="R586" s="112"/>
      <c r="S586" s="112"/>
      <c r="T586" s="128"/>
      <c r="U586" s="128"/>
      <c r="V586" s="128"/>
      <c r="W586" s="128"/>
      <c r="X586" s="128"/>
      <c r="Y586" s="128"/>
      <c r="Z586" s="112"/>
      <c r="AA586" s="112"/>
      <c r="AB586" s="112"/>
      <c r="AC586" s="112"/>
      <c r="AD586" s="112"/>
      <c r="AE586" s="112"/>
      <c r="AF586" s="112"/>
      <c r="AG586" s="112"/>
      <c r="AH586" s="112"/>
      <c r="AI586" s="112"/>
      <c r="AJ586" s="112"/>
      <c r="AK586" s="112"/>
      <c r="AL586" s="112"/>
      <c r="AM586" s="112"/>
      <c r="AN586" s="112"/>
      <c r="AO586" s="112"/>
      <c r="AP586" s="112"/>
    </row>
    <row r="587" ht="15.75" customHeight="1">
      <c r="A587" s="112"/>
      <c r="B587" s="112"/>
      <c r="C587" s="112"/>
      <c r="D587" s="112"/>
      <c r="E587" s="128"/>
      <c r="F587" s="112"/>
      <c r="G587" s="112"/>
      <c r="H587" s="128"/>
      <c r="I587" s="112"/>
      <c r="J587" s="112"/>
      <c r="K587" s="112"/>
      <c r="L587" s="128"/>
      <c r="M587" s="128"/>
      <c r="N587" s="112"/>
      <c r="O587" s="112"/>
      <c r="P587" s="112"/>
      <c r="Q587" s="112"/>
      <c r="R587" s="112"/>
      <c r="S587" s="112"/>
      <c r="T587" s="128"/>
      <c r="U587" s="128"/>
      <c r="V587" s="128"/>
      <c r="W587" s="128"/>
      <c r="X587" s="128"/>
      <c r="Y587" s="128"/>
      <c r="Z587" s="112"/>
      <c r="AA587" s="112"/>
      <c r="AB587" s="112"/>
      <c r="AC587" s="112"/>
      <c r="AD587" s="112"/>
      <c r="AE587" s="112"/>
      <c r="AF587" s="112"/>
      <c r="AG587" s="112"/>
      <c r="AH587" s="112"/>
      <c r="AI587" s="112"/>
      <c r="AJ587" s="112"/>
      <c r="AK587" s="112"/>
      <c r="AL587" s="112"/>
      <c r="AM587" s="112"/>
      <c r="AN587" s="112"/>
      <c r="AO587" s="112"/>
      <c r="AP587" s="112"/>
    </row>
    <row r="588" ht="15.75" customHeight="1">
      <c r="A588" s="112"/>
      <c r="B588" s="112"/>
      <c r="C588" s="112"/>
      <c r="D588" s="112"/>
      <c r="E588" s="128"/>
      <c r="F588" s="112"/>
      <c r="G588" s="112"/>
      <c r="H588" s="128"/>
      <c r="I588" s="112"/>
      <c r="J588" s="112"/>
      <c r="K588" s="112"/>
      <c r="L588" s="128"/>
      <c r="M588" s="128"/>
      <c r="N588" s="112"/>
      <c r="O588" s="112"/>
      <c r="P588" s="112"/>
      <c r="Q588" s="112"/>
      <c r="R588" s="112"/>
      <c r="S588" s="112"/>
      <c r="T588" s="128"/>
      <c r="U588" s="128"/>
      <c r="V588" s="128"/>
      <c r="W588" s="128"/>
      <c r="X588" s="128"/>
      <c r="Y588" s="128"/>
      <c r="Z588" s="112"/>
      <c r="AA588" s="112"/>
      <c r="AB588" s="112"/>
      <c r="AC588" s="112"/>
      <c r="AD588" s="112"/>
      <c r="AE588" s="112"/>
      <c r="AF588" s="112"/>
      <c r="AG588" s="112"/>
      <c r="AH588" s="112"/>
      <c r="AI588" s="112"/>
      <c r="AJ588" s="112"/>
      <c r="AK588" s="112"/>
      <c r="AL588" s="112"/>
      <c r="AM588" s="112"/>
      <c r="AN588" s="112"/>
      <c r="AO588" s="112"/>
      <c r="AP588" s="112"/>
    </row>
    <row r="589" ht="15.75" customHeight="1">
      <c r="A589" s="112"/>
      <c r="B589" s="112"/>
      <c r="C589" s="112"/>
      <c r="D589" s="112"/>
      <c r="E589" s="128"/>
      <c r="F589" s="112"/>
      <c r="G589" s="112"/>
      <c r="H589" s="128"/>
      <c r="I589" s="112"/>
      <c r="J589" s="112"/>
      <c r="K589" s="112"/>
      <c r="L589" s="128"/>
      <c r="M589" s="128"/>
      <c r="N589" s="112"/>
      <c r="O589" s="112"/>
      <c r="P589" s="112"/>
      <c r="Q589" s="112"/>
      <c r="R589" s="112"/>
      <c r="S589" s="112"/>
      <c r="T589" s="128"/>
      <c r="U589" s="128"/>
      <c r="V589" s="128"/>
      <c r="W589" s="128"/>
      <c r="X589" s="128"/>
      <c r="Y589" s="128"/>
      <c r="Z589" s="112"/>
      <c r="AA589" s="112"/>
      <c r="AB589" s="112"/>
      <c r="AC589" s="112"/>
      <c r="AD589" s="112"/>
      <c r="AE589" s="112"/>
      <c r="AF589" s="112"/>
      <c r="AG589" s="112"/>
      <c r="AH589" s="112"/>
      <c r="AI589" s="112"/>
      <c r="AJ589" s="112"/>
      <c r="AK589" s="112"/>
      <c r="AL589" s="112"/>
      <c r="AM589" s="112"/>
      <c r="AN589" s="112"/>
      <c r="AO589" s="112"/>
      <c r="AP589" s="112"/>
    </row>
    <row r="590" ht="15.75" customHeight="1">
      <c r="A590" s="112"/>
      <c r="B590" s="112"/>
      <c r="C590" s="112"/>
      <c r="D590" s="112"/>
      <c r="E590" s="128"/>
      <c r="F590" s="112"/>
      <c r="G590" s="112"/>
      <c r="H590" s="128"/>
      <c r="I590" s="112"/>
      <c r="J590" s="112"/>
      <c r="K590" s="112"/>
      <c r="L590" s="128"/>
      <c r="M590" s="128"/>
      <c r="N590" s="112"/>
      <c r="O590" s="112"/>
      <c r="P590" s="112"/>
      <c r="Q590" s="112"/>
      <c r="R590" s="112"/>
      <c r="S590" s="112"/>
      <c r="T590" s="128"/>
      <c r="U590" s="128"/>
      <c r="V590" s="128"/>
      <c r="W590" s="128"/>
      <c r="X590" s="128"/>
      <c r="Y590" s="128"/>
      <c r="Z590" s="112"/>
      <c r="AA590" s="112"/>
      <c r="AB590" s="112"/>
      <c r="AC590" s="112"/>
      <c r="AD590" s="112"/>
      <c r="AE590" s="112"/>
      <c r="AF590" s="112"/>
      <c r="AG590" s="112"/>
      <c r="AH590" s="112"/>
      <c r="AI590" s="112"/>
      <c r="AJ590" s="112"/>
      <c r="AK590" s="112"/>
      <c r="AL590" s="112"/>
      <c r="AM590" s="112"/>
      <c r="AN590" s="112"/>
      <c r="AO590" s="112"/>
      <c r="AP590" s="112"/>
    </row>
    <row r="591" ht="15.75" customHeight="1">
      <c r="A591" s="112"/>
      <c r="B591" s="112"/>
      <c r="C591" s="112"/>
      <c r="D591" s="112"/>
      <c r="E591" s="128"/>
      <c r="F591" s="112"/>
      <c r="G591" s="112"/>
      <c r="H591" s="128"/>
      <c r="I591" s="112"/>
      <c r="J591" s="112"/>
      <c r="K591" s="112"/>
      <c r="L591" s="128"/>
      <c r="M591" s="128"/>
      <c r="N591" s="112"/>
      <c r="O591" s="112"/>
      <c r="P591" s="112"/>
      <c r="Q591" s="112"/>
      <c r="R591" s="112"/>
      <c r="S591" s="112"/>
      <c r="T591" s="128"/>
      <c r="U591" s="128"/>
      <c r="V591" s="128"/>
      <c r="W591" s="128"/>
      <c r="X591" s="128"/>
      <c r="Y591" s="128"/>
      <c r="Z591" s="112"/>
      <c r="AA591" s="112"/>
      <c r="AB591" s="112"/>
      <c r="AC591" s="112"/>
      <c r="AD591" s="112"/>
      <c r="AE591" s="112"/>
      <c r="AF591" s="112"/>
      <c r="AG591" s="112"/>
      <c r="AH591" s="112"/>
      <c r="AI591" s="112"/>
      <c r="AJ591" s="112"/>
      <c r="AK591" s="112"/>
      <c r="AL591" s="112"/>
      <c r="AM591" s="112"/>
      <c r="AN591" s="112"/>
      <c r="AO591" s="112"/>
      <c r="AP591" s="112"/>
    </row>
    <row r="592" ht="15.75" customHeight="1">
      <c r="A592" s="112"/>
      <c r="B592" s="112"/>
      <c r="C592" s="112"/>
      <c r="D592" s="112"/>
      <c r="E592" s="128"/>
      <c r="F592" s="112"/>
      <c r="G592" s="112"/>
      <c r="H592" s="128"/>
      <c r="I592" s="112"/>
      <c r="J592" s="112"/>
      <c r="K592" s="112"/>
      <c r="L592" s="128"/>
      <c r="M592" s="128"/>
      <c r="N592" s="112"/>
      <c r="O592" s="112"/>
      <c r="P592" s="112"/>
      <c r="Q592" s="112"/>
      <c r="R592" s="112"/>
      <c r="S592" s="112"/>
      <c r="T592" s="128"/>
      <c r="U592" s="128"/>
      <c r="V592" s="128"/>
      <c r="W592" s="128"/>
      <c r="X592" s="128"/>
      <c r="Y592" s="128"/>
      <c r="Z592" s="112"/>
      <c r="AA592" s="112"/>
      <c r="AB592" s="112"/>
      <c r="AC592" s="112"/>
      <c r="AD592" s="112"/>
      <c r="AE592" s="112"/>
      <c r="AF592" s="112"/>
      <c r="AG592" s="112"/>
      <c r="AH592" s="112"/>
      <c r="AI592" s="112"/>
      <c r="AJ592" s="112"/>
      <c r="AK592" s="112"/>
      <c r="AL592" s="112"/>
      <c r="AM592" s="112"/>
      <c r="AN592" s="112"/>
      <c r="AO592" s="112"/>
      <c r="AP592" s="112"/>
    </row>
    <row r="593" ht="15.75" customHeight="1">
      <c r="A593" s="112"/>
      <c r="B593" s="112"/>
      <c r="C593" s="112"/>
      <c r="D593" s="112"/>
      <c r="E593" s="128"/>
      <c r="F593" s="112"/>
      <c r="G593" s="112"/>
      <c r="H593" s="128"/>
      <c r="I593" s="112"/>
      <c r="J593" s="112"/>
      <c r="K593" s="112"/>
      <c r="L593" s="128"/>
      <c r="M593" s="128"/>
      <c r="N593" s="112"/>
      <c r="O593" s="112"/>
      <c r="P593" s="112"/>
      <c r="Q593" s="112"/>
      <c r="R593" s="112"/>
      <c r="S593" s="112"/>
      <c r="T593" s="128"/>
      <c r="U593" s="128"/>
      <c r="V593" s="128"/>
      <c r="W593" s="128"/>
      <c r="X593" s="128"/>
      <c r="Y593" s="128"/>
      <c r="Z593" s="112"/>
      <c r="AA593" s="112"/>
      <c r="AB593" s="112"/>
      <c r="AC593" s="112"/>
      <c r="AD593" s="112"/>
      <c r="AE593" s="112"/>
      <c r="AF593" s="112"/>
      <c r="AG593" s="112"/>
      <c r="AH593" s="112"/>
      <c r="AI593" s="112"/>
      <c r="AJ593" s="112"/>
      <c r="AK593" s="112"/>
      <c r="AL593" s="112"/>
      <c r="AM593" s="112"/>
      <c r="AN593" s="112"/>
      <c r="AO593" s="112"/>
      <c r="AP593" s="112"/>
    </row>
    <row r="594" ht="15.75" customHeight="1">
      <c r="A594" s="112"/>
      <c r="B594" s="112"/>
      <c r="C594" s="112"/>
      <c r="D594" s="112"/>
      <c r="E594" s="128"/>
      <c r="F594" s="112"/>
      <c r="G594" s="112"/>
      <c r="H594" s="128"/>
      <c r="I594" s="112"/>
      <c r="J594" s="112"/>
      <c r="K594" s="112"/>
      <c r="L594" s="128"/>
      <c r="M594" s="128"/>
      <c r="N594" s="112"/>
      <c r="O594" s="112"/>
      <c r="P594" s="112"/>
      <c r="Q594" s="112"/>
      <c r="R594" s="112"/>
      <c r="S594" s="112"/>
      <c r="T594" s="128"/>
      <c r="U594" s="128"/>
      <c r="V594" s="128"/>
      <c r="W594" s="128"/>
      <c r="X594" s="128"/>
      <c r="Y594" s="128"/>
      <c r="Z594" s="112"/>
      <c r="AA594" s="112"/>
      <c r="AB594" s="112"/>
      <c r="AC594" s="112"/>
      <c r="AD594" s="112"/>
      <c r="AE594" s="112"/>
      <c r="AF594" s="112"/>
      <c r="AG594" s="112"/>
      <c r="AH594" s="112"/>
      <c r="AI594" s="112"/>
      <c r="AJ594" s="112"/>
      <c r="AK594" s="112"/>
      <c r="AL594" s="112"/>
      <c r="AM594" s="112"/>
      <c r="AN594" s="112"/>
      <c r="AO594" s="112"/>
      <c r="AP594" s="112"/>
    </row>
    <row r="595" ht="15.75" customHeight="1">
      <c r="A595" s="112"/>
      <c r="B595" s="112"/>
      <c r="C595" s="112"/>
      <c r="D595" s="112"/>
      <c r="E595" s="128"/>
      <c r="F595" s="112"/>
      <c r="G595" s="112"/>
      <c r="H595" s="128"/>
      <c r="I595" s="112"/>
      <c r="J595" s="112"/>
      <c r="K595" s="112"/>
      <c r="L595" s="128"/>
      <c r="M595" s="128"/>
      <c r="N595" s="112"/>
      <c r="O595" s="112"/>
      <c r="P595" s="112"/>
      <c r="Q595" s="112"/>
      <c r="R595" s="112"/>
      <c r="S595" s="112"/>
      <c r="T595" s="128"/>
      <c r="U595" s="128"/>
      <c r="V595" s="128"/>
      <c r="W595" s="128"/>
      <c r="X595" s="128"/>
      <c r="Y595" s="128"/>
      <c r="Z595" s="112"/>
      <c r="AA595" s="112"/>
      <c r="AB595" s="112"/>
      <c r="AC595" s="112"/>
      <c r="AD595" s="112"/>
      <c r="AE595" s="112"/>
      <c r="AF595" s="112"/>
      <c r="AG595" s="112"/>
      <c r="AH595" s="112"/>
      <c r="AI595" s="112"/>
      <c r="AJ595" s="112"/>
      <c r="AK595" s="112"/>
      <c r="AL595" s="112"/>
      <c r="AM595" s="112"/>
      <c r="AN595" s="112"/>
      <c r="AO595" s="112"/>
      <c r="AP595" s="112"/>
    </row>
    <row r="596" ht="15.75" customHeight="1">
      <c r="A596" s="112"/>
      <c r="B596" s="112"/>
      <c r="C596" s="112"/>
      <c r="D596" s="112"/>
      <c r="E596" s="128"/>
      <c r="F596" s="112"/>
      <c r="G596" s="112"/>
      <c r="H596" s="128"/>
      <c r="I596" s="112"/>
      <c r="J596" s="112"/>
      <c r="K596" s="112"/>
      <c r="L596" s="128"/>
      <c r="M596" s="128"/>
      <c r="N596" s="112"/>
      <c r="O596" s="112"/>
      <c r="P596" s="112"/>
      <c r="Q596" s="112"/>
      <c r="R596" s="112"/>
      <c r="S596" s="112"/>
      <c r="T596" s="128"/>
      <c r="U596" s="128"/>
      <c r="V596" s="128"/>
      <c r="W596" s="128"/>
      <c r="X596" s="128"/>
      <c r="Y596" s="128"/>
      <c r="Z596" s="112"/>
      <c r="AA596" s="112"/>
      <c r="AB596" s="112"/>
      <c r="AC596" s="112"/>
      <c r="AD596" s="112"/>
      <c r="AE596" s="112"/>
      <c r="AF596" s="112"/>
      <c r="AG596" s="112"/>
      <c r="AH596" s="112"/>
      <c r="AI596" s="112"/>
      <c r="AJ596" s="112"/>
      <c r="AK596" s="112"/>
      <c r="AL596" s="112"/>
      <c r="AM596" s="112"/>
      <c r="AN596" s="112"/>
      <c r="AO596" s="112"/>
      <c r="AP596" s="112"/>
    </row>
    <row r="597" ht="15.75" customHeight="1">
      <c r="A597" s="112"/>
      <c r="B597" s="112"/>
      <c r="C597" s="112"/>
      <c r="D597" s="112"/>
      <c r="E597" s="128"/>
      <c r="F597" s="112"/>
      <c r="G597" s="112"/>
      <c r="H597" s="128"/>
      <c r="I597" s="112"/>
      <c r="J597" s="112"/>
      <c r="K597" s="112"/>
      <c r="L597" s="128"/>
      <c r="M597" s="128"/>
      <c r="N597" s="112"/>
      <c r="O597" s="112"/>
      <c r="P597" s="112"/>
      <c r="Q597" s="112"/>
      <c r="R597" s="112"/>
      <c r="S597" s="112"/>
      <c r="T597" s="128"/>
      <c r="U597" s="128"/>
      <c r="V597" s="128"/>
      <c r="W597" s="128"/>
      <c r="X597" s="128"/>
      <c r="Y597" s="128"/>
      <c r="Z597" s="112"/>
      <c r="AA597" s="112"/>
      <c r="AB597" s="112"/>
      <c r="AC597" s="112"/>
      <c r="AD597" s="112"/>
      <c r="AE597" s="112"/>
      <c r="AF597" s="112"/>
      <c r="AG597" s="112"/>
      <c r="AH597" s="112"/>
      <c r="AI597" s="112"/>
      <c r="AJ597" s="112"/>
      <c r="AK597" s="112"/>
      <c r="AL597" s="112"/>
      <c r="AM597" s="112"/>
      <c r="AN597" s="112"/>
      <c r="AO597" s="112"/>
      <c r="AP597" s="112"/>
    </row>
    <row r="598" ht="15.75" customHeight="1">
      <c r="A598" s="112"/>
      <c r="B598" s="112"/>
      <c r="C598" s="112"/>
      <c r="D598" s="112"/>
      <c r="E598" s="128"/>
      <c r="F598" s="112"/>
      <c r="G598" s="112"/>
      <c r="H598" s="128"/>
      <c r="I598" s="112"/>
      <c r="J598" s="112"/>
      <c r="K598" s="112"/>
      <c r="L598" s="128"/>
      <c r="M598" s="128"/>
      <c r="N598" s="112"/>
      <c r="O598" s="112"/>
      <c r="P598" s="112"/>
      <c r="Q598" s="112"/>
      <c r="R598" s="112"/>
      <c r="S598" s="112"/>
      <c r="T598" s="128"/>
      <c r="U598" s="128"/>
      <c r="V598" s="128"/>
      <c r="W598" s="128"/>
      <c r="X598" s="128"/>
      <c r="Y598" s="128"/>
      <c r="Z598" s="112"/>
      <c r="AA598" s="112"/>
      <c r="AB598" s="112"/>
      <c r="AC598" s="112"/>
      <c r="AD598" s="112"/>
      <c r="AE598" s="112"/>
      <c r="AF598" s="112"/>
      <c r="AG598" s="112"/>
      <c r="AH598" s="112"/>
      <c r="AI598" s="112"/>
      <c r="AJ598" s="112"/>
      <c r="AK598" s="112"/>
      <c r="AL598" s="112"/>
      <c r="AM598" s="112"/>
      <c r="AN598" s="112"/>
      <c r="AO598" s="112"/>
      <c r="AP598" s="112"/>
    </row>
    <row r="599" ht="15.75" customHeight="1">
      <c r="A599" s="112"/>
      <c r="B599" s="112"/>
      <c r="C599" s="112"/>
      <c r="D599" s="112"/>
      <c r="E599" s="128"/>
      <c r="F599" s="112"/>
      <c r="G599" s="112"/>
      <c r="H599" s="128"/>
      <c r="I599" s="112"/>
      <c r="J599" s="112"/>
      <c r="K599" s="112"/>
      <c r="L599" s="128"/>
      <c r="M599" s="128"/>
      <c r="N599" s="112"/>
      <c r="O599" s="112"/>
      <c r="P599" s="112"/>
      <c r="Q599" s="112"/>
      <c r="R599" s="112"/>
      <c r="S599" s="112"/>
      <c r="T599" s="128"/>
      <c r="U599" s="128"/>
      <c r="V599" s="128"/>
      <c r="W599" s="128"/>
      <c r="X599" s="128"/>
      <c r="Y599" s="128"/>
      <c r="Z599" s="112"/>
      <c r="AA599" s="112"/>
      <c r="AB599" s="112"/>
      <c r="AC599" s="112"/>
      <c r="AD599" s="112"/>
      <c r="AE599" s="112"/>
      <c r="AF599" s="112"/>
      <c r="AG599" s="112"/>
      <c r="AH599" s="112"/>
      <c r="AI599" s="112"/>
      <c r="AJ599" s="112"/>
      <c r="AK599" s="112"/>
      <c r="AL599" s="112"/>
      <c r="AM599" s="112"/>
      <c r="AN599" s="112"/>
      <c r="AO599" s="112"/>
      <c r="AP599" s="112"/>
    </row>
    <row r="600" ht="15.75" customHeight="1">
      <c r="A600" s="112"/>
      <c r="B600" s="112"/>
      <c r="C600" s="112"/>
      <c r="D600" s="112"/>
      <c r="E600" s="128"/>
      <c r="F600" s="112"/>
      <c r="G600" s="112"/>
      <c r="H600" s="128"/>
      <c r="I600" s="112"/>
      <c r="J600" s="112"/>
      <c r="K600" s="112"/>
      <c r="L600" s="128"/>
      <c r="M600" s="128"/>
      <c r="N600" s="112"/>
      <c r="O600" s="112"/>
      <c r="P600" s="112"/>
      <c r="Q600" s="112"/>
      <c r="R600" s="112"/>
      <c r="S600" s="112"/>
      <c r="T600" s="128"/>
      <c r="U600" s="128"/>
      <c r="V600" s="128"/>
      <c r="W600" s="128"/>
      <c r="X600" s="128"/>
      <c r="Y600" s="128"/>
      <c r="Z600" s="112"/>
      <c r="AA600" s="112"/>
      <c r="AB600" s="112"/>
      <c r="AC600" s="112"/>
      <c r="AD600" s="112"/>
      <c r="AE600" s="112"/>
      <c r="AF600" s="112"/>
      <c r="AG600" s="112"/>
      <c r="AH600" s="112"/>
      <c r="AI600" s="112"/>
      <c r="AJ600" s="112"/>
      <c r="AK600" s="112"/>
      <c r="AL600" s="112"/>
      <c r="AM600" s="112"/>
      <c r="AN600" s="112"/>
      <c r="AO600" s="112"/>
      <c r="AP600" s="112"/>
    </row>
    <row r="601" ht="15.75" customHeight="1">
      <c r="A601" s="112"/>
      <c r="B601" s="112"/>
      <c r="C601" s="112"/>
      <c r="D601" s="112"/>
      <c r="E601" s="128"/>
      <c r="F601" s="112"/>
      <c r="G601" s="112"/>
      <c r="H601" s="128"/>
      <c r="I601" s="112"/>
      <c r="J601" s="112"/>
      <c r="K601" s="112"/>
      <c r="L601" s="128"/>
      <c r="M601" s="128"/>
      <c r="N601" s="112"/>
      <c r="O601" s="112"/>
      <c r="P601" s="112"/>
      <c r="Q601" s="112"/>
      <c r="R601" s="112"/>
      <c r="S601" s="112"/>
      <c r="T601" s="128"/>
      <c r="U601" s="128"/>
      <c r="V601" s="128"/>
      <c r="W601" s="128"/>
      <c r="X601" s="128"/>
      <c r="Y601" s="128"/>
      <c r="Z601" s="112"/>
      <c r="AA601" s="112"/>
      <c r="AB601" s="112"/>
      <c r="AC601" s="112"/>
      <c r="AD601" s="112"/>
      <c r="AE601" s="112"/>
      <c r="AF601" s="112"/>
      <c r="AG601" s="112"/>
      <c r="AH601" s="112"/>
      <c r="AI601" s="112"/>
      <c r="AJ601" s="112"/>
      <c r="AK601" s="112"/>
      <c r="AL601" s="112"/>
      <c r="AM601" s="112"/>
      <c r="AN601" s="112"/>
      <c r="AO601" s="112"/>
      <c r="AP601" s="112"/>
    </row>
    <row r="602" ht="15.75" customHeight="1">
      <c r="A602" s="112"/>
      <c r="B602" s="112"/>
      <c r="C602" s="112"/>
      <c r="D602" s="112"/>
      <c r="E602" s="128"/>
      <c r="F602" s="112"/>
      <c r="G602" s="112"/>
      <c r="H602" s="128"/>
      <c r="I602" s="112"/>
      <c r="J602" s="112"/>
      <c r="K602" s="112"/>
      <c r="L602" s="128"/>
      <c r="M602" s="128"/>
      <c r="N602" s="112"/>
      <c r="O602" s="112"/>
      <c r="P602" s="112"/>
      <c r="Q602" s="112"/>
      <c r="R602" s="112"/>
      <c r="S602" s="112"/>
      <c r="T602" s="128"/>
      <c r="U602" s="128"/>
      <c r="V602" s="128"/>
      <c r="W602" s="128"/>
      <c r="X602" s="128"/>
      <c r="Y602" s="128"/>
      <c r="Z602" s="112"/>
      <c r="AA602" s="112"/>
      <c r="AB602" s="112"/>
      <c r="AC602" s="112"/>
      <c r="AD602" s="112"/>
      <c r="AE602" s="112"/>
      <c r="AF602" s="112"/>
      <c r="AG602" s="112"/>
      <c r="AH602" s="112"/>
      <c r="AI602" s="112"/>
      <c r="AJ602" s="112"/>
      <c r="AK602" s="112"/>
      <c r="AL602" s="112"/>
      <c r="AM602" s="112"/>
      <c r="AN602" s="112"/>
      <c r="AO602" s="112"/>
      <c r="AP602" s="112"/>
    </row>
    <row r="603" ht="15.75" customHeight="1">
      <c r="A603" s="112"/>
      <c r="B603" s="112"/>
      <c r="C603" s="112"/>
      <c r="D603" s="112"/>
      <c r="E603" s="128"/>
      <c r="F603" s="112"/>
      <c r="G603" s="112"/>
      <c r="H603" s="128"/>
      <c r="I603" s="112"/>
      <c r="J603" s="112"/>
      <c r="K603" s="112"/>
      <c r="L603" s="128"/>
      <c r="M603" s="128"/>
      <c r="N603" s="112"/>
      <c r="O603" s="112"/>
      <c r="P603" s="112"/>
      <c r="Q603" s="112"/>
      <c r="R603" s="112"/>
      <c r="S603" s="112"/>
      <c r="T603" s="128"/>
      <c r="U603" s="128"/>
      <c r="V603" s="128"/>
      <c r="W603" s="128"/>
      <c r="X603" s="128"/>
      <c r="Y603" s="128"/>
      <c r="Z603" s="112"/>
      <c r="AA603" s="112"/>
      <c r="AB603" s="112"/>
      <c r="AC603" s="112"/>
      <c r="AD603" s="112"/>
      <c r="AE603" s="112"/>
      <c r="AF603" s="112"/>
      <c r="AG603" s="112"/>
      <c r="AH603" s="112"/>
      <c r="AI603" s="112"/>
      <c r="AJ603" s="112"/>
      <c r="AK603" s="112"/>
      <c r="AL603" s="112"/>
      <c r="AM603" s="112"/>
      <c r="AN603" s="112"/>
      <c r="AO603" s="112"/>
      <c r="AP603" s="112"/>
    </row>
    <row r="604" ht="15.75" customHeight="1">
      <c r="A604" s="112"/>
      <c r="B604" s="112"/>
      <c r="C604" s="112"/>
      <c r="D604" s="112"/>
      <c r="E604" s="128"/>
      <c r="F604" s="112"/>
      <c r="G604" s="112"/>
      <c r="H604" s="128"/>
      <c r="I604" s="112"/>
      <c r="J604" s="112"/>
      <c r="K604" s="112"/>
      <c r="L604" s="128"/>
      <c r="M604" s="128"/>
      <c r="N604" s="112"/>
      <c r="O604" s="112"/>
      <c r="P604" s="112"/>
      <c r="Q604" s="112"/>
      <c r="R604" s="112"/>
      <c r="S604" s="112"/>
      <c r="T604" s="128"/>
      <c r="U604" s="128"/>
      <c r="V604" s="128"/>
      <c r="W604" s="128"/>
      <c r="X604" s="128"/>
      <c r="Y604" s="128"/>
      <c r="Z604" s="112"/>
      <c r="AA604" s="112"/>
      <c r="AB604" s="112"/>
      <c r="AC604" s="112"/>
      <c r="AD604" s="112"/>
      <c r="AE604" s="112"/>
      <c r="AF604" s="112"/>
      <c r="AG604" s="112"/>
      <c r="AH604" s="112"/>
      <c r="AI604" s="112"/>
      <c r="AJ604" s="112"/>
      <c r="AK604" s="112"/>
      <c r="AL604" s="112"/>
      <c r="AM604" s="112"/>
      <c r="AN604" s="112"/>
      <c r="AO604" s="112"/>
      <c r="AP604" s="112"/>
    </row>
    <row r="605" ht="15.75" customHeight="1">
      <c r="A605" s="112"/>
      <c r="B605" s="112"/>
      <c r="C605" s="112"/>
      <c r="D605" s="112"/>
      <c r="E605" s="128"/>
      <c r="F605" s="112"/>
      <c r="G605" s="112"/>
      <c r="H605" s="128"/>
      <c r="I605" s="112"/>
      <c r="J605" s="112"/>
      <c r="K605" s="112"/>
      <c r="L605" s="128"/>
      <c r="M605" s="128"/>
      <c r="N605" s="112"/>
      <c r="O605" s="112"/>
      <c r="P605" s="112"/>
      <c r="Q605" s="112"/>
      <c r="R605" s="112"/>
      <c r="S605" s="112"/>
      <c r="T605" s="128"/>
      <c r="U605" s="128"/>
      <c r="V605" s="128"/>
      <c r="W605" s="128"/>
      <c r="X605" s="128"/>
      <c r="Y605" s="128"/>
      <c r="Z605" s="112"/>
      <c r="AA605" s="112"/>
      <c r="AB605" s="112"/>
      <c r="AC605" s="112"/>
      <c r="AD605" s="112"/>
      <c r="AE605" s="112"/>
      <c r="AF605" s="112"/>
      <c r="AG605" s="112"/>
      <c r="AH605" s="112"/>
      <c r="AI605" s="112"/>
      <c r="AJ605" s="112"/>
      <c r="AK605" s="112"/>
      <c r="AL605" s="112"/>
      <c r="AM605" s="112"/>
      <c r="AN605" s="112"/>
      <c r="AO605" s="112"/>
      <c r="AP605" s="112"/>
    </row>
    <row r="606" ht="15.75" customHeight="1">
      <c r="A606" s="112"/>
      <c r="B606" s="112"/>
      <c r="C606" s="112"/>
      <c r="D606" s="112"/>
      <c r="E606" s="128"/>
      <c r="F606" s="112"/>
      <c r="G606" s="112"/>
      <c r="H606" s="128"/>
      <c r="I606" s="112"/>
      <c r="J606" s="112"/>
      <c r="K606" s="112"/>
      <c r="L606" s="128"/>
      <c r="M606" s="128"/>
      <c r="N606" s="112"/>
      <c r="O606" s="112"/>
      <c r="P606" s="112"/>
      <c r="Q606" s="112"/>
      <c r="R606" s="112"/>
      <c r="S606" s="112"/>
      <c r="T606" s="128"/>
      <c r="U606" s="128"/>
      <c r="V606" s="128"/>
      <c r="W606" s="128"/>
      <c r="X606" s="128"/>
      <c r="Y606" s="128"/>
      <c r="Z606" s="112"/>
      <c r="AA606" s="112"/>
      <c r="AB606" s="112"/>
      <c r="AC606" s="112"/>
      <c r="AD606" s="112"/>
      <c r="AE606" s="112"/>
      <c r="AF606" s="112"/>
      <c r="AG606" s="112"/>
      <c r="AH606" s="112"/>
      <c r="AI606" s="112"/>
      <c r="AJ606" s="112"/>
      <c r="AK606" s="112"/>
      <c r="AL606" s="112"/>
      <c r="AM606" s="112"/>
      <c r="AN606" s="112"/>
      <c r="AO606" s="112"/>
      <c r="AP606" s="112"/>
    </row>
    <row r="607" ht="15.75" customHeight="1">
      <c r="A607" s="112"/>
      <c r="B607" s="112"/>
      <c r="C607" s="112"/>
      <c r="D607" s="112"/>
      <c r="E607" s="128"/>
      <c r="F607" s="112"/>
      <c r="G607" s="112"/>
      <c r="H607" s="128"/>
      <c r="I607" s="112"/>
      <c r="J607" s="112"/>
      <c r="K607" s="112"/>
      <c r="L607" s="128"/>
      <c r="M607" s="128"/>
      <c r="N607" s="112"/>
      <c r="O607" s="112"/>
      <c r="P607" s="112"/>
      <c r="Q607" s="112"/>
      <c r="R607" s="112"/>
      <c r="S607" s="112"/>
      <c r="T607" s="128"/>
      <c r="U607" s="128"/>
      <c r="V607" s="128"/>
      <c r="W607" s="128"/>
      <c r="X607" s="128"/>
      <c r="Y607" s="128"/>
      <c r="Z607" s="112"/>
      <c r="AA607" s="112"/>
      <c r="AB607" s="112"/>
      <c r="AC607" s="112"/>
      <c r="AD607" s="112"/>
      <c r="AE607" s="112"/>
      <c r="AF607" s="112"/>
      <c r="AG607" s="112"/>
      <c r="AH607" s="112"/>
      <c r="AI607" s="112"/>
      <c r="AJ607" s="112"/>
      <c r="AK607" s="112"/>
      <c r="AL607" s="112"/>
      <c r="AM607" s="112"/>
      <c r="AN607" s="112"/>
      <c r="AO607" s="112"/>
      <c r="AP607" s="112"/>
    </row>
    <row r="608" ht="15.75" customHeight="1">
      <c r="A608" s="112"/>
      <c r="B608" s="112"/>
      <c r="C608" s="112"/>
      <c r="D608" s="112"/>
      <c r="E608" s="128"/>
      <c r="F608" s="112"/>
      <c r="G608" s="112"/>
      <c r="H608" s="128"/>
      <c r="I608" s="112"/>
      <c r="J608" s="112"/>
      <c r="K608" s="112"/>
      <c r="L608" s="128"/>
      <c r="M608" s="128"/>
      <c r="N608" s="112"/>
      <c r="O608" s="112"/>
      <c r="P608" s="112"/>
      <c r="Q608" s="112"/>
      <c r="R608" s="112"/>
      <c r="S608" s="112"/>
      <c r="T608" s="128"/>
      <c r="U608" s="128"/>
      <c r="V608" s="128"/>
      <c r="W608" s="128"/>
      <c r="X608" s="128"/>
      <c r="Y608" s="128"/>
      <c r="Z608" s="112"/>
      <c r="AA608" s="112"/>
      <c r="AB608" s="112"/>
      <c r="AC608" s="112"/>
      <c r="AD608" s="112"/>
      <c r="AE608" s="112"/>
      <c r="AF608" s="112"/>
      <c r="AG608" s="112"/>
      <c r="AH608" s="112"/>
      <c r="AI608" s="112"/>
      <c r="AJ608" s="112"/>
      <c r="AK608" s="112"/>
      <c r="AL608" s="112"/>
      <c r="AM608" s="112"/>
      <c r="AN608" s="112"/>
      <c r="AO608" s="112"/>
      <c r="AP608" s="112"/>
    </row>
    <row r="609" ht="15.75" customHeight="1">
      <c r="A609" s="112"/>
      <c r="B609" s="112"/>
      <c r="C609" s="112"/>
      <c r="D609" s="112"/>
      <c r="E609" s="128"/>
      <c r="F609" s="112"/>
      <c r="G609" s="112"/>
      <c r="H609" s="128"/>
      <c r="I609" s="112"/>
      <c r="J609" s="112"/>
      <c r="K609" s="112"/>
      <c r="L609" s="128"/>
      <c r="M609" s="128"/>
      <c r="N609" s="112"/>
      <c r="O609" s="112"/>
      <c r="P609" s="112"/>
      <c r="Q609" s="112"/>
      <c r="R609" s="112"/>
      <c r="S609" s="112"/>
      <c r="T609" s="128"/>
      <c r="U609" s="128"/>
      <c r="V609" s="128"/>
      <c r="W609" s="128"/>
      <c r="X609" s="128"/>
      <c r="Y609" s="128"/>
      <c r="Z609" s="112"/>
      <c r="AA609" s="112"/>
      <c r="AB609" s="112"/>
      <c r="AC609" s="112"/>
      <c r="AD609" s="112"/>
      <c r="AE609" s="112"/>
      <c r="AF609" s="112"/>
      <c r="AG609" s="112"/>
      <c r="AH609" s="112"/>
      <c r="AI609" s="112"/>
      <c r="AJ609" s="112"/>
      <c r="AK609" s="112"/>
      <c r="AL609" s="112"/>
      <c r="AM609" s="112"/>
      <c r="AN609" s="112"/>
      <c r="AO609" s="112"/>
      <c r="AP609" s="112"/>
    </row>
    <row r="610" ht="15.75" customHeight="1">
      <c r="A610" s="112"/>
      <c r="B610" s="112"/>
      <c r="C610" s="112"/>
      <c r="D610" s="112"/>
      <c r="E610" s="128"/>
      <c r="F610" s="112"/>
      <c r="G610" s="112"/>
      <c r="H610" s="128"/>
      <c r="I610" s="112"/>
      <c r="J610" s="112"/>
      <c r="K610" s="112"/>
      <c r="L610" s="128"/>
      <c r="M610" s="128"/>
      <c r="N610" s="112"/>
      <c r="O610" s="112"/>
      <c r="P610" s="112"/>
      <c r="Q610" s="112"/>
      <c r="R610" s="112"/>
      <c r="S610" s="112"/>
      <c r="T610" s="128"/>
      <c r="U610" s="128"/>
      <c r="V610" s="128"/>
      <c r="W610" s="128"/>
      <c r="X610" s="128"/>
      <c r="Y610" s="128"/>
      <c r="Z610" s="112"/>
      <c r="AA610" s="112"/>
      <c r="AB610" s="112"/>
      <c r="AC610" s="112"/>
      <c r="AD610" s="112"/>
      <c r="AE610" s="112"/>
      <c r="AF610" s="112"/>
      <c r="AG610" s="112"/>
      <c r="AH610" s="112"/>
      <c r="AI610" s="112"/>
      <c r="AJ610" s="112"/>
      <c r="AK610" s="112"/>
      <c r="AL610" s="112"/>
      <c r="AM610" s="112"/>
      <c r="AN610" s="112"/>
      <c r="AO610" s="112"/>
      <c r="AP610" s="112"/>
    </row>
    <row r="611" ht="15.75" customHeight="1">
      <c r="A611" s="112"/>
      <c r="B611" s="112"/>
      <c r="C611" s="112"/>
      <c r="D611" s="112"/>
      <c r="E611" s="128"/>
      <c r="F611" s="112"/>
      <c r="G611" s="112"/>
      <c r="H611" s="128"/>
      <c r="I611" s="112"/>
      <c r="J611" s="112"/>
      <c r="K611" s="112"/>
      <c r="L611" s="128"/>
      <c r="M611" s="128"/>
      <c r="N611" s="112"/>
      <c r="O611" s="112"/>
      <c r="P611" s="112"/>
      <c r="Q611" s="112"/>
      <c r="R611" s="112"/>
      <c r="S611" s="112"/>
      <c r="T611" s="128"/>
      <c r="U611" s="128"/>
      <c r="V611" s="128"/>
      <c r="W611" s="128"/>
      <c r="X611" s="128"/>
      <c r="Y611" s="128"/>
      <c r="Z611" s="112"/>
      <c r="AA611" s="112"/>
      <c r="AB611" s="112"/>
      <c r="AC611" s="112"/>
      <c r="AD611" s="112"/>
      <c r="AE611" s="112"/>
      <c r="AF611" s="112"/>
      <c r="AG611" s="112"/>
      <c r="AH611" s="112"/>
      <c r="AI611" s="112"/>
      <c r="AJ611" s="112"/>
      <c r="AK611" s="112"/>
      <c r="AL611" s="112"/>
      <c r="AM611" s="112"/>
      <c r="AN611" s="112"/>
      <c r="AO611" s="112"/>
      <c r="AP611" s="112"/>
    </row>
    <row r="612" ht="15.75" customHeight="1">
      <c r="A612" s="112"/>
      <c r="B612" s="112"/>
      <c r="C612" s="112"/>
      <c r="D612" s="112"/>
      <c r="E612" s="128"/>
      <c r="F612" s="112"/>
      <c r="G612" s="112"/>
      <c r="H612" s="128"/>
      <c r="I612" s="112"/>
      <c r="J612" s="112"/>
      <c r="K612" s="112"/>
      <c r="L612" s="128"/>
      <c r="M612" s="128"/>
      <c r="N612" s="112"/>
      <c r="O612" s="112"/>
      <c r="P612" s="112"/>
      <c r="Q612" s="112"/>
      <c r="R612" s="112"/>
      <c r="S612" s="112"/>
      <c r="T612" s="128"/>
      <c r="U612" s="128"/>
      <c r="V612" s="128"/>
      <c r="W612" s="128"/>
      <c r="X612" s="128"/>
      <c r="Y612" s="128"/>
      <c r="Z612" s="112"/>
      <c r="AA612" s="112"/>
      <c r="AB612" s="112"/>
      <c r="AC612" s="112"/>
      <c r="AD612" s="112"/>
      <c r="AE612" s="112"/>
      <c r="AF612" s="112"/>
      <c r="AG612" s="112"/>
      <c r="AH612" s="112"/>
      <c r="AI612" s="112"/>
      <c r="AJ612" s="112"/>
      <c r="AK612" s="112"/>
      <c r="AL612" s="112"/>
      <c r="AM612" s="112"/>
      <c r="AN612" s="112"/>
      <c r="AO612" s="112"/>
      <c r="AP612" s="112"/>
    </row>
    <row r="613" ht="15.75" customHeight="1">
      <c r="A613" s="112"/>
      <c r="B613" s="112"/>
      <c r="C613" s="112"/>
      <c r="D613" s="112"/>
      <c r="E613" s="128"/>
      <c r="F613" s="112"/>
      <c r="G613" s="112"/>
      <c r="H613" s="128"/>
      <c r="I613" s="112"/>
      <c r="J613" s="112"/>
      <c r="K613" s="112"/>
      <c r="L613" s="128"/>
      <c r="M613" s="128"/>
      <c r="N613" s="112"/>
      <c r="O613" s="112"/>
      <c r="P613" s="112"/>
      <c r="Q613" s="112"/>
      <c r="R613" s="112"/>
      <c r="S613" s="112"/>
      <c r="T613" s="128"/>
      <c r="U613" s="128"/>
      <c r="V613" s="128"/>
      <c r="W613" s="128"/>
      <c r="X613" s="128"/>
      <c r="Y613" s="128"/>
      <c r="Z613" s="112"/>
      <c r="AA613" s="112"/>
      <c r="AB613" s="112"/>
      <c r="AC613" s="112"/>
      <c r="AD613" s="112"/>
      <c r="AE613" s="112"/>
      <c r="AF613" s="112"/>
      <c r="AG613" s="112"/>
      <c r="AH613" s="112"/>
      <c r="AI613" s="112"/>
      <c r="AJ613" s="112"/>
      <c r="AK613" s="112"/>
      <c r="AL613" s="112"/>
      <c r="AM613" s="112"/>
      <c r="AN613" s="112"/>
      <c r="AO613" s="112"/>
      <c r="AP613" s="112"/>
    </row>
    <row r="614" ht="15.75" customHeight="1">
      <c r="A614" s="112"/>
      <c r="B614" s="112"/>
      <c r="C614" s="112"/>
      <c r="D614" s="112"/>
      <c r="E614" s="128"/>
      <c r="F614" s="112"/>
      <c r="G614" s="112"/>
      <c r="H614" s="128"/>
      <c r="I614" s="112"/>
      <c r="J614" s="112"/>
      <c r="K614" s="112"/>
      <c r="L614" s="128"/>
      <c r="M614" s="128"/>
      <c r="N614" s="112"/>
      <c r="O614" s="112"/>
      <c r="P614" s="112"/>
      <c r="Q614" s="112"/>
      <c r="R614" s="112"/>
      <c r="S614" s="112"/>
      <c r="T614" s="128"/>
      <c r="U614" s="128"/>
      <c r="V614" s="128"/>
      <c r="W614" s="128"/>
      <c r="X614" s="128"/>
      <c r="Y614" s="128"/>
      <c r="Z614" s="112"/>
      <c r="AA614" s="112"/>
      <c r="AB614" s="112"/>
      <c r="AC614" s="112"/>
      <c r="AD614" s="112"/>
      <c r="AE614" s="112"/>
      <c r="AF614" s="112"/>
      <c r="AG614" s="112"/>
      <c r="AH614" s="112"/>
      <c r="AI614" s="112"/>
      <c r="AJ614" s="112"/>
      <c r="AK614" s="112"/>
      <c r="AL614" s="112"/>
      <c r="AM614" s="112"/>
      <c r="AN614" s="112"/>
      <c r="AO614" s="112"/>
      <c r="AP614" s="112"/>
    </row>
    <row r="615" ht="15.75" customHeight="1">
      <c r="A615" s="112"/>
      <c r="B615" s="112"/>
      <c r="C615" s="112"/>
      <c r="D615" s="112"/>
      <c r="E615" s="128"/>
      <c r="F615" s="112"/>
      <c r="G615" s="112"/>
      <c r="H615" s="128"/>
      <c r="I615" s="112"/>
      <c r="J615" s="112"/>
      <c r="K615" s="112"/>
      <c r="L615" s="128"/>
      <c r="M615" s="128"/>
      <c r="N615" s="112"/>
      <c r="O615" s="112"/>
      <c r="P615" s="112"/>
      <c r="Q615" s="112"/>
      <c r="R615" s="112"/>
      <c r="S615" s="112"/>
      <c r="T615" s="128"/>
      <c r="U615" s="128"/>
      <c r="V615" s="128"/>
      <c r="W615" s="128"/>
      <c r="X615" s="128"/>
      <c r="Y615" s="128"/>
      <c r="Z615" s="112"/>
      <c r="AA615" s="112"/>
      <c r="AB615" s="112"/>
      <c r="AC615" s="112"/>
      <c r="AD615" s="112"/>
      <c r="AE615" s="112"/>
      <c r="AF615" s="112"/>
      <c r="AG615" s="112"/>
      <c r="AH615" s="112"/>
      <c r="AI615" s="112"/>
      <c r="AJ615" s="112"/>
      <c r="AK615" s="112"/>
      <c r="AL615" s="112"/>
      <c r="AM615" s="112"/>
      <c r="AN615" s="112"/>
      <c r="AO615" s="112"/>
      <c r="AP615" s="112"/>
    </row>
    <row r="616" ht="15.75" customHeight="1">
      <c r="A616" s="112"/>
      <c r="B616" s="112"/>
      <c r="C616" s="112"/>
      <c r="D616" s="112"/>
      <c r="E616" s="128"/>
      <c r="F616" s="112"/>
      <c r="G616" s="112"/>
      <c r="H616" s="128"/>
      <c r="I616" s="112"/>
      <c r="J616" s="112"/>
      <c r="K616" s="112"/>
      <c r="L616" s="128"/>
      <c r="M616" s="128"/>
      <c r="N616" s="112"/>
      <c r="O616" s="112"/>
      <c r="P616" s="112"/>
      <c r="Q616" s="112"/>
      <c r="R616" s="112"/>
      <c r="S616" s="112"/>
      <c r="T616" s="128"/>
      <c r="U616" s="128"/>
      <c r="V616" s="128"/>
      <c r="W616" s="128"/>
      <c r="X616" s="128"/>
      <c r="Y616" s="128"/>
      <c r="Z616" s="112"/>
      <c r="AA616" s="112"/>
      <c r="AB616" s="112"/>
      <c r="AC616" s="112"/>
      <c r="AD616" s="112"/>
      <c r="AE616" s="112"/>
      <c r="AF616" s="112"/>
      <c r="AG616" s="112"/>
      <c r="AH616" s="112"/>
      <c r="AI616" s="112"/>
      <c r="AJ616" s="112"/>
      <c r="AK616" s="112"/>
      <c r="AL616" s="112"/>
      <c r="AM616" s="112"/>
      <c r="AN616" s="112"/>
      <c r="AO616" s="112"/>
      <c r="AP616" s="112"/>
    </row>
    <row r="617" ht="15.75" customHeight="1">
      <c r="A617" s="112"/>
      <c r="B617" s="112"/>
      <c r="C617" s="112"/>
      <c r="D617" s="112"/>
      <c r="E617" s="128"/>
      <c r="F617" s="112"/>
      <c r="G617" s="112"/>
      <c r="H617" s="128"/>
      <c r="I617" s="112"/>
      <c r="J617" s="112"/>
      <c r="K617" s="112"/>
      <c r="L617" s="128"/>
      <c r="M617" s="128"/>
      <c r="N617" s="112"/>
      <c r="O617" s="112"/>
      <c r="P617" s="112"/>
      <c r="Q617" s="112"/>
      <c r="R617" s="112"/>
      <c r="S617" s="112"/>
      <c r="T617" s="128"/>
      <c r="U617" s="128"/>
      <c r="V617" s="128"/>
      <c r="W617" s="128"/>
      <c r="X617" s="128"/>
      <c r="Y617" s="128"/>
      <c r="Z617" s="112"/>
      <c r="AA617" s="112"/>
      <c r="AB617" s="112"/>
      <c r="AC617" s="112"/>
      <c r="AD617" s="112"/>
      <c r="AE617" s="112"/>
      <c r="AF617" s="112"/>
      <c r="AG617" s="112"/>
      <c r="AH617" s="112"/>
      <c r="AI617" s="112"/>
      <c r="AJ617" s="112"/>
      <c r="AK617" s="112"/>
      <c r="AL617" s="112"/>
      <c r="AM617" s="112"/>
      <c r="AN617" s="112"/>
      <c r="AO617" s="112"/>
      <c r="AP617" s="112"/>
    </row>
    <row r="618" ht="15.75" customHeight="1">
      <c r="A618" s="112"/>
      <c r="B618" s="112"/>
      <c r="C618" s="112"/>
      <c r="D618" s="112"/>
      <c r="E618" s="128"/>
      <c r="F618" s="112"/>
      <c r="G618" s="112"/>
      <c r="H618" s="128"/>
      <c r="I618" s="112"/>
      <c r="J618" s="112"/>
      <c r="K618" s="112"/>
      <c r="L618" s="128"/>
      <c r="M618" s="128"/>
      <c r="N618" s="112"/>
      <c r="O618" s="112"/>
      <c r="P618" s="112"/>
      <c r="Q618" s="112"/>
      <c r="R618" s="112"/>
      <c r="S618" s="112"/>
      <c r="T618" s="128"/>
      <c r="U618" s="128"/>
      <c r="V618" s="128"/>
      <c r="W618" s="128"/>
      <c r="X618" s="128"/>
      <c r="Y618" s="128"/>
      <c r="Z618" s="112"/>
      <c r="AA618" s="112"/>
      <c r="AB618" s="112"/>
      <c r="AC618" s="112"/>
      <c r="AD618" s="112"/>
      <c r="AE618" s="112"/>
      <c r="AF618" s="112"/>
      <c r="AG618" s="112"/>
      <c r="AH618" s="112"/>
      <c r="AI618" s="112"/>
      <c r="AJ618" s="112"/>
      <c r="AK618" s="112"/>
      <c r="AL618" s="112"/>
      <c r="AM618" s="112"/>
      <c r="AN618" s="112"/>
      <c r="AO618" s="112"/>
      <c r="AP618" s="112"/>
    </row>
    <row r="619" ht="15.75" customHeight="1">
      <c r="A619" s="112"/>
      <c r="B619" s="112"/>
      <c r="C619" s="112"/>
      <c r="D619" s="112"/>
      <c r="E619" s="128"/>
      <c r="F619" s="112"/>
      <c r="G619" s="112"/>
      <c r="H619" s="128"/>
      <c r="I619" s="112"/>
      <c r="J619" s="112"/>
      <c r="K619" s="112"/>
      <c r="L619" s="128"/>
      <c r="M619" s="128"/>
      <c r="N619" s="112"/>
      <c r="O619" s="112"/>
      <c r="P619" s="112"/>
      <c r="Q619" s="112"/>
      <c r="R619" s="112"/>
      <c r="S619" s="112"/>
      <c r="T619" s="128"/>
      <c r="U619" s="128"/>
      <c r="V619" s="128"/>
      <c r="W619" s="128"/>
      <c r="X619" s="128"/>
      <c r="Y619" s="128"/>
      <c r="Z619" s="112"/>
      <c r="AA619" s="112"/>
      <c r="AB619" s="112"/>
      <c r="AC619" s="112"/>
      <c r="AD619" s="112"/>
      <c r="AE619" s="112"/>
      <c r="AF619" s="112"/>
      <c r="AG619" s="112"/>
      <c r="AH619" s="112"/>
      <c r="AI619" s="112"/>
      <c r="AJ619" s="112"/>
      <c r="AK619" s="112"/>
      <c r="AL619" s="112"/>
      <c r="AM619" s="112"/>
      <c r="AN619" s="112"/>
      <c r="AO619" s="112"/>
      <c r="AP619" s="112"/>
    </row>
    <row r="620" ht="15.75" customHeight="1">
      <c r="A620" s="112"/>
      <c r="B620" s="112"/>
      <c r="C620" s="112"/>
      <c r="D620" s="112"/>
      <c r="E620" s="128"/>
      <c r="F620" s="112"/>
      <c r="G620" s="112"/>
      <c r="H620" s="128"/>
      <c r="I620" s="112"/>
      <c r="J620" s="112"/>
      <c r="K620" s="112"/>
      <c r="L620" s="128"/>
      <c r="M620" s="128"/>
      <c r="N620" s="112"/>
      <c r="O620" s="112"/>
      <c r="P620" s="112"/>
      <c r="Q620" s="112"/>
      <c r="R620" s="112"/>
      <c r="S620" s="112"/>
      <c r="T620" s="128"/>
      <c r="U620" s="128"/>
      <c r="V620" s="128"/>
      <c r="W620" s="128"/>
      <c r="X620" s="128"/>
      <c r="Y620" s="128"/>
      <c r="Z620" s="112"/>
      <c r="AA620" s="112"/>
      <c r="AB620" s="112"/>
      <c r="AC620" s="112"/>
      <c r="AD620" s="112"/>
      <c r="AE620" s="112"/>
      <c r="AF620" s="112"/>
      <c r="AG620" s="112"/>
      <c r="AH620" s="112"/>
      <c r="AI620" s="112"/>
      <c r="AJ620" s="112"/>
      <c r="AK620" s="112"/>
      <c r="AL620" s="112"/>
      <c r="AM620" s="112"/>
      <c r="AN620" s="112"/>
      <c r="AO620" s="112"/>
      <c r="AP620" s="112"/>
    </row>
    <row r="621" ht="15.75" customHeight="1">
      <c r="A621" s="112"/>
      <c r="B621" s="112"/>
      <c r="C621" s="112"/>
      <c r="D621" s="112"/>
      <c r="E621" s="128"/>
      <c r="F621" s="112"/>
      <c r="G621" s="112"/>
      <c r="H621" s="128"/>
      <c r="I621" s="112"/>
      <c r="J621" s="112"/>
      <c r="K621" s="112"/>
      <c r="L621" s="128"/>
      <c r="M621" s="128"/>
      <c r="N621" s="112"/>
      <c r="O621" s="112"/>
      <c r="P621" s="112"/>
      <c r="Q621" s="112"/>
      <c r="R621" s="112"/>
      <c r="S621" s="112"/>
      <c r="T621" s="128"/>
      <c r="U621" s="128"/>
      <c r="V621" s="128"/>
      <c r="W621" s="128"/>
      <c r="X621" s="128"/>
      <c r="Y621" s="128"/>
      <c r="Z621" s="112"/>
      <c r="AA621" s="112"/>
      <c r="AB621" s="112"/>
      <c r="AC621" s="112"/>
      <c r="AD621" s="112"/>
      <c r="AE621" s="112"/>
      <c r="AF621" s="112"/>
      <c r="AG621" s="112"/>
      <c r="AH621" s="112"/>
      <c r="AI621" s="112"/>
      <c r="AJ621" s="112"/>
      <c r="AK621" s="112"/>
      <c r="AL621" s="112"/>
      <c r="AM621" s="112"/>
      <c r="AN621" s="112"/>
      <c r="AO621" s="112"/>
      <c r="AP621" s="112"/>
    </row>
    <row r="622" ht="15.75" customHeight="1">
      <c r="A622" s="112"/>
      <c r="B622" s="112"/>
      <c r="C622" s="112"/>
      <c r="D622" s="112"/>
      <c r="E622" s="128"/>
      <c r="F622" s="112"/>
      <c r="G622" s="112"/>
      <c r="H622" s="128"/>
      <c r="I622" s="112"/>
      <c r="J622" s="112"/>
      <c r="K622" s="112"/>
      <c r="L622" s="128"/>
      <c r="M622" s="128"/>
      <c r="N622" s="112"/>
      <c r="O622" s="112"/>
      <c r="P622" s="112"/>
      <c r="Q622" s="112"/>
      <c r="R622" s="112"/>
      <c r="S622" s="112"/>
      <c r="T622" s="128"/>
      <c r="U622" s="128"/>
      <c r="V622" s="128"/>
      <c r="W622" s="128"/>
      <c r="X622" s="128"/>
      <c r="Y622" s="128"/>
      <c r="Z622" s="112"/>
      <c r="AA622" s="112"/>
      <c r="AB622" s="112"/>
      <c r="AC622" s="112"/>
      <c r="AD622" s="112"/>
      <c r="AE622" s="112"/>
      <c r="AF622" s="112"/>
      <c r="AG622" s="112"/>
      <c r="AH622" s="112"/>
      <c r="AI622" s="112"/>
      <c r="AJ622" s="112"/>
      <c r="AK622" s="112"/>
      <c r="AL622" s="112"/>
      <c r="AM622" s="112"/>
      <c r="AN622" s="112"/>
      <c r="AO622" s="112"/>
      <c r="AP622" s="112"/>
    </row>
    <row r="623" ht="15.75" customHeight="1">
      <c r="A623" s="112"/>
      <c r="B623" s="112"/>
      <c r="C623" s="112"/>
      <c r="D623" s="112"/>
      <c r="E623" s="128"/>
      <c r="F623" s="112"/>
      <c r="G623" s="112"/>
      <c r="H623" s="128"/>
      <c r="I623" s="112"/>
      <c r="J623" s="112"/>
      <c r="K623" s="112"/>
      <c r="L623" s="128"/>
      <c r="M623" s="128"/>
      <c r="N623" s="112"/>
      <c r="O623" s="112"/>
      <c r="P623" s="112"/>
      <c r="Q623" s="112"/>
      <c r="R623" s="112"/>
      <c r="S623" s="112"/>
      <c r="T623" s="128"/>
      <c r="U623" s="128"/>
      <c r="V623" s="128"/>
      <c r="W623" s="128"/>
      <c r="X623" s="128"/>
      <c r="Y623" s="128"/>
      <c r="Z623" s="112"/>
      <c r="AA623" s="112"/>
      <c r="AB623" s="112"/>
      <c r="AC623" s="112"/>
      <c r="AD623" s="112"/>
      <c r="AE623" s="112"/>
      <c r="AF623" s="112"/>
      <c r="AG623" s="112"/>
      <c r="AH623" s="112"/>
      <c r="AI623" s="112"/>
      <c r="AJ623" s="112"/>
      <c r="AK623" s="112"/>
      <c r="AL623" s="112"/>
      <c r="AM623" s="112"/>
      <c r="AN623" s="112"/>
      <c r="AO623" s="112"/>
      <c r="AP623" s="112"/>
    </row>
    <row r="624" ht="15.75" customHeight="1">
      <c r="A624" s="112"/>
      <c r="B624" s="112"/>
      <c r="C624" s="112"/>
      <c r="D624" s="112"/>
      <c r="E624" s="128"/>
      <c r="F624" s="112"/>
      <c r="G624" s="112"/>
      <c r="H624" s="128"/>
      <c r="I624" s="112"/>
      <c r="J624" s="112"/>
      <c r="K624" s="112"/>
      <c r="L624" s="128"/>
      <c r="M624" s="128"/>
      <c r="N624" s="112"/>
      <c r="O624" s="112"/>
      <c r="P624" s="112"/>
      <c r="Q624" s="112"/>
      <c r="R624" s="112"/>
      <c r="S624" s="112"/>
      <c r="T624" s="128"/>
      <c r="U624" s="128"/>
      <c r="V624" s="128"/>
      <c r="W624" s="128"/>
      <c r="X624" s="128"/>
      <c r="Y624" s="128"/>
      <c r="Z624" s="112"/>
      <c r="AA624" s="112"/>
      <c r="AB624" s="112"/>
      <c r="AC624" s="112"/>
      <c r="AD624" s="112"/>
      <c r="AE624" s="112"/>
      <c r="AF624" s="112"/>
      <c r="AG624" s="112"/>
      <c r="AH624" s="112"/>
      <c r="AI624" s="112"/>
      <c r="AJ624" s="112"/>
      <c r="AK624" s="112"/>
      <c r="AL624" s="112"/>
      <c r="AM624" s="112"/>
      <c r="AN624" s="112"/>
      <c r="AO624" s="112"/>
      <c r="AP624" s="112"/>
    </row>
    <row r="625" ht="15.75" customHeight="1">
      <c r="A625" s="112"/>
      <c r="B625" s="112"/>
      <c r="C625" s="112"/>
      <c r="D625" s="112"/>
      <c r="E625" s="128"/>
      <c r="F625" s="112"/>
      <c r="G625" s="112"/>
      <c r="H625" s="128"/>
      <c r="I625" s="112"/>
      <c r="J625" s="112"/>
      <c r="K625" s="112"/>
      <c r="L625" s="128"/>
      <c r="M625" s="128"/>
      <c r="N625" s="112"/>
      <c r="O625" s="112"/>
      <c r="P625" s="112"/>
      <c r="Q625" s="112"/>
      <c r="R625" s="112"/>
      <c r="S625" s="112"/>
      <c r="T625" s="128"/>
      <c r="U625" s="128"/>
      <c r="V625" s="128"/>
      <c r="W625" s="128"/>
      <c r="X625" s="128"/>
      <c r="Y625" s="128"/>
      <c r="Z625" s="112"/>
      <c r="AA625" s="112"/>
      <c r="AB625" s="112"/>
      <c r="AC625" s="112"/>
      <c r="AD625" s="112"/>
      <c r="AE625" s="112"/>
      <c r="AF625" s="112"/>
      <c r="AG625" s="112"/>
      <c r="AH625" s="112"/>
      <c r="AI625" s="112"/>
      <c r="AJ625" s="112"/>
      <c r="AK625" s="112"/>
      <c r="AL625" s="112"/>
      <c r="AM625" s="112"/>
      <c r="AN625" s="112"/>
      <c r="AO625" s="112"/>
      <c r="AP625" s="112"/>
    </row>
    <row r="626" ht="15.75" customHeight="1">
      <c r="A626" s="112"/>
      <c r="B626" s="112"/>
      <c r="C626" s="112"/>
      <c r="D626" s="112"/>
      <c r="E626" s="128"/>
      <c r="F626" s="112"/>
      <c r="G626" s="112"/>
      <c r="H626" s="128"/>
      <c r="I626" s="112"/>
      <c r="J626" s="112"/>
      <c r="K626" s="112"/>
      <c r="L626" s="128"/>
      <c r="M626" s="128"/>
      <c r="N626" s="112"/>
      <c r="O626" s="112"/>
      <c r="P626" s="112"/>
      <c r="Q626" s="112"/>
      <c r="R626" s="112"/>
      <c r="S626" s="112"/>
      <c r="T626" s="128"/>
      <c r="U626" s="128"/>
      <c r="V626" s="128"/>
      <c r="W626" s="128"/>
      <c r="X626" s="128"/>
      <c r="Y626" s="128"/>
      <c r="Z626" s="112"/>
      <c r="AA626" s="112"/>
      <c r="AB626" s="112"/>
      <c r="AC626" s="112"/>
      <c r="AD626" s="112"/>
      <c r="AE626" s="112"/>
      <c r="AF626" s="112"/>
      <c r="AG626" s="112"/>
      <c r="AH626" s="112"/>
      <c r="AI626" s="112"/>
      <c r="AJ626" s="112"/>
      <c r="AK626" s="112"/>
      <c r="AL626" s="112"/>
      <c r="AM626" s="112"/>
      <c r="AN626" s="112"/>
      <c r="AO626" s="112"/>
      <c r="AP626" s="112"/>
    </row>
    <row r="627" ht="15.75" customHeight="1">
      <c r="A627" s="112"/>
      <c r="B627" s="112"/>
      <c r="C627" s="112"/>
      <c r="D627" s="112"/>
      <c r="E627" s="128"/>
      <c r="F627" s="112"/>
      <c r="G627" s="112"/>
      <c r="H627" s="128"/>
      <c r="I627" s="112"/>
      <c r="J627" s="112"/>
      <c r="K627" s="112"/>
      <c r="L627" s="128"/>
      <c r="M627" s="128"/>
      <c r="N627" s="112"/>
      <c r="O627" s="112"/>
      <c r="P627" s="112"/>
      <c r="Q627" s="112"/>
      <c r="R627" s="112"/>
      <c r="S627" s="112"/>
      <c r="T627" s="128"/>
      <c r="U627" s="128"/>
      <c r="V627" s="128"/>
      <c r="W627" s="128"/>
      <c r="X627" s="128"/>
      <c r="Y627" s="128"/>
      <c r="Z627" s="112"/>
      <c r="AA627" s="112"/>
      <c r="AB627" s="112"/>
      <c r="AC627" s="112"/>
      <c r="AD627" s="112"/>
      <c r="AE627" s="112"/>
      <c r="AF627" s="112"/>
      <c r="AG627" s="112"/>
      <c r="AH627" s="112"/>
      <c r="AI627" s="112"/>
      <c r="AJ627" s="112"/>
      <c r="AK627" s="112"/>
      <c r="AL627" s="112"/>
      <c r="AM627" s="112"/>
      <c r="AN627" s="112"/>
      <c r="AO627" s="112"/>
      <c r="AP627" s="112"/>
    </row>
    <row r="628" ht="15.75" customHeight="1">
      <c r="A628" s="112"/>
      <c r="B628" s="112"/>
      <c r="C628" s="112"/>
      <c r="D628" s="112"/>
      <c r="E628" s="128"/>
      <c r="F628" s="112"/>
      <c r="G628" s="112"/>
      <c r="H628" s="128"/>
      <c r="I628" s="112"/>
      <c r="J628" s="112"/>
      <c r="K628" s="112"/>
      <c r="L628" s="128"/>
      <c r="M628" s="128"/>
      <c r="N628" s="112"/>
      <c r="O628" s="112"/>
      <c r="P628" s="112"/>
      <c r="Q628" s="112"/>
      <c r="R628" s="112"/>
      <c r="S628" s="112"/>
      <c r="T628" s="128"/>
      <c r="U628" s="128"/>
      <c r="V628" s="128"/>
      <c r="W628" s="128"/>
      <c r="X628" s="128"/>
      <c r="Y628" s="128"/>
      <c r="Z628" s="112"/>
      <c r="AA628" s="112"/>
      <c r="AB628" s="112"/>
      <c r="AC628" s="112"/>
      <c r="AD628" s="112"/>
      <c r="AE628" s="112"/>
      <c r="AF628" s="112"/>
      <c r="AG628" s="112"/>
      <c r="AH628" s="112"/>
      <c r="AI628" s="112"/>
      <c r="AJ628" s="112"/>
      <c r="AK628" s="112"/>
      <c r="AL628" s="112"/>
      <c r="AM628" s="112"/>
      <c r="AN628" s="112"/>
      <c r="AO628" s="112"/>
      <c r="AP628" s="112"/>
    </row>
    <row r="629" ht="15.75" customHeight="1">
      <c r="A629" s="112"/>
      <c r="B629" s="112"/>
      <c r="C629" s="112"/>
      <c r="D629" s="112"/>
      <c r="E629" s="128"/>
      <c r="F629" s="112"/>
      <c r="G629" s="112"/>
      <c r="H629" s="128"/>
      <c r="I629" s="112"/>
      <c r="J629" s="112"/>
      <c r="K629" s="112"/>
      <c r="L629" s="128"/>
      <c r="M629" s="128"/>
      <c r="N629" s="112"/>
      <c r="O629" s="112"/>
      <c r="P629" s="112"/>
      <c r="Q629" s="112"/>
      <c r="R629" s="112"/>
      <c r="S629" s="112"/>
      <c r="T629" s="128"/>
      <c r="U629" s="128"/>
      <c r="V629" s="128"/>
      <c r="W629" s="128"/>
      <c r="X629" s="128"/>
      <c r="Y629" s="128"/>
      <c r="Z629" s="112"/>
      <c r="AA629" s="112"/>
      <c r="AB629" s="112"/>
      <c r="AC629" s="112"/>
      <c r="AD629" s="112"/>
      <c r="AE629" s="112"/>
      <c r="AF629" s="112"/>
      <c r="AG629" s="112"/>
      <c r="AH629" s="112"/>
      <c r="AI629" s="112"/>
      <c r="AJ629" s="112"/>
      <c r="AK629" s="112"/>
      <c r="AL629" s="112"/>
      <c r="AM629" s="112"/>
      <c r="AN629" s="112"/>
      <c r="AO629" s="112"/>
      <c r="AP629" s="112"/>
    </row>
    <row r="630" ht="15.75" customHeight="1">
      <c r="A630" s="112"/>
      <c r="B630" s="112"/>
      <c r="C630" s="112"/>
      <c r="D630" s="112"/>
      <c r="E630" s="128"/>
      <c r="F630" s="112"/>
      <c r="G630" s="112"/>
      <c r="H630" s="128"/>
      <c r="I630" s="112"/>
      <c r="J630" s="112"/>
      <c r="K630" s="112"/>
      <c r="L630" s="128"/>
      <c r="M630" s="128"/>
      <c r="N630" s="112"/>
      <c r="O630" s="112"/>
      <c r="P630" s="112"/>
      <c r="Q630" s="112"/>
      <c r="R630" s="112"/>
      <c r="S630" s="112"/>
      <c r="T630" s="128"/>
      <c r="U630" s="128"/>
      <c r="V630" s="128"/>
      <c r="W630" s="128"/>
      <c r="X630" s="128"/>
      <c r="Y630" s="128"/>
      <c r="Z630" s="112"/>
      <c r="AA630" s="112"/>
      <c r="AB630" s="112"/>
      <c r="AC630" s="112"/>
      <c r="AD630" s="112"/>
      <c r="AE630" s="112"/>
      <c r="AF630" s="112"/>
      <c r="AG630" s="112"/>
      <c r="AH630" s="112"/>
      <c r="AI630" s="112"/>
      <c r="AJ630" s="112"/>
      <c r="AK630" s="112"/>
      <c r="AL630" s="112"/>
      <c r="AM630" s="112"/>
      <c r="AN630" s="112"/>
      <c r="AO630" s="112"/>
      <c r="AP630" s="112"/>
    </row>
    <row r="631" ht="15.75" customHeight="1">
      <c r="A631" s="112"/>
      <c r="B631" s="112"/>
      <c r="C631" s="112"/>
      <c r="D631" s="112"/>
      <c r="E631" s="128"/>
      <c r="F631" s="112"/>
      <c r="G631" s="112"/>
      <c r="H631" s="128"/>
      <c r="I631" s="112"/>
      <c r="J631" s="112"/>
      <c r="K631" s="112"/>
      <c r="L631" s="128"/>
      <c r="M631" s="128"/>
      <c r="N631" s="112"/>
      <c r="O631" s="112"/>
      <c r="P631" s="112"/>
      <c r="Q631" s="112"/>
      <c r="R631" s="112"/>
      <c r="S631" s="112"/>
      <c r="T631" s="128"/>
      <c r="U631" s="128"/>
      <c r="V631" s="128"/>
      <c r="W631" s="128"/>
      <c r="X631" s="128"/>
      <c r="Y631" s="128"/>
      <c r="Z631" s="112"/>
      <c r="AA631" s="112"/>
      <c r="AB631" s="112"/>
      <c r="AC631" s="112"/>
      <c r="AD631" s="112"/>
      <c r="AE631" s="112"/>
      <c r="AF631" s="112"/>
      <c r="AG631" s="112"/>
      <c r="AH631" s="112"/>
      <c r="AI631" s="112"/>
      <c r="AJ631" s="112"/>
      <c r="AK631" s="112"/>
      <c r="AL631" s="112"/>
      <c r="AM631" s="112"/>
      <c r="AN631" s="112"/>
      <c r="AO631" s="112"/>
      <c r="AP631" s="112"/>
    </row>
    <row r="632" ht="15.75" customHeight="1">
      <c r="A632" s="112"/>
      <c r="B632" s="112"/>
      <c r="C632" s="112"/>
      <c r="D632" s="112"/>
      <c r="E632" s="128"/>
      <c r="F632" s="112"/>
      <c r="G632" s="112"/>
      <c r="H632" s="128"/>
      <c r="I632" s="112"/>
      <c r="J632" s="112"/>
      <c r="K632" s="112"/>
      <c r="L632" s="128"/>
      <c r="M632" s="128"/>
      <c r="N632" s="112"/>
      <c r="O632" s="112"/>
      <c r="P632" s="112"/>
      <c r="Q632" s="112"/>
      <c r="R632" s="112"/>
      <c r="S632" s="112"/>
      <c r="T632" s="128"/>
      <c r="U632" s="128"/>
      <c r="V632" s="128"/>
      <c r="W632" s="128"/>
      <c r="X632" s="128"/>
      <c r="Y632" s="128"/>
      <c r="Z632" s="112"/>
      <c r="AA632" s="112"/>
      <c r="AB632" s="112"/>
      <c r="AC632" s="112"/>
      <c r="AD632" s="112"/>
      <c r="AE632" s="112"/>
      <c r="AF632" s="112"/>
      <c r="AG632" s="112"/>
      <c r="AH632" s="112"/>
      <c r="AI632" s="112"/>
      <c r="AJ632" s="112"/>
      <c r="AK632" s="112"/>
      <c r="AL632" s="112"/>
      <c r="AM632" s="112"/>
      <c r="AN632" s="112"/>
      <c r="AO632" s="112"/>
      <c r="AP632" s="112"/>
    </row>
    <row r="633" ht="15.75" customHeight="1">
      <c r="A633" s="112"/>
      <c r="B633" s="112"/>
      <c r="C633" s="112"/>
      <c r="D633" s="112"/>
      <c r="E633" s="128"/>
      <c r="F633" s="112"/>
      <c r="G633" s="112"/>
      <c r="H633" s="128"/>
      <c r="I633" s="112"/>
      <c r="J633" s="112"/>
      <c r="K633" s="112"/>
      <c r="L633" s="128"/>
      <c r="M633" s="128"/>
      <c r="N633" s="112"/>
      <c r="O633" s="112"/>
      <c r="P633" s="112"/>
      <c r="Q633" s="112"/>
      <c r="R633" s="112"/>
      <c r="S633" s="112"/>
      <c r="T633" s="128"/>
      <c r="U633" s="128"/>
      <c r="V633" s="128"/>
      <c r="W633" s="128"/>
      <c r="X633" s="128"/>
      <c r="Y633" s="128"/>
      <c r="Z633" s="112"/>
      <c r="AA633" s="112"/>
      <c r="AB633" s="112"/>
      <c r="AC633" s="112"/>
      <c r="AD633" s="112"/>
      <c r="AE633" s="112"/>
      <c r="AF633" s="112"/>
      <c r="AG633" s="112"/>
      <c r="AH633" s="112"/>
      <c r="AI633" s="112"/>
      <c r="AJ633" s="112"/>
      <c r="AK633" s="112"/>
      <c r="AL633" s="112"/>
      <c r="AM633" s="112"/>
      <c r="AN633" s="112"/>
      <c r="AO633" s="112"/>
      <c r="AP633" s="112"/>
    </row>
    <row r="634" ht="15.75" customHeight="1">
      <c r="A634" s="112"/>
      <c r="B634" s="112"/>
      <c r="C634" s="112"/>
      <c r="D634" s="112"/>
      <c r="E634" s="128"/>
      <c r="F634" s="112"/>
      <c r="G634" s="112"/>
      <c r="H634" s="128"/>
      <c r="I634" s="112"/>
      <c r="J634" s="112"/>
      <c r="K634" s="112"/>
      <c r="L634" s="128"/>
      <c r="M634" s="128"/>
      <c r="N634" s="112"/>
      <c r="O634" s="112"/>
      <c r="P634" s="112"/>
      <c r="Q634" s="112"/>
      <c r="R634" s="112"/>
      <c r="S634" s="112"/>
      <c r="T634" s="128"/>
      <c r="U634" s="128"/>
      <c r="V634" s="128"/>
      <c r="W634" s="128"/>
      <c r="X634" s="128"/>
      <c r="Y634" s="128"/>
      <c r="Z634" s="112"/>
      <c r="AA634" s="112"/>
      <c r="AB634" s="112"/>
      <c r="AC634" s="112"/>
      <c r="AD634" s="112"/>
      <c r="AE634" s="112"/>
      <c r="AF634" s="112"/>
      <c r="AG634" s="112"/>
      <c r="AH634" s="112"/>
      <c r="AI634" s="112"/>
      <c r="AJ634" s="112"/>
      <c r="AK634" s="112"/>
      <c r="AL634" s="112"/>
      <c r="AM634" s="112"/>
      <c r="AN634" s="112"/>
      <c r="AO634" s="112"/>
      <c r="AP634" s="112"/>
    </row>
    <row r="635" ht="15.75" customHeight="1">
      <c r="A635" s="112"/>
      <c r="B635" s="112"/>
      <c r="C635" s="112"/>
      <c r="D635" s="112"/>
      <c r="E635" s="128"/>
      <c r="F635" s="112"/>
      <c r="G635" s="112"/>
      <c r="H635" s="128"/>
      <c r="I635" s="112"/>
      <c r="J635" s="112"/>
      <c r="K635" s="112"/>
      <c r="L635" s="128"/>
      <c r="M635" s="128"/>
      <c r="N635" s="112"/>
      <c r="O635" s="112"/>
      <c r="P635" s="112"/>
      <c r="Q635" s="112"/>
      <c r="R635" s="112"/>
      <c r="S635" s="112"/>
      <c r="T635" s="128"/>
      <c r="U635" s="128"/>
      <c r="V635" s="128"/>
      <c r="W635" s="128"/>
      <c r="X635" s="128"/>
      <c r="Y635" s="128"/>
      <c r="Z635" s="112"/>
      <c r="AA635" s="112"/>
      <c r="AB635" s="112"/>
      <c r="AC635" s="112"/>
      <c r="AD635" s="112"/>
      <c r="AE635" s="112"/>
      <c r="AF635" s="112"/>
      <c r="AG635" s="112"/>
      <c r="AH635" s="112"/>
      <c r="AI635" s="112"/>
      <c r="AJ635" s="112"/>
      <c r="AK635" s="112"/>
      <c r="AL635" s="112"/>
      <c r="AM635" s="112"/>
      <c r="AN635" s="112"/>
      <c r="AO635" s="112"/>
      <c r="AP635" s="112"/>
    </row>
    <row r="636" ht="15.75" customHeight="1">
      <c r="A636" s="112"/>
      <c r="B636" s="112"/>
      <c r="C636" s="112"/>
      <c r="D636" s="112"/>
      <c r="E636" s="128"/>
      <c r="F636" s="112"/>
      <c r="G636" s="112"/>
      <c r="H636" s="128"/>
      <c r="I636" s="112"/>
      <c r="J636" s="112"/>
      <c r="K636" s="112"/>
      <c r="L636" s="128"/>
      <c r="M636" s="128"/>
      <c r="N636" s="112"/>
      <c r="O636" s="112"/>
      <c r="P636" s="112"/>
      <c r="Q636" s="112"/>
      <c r="R636" s="112"/>
      <c r="S636" s="112"/>
      <c r="T636" s="128"/>
      <c r="U636" s="128"/>
      <c r="V636" s="128"/>
      <c r="W636" s="128"/>
      <c r="X636" s="128"/>
      <c r="Y636" s="128"/>
      <c r="Z636" s="112"/>
      <c r="AA636" s="112"/>
      <c r="AB636" s="112"/>
      <c r="AC636" s="112"/>
      <c r="AD636" s="112"/>
      <c r="AE636" s="112"/>
      <c r="AF636" s="112"/>
      <c r="AG636" s="112"/>
      <c r="AH636" s="112"/>
      <c r="AI636" s="112"/>
      <c r="AJ636" s="112"/>
      <c r="AK636" s="112"/>
      <c r="AL636" s="112"/>
      <c r="AM636" s="112"/>
      <c r="AN636" s="112"/>
      <c r="AO636" s="112"/>
      <c r="AP636" s="112"/>
    </row>
    <row r="637" ht="15.75" customHeight="1">
      <c r="A637" s="112"/>
      <c r="B637" s="112"/>
      <c r="C637" s="112"/>
      <c r="D637" s="112"/>
      <c r="E637" s="128"/>
      <c r="F637" s="112"/>
      <c r="G637" s="112"/>
      <c r="H637" s="128"/>
      <c r="I637" s="112"/>
      <c r="J637" s="112"/>
      <c r="K637" s="112"/>
      <c r="L637" s="128"/>
      <c r="M637" s="128"/>
      <c r="N637" s="112"/>
      <c r="O637" s="112"/>
      <c r="P637" s="112"/>
      <c r="Q637" s="112"/>
      <c r="R637" s="112"/>
      <c r="S637" s="112"/>
      <c r="T637" s="128"/>
      <c r="U637" s="128"/>
      <c r="V637" s="128"/>
      <c r="W637" s="128"/>
      <c r="X637" s="128"/>
      <c r="Y637" s="128"/>
      <c r="Z637" s="112"/>
      <c r="AA637" s="112"/>
      <c r="AB637" s="112"/>
      <c r="AC637" s="112"/>
      <c r="AD637" s="112"/>
      <c r="AE637" s="112"/>
      <c r="AF637" s="112"/>
      <c r="AG637" s="112"/>
      <c r="AH637" s="112"/>
      <c r="AI637" s="112"/>
      <c r="AJ637" s="112"/>
      <c r="AK637" s="112"/>
      <c r="AL637" s="112"/>
      <c r="AM637" s="112"/>
      <c r="AN637" s="112"/>
      <c r="AO637" s="112"/>
      <c r="AP637" s="112"/>
    </row>
    <row r="638" ht="15.75" customHeight="1">
      <c r="A638" s="112"/>
      <c r="B638" s="112"/>
      <c r="C638" s="112"/>
      <c r="D638" s="112"/>
      <c r="E638" s="128"/>
      <c r="F638" s="112"/>
      <c r="G638" s="112"/>
      <c r="H638" s="128"/>
      <c r="I638" s="112"/>
      <c r="J638" s="112"/>
      <c r="K638" s="112"/>
      <c r="L638" s="128"/>
      <c r="M638" s="128"/>
      <c r="N638" s="112"/>
      <c r="O638" s="112"/>
      <c r="P638" s="112"/>
      <c r="Q638" s="112"/>
      <c r="R638" s="112"/>
      <c r="S638" s="112"/>
      <c r="T638" s="128"/>
      <c r="U638" s="128"/>
      <c r="V638" s="128"/>
      <c r="W638" s="128"/>
      <c r="X638" s="128"/>
      <c r="Y638" s="128"/>
      <c r="Z638" s="112"/>
      <c r="AA638" s="112"/>
      <c r="AB638" s="112"/>
      <c r="AC638" s="112"/>
      <c r="AD638" s="112"/>
      <c r="AE638" s="112"/>
      <c r="AF638" s="112"/>
      <c r="AG638" s="112"/>
      <c r="AH638" s="112"/>
      <c r="AI638" s="112"/>
      <c r="AJ638" s="112"/>
      <c r="AK638" s="112"/>
      <c r="AL638" s="112"/>
      <c r="AM638" s="112"/>
      <c r="AN638" s="112"/>
      <c r="AO638" s="112"/>
      <c r="AP638" s="112"/>
    </row>
    <row r="639" ht="15.75" customHeight="1">
      <c r="A639" s="112"/>
      <c r="B639" s="112"/>
      <c r="C639" s="112"/>
      <c r="D639" s="112"/>
      <c r="E639" s="128"/>
      <c r="F639" s="112"/>
      <c r="G639" s="112"/>
      <c r="H639" s="128"/>
      <c r="I639" s="112"/>
      <c r="J639" s="112"/>
      <c r="K639" s="112"/>
      <c r="L639" s="128"/>
      <c r="M639" s="128"/>
      <c r="N639" s="112"/>
      <c r="O639" s="112"/>
      <c r="P639" s="112"/>
      <c r="Q639" s="112"/>
      <c r="R639" s="112"/>
      <c r="S639" s="112"/>
      <c r="T639" s="128"/>
      <c r="U639" s="128"/>
      <c r="V639" s="128"/>
      <c r="W639" s="128"/>
      <c r="X639" s="128"/>
      <c r="Y639" s="128"/>
      <c r="Z639" s="112"/>
      <c r="AA639" s="112"/>
      <c r="AB639" s="112"/>
      <c r="AC639" s="112"/>
      <c r="AD639" s="112"/>
      <c r="AE639" s="112"/>
      <c r="AF639" s="112"/>
      <c r="AG639" s="112"/>
      <c r="AH639" s="112"/>
      <c r="AI639" s="112"/>
      <c r="AJ639" s="112"/>
      <c r="AK639" s="112"/>
      <c r="AL639" s="112"/>
      <c r="AM639" s="112"/>
      <c r="AN639" s="112"/>
      <c r="AO639" s="112"/>
      <c r="AP639" s="112"/>
    </row>
    <row r="640" ht="15.75" customHeight="1">
      <c r="A640" s="112"/>
      <c r="B640" s="112"/>
      <c r="C640" s="112"/>
      <c r="D640" s="112"/>
      <c r="E640" s="128"/>
      <c r="F640" s="112"/>
      <c r="G640" s="112"/>
      <c r="H640" s="128"/>
      <c r="I640" s="112"/>
      <c r="J640" s="112"/>
      <c r="K640" s="112"/>
      <c r="L640" s="128"/>
      <c r="M640" s="128"/>
      <c r="N640" s="112"/>
      <c r="O640" s="112"/>
      <c r="P640" s="112"/>
      <c r="Q640" s="112"/>
      <c r="R640" s="112"/>
      <c r="S640" s="112"/>
      <c r="T640" s="128"/>
      <c r="U640" s="128"/>
      <c r="V640" s="128"/>
      <c r="W640" s="128"/>
      <c r="X640" s="128"/>
      <c r="Y640" s="128"/>
      <c r="Z640" s="112"/>
      <c r="AA640" s="112"/>
      <c r="AB640" s="112"/>
      <c r="AC640" s="112"/>
      <c r="AD640" s="112"/>
      <c r="AE640" s="112"/>
      <c r="AF640" s="112"/>
      <c r="AG640" s="112"/>
      <c r="AH640" s="112"/>
      <c r="AI640" s="112"/>
      <c r="AJ640" s="112"/>
      <c r="AK640" s="112"/>
      <c r="AL640" s="112"/>
      <c r="AM640" s="112"/>
      <c r="AN640" s="112"/>
      <c r="AO640" s="112"/>
      <c r="AP640" s="112"/>
    </row>
    <row r="641" ht="15.75" customHeight="1">
      <c r="A641" s="112"/>
      <c r="B641" s="112"/>
      <c r="C641" s="112"/>
      <c r="D641" s="112"/>
      <c r="E641" s="128"/>
      <c r="F641" s="112"/>
      <c r="G641" s="112"/>
      <c r="H641" s="128"/>
      <c r="I641" s="112"/>
      <c r="J641" s="112"/>
      <c r="K641" s="112"/>
      <c r="L641" s="128"/>
      <c r="M641" s="128"/>
      <c r="N641" s="112"/>
      <c r="O641" s="112"/>
      <c r="P641" s="112"/>
      <c r="Q641" s="112"/>
      <c r="R641" s="112"/>
      <c r="S641" s="112"/>
      <c r="T641" s="128"/>
      <c r="U641" s="128"/>
      <c r="V641" s="128"/>
      <c r="W641" s="128"/>
      <c r="X641" s="128"/>
      <c r="Y641" s="128"/>
      <c r="Z641" s="112"/>
      <c r="AA641" s="112"/>
      <c r="AB641" s="112"/>
      <c r="AC641" s="112"/>
      <c r="AD641" s="112"/>
      <c r="AE641" s="112"/>
      <c r="AF641" s="112"/>
      <c r="AG641" s="112"/>
      <c r="AH641" s="112"/>
      <c r="AI641" s="112"/>
      <c r="AJ641" s="112"/>
      <c r="AK641" s="112"/>
      <c r="AL641" s="112"/>
      <c r="AM641" s="112"/>
      <c r="AN641" s="112"/>
      <c r="AO641" s="112"/>
      <c r="AP641" s="112"/>
    </row>
    <row r="642" ht="15.75" customHeight="1">
      <c r="A642" s="112"/>
      <c r="B642" s="112"/>
      <c r="C642" s="112"/>
      <c r="D642" s="112"/>
      <c r="E642" s="128"/>
      <c r="F642" s="112"/>
      <c r="G642" s="112"/>
      <c r="H642" s="128"/>
      <c r="I642" s="112"/>
      <c r="J642" s="112"/>
      <c r="K642" s="112"/>
      <c r="L642" s="128"/>
      <c r="M642" s="128"/>
      <c r="N642" s="112"/>
      <c r="O642" s="112"/>
      <c r="P642" s="112"/>
      <c r="Q642" s="112"/>
      <c r="R642" s="112"/>
      <c r="S642" s="112"/>
      <c r="T642" s="128"/>
      <c r="U642" s="128"/>
      <c r="V642" s="128"/>
      <c r="W642" s="128"/>
      <c r="X642" s="128"/>
      <c r="Y642" s="128"/>
      <c r="Z642" s="112"/>
      <c r="AA642" s="112"/>
      <c r="AB642" s="112"/>
      <c r="AC642" s="112"/>
      <c r="AD642" s="112"/>
      <c r="AE642" s="112"/>
      <c r="AF642" s="112"/>
      <c r="AG642" s="112"/>
      <c r="AH642" s="112"/>
      <c r="AI642" s="112"/>
      <c r="AJ642" s="112"/>
      <c r="AK642" s="112"/>
      <c r="AL642" s="112"/>
      <c r="AM642" s="112"/>
      <c r="AN642" s="112"/>
      <c r="AO642" s="112"/>
      <c r="AP642" s="112"/>
    </row>
    <row r="643" ht="15.75" customHeight="1">
      <c r="A643" s="112"/>
      <c r="B643" s="112"/>
      <c r="C643" s="112"/>
      <c r="D643" s="112"/>
      <c r="E643" s="128"/>
      <c r="F643" s="112"/>
      <c r="G643" s="112"/>
      <c r="H643" s="128"/>
      <c r="I643" s="112"/>
      <c r="J643" s="112"/>
      <c r="K643" s="112"/>
      <c r="L643" s="128"/>
      <c r="M643" s="128"/>
      <c r="N643" s="112"/>
      <c r="O643" s="112"/>
      <c r="P643" s="112"/>
      <c r="Q643" s="112"/>
      <c r="R643" s="112"/>
      <c r="S643" s="112"/>
      <c r="T643" s="128"/>
      <c r="U643" s="128"/>
      <c r="V643" s="128"/>
      <c r="W643" s="128"/>
      <c r="X643" s="128"/>
      <c r="Y643" s="128"/>
      <c r="Z643" s="112"/>
      <c r="AA643" s="112"/>
      <c r="AB643" s="112"/>
      <c r="AC643" s="112"/>
      <c r="AD643" s="112"/>
      <c r="AE643" s="112"/>
      <c r="AF643" s="112"/>
      <c r="AG643" s="112"/>
      <c r="AH643" s="112"/>
      <c r="AI643" s="112"/>
      <c r="AJ643" s="112"/>
      <c r="AK643" s="112"/>
      <c r="AL643" s="112"/>
      <c r="AM643" s="112"/>
      <c r="AN643" s="112"/>
      <c r="AO643" s="112"/>
      <c r="AP643" s="112"/>
    </row>
    <row r="644" ht="15.75" customHeight="1">
      <c r="A644" s="112"/>
      <c r="B644" s="112"/>
      <c r="C644" s="112"/>
      <c r="D644" s="112"/>
      <c r="E644" s="128"/>
      <c r="F644" s="112"/>
      <c r="G644" s="112"/>
      <c r="H644" s="128"/>
      <c r="I644" s="112"/>
      <c r="J644" s="112"/>
      <c r="K644" s="112"/>
      <c r="L644" s="128"/>
      <c r="M644" s="128"/>
      <c r="N644" s="112"/>
      <c r="O644" s="112"/>
      <c r="P644" s="112"/>
      <c r="Q644" s="112"/>
      <c r="R644" s="112"/>
      <c r="S644" s="112"/>
      <c r="T644" s="128"/>
      <c r="U644" s="128"/>
      <c r="V644" s="128"/>
      <c r="W644" s="128"/>
      <c r="X644" s="128"/>
      <c r="Y644" s="128"/>
      <c r="Z644" s="112"/>
      <c r="AA644" s="112"/>
      <c r="AB644" s="112"/>
      <c r="AC644" s="112"/>
      <c r="AD644" s="112"/>
      <c r="AE644" s="112"/>
      <c r="AF644" s="112"/>
      <c r="AG644" s="112"/>
      <c r="AH644" s="112"/>
      <c r="AI644" s="112"/>
      <c r="AJ644" s="112"/>
      <c r="AK644" s="112"/>
      <c r="AL644" s="112"/>
      <c r="AM644" s="112"/>
      <c r="AN644" s="112"/>
      <c r="AO644" s="112"/>
      <c r="AP644" s="112"/>
    </row>
    <row r="645" ht="15.75" customHeight="1">
      <c r="A645" s="112"/>
      <c r="B645" s="112"/>
      <c r="C645" s="112"/>
      <c r="D645" s="112"/>
      <c r="E645" s="128"/>
      <c r="F645" s="112"/>
      <c r="G645" s="112"/>
      <c r="H645" s="128"/>
      <c r="I645" s="112"/>
      <c r="J645" s="112"/>
      <c r="K645" s="112"/>
      <c r="L645" s="128"/>
      <c r="M645" s="128"/>
      <c r="N645" s="112"/>
      <c r="O645" s="112"/>
      <c r="P645" s="112"/>
      <c r="Q645" s="112"/>
      <c r="R645" s="112"/>
      <c r="S645" s="112"/>
      <c r="T645" s="128"/>
      <c r="U645" s="128"/>
      <c r="V645" s="128"/>
      <c r="W645" s="128"/>
      <c r="X645" s="128"/>
      <c r="Y645" s="128"/>
      <c r="Z645" s="112"/>
      <c r="AA645" s="112"/>
      <c r="AB645" s="112"/>
      <c r="AC645" s="112"/>
      <c r="AD645" s="112"/>
      <c r="AE645" s="112"/>
      <c r="AF645" s="112"/>
      <c r="AG645" s="112"/>
      <c r="AH645" s="112"/>
      <c r="AI645" s="112"/>
      <c r="AJ645" s="112"/>
      <c r="AK645" s="112"/>
      <c r="AL645" s="112"/>
      <c r="AM645" s="112"/>
      <c r="AN645" s="112"/>
      <c r="AO645" s="112"/>
      <c r="AP645" s="112"/>
    </row>
    <row r="646" ht="15.75" customHeight="1">
      <c r="A646" s="112"/>
      <c r="B646" s="112"/>
      <c r="C646" s="112"/>
      <c r="D646" s="112"/>
      <c r="E646" s="128"/>
      <c r="F646" s="112"/>
      <c r="G646" s="112"/>
      <c r="H646" s="128"/>
      <c r="I646" s="112"/>
      <c r="J646" s="112"/>
      <c r="K646" s="112"/>
      <c r="L646" s="128"/>
      <c r="M646" s="128"/>
      <c r="N646" s="112"/>
      <c r="O646" s="112"/>
      <c r="P646" s="112"/>
      <c r="Q646" s="112"/>
      <c r="R646" s="112"/>
      <c r="S646" s="112"/>
      <c r="T646" s="128"/>
      <c r="U646" s="128"/>
      <c r="V646" s="128"/>
      <c r="W646" s="128"/>
      <c r="X646" s="128"/>
      <c r="Y646" s="128"/>
      <c r="Z646" s="112"/>
      <c r="AA646" s="112"/>
      <c r="AB646" s="112"/>
      <c r="AC646" s="112"/>
      <c r="AD646" s="112"/>
      <c r="AE646" s="112"/>
      <c r="AF646" s="112"/>
      <c r="AG646" s="112"/>
      <c r="AH646" s="112"/>
      <c r="AI646" s="112"/>
      <c r="AJ646" s="112"/>
      <c r="AK646" s="112"/>
      <c r="AL646" s="112"/>
      <c r="AM646" s="112"/>
      <c r="AN646" s="112"/>
      <c r="AO646" s="112"/>
      <c r="AP646" s="112"/>
    </row>
    <row r="647" ht="15.75" customHeight="1">
      <c r="A647" s="112"/>
      <c r="B647" s="112"/>
      <c r="C647" s="112"/>
      <c r="D647" s="112"/>
      <c r="E647" s="128"/>
      <c r="F647" s="112"/>
      <c r="G647" s="112"/>
      <c r="H647" s="128"/>
      <c r="I647" s="112"/>
      <c r="J647" s="112"/>
      <c r="K647" s="112"/>
      <c r="L647" s="128"/>
      <c r="M647" s="128"/>
      <c r="N647" s="112"/>
      <c r="O647" s="112"/>
      <c r="P647" s="112"/>
      <c r="Q647" s="112"/>
      <c r="R647" s="112"/>
      <c r="S647" s="112"/>
      <c r="T647" s="128"/>
      <c r="U647" s="128"/>
      <c r="V647" s="128"/>
      <c r="W647" s="128"/>
      <c r="X647" s="128"/>
      <c r="Y647" s="128"/>
      <c r="Z647" s="112"/>
      <c r="AA647" s="112"/>
      <c r="AB647" s="112"/>
      <c r="AC647" s="112"/>
      <c r="AD647" s="112"/>
      <c r="AE647" s="112"/>
      <c r="AF647" s="112"/>
      <c r="AG647" s="112"/>
      <c r="AH647" s="112"/>
      <c r="AI647" s="112"/>
      <c r="AJ647" s="112"/>
      <c r="AK647" s="112"/>
      <c r="AL647" s="112"/>
      <c r="AM647" s="112"/>
      <c r="AN647" s="112"/>
      <c r="AO647" s="112"/>
      <c r="AP647" s="112"/>
    </row>
    <row r="648" ht="15.75" customHeight="1">
      <c r="A648" s="112"/>
      <c r="B648" s="112"/>
      <c r="C648" s="112"/>
      <c r="D648" s="112"/>
      <c r="E648" s="128"/>
      <c r="F648" s="112"/>
      <c r="G648" s="112"/>
      <c r="H648" s="128"/>
      <c r="I648" s="112"/>
      <c r="J648" s="112"/>
      <c r="K648" s="112"/>
      <c r="L648" s="128"/>
      <c r="M648" s="128"/>
      <c r="N648" s="112"/>
      <c r="O648" s="112"/>
      <c r="P648" s="112"/>
      <c r="Q648" s="112"/>
      <c r="R648" s="112"/>
      <c r="S648" s="112"/>
      <c r="T648" s="128"/>
      <c r="U648" s="128"/>
      <c r="V648" s="128"/>
      <c r="W648" s="128"/>
      <c r="X648" s="128"/>
      <c r="Y648" s="128"/>
      <c r="Z648" s="112"/>
      <c r="AA648" s="112"/>
      <c r="AB648" s="112"/>
      <c r="AC648" s="112"/>
      <c r="AD648" s="112"/>
      <c r="AE648" s="112"/>
      <c r="AF648" s="112"/>
      <c r="AG648" s="112"/>
      <c r="AH648" s="112"/>
      <c r="AI648" s="112"/>
      <c r="AJ648" s="112"/>
      <c r="AK648" s="112"/>
      <c r="AL648" s="112"/>
      <c r="AM648" s="112"/>
      <c r="AN648" s="112"/>
      <c r="AO648" s="112"/>
      <c r="AP648" s="112"/>
    </row>
    <row r="649" ht="15.75" customHeight="1">
      <c r="A649" s="112"/>
      <c r="B649" s="112"/>
      <c r="C649" s="112"/>
      <c r="D649" s="112"/>
      <c r="E649" s="128"/>
      <c r="F649" s="112"/>
      <c r="G649" s="112"/>
      <c r="H649" s="128"/>
      <c r="I649" s="112"/>
      <c r="J649" s="112"/>
      <c r="K649" s="112"/>
      <c r="L649" s="128"/>
      <c r="M649" s="128"/>
      <c r="N649" s="112"/>
      <c r="O649" s="112"/>
      <c r="P649" s="112"/>
      <c r="Q649" s="112"/>
      <c r="R649" s="112"/>
      <c r="S649" s="112"/>
      <c r="T649" s="128"/>
      <c r="U649" s="128"/>
      <c r="V649" s="128"/>
      <c r="W649" s="128"/>
      <c r="X649" s="128"/>
      <c r="Y649" s="128"/>
      <c r="Z649" s="112"/>
      <c r="AA649" s="112"/>
      <c r="AB649" s="112"/>
      <c r="AC649" s="112"/>
      <c r="AD649" s="112"/>
      <c r="AE649" s="112"/>
      <c r="AF649" s="112"/>
      <c r="AG649" s="112"/>
      <c r="AH649" s="112"/>
      <c r="AI649" s="112"/>
      <c r="AJ649" s="112"/>
      <c r="AK649" s="112"/>
      <c r="AL649" s="112"/>
      <c r="AM649" s="112"/>
      <c r="AN649" s="112"/>
      <c r="AO649" s="112"/>
      <c r="AP649" s="112"/>
    </row>
    <row r="650" ht="15.75" customHeight="1">
      <c r="A650" s="112"/>
      <c r="B650" s="112"/>
      <c r="C650" s="112"/>
      <c r="D650" s="112"/>
      <c r="E650" s="128"/>
      <c r="F650" s="112"/>
      <c r="G650" s="112"/>
      <c r="H650" s="128"/>
      <c r="I650" s="112"/>
      <c r="J650" s="112"/>
      <c r="K650" s="112"/>
      <c r="L650" s="128"/>
      <c r="M650" s="128"/>
      <c r="N650" s="112"/>
      <c r="O650" s="112"/>
      <c r="P650" s="112"/>
      <c r="Q650" s="112"/>
      <c r="R650" s="112"/>
      <c r="S650" s="112"/>
      <c r="T650" s="128"/>
      <c r="U650" s="128"/>
      <c r="V650" s="128"/>
      <c r="W650" s="128"/>
      <c r="X650" s="128"/>
      <c r="Y650" s="128"/>
      <c r="Z650" s="112"/>
      <c r="AA650" s="112"/>
      <c r="AB650" s="112"/>
      <c r="AC650" s="112"/>
      <c r="AD650" s="112"/>
      <c r="AE650" s="112"/>
      <c r="AF650" s="112"/>
      <c r="AG650" s="112"/>
      <c r="AH650" s="112"/>
      <c r="AI650" s="112"/>
      <c r="AJ650" s="112"/>
      <c r="AK650" s="112"/>
      <c r="AL650" s="112"/>
      <c r="AM650" s="112"/>
      <c r="AN650" s="112"/>
      <c r="AO650" s="112"/>
      <c r="AP650" s="112"/>
    </row>
    <row r="651" ht="15.75" customHeight="1">
      <c r="A651" s="112"/>
      <c r="B651" s="112"/>
      <c r="C651" s="112"/>
      <c r="D651" s="112"/>
      <c r="E651" s="128"/>
      <c r="F651" s="112"/>
      <c r="G651" s="112"/>
      <c r="H651" s="128"/>
      <c r="I651" s="112"/>
      <c r="J651" s="112"/>
      <c r="K651" s="112"/>
      <c r="L651" s="128"/>
      <c r="M651" s="128"/>
      <c r="N651" s="112"/>
      <c r="O651" s="112"/>
      <c r="P651" s="112"/>
      <c r="Q651" s="112"/>
      <c r="R651" s="112"/>
      <c r="S651" s="112"/>
      <c r="T651" s="128"/>
      <c r="U651" s="128"/>
      <c r="V651" s="128"/>
      <c r="W651" s="128"/>
      <c r="X651" s="128"/>
      <c r="Y651" s="128"/>
      <c r="Z651" s="112"/>
      <c r="AA651" s="112"/>
      <c r="AB651" s="112"/>
      <c r="AC651" s="112"/>
      <c r="AD651" s="112"/>
      <c r="AE651" s="112"/>
      <c r="AF651" s="112"/>
      <c r="AG651" s="112"/>
      <c r="AH651" s="112"/>
      <c r="AI651" s="112"/>
      <c r="AJ651" s="112"/>
      <c r="AK651" s="112"/>
      <c r="AL651" s="112"/>
      <c r="AM651" s="112"/>
      <c r="AN651" s="112"/>
      <c r="AO651" s="112"/>
      <c r="AP651" s="112"/>
    </row>
    <row r="652" ht="15.75" customHeight="1">
      <c r="A652" s="112"/>
      <c r="B652" s="112"/>
      <c r="C652" s="112"/>
      <c r="D652" s="112"/>
      <c r="E652" s="128"/>
      <c r="F652" s="112"/>
      <c r="G652" s="112"/>
      <c r="H652" s="128"/>
      <c r="I652" s="112"/>
      <c r="J652" s="112"/>
      <c r="K652" s="112"/>
      <c r="L652" s="128"/>
      <c r="M652" s="128"/>
      <c r="N652" s="112"/>
      <c r="O652" s="112"/>
      <c r="P652" s="112"/>
      <c r="Q652" s="112"/>
      <c r="R652" s="112"/>
      <c r="S652" s="112"/>
      <c r="T652" s="128"/>
      <c r="U652" s="128"/>
      <c r="V652" s="128"/>
      <c r="W652" s="128"/>
      <c r="X652" s="128"/>
      <c r="Y652" s="128"/>
      <c r="Z652" s="112"/>
      <c r="AA652" s="112"/>
      <c r="AB652" s="112"/>
      <c r="AC652" s="112"/>
      <c r="AD652" s="112"/>
      <c r="AE652" s="112"/>
      <c r="AF652" s="112"/>
      <c r="AG652" s="112"/>
      <c r="AH652" s="112"/>
      <c r="AI652" s="112"/>
      <c r="AJ652" s="112"/>
      <c r="AK652" s="112"/>
      <c r="AL652" s="112"/>
      <c r="AM652" s="112"/>
      <c r="AN652" s="112"/>
      <c r="AO652" s="112"/>
      <c r="AP652" s="112"/>
    </row>
    <row r="653" ht="15.75" customHeight="1">
      <c r="A653" s="112"/>
      <c r="B653" s="112"/>
      <c r="C653" s="112"/>
      <c r="D653" s="112"/>
      <c r="E653" s="128"/>
      <c r="F653" s="112"/>
      <c r="G653" s="112"/>
      <c r="H653" s="128"/>
      <c r="I653" s="112"/>
      <c r="J653" s="112"/>
      <c r="K653" s="112"/>
      <c r="L653" s="128"/>
      <c r="M653" s="128"/>
      <c r="N653" s="112"/>
      <c r="O653" s="112"/>
      <c r="P653" s="112"/>
      <c r="Q653" s="112"/>
      <c r="R653" s="112"/>
      <c r="S653" s="112"/>
      <c r="T653" s="128"/>
      <c r="U653" s="128"/>
      <c r="V653" s="128"/>
      <c r="W653" s="128"/>
      <c r="X653" s="128"/>
      <c r="Y653" s="128"/>
      <c r="Z653" s="112"/>
      <c r="AA653" s="112"/>
      <c r="AB653" s="112"/>
      <c r="AC653" s="112"/>
      <c r="AD653" s="112"/>
      <c r="AE653" s="112"/>
      <c r="AF653" s="112"/>
      <c r="AG653" s="112"/>
      <c r="AH653" s="112"/>
      <c r="AI653" s="112"/>
      <c r="AJ653" s="112"/>
      <c r="AK653" s="112"/>
      <c r="AL653" s="112"/>
      <c r="AM653" s="112"/>
      <c r="AN653" s="112"/>
      <c r="AO653" s="112"/>
      <c r="AP653" s="112"/>
    </row>
    <row r="654" ht="15.75" customHeight="1">
      <c r="A654" s="112"/>
      <c r="B654" s="112"/>
      <c r="C654" s="112"/>
      <c r="D654" s="112"/>
      <c r="E654" s="128"/>
      <c r="F654" s="112"/>
      <c r="G654" s="112"/>
      <c r="H654" s="128"/>
      <c r="I654" s="112"/>
      <c r="J654" s="112"/>
      <c r="K654" s="112"/>
      <c r="L654" s="128"/>
      <c r="M654" s="128"/>
      <c r="N654" s="112"/>
      <c r="O654" s="112"/>
      <c r="P654" s="112"/>
      <c r="Q654" s="112"/>
      <c r="R654" s="112"/>
      <c r="S654" s="112"/>
      <c r="T654" s="128"/>
      <c r="U654" s="128"/>
      <c r="V654" s="128"/>
      <c r="W654" s="128"/>
      <c r="X654" s="128"/>
      <c r="Y654" s="128"/>
      <c r="Z654" s="112"/>
      <c r="AA654" s="112"/>
      <c r="AB654" s="112"/>
      <c r="AC654" s="112"/>
      <c r="AD654" s="112"/>
      <c r="AE654" s="112"/>
      <c r="AF654" s="112"/>
      <c r="AG654" s="112"/>
      <c r="AH654" s="112"/>
      <c r="AI654" s="112"/>
      <c r="AJ654" s="112"/>
      <c r="AK654" s="112"/>
      <c r="AL654" s="112"/>
      <c r="AM654" s="112"/>
      <c r="AN654" s="112"/>
      <c r="AO654" s="112"/>
      <c r="AP654" s="112"/>
    </row>
    <row r="655" ht="15.75" customHeight="1">
      <c r="A655" s="112"/>
      <c r="B655" s="112"/>
      <c r="C655" s="112"/>
      <c r="D655" s="112"/>
      <c r="E655" s="128"/>
      <c r="F655" s="112"/>
      <c r="G655" s="112"/>
      <c r="H655" s="128"/>
      <c r="I655" s="112"/>
      <c r="J655" s="112"/>
      <c r="K655" s="112"/>
      <c r="L655" s="128"/>
      <c r="M655" s="128"/>
      <c r="N655" s="112"/>
      <c r="O655" s="112"/>
      <c r="P655" s="112"/>
      <c r="Q655" s="112"/>
      <c r="R655" s="112"/>
      <c r="S655" s="112"/>
      <c r="T655" s="128"/>
      <c r="U655" s="128"/>
      <c r="V655" s="128"/>
      <c r="W655" s="128"/>
      <c r="X655" s="128"/>
      <c r="Y655" s="128"/>
      <c r="Z655" s="112"/>
      <c r="AA655" s="112"/>
      <c r="AB655" s="112"/>
      <c r="AC655" s="112"/>
      <c r="AD655" s="112"/>
      <c r="AE655" s="112"/>
      <c r="AF655" s="112"/>
      <c r="AG655" s="112"/>
      <c r="AH655" s="112"/>
      <c r="AI655" s="112"/>
      <c r="AJ655" s="112"/>
      <c r="AK655" s="112"/>
      <c r="AL655" s="112"/>
      <c r="AM655" s="112"/>
      <c r="AN655" s="112"/>
      <c r="AO655" s="112"/>
      <c r="AP655" s="112"/>
    </row>
    <row r="656" ht="15.75" customHeight="1">
      <c r="A656" s="112"/>
      <c r="B656" s="112"/>
      <c r="C656" s="112"/>
      <c r="D656" s="112"/>
      <c r="E656" s="128"/>
      <c r="F656" s="112"/>
      <c r="G656" s="112"/>
      <c r="H656" s="128"/>
      <c r="I656" s="112"/>
      <c r="J656" s="112"/>
      <c r="K656" s="112"/>
      <c r="L656" s="128"/>
      <c r="M656" s="128"/>
      <c r="N656" s="112"/>
      <c r="O656" s="112"/>
      <c r="P656" s="112"/>
      <c r="Q656" s="112"/>
      <c r="R656" s="112"/>
      <c r="S656" s="112"/>
      <c r="T656" s="128"/>
      <c r="U656" s="128"/>
      <c r="V656" s="128"/>
      <c r="W656" s="128"/>
      <c r="X656" s="128"/>
      <c r="Y656" s="128"/>
      <c r="Z656" s="112"/>
      <c r="AA656" s="112"/>
      <c r="AB656" s="112"/>
      <c r="AC656" s="112"/>
      <c r="AD656" s="112"/>
      <c r="AE656" s="112"/>
      <c r="AF656" s="112"/>
      <c r="AG656" s="112"/>
      <c r="AH656" s="112"/>
      <c r="AI656" s="112"/>
      <c r="AJ656" s="112"/>
      <c r="AK656" s="112"/>
      <c r="AL656" s="112"/>
      <c r="AM656" s="112"/>
      <c r="AN656" s="112"/>
      <c r="AO656" s="112"/>
      <c r="AP656" s="112"/>
    </row>
    <row r="657" ht="15.75" customHeight="1">
      <c r="A657" s="112"/>
      <c r="B657" s="112"/>
      <c r="C657" s="112"/>
      <c r="D657" s="112"/>
      <c r="E657" s="128"/>
      <c r="F657" s="112"/>
      <c r="G657" s="112"/>
      <c r="H657" s="128"/>
      <c r="I657" s="112"/>
      <c r="J657" s="112"/>
      <c r="K657" s="112"/>
      <c r="L657" s="128"/>
      <c r="M657" s="128"/>
      <c r="N657" s="112"/>
      <c r="O657" s="112"/>
      <c r="P657" s="112"/>
      <c r="Q657" s="112"/>
      <c r="R657" s="112"/>
      <c r="S657" s="112"/>
      <c r="T657" s="128"/>
      <c r="U657" s="128"/>
      <c r="V657" s="128"/>
      <c r="W657" s="128"/>
      <c r="X657" s="128"/>
      <c r="Y657" s="128"/>
      <c r="Z657" s="112"/>
      <c r="AA657" s="112"/>
      <c r="AB657" s="112"/>
      <c r="AC657" s="112"/>
      <c r="AD657" s="112"/>
      <c r="AE657" s="112"/>
      <c r="AF657" s="112"/>
      <c r="AG657" s="112"/>
      <c r="AH657" s="112"/>
      <c r="AI657" s="112"/>
      <c r="AJ657" s="112"/>
      <c r="AK657" s="112"/>
      <c r="AL657" s="112"/>
      <c r="AM657" s="112"/>
      <c r="AN657" s="112"/>
      <c r="AO657" s="112"/>
      <c r="AP657" s="112"/>
    </row>
    <row r="658" ht="15.75" customHeight="1">
      <c r="A658" s="112"/>
      <c r="B658" s="112"/>
      <c r="C658" s="112"/>
      <c r="D658" s="112"/>
      <c r="E658" s="128"/>
      <c r="F658" s="112"/>
      <c r="G658" s="112"/>
      <c r="H658" s="128"/>
      <c r="I658" s="112"/>
      <c r="J658" s="112"/>
      <c r="K658" s="112"/>
      <c r="L658" s="128"/>
      <c r="M658" s="128"/>
      <c r="N658" s="112"/>
      <c r="O658" s="112"/>
      <c r="P658" s="112"/>
      <c r="Q658" s="112"/>
      <c r="R658" s="112"/>
      <c r="S658" s="112"/>
      <c r="T658" s="128"/>
      <c r="U658" s="128"/>
      <c r="V658" s="128"/>
      <c r="W658" s="128"/>
      <c r="X658" s="128"/>
      <c r="Y658" s="128"/>
      <c r="Z658" s="112"/>
      <c r="AA658" s="112"/>
      <c r="AB658" s="112"/>
      <c r="AC658" s="112"/>
      <c r="AD658" s="112"/>
      <c r="AE658" s="112"/>
      <c r="AF658" s="112"/>
      <c r="AG658" s="112"/>
      <c r="AH658" s="112"/>
      <c r="AI658" s="112"/>
      <c r="AJ658" s="112"/>
      <c r="AK658" s="112"/>
      <c r="AL658" s="112"/>
      <c r="AM658" s="112"/>
      <c r="AN658" s="112"/>
      <c r="AO658" s="112"/>
      <c r="AP658" s="112"/>
    </row>
    <row r="659" ht="15.75" customHeight="1">
      <c r="A659" s="112"/>
      <c r="B659" s="112"/>
      <c r="C659" s="112"/>
      <c r="D659" s="112"/>
      <c r="E659" s="128"/>
      <c r="F659" s="112"/>
      <c r="G659" s="112"/>
      <c r="H659" s="128"/>
      <c r="I659" s="112"/>
      <c r="J659" s="112"/>
      <c r="K659" s="112"/>
      <c r="L659" s="128"/>
      <c r="M659" s="128"/>
      <c r="N659" s="112"/>
      <c r="O659" s="112"/>
      <c r="P659" s="112"/>
      <c r="Q659" s="112"/>
      <c r="R659" s="112"/>
      <c r="S659" s="112"/>
      <c r="T659" s="128"/>
      <c r="U659" s="128"/>
      <c r="V659" s="128"/>
      <c r="W659" s="128"/>
      <c r="X659" s="128"/>
      <c r="Y659" s="128"/>
      <c r="Z659" s="112"/>
      <c r="AA659" s="112"/>
      <c r="AB659" s="112"/>
      <c r="AC659" s="112"/>
      <c r="AD659" s="112"/>
      <c r="AE659" s="112"/>
      <c r="AF659" s="112"/>
      <c r="AG659" s="112"/>
      <c r="AH659" s="112"/>
      <c r="AI659" s="112"/>
      <c r="AJ659" s="112"/>
      <c r="AK659" s="112"/>
      <c r="AL659" s="112"/>
      <c r="AM659" s="112"/>
      <c r="AN659" s="112"/>
      <c r="AO659" s="112"/>
      <c r="AP659" s="112"/>
    </row>
    <row r="660" ht="15.75" customHeight="1">
      <c r="A660" s="112"/>
      <c r="B660" s="112"/>
      <c r="C660" s="112"/>
      <c r="D660" s="112"/>
      <c r="E660" s="128"/>
      <c r="F660" s="112"/>
      <c r="G660" s="112"/>
      <c r="H660" s="128"/>
      <c r="I660" s="112"/>
      <c r="J660" s="112"/>
      <c r="K660" s="112"/>
      <c r="L660" s="128"/>
      <c r="M660" s="128"/>
      <c r="N660" s="112"/>
      <c r="O660" s="112"/>
      <c r="P660" s="112"/>
      <c r="Q660" s="112"/>
      <c r="R660" s="112"/>
      <c r="S660" s="112"/>
      <c r="T660" s="128"/>
      <c r="U660" s="128"/>
      <c r="V660" s="128"/>
      <c r="W660" s="128"/>
      <c r="X660" s="128"/>
      <c r="Y660" s="128"/>
      <c r="Z660" s="112"/>
      <c r="AA660" s="112"/>
      <c r="AB660" s="112"/>
      <c r="AC660" s="112"/>
      <c r="AD660" s="112"/>
      <c r="AE660" s="112"/>
      <c r="AF660" s="112"/>
      <c r="AG660" s="112"/>
      <c r="AH660" s="112"/>
      <c r="AI660" s="112"/>
      <c r="AJ660" s="112"/>
      <c r="AK660" s="112"/>
      <c r="AL660" s="112"/>
      <c r="AM660" s="112"/>
      <c r="AN660" s="112"/>
      <c r="AO660" s="112"/>
      <c r="AP660" s="112"/>
    </row>
    <row r="661" ht="15.75" customHeight="1">
      <c r="A661" s="112"/>
      <c r="B661" s="112"/>
      <c r="C661" s="112"/>
      <c r="D661" s="112"/>
      <c r="E661" s="128"/>
      <c r="F661" s="112"/>
      <c r="G661" s="112"/>
      <c r="H661" s="128"/>
      <c r="I661" s="112"/>
      <c r="J661" s="112"/>
      <c r="K661" s="112"/>
      <c r="L661" s="128"/>
      <c r="M661" s="128"/>
      <c r="N661" s="112"/>
      <c r="O661" s="112"/>
      <c r="P661" s="112"/>
      <c r="Q661" s="112"/>
      <c r="R661" s="112"/>
      <c r="S661" s="112"/>
      <c r="T661" s="128"/>
      <c r="U661" s="128"/>
      <c r="V661" s="128"/>
      <c r="W661" s="128"/>
      <c r="X661" s="128"/>
      <c r="Y661" s="128"/>
      <c r="Z661" s="112"/>
      <c r="AA661" s="112"/>
      <c r="AB661" s="112"/>
      <c r="AC661" s="112"/>
      <c r="AD661" s="112"/>
      <c r="AE661" s="112"/>
      <c r="AF661" s="112"/>
      <c r="AG661" s="112"/>
      <c r="AH661" s="112"/>
      <c r="AI661" s="112"/>
      <c r="AJ661" s="112"/>
      <c r="AK661" s="112"/>
      <c r="AL661" s="112"/>
      <c r="AM661" s="112"/>
      <c r="AN661" s="112"/>
      <c r="AO661" s="112"/>
      <c r="AP661" s="112"/>
    </row>
    <row r="662" ht="15.75" customHeight="1">
      <c r="A662" s="112"/>
      <c r="B662" s="112"/>
      <c r="C662" s="112"/>
      <c r="D662" s="112"/>
      <c r="E662" s="128"/>
      <c r="F662" s="112"/>
      <c r="G662" s="112"/>
      <c r="H662" s="128"/>
      <c r="I662" s="112"/>
      <c r="J662" s="112"/>
      <c r="K662" s="112"/>
      <c r="L662" s="128"/>
      <c r="M662" s="128"/>
      <c r="N662" s="112"/>
      <c r="O662" s="112"/>
      <c r="P662" s="112"/>
      <c r="Q662" s="112"/>
      <c r="R662" s="112"/>
      <c r="S662" s="112"/>
      <c r="T662" s="128"/>
      <c r="U662" s="128"/>
      <c r="V662" s="128"/>
      <c r="W662" s="128"/>
      <c r="X662" s="128"/>
      <c r="Y662" s="128"/>
      <c r="Z662" s="112"/>
      <c r="AA662" s="112"/>
      <c r="AB662" s="112"/>
      <c r="AC662" s="112"/>
      <c r="AD662" s="112"/>
      <c r="AE662" s="112"/>
      <c r="AF662" s="112"/>
      <c r="AG662" s="112"/>
      <c r="AH662" s="112"/>
      <c r="AI662" s="112"/>
      <c r="AJ662" s="112"/>
      <c r="AK662" s="112"/>
      <c r="AL662" s="112"/>
      <c r="AM662" s="112"/>
      <c r="AN662" s="112"/>
      <c r="AO662" s="112"/>
      <c r="AP662" s="112"/>
    </row>
    <row r="663" ht="15.75" customHeight="1">
      <c r="A663" s="112"/>
      <c r="B663" s="112"/>
      <c r="C663" s="112"/>
      <c r="D663" s="112"/>
      <c r="E663" s="128"/>
      <c r="F663" s="112"/>
      <c r="G663" s="112"/>
      <c r="H663" s="128"/>
      <c r="I663" s="112"/>
      <c r="J663" s="112"/>
      <c r="K663" s="112"/>
      <c r="L663" s="128"/>
      <c r="M663" s="128"/>
      <c r="N663" s="112"/>
      <c r="O663" s="112"/>
      <c r="P663" s="112"/>
      <c r="Q663" s="112"/>
      <c r="R663" s="112"/>
      <c r="S663" s="112"/>
      <c r="T663" s="128"/>
      <c r="U663" s="128"/>
      <c r="V663" s="128"/>
      <c r="W663" s="128"/>
      <c r="X663" s="128"/>
      <c r="Y663" s="128"/>
      <c r="Z663" s="112"/>
      <c r="AA663" s="112"/>
      <c r="AB663" s="112"/>
      <c r="AC663" s="112"/>
      <c r="AD663" s="112"/>
      <c r="AE663" s="112"/>
      <c r="AF663" s="112"/>
      <c r="AG663" s="112"/>
      <c r="AH663" s="112"/>
      <c r="AI663" s="112"/>
      <c r="AJ663" s="112"/>
      <c r="AK663" s="112"/>
      <c r="AL663" s="112"/>
      <c r="AM663" s="112"/>
      <c r="AN663" s="112"/>
      <c r="AO663" s="112"/>
      <c r="AP663" s="112"/>
    </row>
    <row r="664" ht="15.75" customHeight="1">
      <c r="A664" s="112"/>
      <c r="B664" s="112"/>
      <c r="C664" s="112"/>
      <c r="D664" s="112"/>
      <c r="E664" s="128"/>
      <c r="F664" s="112"/>
      <c r="G664" s="112"/>
      <c r="H664" s="128"/>
      <c r="I664" s="112"/>
      <c r="J664" s="112"/>
      <c r="K664" s="112"/>
      <c r="L664" s="128"/>
      <c r="M664" s="128"/>
      <c r="N664" s="112"/>
      <c r="O664" s="112"/>
      <c r="P664" s="112"/>
      <c r="Q664" s="112"/>
      <c r="R664" s="112"/>
      <c r="S664" s="112"/>
      <c r="T664" s="128"/>
      <c r="U664" s="128"/>
      <c r="V664" s="128"/>
      <c r="W664" s="128"/>
      <c r="X664" s="128"/>
      <c r="Y664" s="128"/>
      <c r="Z664" s="112"/>
      <c r="AA664" s="112"/>
      <c r="AB664" s="112"/>
      <c r="AC664" s="112"/>
      <c r="AD664" s="112"/>
      <c r="AE664" s="112"/>
      <c r="AF664" s="112"/>
      <c r="AG664" s="112"/>
      <c r="AH664" s="112"/>
      <c r="AI664" s="112"/>
      <c r="AJ664" s="112"/>
      <c r="AK664" s="112"/>
      <c r="AL664" s="112"/>
      <c r="AM664" s="112"/>
      <c r="AN664" s="112"/>
      <c r="AO664" s="112"/>
      <c r="AP664" s="112"/>
    </row>
    <row r="665" ht="15.75" customHeight="1">
      <c r="A665" s="112"/>
      <c r="B665" s="112"/>
      <c r="C665" s="112"/>
      <c r="D665" s="112"/>
      <c r="E665" s="128"/>
      <c r="F665" s="112"/>
      <c r="G665" s="112"/>
      <c r="H665" s="128"/>
      <c r="I665" s="112"/>
      <c r="J665" s="112"/>
      <c r="K665" s="112"/>
      <c r="L665" s="128"/>
      <c r="M665" s="128"/>
      <c r="N665" s="112"/>
      <c r="O665" s="112"/>
      <c r="P665" s="112"/>
      <c r="Q665" s="112"/>
      <c r="R665" s="112"/>
      <c r="S665" s="112"/>
      <c r="T665" s="128"/>
      <c r="U665" s="128"/>
      <c r="V665" s="128"/>
      <c r="W665" s="128"/>
      <c r="X665" s="128"/>
      <c r="Y665" s="128"/>
      <c r="Z665" s="112"/>
      <c r="AA665" s="112"/>
      <c r="AB665" s="112"/>
      <c r="AC665" s="112"/>
      <c r="AD665" s="112"/>
      <c r="AE665" s="112"/>
      <c r="AF665" s="112"/>
      <c r="AG665" s="112"/>
      <c r="AH665" s="112"/>
      <c r="AI665" s="112"/>
      <c r="AJ665" s="112"/>
      <c r="AK665" s="112"/>
      <c r="AL665" s="112"/>
      <c r="AM665" s="112"/>
      <c r="AN665" s="112"/>
      <c r="AO665" s="112"/>
      <c r="AP665" s="112"/>
    </row>
    <row r="666" ht="15.75" customHeight="1">
      <c r="A666" s="112"/>
      <c r="B666" s="112"/>
      <c r="C666" s="112"/>
      <c r="D666" s="112"/>
      <c r="E666" s="128"/>
      <c r="F666" s="112"/>
      <c r="G666" s="112"/>
      <c r="H666" s="128"/>
      <c r="I666" s="112"/>
      <c r="J666" s="112"/>
      <c r="K666" s="112"/>
      <c r="L666" s="128"/>
      <c r="M666" s="128"/>
      <c r="N666" s="112"/>
      <c r="O666" s="112"/>
      <c r="P666" s="112"/>
      <c r="Q666" s="112"/>
      <c r="R666" s="112"/>
      <c r="S666" s="112"/>
      <c r="T666" s="128"/>
      <c r="U666" s="128"/>
      <c r="V666" s="128"/>
      <c r="W666" s="128"/>
      <c r="X666" s="128"/>
      <c r="Y666" s="128"/>
      <c r="Z666" s="112"/>
      <c r="AA666" s="112"/>
      <c r="AB666" s="112"/>
      <c r="AC666" s="112"/>
      <c r="AD666" s="112"/>
      <c r="AE666" s="112"/>
      <c r="AF666" s="112"/>
      <c r="AG666" s="112"/>
      <c r="AH666" s="112"/>
      <c r="AI666" s="112"/>
      <c r="AJ666" s="112"/>
      <c r="AK666" s="112"/>
      <c r="AL666" s="112"/>
      <c r="AM666" s="112"/>
      <c r="AN666" s="112"/>
      <c r="AO666" s="112"/>
      <c r="AP666" s="112"/>
    </row>
    <row r="667" ht="15.75" customHeight="1">
      <c r="A667" s="112"/>
      <c r="B667" s="112"/>
      <c r="C667" s="112"/>
      <c r="D667" s="112"/>
      <c r="E667" s="128"/>
      <c r="F667" s="112"/>
      <c r="G667" s="112"/>
      <c r="H667" s="128"/>
      <c r="I667" s="112"/>
      <c r="J667" s="112"/>
      <c r="K667" s="112"/>
      <c r="L667" s="128"/>
      <c r="M667" s="128"/>
      <c r="N667" s="112"/>
      <c r="O667" s="112"/>
      <c r="P667" s="112"/>
      <c r="Q667" s="112"/>
      <c r="R667" s="112"/>
      <c r="S667" s="112"/>
      <c r="T667" s="128"/>
      <c r="U667" s="128"/>
      <c r="V667" s="128"/>
      <c r="W667" s="128"/>
      <c r="X667" s="128"/>
      <c r="Y667" s="128"/>
      <c r="Z667" s="112"/>
      <c r="AA667" s="112"/>
      <c r="AB667" s="112"/>
      <c r="AC667" s="112"/>
      <c r="AD667" s="112"/>
      <c r="AE667" s="112"/>
      <c r="AF667" s="112"/>
      <c r="AG667" s="112"/>
      <c r="AH667" s="112"/>
      <c r="AI667" s="112"/>
      <c r="AJ667" s="112"/>
      <c r="AK667" s="112"/>
      <c r="AL667" s="112"/>
      <c r="AM667" s="112"/>
      <c r="AN667" s="112"/>
      <c r="AO667" s="112"/>
      <c r="AP667" s="112"/>
    </row>
    <row r="668" ht="15.75" customHeight="1">
      <c r="A668" s="112"/>
      <c r="B668" s="112"/>
      <c r="C668" s="112"/>
      <c r="D668" s="112"/>
      <c r="E668" s="128"/>
      <c r="F668" s="112"/>
      <c r="G668" s="112"/>
      <c r="H668" s="128"/>
      <c r="I668" s="112"/>
      <c r="J668" s="112"/>
      <c r="K668" s="112"/>
      <c r="L668" s="128"/>
      <c r="M668" s="128"/>
      <c r="N668" s="112"/>
      <c r="O668" s="112"/>
      <c r="P668" s="112"/>
      <c r="Q668" s="112"/>
      <c r="R668" s="112"/>
      <c r="S668" s="112"/>
      <c r="T668" s="128"/>
      <c r="U668" s="128"/>
      <c r="V668" s="128"/>
      <c r="W668" s="128"/>
      <c r="X668" s="128"/>
      <c r="Y668" s="128"/>
      <c r="Z668" s="112"/>
      <c r="AA668" s="112"/>
      <c r="AB668" s="112"/>
      <c r="AC668" s="112"/>
      <c r="AD668" s="112"/>
      <c r="AE668" s="112"/>
      <c r="AF668" s="112"/>
      <c r="AG668" s="112"/>
      <c r="AH668" s="112"/>
      <c r="AI668" s="112"/>
      <c r="AJ668" s="112"/>
      <c r="AK668" s="112"/>
      <c r="AL668" s="112"/>
      <c r="AM668" s="112"/>
      <c r="AN668" s="112"/>
      <c r="AO668" s="112"/>
      <c r="AP668" s="112"/>
    </row>
    <row r="669" ht="15.75" customHeight="1">
      <c r="A669" s="112"/>
      <c r="B669" s="112"/>
      <c r="C669" s="112"/>
      <c r="D669" s="112"/>
      <c r="E669" s="128"/>
      <c r="F669" s="112"/>
      <c r="G669" s="112"/>
      <c r="H669" s="128"/>
      <c r="I669" s="112"/>
      <c r="J669" s="112"/>
      <c r="K669" s="112"/>
      <c r="L669" s="128"/>
      <c r="M669" s="128"/>
      <c r="N669" s="112"/>
      <c r="O669" s="112"/>
      <c r="P669" s="112"/>
      <c r="Q669" s="112"/>
      <c r="R669" s="112"/>
      <c r="S669" s="112"/>
      <c r="T669" s="128"/>
      <c r="U669" s="128"/>
      <c r="V669" s="128"/>
      <c r="W669" s="128"/>
      <c r="X669" s="128"/>
      <c r="Y669" s="128"/>
      <c r="Z669" s="112"/>
      <c r="AA669" s="112"/>
      <c r="AB669" s="112"/>
      <c r="AC669" s="112"/>
      <c r="AD669" s="112"/>
      <c r="AE669" s="112"/>
      <c r="AF669" s="112"/>
      <c r="AG669" s="112"/>
      <c r="AH669" s="112"/>
      <c r="AI669" s="112"/>
      <c r="AJ669" s="112"/>
      <c r="AK669" s="112"/>
      <c r="AL669" s="112"/>
      <c r="AM669" s="112"/>
      <c r="AN669" s="112"/>
      <c r="AO669" s="112"/>
      <c r="AP669" s="112"/>
    </row>
    <row r="670" ht="15.75" customHeight="1">
      <c r="A670" s="112"/>
      <c r="B670" s="112"/>
      <c r="C670" s="112"/>
      <c r="D670" s="112"/>
      <c r="E670" s="128"/>
      <c r="F670" s="112"/>
      <c r="G670" s="112"/>
      <c r="H670" s="128"/>
      <c r="I670" s="112"/>
      <c r="J670" s="112"/>
      <c r="K670" s="112"/>
      <c r="L670" s="128"/>
      <c r="M670" s="128"/>
      <c r="N670" s="112"/>
      <c r="O670" s="112"/>
      <c r="P670" s="112"/>
      <c r="Q670" s="112"/>
      <c r="R670" s="112"/>
      <c r="S670" s="112"/>
      <c r="T670" s="128"/>
      <c r="U670" s="128"/>
      <c r="V670" s="128"/>
      <c r="W670" s="128"/>
      <c r="X670" s="128"/>
      <c r="Y670" s="128"/>
      <c r="Z670" s="112"/>
      <c r="AA670" s="112"/>
      <c r="AB670" s="112"/>
      <c r="AC670" s="112"/>
      <c r="AD670" s="112"/>
      <c r="AE670" s="112"/>
      <c r="AF670" s="112"/>
      <c r="AG670" s="112"/>
      <c r="AH670" s="112"/>
      <c r="AI670" s="112"/>
      <c r="AJ670" s="112"/>
      <c r="AK670" s="112"/>
      <c r="AL670" s="112"/>
      <c r="AM670" s="112"/>
      <c r="AN670" s="112"/>
      <c r="AO670" s="112"/>
      <c r="AP670" s="112"/>
    </row>
    <row r="671" ht="15.75" customHeight="1">
      <c r="A671" s="112"/>
      <c r="B671" s="112"/>
      <c r="C671" s="112"/>
      <c r="D671" s="112"/>
      <c r="E671" s="128"/>
      <c r="F671" s="112"/>
      <c r="G671" s="112"/>
      <c r="H671" s="128"/>
      <c r="I671" s="112"/>
      <c r="J671" s="112"/>
      <c r="K671" s="112"/>
      <c r="L671" s="128"/>
      <c r="M671" s="128"/>
      <c r="N671" s="112"/>
      <c r="O671" s="112"/>
      <c r="P671" s="112"/>
      <c r="Q671" s="112"/>
      <c r="R671" s="112"/>
      <c r="S671" s="112"/>
      <c r="T671" s="128"/>
      <c r="U671" s="128"/>
      <c r="V671" s="128"/>
      <c r="W671" s="128"/>
      <c r="X671" s="128"/>
      <c r="Y671" s="128"/>
      <c r="Z671" s="112"/>
      <c r="AA671" s="112"/>
      <c r="AB671" s="112"/>
      <c r="AC671" s="112"/>
      <c r="AD671" s="112"/>
      <c r="AE671" s="112"/>
      <c r="AF671" s="112"/>
      <c r="AG671" s="112"/>
      <c r="AH671" s="112"/>
      <c r="AI671" s="112"/>
      <c r="AJ671" s="112"/>
      <c r="AK671" s="112"/>
      <c r="AL671" s="112"/>
      <c r="AM671" s="112"/>
      <c r="AN671" s="112"/>
      <c r="AO671" s="112"/>
      <c r="AP671" s="112"/>
    </row>
    <row r="672" ht="15.75" customHeight="1">
      <c r="A672" s="112"/>
      <c r="B672" s="112"/>
      <c r="C672" s="112"/>
      <c r="D672" s="112"/>
      <c r="E672" s="128"/>
      <c r="F672" s="112"/>
      <c r="G672" s="112"/>
      <c r="H672" s="128"/>
      <c r="I672" s="112"/>
      <c r="J672" s="112"/>
      <c r="K672" s="112"/>
      <c r="L672" s="128"/>
      <c r="M672" s="128"/>
      <c r="N672" s="112"/>
      <c r="O672" s="112"/>
      <c r="P672" s="112"/>
      <c r="Q672" s="112"/>
      <c r="R672" s="112"/>
      <c r="S672" s="112"/>
      <c r="T672" s="128"/>
      <c r="U672" s="128"/>
      <c r="V672" s="128"/>
      <c r="W672" s="128"/>
      <c r="X672" s="128"/>
      <c r="Y672" s="128"/>
      <c r="Z672" s="112"/>
      <c r="AA672" s="112"/>
      <c r="AB672" s="112"/>
      <c r="AC672" s="112"/>
      <c r="AD672" s="112"/>
      <c r="AE672" s="112"/>
      <c r="AF672" s="112"/>
      <c r="AG672" s="112"/>
      <c r="AH672" s="112"/>
      <c r="AI672" s="112"/>
      <c r="AJ672" s="112"/>
      <c r="AK672" s="112"/>
      <c r="AL672" s="112"/>
      <c r="AM672" s="112"/>
      <c r="AN672" s="112"/>
      <c r="AO672" s="112"/>
      <c r="AP672" s="112"/>
    </row>
    <row r="673" ht="15.75" customHeight="1">
      <c r="A673" s="112"/>
      <c r="B673" s="112"/>
      <c r="C673" s="112"/>
      <c r="D673" s="112"/>
      <c r="E673" s="128"/>
      <c r="F673" s="112"/>
      <c r="G673" s="112"/>
      <c r="H673" s="128"/>
      <c r="I673" s="112"/>
      <c r="J673" s="112"/>
      <c r="K673" s="112"/>
      <c r="L673" s="128"/>
      <c r="M673" s="128"/>
      <c r="N673" s="112"/>
      <c r="O673" s="112"/>
      <c r="P673" s="112"/>
      <c r="Q673" s="112"/>
      <c r="R673" s="112"/>
      <c r="S673" s="112"/>
      <c r="T673" s="128"/>
      <c r="U673" s="128"/>
      <c r="V673" s="128"/>
      <c r="W673" s="128"/>
      <c r="X673" s="128"/>
      <c r="Y673" s="128"/>
      <c r="Z673" s="112"/>
      <c r="AA673" s="112"/>
      <c r="AB673" s="112"/>
      <c r="AC673" s="112"/>
      <c r="AD673" s="112"/>
      <c r="AE673" s="112"/>
      <c r="AF673" s="112"/>
      <c r="AG673" s="112"/>
      <c r="AH673" s="112"/>
      <c r="AI673" s="112"/>
      <c r="AJ673" s="112"/>
      <c r="AK673" s="112"/>
      <c r="AL673" s="112"/>
      <c r="AM673" s="112"/>
      <c r="AN673" s="112"/>
      <c r="AO673" s="112"/>
      <c r="AP673" s="112"/>
    </row>
    <row r="674" ht="15.75" customHeight="1">
      <c r="A674" s="112"/>
      <c r="B674" s="112"/>
      <c r="C674" s="112"/>
      <c r="D674" s="112"/>
      <c r="E674" s="128"/>
      <c r="F674" s="112"/>
      <c r="G674" s="112"/>
      <c r="H674" s="128"/>
      <c r="I674" s="112"/>
      <c r="J674" s="112"/>
      <c r="K674" s="112"/>
      <c r="L674" s="128"/>
      <c r="M674" s="128"/>
      <c r="N674" s="112"/>
      <c r="O674" s="112"/>
      <c r="P674" s="112"/>
      <c r="Q674" s="112"/>
      <c r="R674" s="112"/>
      <c r="S674" s="112"/>
      <c r="T674" s="128"/>
      <c r="U674" s="128"/>
      <c r="V674" s="128"/>
      <c r="W674" s="128"/>
      <c r="X674" s="128"/>
      <c r="Y674" s="128"/>
      <c r="Z674" s="112"/>
      <c r="AA674" s="112"/>
      <c r="AB674" s="112"/>
      <c r="AC674" s="112"/>
      <c r="AD674" s="112"/>
      <c r="AE674" s="112"/>
      <c r="AF674" s="112"/>
      <c r="AG674" s="112"/>
      <c r="AH674" s="112"/>
      <c r="AI674" s="112"/>
      <c r="AJ674" s="112"/>
      <c r="AK674" s="112"/>
      <c r="AL674" s="112"/>
      <c r="AM674" s="112"/>
      <c r="AN674" s="112"/>
      <c r="AO674" s="112"/>
      <c r="AP674" s="112"/>
    </row>
    <row r="675" ht="15.75" customHeight="1">
      <c r="A675" s="112"/>
      <c r="B675" s="112"/>
      <c r="C675" s="112"/>
      <c r="D675" s="112"/>
      <c r="E675" s="128"/>
      <c r="F675" s="112"/>
      <c r="G675" s="112"/>
      <c r="H675" s="128"/>
      <c r="I675" s="112"/>
      <c r="J675" s="112"/>
      <c r="K675" s="112"/>
      <c r="L675" s="128"/>
      <c r="M675" s="128"/>
      <c r="N675" s="112"/>
      <c r="O675" s="112"/>
      <c r="P675" s="112"/>
      <c r="Q675" s="112"/>
      <c r="R675" s="112"/>
      <c r="S675" s="112"/>
      <c r="T675" s="128"/>
      <c r="U675" s="128"/>
      <c r="V675" s="128"/>
      <c r="W675" s="128"/>
      <c r="X675" s="128"/>
      <c r="Y675" s="128"/>
      <c r="Z675" s="112"/>
      <c r="AA675" s="112"/>
      <c r="AB675" s="112"/>
      <c r="AC675" s="112"/>
      <c r="AD675" s="112"/>
      <c r="AE675" s="112"/>
      <c r="AF675" s="112"/>
      <c r="AG675" s="112"/>
      <c r="AH675" s="112"/>
      <c r="AI675" s="112"/>
      <c r="AJ675" s="112"/>
      <c r="AK675" s="112"/>
      <c r="AL675" s="112"/>
      <c r="AM675" s="112"/>
      <c r="AN675" s="112"/>
      <c r="AO675" s="112"/>
      <c r="AP675" s="112"/>
    </row>
    <row r="676" ht="15.75" customHeight="1">
      <c r="A676" s="112"/>
      <c r="B676" s="112"/>
      <c r="C676" s="112"/>
      <c r="D676" s="112"/>
      <c r="E676" s="128"/>
      <c r="F676" s="112"/>
      <c r="G676" s="112"/>
      <c r="H676" s="128"/>
      <c r="I676" s="112"/>
      <c r="J676" s="112"/>
      <c r="K676" s="112"/>
      <c r="L676" s="128"/>
      <c r="M676" s="128"/>
      <c r="N676" s="112"/>
      <c r="O676" s="112"/>
      <c r="P676" s="112"/>
      <c r="Q676" s="112"/>
      <c r="R676" s="112"/>
      <c r="S676" s="112"/>
      <c r="T676" s="128"/>
      <c r="U676" s="128"/>
      <c r="V676" s="128"/>
      <c r="W676" s="128"/>
      <c r="X676" s="128"/>
      <c r="Y676" s="128"/>
      <c r="Z676" s="112"/>
      <c r="AA676" s="112"/>
      <c r="AB676" s="112"/>
      <c r="AC676" s="112"/>
      <c r="AD676" s="112"/>
      <c r="AE676" s="112"/>
      <c r="AF676" s="112"/>
      <c r="AG676" s="112"/>
      <c r="AH676" s="112"/>
      <c r="AI676" s="112"/>
      <c r="AJ676" s="112"/>
      <c r="AK676" s="112"/>
      <c r="AL676" s="112"/>
      <c r="AM676" s="112"/>
      <c r="AN676" s="112"/>
      <c r="AO676" s="112"/>
      <c r="AP676" s="112"/>
    </row>
    <row r="677" ht="15.75" customHeight="1">
      <c r="A677" s="112"/>
      <c r="B677" s="112"/>
      <c r="C677" s="112"/>
      <c r="D677" s="112"/>
      <c r="E677" s="128"/>
      <c r="F677" s="112"/>
      <c r="G677" s="112"/>
      <c r="H677" s="128"/>
      <c r="I677" s="112"/>
      <c r="J677" s="112"/>
      <c r="K677" s="112"/>
      <c r="L677" s="128"/>
      <c r="M677" s="128"/>
      <c r="N677" s="112"/>
      <c r="O677" s="112"/>
      <c r="P677" s="112"/>
      <c r="Q677" s="112"/>
      <c r="R677" s="112"/>
      <c r="S677" s="112"/>
      <c r="T677" s="128"/>
      <c r="U677" s="128"/>
      <c r="V677" s="128"/>
      <c r="W677" s="128"/>
      <c r="X677" s="128"/>
      <c r="Y677" s="128"/>
      <c r="Z677" s="112"/>
      <c r="AA677" s="112"/>
      <c r="AB677" s="112"/>
      <c r="AC677" s="112"/>
      <c r="AD677" s="112"/>
      <c r="AE677" s="112"/>
      <c r="AF677" s="112"/>
      <c r="AG677" s="112"/>
      <c r="AH677" s="112"/>
      <c r="AI677" s="112"/>
      <c r="AJ677" s="112"/>
      <c r="AK677" s="112"/>
      <c r="AL677" s="112"/>
      <c r="AM677" s="112"/>
      <c r="AN677" s="112"/>
      <c r="AO677" s="112"/>
      <c r="AP677" s="112"/>
    </row>
    <row r="678" ht="15.75" customHeight="1">
      <c r="A678" s="112"/>
      <c r="B678" s="112"/>
      <c r="C678" s="112"/>
      <c r="D678" s="112"/>
      <c r="E678" s="128"/>
      <c r="F678" s="112"/>
      <c r="G678" s="112"/>
      <c r="H678" s="128"/>
      <c r="I678" s="112"/>
      <c r="J678" s="112"/>
      <c r="K678" s="112"/>
      <c r="L678" s="128"/>
      <c r="M678" s="128"/>
      <c r="N678" s="112"/>
      <c r="O678" s="112"/>
      <c r="P678" s="112"/>
      <c r="Q678" s="112"/>
      <c r="R678" s="112"/>
      <c r="S678" s="112"/>
      <c r="T678" s="128"/>
      <c r="U678" s="128"/>
      <c r="V678" s="128"/>
      <c r="W678" s="128"/>
      <c r="X678" s="128"/>
      <c r="Y678" s="128"/>
      <c r="Z678" s="112"/>
      <c r="AA678" s="112"/>
      <c r="AB678" s="112"/>
      <c r="AC678" s="112"/>
      <c r="AD678" s="112"/>
      <c r="AE678" s="112"/>
      <c r="AF678" s="112"/>
      <c r="AG678" s="112"/>
      <c r="AH678" s="112"/>
      <c r="AI678" s="112"/>
      <c r="AJ678" s="112"/>
      <c r="AK678" s="112"/>
      <c r="AL678" s="112"/>
      <c r="AM678" s="112"/>
      <c r="AN678" s="112"/>
      <c r="AO678" s="112"/>
      <c r="AP678" s="112"/>
    </row>
    <row r="679" ht="15.75" customHeight="1">
      <c r="A679" s="112"/>
      <c r="B679" s="112"/>
      <c r="C679" s="112"/>
      <c r="D679" s="112"/>
      <c r="E679" s="128"/>
      <c r="F679" s="112"/>
      <c r="G679" s="112"/>
      <c r="H679" s="128"/>
      <c r="I679" s="112"/>
      <c r="J679" s="112"/>
      <c r="K679" s="112"/>
      <c r="L679" s="128"/>
      <c r="M679" s="128"/>
      <c r="N679" s="112"/>
      <c r="O679" s="112"/>
      <c r="P679" s="112"/>
      <c r="Q679" s="112"/>
      <c r="R679" s="112"/>
      <c r="S679" s="112"/>
      <c r="T679" s="128"/>
      <c r="U679" s="128"/>
      <c r="V679" s="128"/>
      <c r="W679" s="128"/>
      <c r="X679" s="128"/>
      <c r="Y679" s="128"/>
      <c r="Z679" s="112"/>
      <c r="AA679" s="112"/>
      <c r="AB679" s="112"/>
      <c r="AC679" s="112"/>
      <c r="AD679" s="112"/>
      <c r="AE679" s="112"/>
      <c r="AF679" s="112"/>
      <c r="AG679" s="112"/>
      <c r="AH679" s="112"/>
      <c r="AI679" s="112"/>
      <c r="AJ679" s="112"/>
      <c r="AK679" s="112"/>
      <c r="AL679" s="112"/>
      <c r="AM679" s="112"/>
      <c r="AN679" s="112"/>
      <c r="AO679" s="112"/>
      <c r="AP679" s="112"/>
    </row>
    <row r="680" ht="15.75" customHeight="1">
      <c r="A680" s="112"/>
      <c r="B680" s="112"/>
      <c r="C680" s="112"/>
      <c r="D680" s="112"/>
      <c r="E680" s="128"/>
      <c r="F680" s="112"/>
      <c r="G680" s="112"/>
      <c r="H680" s="128"/>
      <c r="I680" s="112"/>
      <c r="J680" s="112"/>
      <c r="K680" s="112"/>
      <c r="L680" s="128"/>
      <c r="M680" s="128"/>
      <c r="N680" s="112"/>
      <c r="O680" s="112"/>
      <c r="P680" s="112"/>
      <c r="Q680" s="112"/>
      <c r="R680" s="112"/>
      <c r="S680" s="112"/>
      <c r="T680" s="128"/>
      <c r="U680" s="128"/>
      <c r="V680" s="128"/>
      <c r="W680" s="128"/>
      <c r="X680" s="128"/>
      <c r="Y680" s="128"/>
      <c r="Z680" s="112"/>
      <c r="AA680" s="112"/>
      <c r="AB680" s="112"/>
      <c r="AC680" s="112"/>
      <c r="AD680" s="112"/>
      <c r="AE680" s="112"/>
      <c r="AF680" s="112"/>
      <c r="AG680" s="112"/>
      <c r="AH680" s="112"/>
      <c r="AI680" s="112"/>
      <c r="AJ680" s="112"/>
      <c r="AK680" s="112"/>
      <c r="AL680" s="112"/>
      <c r="AM680" s="112"/>
      <c r="AN680" s="112"/>
      <c r="AO680" s="112"/>
      <c r="AP680" s="112"/>
    </row>
    <row r="681" ht="15.75" customHeight="1">
      <c r="A681" s="112"/>
      <c r="B681" s="112"/>
      <c r="C681" s="112"/>
      <c r="D681" s="112"/>
      <c r="E681" s="128"/>
      <c r="F681" s="112"/>
      <c r="G681" s="112"/>
      <c r="H681" s="128"/>
      <c r="I681" s="112"/>
      <c r="J681" s="112"/>
      <c r="K681" s="112"/>
      <c r="L681" s="128"/>
      <c r="M681" s="128"/>
      <c r="N681" s="112"/>
      <c r="O681" s="112"/>
      <c r="P681" s="112"/>
      <c r="Q681" s="112"/>
      <c r="R681" s="112"/>
      <c r="S681" s="112"/>
      <c r="T681" s="128"/>
      <c r="U681" s="128"/>
      <c r="V681" s="128"/>
      <c r="W681" s="128"/>
      <c r="X681" s="128"/>
      <c r="Y681" s="128"/>
      <c r="Z681" s="112"/>
      <c r="AA681" s="112"/>
      <c r="AB681" s="112"/>
      <c r="AC681" s="112"/>
      <c r="AD681" s="112"/>
      <c r="AE681" s="112"/>
      <c r="AF681" s="112"/>
      <c r="AG681" s="112"/>
      <c r="AH681" s="112"/>
      <c r="AI681" s="112"/>
      <c r="AJ681" s="112"/>
      <c r="AK681" s="112"/>
      <c r="AL681" s="112"/>
      <c r="AM681" s="112"/>
      <c r="AN681" s="112"/>
      <c r="AO681" s="112"/>
      <c r="AP681" s="112"/>
    </row>
    <row r="682" ht="15.75" customHeight="1">
      <c r="A682" s="112"/>
      <c r="B682" s="112"/>
      <c r="C682" s="112"/>
      <c r="D682" s="112"/>
      <c r="E682" s="128"/>
      <c r="F682" s="112"/>
      <c r="G682" s="112"/>
      <c r="H682" s="128"/>
      <c r="I682" s="112"/>
      <c r="J682" s="112"/>
      <c r="K682" s="112"/>
      <c r="L682" s="128"/>
      <c r="M682" s="128"/>
      <c r="N682" s="112"/>
      <c r="O682" s="112"/>
      <c r="P682" s="112"/>
      <c r="Q682" s="112"/>
      <c r="R682" s="112"/>
      <c r="S682" s="112"/>
      <c r="T682" s="128"/>
      <c r="U682" s="128"/>
      <c r="V682" s="128"/>
      <c r="W682" s="128"/>
      <c r="X682" s="128"/>
      <c r="Y682" s="128"/>
      <c r="Z682" s="112"/>
      <c r="AA682" s="112"/>
      <c r="AB682" s="112"/>
      <c r="AC682" s="112"/>
      <c r="AD682" s="112"/>
      <c r="AE682" s="112"/>
      <c r="AF682" s="112"/>
      <c r="AG682" s="112"/>
      <c r="AH682" s="112"/>
      <c r="AI682" s="112"/>
      <c r="AJ682" s="112"/>
      <c r="AK682" s="112"/>
      <c r="AL682" s="112"/>
      <c r="AM682" s="112"/>
      <c r="AN682" s="112"/>
      <c r="AO682" s="112"/>
      <c r="AP682" s="112"/>
    </row>
    <row r="683" ht="15.75" customHeight="1">
      <c r="A683" s="112"/>
      <c r="B683" s="112"/>
      <c r="C683" s="112"/>
      <c r="D683" s="112"/>
      <c r="E683" s="128"/>
      <c r="F683" s="112"/>
      <c r="G683" s="112"/>
      <c r="H683" s="128"/>
      <c r="I683" s="112"/>
      <c r="J683" s="112"/>
      <c r="K683" s="112"/>
      <c r="L683" s="128"/>
      <c r="M683" s="128"/>
      <c r="N683" s="112"/>
      <c r="O683" s="112"/>
      <c r="P683" s="112"/>
      <c r="Q683" s="112"/>
      <c r="R683" s="112"/>
      <c r="S683" s="112"/>
      <c r="T683" s="128"/>
      <c r="U683" s="128"/>
      <c r="V683" s="128"/>
      <c r="W683" s="128"/>
      <c r="X683" s="128"/>
      <c r="Y683" s="128"/>
      <c r="Z683" s="112"/>
      <c r="AA683" s="112"/>
      <c r="AB683" s="112"/>
      <c r="AC683" s="112"/>
      <c r="AD683" s="112"/>
      <c r="AE683" s="112"/>
      <c r="AF683" s="112"/>
      <c r="AG683" s="112"/>
      <c r="AH683" s="112"/>
      <c r="AI683" s="112"/>
      <c r="AJ683" s="112"/>
      <c r="AK683" s="112"/>
      <c r="AL683" s="112"/>
      <c r="AM683" s="112"/>
      <c r="AN683" s="112"/>
      <c r="AO683" s="112"/>
      <c r="AP683" s="112"/>
    </row>
    <row r="684" ht="15.75" customHeight="1">
      <c r="A684" s="112"/>
      <c r="B684" s="112"/>
      <c r="C684" s="112"/>
      <c r="D684" s="112"/>
      <c r="E684" s="128"/>
      <c r="F684" s="112"/>
      <c r="G684" s="112"/>
      <c r="H684" s="128"/>
      <c r="I684" s="112"/>
      <c r="J684" s="112"/>
      <c r="K684" s="112"/>
      <c r="L684" s="128"/>
      <c r="M684" s="128"/>
      <c r="N684" s="112"/>
      <c r="O684" s="112"/>
      <c r="P684" s="112"/>
      <c r="Q684" s="112"/>
      <c r="R684" s="112"/>
      <c r="S684" s="112"/>
      <c r="T684" s="128"/>
      <c r="U684" s="128"/>
      <c r="V684" s="128"/>
      <c r="W684" s="128"/>
      <c r="X684" s="128"/>
      <c r="Y684" s="128"/>
      <c r="Z684" s="112"/>
      <c r="AA684" s="112"/>
      <c r="AB684" s="112"/>
      <c r="AC684" s="112"/>
      <c r="AD684" s="112"/>
      <c r="AE684" s="112"/>
      <c r="AF684" s="112"/>
      <c r="AG684" s="112"/>
      <c r="AH684" s="112"/>
      <c r="AI684" s="112"/>
      <c r="AJ684" s="112"/>
      <c r="AK684" s="112"/>
      <c r="AL684" s="112"/>
      <c r="AM684" s="112"/>
      <c r="AN684" s="112"/>
      <c r="AO684" s="112"/>
      <c r="AP684" s="112"/>
    </row>
    <row r="685" ht="15.75" customHeight="1">
      <c r="A685" s="112"/>
      <c r="B685" s="112"/>
      <c r="C685" s="112"/>
      <c r="D685" s="112"/>
      <c r="E685" s="128"/>
      <c r="F685" s="112"/>
      <c r="G685" s="112"/>
      <c r="H685" s="128"/>
      <c r="I685" s="112"/>
      <c r="J685" s="112"/>
      <c r="K685" s="112"/>
      <c r="L685" s="128"/>
      <c r="M685" s="128"/>
      <c r="N685" s="112"/>
      <c r="O685" s="112"/>
      <c r="P685" s="112"/>
      <c r="Q685" s="112"/>
      <c r="R685" s="112"/>
      <c r="S685" s="112"/>
      <c r="T685" s="128"/>
      <c r="U685" s="128"/>
      <c r="V685" s="128"/>
      <c r="W685" s="128"/>
      <c r="X685" s="128"/>
      <c r="Y685" s="128"/>
      <c r="Z685" s="112"/>
      <c r="AA685" s="112"/>
      <c r="AB685" s="112"/>
      <c r="AC685" s="112"/>
      <c r="AD685" s="112"/>
      <c r="AE685" s="112"/>
      <c r="AF685" s="112"/>
      <c r="AG685" s="112"/>
      <c r="AH685" s="112"/>
      <c r="AI685" s="112"/>
      <c r="AJ685" s="112"/>
      <c r="AK685" s="112"/>
      <c r="AL685" s="112"/>
      <c r="AM685" s="112"/>
      <c r="AN685" s="112"/>
      <c r="AO685" s="112"/>
      <c r="AP685" s="112"/>
    </row>
    <row r="686" ht="15.75" customHeight="1">
      <c r="A686" s="112"/>
      <c r="B686" s="112"/>
      <c r="C686" s="112"/>
      <c r="D686" s="112"/>
      <c r="E686" s="128"/>
      <c r="F686" s="112"/>
      <c r="G686" s="112"/>
      <c r="H686" s="128"/>
      <c r="I686" s="112"/>
      <c r="J686" s="112"/>
      <c r="K686" s="112"/>
      <c r="L686" s="128"/>
      <c r="M686" s="128"/>
      <c r="N686" s="112"/>
      <c r="O686" s="112"/>
      <c r="P686" s="112"/>
      <c r="Q686" s="112"/>
      <c r="R686" s="112"/>
      <c r="S686" s="112"/>
      <c r="T686" s="128"/>
      <c r="U686" s="128"/>
      <c r="V686" s="128"/>
      <c r="W686" s="128"/>
      <c r="X686" s="128"/>
      <c r="Y686" s="128"/>
      <c r="Z686" s="112"/>
      <c r="AA686" s="112"/>
      <c r="AB686" s="112"/>
      <c r="AC686" s="112"/>
      <c r="AD686" s="112"/>
      <c r="AE686" s="112"/>
      <c r="AF686" s="112"/>
      <c r="AG686" s="112"/>
      <c r="AH686" s="112"/>
      <c r="AI686" s="112"/>
      <c r="AJ686" s="112"/>
      <c r="AK686" s="112"/>
      <c r="AL686" s="112"/>
      <c r="AM686" s="112"/>
      <c r="AN686" s="112"/>
      <c r="AO686" s="112"/>
      <c r="AP686" s="112"/>
    </row>
    <row r="687" ht="15.75" customHeight="1">
      <c r="A687" s="112"/>
      <c r="B687" s="112"/>
      <c r="C687" s="112"/>
      <c r="D687" s="112"/>
      <c r="E687" s="128"/>
      <c r="F687" s="112"/>
      <c r="G687" s="112"/>
      <c r="H687" s="128"/>
      <c r="I687" s="112"/>
      <c r="J687" s="112"/>
      <c r="K687" s="112"/>
      <c r="L687" s="128"/>
      <c r="M687" s="128"/>
      <c r="N687" s="112"/>
      <c r="O687" s="112"/>
      <c r="P687" s="112"/>
      <c r="Q687" s="112"/>
      <c r="R687" s="112"/>
      <c r="S687" s="112"/>
      <c r="T687" s="128"/>
      <c r="U687" s="128"/>
      <c r="V687" s="128"/>
      <c r="W687" s="128"/>
      <c r="X687" s="128"/>
      <c r="Y687" s="128"/>
      <c r="Z687" s="112"/>
      <c r="AA687" s="112"/>
      <c r="AB687" s="112"/>
      <c r="AC687" s="112"/>
      <c r="AD687" s="112"/>
      <c r="AE687" s="112"/>
      <c r="AF687" s="112"/>
      <c r="AG687" s="112"/>
      <c r="AH687" s="112"/>
      <c r="AI687" s="112"/>
      <c r="AJ687" s="112"/>
      <c r="AK687" s="112"/>
      <c r="AL687" s="112"/>
      <c r="AM687" s="112"/>
      <c r="AN687" s="112"/>
      <c r="AO687" s="112"/>
      <c r="AP687" s="112"/>
    </row>
    <row r="688" ht="15.75" customHeight="1">
      <c r="A688" s="112"/>
      <c r="B688" s="112"/>
      <c r="C688" s="112"/>
      <c r="D688" s="112"/>
      <c r="E688" s="128"/>
      <c r="F688" s="112"/>
      <c r="G688" s="112"/>
      <c r="H688" s="128"/>
      <c r="I688" s="112"/>
      <c r="J688" s="112"/>
      <c r="K688" s="112"/>
      <c r="L688" s="128"/>
      <c r="M688" s="128"/>
      <c r="N688" s="112"/>
      <c r="O688" s="112"/>
      <c r="P688" s="112"/>
      <c r="Q688" s="112"/>
      <c r="R688" s="112"/>
      <c r="S688" s="112"/>
      <c r="T688" s="128"/>
      <c r="U688" s="128"/>
      <c r="V688" s="128"/>
      <c r="W688" s="128"/>
      <c r="X688" s="128"/>
      <c r="Y688" s="128"/>
      <c r="Z688" s="112"/>
      <c r="AA688" s="112"/>
      <c r="AB688" s="112"/>
      <c r="AC688" s="112"/>
      <c r="AD688" s="112"/>
      <c r="AE688" s="112"/>
      <c r="AF688" s="112"/>
      <c r="AG688" s="112"/>
      <c r="AH688" s="112"/>
      <c r="AI688" s="112"/>
      <c r="AJ688" s="112"/>
      <c r="AK688" s="112"/>
      <c r="AL688" s="112"/>
      <c r="AM688" s="112"/>
      <c r="AN688" s="112"/>
      <c r="AO688" s="112"/>
      <c r="AP688" s="112"/>
    </row>
    <row r="689" ht="15.75" customHeight="1">
      <c r="A689" s="112"/>
      <c r="B689" s="112"/>
      <c r="C689" s="112"/>
      <c r="D689" s="112"/>
      <c r="E689" s="128"/>
      <c r="F689" s="112"/>
      <c r="G689" s="112"/>
      <c r="H689" s="128"/>
      <c r="I689" s="112"/>
      <c r="J689" s="112"/>
      <c r="K689" s="112"/>
      <c r="L689" s="128"/>
      <c r="M689" s="128"/>
      <c r="N689" s="112"/>
      <c r="O689" s="112"/>
      <c r="P689" s="112"/>
      <c r="Q689" s="112"/>
      <c r="R689" s="112"/>
      <c r="S689" s="112"/>
      <c r="T689" s="128"/>
      <c r="U689" s="128"/>
      <c r="V689" s="128"/>
      <c r="W689" s="128"/>
      <c r="X689" s="128"/>
      <c r="Y689" s="128"/>
      <c r="Z689" s="112"/>
      <c r="AA689" s="112"/>
      <c r="AB689" s="112"/>
      <c r="AC689" s="112"/>
      <c r="AD689" s="112"/>
      <c r="AE689" s="112"/>
      <c r="AF689" s="112"/>
      <c r="AG689" s="112"/>
      <c r="AH689" s="112"/>
      <c r="AI689" s="112"/>
      <c r="AJ689" s="112"/>
      <c r="AK689" s="112"/>
      <c r="AL689" s="112"/>
      <c r="AM689" s="112"/>
      <c r="AN689" s="112"/>
      <c r="AO689" s="112"/>
      <c r="AP689" s="112"/>
    </row>
    <row r="690" ht="15.75" customHeight="1">
      <c r="A690" s="112"/>
      <c r="B690" s="112"/>
      <c r="C690" s="112"/>
      <c r="D690" s="112"/>
      <c r="E690" s="128"/>
      <c r="F690" s="112"/>
      <c r="G690" s="112"/>
      <c r="H690" s="128"/>
      <c r="I690" s="112"/>
      <c r="J690" s="112"/>
      <c r="K690" s="112"/>
      <c r="L690" s="128"/>
      <c r="M690" s="128"/>
      <c r="N690" s="112"/>
      <c r="O690" s="112"/>
      <c r="P690" s="112"/>
      <c r="Q690" s="112"/>
      <c r="R690" s="112"/>
      <c r="S690" s="112"/>
      <c r="T690" s="128"/>
      <c r="U690" s="128"/>
      <c r="V690" s="128"/>
      <c r="W690" s="128"/>
      <c r="X690" s="128"/>
      <c r="Y690" s="128"/>
      <c r="Z690" s="112"/>
      <c r="AA690" s="112"/>
      <c r="AB690" s="112"/>
      <c r="AC690" s="112"/>
      <c r="AD690" s="112"/>
      <c r="AE690" s="112"/>
      <c r="AF690" s="112"/>
      <c r="AG690" s="112"/>
      <c r="AH690" s="112"/>
      <c r="AI690" s="112"/>
      <c r="AJ690" s="112"/>
      <c r="AK690" s="112"/>
      <c r="AL690" s="112"/>
      <c r="AM690" s="112"/>
      <c r="AN690" s="112"/>
      <c r="AO690" s="112"/>
      <c r="AP690" s="112"/>
    </row>
    <row r="691" ht="15.75" customHeight="1">
      <c r="A691" s="112"/>
      <c r="B691" s="112"/>
      <c r="C691" s="112"/>
      <c r="D691" s="112"/>
      <c r="E691" s="128"/>
      <c r="F691" s="112"/>
      <c r="G691" s="112"/>
      <c r="H691" s="128"/>
      <c r="I691" s="112"/>
      <c r="J691" s="112"/>
      <c r="K691" s="112"/>
      <c r="L691" s="128"/>
      <c r="M691" s="128"/>
      <c r="N691" s="112"/>
      <c r="O691" s="112"/>
      <c r="P691" s="112"/>
      <c r="Q691" s="112"/>
      <c r="R691" s="112"/>
      <c r="S691" s="112"/>
      <c r="T691" s="128"/>
      <c r="U691" s="128"/>
      <c r="V691" s="128"/>
      <c r="W691" s="128"/>
      <c r="X691" s="128"/>
      <c r="Y691" s="128"/>
      <c r="Z691" s="112"/>
      <c r="AA691" s="112"/>
      <c r="AB691" s="112"/>
      <c r="AC691" s="112"/>
      <c r="AD691" s="112"/>
      <c r="AE691" s="112"/>
      <c r="AF691" s="112"/>
      <c r="AG691" s="112"/>
      <c r="AH691" s="112"/>
      <c r="AI691" s="112"/>
      <c r="AJ691" s="112"/>
      <c r="AK691" s="112"/>
      <c r="AL691" s="112"/>
      <c r="AM691" s="112"/>
      <c r="AN691" s="112"/>
      <c r="AO691" s="112"/>
      <c r="AP691" s="112"/>
    </row>
    <row r="692" ht="15.75" customHeight="1">
      <c r="A692" s="112"/>
      <c r="B692" s="112"/>
      <c r="C692" s="112"/>
      <c r="D692" s="112"/>
      <c r="E692" s="128"/>
      <c r="F692" s="112"/>
      <c r="G692" s="112"/>
      <c r="H692" s="128"/>
      <c r="I692" s="112"/>
      <c r="J692" s="112"/>
      <c r="K692" s="112"/>
      <c r="L692" s="128"/>
      <c r="M692" s="128"/>
      <c r="N692" s="112"/>
      <c r="O692" s="112"/>
      <c r="P692" s="112"/>
      <c r="Q692" s="112"/>
      <c r="R692" s="112"/>
      <c r="S692" s="112"/>
      <c r="T692" s="128"/>
      <c r="U692" s="128"/>
      <c r="V692" s="128"/>
      <c r="W692" s="128"/>
      <c r="X692" s="128"/>
      <c r="Y692" s="128"/>
      <c r="Z692" s="112"/>
      <c r="AA692" s="112"/>
      <c r="AB692" s="112"/>
      <c r="AC692" s="112"/>
      <c r="AD692" s="112"/>
      <c r="AE692" s="112"/>
      <c r="AF692" s="112"/>
      <c r="AG692" s="112"/>
      <c r="AH692" s="112"/>
      <c r="AI692" s="112"/>
      <c r="AJ692" s="112"/>
      <c r="AK692" s="112"/>
      <c r="AL692" s="112"/>
      <c r="AM692" s="112"/>
      <c r="AN692" s="112"/>
      <c r="AO692" s="112"/>
      <c r="AP692" s="112"/>
    </row>
    <row r="693" ht="15.75" customHeight="1">
      <c r="A693" s="112"/>
      <c r="B693" s="112"/>
      <c r="C693" s="112"/>
      <c r="D693" s="112"/>
      <c r="E693" s="128"/>
      <c r="F693" s="112"/>
      <c r="G693" s="112"/>
      <c r="H693" s="128"/>
      <c r="I693" s="112"/>
      <c r="J693" s="112"/>
      <c r="K693" s="112"/>
      <c r="L693" s="128"/>
      <c r="M693" s="128"/>
      <c r="N693" s="112"/>
      <c r="O693" s="112"/>
      <c r="P693" s="112"/>
      <c r="Q693" s="112"/>
      <c r="R693" s="112"/>
      <c r="S693" s="112"/>
      <c r="T693" s="128"/>
      <c r="U693" s="128"/>
      <c r="V693" s="128"/>
      <c r="W693" s="128"/>
      <c r="X693" s="128"/>
      <c r="Y693" s="128"/>
      <c r="Z693" s="112"/>
      <c r="AA693" s="112"/>
      <c r="AB693" s="112"/>
      <c r="AC693" s="112"/>
      <c r="AD693" s="112"/>
      <c r="AE693" s="112"/>
      <c r="AF693" s="112"/>
      <c r="AG693" s="112"/>
      <c r="AH693" s="112"/>
      <c r="AI693" s="112"/>
      <c r="AJ693" s="112"/>
      <c r="AK693" s="112"/>
      <c r="AL693" s="112"/>
      <c r="AM693" s="112"/>
      <c r="AN693" s="112"/>
      <c r="AO693" s="112"/>
      <c r="AP693" s="112"/>
    </row>
    <row r="694" ht="15.75" customHeight="1">
      <c r="A694" s="112"/>
      <c r="B694" s="112"/>
      <c r="C694" s="112"/>
      <c r="D694" s="112"/>
      <c r="E694" s="128"/>
      <c r="F694" s="112"/>
      <c r="G694" s="112"/>
      <c r="H694" s="128"/>
      <c r="I694" s="112"/>
      <c r="J694" s="112"/>
      <c r="K694" s="112"/>
      <c r="L694" s="128"/>
      <c r="M694" s="128"/>
      <c r="N694" s="112"/>
      <c r="O694" s="112"/>
      <c r="P694" s="112"/>
      <c r="Q694" s="112"/>
      <c r="R694" s="112"/>
      <c r="S694" s="112"/>
      <c r="T694" s="128"/>
      <c r="U694" s="128"/>
      <c r="V694" s="128"/>
      <c r="W694" s="128"/>
      <c r="X694" s="128"/>
      <c r="Y694" s="128"/>
      <c r="Z694" s="112"/>
      <c r="AA694" s="112"/>
      <c r="AB694" s="112"/>
      <c r="AC694" s="112"/>
      <c r="AD694" s="112"/>
      <c r="AE694" s="112"/>
      <c r="AF694" s="112"/>
      <c r="AG694" s="112"/>
      <c r="AH694" s="112"/>
      <c r="AI694" s="112"/>
      <c r="AJ694" s="112"/>
      <c r="AK694" s="112"/>
      <c r="AL694" s="112"/>
      <c r="AM694" s="112"/>
      <c r="AN694" s="112"/>
      <c r="AO694" s="112"/>
      <c r="AP694" s="112"/>
    </row>
    <row r="695" ht="15.75" customHeight="1">
      <c r="A695" s="112"/>
      <c r="B695" s="112"/>
      <c r="C695" s="112"/>
      <c r="D695" s="112"/>
      <c r="E695" s="128"/>
      <c r="F695" s="112"/>
      <c r="G695" s="112"/>
      <c r="H695" s="128"/>
      <c r="I695" s="112"/>
      <c r="J695" s="112"/>
      <c r="K695" s="112"/>
      <c r="L695" s="128"/>
      <c r="M695" s="128"/>
      <c r="N695" s="112"/>
      <c r="O695" s="112"/>
      <c r="P695" s="112"/>
      <c r="Q695" s="112"/>
      <c r="R695" s="112"/>
      <c r="S695" s="112"/>
      <c r="T695" s="128"/>
      <c r="U695" s="128"/>
      <c r="V695" s="128"/>
      <c r="W695" s="128"/>
      <c r="X695" s="128"/>
      <c r="Y695" s="128"/>
      <c r="Z695" s="112"/>
      <c r="AA695" s="112"/>
      <c r="AB695" s="112"/>
      <c r="AC695" s="112"/>
      <c r="AD695" s="112"/>
      <c r="AE695" s="112"/>
      <c r="AF695" s="112"/>
      <c r="AG695" s="112"/>
      <c r="AH695" s="112"/>
      <c r="AI695" s="112"/>
      <c r="AJ695" s="112"/>
      <c r="AK695" s="112"/>
      <c r="AL695" s="112"/>
      <c r="AM695" s="112"/>
      <c r="AN695" s="112"/>
      <c r="AO695" s="112"/>
      <c r="AP695" s="112"/>
    </row>
    <row r="696" ht="15.75" customHeight="1">
      <c r="A696" s="112"/>
      <c r="B696" s="112"/>
      <c r="C696" s="112"/>
      <c r="D696" s="112"/>
      <c r="E696" s="128"/>
      <c r="F696" s="112"/>
      <c r="G696" s="112"/>
      <c r="H696" s="128"/>
      <c r="I696" s="112"/>
      <c r="J696" s="112"/>
      <c r="K696" s="112"/>
      <c r="L696" s="128"/>
      <c r="M696" s="128"/>
      <c r="N696" s="112"/>
      <c r="O696" s="112"/>
      <c r="P696" s="112"/>
      <c r="Q696" s="112"/>
      <c r="R696" s="112"/>
      <c r="S696" s="112"/>
      <c r="T696" s="128"/>
      <c r="U696" s="128"/>
      <c r="V696" s="128"/>
      <c r="W696" s="128"/>
      <c r="X696" s="128"/>
      <c r="Y696" s="128"/>
      <c r="Z696" s="112"/>
      <c r="AA696" s="112"/>
      <c r="AB696" s="112"/>
      <c r="AC696" s="112"/>
      <c r="AD696" s="112"/>
      <c r="AE696" s="112"/>
      <c r="AF696" s="112"/>
      <c r="AG696" s="112"/>
      <c r="AH696" s="112"/>
      <c r="AI696" s="112"/>
      <c r="AJ696" s="112"/>
      <c r="AK696" s="112"/>
      <c r="AL696" s="112"/>
      <c r="AM696" s="112"/>
      <c r="AN696" s="112"/>
      <c r="AO696" s="112"/>
      <c r="AP696" s="112"/>
    </row>
    <row r="697" ht="15.75" customHeight="1">
      <c r="A697" s="112"/>
      <c r="B697" s="112"/>
      <c r="C697" s="112"/>
      <c r="D697" s="112"/>
      <c r="E697" s="128"/>
      <c r="F697" s="112"/>
      <c r="G697" s="112"/>
      <c r="H697" s="128"/>
      <c r="I697" s="112"/>
      <c r="J697" s="112"/>
      <c r="K697" s="112"/>
      <c r="L697" s="128"/>
      <c r="M697" s="128"/>
      <c r="N697" s="112"/>
      <c r="O697" s="112"/>
      <c r="P697" s="112"/>
      <c r="Q697" s="112"/>
      <c r="R697" s="112"/>
      <c r="S697" s="112"/>
      <c r="T697" s="128"/>
      <c r="U697" s="128"/>
      <c r="V697" s="128"/>
      <c r="W697" s="128"/>
      <c r="X697" s="128"/>
      <c r="Y697" s="128"/>
      <c r="Z697" s="112"/>
      <c r="AA697" s="112"/>
      <c r="AB697" s="112"/>
      <c r="AC697" s="112"/>
      <c r="AD697" s="112"/>
      <c r="AE697" s="112"/>
      <c r="AF697" s="112"/>
      <c r="AG697" s="112"/>
      <c r="AH697" s="112"/>
      <c r="AI697" s="112"/>
      <c r="AJ697" s="112"/>
      <c r="AK697" s="112"/>
      <c r="AL697" s="112"/>
      <c r="AM697" s="112"/>
      <c r="AN697" s="112"/>
      <c r="AO697" s="112"/>
      <c r="AP697" s="112"/>
    </row>
    <row r="698" ht="15.75" customHeight="1">
      <c r="A698" s="112"/>
      <c r="B698" s="112"/>
      <c r="C698" s="112"/>
      <c r="D698" s="112"/>
      <c r="E698" s="128"/>
      <c r="F698" s="112"/>
      <c r="G698" s="112"/>
      <c r="H698" s="128"/>
      <c r="I698" s="112"/>
      <c r="J698" s="112"/>
      <c r="K698" s="112"/>
      <c r="L698" s="128"/>
      <c r="M698" s="128"/>
      <c r="N698" s="112"/>
      <c r="O698" s="112"/>
      <c r="P698" s="112"/>
      <c r="Q698" s="112"/>
      <c r="R698" s="112"/>
      <c r="S698" s="112"/>
      <c r="T698" s="128"/>
      <c r="U698" s="128"/>
      <c r="V698" s="128"/>
      <c r="W698" s="128"/>
      <c r="X698" s="128"/>
      <c r="Y698" s="128"/>
      <c r="Z698" s="112"/>
      <c r="AA698" s="112"/>
      <c r="AB698" s="112"/>
      <c r="AC698" s="112"/>
      <c r="AD698" s="112"/>
      <c r="AE698" s="112"/>
      <c r="AF698" s="112"/>
      <c r="AG698" s="112"/>
      <c r="AH698" s="112"/>
      <c r="AI698" s="112"/>
      <c r="AJ698" s="112"/>
      <c r="AK698" s="112"/>
      <c r="AL698" s="112"/>
      <c r="AM698" s="112"/>
      <c r="AN698" s="112"/>
      <c r="AO698" s="112"/>
      <c r="AP698" s="112"/>
    </row>
    <row r="699" ht="15.75" customHeight="1">
      <c r="A699" s="112"/>
      <c r="B699" s="112"/>
      <c r="C699" s="112"/>
      <c r="D699" s="112"/>
      <c r="E699" s="128"/>
      <c r="F699" s="112"/>
      <c r="G699" s="112"/>
      <c r="H699" s="128"/>
      <c r="I699" s="112"/>
      <c r="J699" s="112"/>
      <c r="K699" s="112"/>
      <c r="L699" s="128"/>
      <c r="M699" s="128"/>
      <c r="N699" s="112"/>
      <c r="O699" s="112"/>
      <c r="P699" s="112"/>
      <c r="Q699" s="112"/>
      <c r="R699" s="112"/>
      <c r="S699" s="112"/>
      <c r="T699" s="128"/>
      <c r="U699" s="128"/>
      <c r="V699" s="128"/>
      <c r="W699" s="128"/>
      <c r="X699" s="128"/>
      <c r="Y699" s="128"/>
      <c r="Z699" s="112"/>
      <c r="AA699" s="112"/>
      <c r="AB699" s="112"/>
      <c r="AC699" s="112"/>
      <c r="AD699" s="112"/>
      <c r="AE699" s="112"/>
      <c r="AF699" s="112"/>
      <c r="AG699" s="112"/>
      <c r="AH699" s="112"/>
      <c r="AI699" s="112"/>
      <c r="AJ699" s="112"/>
      <c r="AK699" s="112"/>
      <c r="AL699" s="112"/>
      <c r="AM699" s="112"/>
      <c r="AN699" s="112"/>
      <c r="AO699" s="112"/>
      <c r="AP699" s="112"/>
    </row>
    <row r="700" ht="15.75" customHeight="1">
      <c r="A700" s="112"/>
      <c r="B700" s="112"/>
      <c r="C700" s="112"/>
      <c r="D700" s="112"/>
      <c r="E700" s="128"/>
      <c r="F700" s="112"/>
      <c r="G700" s="112"/>
      <c r="H700" s="128"/>
      <c r="I700" s="112"/>
      <c r="J700" s="112"/>
      <c r="K700" s="112"/>
      <c r="L700" s="128"/>
      <c r="M700" s="128"/>
      <c r="N700" s="112"/>
      <c r="O700" s="112"/>
      <c r="P700" s="112"/>
      <c r="Q700" s="112"/>
      <c r="R700" s="112"/>
      <c r="S700" s="112"/>
      <c r="T700" s="128"/>
      <c r="U700" s="128"/>
      <c r="V700" s="128"/>
      <c r="W700" s="128"/>
      <c r="X700" s="128"/>
      <c r="Y700" s="128"/>
      <c r="Z700" s="112"/>
      <c r="AA700" s="112"/>
      <c r="AB700" s="112"/>
      <c r="AC700" s="112"/>
      <c r="AD700" s="112"/>
      <c r="AE700" s="112"/>
      <c r="AF700" s="112"/>
      <c r="AG700" s="112"/>
      <c r="AH700" s="112"/>
      <c r="AI700" s="112"/>
      <c r="AJ700" s="112"/>
      <c r="AK700" s="112"/>
      <c r="AL700" s="112"/>
      <c r="AM700" s="112"/>
      <c r="AN700" s="112"/>
      <c r="AO700" s="112"/>
      <c r="AP700" s="112"/>
    </row>
    <row r="701" ht="15.75" customHeight="1">
      <c r="A701" s="112"/>
      <c r="B701" s="112"/>
      <c r="C701" s="112"/>
      <c r="D701" s="112"/>
      <c r="E701" s="128"/>
      <c r="F701" s="112"/>
      <c r="G701" s="112"/>
      <c r="H701" s="128"/>
      <c r="I701" s="112"/>
      <c r="J701" s="112"/>
      <c r="K701" s="112"/>
      <c r="L701" s="128"/>
      <c r="M701" s="128"/>
      <c r="N701" s="112"/>
      <c r="O701" s="112"/>
      <c r="P701" s="112"/>
      <c r="Q701" s="112"/>
      <c r="R701" s="112"/>
      <c r="S701" s="112"/>
      <c r="T701" s="128"/>
      <c r="U701" s="128"/>
      <c r="V701" s="128"/>
      <c r="W701" s="128"/>
      <c r="X701" s="128"/>
      <c r="Y701" s="128"/>
      <c r="Z701" s="112"/>
      <c r="AA701" s="112"/>
      <c r="AB701" s="112"/>
      <c r="AC701" s="112"/>
      <c r="AD701" s="112"/>
      <c r="AE701" s="112"/>
      <c r="AF701" s="112"/>
      <c r="AG701" s="112"/>
      <c r="AH701" s="112"/>
      <c r="AI701" s="112"/>
      <c r="AJ701" s="112"/>
      <c r="AK701" s="112"/>
      <c r="AL701" s="112"/>
      <c r="AM701" s="112"/>
      <c r="AN701" s="112"/>
      <c r="AO701" s="112"/>
      <c r="AP701" s="112"/>
    </row>
    <row r="702" ht="15.75" customHeight="1">
      <c r="A702" s="112"/>
      <c r="B702" s="112"/>
      <c r="C702" s="112"/>
      <c r="D702" s="112"/>
      <c r="E702" s="128"/>
      <c r="F702" s="112"/>
      <c r="G702" s="112"/>
      <c r="H702" s="128"/>
      <c r="I702" s="112"/>
      <c r="J702" s="112"/>
      <c r="K702" s="112"/>
      <c r="L702" s="128"/>
      <c r="M702" s="128"/>
      <c r="N702" s="112"/>
      <c r="O702" s="112"/>
      <c r="P702" s="112"/>
      <c r="Q702" s="112"/>
      <c r="R702" s="112"/>
      <c r="S702" s="112"/>
      <c r="T702" s="128"/>
      <c r="U702" s="128"/>
      <c r="V702" s="128"/>
      <c r="W702" s="128"/>
      <c r="X702" s="128"/>
      <c r="Y702" s="128"/>
      <c r="Z702" s="112"/>
      <c r="AA702" s="112"/>
      <c r="AB702" s="112"/>
      <c r="AC702" s="112"/>
      <c r="AD702" s="112"/>
      <c r="AE702" s="112"/>
      <c r="AF702" s="112"/>
      <c r="AG702" s="112"/>
      <c r="AH702" s="112"/>
      <c r="AI702" s="112"/>
      <c r="AJ702" s="112"/>
      <c r="AK702" s="112"/>
      <c r="AL702" s="112"/>
      <c r="AM702" s="112"/>
      <c r="AN702" s="112"/>
      <c r="AO702" s="112"/>
      <c r="AP702" s="112"/>
    </row>
    <row r="703" ht="15.75" customHeight="1">
      <c r="A703" s="112"/>
      <c r="B703" s="112"/>
      <c r="C703" s="112"/>
      <c r="D703" s="112"/>
      <c r="E703" s="128"/>
      <c r="F703" s="112"/>
      <c r="G703" s="112"/>
      <c r="H703" s="128"/>
      <c r="I703" s="112"/>
      <c r="J703" s="112"/>
      <c r="K703" s="112"/>
      <c r="L703" s="128"/>
      <c r="M703" s="128"/>
      <c r="N703" s="112"/>
      <c r="O703" s="112"/>
      <c r="P703" s="112"/>
      <c r="Q703" s="112"/>
      <c r="R703" s="112"/>
      <c r="S703" s="112"/>
      <c r="T703" s="128"/>
      <c r="U703" s="128"/>
      <c r="V703" s="128"/>
      <c r="W703" s="128"/>
      <c r="X703" s="128"/>
      <c r="Y703" s="128"/>
      <c r="Z703" s="112"/>
      <c r="AA703" s="112"/>
      <c r="AB703" s="112"/>
      <c r="AC703" s="112"/>
      <c r="AD703" s="112"/>
      <c r="AE703" s="112"/>
      <c r="AF703" s="112"/>
      <c r="AG703" s="112"/>
      <c r="AH703" s="112"/>
      <c r="AI703" s="112"/>
      <c r="AJ703" s="112"/>
      <c r="AK703" s="112"/>
      <c r="AL703" s="112"/>
      <c r="AM703" s="112"/>
      <c r="AN703" s="112"/>
      <c r="AO703" s="112"/>
      <c r="AP703" s="112"/>
    </row>
    <row r="704" ht="15.75" customHeight="1">
      <c r="A704" s="112"/>
      <c r="B704" s="112"/>
      <c r="C704" s="112"/>
      <c r="D704" s="112"/>
      <c r="E704" s="128"/>
      <c r="F704" s="112"/>
      <c r="G704" s="112"/>
      <c r="H704" s="128"/>
      <c r="I704" s="112"/>
      <c r="J704" s="112"/>
      <c r="K704" s="112"/>
      <c r="L704" s="128"/>
      <c r="M704" s="128"/>
      <c r="N704" s="112"/>
      <c r="O704" s="112"/>
      <c r="P704" s="112"/>
      <c r="Q704" s="112"/>
      <c r="R704" s="112"/>
      <c r="S704" s="112"/>
      <c r="T704" s="128"/>
      <c r="U704" s="128"/>
      <c r="V704" s="128"/>
      <c r="W704" s="128"/>
      <c r="X704" s="128"/>
      <c r="Y704" s="128"/>
      <c r="Z704" s="112"/>
      <c r="AA704" s="112"/>
      <c r="AB704" s="112"/>
      <c r="AC704" s="112"/>
      <c r="AD704" s="112"/>
      <c r="AE704" s="112"/>
      <c r="AF704" s="112"/>
      <c r="AG704" s="112"/>
      <c r="AH704" s="112"/>
      <c r="AI704" s="112"/>
      <c r="AJ704" s="112"/>
      <c r="AK704" s="112"/>
      <c r="AL704" s="112"/>
      <c r="AM704" s="112"/>
      <c r="AN704" s="112"/>
      <c r="AO704" s="112"/>
      <c r="AP704" s="112"/>
    </row>
    <row r="705" ht="15.75" customHeight="1">
      <c r="A705" s="112"/>
      <c r="B705" s="112"/>
      <c r="C705" s="112"/>
      <c r="D705" s="112"/>
      <c r="E705" s="128"/>
      <c r="F705" s="112"/>
      <c r="G705" s="112"/>
      <c r="H705" s="128"/>
      <c r="I705" s="112"/>
      <c r="J705" s="112"/>
      <c r="K705" s="112"/>
      <c r="L705" s="128"/>
      <c r="M705" s="128"/>
      <c r="N705" s="112"/>
      <c r="O705" s="112"/>
      <c r="P705" s="112"/>
      <c r="Q705" s="112"/>
      <c r="R705" s="112"/>
      <c r="S705" s="112"/>
      <c r="T705" s="128"/>
      <c r="U705" s="128"/>
      <c r="V705" s="128"/>
      <c r="W705" s="128"/>
      <c r="X705" s="128"/>
      <c r="Y705" s="128"/>
      <c r="Z705" s="112"/>
      <c r="AA705" s="112"/>
      <c r="AB705" s="112"/>
      <c r="AC705" s="112"/>
      <c r="AD705" s="112"/>
      <c r="AE705" s="112"/>
      <c r="AF705" s="112"/>
      <c r="AG705" s="112"/>
      <c r="AH705" s="112"/>
      <c r="AI705" s="112"/>
      <c r="AJ705" s="112"/>
      <c r="AK705" s="112"/>
      <c r="AL705" s="112"/>
      <c r="AM705" s="112"/>
      <c r="AN705" s="112"/>
      <c r="AO705" s="112"/>
      <c r="AP705" s="112"/>
    </row>
    <row r="706" ht="15.75" customHeight="1">
      <c r="A706" s="112"/>
      <c r="B706" s="112"/>
      <c r="C706" s="112"/>
      <c r="D706" s="112"/>
      <c r="E706" s="128"/>
      <c r="F706" s="112"/>
      <c r="G706" s="112"/>
      <c r="H706" s="128"/>
      <c r="I706" s="112"/>
      <c r="J706" s="112"/>
      <c r="K706" s="112"/>
      <c r="L706" s="128"/>
      <c r="M706" s="128"/>
      <c r="N706" s="112"/>
      <c r="O706" s="112"/>
      <c r="P706" s="112"/>
      <c r="Q706" s="112"/>
      <c r="R706" s="112"/>
      <c r="S706" s="112"/>
      <c r="T706" s="128"/>
      <c r="U706" s="128"/>
      <c r="V706" s="128"/>
      <c r="W706" s="128"/>
      <c r="X706" s="128"/>
      <c r="Y706" s="128"/>
      <c r="Z706" s="112"/>
      <c r="AA706" s="112"/>
      <c r="AB706" s="112"/>
      <c r="AC706" s="112"/>
      <c r="AD706" s="112"/>
      <c r="AE706" s="112"/>
      <c r="AF706" s="112"/>
      <c r="AG706" s="112"/>
      <c r="AH706" s="112"/>
      <c r="AI706" s="112"/>
      <c r="AJ706" s="112"/>
      <c r="AK706" s="112"/>
      <c r="AL706" s="112"/>
      <c r="AM706" s="112"/>
      <c r="AN706" s="112"/>
      <c r="AO706" s="112"/>
      <c r="AP706" s="112"/>
    </row>
    <row r="707" ht="15.75" customHeight="1">
      <c r="A707" s="112"/>
      <c r="B707" s="112"/>
      <c r="C707" s="112"/>
      <c r="D707" s="112"/>
      <c r="E707" s="128"/>
      <c r="F707" s="112"/>
      <c r="G707" s="112"/>
      <c r="H707" s="128"/>
      <c r="I707" s="112"/>
      <c r="J707" s="112"/>
      <c r="K707" s="112"/>
      <c r="L707" s="128"/>
      <c r="M707" s="128"/>
      <c r="N707" s="112"/>
      <c r="O707" s="112"/>
      <c r="P707" s="112"/>
      <c r="Q707" s="112"/>
      <c r="R707" s="112"/>
      <c r="S707" s="112"/>
      <c r="T707" s="128"/>
      <c r="U707" s="128"/>
      <c r="V707" s="128"/>
      <c r="W707" s="128"/>
      <c r="X707" s="128"/>
      <c r="Y707" s="128"/>
      <c r="Z707" s="112"/>
      <c r="AA707" s="112"/>
      <c r="AB707" s="112"/>
      <c r="AC707" s="112"/>
      <c r="AD707" s="112"/>
      <c r="AE707" s="112"/>
      <c r="AF707" s="112"/>
      <c r="AG707" s="112"/>
      <c r="AH707" s="112"/>
      <c r="AI707" s="112"/>
      <c r="AJ707" s="112"/>
      <c r="AK707" s="112"/>
      <c r="AL707" s="112"/>
      <c r="AM707" s="112"/>
      <c r="AN707" s="112"/>
      <c r="AO707" s="112"/>
      <c r="AP707" s="112"/>
    </row>
    <row r="708" ht="15.75" customHeight="1">
      <c r="A708" s="112"/>
      <c r="B708" s="112"/>
      <c r="C708" s="112"/>
      <c r="D708" s="112"/>
      <c r="E708" s="128"/>
      <c r="F708" s="112"/>
      <c r="G708" s="112"/>
      <c r="H708" s="128"/>
      <c r="I708" s="112"/>
      <c r="J708" s="112"/>
      <c r="K708" s="112"/>
      <c r="L708" s="128"/>
      <c r="M708" s="128"/>
      <c r="N708" s="112"/>
      <c r="O708" s="112"/>
      <c r="P708" s="112"/>
      <c r="Q708" s="112"/>
      <c r="R708" s="112"/>
      <c r="S708" s="112"/>
      <c r="T708" s="128"/>
      <c r="U708" s="128"/>
      <c r="V708" s="128"/>
      <c r="W708" s="128"/>
      <c r="X708" s="128"/>
      <c r="Y708" s="128"/>
      <c r="Z708" s="112"/>
      <c r="AA708" s="112"/>
      <c r="AB708" s="112"/>
      <c r="AC708" s="112"/>
      <c r="AD708" s="112"/>
      <c r="AE708" s="112"/>
      <c r="AF708" s="112"/>
      <c r="AG708" s="112"/>
      <c r="AH708" s="112"/>
      <c r="AI708" s="112"/>
      <c r="AJ708" s="112"/>
      <c r="AK708" s="112"/>
      <c r="AL708" s="112"/>
      <c r="AM708" s="112"/>
      <c r="AN708" s="112"/>
      <c r="AO708" s="112"/>
      <c r="AP708" s="112"/>
    </row>
    <row r="709" ht="15.75" customHeight="1">
      <c r="A709" s="112"/>
      <c r="B709" s="112"/>
      <c r="C709" s="112"/>
      <c r="D709" s="112"/>
      <c r="E709" s="128"/>
      <c r="F709" s="112"/>
      <c r="G709" s="112"/>
      <c r="H709" s="128"/>
      <c r="I709" s="112"/>
      <c r="J709" s="112"/>
      <c r="K709" s="112"/>
      <c r="L709" s="128"/>
      <c r="M709" s="128"/>
      <c r="N709" s="112"/>
      <c r="O709" s="112"/>
      <c r="P709" s="112"/>
      <c r="Q709" s="112"/>
      <c r="R709" s="112"/>
      <c r="S709" s="112"/>
      <c r="T709" s="128"/>
      <c r="U709" s="128"/>
      <c r="V709" s="128"/>
      <c r="W709" s="128"/>
      <c r="X709" s="128"/>
      <c r="Y709" s="128"/>
      <c r="Z709" s="112"/>
      <c r="AA709" s="112"/>
      <c r="AB709" s="112"/>
      <c r="AC709" s="112"/>
      <c r="AD709" s="112"/>
      <c r="AE709" s="112"/>
      <c r="AF709" s="112"/>
      <c r="AG709" s="112"/>
      <c r="AH709" s="112"/>
      <c r="AI709" s="112"/>
      <c r="AJ709" s="112"/>
      <c r="AK709" s="112"/>
      <c r="AL709" s="112"/>
      <c r="AM709" s="112"/>
      <c r="AN709" s="112"/>
      <c r="AO709" s="112"/>
      <c r="AP709" s="112"/>
    </row>
    <row r="710" ht="15.75" customHeight="1">
      <c r="A710" s="112"/>
      <c r="B710" s="112"/>
      <c r="C710" s="112"/>
      <c r="D710" s="112"/>
      <c r="E710" s="128"/>
      <c r="F710" s="112"/>
      <c r="G710" s="112"/>
      <c r="H710" s="128"/>
      <c r="I710" s="112"/>
      <c r="J710" s="112"/>
      <c r="K710" s="112"/>
      <c r="L710" s="128"/>
      <c r="M710" s="128"/>
      <c r="N710" s="112"/>
      <c r="O710" s="112"/>
      <c r="P710" s="112"/>
      <c r="Q710" s="112"/>
      <c r="R710" s="112"/>
      <c r="S710" s="112"/>
      <c r="T710" s="128"/>
      <c r="U710" s="128"/>
      <c r="V710" s="128"/>
      <c r="W710" s="128"/>
      <c r="X710" s="128"/>
      <c r="Y710" s="128"/>
      <c r="Z710" s="112"/>
      <c r="AA710" s="112"/>
      <c r="AB710" s="112"/>
      <c r="AC710" s="112"/>
      <c r="AD710" s="112"/>
      <c r="AE710" s="112"/>
      <c r="AF710" s="112"/>
      <c r="AG710" s="112"/>
      <c r="AH710" s="112"/>
      <c r="AI710" s="112"/>
      <c r="AJ710" s="112"/>
      <c r="AK710" s="112"/>
      <c r="AL710" s="112"/>
      <c r="AM710" s="112"/>
      <c r="AN710" s="112"/>
      <c r="AO710" s="112"/>
      <c r="AP710" s="112"/>
    </row>
    <row r="711" ht="15.75" customHeight="1">
      <c r="A711" s="112"/>
      <c r="B711" s="112"/>
      <c r="C711" s="112"/>
      <c r="D711" s="112"/>
      <c r="E711" s="128"/>
      <c r="F711" s="112"/>
      <c r="G711" s="112"/>
      <c r="H711" s="128"/>
      <c r="I711" s="112"/>
      <c r="J711" s="112"/>
      <c r="K711" s="112"/>
      <c r="L711" s="128"/>
      <c r="M711" s="128"/>
      <c r="N711" s="112"/>
      <c r="O711" s="112"/>
      <c r="P711" s="112"/>
      <c r="Q711" s="112"/>
      <c r="R711" s="112"/>
      <c r="S711" s="112"/>
      <c r="T711" s="128"/>
      <c r="U711" s="128"/>
      <c r="V711" s="128"/>
      <c r="W711" s="128"/>
      <c r="X711" s="128"/>
      <c r="Y711" s="128"/>
      <c r="Z711" s="112"/>
      <c r="AA711" s="112"/>
      <c r="AB711" s="112"/>
      <c r="AC711" s="112"/>
      <c r="AD711" s="112"/>
      <c r="AE711" s="112"/>
      <c r="AF711" s="112"/>
      <c r="AG711" s="112"/>
      <c r="AH711" s="112"/>
      <c r="AI711" s="112"/>
      <c r="AJ711" s="112"/>
      <c r="AK711" s="112"/>
      <c r="AL711" s="112"/>
      <c r="AM711" s="112"/>
      <c r="AN711" s="112"/>
      <c r="AO711" s="112"/>
      <c r="AP711" s="112"/>
    </row>
    <row r="712" ht="15.75" customHeight="1">
      <c r="A712" s="112"/>
      <c r="B712" s="112"/>
      <c r="C712" s="112"/>
      <c r="D712" s="112"/>
      <c r="E712" s="128"/>
      <c r="F712" s="112"/>
      <c r="G712" s="112"/>
      <c r="H712" s="128"/>
      <c r="I712" s="112"/>
      <c r="J712" s="112"/>
      <c r="K712" s="112"/>
      <c r="L712" s="128"/>
      <c r="M712" s="128"/>
      <c r="N712" s="112"/>
      <c r="O712" s="112"/>
      <c r="P712" s="112"/>
      <c r="Q712" s="112"/>
      <c r="R712" s="112"/>
      <c r="S712" s="112"/>
      <c r="T712" s="128"/>
      <c r="U712" s="128"/>
      <c r="V712" s="128"/>
      <c r="W712" s="128"/>
      <c r="X712" s="128"/>
      <c r="Y712" s="128"/>
      <c r="Z712" s="112"/>
      <c r="AA712" s="112"/>
      <c r="AB712" s="112"/>
      <c r="AC712" s="112"/>
      <c r="AD712" s="112"/>
      <c r="AE712" s="112"/>
      <c r="AF712" s="112"/>
      <c r="AG712" s="112"/>
      <c r="AH712" s="112"/>
      <c r="AI712" s="112"/>
      <c r="AJ712" s="112"/>
      <c r="AK712" s="112"/>
      <c r="AL712" s="112"/>
      <c r="AM712" s="112"/>
      <c r="AN712" s="112"/>
      <c r="AO712" s="112"/>
      <c r="AP712" s="112"/>
    </row>
    <row r="713" ht="15.75" customHeight="1">
      <c r="A713" s="112"/>
      <c r="B713" s="112"/>
      <c r="C713" s="112"/>
      <c r="D713" s="112"/>
      <c r="E713" s="128"/>
      <c r="F713" s="112"/>
      <c r="G713" s="112"/>
      <c r="H713" s="128"/>
      <c r="I713" s="112"/>
      <c r="J713" s="112"/>
      <c r="K713" s="112"/>
      <c r="L713" s="128"/>
      <c r="M713" s="128"/>
      <c r="N713" s="112"/>
      <c r="O713" s="112"/>
      <c r="P713" s="112"/>
      <c r="Q713" s="112"/>
      <c r="R713" s="112"/>
      <c r="S713" s="112"/>
      <c r="T713" s="128"/>
      <c r="U713" s="128"/>
      <c r="V713" s="128"/>
      <c r="W713" s="128"/>
      <c r="X713" s="128"/>
      <c r="Y713" s="128"/>
      <c r="Z713" s="112"/>
      <c r="AA713" s="112"/>
      <c r="AB713" s="112"/>
      <c r="AC713" s="112"/>
      <c r="AD713" s="112"/>
      <c r="AE713" s="112"/>
      <c r="AF713" s="112"/>
      <c r="AG713" s="112"/>
      <c r="AH713" s="112"/>
      <c r="AI713" s="112"/>
      <c r="AJ713" s="112"/>
      <c r="AK713" s="112"/>
      <c r="AL713" s="112"/>
      <c r="AM713" s="112"/>
      <c r="AN713" s="112"/>
      <c r="AO713" s="112"/>
      <c r="AP713" s="112"/>
    </row>
    <row r="714" ht="15.75" customHeight="1">
      <c r="A714" s="112"/>
      <c r="B714" s="112"/>
      <c r="C714" s="112"/>
      <c r="D714" s="112"/>
      <c r="E714" s="128"/>
      <c r="F714" s="112"/>
      <c r="G714" s="112"/>
      <c r="H714" s="128"/>
      <c r="I714" s="112"/>
      <c r="J714" s="112"/>
      <c r="K714" s="112"/>
      <c r="L714" s="128"/>
      <c r="M714" s="128"/>
      <c r="N714" s="112"/>
      <c r="O714" s="112"/>
      <c r="P714" s="112"/>
      <c r="Q714" s="112"/>
      <c r="R714" s="112"/>
      <c r="S714" s="112"/>
      <c r="T714" s="128"/>
      <c r="U714" s="128"/>
      <c r="V714" s="128"/>
      <c r="W714" s="128"/>
      <c r="X714" s="128"/>
      <c r="Y714" s="128"/>
      <c r="Z714" s="112"/>
      <c r="AA714" s="112"/>
      <c r="AB714" s="112"/>
      <c r="AC714" s="112"/>
      <c r="AD714" s="112"/>
      <c r="AE714" s="112"/>
      <c r="AF714" s="112"/>
      <c r="AG714" s="112"/>
      <c r="AH714" s="112"/>
      <c r="AI714" s="112"/>
      <c r="AJ714" s="112"/>
      <c r="AK714" s="112"/>
      <c r="AL714" s="112"/>
      <c r="AM714" s="112"/>
      <c r="AN714" s="112"/>
      <c r="AO714" s="112"/>
      <c r="AP714" s="112"/>
    </row>
    <row r="715" ht="15.75" customHeight="1">
      <c r="A715" s="112"/>
      <c r="B715" s="112"/>
      <c r="C715" s="112"/>
      <c r="D715" s="112"/>
      <c r="E715" s="128"/>
      <c r="F715" s="112"/>
      <c r="G715" s="112"/>
      <c r="H715" s="128"/>
      <c r="I715" s="112"/>
      <c r="J715" s="112"/>
      <c r="K715" s="112"/>
      <c r="L715" s="128"/>
      <c r="M715" s="128"/>
      <c r="N715" s="112"/>
      <c r="O715" s="112"/>
      <c r="P715" s="112"/>
      <c r="Q715" s="112"/>
      <c r="R715" s="112"/>
      <c r="S715" s="112"/>
      <c r="T715" s="128"/>
      <c r="U715" s="128"/>
      <c r="V715" s="128"/>
      <c r="W715" s="128"/>
      <c r="X715" s="128"/>
      <c r="Y715" s="128"/>
      <c r="Z715" s="112"/>
      <c r="AA715" s="112"/>
      <c r="AB715" s="112"/>
      <c r="AC715" s="112"/>
      <c r="AD715" s="112"/>
      <c r="AE715" s="112"/>
      <c r="AF715" s="112"/>
      <c r="AG715" s="112"/>
      <c r="AH715" s="112"/>
      <c r="AI715" s="112"/>
      <c r="AJ715" s="112"/>
      <c r="AK715" s="112"/>
      <c r="AL715" s="112"/>
      <c r="AM715" s="112"/>
      <c r="AN715" s="112"/>
      <c r="AO715" s="112"/>
      <c r="AP715" s="112"/>
    </row>
    <row r="716" ht="15.75" customHeight="1">
      <c r="A716" s="112"/>
      <c r="B716" s="112"/>
      <c r="C716" s="112"/>
      <c r="D716" s="112"/>
      <c r="E716" s="128"/>
      <c r="F716" s="112"/>
      <c r="G716" s="112"/>
      <c r="H716" s="128"/>
      <c r="I716" s="112"/>
      <c r="J716" s="112"/>
      <c r="K716" s="112"/>
      <c r="L716" s="128"/>
      <c r="M716" s="128"/>
      <c r="N716" s="112"/>
      <c r="O716" s="112"/>
      <c r="P716" s="112"/>
      <c r="Q716" s="112"/>
      <c r="R716" s="112"/>
      <c r="S716" s="112"/>
      <c r="T716" s="128"/>
      <c r="U716" s="128"/>
      <c r="V716" s="128"/>
      <c r="W716" s="128"/>
      <c r="X716" s="128"/>
      <c r="Y716" s="128"/>
      <c r="Z716" s="112"/>
      <c r="AA716" s="112"/>
      <c r="AB716" s="112"/>
      <c r="AC716" s="112"/>
      <c r="AD716" s="112"/>
      <c r="AE716" s="112"/>
      <c r="AF716" s="112"/>
      <c r="AG716" s="112"/>
      <c r="AH716" s="112"/>
      <c r="AI716" s="112"/>
      <c r="AJ716" s="112"/>
      <c r="AK716" s="112"/>
      <c r="AL716" s="112"/>
      <c r="AM716" s="112"/>
      <c r="AN716" s="112"/>
      <c r="AO716" s="112"/>
      <c r="AP716" s="112"/>
    </row>
    <row r="717" ht="15.75" customHeight="1">
      <c r="A717" s="112"/>
      <c r="B717" s="112"/>
      <c r="C717" s="112"/>
      <c r="D717" s="112"/>
      <c r="E717" s="128"/>
      <c r="F717" s="112"/>
      <c r="G717" s="112"/>
      <c r="H717" s="128"/>
      <c r="I717" s="112"/>
      <c r="J717" s="112"/>
      <c r="K717" s="112"/>
      <c r="L717" s="128"/>
      <c r="M717" s="128"/>
      <c r="N717" s="112"/>
      <c r="O717" s="112"/>
      <c r="P717" s="112"/>
      <c r="Q717" s="112"/>
      <c r="R717" s="112"/>
      <c r="S717" s="112"/>
      <c r="T717" s="128"/>
      <c r="U717" s="128"/>
      <c r="V717" s="128"/>
      <c r="W717" s="128"/>
      <c r="X717" s="128"/>
      <c r="Y717" s="128"/>
      <c r="Z717" s="112"/>
      <c r="AA717" s="112"/>
      <c r="AB717" s="112"/>
      <c r="AC717" s="112"/>
      <c r="AD717" s="112"/>
      <c r="AE717" s="112"/>
      <c r="AF717" s="112"/>
      <c r="AG717" s="112"/>
      <c r="AH717" s="112"/>
      <c r="AI717" s="112"/>
      <c r="AJ717" s="112"/>
      <c r="AK717" s="112"/>
      <c r="AL717" s="112"/>
      <c r="AM717" s="112"/>
      <c r="AN717" s="112"/>
      <c r="AO717" s="112"/>
      <c r="AP717" s="112"/>
    </row>
    <row r="718" ht="15.75" customHeight="1">
      <c r="A718" s="112"/>
      <c r="B718" s="112"/>
      <c r="C718" s="112"/>
      <c r="D718" s="112"/>
      <c r="E718" s="128"/>
      <c r="F718" s="112"/>
      <c r="G718" s="112"/>
      <c r="H718" s="128"/>
      <c r="I718" s="112"/>
      <c r="J718" s="112"/>
      <c r="K718" s="112"/>
      <c r="L718" s="128"/>
      <c r="M718" s="128"/>
      <c r="N718" s="112"/>
      <c r="O718" s="112"/>
      <c r="P718" s="112"/>
      <c r="Q718" s="112"/>
      <c r="R718" s="112"/>
      <c r="S718" s="112"/>
      <c r="T718" s="128"/>
      <c r="U718" s="128"/>
      <c r="V718" s="128"/>
      <c r="W718" s="128"/>
      <c r="X718" s="128"/>
      <c r="Y718" s="128"/>
      <c r="Z718" s="112"/>
      <c r="AA718" s="112"/>
      <c r="AB718" s="112"/>
      <c r="AC718" s="112"/>
      <c r="AD718" s="112"/>
      <c r="AE718" s="112"/>
      <c r="AF718" s="112"/>
      <c r="AG718" s="112"/>
      <c r="AH718" s="112"/>
      <c r="AI718" s="112"/>
      <c r="AJ718" s="112"/>
      <c r="AK718" s="112"/>
      <c r="AL718" s="112"/>
      <c r="AM718" s="112"/>
      <c r="AN718" s="112"/>
      <c r="AO718" s="112"/>
      <c r="AP718" s="112"/>
    </row>
    <row r="719" ht="15.75" customHeight="1">
      <c r="A719" s="112"/>
      <c r="B719" s="112"/>
      <c r="C719" s="112"/>
      <c r="D719" s="112"/>
      <c r="E719" s="128"/>
      <c r="F719" s="112"/>
      <c r="G719" s="112"/>
      <c r="H719" s="128"/>
      <c r="I719" s="112"/>
      <c r="J719" s="112"/>
      <c r="K719" s="112"/>
      <c r="L719" s="128"/>
      <c r="M719" s="128"/>
      <c r="N719" s="112"/>
      <c r="O719" s="112"/>
      <c r="P719" s="112"/>
      <c r="Q719" s="112"/>
      <c r="R719" s="112"/>
      <c r="S719" s="112"/>
      <c r="T719" s="128"/>
      <c r="U719" s="128"/>
      <c r="V719" s="128"/>
      <c r="W719" s="128"/>
      <c r="X719" s="128"/>
      <c r="Y719" s="128"/>
      <c r="Z719" s="112"/>
      <c r="AA719" s="112"/>
      <c r="AB719" s="112"/>
      <c r="AC719" s="112"/>
      <c r="AD719" s="112"/>
      <c r="AE719" s="112"/>
      <c r="AF719" s="112"/>
      <c r="AG719" s="112"/>
      <c r="AH719" s="112"/>
      <c r="AI719" s="112"/>
      <c r="AJ719" s="112"/>
      <c r="AK719" s="112"/>
      <c r="AL719" s="112"/>
      <c r="AM719" s="112"/>
      <c r="AN719" s="112"/>
      <c r="AO719" s="112"/>
      <c r="AP719" s="112"/>
    </row>
    <row r="720" ht="15.75" customHeight="1">
      <c r="A720" s="112"/>
      <c r="B720" s="112"/>
      <c r="C720" s="112"/>
      <c r="D720" s="112"/>
      <c r="E720" s="128"/>
      <c r="F720" s="112"/>
      <c r="G720" s="112"/>
      <c r="H720" s="128"/>
      <c r="I720" s="112"/>
      <c r="J720" s="112"/>
      <c r="K720" s="112"/>
      <c r="L720" s="128"/>
      <c r="M720" s="128"/>
      <c r="N720" s="112"/>
      <c r="O720" s="112"/>
      <c r="P720" s="112"/>
      <c r="Q720" s="112"/>
      <c r="R720" s="112"/>
      <c r="S720" s="112"/>
      <c r="T720" s="128"/>
      <c r="U720" s="128"/>
      <c r="V720" s="128"/>
      <c r="W720" s="128"/>
      <c r="X720" s="128"/>
      <c r="Y720" s="128"/>
      <c r="Z720" s="112"/>
      <c r="AA720" s="112"/>
      <c r="AB720" s="112"/>
      <c r="AC720" s="112"/>
      <c r="AD720" s="112"/>
      <c r="AE720" s="112"/>
      <c r="AF720" s="112"/>
      <c r="AG720" s="112"/>
      <c r="AH720" s="112"/>
      <c r="AI720" s="112"/>
      <c r="AJ720" s="112"/>
      <c r="AK720" s="112"/>
      <c r="AL720" s="112"/>
      <c r="AM720" s="112"/>
      <c r="AN720" s="112"/>
      <c r="AO720" s="112"/>
      <c r="AP720" s="112"/>
    </row>
    <row r="721" ht="15.75" customHeight="1">
      <c r="A721" s="112"/>
      <c r="B721" s="112"/>
      <c r="C721" s="112"/>
      <c r="D721" s="112"/>
      <c r="E721" s="128"/>
      <c r="F721" s="112"/>
      <c r="G721" s="112"/>
      <c r="H721" s="128"/>
      <c r="I721" s="112"/>
      <c r="J721" s="112"/>
      <c r="K721" s="112"/>
      <c r="L721" s="128"/>
      <c r="M721" s="128"/>
      <c r="N721" s="112"/>
      <c r="O721" s="112"/>
      <c r="P721" s="112"/>
      <c r="Q721" s="112"/>
      <c r="R721" s="112"/>
      <c r="S721" s="112"/>
      <c r="T721" s="128"/>
      <c r="U721" s="128"/>
      <c r="V721" s="128"/>
      <c r="W721" s="128"/>
      <c r="X721" s="128"/>
      <c r="Y721" s="128"/>
      <c r="Z721" s="112"/>
      <c r="AA721" s="112"/>
      <c r="AB721" s="112"/>
      <c r="AC721" s="112"/>
      <c r="AD721" s="112"/>
      <c r="AE721" s="112"/>
      <c r="AF721" s="112"/>
      <c r="AG721" s="112"/>
      <c r="AH721" s="112"/>
      <c r="AI721" s="112"/>
      <c r="AJ721" s="112"/>
      <c r="AK721" s="112"/>
      <c r="AL721" s="112"/>
      <c r="AM721" s="112"/>
      <c r="AN721" s="112"/>
      <c r="AO721" s="112"/>
      <c r="AP721" s="112"/>
    </row>
    <row r="722" ht="15.75" customHeight="1">
      <c r="A722" s="112"/>
      <c r="B722" s="112"/>
      <c r="C722" s="112"/>
      <c r="D722" s="112"/>
      <c r="E722" s="128"/>
      <c r="F722" s="112"/>
      <c r="G722" s="112"/>
      <c r="H722" s="128"/>
      <c r="I722" s="112"/>
      <c r="J722" s="112"/>
      <c r="K722" s="112"/>
      <c r="L722" s="128"/>
      <c r="M722" s="128"/>
      <c r="N722" s="112"/>
      <c r="O722" s="112"/>
      <c r="P722" s="112"/>
      <c r="Q722" s="112"/>
      <c r="R722" s="112"/>
      <c r="S722" s="112"/>
      <c r="T722" s="128"/>
      <c r="U722" s="128"/>
      <c r="V722" s="128"/>
      <c r="W722" s="128"/>
      <c r="X722" s="128"/>
      <c r="Y722" s="128"/>
      <c r="Z722" s="112"/>
      <c r="AA722" s="112"/>
      <c r="AB722" s="112"/>
      <c r="AC722" s="112"/>
      <c r="AD722" s="112"/>
      <c r="AE722" s="112"/>
      <c r="AF722" s="112"/>
      <c r="AG722" s="112"/>
      <c r="AH722" s="112"/>
      <c r="AI722" s="112"/>
      <c r="AJ722" s="112"/>
      <c r="AK722" s="112"/>
      <c r="AL722" s="112"/>
      <c r="AM722" s="112"/>
      <c r="AN722" s="112"/>
      <c r="AO722" s="112"/>
      <c r="AP722" s="112"/>
    </row>
    <row r="723" ht="15.75" customHeight="1">
      <c r="A723" s="112"/>
      <c r="B723" s="112"/>
      <c r="C723" s="112"/>
      <c r="D723" s="112"/>
      <c r="E723" s="128"/>
      <c r="F723" s="112"/>
      <c r="G723" s="112"/>
      <c r="H723" s="128"/>
      <c r="I723" s="112"/>
      <c r="J723" s="112"/>
      <c r="K723" s="112"/>
      <c r="L723" s="128"/>
      <c r="M723" s="128"/>
      <c r="N723" s="112"/>
      <c r="O723" s="112"/>
      <c r="P723" s="112"/>
      <c r="Q723" s="112"/>
      <c r="R723" s="112"/>
      <c r="S723" s="112"/>
      <c r="T723" s="128"/>
      <c r="U723" s="128"/>
      <c r="V723" s="128"/>
      <c r="W723" s="128"/>
      <c r="X723" s="128"/>
      <c r="Y723" s="128"/>
      <c r="Z723" s="112"/>
      <c r="AA723" s="112"/>
      <c r="AB723" s="112"/>
      <c r="AC723" s="112"/>
      <c r="AD723" s="112"/>
      <c r="AE723" s="112"/>
      <c r="AF723" s="112"/>
      <c r="AG723" s="112"/>
      <c r="AH723" s="112"/>
      <c r="AI723" s="112"/>
      <c r="AJ723" s="112"/>
      <c r="AK723" s="112"/>
      <c r="AL723" s="112"/>
      <c r="AM723" s="112"/>
      <c r="AN723" s="112"/>
      <c r="AO723" s="112"/>
      <c r="AP723" s="112"/>
    </row>
    <row r="724" ht="15.75" customHeight="1">
      <c r="A724" s="112"/>
      <c r="B724" s="112"/>
      <c r="C724" s="112"/>
      <c r="D724" s="112"/>
      <c r="E724" s="128"/>
      <c r="F724" s="112"/>
      <c r="G724" s="112"/>
      <c r="H724" s="128"/>
      <c r="I724" s="112"/>
      <c r="J724" s="112"/>
      <c r="K724" s="112"/>
      <c r="L724" s="128"/>
      <c r="M724" s="128"/>
      <c r="N724" s="112"/>
      <c r="O724" s="112"/>
      <c r="P724" s="112"/>
      <c r="Q724" s="112"/>
      <c r="R724" s="112"/>
      <c r="S724" s="112"/>
      <c r="T724" s="128"/>
      <c r="U724" s="128"/>
      <c r="V724" s="128"/>
      <c r="W724" s="128"/>
      <c r="X724" s="128"/>
      <c r="Y724" s="128"/>
      <c r="Z724" s="112"/>
      <c r="AA724" s="112"/>
      <c r="AB724" s="112"/>
      <c r="AC724" s="112"/>
      <c r="AD724" s="112"/>
      <c r="AE724" s="112"/>
      <c r="AF724" s="112"/>
      <c r="AG724" s="112"/>
      <c r="AH724" s="112"/>
      <c r="AI724" s="112"/>
      <c r="AJ724" s="112"/>
      <c r="AK724" s="112"/>
      <c r="AL724" s="112"/>
      <c r="AM724" s="112"/>
      <c r="AN724" s="112"/>
      <c r="AO724" s="112"/>
      <c r="AP724" s="112"/>
    </row>
    <row r="725" ht="15.75" customHeight="1">
      <c r="A725" s="112"/>
      <c r="B725" s="112"/>
      <c r="C725" s="112"/>
      <c r="D725" s="112"/>
      <c r="E725" s="128"/>
      <c r="F725" s="112"/>
      <c r="G725" s="112"/>
      <c r="H725" s="128"/>
      <c r="I725" s="112"/>
      <c r="J725" s="112"/>
      <c r="K725" s="112"/>
      <c r="L725" s="128"/>
      <c r="M725" s="128"/>
      <c r="N725" s="112"/>
      <c r="O725" s="112"/>
      <c r="P725" s="112"/>
      <c r="Q725" s="112"/>
      <c r="R725" s="112"/>
      <c r="S725" s="112"/>
      <c r="T725" s="128"/>
      <c r="U725" s="128"/>
      <c r="V725" s="128"/>
      <c r="W725" s="128"/>
      <c r="X725" s="128"/>
      <c r="Y725" s="128"/>
      <c r="Z725" s="112"/>
      <c r="AA725" s="112"/>
      <c r="AB725" s="112"/>
      <c r="AC725" s="112"/>
      <c r="AD725" s="112"/>
      <c r="AE725" s="112"/>
      <c r="AF725" s="112"/>
      <c r="AG725" s="112"/>
      <c r="AH725" s="112"/>
      <c r="AI725" s="112"/>
      <c r="AJ725" s="112"/>
      <c r="AK725" s="112"/>
      <c r="AL725" s="112"/>
      <c r="AM725" s="112"/>
      <c r="AN725" s="112"/>
      <c r="AO725" s="112"/>
      <c r="AP725" s="112"/>
    </row>
    <row r="726" ht="15.75" customHeight="1">
      <c r="A726" s="112"/>
      <c r="B726" s="112"/>
      <c r="C726" s="112"/>
      <c r="D726" s="112"/>
      <c r="E726" s="128"/>
      <c r="F726" s="112"/>
      <c r="G726" s="112"/>
      <c r="H726" s="128"/>
      <c r="I726" s="112"/>
      <c r="J726" s="112"/>
      <c r="K726" s="112"/>
      <c r="L726" s="128"/>
      <c r="M726" s="128"/>
      <c r="N726" s="112"/>
      <c r="O726" s="112"/>
      <c r="P726" s="112"/>
      <c r="Q726" s="112"/>
      <c r="R726" s="112"/>
      <c r="S726" s="112"/>
      <c r="T726" s="128"/>
      <c r="U726" s="128"/>
      <c r="V726" s="128"/>
      <c r="W726" s="128"/>
      <c r="X726" s="128"/>
      <c r="Y726" s="128"/>
      <c r="Z726" s="112"/>
      <c r="AA726" s="112"/>
      <c r="AB726" s="112"/>
      <c r="AC726" s="112"/>
      <c r="AD726" s="112"/>
      <c r="AE726" s="112"/>
      <c r="AF726" s="112"/>
      <c r="AG726" s="112"/>
      <c r="AH726" s="112"/>
      <c r="AI726" s="112"/>
      <c r="AJ726" s="112"/>
      <c r="AK726" s="112"/>
      <c r="AL726" s="112"/>
      <c r="AM726" s="112"/>
      <c r="AN726" s="112"/>
      <c r="AO726" s="112"/>
      <c r="AP726" s="112"/>
    </row>
    <row r="727" ht="15.75" customHeight="1">
      <c r="A727" s="112"/>
      <c r="B727" s="112"/>
      <c r="C727" s="112"/>
      <c r="D727" s="112"/>
      <c r="E727" s="128"/>
      <c r="F727" s="112"/>
      <c r="G727" s="112"/>
      <c r="H727" s="128"/>
      <c r="I727" s="112"/>
      <c r="J727" s="112"/>
      <c r="K727" s="112"/>
      <c r="L727" s="128"/>
      <c r="M727" s="128"/>
      <c r="N727" s="112"/>
      <c r="O727" s="112"/>
      <c r="P727" s="112"/>
      <c r="Q727" s="112"/>
      <c r="R727" s="112"/>
      <c r="S727" s="112"/>
      <c r="T727" s="128"/>
      <c r="U727" s="128"/>
      <c r="V727" s="128"/>
      <c r="W727" s="128"/>
      <c r="X727" s="128"/>
      <c r="Y727" s="128"/>
      <c r="Z727" s="112"/>
      <c r="AA727" s="112"/>
      <c r="AB727" s="112"/>
      <c r="AC727" s="112"/>
      <c r="AD727" s="112"/>
      <c r="AE727" s="112"/>
      <c r="AF727" s="112"/>
      <c r="AG727" s="112"/>
      <c r="AH727" s="112"/>
      <c r="AI727" s="112"/>
      <c r="AJ727" s="112"/>
      <c r="AK727" s="112"/>
      <c r="AL727" s="112"/>
      <c r="AM727" s="112"/>
      <c r="AN727" s="112"/>
      <c r="AO727" s="112"/>
      <c r="AP727" s="112"/>
    </row>
    <row r="728" ht="15.75" customHeight="1">
      <c r="A728" s="112"/>
      <c r="B728" s="112"/>
      <c r="C728" s="112"/>
      <c r="D728" s="112"/>
      <c r="E728" s="128"/>
      <c r="F728" s="112"/>
      <c r="G728" s="112"/>
      <c r="H728" s="128"/>
      <c r="I728" s="112"/>
      <c r="J728" s="112"/>
      <c r="K728" s="112"/>
      <c r="L728" s="128"/>
      <c r="M728" s="128"/>
      <c r="N728" s="112"/>
      <c r="O728" s="112"/>
      <c r="P728" s="112"/>
      <c r="Q728" s="112"/>
      <c r="R728" s="112"/>
      <c r="S728" s="112"/>
      <c r="T728" s="128"/>
      <c r="U728" s="128"/>
      <c r="V728" s="128"/>
      <c r="W728" s="128"/>
      <c r="X728" s="128"/>
      <c r="Y728" s="128"/>
      <c r="Z728" s="112"/>
      <c r="AA728" s="112"/>
      <c r="AB728" s="112"/>
      <c r="AC728" s="112"/>
      <c r="AD728" s="112"/>
      <c r="AE728" s="112"/>
      <c r="AF728" s="112"/>
      <c r="AG728" s="112"/>
      <c r="AH728" s="112"/>
      <c r="AI728" s="112"/>
      <c r="AJ728" s="112"/>
      <c r="AK728" s="112"/>
      <c r="AL728" s="112"/>
      <c r="AM728" s="112"/>
      <c r="AN728" s="112"/>
      <c r="AO728" s="112"/>
      <c r="AP728" s="112"/>
    </row>
    <row r="729" ht="15.75" customHeight="1">
      <c r="A729" s="112"/>
      <c r="B729" s="112"/>
      <c r="C729" s="112"/>
      <c r="D729" s="112"/>
      <c r="E729" s="128"/>
      <c r="F729" s="112"/>
      <c r="G729" s="112"/>
      <c r="H729" s="128"/>
      <c r="I729" s="112"/>
      <c r="J729" s="112"/>
      <c r="K729" s="112"/>
      <c r="L729" s="128"/>
      <c r="M729" s="128"/>
      <c r="N729" s="112"/>
      <c r="O729" s="112"/>
      <c r="P729" s="112"/>
      <c r="Q729" s="112"/>
      <c r="R729" s="112"/>
      <c r="S729" s="112"/>
      <c r="T729" s="128"/>
      <c r="U729" s="128"/>
      <c r="V729" s="128"/>
      <c r="W729" s="128"/>
      <c r="X729" s="128"/>
      <c r="Y729" s="128"/>
      <c r="Z729" s="112"/>
      <c r="AA729" s="112"/>
      <c r="AB729" s="112"/>
      <c r="AC729" s="112"/>
      <c r="AD729" s="112"/>
      <c r="AE729" s="112"/>
      <c r="AF729" s="112"/>
      <c r="AG729" s="112"/>
      <c r="AH729" s="112"/>
      <c r="AI729" s="112"/>
      <c r="AJ729" s="112"/>
      <c r="AK729" s="112"/>
      <c r="AL729" s="112"/>
      <c r="AM729" s="112"/>
      <c r="AN729" s="112"/>
      <c r="AO729" s="112"/>
      <c r="AP729" s="112"/>
    </row>
    <row r="730" ht="15.75" customHeight="1">
      <c r="A730" s="112"/>
      <c r="B730" s="112"/>
      <c r="C730" s="112"/>
      <c r="D730" s="112"/>
      <c r="E730" s="128"/>
      <c r="F730" s="112"/>
      <c r="G730" s="112"/>
      <c r="H730" s="128"/>
      <c r="I730" s="112"/>
      <c r="J730" s="112"/>
      <c r="K730" s="112"/>
      <c r="L730" s="128"/>
      <c r="M730" s="128"/>
      <c r="N730" s="112"/>
      <c r="O730" s="112"/>
      <c r="P730" s="112"/>
      <c r="Q730" s="112"/>
      <c r="R730" s="112"/>
      <c r="S730" s="112"/>
      <c r="T730" s="128"/>
      <c r="U730" s="128"/>
      <c r="V730" s="128"/>
      <c r="W730" s="128"/>
      <c r="X730" s="128"/>
      <c r="Y730" s="128"/>
      <c r="Z730" s="112"/>
      <c r="AA730" s="112"/>
      <c r="AB730" s="112"/>
      <c r="AC730" s="112"/>
      <c r="AD730" s="112"/>
      <c r="AE730" s="112"/>
      <c r="AF730" s="112"/>
      <c r="AG730" s="112"/>
      <c r="AH730" s="112"/>
      <c r="AI730" s="112"/>
      <c r="AJ730" s="112"/>
      <c r="AK730" s="112"/>
      <c r="AL730" s="112"/>
      <c r="AM730" s="112"/>
      <c r="AN730" s="112"/>
      <c r="AO730" s="112"/>
      <c r="AP730" s="112"/>
    </row>
    <row r="731" ht="15.75" customHeight="1">
      <c r="A731" s="112"/>
      <c r="B731" s="112"/>
      <c r="C731" s="112"/>
      <c r="D731" s="112"/>
      <c r="E731" s="128"/>
      <c r="F731" s="112"/>
      <c r="G731" s="112"/>
      <c r="H731" s="128"/>
      <c r="I731" s="112"/>
      <c r="J731" s="112"/>
      <c r="K731" s="112"/>
      <c r="L731" s="128"/>
      <c r="M731" s="128"/>
      <c r="N731" s="112"/>
      <c r="O731" s="112"/>
      <c r="P731" s="112"/>
      <c r="Q731" s="112"/>
      <c r="R731" s="112"/>
      <c r="S731" s="112"/>
      <c r="T731" s="128"/>
      <c r="U731" s="128"/>
      <c r="V731" s="128"/>
      <c r="W731" s="128"/>
      <c r="X731" s="128"/>
      <c r="Y731" s="128"/>
      <c r="Z731" s="112"/>
      <c r="AA731" s="112"/>
      <c r="AB731" s="112"/>
      <c r="AC731" s="112"/>
      <c r="AD731" s="112"/>
      <c r="AE731" s="112"/>
      <c r="AF731" s="112"/>
      <c r="AG731" s="112"/>
      <c r="AH731" s="112"/>
      <c r="AI731" s="112"/>
      <c r="AJ731" s="112"/>
      <c r="AK731" s="112"/>
      <c r="AL731" s="112"/>
      <c r="AM731" s="112"/>
      <c r="AN731" s="112"/>
      <c r="AO731" s="112"/>
      <c r="AP731" s="112"/>
    </row>
    <row r="732" ht="15.75" customHeight="1">
      <c r="A732" s="112"/>
      <c r="B732" s="112"/>
      <c r="C732" s="112"/>
      <c r="D732" s="112"/>
      <c r="E732" s="128"/>
      <c r="F732" s="112"/>
      <c r="G732" s="112"/>
      <c r="H732" s="128"/>
      <c r="I732" s="112"/>
      <c r="J732" s="112"/>
      <c r="K732" s="112"/>
      <c r="L732" s="128"/>
      <c r="M732" s="128"/>
      <c r="N732" s="112"/>
      <c r="O732" s="112"/>
      <c r="P732" s="112"/>
      <c r="Q732" s="112"/>
      <c r="R732" s="112"/>
      <c r="S732" s="112"/>
      <c r="T732" s="128"/>
      <c r="U732" s="128"/>
      <c r="V732" s="128"/>
      <c r="W732" s="128"/>
      <c r="X732" s="128"/>
      <c r="Y732" s="128"/>
      <c r="Z732" s="112"/>
      <c r="AA732" s="112"/>
      <c r="AB732" s="112"/>
      <c r="AC732" s="112"/>
      <c r="AD732" s="112"/>
      <c r="AE732" s="112"/>
      <c r="AF732" s="112"/>
      <c r="AG732" s="112"/>
      <c r="AH732" s="112"/>
      <c r="AI732" s="112"/>
      <c r="AJ732" s="112"/>
      <c r="AK732" s="112"/>
      <c r="AL732" s="112"/>
      <c r="AM732" s="112"/>
      <c r="AN732" s="112"/>
      <c r="AO732" s="112"/>
      <c r="AP732" s="112"/>
    </row>
    <row r="733" ht="15.75" customHeight="1">
      <c r="A733" s="112"/>
      <c r="B733" s="112"/>
      <c r="C733" s="112"/>
      <c r="D733" s="112"/>
      <c r="E733" s="128"/>
      <c r="F733" s="112"/>
      <c r="G733" s="112"/>
      <c r="H733" s="128"/>
      <c r="I733" s="112"/>
      <c r="J733" s="112"/>
      <c r="K733" s="112"/>
      <c r="L733" s="128"/>
      <c r="M733" s="128"/>
      <c r="N733" s="112"/>
      <c r="O733" s="112"/>
      <c r="P733" s="112"/>
      <c r="Q733" s="112"/>
      <c r="R733" s="112"/>
      <c r="S733" s="112"/>
      <c r="T733" s="128"/>
      <c r="U733" s="128"/>
      <c r="V733" s="128"/>
      <c r="W733" s="128"/>
      <c r="X733" s="128"/>
      <c r="Y733" s="128"/>
      <c r="Z733" s="112"/>
      <c r="AA733" s="112"/>
      <c r="AB733" s="112"/>
      <c r="AC733" s="112"/>
      <c r="AD733" s="112"/>
      <c r="AE733" s="112"/>
      <c r="AF733" s="112"/>
      <c r="AG733" s="112"/>
      <c r="AH733" s="112"/>
      <c r="AI733" s="112"/>
      <c r="AJ733" s="112"/>
      <c r="AK733" s="112"/>
      <c r="AL733" s="112"/>
      <c r="AM733" s="112"/>
      <c r="AN733" s="112"/>
      <c r="AO733" s="112"/>
      <c r="AP733" s="112"/>
    </row>
    <row r="734" ht="15.75" customHeight="1">
      <c r="A734" s="112"/>
      <c r="B734" s="112"/>
      <c r="C734" s="112"/>
      <c r="D734" s="112"/>
      <c r="E734" s="128"/>
      <c r="F734" s="112"/>
      <c r="G734" s="112"/>
      <c r="H734" s="128"/>
      <c r="I734" s="112"/>
      <c r="J734" s="112"/>
      <c r="K734" s="112"/>
      <c r="L734" s="128"/>
      <c r="M734" s="128"/>
      <c r="N734" s="112"/>
      <c r="O734" s="112"/>
      <c r="P734" s="112"/>
      <c r="Q734" s="112"/>
      <c r="R734" s="112"/>
      <c r="S734" s="112"/>
      <c r="T734" s="128"/>
      <c r="U734" s="128"/>
      <c r="V734" s="128"/>
      <c r="W734" s="128"/>
      <c r="X734" s="128"/>
      <c r="Y734" s="128"/>
      <c r="Z734" s="112"/>
      <c r="AA734" s="112"/>
      <c r="AB734" s="112"/>
      <c r="AC734" s="112"/>
      <c r="AD734" s="112"/>
      <c r="AE734" s="112"/>
      <c r="AF734" s="112"/>
      <c r="AG734" s="112"/>
      <c r="AH734" s="112"/>
      <c r="AI734" s="112"/>
      <c r="AJ734" s="112"/>
      <c r="AK734" s="112"/>
      <c r="AL734" s="112"/>
      <c r="AM734" s="112"/>
      <c r="AN734" s="112"/>
      <c r="AO734" s="112"/>
      <c r="AP734" s="112"/>
    </row>
    <row r="735" ht="15.75" customHeight="1">
      <c r="A735" s="112"/>
      <c r="B735" s="112"/>
      <c r="C735" s="112"/>
      <c r="D735" s="112"/>
      <c r="E735" s="128"/>
      <c r="F735" s="112"/>
      <c r="G735" s="112"/>
      <c r="H735" s="128"/>
      <c r="I735" s="112"/>
      <c r="J735" s="112"/>
      <c r="K735" s="112"/>
      <c r="L735" s="128"/>
      <c r="M735" s="128"/>
      <c r="N735" s="112"/>
      <c r="O735" s="112"/>
      <c r="P735" s="112"/>
      <c r="Q735" s="112"/>
      <c r="R735" s="112"/>
      <c r="S735" s="112"/>
      <c r="T735" s="128"/>
      <c r="U735" s="128"/>
      <c r="V735" s="128"/>
      <c r="W735" s="128"/>
      <c r="X735" s="128"/>
      <c r="Y735" s="128"/>
      <c r="Z735" s="112"/>
      <c r="AA735" s="112"/>
      <c r="AB735" s="112"/>
      <c r="AC735" s="112"/>
      <c r="AD735" s="112"/>
      <c r="AE735" s="112"/>
      <c r="AF735" s="112"/>
      <c r="AG735" s="112"/>
      <c r="AH735" s="112"/>
      <c r="AI735" s="112"/>
      <c r="AJ735" s="112"/>
      <c r="AK735" s="112"/>
      <c r="AL735" s="112"/>
      <c r="AM735" s="112"/>
      <c r="AN735" s="112"/>
      <c r="AO735" s="112"/>
      <c r="AP735" s="112"/>
    </row>
    <row r="736" ht="15.75" customHeight="1">
      <c r="A736" s="112"/>
      <c r="B736" s="112"/>
      <c r="C736" s="112"/>
      <c r="D736" s="112"/>
      <c r="E736" s="128"/>
      <c r="F736" s="112"/>
      <c r="G736" s="112"/>
      <c r="H736" s="128"/>
      <c r="I736" s="112"/>
      <c r="J736" s="112"/>
      <c r="K736" s="112"/>
      <c r="L736" s="128"/>
      <c r="M736" s="128"/>
      <c r="N736" s="112"/>
      <c r="O736" s="112"/>
      <c r="P736" s="112"/>
      <c r="Q736" s="112"/>
      <c r="R736" s="112"/>
      <c r="S736" s="112"/>
      <c r="T736" s="128"/>
      <c r="U736" s="128"/>
      <c r="V736" s="128"/>
      <c r="W736" s="128"/>
      <c r="X736" s="128"/>
      <c r="Y736" s="128"/>
      <c r="Z736" s="112"/>
      <c r="AA736" s="112"/>
      <c r="AB736" s="112"/>
      <c r="AC736" s="112"/>
      <c r="AD736" s="112"/>
      <c r="AE736" s="112"/>
      <c r="AF736" s="112"/>
      <c r="AG736" s="112"/>
      <c r="AH736" s="112"/>
      <c r="AI736" s="112"/>
      <c r="AJ736" s="112"/>
      <c r="AK736" s="112"/>
      <c r="AL736" s="112"/>
      <c r="AM736" s="112"/>
      <c r="AN736" s="112"/>
      <c r="AO736" s="112"/>
      <c r="AP736" s="112"/>
    </row>
    <row r="737" ht="15.75" customHeight="1">
      <c r="A737" s="112"/>
      <c r="B737" s="112"/>
      <c r="C737" s="112"/>
      <c r="D737" s="112"/>
      <c r="E737" s="128"/>
      <c r="F737" s="112"/>
      <c r="G737" s="112"/>
      <c r="H737" s="128"/>
      <c r="I737" s="112"/>
      <c r="J737" s="112"/>
      <c r="K737" s="112"/>
      <c r="L737" s="128"/>
      <c r="M737" s="128"/>
      <c r="N737" s="112"/>
      <c r="O737" s="112"/>
      <c r="P737" s="112"/>
      <c r="Q737" s="112"/>
      <c r="R737" s="112"/>
      <c r="S737" s="112"/>
      <c r="T737" s="128"/>
      <c r="U737" s="128"/>
      <c r="V737" s="128"/>
      <c r="W737" s="128"/>
      <c r="X737" s="128"/>
      <c r="Y737" s="128"/>
      <c r="Z737" s="112"/>
      <c r="AA737" s="112"/>
      <c r="AB737" s="112"/>
      <c r="AC737" s="112"/>
      <c r="AD737" s="112"/>
      <c r="AE737" s="112"/>
      <c r="AF737" s="112"/>
      <c r="AG737" s="112"/>
      <c r="AH737" s="112"/>
      <c r="AI737" s="112"/>
      <c r="AJ737" s="112"/>
      <c r="AK737" s="112"/>
      <c r="AL737" s="112"/>
      <c r="AM737" s="112"/>
      <c r="AN737" s="112"/>
      <c r="AO737" s="112"/>
      <c r="AP737" s="112"/>
    </row>
    <row r="738" ht="15.75" customHeight="1">
      <c r="A738" s="112"/>
      <c r="B738" s="112"/>
      <c r="C738" s="112"/>
      <c r="D738" s="112"/>
      <c r="E738" s="128"/>
      <c r="F738" s="112"/>
      <c r="G738" s="112"/>
      <c r="H738" s="128"/>
      <c r="I738" s="112"/>
      <c r="J738" s="112"/>
      <c r="K738" s="112"/>
      <c r="L738" s="128"/>
      <c r="M738" s="128"/>
      <c r="N738" s="112"/>
      <c r="O738" s="112"/>
      <c r="P738" s="112"/>
      <c r="Q738" s="112"/>
      <c r="R738" s="112"/>
      <c r="S738" s="112"/>
      <c r="T738" s="128"/>
      <c r="U738" s="128"/>
      <c r="V738" s="128"/>
      <c r="W738" s="128"/>
      <c r="X738" s="128"/>
      <c r="Y738" s="128"/>
      <c r="Z738" s="112"/>
      <c r="AA738" s="112"/>
      <c r="AB738" s="112"/>
      <c r="AC738" s="112"/>
      <c r="AD738" s="112"/>
      <c r="AE738" s="112"/>
      <c r="AF738" s="112"/>
      <c r="AG738" s="112"/>
      <c r="AH738" s="112"/>
      <c r="AI738" s="112"/>
      <c r="AJ738" s="112"/>
      <c r="AK738" s="112"/>
      <c r="AL738" s="112"/>
      <c r="AM738" s="112"/>
      <c r="AN738" s="112"/>
      <c r="AO738" s="112"/>
      <c r="AP738" s="112"/>
    </row>
    <row r="739" ht="15.75" customHeight="1">
      <c r="A739" s="112"/>
      <c r="B739" s="112"/>
      <c r="C739" s="112"/>
      <c r="D739" s="112"/>
      <c r="E739" s="128"/>
      <c r="F739" s="112"/>
      <c r="G739" s="112"/>
      <c r="H739" s="128"/>
      <c r="I739" s="112"/>
      <c r="J739" s="112"/>
      <c r="K739" s="112"/>
      <c r="L739" s="128"/>
      <c r="M739" s="128"/>
      <c r="N739" s="112"/>
      <c r="O739" s="112"/>
      <c r="P739" s="112"/>
      <c r="Q739" s="112"/>
      <c r="R739" s="112"/>
      <c r="S739" s="112"/>
      <c r="T739" s="128"/>
      <c r="U739" s="128"/>
      <c r="V739" s="128"/>
      <c r="W739" s="128"/>
      <c r="X739" s="128"/>
      <c r="Y739" s="128"/>
      <c r="Z739" s="112"/>
      <c r="AA739" s="112"/>
      <c r="AB739" s="112"/>
      <c r="AC739" s="112"/>
      <c r="AD739" s="112"/>
      <c r="AE739" s="112"/>
      <c r="AF739" s="112"/>
      <c r="AG739" s="112"/>
      <c r="AH739" s="112"/>
      <c r="AI739" s="112"/>
      <c r="AJ739" s="112"/>
      <c r="AK739" s="112"/>
      <c r="AL739" s="112"/>
      <c r="AM739" s="112"/>
      <c r="AN739" s="112"/>
      <c r="AO739" s="112"/>
      <c r="AP739" s="112"/>
    </row>
    <row r="740" ht="15.75" customHeight="1">
      <c r="A740" s="112"/>
      <c r="B740" s="112"/>
      <c r="C740" s="112"/>
      <c r="D740" s="112"/>
      <c r="E740" s="128"/>
      <c r="F740" s="112"/>
      <c r="G740" s="112"/>
      <c r="H740" s="128"/>
      <c r="I740" s="112"/>
      <c r="J740" s="112"/>
      <c r="K740" s="112"/>
      <c r="L740" s="128"/>
      <c r="M740" s="128"/>
      <c r="N740" s="112"/>
      <c r="O740" s="112"/>
      <c r="P740" s="112"/>
      <c r="Q740" s="112"/>
      <c r="R740" s="112"/>
      <c r="S740" s="112"/>
      <c r="T740" s="128"/>
      <c r="U740" s="128"/>
      <c r="V740" s="128"/>
      <c r="W740" s="128"/>
      <c r="X740" s="128"/>
      <c r="Y740" s="128"/>
      <c r="Z740" s="112"/>
      <c r="AA740" s="112"/>
      <c r="AB740" s="112"/>
      <c r="AC740" s="112"/>
      <c r="AD740" s="112"/>
      <c r="AE740" s="112"/>
      <c r="AF740" s="112"/>
      <c r="AG740" s="112"/>
      <c r="AH740" s="112"/>
      <c r="AI740" s="112"/>
      <c r="AJ740" s="112"/>
      <c r="AK740" s="112"/>
      <c r="AL740" s="112"/>
      <c r="AM740" s="112"/>
      <c r="AN740" s="112"/>
      <c r="AO740" s="112"/>
      <c r="AP740" s="112"/>
    </row>
    <row r="741" ht="15.75" customHeight="1">
      <c r="A741" s="112"/>
      <c r="B741" s="112"/>
      <c r="C741" s="112"/>
      <c r="D741" s="112"/>
      <c r="E741" s="128"/>
      <c r="F741" s="112"/>
      <c r="G741" s="112"/>
      <c r="H741" s="128"/>
      <c r="I741" s="112"/>
      <c r="J741" s="112"/>
      <c r="K741" s="112"/>
      <c r="L741" s="128"/>
      <c r="M741" s="128"/>
      <c r="N741" s="112"/>
      <c r="O741" s="112"/>
      <c r="P741" s="112"/>
      <c r="Q741" s="112"/>
      <c r="R741" s="112"/>
      <c r="S741" s="112"/>
      <c r="T741" s="128"/>
      <c r="U741" s="128"/>
      <c r="V741" s="128"/>
      <c r="W741" s="128"/>
      <c r="X741" s="128"/>
      <c r="Y741" s="128"/>
      <c r="Z741" s="112"/>
      <c r="AA741" s="112"/>
      <c r="AB741" s="112"/>
      <c r="AC741" s="112"/>
      <c r="AD741" s="112"/>
      <c r="AE741" s="112"/>
      <c r="AF741" s="112"/>
      <c r="AG741" s="112"/>
      <c r="AH741" s="112"/>
      <c r="AI741" s="112"/>
      <c r="AJ741" s="112"/>
      <c r="AK741" s="112"/>
      <c r="AL741" s="112"/>
      <c r="AM741" s="112"/>
      <c r="AN741" s="112"/>
      <c r="AO741" s="112"/>
      <c r="AP741" s="112"/>
    </row>
    <row r="742" ht="15.75" customHeight="1">
      <c r="A742" s="112"/>
      <c r="B742" s="112"/>
      <c r="C742" s="112"/>
      <c r="D742" s="112"/>
      <c r="E742" s="128"/>
      <c r="F742" s="112"/>
      <c r="G742" s="112"/>
      <c r="H742" s="128"/>
      <c r="I742" s="112"/>
      <c r="J742" s="112"/>
      <c r="K742" s="112"/>
      <c r="L742" s="128"/>
      <c r="M742" s="128"/>
      <c r="N742" s="112"/>
      <c r="O742" s="112"/>
      <c r="P742" s="112"/>
      <c r="Q742" s="112"/>
      <c r="R742" s="112"/>
      <c r="S742" s="112"/>
      <c r="T742" s="128"/>
      <c r="U742" s="128"/>
      <c r="V742" s="128"/>
      <c r="W742" s="128"/>
      <c r="X742" s="128"/>
      <c r="Y742" s="128"/>
      <c r="Z742" s="112"/>
      <c r="AA742" s="112"/>
      <c r="AB742" s="112"/>
      <c r="AC742" s="112"/>
      <c r="AD742" s="112"/>
      <c r="AE742" s="112"/>
      <c r="AF742" s="112"/>
      <c r="AG742" s="112"/>
      <c r="AH742" s="112"/>
      <c r="AI742" s="112"/>
      <c r="AJ742" s="112"/>
      <c r="AK742" s="112"/>
      <c r="AL742" s="112"/>
      <c r="AM742" s="112"/>
      <c r="AN742" s="112"/>
      <c r="AO742" s="112"/>
      <c r="AP742" s="112"/>
    </row>
    <row r="743" ht="15.75" customHeight="1">
      <c r="A743" s="112"/>
      <c r="B743" s="112"/>
      <c r="C743" s="112"/>
      <c r="D743" s="112"/>
      <c r="E743" s="128"/>
      <c r="F743" s="112"/>
      <c r="G743" s="112"/>
      <c r="H743" s="128"/>
      <c r="I743" s="112"/>
      <c r="J743" s="112"/>
      <c r="K743" s="112"/>
      <c r="L743" s="128"/>
      <c r="M743" s="128"/>
      <c r="N743" s="112"/>
      <c r="O743" s="112"/>
      <c r="P743" s="112"/>
      <c r="Q743" s="112"/>
      <c r="R743" s="112"/>
      <c r="S743" s="112"/>
      <c r="T743" s="128"/>
      <c r="U743" s="128"/>
      <c r="V743" s="128"/>
      <c r="W743" s="128"/>
      <c r="X743" s="128"/>
      <c r="Y743" s="128"/>
      <c r="Z743" s="112"/>
      <c r="AA743" s="112"/>
      <c r="AB743" s="112"/>
      <c r="AC743" s="112"/>
      <c r="AD743" s="112"/>
      <c r="AE743" s="112"/>
      <c r="AF743" s="112"/>
      <c r="AG743" s="112"/>
      <c r="AH743" s="112"/>
      <c r="AI743" s="112"/>
      <c r="AJ743" s="112"/>
      <c r="AK743" s="112"/>
      <c r="AL743" s="112"/>
      <c r="AM743" s="112"/>
      <c r="AN743" s="112"/>
      <c r="AO743" s="112"/>
      <c r="AP743" s="112"/>
    </row>
    <row r="744" ht="15.75" customHeight="1">
      <c r="A744" s="112"/>
      <c r="B744" s="112"/>
      <c r="C744" s="112"/>
      <c r="D744" s="112"/>
      <c r="E744" s="128"/>
      <c r="F744" s="112"/>
      <c r="G744" s="112"/>
      <c r="H744" s="128"/>
      <c r="I744" s="112"/>
      <c r="J744" s="112"/>
      <c r="K744" s="112"/>
      <c r="L744" s="128"/>
      <c r="M744" s="128"/>
      <c r="N744" s="112"/>
      <c r="O744" s="112"/>
      <c r="P744" s="112"/>
      <c r="Q744" s="112"/>
      <c r="R744" s="112"/>
      <c r="S744" s="112"/>
      <c r="T744" s="128"/>
      <c r="U744" s="128"/>
      <c r="V744" s="128"/>
      <c r="W744" s="128"/>
      <c r="X744" s="128"/>
      <c r="Y744" s="128"/>
      <c r="Z744" s="112"/>
      <c r="AA744" s="112"/>
      <c r="AB744" s="112"/>
      <c r="AC744" s="112"/>
      <c r="AD744" s="112"/>
      <c r="AE744" s="112"/>
      <c r="AF744" s="112"/>
      <c r="AG744" s="112"/>
      <c r="AH744" s="112"/>
      <c r="AI744" s="112"/>
      <c r="AJ744" s="112"/>
      <c r="AK744" s="112"/>
      <c r="AL744" s="112"/>
      <c r="AM744" s="112"/>
      <c r="AN744" s="112"/>
      <c r="AO744" s="112"/>
      <c r="AP744" s="112"/>
    </row>
    <row r="745" ht="15.75" customHeight="1">
      <c r="A745" s="112"/>
      <c r="B745" s="112"/>
      <c r="C745" s="112"/>
      <c r="D745" s="112"/>
      <c r="E745" s="128"/>
      <c r="F745" s="112"/>
      <c r="G745" s="112"/>
      <c r="H745" s="128"/>
      <c r="I745" s="112"/>
      <c r="J745" s="112"/>
      <c r="K745" s="112"/>
      <c r="L745" s="128"/>
      <c r="M745" s="128"/>
      <c r="N745" s="112"/>
      <c r="O745" s="112"/>
      <c r="P745" s="112"/>
      <c r="Q745" s="112"/>
      <c r="R745" s="112"/>
      <c r="S745" s="112"/>
      <c r="T745" s="128"/>
      <c r="U745" s="128"/>
      <c r="V745" s="128"/>
      <c r="W745" s="128"/>
      <c r="X745" s="128"/>
      <c r="Y745" s="128"/>
      <c r="Z745" s="112"/>
      <c r="AA745" s="112"/>
      <c r="AB745" s="112"/>
      <c r="AC745" s="112"/>
      <c r="AD745" s="112"/>
      <c r="AE745" s="112"/>
      <c r="AF745" s="112"/>
      <c r="AG745" s="112"/>
      <c r="AH745" s="112"/>
      <c r="AI745" s="112"/>
      <c r="AJ745" s="112"/>
      <c r="AK745" s="112"/>
      <c r="AL745" s="112"/>
      <c r="AM745" s="112"/>
      <c r="AN745" s="112"/>
      <c r="AO745" s="112"/>
      <c r="AP745" s="112"/>
    </row>
    <row r="746" ht="15.75" customHeight="1">
      <c r="A746" s="112"/>
      <c r="B746" s="112"/>
      <c r="C746" s="112"/>
      <c r="D746" s="112"/>
      <c r="E746" s="128"/>
      <c r="F746" s="112"/>
      <c r="G746" s="112"/>
      <c r="H746" s="128"/>
      <c r="I746" s="112"/>
      <c r="J746" s="112"/>
      <c r="K746" s="112"/>
      <c r="L746" s="128"/>
      <c r="M746" s="128"/>
      <c r="N746" s="112"/>
      <c r="O746" s="112"/>
      <c r="P746" s="112"/>
      <c r="Q746" s="112"/>
      <c r="R746" s="112"/>
      <c r="S746" s="112"/>
      <c r="T746" s="128"/>
      <c r="U746" s="128"/>
      <c r="V746" s="128"/>
      <c r="W746" s="128"/>
      <c r="X746" s="128"/>
      <c r="Y746" s="128"/>
      <c r="Z746" s="112"/>
      <c r="AA746" s="112"/>
      <c r="AB746" s="112"/>
      <c r="AC746" s="112"/>
      <c r="AD746" s="112"/>
      <c r="AE746" s="112"/>
      <c r="AF746" s="112"/>
      <c r="AG746" s="112"/>
      <c r="AH746" s="112"/>
      <c r="AI746" s="112"/>
      <c r="AJ746" s="112"/>
      <c r="AK746" s="112"/>
      <c r="AL746" s="112"/>
      <c r="AM746" s="112"/>
      <c r="AN746" s="112"/>
      <c r="AO746" s="112"/>
      <c r="AP746" s="112"/>
    </row>
    <row r="747" ht="15.75" customHeight="1">
      <c r="A747" s="112"/>
      <c r="B747" s="112"/>
      <c r="C747" s="112"/>
      <c r="D747" s="112"/>
      <c r="E747" s="128"/>
      <c r="F747" s="112"/>
      <c r="G747" s="112"/>
      <c r="H747" s="128"/>
      <c r="I747" s="112"/>
      <c r="J747" s="112"/>
      <c r="K747" s="112"/>
      <c r="L747" s="128"/>
      <c r="M747" s="128"/>
      <c r="N747" s="112"/>
      <c r="O747" s="112"/>
      <c r="P747" s="112"/>
      <c r="Q747" s="112"/>
      <c r="R747" s="112"/>
      <c r="S747" s="112"/>
      <c r="T747" s="128"/>
      <c r="U747" s="128"/>
      <c r="V747" s="128"/>
      <c r="W747" s="128"/>
      <c r="X747" s="128"/>
      <c r="Y747" s="128"/>
      <c r="Z747" s="112"/>
      <c r="AA747" s="112"/>
      <c r="AB747" s="112"/>
      <c r="AC747" s="112"/>
      <c r="AD747" s="112"/>
      <c r="AE747" s="112"/>
      <c r="AF747" s="112"/>
      <c r="AG747" s="112"/>
      <c r="AH747" s="112"/>
      <c r="AI747" s="112"/>
      <c r="AJ747" s="112"/>
      <c r="AK747" s="112"/>
      <c r="AL747" s="112"/>
      <c r="AM747" s="112"/>
      <c r="AN747" s="112"/>
      <c r="AO747" s="112"/>
      <c r="AP747" s="112"/>
    </row>
    <row r="748" ht="15.75" customHeight="1">
      <c r="A748" s="112"/>
      <c r="B748" s="112"/>
      <c r="C748" s="112"/>
      <c r="D748" s="112"/>
      <c r="E748" s="128"/>
      <c r="F748" s="112"/>
      <c r="G748" s="112"/>
      <c r="H748" s="128"/>
      <c r="I748" s="112"/>
      <c r="J748" s="112"/>
      <c r="K748" s="112"/>
      <c r="L748" s="128"/>
      <c r="M748" s="128"/>
      <c r="N748" s="112"/>
      <c r="O748" s="112"/>
      <c r="P748" s="112"/>
      <c r="Q748" s="112"/>
      <c r="R748" s="112"/>
      <c r="S748" s="112"/>
      <c r="T748" s="128"/>
      <c r="U748" s="128"/>
      <c r="V748" s="128"/>
      <c r="W748" s="128"/>
      <c r="X748" s="128"/>
      <c r="Y748" s="128"/>
      <c r="Z748" s="112"/>
      <c r="AA748" s="112"/>
      <c r="AB748" s="112"/>
      <c r="AC748" s="112"/>
      <c r="AD748" s="112"/>
      <c r="AE748" s="112"/>
      <c r="AF748" s="112"/>
      <c r="AG748" s="112"/>
      <c r="AH748" s="112"/>
      <c r="AI748" s="112"/>
      <c r="AJ748" s="112"/>
      <c r="AK748" s="112"/>
      <c r="AL748" s="112"/>
      <c r="AM748" s="112"/>
      <c r="AN748" s="112"/>
      <c r="AO748" s="112"/>
      <c r="AP748" s="112"/>
    </row>
    <row r="749" ht="15.75" customHeight="1">
      <c r="A749" s="112"/>
      <c r="B749" s="112"/>
      <c r="C749" s="112"/>
      <c r="D749" s="112"/>
      <c r="E749" s="128"/>
      <c r="F749" s="112"/>
      <c r="G749" s="112"/>
      <c r="H749" s="128"/>
      <c r="I749" s="112"/>
      <c r="J749" s="112"/>
      <c r="K749" s="112"/>
      <c r="L749" s="128"/>
      <c r="M749" s="128"/>
      <c r="N749" s="112"/>
      <c r="O749" s="112"/>
      <c r="P749" s="112"/>
      <c r="Q749" s="112"/>
      <c r="R749" s="112"/>
      <c r="S749" s="112"/>
      <c r="T749" s="128"/>
      <c r="U749" s="128"/>
      <c r="V749" s="128"/>
      <c r="W749" s="128"/>
      <c r="X749" s="128"/>
      <c r="Y749" s="128"/>
      <c r="Z749" s="112"/>
      <c r="AA749" s="112"/>
      <c r="AB749" s="112"/>
      <c r="AC749" s="112"/>
      <c r="AD749" s="112"/>
      <c r="AE749" s="112"/>
      <c r="AF749" s="112"/>
      <c r="AG749" s="112"/>
      <c r="AH749" s="112"/>
      <c r="AI749" s="112"/>
      <c r="AJ749" s="112"/>
      <c r="AK749" s="112"/>
      <c r="AL749" s="112"/>
      <c r="AM749" s="112"/>
      <c r="AN749" s="112"/>
      <c r="AO749" s="112"/>
      <c r="AP749" s="112"/>
    </row>
    <row r="750" ht="15.75" customHeight="1">
      <c r="A750" s="112"/>
      <c r="B750" s="112"/>
      <c r="C750" s="112"/>
      <c r="D750" s="112"/>
      <c r="E750" s="128"/>
      <c r="F750" s="112"/>
      <c r="G750" s="112"/>
      <c r="H750" s="128"/>
      <c r="I750" s="112"/>
      <c r="J750" s="112"/>
      <c r="K750" s="112"/>
      <c r="L750" s="128"/>
      <c r="M750" s="128"/>
      <c r="N750" s="112"/>
      <c r="O750" s="112"/>
      <c r="P750" s="112"/>
      <c r="Q750" s="112"/>
      <c r="R750" s="112"/>
      <c r="S750" s="112"/>
      <c r="T750" s="128"/>
      <c r="U750" s="128"/>
      <c r="V750" s="128"/>
      <c r="W750" s="128"/>
      <c r="X750" s="128"/>
      <c r="Y750" s="128"/>
      <c r="Z750" s="112"/>
      <c r="AA750" s="112"/>
      <c r="AB750" s="112"/>
      <c r="AC750" s="112"/>
      <c r="AD750" s="112"/>
      <c r="AE750" s="112"/>
      <c r="AF750" s="112"/>
      <c r="AG750" s="112"/>
      <c r="AH750" s="112"/>
      <c r="AI750" s="112"/>
      <c r="AJ750" s="112"/>
      <c r="AK750" s="112"/>
      <c r="AL750" s="112"/>
      <c r="AM750" s="112"/>
      <c r="AN750" s="112"/>
      <c r="AO750" s="112"/>
      <c r="AP750" s="112"/>
    </row>
    <row r="751" ht="15.75" customHeight="1">
      <c r="A751" s="112"/>
      <c r="B751" s="112"/>
      <c r="C751" s="112"/>
      <c r="D751" s="112"/>
      <c r="E751" s="128"/>
      <c r="F751" s="112"/>
      <c r="G751" s="112"/>
      <c r="H751" s="128"/>
      <c r="I751" s="112"/>
      <c r="J751" s="112"/>
      <c r="K751" s="112"/>
      <c r="L751" s="128"/>
      <c r="M751" s="128"/>
      <c r="N751" s="112"/>
      <c r="O751" s="112"/>
      <c r="P751" s="112"/>
      <c r="Q751" s="112"/>
      <c r="R751" s="112"/>
      <c r="S751" s="112"/>
      <c r="T751" s="128"/>
      <c r="U751" s="128"/>
      <c r="V751" s="128"/>
      <c r="W751" s="128"/>
      <c r="X751" s="128"/>
      <c r="Y751" s="128"/>
      <c r="Z751" s="112"/>
      <c r="AA751" s="112"/>
      <c r="AB751" s="112"/>
      <c r="AC751" s="112"/>
      <c r="AD751" s="112"/>
      <c r="AE751" s="112"/>
      <c r="AF751" s="112"/>
      <c r="AG751" s="112"/>
      <c r="AH751" s="112"/>
      <c r="AI751" s="112"/>
      <c r="AJ751" s="112"/>
      <c r="AK751" s="112"/>
      <c r="AL751" s="112"/>
      <c r="AM751" s="112"/>
      <c r="AN751" s="112"/>
      <c r="AO751" s="112"/>
      <c r="AP751" s="112"/>
    </row>
    <row r="752" ht="15.75" customHeight="1">
      <c r="A752" s="112"/>
      <c r="B752" s="112"/>
      <c r="C752" s="112"/>
      <c r="D752" s="112"/>
      <c r="E752" s="128"/>
      <c r="F752" s="112"/>
      <c r="G752" s="112"/>
      <c r="H752" s="128"/>
      <c r="I752" s="112"/>
      <c r="J752" s="112"/>
      <c r="K752" s="112"/>
      <c r="L752" s="128"/>
      <c r="M752" s="128"/>
      <c r="N752" s="112"/>
      <c r="O752" s="112"/>
      <c r="P752" s="112"/>
      <c r="Q752" s="112"/>
      <c r="R752" s="112"/>
      <c r="S752" s="112"/>
      <c r="T752" s="128"/>
      <c r="U752" s="128"/>
      <c r="V752" s="128"/>
      <c r="W752" s="128"/>
      <c r="X752" s="128"/>
      <c r="Y752" s="128"/>
      <c r="Z752" s="112"/>
      <c r="AA752" s="112"/>
      <c r="AB752" s="112"/>
      <c r="AC752" s="112"/>
      <c r="AD752" s="112"/>
      <c r="AE752" s="112"/>
      <c r="AF752" s="112"/>
      <c r="AG752" s="112"/>
      <c r="AH752" s="112"/>
      <c r="AI752" s="112"/>
      <c r="AJ752" s="112"/>
      <c r="AK752" s="112"/>
      <c r="AL752" s="112"/>
      <c r="AM752" s="112"/>
      <c r="AN752" s="112"/>
      <c r="AO752" s="112"/>
      <c r="AP752" s="112"/>
    </row>
    <row r="753" ht="15.75" customHeight="1">
      <c r="A753" s="112"/>
      <c r="B753" s="112"/>
      <c r="C753" s="112"/>
      <c r="D753" s="112"/>
      <c r="E753" s="128"/>
      <c r="F753" s="112"/>
      <c r="G753" s="112"/>
      <c r="H753" s="128"/>
      <c r="I753" s="112"/>
      <c r="J753" s="112"/>
      <c r="K753" s="112"/>
      <c r="L753" s="128"/>
      <c r="M753" s="128"/>
      <c r="N753" s="112"/>
      <c r="O753" s="112"/>
      <c r="P753" s="112"/>
      <c r="Q753" s="112"/>
      <c r="R753" s="112"/>
      <c r="S753" s="112"/>
      <c r="T753" s="128"/>
      <c r="U753" s="128"/>
      <c r="V753" s="128"/>
      <c r="W753" s="128"/>
      <c r="X753" s="128"/>
      <c r="Y753" s="128"/>
      <c r="Z753" s="112"/>
      <c r="AA753" s="112"/>
      <c r="AB753" s="112"/>
      <c r="AC753" s="112"/>
      <c r="AD753" s="112"/>
      <c r="AE753" s="112"/>
      <c r="AF753" s="112"/>
      <c r="AG753" s="112"/>
      <c r="AH753" s="112"/>
      <c r="AI753" s="112"/>
      <c r="AJ753" s="112"/>
      <c r="AK753" s="112"/>
      <c r="AL753" s="112"/>
      <c r="AM753" s="112"/>
      <c r="AN753" s="112"/>
      <c r="AO753" s="112"/>
      <c r="AP753" s="112"/>
    </row>
    <row r="754" ht="15.75" customHeight="1">
      <c r="A754" s="112"/>
      <c r="B754" s="112"/>
      <c r="C754" s="112"/>
      <c r="D754" s="112"/>
      <c r="E754" s="128"/>
      <c r="F754" s="112"/>
      <c r="G754" s="112"/>
      <c r="H754" s="128"/>
      <c r="I754" s="112"/>
      <c r="J754" s="112"/>
      <c r="K754" s="112"/>
      <c r="L754" s="128"/>
      <c r="M754" s="128"/>
      <c r="N754" s="112"/>
      <c r="O754" s="112"/>
      <c r="P754" s="112"/>
      <c r="Q754" s="112"/>
      <c r="R754" s="112"/>
      <c r="S754" s="112"/>
      <c r="T754" s="128"/>
      <c r="U754" s="128"/>
      <c r="V754" s="128"/>
      <c r="W754" s="128"/>
      <c r="X754" s="128"/>
      <c r="Y754" s="128"/>
      <c r="Z754" s="112"/>
      <c r="AA754" s="112"/>
      <c r="AB754" s="112"/>
      <c r="AC754" s="112"/>
      <c r="AD754" s="112"/>
      <c r="AE754" s="112"/>
      <c r="AF754" s="112"/>
      <c r="AG754" s="112"/>
      <c r="AH754" s="112"/>
      <c r="AI754" s="112"/>
      <c r="AJ754" s="112"/>
      <c r="AK754" s="112"/>
      <c r="AL754" s="112"/>
      <c r="AM754" s="112"/>
      <c r="AN754" s="112"/>
      <c r="AO754" s="112"/>
      <c r="AP754" s="112"/>
    </row>
    <row r="755" ht="15.75" customHeight="1">
      <c r="A755" s="112"/>
      <c r="B755" s="112"/>
      <c r="C755" s="112"/>
      <c r="D755" s="112"/>
      <c r="E755" s="128"/>
      <c r="F755" s="112"/>
      <c r="G755" s="112"/>
      <c r="H755" s="128"/>
      <c r="I755" s="112"/>
      <c r="J755" s="112"/>
      <c r="K755" s="112"/>
      <c r="L755" s="128"/>
      <c r="M755" s="128"/>
      <c r="N755" s="112"/>
      <c r="O755" s="112"/>
      <c r="P755" s="112"/>
      <c r="Q755" s="112"/>
      <c r="R755" s="112"/>
      <c r="S755" s="112"/>
      <c r="T755" s="128"/>
      <c r="U755" s="128"/>
      <c r="V755" s="128"/>
      <c r="W755" s="128"/>
      <c r="X755" s="128"/>
      <c r="Y755" s="128"/>
      <c r="Z755" s="112"/>
      <c r="AA755" s="112"/>
      <c r="AB755" s="112"/>
      <c r="AC755" s="112"/>
      <c r="AD755" s="112"/>
      <c r="AE755" s="112"/>
      <c r="AF755" s="112"/>
      <c r="AG755" s="112"/>
      <c r="AH755" s="112"/>
      <c r="AI755" s="112"/>
      <c r="AJ755" s="112"/>
      <c r="AK755" s="112"/>
      <c r="AL755" s="112"/>
      <c r="AM755" s="112"/>
      <c r="AN755" s="112"/>
      <c r="AO755" s="112"/>
      <c r="AP755" s="112"/>
    </row>
    <row r="756" ht="15.75" customHeight="1">
      <c r="A756" s="112"/>
      <c r="B756" s="112"/>
      <c r="C756" s="112"/>
      <c r="D756" s="112"/>
      <c r="E756" s="128"/>
      <c r="F756" s="112"/>
      <c r="G756" s="112"/>
      <c r="H756" s="128"/>
      <c r="I756" s="112"/>
      <c r="J756" s="112"/>
      <c r="K756" s="112"/>
      <c r="L756" s="128"/>
      <c r="M756" s="128"/>
      <c r="N756" s="112"/>
      <c r="O756" s="112"/>
      <c r="P756" s="112"/>
      <c r="Q756" s="112"/>
      <c r="R756" s="112"/>
      <c r="S756" s="112"/>
      <c r="T756" s="128"/>
      <c r="U756" s="128"/>
      <c r="V756" s="128"/>
      <c r="W756" s="128"/>
      <c r="X756" s="128"/>
      <c r="Y756" s="128"/>
      <c r="Z756" s="112"/>
      <c r="AA756" s="112"/>
      <c r="AB756" s="112"/>
      <c r="AC756" s="112"/>
      <c r="AD756" s="112"/>
      <c r="AE756" s="112"/>
      <c r="AF756" s="112"/>
      <c r="AG756" s="112"/>
      <c r="AH756" s="112"/>
      <c r="AI756" s="112"/>
      <c r="AJ756" s="112"/>
      <c r="AK756" s="112"/>
      <c r="AL756" s="112"/>
      <c r="AM756" s="112"/>
      <c r="AN756" s="112"/>
      <c r="AO756" s="112"/>
      <c r="AP756" s="112"/>
    </row>
    <row r="757" ht="15.75" customHeight="1">
      <c r="A757" s="112"/>
      <c r="B757" s="112"/>
      <c r="C757" s="112"/>
      <c r="D757" s="112"/>
      <c r="E757" s="128"/>
      <c r="F757" s="112"/>
      <c r="G757" s="112"/>
      <c r="H757" s="128"/>
      <c r="I757" s="112"/>
      <c r="J757" s="112"/>
      <c r="K757" s="112"/>
      <c r="L757" s="128"/>
      <c r="M757" s="128"/>
      <c r="N757" s="112"/>
      <c r="O757" s="112"/>
      <c r="P757" s="112"/>
      <c r="Q757" s="112"/>
      <c r="R757" s="112"/>
      <c r="S757" s="112"/>
      <c r="T757" s="128"/>
      <c r="U757" s="128"/>
      <c r="V757" s="128"/>
      <c r="W757" s="128"/>
      <c r="X757" s="128"/>
      <c r="Y757" s="128"/>
      <c r="Z757" s="112"/>
      <c r="AA757" s="112"/>
      <c r="AB757" s="112"/>
      <c r="AC757" s="112"/>
      <c r="AD757" s="112"/>
      <c r="AE757" s="112"/>
      <c r="AF757" s="112"/>
      <c r="AG757" s="112"/>
      <c r="AH757" s="112"/>
      <c r="AI757" s="112"/>
      <c r="AJ757" s="112"/>
      <c r="AK757" s="112"/>
      <c r="AL757" s="112"/>
      <c r="AM757" s="112"/>
      <c r="AN757" s="112"/>
      <c r="AO757" s="112"/>
      <c r="AP757" s="112"/>
    </row>
    <row r="758" ht="15.75" customHeight="1">
      <c r="A758" s="112"/>
      <c r="B758" s="112"/>
      <c r="C758" s="112"/>
      <c r="D758" s="112"/>
      <c r="E758" s="128"/>
      <c r="F758" s="112"/>
      <c r="G758" s="112"/>
      <c r="H758" s="128"/>
      <c r="I758" s="112"/>
      <c r="J758" s="112"/>
      <c r="K758" s="112"/>
      <c r="L758" s="128"/>
      <c r="M758" s="128"/>
      <c r="N758" s="112"/>
      <c r="O758" s="112"/>
      <c r="P758" s="112"/>
      <c r="Q758" s="112"/>
      <c r="R758" s="112"/>
      <c r="S758" s="112"/>
      <c r="T758" s="128"/>
      <c r="U758" s="128"/>
      <c r="V758" s="128"/>
      <c r="W758" s="128"/>
      <c r="X758" s="128"/>
      <c r="Y758" s="128"/>
      <c r="Z758" s="112"/>
      <c r="AA758" s="112"/>
      <c r="AB758" s="112"/>
      <c r="AC758" s="112"/>
      <c r="AD758" s="112"/>
      <c r="AE758" s="112"/>
      <c r="AF758" s="112"/>
      <c r="AG758" s="112"/>
      <c r="AH758" s="112"/>
      <c r="AI758" s="112"/>
      <c r="AJ758" s="112"/>
      <c r="AK758" s="112"/>
      <c r="AL758" s="112"/>
      <c r="AM758" s="112"/>
      <c r="AN758" s="112"/>
      <c r="AO758" s="112"/>
      <c r="AP758" s="112"/>
    </row>
    <row r="759" ht="15.75" customHeight="1">
      <c r="A759" s="112"/>
      <c r="B759" s="112"/>
      <c r="C759" s="112"/>
      <c r="D759" s="112"/>
      <c r="E759" s="128"/>
      <c r="F759" s="112"/>
      <c r="G759" s="112"/>
      <c r="H759" s="128"/>
      <c r="I759" s="112"/>
      <c r="J759" s="112"/>
      <c r="K759" s="112"/>
      <c r="L759" s="128"/>
      <c r="M759" s="128"/>
      <c r="N759" s="112"/>
      <c r="O759" s="112"/>
      <c r="P759" s="112"/>
      <c r="Q759" s="112"/>
      <c r="R759" s="112"/>
      <c r="S759" s="112"/>
      <c r="T759" s="128"/>
      <c r="U759" s="128"/>
      <c r="V759" s="128"/>
      <c r="W759" s="128"/>
      <c r="X759" s="128"/>
      <c r="Y759" s="128"/>
      <c r="Z759" s="112"/>
      <c r="AA759" s="112"/>
      <c r="AB759" s="112"/>
      <c r="AC759" s="112"/>
      <c r="AD759" s="112"/>
      <c r="AE759" s="112"/>
      <c r="AF759" s="112"/>
      <c r="AG759" s="112"/>
      <c r="AH759" s="112"/>
      <c r="AI759" s="112"/>
      <c r="AJ759" s="112"/>
      <c r="AK759" s="112"/>
      <c r="AL759" s="112"/>
      <c r="AM759" s="112"/>
      <c r="AN759" s="112"/>
      <c r="AO759" s="112"/>
      <c r="AP759" s="112"/>
    </row>
    <row r="760" ht="15.75" customHeight="1">
      <c r="A760" s="112"/>
      <c r="B760" s="112"/>
      <c r="C760" s="112"/>
      <c r="D760" s="112"/>
      <c r="E760" s="128"/>
      <c r="F760" s="112"/>
      <c r="G760" s="112"/>
      <c r="H760" s="128"/>
      <c r="I760" s="112"/>
      <c r="J760" s="112"/>
      <c r="K760" s="112"/>
      <c r="L760" s="128"/>
      <c r="M760" s="128"/>
      <c r="N760" s="112"/>
      <c r="O760" s="112"/>
      <c r="P760" s="112"/>
      <c r="Q760" s="112"/>
      <c r="R760" s="112"/>
      <c r="S760" s="112"/>
      <c r="T760" s="128"/>
      <c r="U760" s="128"/>
      <c r="V760" s="128"/>
      <c r="W760" s="128"/>
      <c r="X760" s="128"/>
      <c r="Y760" s="128"/>
      <c r="Z760" s="112"/>
      <c r="AA760" s="112"/>
      <c r="AB760" s="112"/>
      <c r="AC760" s="112"/>
      <c r="AD760" s="112"/>
      <c r="AE760" s="112"/>
      <c r="AF760" s="112"/>
      <c r="AG760" s="112"/>
      <c r="AH760" s="112"/>
      <c r="AI760" s="112"/>
      <c r="AJ760" s="112"/>
      <c r="AK760" s="112"/>
      <c r="AL760" s="112"/>
      <c r="AM760" s="112"/>
      <c r="AN760" s="112"/>
      <c r="AO760" s="112"/>
      <c r="AP760" s="112"/>
    </row>
    <row r="761" ht="15.75" customHeight="1">
      <c r="A761" s="112"/>
      <c r="B761" s="112"/>
      <c r="C761" s="112"/>
      <c r="D761" s="112"/>
      <c r="E761" s="128"/>
      <c r="F761" s="112"/>
      <c r="G761" s="112"/>
      <c r="H761" s="128"/>
      <c r="I761" s="112"/>
      <c r="J761" s="112"/>
      <c r="K761" s="112"/>
      <c r="L761" s="128"/>
      <c r="M761" s="128"/>
      <c r="N761" s="112"/>
      <c r="O761" s="112"/>
      <c r="P761" s="112"/>
      <c r="Q761" s="112"/>
      <c r="R761" s="112"/>
      <c r="S761" s="112"/>
      <c r="T761" s="128"/>
      <c r="U761" s="128"/>
      <c r="V761" s="128"/>
      <c r="W761" s="128"/>
      <c r="X761" s="128"/>
      <c r="Y761" s="128"/>
      <c r="Z761" s="112"/>
      <c r="AA761" s="112"/>
      <c r="AB761" s="112"/>
      <c r="AC761" s="112"/>
      <c r="AD761" s="112"/>
      <c r="AE761" s="112"/>
      <c r="AF761" s="112"/>
      <c r="AG761" s="112"/>
      <c r="AH761" s="112"/>
      <c r="AI761" s="112"/>
      <c r="AJ761" s="112"/>
      <c r="AK761" s="112"/>
      <c r="AL761" s="112"/>
      <c r="AM761" s="112"/>
      <c r="AN761" s="112"/>
      <c r="AO761" s="112"/>
      <c r="AP761" s="112"/>
    </row>
    <row r="762" ht="15.75" customHeight="1">
      <c r="A762" s="112"/>
      <c r="B762" s="112"/>
      <c r="C762" s="112"/>
      <c r="D762" s="112"/>
      <c r="E762" s="128"/>
      <c r="F762" s="112"/>
      <c r="G762" s="112"/>
      <c r="H762" s="128"/>
      <c r="I762" s="112"/>
      <c r="J762" s="112"/>
      <c r="K762" s="112"/>
      <c r="L762" s="128"/>
      <c r="M762" s="128"/>
      <c r="N762" s="112"/>
      <c r="O762" s="112"/>
      <c r="P762" s="112"/>
      <c r="Q762" s="112"/>
      <c r="R762" s="112"/>
      <c r="S762" s="112"/>
      <c r="T762" s="128"/>
      <c r="U762" s="128"/>
      <c r="V762" s="128"/>
      <c r="W762" s="128"/>
      <c r="X762" s="128"/>
      <c r="Y762" s="128"/>
      <c r="Z762" s="112"/>
      <c r="AA762" s="112"/>
      <c r="AB762" s="112"/>
      <c r="AC762" s="112"/>
      <c r="AD762" s="112"/>
      <c r="AE762" s="112"/>
      <c r="AF762" s="112"/>
      <c r="AG762" s="112"/>
      <c r="AH762" s="112"/>
      <c r="AI762" s="112"/>
      <c r="AJ762" s="112"/>
      <c r="AK762" s="112"/>
      <c r="AL762" s="112"/>
      <c r="AM762" s="112"/>
      <c r="AN762" s="112"/>
      <c r="AO762" s="112"/>
      <c r="AP762" s="112"/>
    </row>
    <row r="763" ht="15.75" customHeight="1">
      <c r="A763" s="112"/>
      <c r="B763" s="112"/>
      <c r="C763" s="112"/>
      <c r="D763" s="112"/>
      <c r="E763" s="128"/>
      <c r="F763" s="112"/>
      <c r="G763" s="112"/>
      <c r="H763" s="128"/>
      <c r="I763" s="112"/>
      <c r="J763" s="112"/>
      <c r="K763" s="112"/>
      <c r="L763" s="128"/>
      <c r="M763" s="128"/>
      <c r="N763" s="112"/>
      <c r="O763" s="112"/>
      <c r="P763" s="112"/>
      <c r="Q763" s="112"/>
      <c r="R763" s="112"/>
      <c r="S763" s="112"/>
      <c r="T763" s="128"/>
      <c r="U763" s="128"/>
      <c r="V763" s="128"/>
      <c r="W763" s="128"/>
      <c r="X763" s="128"/>
      <c r="Y763" s="128"/>
      <c r="Z763" s="112"/>
      <c r="AA763" s="112"/>
      <c r="AB763" s="112"/>
      <c r="AC763" s="112"/>
      <c r="AD763" s="112"/>
      <c r="AE763" s="112"/>
      <c r="AF763" s="112"/>
      <c r="AG763" s="112"/>
      <c r="AH763" s="112"/>
      <c r="AI763" s="112"/>
      <c r="AJ763" s="112"/>
      <c r="AK763" s="112"/>
      <c r="AL763" s="112"/>
      <c r="AM763" s="112"/>
      <c r="AN763" s="112"/>
      <c r="AO763" s="112"/>
      <c r="AP763" s="112"/>
    </row>
    <row r="764" ht="15.75" customHeight="1">
      <c r="A764" s="112"/>
      <c r="B764" s="112"/>
      <c r="C764" s="112"/>
      <c r="D764" s="112"/>
      <c r="E764" s="128"/>
      <c r="F764" s="112"/>
      <c r="G764" s="112"/>
      <c r="H764" s="128"/>
      <c r="I764" s="112"/>
      <c r="J764" s="112"/>
      <c r="K764" s="112"/>
      <c r="L764" s="128"/>
      <c r="M764" s="128"/>
      <c r="N764" s="112"/>
      <c r="O764" s="112"/>
      <c r="P764" s="112"/>
      <c r="Q764" s="112"/>
      <c r="R764" s="112"/>
      <c r="S764" s="112"/>
      <c r="T764" s="128"/>
      <c r="U764" s="128"/>
      <c r="V764" s="128"/>
      <c r="W764" s="128"/>
      <c r="X764" s="128"/>
      <c r="Y764" s="128"/>
      <c r="Z764" s="112"/>
      <c r="AA764" s="112"/>
      <c r="AB764" s="112"/>
      <c r="AC764" s="112"/>
      <c r="AD764" s="112"/>
      <c r="AE764" s="112"/>
      <c r="AF764" s="112"/>
      <c r="AG764" s="112"/>
      <c r="AH764" s="112"/>
      <c r="AI764" s="112"/>
      <c r="AJ764" s="112"/>
      <c r="AK764" s="112"/>
      <c r="AL764" s="112"/>
      <c r="AM764" s="112"/>
      <c r="AN764" s="112"/>
      <c r="AO764" s="112"/>
      <c r="AP764" s="112"/>
    </row>
    <row r="765" ht="15.75" customHeight="1">
      <c r="A765" s="112"/>
      <c r="B765" s="112"/>
      <c r="C765" s="112"/>
      <c r="D765" s="112"/>
      <c r="E765" s="128"/>
      <c r="F765" s="112"/>
      <c r="G765" s="112"/>
      <c r="H765" s="128"/>
      <c r="I765" s="112"/>
      <c r="J765" s="112"/>
      <c r="K765" s="112"/>
      <c r="L765" s="128"/>
      <c r="M765" s="128"/>
      <c r="N765" s="112"/>
      <c r="O765" s="112"/>
      <c r="P765" s="112"/>
      <c r="Q765" s="112"/>
      <c r="R765" s="112"/>
      <c r="S765" s="112"/>
      <c r="T765" s="128"/>
      <c r="U765" s="128"/>
      <c r="V765" s="128"/>
      <c r="W765" s="128"/>
      <c r="X765" s="128"/>
      <c r="Y765" s="128"/>
      <c r="Z765" s="112"/>
      <c r="AA765" s="112"/>
      <c r="AB765" s="112"/>
      <c r="AC765" s="112"/>
      <c r="AD765" s="112"/>
      <c r="AE765" s="112"/>
      <c r="AF765" s="112"/>
      <c r="AG765" s="112"/>
      <c r="AH765" s="112"/>
      <c r="AI765" s="112"/>
      <c r="AJ765" s="112"/>
      <c r="AK765" s="112"/>
      <c r="AL765" s="112"/>
      <c r="AM765" s="112"/>
      <c r="AN765" s="112"/>
      <c r="AO765" s="112"/>
      <c r="AP765" s="112"/>
    </row>
    <row r="766" ht="15.75" customHeight="1">
      <c r="A766" s="112"/>
      <c r="B766" s="112"/>
      <c r="C766" s="112"/>
      <c r="D766" s="112"/>
      <c r="E766" s="128"/>
      <c r="F766" s="112"/>
      <c r="G766" s="112"/>
      <c r="H766" s="128"/>
      <c r="I766" s="112"/>
      <c r="J766" s="112"/>
      <c r="K766" s="112"/>
      <c r="L766" s="128"/>
      <c r="M766" s="128"/>
      <c r="N766" s="112"/>
      <c r="O766" s="112"/>
      <c r="P766" s="112"/>
      <c r="Q766" s="112"/>
      <c r="R766" s="112"/>
      <c r="S766" s="112"/>
      <c r="T766" s="128"/>
      <c r="U766" s="128"/>
      <c r="V766" s="128"/>
      <c r="W766" s="128"/>
      <c r="X766" s="128"/>
      <c r="Y766" s="128"/>
      <c r="Z766" s="112"/>
      <c r="AA766" s="112"/>
      <c r="AB766" s="112"/>
      <c r="AC766" s="112"/>
      <c r="AD766" s="112"/>
      <c r="AE766" s="112"/>
      <c r="AF766" s="112"/>
      <c r="AG766" s="112"/>
      <c r="AH766" s="112"/>
      <c r="AI766" s="112"/>
      <c r="AJ766" s="112"/>
      <c r="AK766" s="112"/>
      <c r="AL766" s="112"/>
      <c r="AM766" s="112"/>
      <c r="AN766" s="112"/>
      <c r="AO766" s="112"/>
      <c r="AP766" s="112"/>
    </row>
    <row r="767" ht="15.75" customHeight="1">
      <c r="A767" s="112"/>
      <c r="B767" s="112"/>
      <c r="C767" s="112"/>
      <c r="D767" s="112"/>
      <c r="E767" s="128"/>
      <c r="F767" s="112"/>
      <c r="G767" s="112"/>
      <c r="H767" s="128"/>
      <c r="I767" s="112"/>
      <c r="J767" s="112"/>
      <c r="K767" s="112"/>
      <c r="L767" s="128"/>
      <c r="M767" s="128"/>
      <c r="N767" s="112"/>
      <c r="O767" s="112"/>
      <c r="P767" s="112"/>
      <c r="Q767" s="112"/>
      <c r="R767" s="112"/>
      <c r="S767" s="112"/>
      <c r="T767" s="128"/>
      <c r="U767" s="128"/>
      <c r="V767" s="128"/>
      <c r="W767" s="128"/>
      <c r="X767" s="128"/>
      <c r="Y767" s="128"/>
      <c r="Z767" s="112"/>
      <c r="AA767" s="112"/>
      <c r="AB767" s="112"/>
      <c r="AC767" s="112"/>
      <c r="AD767" s="112"/>
      <c r="AE767" s="112"/>
      <c r="AF767" s="112"/>
      <c r="AG767" s="112"/>
      <c r="AH767" s="112"/>
      <c r="AI767" s="112"/>
      <c r="AJ767" s="112"/>
      <c r="AK767" s="112"/>
      <c r="AL767" s="112"/>
      <c r="AM767" s="112"/>
      <c r="AN767" s="112"/>
      <c r="AO767" s="112"/>
      <c r="AP767" s="112"/>
    </row>
    <row r="768" ht="15.75" customHeight="1">
      <c r="A768" s="112"/>
      <c r="B768" s="112"/>
      <c r="C768" s="112"/>
      <c r="D768" s="112"/>
      <c r="E768" s="128"/>
      <c r="F768" s="112"/>
      <c r="G768" s="112"/>
      <c r="H768" s="128"/>
      <c r="I768" s="112"/>
      <c r="J768" s="112"/>
      <c r="K768" s="112"/>
      <c r="L768" s="128"/>
      <c r="M768" s="128"/>
      <c r="N768" s="112"/>
      <c r="O768" s="112"/>
      <c r="P768" s="112"/>
      <c r="Q768" s="112"/>
      <c r="R768" s="112"/>
      <c r="S768" s="112"/>
      <c r="T768" s="128"/>
      <c r="U768" s="128"/>
      <c r="V768" s="128"/>
      <c r="W768" s="128"/>
      <c r="X768" s="128"/>
      <c r="Y768" s="128"/>
      <c r="Z768" s="112"/>
      <c r="AA768" s="112"/>
      <c r="AB768" s="112"/>
      <c r="AC768" s="112"/>
      <c r="AD768" s="112"/>
      <c r="AE768" s="112"/>
      <c r="AF768" s="112"/>
      <c r="AG768" s="112"/>
      <c r="AH768" s="112"/>
      <c r="AI768" s="112"/>
      <c r="AJ768" s="112"/>
      <c r="AK768" s="112"/>
      <c r="AL768" s="112"/>
      <c r="AM768" s="112"/>
      <c r="AN768" s="112"/>
      <c r="AO768" s="112"/>
      <c r="AP768" s="112"/>
    </row>
    <row r="769" ht="15.75" customHeight="1">
      <c r="A769" s="112"/>
      <c r="B769" s="112"/>
      <c r="C769" s="112"/>
      <c r="D769" s="112"/>
      <c r="E769" s="128"/>
      <c r="F769" s="112"/>
      <c r="G769" s="112"/>
      <c r="H769" s="128"/>
      <c r="I769" s="112"/>
      <c r="J769" s="112"/>
      <c r="K769" s="112"/>
      <c r="L769" s="128"/>
      <c r="M769" s="128"/>
      <c r="N769" s="112"/>
      <c r="O769" s="112"/>
      <c r="P769" s="112"/>
      <c r="Q769" s="112"/>
      <c r="R769" s="112"/>
      <c r="S769" s="112"/>
      <c r="T769" s="128"/>
      <c r="U769" s="128"/>
      <c r="V769" s="128"/>
      <c r="W769" s="128"/>
      <c r="X769" s="128"/>
      <c r="Y769" s="128"/>
      <c r="Z769" s="112"/>
      <c r="AA769" s="112"/>
      <c r="AB769" s="112"/>
      <c r="AC769" s="112"/>
      <c r="AD769" s="112"/>
      <c r="AE769" s="112"/>
      <c r="AF769" s="112"/>
      <c r="AG769" s="112"/>
      <c r="AH769" s="112"/>
      <c r="AI769" s="112"/>
      <c r="AJ769" s="112"/>
      <c r="AK769" s="112"/>
      <c r="AL769" s="112"/>
      <c r="AM769" s="112"/>
      <c r="AN769" s="112"/>
      <c r="AO769" s="112"/>
      <c r="AP769" s="112"/>
    </row>
    <row r="770" ht="15.75" customHeight="1">
      <c r="A770" s="112"/>
      <c r="B770" s="112"/>
      <c r="C770" s="112"/>
      <c r="D770" s="112"/>
      <c r="E770" s="128"/>
      <c r="F770" s="112"/>
      <c r="G770" s="112"/>
      <c r="H770" s="128"/>
      <c r="I770" s="112"/>
      <c r="J770" s="112"/>
      <c r="K770" s="112"/>
      <c r="L770" s="128"/>
      <c r="M770" s="128"/>
      <c r="N770" s="112"/>
      <c r="O770" s="112"/>
      <c r="P770" s="112"/>
      <c r="Q770" s="112"/>
      <c r="R770" s="112"/>
      <c r="S770" s="112"/>
      <c r="T770" s="128"/>
      <c r="U770" s="128"/>
      <c r="V770" s="128"/>
      <c r="W770" s="128"/>
      <c r="X770" s="128"/>
      <c r="Y770" s="128"/>
      <c r="Z770" s="112"/>
      <c r="AA770" s="112"/>
      <c r="AB770" s="112"/>
      <c r="AC770" s="112"/>
      <c r="AD770" s="112"/>
      <c r="AE770" s="112"/>
      <c r="AF770" s="112"/>
      <c r="AG770" s="112"/>
      <c r="AH770" s="112"/>
      <c r="AI770" s="112"/>
      <c r="AJ770" s="112"/>
      <c r="AK770" s="112"/>
      <c r="AL770" s="112"/>
      <c r="AM770" s="112"/>
      <c r="AN770" s="112"/>
      <c r="AO770" s="112"/>
      <c r="AP770" s="112"/>
    </row>
    <row r="771" ht="15.75" customHeight="1">
      <c r="A771" s="112"/>
      <c r="B771" s="112"/>
      <c r="C771" s="112"/>
      <c r="D771" s="112"/>
      <c r="E771" s="128"/>
      <c r="F771" s="112"/>
      <c r="G771" s="112"/>
      <c r="H771" s="128"/>
      <c r="I771" s="112"/>
      <c r="J771" s="112"/>
      <c r="K771" s="112"/>
      <c r="L771" s="128"/>
      <c r="M771" s="128"/>
      <c r="N771" s="112"/>
      <c r="O771" s="112"/>
      <c r="P771" s="112"/>
      <c r="Q771" s="112"/>
      <c r="R771" s="112"/>
      <c r="S771" s="112"/>
      <c r="T771" s="128"/>
      <c r="U771" s="128"/>
      <c r="V771" s="128"/>
      <c r="W771" s="128"/>
      <c r="X771" s="128"/>
      <c r="Y771" s="128"/>
      <c r="Z771" s="112"/>
      <c r="AA771" s="112"/>
      <c r="AB771" s="112"/>
      <c r="AC771" s="112"/>
      <c r="AD771" s="112"/>
      <c r="AE771" s="112"/>
      <c r="AF771" s="112"/>
      <c r="AG771" s="112"/>
      <c r="AH771" s="112"/>
      <c r="AI771" s="112"/>
      <c r="AJ771" s="112"/>
      <c r="AK771" s="112"/>
      <c r="AL771" s="112"/>
      <c r="AM771" s="112"/>
      <c r="AN771" s="112"/>
      <c r="AO771" s="112"/>
      <c r="AP771" s="112"/>
    </row>
    <row r="772" ht="15.75" customHeight="1">
      <c r="A772" s="112"/>
      <c r="B772" s="112"/>
      <c r="C772" s="112"/>
      <c r="D772" s="112"/>
      <c r="E772" s="128"/>
      <c r="F772" s="112"/>
      <c r="G772" s="112"/>
      <c r="H772" s="128"/>
      <c r="I772" s="112"/>
      <c r="J772" s="112"/>
      <c r="K772" s="112"/>
      <c r="L772" s="128"/>
      <c r="M772" s="128"/>
      <c r="N772" s="112"/>
      <c r="O772" s="112"/>
      <c r="P772" s="112"/>
      <c r="Q772" s="112"/>
      <c r="R772" s="112"/>
      <c r="S772" s="112"/>
      <c r="T772" s="128"/>
      <c r="U772" s="128"/>
      <c r="V772" s="128"/>
      <c r="W772" s="128"/>
      <c r="X772" s="128"/>
      <c r="Y772" s="128"/>
      <c r="Z772" s="112"/>
      <c r="AA772" s="112"/>
      <c r="AB772" s="112"/>
      <c r="AC772" s="112"/>
      <c r="AD772" s="112"/>
      <c r="AE772" s="112"/>
      <c r="AF772" s="112"/>
      <c r="AG772" s="112"/>
      <c r="AH772" s="112"/>
      <c r="AI772" s="112"/>
      <c r="AJ772" s="112"/>
      <c r="AK772" s="112"/>
      <c r="AL772" s="112"/>
      <c r="AM772" s="112"/>
      <c r="AN772" s="112"/>
      <c r="AO772" s="112"/>
      <c r="AP772" s="112"/>
    </row>
    <row r="773" ht="15.75" customHeight="1">
      <c r="A773" s="112"/>
      <c r="B773" s="112"/>
      <c r="C773" s="112"/>
      <c r="D773" s="112"/>
      <c r="E773" s="128"/>
      <c r="F773" s="112"/>
      <c r="G773" s="112"/>
      <c r="H773" s="128"/>
      <c r="I773" s="112"/>
      <c r="J773" s="112"/>
      <c r="K773" s="112"/>
      <c r="L773" s="128"/>
      <c r="M773" s="128"/>
      <c r="N773" s="112"/>
      <c r="O773" s="112"/>
      <c r="P773" s="112"/>
      <c r="Q773" s="112"/>
      <c r="R773" s="112"/>
      <c r="S773" s="112"/>
      <c r="T773" s="128"/>
      <c r="U773" s="128"/>
      <c r="V773" s="128"/>
      <c r="W773" s="128"/>
      <c r="X773" s="128"/>
      <c r="Y773" s="128"/>
      <c r="Z773" s="112"/>
      <c r="AA773" s="112"/>
      <c r="AB773" s="112"/>
      <c r="AC773" s="112"/>
      <c r="AD773" s="112"/>
      <c r="AE773" s="112"/>
      <c r="AF773" s="112"/>
      <c r="AG773" s="112"/>
      <c r="AH773" s="112"/>
      <c r="AI773" s="112"/>
      <c r="AJ773" s="112"/>
      <c r="AK773" s="112"/>
      <c r="AL773" s="112"/>
      <c r="AM773" s="112"/>
      <c r="AN773" s="112"/>
      <c r="AO773" s="112"/>
      <c r="AP773" s="112"/>
    </row>
    <row r="774" ht="15.75" customHeight="1">
      <c r="A774" s="112"/>
      <c r="B774" s="112"/>
      <c r="C774" s="112"/>
      <c r="D774" s="112"/>
      <c r="E774" s="128"/>
      <c r="F774" s="112"/>
      <c r="G774" s="112"/>
      <c r="H774" s="128"/>
      <c r="I774" s="112"/>
      <c r="J774" s="112"/>
      <c r="K774" s="112"/>
      <c r="L774" s="128"/>
      <c r="M774" s="128"/>
      <c r="N774" s="112"/>
      <c r="O774" s="112"/>
      <c r="P774" s="112"/>
      <c r="Q774" s="112"/>
      <c r="R774" s="112"/>
      <c r="S774" s="112"/>
      <c r="T774" s="128"/>
      <c r="U774" s="128"/>
      <c r="V774" s="128"/>
      <c r="W774" s="128"/>
      <c r="X774" s="128"/>
      <c r="Y774" s="128"/>
      <c r="Z774" s="112"/>
      <c r="AA774" s="112"/>
      <c r="AB774" s="112"/>
      <c r="AC774" s="112"/>
      <c r="AD774" s="112"/>
      <c r="AE774" s="112"/>
      <c r="AF774" s="112"/>
      <c r="AG774" s="112"/>
      <c r="AH774" s="112"/>
      <c r="AI774" s="112"/>
      <c r="AJ774" s="112"/>
      <c r="AK774" s="112"/>
      <c r="AL774" s="112"/>
      <c r="AM774" s="112"/>
      <c r="AN774" s="112"/>
      <c r="AO774" s="112"/>
      <c r="AP774" s="112"/>
    </row>
    <row r="775" ht="15.75" customHeight="1">
      <c r="A775" s="112"/>
      <c r="B775" s="112"/>
      <c r="C775" s="112"/>
      <c r="D775" s="112"/>
      <c r="E775" s="128"/>
      <c r="F775" s="112"/>
      <c r="G775" s="112"/>
      <c r="H775" s="128"/>
      <c r="I775" s="112"/>
      <c r="J775" s="112"/>
      <c r="K775" s="112"/>
      <c r="L775" s="128"/>
      <c r="M775" s="128"/>
      <c r="N775" s="112"/>
      <c r="O775" s="112"/>
      <c r="P775" s="112"/>
      <c r="Q775" s="112"/>
      <c r="R775" s="112"/>
      <c r="S775" s="112"/>
      <c r="T775" s="128"/>
      <c r="U775" s="128"/>
      <c r="V775" s="128"/>
      <c r="W775" s="128"/>
      <c r="X775" s="128"/>
      <c r="Y775" s="128"/>
      <c r="Z775" s="112"/>
      <c r="AA775" s="112"/>
      <c r="AB775" s="112"/>
      <c r="AC775" s="112"/>
      <c r="AD775" s="112"/>
      <c r="AE775" s="112"/>
      <c r="AF775" s="112"/>
      <c r="AG775" s="112"/>
      <c r="AH775" s="112"/>
      <c r="AI775" s="112"/>
      <c r="AJ775" s="112"/>
      <c r="AK775" s="112"/>
      <c r="AL775" s="112"/>
      <c r="AM775" s="112"/>
      <c r="AN775" s="112"/>
      <c r="AO775" s="112"/>
      <c r="AP775" s="112"/>
    </row>
    <row r="776" ht="15.75" customHeight="1">
      <c r="A776" s="112"/>
      <c r="B776" s="112"/>
      <c r="C776" s="112"/>
      <c r="D776" s="112"/>
      <c r="E776" s="128"/>
      <c r="F776" s="112"/>
      <c r="G776" s="112"/>
      <c r="H776" s="128"/>
      <c r="I776" s="112"/>
      <c r="J776" s="112"/>
      <c r="K776" s="112"/>
      <c r="L776" s="128"/>
      <c r="M776" s="128"/>
      <c r="N776" s="112"/>
      <c r="O776" s="112"/>
      <c r="P776" s="112"/>
      <c r="Q776" s="112"/>
      <c r="R776" s="112"/>
      <c r="S776" s="112"/>
      <c r="T776" s="128"/>
      <c r="U776" s="128"/>
      <c r="V776" s="128"/>
      <c r="W776" s="128"/>
      <c r="X776" s="128"/>
      <c r="Y776" s="128"/>
      <c r="Z776" s="112"/>
      <c r="AA776" s="112"/>
      <c r="AB776" s="112"/>
      <c r="AC776" s="112"/>
      <c r="AD776" s="112"/>
      <c r="AE776" s="112"/>
      <c r="AF776" s="112"/>
      <c r="AG776" s="112"/>
      <c r="AH776" s="112"/>
      <c r="AI776" s="112"/>
      <c r="AJ776" s="112"/>
      <c r="AK776" s="112"/>
      <c r="AL776" s="112"/>
      <c r="AM776" s="112"/>
      <c r="AN776" s="112"/>
      <c r="AO776" s="112"/>
      <c r="AP776" s="112"/>
    </row>
    <row r="777" ht="15.75" customHeight="1">
      <c r="A777" s="112"/>
      <c r="B777" s="112"/>
      <c r="C777" s="112"/>
      <c r="D777" s="112"/>
      <c r="E777" s="128"/>
      <c r="F777" s="112"/>
      <c r="G777" s="112"/>
      <c r="H777" s="128"/>
      <c r="I777" s="112"/>
      <c r="J777" s="112"/>
      <c r="K777" s="112"/>
      <c r="L777" s="128"/>
      <c r="M777" s="128"/>
      <c r="N777" s="112"/>
      <c r="O777" s="112"/>
      <c r="P777" s="112"/>
      <c r="Q777" s="112"/>
      <c r="R777" s="112"/>
      <c r="S777" s="112"/>
      <c r="T777" s="128"/>
      <c r="U777" s="128"/>
      <c r="V777" s="128"/>
      <c r="W777" s="128"/>
      <c r="X777" s="128"/>
      <c r="Y777" s="128"/>
      <c r="Z777" s="112"/>
      <c r="AA777" s="112"/>
      <c r="AB777" s="112"/>
      <c r="AC777" s="112"/>
      <c r="AD777" s="112"/>
      <c r="AE777" s="112"/>
      <c r="AF777" s="112"/>
      <c r="AG777" s="112"/>
      <c r="AH777" s="112"/>
      <c r="AI777" s="112"/>
      <c r="AJ777" s="112"/>
      <c r="AK777" s="112"/>
      <c r="AL777" s="112"/>
      <c r="AM777" s="112"/>
      <c r="AN777" s="112"/>
      <c r="AO777" s="112"/>
      <c r="AP777" s="112"/>
    </row>
    <row r="778" ht="15.75" customHeight="1">
      <c r="A778" s="112"/>
      <c r="B778" s="112"/>
      <c r="C778" s="112"/>
      <c r="D778" s="112"/>
      <c r="E778" s="128"/>
      <c r="F778" s="112"/>
      <c r="G778" s="112"/>
      <c r="H778" s="128"/>
      <c r="I778" s="112"/>
      <c r="J778" s="112"/>
      <c r="K778" s="112"/>
      <c r="L778" s="128"/>
      <c r="M778" s="128"/>
      <c r="N778" s="112"/>
      <c r="O778" s="112"/>
      <c r="P778" s="112"/>
      <c r="Q778" s="112"/>
      <c r="R778" s="112"/>
      <c r="S778" s="112"/>
      <c r="T778" s="128"/>
      <c r="U778" s="128"/>
      <c r="V778" s="128"/>
      <c r="W778" s="128"/>
      <c r="X778" s="128"/>
      <c r="Y778" s="128"/>
      <c r="Z778" s="112"/>
      <c r="AA778" s="112"/>
      <c r="AB778" s="112"/>
      <c r="AC778" s="112"/>
      <c r="AD778" s="112"/>
      <c r="AE778" s="112"/>
      <c r="AF778" s="112"/>
      <c r="AG778" s="112"/>
      <c r="AH778" s="112"/>
      <c r="AI778" s="112"/>
      <c r="AJ778" s="112"/>
      <c r="AK778" s="112"/>
      <c r="AL778" s="112"/>
      <c r="AM778" s="112"/>
      <c r="AN778" s="112"/>
      <c r="AO778" s="112"/>
      <c r="AP778" s="112"/>
    </row>
    <row r="779" ht="15.75" customHeight="1">
      <c r="A779" s="112"/>
      <c r="B779" s="112"/>
      <c r="C779" s="112"/>
      <c r="D779" s="112"/>
      <c r="E779" s="128"/>
      <c r="F779" s="112"/>
      <c r="G779" s="112"/>
      <c r="H779" s="128"/>
      <c r="I779" s="112"/>
      <c r="J779" s="112"/>
      <c r="K779" s="112"/>
      <c r="L779" s="128"/>
      <c r="M779" s="128"/>
      <c r="N779" s="112"/>
      <c r="O779" s="112"/>
      <c r="P779" s="112"/>
      <c r="Q779" s="112"/>
      <c r="R779" s="112"/>
      <c r="S779" s="112"/>
      <c r="T779" s="128"/>
      <c r="U779" s="128"/>
      <c r="V779" s="128"/>
      <c r="W779" s="128"/>
      <c r="X779" s="128"/>
      <c r="Y779" s="128"/>
      <c r="Z779" s="112"/>
      <c r="AA779" s="112"/>
      <c r="AB779" s="112"/>
      <c r="AC779" s="112"/>
      <c r="AD779" s="112"/>
      <c r="AE779" s="112"/>
      <c r="AF779" s="112"/>
      <c r="AG779" s="112"/>
      <c r="AH779" s="112"/>
      <c r="AI779" s="112"/>
      <c r="AJ779" s="112"/>
      <c r="AK779" s="112"/>
      <c r="AL779" s="112"/>
      <c r="AM779" s="112"/>
      <c r="AN779" s="112"/>
      <c r="AO779" s="112"/>
      <c r="AP779" s="112"/>
    </row>
    <row r="780" ht="15.75" customHeight="1">
      <c r="A780" s="112"/>
      <c r="B780" s="112"/>
      <c r="C780" s="112"/>
      <c r="D780" s="112"/>
      <c r="E780" s="128"/>
      <c r="F780" s="112"/>
      <c r="G780" s="112"/>
      <c r="H780" s="128"/>
      <c r="I780" s="112"/>
      <c r="J780" s="112"/>
      <c r="K780" s="112"/>
      <c r="L780" s="128"/>
      <c r="M780" s="128"/>
      <c r="N780" s="112"/>
      <c r="O780" s="112"/>
      <c r="P780" s="112"/>
      <c r="Q780" s="112"/>
      <c r="R780" s="112"/>
      <c r="S780" s="112"/>
      <c r="T780" s="128"/>
      <c r="U780" s="128"/>
      <c r="V780" s="128"/>
      <c r="W780" s="128"/>
      <c r="X780" s="128"/>
      <c r="Y780" s="128"/>
      <c r="Z780" s="112"/>
      <c r="AA780" s="112"/>
      <c r="AB780" s="112"/>
      <c r="AC780" s="112"/>
      <c r="AD780" s="112"/>
      <c r="AE780" s="112"/>
      <c r="AF780" s="112"/>
      <c r="AG780" s="112"/>
      <c r="AH780" s="112"/>
      <c r="AI780" s="112"/>
      <c r="AJ780" s="112"/>
      <c r="AK780" s="112"/>
      <c r="AL780" s="112"/>
      <c r="AM780" s="112"/>
      <c r="AN780" s="112"/>
      <c r="AO780" s="112"/>
      <c r="AP780" s="112"/>
    </row>
    <row r="781" ht="15.75" customHeight="1">
      <c r="A781" s="112"/>
      <c r="B781" s="112"/>
      <c r="C781" s="112"/>
      <c r="D781" s="112"/>
      <c r="E781" s="128"/>
      <c r="F781" s="112"/>
      <c r="G781" s="112"/>
      <c r="H781" s="128"/>
      <c r="I781" s="112"/>
      <c r="J781" s="112"/>
      <c r="K781" s="112"/>
      <c r="L781" s="128"/>
      <c r="M781" s="128"/>
      <c r="N781" s="112"/>
      <c r="O781" s="112"/>
      <c r="P781" s="112"/>
      <c r="Q781" s="112"/>
      <c r="R781" s="112"/>
      <c r="S781" s="112"/>
      <c r="T781" s="128"/>
      <c r="U781" s="128"/>
      <c r="V781" s="128"/>
      <c r="W781" s="128"/>
      <c r="X781" s="128"/>
      <c r="Y781" s="128"/>
      <c r="Z781" s="112"/>
      <c r="AA781" s="112"/>
      <c r="AB781" s="112"/>
      <c r="AC781" s="112"/>
      <c r="AD781" s="112"/>
      <c r="AE781" s="112"/>
      <c r="AF781" s="112"/>
      <c r="AG781" s="112"/>
      <c r="AH781" s="112"/>
      <c r="AI781" s="112"/>
      <c r="AJ781" s="112"/>
      <c r="AK781" s="112"/>
      <c r="AL781" s="112"/>
      <c r="AM781" s="112"/>
      <c r="AN781" s="112"/>
      <c r="AO781" s="112"/>
      <c r="AP781" s="112"/>
    </row>
    <row r="782" ht="15.75" customHeight="1">
      <c r="A782" s="112"/>
      <c r="B782" s="112"/>
      <c r="C782" s="112"/>
      <c r="D782" s="112"/>
      <c r="E782" s="128"/>
      <c r="F782" s="112"/>
      <c r="G782" s="112"/>
      <c r="H782" s="128"/>
      <c r="I782" s="112"/>
      <c r="J782" s="112"/>
      <c r="K782" s="112"/>
      <c r="L782" s="128"/>
      <c r="M782" s="128"/>
      <c r="N782" s="112"/>
      <c r="O782" s="112"/>
      <c r="P782" s="112"/>
      <c r="Q782" s="112"/>
      <c r="R782" s="112"/>
      <c r="S782" s="112"/>
      <c r="T782" s="128"/>
      <c r="U782" s="128"/>
      <c r="V782" s="128"/>
      <c r="W782" s="128"/>
      <c r="X782" s="128"/>
      <c r="Y782" s="128"/>
      <c r="Z782" s="112"/>
      <c r="AA782" s="112"/>
      <c r="AB782" s="112"/>
      <c r="AC782" s="112"/>
      <c r="AD782" s="112"/>
      <c r="AE782" s="112"/>
      <c r="AF782" s="112"/>
      <c r="AG782" s="112"/>
      <c r="AH782" s="112"/>
      <c r="AI782" s="112"/>
      <c r="AJ782" s="112"/>
      <c r="AK782" s="112"/>
      <c r="AL782" s="112"/>
      <c r="AM782" s="112"/>
      <c r="AN782" s="112"/>
      <c r="AO782" s="112"/>
      <c r="AP782" s="112"/>
    </row>
    <row r="783" ht="15.75" customHeight="1">
      <c r="A783" s="112"/>
      <c r="B783" s="112"/>
      <c r="C783" s="112"/>
      <c r="D783" s="112"/>
      <c r="E783" s="128"/>
      <c r="F783" s="112"/>
      <c r="G783" s="112"/>
      <c r="H783" s="128"/>
      <c r="I783" s="112"/>
      <c r="J783" s="112"/>
      <c r="K783" s="112"/>
      <c r="L783" s="128"/>
      <c r="M783" s="128"/>
      <c r="N783" s="112"/>
      <c r="O783" s="112"/>
      <c r="P783" s="112"/>
      <c r="Q783" s="112"/>
      <c r="R783" s="112"/>
      <c r="S783" s="112"/>
      <c r="T783" s="128"/>
      <c r="U783" s="128"/>
      <c r="V783" s="128"/>
      <c r="W783" s="128"/>
      <c r="X783" s="128"/>
      <c r="Y783" s="128"/>
      <c r="Z783" s="112"/>
      <c r="AA783" s="112"/>
      <c r="AB783" s="112"/>
      <c r="AC783" s="112"/>
      <c r="AD783" s="112"/>
      <c r="AE783" s="112"/>
      <c r="AF783" s="112"/>
      <c r="AG783" s="112"/>
      <c r="AH783" s="112"/>
      <c r="AI783" s="112"/>
      <c r="AJ783" s="112"/>
      <c r="AK783" s="112"/>
      <c r="AL783" s="112"/>
      <c r="AM783" s="112"/>
      <c r="AN783" s="112"/>
      <c r="AO783" s="112"/>
      <c r="AP783" s="112"/>
    </row>
    <row r="784" ht="15.75" customHeight="1">
      <c r="A784" s="112"/>
      <c r="B784" s="112"/>
      <c r="C784" s="112"/>
      <c r="D784" s="112"/>
      <c r="E784" s="128"/>
      <c r="F784" s="112"/>
      <c r="G784" s="112"/>
      <c r="H784" s="128"/>
      <c r="I784" s="112"/>
      <c r="J784" s="112"/>
      <c r="K784" s="112"/>
      <c r="L784" s="128"/>
      <c r="M784" s="128"/>
      <c r="N784" s="112"/>
      <c r="O784" s="112"/>
      <c r="P784" s="112"/>
      <c r="Q784" s="112"/>
      <c r="R784" s="112"/>
      <c r="S784" s="112"/>
      <c r="T784" s="128"/>
      <c r="U784" s="128"/>
      <c r="V784" s="128"/>
      <c r="W784" s="128"/>
      <c r="X784" s="128"/>
      <c r="Y784" s="128"/>
      <c r="Z784" s="112"/>
      <c r="AA784" s="112"/>
      <c r="AB784" s="112"/>
      <c r="AC784" s="112"/>
      <c r="AD784" s="112"/>
      <c r="AE784" s="112"/>
      <c r="AF784" s="112"/>
      <c r="AG784" s="112"/>
      <c r="AH784" s="112"/>
      <c r="AI784" s="112"/>
      <c r="AJ784" s="112"/>
      <c r="AK784" s="112"/>
      <c r="AL784" s="112"/>
      <c r="AM784" s="112"/>
      <c r="AN784" s="112"/>
      <c r="AO784" s="112"/>
      <c r="AP784" s="112"/>
    </row>
    <row r="785" ht="15.75" customHeight="1">
      <c r="A785" s="112"/>
      <c r="B785" s="112"/>
      <c r="C785" s="112"/>
      <c r="D785" s="112"/>
      <c r="E785" s="128"/>
      <c r="F785" s="112"/>
      <c r="G785" s="112"/>
      <c r="H785" s="128"/>
      <c r="I785" s="112"/>
      <c r="J785" s="112"/>
      <c r="K785" s="112"/>
      <c r="L785" s="128"/>
      <c r="M785" s="128"/>
      <c r="N785" s="112"/>
      <c r="O785" s="112"/>
      <c r="P785" s="112"/>
      <c r="Q785" s="112"/>
      <c r="R785" s="112"/>
      <c r="S785" s="112"/>
      <c r="T785" s="128"/>
      <c r="U785" s="128"/>
      <c r="V785" s="128"/>
      <c r="W785" s="128"/>
      <c r="X785" s="128"/>
      <c r="Y785" s="128"/>
      <c r="Z785" s="112"/>
      <c r="AA785" s="112"/>
      <c r="AB785" s="112"/>
      <c r="AC785" s="112"/>
      <c r="AD785" s="112"/>
      <c r="AE785" s="112"/>
      <c r="AF785" s="112"/>
      <c r="AG785" s="112"/>
      <c r="AH785" s="112"/>
      <c r="AI785" s="112"/>
      <c r="AJ785" s="112"/>
      <c r="AK785" s="112"/>
      <c r="AL785" s="112"/>
      <c r="AM785" s="112"/>
      <c r="AN785" s="112"/>
      <c r="AO785" s="112"/>
      <c r="AP785" s="112"/>
    </row>
    <row r="786" ht="15.75" customHeight="1">
      <c r="A786" s="112"/>
      <c r="B786" s="112"/>
      <c r="C786" s="112"/>
      <c r="D786" s="112"/>
      <c r="E786" s="128"/>
      <c r="F786" s="112"/>
      <c r="G786" s="112"/>
      <c r="H786" s="128"/>
      <c r="I786" s="112"/>
      <c r="J786" s="112"/>
      <c r="K786" s="112"/>
      <c r="L786" s="128"/>
      <c r="M786" s="128"/>
      <c r="N786" s="112"/>
      <c r="O786" s="112"/>
      <c r="P786" s="112"/>
      <c r="Q786" s="112"/>
      <c r="R786" s="112"/>
      <c r="S786" s="112"/>
      <c r="T786" s="128"/>
      <c r="U786" s="128"/>
      <c r="V786" s="128"/>
      <c r="W786" s="128"/>
      <c r="X786" s="128"/>
      <c r="Y786" s="128"/>
      <c r="Z786" s="112"/>
      <c r="AA786" s="112"/>
      <c r="AB786" s="112"/>
      <c r="AC786" s="112"/>
      <c r="AD786" s="112"/>
      <c r="AE786" s="112"/>
      <c r="AF786" s="112"/>
      <c r="AG786" s="112"/>
      <c r="AH786" s="112"/>
      <c r="AI786" s="112"/>
      <c r="AJ786" s="112"/>
      <c r="AK786" s="112"/>
      <c r="AL786" s="112"/>
      <c r="AM786" s="112"/>
      <c r="AN786" s="112"/>
      <c r="AO786" s="112"/>
      <c r="AP786" s="112"/>
    </row>
    <row r="787" ht="15.75" customHeight="1">
      <c r="A787" s="112"/>
      <c r="B787" s="112"/>
      <c r="C787" s="112"/>
      <c r="D787" s="112"/>
      <c r="E787" s="128"/>
      <c r="F787" s="112"/>
      <c r="G787" s="112"/>
      <c r="H787" s="128"/>
      <c r="I787" s="112"/>
      <c r="J787" s="112"/>
      <c r="K787" s="112"/>
      <c r="L787" s="128"/>
      <c r="M787" s="128"/>
      <c r="N787" s="112"/>
      <c r="O787" s="112"/>
      <c r="P787" s="112"/>
      <c r="Q787" s="112"/>
      <c r="R787" s="112"/>
      <c r="S787" s="112"/>
      <c r="T787" s="128"/>
      <c r="U787" s="128"/>
      <c r="V787" s="128"/>
      <c r="W787" s="128"/>
      <c r="X787" s="128"/>
      <c r="Y787" s="128"/>
      <c r="Z787" s="112"/>
      <c r="AA787" s="112"/>
      <c r="AB787" s="112"/>
      <c r="AC787" s="112"/>
      <c r="AD787" s="112"/>
      <c r="AE787" s="112"/>
      <c r="AF787" s="112"/>
      <c r="AG787" s="112"/>
      <c r="AH787" s="112"/>
      <c r="AI787" s="112"/>
      <c r="AJ787" s="112"/>
      <c r="AK787" s="112"/>
      <c r="AL787" s="112"/>
      <c r="AM787" s="112"/>
      <c r="AN787" s="112"/>
      <c r="AO787" s="112"/>
      <c r="AP787" s="112"/>
    </row>
    <row r="788" ht="15.75" customHeight="1">
      <c r="A788" s="112"/>
      <c r="B788" s="112"/>
      <c r="C788" s="112"/>
      <c r="D788" s="112"/>
      <c r="E788" s="128"/>
      <c r="F788" s="112"/>
      <c r="G788" s="112"/>
      <c r="H788" s="128"/>
      <c r="I788" s="112"/>
      <c r="J788" s="112"/>
      <c r="K788" s="112"/>
      <c r="L788" s="128"/>
      <c r="M788" s="128"/>
      <c r="N788" s="112"/>
      <c r="O788" s="112"/>
      <c r="P788" s="112"/>
      <c r="Q788" s="112"/>
      <c r="R788" s="112"/>
      <c r="S788" s="112"/>
      <c r="T788" s="128"/>
      <c r="U788" s="128"/>
      <c r="V788" s="128"/>
      <c r="W788" s="128"/>
      <c r="X788" s="128"/>
      <c r="Y788" s="128"/>
      <c r="Z788" s="112"/>
      <c r="AA788" s="112"/>
      <c r="AB788" s="112"/>
      <c r="AC788" s="112"/>
      <c r="AD788" s="112"/>
      <c r="AE788" s="112"/>
      <c r="AF788" s="112"/>
      <c r="AG788" s="112"/>
      <c r="AH788" s="112"/>
      <c r="AI788" s="112"/>
      <c r="AJ788" s="112"/>
      <c r="AK788" s="112"/>
      <c r="AL788" s="112"/>
      <c r="AM788" s="112"/>
      <c r="AN788" s="112"/>
      <c r="AO788" s="112"/>
      <c r="AP788" s="112"/>
    </row>
    <row r="789" ht="15.75" customHeight="1">
      <c r="A789" s="112"/>
      <c r="B789" s="112"/>
      <c r="C789" s="112"/>
      <c r="D789" s="112"/>
      <c r="E789" s="128"/>
      <c r="F789" s="112"/>
      <c r="G789" s="112"/>
      <c r="H789" s="128"/>
      <c r="I789" s="112"/>
      <c r="J789" s="112"/>
      <c r="K789" s="112"/>
      <c r="L789" s="128"/>
      <c r="M789" s="128"/>
      <c r="N789" s="112"/>
      <c r="O789" s="112"/>
      <c r="P789" s="112"/>
      <c r="Q789" s="112"/>
      <c r="R789" s="112"/>
      <c r="S789" s="112"/>
      <c r="T789" s="128"/>
      <c r="U789" s="128"/>
      <c r="V789" s="128"/>
      <c r="W789" s="128"/>
      <c r="X789" s="128"/>
      <c r="Y789" s="128"/>
      <c r="Z789" s="112"/>
      <c r="AA789" s="112"/>
      <c r="AB789" s="112"/>
      <c r="AC789" s="112"/>
      <c r="AD789" s="112"/>
      <c r="AE789" s="112"/>
      <c r="AF789" s="112"/>
      <c r="AG789" s="112"/>
      <c r="AH789" s="112"/>
      <c r="AI789" s="112"/>
      <c r="AJ789" s="112"/>
      <c r="AK789" s="112"/>
      <c r="AL789" s="112"/>
      <c r="AM789" s="112"/>
      <c r="AN789" s="112"/>
      <c r="AO789" s="112"/>
      <c r="AP789" s="112"/>
    </row>
    <row r="790" ht="15.75" customHeight="1">
      <c r="A790" s="112"/>
      <c r="B790" s="112"/>
      <c r="C790" s="112"/>
      <c r="D790" s="112"/>
      <c r="E790" s="128"/>
      <c r="F790" s="112"/>
      <c r="G790" s="112"/>
      <c r="H790" s="128"/>
      <c r="I790" s="112"/>
      <c r="J790" s="112"/>
      <c r="K790" s="112"/>
      <c r="L790" s="128"/>
      <c r="M790" s="128"/>
      <c r="N790" s="112"/>
      <c r="O790" s="112"/>
      <c r="P790" s="112"/>
      <c r="Q790" s="112"/>
      <c r="R790" s="112"/>
      <c r="S790" s="112"/>
      <c r="T790" s="128"/>
      <c r="U790" s="128"/>
      <c r="V790" s="128"/>
      <c r="W790" s="128"/>
      <c r="X790" s="128"/>
      <c r="Y790" s="128"/>
      <c r="Z790" s="112"/>
      <c r="AA790" s="112"/>
      <c r="AB790" s="112"/>
      <c r="AC790" s="112"/>
      <c r="AD790" s="112"/>
      <c r="AE790" s="112"/>
      <c r="AF790" s="112"/>
      <c r="AG790" s="112"/>
      <c r="AH790" s="112"/>
      <c r="AI790" s="112"/>
      <c r="AJ790" s="112"/>
      <c r="AK790" s="112"/>
      <c r="AL790" s="112"/>
      <c r="AM790" s="112"/>
      <c r="AN790" s="112"/>
      <c r="AO790" s="112"/>
      <c r="AP790" s="112"/>
    </row>
    <row r="791" ht="15.75" customHeight="1">
      <c r="A791" s="112"/>
      <c r="B791" s="112"/>
      <c r="C791" s="112"/>
      <c r="D791" s="112"/>
      <c r="E791" s="128"/>
      <c r="F791" s="112"/>
      <c r="G791" s="112"/>
      <c r="H791" s="128"/>
      <c r="I791" s="112"/>
      <c r="J791" s="112"/>
      <c r="K791" s="112"/>
      <c r="L791" s="128"/>
      <c r="M791" s="128"/>
      <c r="N791" s="112"/>
      <c r="O791" s="112"/>
      <c r="P791" s="112"/>
      <c r="Q791" s="112"/>
      <c r="R791" s="112"/>
      <c r="S791" s="112"/>
      <c r="T791" s="128"/>
      <c r="U791" s="128"/>
      <c r="V791" s="128"/>
      <c r="W791" s="128"/>
      <c r="X791" s="128"/>
      <c r="Y791" s="128"/>
      <c r="Z791" s="112"/>
      <c r="AA791" s="112"/>
      <c r="AB791" s="112"/>
      <c r="AC791" s="112"/>
      <c r="AD791" s="112"/>
      <c r="AE791" s="112"/>
      <c r="AF791" s="112"/>
      <c r="AG791" s="112"/>
      <c r="AH791" s="112"/>
      <c r="AI791" s="112"/>
      <c r="AJ791" s="112"/>
      <c r="AK791" s="112"/>
      <c r="AL791" s="112"/>
      <c r="AM791" s="112"/>
      <c r="AN791" s="112"/>
      <c r="AO791" s="112"/>
      <c r="AP791" s="112"/>
    </row>
    <row r="792" ht="15.75" customHeight="1">
      <c r="A792" s="112"/>
      <c r="B792" s="112"/>
      <c r="C792" s="112"/>
      <c r="D792" s="112"/>
      <c r="E792" s="128"/>
      <c r="F792" s="112"/>
      <c r="G792" s="112"/>
      <c r="H792" s="128"/>
      <c r="I792" s="112"/>
      <c r="J792" s="112"/>
      <c r="K792" s="112"/>
      <c r="L792" s="128"/>
      <c r="M792" s="128"/>
      <c r="N792" s="112"/>
      <c r="O792" s="112"/>
      <c r="P792" s="112"/>
      <c r="Q792" s="112"/>
      <c r="R792" s="112"/>
      <c r="S792" s="112"/>
      <c r="T792" s="128"/>
      <c r="U792" s="128"/>
      <c r="V792" s="128"/>
      <c r="W792" s="128"/>
      <c r="X792" s="128"/>
      <c r="Y792" s="128"/>
      <c r="Z792" s="112"/>
      <c r="AA792" s="112"/>
      <c r="AB792" s="112"/>
      <c r="AC792" s="112"/>
      <c r="AD792" s="112"/>
      <c r="AE792" s="112"/>
      <c r="AF792" s="112"/>
      <c r="AG792" s="112"/>
      <c r="AH792" s="112"/>
      <c r="AI792" s="112"/>
      <c r="AJ792" s="112"/>
      <c r="AK792" s="112"/>
      <c r="AL792" s="112"/>
      <c r="AM792" s="112"/>
      <c r="AN792" s="112"/>
      <c r="AO792" s="112"/>
      <c r="AP792" s="112"/>
    </row>
    <row r="793" ht="15.75" customHeight="1">
      <c r="A793" s="112"/>
      <c r="B793" s="112"/>
      <c r="C793" s="112"/>
      <c r="D793" s="112"/>
      <c r="E793" s="128"/>
      <c r="F793" s="112"/>
      <c r="G793" s="112"/>
      <c r="H793" s="128"/>
      <c r="I793" s="112"/>
      <c r="J793" s="112"/>
      <c r="K793" s="112"/>
      <c r="L793" s="128"/>
      <c r="M793" s="128"/>
      <c r="N793" s="112"/>
      <c r="O793" s="112"/>
      <c r="P793" s="112"/>
      <c r="Q793" s="112"/>
      <c r="R793" s="112"/>
      <c r="S793" s="112"/>
      <c r="T793" s="128"/>
      <c r="U793" s="128"/>
      <c r="V793" s="128"/>
      <c r="W793" s="128"/>
      <c r="X793" s="128"/>
      <c r="Y793" s="128"/>
      <c r="Z793" s="112"/>
      <c r="AA793" s="112"/>
      <c r="AB793" s="112"/>
      <c r="AC793" s="112"/>
      <c r="AD793" s="112"/>
      <c r="AE793" s="112"/>
      <c r="AF793" s="112"/>
      <c r="AG793" s="112"/>
      <c r="AH793" s="112"/>
      <c r="AI793" s="112"/>
      <c r="AJ793" s="112"/>
      <c r="AK793" s="112"/>
      <c r="AL793" s="112"/>
      <c r="AM793" s="112"/>
      <c r="AN793" s="112"/>
      <c r="AO793" s="112"/>
      <c r="AP793" s="112"/>
    </row>
    <row r="794" ht="15.75" customHeight="1">
      <c r="A794" s="112"/>
      <c r="B794" s="112"/>
      <c r="C794" s="112"/>
      <c r="D794" s="112"/>
      <c r="E794" s="128"/>
      <c r="F794" s="112"/>
      <c r="G794" s="112"/>
      <c r="H794" s="128"/>
      <c r="I794" s="112"/>
      <c r="J794" s="112"/>
      <c r="K794" s="112"/>
      <c r="L794" s="128"/>
      <c r="M794" s="128"/>
      <c r="N794" s="112"/>
      <c r="O794" s="112"/>
      <c r="P794" s="112"/>
      <c r="Q794" s="112"/>
      <c r="R794" s="112"/>
      <c r="S794" s="112"/>
      <c r="T794" s="128"/>
      <c r="U794" s="128"/>
      <c r="V794" s="128"/>
      <c r="W794" s="128"/>
      <c r="X794" s="128"/>
      <c r="Y794" s="128"/>
      <c r="Z794" s="112"/>
      <c r="AA794" s="112"/>
      <c r="AB794" s="112"/>
      <c r="AC794" s="112"/>
      <c r="AD794" s="112"/>
      <c r="AE794" s="112"/>
      <c r="AF794" s="112"/>
      <c r="AG794" s="112"/>
      <c r="AH794" s="112"/>
      <c r="AI794" s="112"/>
      <c r="AJ794" s="112"/>
      <c r="AK794" s="112"/>
      <c r="AL794" s="112"/>
      <c r="AM794" s="112"/>
      <c r="AN794" s="112"/>
      <c r="AO794" s="112"/>
      <c r="AP794" s="112"/>
    </row>
    <row r="795" ht="15.75" customHeight="1">
      <c r="A795" s="112"/>
      <c r="B795" s="112"/>
      <c r="C795" s="112"/>
      <c r="D795" s="112"/>
      <c r="E795" s="128"/>
      <c r="F795" s="112"/>
      <c r="G795" s="112"/>
      <c r="H795" s="128"/>
      <c r="I795" s="112"/>
      <c r="J795" s="112"/>
      <c r="K795" s="112"/>
      <c r="L795" s="128"/>
      <c r="M795" s="128"/>
      <c r="N795" s="112"/>
      <c r="O795" s="112"/>
      <c r="P795" s="112"/>
      <c r="Q795" s="112"/>
      <c r="R795" s="112"/>
      <c r="S795" s="112"/>
      <c r="T795" s="128"/>
      <c r="U795" s="128"/>
      <c r="V795" s="128"/>
      <c r="W795" s="128"/>
      <c r="X795" s="128"/>
      <c r="Y795" s="128"/>
      <c r="Z795" s="112"/>
      <c r="AA795" s="112"/>
      <c r="AB795" s="112"/>
      <c r="AC795" s="112"/>
      <c r="AD795" s="112"/>
      <c r="AE795" s="112"/>
      <c r="AF795" s="112"/>
      <c r="AG795" s="112"/>
      <c r="AH795" s="112"/>
      <c r="AI795" s="112"/>
      <c r="AJ795" s="112"/>
      <c r="AK795" s="112"/>
      <c r="AL795" s="112"/>
      <c r="AM795" s="112"/>
      <c r="AN795" s="112"/>
      <c r="AO795" s="112"/>
      <c r="AP795" s="112"/>
    </row>
    <row r="796" ht="15.75" customHeight="1">
      <c r="A796" s="112"/>
      <c r="B796" s="112"/>
      <c r="C796" s="112"/>
      <c r="D796" s="112"/>
      <c r="E796" s="128"/>
      <c r="F796" s="112"/>
      <c r="G796" s="112"/>
      <c r="H796" s="128"/>
      <c r="I796" s="112"/>
      <c r="J796" s="112"/>
      <c r="K796" s="112"/>
      <c r="L796" s="128"/>
      <c r="M796" s="128"/>
      <c r="N796" s="112"/>
      <c r="O796" s="112"/>
      <c r="P796" s="112"/>
      <c r="Q796" s="112"/>
      <c r="R796" s="112"/>
      <c r="S796" s="112"/>
      <c r="T796" s="128"/>
      <c r="U796" s="128"/>
      <c r="V796" s="128"/>
      <c r="W796" s="128"/>
      <c r="X796" s="128"/>
      <c r="Y796" s="128"/>
      <c r="Z796" s="112"/>
      <c r="AA796" s="112"/>
      <c r="AB796" s="112"/>
      <c r="AC796" s="112"/>
      <c r="AD796" s="112"/>
      <c r="AE796" s="112"/>
      <c r="AF796" s="112"/>
      <c r="AG796" s="112"/>
      <c r="AH796" s="112"/>
      <c r="AI796" s="112"/>
      <c r="AJ796" s="112"/>
      <c r="AK796" s="112"/>
      <c r="AL796" s="112"/>
      <c r="AM796" s="112"/>
      <c r="AN796" s="112"/>
      <c r="AO796" s="112"/>
      <c r="AP796" s="112"/>
    </row>
    <row r="797" ht="15.75" customHeight="1">
      <c r="A797" s="112"/>
      <c r="B797" s="112"/>
      <c r="C797" s="112"/>
      <c r="D797" s="112"/>
      <c r="E797" s="128"/>
      <c r="F797" s="112"/>
      <c r="G797" s="112"/>
      <c r="H797" s="128"/>
      <c r="I797" s="112"/>
      <c r="J797" s="112"/>
      <c r="K797" s="112"/>
      <c r="L797" s="128"/>
      <c r="M797" s="128"/>
      <c r="N797" s="112"/>
      <c r="O797" s="112"/>
      <c r="P797" s="112"/>
      <c r="Q797" s="112"/>
      <c r="R797" s="112"/>
      <c r="S797" s="112"/>
      <c r="T797" s="128"/>
      <c r="U797" s="128"/>
      <c r="V797" s="128"/>
      <c r="W797" s="128"/>
      <c r="X797" s="128"/>
      <c r="Y797" s="128"/>
      <c r="Z797" s="112"/>
      <c r="AA797" s="112"/>
      <c r="AB797" s="112"/>
      <c r="AC797" s="112"/>
      <c r="AD797" s="112"/>
      <c r="AE797" s="112"/>
      <c r="AF797" s="112"/>
      <c r="AG797" s="112"/>
      <c r="AH797" s="112"/>
      <c r="AI797" s="112"/>
      <c r="AJ797" s="112"/>
      <c r="AK797" s="112"/>
      <c r="AL797" s="112"/>
      <c r="AM797" s="112"/>
      <c r="AN797" s="112"/>
      <c r="AO797" s="112"/>
      <c r="AP797" s="112"/>
    </row>
    <row r="798" ht="15.75" customHeight="1">
      <c r="A798" s="112"/>
      <c r="B798" s="112"/>
      <c r="C798" s="112"/>
      <c r="D798" s="112"/>
      <c r="E798" s="128"/>
      <c r="F798" s="112"/>
      <c r="G798" s="112"/>
      <c r="H798" s="128"/>
      <c r="I798" s="112"/>
      <c r="J798" s="112"/>
      <c r="K798" s="112"/>
      <c r="L798" s="128"/>
      <c r="M798" s="128"/>
      <c r="N798" s="112"/>
      <c r="O798" s="112"/>
      <c r="P798" s="112"/>
      <c r="Q798" s="112"/>
      <c r="R798" s="112"/>
      <c r="S798" s="112"/>
      <c r="T798" s="128"/>
      <c r="U798" s="128"/>
      <c r="V798" s="128"/>
      <c r="W798" s="128"/>
      <c r="X798" s="128"/>
      <c r="Y798" s="128"/>
      <c r="Z798" s="112"/>
      <c r="AA798" s="112"/>
      <c r="AB798" s="112"/>
      <c r="AC798" s="112"/>
      <c r="AD798" s="112"/>
      <c r="AE798" s="112"/>
      <c r="AF798" s="112"/>
      <c r="AG798" s="112"/>
      <c r="AH798" s="112"/>
      <c r="AI798" s="112"/>
      <c r="AJ798" s="112"/>
      <c r="AK798" s="112"/>
      <c r="AL798" s="112"/>
      <c r="AM798" s="112"/>
      <c r="AN798" s="112"/>
      <c r="AO798" s="112"/>
      <c r="AP798" s="112"/>
    </row>
    <row r="799" ht="15.75" customHeight="1">
      <c r="A799" s="112"/>
      <c r="B799" s="112"/>
      <c r="C799" s="112"/>
      <c r="D799" s="112"/>
      <c r="E799" s="128"/>
      <c r="F799" s="112"/>
      <c r="G799" s="112"/>
      <c r="H799" s="128"/>
      <c r="I799" s="112"/>
      <c r="J799" s="112"/>
      <c r="K799" s="112"/>
      <c r="L799" s="128"/>
      <c r="M799" s="128"/>
      <c r="N799" s="112"/>
      <c r="O799" s="112"/>
      <c r="P799" s="112"/>
      <c r="Q799" s="112"/>
      <c r="R799" s="112"/>
      <c r="S799" s="112"/>
      <c r="T799" s="128"/>
      <c r="U799" s="128"/>
      <c r="V799" s="128"/>
      <c r="W799" s="128"/>
      <c r="X799" s="128"/>
      <c r="Y799" s="128"/>
      <c r="Z799" s="112"/>
      <c r="AA799" s="112"/>
      <c r="AB799" s="112"/>
      <c r="AC799" s="112"/>
      <c r="AD799" s="112"/>
      <c r="AE799" s="112"/>
      <c r="AF799" s="112"/>
      <c r="AG799" s="112"/>
      <c r="AH799" s="112"/>
      <c r="AI799" s="112"/>
      <c r="AJ799" s="112"/>
      <c r="AK799" s="112"/>
      <c r="AL799" s="112"/>
      <c r="AM799" s="112"/>
      <c r="AN799" s="112"/>
      <c r="AO799" s="112"/>
      <c r="AP799" s="112"/>
    </row>
    <row r="800" ht="15.75" customHeight="1">
      <c r="A800" s="112"/>
      <c r="B800" s="112"/>
      <c r="C800" s="112"/>
      <c r="D800" s="112"/>
      <c r="E800" s="128"/>
      <c r="F800" s="112"/>
      <c r="G800" s="112"/>
      <c r="H800" s="128"/>
      <c r="I800" s="112"/>
      <c r="J800" s="112"/>
      <c r="K800" s="112"/>
      <c r="L800" s="128"/>
      <c r="M800" s="128"/>
      <c r="N800" s="112"/>
      <c r="O800" s="112"/>
      <c r="P800" s="112"/>
      <c r="Q800" s="112"/>
      <c r="R800" s="112"/>
      <c r="S800" s="112"/>
      <c r="T800" s="128"/>
      <c r="U800" s="128"/>
      <c r="V800" s="128"/>
      <c r="W800" s="128"/>
      <c r="X800" s="128"/>
      <c r="Y800" s="128"/>
      <c r="Z800" s="112"/>
      <c r="AA800" s="112"/>
      <c r="AB800" s="112"/>
      <c r="AC800" s="112"/>
      <c r="AD800" s="112"/>
      <c r="AE800" s="112"/>
      <c r="AF800" s="112"/>
      <c r="AG800" s="112"/>
      <c r="AH800" s="112"/>
      <c r="AI800" s="112"/>
      <c r="AJ800" s="112"/>
      <c r="AK800" s="112"/>
      <c r="AL800" s="112"/>
      <c r="AM800" s="112"/>
      <c r="AN800" s="112"/>
      <c r="AO800" s="112"/>
      <c r="AP800" s="112"/>
    </row>
    <row r="801" ht="15.75" customHeight="1">
      <c r="A801" s="112"/>
      <c r="B801" s="112"/>
      <c r="C801" s="112"/>
      <c r="D801" s="112"/>
      <c r="E801" s="128"/>
      <c r="F801" s="112"/>
      <c r="G801" s="112"/>
      <c r="H801" s="128"/>
      <c r="I801" s="112"/>
      <c r="J801" s="112"/>
      <c r="K801" s="112"/>
      <c r="L801" s="128"/>
      <c r="M801" s="128"/>
      <c r="N801" s="112"/>
      <c r="O801" s="112"/>
      <c r="P801" s="112"/>
      <c r="Q801" s="112"/>
      <c r="R801" s="112"/>
      <c r="S801" s="112"/>
      <c r="T801" s="128"/>
      <c r="U801" s="128"/>
      <c r="V801" s="128"/>
      <c r="W801" s="128"/>
      <c r="X801" s="128"/>
      <c r="Y801" s="128"/>
      <c r="Z801" s="112"/>
      <c r="AA801" s="112"/>
      <c r="AB801" s="112"/>
      <c r="AC801" s="112"/>
      <c r="AD801" s="112"/>
      <c r="AE801" s="112"/>
      <c r="AF801" s="112"/>
      <c r="AG801" s="112"/>
      <c r="AH801" s="112"/>
      <c r="AI801" s="112"/>
      <c r="AJ801" s="112"/>
      <c r="AK801" s="112"/>
      <c r="AL801" s="112"/>
      <c r="AM801" s="112"/>
      <c r="AN801" s="112"/>
      <c r="AO801" s="112"/>
      <c r="AP801" s="112"/>
    </row>
    <row r="802" ht="15.75" customHeight="1">
      <c r="A802" s="112"/>
      <c r="B802" s="112"/>
      <c r="C802" s="112"/>
      <c r="D802" s="112"/>
      <c r="E802" s="128"/>
      <c r="F802" s="112"/>
      <c r="G802" s="112"/>
      <c r="H802" s="128"/>
      <c r="I802" s="112"/>
      <c r="J802" s="112"/>
      <c r="K802" s="112"/>
      <c r="L802" s="128"/>
      <c r="M802" s="128"/>
      <c r="N802" s="112"/>
      <c r="O802" s="112"/>
      <c r="P802" s="112"/>
      <c r="Q802" s="112"/>
      <c r="R802" s="112"/>
      <c r="S802" s="112"/>
      <c r="T802" s="128"/>
      <c r="U802" s="128"/>
      <c r="V802" s="128"/>
      <c r="W802" s="128"/>
      <c r="X802" s="128"/>
      <c r="Y802" s="128"/>
      <c r="Z802" s="112"/>
      <c r="AA802" s="112"/>
      <c r="AB802" s="112"/>
      <c r="AC802" s="112"/>
      <c r="AD802" s="112"/>
      <c r="AE802" s="112"/>
      <c r="AF802" s="112"/>
      <c r="AG802" s="112"/>
      <c r="AH802" s="112"/>
      <c r="AI802" s="112"/>
      <c r="AJ802" s="112"/>
      <c r="AK802" s="112"/>
      <c r="AL802" s="112"/>
      <c r="AM802" s="112"/>
      <c r="AN802" s="112"/>
      <c r="AO802" s="112"/>
      <c r="AP802" s="112"/>
    </row>
    <row r="803" ht="15.75" customHeight="1">
      <c r="A803" s="112"/>
      <c r="B803" s="112"/>
      <c r="C803" s="112"/>
      <c r="D803" s="112"/>
      <c r="E803" s="128"/>
      <c r="F803" s="112"/>
      <c r="G803" s="112"/>
      <c r="H803" s="128"/>
      <c r="I803" s="112"/>
      <c r="J803" s="112"/>
      <c r="K803" s="112"/>
      <c r="L803" s="128"/>
      <c r="M803" s="128"/>
      <c r="N803" s="112"/>
      <c r="O803" s="112"/>
      <c r="P803" s="112"/>
      <c r="Q803" s="112"/>
      <c r="R803" s="112"/>
      <c r="S803" s="112"/>
      <c r="T803" s="128"/>
      <c r="U803" s="128"/>
      <c r="V803" s="128"/>
      <c r="W803" s="128"/>
      <c r="X803" s="128"/>
      <c r="Y803" s="128"/>
      <c r="Z803" s="112"/>
      <c r="AA803" s="112"/>
      <c r="AB803" s="112"/>
      <c r="AC803" s="112"/>
      <c r="AD803" s="112"/>
      <c r="AE803" s="112"/>
      <c r="AF803" s="112"/>
      <c r="AG803" s="112"/>
      <c r="AH803" s="112"/>
      <c r="AI803" s="112"/>
      <c r="AJ803" s="112"/>
      <c r="AK803" s="112"/>
      <c r="AL803" s="112"/>
      <c r="AM803" s="112"/>
      <c r="AN803" s="112"/>
      <c r="AO803" s="112"/>
      <c r="AP803" s="112"/>
    </row>
    <row r="804" ht="15.75" customHeight="1">
      <c r="A804" s="112"/>
      <c r="B804" s="112"/>
      <c r="C804" s="112"/>
      <c r="D804" s="112"/>
      <c r="E804" s="128"/>
      <c r="F804" s="112"/>
      <c r="G804" s="112"/>
      <c r="H804" s="128"/>
      <c r="I804" s="112"/>
      <c r="J804" s="112"/>
      <c r="K804" s="112"/>
      <c r="L804" s="128"/>
      <c r="M804" s="128"/>
      <c r="N804" s="112"/>
      <c r="O804" s="112"/>
      <c r="P804" s="112"/>
      <c r="Q804" s="112"/>
      <c r="R804" s="112"/>
      <c r="S804" s="112"/>
      <c r="T804" s="128"/>
      <c r="U804" s="128"/>
      <c r="V804" s="128"/>
      <c r="W804" s="128"/>
      <c r="X804" s="128"/>
      <c r="Y804" s="128"/>
      <c r="Z804" s="112"/>
      <c r="AA804" s="112"/>
      <c r="AB804" s="112"/>
      <c r="AC804" s="112"/>
      <c r="AD804" s="112"/>
      <c r="AE804" s="112"/>
      <c r="AF804" s="112"/>
      <c r="AG804" s="112"/>
      <c r="AH804" s="112"/>
      <c r="AI804" s="112"/>
      <c r="AJ804" s="112"/>
      <c r="AK804" s="112"/>
      <c r="AL804" s="112"/>
      <c r="AM804" s="112"/>
      <c r="AN804" s="112"/>
      <c r="AO804" s="112"/>
      <c r="AP804" s="112"/>
    </row>
    <row r="805" ht="15.75" customHeight="1">
      <c r="A805" s="112"/>
      <c r="B805" s="112"/>
      <c r="C805" s="112"/>
      <c r="D805" s="112"/>
      <c r="E805" s="128"/>
      <c r="F805" s="112"/>
      <c r="G805" s="112"/>
      <c r="H805" s="128"/>
      <c r="I805" s="112"/>
      <c r="J805" s="112"/>
      <c r="K805" s="112"/>
      <c r="L805" s="128"/>
      <c r="M805" s="128"/>
      <c r="N805" s="112"/>
      <c r="O805" s="112"/>
      <c r="P805" s="112"/>
      <c r="Q805" s="112"/>
      <c r="R805" s="112"/>
      <c r="S805" s="112"/>
      <c r="T805" s="128"/>
      <c r="U805" s="128"/>
      <c r="V805" s="128"/>
      <c r="W805" s="128"/>
      <c r="X805" s="128"/>
      <c r="Y805" s="128"/>
      <c r="Z805" s="112"/>
      <c r="AA805" s="112"/>
      <c r="AB805" s="112"/>
      <c r="AC805" s="112"/>
      <c r="AD805" s="112"/>
      <c r="AE805" s="112"/>
      <c r="AF805" s="112"/>
      <c r="AG805" s="112"/>
      <c r="AH805" s="112"/>
      <c r="AI805" s="112"/>
      <c r="AJ805" s="112"/>
      <c r="AK805" s="112"/>
      <c r="AL805" s="112"/>
      <c r="AM805" s="112"/>
      <c r="AN805" s="112"/>
      <c r="AO805" s="112"/>
      <c r="AP805" s="112"/>
    </row>
    <row r="806" ht="15.75" customHeight="1">
      <c r="A806" s="112"/>
      <c r="B806" s="112"/>
      <c r="C806" s="112"/>
      <c r="D806" s="112"/>
      <c r="E806" s="128"/>
      <c r="F806" s="112"/>
      <c r="G806" s="112"/>
      <c r="H806" s="128"/>
      <c r="I806" s="112"/>
      <c r="J806" s="112"/>
      <c r="K806" s="112"/>
      <c r="L806" s="128"/>
      <c r="M806" s="128"/>
      <c r="N806" s="112"/>
      <c r="O806" s="112"/>
      <c r="P806" s="112"/>
      <c r="Q806" s="112"/>
      <c r="R806" s="112"/>
      <c r="S806" s="112"/>
      <c r="T806" s="128"/>
      <c r="U806" s="128"/>
      <c r="V806" s="128"/>
      <c r="W806" s="128"/>
      <c r="X806" s="128"/>
      <c r="Y806" s="128"/>
      <c r="Z806" s="112"/>
      <c r="AA806" s="112"/>
      <c r="AB806" s="112"/>
      <c r="AC806" s="112"/>
      <c r="AD806" s="112"/>
      <c r="AE806" s="112"/>
      <c r="AF806" s="112"/>
      <c r="AG806" s="112"/>
      <c r="AH806" s="112"/>
      <c r="AI806" s="112"/>
      <c r="AJ806" s="112"/>
      <c r="AK806" s="112"/>
      <c r="AL806" s="112"/>
      <c r="AM806" s="112"/>
      <c r="AN806" s="112"/>
      <c r="AO806" s="112"/>
      <c r="AP806" s="112"/>
    </row>
    <row r="807" ht="15.75" customHeight="1">
      <c r="A807" s="112"/>
      <c r="B807" s="112"/>
      <c r="C807" s="112"/>
      <c r="D807" s="112"/>
      <c r="E807" s="128"/>
      <c r="F807" s="112"/>
      <c r="G807" s="112"/>
      <c r="H807" s="128"/>
      <c r="I807" s="112"/>
      <c r="J807" s="112"/>
      <c r="K807" s="112"/>
      <c r="L807" s="128"/>
      <c r="M807" s="128"/>
      <c r="N807" s="112"/>
      <c r="O807" s="112"/>
      <c r="P807" s="112"/>
      <c r="Q807" s="112"/>
      <c r="R807" s="112"/>
      <c r="S807" s="112"/>
      <c r="T807" s="128"/>
      <c r="U807" s="128"/>
      <c r="V807" s="128"/>
      <c r="W807" s="128"/>
      <c r="X807" s="128"/>
      <c r="Y807" s="128"/>
      <c r="Z807" s="112"/>
      <c r="AA807" s="112"/>
      <c r="AB807" s="112"/>
      <c r="AC807" s="112"/>
      <c r="AD807" s="112"/>
      <c r="AE807" s="112"/>
      <c r="AF807" s="112"/>
      <c r="AG807" s="112"/>
      <c r="AH807" s="112"/>
      <c r="AI807" s="112"/>
      <c r="AJ807" s="112"/>
      <c r="AK807" s="112"/>
      <c r="AL807" s="112"/>
      <c r="AM807" s="112"/>
      <c r="AN807" s="112"/>
      <c r="AO807" s="112"/>
      <c r="AP807" s="112"/>
    </row>
    <row r="808" ht="15.75" customHeight="1">
      <c r="A808" s="112"/>
      <c r="B808" s="112"/>
      <c r="C808" s="112"/>
      <c r="D808" s="112"/>
      <c r="E808" s="128"/>
      <c r="F808" s="112"/>
      <c r="G808" s="112"/>
      <c r="H808" s="128"/>
      <c r="I808" s="112"/>
      <c r="J808" s="112"/>
      <c r="K808" s="112"/>
      <c r="L808" s="128"/>
      <c r="M808" s="128"/>
      <c r="N808" s="112"/>
      <c r="O808" s="112"/>
      <c r="P808" s="112"/>
      <c r="Q808" s="112"/>
      <c r="R808" s="112"/>
      <c r="S808" s="112"/>
      <c r="T808" s="128"/>
      <c r="U808" s="128"/>
      <c r="V808" s="128"/>
      <c r="W808" s="128"/>
      <c r="X808" s="128"/>
      <c r="Y808" s="128"/>
      <c r="Z808" s="112"/>
      <c r="AA808" s="112"/>
      <c r="AB808" s="112"/>
      <c r="AC808" s="112"/>
      <c r="AD808" s="112"/>
      <c r="AE808" s="112"/>
      <c r="AF808" s="112"/>
      <c r="AG808" s="112"/>
      <c r="AH808" s="112"/>
      <c r="AI808" s="112"/>
      <c r="AJ808" s="112"/>
      <c r="AK808" s="112"/>
      <c r="AL808" s="112"/>
      <c r="AM808" s="112"/>
      <c r="AN808" s="112"/>
      <c r="AO808" s="112"/>
      <c r="AP808" s="112"/>
    </row>
    <row r="809" ht="15.75" customHeight="1">
      <c r="A809" s="112"/>
      <c r="B809" s="112"/>
      <c r="C809" s="112"/>
      <c r="D809" s="112"/>
      <c r="E809" s="128"/>
      <c r="F809" s="112"/>
      <c r="G809" s="112"/>
      <c r="H809" s="128"/>
      <c r="I809" s="112"/>
      <c r="J809" s="112"/>
      <c r="K809" s="112"/>
      <c r="L809" s="128"/>
      <c r="M809" s="128"/>
      <c r="N809" s="112"/>
      <c r="O809" s="112"/>
      <c r="P809" s="112"/>
      <c r="Q809" s="112"/>
      <c r="R809" s="112"/>
      <c r="S809" s="112"/>
      <c r="T809" s="128"/>
      <c r="U809" s="128"/>
      <c r="V809" s="128"/>
      <c r="W809" s="128"/>
      <c r="X809" s="128"/>
      <c r="Y809" s="128"/>
      <c r="Z809" s="112"/>
      <c r="AA809" s="112"/>
      <c r="AB809" s="112"/>
      <c r="AC809" s="112"/>
      <c r="AD809" s="112"/>
      <c r="AE809" s="112"/>
      <c r="AF809" s="112"/>
      <c r="AG809" s="112"/>
      <c r="AH809" s="112"/>
      <c r="AI809" s="112"/>
      <c r="AJ809" s="112"/>
      <c r="AK809" s="112"/>
      <c r="AL809" s="112"/>
      <c r="AM809" s="112"/>
      <c r="AN809" s="112"/>
      <c r="AO809" s="112"/>
      <c r="AP809" s="112"/>
    </row>
    <row r="810" ht="15.75" customHeight="1">
      <c r="A810" s="112"/>
      <c r="B810" s="112"/>
      <c r="C810" s="112"/>
      <c r="D810" s="112"/>
      <c r="E810" s="128"/>
      <c r="F810" s="112"/>
      <c r="G810" s="112"/>
      <c r="H810" s="128"/>
      <c r="I810" s="112"/>
      <c r="J810" s="112"/>
      <c r="K810" s="112"/>
      <c r="L810" s="128"/>
      <c r="M810" s="128"/>
      <c r="N810" s="112"/>
      <c r="O810" s="112"/>
      <c r="P810" s="112"/>
      <c r="Q810" s="112"/>
      <c r="R810" s="112"/>
      <c r="S810" s="112"/>
      <c r="T810" s="128"/>
      <c r="U810" s="128"/>
      <c r="V810" s="128"/>
      <c r="W810" s="128"/>
      <c r="X810" s="128"/>
      <c r="Y810" s="128"/>
      <c r="Z810" s="112"/>
      <c r="AA810" s="112"/>
      <c r="AB810" s="112"/>
      <c r="AC810" s="112"/>
      <c r="AD810" s="112"/>
      <c r="AE810" s="112"/>
      <c r="AF810" s="112"/>
      <c r="AG810" s="112"/>
      <c r="AH810" s="112"/>
      <c r="AI810" s="112"/>
      <c r="AJ810" s="112"/>
      <c r="AK810" s="112"/>
      <c r="AL810" s="112"/>
      <c r="AM810" s="112"/>
      <c r="AN810" s="112"/>
      <c r="AO810" s="112"/>
      <c r="AP810" s="112"/>
    </row>
    <row r="811" ht="15.75" customHeight="1">
      <c r="A811" s="112"/>
      <c r="B811" s="112"/>
      <c r="C811" s="112"/>
      <c r="D811" s="112"/>
      <c r="E811" s="128"/>
      <c r="F811" s="112"/>
      <c r="G811" s="112"/>
      <c r="H811" s="128"/>
      <c r="I811" s="112"/>
      <c r="J811" s="112"/>
      <c r="K811" s="112"/>
      <c r="L811" s="128"/>
      <c r="M811" s="128"/>
      <c r="N811" s="112"/>
      <c r="O811" s="112"/>
      <c r="P811" s="112"/>
      <c r="Q811" s="112"/>
      <c r="R811" s="112"/>
      <c r="S811" s="112"/>
      <c r="T811" s="128"/>
      <c r="U811" s="128"/>
      <c r="V811" s="128"/>
      <c r="W811" s="128"/>
      <c r="X811" s="128"/>
      <c r="Y811" s="128"/>
      <c r="Z811" s="112"/>
      <c r="AA811" s="112"/>
      <c r="AB811" s="112"/>
      <c r="AC811" s="112"/>
      <c r="AD811" s="112"/>
      <c r="AE811" s="112"/>
      <c r="AF811" s="112"/>
      <c r="AG811" s="112"/>
      <c r="AH811" s="112"/>
      <c r="AI811" s="112"/>
      <c r="AJ811" s="112"/>
      <c r="AK811" s="112"/>
      <c r="AL811" s="112"/>
      <c r="AM811" s="112"/>
      <c r="AN811" s="112"/>
      <c r="AO811" s="112"/>
      <c r="AP811" s="112"/>
    </row>
    <row r="812" ht="15.75" customHeight="1">
      <c r="A812" s="112"/>
      <c r="B812" s="112"/>
      <c r="C812" s="112"/>
      <c r="D812" s="112"/>
      <c r="E812" s="128"/>
      <c r="F812" s="112"/>
      <c r="G812" s="112"/>
      <c r="H812" s="128"/>
      <c r="I812" s="112"/>
      <c r="J812" s="112"/>
      <c r="K812" s="112"/>
      <c r="L812" s="128"/>
      <c r="M812" s="128"/>
      <c r="N812" s="112"/>
      <c r="O812" s="112"/>
      <c r="P812" s="112"/>
      <c r="Q812" s="112"/>
      <c r="R812" s="112"/>
      <c r="S812" s="112"/>
      <c r="T812" s="128"/>
      <c r="U812" s="128"/>
      <c r="V812" s="128"/>
      <c r="W812" s="128"/>
      <c r="X812" s="128"/>
      <c r="Y812" s="128"/>
      <c r="Z812" s="112"/>
      <c r="AA812" s="112"/>
      <c r="AB812" s="112"/>
      <c r="AC812" s="112"/>
      <c r="AD812" s="112"/>
      <c r="AE812" s="112"/>
      <c r="AF812" s="112"/>
      <c r="AG812" s="112"/>
      <c r="AH812" s="112"/>
      <c r="AI812" s="112"/>
      <c r="AJ812" s="112"/>
      <c r="AK812" s="112"/>
      <c r="AL812" s="112"/>
      <c r="AM812" s="112"/>
      <c r="AN812" s="112"/>
      <c r="AO812" s="112"/>
      <c r="AP812" s="112"/>
    </row>
    <row r="813" ht="15.75" customHeight="1">
      <c r="A813" s="112"/>
      <c r="B813" s="112"/>
      <c r="C813" s="112"/>
      <c r="D813" s="112"/>
      <c r="E813" s="128"/>
      <c r="F813" s="112"/>
      <c r="G813" s="112"/>
      <c r="H813" s="128"/>
      <c r="I813" s="112"/>
      <c r="J813" s="112"/>
      <c r="K813" s="112"/>
      <c r="L813" s="128"/>
      <c r="M813" s="128"/>
      <c r="N813" s="112"/>
      <c r="O813" s="112"/>
      <c r="P813" s="112"/>
      <c r="Q813" s="112"/>
      <c r="R813" s="112"/>
      <c r="S813" s="112"/>
      <c r="T813" s="128"/>
      <c r="U813" s="128"/>
      <c r="V813" s="128"/>
      <c r="W813" s="128"/>
      <c r="X813" s="128"/>
      <c r="Y813" s="128"/>
      <c r="Z813" s="112"/>
      <c r="AA813" s="112"/>
      <c r="AB813" s="112"/>
      <c r="AC813" s="112"/>
      <c r="AD813" s="112"/>
      <c r="AE813" s="112"/>
      <c r="AF813" s="112"/>
      <c r="AG813" s="112"/>
      <c r="AH813" s="112"/>
      <c r="AI813" s="112"/>
      <c r="AJ813" s="112"/>
      <c r="AK813" s="112"/>
      <c r="AL813" s="112"/>
      <c r="AM813" s="112"/>
      <c r="AN813" s="112"/>
      <c r="AO813" s="112"/>
      <c r="AP813" s="112"/>
    </row>
    <row r="814" ht="15.75" customHeight="1">
      <c r="A814" s="112"/>
      <c r="B814" s="112"/>
      <c r="C814" s="112"/>
      <c r="D814" s="112"/>
      <c r="E814" s="128"/>
      <c r="F814" s="112"/>
      <c r="G814" s="112"/>
      <c r="H814" s="128"/>
      <c r="I814" s="112"/>
      <c r="J814" s="112"/>
      <c r="K814" s="112"/>
      <c r="L814" s="128"/>
      <c r="M814" s="128"/>
      <c r="N814" s="112"/>
      <c r="O814" s="112"/>
      <c r="P814" s="112"/>
      <c r="Q814" s="112"/>
      <c r="R814" s="112"/>
      <c r="S814" s="112"/>
      <c r="T814" s="128"/>
      <c r="U814" s="128"/>
      <c r="V814" s="128"/>
      <c r="W814" s="128"/>
      <c r="X814" s="128"/>
      <c r="Y814" s="128"/>
      <c r="Z814" s="112"/>
      <c r="AA814" s="112"/>
      <c r="AB814" s="112"/>
      <c r="AC814" s="112"/>
      <c r="AD814" s="112"/>
      <c r="AE814" s="112"/>
      <c r="AF814" s="112"/>
      <c r="AG814" s="112"/>
      <c r="AH814" s="112"/>
      <c r="AI814" s="112"/>
      <c r="AJ814" s="112"/>
      <c r="AK814" s="112"/>
      <c r="AL814" s="112"/>
      <c r="AM814" s="112"/>
      <c r="AN814" s="112"/>
      <c r="AO814" s="112"/>
      <c r="AP814" s="112"/>
    </row>
    <row r="815" ht="15.75" customHeight="1">
      <c r="A815" s="112"/>
      <c r="B815" s="112"/>
      <c r="C815" s="112"/>
      <c r="D815" s="112"/>
      <c r="E815" s="128"/>
      <c r="F815" s="112"/>
      <c r="G815" s="112"/>
      <c r="H815" s="128"/>
      <c r="I815" s="112"/>
      <c r="J815" s="112"/>
      <c r="K815" s="112"/>
      <c r="L815" s="128"/>
      <c r="M815" s="128"/>
      <c r="N815" s="112"/>
      <c r="O815" s="112"/>
      <c r="P815" s="112"/>
      <c r="Q815" s="112"/>
      <c r="R815" s="112"/>
      <c r="S815" s="112"/>
      <c r="T815" s="128"/>
      <c r="U815" s="128"/>
      <c r="V815" s="128"/>
      <c r="W815" s="128"/>
      <c r="X815" s="128"/>
      <c r="Y815" s="128"/>
      <c r="Z815" s="112"/>
      <c r="AA815" s="112"/>
      <c r="AB815" s="112"/>
      <c r="AC815" s="112"/>
      <c r="AD815" s="112"/>
      <c r="AE815" s="112"/>
      <c r="AF815" s="112"/>
      <c r="AG815" s="112"/>
      <c r="AH815" s="112"/>
      <c r="AI815" s="112"/>
      <c r="AJ815" s="112"/>
      <c r="AK815" s="112"/>
      <c r="AL815" s="112"/>
      <c r="AM815" s="112"/>
      <c r="AN815" s="112"/>
      <c r="AO815" s="112"/>
      <c r="AP815" s="112"/>
    </row>
    <row r="816" ht="15.75" customHeight="1">
      <c r="A816" s="112"/>
      <c r="B816" s="112"/>
      <c r="C816" s="112"/>
      <c r="D816" s="112"/>
      <c r="E816" s="128"/>
      <c r="F816" s="112"/>
      <c r="G816" s="112"/>
      <c r="H816" s="128"/>
      <c r="I816" s="112"/>
      <c r="J816" s="112"/>
      <c r="K816" s="112"/>
      <c r="L816" s="128"/>
      <c r="M816" s="128"/>
      <c r="N816" s="112"/>
      <c r="O816" s="112"/>
      <c r="P816" s="112"/>
      <c r="Q816" s="112"/>
      <c r="R816" s="112"/>
      <c r="S816" s="112"/>
      <c r="T816" s="128"/>
      <c r="U816" s="128"/>
      <c r="V816" s="128"/>
      <c r="W816" s="128"/>
      <c r="X816" s="128"/>
      <c r="Y816" s="128"/>
      <c r="Z816" s="112"/>
      <c r="AA816" s="112"/>
      <c r="AB816" s="112"/>
      <c r="AC816" s="112"/>
      <c r="AD816" s="112"/>
      <c r="AE816" s="112"/>
      <c r="AF816" s="112"/>
      <c r="AG816" s="112"/>
      <c r="AH816" s="112"/>
      <c r="AI816" s="112"/>
      <c r="AJ816" s="112"/>
      <c r="AK816" s="112"/>
      <c r="AL816" s="112"/>
      <c r="AM816" s="112"/>
      <c r="AN816" s="112"/>
      <c r="AO816" s="112"/>
      <c r="AP816" s="112"/>
    </row>
    <row r="817" ht="15.75" customHeight="1">
      <c r="A817" s="112"/>
      <c r="B817" s="112"/>
      <c r="C817" s="112"/>
      <c r="D817" s="112"/>
      <c r="E817" s="128"/>
      <c r="F817" s="112"/>
      <c r="G817" s="112"/>
      <c r="H817" s="128"/>
      <c r="I817" s="112"/>
      <c r="J817" s="112"/>
      <c r="K817" s="112"/>
      <c r="L817" s="128"/>
      <c r="M817" s="128"/>
      <c r="N817" s="112"/>
      <c r="O817" s="112"/>
      <c r="P817" s="112"/>
      <c r="Q817" s="112"/>
      <c r="R817" s="112"/>
      <c r="S817" s="112"/>
      <c r="T817" s="128"/>
      <c r="U817" s="128"/>
      <c r="V817" s="128"/>
      <c r="W817" s="128"/>
      <c r="X817" s="128"/>
      <c r="Y817" s="128"/>
      <c r="Z817" s="112"/>
      <c r="AA817" s="112"/>
      <c r="AB817" s="112"/>
      <c r="AC817" s="112"/>
      <c r="AD817" s="112"/>
      <c r="AE817" s="112"/>
      <c r="AF817" s="112"/>
      <c r="AG817" s="112"/>
      <c r="AH817" s="112"/>
      <c r="AI817" s="112"/>
      <c r="AJ817" s="112"/>
      <c r="AK817" s="112"/>
      <c r="AL817" s="112"/>
      <c r="AM817" s="112"/>
      <c r="AN817" s="112"/>
      <c r="AO817" s="112"/>
      <c r="AP817" s="112"/>
    </row>
    <row r="818" ht="15.75" customHeight="1">
      <c r="A818" s="112"/>
      <c r="B818" s="112"/>
      <c r="C818" s="112"/>
      <c r="D818" s="112"/>
      <c r="E818" s="128"/>
      <c r="F818" s="112"/>
      <c r="G818" s="112"/>
      <c r="H818" s="128"/>
      <c r="I818" s="112"/>
      <c r="J818" s="112"/>
      <c r="K818" s="112"/>
      <c r="L818" s="128"/>
      <c r="M818" s="128"/>
      <c r="N818" s="112"/>
      <c r="O818" s="112"/>
      <c r="P818" s="112"/>
      <c r="Q818" s="112"/>
      <c r="R818" s="112"/>
      <c r="S818" s="112"/>
      <c r="T818" s="128"/>
      <c r="U818" s="128"/>
      <c r="V818" s="128"/>
      <c r="W818" s="128"/>
      <c r="X818" s="128"/>
      <c r="Y818" s="128"/>
      <c r="Z818" s="112"/>
      <c r="AA818" s="112"/>
      <c r="AB818" s="112"/>
      <c r="AC818" s="112"/>
      <c r="AD818" s="112"/>
      <c r="AE818" s="112"/>
      <c r="AF818" s="112"/>
      <c r="AG818" s="112"/>
      <c r="AH818" s="112"/>
      <c r="AI818" s="112"/>
      <c r="AJ818" s="112"/>
      <c r="AK818" s="112"/>
      <c r="AL818" s="112"/>
      <c r="AM818" s="112"/>
      <c r="AN818" s="112"/>
      <c r="AO818" s="112"/>
      <c r="AP818" s="112"/>
    </row>
    <row r="819" ht="15.75" customHeight="1">
      <c r="A819" s="112"/>
      <c r="B819" s="112"/>
      <c r="C819" s="112"/>
      <c r="D819" s="112"/>
      <c r="E819" s="128"/>
      <c r="F819" s="112"/>
      <c r="G819" s="112"/>
      <c r="H819" s="128"/>
      <c r="I819" s="112"/>
      <c r="J819" s="112"/>
      <c r="K819" s="112"/>
      <c r="L819" s="128"/>
      <c r="M819" s="128"/>
      <c r="N819" s="112"/>
      <c r="O819" s="112"/>
      <c r="P819" s="112"/>
      <c r="Q819" s="112"/>
      <c r="R819" s="112"/>
      <c r="S819" s="112"/>
      <c r="T819" s="128"/>
      <c r="U819" s="128"/>
      <c r="V819" s="128"/>
      <c r="W819" s="128"/>
      <c r="X819" s="128"/>
      <c r="Y819" s="128"/>
      <c r="Z819" s="112"/>
      <c r="AA819" s="112"/>
      <c r="AB819" s="112"/>
      <c r="AC819" s="112"/>
      <c r="AD819" s="112"/>
      <c r="AE819" s="112"/>
      <c r="AF819" s="112"/>
      <c r="AG819" s="112"/>
      <c r="AH819" s="112"/>
      <c r="AI819" s="112"/>
      <c r="AJ819" s="112"/>
      <c r="AK819" s="112"/>
      <c r="AL819" s="112"/>
      <c r="AM819" s="112"/>
      <c r="AN819" s="112"/>
      <c r="AO819" s="112"/>
      <c r="AP819" s="112"/>
    </row>
    <row r="820" ht="15.75" customHeight="1">
      <c r="A820" s="112"/>
      <c r="B820" s="112"/>
      <c r="C820" s="112"/>
      <c r="D820" s="112"/>
      <c r="E820" s="128"/>
      <c r="F820" s="112"/>
      <c r="G820" s="112"/>
      <c r="H820" s="128"/>
      <c r="I820" s="112"/>
      <c r="J820" s="112"/>
      <c r="K820" s="112"/>
      <c r="L820" s="128"/>
      <c r="M820" s="128"/>
      <c r="N820" s="112"/>
      <c r="O820" s="112"/>
      <c r="P820" s="112"/>
      <c r="Q820" s="112"/>
      <c r="R820" s="112"/>
      <c r="S820" s="112"/>
      <c r="T820" s="128"/>
      <c r="U820" s="128"/>
      <c r="V820" s="128"/>
      <c r="W820" s="128"/>
      <c r="X820" s="128"/>
      <c r="Y820" s="128"/>
      <c r="Z820" s="112"/>
      <c r="AA820" s="112"/>
      <c r="AB820" s="112"/>
      <c r="AC820" s="112"/>
      <c r="AD820" s="112"/>
      <c r="AE820" s="112"/>
      <c r="AF820" s="112"/>
      <c r="AG820" s="112"/>
      <c r="AH820" s="112"/>
      <c r="AI820" s="112"/>
      <c r="AJ820" s="112"/>
      <c r="AK820" s="112"/>
      <c r="AL820" s="112"/>
      <c r="AM820" s="112"/>
      <c r="AN820" s="112"/>
      <c r="AO820" s="112"/>
      <c r="AP820" s="112"/>
    </row>
    <row r="821" ht="15.75" customHeight="1">
      <c r="A821" s="112"/>
      <c r="B821" s="112"/>
      <c r="C821" s="112"/>
      <c r="D821" s="112"/>
      <c r="E821" s="128"/>
      <c r="F821" s="112"/>
      <c r="G821" s="112"/>
      <c r="H821" s="128"/>
      <c r="I821" s="112"/>
      <c r="J821" s="112"/>
      <c r="K821" s="112"/>
      <c r="L821" s="128"/>
      <c r="M821" s="128"/>
      <c r="N821" s="112"/>
      <c r="O821" s="112"/>
      <c r="P821" s="112"/>
      <c r="Q821" s="112"/>
      <c r="R821" s="112"/>
      <c r="S821" s="112"/>
      <c r="T821" s="128"/>
      <c r="U821" s="128"/>
      <c r="V821" s="128"/>
      <c r="W821" s="128"/>
      <c r="X821" s="128"/>
      <c r="Y821" s="128"/>
      <c r="Z821" s="112"/>
      <c r="AA821" s="112"/>
      <c r="AB821" s="112"/>
      <c r="AC821" s="112"/>
      <c r="AD821" s="112"/>
      <c r="AE821" s="112"/>
      <c r="AF821" s="112"/>
      <c r="AG821" s="112"/>
      <c r="AH821" s="112"/>
      <c r="AI821" s="112"/>
      <c r="AJ821" s="112"/>
      <c r="AK821" s="112"/>
      <c r="AL821" s="112"/>
      <c r="AM821" s="112"/>
      <c r="AN821" s="112"/>
      <c r="AO821" s="112"/>
      <c r="AP821" s="112"/>
    </row>
    <row r="822" ht="15.75" customHeight="1">
      <c r="A822" s="112"/>
      <c r="B822" s="112"/>
      <c r="C822" s="112"/>
      <c r="D822" s="112"/>
      <c r="E822" s="128"/>
      <c r="F822" s="112"/>
      <c r="G822" s="112"/>
      <c r="H822" s="128"/>
      <c r="I822" s="112"/>
      <c r="J822" s="112"/>
      <c r="K822" s="112"/>
      <c r="L822" s="128"/>
      <c r="M822" s="128"/>
      <c r="N822" s="112"/>
      <c r="O822" s="112"/>
      <c r="P822" s="112"/>
      <c r="Q822" s="112"/>
      <c r="R822" s="112"/>
      <c r="S822" s="112"/>
      <c r="T822" s="128"/>
      <c r="U822" s="128"/>
      <c r="V822" s="128"/>
      <c r="W822" s="128"/>
      <c r="X822" s="128"/>
      <c r="Y822" s="128"/>
      <c r="Z822" s="112"/>
      <c r="AA822" s="112"/>
      <c r="AB822" s="112"/>
      <c r="AC822" s="112"/>
      <c r="AD822" s="112"/>
      <c r="AE822" s="112"/>
      <c r="AF822" s="112"/>
      <c r="AG822" s="112"/>
      <c r="AH822" s="112"/>
      <c r="AI822" s="112"/>
      <c r="AJ822" s="112"/>
      <c r="AK822" s="112"/>
      <c r="AL822" s="112"/>
      <c r="AM822" s="112"/>
      <c r="AN822" s="112"/>
      <c r="AO822" s="112"/>
      <c r="AP822" s="112"/>
    </row>
    <row r="823" ht="15.75" customHeight="1">
      <c r="A823" s="112"/>
      <c r="B823" s="112"/>
      <c r="C823" s="112"/>
      <c r="D823" s="112"/>
      <c r="E823" s="128"/>
      <c r="F823" s="112"/>
      <c r="G823" s="112"/>
      <c r="H823" s="128"/>
      <c r="I823" s="112"/>
      <c r="J823" s="112"/>
      <c r="K823" s="112"/>
      <c r="L823" s="128"/>
      <c r="M823" s="128"/>
      <c r="N823" s="112"/>
      <c r="O823" s="112"/>
      <c r="P823" s="112"/>
      <c r="Q823" s="112"/>
      <c r="R823" s="112"/>
      <c r="S823" s="112"/>
      <c r="T823" s="128"/>
      <c r="U823" s="128"/>
      <c r="V823" s="128"/>
      <c r="W823" s="128"/>
      <c r="X823" s="128"/>
      <c r="Y823" s="128"/>
      <c r="Z823" s="112"/>
      <c r="AA823" s="112"/>
      <c r="AB823" s="112"/>
      <c r="AC823" s="112"/>
      <c r="AD823" s="112"/>
      <c r="AE823" s="112"/>
      <c r="AF823" s="112"/>
      <c r="AG823" s="112"/>
      <c r="AH823" s="112"/>
      <c r="AI823" s="112"/>
      <c r="AJ823" s="112"/>
      <c r="AK823" s="112"/>
      <c r="AL823" s="112"/>
      <c r="AM823" s="112"/>
      <c r="AN823" s="112"/>
      <c r="AO823" s="112"/>
      <c r="AP823" s="112"/>
    </row>
    <row r="824" ht="15.75" customHeight="1">
      <c r="A824" s="112"/>
      <c r="B824" s="112"/>
      <c r="C824" s="112"/>
      <c r="D824" s="112"/>
      <c r="E824" s="128"/>
      <c r="F824" s="112"/>
      <c r="G824" s="112"/>
      <c r="H824" s="128"/>
      <c r="I824" s="112"/>
      <c r="J824" s="112"/>
      <c r="K824" s="112"/>
      <c r="L824" s="128"/>
      <c r="M824" s="128"/>
      <c r="N824" s="112"/>
      <c r="O824" s="112"/>
      <c r="P824" s="112"/>
      <c r="Q824" s="112"/>
      <c r="R824" s="112"/>
      <c r="S824" s="112"/>
      <c r="T824" s="128"/>
      <c r="U824" s="128"/>
      <c r="V824" s="128"/>
      <c r="W824" s="128"/>
      <c r="X824" s="128"/>
      <c r="Y824" s="128"/>
      <c r="Z824" s="112"/>
      <c r="AA824" s="112"/>
      <c r="AB824" s="112"/>
      <c r="AC824" s="112"/>
      <c r="AD824" s="112"/>
      <c r="AE824" s="112"/>
      <c r="AF824" s="112"/>
      <c r="AG824" s="112"/>
      <c r="AH824" s="112"/>
      <c r="AI824" s="112"/>
      <c r="AJ824" s="112"/>
      <c r="AK824" s="112"/>
      <c r="AL824" s="112"/>
      <c r="AM824" s="112"/>
      <c r="AN824" s="112"/>
      <c r="AO824" s="112"/>
      <c r="AP824" s="112"/>
    </row>
    <row r="825" ht="15.75" customHeight="1">
      <c r="A825" s="112"/>
      <c r="B825" s="112"/>
      <c r="C825" s="112"/>
      <c r="D825" s="112"/>
      <c r="E825" s="128"/>
      <c r="F825" s="112"/>
      <c r="G825" s="112"/>
      <c r="H825" s="128"/>
      <c r="I825" s="112"/>
      <c r="J825" s="112"/>
      <c r="K825" s="112"/>
      <c r="L825" s="128"/>
      <c r="M825" s="128"/>
      <c r="N825" s="112"/>
      <c r="O825" s="112"/>
      <c r="P825" s="112"/>
      <c r="Q825" s="112"/>
      <c r="R825" s="112"/>
      <c r="S825" s="112"/>
      <c r="T825" s="128"/>
      <c r="U825" s="128"/>
      <c r="V825" s="128"/>
      <c r="W825" s="128"/>
      <c r="X825" s="128"/>
      <c r="Y825" s="128"/>
      <c r="Z825" s="112"/>
      <c r="AA825" s="112"/>
      <c r="AB825" s="112"/>
      <c r="AC825" s="112"/>
      <c r="AD825" s="112"/>
      <c r="AE825" s="112"/>
      <c r="AF825" s="112"/>
      <c r="AG825" s="112"/>
      <c r="AH825" s="112"/>
      <c r="AI825" s="112"/>
      <c r="AJ825" s="112"/>
      <c r="AK825" s="112"/>
      <c r="AL825" s="112"/>
      <c r="AM825" s="112"/>
      <c r="AN825" s="112"/>
      <c r="AO825" s="112"/>
      <c r="AP825" s="112"/>
    </row>
    <row r="826" ht="15.75" customHeight="1">
      <c r="A826" s="112"/>
      <c r="B826" s="112"/>
      <c r="C826" s="112"/>
      <c r="D826" s="112"/>
      <c r="E826" s="128"/>
      <c r="F826" s="112"/>
      <c r="G826" s="112"/>
      <c r="H826" s="128"/>
      <c r="I826" s="112"/>
      <c r="J826" s="112"/>
      <c r="K826" s="112"/>
      <c r="L826" s="128"/>
      <c r="M826" s="128"/>
      <c r="N826" s="112"/>
      <c r="O826" s="112"/>
      <c r="P826" s="112"/>
      <c r="Q826" s="112"/>
      <c r="R826" s="112"/>
      <c r="S826" s="112"/>
      <c r="T826" s="128"/>
      <c r="U826" s="128"/>
      <c r="V826" s="128"/>
      <c r="W826" s="128"/>
      <c r="X826" s="128"/>
      <c r="Y826" s="128"/>
      <c r="Z826" s="112"/>
      <c r="AA826" s="112"/>
      <c r="AB826" s="112"/>
      <c r="AC826" s="112"/>
      <c r="AD826" s="112"/>
      <c r="AE826" s="112"/>
      <c r="AF826" s="112"/>
      <c r="AG826" s="112"/>
      <c r="AH826" s="112"/>
      <c r="AI826" s="112"/>
      <c r="AJ826" s="112"/>
      <c r="AK826" s="112"/>
      <c r="AL826" s="112"/>
      <c r="AM826" s="112"/>
      <c r="AN826" s="112"/>
      <c r="AO826" s="112"/>
      <c r="AP826" s="112"/>
    </row>
    <row r="827" ht="15.75" customHeight="1">
      <c r="A827" s="112"/>
      <c r="B827" s="112"/>
      <c r="C827" s="112"/>
      <c r="D827" s="112"/>
      <c r="E827" s="128"/>
      <c r="F827" s="112"/>
      <c r="G827" s="112"/>
      <c r="H827" s="128"/>
      <c r="I827" s="112"/>
      <c r="J827" s="112"/>
      <c r="K827" s="112"/>
      <c r="L827" s="128"/>
      <c r="M827" s="128"/>
      <c r="N827" s="112"/>
      <c r="O827" s="112"/>
      <c r="P827" s="112"/>
      <c r="Q827" s="112"/>
      <c r="R827" s="112"/>
      <c r="S827" s="112"/>
      <c r="T827" s="128"/>
      <c r="U827" s="128"/>
      <c r="V827" s="128"/>
      <c r="W827" s="128"/>
      <c r="X827" s="128"/>
      <c r="Y827" s="128"/>
      <c r="Z827" s="112"/>
      <c r="AA827" s="112"/>
      <c r="AB827" s="112"/>
      <c r="AC827" s="112"/>
      <c r="AD827" s="112"/>
      <c r="AE827" s="112"/>
      <c r="AF827" s="112"/>
      <c r="AG827" s="112"/>
      <c r="AH827" s="112"/>
      <c r="AI827" s="112"/>
      <c r="AJ827" s="112"/>
      <c r="AK827" s="112"/>
      <c r="AL827" s="112"/>
      <c r="AM827" s="112"/>
      <c r="AN827" s="112"/>
      <c r="AO827" s="112"/>
      <c r="AP827" s="112"/>
    </row>
    <row r="828" ht="15.75" customHeight="1">
      <c r="A828" s="112"/>
      <c r="B828" s="112"/>
      <c r="C828" s="112"/>
      <c r="D828" s="112"/>
      <c r="E828" s="128"/>
      <c r="F828" s="112"/>
      <c r="G828" s="112"/>
      <c r="H828" s="128"/>
      <c r="I828" s="112"/>
      <c r="J828" s="112"/>
      <c r="K828" s="112"/>
      <c r="L828" s="128"/>
      <c r="M828" s="128"/>
      <c r="N828" s="112"/>
      <c r="O828" s="112"/>
      <c r="P828" s="112"/>
      <c r="Q828" s="112"/>
      <c r="R828" s="112"/>
      <c r="S828" s="112"/>
      <c r="T828" s="128"/>
      <c r="U828" s="128"/>
      <c r="V828" s="128"/>
      <c r="W828" s="128"/>
      <c r="X828" s="128"/>
      <c r="Y828" s="128"/>
      <c r="Z828" s="112"/>
      <c r="AA828" s="112"/>
      <c r="AB828" s="112"/>
      <c r="AC828" s="112"/>
      <c r="AD828" s="112"/>
      <c r="AE828" s="112"/>
      <c r="AF828" s="112"/>
      <c r="AG828" s="112"/>
      <c r="AH828" s="112"/>
      <c r="AI828" s="112"/>
      <c r="AJ828" s="112"/>
      <c r="AK828" s="112"/>
      <c r="AL828" s="112"/>
      <c r="AM828" s="112"/>
      <c r="AN828" s="112"/>
      <c r="AO828" s="112"/>
      <c r="AP828" s="112"/>
    </row>
    <row r="829" ht="15.75" customHeight="1">
      <c r="A829" s="112"/>
      <c r="B829" s="112"/>
      <c r="C829" s="112"/>
      <c r="D829" s="112"/>
      <c r="E829" s="128"/>
      <c r="F829" s="112"/>
      <c r="G829" s="112"/>
      <c r="H829" s="128"/>
      <c r="I829" s="112"/>
      <c r="J829" s="112"/>
      <c r="K829" s="112"/>
      <c r="L829" s="128"/>
      <c r="M829" s="128"/>
      <c r="N829" s="112"/>
      <c r="O829" s="112"/>
      <c r="P829" s="112"/>
      <c r="Q829" s="112"/>
      <c r="R829" s="112"/>
      <c r="S829" s="112"/>
      <c r="T829" s="128"/>
      <c r="U829" s="128"/>
      <c r="V829" s="128"/>
      <c r="W829" s="128"/>
      <c r="X829" s="128"/>
      <c r="Y829" s="128"/>
      <c r="Z829" s="112"/>
      <c r="AA829" s="112"/>
      <c r="AB829" s="112"/>
      <c r="AC829" s="112"/>
      <c r="AD829" s="112"/>
      <c r="AE829" s="112"/>
      <c r="AF829" s="112"/>
      <c r="AG829" s="112"/>
      <c r="AH829" s="112"/>
      <c r="AI829" s="112"/>
      <c r="AJ829" s="112"/>
      <c r="AK829" s="112"/>
      <c r="AL829" s="112"/>
      <c r="AM829" s="112"/>
      <c r="AN829" s="112"/>
      <c r="AO829" s="112"/>
      <c r="AP829" s="112"/>
    </row>
    <row r="830" ht="15.75" customHeight="1">
      <c r="A830" s="112"/>
      <c r="B830" s="112"/>
      <c r="C830" s="112"/>
      <c r="D830" s="112"/>
      <c r="E830" s="128"/>
      <c r="F830" s="112"/>
      <c r="G830" s="112"/>
      <c r="H830" s="128"/>
      <c r="I830" s="112"/>
      <c r="J830" s="112"/>
      <c r="K830" s="112"/>
      <c r="L830" s="128"/>
      <c r="M830" s="128"/>
      <c r="N830" s="112"/>
      <c r="O830" s="112"/>
      <c r="P830" s="112"/>
      <c r="Q830" s="112"/>
      <c r="R830" s="112"/>
      <c r="S830" s="112"/>
      <c r="T830" s="128"/>
      <c r="U830" s="128"/>
      <c r="V830" s="128"/>
      <c r="W830" s="128"/>
      <c r="X830" s="128"/>
      <c r="Y830" s="128"/>
      <c r="Z830" s="112"/>
      <c r="AA830" s="112"/>
      <c r="AB830" s="112"/>
      <c r="AC830" s="112"/>
      <c r="AD830" s="112"/>
      <c r="AE830" s="112"/>
      <c r="AF830" s="112"/>
      <c r="AG830" s="112"/>
      <c r="AH830" s="112"/>
      <c r="AI830" s="112"/>
      <c r="AJ830" s="112"/>
      <c r="AK830" s="112"/>
      <c r="AL830" s="112"/>
      <c r="AM830" s="112"/>
      <c r="AN830" s="112"/>
      <c r="AO830" s="112"/>
      <c r="AP830" s="112"/>
    </row>
    <row r="831" ht="15.75" customHeight="1">
      <c r="A831" s="112"/>
      <c r="B831" s="112"/>
      <c r="C831" s="112"/>
      <c r="D831" s="112"/>
      <c r="E831" s="128"/>
      <c r="F831" s="112"/>
      <c r="G831" s="112"/>
      <c r="H831" s="128"/>
      <c r="I831" s="112"/>
      <c r="J831" s="112"/>
      <c r="K831" s="112"/>
      <c r="L831" s="128"/>
      <c r="M831" s="128"/>
      <c r="N831" s="112"/>
      <c r="O831" s="112"/>
      <c r="P831" s="112"/>
      <c r="Q831" s="112"/>
      <c r="R831" s="112"/>
      <c r="S831" s="112"/>
      <c r="T831" s="128"/>
      <c r="U831" s="128"/>
      <c r="V831" s="128"/>
      <c r="W831" s="128"/>
      <c r="X831" s="128"/>
      <c r="Y831" s="128"/>
      <c r="Z831" s="112"/>
      <c r="AA831" s="112"/>
      <c r="AB831" s="112"/>
      <c r="AC831" s="112"/>
      <c r="AD831" s="112"/>
      <c r="AE831" s="112"/>
      <c r="AF831" s="112"/>
      <c r="AG831" s="112"/>
      <c r="AH831" s="112"/>
      <c r="AI831" s="112"/>
      <c r="AJ831" s="112"/>
      <c r="AK831" s="112"/>
      <c r="AL831" s="112"/>
      <c r="AM831" s="112"/>
      <c r="AN831" s="112"/>
      <c r="AO831" s="112"/>
      <c r="AP831" s="112"/>
    </row>
    <row r="832" ht="15.75" customHeight="1">
      <c r="A832" s="112"/>
      <c r="B832" s="112"/>
      <c r="C832" s="112"/>
      <c r="D832" s="112"/>
      <c r="E832" s="128"/>
      <c r="F832" s="112"/>
      <c r="G832" s="112"/>
      <c r="H832" s="128"/>
      <c r="I832" s="112"/>
      <c r="J832" s="112"/>
      <c r="K832" s="112"/>
      <c r="L832" s="128"/>
      <c r="M832" s="128"/>
      <c r="N832" s="112"/>
      <c r="O832" s="112"/>
      <c r="P832" s="112"/>
      <c r="Q832" s="112"/>
      <c r="R832" s="112"/>
      <c r="S832" s="112"/>
      <c r="T832" s="128"/>
      <c r="U832" s="128"/>
      <c r="V832" s="128"/>
      <c r="W832" s="128"/>
      <c r="X832" s="128"/>
      <c r="Y832" s="128"/>
      <c r="Z832" s="112"/>
      <c r="AA832" s="112"/>
      <c r="AB832" s="112"/>
      <c r="AC832" s="112"/>
      <c r="AD832" s="112"/>
      <c r="AE832" s="112"/>
      <c r="AF832" s="112"/>
      <c r="AG832" s="112"/>
      <c r="AH832" s="112"/>
      <c r="AI832" s="112"/>
      <c r="AJ832" s="112"/>
      <c r="AK832" s="112"/>
      <c r="AL832" s="112"/>
      <c r="AM832" s="112"/>
      <c r="AN832" s="112"/>
      <c r="AO832" s="112"/>
      <c r="AP832" s="112"/>
    </row>
    <row r="833" ht="15.75" customHeight="1">
      <c r="A833" s="112"/>
      <c r="B833" s="112"/>
      <c r="C833" s="112"/>
      <c r="D833" s="112"/>
      <c r="E833" s="128"/>
      <c r="F833" s="112"/>
      <c r="G833" s="112"/>
      <c r="H833" s="128"/>
      <c r="I833" s="112"/>
      <c r="J833" s="112"/>
      <c r="K833" s="112"/>
      <c r="L833" s="128"/>
      <c r="M833" s="128"/>
      <c r="N833" s="112"/>
      <c r="O833" s="112"/>
      <c r="P833" s="112"/>
      <c r="Q833" s="112"/>
      <c r="R833" s="112"/>
      <c r="S833" s="112"/>
      <c r="T833" s="128"/>
      <c r="U833" s="128"/>
      <c r="V833" s="128"/>
      <c r="W833" s="128"/>
      <c r="X833" s="128"/>
      <c r="Y833" s="128"/>
      <c r="Z833" s="112"/>
      <c r="AA833" s="112"/>
      <c r="AB833" s="112"/>
      <c r="AC833" s="112"/>
      <c r="AD833" s="112"/>
      <c r="AE833" s="112"/>
      <c r="AF833" s="112"/>
      <c r="AG833" s="112"/>
      <c r="AH833" s="112"/>
      <c r="AI833" s="112"/>
      <c r="AJ833" s="112"/>
      <c r="AK833" s="112"/>
      <c r="AL833" s="112"/>
      <c r="AM833" s="112"/>
      <c r="AN833" s="112"/>
      <c r="AO833" s="112"/>
      <c r="AP833" s="112"/>
    </row>
    <row r="834" ht="15.75" customHeight="1">
      <c r="A834" s="112"/>
      <c r="B834" s="112"/>
      <c r="C834" s="112"/>
      <c r="D834" s="112"/>
      <c r="E834" s="128"/>
      <c r="F834" s="112"/>
      <c r="G834" s="112"/>
      <c r="H834" s="128"/>
      <c r="I834" s="112"/>
      <c r="J834" s="112"/>
      <c r="K834" s="112"/>
      <c r="L834" s="128"/>
      <c r="M834" s="128"/>
      <c r="N834" s="112"/>
      <c r="O834" s="112"/>
      <c r="P834" s="112"/>
      <c r="Q834" s="112"/>
      <c r="R834" s="112"/>
      <c r="S834" s="112"/>
      <c r="T834" s="128"/>
      <c r="U834" s="128"/>
      <c r="V834" s="128"/>
      <c r="W834" s="128"/>
      <c r="X834" s="128"/>
      <c r="Y834" s="128"/>
      <c r="Z834" s="112"/>
      <c r="AA834" s="112"/>
      <c r="AB834" s="112"/>
      <c r="AC834" s="112"/>
      <c r="AD834" s="112"/>
      <c r="AE834" s="112"/>
      <c r="AF834" s="112"/>
      <c r="AG834" s="112"/>
      <c r="AH834" s="112"/>
      <c r="AI834" s="112"/>
      <c r="AJ834" s="112"/>
      <c r="AK834" s="112"/>
      <c r="AL834" s="112"/>
      <c r="AM834" s="112"/>
      <c r="AN834" s="112"/>
      <c r="AO834" s="112"/>
      <c r="AP834" s="112"/>
    </row>
    <row r="835" ht="15.75" customHeight="1">
      <c r="A835" s="112"/>
      <c r="B835" s="112"/>
      <c r="C835" s="112"/>
      <c r="D835" s="112"/>
      <c r="E835" s="128"/>
      <c r="F835" s="112"/>
      <c r="G835" s="112"/>
      <c r="H835" s="128"/>
      <c r="I835" s="112"/>
      <c r="J835" s="112"/>
      <c r="K835" s="112"/>
      <c r="L835" s="128"/>
      <c r="M835" s="128"/>
      <c r="N835" s="112"/>
      <c r="O835" s="112"/>
      <c r="P835" s="112"/>
      <c r="Q835" s="112"/>
      <c r="R835" s="112"/>
      <c r="S835" s="112"/>
      <c r="T835" s="128"/>
      <c r="U835" s="128"/>
      <c r="V835" s="128"/>
      <c r="W835" s="128"/>
      <c r="X835" s="128"/>
      <c r="Y835" s="128"/>
      <c r="Z835" s="112"/>
      <c r="AA835" s="112"/>
      <c r="AB835" s="112"/>
      <c r="AC835" s="112"/>
      <c r="AD835" s="112"/>
      <c r="AE835" s="112"/>
      <c r="AF835" s="112"/>
      <c r="AG835" s="112"/>
      <c r="AH835" s="112"/>
      <c r="AI835" s="112"/>
      <c r="AJ835" s="112"/>
      <c r="AK835" s="112"/>
      <c r="AL835" s="112"/>
      <c r="AM835" s="112"/>
      <c r="AN835" s="112"/>
      <c r="AO835" s="112"/>
      <c r="AP835" s="112"/>
    </row>
    <row r="836" ht="15.75" customHeight="1">
      <c r="A836" s="112"/>
      <c r="B836" s="112"/>
      <c r="C836" s="112"/>
      <c r="D836" s="112"/>
      <c r="E836" s="128"/>
      <c r="F836" s="112"/>
      <c r="G836" s="112"/>
      <c r="H836" s="128"/>
      <c r="I836" s="112"/>
      <c r="J836" s="112"/>
      <c r="K836" s="112"/>
      <c r="L836" s="128"/>
      <c r="M836" s="128"/>
      <c r="N836" s="112"/>
      <c r="O836" s="112"/>
      <c r="P836" s="112"/>
      <c r="Q836" s="112"/>
      <c r="R836" s="112"/>
      <c r="S836" s="112"/>
      <c r="T836" s="128"/>
      <c r="U836" s="128"/>
      <c r="V836" s="128"/>
      <c r="W836" s="128"/>
      <c r="X836" s="128"/>
      <c r="Y836" s="128"/>
      <c r="Z836" s="112"/>
      <c r="AA836" s="112"/>
      <c r="AB836" s="112"/>
      <c r="AC836" s="112"/>
      <c r="AD836" s="112"/>
      <c r="AE836" s="112"/>
      <c r="AF836" s="112"/>
      <c r="AG836" s="112"/>
      <c r="AH836" s="112"/>
      <c r="AI836" s="112"/>
      <c r="AJ836" s="112"/>
      <c r="AK836" s="112"/>
      <c r="AL836" s="112"/>
      <c r="AM836" s="112"/>
      <c r="AN836" s="112"/>
      <c r="AO836" s="112"/>
      <c r="AP836" s="112"/>
    </row>
    <row r="837" ht="15.75" customHeight="1">
      <c r="A837" s="112"/>
      <c r="B837" s="112"/>
      <c r="C837" s="112"/>
      <c r="D837" s="112"/>
      <c r="E837" s="128"/>
      <c r="F837" s="112"/>
      <c r="G837" s="112"/>
      <c r="H837" s="128"/>
      <c r="I837" s="112"/>
      <c r="J837" s="112"/>
      <c r="K837" s="112"/>
      <c r="L837" s="128"/>
      <c r="M837" s="128"/>
      <c r="N837" s="112"/>
      <c r="O837" s="112"/>
      <c r="P837" s="112"/>
      <c r="Q837" s="112"/>
      <c r="R837" s="112"/>
      <c r="S837" s="112"/>
      <c r="T837" s="128"/>
      <c r="U837" s="128"/>
      <c r="V837" s="128"/>
      <c r="W837" s="128"/>
      <c r="X837" s="128"/>
      <c r="Y837" s="128"/>
      <c r="Z837" s="112"/>
      <c r="AA837" s="112"/>
      <c r="AB837" s="112"/>
      <c r="AC837" s="112"/>
      <c r="AD837" s="112"/>
      <c r="AE837" s="112"/>
      <c r="AF837" s="112"/>
      <c r="AG837" s="112"/>
      <c r="AH837" s="112"/>
      <c r="AI837" s="112"/>
      <c r="AJ837" s="112"/>
      <c r="AK837" s="112"/>
      <c r="AL837" s="112"/>
      <c r="AM837" s="112"/>
      <c r="AN837" s="112"/>
      <c r="AO837" s="112"/>
      <c r="AP837" s="112"/>
    </row>
    <row r="838" ht="15.75" customHeight="1">
      <c r="A838" s="112"/>
      <c r="B838" s="112"/>
      <c r="C838" s="112"/>
      <c r="D838" s="112"/>
      <c r="E838" s="128"/>
      <c r="F838" s="112"/>
      <c r="G838" s="112"/>
      <c r="H838" s="128"/>
      <c r="I838" s="112"/>
      <c r="J838" s="112"/>
      <c r="K838" s="112"/>
      <c r="L838" s="128"/>
      <c r="M838" s="128"/>
      <c r="N838" s="112"/>
      <c r="O838" s="112"/>
      <c r="P838" s="112"/>
      <c r="Q838" s="112"/>
      <c r="R838" s="112"/>
      <c r="S838" s="112"/>
      <c r="T838" s="128"/>
      <c r="U838" s="128"/>
      <c r="V838" s="128"/>
      <c r="W838" s="128"/>
      <c r="X838" s="128"/>
      <c r="Y838" s="128"/>
      <c r="Z838" s="112"/>
      <c r="AA838" s="112"/>
      <c r="AB838" s="112"/>
      <c r="AC838" s="112"/>
      <c r="AD838" s="112"/>
      <c r="AE838" s="112"/>
      <c r="AF838" s="112"/>
      <c r="AG838" s="112"/>
      <c r="AH838" s="112"/>
      <c r="AI838" s="112"/>
      <c r="AJ838" s="112"/>
      <c r="AK838" s="112"/>
      <c r="AL838" s="112"/>
      <c r="AM838" s="112"/>
      <c r="AN838" s="112"/>
      <c r="AO838" s="112"/>
      <c r="AP838" s="112"/>
    </row>
    <row r="839" ht="15.75" customHeight="1">
      <c r="A839" s="112"/>
      <c r="B839" s="112"/>
      <c r="C839" s="112"/>
      <c r="D839" s="112"/>
      <c r="E839" s="128"/>
      <c r="F839" s="112"/>
      <c r="G839" s="112"/>
      <c r="H839" s="128"/>
      <c r="I839" s="112"/>
      <c r="J839" s="112"/>
      <c r="K839" s="112"/>
      <c r="L839" s="128"/>
      <c r="M839" s="128"/>
      <c r="N839" s="112"/>
      <c r="O839" s="112"/>
      <c r="P839" s="112"/>
      <c r="Q839" s="112"/>
      <c r="R839" s="112"/>
      <c r="S839" s="112"/>
      <c r="T839" s="128"/>
      <c r="U839" s="128"/>
      <c r="V839" s="128"/>
      <c r="W839" s="128"/>
      <c r="X839" s="128"/>
      <c r="Y839" s="128"/>
      <c r="Z839" s="112"/>
      <c r="AA839" s="112"/>
      <c r="AB839" s="112"/>
      <c r="AC839" s="112"/>
      <c r="AD839" s="112"/>
      <c r="AE839" s="112"/>
      <c r="AF839" s="112"/>
      <c r="AG839" s="112"/>
      <c r="AH839" s="112"/>
      <c r="AI839" s="112"/>
      <c r="AJ839" s="112"/>
      <c r="AK839" s="112"/>
      <c r="AL839" s="112"/>
      <c r="AM839" s="112"/>
      <c r="AN839" s="112"/>
      <c r="AO839" s="112"/>
      <c r="AP839" s="112"/>
    </row>
    <row r="840" ht="15.75" customHeight="1">
      <c r="A840" s="112"/>
      <c r="B840" s="112"/>
      <c r="C840" s="112"/>
      <c r="D840" s="112"/>
      <c r="E840" s="128"/>
      <c r="F840" s="112"/>
      <c r="G840" s="112"/>
      <c r="H840" s="128"/>
      <c r="I840" s="112"/>
      <c r="J840" s="112"/>
      <c r="K840" s="112"/>
      <c r="L840" s="128"/>
      <c r="M840" s="128"/>
      <c r="N840" s="112"/>
      <c r="O840" s="112"/>
      <c r="P840" s="112"/>
      <c r="Q840" s="112"/>
      <c r="R840" s="112"/>
      <c r="S840" s="112"/>
      <c r="T840" s="128"/>
      <c r="U840" s="128"/>
      <c r="V840" s="128"/>
      <c r="W840" s="128"/>
      <c r="X840" s="128"/>
      <c r="Y840" s="128"/>
      <c r="Z840" s="112"/>
      <c r="AA840" s="112"/>
      <c r="AB840" s="112"/>
      <c r="AC840" s="112"/>
      <c r="AD840" s="112"/>
      <c r="AE840" s="112"/>
      <c r="AF840" s="112"/>
      <c r="AG840" s="112"/>
      <c r="AH840" s="112"/>
      <c r="AI840" s="112"/>
      <c r="AJ840" s="112"/>
      <c r="AK840" s="112"/>
      <c r="AL840" s="112"/>
      <c r="AM840" s="112"/>
      <c r="AN840" s="112"/>
      <c r="AO840" s="112"/>
      <c r="AP840" s="112"/>
    </row>
    <row r="841" ht="15.75" customHeight="1">
      <c r="A841" s="112"/>
      <c r="B841" s="112"/>
      <c r="C841" s="112"/>
      <c r="D841" s="112"/>
      <c r="E841" s="128"/>
      <c r="F841" s="112"/>
      <c r="G841" s="112"/>
      <c r="H841" s="128"/>
      <c r="I841" s="112"/>
      <c r="J841" s="112"/>
      <c r="K841" s="112"/>
      <c r="L841" s="128"/>
      <c r="M841" s="128"/>
      <c r="N841" s="112"/>
      <c r="O841" s="112"/>
      <c r="P841" s="112"/>
      <c r="Q841" s="112"/>
      <c r="R841" s="112"/>
      <c r="S841" s="112"/>
      <c r="T841" s="128"/>
      <c r="U841" s="128"/>
      <c r="V841" s="128"/>
      <c r="W841" s="128"/>
      <c r="X841" s="128"/>
      <c r="Y841" s="128"/>
      <c r="Z841" s="112"/>
      <c r="AA841" s="112"/>
      <c r="AB841" s="112"/>
      <c r="AC841" s="112"/>
      <c r="AD841" s="112"/>
      <c r="AE841" s="112"/>
      <c r="AF841" s="112"/>
      <c r="AG841" s="112"/>
      <c r="AH841" s="112"/>
      <c r="AI841" s="112"/>
      <c r="AJ841" s="112"/>
      <c r="AK841" s="112"/>
      <c r="AL841" s="112"/>
      <c r="AM841" s="112"/>
      <c r="AN841" s="112"/>
      <c r="AO841" s="112"/>
      <c r="AP841" s="112"/>
    </row>
    <row r="842" ht="15.75" customHeight="1">
      <c r="A842" s="112"/>
      <c r="B842" s="112"/>
      <c r="C842" s="112"/>
      <c r="D842" s="112"/>
      <c r="E842" s="128"/>
      <c r="F842" s="112"/>
      <c r="G842" s="112"/>
      <c r="H842" s="128"/>
      <c r="I842" s="112"/>
      <c r="J842" s="112"/>
      <c r="K842" s="112"/>
      <c r="L842" s="128"/>
      <c r="M842" s="128"/>
      <c r="N842" s="112"/>
      <c r="O842" s="112"/>
      <c r="P842" s="112"/>
      <c r="Q842" s="112"/>
      <c r="R842" s="112"/>
      <c r="S842" s="112"/>
      <c r="T842" s="128"/>
      <c r="U842" s="128"/>
      <c r="V842" s="128"/>
      <c r="W842" s="128"/>
      <c r="X842" s="128"/>
      <c r="Y842" s="128"/>
      <c r="Z842" s="112"/>
      <c r="AA842" s="112"/>
      <c r="AB842" s="112"/>
      <c r="AC842" s="112"/>
      <c r="AD842" s="112"/>
      <c r="AE842" s="112"/>
      <c r="AF842" s="112"/>
      <c r="AG842" s="112"/>
      <c r="AH842" s="112"/>
      <c r="AI842" s="112"/>
      <c r="AJ842" s="112"/>
      <c r="AK842" s="112"/>
      <c r="AL842" s="112"/>
      <c r="AM842" s="112"/>
      <c r="AN842" s="112"/>
      <c r="AO842" s="112"/>
      <c r="AP842" s="112"/>
    </row>
    <row r="843" ht="15.75" customHeight="1">
      <c r="A843" s="112"/>
      <c r="B843" s="112"/>
      <c r="C843" s="112"/>
      <c r="D843" s="112"/>
      <c r="E843" s="128"/>
      <c r="F843" s="112"/>
      <c r="G843" s="112"/>
      <c r="H843" s="128"/>
      <c r="I843" s="112"/>
      <c r="J843" s="112"/>
      <c r="K843" s="112"/>
      <c r="L843" s="128"/>
      <c r="M843" s="128"/>
      <c r="N843" s="112"/>
      <c r="O843" s="112"/>
      <c r="P843" s="112"/>
      <c r="Q843" s="112"/>
      <c r="R843" s="112"/>
      <c r="S843" s="112"/>
      <c r="T843" s="128"/>
      <c r="U843" s="128"/>
      <c r="V843" s="128"/>
      <c r="W843" s="128"/>
      <c r="X843" s="128"/>
      <c r="Y843" s="128"/>
      <c r="Z843" s="112"/>
      <c r="AA843" s="112"/>
      <c r="AB843" s="112"/>
      <c r="AC843" s="112"/>
      <c r="AD843" s="112"/>
      <c r="AE843" s="112"/>
      <c r="AF843" s="112"/>
      <c r="AG843" s="112"/>
      <c r="AH843" s="112"/>
      <c r="AI843" s="112"/>
      <c r="AJ843" s="112"/>
      <c r="AK843" s="112"/>
      <c r="AL843" s="112"/>
      <c r="AM843" s="112"/>
      <c r="AN843" s="112"/>
      <c r="AO843" s="112"/>
      <c r="AP843" s="112"/>
    </row>
    <row r="844" ht="15.75" customHeight="1">
      <c r="A844" s="112"/>
      <c r="B844" s="112"/>
      <c r="C844" s="112"/>
      <c r="D844" s="112"/>
      <c r="E844" s="128"/>
      <c r="F844" s="112"/>
      <c r="G844" s="112"/>
      <c r="H844" s="128"/>
      <c r="I844" s="112"/>
      <c r="J844" s="112"/>
      <c r="K844" s="112"/>
      <c r="L844" s="128"/>
      <c r="M844" s="128"/>
      <c r="N844" s="112"/>
      <c r="O844" s="112"/>
      <c r="P844" s="112"/>
      <c r="Q844" s="112"/>
      <c r="R844" s="112"/>
      <c r="S844" s="112"/>
      <c r="T844" s="128"/>
      <c r="U844" s="128"/>
      <c r="V844" s="128"/>
      <c r="W844" s="128"/>
      <c r="X844" s="128"/>
      <c r="Y844" s="128"/>
      <c r="Z844" s="112"/>
      <c r="AA844" s="112"/>
      <c r="AB844" s="112"/>
      <c r="AC844" s="112"/>
      <c r="AD844" s="112"/>
      <c r="AE844" s="112"/>
      <c r="AF844" s="112"/>
      <c r="AG844" s="112"/>
      <c r="AH844" s="112"/>
      <c r="AI844" s="112"/>
      <c r="AJ844" s="112"/>
      <c r="AK844" s="112"/>
      <c r="AL844" s="112"/>
      <c r="AM844" s="112"/>
      <c r="AN844" s="112"/>
      <c r="AO844" s="112"/>
      <c r="AP844" s="112"/>
    </row>
    <row r="845" ht="15.75" customHeight="1">
      <c r="A845" s="112"/>
      <c r="B845" s="112"/>
      <c r="C845" s="112"/>
      <c r="D845" s="112"/>
      <c r="E845" s="128"/>
      <c r="F845" s="112"/>
      <c r="G845" s="112"/>
      <c r="H845" s="128"/>
      <c r="I845" s="112"/>
      <c r="J845" s="112"/>
      <c r="K845" s="112"/>
      <c r="L845" s="128"/>
      <c r="M845" s="128"/>
      <c r="N845" s="112"/>
      <c r="O845" s="112"/>
      <c r="P845" s="112"/>
      <c r="Q845" s="112"/>
      <c r="R845" s="112"/>
      <c r="S845" s="112"/>
      <c r="T845" s="128"/>
      <c r="U845" s="128"/>
      <c r="V845" s="128"/>
      <c r="W845" s="128"/>
      <c r="X845" s="128"/>
      <c r="Y845" s="128"/>
      <c r="Z845" s="112"/>
      <c r="AA845" s="112"/>
      <c r="AB845" s="112"/>
      <c r="AC845" s="112"/>
      <c r="AD845" s="112"/>
      <c r="AE845" s="112"/>
      <c r="AF845" s="112"/>
      <c r="AG845" s="112"/>
      <c r="AH845" s="112"/>
      <c r="AI845" s="112"/>
      <c r="AJ845" s="112"/>
      <c r="AK845" s="112"/>
      <c r="AL845" s="112"/>
      <c r="AM845" s="112"/>
      <c r="AN845" s="112"/>
      <c r="AO845" s="112"/>
      <c r="AP845" s="112"/>
    </row>
    <row r="846" ht="15.75" customHeight="1">
      <c r="A846" s="112"/>
      <c r="B846" s="112"/>
      <c r="C846" s="112"/>
      <c r="D846" s="112"/>
      <c r="E846" s="128"/>
      <c r="F846" s="112"/>
      <c r="G846" s="112"/>
      <c r="H846" s="128"/>
      <c r="I846" s="112"/>
      <c r="J846" s="112"/>
      <c r="K846" s="112"/>
      <c r="L846" s="128"/>
      <c r="M846" s="128"/>
      <c r="N846" s="112"/>
      <c r="O846" s="112"/>
      <c r="P846" s="112"/>
      <c r="Q846" s="112"/>
      <c r="R846" s="112"/>
      <c r="S846" s="112"/>
      <c r="T846" s="128"/>
      <c r="U846" s="128"/>
      <c r="V846" s="128"/>
      <c r="W846" s="128"/>
      <c r="X846" s="128"/>
      <c r="Y846" s="128"/>
      <c r="Z846" s="112"/>
      <c r="AA846" s="112"/>
      <c r="AB846" s="112"/>
      <c r="AC846" s="112"/>
      <c r="AD846" s="112"/>
      <c r="AE846" s="112"/>
      <c r="AF846" s="112"/>
      <c r="AG846" s="112"/>
      <c r="AH846" s="112"/>
      <c r="AI846" s="112"/>
      <c r="AJ846" s="112"/>
      <c r="AK846" s="112"/>
      <c r="AL846" s="112"/>
      <c r="AM846" s="112"/>
      <c r="AN846" s="112"/>
      <c r="AO846" s="112"/>
      <c r="AP846" s="112"/>
    </row>
    <row r="847" ht="15.75" customHeight="1">
      <c r="A847" s="112"/>
      <c r="B847" s="112"/>
      <c r="C847" s="112"/>
      <c r="D847" s="112"/>
      <c r="E847" s="128"/>
      <c r="F847" s="112"/>
      <c r="G847" s="112"/>
      <c r="H847" s="128"/>
      <c r="I847" s="112"/>
      <c r="J847" s="112"/>
      <c r="K847" s="112"/>
      <c r="L847" s="128"/>
      <c r="M847" s="128"/>
      <c r="N847" s="112"/>
      <c r="O847" s="112"/>
      <c r="P847" s="112"/>
      <c r="Q847" s="112"/>
      <c r="R847" s="112"/>
      <c r="S847" s="112"/>
      <c r="T847" s="128"/>
      <c r="U847" s="128"/>
      <c r="V847" s="128"/>
      <c r="W847" s="128"/>
      <c r="X847" s="128"/>
      <c r="Y847" s="128"/>
      <c r="Z847" s="112"/>
      <c r="AA847" s="112"/>
      <c r="AB847" s="112"/>
      <c r="AC847" s="112"/>
      <c r="AD847" s="112"/>
      <c r="AE847" s="112"/>
      <c r="AF847" s="112"/>
      <c r="AG847" s="112"/>
      <c r="AH847" s="112"/>
      <c r="AI847" s="112"/>
      <c r="AJ847" s="112"/>
      <c r="AK847" s="112"/>
      <c r="AL847" s="112"/>
      <c r="AM847" s="112"/>
      <c r="AN847" s="112"/>
      <c r="AO847" s="112"/>
      <c r="AP847" s="112"/>
    </row>
    <row r="848" ht="15.75" customHeight="1">
      <c r="A848" s="112"/>
      <c r="B848" s="112"/>
      <c r="C848" s="112"/>
      <c r="D848" s="112"/>
      <c r="E848" s="128"/>
      <c r="F848" s="112"/>
      <c r="G848" s="112"/>
      <c r="H848" s="128"/>
      <c r="I848" s="112"/>
      <c r="J848" s="112"/>
      <c r="K848" s="112"/>
      <c r="L848" s="128"/>
      <c r="M848" s="128"/>
      <c r="N848" s="112"/>
      <c r="O848" s="112"/>
      <c r="P848" s="112"/>
      <c r="Q848" s="112"/>
      <c r="R848" s="112"/>
      <c r="S848" s="112"/>
      <c r="T848" s="128"/>
      <c r="U848" s="128"/>
      <c r="V848" s="128"/>
      <c r="W848" s="128"/>
      <c r="X848" s="128"/>
      <c r="Y848" s="128"/>
      <c r="Z848" s="112"/>
      <c r="AA848" s="112"/>
      <c r="AB848" s="112"/>
      <c r="AC848" s="112"/>
      <c r="AD848" s="112"/>
      <c r="AE848" s="112"/>
      <c r="AF848" s="112"/>
      <c r="AG848" s="112"/>
      <c r="AH848" s="112"/>
      <c r="AI848" s="112"/>
      <c r="AJ848" s="112"/>
      <c r="AK848" s="112"/>
      <c r="AL848" s="112"/>
      <c r="AM848" s="112"/>
      <c r="AN848" s="112"/>
      <c r="AO848" s="112"/>
      <c r="AP848" s="112"/>
    </row>
    <row r="849" ht="15.75" customHeight="1">
      <c r="A849" s="112"/>
      <c r="B849" s="112"/>
      <c r="C849" s="112"/>
      <c r="D849" s="112"/>
      <c r="E849" s="128"/>
      <c r="F849" s="112"/>
      <c r="G849" s="112"/>
      <c r="H849" s="128"/>
      <c r="I849" s="112"/>
      <c r="J849" s="112"/>
      <c r="K849" s="112"/>
      <c r="L849" s="128"/>
      <c r="M849" s="128"/>
      <c r="N849" s="112"/>
      <c r="O849" s="112"/>
      <c r="P849" s="112"/>
      <c r="Q849" s="112"/>
      <c r="R849" s="112"/>
      <c r="S849" s="112"/>
      <c r="T849" s="128"/>
      <c r="U849" s="128"/>
      <c r="V849" s="128"/>
      <c r="W849" s="128"/>
      <c r="X849" s="128"/>
      <c r="Y849" s="128"/>
      <c r="Z849" s="112"/>
      <c r="AA849" s="112"/>
      <c r="AB849" s="112"/>
      <c r="AC849" s="112"/>
      <c r="AD849" s="112"/>
      <c r="AE849" s="112"/>
      <c r="AF849" s="112"/>
      <c r="AG849" s="112"/>
      <c r="AH849" s="112"/>
      <c r="AI849" s="112"/>
      <c r="AJ849" s="112"/>
      <c r="AK849" s="112"/>
      <c r="AL849" s="112"/>
      <c r="AM849" s="112"/>
      <c r="AN849" s="112"/>
      <c r="AO849" s="112"/>
      <c r="AP849" s="112"/>
    </row>
    <row r="850" ht="15.75" customHeight="1">
      <c r="A850" s="112"/>
      <c r="B850" s="112"/>
      <c r="C850" s="112"/>
      <c r="D850" s="112"/>
      <c r="E850" s="128"/>
      <c r="F850" s="112"/>
      <c r="G850" s="112"/>
      <c r="H850" s="128"/>
      <c r="I850" s="112"/>
      <c r="J850" s="112"/>
      <c r="K850" s="112"/>
      <c r="L850" s="128"/>
      <c r="M850" s="128"/>
      <c r="N850" s="112"/>
      <c r="O850" s="112"/>
      <c r="P850" s="112"/>
      <c r="Q850" s="112"/>
      <c r="R850" s="112"/>
      <c r="S850" s="112"/>
      <c r="T850" s="128"/>
      <c r="U850" s="128"/>
      <c r="V850" s="128"/>
      <c r="W850" s="128"/>
      <c r="X850" s="128"/>
      <c r="Y850" s="128"/>
      <c r="Z850" s="112"/>
      <c r="AA850" s="112"/>
      <c r="AB850" s="112"/>
      <c r="AC850" s="112"/>
      <c r="AD850" s="112"/>
      <c r="AE850" s="112"/>
      <c r="AF850" s="112"/>
      <c r="AG850" s="112"/>
      <c r="AH850" s="112"/>
      <c r="AI850" s="112"/>
      <c r="AJ850" s="112"/>
      <c r="AK850" s="112"/>
      <c r="AL850" s="112"/>
      <c r="AM850" s="112"/>
      <c r="AN850" s="112"/>
      <c r="AO850" s="112"/>
      <c r="AP850" s="112"/>
    </row>
    <row r="851" ht="15.75" customHeight="1">
      <c r="A851" s="112"/>
      <c r="B851" s="112"/>
      <c r="C851" s="112"/>
      <c r="D851" s="112"/>
      <c r="E851" s="128"/>
      <c r="F851" s="112"/>
      <c r="G851" s="112"/>
      <c r="H851" s="128"/>
      <c r="I851" s="112"/>
      <c r="J851" s="112"/>
      <c r="K851" s="112"/>
      <c r="L851" s="128"/>
      <c r="M851" s="128"/>
      <c r="N851" s="112"/>
      <c r="O851" s="112"/>
      <c r="P851" s="112"/>
      <c r="Q851" s="112"/>
      <c r="R851" s="112"/>
      <c r="S851" s="112"/>
      <c r="T851" s="128"/>
      <c r="U851" s="128"/>
      <c r="V851" s="128"/>
      <c r="W851" s="128"/>
      <c r="X851" s="128"/>
      <c r="Y851" s="128"/>
      <c r="Z851" s="112"/>
      <c r="AA851" s="112"/>
      <c r="AB851" s="112"/>
      <c r="AC851" s="112"/>
      <c r="AD851" s="112"/>
      <c r="AE851" s="112"/>
      <c r="AF851" s="112"/>
      <c r="AG851" s="112"/>
      <c r="AH851" s="112"/>
      <c r="AI851" s="112"/>
      <c r="AJ851" s="112"/>
      <c r="AK851" s="112"/>
      <c r="AL851" s="112"/>
      <c r="AM851" s="112"/>
      <c r="AN851" s="112"/>
      <c r="AO851" s="112"/>
      <c r="AP851" s="112"/>
    </row>
    <row r="852" ht="15.75" customHeight="1">
      <c r="A852" s="112"/>
      <c r="B852" s="112"/>
      <c r="C852" s="112"/>
      <c r="D852" s="112"/>
      <c r="E852" s="128"/>
      <c r="F852" s="112"/>
      <c r="G852" s="112"/>
      <c r="H852" s="128"/>
      <c r="I852" s="112"/>
      <c r="J852" s="112"/>
      <c r="K852" s="112"/>
      <c r="L852" s="128"/>
      <c r="M852" s="128"/>
      <c r="N852" s="112"/>
      <c r="O852" s="112"/>
      <c r="P852" s="112"/>
      <c r="Q852" s="112"/>
      <c r="R852" s="112"/>
      <c r="S852" s="112"/>
      <c r="T852" s="128"/>
      <c r="U852" s="128"/>
      <c r="V852" s="128"/>
      <c r="W852" s="128"/>
      <c r="X852" s="128"/>
      <c r="Y852" s="128"/>
      <c r="Z852" s="112"/>
      <c r="AA852" s="112"/>
      <c r="AB852" s="112"/>
      <c r="AC852" s="112"/>
      <c r="AD852" s="112"/>
      <c r="AE852" s="112"/>
      <c r="AF852" s="112"/>
      <c r="AG852" s="112"/>
      <c r="AH852" s="112"/>
      <c r="AI852" s="112"/>
      <c r="AJ852" s="112"/>
      <c r="AK852" s="112"/>
      <c r="AL852" s="112"/>
      <c r="AM852" s="112"/>
      <c r="AN852" s="112"/>
      <c r="AO852" s="112"/>
      <c r="AP852" s="112"/>
    </row>
    <row r="853" ht="15.75" customHeight="1">
      <c r="A853" s="112"/>
      <c r="B853" s="112"/>
      <c r="C853" s="112"/>
      <c r="D853" s="112"/>
      <c r="E853" s="128"/>
      <c r="F853" s="112"/>
      <c r="G853" s="112"/>
      <c r="H853" s="128"/>
      <c r="I853" s="112"/>
      <c r="J853" s="112"/>
      <c r="K853" s="112"/>
      <c r="L853" s="128"/>
      <c r="M853" s="128"/>
      <c r="N853" s="112"/>
      <c r="O853" s="112"/>
      <c r="P853" s="112"/>
      <c r="Q853" s="112"/>
      <c r="R853" s="112"/>
      <c r="S853" s="112"/>
      <c r="T853" s="128"/>
      <c r="U853" s="128"/>
      <c r="V853" s="128"/>
      <c r="W853" s="128"/>
      <c r="X853" s="128"/>
      <c r="Y853" s="128"/>
      <c r="Z853" s="112"/>
      <c r="AA853" s="112"/>
      <c r="AB853" s="112"/>
      <c r="AC853" s="112"/>
      <c r="AD853" s="112"/>
      <c r="AE853" s="112"/>
      <c r="AF853" s="112"/>
      <c r="AG853" s="112"/>
      <c r="AH853" s="112"/>
      <c r="AI853" s="112"/>
      <c r="AJ853" s="112"/>
      <c r="AK853" s="112"/>
      <c r="AL853" s="112"/>
      <c r="AM853" s="112"/>
      <c r="AN853" s="112"/>
      <c r="AO853" s="112"/>
      <c r="AP853" s="112"/>
    </row>
    <row r="854" ht="15.75" customHeight="1">
      <c r="A854" s="112"/>
      <c r="B854" s="112"/>
      <c r="C854" s="112"/>
      <c r="D854" s="112"/>
      <c r="E854" s="128"/>
      <c r="F854" s="112"/>
      <c r="G854" s="112"/>
      <c r="H854" s="128"/>
      <c r="I854" s="112"/>
      <c r="J854" s="112"/>
      <c r="K854" s="112"/>
      <c r="L854" s="128"/>
      <c r="M854" s="128"/>
      <c r="N854" s="112"/>
      <c r="O854" s="112"/>
      <c r="P854" s="112"/>
      <c r="Q854" s="112"/>
      <c r="R854" s="112"/>
      <c r="S854" s="112"/>
      <c r="T854" s="128"/>
      <c r="U854" s="128"/>
      <c r="V854" s="128"/>
      <c r="W854" s="128"/>
      <c r="X854" s="128"/>
      <c r="Y854" s="128"/>
      <c r="Z854" s="112"/>
      <c r="AA854" s="112"/>
      <c r="AB854" s="112"/>
      <c r="AC854" s="112"/>
      <c r="AD854" s="112"/>
      <c r="AE854" s="112"/>
      <c r="AF854" s="112"/>
      <c r="AG854" s="112"/>
      <c r="AH854" s="112"/>
      <c r="AI854" s="112"/>
      <c r="AJ854" s="112"/>
      <c r="AK854" s="112"/>
      <c r="AL854" s="112"/>
      <c r="AM854" s="112"/>
      <c r="AN854" s="112"/>
      <c r="AO854" s="112"/>
      <c r="AP854" s="112"/>
    </row>
    <row r="855" ht="15.75" customHeight="1">
      <c r="A855" s="112"/>
      <c r="B855" s="112"/>
      <c r="C855" s="112"/>
      <c r="D855" s="112"/>
      <c r="E855" s="128"/>
      <c r="F855" s="112"/>
      <c r="G855" s="112"/>
      <c r="H855" s="128"/>
      <c r="I855" s="112"/>
      <c r="J855" s="112"/>
      <c r="K855" s="112"/>
      <c r="L855" s="128"/>
      <c r="M855" s="128"/>
      <c r="N855" s="112"/>
      <c r="O855" s="112"/>
      <c r="P855" s="112"/>
      <c r="Q855" s="112"/>
      <c r="R855" s="112"/>
      <c r="S855" s="112"/>
      <c r="T855" s="128"/>
      <c r="U855" s="128"/>
      <c r="V855" s="128"/>
      <c r="W855" s="128"/>
      <c r="X855" s="128"/>
      <c r="Y855" s="128"/>
      <c r="Z855" s="112"/>
      <c r="AA855" s="112"/>
      <c r="AB855" s="112"/>
      <c r="AC855" s="112"/>
      <c r="AD855" s="112"/>
      <c r="AE855" s="112"/>
      <c r="AF855" s="112"/>
      <c r="AG855" s="112"/>
      <c r="AH855" s="112"/>
      <c r="AI855" s="112"/>
      <c r="AJ855" s="112"/>
      <c r="AK855" s="112"/>
      <c r="AL855" s="112"/>
      <c r="AM855" s="112"/>
      <c r="AN855" s="112"/>
      <c r="AO855" s="112"/>
      <c r="AP855" s="112"/>
    </row>
    <row r="856" ht="15.75" customHeight="1">
      <c r="A856" s="112"/>
      <c r="B856" s="112"/>
      <c r="C856" s="112"/>
      <c r="D856" s="112"/>
      <c r="E856" s="128"/>
      <c r="F856" s="112"/>
      <c r="G856" s="112"/>
      <c r="H856" s="128"/>
      <c r="I856" s="112"/>
      <c r="J856" s="112"/>
      <c r="K856" s="112"/>
      <c r="L856" s="128"/>
      <c r="M856" s="128"/>
      <c r="N856" s="112"/>
      <c r="O856" s="112"/>
      <c r="P856" s="112"/>
      <c r="Q856" s="112"/>
      <c r="R856" s="112"/>
      <c r="S856" s="112"/>
      <c r="T856" s="128"/>
      <c r="U856" s="128"/>
      <c r="V856" s="128"/>
      <c r="W856" s="128"/>
      <c r="X856" s="128"/>
      <c r="Y856" s="128"/>
      <c r="Z856" s="112"/>
      <c r="AA856" s="112"/>
      <c r="AB856" s="112"/>
      <c r="AC856" s="112"/>
      <c r="AD856" s="112"/>
      <c r="AE856" s="112"/>
      <c r="AF856" s="112"/>
      <c r="AG856" s="112"/>
      <c r="AH856" s="112"/>
      <c r="AI856" s="112"/>
      <c r="AJ856" s="112"/>
      <c r="AK856" s="112"/>
      <c r="AL856" s="112"/>
      <c r="AM856" s="112"/>
      <c r="AN856" s="112"/>
      <c r="AO856" s="112"/>
      <c r="AP856" s="112"/>
    </row>
    <row r="857" ht="15.75" customHeight="1">
      <c r="A857" s="112"/>
      <c r="B857" s="112"/>
      <c r="C857" s="112"/>
      <c r="D857" s="112"/>
      <c r="E857" s="128"/>
      <c r="F857" s="112"/>
      <c r="G857" s="112"/>
      <c r="H857" s="128"/>
      <c r="I857" s="112"/>
      <c r="J857" s="112"/>
      <c r="K857" s="112"/>
      <c r="L857" s="128"/>
      <c r="M857" s="128"/>
      <c r="N857" s="112"/>
      <c r="O857" s="112"/>
      <c r="P857" s="112"/>
      <c r="Q857" s="112"/>
      <c r="R857" s="112"/>
      <c r="S857" s="112"/>
      <c r="T857" s="128"/>
      <c r="U857" s="128"/>
      <c r="V857" s="128"/>
      <c r="W857" s="128"/>
      <c r="X857" s="128"/>
      <c r="Y857" s="128"/>
      <c r="Z857" s="112"/>
      <c r="AA857" s="112"/>
      <c r="AB857" s="112"/>
      <c r="AC857" s="112"/>
      <c r="AD857" s="112"/>
      <c r="AE857" s="112"/>
      <c r="AF857" s="112"/>
      <c r="AG857" s="112"/>
      <c r="AH857" s="112"/>
      <c r="AI857" s="112"/>
      <c r="AJ857" s="112"/>
      <c r="AK857" s="112"/>
      <c r="AL857" s="112"/>
      <c r="AM857" s="112"/>
      <c r="AN857" s="112"/>
      <c r="AO857" s="112"/>
      <c r="AP857" s="112"/>
    </row>
    <row r="858" ht="15.75" customHeight="1">
      <c r="A858" s="112"/>
      <c r="B858" s="112"/>
      <c r="C858" s="112"/>
      <c r="D858" s="112"/>
      <c r="E858" s="128"/>
      <c r="F858" s="112"/>
      <c r="G858" s="112"/>
      <c r="H858" s="128"/>
      <c r="I858" s="112"/>
      <c r="J858" s="112"/>
      <c r="K858" s="112"/>
      <c r="L858" s="128"/>
      <c r="M858" s="128"/>
      <c r="N858" s="112"/>
      <c r="O858" s="112"/>
      <c r="P858" s="112"/>
      <c r="Q858" s="112"/>
      <c r="R858" s="112"/>
      <c r="S858" s="112"/>
      <c r="T858" s="128"/>
      <c r="U858" s="128"/>
      <c r="V858" s="128"/>
      <c r="W858" s="128"/>
      <c r="X858" s="128"/>
      <c r="Y858" s="128"/>
      <c r="Z858" s="112"/>
      <c r="AA858" s="112"/>
      <c r="AB858" s="112"/>
      <c r="AC858" s="112"/>
      <c r="AD858" s="112"/>
      <c r="AE858" s="112"/>
      <c r="AF858" s="112"/>
      <c r="AG858" s="112"/>
      <c r="AH858" s="112"/>
      <c r="AI858" s="112"/>
      <c r="AJ858" s="112"/>
      <c r="AK858" s="112"/>
      <c r="AL858" s="112"/>
      <c r="AM858" s="112"/>
      <c r="AN858" s="112"/>
      <c r="AO858" s="112"/>
      <c r="AP858" s="112"/>
    </row>
    <row r="859" ht="15.75" customHeight="1">
      <c r="A859" s="112"/>
      <c r="B859" s="112"/>
      <c r="C859" s="112"/>
      <c r="D859" s="112"/>
      <c r="E859" s="128"/>
      <c r="F859" s="112"/>
      <c r="G859" s="112"/>
      <c r="H859" s="128"/>
      <c r="I859" s="112"/>
      <c r="J859" s="112"/>
      <c r="K859" s="112"/>
      <c r="L859" s="128"/>
      <c r="M859" s="128"/>
      <c r="N859" s="112"/>
      <c r="O859" s="112"/>
      <c r="P859" s="112"/>
      <c r="Q859" s="112"/>
      <c r="R859" s="112"/>
      <c r="S859" s="112"/>
      <c r="T859" s="128"/>
      <c r="U859" s="128"/>
      <c r="V859" s="128"/>
      <c r="W859" s="128"/>
      <c r="X859" s="128"/>
      <c r="Y859" s="128"/>
      <c r="Z859" s="112"/>
      <c r="AA859" s="112"/>
      <c r="AB859" s="112"/>
      <c r="AC859" s="112"/>
      <c r="AD859" s="112"/>
      <c r="AE859" s="112"/>
      <c r="AF859" s="112"/>
      <c r="AG859" s="112"/>
      <c r="AH859" s="112"/>
      <c r="AI859" s="112"/>
      <c r="AJ859" s="112"/>
      <c r="AK859" s="112"/>
      <c r="AL859" s="112"/>
      <c r="AM859" s="112"/>
      <c r="AN859" s="112"/>
      <c r="AO859" s="112"/>
      <c r="AP859" s="112"/>
    </row>
    <row r="860" ht="15.75" customHeight="1">
      <c r="A860" s="112"/>
      <c r="B860" s="112"/>
      <c r="C860" s="112"/>
      <c r="D860" s="112"/>
      <c r="E860" s="128"/>
      <c r="F860" s="112"/>
      <c r="G860" s="112"/>
      <c r="H860" s="128"/>
      <c r="I860" s="112"/>
      <c r="J860" s="112"/>
      <c r="K860" s="112"/>
      <c r="L860" s="128"/>
      <c r="M860" s="128"/>
      <c r="N860" s="112"/>
      <c r="O860" s="112"/>
      <c r="P860" s="112"/>
      <c r="Q860" s="112"/>
      <c r="R860" s="112"/>
      <c r="S860" s="112"/>
      <c r="T860" s="128"/>
      <c r="U860" s="128"/>
      <c r="V860" s="128"/>
      <c r="W860" s="128"/>
      <c r="X860" s="128"/>
      <c r="Y860" s="128"/>
      <c r="Z860" s="112"/>
      <c r="AA860" s="112"/>
      <c r="AB860" s="112"/>
      <c r="AC860" s="112"/>
      <c r="AD860" s="112"/>
      <c r="AE860" s="112"/>
      <c r="AF860" s="112"/>
      <c r="AG860" s="112"/>
      <c r="AH860" s="112"/>
      <c r="AI860" s="112"/>
      <c r="AJ860" s="112"/>
      <c r="AK860" s="112"/>
      <c r="AL860" s="112"/>
      <c r="AM860" s="112"/>
      <c r="AN860" s="112"/>
      <c r="AO860" s="112"/>
      <c r="AP860" s="112"/>
    </row>
    <row r="861" ht="15.75" customHeight="1">
      <c r="A861" s="112"/>
      <c r="B861" s="112"/>
      <c r="C861" s="112"/>
      <c r="D861" s="112"/>
      <c r="E861" s="128"/>
      <c r="F861" s="112"/>
      <c r="G861" s="112"/>
      <c r="H861" s="128"/>
      <c r="I861" s="112"/>
      <c r="J861" s="112"/>
      <c r="K861" s="112"/>
      <c r="L861" s="128"/>
      <c r="M861" s="128"/>
      <c r="N861" s="112"/>
      <c r="O861" s="112"/>
      <c r="P861" s="112"/>
      <c r="Q861" s="112"/>
      <c r="R861" s="112"/>
      <c r="S861" s="112"/>
      <c r="T861" s="128"/>
      <c r="U861" s="128"/>
      <c r="V861" s="128"/>
      <c r="W861" s="128"/>
      <c r="X861" s="128"/>
      <c r="Y861" s="128"/>
      <c r="Z861" s="112"/>
      <c r="AA861" s="112"/>
      <c r="AB861" s="112"/>
      <c r="AC861" s="112"/>
      <c r="AD861" s="112"/>
      <c r="AE861" s="112"/>
      <c r="AF861" s="112"/>
      <c r="AG861" s="112"/>
      <c r="AH861" s="112"/>
      <c r="AI861" s="112"/>
      <c r="AJ861" s="112"/>
      <c r="AK861" s="112"/>
      <c r="AL861" s="112"/>
      <c r="AM861" s="112"/>
      <c r="AN861" s="112"/>
      <c r="AO861" s="112"/>
      <c r="AP861" s="112"/>
    </row>
    <row r="862" ht="15.75" customHeight="1">
      <c r="A862" s="112"/>
      <c r="B862" s="112"/>
      <c r="C862" s="112"/>
      <c r="D862" s="112"/>
      <c r="E862" s="128"/>
      <c r="F862" s="112"/>
      <c r="G862" s="112"/>
      <c r="H862" s="128"/>
      <c r="I862" s="112"/>
      <c r="J862" s="112"/>
      <c r="K862" s="112"/>
      <c r="L862" s="128"/>
      <c r="M862" s="128"/>
      <c r="N862" s="112"/>
      <c r="O862" s="112"/>
      <c r="P862" s="112"/>
      <c r="Q862" s="112"/>
      <c r="R862" s="112"/>
      <c r="S862" s="112"/>
      <c r="T862" s="128"/>
      <c r="U862" s="128"/>
      <c r="V862" s="128"/>
      <c r="W862" s="128"/>
      <c r="X862" s="128"/>
      <c r="Y862" s="128"/>
      <c r="Z862" s="112"/>
      <c r="AA862" s="112"/>
      <c r="AB862" s="112"/>
      <c r="AC862" s="112"/>
      <c r="AD862" s="112"/>
      <c r="AE862" s="112"/>
      <c r="AF862" s="112"/>
      <c r="AG862" s="112"/>
      <c r="AH862" s="112"/>
      <c r="AI862" s="112"/>
      <c r="AJ862" s="112"/>
      <c r="AK862" s="112"/>
      <c r="AL862" s="112"/>
      <c r="AM862" s="112"/>
      <c r="AN862" s="112"/>
      <c r="AO862" s="112"/>
      <c r="AP862" s="112"/>
    </row>
    <row r="863" ht="15.75" customHeight="1">
      <c r="A863" s="112"/>
      <c r="B863" s="112"/>
      <c r="C863" s="112"/>
      <c r="D863" s="112"/>
      <c r="E863" s="128"/>
      <c r="F863" s="112"/>
      <c r="G863" s="112"/>
      <c r="H863" s="128"/>
      <c r="I863" s="112"/>
      <c r="J863" s="112"/>
      <c r="K863" s="112"/>
      <c r="L863" s="128"/>
      <c r="M863" s="128"/>
      <c r="N863" s="112"/>
      <c r="O863" s="112"/>
      <c r="P863" s="112"/>
      <c r="Q863" s="112"/>
      <c r="R863" s="112"/>
      <c r="S863" s="112"/>
      <c r="T863" s="128"/>
      <c r="U863" s="128"/>
      <c r="V863" s="128"/>
      <c r="W863" s="128"/>
      <c r="X863" s="128"/>
      <c r="Y863" s="128"/>
      <c r="Z863" s="112"/>
      <c r="AA863" s="112"/>
      <c r="AB863" s="112"/>
      <c r="AC863" s="112"/>
      <c r="AD863" s="112"/>
      <c r="AE863" s="112"/>
      <c r="AF863" s="112"/>
      <c r="AG863" s="112"/>
      <c r="AH863" s="112"/>
      <c r="AI863" s="112"/>
      <c r="AJ863" s="112"/>
      <c r="AK863" s="112"/>
      <c r="AL863" s="112"/>
      <c r="AM863" s="112"/>
      <c r="AN863" s="112"/>
      <c r="AO863" s="112"/>
      <c r="AP863" s="112"/>
    </row>
    <row r="864" ht="15.75" customHeight="1">
      <c r="A864" s="112"/>
      <c r="B864" s="112"/>
      <c r="C864" s="112"/>
      <c r="D864" s="112"/>
      <c r="E864" s="128"/>
      <c r="F864" s="112"/>
      <c r="G864" s="112"/>
      <c r="H864" s="128"/>
      <c r="I864" s="112"/>
      <c r="J864" s="112"/>
      <c r="K864" s="112"/>
      <c r="L864" s="128"/>
      <c r="M864" s="128"/>
      <c r="N864" s="112"/>
      <c r="O864" s="112"/>
      <c r="P864" s="112"/>
      <c r="Q864" s="112"/>
      <c r="R864" s="112"/>
      <c r="S864" s="112"/>
      <c r="T864" s="128"/>
      <c r="U864" s="128"/>
      <c r="V864" s="128"/>
      <c r="W864" s="128"/>
      <c r="X864" s="128"/>
      <c r="Y864" s="128"/>
      <c r="Z864" s="112"/>
      <c r="AA864" s="112"/>
      <c r="AB864" s="112"/>
      <c r="AC864" s="112"/>
      <c r="AD864" s="112"/>
      <c r="AE864" s="112"/>
      <c r="AF864" s="112"/>
      <c r="AG864" s="112"/>
      <c r="AH864" s="112"/>
      <c r="AI864" s="112"/>
      <c r="AJ864" s="112"/>
      <c r="AK864" s="112"/>
      <c r="AL864" s="112"/>
      <c r="AM864" s="112"/>
      <c r="AN864" s="112"/>
      <c r="AO864" s="112"/>
      <c r="AP864" s="112"/>
    </row>
    <row r="865" ht="15.75" customHeight="1">
      <c r="A865" s="112"/>
      <c r="B865" s="112"/>
      <c r="C865" s="112"/>
      <c r="D865" s="112"/>
      <c r="E865" s="128"/>
      <c r="F865" s="112"/>
      <c r="G865" s="112"/>
      <c r="H865" s="128"/>
      <c r="I865" s="112"/>
      <c r="J865" s="112"/>
      <c r="K865" s="112"/>
      <c r="L865" s="128"/>
      <c r="M865" s="128"/>
      <c r="N865" s="112"/>
      <c r="O865" s="112"/>
      <c r="P865" s="112"/>
      <c r="Q865" s="112"/>
      <c r="R865" s="112"/>
      <c r="S865" s="112"/>
      <c r="T865" s="128"/>
      <c r="U865" s="128"/>
      <c r="V865" s="128"/>
      <c r="W865" s="128"/>
      <c r="X865" s="128"/>
      <c r="Y865" s="128"/>
      <c r="Z865" s="112"/>
      <c r="AA865" s="112"/>
      <c r="AB865" s="112"/>
      <c r="AC865" s="112"/>
      <c r="AD865" s="112"/>
      <c r="AE865" s="112"/>
      <c r="AF865" s="112"/>
      <c r="AG865" s="112"/>
      <c r="AH865" s="112"/>
      <c r="AI865" s="112"/>
      <c r="AJ865" s="112"/>
      <c r="AK865" s="112"/>
      <c r="AL865" s="112"/>
      <c r="AM865" s="112"/>
      <c r="AN865" s="112"/>
      <c r="AO865" s="112"/>
      <c r="AP865" s="112"/>
    </row>
    <row r="866" ht="15.75" customHeight="1">
      <c r="A866" s="112"/>
      <c r="B866" s="112"/>
      <c r="C866" s="112"/>
      <c r="D866" s="112"/>
      <c r="E866" s="128"/>
      <c r="F866" s="112"/>
      <c r="G866" s="112"/>
      <c r="H866" s="128"/>
      <c r="I866" s="112"/>
      <c r="J866" s="112"/>
      <c r="K866" s="112"/>
      <c r="L866" s="128"/>
      <c r="M866" s="128"/>
      <c r="N866" s="112"/>
      <c r="O866" s="112"/>
      <c r="P866" s="112"/>
      <c r="Q866" s="112"/>
      <c r="R866" s="112"/>
      <c r="S866" s="112"/>
      <c r="T866" s="128"/>
      <c r="U866" s="128"/>
      <c r="V866" s="128"/>
      <c r="W866" s="128"/>
      <c r="X866" s="128"/>
      <c r="Y866" s="128"/>
      <c r="Z866" s="112"/>
      <c r="AA866" s="112"/>
      <c r="AB866" s="112"/>
      <c r="AC866" s="112"/>
      <c r="AD866" s="112"/>
      <c r="AE866" s="112"/>
      <c r="AF866" s="112"/>
      <c r="AG866" s="112"/>
      <c r="AH866" s="112"/>
      <c r="AI866" s="112"/>
      <c r="AJ866" s="112"/>
      <c r="AK866" s="112"/>
      <c r="AL866" s="112"/>
      <c r="AM866" s="112"/>
      <c r="AN866" s="112"/>
      <c r="AO866" s="112"/>
      <c r="AP866" s="112"/>
    </row>
    <row r="867" ht="15.75" customHeight="1">
      <c r="A867" s="112"/>
      <c r="B867" s="112"/>
      <c r="C867" s="112"/>
      <c r="D867" s="112"/>
      <c r="E867" s="128"/>
      <c r="F867" s="112"/>
      <c r="G867" s="112"/>
      <c r="H867" s="128"/>
      <c r="I867" s="112"/>
      <c r="J867" s="112"/>
      <c r="K867" s="112"/>
      <c r="L867" s="128"/>
      <c r="M867" s="128"/>
      <c r="N867" s="112"/>
      <c r="O867" s="112"/>
      <c r="P867" s="112"/>
      <c r="Q867" s="112"/>
      <c r="R867" s="112"/>
      <c r="S867" s="112"/>
      <c r="T867" s="128"/>
      <c r="U867" s="128"/>
      <c r="V867" s="128"/>
      <c r="W867" s="128"/>
      <c r="X867" s="128"/>
      <c r="Y867" s="128"/>
      <c r="Z867" s="112"/>
      <c r="AA867" s="112"/>
      <c r="AB867" s="112"/>
      <c r="AC867" s="112"/>
      <c r="AD867" s="112"/>
      <c r="AE867" s="112"/>
      <c r="AF867" s="112"/>
      <c r="AG867" s="112"/>
      <c r="AH867" s="112"/>
      <c r="AI867" s="112"/>
      <c r="AJ867" s="112"/>
      <c r="AK867" s="112"/>
      <c r="AL867" s="112"/>
      <c r="AM867" s="112"/>
      <c r="AN867" s="112"/>
      <c r="AO867" s="112"/>
      <c r="AP867" s="112"/>
    </row>
    <row r="868" ht="15.75" customHeight="1">
      <c r="A868" s="112"/>
      <c r="B868" s="112"/>
      <c r="C868" s="112"/>
      <c r="D868" s="112"/>
      <c r="E868" s="128"/>
      <c r="F868" s="112"/>
      <c r="G868" s="112"/>
      <c r="H868" s="128"/>
      <c r="I868" s="112"/>
      <c r="J868" s="112"/>
      <c r="K868" s="112"/>
      <c r="L868" s="128"/>
      <c r="M868" s="128"/>
      <c r="N868" s="112"/>
      <c r="O868" s="112"/>
      <c r="P868" s="112"/>
      <c r="Q868" s="112"/>
      <c r="R868" s="112"/>
      <c r="S868" s="112"/>
      <c r="T868" s="128"/>
      <c r="U868" s="128"/>
      <c r="V868" s="128"/>
      <c r="W868" s="128"/>
      <c r="X868" s="128"/>
      <c r="Y868" s="128"/>
      <c r="Z868" s="112"/>
      <c r="AA868" s="112"/>
      <c r="AB868" s="112"/>
      <c r="AC868" s="112"/>
      <c r="AD868" s="112"/>
      <c r="AE868" s="112"/>
      <c r="AF868" s="112"/>
      <c r="AG868" s="112"/>
      <c r="AH868" s="112"/>
      <c r="AI868" s="112"/>
      <c r="AJ868" s="112"/>
      <c r="AK868" s="112"/>
      <c r="AL868" s="112"/>
      <c r="AM868" s="112"/>
      <c r="AN868" s="112"/>
      <c r="AO868" s="112"/>
      <c r="AP868" s="112"/>
    </row>
    <row r="869" ht="15.75" customHeight="1">
      <c r="A869" s="112"/>
      <c r="B869" s="112"/>
      <c r="C869" s="112"/>
      <c r="D869" s="112"/>
      <c r="E869" s="128"/>
      <c r="F869" s="112"/>
      <c r="G869" s="112"/>
      <c r="H869" s="128"/>
      <c r="I869" s="112"/>
      <c r="J869" s="112"/>
      <c r="K869" s="112"/>
      <c r="L869" s="128"/>
      <c r="M869" s="128"/>
      <c r="N869" s="112"/>
      <c r="O869" s="112"/>
      <c r="P869" s="112"/>
      <c r="Q869" s="112"/>
      <c r="R869" s="112"/>
      <c r="S869" s="112"/>
      <c r="T869" s="128"/>
      <c r="U869" s="128"/>
      <c r="V869" s="128"/>
      <c r="W869" s="128"/>
      <c r="X869" s="128"/>
      <c r="Y869" s="128"/>
      <c r="Z869" s="112"/>
      <c r="AA869" s="112"/>
      <c r="AB869" s="112"/>
      <c r="AC869" s="112"/>
      <c r="AD869" s="112"/>
      <c r="AE869" s="112"/>
      <c r="AF869" s="112"/>
      <c r="AG869" s="112"/>
      <c r="AH869" s="112"/>
      <c r="AI869" s="112"/>
      <c r="AJ869" s="112"/>
      <c r="AK869" s="112"/>
      <c r="AL869" s="112"/>
      <c r="AM869" s="112"/>
      <c r="AN869" s="112"/>
      <c r="AO869" s="112"/>
      <c r="AP869" s="112"/>
    </row>
    <row r="870" ht="15.75" customHeight="1">
      <c r="A870" s="112"/>
      <c r="B870" s="112"/>
      <c r="C870" s="112"/>
      <c r="D870" s="112"/>
      <c r="E870" s="128"/>
      <c r="F870" s="112"/>
      <c r="G870" s="112"/>
      <c r="H870" s="128"/>
      <c r="I870" s="112"/>
      <c r="J870" s="112"/>
      <c r="K870" s="112"/>
      <c r="L870" s="128"/>
      <c r="M870" s="128"/>
      <c r="N870" s="112"/>
      <c r="O870" s="112"/>
      <c r="P870" s="112"/>
      <c r="Q870" s="112"/>
      <c r="R870" s="112"/>
      <c r="S870" s="112"/>
      <c r="T870" s="128"/>
      <c r="U870" s="128"/>
      <c r="V870" s="128"/>
      <c r="W870" s="128"/>
      <c r="X870" s="128"/>
      <c r="Y870" s="128"/>
      <c r="Z870" s="112"/>
      <c r="AA870" s="112"/>
      <c r="AB870" s="112"/>
      <c r="AC870" s="112"/>
      <c r="AD870" s="112"/>
      <c r="AE870" s="112"/>
      <c r="AF870" s="112"/>
      <c r="AG870" s="112"/>
      <c r="AH870" s="112"/>
      <c r="AI870" s="112"/>
      <c r="AJ870" s="112"/>
      <c r="AK870" s="112"/>
      <c r="AL870" s="112"/>
      <c r="AM870" s="112"/>
      <c r="AN870" s="112"/>
      <c r="AO870" s="112"/>
      <c r="AP870" s="112"/>
    </row>
    <row r="871" ht="15.75" customHeight="1">
      <c r="A871" s="112"/>
      <c r="B871" s="112"/>
      <c r="C871" s="112"/>
      <c r="D871" s="112"/>
      <c r="E871" s="128"/>
      <c r="F871" s="112"/>
      <c r="G871" s="112"/>
      <c r="H871" s="128"/>
      <c r="I871" s="112"/>
      <c r="J871" s="112"/>
      <c r="K871" s="112"/>
      <c r="L871" s="128"/>
      <c r="M871" s="128"/>
      <c r="N871" s="112"/>
      <c r="O871" s="112"/>
      <c r="P871" s="112"/>
      <c r="Q871" s="112"/>
      <c r="R871" s="112"/>
      <c r="S871" s="112"/>
      <c r="T871" s="128"/>
      <c r="U871" s="128"/>
      <c r="V871" s="128"/>
      <c r="W871" s="128"/>
      <c r="X871" s="128"/>
      <c r="Y871" s="128"/>
      <c r="Z871" s="112"/>
      <c r="AA871" s="112"/>
      <c r="AB871" s="112"/>
      <c r="AC871" s="112"/>
      <c r="AD871" s="112"/>
      <c r="AE871" s="112"/>
      <c r="AF871" s="112"/>
      <c r="AG871" s="112"/>
      <c r="AH871" s="112"/>
      <c r="AI871" s="112"/>
      <c r="AJ871" s="112"/>
      <c r="AK871" s="112"/>
      <c r="AL871" s="112"/>
      <c r="AM871" s="112"/>
      <c r="AN871" s="112"/>
      <c r="AO871" s="112"/>
      <c r="AP871" s="112"/>
    </row>
    <row r="872" ht="15.75" customHeight="1">
      <c r="A872" s="112"/>
      <c r="B872" s="112"/>
      <c r="C872" s="112"/>
      <c r="D872" s="112"/>
      <c r="E872" s="128"/>
      <c r="F872" s="112"/>
      <c r="G872" s="112"/>
      <c r="H872" s="128"/>
      <c r="I872" s="112"/>
      <c r="J872" s="112"/>
      <c r="K872" s="112"/>
      <c r="L872" s="128"/>
      <c r="M872" s="128"/>
      <c r="N872" s="112"/>
      <c r="O872" s="112"/>
      <c r="P872" s="112"/>
      <c r="Q872" s="112"/>
      <c r="R872" s="112"/>
      <c r="S872" s="112"/>
      <c r="T872" s="128"/>
      <c r="U872" s="128"/>
      <c r="V872" s="128"/>
      <c r="W872" s="128"/>
      <c r="X872" s="128"/>
      <c r="Y872" s="128"/>
      <c r="Z872" s="112"/>
      <c r="AA872" s="112"/>
      <c r="AB872" s="112"/>
      <c r="AC872" s="112"/>
      <c r="AD872" s="112"/>
      <c r="AE872" s="112"/>
      <c r="AF872" s="112"/>
      <c r="AG872" s="112"/>
      <c r="AH872" s="112"/>
      <c r="AI872" s="112"/>
      <c r="AJ872" s="112"/>
      <c r="AK872" s="112"/>
      <c r="AL872" s="112"/>
      <c r="AM872" s="112"/>
      <c r="AN872" s="112"/>
      <c r="AO872" s="112"/>
      <c r="AP872" s="112"/>
    </row>
    <row r="873" ht="15.75" customHeight="1">
      <c r="A873" s="112"/>
      <c r="B873" s="112"/>
      <c r="C873" s="112"/>
      <c r="D873" s="112"/>
      <c r="E873" s="128"/>
      <c r="F873" s="112"/>
      <c r="G873" s="112"/>
      <c r="H873" s="128"/>
      <c r="I873" s="112"/>
      <c r="J873" s="112"/>
      <c r="K873" s="112"/>
      <c r="L873" s="128"/>
      <c r="M873" s="128"/>
      <c r="N873" s="112"/>
      <c r="O873" s="112"/>
      <c r="P873" s="112"/>
      <c r="Q873" s="112"/>
      <c r="R873" s="112"/>
      <c r="S873" s="112"/>
      <c r="T873" s="128"/>
      <c r="U873" s="128"/>
      <c r="V873" s="128"/>
      <c r="W873" s="128"/>
      <c r="X873" s="128"/>
      <c r="Y873" s="128"/>
      <c r="Z873" s="112"/>
      <c r="AA873" s="112"/>
      <c r="AB873" s="112"/>
      <c r="AC873" s="112"/>
      <c r="AD873" s="112"/>
      <c r="AE873" s="112"/>
      <c r="AF873" s="112"/>
      <c r="AG873" s="112"/>
      <c r="AH873" s="112"/>
      <c r="AI873" s="112"/>
      <c r="AJ873" s="112"/>
      <c r="AK873" s="112"/>
      <c r="AL873" s="112"/>
      <c r="AM873" s="112"/>
      <c r="AN873" s="112"/>
      <c r="AO873" s="112"/>
      <c r="AP873" s="112"/>
    </row>
    <row r="874" ht="15.75" customHeight="1">
      <c r="A874" s="112"/>
      <c r="B874" s="112"/>
      <c r="C874" s="112"/>
      <c r="D874" s="112"/>
      <c r="E874" s="128"/>
      <c r="F874" s="112"/>
      <c r="G874" s="112"/>
      <c r="H874" s="128"/>
      <c r="I874" s="112"/>
      <c r="J874" s="112"/>
      <c r="K874" s="112"/>
      <c r="L874" s="128"/>
      <c r="M874" s="128"/>
      <c r="N874" s="112"/>
      <c r="O874" s="112"/>
      <c r="P874" s="112"/>
      <c r="Q874" s="112"/>
      <c r="R874" s="112"/>
      <c r="S874" s="112"/>
      <c r="T874" s="128"/>
      <c r="U874" s="128"/>
      <c r="V874" s="128"/>
      <c r="W874" s="128"/>
      <c r="X874" s="128"/>
      <c r="Y874" s="128"/>
      <c r="Z874" s="112"/>
      <c r="AA874" s="112"/>
      <c r="AB874" s="112"/>
      <c r="AC874" s="112"/>
      <c r="AD874" s="112"/>
      <c r="AE874" s="112"/>
      <c r="AF874" s="112"/>
      <c r="AG874" s="112"/>
      <c r="AH874" s="112"/>
      <c r="AI874" s="112"/>
      <c r="AJ874" s="112"/>
      <c r="AK874" s="112"/>
      <c r="AL874" s="112"/>
      <c r="AM874" s="112"/>
      <c r="AN874" s="112"/>
      <c r="AO874" s="112"/>
      <c r="AP874" s="112"/>
    </row>
    <row r="875" ht="15.75" customHeight="1">
      <c r="A875" s="112"/>
      <c r="B875" s="112"/>
      <c r="C875" s="112"/>
      <c r="D875" s="112"/>
      <c r="E875" s="128"/>
      <c r="F875" s="112"/>
      <c r="G875" s="112"/>
      <c r="H875" s="128"/>
      <c r="I875" s="112"/>
      <c r="J875" s="112"/>
      <c r="K875" s="112"/>
      <c r="L875" s="128"/>
      <c r="M875" s="128"/>
      <c r="N875" s="112"/>
      <c r="O875" s="112"/>
      <c r="P875" s="112"/>
      <c r="Q875" s="112"/>
      <c r="R875" s="112"/>
      <c r="S875" s="112"/>
      <c r="T875" s="128"/>
      <c r="U875" s="128"/>
      <c r="V875" s="128"/>
      <c r="W875" s="128"/>
      <c r="X875" s="128"/>
      <c r="Y875" s="128"/>
      <c r="Z875" s="112"/>
      <c r="AA875" s="112"/>
      <c r="AB875" s="112"/>
      <c r="AC875" s="112"/>
      <c r="AD875" s="112"/>
      <c r="AE875" s="112"/>
      <c r="AF875" s="112"/>
      <c r="AG875" s="112"/>
      <c r="AH875" s="112"/>
      <c r="AI875" s="112"/>
      <c r="AJ875" s="112"/>
      <c r="AK875" s="112"/>
      <c r="AL875" s="112"/>
      <c r="AM875" s="112"/>
      <c r="AN875" s="112"/>
      <c r="AO875" s="112"/>
      <c r="AP875" s="112"/>
    </row>
    <row r="876" ht="15.75" customHeight="1">
      <c r="A876" s="112"/>
      <c r="B876" s="112"/>
      <c r="C876" s="112"/>
      <c r="D876" s="112"/>
      <c r="E876" s="128"/>
      <c r="F876" s="112"/>
      <c r="G876" s="112"/>
      <c r="H876" s="128"/>
      <c r="I876" s="112"/>
      <c r="J876" s="112"/>
      <c r="K876" s="112"/>
      <c r="L876" s="128"/>
      <c r="M876" s="128"/>
      <c r="N876" s="112"/>
      <c r="O876" s="112"/>
      <c r="P876" s="112"/>
      <c r="Q876" s="112"/>
      <c r="R876" s="112"/>
      <c r="S876" s="112"/>
      <c r="T876" s="128"/>
      <c r="U876" s="128"/>
      <c r="V876" s="128"/>
      <c r="W876" s="128"/>
      <c r="X876" s="128"/>
      <c r="Y876" s="128"/>
      <c r="Z876" s="112"/>
      <c r="AA876" s="112"/>
      <c r="AB876" s="112"/>
      <c r="AC876" s="112"/>
      <c r="AD876" s="112"/>
      <c r="AE876" s="112"/>
      <c r="AF876" s="112"/>
      <c r="AG876" s="112"/>
      <c r="AH876" s="112"/>
      <c r="AI876" s="112"/>
      <c r="AJ876" s="112"/>
      <c r="AK876" s="112"/>
      <c r="AL876" s="112"/>
      <c r="AM876" s="112"/>
      <c r="AN876" s="112"/>
      <c r="AO876" s="112"/>
      <c r="AP876" s="112"/>
    </row>
    <row r="877" ht="15.75" customHeight="1">
      <c r="A877" s="112"/>
      <c r="B877" s="112"/>
      <c r="C877" s="112"/>
      <c r="D877" s="112"/>
      <c r="E877" s="128"/>
      <c r="F877" s="112"/>
      <c r="G877" s="112"/>
      <c r="H877" s="128"/>
      <c r="I877" s="112"/>
      <c r="J877" s="112"/>
      <c r="K877" s="112"/>
      <c r="L877" s="128"/>
      <c r="M877" s="128"/>
      <c r="N877" s="112"/>
      <c r="O877" s="112"/>
      <c r="P877" s="112"/>
      <c r="Q877" s="112"/>
      <c r="R877" s="112"/>
      <c r="S877" s="112"/>
      <c r="T877" s="128"/>
      <c r="U877" s="128"/>
      <c r="V877" s="128"/>
      <c r="W877" s="128"/>
      <c r="X877" s="128"/>
      <c r="Y877" s="128"/>
      <c r="Z877" s="112"/>
      <c r="AA877" s="112"/>
      <c r="AB877" s="112"/>
      <c r="AC877" s="112"/>
      <c r="AD877" s="112"/>
      <c r="AE877" s="112"/>
      <c r="AF877" s="112"/>
      <c r="AG877" s="112"/>
      <c r="AH877" s="112"/>
      <c r="AI877" s="112"/>
      <c r="AJ877" s="112"/>
      <c r="AK877" s="112"/>
      <c r="AL877" s="112"/>
      <c r="AM877" s="112"/>
      <c r="AN877" s="112"/>
      <c r="AO877" s="112"/>
      <c r="AP877" s="112"/>
    </row>
    <row r="878" ht="15.75" customHeight="1">
      <c r="A878" s="112"/>
      <c r="B878" s="112"/>
      <c r="C878" s="112"/>
      <c r="D878" s="112"/>
      <c r="E878" s="128"/>
      <c r="F878" s="112"/>
      <c r="G878" s="112"/>
      <c r="H878" s="128"/>
      <c r="I878" s="112"/>
      <c r="J878" s="112"/>
      <c r="K878" s="112"/>
      <c r="L878" s="128"/>
      <c r="M878" s="128"/>
      <c r="N878" s="112"/>
      <c r="O878" s="112"/>
      <c r="P878" s="112"/>
      <c r="Q878" s="112"/>
      <c r="R878" s="112"/>
      <c r="S878" s="112"/>
      <c r="T878" s="128"/>
      <c r="U878" s="128"/>
      <c r="V878" s="128"/>
      <c r="W878" s="128"/>
      <c r="X878" s="128"/>
      <c r="Y878" s="128"/>
      <c r="Z878" s="112"/>
      <c r="AA878" s="112"/>
      <c r="AB878" s="112"/>
      <c r="AC878" s="112"/>
      <c r="AD878" s="112"/>
      <c r="AE878" s="112"/>
      <c r="AF878" s="112"/>
      <c r="AG878" s="112"/>
      <c r="AH878" s="112"/>
      <c r="AI878" s="112"/>
      <c r="AJ878" s="112"/>
      <c r="AK878" s="112"/>
      <c r="AL878" s="112"/>
      <c r="AM878" s="112"/>
      <c r="AN878" s="112"/>
      <c r="AO878" s="112"/>
      <c r="AP878" s="112"/>
    </row>
    <row r="879" ht="15.75" customHeight="1">
      <c r="A879" s="112"/>
      <c r="B879" s="112"/>
      <c r="C879" s="112"/>
      <c r="D879" s="112"/>
      <c r="E879" s="128"/>
      <c r="F879" s="112"/>
      <c r="G879" s="112"/>
      <c r="H879" s="128"/>
      <c r="I879" s="112"/>
      <c r="J879" s="112"/>
      <c r="K879" s="112"/>
      <c r="L879" s="128"/>
      <c r="M879" s="128"/>
      <c r="N879" s="112"/>
      <c r="O879" s="112"/>
      <c r="P879" s="112"/>
      <c r="Q879" s="112"/>
      <c r="R879" s="112"/>
      <c r="S879" s="112"/>
      <c r="T879" s="128"/>
      <c r="U879" s="128"/>
      <c r="V879" s="128"/>
      <c r="W879" s="128"/>
      <c r="X879" s="128"/>
      <c r="Y879" s="128"/>
      <c r="Z879" s="112"/>
      <c r="AA879" s="112"/>
      <c r="AB879" s="112"/>
      <c r="AC879" s="112"/>
      <c r="AD879" s="112"/>
      <c r="AE879" s="112"/>
      <c r="AF879" s="112"/>
      <c r="AG879" s="112"/>
      <c r="AH879" s="112"/>
      <c r="AI879" s="112"/>
      <c r="AJ879" s="112"/>
      <c r="AK879" s="112"/>
      <c r="AL879" s="112"/>
      <c r="AM879" s="112"/>
      <c r="AN879" s="112"/>
      <c r="AO879" s="112"/>
      <c r="AP879" s="112"/>
    </row>
    <row r="880" ht="15.75" customHeight="1">
      <c r="A880" s="112"/>
      <c r="B880" s="112"/>
      <c r="C880" s="112"/>
      <c r="D880" s="112"/>
      <c r="E880" s="128"/>
      <c r="F880" s="112"/>
      <c r="G880" s="112"/>
      <c r="H880" s="128"/>
      <c r="I880" s="112"/>
      <c r="J880" s="112"/>
      <c r="K880" s="112"/>
      <c r="L880" s="128"/>
      <c r="M880" s="128"/>
      <c r="N880" s="112"/>
      <c r="O880" s="112"/>
      <c r="P880" s="112"/>
      <c r="Q880" s="112"/>
      <c r="R880" s="112"/>
      <c r="S880" s="112"/>
      <c r="T880" s="128"/>
      <c r="U880" s="128"/>
      <c r="V880" s="128"/>
      <c r="W880" s="128"/>
      <c r="X880" s="128"/>
      <c r="Y880" s="128"/>
      <c r="Z880" s="112"/>
      <c r="AA880" s="112"/>
      <c r="AB880" s="112"/>
      <c r="AC880" s="112"/>
      <c r="AD880" s="112"/>
      <c r="AE880" s="112"/>
      <c r="AF880" s="112"/>
      <c r="AG880" s="112"/>
      <c r="AH880" s="112"/>
      <c r="AI880" s="112"/>
      <c r="AJ880" s="112"/>
      <c r="AK880" s="112"/>
      <c r="AL880" s="112"/>
      <c r="AM880" s="112"/>
      <c r="AN880" s="112"/>
      <c r="AO880" s="112"/>
      <c r="AP880" s="112"/>
    </row>
    <row r="881" ht="15.75" customHeight="1">
      <c r="A881" s="112"/>
      <c r="B881" s="112"/>
      <c r="C881" s="112"/>
      <c r="D881" s="112"/>
      <c r="E881" s="128"/>
      <c r="F881" s="112"/>
      <c r="G881" s="112"/>
      <c r="H881" s="128"/>
      <c r="I881" s="112"/>
      <c r="J881" s="112"/>
      <c r="K881" s="112"/>
      <c r="L881" s="128"/>
      <c r="M881" s="128"/>
      <c r="N881" s="112"/>
      <c r="O881" s="112"/>
      <c r="P881" s="112"/>
      <c r="Q881" s="112"/>
      <c r="R881" s="112"/>
      <c r="S881" s="112"/>
      <c r="T881" s="128"/>
      <c r="U881" s="128"/>
      <c r="V881" s="128"/>
      <c r="W881" s="128"/>
      <c r="X881" s="128"/>
      <c r="Y881" s="128"/>
      <c r="Z881" s="112"/>
      <c r="AA881" s="112"/>
      <c r="AB881" s="112"/>
      <c r="AC881" s="112"/>
      <c r="AD881" s="112"/>
      <c r="AE881" s="112"/>
      <c r="AF881" s="112"/>
      <c r="AG881" s="112"/>
      <c r="AH881" s="112"/>
      <c r="AI881" s="112"/>
      <c r="AJ881" s="112"/>
      <c r="AK881" s="112"/>
      <c r="AL881" s="112"/>
      <c r="AM881" s="112"/>
      <c r="AN881" s="112"/>
      <c r="AO881" s="112"/>
      <c r="AP881" s="112"/>
    </row>
    <row r="882" ht="15.75" customHeight="1">
      <c r="A882" s="112"/>
      <c r="B882" s="112"/>
      <c r="C882" s="112"/>
      <c r="D882" s="112"/>
      <c r="E882" s="128"/>
      <c r="F882" s="112"/>
      <c r="G882" s="112"/>
      <c r="H882" s="128"/>
      <c r="I882" s="112"/>
      <c r="J882" s="112"/>
      <c r="K882" s="112"/>
      <c r="L882" s="128"/>
      <c r="M882" s="128"/>
      <c r="N882" s="112"/>
      <c r="O882" s="112"/>
      <c r="P882" s="112"/>
      <c r="Q882" s="112"/>
      <c r="R882" s="112"/>
      <c r="S882" s="112"/>
      <c r="T882" s="128"/>
      <c r="U882" s="128"/>
      <c r="V882" s="128"/>
      <c r="W882" s="128"/>
      <c r="X882" s="128"/>
      <c r="Y882" s="128"/>
      <c r="Z882" s="112"/>
      <c r="AA882" s="112"/>
      <c r="AB882" s="112"/>
      <c r="AC882" s="112"/>
      <c r="AD882" s="112"/>
      <c r="AE882" s="112"/>
      <c r="AF882" s="112"/>
      <c r="AG882" s="112"/>
      <c r="AH882" s="112"/>
      <c r="AI882" s="112"/>
      <c r="AJ882" s="112"/>
      <c r="AK882" s="112"/>
      <c r="AL882" s="112"/>
      <c r="AM882" s="112"/>
      <c r="AN882" s="112"/>
      <c r="AO882" s="112"/>
      <c r="AP882" s="112"/>
    </row>
    <row r="883" ht="15.75" customHeight="1">
      <c r="A883" s="112"/>
      <c r="B883" s="112"/>
      <c r="C883" s="112"/>
      <c r="D883" s="112"/>
      <c r="E883" s="128"/>
      <c r="F883" s="112"/>
      <c r="G883" s="112"/>
      <c r="H883" s="128"/>
      <c r="I883" s="112"/>
      <c r="J883" s="112"/>
      <c r="K883" s="112"/>
      <c r="L883" s="128"/>
      <c r="M883" s="128"/>
      <c r="N883" s="112"/>
      <c r="O883" s="112"/>
      <c r="P883" s="112"/>
      <c r="Q883" s="112"/>
      <c r="R883" s="112"/>
      <c r="S883" s="112"/>
      <c r="T883" s="128"/>
      <c r="U883" s="128"/>
      <c r="V883" s="128"/>
      <c r="W883" s="128"/>
      <c r="X883" s="128"/>
      <c r="Y883" s="128"/>
      <c r="Z883" s="112"/>
      <c r="AA883" s="112"/>
      <c r="AB883" s="112"/>
      <c r="AC883" s="112"/>
      <c r="AD883" s="112"/>
      <c r="AE883" s="112"/>
      <c r="AF883" s="112"/>
      <c r="AG883" s="112"/>
      <c r="AH883" s="112"/>
      <c r="AI883" s="112"/>
      <c r="AJ883" s="112"/>
      <c r="AK883" s="112"/>
      <c r="AL883" s="112"/>
      <c r="AM883" s="112"/>
      <c r="AN883" s="112"/>
      <c r="AO883" s="112"/>
      <c r="AP883" s="112"/>
    </row>
    <row r="884" ht="15.75" customHeight="1">
      <c r="A884" s="112"/>
      <c r="B884" s="112"/>
      <c r="C884" s="112"/>
      <c r="D884" s="112"/>
      <c r="E884" s="128"/>
      <c r="F884" s="112"/>
      <c r="G884" s="112"/>
      <c r="H884" s="128"/>
      <c r="I884" s="112"/>
      <c r="J884" s="112"/>
      <c r="K884" s="112"/>
      <c r="L884" s="128"/>
      <c r="M884" s="128"/>
      <c r="N884" s="112"/>
      <c r="O884" s="112"/>
      <c r="P884" s="112"/>
      <c r="Q884" s="112"/>
      <c r="R884" s="112"/>
      <c r="S884" s="112"/>
      <c r="T884" s="128"/>
      <c r="U884" s="128"/>
      <c r="V884" s="128"/>
      <c r="W884" s="128"/>
      <c r="X884" s="128"/>
      <c r="Y884" s="128"/>
      <c r="Z884" s="112"/>
      <c r="AA884" s="112"/>
      <c r="AB884" s="112"/>
      <c r="AC884" s="112"/>
      <c r="AD884" s="112"/>
      <c r="AE884" s="112"/>
      <c r="AF884" s="112"/>
      <c r="AG884" s="112"/>
      <c r="AH884" s="112"/>
      <c r="AI884" s="112"/>
      <c r="AJ884" s="112"/>
      <c r="AK884" s="112"/>
      <c r="AL884" s="112"/>
      <c r="AM884" s="112"/>
      <c r="AN884" s="112"/>
      <c r="AO884" s="112"/>
      <c r="AP884" s="112"/>
    </row>
    <row r="885" ht="15.75" customHeight="1">
      <c r="A885" s="112"/>
      <c r="B885" s="112"/>
      <c r="C885" s="112"/>
      <c r="D885" s="112"/>
      <c r="E885" s="128"/>
      <c r="F885" s="112"/>
      <c r="G885" s="112"/>
      <c r="H885" s="128"/>
      <c r="I885" s="112"/>
      <c r="J885" s="112"/>
      <c r="K885" s="112"/>
      <c r="L885" s="128"/>
      <c r="M885" s="128"/>
      <c r="N885" s="112"/>
      <c r="O885" s="112"/>
      <c r="P885" s="112"/>
      <c r="Q885" s="112"/>
      <c r="R885" s="112"/>
      <c r="S885" s="112"/>
      <c r="T885" s="128"/>
      <c r="U885" s="128"/>
      <c r="V885" s="128"/>
      <c r="W885" s="128"/>
      <c r="X885" s="128"/>
      <c r="Y885" s="128"/>
      <c r="Z885" s="112"/>
      <c r="AA885" s="112"/>
      <c r="AB885" s="112"/>
      <c r="AC885" s="112"/>
      <c r="AD885" s="112"/>
      <c r="AE885" s="112"/>
      <c r="AF885" s="112"/>
      <c r="AG885" s="112"/>
      <c r="AH885" s="112"/>
      <c r="AI885" s="112"/>
      <c r="AJ885" s="112"/>
      <c r="AK885" s="112"/>
      <c r="AL885" s="112"/>
      <c r="AM885" s="112"/>
      <c r="AN885" s="112"/>
      <c r="AO885" s="112"/>
      <c r="AP885" s="112"/>
    </row>
    <row r="886" ht="15.75" customHeight="1">
      <c r="A886" s="112"/>
      <c r="B886" s="112"/>
      <c r="C886" s="112"/>
      <c r="D886" s="112"/>
      <c r="E886" s="128"/>
      <c r="F886" s="112"/>
      <c r="G886" s="112"/>
      <c r="H886" s="128"/>
      <c r="I886" s="112"/>
      <c r="J886" s="112"/>
      <c r="K886" s="112"/>
      <c r="L886" s="128"/>
      <c r="M886" s="128"/>
      <c r="N886" s="112"/>
      <c r="O886" s="112"/>
      <c r="P886" s="112"/>
      <c r="Q886" s="112"/>
      <c r="R886" s="112"/>
      <c r="S886" s="112"/>
      <c r="T886" s="128"/>
      <c r="U886" s="128"/>
      <c r="V886" s="128"/>
      <c r="W886" s="128"/>
      <c r="X886" s="128"/>
      <c r="Y886" s="128"/>
      <c r="Z886" s="112"/>
      <c r="AA886" s="112"/>
      <c r="AB886" s="112"/>
      <c r="AC886" s="112"/>
      <c r="AD886" s="112"/>
      <c r="AE886" s="112"/>
      <c r="AF886" s="112"/>
      <c r="AG886" s="112"/>
      <c r="AH886" s="112"/>
      <c r="AI886" s="112"/>
      <c r="AJ886" s="112"/>
      <c r="AK886" s="112"/>
      <c r="AL886" s="112"/>
      <c r="AM886" s="112"/>
      <c r="AN886" s="112"/>
      <c r="AO886" s="112"/>
      <c r="AP886" s="112"/>
    </row>
    <row r="887" ht="15.75" customHeight="1">
      <c r="A887" s="112"/>
      <c r="B887" s="112"/>
      <c r="C887" s="112"/>
      <c r="D887" s="112"/>
      <c r="E887" s="128"/>
      <c r="F887" s="112"/>
      <c r="G887" s="112"/>
      <c r="H887" s="128"/>
      <c r="I887" s="112"/>
      <c r="J887" s="112"/>
      <c r="K887" s="112"/>
      <c r="L887" s="128"/>
      <c r="M887" s="128"/>
      <c r="N887" s="112"/>
      <c r="O887" s="112"/>
      <c r="P887" s="112"/>
      <c r="Q887" s="112"/>
      <c r="R887" s="112"/>
      <c r="S887" s="112"/>
      <c r="T887" s="128"/>
      <c r="U887" s="128"/>
      <c r="V887" s="128"/>
      <c r="W887" s="128"/>
      <c r="X887" s="128"/>
      <c r="Y887" s="128"/>
      <c r="Z887" s="112"/>
      <c r="AA887" s="112"/>
      <c r="AB887" s="112"/>
      <c r="AC887" s="112"/>
      <c r="AD887" s="112"/>
      <c r="AE887" s="112"/>
      <c r="AF887" s="112"/>
      <c r="AG887" s="112"/>
      <c r="AH887" s="112"/>
      <c r="AI887" s="112"/>
      <c r="AJ887" s="112"/>
      <c r="AK887" s="112"/>
      <c r="AL887" s="112"/>
      <c r="AM887" s="112"/>
      <c r="AN887" s="112"/>
      <c r="AO887" s="112"/>
      <c r="AP887" s="112"/>
    </row>
    <row r="888" ht="15.75" customHeight="1">
      <c r="A888" s="112"/>
      <c r="B888" s="112"/>
      <c r="C888" s="112"/>
      <c r="D888" s="112"/>
      <c r="E888" s="128"/>
      <c r="F888" s="112"/>
      <c r="G888" s="112"/>
      <c r="H888" s="128"/>
      <c r="I888" s="112"/>
      <c r="J888" s="112"/>
      <c r="K888" s="112"/>
      <c r="L888" s="128"/>
      <c r="M888" s="128"/>
      <c r="N888" s="112"/>
      <c r="O888" s="112"/>
      <c r="P888" s="112"/>
      <c r="Q888" s="112"/>
      <c r="R888" s="112"/>
      <c r="S888" s="112"/>
      <c r="T888" s="128"/>
      <c r="U888" s="128"/>
      <c r="V888" s="128"/>
      <c r="W888" s="128"/>
      <c r="X888" s="128"/>
      <c r="Y888" s="128"/>
      <c r="Z888" s="112"/>
      <c r="AA888" s="112"/>
      <c r="AB888" s="112"/>
      <c r="AC888" s="112"/>
      <c r="AD888" s="112"/>
      <c r="AE888" s="112"/>
      <c r="AF888" s="112"/>
      <c r="AG888" s="112"/>
      <c r="AH888" s="112"/>
      <c r="AI888" s="112"/>
      <c r="AJ888" s="112"/>
      <c r="AK888" s="112"/>
      <c r="AL888" s="112"/>
      <c r="AM888" s="112"/>
      <c r="AN888" s="112"/>
      <c r="AO888" s="112"/>
      <c r="AP888" s="112"/>
    </row>
    <row r="889" ht="15.75" customHeight="1">
      <c r="A889" s="112"/>
      <c r="B889" s="112"/>
      <c r="C889" s="112"/>
      <c r="D889" s="112"/>
      <c r="E889" s="128"/>
      <c r="F889" s="112"/>
      <c r="G889" s="112"/>
      <c r="H889" s="128"/>
      <c r="I889" s="112"/>
      <c r="J889" s="112"/>
      <c r="K889" s="112"/>
      <c r="L889" s="128"/>
      <c r="M889" s="128"/>
      <c r="N889" s="112"/>
      <c r="O889" s="112"/>
      <c r="P889" s="112"/>
      <c r="Q889" s="112"/>
      <c r="R889" s="112"/>
      <c r="S889" s="112"/>
      <c r="T889" s="128"/>
      <c r="U889" s="128"/>
      <c r="V889" s="128"/>
      <c r="W889" s="128"/>
      <c r="X889" s="128"/>
      <c r="Y889" s="128"/>
      <c r="Z889" s="112"/>
      <c r="AA889" s="112"/>
      <c r="AB889" s="112"/>
      <c r="AC889" s="112"/>
      <c r="AD889" s="112"/>
      <c r="AE889" s="112"/>
      <c r="AF889" s="112"/>
      <c r="AG889" s="112"/>
      <c r="AH889" s="112"/>
      <c r="AI889" s="112"/>
      <c r="AJ889" s="112"/>
      <c r="AK889" s="112"/>
      <c r="AL889" s="112"/>
      <c r="AM889" s="112"/>
      <c r="AN889" s="112"/>
      <c r="AO889" s="112"/>
      <c r="AP889" s="112"/>
    </row>
    <row r="890" ht="15.75" customHeight="1">
      <c r="A890" s="112"/>
      <c r="B890" s="112"/>
      <c r="C890" s="112"/>
      <c r="D890" s="112"/>
      <c r="E890" s="128"/>
      <c r="F890" s="112"/>
      <c r="G890" s="112"/>
      <c r="H890" s="128"/>
      <c r="I890" s="112"/>
      <c r="J890" s="112"/>
      <c r="K890" s="112"/>
      <c r="L890" s="128"/>
      <c r="M890" s="128"/>
      <c r="N890" s="112"/>
      <c r="O890" s="112"/>
      <c r="P890" s="112"/>
      <c r="Q890" s="112"/>
      <c r="R890" s="112"/>
      <c r="S890" s="112"/>
      <c r="T890" s="128"/>
      <c r="U890" s="128"/>
      <c r="V890" s="128"/>
      <c r="W890" s="128"/>
      <c r="X890" s="128"/>
      <c r="Y890" s="128"/>
      <c r="Z890" s="112"/>
      <c r="AA890" s="112"/>
      <c r="AB890" s="112"/>
      <c r="AC890" s="112"/>
      <c r="AD890" s="112"/>
      <c r="AE890" s="112"/>
      <c r="AF890" s="112"/>
      <c r="AG890" s="112"/>
      <c r="AH890" s="112"/>
      <c r="AI890" s="112"/>
      <c r="AJ890" s="112"/>
      <c r="AK890" s="112"/>
      <c r="AL890" s="112"/>
      <c r="AM890" s="112"/>
      <c r="AN890" s="112"/>
      <c r="AO890" s="112"/>
      <c r="AP890" s="112"/>
    </row>
    <row r="891" ht="15.75" customHeight="1">
      <c r="A891" s="112"/>
      <c r="B891" s="112"/>
      <c r="C891" s="112"/>
      <c r="D891" s="112"/>
      <c r="E891" s="128"/>
      <c r="F891" s="112"/>
      <c r="G891" s="112"/>
      <c r="H891" s="128"/>
      <c r="I891" s="112"/>
      <c r="J891" s="112"/>
      <c r="K891" s="112"/>
      <c r="L891" s="128"/>
      <c r="M891" s="128"/>
      <c r="N891" s="112"/>
      <c r="O891" s="112"/>
      <c r="P891" s="112"/>
      <c r="Q891" s="112"/>
      <c r="R891" s="112"/>
      <c r="S891" s="112"/>
      <c r="T891" s="128"/>
      <c r="U891" s="128"/>
      <c r="V891" s="128"/>
      <c r="W891" s="128"/>
      <c r="X891" s="128"/>
      <c r="Y891" s="128"/>
      <c r="Z891" s="112"/>
      <c r="AA891" s="112"/>
      <c r="AB891" s="112"/>
      <c r="AC891" s="112"/>
      <c r="AD891" s="112"/>
      <c r="AE891" s="112"/>
      <c r="AF891" s="112"/>
      <c r="AG891" s="112"/>
      <c r="AH891" s="112"/>
      <c r="AI891" s="112"/>
      <c r="AJ891" s="112"/>
      <c r="AK891" s="112"/>
      <c r="AL891" s="112"/>
      <c r="AM891" s="112"/>
      <c r="AN891" s="112"/>
      <c r="AO891" s="112"/>
      <c r="AP891" s="112"/>
    </row>
    <row r="892" ht="15.75" customHeight="1">
      <c r="A892" s="112"/>
      <c r="B892" s="112"/>
      <c r="C892" s="112"/>
      <c r="D892" s="112"/>
      <c r="E892" s="128"/>
      <c r="F892" s="112"/>
      <c r="G892" s="112"/>
      <c r="H892" s="128"/>
      <c r="I892" s="112"/>
      <c r="J892" s="112"/>
      <c r="K892" s="112"/>
      <c r="L892" s="128"/>
      <c r="M892" s="128"/>
      <c r="N892" s="112"/>
      <c r="O892" s="112"/>
      <c r="P892" s="112"/>
      <c r="Q892" s="112"/>
      <c r="R892" s="112"/>
      <c r="S892" s="112"/>
      <c r="T892" s="128"/>
      <c r="U892" s="128"/>
      <c r="V892" s="128"/>
      <c r="W892" s="128"/>
      <c r="X892" s="128"/>
      <c r="Y892" s="128"/>
      <c r="Z892" s="112"/>
      <c r="AA892" s="112"/>
      <c r="AB892" s="112"/>
      <c r="AC892" s="112"/>
      <c r="AD892" s="112"/>
      <c r="AE892" s="112"/>
      <c r="AF892" s="112"/>
      <c r="AG892" s="112"/>
      <c r="AH892" s="112"/>
      <c r="AI892" s="112"/>
      <c r="AJ892" s="112"/>
      <c r="AK892" s="112"/>
      <c r="AL892" s="112"/>
      <c r="AM892" s="112"/>
      <c r="AN892" s="112"/>
      <c r="AO892" s="112"/>
      <c r="AP892" s="112"/>
    </row>
    <row r="893" ht="15.75" customHeight="1">
      <c r="A893" s="112"/>
      <c r="B893" s="112"/>
      <c r="C893" s="112"/>
      <c r="D893" s="112"/>
      <c r="E893" s="128"/>
      <c r="F893" s="112"/>
      <c r="G893" s="112"/>
      <c r="H893" s="128"/>
      <c r="I893" s="112"/>
      <c r="J893" s="112"/>
      <c r="K893" s="112"/>
      <c r="L893" s="128"/>
      <c r="M893" s="128"/>
      <c r="N893" s="112"/>
      <c r="O893" s="112"/>
      <c r="P893" s="112"/>
      <c r="Q893" s="112"/>
      <c r="R893" s="112"/>
      <c r="S893" s="112"/>
      <c r="T893" s="128"/>
      <c r="U893" s="128"/>
      <c r="V893" s="128"/>
      <c r="W893" s="128"/>
      <c r="X893" s="128"/>
      <c r="Y893" s="128"/>
      <c r="Z893" s="112"/>
      <c r="AA893" s="112"/>
      <c r="AB893" s="112"/>
      <c r="AC893" s="112"/>
      <c r="AD893" s="112"/>
      <c r="AE893" s="112"/>
      <c r="AF893" s="112"/>
      <c r="AG893" s="112"/>
      <c r="AH893" s="112"/>
      <c r="AI893" s="112"/>
      <c r="AJ893" s="112"/>
      <c r="AK893" s="112"/>
      <c r="AL893" s="112"/>
      <c r="AM893" s="112"/>
      <c r="AN893" s="112"/>
      <c r="AO893" s="112"/>
      <c r="AP893" s="112"/>
    </row>
    <row r="894" ht="15.75" customHeight="1">
      <c r="A894" s="112"/>
      <c r="B894" s="112"/>
      <c r="C894" s="112"/>
      <c r="D894" s="112"/>
      <c r="E894" s="128"/>
      <c r="F894" s="112"/>
      <c r="G894" s="112"/>
      <c r="H894" s="128"/>
      <c r="I894" s="112"/>
      <c r="J894" s="112"/>
      <c r="K894" s="112"/>
      <c r="L894" s="128"/>
      <c r="M894" s="128"/>
      <c r="N894" s="112"/>
      <c r="O894" s="112"/>
      <c r="P894" s="112"/>
      <c r="Q894" s="112"/>
      <c r="R894" s="112"/>
      <c r="S894" s="112"/>
      <c r="T894" s="128"/>
      <c r="U894" s="128"/>
      <c r="V894" s="128"/>
      <c r="W894" s="128"/>
      <c r="X894" s="128"/>
      <c r="Y894" s="128"/>
      <c r="Z894" s="112"/>
      <c r="AA894" s="112"/>
      <c r="AB894" s="112"/>
      <c r="AC894" s="112"/>
      <c r="AD894" s="112"/>
      <c r="AE894" s="112"/>
      <c r="AF894" s="112"/>
      <c r="AG894" s="112"/>
      <c r="AH894" s="112"/>
      <c r="AI894" s="112"/>
      <c r="AJ894" s="112"/>
      <c r="AK894" s="112"/>
      <c r="AL894" s="112"/>
      <c r="AM894" s="112"/>
      <c r="AN894" s="112"/>
      <c r="AO894" s="112"/>
      <c r="AP894" s="112"/>
    </row>
    <row r="895" ht="15.75" customHeight="1">
      <c r="A895" s="112"/>
      <c r="B895" s="112"/>
      <c r="C895" s="112"/>
      <c r="D895" s="112"/>
      <c r="E895" s="128"/>
      <c r="F895" s="112"/>
      <c r="G895" s="112"/>
      <c r="H895" s="128"/>
      <c r="I895" s="112"/>
      <c r="J895" s="112"/>
      <c r="K895" s="112"/>
      <c r="L895" s="128"/>
      <c r="M895" s="128"/>
      <c r="N895" s="112"/>
      <c r="O895" s="112"/>
      <c r="P895" s="112"/>
      <c r="Q895" s="112"/>
      <c r="R895" s="112"/>
      <c r="S895" s="112"/>
      <c r="T895" s="128"/>
      <c r="U895" s="128"/>
      <c r="V895" s="128"/>
      <c r="W895" s="128"/>
      <c r="X895" s="128"/>
      <c r="Y895" s="128"/>
      <c r="Z895" s="112"/>
      <c r="AA895" s="112"/>
      <c r="AB895" s="112"/>
      <c r="AC895" s="112"/>
      <c r="AD895" s="112"/>
      <c r="AE895" s="112"/>
      <c r="AF895" s="112"/>
      <c r="AG895" s="112"/>
      <c r="AH895" s="112"/>
      <c r="AI895" s="112"/>
      <c r="AJ895" s="112"/>
      <c r="AK895" s="112"/>
      <c r="AL895" s="112"/>
      <c r="AM895" s="112"/>
      <c r="AN895" s="112"/>
      <c r="AO895" s="112"/>
      <c r="AP895" s="112"/>
    </row>
    <row r="896" ht="15.75" customHeight="1">
      <c r="A896" s="112"/>
      <c r="B896" s="112"/>
      <c r="C896" s="112"/>
      <c r="D896" s="112"/>
      <c r="E896" s="128"/>
      <c r="F896" s="112"/>
      <c r="G896" s="112"/>
      <c r="H896" s="128"/>
      <c r="I896" s="112"/>
      <c r="J896" s="112"/>
      <c r="K896" s="112"/>
      <c r="L896" s="128"/>
      <c r="M896" s="128"/>
      <c r="N896" s="112"/>
      <c r="O896" s="112"/>
      <c r="P896" s="112"/>
      <c r="Q896" s="112"/>
      <c r="R896" s="112"/>
      <c r="S896" s="112"/>
      <c r="T896" s="128"/>
      <c r="U896" s="128"/>
      <c r="V896" s="128"/>
      <c r="W896" s="128"/>
      <c r="X896" s="128"/>
      <c r="Y896" s="128"/>
      <c r="Z896" s="112"/>
      <c r="AA896" s="112"/>
      <c r="AB896" s="112"/>
      <c r="AC896" s="112"/>
      <c r="AD896" s="112"/>
      <c r="AE896" s="112"/>
      <c r="AF896" s="112"/>
      <c r="AG896" s="112"/>
      <c r="AH896" s="112"/>
      <c r="AI896" s="112"/>
      <c r="AJ896" s="112"/>
      <c r="AK896" s="112"/>
      <c r="AL896" s="112"/>
      <c r="AM896" s="112"/>
      <c r="AN896" s="112"/>
      <c r="AO896" s="112"/>
      <c r="AP896" s="112"/>
    </row>
    <row r="897" ht="15.75" customHeight="1">
      <c r="A897" s="112"/>
      <c r="B897" s="112"/>
      <c r="C897" s="112"/>
      <c r="D897" s="112"/>
      <c r="E897" s="128"/>
      <c r="F897" s="112"/>
      <c r="G897" s="112"/>
      <c r="H897" s="128"/>
      <c r="I897" s="112"/>
      <c r="J897" s="112"/>
      <c r="K897" s="112"/>
      <c r="L897" s="128"/>
      <c r="M897" s="128"/>
      <c r="N897" s="112"/>
      <c r="O897" s="112"/>
      <c r="P897" s="112"/>
      <c r="Q897" s="112"/>
      <c r="R897" s="112"/>
      <c r="S897" s="112"/>
      <c r="T897" s="128"/>
      <c r="U897" s="128"/>
      <c r="V897" s="128"/>
      <c r="W897" s="128"/>
      <c r="X897" s="128"/>
      <c r="Y897" s="128"/>
      <c r="Z897" s="112"/>
      <c r="AA897" s="112"/>
      <c r="AB897" s="112"/>
      <c r="AC897" s="112"/>
      <c r="AD897" s="112"/>
      <c r="AE897" s="112"/>
      <c r="AF897" s="112"/>
      <c r="AG897" s="112"/>
      <c r="AH897" s="112"/>
      <c r="AI897" s="112"/>
      <c r="AJ897" s="112"/>
      <c r="AK897" s="112"/>
      <c r="AL897" s="112"/>
      <c r="AM897" s="112"/>
      <c r="AN897" s="112"/>
      <c r="AO897" s="112"/>
      <c r="AP897" s="112"/>
    </row>
    <row r="898" ht="15.75" customHeight="1">
      <c r="A898" s="112"/>
      <c r="B898" s="112"/>
      <c r="C898" s="112"/>
      <c r="D898" s="112"/>
      <c r="E898" s="128"/>
      <c r="F898" s="112"/>
      <c r="G898" s="112"/>
      <c r="H898" s="128"/>
      <c r="I898" s="112"/>
      <c r="J898" s="112"/>
      <c r="K898" s="112"/>
      <c r="L898" s="128"/>
      <c r="M898" s="128"/>
      <c r="N898" s="112"/>
      <c r="O898" s="112"/>
      <c r="P898" s="112"/>
      <c r="Q898" s="112"/>
      <c r="R898" s="112"/>
      <c r="S898" s="112"/>
      <c r="T898" s="128"/>
      <c r="U898" s="128"/>
      <c r="V898" s="128"/>
      <c r="W898" s="128"/>
      <c r="X898" s="128"/>
      <c r="Y898" s="128"/>
      <c r="Z898" s="112"/>
      <c r="AA898" s="112"/>
      <c r="AB898" s="112"/>
      <c r="AC898" s="112"/>
      <c r="AD898" s="112"/>
      <c r="AE898" s="112"/>
      <c r="AF898" s="112"/>
      <c r="AG898" s="112"/>
      <c r="AH898" s="112"/>
      <c r="AI898" s="112"/>
      <c r="AJ898" s="112"/>
      <c r="AK898" s="112"/>
      <c r="AL898" s="112"/>
      <c r="AM898" s="112"/>
      <c r="AN898" s="112"/>
      <c r="AO898" s="112"/>
      <c r="AP898" s="112"/>
    </row>
    <row r="899" ht="15.75" customHeight="1">
      <c r="A899" s="112"/>
      <c r="B899" s="112"/>
      <c r="C899" s="112"/>
      <c r="D899" s="112"/>
      <c r="E899" s="128"/>
      <c r="F899" s="112"/>
      <c r="G899" s="112"/>
      <c r="H899" s="128"/>
      <c r="I899" s="112"/>
      <c r="J899" s="112"/>
      <c r="K899" s="112"/>
      <c r="L899" s="128"/>
      <c r="M899" s="128"/>
      <c r="N899" s="112"/>
      <c r="O899" s="112"/>
      <c r="P899" s="112"/>
      <c r="Q899" s="112"/>
      <c r="R899" s="112"/>
      <c r="S899" s="112"/>
      <c r="T899" s="128"/>
      <c r="U899" s="128"/>
      <c r="V899" s="128"/>
      <c r="W899" s="128"/>
      <c r="X899" s="128"/>
      <c r="Y899" s="128"/>
      <c r="Z899" s="112"/>
      <c r="AA899" s="112"/>
      <c r="AB899" s="112"/>
      <c r="AC899" s="112"/>
      <c r="AD899" s="112"/>
      <c r="AE899" s="112"/>
      <c r="AF899" s="112"/>
      <c r="AG899" s="112"/>
      <c r="AH899" s="112"/>
      <c r="AI899" s="112"/>
      <c r="AJ899" s="112"/>
      <c r="AK899" s="112"/>
      <c r="AL899" s="112"/>
      <c r="AM899" s="112"/>
      <c r="AN899" s="112"/>
      <c r="AO899" s="112"/>
      <c r="AP899" s="112"/>
    </row>
    <row r="900" ht="15.75" customHeight="1">
      <c r="A900" s="112"/>
      <c r="B900" s="112"/>
      <c r="C900" s="112"/>
      <c r="D900" s="112"/>
      <c r="E900" s="128"/>
      <c r="F900" s="112"/>
      <c r="G900" s="112"/>
      <c r="H900" s="128"/>
      <c r="I900" s="112"/>
      <c r="J900" s="112"/>
      <c r="K900" s="112"/>
      <c r="L900" s="128"/>
      <c r="M900" s="128"/>
      <c r="N900" s="112"/>
      <c r="O900" s="112"/>
      <c r="P900" s="112"/>
      <c r="Q900" s="112"/>
      <c r="R900" s="112"/>
      <c r="S900" s="112"/>
      <c r="T900" s="128"/>
      <c r="U900" s="128"/>
      <c r="V900" s="128"/>
      <c r="W900" s="128"/>
      <c r="X900" s="128"/>
      <c r="Y900" s="128"/>
      <c r="Z900" s="112"/>
      <c r="AA900" s="112"/>
      <c r="AB900" s="112"/>
      <c r="AC900" s="112"/>
      <c r="AD900" s="112"/>
      <c r="AE900" s="112"/>
      <c r="AF900" s="112"/>
      <c r="AG900" s="112"/>
      <c r="AH900" s="112"/>
      <c r="AI900" s="112"/>
      <c r="AJ900" s="112"/>
      <c r="AK900" s="112"/>
      <c r="AL900" s="112"/>
      <c r="AM900" s="112"/>
      <c r="AN900" s="112"/>
      <c r="AO900" s="112"/>
      <c r="AP900" s="112"/>
    </row>
    <row r="901" ht="15.75" customHeight="1">
      <c r="A901" s="112"/>
      <c r="B901" s="112"/>
      <c r="C901" s="112"/>
      <c r="D901" s="112"/>
      <c r="E901" s="128"/>
      <c r="F901" s="112"/>
      <c r="G901" s="112"/>
      <c r="H901" s="128"/>
      <c r="I901" s="112"/>
      <c r="J901" s="112"/>
      <c r="K901" s="112"/>
      <c r="L901" s="128"/>
      <c r="M901" s="128"/>
      <c r="N901" s="112"/>
      <c r="O901" s="112"/>
      <c r="P901" s="112"/>
      <c r="Q901" s="112"/>
      <c r="R901" s="112"/>
      <c r="S901" s="112"/>
      <c r="T901" s="128"/>
      <c r="U901" s="128"/>
      <c r="V901" s="128"/>
      <c r="W901" s="128"/>
      <c r="X901" s="128"/>
      <c r="Y901" s="128"/>
      <c r="Z901" s="112"/>
      <c r="AA901" s="112"/>
      <c r="AB901" s="112"/>
      <c r="AC901" s="112"/>
      <c r="AD901" s="112"/>
      <c r="AE901" s="112"/>
      <c r="AF901" s="112"/>
      <c r="AG901" s="112"/>
      <c r="AH901" s="112"/>
      <c r="AI901" s="112"/>
      <c r="AJ901" s="112"/>
      <c r="AK901" s="112"/>
      <c r="AL901" s="112"/>
      <c r="AM901" s="112"/>
      <c r="AN901" s="112"/>
      <c r="AO901" s="112"/>
      <c r="AP901" s="112"/>
    </row>
    <row r="902" ht="15.75" customHeight="1">
      <c r="A902" s="112"/>
      <c r="B902" s="112"/>
      <c r="C902" s="112"/>
      <c r="D902" s="112"/>
      <c r="E902" s="128"/>
      <c r="F902" s="112"/>
      <c r="G902" s="112"/>
      <c r="H902" s="128"/>
      <c r="I902" s="112"/>
      <c r="J902" s="112"/>
      <c r="K902" s="112"/>
      <c r="L902" s="128"/>
      <c r="M902" s="128"/>
      <c r="N902" s="112"/>
      <c r="O902" s="112"/>
      <c r="P902" s="112"/>
      <c r="Q902" s="112"/>
      <c r="R902" s="112"/>
      <c r="S902" s="112"/>
      <c r="T902" s="128"/>
      <c r="U902" s="128"/>
      <c r="V902" s="128"/>
      <c r="W902" s="128"/>
      <c r="X902" s="128"/>
      <c r="Y902" s="128"/>
      <c r="Z902" s="112"/>
      <c r="AA902" s="112"/>
      <c r="AB902" s="112"/>
      <c r="AC902" s="112"/>
      <c r="AD902" s="112"/>
      <c r="AE902" s="112"/>
      <c r="AF902" s="112"/>
      <c r="AG902" s="112"/>
      <c r="AH902" s="112"/>
      <c r="AI902" s="112"/>
      <c r="AJ902" s="112"/>
      <c r="AK902" s="112"/>
      <c r="AL902" s="112"/>
      <c r="AM902" s="112"/>
      <c r="AN902" s="112"/>
      <c r="AO902" s="112"/>
      <c r="AP902" s="112"/>
    </row>
    <row r="903" ht="15.75" customHeight="1">
      <c r="A903" s="112"/>
      <c r="B903" s="112"/>
      <c r="C903" s="112"/>
      <c r="D903" s="112"/>
      <c r="E903" s="128"/>
      <c r="F903" s="112"/>
      <c r="G903" s="112"/>
      <c r="H903" s="128"/>
      <c r="I903" s="112"/>
      <c r="J903" s="112"/>
      <c r="K903" s="112"/>
      <c r="L903" s="128"/>
      <c r="M903" s="128"/>
      <c r="N903" s="112"/>
      <c r="O903" s="112"/>
      <c r="P903" s="112"/>
      <c r="Q903" s="112"/>
      <c r="R903" s="112"/>
      <c r="S903" s="112"/>
      <c r="T903" s="128"/>
      <c r="U903" s="128"/>
      <c r="V903" s="128"/>
      <c r="W903" s="128"/>
      <c r="X903" s="128"/>
      <c r="Y903" s="128"/>
      <c r="Z903" s="112"/>
      <c r="AA903" s="112"/>
      <c r="AB903" s="112"/>
      <c r="AC903" s="112"/>
      <c r="AD903" s="112"/>
      <c r="AE903" s="112"/>
      <c r="AF903" s="112"/>
      <c r="AG903" s="112"/>
      <c r="AH903" s="112"/>
      <c r="AI903" s="112"/>
      <c r="AJ903" s="112"/>
      <c r="AK903" s="112"/>
      <c r="AL903" s="112"/>
      <c r="AM903" s="112"/>
      <c r="AN903" s="112"/>
      <c r="AO903" s="112"/>
      <c r="AP903" s="112"/>
    </row>
    <row r="904" ht="15.75" customHeight="1">
      <c r="A904" s="112"/>
      <c r="B904" s="112"/>
      <c r="C904" s="112"/>
      <c r="D904" s="112"/>
      <c r="E904" s="128"/>
      <c r="F904" s="112"/>
      <c r="G904" s="112"/>
      <c r="H904" s="128"/>
      <c r="I904" s="112"/>
      <c r="J904" s="112"/>
      <c r="K904" s="112"/>
      <c r="L904" s="128"/>
      <c r="M904" s="128"/>
      <c r="N904" s="112"/>
      <c r="O904" s="112"/>
      <c r="P904" s="112"/>
      <c r="Q904" s="112"/>
      <c r="R904" s="112"/>
      <c r="S904" s="112"/>
      <c r="T904" s="128"/>
      <c r="U904" s="128"/>
      <c r="V904" s="128"/>
      <c r="W904" s="128"/>
      <c r="X904" s="128"/>
      <c r="Y904" s="128"/>
      <c r="Z904" s="112"/>
      <c r="AA904" s="112"/>
      <c r="AB904" s="112"/>
      <c r="AC904" s="112"/>
      <c r="AD904" s="112"/>
      <c r="AE904" s="112"/>
      <c r="AF904" s="112"/>
      <c r="AG904" s="112"/>
      <c r="AH904" s="112"/>
      <c r="AI904" s="112"/>
      <c r="AJ904" s="112"/>
      <c r="AK904" s="112"/>
      <c r="AL904" s="112"/>
      <c r="AM904" s="112"/>
      <c r="AN904" s="112"/>
      <c r="AO904" s="112"/>
      <c r="AP904" s="112"/>
    </row>
    <row r="905" ht="15.75" customHeight="1">
      <c r="A905" s="112"/>
      <c r="B905" s="112"/>
      <c r="C905" s="112"/>
      <c r="D905" s="112"/>
      <c r="E905" s="128"/>
      <c r="F905" s="112"/>
      <c r="G905" s="112"/>
      <c r="H905" s="128"/>
      <c r="I905" s="112"/>
      <c r="J905" s="112"/>
      <c r="K905" s="112"/>
      <c r="L905" s="128"/>
      <c r="M905" s="128"/>
      <c r="N905" s="112"/>
      <c r="O905" s="112"/>
      <c r="P905" s="112"/>
      <c r="Q905" s="112"/>
      <c r="R905" s="112"/>
      <c r="S905" s="112"/>
      <c r="T905" s="128"/>
      <c r="U905" s="128"/>
      <c r="V905" s="128"/>
      <c r="W905" s="128"/>
      <c r="X905" s="128"/>
      <c r="Y905" s="128"/>
      <c r="Z905" s="112"/>
      <c r="AA905" s="112"/>
      <c r="AB905" s="112"/>
      <c r="AC905" s="112"/>
      <c r="AD905" s="112"/>
      <c r="AE905" s="112"/>
      <c r="AF905" s="112"/>
      <c r="AG905" s="112"/>
      <c r="AH905" s="112"/>
      <c r="AI905" s="112"/>
      <c r="AJ905" s="112"/>
      <c r="AK905" s="112"/>
      <c r="AL905" s="112"/>
      <c r="AM905" s="112"/>
      <c r="AN905" s="112"/>
      <c r="AO905" s="112"/>
      <c r="AP905" s="112"/>
    </row>
    <row r="906" ht="15.75" customHeight="1">
      <c r="A906" s="112"/>
      <c r="B906" s="112"/>
      <c r="C906" s="112"/>
      <c r="D906" s="112"/>
      <c r="E906" s="128"/>
      <c r="F906" s="112"/>
      <c r="G906" s="112"/>
      <c r="H906" s="128"/>
      <c r="I906" s="112"/>
      <c r="J906" s="112"/>
      <c r="K906" s="112"/>
      <c r="L906" s="128"/>
      <c r="M906" s="128"/>
      <c r="N906" s="112"/>
      <c r="O906" s="112"/>
      <c r="P906" s="112"/>
      <c r="Q906" s="112"/>
      <c r="R906" s="112"/>
      <c r="S906" s="112"/>
      <c r="T906" s="128"/>
      <c r="U906" s="128"/>
      <c r="V906" s="128"/>
      <c r="W906" s="128"/>
      <c r="X906" s="128"/>
      <c r="Y906" s="128"/>
      <c r="Z906" s="112"/>
      <c r="AA906" s="112"/>
      <c r="AB906" s="112"/>
      <c r="AC906" s="112"/>
      <c r="AD906" s="112"/>
      <c r="AE906" s="112"/>
      <c r="AF906" s="112"/>
      <c r="AG906" s="112"/>
      <c r="AH906" s="112"/>
      <c r="AI906" s="112"/>
      <c r="AJ906" s="112"/>
      <c r="AK906" s="112"/>
      <c r="AL906" s="112"/>
      <c r="AM906" s="112"/>
      <c r="AN906" s="112"/>
      <c r="AO906" s="112"/>
      <c r="AP906" s="112"/>
    </row>
    <row r="907" ht="15.75" customHeight="1">
      <c r="A907" s="112"/>
      <c r="B907" s="112"/>
      <c r="C907" s="112"/>
      <c r="D907" s="112"/>
      <c r="E907" s="128"/>
      <c r="F907" s="112"/>
      <c r="G907" s="112"/>
      <c r="H907" s="128"/>
      <c r="I907" s="112"/>
      <c r="J907" s="112"/>
      <c r="K907" s="112"/>
      <c r="L907" s="128"/>
      <c r="M907" s="128"/>
      <c r="N907" s="112"/>
      <c r="O907" s="112"/>
      <c r="P907" s="112"/>
      <c r="Q907" s="112"/>
      <c r="R907" s="112"/>
      <c r="S907" s="112"/>
      <c r="T907" s="128"/>
      <c r="U907" s="128"/>
      <c r="V907" s="128"/>
      <c r="W907" s="128"/>
      <c r="X907" s="128"/>
      <c r="Y907" s="128"/>
      <c r="Z907" s="112"/>
      <c r="AA907" s="112"/>
      <c r="AB907" s="112"/>
      <c r="AC907" s="112"/>
      <c r="AD907" s="112"/>
      <c r="AE907" s="112"/>
      <c r="AF907" s="112"/>
      <c r="AG907" s="112"/>
      <c r="AH907" s="112"/>
      <c r="AI907" s="112"/>
      <c r="AJ907" s="112"/>
      <c r="AK907" s="112"/>
      <c r="AL907" s="112"/>
      <c r="AM907" s="112"/>
      <c r="AN907" s="112"/>
      <c r="AO907" s="112"/>
      <c r="AP907" s="112"/>
    </row>
    <row r="908" ht="15.75" customHeight="1">
      <c r="A908" s="112"/>
      <c r="B908" s="112"/>
      <c r="C908" s="112"/>
      <c r="D908" s="112"/>
      <c r="E908" s="128"/>
      <c r="F908" s="112"/>
      <c r="G908" s="112"/>
      <c r="H908" s="128"/>
      <c r="I908" s="112"/>
      <c r="J908" s="112"/>
      <c r="K908" s="112"/>
      <c r="L908" s="128"/>
      <c r="M908" s="128"/>
      <c r="N908" s="112"/>
      <c r="O908" s="112"/>
      <c r="P908" s="112"/>
      <c r="Q908" s="112"/>
      <c r="R908" s="112"/>
      <c r="S908" s="112"/>
      <c r="T908" s="128"/>
      <c r="U908" s="128"/>
      <c r="V908" s="128"/>
      <c r="W908" s="128"/>
      <c r="X908" s="128"/>
      <c r="Y908" s="128"/>
      <c r="Z908" s="112"/>
      <c r="AA908" s="112"/>
      <c r="AB908" s="112"/>
      <c r="AC908" s="112"/>
      <c r="AD908" s="112"/>
      <c r="AE908" s="112"/>
      <c r="AF908" s="112"/>
      <c r="AG908" s="112"/>
      <c r="AH908" s="112"/>
      <c r="AI908" s="112"/>
      <c r="AJ908" s="112"/>
      <c r="AK908" s="112"/>
      <c r="AL908" s="112"/>
      <c r="AM908" s="112"/>
      <c r="AN908" s="112"/>
      <c r="AO908" s="112"/>
      <c r="AP908" s="112"/>
    </row>
    <row r="909" ht="15.75" customHeight="1">
      <c r="A909" s="112"/>
      <c r="B909" s="112"/>
      <c r="C909" s="112"/>
      <c r="D909" s="112"/>
      <c r="E909" s="128"/>
      <c r="F909" s="112"/>
      <c r="G909" s="112"/>
      <c r="H909" s="128"/>
      <c r="I909" s="112"/>
      <c r="J909" s="112"/>
      <c r="K909" s="112"/>
      <c r="L909" s="128"/>
      <c r="M909" s="128"/>
      <c r="N909" s="112"/>
      <c r="O909" s="112"/>
      <c r="P909" s="112"/>
      <c r="Q909" s="112"/>
      <c r="R909" s="112"/>
      <c r="S909" s="112"/>
      <c r="T909" s="128"/>
      <c r="U909" s="128"/>
      <c r="V909" s="128"/>
      <c r="W909" s="128"/>
      <c r="X909" s="128"/>
      <c r="Y909" s="128"/>
      <c r="Z909" s="112"/>
      <c r="AA909" s="112"/>
      <c r="AB909" s="112"/>
      <c r="AC909" s="112"/>
      <c r="AD909" s="112"/>
      <c r="AE909" s="112"/>
      <c r="AF909" s="112"/>
      <c r="AG909" s="112"/>
      <c r="AH909" s="112"/>
      <c r="AI909" s="112"/>
      <c r="AJ909" s="112"/>
      <c r="AK909" s="112"/>
      <c r="AL909" s="112"/>
      <c r="AM909" s="112"/>
      <c r="AN909" s="112"/>
      <c r="AO909" s="112"/>
      <c r="AP909" s="112"/>
    </row>
    <row r="910" ht="15.75" customHeight="1">
      <c r="A910" s="112"/>
      <c r="B910" s="112"/>
      <c r="C910" s="112"/>
      <c r="D910" s="112"/>
      <c r="E910" s="128"/>
      <c r="F910" s="112"/>
      <c r="G910" s="112"/>
      <c r="H910" s="128"/>
      <c r="I910" s="112"/>
      <c r="J910" s="112"/>
      <c r="K910" s="112"/>
      <c r="L910" s="128"/>
      <c r="M910" s="128"/>
      <c r="N910" s="112"/>
      <c r="O910" s="112"/>
      <c r="P910" s="112"/>
      <c r="Q910" s="112"/>
      <c r="R910" s="112"/>
      <c r="S910" s="112"/>
      <c r="T910" s="128"/>
      <c r="U910" s="128"/>
      <c r="V910" s="128"/>
      <c r="W910" s="128"/>
      <c r="X910" s="128"/>
      <c r="Y910" s="128"/>
      <c r="Z910" s="112"/>
      <c r="AA910" s="112"/>
      <c r="AB910" s="112"/>
      <c r="AC910" s="112"/>
      <c r="AD910" s="112"/>
      <c r="AE910" s="112"/>
      <c r="AF910" s="112"/>
      <c r="AG910" s="112"/>
      <c r="AH910" s="112"/>
      <c r="AI910" s="112"/>
      <c r="AJ910" s="112"/>
      <c r="AK910" s="112"/>
      <c r="AL910" s="112"/>
      <c r="AM910" s="112"/>
      <c r="AN910" s="112"/>
      <c r="AO910" s="112"/>
      <c r="AP910" s="112"/>
    </row>
    <row r="911" ht="15.75" customHeight="1">
      <c r="A911" s="112"/>
      <c r="B911" s="112"/>
      <c r="C911" s="112"/>
      <c r="D911" s="112"/>
      <c r="E911" s="128"/>
      <c r="F911" s="112"/>
      <c r="G911" s="112"/>
      <c r="H911" s="128"/>
      <c r="I911" s="112"/>
      <c r="J911" s="112"/>
      <c r="K911" s="112"/>
      <c r="L911" s="128"/>
      <c r="M911" s="128"/>
      <c r="N911" s="112"/>
      <c r="O911" s="112"/>
      <c r="P911" s="112"/>
      <c r="Q911" s="112"/>
      <c r="R911" s="112"/>
      <c r="S911" s="112"/>
      <c r="T911" s="128"/>
      <c r="U911" s="128"/>
      <c r="V911" s="128"/>
      <c r="W911" s="128"/>
      <c r="X911" s="128"/>
      <c r="Y911" s="128"/>
      <c r="Z911" s="112"/>
      <c r="AA911" s="112"/>
      <c r="AB911" s="112"/>
      <c r="AC911" s="112"/>
      <c r="AD911" s="112"/>
      <c r="AE911" s="112"/>
      <c r="AF911" s="112"/>
      <c r="AG911" s="112"/>
      <c r="AH911" s="112"/>
      <c r="AI911" s="112"/>
      <c r="AJ911" s="112"/>
      <c r="AK911" s="112"/>
      <c r="AL911" s="112"/>
      <c r="AM911" s="112"/>
      <c r="AN911" s="112"/>
      <c r="AO911" s="112"/>
      <c r="AP911" s="112"/>
    </row>
    <row r="912" ht="15.75" customHeight="1">
      <c r="A912" s="112"/>
      <c r="B912" s="112"/>
      <c r="C912" s="112"/>
      <c r="D912" s="112"/>
      <c r="E912" s="128"/>
      <c r="F912" s="112"/>
      <c r="G912" s="112"/>
      <c r="H912" s="128"/>
      <c r="I912" s="112"/>
      <c r="J912" s="112"/>
      <c r="K912" s="112"/>
      <c r="L912" s="128"/>
      <c r="M912" s="128"/>
      <c r="N912" s="112"/>
      <c r="O912" s="112"/>
      <c r="P912" s="112"/>
      <c r="Q912" s="112"/>
      <c r="R912" s="112"/>
      <c r="S912" s="112"/>
      <c r="T912" s="128"/>
      <c r="U912" s="128"/>
      <c r="V912" s="128"/>
      <c r="W912" s="128"/>
      <c r="X912" s="128"/>
      <c r="Y912" s="128"/>
      <c r="Z912" s="112"/>
      <c r="AA912" s="112"/>
      <c r="AB912" s="112"/>
      <c r="AC912" s="112"/>
      <c r="AD912" s="112"/>
      <c r="AE912" s="112"/>
      <c r="AF912" s="112"/>
      <c r="AG912" s="112"/>
      <c r="AH912" s="112"/>
      <c r="AI912" s="112"/>
      <c r="AJ912" s="112"/>
      <c r="AK912" s="112"/>
      <c r="AL912" s="112"/>
      <c r="AM912" s="112"/>
      <c r="AN912" s="112"/>
      <c r="AO912" s="112"/>
      <c r="AP912" s="112"/>
    </row>
    <row r="913" ht="15.75" customHeight="1">
      <c r="A913" s="112"/>
      <c r="B913" s="112"/>
      <c r="C913" s="112"/>
      <c r="D913" s="112"/>
      <c r="E913" s="128"/>
      <c r="F913" s="112"/>
      <c r="G913" s="112"/>
      <c r="H913" s="128"/>
      <c r="I913" s="112"/>
      <c r="J913" s="112"/>
      <c r="K913" s="112"/>
      <c r="L913" s="128"/>
      <c r="M913" s="128"/>
      <c r="N913" s="112"/>
      <c r="O913" s="112"/>
      <c r="P913" s="112"/>
      <c r="Q913" s="112"/>
      <c r="R913" s="112"/>
      <c r="S913" s="112"/>
      <c r="T913" s="128"/>
      <c r="U913" s="128"/>
      <c r="V913" s="128"/>
      <c r="W913" s="128"/>
      <c r="X913" s="128"/>
      <c r="Y913" s="128"/>
      <c r="Z913" s="112"/>
      <c r="AA913" s="112"/>
      <c r="AB913" s="112"/>
      <c r="AC913" s="112"/>
      <c r="AD913" s="112"/>
      <c r="AE913" s="112"/>
      <c r="AF913" s="112"/>
      <c r="AG913" s="112"/>
      <c r="AH913" s="112"/>
      <c r="AI913" s="112"/>
      <c r="AJ913" s="112"/>
      <c r="AK913" s="112"/>
      <c r="AL913" s="112"/>
      <c r="AM913" s="112"/>
      <c r="AN913" s="112"/>
      <c r="AO913" s="112"/>
      <c r="AP913" s="112"/>
    </row>
    <row r="914" ht="15.75" customHeight="1">
      <c r="A914" s="112"/>
      <c r="B914" s="112"/>
      <c r="C914" s="112"/>
      <c r="D914" s="112"/>
      <c r="E914" s="128"/>
      <c r="F914" s="112"/>
      <c r="G914" s="112"/>
      <c r="H914" s="128"/>
      <c r="I914" s="112"/>
      <c r="J914" s="112"/>
      <c r="K914" s="112"/>
      <c r="L914" s="128"/>
      <c r="M914" s="128"/>
      <c r="N914" s="112"/>
      <c r="O914" s="112"/>
      <c r="P914" s="112"/>
      <c r="Q914" s="112"/>
      <c r="R914" s="112"/>
      <c r="S914" s="112"/>
      <c r="T914" s="128"/>
      <c r="U914" s="128"/>
      <c r="V914" s="128"/>
      <c r="W914" s="128"/>
      <c r="X914" s="128"/>
      <c r="Y914" s="128"/>
      <c r="Z914" s="112"/>
      <c r="AA914" s="112"/>
      <c r="AB914" s="112"/>
      <c r="AC914" s="112"/>
      <c r="AD914" s="112"/>
      <c r="AE914" s="112"/>
      <c r="AF914" s="112"/>
      <c r="AG914" s="112"/>
      <c r="AH914" s="112"/>
      <c r="AI914" s="112"/>
      <c r="AJ914" s="112"/>
      <c r="AK914" s="112"/>
      <c r="AL914" s="112"/>
      <c r="AM914" s="112"/>
      <c r="AN914" s="112"/>
      <c r="AO914" s="112"/>
      <c r="AP914" s="112"/>
    </row>
    <row r="915" ht="15.75" customHeight="1">
      <c r="A915" s="112"/>
      <c r="B915" s="112"/>
      <c r="C915" s="112"/>
      <c r="D915" s="112"/>
      <c r="E915" s="128"/>
      <c r="F915" s="112"/>
      <c r="G915" s="112"/>
      <c r="H915" s="128"/>
      <c r="I915" s="112"/>
      <c r="J915" s="112"/>
      <c r="K915" s="112"/>
      <c r="L915" s="128"/>
      <c r="M915" s="128"/>
      <c r="N915" s="112"/>
      <c r="O915" s="112"/>
      <c r="P915" s="112"/>
      <c r="Q915" s="112"/>
      <c r="R915" s="112"/>
      <c r="S915" s="112"/>
      <c r="T915" s="128"/>
      <c r="U915" s="128"/>
      <c r="V915" s="128"/>
      <c r="W915" s="128"/>
      <c r="X915" s="128"/>
      <c r="Y915" s="128"/>
      <c r="Z915" s="112"/>
      <c r="AA915" s="112"/>
      <c r="AB915" s="112"/>
      <c r="AC915" s="112"/>
      <c r="AD915" s="112"/>
      <c r="AE915" s="112"/>
      <c r="AF915" s="112"/>
      <c r="AG915" s="112"/>
      <c r="AH915" s="112"/>
      <c r="AI915" s="112"/>
      <c r="AJ915" s="112"/>
      <c r="AK915" s="112"/>
      <c r="AL915" s="112"/>
      <c r="AM915" s="112"/>
      <c r="AN915" s="112"/>
      <c r="AO915" s="112"/>
      <c r="AP915" s="112"/>
    </row>
    <row r="916" ht="15.75" customHeight="1">
      <c r="A916" s="112"/>
      <c r="B916" s="112"/>
      <c r="C916" s="112"/>
      <c r="D916" s="112"/>
      <c r="E916" s="128"/>
      <c r="F916" s="112"/>
      <c r="G916" s="112"/>
      <c r="H916" s="128"/>
      <c r="I916" s="112"/>
      <c r="J916" s="112"/>
      <c r="K916" s="112"/>
      <c r="L916" s="128"/>
      <c r="M916" s="128"/>
      <c r="N916" s="112"/>
      <c r="O916" s="112"/>
      <c r="P916" s="112"/>
      <c r="Q916" s="112"/>
      <c r="R916" s="112"/>
      <c r="S916" s="112"/>
      <c r="T916" s="128"/>
      <c r="U916" s="128"/>
      <c r="V916" s="128"/>
      <c r="W916" s="128"/>
      <c r="X916" s="128"/>
      <c r="Y916" s="128"/>
      <c r="Z916" s="112"/>
      <c r="AA916" s="112"/>
      <c r="AB916" s="112"/>
      <c r="AC916" s="112"/>
      <c r="AD916" s="112"/>
      <c r="AE916" s="112"/>
      <c r="AF916" s="112"/>
      <c r="AG916" s="112"/>
      <c r="AH916" s="112"/>
      <c r="AI916" s="112"/>
      <c r="AJ916" s="112"/>
      <c r="AK916" s="112"/>
      <c r="AL916" s="112"/>
      <c r="AM916" s="112"/>
      <c r="AN916" s="112"/>
      <c r="AO916" s="112"/>
      <c r="AP916" s="112"/>
    </row>
    <row r="917" ht="15.75" customHeight="1">
      <c r="A917" s="112"/>
      <c r="B917" s="112"/>
      <c r="C917" s="112"/>
      <c r="D917" s="112"/>
      <c r="E917" s="128"/>
      <c r="F917" s="112"/>
      <c r="G917" s="112"/>
      <c r="H917" s="128"/>
      <c r="I917" s="112"/>
      <c r="J917" s="112"/>
      <c r="K917" s="112"/>
      <c r="L917" s="128"/>
      <c r="M917" s="128"/>
      <c r="N917" s="112"/>
      <c r="O917" s="112"/>
      <c r="P917" s="112"/>
      <c r="Q917" s="112"/>
      <c r="R917" s="112"/>
      <c r="S917" s="112"/>
      <c r="T917" s="128"/>
      <c r="U917" s="128"/>
      <c r="V917" s="128"/>
      <c r="W917" s="128"/>
      <c r="X917" s="128"/>
      <c r="Y917" s="128"/>
      <c r="Z917" s="112"/>
      <c r="AA917" s="112"/>
      <c r="AB917" s="112"/>
      <c r="AC917" s="112"/>
      <c r="AD917" s="112"/>
      <c r="AE917" s="112"/>
      <c r="AF917" s="112"/>
      <c r="AG917" s="112"/>
      <c r="AH917" s="112"/>
      <c r="AI917" s="112"/>
      <c r="AJ917" s="112"/>
      <c r="AK917" s="112"/>
      <c r="AL917" s="112"/>
      <c r="AM917" s="112"/>
      <c r="AN917" s="112"/>
      <c r="AO917" s="112"/>
      <c r="AP917" s="112"/>
    </row>
    <row r="918" ht="15.75" customHeight="1">
      <c r="A918" s="112"/>
      <c r="B918" s="112"/>
      <c r="C918" s="112"/>
      <c r="D918" s="112"/>
      <c r="E918" s="128"/>
      <c r="F918" s="112"/>
      <c r="G918" s="112"/>
      <c r="H918" s="128"/>
      <c r="I918" s="112"/>
      <c r="J918" s="112"/>
      <c r="K918" s="112"/>
      <c r="L918" s="128"/>
      <c r="M918" s="128"/>
      <c r="N918" s="112"/>
      <c r="O918" s="112"/>
      <c r="P918" s="112"/>
      <c r="Q918" s="112"/>
      <c r="R918" s="112"/>
      <c r="S918" s="112"/>
      <c r="T918" s="128"/>
      <c r="U918" s="128"/>
      <c r="V918" s="128"/>
      <c r="W918" s="128"/>
      <c r="X918" s="128"/>
      <c r="Y918" s="128"/>
      <c r="Z918" s="112"/>
      <c r="AA918" s="112"/>
      <c r="AB918" s="112"/>
      <c r="AC918" s="112"/>
      <c r="AD918" s="112"/>
      <c r="AE918" s="112"/>
      <c r="AF918" s="112"/>
      <c r="AG918" s="112"/>
      <c r="AH918" s="112"/>
      <c r="AI918" s="112"/>
      <c r="AJ918" s="112"/>
      <c r="AK918" s="112"/>
      <c r="AL918" s="112"/>
      <c r="AM918" s="112"/>
      <c r="AN918" s="112"/>
      <c r="AO918" s="112"/>
      <c r="AP918" s="112"/>
    </row>
    <row r="919" ht="15.75" customHeight="1">
      <c r="A919" s="112"/>
      <c r="B919" s="112"/>
      <c r="C919" s="112"/>
      <c r="D919" s="112"/>
      <c r="E919" s="128"/>
      <c r="F919" s="112"/>
      <c r="G919" s="112"/>
      <c r="H919" s="128"/>
      <c r="I919" s="112"/>
      <c r="J919" s="112"/>
      <c r="K919" s="112"/>
      <c r="L919" s="128"/>
      <c r="M919" s="128"/>
      <c r="N919" s="112"/>
      <c r="O919" s="112"/>
      <c r="P919" s="112"/>
      <c r="Q919" s="112"/>
      <c r="R919" s="112"/>
      <c r="S919" s="112"/>
      <c r="T919" s="128"/>
      <c r="U919" s="128"/>
      <c r="V919" s="128"/>
      <c r="W919" s="128"/>
      <c r="X919" s="128"/>
      <c r="Y919" s="128"/>
      <c r="Z919" s="112"/>
      <c r="AA919" s="112"/>
      <c r="AB919" s="112"/>
      <c r="AC919" s="112"/>
      <c r="AD919" s="112"/>
      <c r="AE919" s="112"/>
      <c r="AF919" s="112"/>
      <c r="AG919" s="112"/>
      <c r="AH919" s="112"/>
      <c r="AI919" s="112"/>
      <c r="AJ919" s="112"/>
      <c r="AK919" s="112"/>
      <c r="AL919" s="112"/>
      <c r="AM919" s="112"/>
      <c r="AN919" s="112"/>
      <c r="AO919" s="112"/>
      <c r="AP919" s="112"/>
    </row>
    <row r="920" ht="15.75" customHeight="1">
      <c r="A920" s="112"/>
      <c r="B920" s="112"/>
      <c r="C920" s="112"/>
      <c r="D920" s="112"/>
      <c r="E920" s="128"/>
      <c r="F920" s="112"/>
      <c r="G920" s="112"/>
      <c r="H920" s="128"/>
      <c r="I920" s="112"/>
      <c r="J920" s="112"/>
      <c r="K920" s="112"/>
      <c r="L920" s="128"/>
      <c r="M920" s="128"/>
      <c r="N920" s="112"/>
      <c r="O920" s="112"/>
      <c r="P920" s="112"/>
      <c r="Q920" s="112"/>
      <c r="R920" s="112"/>
      <c r="S920" s="112"/>
      <c r="T920" s="128"/>
      <c r="U920" s="128"/>
      <c r="V920" s="128"/>
      <c r="W920" s="128"/>
      <c r="X920" s="128"/>
      <c r="Y920" s="128"/>
      <c r="Z920" s="112"/>
      <c r="AA920" s="112"/>
      <c r="AB920" s="112"/>
      <c r="AC920" s="112"/>
      <c r="AD920" s="112"/>
      <c r="AE920" s="112"/>
      <c r="AF920" s="112"/>
      <c r="AG920" s="112"/>
      <c r="AH920" s="112"/>
      <c r="AI920" s="112"/>
      <c r="AJ920" s="112"/>
      <c r="AK920" s="112"/>
      <c r="AL920" s="112"/>
      <c r="AM920" s="112"/>
      <c r="AN920" s="112"/>
      <c r="AO920" s="112"/>
      <c r="AP920" s="112"/>
    </row>
    <row r="921" ht="15.75" customHeight="1">
      <c r="A921" s="112"/>
      <c r="B921" s="112"/>
      <c r="C921" s="112"/>
      <c r="D921" s="112"/>
      <c r="E921" s="128"/>
      <c r="F921" s="112"/>
      <c r="G921" s="112"/>
      <c r="H921" s="128"/>
      <c r="I921" s="112"/>
      <c r="J921" s="112"/>
      <c r="K921" s="112"/>
      <c r="L921" s="128"/>
      <c r="M921" s="128"/>
      <c r="N921" s="112"/>
      <c r="O921" s="112"/>
      <c r="P921" s="112"/>
      <c r="Q921" s="112"/>
      <c r="R921" s="112"/>
      <c r="S921" s="112"/>
      <c r="T921" s="128"/>
      <c r="U921" s="128"/>
      <c r="V921" s="128"/>
      <c r="W921" s="128"/>
      <c r="X921" s="128"/>
      <c r="Y921" s="128"/>
      <c r="Z921" s="112"/>
      <c r="AA921" s="112"/>
      <c r="AB921" s="112"/>
      <c r="AC921" s="112"/>
      <c r="AD921" s="112"/>
      <c r="AE921" s="112"/>
      <c r="AF921" s="112"/>
      <c r="AG921" s="112"/>
      <c r="AH921" s="112"/>
      <c r="AI921" s="112"/>
      <c r="AJ921" s="112"/>
      <c r="AK921" s="112"/>
      <c r="AL921" s="112"/>
      <c r="AM921" s="112"/>
      <c r="AN921" s="112"/>
      <c r="AO921" s="112"/>
      <c r="AP921" s="112"/>
    </row>
    <row r="922" ht="15.75" customHeight="1">
      <c r="A922" s="112"/>
      <c r="B922" s="112"/>
      <c r="C922" s="112"/>
      <c r="D922" s="112"/>
      <c r="E922" s="128"/>
      <c r="F922" s="112"/>
      <c r="G922" s="112"/>
      <c r="H922" s="128"/>
      <c r="I922" s="112"/>
      <c r="J922" s="112"/>
      <c r="K922" s="112"/>
      <c r="L922" s="128"/>
      <c r="M922" s="128"/>
      <c r="N922" s="112"/>
      <c r="O922" s="112"/>
      <c r="P922" s="112"/>
      <c r="Q922" s="112"/>
      <c r="R922" s="112"/>
      <c r="S922" s="112"/>
      <c r="T922" s="128"/>
      <c r="U922" s="128"/>
      <c r="V922" s="128"/>
      <c r="W922" s="128"/>
      <c r="X922" s="128"/>
      <c r="Y922" s="128"/>
      <c r="Z922" s="112"/>
      <c r="AA922" s="112"/>
      <c r="AB922" s="112"/>
      <c r="AC922" s="112"/>
      <c r="AD922" s="112"/>
      <c r="AE922" s="112"/>
      <c r="AF922" s="112"/>
      <c r="AG922" s="112"/>
      <c r="AH922" s="112"/>
      <c r="AI922" s="112"/>
      <c r="AJ922" s="112"/>
      <c r="AK922" s="112"/>
      <c r="AL922" s="112"/>
      <c r="AM922" s="112"/>
      <c r="AN922" s="112"/>
      <c r="AO922" s="112"/>
      <c r="AP922" s="112"/>
    </row>
    <row r="923" ht="15.75" customHeight="1">
      <c r="A923" s="112"/>
      <c r="B923" s="112"/>
      <c r="C923" s="112"/>
      <c r="D923" s="112"/>
      <c r="E923" s="128"/>
      <c r="F923" s="112"/>
      <c r="G923" s="112"/>
      <c r="H923" s="128"/>
      <c r="I923" s="112"/>
      <c r="J923" s="112"/>
      <c r="K923" s="112"/>
      <c r="L923" s="128"/>
      <c r="M923" s="128"/>
      <c r="N923" s="112"/>
      <c r="O923" s="112"/>
      <c r="P923" s="112"/>
      <c r="Q923" s="112"/>
      <c r="R923" s="112"/>
      <c r="S923" s="112"/>
      <c r="T923" s="128"/>
      <c r="U923" s="128"/>
      <c r="V923" s="128"/>
      <c r="W923" s="128"/>
      <c r="X923" s="128"/>
      <c r="Y923" s="128"/>
      <c r="Z923" s="112"/>
      <c r="AA923" s="112"/>
      <c r="AB923" s="112"/>
      <c r="AC923" s="112"/>
      <c r="AD923" s="112"/>
      <c r="AE923" s="112"/>
      <c r="AF923" s="112"/>
      <c r="AG923" s="112"/>
      <c r="AH923" s="112"/>
      <c r="AI923" s="112"/>
      <c r="AJ923" s="112"/>
      <c r="AK923" s="112"/>
      <c r="AL923" s="112"/>
      <c r="AM923" s="112"/>
      <c r="AN923" s="112"/>
      <c r="AO923" s="112"/>
      <c r="AP923" s="112"/>
    </row>
    <row r="924" ht="15.75" customHeight="1">
      <c r="A924" s="112"/>
      <c r="B924" s="112"/>
      <c r="C924" s="112"/>
      <c r="D924" s="112"/>
      <c r="E924" s="128"/>
      <c r="F924" s="112"/>
      <c r="G924" s="112"/>
      <c r="H924" s="128"/>
      <c r="I924" s="112"/>
      <c r="J924" s="112"/>
      <c r="K924" s="112"/>
      <c r="L924" s="128"/>
      <c r="M924" s="128"/>
      <c r="N924" s="112"/>
      <c r="O924" s="112"/>
      <c r="P924" s="112"/>
      <c r="Q924" s="112"/>
      <c r="R924" s="112"/>
      <c r="S924" s="112"/>
      <c r="T924" s="128"/>
      <c r="U924" s="128"/>
      <c r="V924" s="128"/>
      <c r="W924" s="128"/>
      <c r="X924" s="128"/>
      <c r="Y924" s="128"/>
      <c r="Z924" s="112"/>
      <c r="AA924" s="112"/>
      <c r="AB924" s="112"/>
      <c r="AC924" s="112"/>
      <c r="AD924" s="112"/>
      <c r="AE924" s="112"/>
      <c r="AF924" s="112"/>
      <c r="AG924" s="112"/>
      <c r="AH924" s="112"/>
      <c r="AI924" s="112"/>
      <c r="AJ924" s="112"/>
      <c r="AK924" s="112"/>
      <c r="AL924" s="112"/>
      <c r="AM924" s="112"/>
      <c r="AN924" s="112"/>
      <c r="AO924" s="112"/>
      <c r="AP924" s="112"/>
    </row>
    <row r="925" ht="15.75" customHeight="1">
      <c r="A925" s="112"/>
      <c r="B925" s="112"/>
      <c r="C925" s="112"/>
      <c r="D925" s="112"/>
      <c r="E925" s="128"/>
      <c r="F925" s="112"/>
      <c r="G925" s="112"/>
      <c r="H925" s="128"/>
      <c r="I925" s="112"/>
      <c r="J925" s="112"/>
      <c r="K925" s="112"/>
      <c r="L925" s="128"/>
      <c r="M925" s="128"/>
      <c r="N925" s="112"/>
      <c r="O925" s="112"/>
      <c r="P925" s="112"/>
      <c r="Q925" s="112"/>
      <c r="R925" s="112"/>
      <c r="S925" s="112"/>
      <c r="T925" s="128"/>
      <c r="U925" s="128"/>
      <c r="V925" s="128"/>
      <c r="W925" s="128"/>
      <c r="X925" s="128"/>
      <c r="Y925" s="128"/>
      <c r="Z925" s="112"/>
      <c r="AA925" s="112"/>
      <c r="AB925" s="112"/>
      <c r="AC925" s="112"/>
      <c r="AD925" s="112"/>
      <c r="AE925" s="112"/>
      <c r="AF925" s="112"/>
      <c r="AG925" s="112"/>
      <c r="AH925" s="112"/>
      <c r="AI925" s="112"/>
      <c r="AJ925" s="112"/>
      <c r="AK925" s="112"/>
      <c r="AL925" s="112"/>
      <c r="AM925" s="112"/>
      <c r="AN925" s="112"/>
      <c r="AO925" s="112"/>
      <c r="AP925" s="112"/>
    </row>
    <row r="926" ht="15.75" customHeight="1">
      <c r="A926" s="112"/>
      <c r="B926" s="112"/>
      <c r="C926" s="112"/>
      <c r="D926" s="112"/>
      <c r="E926" s="128"/>
      <c r="F926" s="112"/>
      <c r="G926" s="112"/>
      <c r="H926" s="128"/>
      <c r="I926" s="112"/>
      <c r="J926" s="112"/>
      <c r="K926" s="112"/>
      <c r="L926" s="128"/>
      <c r="M926" s="128"/>
      <c r="N926" s="112"/>
      <c r="O926" s="112"/>
      <c r="P926" s="112"/>
      <c r="Q926" s="112"/>
      <c r="R926" s="112"/>
      <c r="S926" s="112"/>
      <c r="T926" s="128"/>
      <c r="U926" s="128"/>
      <c r="V926" s="128"/>
      <c r="W926" s="128"/>
      <c r="X926" s="128"/>
      <c r="Y926" s="128"/>
      <c r="Z926" s="112"/>
      <c r="AA926" s="112"/>
      <c r="AB926" s="112"/>
      <c r="AC926" s="112"/>
      <c r="AD926" s="112"/>
      <c r="AE926" s="112"/>
      <c r="AF926" s="112"/>
      <c r="AG926" s="112"/>
      <c r="AH926" s="112"/>
      <c r="AI926" s="112"/>
      <c r="AJ926" s="112"/>
      <c r="AK926" s="112"/>
      <c r="AL926" s="112"/>
      <c r="AM926" s="112"/>
      <c r="AN926" s="112"/>
      <c r="AO926" s="112"/>
      <c r="AP926" s="112"/>
    </row>
    <row r="927" ht="15.75" customHeight="1">
      <c r="A927" s="112"/>
      <c r="B927" s="112"/>
      <c r="C927" s="112"/>
      <c r="D927" s="112"/>
      <c r="E927" s="128"/>
      <c r="F927" s="112"/>
      <c r="G927" s="112"/>
      <c r="H927" s="128"/>
      <c r="I927" s="112"/>
      <c r="J927" s="112"/>
      <c r="K927" s="112"/>
      <c r="L927" s="128"/>
      <c r="M927" s="128"/>
      <c r="N927" s="112"/>
      <c r="O927" s="112"/>
      <c r="P927" s="112"/>
      <c r="Q927" s="112"/>
      <c r="R927" s="112"/>
      <c r="S927" s="112"/>
      <c r="T927" s="128"/>
      <c r="U927" s="128"/>
      <c r="V927" s="128"/>
      <c r="W927" s="128"/>
      <c r="X927" s="128"/>
      <c r="Y927" s="128"/>
      <c r="Z927" s="112"/>
      <c r="AA927" s="112"/>
      <c r="AB927" s="112"/>
      <c r="AC927" s="112"/>
      <c r="AD927" s="112"/>
      <c r="AE927" s="112"/>
      <c r="AF927" s="112"/>
      <c r="AG927" s="112"/>
      <c r="AH927" s="112"/>
      <c r="AI927" s="112"/>
      <c r="AJ927" s="112"/>
      <c r="AK927" s="112"/>
      <c r="AL927" s="112"/>
      <c r="AM927" s="112"/>
      <c r="AN927" s="112"/>
      <c r="AO927" s="112"/>
      <c r="AP927" s="112"/>
    </row>
    <row r="928" ht="15.75" customHeight="1">
      <c r="A928" s="112"/>
      <c r="B928" s="112"/>
      <c r="C928" s="112"/>
      <c r="D928" s="112"/>
      <c r="E928" s="128"/>
      <c r="F928" s="112"/>
      <c r="G928" s="112"/>
      <c r="H928" s="128"/>
      <c r="I928" s="112"/>
      <c r="J928" s="112"/>
      <c r="K928" s="112"/>
      <c r="L928" s="128"/>
      <c r="M928" s="128"/>
      <c r="N928" s="112"/>
      <c r="O928" s="112"/>
      <c r="P928" s="112"/>
      <c r="Q928" s="112"/>
      <c r="R928" s="112"/>
      <c r="S928" s="112"/>
      <c r="T928" s="128"/>
      <c r="U928" s="128"/>
      <c r="V928" s="128"/>
      <c r="W928" s="128"/>
      <c r="X928" s="128"/>
      <c r="Y928" s="128"/>
      <c r="Z928" s="112"/>
      <c r="AA928" s="112"/>
      <c r="AB928" s="112"/>
      <c r="AC928" s="112"/>
      <c r="AD928" s="112"/>
      <c r="AE928" s="112"/>
      <c r="AF928" s="112"/>
      <c r="AG928" s="112"/>
      <c r="AH928" s="112"/>
      <c r="AI928" s="112"/>
      <c r="AJ928" s="112"/>
      <c r="AK928" s="112"/>
      <c r="AL928" s="112"/>
      <c r="AM928" s="112"/>
      <c r="AN928" s="112"/>
      <c r="AO928" s="112"/>
      <c r="AP928" s="112"/>
    </row>
    <row r="929" ht="15.75" customHeight="1">
      <c r="A929" s="112"/>
      <c r="B929" s="112"/>
      <c r="C929" s="112"/>
      <c r="D929" s="112"/>
      <c r="E929" s="128"/>
      <c r="F929" s="112"/>
      <c r="G929" s="112"/>
      <c r="H929" s="128"/>
      <c r="I929" s="112"/>
      <c r="J929" s="112"/>
      <c r="K929" s="112"/>
      <c r="L929" s="128"/>
      <c r="M929" s="128"/>
      <c r="N929" s="112"/>
      <c r="O929" s="112"/>
      <c r="P929" s="112"/>
      <c r="Q929" s="112"/>
      <c r="R929" s="112"/>
      <c r="S929" s="112"/>
      <c r="T929" s="128"/>
      <c r="U929" s="128"/>
      <c r="V929" s="128"/>
      <c r="W929" s="128"/>
      <c r="X929" s="128"/>
      <c r="Y929" s="128"/>
      <c r="Z929" s="112"/>
      <c r="AA929" s="112"/>
      <c r="AB929" s="112"/>
      <c r="AC929" s="112"/>
      <c r="AD929" s="112"/>
      <c r="AE929" s="112"/>
      <c r="AF929" s="112"/>
      <c r="AG929" s="112"/>
      <c r="AH929" s="112"/>
      <c r="AI929" s="112"/>
      <c r="AJ929" s="112"/>
      <c r="AK929" s="112"/>
      <c r="AL929" s="112"/>
      <c r="AM929" s="112"/>
      <c r="AN929" s="112"/>
      <c r="AO929" s="112"/>
      <c r="AP929" s="112"/>
    </row>
    <row r="930" ht="15.75" customHeight="1">
      <c r="A930" s="112"/>
      <c r="B930" s="112"/>
      <c r="C930" s="112"/>
      <c r="D930" s="112"/>
      <c r="E930" s="128"/>
      <c r="F930" s="112"/>
      <c r="G930" s="112"/>
      <c r="H930" s="128"/>
      <c r="I930" s="112"/>
      <c r="J930" s="112"/>
      <c r="K930" s="112"/>
      <c r="L930" s="128"/>
      <c r="M930" s="128"/>
      <c r="N930" s="112"/>
      <c r="O930" s="112"/>
      <c r="P930" s="112"/>
      <c r="Q930" s="112"/>
      <c r="R930" s="112"/>
      <c r="S930" s="112"/>
      <c r="T930" s="128"/>
      <c r="U930" s="128"/>
      <c r="V930" s="128"/>
      <c r="W930" s="128"/>
      <c r="X930" s="128"/>
      <c r="Y930" s="128"/>
      <c r="Z930" s="112"/>
      <c r="AA930" s="112"/>
      <c r="AB930" s="112"/>
      <c r="AC930" s="112"/>
      <c r="AD930" s="112"/>
      <c r="AE930" s="112"/>
      <c r="AF930" s="112"/>
      <c r="AG930" s="112"/>
      <c r="AH930" s="112"/>
      <c r="AI930" s="112"/>
      <c r="AJ930" s="112"/>
      <c r="AK930" s="112"/>
      <c r="AL930" s="112"/>
      <c r="AM930" s="112"/>
      <c r="AN930" s="112"/>
      <c r="AO930" s="112"/>
      <c r="AP930" s="112"/>
    </row>
    <row r="931" ht="15.75" customHeight="1">
      <c r="A931" s="112"/>
      <c r="B931" s="112"/>
      <c r="C931" s="112"/>
      <c r="D931" s="112"/>
      <c r="E931" s="128"/>
      <c r="F931" s="112"/>
      <c r="G931" s="112"/>
      <c r="H931" s="128"/>
      <c r="I931" s="112"/>
      <c r="J931" s="112"/>
      <c r="K931" s="112"/>
      <c r="L931" s="128"/>
      <c r="M931" s="128"/>
      <c r="N931" s="112"/>
      <c r="O931" s="112"/>
      <c r="P931" s="112"/>
      <c r="Q931" s="112"/>
      <c r="R931" s="112"/>
      <c r="S931" s="112"/>
      <c r="T931" s="128"/>
      <c r="U931" s="128"/>
      <c r="V931" s="128"/>
      <c r="W931" s="128"/>
      <c r="X931" s="128"/>
      <c r="Y931" s="128"/>
      <c r="Z931" s="112"/>
      <c r="AA931" s="112"/>
      <c r="AB931" s="112"/>
      <c r="AC931" s="112"/>
      <c r="AD931" s="112"/>
      <c r="AE931" s="112"/>
      <c r="AF931" s="112"/>
      <c r="AG931" s="112"/>
      <c r="AH931" s="112"/>
      <c r="AI931" s="112"/>
      <c r="AJ931" s="112"/>
      <c r="AK931" s="112"/>
      <c r="AL931" s="112"/>
      <c r="AM931" s="112"/>
      <c r="AN931" s="112"/>
      <c r="AO931" s="112"/>
      <c r="AP931" s="112"/>
    </row>
    <row r="932" ht="15.75" customHeight="1">
      <c r="A932" s="112"/>
      <c r="B932" s="112"/>
      <c r="C932" s="112"/>
      <c r="D932" s="112"/>
      <c r="E932" s="128"/>
      <c r="F932" s="112"/>
      <c r="G932" s="112"/>
      <c r="H932" s="128"/>
      <c r="I932" s="112"/>
      <c r="J932" s="112"/>
      <c r="K932" s="112"/>
      <c r="L932" s="128"/>
      <c r="M932" s="128"/>
      <c r="N932" s="112"/>
      <c r="O932" s="112"/>
      <c r="P932" s="112"/>
      <c r="Q932" s="112"/>
      <c r="R932" s="112"/>
      <c r="S932" s="112"/>
      <c r="T932" s="128"/>
      <c r="U932" s="128"/>
      <c r="V932" s="128"/>
      <c r="W932" s="128"/>
      <c r="X932" s="128"/>
      <c r="Y932" s="128"/>
      <c r="Z932" s="112"/>
      <c r="AA932" s="112"/>
      <c r="AB932" s="112"/>
      <c r="AC932" s="112"/>
      <c r="AD932" s="112"/>
      <c r="AE932" s="112"/>
      <c r="AF932" s="112"/>
      <c r="AG932" s="112"/>
      <c r="AH932" s="112"/>
      <c r="AI932" s="112"/>
      <c r="AJ932" s="112"/>
      <c r="AK932" s="112"/>
      <c r="AL932" s="112"/>
      <c r="AM932" s="112"/>
      <c r="AN932" s="112"/>
      <c r="AO932" s="112"/>
      <c r="AP932" s="112"/>
    </row>
    <row r="933" ht="15.75" customHeight="1">
      <c r="A933" s="112"/>
      <c r="B933" s="112"/>
      <c r="C933" s="112"/>
      <c r="D933" s="112"/>
      <c r="E933" s="128"/>
      <c r="F933" s="112"/>
      <c r="G933" s="112"/>
      <c r="H933" s="128"/>
      <c r="I933" s="112"/>
      <c r="J933" s="112"/>
      <c r="K933" s="112"/>
      <c r="L933" s="128"/>
      <c r="M933" s="128"/>
      <c r="N933" s="112"/>
      <c r="O933" s="112"/>
      <c r="P933" s="112"/>
      <c r="Q933" s="112"/>
      <c r="R933" s="112"/>
      <c r="S933" s="112"/>
      <c r="T933" s="128"/>
      <c r="U933" s="128"/>
      <c r="V933" s="128"/>
      <c r="W933" s="128"/>
      <c r="X933" s="128"/>
      <c r="Y933" s="128"/>
      <c r="Z933" s="112"/>
      <c r="AA933" s="112"/>
      <c r="AB933" s="112"/>
      <c r="AC933" s="112"/>
      <c r="AD933" s="112"/>
      <c r="AE933" s="112"/>
      <c r="AF933" s="112"/>
      <c r="AG933" s="112"/>
      <c r="AH933" s="112"/>
      <c r="AI933" s="112"/>
      <c r="AJ933" s="112"/>
      <c r="AK933" s="112"/>
      <c r="AL933" s="112"/>
      <c r="AM933" s="112"/>
      <c r="AN933" s="112"/>
      <c r="AO933" s="112"/>
      <c r="AP933" s="112"/>
    </row>
    <row r="934" ht="15.75" customHeight="1">
      <c r="A934" s="112"/>
      <c r="B934" s="112"/>
      <c r="C934" s="112"/>
      <c r="D934" s="112"/>
      <c r="E934" s="128"/>
      <c r="F934" s="112"/>
      <c r="G934" s="112"/>
      <c r="H934" s="128"/>
      <c r="I934" s="112"/>
      <c r="J934" s="112"/>
      <c r="K934" s="112"/>
      <c r="L934" s="128"/>
      <c r="M934" s="128"/>
      <c r="N934" s="112"/>
      <c r="O934" s="112"/>
      <c r="P934" s="112"/>
      <c r="Q934" s="112"/>
      <c r="R934" s="112"/>
      <c r="S934" s="112"/>
      <c r="T934" s="128"/>
      <c r="U934" s="128"/>
      <c r="V934" s="128"/>
      <c r="W934" s="128"/>
      <c r="X934" s="128"/>
      <c r="Y934" s="128"/>
      <c r="Z934" s="112"/>
      <c r="AA934" s="112"/>
      <c r="AB934" s="112"/>
      <c r="AC934" s="112"/>
      <c r="AD934" s="112"/>
      <c r="AE934" s="112"/>
      <c r="AF934" s="112"/>
      <c r="AG934" s="112"/>
      <c r="AH934" s="112"/>
      <c r="AI934" s="112"/>
      <c r="AJ934" s="112"/>
      <c r="AK934" s="112"/>
      <c r="AL934" s="112"/>
      <c r="AM934" s="112"/>
      <c r="AN934" s="112"/>
      <c r="AO934" s="112"/>
      <c r="AP934" s="112"/>
    </row>
    <row r="935" ht="15.75" customHeight="1">
      <c r="A935" s="112"/>
      <c r="B935" s="112"/>
      <c r="C935" s="112"/>
      <c r="D935" s="112"/>
      <c r="E935" s="128"/>
      <c r="F935" s="112"/>
      <c r="G935" s="112"/>
      <c r="H935" s="128"/>
      <c r="I935" s="112"/>
      <c r="J935" s="112"/>
      <c r="K935" s="112"/>
      <c r="L935" s="128"/>
      <c r="M935" s="128"/>
      <c r="N935" s="112"/>
      <c r="O935" s="112"/>
      <c r="P935" s="112"/>
      <c r="Q935" s="112"/>
      <c r="R935" s="112"/>
      <c r="S935" s="112"/>
      <c r="T935" s="128"/>
      <c r="U935" s="128"/>
      <c r="V935" s="128"/>
      <c r="W935" s="128"/>
      <c r="X935" s="128"/>
      <c r="Y935" s="128"/>
      <c r="Z935" s="112"/>
      <c r="AA935" s="112"/>
      <c r="AB935" s="112"/>
      <c r="AC935" s="112"/>
      <c r="AD935" s="112"/>
      <c r="AE935" s="112"/>
      <c r="AF935" s="112"/>
      <c r="AG935" s="112"/>
      <c r="AH935" s="112"/>
      <c r="AI935" s="112"/>
      <c r="AJ935" s="112"/>
      <c r="AK935" s="112"/>
      <c r="AL935" s="112"/>
      <c r="AM935" s="112"/>
      <c r="AN935" s="112"/>
      <c r="AO935" s="112"/>
      <c r="AP935" s="112"/>
    </row>
    <row r="936" ht="15.75" customHeight="1">
      <c r="A936" s="112"/>
      <c r="B936" s="112"/>
      <c r="C936" s="112"/>
      <c r="D936" s="112"/>
      <c r="E936" s="128"/>
      <c r="F936" s="112"/>
      <c r="G936" s="112"/>
      <c r="H936" s="128"/>
      <c r="I936" s="112"/>
      <c r="J936" s="112"/>
      <c r="K936" s="112"/>
      <c r="L936" s="128"/>
      <c r="M936" s="128"/>
      <c r="N936" s="112"/>
      <c r="O936" s="112"/>
      <c r="P936" s="112"/>
      <c r="Q936" s="112"/>
      <c r="R936" s="112"/>
      <c r="S936" s="112"/>
      <c r="T936" s="128"/>
      <c r="U936" s="128"/>
      <c r="V936" s="128"/>
      <c r="W936" s="128"/>
      <c r="X936" s="128"/>
      <c r="Y936" s="128"/>
      <c r="Z936" s="112"/>
      <c r="AA936" s="112"/>
      <c r="AB936" s="112"/>
      <c r="AC936" s="112"/>
      <c r="AD936" s="112"/>
      <c r="AE936" s="112"/>
      <c r="AF936" s="112"/>
      <c r="AG936" s="112"/>
      <c r="AH936" s="112"/>
      <c r="AI936" s="112"/>
      <c r="AJ936" s="112"/>
      <c r="AK936" s="112"/>
      <c r="AL936" s="112"/>
      <c r="AM936" s="112"/>
      <c r="AN936" s="112"/>
      <c r="AO936" s="112"/>
      <c r="AP936" s="112"/>
    </row>
    <row r="937" ht="15.75" customHeight="1">
      <c r="A937" s="112"/>
      <c r="B937" s="112"/>
      <c r="C937" s="112"/>
      <c r="D937" s="112"/>
      <c r="E937" s="128"/>
      <c r="F937" s="112"/>
      <c r="G937" s="112"/>
      <c r="H937" s="128"/>
      <c r="I937" s="112"/>
      <c r="J937" s="112"/>
      <c r="K937" s="112"/>
      <c r="L937" s="128"/>
      <c r="M937" s="128"/>
      <c r="N937" s="112"/>
      <c r="O937" s="112"/>
      <c r="P937" s="112"/>
      <c r="Q937" s="112"/>
      <c r="R937" s="112"/>
      <c r="S937" s="112"/>
      <c r="T937" s="128"/>
      <c r="U937" s="128"/>
      <c r="V937" s="128"/>
      <c r="W937" s="128"/>
      <c r="X937" s="128"/>
      <c r="Y937" s="128"/>
      <c r="Z937" s="112"/>
      <c r="AA937" s="112"/>
      <c r="AB937" s="112"/>
      <c r="AC937" s="112"/>
      <c r="AD937" s="112"/>
      <c r="AE937" s="112"/>
      <c r="AF937" s="112"/>
      <c r="AG937" s="112"/>
      <c r="AH937" s="112"/>
      <c r="AI937" s="112"/>
      <c r="AJ937" s="112"/>
      <c r="AK937" s="112"/>
      <c r="AL937" s="112"/>
      <c r="AM937" s="112"/>
      <c r="AN937" s="112"/>
      <c r="AO937" s="112"/>
      <c r="AP937" s="112"/>
    </row>
    <row r="938" ht="15.75" customHeight="1">
      <c r="A938" s="112"/>
      <c r="B938" s="112"/>
      <c r="C938" s="112"/>
      <c r="D938" s="112"/>
      <c r="E938" s="128"/>
      <c r="F938" s="112"/>
      <c r="G938" s="112"/>
      <c r="H938" s="128"/>
      <c r="I938" s="112"/>
      <c r="J938" s="112"/>
      <c r="K938" s="112"/>
      <c r="L938" s="128"/>
      <c r="M938" s="128"/>
      <c r="N938" s="112"/>
      <c r="O938" s="112"/>
      <c r="P938" s="112"/>
      <c r="Q938" s="112"/>
      <c r="R938" s="112"/>
      <c r="S938" s="112"/>
      <c r="T938" s="128"/>
      <c r="U938" s="128"/>
      <c r="V938" s="128"/>
      <c r="W938" s="128"/>
      <c r="X938" s="128"/>
      <c r="Y938" s="128"/>
      <c r="Z938" s="112"/>
      <c r="AA938" s="112"/>
      <c r="AB938" s="112"/>
      <c r="AC938" s="112"/>
      <c r="AD938" s="112"/>
      <c r="AE938" s="112"/>
      <c r="AF938" s="112"/>
      <c r="AG938" s="112"/>
      <c r="AH938" s="112"/>
      <c r="AI938" s="112"/>
      <c r="AJ938" s="112"/>
      <c r="AK938" s="112"/>
      <c r="AL938" s="112"/>
      <c r="AM938" s="112"/>
      <c r="AN938" s="112"/>
      <c r="AO938" s="112"/>
      <c r="AP938" s="112"/>
    </row>
    <row r="939" ht="15.75" customHeight="1">
      <c r="A939" s="112"/>
      <c r="B939" s="112"/>
      <c r="C939" s="112"/>
      <c r="D939" s="112"/>
      <c r="E939" s="128"/>
      <c r="F939" s="112"/>
      <c r="G939" s="112"/>
      <c r="H939" s="128"/>
      <c r="I939" s="112"/>
      <c r="J939" s="112"/>
      <c r="K939" s="112"/>
      <c r="L939" s="128"/>
      <c r="M939" s="128"/>
      <c r="N939" s="112"/>
      <c r="O939" s="112"/>
      <c r="P939" s="112"/>
      <c r="Q939" s="112"/>
      <c r="R939" s="112"/>
      <c r="S939" s="112"/>
      <c r="T939" s="128"/>
      <c r="U939" s="128"/>
      <c r="V939" s="128"/>
      <c r="W939" s="128"/>
      <c r="X939" s="128"/>
      <c r="Y939" s="128"/>
      <c r="Z939" s="112"/>
      <c r="AA939" s="112"/>
      <c r="AB939" s="112"/>
      <c r="AC939" s="112"/>
      <c r="AD939" s="112"/>
      <c r="AE939" s="112"/>
      <c r="AF939" s="112"/>
      <c r="AG939" s="112"/>
      <c r="AH939" s="112"/>
      <c r="AI939" s="112"/>
      <c r="AJ939" s="112"/>
      <c r="AK939" s="112"/>
      <c r="AL939" s="112"/>
      <c r="AM939" s="112"/>
      <c r="AN939" s="112"/>
      <c r="AO939" s="112"/>
      <c r="AP939" s="112"/>
    </row>
    <row r="940" ht="15.75" customHeight="1">
      <c r="A940" s="112"/>
      <c r="B940" s="112"/>
      <c r="C940" s="112"/>
      <c r="D940" s="112"/>
      <c r="E940" s="128"/>
      <c r="F940" s="112"/>
      <c r="G940" s="112"/>
      <c r="H940" s="128"/>
      <c r="I940" s="112"/>
      <c r="J940" s="112"/>
      <c r="K940" s="112"/>
      <c r="L940" s="128"/>
      <c r="M940" s="128"/>
      <c r="N940" s="112"/>
      <c r="O940" s="112"/>
      <c r="P940" s="112"/>
      <c r="Q940" s="112"/>
      <c r="R940" s="112"/>
      <c r="S940" s="112"/>
      <c r="T940" s="128"/>
      <c r="U940" s="128"/>
      <c r="V940" s="128"/>
      <c r="W940" s="128"/>
      <c r="X940" s="128"/>
      <c r="Y940" s="128"/>
      <c r="Z940" s="112"/>
      <c r="AA940" s="112"/>
      <c r="AB940" s="112"/>
      <c r="AC940" s="112"/>
      <c r="AD940" s="112"/>
      <c r="AE940" s="112"/>
      <c r="AF940" s="112"/>
      <c r="AG940" s="112"/>
      <c r="AH940" s="112"/>
      <c r="AI940" s="112"/>
      <c r="AJ940" s="112"/>
      <c r="AK940" s="112"/>
      <c r="AL940" s="112"/>
      <c r="AM940" s="112"/>
      <c r="AN940" s="112"/>
      <c r="AO940" s="112"/>
      <c r="AP940" s="112"/>
    </row>
    <row r="941" ht="15.75" customHeight="1">
      <c r="A941" s="112"/>
      <c r="B941" s="112"/>
      <c r="C941" s="112"/>
      <c r="D941" s="112"/>
      <c r="E941" s="128"/>
      <c r="F941" s="112"/>
      <c r="G941" s="112"/>
      <c r="H941" s="128"/>
      <c r="I941" s="112"/>
      <c r="J941" s="112"/>
      <c r="K941" s="112"/>
      <c r="L941" s="128"/>
      <c r="M941" s="128"/>
      <c r="N941" s="112"/>
      <c r="O941" s="112"/>
      <c r="P941" s="112"/>
      <c r="Q941" s="112"/>
      <c r="R941" s="112"/>
      <c r="S941" s="112"/>
      <c r="T941" s="128"/>
      <c r="U941" s="128"/>
      <c r="V941" s="128"/>
      <c r="W941" s="128"/>
      <c r="X941" s="128"/>
      <c r="Y941" s="128"/>
      <c r="Z941" s="112"/>
      <c r="AA941" s="112"/>
      <c r="AB941" s="112"/>
      <c r="AC941" s="112"/>
      <c r="AD941" s="112"/>
      <c r="AE941" s="112"/>
      <c r="AF941" s="112"/>
      <c r="AG941" s="112"/>
      <c r="AH941" s="112"/>
      <c r="AI941" s="112"/>
      <c r="AJ941" s="112"/>
      <c r="AK941" s="112"/>
      <c r="AL941" s="112"/>
      <c r="AM941" s="112"/>
      <c r="AN941" s="112"/>
      <c r="AO941" s="112"/>
      <c r="AP941" s="112"/>
    </row>
    <row r="942" ht="15.75" customHeight="1">
      <c r="A942" s="112"/>
      <c r="B942" s="112"/>
      <c r="C942" s="112"/>
      <c r="D942" s="112"/>
      <c r="E942" s="128"/>
      <c r="F942" s="112"/>
      <c r="G942" s="112"/>
      <c r="H942" s="128"/>
      <c r="I942" s="112"/>
      <c r="J942" s="112"/>
      <c r="K942" s="112"/>
      <c r="L942" s="128"/>
      <c r="M942" s="128"/>
      <c r="N942" s="112"/>
      <c r="O942" s="112"/>
      <c r="P942" s="112"/>
      <c r="Q942" s="112"/>
      <c r="R942" s="112"/>
      <c r="S942" s="112"/>
      <c r="T942" s="128"/>
      <c r="U942" s="128"/>
      <c r="V942" s="128"/>
      <c r="W942" s="128"/>
      <c r="X942" s="128"/>
      <c r="Y942" s="128"/>
      <c r="Z942" s="112"/>
      <c r="AA942" s="112"/>
      <c r="AB942" s="112"/>
      <c r="AC942" s="112"/>
      <c r="AD942" s="112"/>
      <c r="AE942" s="112"/>
      <c r="AF942" s="112"/>
      <c r="AG942" s="112"/>
      <c r="AH942" s="112"/>
      <c r="AI942" s="112"/>
      <c r="AJ942" s="112"/>
      <c r="AK942" s="112"/>
      <c r="AL942" s="112"/>
      <c r="AM942" s="112"/>
      <c r="AN942" s="112"/>
      <c r="AO942" s="112"/>
      <c r="AP942" s="112"/>
    </row>
    <row r="943" ht="15.75" customHeight="1">
      <c r="A943" s="112"/>
      <c r="B943" s="112"/>
      <c r="C943" s="112"/>
      <c r="D943" s="112"/>
      <c r="E943" s="128"/>
      <c r="F943" s="112"/>
      <c r="G943" s="112"/>
      <c r="H943" s="128"/>
      <c r="I943" s="112"/>
      <c r="J943" s="112"/>
      <c r="K943" s="112"/>
      <c r="L943" s="128"/>
      <c r="M943" s="128"/>
      <c r="N943" s="112"/>
      <c r="O943" s="112"/>
      <c r="P943" s="112"/>
      <c r="Q943" s="112"/>
      <c r="R943" s="112"/>
      <c r="S943" s="112"/>
      <c r="T943" s="128"/>
      <c r="U943" s="128"/>
      <c r="V943" s="128"/>
      <c r="W943" s="128"/>
      <c r="X943" s="128"/>
      <c r="Y943" s="128"/>
      <c r="Z943" s="112"/>
      <c r="AA943" s="112"/>
      <c r="AB943" s="112"/>
      <c r="AC943" s="112"/>
      <c r="AD943" s="112"/>
      <c r="AE943" s="112"/>
      <c r="AF943" s="112"/>
      <c r="AG943" s="112"/>
      <c r="AH943" s="112"/>
      <c r="AI943" s="112"/>
      <c r="AJ943" s="112"/>
      <c r="AK943" s="112"/>
      <c r="AL943" s="112"/>
      <c r="AM943" s="112"/>
      <c r="AN943" s="112"/>
      <c r="AO943" s="112"/>
      <c r="AP943" s="112"/>
    </row>
    <row r="944" ht="15.75" customHeight="1">
      <c r="A944" s="112"/>
      <c r="B944" s="112"/>
      <c r="C944" s="112"/>
      <c r="D944" s="112"/>
      <c r="E944" s="128"/>
      <c r="F944" s="112"/>
      <c r="G944" s="112"/>
      <c r="H944" s="128"/>
      <c r="I944" s="112"/>
      <c r="J944" s="112"/>
      <c r="K944" s="112"/>
      <c r="L944" s="128"/>
      <c r="M944" s="128"/>
      <c r="N944" s="112"/>
      <c r="O944" s="112"/>
      <c r="P944" s="112"/>
      <c r="Q944" s="112"/>
      <c r="R944" s="112"/>
      <c r="S944" s="112"/>
      <c r="T944" s="128"/>
      <c r="U944" s="128"/>
      <c r="V944" s="128"/>
      <c r="W944" s="128"/>
      <c r="X944" s="128"/>
      <c r="Y944" s="128"/>
      <c r="Z944" s="112"/>
      <c r="AA944" s="112"/>
      <c r="AB944" s="112"/>
      <c r="AC944" s="112"/>
      <c r="AD944" s="112"/>
      <c r="AE944" s="112"/>
      <c r="AF944" s="112"/>
      <c r="AG944" s="112"/>
      <c r="AH944" s="112"/>
      <c r="AI944" s="112"/>
      <c r="AJ944" s="112"/>
      <c r="AK944" s="112"/>
      <c r="AL944" s="112"/>
      <c r="AM944" s="112"/>
      <c r="AN944" s="112"/>
      <c r="AO944" s="112"/>
      <c r="AP944" s="112"/>
    </row>
    <row r="945" ht="15.75" customHeight="1">
      <c r="A945" s="112"/>
      <c r="B945" s="112"/>
      <c r="C945" s="112"/>
      <c r="D945" s="112"/>
      <c r="E945" s="128"/>
      <c r="F945" s="112"/>
      <c r="G945" s="112"/>
      <c r="H945" s="128"/>
      <c r="I945" s="112"/>
      <c r="J945" s="112"/>
      <c r="K945" s="112"/>
      <c r="L945" s="128"/>
      <c r="M945" s="128"/>
      <c r="N945" s="112"/>
      <c r="O945" s="112"/>
      <c r="P945" s="112"/>
      <c r="Q945" s="112"/>
      <c r="R945" s="112"/>
      <c r="S945" s="112"/>
      <c r="T945" s="128"/>
      <c r="U945" s="128"/>
      <c r="V945" s="128"/>
      <c r="W945" s="128"/>
      <c r="X945" s="128"/>
      <c r="Y945" s="128"/>
      <c r="Z945" s="112"/>
      <c r="AA945" s="112"/>
      <c r="AB945" s="112"/>
      <c r="AC945" s="112"/>
      <c r="AD945" s="112"/>
      <c r="AE945" s="112"/>
      <c r="AF945" s="112"/>
      <c r="AG945" s="112"/>
      <c r="AH945" s="112"/>
      <c r="AI945" s="112"/>
      <c r="AJ945" s="112"/>
      <c r="AK945" s="112"/>
      <c r="AL945" s="112"/>
      <c r="AM945" s="112"/>
      <c r="AN945" s="112"/>
      <c r="AO945" s="112"/>
      <c r="AP945" s="112"/>
    </row>
    <row r="946" ht="15.75" customHeight="1">
      <c r="A946" s="112"/>
      <c r="B946" s="112"/>
      <c r="C946" s="112"/>
      <c r="D946" s="112"/>
      <c r="E946" s="128"/>
      <c r="F946" s="112"/>
      <c r="G946" s="112"/>
      <c r="H946" s="128"/>
      <c r="I946" s="112"/>
      <c r="J946" s="112"/>
      <c r="K946" s="112"/>
      <c r="L946" s="128"/>
      <c r="M946" s="128"/>
      <c r="N946" s="112"/>
      <c r="O946" s="112"/>
      <c r="P946" s="112"/>
      <c r="Q946" s="112"/>
      <c r="R946" s="112"/>
      <c r="S946" s="112"/>
      <c r="T946" s="128"/>
      <c r="U946" s="128"/>
      <c r="V946" s="128"/>
      <c r="W946" s="128"/>
      <c r="X946" s="128"/>
      <c r="Y946" s="128"/>
      <c r="Z946" s="112"/>
      <c r="AA946" s="112"/>
      <c r="AB946" s="112"/>
      <c r="AC946" s="112"/>
      <c r="AD946" s="112"/>
      <c r="AE946" s="112"/>
      <c r="AF946" s="112"/>
      <c r="AG946" s="112"/>
      <c r="AH946" s="112"/>
      <c r="AI946" s="112"/>
      <c r="AJ946" s="112"/>
      <c r="AK946" s="112"/>
      <c r="AL946" s="112"/>
      <c r="AM946" s="112"/>
      <c r="AN946" s="112"/>
      <c r="AO946" s="112"/>
      <c r="AP946" s="112"/>
    </row>
    <row r="947" ht="15.75" customHeight="1">
      <c r="A947" s="112"/>
      <c r="B947" s="112"/>
      <c r="C947" s="112"/>
      <c r="D947" s="112"/>
      <c r="E947" s="128"/>
      <c r="F947" s="112"/>
      <c r="G947" s="112"/>
      <c r="H947" s="128"/>
      <c r="I947" s="112"/>
      <c r="J947" s="112"/>
      <c r="K947" s="112"/>
      <c r="L947" s="128"/>
      <c r="M947" s="128"/>
      <c r="N947" s="112"/>
      <c r="O947" s="112"/>
      <c r="P947" s="112"/>
      <c r="Q947" s="112"/>
      <c r="R947" s="112"/>
      <c r="S947" s="112"/>
      <c r="T947" s="128"/>
      <c r="U947" s="128"/>
      <c r="V947" s="128"/>
      <c r="W947" s="128"/>
      <c r="X947" s="128"/>
      <c r="Y947" s="128"/>
      <c r="Z947" s="112"/>
      <c r="AA947" s="112"/>
      <c r="AB947" s="112"/>
      <c r="AC947" s="112"/>
      <c r="AD947" s="112"/>
      <c r="AE947" s="112"/>
      <c r="AF947" s="112"/>
      <c r="AG947" s="112"/>
      <c r="AH947" s="112"/>
      <c r="AI947" s="112"/>
      <c r="AJ947" s="112"/>
      <c r="AK947" s="112"/>
      <c r="AL947" s="112"/>
      <c r="AM947" s="112"/>
      <c r="AN947" s="112"/>
      <c r="AO947" s="112"/>
      <c r="AP947" s="112"/>
    </row>
    <row r="948" ht="15.75" customHeight="1">
      <c r="A948" s="112"/>
      <c r="B948" s="112"/>
      <c r="C948" s="112"/>
      <c r="D948" s="112"/>
      <c r="E948" s="128"/>
      <c r="F948" s="112"/>
      <c r="G948" s="112"/>
      <c r="H948" s="128"/>
      <c r="I948" s="112"/>
      <c r="J948" s="112"/>
      <c r="K948" s="112"/>
      <c r="L948" s="128"/>
      <c r="M948" s="128"/>
      <c r="N948" s="112"/>
      <c r="O948" s="112"/>
      <c r="P948" s="112"/>
      <c r="Q948" s="112"/>
      <c r="R948" s="112"/>
      <c r="S948" s="112"/>
      <c r="T948" s="128"/>
      <c r="U948" s="128"/>
      <c r="V948" s="128"/>
      <c r="W948" s="128"/>
      <c r="X948" s="128"/>
      <c r="Y948" s="128"/>
      <c r="Z948" s="112"/>
      <c r="AA948" s="112"/>
      <c r="AB948" s="112"/>
      <c r="AC948" s="112"/>
      <c r="AD948" s="112"/>
      <c r="AE948" s="112"/>
      <c r="AF948" s="112"/>
      <c r="AG948" s="112"/>
      <c r="AH948" s="112"/>
      <c r="AI948" s="112"/>
      <c r="AJ948" s="112"/>
      <c r="AK948" s="112"/>
      <c r="AL948" s="112"/>
      <c r="AM948" s="112"/>
      <c r="AN948" s="112"/>
      <c r="AO948" s="112"/>
      <c r="AP948" s="112"/>
    </row>
    <row r="949" ht="15.75" customHeight="1">
      <c r="A949" s="112"/>
      <c r="B949" s="112"/>
      <c r="C949" s="112"/>
      <c r="D949" s="112"/>
      <c r="E949" s="128"/>
      <c r="F949" s="112"/>
      <c r="G949" s="112"/>
      <c r="H949" s="128"/>
      <c r="I949" s="112"/>
      <c r="J949" s="112"/>
      <c r="K949" s="112"/>
      <c r="L949" s="128"/>
      <c r="M949" s="128"/>
      <c r="N949" s="112"/>
      <c r="O949" s="112"/>
      <c r="P949" s="112"/>
      <c r="Q949" s="112"/>
      <c r="R949" s="112"/>
      <c r="S949" s="112"/>
      <c r="T949" s="128"/>
      <c r="U949" s="128"/>
      <c r="V949" s="128"/>
      <c r="W949" s="128"/>
      <c r="X949" s="128"/>
      <c r="Y949" s="128"/>
      <c r="Z949" s="112"/>
      <c r="AA949" s="112"/>
      <c r="AB949" s="112"/>
      <c r="AC949" s="112"/>
      <c r="AD949" s="112"/>
      <c r="AE949" s="112"/>
      <c r="AF949" s="112"/>
      <c r="AG949" s="112"/>
      <c r="AH949" s="112"/>
      <c r="AI949" s="112"/>
      <c r="AJ949" s="112"/>
      <c r="AK949" s="112"/>
      <c r="AL949" s="112"/>
      <c r="AM949" s="112"/>
      <c r="AN949" s="112"/>
      <c r="AO949" s="112"/>
      <c r="AP949" s="112"/>
    </row>
    <row r="950" ht="15.75" customHeight="1">
      <c r="A950" s="112"/>
      <c r="B950" s="112"/>
      <c r="C950" s="112"/>
      <c r="D950" s="112"/>
      <c r="E950" s="128"/>
      <c r="F950" s="112"/>
      <c r="G950" s="112"/>
      <c r="H950" s="128"/>
      <c r="I950" s="112"/>
      <c r="J950" s="112"/>
      <c r="K950" s="112"/>
      <c r="L950" s="128"/>
      <c r="M950" s="128"/>
      <c r="N950" s="112"/>
      <c r="O950" s="112"/>
      <c r="P950" s="112"/>
      <c r="Q950" s="112"/>
      <c r="R950" s="112"/>
      <c r="S950" s="112"/>
      <c r="T950" s="128"/>
      <c r="U950" s="128"/>
      <c r="V950" s="128"/>
      <c r="W950" s="128"/>
      <c r="X950" s="128"/>
      <c r="Y950" s="128"/>
      <c r="Z950" s="112"/>
      <c r="AA950" s="112"/>
      <c r="AB950" s="112"/>
      <c r="AC950" s="112"/>
      <c r="AD950" s="112"/>
      <c r="AE950" s="112"/>
      <c r="AF950" s="112"/>
      <c r="AG950" s="112"/>
      <c r="AH950" s="112"/>
      <c r="AI950" s="112"/>
      <c r="AJ950" s="112"/>
      <c r="AK950" s="112"/>
      <c r="AL950" s="112"/>
      <c r="AM950" s="112"/>
      <c r="AN950" s="112"/>
      <c r="AO950" s="112"/>
      <c r="AP950" s="112"/>
    </row>
    <row r="951" ht="15.75" customHeight="1">
      <c r="A951" s="112"/>
      <c r="B951" s="112"/>
      <c r="C951" s="112"/>
      <c r="D951" s="112"/>
      <c r="E951" s="128"/>
      <c r="F951" s="112"/>
      <c r="G951" s="112"/>
      <c r="H951" s="128"/>
      <c r="I951" s="112"/>
      <c r="J951" s="112"/>
      <c r="K951" s="112"/>
      <c r="L951" s="128"/>
      <c r="M951" s="128"/>
      <c r="N951" s="112"/>
      <c r="O951" s="112"/>
      <c r="P951" s="112"/>
      <c r="Q951" s="112"/>
      <c r="R951" s="112"/>
      <c r="S951" s="112"/>
      <c r="T951" s="128"/>
      <c r="U951" s="128"/>
      <c r="V951" s="128"/>
      <c r="W951" s="128"/>
      <c r="X951" s="128"/>
      <c r="Y951" s="128"/>
      <c r="Z951" s="112"/>
      <c r="AA951" s="112"/>
      <c r="AB951" s="112"/>
      <c r="AC951" s="112"/>
      <c r="AD951" s="112"/>
      <c r="AE951" s="112"/>
      <c r="AF951" s="112"/>
      <c r="AG951" s="112"/>
      <c r="AH951" s="112"/>
      <c r="AI951" s="112"/>
      <c r="AJ951" s="112"/>
      <c r="AK951" s="112"/>
      <c r="AL951" s="112"/>
      <c r="AM951" s="112"/>
      <c r="AN951" s="112"/>
      <c r="AO951" s="112"/>
      <c r="AP951" s="112"/>
    </row>
    <row r="952" ht="15.75" customHeight="1">
      <c r="A952" s="112"/>
      <c r="B952" s="112"/>
      <c r="C952" s="112"/>
      <c r="D952" s="112"/>
      <c r="E952" s="128"/>
      <c r="F952" s="112"/>
      <c r="G952" s="112"/>
      <c r="H952" s="128"/>
      <c r="I952" s="112"/>
      <c r="J952" s="112"/>
      <c r="K952" s="112"/>
      <c r="L952" s="128"/>
      <c r="M952" s="128"/>
      <c r="N952" s="112"/>
      <c r="O952" s="112"/>
      <c r="P952" s="112"/>
      <c r="Q952" s="112"/>
      <c r="R952" s="112"/>
      <c r="S952" s="112"/>
      <c r="T952" s="128"/>
      <c r="U952" s="128"/>
      <c r="V952" s="128"/>
      <c r="W952" s="128"/>
      <c r="X952" s="128"/>
      <c r="Y952" s="128"/>
      <c r="Z952" s="112"/>
      <c r="AA952" s="112"/>
      <c r="AB952" s="112"/>
      <c r="AC952" s="112"/>
      <c r="AD952" s="112"/>
      <c r="AE952" s="112"/>
      <c r="AF952" s="112"/>
      <c r="AG952" s="112"/>
      <c r="AH952" s="112"/>
      <c r="AI952" s="112"/>
      <c r="AJ952" s="112"/>
      <c r="AK952" s="112"/>
      <c r="AL952" s="112"/>
      <c r="AM952" s="112"/>
      <c r="AN952" s="112"/>
      <c r="AO952" s="112"/>
      <c r="AP952" s="112"/>
    </row>
    <row r="953" ht="15.75" customHeight="1">
      <c r="A953" s="112"/>
      <c r="B953" s="112"/>
      <c r="C953" s="112"/>
      <c r="D953" s="112"/>
      <c r="E953" s="128"/>
      <c r="F953" s="112"/>
      <c r="G953" s="112"/>
      <c r="H953" s="128"/>
      <c r="I953" s="112"/>
      <c r="J953" s="112"/>
      <c r="K953" s="112"/>
      <c r="L953" s="128"/>
      <c r="M953" s="128"/>
      <c r="N953" s="112"/>
      <c r="O953" s="112"/>
      <c r="P953" s="112"/>
      <c r="Q953" s="112"/>
      <c r="R953" s="112"/>
      <c r="S953" s="112"/>
      <c r="T953" s="128"/>
      <c r="U953" s="128"/>
      <c r="V953" s="128"/>
      <c r="W953" s="128"/>
      <c r="X953" s="128"/>
      <c r="Y953" s="128"/>
      <c r="Z953" s="112"/>
      <c r="AA953" s="112"/>
      <c r="AB953" s="112"/>
      <c r="AC953" s="112"/>
      <c r="AD953" s="112"/>
      <c r="AE953" s="112"/>
      <c r="AF953" s="112"/>
      <c r="AG953" s="112"/>
      <c r="AH953" s="112"/>
      <c r="AI953" s="112"/>
      <c r="AJ953" s="112"/>
      <c r="AK953" s="112"/>
      <c r="AL953" s="112"/>
      <c r="AM953" s="112"/>
      <c r="AN953" s="112"/>
      <c r="AO953" s="112"/>
      <c r="AP953" s="112"/>
    </row>
    <row r="954" ht="15.75" customHeight="1">
      <c r="A954" s="112"/>
      <c r="B954" s="112"/>
      <c r="C954" s="112"/>
      <c r="D954" s="112"/>
      <c r="E954" s="128"/>
      <c r="F954" s="112"/>
      <c r="G954" s="112"/>
      <c r="H954" s="128"/>
      <c r="I954" s="112"/>
      <c r="J954" s="112"/>
      <c r="K954" s="112"/>
      <c r="L954" s="128"/>
      <c r="M954" s="128"/>
      <c r="N954" s="112"/>
      <c r="O954" s="112"/>
      <c r="P954" s="112"/>
      <c r="Q954" s="112"/>
      <c r="R954" s="112"/>
      <c r="S954" s="112"/>
      <c r="T954" s="128"/>
      <c r="U954" s="128"/>
      <c r="V954" s="128"/>
      <c r="W954" s="128"/>
      <c r="X954" s="128"/>
      <c r="Y954" s="128"/>
      <c r="Z954" s="112"/>
      <c r="AA954" s="112"/>
      <c r="AB954" s="112"/>
      <c r="AC954" s="112"/>
      <c r="AD954" s="112"/>
      <c r="AE954" s="112"/>
      <c r="AF954" s="112"/>
      <c r="AG954" s="112"/>
      <c r="AH954" s="112"/>
      <c r="AI954" s="112"/>
      <c r="AJ954" s="112"/>
      <c r="AK954" s="112"/>
      <c r="AL954" s="112"/>
      <c r="AM954" s="112"/>
      <c r="AN954" s="112"/>
      <c r="AO954" s="112"/>
      <c r="AP954" s="112"/>
    </row>
    <row r="955" ht="15.75" customHeight="1">
      <c r="A955" s="112"/>
      <c r="B955" s="112"/>
      <c r="C955" s="112"/>
      <c r="D955" s="112"/>
      <c r="E955" s="128"/>
      <c r="F955" s="112"/>
      <c r="G955" s="112"/>
      <c r="H955" s="128"/>
      <c r="I955" s="112"/>
      <c r="J955" s="112"/>
      <c r="K955" s="112"/>
      <c r="L955" s="128"/>
      <c r="M955" s="128"/>
      <c r="N955" s="112"/>
      <c r="O955" s="112"/>
      <c r="P955" s="112"/>
      <c r="Q955" s="112"/>
      <c r="R955" s="112"/>
      <c r="S955" s="112"/>
      <c r="T955" s="128"/>
      <c r="U955" s="128"/>
      <c r="V955" s="128"/>
      <c r="W955" s="128"/>
      <c r="X955" s="128"/>
      <c r="Y955" s="128"/>
      <c r="Z955" s="112"/>
      <c r="AA955" s="112"/>
      <c r="AB955" s="112"/>
      <c r="AC955" s="112"/>
      <c r="AD955" s="112"/>
      <c r="AE955" s="112"/>
      <c r="AF955" s="112"/>
      <c r="AG955" s="112"/>
      <c r="AH955" s="112"/>
      <c r="AI955" s="112"/>
      <c r="AJ955" s="112"/>
      <c r="AK955" s="112"/>
      <c r="AL955" s="112"/>
      <c r="AM955" s="112"/>
      <c r="AN955" s="112"/>
      <c r="AO955" s="112"/>
      <c r="AP955" s="112"/>
    </row>
    <row r="956" ht="15.75" customHeight="1">
      <c r="A956" s="112"/>
      <c r="B956" s="112"/>
      <c r="C956" s="112"/>
      <c r="D956" s="112"/>
      <c r="E956" s="128"/>
      <c r="F956" s="112"/>
      <c r="G956" s="112"/>
      <c r="H956" s="128"/>
      <c r="I956" s="112"/>
      <c r="J956" s="112"/>
      <c r="K956" s="112"/>
      <c r="L956" s="128"/>
      <c r="M956" s="128"/>
      <c r="N956" s="112"/>
      <c r="O956" s="112"/>
      <c r="P956" s="112"/>
      <c r="Q956" s="112"/>
      <c r="R956" s="112"/>
      <c r="S956" s="112"/>
      <c r="T956" s="128"/>
      <c r="U956" s="128"/>
      <c r="V956" s="128"/>
      <c r="W956" s="128"/>
      <c r="X956" s="128"/>
      <c r="Y956" s="128"/>
      <c r="Z956" s="112"/>
      <c r="AA956" s="112"/>
      <c r="AB956" s="112"/>
      <c r="AC956" s="112"/>
      <c r="AD956" s="112"/>
      <c r="AE956" s="112"/>
      <c r="AF956" s="112"/>
      <c r="AG956" s="112"/>
      <c r="AH956" s="112"/>
      <c r="AI956" s="112"/>
      <c r="AJ956" s="112"/>
      <c r="AK956" s="112"/>
      <c r="AL956" s="112"/>
      <c r="AM956" s="112"/>
      <c r="AN956" s="112"/>
      <c r="AO956" s="112"/>
      <c r="AP956" s="112"/>
    </row>
    <row r="957" ht="15.75" customHeight="1">
      <c r="A957" s="112"/>
      <c r="B957" s="112"/>
      <c r="C957" s="112"/>
      <c r="D957" s="112"/>
      <c r="E957" s="128"/>
      <c r="F957" s="112"/>
      <c r="G957" s="112"/>
      <c r="H957" s="128"/>
      <c r="I957" s="112"/>
      <c r="J957" s="112"/>
      <c r="K957" s="112"/>
      <c r="L957" s="128"/>
      <c r="M957" s="128"/>
      <c r="N957" s="112"/>
      <c r="O957" s="112"/>
      <c r="P957" s="112"/>
      <c r="Q957" s="112"/>
      <c r="R957" s="112"/>
      <c r="S957" s="112"/>
      <c r="T957" s="128"/>
      <c r="U957" s="128"/>
      <c r="V957" s="128"/>
      <c r="W957" s="128"/>
      <c r="X957" s="128"/>
      <c r="Y957" s="128"/>
      <c r="Z957" s="112"/>
      <c r="AA957" s="112"/>
      <c r="AB957" s="112"/>
      <c r="AC957" s="112"/>
      <c r="AD957" s="112"/>
      <c r="AE957" s="112"/>
      <c r="AF957" s="112"/>
      <c r="AG957" s="112"/>
      <c r="AH957" s="112"/>
      <c r="AI957" s="112"/>
      <c r="AJ957" s="112"/>
      <c r="AK957" s="112"/>
      <c r="AL957" s="112"/>
      <c r="AM957" s="112"/>
      <c r="AN957" s="112"/>
      <c r="AO957" s="112"/>
      <c r="AP957" s="112"/>
    </row>
    <row r="958" ht="15.75" customHeight="1">
      <c r="A958" s="112"/>
      <c r="B958" s="112"/>
      <c r="C958" s="112"/>
      <c r="D958" s="112"/>
      <c r="E958" s="128"/>
      <c r="F958" s="112"/>
      <c r="G958" s="112"/>
      <c r="H958" s="128"/>
      <c r="I958" s="112"/>
      <c r="J958" s="112"/>
      <c r="K958" s="112"/>
      <c r="L958" s="128"/>
      <c r="M958" s="128"/>
      <c r="N958" s="112"/>
      <c r="O958" s="112"/>
      <c r="P958" s="112"/>
      <c r="Q958" s="112"/>
      <c r="R958" s="112"/>
      <c r="S958" s="112"/>
      <c r="T958" s="128"/>
      <c r="U958" s="128"/>
      <c r="V958" s="128"/>
      <c r="W958" s="128"/>
      <c r="X958" s="128"/>
      <c r="Y958" s="128"/>
      <c r="Z958" s="112"/>
      <c r="AA958" s="112"/>
      <c r="AB958" s="112"/>
      <c r="AC958" s="112"/>
      <c r="AD958" s="112"/>
      <c r="AE958" s="112"/>
      <c r="AF958" s="112"/>
      <c r="AG958" s="112"/>
      <c r="AH958" s="112"/>
      <c r="AI958" s="112"/>
      <c r="AJ958" s="112"/>
      <c r="AK958" s="112"/>
      <c r="AL958" s="112"/>
      <c r="AM958" s="112"/>
      <c r="AN958" s="112"/>
      <c r="AO958" s="112"/>
      <c r="AP958" s="112"/>
    </row>
    <row r="959" ht="15.75" customHeight="1">
      <c r="A959" s="112"/>
      <c r="B959" s="112"/>
      <c r="C959" s="112"/>
      <c r="D959" s="112"/>
      <c r="E959" s="128"/>
      <c r="F959" s="112"/>
      <c r="G959" s="112"/>
      <c r="H959" s="128"/>
      <c r="I959" s="112"/>
      <c r="J959" s="112"/>
      <c r="K959" s="112"/>
      <c r="L959" s="128"/>
      <c r="M959" s="128"/>
      <c r="N959" s="112"/>
      <c r="O959" s="112"/>
      <c r="P959" s="112"/>
      <c r="Q959" s="112"/>
      <c r="R959" s="112"/>
      <c r="S959" s="112"/>
      <c r="T959" s="128"/>
      <c r="U959" s="128"/>
      <c r="V959" s="128"/>
      <c r="W959" s="128"/>
      <c r="X959" s="128"/>
      <c r="Y959" s="128"/>
      <c r="Z959" s="112"/>
      <c r="AA959" s="112"/>
      <c r="AB959" s="112"/>
      <c r="AC959" s="112"/>
      <c r="AD959" s="112"/>
      <c r="AE959" s="112"/>
      <c r="AF959" s="112"/>
      <c r="AG959" s="112"/>
      <c r="AH959" s="112"/>
      <c r="AI959" s="112"/>
      <c r="AJ959" s="112"/>
      <c r="AK959" s="112"/>
      <c r="AL959" s="112"/>
      <c r="AM959" s="112"/>
      <c r="AN959" s="112"/>
      <c r="AO959" s="112"/>
      <c r="AP959" s="112"/>
    </row>
    <row r="960" ht="15.75" customHeight="1">
      <c r="A960" s="112"/>
      <c r="B960" s="112"/>
      <c r="C960" s="112"/>
      <c r="D960" s="112"/>
      <c r="E960" s="128"/>
      <c r="F960" s="112"/>
      <c r="G960" s="112"/>
      <c r="H960" s="128"/>
      <c r="I960" s="112"/>
      <c r="J960" s="112"/>
      <c r="K960" s="112"/>
      <c r="L960" s="128"/>
      <c r="M960" s="128"/>
      <c r="N960" s="112"/>
      <c r="O960" s="112"/>
      <c r="P960" s="112"/>
      <c r="Q960" s="112"/>
      <c r="R960" s="112"/>
      <c r="S960" s="112"/>
      <c r="T960" s="128"/>
      <c r="U960" s="128"/>
      <c r="V960" s="128"/>
      <c r="W960" s="128"/>
      <c r="X960" s="128"/>
      <c r="Y960" s="128"/>
      <c r="Z960" s="112"/>
      <c r="AA960" s="112"/>
      <c r="AB960" s="112"/>
      <c r="AC960" s="112"/>
      <c r="AD960" s="112"/>
      <c r="AE960" s="112"/>
      <c r="AF960" s="112"/>
      <c r="AG960" s="112"/>
      <c r="AH960" s="112"/>
      <c r="AI960" s="112"/>
      <c r="AJ960" s="112"/>
      <c r="AK960" s="112"/>
      <c r="AL960" s="112"/>
      <c r="AM960" s="112"/>
      <c r="AN960" s="112"/>
      <c r="AO960" s="112"/>
      <c r="AP960" s="112"/>
    </row>
    <row r="961" ht="15.75" customHeight="1">
      <c r="A961" s="112"/>
      <c r="B961" s="112"/>
      <c r="C961" s="112"/>
      <c r="D961" s="112"/>
      <c r="E961" s="128"/>
      <c r="F961" s="112"/>
      <c r="G961" s="112"/>
      <c r="H961" s="128"/>
      <c r="I961" s="112"/>
      <c r="J961" s="112"/>
      <c r="K961" s="112"/>
      <c r="L961" s="128"/>
      <c r="M961" s="128"/>
      <c r="N961" s="112"/>
      <c r="O961" s="112"/>
      <c r="P961" s="112"/>
      <c r="Q961" s="112"/>
      <c r="R961" s="112"/>
      <c r="S961" s="112"/>
      <c r="T961" s="128"/>
      <c r="U961" s="128"/>
      <c r="V961" s="128"/>
      <c r="W961" s="128"/>
      <c r="X961" s="128"/>
      <c r="Y961" s="128"/>
      <c r="Z961" s="112"/>
      <c r="AA961" s="112"/>
      <c r="AB961" s="112"/>
      <c r="AC961" s="112"/>
      <c r="AD961" s="112"/>
      <c r="AE961" s="112"/>
      <c r="AF961" s="112"/>
      <c r="AG961" s="112"/>
      <c r="AH961" s="112"/>
      <c r="AI961" s="112"/>
      <c r="AJ961" s="112"/>
      <c r="AK961" s="112"/>
      <c r="AL961" s="112"/>
      <c r="AM961" s="112"/>
      <c r="AN961" s="112"/>
      <c r="AO961" s="112"/>
      <c r="AP961" s="112"/>
    </row>
    <row r="962" ht="15.75" customHeight="1">
      <c r="A962" s="112"/>
      <c r="B962" s="112"/>
      <c r="C962" s="112"/>
      <c r="D962" s="112"/>
      <c r="E962" s="128"/>
      <c r="F962" s="112"/>
      <c r="G962" s="112"/>
      <c r="H962" s="128"/>
      <c r="I962" s="112"/>
      <c r="J962" s="112"/>
      <c r="K962" s="112"/>
      <c r="L962" s="128"/>
      <c r="M962" s="128"/>
      <c r="N962" s="112"/>
      <c r="O962" s="112"/>
      <c r="P962" s="112"/>
      <c r="Q962" s="112"/>
      <c r="R962" s="112"/>
      <c r="S962" s="112"/>
      <c r="T962" s="128"/>
      <c r="U962" s="128"/>
      <c r="V962" s="128"/>
      <c r="W962" s="128"/>
      <c r="X962" s="128"/>
      <c r="Y962" s="128"/>
      <c r="Z962" s="112"/>
      <c r="AA962" s="112"/>
      <c r="AB962" s="112"/>
      <c r="AC962" s="112"/>
      <c r="AD962" s="112"/>
      <c r="AE962" s="112"/>
      <c r="AF962" s="112"/>
      <c r="AG962" s="112"/>
      <c r="AH962" s="112"/>
      <c r="AI962" s="112"/>
      <c r="AJ962" s="112"/>
      <c r="AK962" s="112"/>
      <c r="AL962" s="112"/>
      <c r="AM962" s="112"/>
      <c r="AN962" s="112"/>
      <c r="AO962" s="112"/>
      <c r="AP962" s="112"/>
    </row>
    <row r="963" ht="15.75" customHeight="1">
      <c r="A963" s="112"/>
      <c r="B963" s="112"/>
      <c r="C963" s="112"/>
      <c r="D963" s="112"/>
      <c r="E963" s="128"/>
      <c r="F963" s="112"/>
      <c r="G963" s="112"/>
      <c r="H963" s="128"/>
      <c r="I963" s="112"/>
      <c r="J963" s="112"/>
      <c r="K963" s="112"/>
      <c r="L963" s="128"/>
      <c r="M963" s="128"/>
      <c r="N963" s="112"/>
      <c r="O963" s="112"/>
      <c r="P963" s="112"/>
      <c r="Q963" s="112"/>
      <c r="R963" s="112"/>
      <c r="S963" s="112"/>
      <c r="T963" s="128"/>
      <c r="U963" s="128"/>
      <c r="V963" s="128"/>
      <c r="W963" s="128"/>
      <c r="X963" s="128"/>
      <c r="Y963" s="128"/>
      <c r="Z963" s="112"/>
      <c r="AA963" s="112"/>
      <c r="AB963" s="112"/>
      <c r="AC963" s="112"/>
      <c r="AD963" s="112"/>
      <c r="AE963" s="112"/>
      <c r="AF963" s="112"/>
      <c r="AG963" s="112"/>
      <c r="AH963" s="112"/>
      <c r="AI963" s="112"/>
      <c r="AJ963" s="112"/>
      <c r="AK963" s="112"/>
      <c r="AL963" s="112"/>
      <c r="AM963" s="112"/>
      <c r="AN963" s="112"/>
      <c r="AO963" s="112"/>
      <c r="AP963" s="112"/>
    </row>
    <row r="964" ht="15.75" customHeight="1">
      <c r="A964" s="112"/>
      <c r="B964" s="112"/>
      <c r="C964" s="112"/>
      <c r="D964" s="112"/>
      <c r="E964" s="128"/>
      <c r="F964" s="112"/>
      <c r="G964" s="112"/>
      <c r="H964" s="128"/>
      <c r="I964" s="112"/>
      <c r="J964" s="112"/>
      <c r="K964" s="112"/>
      <c r="L964" s="128"/>
      <c r="M964" s="128"/>
      <c r="N964" s="112"/>
      <c r="O964" s="112"/>
      <c r="P964" s="112"/>
      <c r="Q964" s="112"/>
      <c r="R964" s="112"/>
      <c r="S964" s="112"/>
      <c r="T964" s="128"/>
      <c r="U964" s="128"/>
      <c r="V964" s="128"/>
      <c r="W964" s="128"/>
      <c r="X964" s="128"/>
      <c r="Y964" s="128"/>
      <c r="Z964" s="112"/>
      <c r="AA964" s="112"/>
      <c r="AB964" s="112"/>
      <c r="AC964" s="112"/>
      <c r="AD964" s="112"/>
      <c r="AE964" s="112"/>
      <c r="AF964" s="112"/>
      <c r="AG964" s="112"/>
      <c r="AH964" s="112"/>
      <c r="AI964" s="112"/>
      <c r="AJ964" s="112"/>
      <c r="AK964" s="112"/>
      <c r="AL964" s="112"/>
      <c r="AM964" s="112"/>
      <c r="AN964" s="112"/>
      <c r="AO964" s="112"/>
      <c r="AP964" s="112"/>
    </row>
    <row r="965" ht="15.75" customHeight="1">
      <c r="A965" s="112"/>
      <c r="B965" s="112"/>
      <c r="C965" s="112"/>
      <c r="D965" s="112"/>
      <c r="E965" s="128"/>
      <c r="F965" s="112"/>
      <c r="G965" s="112"/>
      <c r="H965" s="128"/>
      <c r="I965" s="112"/>
      <c r="J965" s="112"/>
      <c r="K965" s="112"/>
      <c r="L965" s="128"/>
      <c r="M965" s="128"/>
      <c r="N965" s="112"/>
      <c r="O965" s="112"/>
      <c r="P965" s="112"/>
      <c r="Q965" s="112"/>
      <c r="R965" s="112"/>
      <c r="S965" s="112"/>
      <c r="T965" s="128"/>
      <c r="U965" s="128"/>
      <c r="V965" s="128"/>
      <c r="W965" s="128"/>
      <c r="X965" s="128"/>
      <c r="Y965" s="128"/>
      <c r="Z965" s="112"/>
      <c r="AA965" s="112"/>
      <c r="AB965" s="112"/>
      <c r="AC965" s="112"/>
      <c r="AD965" s="112"/>
      <c r="AE965" s="112"/>
      <c r="AF965" s="112"/>
      <c r="AG965" s="112"/>
      <c r="AH965" s="112"/>
      <c r="AI965" s="112"/>
      <c r="AJ965" s="112"/>
      <c r="AK965" s="112"/>
      <c r="AL965" s="112"/>
      <c r="AM965" s="112"/>
      <c r="AN965" s="112"/>
      <c r="AO965" s="112"/>
      <c r="AP965" s="112"/>
    </row>
    <row r="966" ht="15.75" customHeight="1">
      <c r="A966" s="112"/>
      <c r="B966" s="112"/>
      <c r="C966" s="112"/>
      <c r="D966" s="112"/>
      <c r="E966" s="128"/>
      <c r="F966" s="112"/>
      <c r="G966" s="112"/>
      <c r="H966" s="128"/>
      <c r="I966" s="112"/>
      <c r="J966" s="112"/>
      <c r="K966" s="112"/>
      <c r="L966" s="128"/>
      <c r="M966" s="128"/>
      <c r="N966" s="112"/>
      <c r="O966" s="112"/>
      <c r="P966" s="112"/>
      <c r="Q966" s="112"/>
      <c r="R966" s="112"/>
      <c r="S966" s="112"/>
      <c r="T966" s="128"/>
      <c r="U966" s="128"/>
      <c r="V966" s="128"/>
      <c r="W966" s="128"/>
      <c r="X966" s="128"/>
      <c r="Y966" s="128"/>
      <c r="Z966" s="112"/>
      <c r="AA966" s="112"/>
      <c r="AB966" s="112"/>
      <c r="AC966" s="112"/>
      <c r="AD966" s="112"/>
      <c r="AE966" s="112"/>
      <c r="AF966" s="112"/>
      <c r="AG966" s="112"/>
      <c r="AH966" s="112"/>
      <c r="AI966" s="112"/>
      <c r="AJ966" s="112"/>
      <c r="AK966" s="112"/>
      <c r="AL966" s="112"/>
      <c r="AM966" s="112"/>
      <c r="AN966" s="112"/>
      <c r="AO966" s="112"/>
      <c r="AP966" s="112"/>
    </row>
    <row r="967" ht="15.75" customHeight="1">
      <c r="A967" s="112"/>
      <c r="B967" s="112"/>
      <c r="C967" s="112"/>
      <c r="D967" s="112"/>
      <c r="E967" s="128"/>
      <c r="F967" s="112"/>
      <c r="G967" s="112"/>
      <c r="H967" s="128"/>
      <c r="I967" s="112"/>
      <c r="J967" s="112"/>
      <c r="K967" s="112"/>
      <c r="L967" s="128"/>
      <c r="M967" s="128"/>
      <c r="N967" s="112"/>
      <c r="O967" s="112"/>
      <c r="P967" s="112"/>
      <c r="Q967" s="112"/>
      <c r="R967" s="112"/>
      <c r="S967" s="112"/>
      <c r="T967" s="128"/>
      <c r="U967" s="128"/>
      <c r="V967" s="128"/>
      <c r="W967" s="128"/>
      <c r="X967" s="128"/>
      <c r="Y967" s="128"/>
      <c r="Z967" s="112"/>
      <c r="AA967" s="112"/>
      <c r="AB967" s="112"/>
      <c r="AC967" s="112"/>
      <c r="AD967" s="112"/>
      <c r="AE967" s="112"/>
      <c r="AF967" s="112"/>
      <c r="AG967" s="112"/>
      <c r="AH967" s="112"/>
      <c r="AI967" s="112"/>
      <c r="AJ967" s="112"/>
      <c r="AK967" s="112"/>
      <c r="AL967" s="112"/>
      <c r="AM967" s="112"/>
      <c r="AN967" s="112"/>
      <c r="AO967" s="112"/>
      <c r="AP967" s="112"/>
    </row>
    <row r="968" ht="15.75" customHeight="1">
      <c r="A968" s="112"/>
      <c r="B968" s="112"/>
      <c r="C968" s="112"/>
      <c r="D968" s="112"/>
      <c r="E968" s="128"/>
      <c r="F968" s="112"/>
      <c r="G968" s="112"/>
      <c r="H968" s="128"/>
      <c r="I968" s="112"/>
      <c r="J968" s="112"/>
      <c r="K968" s="112"/>
      <c r="L968" s="128"/>
      <c r="M968" s="128"/>
      <c r="N968" s="112"/>
      <c r="O968" s="112"/>
      <c r="P968" s="112"/>
      <c r="Q968" s="112"/>
      <c r="R968" s="112"/>
      <c r="S968" s="112"/>
      <c r="T968" s="128"/>
      <c r="U968" s="128"/>
      <c r="V968" s="128"/>
      <c r="W968" s="128"/>
      <c r="X968" s="128"/>
      <c r="Y968" s="128"/>
      <c r="Z968" s="112"/>
      <c r="AA968" s="112"/>
      <c r="AB968" s="112"/>
      <c r="AC968" s="112"/>
      <c r="AD968" s="112"/>
      <c r="AE968" s="112"/>
      <c r="AF968" s="112"/>
      <c r="AG968" s="112"/>
      <c r="AH968" s="112"/>
      <c r="AI968" s="112"/>
      <c r="AJ968" s="112"/>
      <c r="AK968" s="112"/>
      <c r="AL968" s="112"/>
      <c r="AM968" s="112"/>
      <c r="AN968" s="112"/>
      <c r="AO968" s="112"/>
      <c r="AP968" s="112"/>
    </row>
    <row r="969" ht="15.75" customHeight="1">
      <c r="A969" s="112"/>
      <c r="B969" s="112"/>
      <c r="C969" s="112"/>
      <c r="D969" s="112"/>
      <c r="E969" s="128"/>
      <c r="F969" s="112"/>
      <c r="G969" s="112"/>
      <c r="H969" s="128"/>
      <c r="I969" s="112"/>
      <c r="J969" s="112"/>
      <c r="K969" s="112"/>
      <c r="L969" s="128"/>
      <c r="M969" s="128"/>
      <c r="N969" s="112"/>
      <c r="O969" s="112"/>
      <c r="P969" s="112"/>
      <c r="Q969" s="112"/>
      <c r="R969" s="112"/>
      <c r="S969" s="112"/>
      <c r="T969" s="128"/>
      <c r="U969" s="128"/>
      <c r="V969" s="128"/>
      <c r="W969" s="128"/>
      <c r="X969" s="128"/>
      <c r="Y969" s="128"/>
      <c r="Z969" s="112"/>
      <c r="AA969" s="112"/>
      <c r="AB969" s="112"/>
      <c r="AC969" s="112"/>
      <c r="AD969" s="112"/>
      <c r="AE969" s="112"/>
      <c r="AF969" s="112"/>
      <c r="AG969" s="112"/>
      <c r="AH969" s="112"/>
      <c r="AI969" s="112"/>
      <c r="AJ969" s="112"/>
      <c r="AK969" s="112"/>
      <c r="AL969" s="112"/>
      <c r="AM969" s="112"/>
      <c r="AN969" s="112"/>
      <c r="AO969" s="112"/>
      <c r="AP969" s="112"/>
    </row>
    <row r="970" ht="15.75" customHeight="1">
      <c r="A970" s="112"/>
      <c r="B970" s="112"/>
      <c r="C970" s="112"/>
      <c r="D970" s="112"/>
      <c r="E970" s="128"/>
      <c r="F970" s="112"/>
      <c r="G970" s="112"/>
      <c r="H970" s="128"/>
      <c r="I970" s="112"/>
      <c r="J970" s="112"/>
      <c r="K970" s="112"/>
      <c r="L970" s="128"/>
      <c r="M970" s="128"/>
      <c r="N970" s="112"/>
      <c r="O970" s="112"/>
      <c r="P970" s="112"/>
      <c r="Q970" s="112"/>
      <c r="R970" s="112"/>
      <c r="S970" s="112"/>
      <c r="T970" s="128"/>
      <c r="U970" s="128"/>
      <c r="V970" s="128"/>
      <c r="W970" s="128"/>
      <c r="X970" s="128"/>
      <c r="Y970" s="128"/>
      <c r="Z970" s="112"/>
      <c r="AA970" s="112"/>
      <c r="AB970" s="112"/>
      <c r="AC970" s="112"/>
      <c r="AD970" s="112"/>
      <c r="AE970" s="112"/>
      <c r="AF970" s="112"/>
      <c r="AG970" s="112"/>
      <c r="AH970" s="112"/>
      <c r="AI970" s="112"/>
      <c r="AJ970" s="112"/>
      <c r="AK970" s="112"/>
      <c r="AL970" s="112"/>
      <c r="AM970" s="112"/>
      <c r="AN970" s="112"/>
      <c r="AO970" s="112"/>
      <c r="AP970" s="112"/>
    </row>
    <row r="971" ht="15.75" customHeight="1">
      <c r="A971" s="112"/>
      <c r="B971" s="112"/>
      <c r="C971" s="112"/>
      <c r="D971" s="112"/>
      <c r="E971" s="128"/>
      <c r="F971" s="112"/>
      <c r="G971" s="112"/>
      <c r="H971" s="128"/>
      <c r="I971" s="112"/>
      <c r="J971" s="112"/>
      <c r="K971" s="112"/>
      <c r="L971" s="128"/>
      <c r="M971" s="128"/>
      <c r="N971" s="112"/>
      <c r="O971" s="112"/>
      <c r="P971" s="112"/>
      <c r="Q971" s="112"/>
      <c r="R971" s="112"/>
      <c r="S971" s="112"/>
      <c r="T971" s="128"/>
      <c r="U971" s="128"/>
      <c r="V971" s="128"/>
      <c r="W971" s="128"/>
      <c r="X971" s="128"/>
      <c r="Y971" s="128"/>
      <c r="Z971" s="112"/>
      <c r="AA971" s="112"/>
      <c r="AB971" s="112"/>
      <c r="AC971" s="112"/>
      <c r="AD971" s="112"/>
      <c r="AE971" s="112"/>
      <c r="AF971" s="112"/>
      <c r="AG971" s="112"/>
      <c r="AH971" s="112"/>
      <c r="AI971" s="112"/>
      <c r="AJ971" s="112"/>
      <c r="AK971" s="112"/>
      <c r="AL971" s="112"/>
      <c r="AM971" s="112"/>
      <c r="AN971" s="112"/>
      <c r="AO971" s="112"/>
      <c r="AP971" s="112"/>
    </row>
    <row r="972" ht="15.75" customHeight="1">
      <c r="A972" s="112"/>
      <c r="B972" s="112"/>
      <c r="C972" s="112"/>
      <c r="D972" s="112"/>
      <c r="E972" s="128"/>
      <c r="F972" s="112"/>
      <c r="G972" s="112"/>
      <c r="H972" s="128"/>
      <c r="I972" s="112"/>
      <c r="J972" s="112"/>
      <c r="K972" s="112"/>
      <c r="L972" s="128"/>
      <c r="M972" s="128"/>
      <c r="N972" s="112"/>
      <c r="O972" s="112"/>
      <c r="P972" s="112"/>
      <c r="Q972" s="112"/>
      <c r="R972" s="112"/>
      <c r="S972" s="112"/>
      <c r="T972" s="128"/>
      <c r="U972" s="128"/>
      <c r="V972" s="128"/>
      <c r="W972" s="128"/>
      <c r="X972" s="128"/>
      <c r="Y972" s="128"/>
      <c r="Z972" s="112"/>
      <c r="AA972" s="112"/>
      <c r="AB972" s="112"/>
      <c r="AC972" s="112"/>
      <c r="AD972" s="112"/>
      <c r="AE972" s="112"/>
      <c r="AF972" s="112"/>
      <c r="AG972" s="112"/>
      <c r="AH972" s="112"/>
      <c r="AI972" s="112"/>
      <c r="AJ972" s="112"/>
      <c r="AK972" s="112"/>
      <c r="AL972" s="112"/>
      <c r="AM972" s="112"/>
      <c r="AN972" s="112"/>
      <c r="AO972" s="112"/>
      <c r="AP972" s="112"/>
    </row>
    <row r="973" ht="15.75" customHeight="1">
      <c r="A973" s="112"/>
      <c r="B973" s="112"/>
      <c r="C973" s="112"/>
      <c r="D973" s="112"/>
      <c r="E973" s="128"/>
      <c r="F973" s="112"/>
      <c r="G973" s="112"/>
      <c r="H973" s="128"/>
      <c r="I973" s="112"/>
      <c r="J973" s="112"/>
      <c r="K973" s="112"/>
      <c r="L973" s="128"/>
      <c r="M973" s="128"/>
      <c r="N973" s="112"/>
      <c r="O973" s="112"/>
      <c r="P973" s="112"/>
      <c r="Q973" s="112"/>
      <c r="R973" s="112"/>
      <c r="S973" s="112"/>
      <c r="T973" s="128"/>
      <c r="U973" s="128"/>
      <c r="V973" s="128"/>
      <c r="W973" s="128"/>
      <c r="X973" s="128"/>
      <c r="Y973" s="128"/>
      <c r="Z973" s="112"/>
      <c r="AA973" s="112"/>
      <c r="AB973" s="112"/>
      <c r="AC973" s="112"/>
      <c r="AD973" s="112"/>
      <c r="AE973" s="112"/>
      <c r="AF973" s="112"/>
      <c r="AG973" s="112"/>
      <c r="AH973" s="112"/>
      <c r="AI973" s="112"/>
      <c r="AJ973" s="112"/>
      <c r="AK973" s="112"/>
      <c r="AL973" s="112"/>
      <c r="AM973" s="112"/>
      <c r="AN973" s="112"/>
      <c r="AO973" s="112"/>
      <c r="AP973" s="112"/>
    </row>
    <row r="974" ht="15.75" customHeight="1">
      <c r="A974" s="112"/>
      <c r="B974" s="112"/>
      <c r="C974" s="112"/>
      <c r="D974" s="112"/>
      <c r="E974" s="128"/>
      <c r="F974" s="112"/>
      <c r="G974" s="112"/>
      <c r="H974" s="128"/>
      <c r="I974" s="112"/>
      <c r="J974" s="112"/>
      <c r="K974" s="112"/>
      <c r="L974" s="128"/>
      <c r="M974" s="128"/>
      <c r="N974" s="112"/>
      <c r="O974" s="112"/>
      <c r="P974" s="112"/>
      <c r="Q974" s="112"/>
      <c r="R974" s="112"/>
      <c r="S974" s="112"/>
      <c r="T974" s="128"/>
      <c r="U974" s="128"/>
      <c r="V974" s="128"/>
      <c r="W974" s="128"/>
      <c r="X974" s="128"/>
      <c r="Y974" s="128"/>
      <c r="Z974" s="112"/>
      <c r="AA974" s="112"/>
      <c r="AB974" s="112"/>
      <c r="AC974" s="112"/>
      <c r="AD974" s="112"/>
      <c r="AE974" s="112"/>
      <c r="AF974" s="112"/>
      <c r="AG974" s="112"/>
      <c r="AH974" s="112"/>
      <c r="AI974" s="112"/>
      <c r="AJ974" s="112"/>
      <c r="AK974" s="112"/>
      <c r="AL974" s="112"/>
      <c r="AM974" s="112"/>
      <c r="AN974" s="112"/>
      <c r="AO974" s="112"/>
      <c r="AP974" s="112"/>
    </row>
    <row r="975" ht="15.75" customHeight="1">
      <c r="A975" s="112"/>
      <c r="B975" s="112"/>
      <c r="C975" s="112"/>
      <c r="D975" s="112"/>
      <c r="E975" s="128"/>
      <c r="F975" s="112"/>
      <c r="G975" s="112"/>
      <c r="H975" s="128"/>
      <c r="I975" s="112"/>
      <c r="J975" s="112"/>
      <c r="K975" s="112"/>
      <c r="L975" s="128"/>
      <c r="M975" s="128"/>
      <c r="N975" s="112"/>
      <c r="O975" s="112"/>
      <c r="P975" s="112"/>
      <c r="Q975" s="112"/>
      <c r="R975" s="112"/>
      <c r="S975" s="112"/>
      <c r="T975" s="128"/>
      <c r="U975" s="128"/>
      <c r="V975" s="128"/>
      <c r="W975" s="128"/>
      <c r="X975" s="128"/>
      <c r="Y975" s="128"/>
      <c r="Z975" s="112"/>
      <c r="AA975" s="112"/>
      <c r="AB975" s="112"/>
      <c r="AC975" s="112"/>
      <c r="AD975" s="112"/>
      <c r="AE975" s="112"/>
      <c r="AF975" s="112"/>
      <c r="AG975" s="112"/>
      <c r="AH975" s="112"/>
      <c r="AI975" s="112"/>
      <c r="AJ975" s="112"/>
      <c r="AK975" s="112"/>
      <c r="AL975" s="112"/>
      <c r="AM975" s="112"/>
      <c r="AN975" s="112"/>
      <c r="AO975" s="112"/>
      <c r="AP975" s="112"/>
    </row>
    <row r="976" ht="15.75" customHeight="1">
      <c r="A976" s="112"/>
      <c r="B976" s="112"/>
      <c r="C976" s="112"/>
      <c r="D976" s="112"/>
      <c r="E976" s="128"/>
      <c r="F976" s="112"/>
      <c r="G976" s="112"/>
      <c r="H976" s="128"/>
      <c r="I976" s="112"/>
      <c r="J976" s="112"/>
      <c r="K976" s="112"/>
      <c r="L976" s="128"/>
      <c r="M976" s="128"/>
      <c r="N976" s="112"/>
      <c r="O976" s="112"/>
      <c r="P976" s="112"/>
      <c r="Q976" s="112"/>
      <c r="R976" s="112"/>
      <c r="S976" s="112"/>
      <c r="T976" s="128"/>
      <c r="U976" s="128"/>
      <c r="V976" s="128"/>
      <c r="W976" s="128"/>
      <c r="X976" s="128"/>
      <c r="Y976" s="128"/>
      <c r="Z976" s="112"/>
      <c r="AA976" s="112"/>
      <c r="AB976" s="112"/>
      <c r="AC976" s="112"/>
      <c r="AD976" s="112"/>
      <c r="AE976" s="112"/>
      <c r="AF976" s="112"/>
      <c r="AG976" s="112"/>
      <c r="AH976" s="112"/>
      <c r="AI976" s="112"/>
      <c r="AJ976" s="112"/>
      <c r="AK976" s="112"/>
      <c r="AL976" s="112"/>
      <c r="AM976" s="112"/>
      <c r="AN976" s="112"/>
      <c r="AO976" s="112"/>
      <c r="AP976" s="112"/>
    </row>
    <row r="977" ht="15.75" customHeight="1">
      <c r="A977" s="112"/>
      <c r="B977" s="112"/>
      <c r="C977" s="112"/>
      <c r="D977" s="112"/>
      <c r="E977" s="128"/>
      <c r="F977" s="112"/>
      <c r="G977" s="112"/>
      <c r="H977" s="128"/>
      <c r="I977" s="112"/>
      <c r="J977" s="112"/>
      <c r="K977" s="112"/>
      <c r="L977" s="128"/>
      <c r="M977" s="128"/>
      <c r="N977" s="112"/>
      <c r="O977" s="112"/>
      <c r="P977" s="112"/>
      <c r="Q977" s="112"/>
      <c r="R977" s="112"/>
      <c r="S977" s="112"/>
      <c r="T977" s="128"/>
      <c r="U977" s="128"/>
      <c r="V977" s="128"/>
      <c r="W977" s="128"/>
      <c r="X977" s="128"/>
      <c r="Y977" s="128"/>
      <c r="Z977" s="112"/>
      <c r="AA977" s="112"/>
      <c r="AB977" s="112"/>
      <c r="AC977" s="112"/>
      <c r="AD977" s="112"/>
      <c r="AE977" s="112"/>
      <c r="AF977" s="112"/>
      <c r="AG977" s="112"/>
      <c r="AH977" s="112"/>
      <c r="AI977" s="112"/>
      <c r="AJ977" s="112"/>
      <c r="AK977" s="112"/>
      <c r="AL977" s="112"/>
      <c r="AM977" s="112"/>
      <c r="AN977" s="112"/>
      <c r="AO977" s="112"/>
      <c r="AP977" s="112"/>
    </row>
    <row r="978" ht="15.75" customHeight="1">
      <c r="A978" s="112"/>
      <c r="B978" s="112"/>
      <c r="C978" s="112"/>
      <c r="D978" s="112"/>
      <c r="E978" s="128"/>
      <c r="F978" s="112"/>
      <c r="G978" s="112"/>
      <c r="H978" s="128"/>
      <c r="I978" s="112"/>
      <c r="J978" s="112"/>
      <c r="K978" s="112"/>
      <c r="L978" s="128"/>
      <c r="M978" s="128"/>
      <c r="N978" s="112"/>
      <c r="O978" s="112"/>
      <c r="P978" s="112"/>
      <c r="Q978" s="112"/>
      <c r="R978" s="112"/>
      <c r="S978" s="112"/>
      <c r="T978" s="128"/>
      <c r="U978" s="128"/>
      <c r="V978" s="128"/>
      <c r="W978" s="128"/>
      <c r="X978" s="128"/>
      <c r="Y978" s="128"/>
      <c r="Z978" s="112"/>
      <c r="AA978" s="112"/>
      <c r="AB978" s="112"/>
      <c r="AC978" s="112"/>
      <c r="AD978" s="112"/>
      <c r="AE978" s="112"/>
      <c r="AF978" s="112"/>
      <c r="AG978" s="112"/>
      <c r="AH978" s="112"/>
      <c r="AI978" s="112"/>
      <c r="AJ978" s="112"/>
      <c r="AK978" s="112"/>
      <c r="AL978" s="112"/>
      <c r="AM978" s="112"/>
      <c r="AN978" s="112"/>
      <c r="AO978" s="112"/>
      <c r="AP978" s="112"/>
    </row>
    <row r="979" ht="15.75" customHeight="1">
      <c r="A979" s="112"/>
      <c r="B979" s="112"/>
      <c r="C979" s="112"/>
      <c r="D979" s="112"/>
      <c r="E979" s="128"/>
      <c r="F979" s="112"/>
      <c r="G979" s="112"/>
      <c r="H979" s="128"/>
      <c r="I979" s="112"/>
      <c r="J979" s="112"/>
      <c r="K979" s="112"/>
      <c r="L979" s="128"/>
      <c r="M979" s="128"/>
      <c r="N979" s="112"/>
      <c r="O979" s="112"/>
      <c r="P979" s="112"/>
      <c r="Q979" s="112"/>
      <c r="R979" s="112"/>
      <c r="S979" s="112"/>
      <c r="T979" s="128"/>
      <c r="U979" s="128"/>
      <c r="V979" s="128"/>
      <c r="W979" s="128"/>
      <c r="X979" s="128"/>
      <c r="Y979" s="128"/>
      <c r="Z979" s="112"/>
      <c r="AA979" s="112"/>
      <c r="AB979" s="112"/>
      <c r="AC979" s="112"/>
      <c r="AD979" s="112"/>
      <c r="AE979" s="112"/>
      <c r="AF979" s="112"/>
      <c r="AG979" s="112"/>
      <c r="AH979" s="112"/>
      <c r="AI979" s="112"/>
      <c r="AJ979" s="112"/>
      <c r="AK979" s="112"/>
      <c r="AL979" s="112"/>
      <c r="AM979" s="112"/>
      <c r="AN979" s="112"/>
      <c r="AO979" s="112"/>
      <c r="AP979" s="112"/>
    </row>
    <row r="980" ht="15.75" customHeight="1">
      <c r="A980" s="112"/>
      <c r="B980" s="112"/>
      <c r="C980" s="112"/>
      <c r="D980" s="112"/>
      <c r="E980" s="128"/>
      <c r="F980" s="112"/>
      <c r="G980" s="112"/>
      <c r="H980" s="128"/>
      <c r="I980" s="112"/>
      <c r="J980" s="112"/>
      <c r="K980" s="112"/>
      <c r="L980" s="128"/>
      <c r="M980" s="128"/>
      <c r="N980" s="112"/>
      <c r="O980" s="112"/>
      <c r="P980" s="112"/>
      <c r="Q980" s="112"/>
      <c r="R980" s="112"/>
      <c r="S980" s="112"/>
      <c r="T980" s="128"/>
      <c r="U980" s="128"/>
      <c r="V980" s="128"/>
      <c r="W980" s="128"/>
      <c r="X980" s="128"/>
      <c r="Y980" s="128"/>
      <c r="Z980" s="112"/>
      <c r="AA980" s="112"/>
      <c r="AB980" s="112"/>
      <c r="AC980" s="112"/>
      <c r="AD980" s="112"/>
      <c r="AE980" s="112"/>
      <c r="AF980" s="112"/>
      <c r="AG980" s="112"/>
      <c r="AH980" s="112"/>
      <c r="AI980" s="112"/>
      <c r="AJ980" s="112"/>
      <c r="AK980" s="112"/>
      <c r="AL980" s="112"/>
      <c r="AM980" s="112"/>
      <c r="AN980" s="112"/>
      <c r="AO980" s="112"/>
      <c r="AP980" s="112"/>
    </row>
    <row r="981" ht="15.75" customHeight="1">
      <c r="A981" s="112"/>
      <c r="B981" s="112"/>
      <c r="C981" s="112"/>
      <c r="D981" s="112"/>
      <c r="E981" s="128"/>
      <c r="F981" s="112"/>
      <c r="G981" s="112"/>
      <c r="H981" s="128"/>
      <c r="I981" s="112"/>
      <c r="J981" s="112"/>
      <c r="K981" s="112"/>
      <c r="L981" s="128"/>
      <c r="M981" s="128"/>
      <c r="N981" s="112"/>
      <c r="O981" s="112"/>
      <c r="P981" s="112"/>
      <c r="Q981" s="112"/>
      <c r="R981" s="112"/>
      <c r="S981" s="112"/>
      <c r="T981" s="128"/>
      <c r="U981" s="128"/>
      <c r="V981" s="128"/>
      <c r="W981" s="128"/>
      <c r="X981" s="128"/>
      <c r="Y981" s="128"/>
      <c r="Z981" s="112"/>
      <c r="AA981" s="112"/>
      <c r="AB981" s="112"/>
      <c r="AC981" s="112"/>
      <c r="AD981" s="112"/>
      <c r="AE981" s="112"/>
      <c r="AF981" s="112"/>
      <c r="AG981" s="112"/>
      <c r="AH981" s="112"/>
      <c r="AI981" s="112"/>
      <c r="AJ981" s="112"/>
      <c r="AK981" s="112"/>
      <c r="AL981" s="112"/>
      <c r="AM981" s="112"/>
      <c r="AN981" s="112"/>
      <c r="AO981" s="112"/>
      <c r="AP981" s="112"/>
    </row>
    <row r="982" ht="15.75" customHeight="1">
      <c r="A982" s="112"/>
      <c r="B982" s="112"/>
      <c r="C982" s="112"/>
      <c r="D982" s="112"/>
      <c r="E982" s="128"/>
      <c r="F982" s="112"/>
      <c r="G982" s="112"/>
      <c r="H982" s="128"/>
      <c r="I982" s="112"/>
      <c r="J982" s="112"/>
      <c r="K982" s="112"/>
      <c r="L982" s="128"/>
      <c r="M982" s="128"/>
      <c r="N982" s="112"/>
      <c r="O982" s="112"/>
      <c r="P982" s="112"/>
      <c r="Q982" s="112"/>
      <c r="R982" s="112"/>
      <c r="S982" s="112"/>
      <c r="T982" s="128"/>
      <c r="U982" s="128"/>
      <c r="V982" s="128"/>
      <c r="W982" s="128"/>
      <c r="X982" s="128"/>
      <c r="Y982" s="128"/>
      <c r="Z982" s="112"/>
      <c r="AA982" s="112"/>
      <c r="AB982" s="112"/>
      <c r="AC982" s="112"/>
      <c r="AD982" s="112"/>
      <c r="AE982" s="112"/>
      <c r="AF982" s="112"/>
      <c r="AG982" s="112"/>
      <c r="AH982" s="112"/>
      <c r="AI982" s="112"/>
      <c r="AJ982" s="112"/>
      <c r="AK982" s="112"/>
      <c r="AL982" s="112"/>
      <c r="AM982" s="112"/>
      <c r="AN982" s="112"/>
      <c r="AO982" s="112"/>
      <c r="AP982" s="112"/>
    </row>
    <row r="983" ht="15.75" customHeight="1">
      <c r="A983" s="112"/>
      <c r="B983" s="112"/>
      <c r="C983" s="112"/>
      <c r="D983" s="112"/>
      <c r="E983" s="128"/>
      <c r="F983" s="112"/>
      <c r="G983" s="112"/>
      <c r="H983" s="128"/>
      <c r="I983" s="112"/>
      <c r="J983" s="112"/>
      <c r="K983" s="112"/>
      <c r="L983" s="128"/>
      <c r="M983" s="128"/>
      <c r="N983" s="112"/>
      <c r="O983" s="112"/>
      <c r="P983" s="112"/>
      <c r="Q983" s="112"/>
      <c r="R983" s="112"/>
      <c r="S983" s="112"/>
      <c r="T983" s="128"/>
      <c r="U983" s="128"/>
      <c r="V983" s="128"/>
      <c r="W983" s="128"/>
      <c r="X983" s="128"/>
      <c r="Y983" s="128"/>
      <c r="Z983" s="112"/>
      <c r="AA983" s="112"/>
      <c r="AB983" s="112"/>
      <c r="AC983" s="112"/>
      <c r="AD983" s="112"/>
      <c r="AE983" s="112"/>
      <c r="AF983" s="112"/>
      <c r="AG983" s="112"/>
      <c r="AH983" s="112"/>
      <c r="AI983" s="112"/>
      <c r="AJ983" s="112"/>
      <c r="AK983" s="112"/>
      <c r="AL983" s="112"/>
      <c r="AM983" s="112"/>
      <c r="AN983" s="112"/>
      <c r="AO983" s="112"/>
      <c r="AP983" s="112"/>
    </row>
    <row r="984" ht="15.75" customHeight="1">
      <c r="A984" s="112"/>
      <c r="B984" s="112"/>
      <c r="C984" s="112"/>
      <c r="D984" s="112"/>
      <c r="E984" s="128"/>
      <c r="F984" s="112"/>
      <c r="G984" s="112"/>
      <c r="H984" s="128"/>
      <c r="I984" s="112"/>
      <c r="J984" s="112"/>
      <c r="K984" s="112"/>
      <c r="L984" s="128"/>
      <c r="M984" s="128"/>
      <c r="N984" s="112"/>
      <c r="O984" s="112"/>
      <c r="P984" s="112"/>
      <c r="Q984" s="112"/>
      <c r="R984" s="112"/>
      <c r="S984" s="112"/>
      <c r="T984" s="128"/>
      <c r="U984" s="128"/>
      <c r="V984" s="128"/>
      <c r="W984" s="128"/>
      <c r="X984" s="128"/>
      <c r="Y984" s="128"/>
      <c r="Z984" s="112"/>
      <c r="AA984" s="112"/>
      <c r="AB984" s="112"/>
      <c r="AC984" s="112"/>
      <c r="AD984" s="112"/>
      <c r="AE984" s="112"/>
      <c r="AF984" s="112"/>
      <c r="AG984" s="112"/>
      <c r="AH984" s="112"/>
      <c r="AI984" s="112"/>
      <c r="AJ984" s="112"/>
      <c r="AK984" s="112"/>
      <c r="AL984" s="112"/>
      <c r="AM984" s="112"/>
      <c r="AN984" s="112"/>
      <c r="AO984" s="112"/>
      <c r="AP984" s="112"/>
    </row>
    <row r="985" ht="15.75" customHeight="1">
      <c r="A985" s="112"/>
      <c r="B985" s="112"/>
      <c r="C985" s="112"/>
      <c r="D985" s="112"/>
      <c r="E985" s="128"/>
      <c r="F985" s="112"/>
      <c r="G985" s="112"/>
      <c r="H985" s="128"/>
      <c r="I985" s="112"/>
      <c r="J985" s="112"/>
      <c r="K985" s="112"/>
      <c r="L985" s="128"/>
      <c r="M985" s="128"/>
      <c r="N985" s="112"/>
      <c r="O985" s="112"/>
      <c r="P985" s="112"/>
      <c r="Q985" s="112"/>
      <c r="R985" s="112"/>
      <c r="S985" s="112"/>
      <c r="T985" s="128"/>
      <c r="U985" s="128"/>
      <c r="V985" s="128"/>
      <c r="W985" s="128"/>
      <c r="X985" s="128"/>
      <c r="Y985" s="128"/>
      <c r="Z985" s="112"/>
      <c r="AA985" s="112"/>
      <c r="AB985" s="112"/>
      <c r="AC985" s="112"/>
      <c r="AD985" s="112"/>
      <c r="AE985" s="112"/>
      <c r="AF985" s="112"/>
      <c r="AG985" s="112"/>
      <c r="AH985" s="112"/>
      <c r="AI985" s="112"/>
      <c r="AJ985" s="112"/>
      <c r="AK985" s="112"/>
      <c r="AL985" s="112"/>
      <c r="AM985" s="112"/>
      <c r="AN985" s="112"/>
      <c r="AO985" s="112"/>
      <c r="AP985" s="112"/>
    </row>
    <row r="986" ht="15.75" customHeight="1">
      <c r="A986" s="112"/>
      <c r="B986" s="112"/>
      <c r="C986" s="112"/>
      <c r="D986" s="112"/>
      <c r="E986" s="128"/>
      <c r="F986" s="112"/>
      <c r="G986" s="112"/>
      <c r="H986" s="128"/>
      <c r="I986" s="112"/>
      <c r="J986" s="112"/>
      <c r="K986" s="112"/>
      <c r="L986" s="128"/>
      <c r="M986" s="128"/>
      <c r="N986" s="112"/>
      <c r="O986" s="112"/>
      <c r="P986" s="112"/>
      <c r="Q986" s="112"/>
      <c r="R986" s="112"/>
      <c r="S986" s="112"/>
      <c r="T986" s="128"/>
      <c r="U986" s="128"/>
      <c r="V986" s="128"/>
      <c r="W986" s="128"/>
      <c r="X986" s="128"/>
      <c r="Y986" s="128"/>
      <c r="Z986" s="112"/>
      <c r="AA986" s="112"/>
      <c r="AB986" s="112"/>
      <c r="AC986" s="112"/>
      <c r="AD986" s="112"/>
      <c r="AE986" s="112"/>
      <c r="AF986" s="112"/>
      <c r="AG986" s="112"/>
      <c r="AH986" s="112"/>
      <c r="AI986" s="112"/>
      <c r="AJ986" s="112"/>
      <c r="AK986" s="112"/>
      <c r="AL986" s="112"/>
      <c r="AM986" s="112"/>
      <c r="AN986" s="112"/>
      <c r="AO986" s="112"/>
      <c r="AP986" s="112"/>
    </row>
    <row r="987" ht="15.75" customHeight="1">
      <c r="A987" s="112"/>
      <c r="B987" s="112"/>
      <c r="C987" s="112"/>
      <c r="D987" s="112"/>
      <c r="E987" s="128"/>
      <c r="F987" s="112"/>
      <c r="G987" s="112"/>
      <c r="H987" s="128"/>
      <c r="I987" s="112"/>
      <c r="J987" s="112"/>
      <c r="K987" s="112"/>
      <c r="L987" s="128"/>
      <c r="M987" s="128"/>
      <c r="N987" s="112"/>
      <c r="O987" s="112"/>
      <c r="P987" s="112"/>
      <c r="Q987" s="112"/>
      <c r="R987" s="112"/>
      <c r="S987" s="112"/>
      <c r="T987" s="128"/>
      <c r="U987" s="128"/>
      <c r="V987" s="128"/>
      <c r="W987" s="128"/>
      <c r="X987" s="128"/>
      <c r="Y987" s="128"/>
      <c r="Z987" s="112"/>
      <c r="AA987" s="112"/>
      <c r="AB987" s="112"/>
      <c r="AC987" s="112"/>
      <c r="AD987" s="112"/>
      <c r="AE987" s="112"/>
      <c r="AF987" s="112"/>
      <c r="AG987" s="112"/>
      <c r="AH987" s="112"/>
      <c r="AI987" s="112"/>
      <c r="AJ987" s="112"/>
      <c r="AK987" s="112"/>
      <c r="AL987" s="112"/>
      <c r="AM987" s="112"/>
      <c r="AN987" s="112"/>
      <c r="AO987" s="112"/>
      <c r="AP987" s="112"/>
    </row>
    <row r="988" ht="15.75" customHeight="1">
      <c r="A988" s="112"/>
      <c r="B988" s="112"/>
      <c r="C988" s="112"/>
      <c r="D988" s="112"/>
      <c r="E988" s="128"/>
      <c r="F988" s="112"/>
      <c r="G988" s="112"/>
      <c r="H988" s="128"/>
      <c r="I988" s="112"/>
      <c r="J988" s="112"/>
      <c r="K988" s="112"/>
      <c r="L988" s="128"/>
      <c r="M988" s="128"/>
      <c r="N988" s="112"/>
      <c r="O988" s="112"/>
      <c r="P988" s="112"/>
      <c r="Q988" s="112"/>
      <c r="R988" s="112"/>
      <c r="S988" s="112"/>
      <c r="T988" s="128"/>
      <c r="U988" s="128"/>
      <c r="V988" s="128"/>
      <c r="W988" s="128"/>
      <c r="X988" s="128"/>
      <c r="Y988" s="128"/>
      <c r="Z988" s="112"/>
      <c r="AA988" s="112"/>
      <c r="AB988" s="112"/>
      <c r="AC988" s="112"/>
      <c r="AD988" s="112"/>
      <c r="AE988" s="112"/>
      <c r="AF988" s="112"/>
      <c r="AG988" s="112"/>
      <c r="AH988" s="112"/>
      <c r="AI988" s="112"/>
      <c r="AJ988" s="112"/>
      <c r="AK988" s="112"/>
      <c r="AL988" s="112"/>
      <c r="AM988" s="112"/>
      <c r="AN988" s="112"/>
      <c r="AO988" s="112"/>
      <c r="AP988" s="112"/>
    </row>
    <row r="989" ht="15.75" customHeight="1">
      <c r="A989" s="112"/>
      <c r="B989" s="112"/>
      <c r="C989" s="112"/>
      <c r="D989" s="112"/>
      <c r="E989" s="128"/>
      <c r="F989" s="112"/>
      <c r="G989" s="112"/>
      <c r="H989" s="128"/>
      <c r="I989" s="112"/>
      <c r="J989" s="112"/>
      <c r="K989" s="112"/>
      <c r="L989" s="128"/>
      <c r="M989" s="128"/>
      <c r="N989" s="112"/>
      <c r="O989" s="112"/>
      <c r="P989" s="112"/>
      <c r="Q989" s="112"/>
      <c r="R989" s="112"/>
      <c r="S989" s="112"/>
      <c r="T989" s="128"/>
      <c r="U989" s="128"/>
      <c r="V989" s="128"/>
      <c r="W989" s="128"/>
      <c r="X989" s="128"/>
      <c r="Y989" s="128"/>
      <c r="Z989" s="112"/>
      <c r="AA989" s="112"/>
      <c r="AB989" s="112"/>
      <c r="AC989" s="112"/>
      <c r="AD989" s="112"/>
      <c r="AE989" s="112"/>
      <c r="AF989" s="112"/>
      <c r="AG989" s="112"/>
      <c r="AH989" s="112"/>
      <c r="AI989" s="112"/>
      <c r="AJ989" s="112"/>
      <c r="AK989" s="112"/>
      <c r="AL989" s="112"/>
      <c r="AM989" s="112"/>
      <c r="AN989" s="112"/>
      <c r="AO989" s="112"/>
      <c r="AP989" s="112"/>
    </row>
    <row r="990" ht="15.75" customHeight="1">
      <c r="A990" s="112"/>
      <c r="B990" s="112"/>
      <c r="C990" s="112"/>
      <c r="D990" s="112"/>
      <c r="E990" s="128"/>
      <c r="F990" s="112"/>
      <c r="G990" s="112"/>
      <c r="H990" s="128"/>
      <c r="I990" s="112"/>
      <c r="J990" s="112"/>
      <c r="K990" s="112"/>
      <c r="L990" s="128"/>
      <c r="M990" s="128"/>
      <c r="N990" s="112"/>
      <c r="O990" s="112"/>
      <c r="P990" s="112"/>
      <c r="Q990" s="112"/>
      <c r="R990" s="112"/>
      <c r="S990" s="112"/>
      <c r="T990" s="128"/>
      <c r="U990" s="128"/>
      <c r="V990" s="128"/>
      <c r="W990" s="128"/>
      <c r="X990" s="128"/>
      <c r="Y990" s="128"/>
      <c r="Z990" s="112"/>
      <c r="AA990" s="112"/>
      <c r="AB990" s="112"/>
      <c r="AC990" s="112"/>
      <c r="AD990" s="112"/>
      <c r="AE990" s="112"/>
      <c r="AF990" s="112"/>
      <c r="AG990" s="112"/>
      <c r="AH990" s="112"/>
      <c r="AI990" s="112"/>
      <c r="AJ990" s="112"/>
      <c r="AK990" s="112"/>
      <c r="AL990" s="112"/>
      <c r="AM990" s="112"/>
      <c r="AN990" s="112"/>
      <c r="AO990" s="112"/>
      <c r="AP990" s="112"/>
    </row>
    <row r="991" ht="15.75" customHeight="1">
      <c r="A991" s="112"/>
      <c r="B991" s="112"/>
      <c r="C991" s="112"/>
      <c r="D991" s="112"/>
      <c r="E991" s="128"/>
      <c r="F991" s="112"/>
      <c r="G991" s="112"/>
      <c r="H991" s="128"/>
      <c r="I991" s="112"/>
      <c r="J991" s="112"/>
      <c r="K991" s="112"/>
      <c r="L991" s="128"/>
      <c r="M991" s="128"/>
      <c r="N991" s="112"/>
      <c r="O991" s="112"/>
      <c r="P991" s="112"/>
      <c r="Q991" s="112"/>
      <c r="R991" s="112"/>
      <c r="S991" s="112"/>
      <c r="T991" s="128"/>
      <c r="U991" s="128"/>
      <c r="V991" s="128"/>
      <c r="W991" s="128"/>
      <c r="X991" s="128"/>
      <c r="Y991" s="128"/>
      <c r="Z991" s="112"/>
      <c r="AA991" s="112"/>
      <c r="AB991" s="112"/>
      <c r="AC991" s="112"/>
      <c r="AD991" s="112"/>
      <c r="AE991" s="112"/>
      <c r="AF991" s="112"/>
      <c r="AG991" s="112"/>
      <c r="AH991" s="112"/>
      <c r="AI991" s="112"/>
      <c r="AJ991" s="112"/>
      <c r="AK991" s="112"/>
      <c r="AL991" s="112"/>
      <c r="AM991" s="112"/>
      <c r="AN991" s="112"/>
      <c r="AO991" s="112"/>
      <c r="AP991" s="112"/>
    </row>
    <row r="992" ht="15.75" customHeight="1">
      <c r="A992" s="112"/>
      <c r="B992" s="112"/>
      <c r="C992" s="112"/>
      <c r="D992" s="112"/>
      <c r="E992" s="128"/>
      <c r="F992" s="112"/>
      <c r="G992" s="112"/>
      <c r="H992" s="128"/>
      <c r="I992" s="112"/>
      <c r="J992" s="112"/>
      <c r="K992" s="112"/>
      <c r="L992" s="128"/>
      <c r="M992" s="128"/>
      <c r="N992" s="112"/>
      <c r="O992" s="112"/>
      <c r="P992" s="112"/>
      <c r="Q992" s="112"/>
      <c r="R992" s="112"/>
      <c r="S992" s="112"/>
      <c r="T992" s="128"/>
      <c r="U992" s="128"/>
      <c r="V992" s="128"/>
      <c r="W992" s="128"/>
      <c r="X992" s="128"/>
      <c r="Y992" s="128"/>
      <c r="Z992" s="112"/>
      <c r="AA992" s="112"/>
      <c r="AB992" s="112"/>
      <c r="AC992" s="112"/>
      <c r="AD992" s="112"/>
      <c r="AE992" s="112"/>
      <c r="AF992" s="112"/>
      <c r="AG992" s="112"/>
      <c r="AH992" s="112"/>
      <c r="AI992" s="112"/>
      <c r="AJ992" s="112"/>
      <c r="AK992" s="112"/>
      <c r="AL992" s="112"/>
      <c r="AM992" s="112"/>
      <c r="AN992" s="112"/>
      <c r="AO992" s="112"/>
      <c r="AP992" s="112"/>
    </row>
    <row r="993" ht="15.75" customHeight="1">
      <c r="A993" s="112"/>
      <c r="B993" s="112"/>
      <c r="C993" s="112"/>
      <c r="D993" s="112"/>
      <c r="E993" s="128"/>
      <c r="F993" s="112"/>
      <c r="G993" s="112"/>
      <c r="H993" s="128"/>
      <c r="I993" s="112"/>
      <c r="J993" s="112"/>
      <c r="K993" s="112"/>
      <c r="L993" s="128"/>
      <c r="M993" s="128"/>
      <c r="N993" s="112"/>
      <c r="O993" s="112"/>
      <c r="P993" s="112"/>
      <c r="Q993" s="112"/>
      <c r="R993" s="112"/>
      <c r="S993" s="112"/>
      <c r="T993" s="128"/>
      <c r="U993" s="128"/>
      <c r="V993" s="128"/>
      <c r="W993" s="128"/>
      <c r="X993" s="128"/>
      <c r="Y993" s="128"/>
      <c r="Z993" s="112"/>
      <c r="AA993" s="112"/>
      <c r="AB993" s="112"/>
      <c r="AC993" s="112"/>
      <c r="AD993" s="112"/>
      <c r="AE993" s="112"/>
      <c r="AF993" s="112"/>
      <c r="AG993" s="112"/>
      <c r="AH993" s="112"/>
      <c r="AI993" s="112"/>
      <c r="AJ993" s="112"/>
      <c r="AK993" s="112"/>
      <c r="AL993" s="112"/>
      <c r="AM993" s="112"/>
      <c r="AN993" s="112"/>
      <c r="AO993" s="112"/>
      <c r="AP993" s="112"/>
    </row>
    <row r="994" ht="15.75" customHeight="1">
      <c r="A994" s="112"/>
      <c r="B994" s="112"/>
      <c r="C994" s="112"/>
      <c r="D994" s="112"/>
      <c r="E994" s="128"/>
      <c r="F994" s="112"/>
      <c r="G994" s="112"/>
      <c r="H994" s="128"/>
      <c r="I994" s="112"/>
      <c r="J994" s="112"/>
      <c r="K994" s="112"/>
      <c r="L994" s="128"/>
      <c r="M994" s="128"/>
      <c r="N994" s="112"/>
      <c r="O994" s="112"/>
      <c r="P994" s="112"/>
      <c r="Q994" s="112"/>
      <c r="R994" s="112"/>
      <c r="S994" s="112"/>
      <c r="T994" s="128"/>
      <c r="U994" s="128"/>
      <c r="V994" s="128"/>
      <c r="W994" s="128"/>
      <c r="X994" s="128"/>
      <c r="Y994" s="128"/>
      <c r="Z994" s="112"/>
      <c r="AA994" s="112"/>
      <c r="AB994" s="112"/>
      <c r="AC994" s="112"/>
      <c r="AD994" s="112"/>
      <c r="AE994" s="112"/>
      <c r="AF994" s="112"/>
      <c r="AG994" s="112"/>
      <c r="AH994" s="112"/>
      <c r="AI994" s="112"/>
      <c r="AJ994" s="112"/>
      <c r="AK994" s="112"/>
      <c r="AL994" s="112"/>
      <c r="AM994" s="112"/>
      <c r="AN994" s="112"/>
      <c r="AO994" s="112"/>
      <c r="AP994" s="112"/>
    </row>
    <row r="995" ht="15.75" customHeight="1">
      <c r="A995" s="112"/>
      <c r="B995" s="112"/>
      <c r="C995" s="112"/>
      <c r="D995" s="112"/>
      <c r="E995" s="128"/>
      <c r="F995" s="112"/>
      <c r="G995" s="112"/>
      <c r="H995" s="128"/>
      <c r="I995" s="112"/>
      <c r="J995" s="112"/>
      <c r="K995" s="112"/>
      <c r="L995" s="128"/>
      <c r="M995" s="128"/>
      <c r="N995" s="112"/>
      <c r="O995" s="112"/>
      <c r="P995" s="112"/>
      <c r="Q995" s="112"/>
      <c r="R995" s="112"/>
      <c r="S995" s="112"/>
      <c r="T995" s="128"/>
      <c r="U995" s="128"/>
      <c r="V995" s="128"/>
      <c r="W995" s="128"/>
      <c r="X995" s="128"/>
      <c r="Y995" s="128"/>
      <c r="Z995" s="112"/>
      <c r="AA995" s="112"/>
      <c r="AB995" s="112"/>
      <c r="AC995" s="112"/>
      <c r="AD995" s="112"/>
      <c r="AE995" s="112"/>
      <c r="AF995" s="112"/>
      <c r="AG995" s="112"/>
      <c r="AH995" s="112"/>
      <c r="AI995" s="112"/>
      <c r="AJ995" s="112"/>
      <c r="AK995" s="112"/>
      <c r="AL995" s="112"/>
      <c r="AM995" s="112"/>
      <c r="AN995" s="112"/>
      <c r="AO995" s="112"/>
      <c r="AP995" s="112"/>
    </row>
    <row r="996" ht="15.75" customHeight="1">
      <c r="A996" s="112"/>
      <c r="B996" s="112"/>
      <c r="C996" s="112"/>
      <c r="D996" s="112"/>
      <c r="E996" s="128"/>
      <c r="F996" s="112"/>
      <c r="G996" s="112"/>
      <c r="H996" s="128"/>
      <c r="I996" s="112"/>
      <c r="J996" s="112"/>
      <c r="K996" s="112"/>
      <c r="L996" s="128"/>
      <c r="M996" s="128"/>
      <c r="N996" s="112"/>
      <c r="O996" s="112"/>
      <c r="P996" s="112"/>
      <c r="Q996" s="112"/>
      <c r="R996" s="112"/>
      <c r="S996" s="112"/>
      <c r="T996" s="128"/>
      <c r="U996" s="128"/>
      <c r="V996" s="128"/>
      <c r="W996" s="128"/>
      <c r="X996" s="128"/>
      <c r="Y996" s="128"/>
      <c r="Z996" s="112"/>
      <c r="AA996" s="112"/>
      <c r="AB996" s="112"/>
      <c r="AC996" s="112"/>
      <c r="AD996" s="112"/>
      <c r="AE996" s="112"/>
      <c r="AF996" s="112"/>
      <c r="AG996" s="112"/>
      <c r="AH996" s="112"/>
      <c r="AI996" s="112"/>
      <c r="AJ996" s="112"/>
      <c r="AK996" s="112"/>
      <c r="AL996" s="112"/>
      <c r="AM996" s="112"/>
      <c r="AN996" s="112"/>
      <c r="AO996" s="112"/>
      <c r="AP996" s="112"/>
    </row>
    <row r="997" ht="15.75" customHeight="1">
      <c r="A997" s="112"/>
      <c r="B997" s="112"/>
      <c r="C997" s="112"/>
      <c r="D997" s="112"/>
      <c r="E997" s="128"/>
      <c r="F997" s="112"/>
      <c r="G997" s="112"/>
      <c r="H997" s="128"/>
      <c r="I997" s="112"/>
      <c r="J997" s="112"/>
      <c r="K997" s="112"/>
      <c r="L997" s="128"/>
      <c r="M997" s="128"/>
      <c r="N997" s="112"/>
      <c r="O997" s="112"/>
      <c r="P997" s="112"/>
      <c r="Q997" s="112"/>
      <c r="R997" s="112"/>
      <c r="S997" s="112"/>
      <c r="T997" s="128"/>
      <c r="U997" s="128"/>
      <c r="V997" s="128"/>
      <c r="W997" s="128"/>
      <c r="X997" s="128"/>
      <c r="Y997" s="128"/>
      <c r="Z997" s="112"/>
      <c r="AA997" s="112"/>
      <c r="AB997" s="112"/>
      <c r="AC997" s="112"/>
      <c r="AD997" s="112"/>
      <c r="AE997" s="112"/>
      <c r="AF997" s="112"/>
      <c r="AG997" s="112"/>
      <c r="AH997" s="112"/>
      <c r="AI997" s="112"/>
      <c r="AJ997" s="112"/>
      <c r="AK997" s="112"/>
      <c r="AL997" s="112"/>
      <c r="AM997" s="112"/>
      <c r="AN997" s="112"/>
      <c r="AO997" s="112"/>
      <c r="AP997" s="112"/>
    </row>
    <row r="998" ht="15.75" customHeight="1">
      <c r="A998" s="112"/>
      <c r="B998" s="112"/>
      <c r="C998" s="112"/>
      <c r="D998" s="112"/>
      <c r="E998" s="128"/>
      <c r="F998" s="112"/>
      <c r="G998" s="112"/>
      <c r="H998" s="128"/>
      <c r="I998" s="112"/>
      <c r="J998" s="112"/>
      <c r="K998" s="112"/>
      <c r="L998" s="128"/>
      <c r="M998" s="128"/>
      <c r="N998" s="112"/>
      <c r="O998" s="112"/>
      <c r="P998" s="112"/>
      <c r="Q998" s="112"/>
      <c r="R998" s="112"/>
      <c r="S998" s="112"/>
      <c r="T998" s="128"/>
      <c r="U998" s="128"/>
      <c r="V998" s="128"/>
      <c r="W998" s="128"/>
      <c r="X998" s="128"/>
      <c r="Y998" s="128"/>
      <c r="Z998" s="112"/>
      <c r="AA998" s="112"/>
      <c r="AB998" s="112"/>
      <c r="AC998" s="112"/>
      <c r="AD998" s="112"/>
      <c r="AE998" s="112"/>
      <c r="AF998" s="112"/>
      <c r="AG998" s="112"/>
      <c r="AH998" s="112"/>
      <c r="AI998" s="112"/>
      <c r="AJ998" s="112"/>
      <c r="AK998" s="112"/>
      <c r="AL998" s="112"/>
      <c r="AM998" s="112"/>
      <c r="AN998" s="112"/>
      <c r="AO998" s="112"/>
      <c r="AP998" s="112"/>
    </row>
    <row r="999" ht="15.75" customHeight="1">
      <c r="A999" s="112"/>
      <c r="B999" s="112"/>
      <c r="C999" s="112"/>
      <c r="D999" s="112"/>
      <c r="E999" s="128"/>
      <c r="F999" s="112"/>
      <c r="G999" s="112"/>
      <c r="H999" s="128"/>
      <c r="I999" s="112"/>
      <c r="J999" s="112"/>
      <c r="K999" s="112"/>
      <c r="L999" s="128"/>
      <c r="M999" s="128"/>
      <c r="N999" s="112"/>
      <c r="O999" s="112"/>
      <c r="P999" s="112"/>
      <c r="Q999" s="112"/>
      <c r="R999" s="112"/>
      <c r="S999" s="112"/>
      <c r="T999" s="128"/>
      <c r="U999" s="128"/>
      <c r="V999" s="128"/>
      <c r="W999" s="128"/>
      <c r="X999" s="128"/>
      <c r="Y999" s="128"/>
      <c r="Z999" s="112"/>
      <c r="AA999" s="112"/>
      <c r="AB999" s="112"/>
      <c r="AC999" s="112"/>
      <c r="AD999" s="112"/>
      <c r="AE999" s="112"/>
      <c r="AF999" s="112"/>
      <c r="AG999" s="112"/>
      <c r="AH999" s="112"/>
      <c r="AI999" s="112"/>
      <c r="AJ999" s="112"/>
      <c r="AK999" s="112"/>
      <c r="AL999" s="112"/>
      <c r="AM999" s="112"/>
      <c r="AN999" s="112"/>
      <c r="AO999" s="112"/>
      <c r="AP999" s="112"/>
    </row>
    <row r="1000" ht="15.75" customHeight="1">
      <c r="A1000" s="112"/>
      <c r="B1000" s="112"/>
      <c r="C1000" s="112"/>
      <c r="D1000" s="112"/>
      <c r="E1000" s="128"/>
      <c r="F1000" s="112"/>
      <c r="G1000" s="112"/>
      <c r="H1000" s="128"/>
      <c r="I1000" s="112"/>
      <c r="J1000" s="112"/>
      <c r="K1000" s="112"/>
      <c r="L1000" s="128"/>
      <c r="M1000" s="128"/>
      <c r="N1000" s="112"/>
      <c r="O1000" s="112"/>
      <c r="P1000" s="112"/>
      <c r="Q1000" s="112"/>
      <c r="R1000" s="112"/>
      <c r="S1000" s="112"/>
      <c r="T1000" s="128"/>
      <c r="U1000" s="128"/>
      <c r="V1000" s="128"/>
      <c r="W1000" s="128"/>
      <c r="X1000" s="128"/>
      <c r="Y1000" s="128"/>
      <c r="Z1000" s="112"/>
      <c r="AA1000" s="112"/>
      <c r="AB1000" s="112"/>
      <c r="AC1000" s="112"/>
      <c r="AD1000" s="112"/>
      <c r="AE1000" s="112"/>
      <c r="AF1000" s="112"/>
      <c r="AG1000" s="112"/>
      <c r="AH1000" s="112"/>
      <c r="AI1000" s="112"/>
      <c r="AJ1000" s="112"/>
      <c r="AK1000" s="112"/>
      <c r="AL1000" s="112"/>
      <c r="AM1000" s="112"/>
      <c r="AN1000" s="112"/>
      <c r="AO1000" s="112"/>
      <c r="AP1000" s="112"/>
    </row>
  </sheetData>
  <mergeCells count="3">
    <mergeCell ref="I1:J1"/>
    <mergeCell ref="Z2:Z57"/>
    <mergeCell ref="AG2:AG57"/>
  </mergeCells>
  <conditionalFormatting sqref="I48:J57 I2:J46">
    <cfRule type="cellIs" dxfId="21" priority="1" operator="equal">
      <formula>"/"</formula>
    </cfRule>
  </conditionalFormatting>
  <conditionalFormatting sqref="I48:J57 I2:J46">
    <cfRule type="cellIs" dxfId="4" priority="2" operator="lessThan">
      <formula>0</formula>
    </cfRule>
  </conditionalFormatting>
  <conditionalFormatting sqref="I48:J57 I2:J46">
    <cfRule type="cellIs" dxfId="22" priority="3" operator="greaterThan">
      <formula>0</formula>
    </cfRule>
  </conditionalFormatting>
  <conditionalFormatting sqref="F2:G46">
    <cfRule type="expression" dxfId="23" priority="4">
      <formula>$I$1="差距(Median)"</formula>
    </cfRule>
  </conditionalFormatting>
  <conditionalFormatting sqref="G2:G46">
    <cfRule type="expression" dxfId="23" priority="5">
      <formula>$I$1="差距(LQ)"</formula>
    </cfRule>
  </conditionalFormatting>
  <conditionalFormatting sqref="Z2 AG2 AN2:AN57">
    <cfRule type="expression" dxfId="7" priority="6">
      <formula>TRUE</formula>
    </cfRule>
  </conditionalFormatting>
  <conditionalFormatting sqref="L2:L46 L48:L57 T2:Y46 T48:X57">
    <cfRule type="cellIs" dxfId="24" priority="7" operator="equal">
      <formula>2</formula>
    </cfRule>
  </conditionalFormatting>
  <conditionalFormatting sqref="L2:L46 L48:L57 T2:Y46 T48:X57">
    <cfRule type="cellIs" dxfId="26" priority="8" operator="equal">
      <formula>1</formula>
    </cfRule>
  </conditionalFormatting>
  <conditionalFormatting sqref="L2:L46 L48:L57 T2:Y46 T48:X57">
    <cfRule type="cellIs" dxfId="25" priority="9" operator="equal">
      <formula>0</formula>
    </cfRule>
  </conditionalFormatting>
  <dataValidations>
    <dataValidation type="list" allowBlank="1" showErrorMessage="1" sqref="Z2">
      <formula1>'選單'!$I$1:$I$3</formula1>
    </dataValidation>
    <dataValidation type="list" allowBlank="1" showErrorMessage="1" sqref="I1">
      <formula1>'選單'!$J$2:$J$3</formula1>
    </dataValidation>
  </dataValidations>
  <hyperlinks>
    <hyperlink r:id="rId2" ref="A101"/>
    <hyperlink r:id="rId3" ref="A102"/>
    <hyperlink r:id="rId4" ref="A103"/>
    <hyperlink r:id="rId5" ref="A104"/>
  </hyperlinks>
  <printOptions/>
  <pageMargins bottom="0.75" footer="0.0" header="0.0" left="0.7" right="0.7" top="0.75"/>
  <pageSetup paperSize="9" orientation="portrait"/>
  <drawing r:id="rId6"/>
  <legacyDrawing r:id="rId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9" width="7.78"/>
    <col customWidth="1" min="10" max="11" width="7.67"/>
    <col customWidth="1" min="12" max="12" width="4.89"/>
    <col customWidth="1" min="13" max="13" width="4.67"/>
    <col customWidth="1" min="14" max="14" width="9.78"/>
    <col customWidth="1" min="15" max="26" width="2.22"/>
    <col customWidth="1" min="27" max="27" width="8.89"/>
    <col customWidth="1" min="28" max="33" width="6.33"/>
    <col customWidth="1" min="34" max="34" width="8.89"/>
    <col customWidth="1" min="35" max="40" width="6.33"/>
    <col customWidth="1" min="41" max="41" width="5.22"/>
    <col customWidth="1" min="42" max="42" width="8.11"/>
  </cols>
  <sheetData>
    <row r="1" ht="18.0" customHeight="1">
      <c r="A1" s="279" t="s">
        <v>1056</v>
      </c>
      <c r="B1" s="279" t="s">
        <v>1066</v>
      </c>
      <c r="C1" s="279" t="s">
        <v>1057</v>
      </c>
      <c r="D1" s="279"/>
      <c r="E1" s="280" t="s">
        <v>44</v>
      </c>
      <c r="F1" s="280" t="s">
        <v>45</v>
      </c>
      <c r="G1" s="280" t="s">
        <v>46</v>
      </c>
      <c r="H1" s="280" t="s">
        <v>47</v>
      </c>
      <c r="I1" s="280" t="s">
        <v>48</v>
      </c>
      <c r="J1" s="281" t="s">
        <v>157</v>
      </c>
      <c r="K1" s="185"/>
      <c r="L1" s="280" t="s">
        <v>49</v>
      </c>
      <c r="M1" s="280" t="s">
        <v>955</v>
      </c>
      <c r="N1" s="280" t="s">
        <v>1067</v>
      </c>
      <c r="O1" s="279" t="s">
        <v>1058</v>
      </c>
      <c r="P1" s="279" t="s">
        <v>1059</v>
      </c>
      <c r="Q1" s="279" t="s">
        <v>1060</v>
      </c>
      <c r="R1" s="279" t="s">
        <v>1061</v>
      </c>
      <c r="S1" s="279" t="s">
        <v>218</v>
      </c>
      <c r="T1" s="279" t="s">
        <v>219</v>
      </c>
      <c r="U1" s="279" t="s">
        <v>1058</v>
      </c>
      <c r="V1" s="279" t="s">
        <v>1059</v>
      </c>
      <c r="W1" s="279" t="s">
        <v>1060</v>
      </c>
      <c r="X1" s="279" t="s">
        <v>1061</v>
      </c>
      <c r="Y1" s="279" t="s">
        <v>218</v>
      </c>
      <c r="Z1" s="279" t="s">
        <v>219</v>
      </c>
      <c r="AA1" s="280" t="s">
        <v>50</v>
      </c>
      <c r="AB1" s="280" t="s">
        <v>1068</v>
      </c>
      <c r="AC1" s="280" t="s">
        <v>39</v>
      </c>
      <c r="AD1" s="280" t="s">
        <v>1069</v>
      </c>
      <c r="AE1" s="280" t="s">
        <v>1070</v>
      </c>
      <c r="AF1" s="280" t="s">
        <v>1071</v>
      </c>
      <c r="AG1" s="280" t="s">
        <v>1072</v>
      </c>
      <c r="AH1" s="280" t="s">
        <v>1073</v>
      </c>
      <c r="AI1" s="280" t="s">
        <v>1068</v>
      </c>
      <c r="AJ1" s="280" t="s">
        <v>39</v>
      </c>
      <c r="AK1" s="280" t="s">
        <v>1069</v>
      </c>
      <c r="AL1" s="280" t="s">
        <v>1070</v>
      </c>
      <c r="AM1" s="280" t="s">
        <v>1071</v>
      </c>
      <c r="AN1" s="280" t="s">
        <v>1072</v>
      </c>
      <c r="AO1" s="280"/>
      <c r="AP1" s="280"/>
    </row>
    <row r="2" ht="18.0" customHeight="1">
      <c r="A2" s="282" t="s">
        <v>413</v>
      </c>
      <c r="B2" s="282" t="s">
        <v>971</v>
      </c>
      <c r="C2" s="282" t="s">
        <v>414</v>
      </c>
      <c r="D2" s="282" t="s">
        <v>1390</v>
      </c>
      <c r="E2" s="283" t="s">
        <v>21</v>
      </c>
      <c r="F2" s="284">
        <f>5.5+8.5+4+4+4</f>
        <v>26</v>
      </c>
      <c r="G2" s="284">
        <f>5.5+5.5+5.5+4+4</f>
        <v>24.5</v>
      </c>
      <c r="H2" s="284">
        <f>5.5+5.5+4+4+4</f>
        <v>23</v>
      </c>
      <c r="I2" s="285">
        <f>'計分版'!D165</f>
        <v>0.00000000395</v>
      </c>
      <c r="J2" s="286">
        <f t="shared" ref="J2:J13" si="1">IF(J$1="差距(Median)",I2-G2,IF(J$1="差距(UQ)",I2-F2,IF(J$1="差距(LQ)",I2-H2)))</f>
        <v>-24.5</v>
      </c>
      <c r="K2" s="287">
        <f t="shared" ref="K2:K13" si="2">IF(J$1="差距(Median)",(I2-G2)/I2,IF(J$1="差距(UQ)",(I2-F2)/I2,IF(J$1="差距(LQ)",(I2-H2)/I2)))</f>
        <v>-6202531645</v>
      </c>
      <c r="L2" s="288">
        <v>20.0</v>
      </c>
      <c r="M2" s="289">
        <f>'入學要求'!S147</f>
        <v>0</v>
      </c>
      <c r="N2" s="283" t="s">
        <v>541</v>
      </c>
      <c r="O2" s="283">
        <v>3.0</v>
      </c>
      <c r="P2" s="283">
        <v>3.0</v>
      </c>
      <c r="Q2" s="283">
        <v>2.0</v>
      </c>
      <c r="R2" s="283">
        <v>2.0</v>
      </c>
      <c r="S2" s="283">
        <v>3.0</v>
      </c>
      <c r="T2" s="283">
        <v>3.0</v>
      </c>
      <c r="U2" s="290">
        <f>'入學要求'!L147</f>
        <v>0</v>
      </c>
      <c r="V2" s="290">
        <f>'入學要求'!M147</f>
        <v>0</v>
      </c>
      <c r="W2" s="290">
        <f>'入學要求'!N147</f>
        <v>0</v>
      </c>
      <c r="X2" s="290">
        <f>'入學要求'!O147</f>
        <v>0</v>
      </c>
      <c r="Y2" s="290">
        <f>'入學要求'!P147</f>
        <v>0</v>
      </c>
      <c r="Z2" s="290">
        <f>'入學要求'!Q147</f>
        <v>0</v>
      </c>
      <c r="AA2" s="196" t="s">
        <v>38</v>
      </c>
      <c r="AB2" s="288">
        <f>IF($AA$2="2018年",'Offer Statistics'!BO2,IF($AA$2="2019年",'Offer Statistics'!BO64,IF($AA$2="2020年",'Offer Statistics'!BO126)))</f>
        <v>20</v>
      </c>
      <c r="AC2" s="291">
        <f>IF($AA$2="2018年",'Offer Statistics'!BJ2,IF($AA$2="2019年",'Offer Statistics'!BJ64,IF($AA$2="2020年",'Offer Statistics'!BJ126)))</f>
        <v>20</v>
      </c>
      <c r="AD2" s="291">
        <f>IF($AA$2="2018年",'Offer Statistics'!BK2,IF($AA$2="2019年",'Offer Statistics'!BK64,IF($AA$2="2020年",'Offer Statistics'!BK126)))</f>
        <v>0</v>
      </c>
      <c r="AE2" s="291">
        <f>IF($AA$2="2018年",'Offer Statistics'!BL2,IF($AA$2="2019年",'Offer Statistics'!BL64,IF($AA$2="2020年",'Offer Statistics'!BL126)))</f>
        <v>0</v>
      </c>
      <c r="AF2" s="291">
        <f>IF($AA$2="2018年",'Offer Statistics'!BM2,IF($AA$2="2019年",'Offer Statistics'!BM64,IF($AA$2="2020年",'Offer Statistics'!BM126)))</f>
        <v>0</v>
      </c>
      <c r="AG2" s="291">
        <f>IF($AA$2="2018年",'Offer Statistics'!BN2,IF($AA$2="2019年",'Offer Statistics'!BN64,IF($AA$2="2020年",'Offer Statistics'!BN126)))</f>
        <v>0</v>
      </c>
      <c r="AH2" s="196" t="str">
        <f>AA2</f>
        <v>2020年</v>
      </c>
      <c r="AI2" s="288">
        <f>IF($AH$2="2018年",'Offer Statistics'!BG2,IF($AH$2="2019年",'Offer Statistics'!BG64,IF($AH$2="2020年",'Offer Statistics'!BG126)))</f>
        <v>1776</v>
      </c>
      <c r="AJ2" s="291">
        <f>IF($AH$2="2018年",'Offer Statistics'!BB2,IF($AH$2="2019年",'Offer Statistics'!BB64,IF($AH$2="2020年",'Offer Statistics'!BB126)))</f>
        <v>160</v>
      </c>
      <c r="AK2" s="291">
        <f>IF($AH$2="2018年",'Offer Statistics'!BC2,IF($AH$2="2019年",'Offer Statistics'!BC64,IF($AH$2="2020年",'Offer Statistics'!BC126)))</f>
        <v>201</v>
      </c>
      <c r="AL2" s="291">
        <f>IF($AH$2="2018年",'Offer Statistics'!BD2,IF($AH$2="2019年",'Offer Statistics'!BD64,IF($AH$2="2020年",'Offer Statistics'!BD126)))</f>
        <v>378</v>
      </c>
      <c r="AM2" s="291">
        <f>IF($AH$2="2018年",'Offer Statistics'!BE2,IF($AH$2="2019年",'Offer Statistics'!BE64,IF($AH$2="2020年",'Offer Statistics'!BE126)))</f>
        <v>540</v>
      </c>
      <c r="AN2" s="291">
        <f>IF($AH$2="2018年",'Offer Statistics'!BF2,IF($AH$2="2019年",'Offer Statistics'!BF64,IF($AH$2="2020年",'Offer Statistics'!BF126)))</f>
        <v>497</v>
      </c>
      <c r="AO2" s="283"/>
      <c r="AP2" s="283" t="str">
        <f t="shared" ref="AP2:AP62" si="3">A2</f>
        <v>JS4006</v>
      </c>
    </row>
    <row r="3" ht="18.0" customHeight="1">
      <c r="A3" s="142" t="s">
        <v>415</v>
      </c>
      <c r="B3" s="142" t="s">
        <v>971</v>
      </c>
      <c r="C3" s="142" t="s">
        <v>416</v>
      </c>
      <c r="D3" s="142" t="s">
        <v>1391</v>
      </c>
      <c r="E3" s="132" t="s">
        <v>21</v>
      </c>
      <c r="F3" s="199">
        <f>8.5*1.5+8.5+5.5+5.5+4</f>
        <v>36.25</v>
      </c>
      <c r="G3" s="199">
        <f>7*1.5+7+7+4+4</f>
        <v>32.5</v>
      </c>
      <c r="H3" s="199">
        <f>7*1.5+7+5.5+4+4</f>
        <v>31</v>
      </c>
      <c r="I3" s="200">
        <f>'計分版'!D166</f>
        <v>0.00000000395</v>
      </c>
      <c r="J3" s="215">
        <f t="shared" si="1"/>
        <v>-32.5</v>
      </c>
      <c r="K3" s="237">
        <f t="shared" si="2"/>
        <v>-8227848100</v>
      </c>
      <c r="L3" s="132">
        <v>80.0</v>
      </c>
      <c r="M3" s="203">
        <f>'入學要求'!S148</f>
        <v>0</v>
      </c>
      <c r="N3" s="131" t="s">
        <v>541</v>
      </c>
      <c r="O3" s="131">
        <v>3.0</v>
      </c>
      <c r="P3" s="131">
        <v>3.0</v>
      </c>
      <c r="Q3" s="131">
        <v>2.0</v>
      </c>
      <c r="R3" s="131">
        <v>2.0</v>
      </c>
      <c r="S3" s="131">
        <v>3.0</v>
      </c>
      <c r="T3" s="131">
        <v>3.0</v>
      </c>
      <c r="U3" s="292">
        <f>'入學要求'!L148</f>
        <v>0</v>
      </c>
      <c r="V3" s="292">
        <f>'入學要求'!M148</f>
        <v>0</v>
      </c>
      <c r="W3" s="292">
        <f>'入學要求'!N148</f>
        <v>0</v>
      </c>
      <c r="X3" s="292">
        <f>'入學要求'!O148</f>
        <v>0</v>
      </c>
      <c r="Y3" s="292">
        <f>'入學要求'!P148</f>
        <v>0</v>
      </c>
      <c r="Z3" s="292">
        <f>'入學要求'!Q148</f>
        <v>0</v>
      </c>
      <c r="AA3" s="205"/>
      <c r="AB3" s="132">
        <f>IF($AA$2="2018年",'Offer Statistics'!BO3,IF($AA$2="2019年",'Offer Statistics'!BO65,IF($AA$2="2020年",'Offer Statistics'!BO127)))</f>
        <v>84</v>
      </c>
      <c r="AC3" s="206">
        <f>IF($AA$2="2018年",'Offer Statistics'!BJ3,IF($AA$2="2019年",'Offer Statistics'!BJ65,IF($AA$2="2020年",'Offer Statistics'!BJ127)))</f>
        <v>84</v>
      </c>
      <c r="AD3" s="206">
        <f>IF($AA$2="2018年",'Offer Statistics'!BK3,IF($AA$2="2019年",'Offer Statistics'!BK65,IF($AA$2="2020年",'Offer Statistics'!BK127)))</f>
        <v>0</v>
      </c>
      <c r="AE3" s="206">
        <f>IF($AA$2="2018年",'Offer Statistics'!BL3,IF($AA$2="2019年",'Offer Statistics'!BL65,IF($AA$2="2020年",'Offer Statistics'!BL127)))</f>
        <v>0</v>
      </c>
      <c r="AF3" s="206">
        <f>IF($AA$2="2018年",'Offer Statistics'!BM3,IF($AA$2="2019年",'Offer Statistics'!BM65,IF($AA$2="2020年",'Offer Statistics'!BM127)))</f>
        <v>0</v>
      </c>
      <c r="AG3" s="206">
        <f>IF($AA$2="2018年",'Offer Statistics'!BN3,IF($AA$2="2019年",'Offer Statistics'!BN65,IF($AA$2="2020年",'Offer Statistics'!BN127)))</f>
        <v>0</v>
      </c>
      <c r="AH3" s="205"/>
      <c r="AI3" s="132">
        <f>IF($AH$2="2018年",'Offer Statistics'!BG3,IF($AH$2="2019年",'Offer Statistics'!BG65,IF($AH$2="2020年",'Offer Statistics'!BG127)))</f>
        <v>1696</v>
      </c>
      <c r="AJ3" s="206">
        <f>IF($AH$2="2018年",'Offer Statistics'!BB3,IF($AH$2="2019年",'Offer Statistics'!BB65,IF($AH$2="2020年",'Offer Statistics'!BB127)))</f>
        <v>309</v>
      </c>
      <c r="AK3" s="206">
        <f>IF($AH$2="2018年",'Offer Statistics'!BC3,IF($AH$2="2019年",'Offer Statistics'!BC65,IF($AH$2="2020年",'Offer Statistics'!BC127)))</f>
        <v>185</v>
      </c>
      <c r="AL3" s="206">
        <f>IF($AH$2="2018年",'Offer Statistics'!BD3,IF($AH$2="2019年",'Offer Statistics'!BD65,IF($AH$2="2020年",'Offer Statistics'!BD127)))</f>
        <v>353</v>
      </c>
      <c r="AM3" s="206">
        <f>IF($AH$2="2018年",'Offer Statistics'!BE3,IF($AH$2="2019年",'Offer Statistics'!BE65,IF($AH$2="2020年",'Offer Statistics'!BE127)))</f>
        <v>441</v>
      </c>
      <c r="AN3" s="206">
        <f>IF($AH$2="2018年",'Offer Statistics'!BF3,IF($AH$2="2019年",'Offer Statistics'!BF65,IF($AH$2="2020年",'Offer Statistics'!BF127)))</f>
        <v>408</v>
      </c>
      <c r="AO3" s="131"/>
      <c r="AP3" s="131" t="str">
        <f t="shared" si="3"/>
        <v>JS4018</v>
      </c>
    </row>
    <row r="4" ht="18.0" customHeight="1">
      <c r="A4" s="282" t="s">
        <v>421</v>
      </c>
      <c r="B4" s="282" t="s">
        <v>971</v>
      </c>
      <c r="C4" s="282" t="s">
        <v>422</v>
      </c>
      <c r="D4" s="282" t="s">
        <v>1392</v>
      </c>
      <c r="E4" s="283" t="s">
        <v>21</v>
      </c>
      <c r="F4" s="284">
        <f>7+5.5+5.5+4+4</f>
        <v>26</v>
      </c>
      <c r="G4" s="284">
        <f>7+5.5+4+4+4</f>
        <v>24.5</v>
      </c>
      <c r="H4" s="284">
        <f>5.5+5.5+5.5+4+4</f>
        <v>24.5</v>
      </c>
      <c r="I4" s="285">
        <f>'計分版'!D167</f>
        <v>0.00000000395</v>
      </c>
      <c r="J4" s="286">
        <f t="shared" si="1"/>
        <v>-24.5</v>
      </c>
      <c r="K4" s="287">
        <f t="shared" si="2"/>
        <v>-6202531645</v>
      </c>
      <c r="L4" s="288">
        <v>17.0</v>
      </c>
      <c r="M4" s="293">
        <f>'入學要求'!S149</f>
        <v>0</v>
      </c>
      <c r="N4" s="294" t="s">
        <v>1166</v>
      </c>
      <c r="O4" s="283">
        <v>3.0</v>
      </c>
      <c r="P4" s="283">
        <v>3.0</v>
      </c>
      <c r="Q4" s="283">
        <v>2.0</v>
      </c>
      <c r="R4" s="283">
        <v>2.0</v>
      </c>
      <c r="S4" s="283">
        <v>3.0</v>
      </c>
      <c r="T4" s="283">
        <v>3.0</v>
      </c>
      <c r="U4" s="290">
        <f>'入學要求'!L149</f>
        <v>0</v>
      </c>
      <c r="V4" s="290">
        <f>'入學要求'!M149</f>
        <v>0</v>
      </c>
      <c r="W4" s="290">
        <f>'入學要求'!N149</f>
        <v>0</v>
      </c>
      <c r="X4" s="290">
        <f>'入學要求'!O149</f>
        <v>0</v>
      </c>
      <c r="Y4" s="290">
        <f>'入學要求'!P149</f>
        <v>0</v>
      </c>
      <c r="Z4" s="290">
        <f>'入學要求'!Q149</f>
        <v>0</v>
      </c>
      <c r="AA4" s="205"/>
      <c r="AB4" s="288">
        <f>IF($AA$2="2018年",'Offer Statistics'!BO4,IF($AA$2="2019年",'Offer Statistics'!BO66,IF($AA$2="2020年",'Offer Statistics'!BO128)))</f>
        <v>16</v>
      </c>
      <c r="AC4" s="291">
        <f>IF($AA$2="2018年",'Offer Statistics'!BJ4,IF($AA$2="2019年",'Offer Statistics'!BJ66,IF($AA$2="2020年",'Offer Statistics'!BJ128)))</f>
        <v>16</v>
      </c>
      <c r="AD4" s="291">
        <f>IF($AA$2="2018年",'Offer Statistics'!BK4,IF($AA$2="2019年",'Offer Statistics'!BK66,IF($AA$2="2020年",'Offer Statistics'!BK128)))</f>
        <v>0</v>
      </c>
      <c r="AE4" s="291">
        <f>IF($AA$2="2018年",'Offer Statistics'!BL4,IF($AA$2="2019年",'Offer Statistics'!BL66,IF($AA$2="2020年",'Offer Statistics'!BL128)))</f>
        <v>0</v>
      </c>
      <c r="AF4" s="291">
        <f>IF($AA$2="2018年",'Offer Statistics'!BM4,IF($AA$2="2019年",'Offer Statistics'!BM66,IF($AA$2="2020年",'Offer Statistics'!BM128)))</f>
        <v>0</v>
      </c>
      <c r="AG4" s="291">
        <f>IF($AA$2="2018年",'Offer Statistics'!BN4,IF($AA$2="2019年",'Offer Statistics'!BN66,IF($AA$2="2020年",'Offer Statistics'!BN128)))</f>
        <v>0</v>
      </c>
      <c r="AH4" s="205"/>
      <c r="AI4" s="288">
        <f>IF($AH$2="2018年",'Offer Statistics'!BG4,IF($AH$2="2019年",'Offer Statistics'!BG66,IF($AH$2="2020年",'Offer Statistics'!BG128)))</f>
        <v>2299</v>
      </c>
      <c r="AJ4" s="291">
        <f>IF($AH$2="2018年",'Offer Statistics'!BB4,IF($AH$2="2019年",'Offer Statistics'!BB66,IF($AH$2="2020年",'Offer Statistics'!BB128)))</f>
        <v>245</v>
      </c>
      <c r="AK4" s="291">
        <f>IF($AH$2="2018年",'Offer Statistics'!BC4,IF($AH$2="2019年",'Offer Statistics'!BC66,IF($AH$2="2020年",'Offer Statistics'!BC128)))</f>
        <v>244</v>
      </c>
      <c r="AL4" s="291">
        <f>IF($AH$2="2018年",'Offer Statistics'!BD4,IF($AH$2="2019年",'Offer Statistics'!BD66,IF($AH$2="2020年",'Offer Statistics'!BD128)))</f>
        <v>500</v>
      </c>
      <c r="AM4" s="291">
        <f>IF($AH$2="2018年",'Offer Statistics'!BE4,IF($AH$2="2019年",'Offer Statistics'!BE66,IF($AH$2="2020年",'Offer Statistics'!BE128)))</f>
        <v>695</v>
      </c>
      <c r="AN4" s="291">
        <f>IF($AH$2="2018年",'Offer Statistics'!BF4,IF($AH$2="2019年",'Offer Statistics'!BF66,IF($AH$2="2020年",'Offer Statistics'!BF128)))</f>
        <v>615</v>
      </c>
      <c r="AO4" s="283"/>
      <c r="AP4" s="283" t="str">
        <f t="shared" si="3"/>
        <v>JS4020</v>
      </c>
    </row>
    <row r="5" ht="18.0" customHeight="1">
      <c r="A5" s="142" t="s">
        <v>426</v>
      </c>
      <c r="B5" s="142" t="s">
        <v>971</v>
      </c>
      <c r="C5" s="142" t="s">
        <v>427</v>
      </c>
      <c r="D5" s="142" t="s">
        <v>1393</v>
      </c>
      <c r="E5" s="131" t="s">
        <v>21</v>
      </c>
      <c r="F5" s="199">
        <f>7+7+5.5+4+3</f>
        <v>26.5</v>
      </c>
      <c r="G5" s="199">
        <f>7+7+4+4+4</f>
        <v>26</v>
      </c>
      <c r="H5" s="199">
        <f>7+5.5+4+4+4</f>
        <v>24.5</v>
      </c>
      <c r="I5" s="200">
        <f>'計分版'!D168</f>
        <v>0.00000000395</v>
      </c>
      <c r="J5" s="215">
        <f t="shared" si="1"/>
        <v>-26</v>
      </c>
      <c r="K5" s="237">
        <f t="shared" si="2"/>
        <v>-6582278480</v>
      </c>
      <c r="L5" s="132">
        <v>21.0</v>
      </c>
      <c r="M5" s="203">
        <f>'入學要求'!S150</f>
        <v>0</v>
      </c>
      <c r="N5" s="131" t="s">
        <v>1077</v>
      </c>
      <c r="O5" s="131">
        <v>3.0</v>
      </c>
      <c r="P5" s="131">
        <v>3.0</v>
      </c>
      <c r="Q5" s="131">
        <v>2.0</v>
      </c>
      <c r="R5" s="131">
        <v>2.0</v>
      </c>
      <c r="S5" s="131">
        <v>3.0</v>
      </c>
      <c r="T5" s="131">
        <v>3.0</v>
      </c>
      <c r="U5" s="292">
        <f>'入學要求'!L150</f>
        <v>0</v>
      </c>
      <c r="V5" s="292">
        <f>'入學要求'!M150</f>
        <v>0</v>
      </c>
      <c r="W5" s="292">
        <f>'入學要求'!N150</f>
        <v>0</v>
      </c>
      <c r="X5" s="292">
        <f>'入學要求'!O150</f>
        <v>0</v>
      </c>
      <c r="Y5" s="292">
        <f>'入學要求'!P150</f>
        <v>0</v>
      </c>
      <c r="Z5" s="292">
        <f>'入學要求'!Q150</f>
        <v>0</v>
      </c>
      <c r="AA5" s="205"/>
      <c r="AB5" s="132">
        <f>IF($AA$2="2018年",'Offer Statistics'!BO5,IF($AA$2="2019年",'Offer Statistics'!BO67,IF($AA$2="2020年",'Offer Statistics'!BO129)))</f>
        <v>21</v>
      </c>
      <c r="AC5" s="206">
        <f>IF($AA$2="2018年",'Offer Statistics'!BJ5,IF($AA$2="2019年",'Offer Statistics'!BJ67,IF($AA$2="2020年",'Offer Statistics'!BJ129)))</f>
        <v>21</v>
      </c>
      <c r="AD5" s="206">
        <f>IF($AA$2="2018年",'Offer Statistics'!BK5,IF($AA$2="2019年",'Offer Statistics'!BK67,IF($AA$2="2020年",'Offer Statistics'!BK129)))</f>
        <v>0</v>
      </c>
      <c r="AE5" s="206">
        <f>IF($AA$2="2018年",'Offer Statistics'!BL5,IF($AA$2="2019年",'Offer Statistics'!BL67,IF($AA$2="2020年",'Offer Statistics'!BL129)))</f>
        <v>0</v>
      </c>
      <c r="AF5" s="206">
        <f>IF($AA$2="2018年",'Offer Statistics'!BM5,IF($AA$2="2019年",'Offer Statistics'!BM67,IF($AA$2="2020年",'Offer Statistics'!BM129)))</f>
        <v>0</v>
      </c>
      <c r="AG5" s="206">
        <f>IF($AA$2="2018年",'Offer Statistics'!BN5,IF($AA$2="2019年",'Offer Statistics'!BN67,IF($AA$2="2020年",'Offer Statistics'!BN129)))</f>
        <v>0</v>
      </c>
      <c r="AH5" s="205"/>
      <c r="AI5" s="132">
        <f>IF($AH$2="2018年",'Offer Statistics'!BG5,IF($AH$2="2019年",'Offer Statistics'!BG67,IF($AH$2="2020年",'Offer Statistics'!BG129)))</f>
        <v>1416</v>
      </c>
      <c r="AJ5" s="206">
        <f>IF($AH$2="2018年",'Offer Statistics'!BB5,IF($AH$2="2019年",'Offer Statistics'!BB67,IF($AH$2="2020年",'Offer Statistics'!BB129)))</f>
        <v>117</v>
      </c>
      <c r="AK5" s="206">
        <f>IF($AH$2="2018年",'Offer Statistics'!BC5,IF($AH$2="2019年",'Offer Statistics'!BC67,IF($AH$2="2020年",'Offer Statistics'!BC129)))</f>
        <v>160</v>
      </c>
      <c r="AL5" s="206">
        <f>IF($AH$2="2018年",'Offer Statistics'!BD5,IF($AH$2="2019年",'Offer Statistics'!BD67,IF($AH$2="2020年",'Offer Statistics'!BD129)))</f>
        <v>306</v>
      </c>
      <c r="AM5" s="206">
        <f>IF($AH$2="2018年",'Offer Statistics'!BE5,IF($AH$2="2019年",'Offer Statistics'!BE67,IF($AH$2="2020年",'Offer Statistics'!BE129)))</f>
        <v>458</v>
      </c>
      <c r="AN5" s="206">
        <f>IF($AH$2="2018年",'Offer Statistics'!BF5,IF($AH$2="2019年",'Offer Statistics'!BF67,IF($AH$2="2020年",'Offer Statistics'!BF129)))</f>
        <v>375</v>
      </c>
      <c r="AO5" s="131"/>
      <c r="AP5" s="131" t="str">
        <f t="shared" si="3"/>
        <v>JS4022</v>
      </c>
    </row>
    <row r="6" ht="18.0" customHeight="1">
      <c r="A6" s="282" t="s">
        <v>431</v>
      </c>
      <c r="B6" s="282" t="s">
        <v>971</v>
      </c>
      <c r="C6" s="282" t="s">
        <v>432</v>
      </c>
      <c r="D6" s="282" t="s">
        <v>1394</v>
      </c>
      <c r="E6" s="295" t="s">
        <v>191</v>
      </c>
      <c r="F6" s="284">
        <f>7*1.5+5.5+4+4+4+4</f>
        <v>32</v>
      </c>
      <c r="G6" s="284">
        <f>7*1.5+4+4+4+4+4</f>
        <v>30.5</v>
      </c>
      <c r="H6" s="284">
        <f>7*1.5+4+4+3+4+4</f>
        <v>29.5</v>
      </c>
      <c r="I6" s="285">
        <f>'計分版'!D169</f>
        <v>0.00000000295</v>
      </c>
      <c r="J6" s="286">
        <f t="shared" si="1"/>
        <v>-30.5</v>
      </c>
      <c r="K6" s="287">
        <f t="shared" si="2"/>
        <v>-10338983050</v>
      </c>
      <c r="L6" s="288">
        <v>55.0</v>
      </c>
      <c r="M6" s="293">
        <f>'入學要求'!S151</f>
        <v>0</v>
      </c>
      <c r="N6" s="283" t="s">
        <v>1188</v>
      </c>
      <c r="O6" s="283">
        <v>3.0</v>
      </c>
      <c r="P6" s="283">
        <v>3.0</v>
      </c>
      <c r="Q6" s="283">
        <v>2.0</v>
      </c>
      <c r="R6" s="283">
        <v>2.0</v>
      </c>
      <c r="S6" s="283">
        <v>3.0</v>
      </c>
      <c r="T6" s="283">
        <v>3.0</v>
      </c>
      <c r="U6" s="290">
        <f>'入學要求'!L151</f>
        <v>0</v>
      </c>
      <c r="V6" s="290">
        <f>'入學要求'!M151</f>
        <v>0</v>
      </c>
      <c r="W6" s="290">
        <f>'入學要求'!N151</f>
        <v>0</v>
      </c>
      <c r="X6" s="290">
        <f>'入學要求'!O151</f>
        <v>0</v>
      </c>
      <c r="Y6" s="290">
        <f>'入學要求'!P151</f>
        <v>0</v>
      </c>
      <c r="Z6" s="290">
        <f>'入學要求'!Q151</f>
        <v>0</v>
      </c>
      <c r="AA6" s="205"/>
      <c r="AB6" s="288">
        <f>IF($AA$2="2018年",'Offer Statistics'!BO6,IF($AA$2="2019年",'Offer Statistics'!BO68,IF($AA$2="2020年",'Offer Statistics'!BO130)))</f>
        <v>53</v>
      </c>
      <c r="AC6" s="291">
        <f>IF($AA$2="2018年",'Offer Statistics'!BJ6,IF($AA$2="2019年",'Offer Statistics'!BJ68,IF($AA$2="2020年",'Offer Statistics'!BJ130)))</f>
        <v>48</v>
      </c>
      <c r="AD6" s="291">
        <f>IF($AA$2="2018年",'Offer Statistics'!BK6,IF($AA$2="2019年",'Offer Statistics'!BK68,IF($AA$2="2020年",'Offer Statistics'!BK130)))</f>
        <v>5</v>
      </c>
      <c r="AE6" s="291">
        <f>IF($AA$2="2018年",'Offer Statistics'!BL6,IF($AA$2="2019年",'Offer Statistics'!BL68,IF($AA$2="2020年",'Offer Statistics'!BL130)))</f>
        <v>0</v>
      </c>
      <c r="AF6" s="291">
        <f>IF($AA$2="2018年",'Offer Statistics'!BM6,IF($AA$2="2019年",'Offer Statistics'!BM68,IF($AA$2="2020年",'Offer Statistics'!BM130)))</f>
        <v>0</v>
      </c>
      <c r="AG6" s="291">
        <f>IF($AA$2="2018年",'Offer Statistics'!BN6,IF($AA$2="2019年",'Offer Statistics'!BN68,IF($AA$2="2020年",'Offer Statistics'!BN130)))</f>
        <v>0</v>
      </c>
      <c r="AH6" s="205"/>
      <c r="AI6" s="288">
        <f>IF($AH$2="2018年",'Offer Statistics'!BG6,IF($AH$2="2019年",'Offer Statistics'!BG68,IF($AH$2="2020年",'Offer Statistics'!BG130)))</f>
        <v>1350</v>
      </c>
      <c r="AJ6" s="291">
        <f>IF($AH$2="2018年",'Offer Statistics'!BB6,IF($AH$2="2019年",'Offer Statistics'!BB68,IF($AH$2="2020年",'Offer Statistics'!BB130)))</f>
        <v>268</v>
      </c>
      <c r="AK6" s="291">
        <f>IF($AH$2="2018年",'Offer Statistics'!BC6,IF($AH$2="2019年",'Offer Statistics'!BC68,IF($AH$2="2020年",'Offer Statistics'!BC130)))</f>
        <v>222</v>
      </c>
      <c r="AL6" s="291">
        <f>IF($AH$2="2018年",'Offer Statistics'!BD6,IF($AH$2="2019年",'Offer Statistics'!BD68,IF($AH$2="2020年",'Offer Statistics'!BD130)))</f>
        <v>268</v>
      </c>
      <c r="AM6" s="291">
        <f>IF($AH$2="2018年",'Offer Statistics'!BE6,IF($AH$2="2019年",'Offer Statistics'!BE68,IF($AH$2="2020年",'Offer Statistics'!BE130)))</f>
        <v>303</v>
      </c>
      <c r="AN6" s="291">
        <f>IF($AH$2="2018年",'Offer Statistics'!BF6,IF($AH$2="2019年",'Offer Statistics'!BF68,IF($AH$2="2020年",'Offer Statistics'!BF130)))</f>
        <v>289</v>
      </c>
      <c r="AO6" s="283"/>
      <c r="AP6" s="283" t="str">
        <f t="shared" si="3"/>
        <v>JS4032</v>
      </c>
    </row>
    <row r="7" ht="18.0" customHeight="1">
      <c r="A7" s="142" t="s">
        <v>437</v>
      </c>
      <c r="B7" s="142" t="s">
        <v>971</v>
      </c>
      <c r="C7" s="142" t="s">
        <v>438</v>
      </c>
      <c r="D7" s="142" t="s">
        <v>1395</v>
      </c>
      <c r="E7" s="131" t="s">
        <v>21</v>
      </c>
      <c r="F7" s="199">
        <f>7+8.5+4+4+4</f>
        <v>27.5</v>
      </c>
      <c r="G7" s="199">
        <f>5.5+5.5+5.5+5.5+4</f>
        <v>26</v>
      </c>
      <c r="H7" s="199">
        <f t="shared" ref="H7:H8" si="4">5.5+5.5+5.5+4+4</f>
        <v>24.5</v>
      </c>
      <c r="I7" s="200">
        <f>'計分版'!D170</f>
        <v>0.00000000395</v>
      </c>
      <c r="J7" s="215">
        <f t="shared" si="1"/>
        <v>-26</v>
      </c>
      <c r="K7" s="237">
        <f t="shared" si="2"/>
        <v>-6582278480</v>
      </c>
      <c r="L7" s="132">
        <v>20.0</v>
      </c>
      <c r="M7" s="203">
        <f>'入學要求'!S152</f>
        <v>0</v>
      </c>
      <c r="N7" s="135" t="s">
        <v>1166</v>
      </c>
      <c r="O7" s="131">
        <v>3.0</v>
      </c>
      <c r="P7" s="131">
        <v>3.0</v>
      </c>
      <c r="Q7" s="131">
        <v>2.0</v>
      </c>
      <c r="R7" s="131">
        <v>2.0</v>
      </c>
      <c r="S7" s="131">
        <v>3.0</v>
      </c>
      <c r="T7" s="131">
        <v>3.0</v>
      </c>
      <c r="U7" s="292">
        <f>'入學要求'!L152</f>
        <v>0</v>
      </c>
      <c r="V7" s="292">
        <f>'入學要求'!M152</f>
        <v>0</v>
      </c>
      <c r="W7" s="292">
        <f>'入學要求'!N152</f>
        <v>0</v>
      </c>
      <c r="X7" s="292">
        <f>'入學要求'!O152</f>
        <v>0</v>
      </c>
      <c r="Y7" s="292">
        <f>'入學要求'!P152</f>
        <v>0</v>
      </c>
      <c r="Z7" s="292">
        <f>'入學要求'!Q152</f>
        <v>0</v>
      </c>
      <c r="AA7" s="205"/>
      <c r="AB7" s="132">
        <f>IF($AA$2="2018年",'Offer Statistics'!BO7,IF($AA$2="2019年",'Offer Statistics'!BO69,IF($AA$2="2020年",'Offer Statistics'!BO131)))</f>
        <v>19</v>
      </c>
      <c r="AC7" s="206">
        <f>IF($AA$2="2018年",'Offer Statistics'!BJ7,IF($AA$2="2019年",'Offer Statistics'!BJ69,IF($AA$2="2020年",'Offer Statistics'!BJ131)))</f>
        <v>19</v>
      </c>
      <c r="AD7" s="206">
        <f>IF($AA$2="2018年",'Offer Statistics'!BK7,IF($AA$2="2019年",'Offer Statistics'!BK69,IF($AA$2="2020年",'Offer Statistics'!BK131)))</f>
        <v>0</v>
      </c>
      <c r="AE7" s="206">
        <f>IF($AA$2="2018年",'Offer Statistics'!BL7,IF($AA$2="2019年",'Offer Statistics'!BL69,IF($AA$2="2020年",'Offer Statistics'!BL131)))</f>
        <v>0</v>
      </c>
      <c r="AF7" s="206">
        <f>IF($AA$2="2018年",'Offer Statistics'!BM7,IF($AA$2="2019年",'Offer Statistics'!BM69,IF($AA$2="2020年",'Offer Statistics'!BM131)))</f>
        <v>0</v>
      </c>
      <c r="AG7" s="206">
        <f>IF($AA$2="2018年",'Offer Statistics'!BN7,IF($AA$2="2019年",'Offer Statistics'!BN69,IF($AA$2="2020年",'Offer Statistics'!BN131)))</f>
        <v>0</v>
      </c>
      <c r="AH7" s="205"/>
      <c r="AI7" s="132">
        <f>IF($AH$2="2018年",'Offer Statistics'!BG7,IF($AH$2="2019年",'Offer Statistics'!BG69,IF($AH$2="2020年",'Offer Statistics'!BG131)))</f>
        <v>1354</v>
      </c>
      <c r="AJ7" s="206">
        <f>IF($AH$2="2018年",'Offer Statistics'!BB7,IF($AH$2="2019年",'Offer Statistics'!BB69,IF($AH$2="2020年",'Offer Statistics'!BB131)))</f>
        <v>261</v>
      </c>
      <c r="AK7" s="206">
        <f>IF($AH$2="2018年",'Offer Statistics'!BC7,IF($AH$2="2019年",'Offer Statistics'!BC69,IF($AH$2="2020年",'Offer Statistics'!BC131)))</f>
        <v>215</v>
      </c>
      <c r="AL7" s="206">
        <f>IF($AH$2="2018年",'Offer Statistics'!BD7,IF($AH$2="2019年",'Offer Statistics'!BD69,IF($AH$2="2020年",'Offer Statistics'!BD131)))</f>
        <v>299</v>
      </c>
      <c r="AM7" s="206">
        <f>IF($AH$2="2018年",'Offer Statistics'!BE7,IF($AH$2="2019年",'Offer Statistics'!BE69,IF($AH$2="2020年",'Offer Statistics'!BE131)))</f>
        <v>333</v>
      </c>
      <c r="AN7" s="206">
        <f>IF($AH$2="2018年",'Offer Statistics'!BF7,IF($AH$2="2019年",'Offer Statistics'!BF69,IF($AH$2="2020年",'Offer Statistics'!BF131)))</f>
        <v>246</v>
      </c>
      <c r="AO7" s="131"/>
      <c r="AP7" s="131" t="str">
        <f t="shared" si="3"/>
        <v>JS4044</v>
      </c>
    </row>
    <row r="8" ht="18.0" customHeight="1">
      <c r="A8" s="282" t="s">
        <v>443</v>
      </c>
      <c r="B8" s="282" t="s">
        <v>971</v>
      </c>
      <c r="C8" s="282" t="s">
        <v>101</v>
      </c>
      <c r="D8" s="282" t="s">
        <v>1396</v>
      </c>
      <c r="E8" s="283" t="s">
        <v>21</v>
      </c>
      <c r="F8" s="284">
        <f>7+7+5.5+4+4</f>
        <v>27.5</v>
      </c>
      <c r="G8" s="284">
        <f>7+5.5+5.5+4+4</f>
        <v>26</v>
      </c>
      <c r="H8" s="284">
        <f t="shared" si="4"/>
        <v>24.5</v>
      </c>
      <c r="I8" s="285">
        <f>'計分版'!D171</f>
        <v>0.00000000395</v>
      </c>
      <c r="J8" s="286">
        <f t="shared" si="1"/>
        <v>-26</v>
      </c>
      <c r="K8" s="287">
        <f t="shared" si="2"/>
        <v>-6582278480</v>
      </c>
      <c r="L8" s="288">
        <v>47.0</v>
      </c>
      <c r="M8" s="293">
        <f>'入學要求'!S153</f>
        <v>0</v>
      </c>
      <c r="N8" s="283" t="s">
        <v>541</v>
      </c>
      <c r="O8" s="283">
        <v>3.0</v>
      </c>
      <c r="P8" s="283">
        <v>3.0</v>
      </c>
      <c r="Q8" s="283">
        <v>2.0</v>
      </c>
      <c r="R8" s="283">
        <v>2.0</v>
      </c>
      <c r="S8" s="283">
        <v>3.0</v>
      </c>
      <c r="T8" s="283">
        <v>3.0</v>
      </c>
      <c r="U8" s="290">
        <f>'入學要求'!L153</f>
        <v>0</v>
      </c>
      <c r="V8" s="290">
        <f>'入學要求'!M153</f>
        <v>0</v>
      </c>
      <c r="W8" s="290">
        <f>'入學要求'!N153</f>
        <v>0</v>
      </c>
      <c r="X8" s="290">
        <f>'入學要求'!O153</f>
        <v>0</v>
      </c>
      <c r="Y8" s="290">
        <f>'入學要求'!P153</f>
        <v>0</v>
      </c>
      <c r="Z8" s="290">
        <f>'入學要求'!Q153</f>
        <v>0</v>
      </c>
      <c r="AA8" s="205"/>
      <c r="AB8" s="288">
        <f>IF($AA$2="2018年",'Offer Statistics'!BO8,IF($AA$2="2019年",'Offer Statistics'!BO70,IF($AA$2="2020年",'Offer Statistics'!BO132)))</f>
        <v>47</v>
      </c>
      <c r="AC8" s="291">
        <f>IF($AA$2="2018年",'Offer Statistics'!BJ8,IF($AA$2="2019年",'Offer Statistics'!BJ70,IF($AA$2="2020年",'Offer Statistics'!BJ132)))</f>
        <v>47</v>
      </c>
      <c r="AD8" s="291">
        <f>IF($AA$2="2018年",'Offer Statistics'!BK8,IF($AA$2="2019年",'Offer Statistics'!BK70,IF($AA$2="2020年",'Offer Statistics'!BK132)))</f>
        <v>0</v>
      </c>
      <c r="AE8" s="291">
        <f>IF($AA$2="2018年",'Offer Statistics'!BL8,IF($AA$2="2019年",'Offer Statistics'!BL70,IF($AA$2="2020年",'Offer Statistics'!BL132)))</f>
        <v>0</v>
      </c>
      <c r="AF8" s="291">
        <f>IF($AA$2="2018年",'Offer Statistics'!BM8,IF($AA$2="2019年",'Offer Statistics'!BM70,IF($AA$2="2020年",'Offer Statistics'!BM132)))</f>
        <v>0</v>
      </c>
      <c r="AG8" s="291">
        <f>IF($AA$2="2018年",'Offer Statistics'!BN8,IF($AA$2="2019年",'Offer Statistics'!BN70,IF($AA$2="2020年",'Offer Statistics'!BN132)))</f>
        <v>0</v>
      </c>
      <c r="AH8" s="205"/>
      <c r="AI8" s="288">
        <f>IF($AH$2="2018年",'Offer Statistics'!BG8,IF($AH$2="2019年",'Offer Statistics'!BG70,IF($AH$2="2020年",'Offer Statistics'!BG132)))</f>
        <v>2006</v>
      </c>
      <c r="AJ8" s="291">
        <f>IF($AH$2="2018年",'Offer Statistics'!BB8,IF($AH$2="2019年",'Offer Statistics'!BB70,IF($AH$2="2020年",'Offer Statistics'!BB132)))</f>
        <v>342</v>
      </c>
      <c r="AK8" s="291">
        <f>IF($AH$2="2018年",'Offer Statistics'!BC8,IF($AH$2="2019年",'Offer Statistics'!BC70,IF($AH$2="2020年",'Offer Statistics'!BC132)))</f>
        <v>253</v>
      </c>
      <c r="AL8" s="291">
        <f>IF($AH$2="2018年",'Offer Statistics'!BD8,IF($AH$2="2019年",'Offer Statistics'!BD70,IF($AH$2="2020年",'Offer Statistics'!BD132)))</f>
        <v>419</v>
      </c>
      <c r="AM8" s="291">
        <f>IF($AH$2="2018年",'Offer Statistics'!BE8,IF($AH$2="2019年",'Offer Statistics'!BE70,IF($AH$2="2020年",'Offer Statistics'!BE132)))</f>
        <v>531</v>
      </c>
      <c r="AN8" s="291">
        <f>IF($AH$2="2018年",'Offer Statistics'!BF8,IF($AH$2="2019年",'Offer Statistics'!BF70,IF($AH$2="2020年",'Offer Statistics'!BF132)))</f>
        <v>461</v>
      </c>
      <c r="AO8" s="283"/>
      <c r="AP8" s="283" t="str">
        <f t="shared" si="3"/>
        <v>JS4056</v>
      </c>
    </row>
    <row r="9" ht="18.0" customHeight="1">
      <c r="A9" s="142" t="s">
        <v>447</v>
      </c>
      <c r="B9" s="142" t="s">
        <v>971</v>
      </c>
      <c r="C9" s="142" t="s">
        <v>448</v>
      </c>
      <c r="D9" s="142" t="s">
        <v>1397</v>
      </c>
      <c r="E9" s="131" t="s">
        <v>21</v>
      </c>
      <c r="F9" s="199">
        <f>7+5.5+5.5+4+4</f>
        <v>26</v>
      </c>
      <c r="G9" s="199">
        <f>7+5.5+4+4+4</f>
        <v>24.5</v>
      </c>
      <c r="H9" s="199">
        <f>5.5+5.5+4+4+4</f>
        <v>23</v>
      </c>
      <c r="I9" s="200">
        <f>'計分版'!D172</f>
        <v>0.00000000395</v>
      </c>
      <c r="J9" s="215">
        <f t="shared" si="1"/>
        <v>-24.5</v>
      </c>
      <c r="K9" s="237">
        <f t="shared" si="2"/>
        <v>-6202531645</v>
      </c>
      <c r="L9" s="132">
        <v>22.0</v>
      </c>
      <c r="M9" s="203">
        <f>'入學要求'!S154</f>
        <v>0</v>
      </c>
      <c r="N9" s="135" t="s">
        <v>1166</v>
      </c>
      <c r="O9" s="131">
        <v>3.0</v>
      </c>
      <c r="P9" s="131">
        <v>3.0</v>
      </c>
      <c r="Q9" s="131">
        <v>2.0</v>
      </c>
      <c r="R9" s="131">
        <v>2.0</v>
      </c>
      <c r="S9" s="131">
        <v>3.0</v>
      </c>
      <c r="T9" s="131">
        <v>3.0</v>
      </c>
      <c r="U9" s="292">
        <f>'入學要求'!L154</f>
        <v>0</v>
      </c>
      <c r="V9" s="292">
        <f>'入學要求'!M154</f>
        <v>0</v>
      </c>
      <c r="W9" s="292">
        <f>'入學要求'!N154</f>
        <v>0</v>
      </c>
      <c r="X9" s="292">
        <f>'入學要求'!O154</f>
        <v>0</v>
      </c>
      <c r="Y9" s="292">
        <f>'入學要求'!P154</f>
        <v>0</v>
      </c>
      <c r="Z9" s="292">
        <f>'入學要求'!Q154</f>
        <v>0</v>
      </c>
      <c r="AA9" s="205"/>
      <c r="AB9" s="132">
        <f>IF($AA$2="2018年",'Offer Statistics'!BO9,IF($AA$2="2019年",'Offer Statistics'!BO71,IF($AA$2="2020年",'Offer Statistics'!BO133)))</f>
        <v>21</v>
      </c>
      <c r="AC9" s="206">
        <f>IF($AA$2="2018年",'Offer Statistics'!BJ9,IF($AA$2="2019年",'Offer Statistics'!BJ71,IF($AA$2="2020年",'Offer Statistics'!BJ133)))</f>
        <v>21</v>
      </c>
      <c r="AD9" s="206">
        <f>IF($AA$2="2018年",'Offer Statistics'!BK9,IF($AA$2="2019年",'Offer Statistics'!BK71,IF($AA$2="2020年",'Offer Statistics'!BK133)))</f>
        <v>0</v>
      </c>
      <c r="AE9" s="206">
        <f>IF($AA$2="2018年",'Offer Statistics'!BL9,IF($AA$2="2019年",'Offer Statistics'!BL71,IF($AA$2="2020年",'Offer Statistics'!BL133)))</f>
        <v>0</v>
      </c>
      <c r="AF9" s="206">
        <f>IF($AA$2="2018年",'Offer Statistics'!BM9,IF($AA$2="2019年",'Offer Statistics'!BM71,IF($AA$2="2020年",'Offer Statistics'!BM133)))</f>
        <v>0</v>
      </c>
      <c r="AG9" s="206">
        <f>IF($AA$2="2018年",'Offer Statistics'!BN9,IF($AA$2="2019年",'Offer Statistics'!BN71,IF($AA$2="2020年",'Offer Statistics'!BN133)))</f>
        <v>0</v>
      </c>
      <c r="AH9" s="205"/>
      <c r="AI9" s="132">
        <f>IF($AH$2="2018年",'Offer Statistics'!BG9,IF($AH$2="2019年",'Offer Statistics'!BG71,IF($AH$2="2020年",'Offer Statistics'!BG133)))</f>
        <v>2214</v>
      </c>
      <c r="AJ9" s="206">
        <f>IF($AH$2="2018年",'Offer Statistics'!BB9,IF($AH$2="2019年",'Offer Statistics'!BB71,IF($AH$2="2020年",'Offer Statistics'!BB133)))</f>
        <v>469</v>
      </c>
      <c r="AK9" s="206">
        <f>IF($AH$2="2018年",'Offer Statistics'!BC9,IF($AH$2="2019年",'Offer Statistics'!BC71,IF($AH$2="2020年",'Offer Statistics'!BC133)))</f>
        <v>277</v>
      </c>
      <c r="AL9" s="206">
        <f>IF($AH$2="2018年",'Offer Statistics'!BD9,IF($AH$2="2019年",'Offer Statistics'!BD71,IF($AH$2="2020年",'Offer Statistics'!BD133)))</f>
        <v>456</v>
      </c>
      <c r="AM9" s="206">
        <f>IF($AH$2="2018年",'Offer Statistics'!BE9,IF($AH$2="2019年",'Offer Statistics'!BE71,IF($AH$2="2020年",'Offer Statistics'!BE133)))</f>
        <v>531</v>
      </c>
      <c r="AN9" s="206">
        <f>IF($AH$2="2018年",'Offer Statistics'!BF9,IF($AH$2="2019年",'Offer Statistics'!BF71,IF($AH$2="2020年",'Offer Statistics'!BF133)))</f>
        <v>481</v>
      </c>
      <c r="AO9" s="131"/>
      <c r="AP9" s="131" t="str">
        <f t="shared" si="3"/>
        <v>JS4068</v>
      </c>
    </row>
    <row r="10" ht="18.0" customHeight="1">
      <c r="A10" s="282" t="s">
        <v>452</v>
      </c>
      <c r="B10" s="282" t="s">
        <v>971</v>
      </c>
      <c r="C10" s="282" t="s">
        <v>453</v>
      </c>
      <c r="D10" s="282" t="s">
        <v>1398</v>
      </c>
      <c r="E10" s="283" t="s">
        <v>21</v>
      </c>
      <c r="F10" s="284">
        <f>7.5+5.5+5.5+4+4</f>
        <v>26.5</v>
      </c>
      <c r="G10" s="284">
        <f>8.5+5.5+4+4+4</f>
        <v>26</v>
      </c>
      <c r="H10" s="284">
        <f>7+5.5+4+4+4</f>
        <v>24.5</v>
      </c>
      <c r="I10" s="285">
        <f>'計分版'!D173</f>
        <v>0.00000000395</v>
      </c>
      <c r="J10" s="286">
        <f t="shared" si="1"/>
        <v>-26</v>
      </c>
      <c r="K10" s="287">
        <f t="shared" si="2"/>
        <v>-6582278480</v>
      </c>
      <c r="L10" s="288">
        <v>20.0</v>
      </c>
      <c r="M10" s="293">
        <f>'入學要求'!S155</f>
        <v>0</v>
      </c>
      <c r="N10" s="283" t="s">
        <v>541</v>
      </c>
      <c r="O10" s="283">
        <v>3.0</v>
      </c>
      <c r="P10" s="283">
        <v>3.0</v>
      </c>
      <c r="Q10" s="283">
        <v>2.0</v>
      </c>
      <c r="R10" s="283">
        <v>2.0</v>
      </c>
      <c r="S10" s="283">
        <v>3.0</v>
      </c>
      <c r="T10" s="283">
        <v>3.0</v>
      </c>
      <c r="U10" s="290">
        <f>'入學要求'!L155</f>
        <v>0</v>
      </c>
      <c r="V10" s="290">
        <f>'入學要求'!M155</f>
        <v>0</v>
      </c>
      <c r="W10" s="290">
        <f>'入學要求'!N155</f>
        <v>0</v>
      </c>
      <c r="X10" s="290">
        <f>'入學要求'!O155</f>
        <v>0</v>
      </c>
      <c r="Y10" s="290">
        <f>'入學要求'!P155</f>
        <v>0</v>
      </c>
      <c r="Z10" s="290">
        <f>'入學要求'!Q155</f>
        <v>0</v>
      </c>
      <c r="AA10" s="205"/>
      <c r="AB10" s="288">
        <f>IF($AA$2="2018年",'Offer Statistics'!BO10,IF($AA$2="2019年",'Offer Statistics'!BO72,IF($AA$2="2020年",'Offer Statistics'!BO134)))</f>
        <v>19</v>
      </c>
      <c r="AC10" s="291">
        <f>IF($AA$2="2018年",'Offer Statistics'!BJ10,IF($AA$2="2019年",'Offer Statistics'!BJ72,IF($AA$2="2020年",'Offer Statistics'!BJ134)))</f>
        <v>19</v>
      </c>
      <c r="AD10" s="291">
        <f>IF($AA$2="2018年",'Offer Statistics'!BK10,IF($AA$2="2019年",'Offer Statistics'!BK72,IF($AA$2="2020年",'Offer Statistics'!BK134)))</f>
        <v>0</v>
      </c>
      <c r="AE10" s="291">
        <f>IF($AA$2="2018年",'Offer Statistics'!BL10,IF($AA$2="2019年",'Offer Statistics'!BL72,IF($AA$2="2020年",'Offer Statistics'!BL134)))</f>
        <v>0</v>
      </c>
      <c r="AF10" s="291">
        <f>IF($AA$2="2018年",'Offer Statistics'!BM10,IF($AA$2="2019年",'Offer Statistics'!BM72,IF($AA$2="2020年",'Offer Statistics'!BM134)))</f>
        <v>0</v>
      </c>
      <c r="AG10" s="291">
        <f>IF($AA$2="2018年",'Offer Statistics'!BN10,IF($AA$2="2019年",'Offer Statistics'!BN72,IF($AA$2="2020年",'Offer Statistics'!BN134)))</f>
        <v>0</v>
      </c>
      <c r="AH10" s="205"/>
      <c r="AI10" s="288">
        <f>IF($AH$2="2018年",'Offer Statistics'!BG10,IF($AH$2="2019年",'Offer Statistics'!BG72,IF($AH$2="2020年",'Offer Statistics'!BG134)))</f>
        <v>1503</v>
      </c>
      <c r="AJ10" s="291">
        <f>IF($AH$2="2018年",'Offer Statistics'!BB10,IF($AH$2="2019年",'Offer Statistics'!BB72,IF($AH$2="2020年",'Offer Statistics'!BB134)))</f>
        <v>141</v>
      </c>
      <c r="AK10" s="291">
        <f>IF($AH$2="2018年",'Offer Statistics'!BC10,IF($AH$2="2019年",'Offer Statistics'!BC72,IF($AH$2="2020年",'Offer Statistics'!BC134)))</f>
        <v>167</v>
      </c>
      <c r="AL10" s="291">
        <f>IF($AH$2="2018年",'Offer Statistics'!BD10,IF($AH$2="2019年",'Offer Statistics'!BD72,IF($AH$2="2020年",'Offer Statistics'!BD134)))</f>
        <v>339</v>
      </c>
      <c r="AM10" s="291">
        <f>IF($AH$2="2018年",'Offer Statistics'!BE10,IF($AH$2="2019年",'Offer Statistics'!BE72,IF($AH$2="2020年",'Offer Statistics'!BE134)))</f>
        <v>472</v>
      </c>
      <c r="AN10" s="291">
        <f>IF($AH$2="2018年",'Offer Statistics'!BF10,IF($AH$2="2019年",'Offer Statistics'!BF72,IF($AH$2="2020年",'Offer Statistics'!BF134)))</f>
        <v>384</v>
      </c>
      <c r="AO10" s="283"/>
      <c r="AP10" s="283" t="str">
        <f t="shared" si="3"/>
        <v>JS4070</v>
      </c>
    </row>
    <row r="11" ht="18.0" customHeight="1">
      <c r="A11" s="142" t="s">
        <v>457</v>
      </c>
      <c r="B11" s="142" t="s">
        <v>971</v>
      </c>
      <c r="C11" s="142" t="s">
        <v>95</v>
      </c>
      <c r="D11" s="142" t="s">
        <v>1399</v>
      </c>
      <c r="E11" s="131" t="s">
        <v>21</v>
      </c>
      <c r="F11" s="199">
        <f>7+7+5.5+5.5+4</f>
        <v>29</v>
      </c>
      <c r="G11" s="199">
        <f>7+5.5+4+4+4</f>
        <v>24.5</v>
      </c>
      <c r="H11" s="199">
        <f>5.5+4+4+4+4</f>
        <v>21.5</v>
      </c>
      <c r="I11" s="200">
        <f>'計分版'!D174</f>
        <v>0.00000000395</v>
      </c>
      <c r="J11" s="215">
        <f t="shared" si="1"/>
        <v>-24.5</v>
      </c>
      <c r="K11" s="237">
        <f t="shared" si="2"/>
        <v>-6202531645</v>
      </c>
      <c r="L11" s="132">
        <v>28.0</v>
      </c>
      <c r="M11" s="203">
        <f>'入學要求'!S156</f>
        <v>0</v>
      </c>
      <c r="N11" s="131" t="s">
        <v>1077</v>
      </c>
      <c r="O11" s="131">
        <v>3.0</v>
      </c>
      <c r="P11" s="131">
        <v>3.0</v>
      </c>
      <c r="Q11" s="131">
        <v>2.0</v>
      </c>
      <c r="R11" s="131">
        <v>2.0</v>
      </c>
      <c r="S11" s="131">
        <v>3.0</v>
      </c>
      <c r="T11" s="131">
        <v>3.0</v>
      </c>
      <c r="U11" s="292">
        <f>'入學要求'!L156</f>
        <v>0</v>
      </c>
      <c r="V11" s="292">
        <f>'入學要求'!M156</f>
        <v>0</v>
      </c>
      <c r="W11" s="292">
        <f>'入學要求'!N156</f>
        <v>0</v>
      </c>
      <c r="X11" s="292">
        <f>'入學要求'!O156</f>
        <v>0</v>
      </c>
      <c r="Y11" s="292">
        <f>'入學要求'!P156</f>
        <v>0</v>
      </c>
      <c r="Z11" s="292">
        <f>'入學要求'!Q156</f>
        <v>0</v>
      </c>
      <c r="AA11" s="205"/>
      <c r="AB11" s="132">
        <f>IF($AA$2="2018年",'Offer Statistics'!BO11,IF($AA$2="2019年",'Offer Statistics'!BO73,IF($AA$2="2020年",'Offer Statistics'!BO135)))</f>
        <v>25</v>
      </c>
      <c r="AC11" s="206">
        <f>IF($AA$2="2018年",'Offer Statistics'!BJ11,IF($AA$2="2019年",'Offer Statistics'!BJ73,IF($AA$2="2020年",'Offer Statistics'!BJ135)))</f>
        <v>25</v>
      </c>
      <c r="AD11" s="206">
        <f>IF($AA$2="2018年",'Offer Statistics'!BK11,IF($AA$2="2019年",'Offer Statistics'!BK73,IF($AA$2="2020年",'Offer Statistics'!BK135)))</f>
        <v>0</v>
      </c>
      <c r="AE11" s="206">
        <f>IF($AA$2="2018年",'Offer Statistics'!BL11,IF($AA$2="2019年",'Offer Statistics'!BL73,IF($AA$2="2020年",'Offer Statistics'!BL135)))</f>
        <v>0</v>
      </c>
      <c r="AF11" s="206">
        <f>IF($AA$2="2018年",'Offer Statistics'!BM11,IF($AA$2="2019年",'Offer Statistics'!BM73,IF($AA$2="2020年",'Offer Statistics'!BM135)))</f>
        <v>0</v>
      </c>
      <c r="AG11" s="206">
        <f>IF($AA$2="2018年",'Offer Statistics'!BN11,IF($AA$2="2019年",'Offer Statistics'!BN73,IF($AA$2="2020年",'Offer Statistics'!BN135)))</f>
        <v>0</v>
      </c>
      <c r="AH11" s="205"/>
      <c r="AI11" s="132">
        <f>IF($AH$2="2018年",'Offer Statistics'!BG11,IF($AH$2="2019年",'Offer Statistics'!BG73,IF($AH$2="2020年",'Offer Statistics'!BG135)))</f>
        <v>871</v>
      </c>
      <c r="AJ11" s="206">
        <f>IF($AH$2="2018年",'Offer Statistics'!BB11,IF($AH$2="2019年",'Offer Statistics'!BB73,IF($AH$2="2020年",'Offer Statistics'!BB135)))</f>
        <v>187</v>
      </c>
      <c r="AK11" s="206">
        <f>IF($AH$2="2018年",'Offer Statistics'!BC11,IF($AH$2="2019年",'Offer Statistics'!BC73,IF($AH$2="2020年",'Offer Statistics'!BC135)))</f>
        <v>124</v>
      </c>
      <c r="AL11" s="206">
        <f>IF($AH$2="2018年",'Offer Statistics'!BD11,IF($AH$2="2019年",'Offer Statistics'!BD73,IF($AH$2="2020年",'Offer Statistics'!BD135)))</f>
        <v>144</v>
      </c>
      <c r="AM11" s="206">
        <f>IF($AH$2="2018年",'Offer Statistics'!BE11,IF($AH$2="2019年",'Offer Statistics'!BE73,IF($AH$2="2020年",'Offer Statistics'!BE135)))</f>
        <v>197</v>
      </c>
      <c r="AN11" s="206">
        <f>IF($AH$2="2018年",'Offer Statistics'!BF11,IF($AH$2="2019年",'Offer Statistics'!BF73,IF($AH$2="2020年",'Offer Statistics'!BF135)))</f>
        <v>219</v>
      </c>
      <c r="AO11" s="131"/>
      <c r="AP11" s="131" t="str">
        <f t="shared" si="3"/>
        <v>JS4082</v>
      </c>
    </row>
    <row r="12" ht="18.0" customHeight="1">
      <c r="A12" s="282" t="s">
        <v>461</v>
      </c>
      <c r="B12" s="282" t="s">
        <v>971</v>
      </c>
      <c r="C12" s="282" t="s">
        <v>462</v>
      </c>
      <c r="D12" s="282" t="s">
        <v>1400</v>
      </c>
      <c r="E12" s="283" t="s">
        <v>21</v>
      </c>
      <c r="F12" s="284">
        <f>4+4+5.5+5.5+5.5</f>
        <v>24.5</v>
      </c>
      <c r="G12" s="284">
        <f>5.5+5.5+5.5+4+4</f>
        <v>24.5</v>
      </c>
      <c r="H12" s="284">
        <f>5.5+5.5+4+4+4</f>
        <v>23</v>
      </c>
      <c r="I12" s="285">
        <f>'計分版'!D175</f>
        <v>0.00000000295</v>
      </c>
      <c r="J12" s="286">
        <f t="shared" si="1"/>
        <v>-24.5</v>
      </c>
      <c r="K12" s="287">
        <f t="shared" si="2"/>
        <v>-8305084745</v>
      </c>
      <c r="L12" s="288">
        <v>21.0</v>
      </c>
      <c r="M12" s="293">
        <f>'入學要求'!S157</f>
        <v>0</v>
      </c>
      <c r="N12" s="294" t="s">
        <v>1166</v>
      </c>
      <c r="O12" s="283">
        <v>3.0</v>
      </c>
      <c r="P12" s="283">
        <v>3.0</v>
      </c>
      <c r="Q12" s="283">
        <v>2.0</v>
      </c>
      <c r="R12" s="283">
        <v>2.0</v>
      </c>
      <c r="S12" s="283">
        <v>3.0</v>
      </c>
      <c r="T12" s="283">
        <v>3.0</v>
      </c>
      <c r="U12" s="290">
        <f>'入學要求'!L157</f>
        <v>0</v>
      </c>
      <c r="V12" s="290">
        <f>'入學要求'!M157</f>
        <v>0</v>
      </c>
      <c r="W12" s="290">
        <f>'入學要求'!N157</f>
        <v>0</v>
      </c>
      <c r="X12" s="290">
        <f>'入學要求'!O157</f>
        <v>0</v>
      </c>
      <c r="Y12" s="290">
        <f>'入學要求'!P157</f>
        <v>0</v>
      </c>
      <c r="Z12" s="290">
        <f>'入學要求'!Q157</f>
        <v>0</v>
      </c>
      <c r="AA12" s="205"/>
      <c r="AB12" s="288">
        <f>IF($AA$2="2018年",'Offer Statistics'!BO12,IF($AA$2="2019年",'Offer Statistics'!BO74,IF($AA$2="2020年",'Offer Statistics'!BO136)))</f>
        <v>22</v>
      </c>
      <c r="AC12" s="291">
        <f>IF($AA$2="2018年",'Offer Statistics'!BJ12,IF($AA$2="2019年",'Offer Statistics'!BJ74,IF($AA$2="2020年",'Offer Statistics'!BJ136)))</f>
        <v>22</v>
      </c>
      <c r="AD12" s="291">
        <f>IF($AA$2="2018年",'Offer Statistics'!BK12,IF($AA$2="2019年",'Offer Statistics'!BK74,IF($AA$2="2020年",'Offer Statistics'!BK136)))</f>
        <v>0</v>
      </c>
      <c r="AE12" s="291">
        <f>IF($AA$2="2018年",'Offer Statistics'!BL12,IF($AA$2="2019年",'Offer Statistics'!BL74,IF($AA$2="2020年",'Offer Statistics'!BL136)))</f>
        <v>0</v>
      </c>
      <c r="AF12" s="291">
        <f>IF($AA$2="2018年",'Offer Statistics'!BM12,IF($AA$2="2019年",'Offer Statistics'!BM74,IF($AA$2="2020年",'Offer Statistics'!BM136)))</f>
        <v>0</v>
      </c>
      <c r="AG12" s="291">
        <f>IF($AA$2="2018年",'Offer Statistics'!BN12,IF($AA$2="2019年",'Offer Statistics'!BN74,IF($AA$2="2020年",'Offer Statistics'!BN136)))</f>
        <v>0</v>
      </c>
      <c r="AH12" s="205"/>
      <c r="AI12" s="288">
        <f>IF($AH$2="2018年",'Offer Statistics'!BG12,IF($AH$2="2019年",'Offer Statistics'!BG74,IF($AH$2="2020年",'Offer Statistics'!BG136)))</f>
        <v>2220</v>
      </c>
      <c r="AJ12" s="291">
        <f>IF($AH$2="2018年",'Offer Statistics'!BB12,IF($AH$2="2019年",'Offer Statistics'!BB74,IF($AH$2="2020年",'Offer Statistics'!BB136)))</f>
        <v>283</v>
      </c>
      <c r="AK12" s="291">
        <f>IF($AH$2="2018年",'Offer Statistics'!BC12,IF($AH$2="2019年",'Offer Statistics'!BC74,IF($AH$2="2020年",'Offer Statistics'!BC136)))</f>
        <v>280</v>
      </c>
      <c r="AL12" s="291">
        <f>IF($AH$2="2018年",'Offer Statistics'!BD12,IF($AH$2="2019年",'Offer Statistics'!BD74,IF($AH$2="2020年",'Offer Statistics'!BD136)))</f>
        <v>482</v>
      </c>
      <c r="AM12" s="291">
        <f>IF($AH$2="2018年",'Offer Statistics'!BE12,IF($AH$2="2019年",'Offer Statistics'!BE74,IF($AH$2="2020年",'Offer Statistics'!BE136)))</f>
        <v>595</v>
      </c>
      <c r="AN12" s="291">
        <f>IF($AH$2="2018年",'Offer Statistics'!BF12,IF($AH$2="2019年",'Offer Statistics'!BF74,IF($AH$2="2020年",'Offer Statistics'!BF136)))</f>
        <v>580</v>
      </c>
      <c r="AO12" s="283"/>
      <c r="AP12" s="283" t="str">
        <f t="shared" si="3"/>
        <v>JS4094</v>
      </c>
    </row>
    <row r="13" ht="18.0" customHeight="1">
      <c r="A13" s="142" t="s">
        <v>466</v>
      </c>
      <c r="B13" s="142" t="s">
        <v>971</v>
      </c>
      <c r="C13" s="142" t="s">
        <v>467</v>
      </c>
      <c r="D13" s="142" t="s">
        <v>1401</v>
      </c>
      <c r="E13" s="131" t="s">
        <v>21</v>
      </c>
      <c r="F13" s="199">
        <f>5.5+5.5+4+4+4</f>
        <v>23</v>
      </c>
      <c r="G13" s="199">
        <f>5.5+5.5+4+4+3</f>
        <v>22</v>
      </c>
      <c r="H13" s="199">
        <f>5.5+4+4+4+4</f>
        <v>21.5</v>
      </c>
      <c r="I13" s="200">
        <f>'計分版'!D176</f>
        <v>0.00000000395</v>
      </c>
      <c r="J13" s="215">
        <f t="shared" si="1"/>
        <v>-22</v>
      </c>
      <c r="K13" s="237">
        <f t="shared" si="2"/>
        <v>-5569620252</v>
      </c>
      <c r="L13" s="196" t="s">
        <v>1402</v>
      </c>
      <c r="M13" s="203">
        <f>'入學要求'!S158</f>
        <v>0</v>
      </c>
      <c r="N13" s="131" t="s">
        <v>1188</v>
      </c>
      <c r="O13" s="131">
        <v>3.0</v>
      </c>
      <c r="P13" s="131">
        <v>3.0</v>
      </c>
      <c r="Q13" s="131">
        <v>2.0</v>
      </c>
      <c r="R13" s="131">
        <v>2.0</v>
      </c>
      <c r="S13" s="131">
        <v>3.0</v>
      </c>
      <c r="T13" s="131">
        <v>3.0</v>
      </c>
      <c r="U13" s="292">
        <f>'入學要求'!L158</f>
        <v>0</v>
      </c>
      <c r="V13" s="292">
        <f>'入學要求'!M158</f>
        <v>0</v>
      </c>
      <c r="W13" s="292">
        <f>'入學要求'!N158</f>
        <v>0</v>
      </c>
      <c r="X13" s="292">
        <f>'入學要求'!O158</f>
        <v>0</v>
      </c>
      <c r="Y13" s="292">
        <f>'入學要求'!P158</f>
        <v>0</v>
      </c>
      <c r="Z13" s="292">
        <f>'入學要求'!Q158</f>
        <v>0</v>
      </c>
      <c r="AA13" s="205"/>
      <c r="AB13" s="132">
        <f>IF($AA$2="2018年",'Offer Statistics'!BO13,IF($AA$2="2019年",'Offer Statistics'!BO75,IF($AA$2="2020年",'Offer Statistics'!BO137)))</f>
        <v>19</v>
      </c>
      <c r="AC13" s="206">
        <f>IF($AA$2="2018年",'Offer Statistics'!BJ13,IF($AA$2="2019年",'Offer Statistics'!BJ75,IF($AA$2="2020年",'Offer Statistics'!BJ137)))</f>
        <v>19</v>
      </c>
      <c r="AD13" s="206">
        <f>IF($AA$2="2018年",'Offer Statistics'!BK13,IF($AA$2="2019年",'Offer Statistics'!BK75,IF($AA$2="2020年",'Offer Statistics'!BK137)))</f>
        <v>0</v>
      </c>
      <c r="AE13" s="206">
        <f>IF($AA$2="2018年",'Offer Statistics'!BL13,IF($AA$2="2019年",'Offer Statistics'!BL75,IF($AA$2="2020年",'Offer Statistics'!BL137)))</f>
        <v>0</v>
      </c>
      <c r="AF13" s="206">
        <f>IF($AA$2="2018年",'Offer Statistics'!BM13,IF($AA$2="2019年",'Offer Statistics'!BM75,IF($AA$2="2020年",'Offer Statistics'!BM137)))</f>
        <v>0</v>
      </c>
      <c r="AG13" s="206">
        <f>IF($AA$2="2018年",'Offer Statistics'!BN13,IF($AA$2="2019年",'Offer Statistics'!BN75,IF($AA$2="2020年",'Offer Statistics'!BN137)))</f>
        <v>0</v>
      </c>
      <c r="AH13" s="205"/>
      <c r="AI13" s="132">
        <f>IF($AH$2="2018年",'Offer Statistics'!BG13,IF($AH$2="2019年",'Offer Statistics'!BG75,IF($AH$2="2020年",'Offer Statistics'!BG137)))</f>
        <v>865</v>
      </c>
      <c r="AJ13" s="206">
        <f>IF($AH$2="2018年",'Offer Statistics'!BB13,IF($AH$2="2019年",'Offer Statistics'!BB75,IF($AH$2="2020年",'Offer Statistics'!BB137)))</f>
        <v>135</v>
      </c>
      <c r="AK13" s="206">
        <f>IF($AH$2="2018年",'Offer Statistics'!BC13,IF($AH$2="2019年",'Offer Statistics'!BC75,IF($AH$2="2020年",'Offer Statistics'!BC137)))</f>
        <v>119</v>
      </c>
      <c r="AL13" s="206">
        <f>IF($AH$2="2018年",'Offer Statistics'!BD13,IF($AH$2="2019年",'Offer Statistics'!BD75,IF($AH$2="2020年",'Offer Statistics'!BD137)))</f>
        <v>155</v>
      </c>
      <c r="AM13" s="206">
        <f>IF($AH$2="2018年",'Offer Statistics'!BE13,IF($AH$2="2019年",'Offer Statistics'!BE75,IF($AH$2="2020年",'Offer Statistics'!BE137)))</f>
        <v>206</v>
      </c>
      <c r="AN13" s="206">
        <f>IF($AH$2="2018年",'Offer Statistics'!BF13,IF($AH$2="2019年",'Offer Statistics'!BF75,IF($AH$2="2020年",'Offer Statistics'!BF137)))</f>
        <v>250</v>
      </c>
      <c r="AO13" s="131"/>
      <c r="AP13" s="131" t="str">
        <f t="shared" si="3"/>
        <v>JS4109</v>
      </c>
    </row>
    <row r="14" ht="18.0" customHeight="1">
      <c r="A14" s="282" t="s">
        <v>471</v>
      </c>
      <c r="B14" s="282" t="s">
        <v>971</v>
      </c>
      <c r="C14" s="282" t="s">
        <v>472</v>
      </c>
      <c r="D14" s="282" t="s">
        <v>1403</v>
      </c>
      <c r="E14" s="283" t="s">
        <v>21</v>
      </c>
      <c r="F14" s="284" t="s">
        <v>541</v>
      </c>
      <c r="G14" s="284" t="s">
        <v>541</v>
      </c>
      <c r="H14" s="284" t="s">
        <v>541</v>
      </c>
      <c r="I14" s="285">
        <f>'計分版'!D177</f>
        <v>0.00000000395</v>
      </c>
      <c r="J14" s="286" t="s">
        <v>541</v>
      </c>
      <c r="K14" s="287" t="s">
        <v>541</v>
      </c>
      <c r="L14" s="205"/>
      <c r="M14" s="293">
        <f>'入學要求'!S159</f>
        <v>0</v>
      </c>
      <c r="N14" s="294" t="s">
        <v>1166</v>
      </c>
      <c r="O14" s="283">
        <v>3.0</v>
      </c>
      <c r="P14" s="283">
        <v>3.0</v>
      </c>
      <c r="Q14" s="283">
        <v>2.0</v>
      </c>
      <c r="R14" s="283">
        <v>2.0</v>
      </c>
      <c r="S14" s="283">
        <v>3.0</v>
      </c>
      <c r="T14" s="283">
        <v>3.0</v>
      </c>
      <c r="U14" s="290">
        <f>'入學要求'!L159</f>
        <v>0</v>
      </c>
      <c r="V14" s="290">
        <f>'入學要求'!M159</f>
        <v>0</v>
      </c>
      <c r="W14" s="290">
        <f>'入學要求'!N159</f>
        <v>0</v>
      </c>
      <c r="X14" s="290">
        <f>'入學要求'!O159</f>
        <v>0</v>
      </c>
      <c r="Y14" s="290">
        <f>'入學要求'!P159</f>
        <v>0</v>
      </c>
      <c r="Z14" s="290">
        <f>'入學要求'!Q159</f>
        <v>0</v>
      </c>
      <c r="AA14" s="205"/>
      <c r="AB14" s="288">
        <f>IF($AA$2="2018年",'Offer Statistics'!BO14,IF($AA$2="2019年",'Offer Statistics'!BO76,IF($AA$2="2020年",'Offer Statistics'!BO138)))</f>
        <v>0</v>
      </c>
      <c r="AC14" s="291">
        <f>IF($AA$2="2018年",'Offer Statistics'!BJ14,IF($AA$2="2019年",'Offer Statistics'!BJ76,IF($AA$2="2020年",'Offer Statistics'!BJ138)))</f>
        <v>0</v>
      </c>
      <c r="AD14" s="291">
        <f>IF($AA$2="2018年",'Offer Statistics'!BK14,IF($AA$2="2019年",'Offer Statistics'!BK76,IF($AA$2="2020年",'Offer Statistics'!BK138)))</f>
        <v>0</v>
      </c>
      <c r="AE14" s="291">
        <f>IF($AA$2="2018年",'Offer Statistics'!BL14,IF($AA$2="2019年",'Offer Statistics'!BL76,IF($AA$2="2020年",'Offer Statistics'!BL138)))</f>
        <v>0</v>
      </c>
      <c r="AF14" s="291">
        <f>IF($AA$2="2018年",'Offer Statistics'!BM14,IF($AA$2="2019年",'Offer Statistics'!BM76,IF($AA$2="2020年",'Offer Statistics'!BM138)))</f>
        <v>0</v>
      </c>
      <c r="AG14" s="291">
        <f>IF($AA$2="2018年",'Offer Statistics'!BN14,IF($AA$2="2019年",'Offer Statistics'!BN76,IF($AA$2="2020年",'Offer Statistics'!BN138)))</f>
        <v>0</v>
      </c>
      <c r="AH14" s="205"/>
      <c r="AI14" s="288">
        <f>IF($AH$2="2018年",'Offer Statistics'!BG14,IF($AH$2="2019年",'Offer Statistics'!BG76,IF($AH$2="2020年",'Offer Statistics'!BG138)))</f>
        <v>398</v>
      </c>
      <c r="AJ14" s="291">
        <f>IF($AH$2="2018年",'Offer Statistics'!BB14,IF($AH$2="2019年",'Offer Statistics'!BB76,IF($AH$2="2020年",'Offer Statistics'!BB138)))</f>
        <v>26</v>
      </c>
      <c r="AK14" s="291">
        <f>IF($AH$2="2018年",'Offer Statistics'!BC14,IF($AH$2="2019年",'Offer Statistics'!BC76,IF($AH$2="2020年",'Offer Statistics'!BC138)))</f>
        <v>38</v>
      </c>
      <c r="AL14" s="291">
        <f>IF($AH$2="2018年",'Offer Statistics'!BD14,IF($AH$2="2019年",'Offer Statistics'!BD76,IF($AH$2="2020年",'Offer Statistics'!BD138)))</f>
        <v>73</v>
      </c>
      <c r="AM14" s="291">
        <f>IF($AH$2="2018年",'Offer Statistics'!BE14,IF($AH$2="2019年",'Offer Statistics'!BE76,IF($AH$2="2020年",'Offer Statistics'!BE138)))</f>
        <v>98</v>
      </c>
      <c r="AN14" s="291">
        <f>IF($AH$2="2018年",'Offer Statistics'!BF14,IF($AH$2="2019年",'Offer Statistics'!BF76,IF($AH$2="2020年",'Offer Statistics'!BF138)))</f>
        <v>163</v>
      </c>
      <c r="AO14" s="283"/>
      <c r="AP14" s="283" t="str">
        <f t="shared" si="3"/>
        <v>JS4111</v>
      </c>
    </row>
    <row r="15" ht="18.0" customHeight="1">
      <c r="A15" s="142" t="s">
        <v>476</v>
      </c>
      <c r="B15" s="142" t="s">
        <v>971</v>
      </c>
      <c r="C15" s="142" t="s">
        <v>477</v>
      </c>
      <c r="D15" s="142" t="s">
        <v>1404</v>
      </c>
      <c r="E15" s="131" t="s">
        <v>21</v>
      </c>
      <c r="F15" s="199">
        <f>5.5+8.5+7+7+5.5</f>
        <v>33.5</v>
      </c>
      <c r="G15" s="199">
        <f>7+7+5.5+5.5+4</f>
        <v>29</v>
      </c>
      <c r="H15" s="199">
        <f>5.5+7+5.5+4+4</f>
        <v>26</v>
      </c>
      <c r="I15" s="200">
        <f>'計分版'!D178</f>
        <v>0.00000000395</v>
      </c>
      <c r="J15" s="215">
        <f t="shared" ref="J15:J62" si="5">IF(J$1="差距(Median)",I15-G15,IF(J$1="差距(UQ)",I15-F15,IF(J$1="差距(LQ)",I15-H15)))</f>
        <v>-29</v>
      </c>
      <c r="K15" s="237">
        <f t="shared" ref="K15:K62" si="6">IF(J$1="差距(Median)",(I15-G15)/I15,IF(J$1="差距(UQ)",(I15-F15)/I15,IF(J$1="差距(LQ)",(I15-H15)/I15)))</f>
        <v>-7341772151</v>
      </c>
      <c r="L15" s="132">
        <v>32.0</v>
      </c>
      <c r="M15" s="203">
        <f>'入學要求'!S160</f>
        <v>0</v>
      </c>
      <c r="N15" s="131" t="s">
        <v>541</v>
      </c>
      <c r="O15" s="131">
        <v>3.0</v>
      </c>
      <c r="P15" s="131">
        <v>3.0</v>
      </c>
      <c r="Q15" s="131">
        <v>3.0</v>
      </c>
      <c r="R15" s="131">
        <v>3.0</v>
      </c>
      <c r="S15" s="131">
        <v>3.0</v>
      </c>
      <c r="T15" s="131">
        <v>3.0</v>
      </c>
      <c r="U15" s="292">
        <f>'入學要求'!L160</f>
        <v>0</v>
      </c>
      <c r="V15" s="292">
        <f>'入學要求'!M160</f>
        <v>0</v>
      </c>
      <c r="W15" s="292">
        <f>'入學要求'!N160</f>
        <v>0</v>
      </c>
      <c r="X15" s="292">
        <f>'入學要求'!O160</f>
        <v>0</v>
      </c>
      <c r="Y15" s="292">
        <f>'入學要求'!P160</f>
        <v>0</v>
      </c>
      <c r="Z15" s="292">
        <f>'入學要求'!Q160</f>
        <v>0</v>
      </c>
      <c r="AA15" s="205"/>
      <c r="AB15" s="132">
        <f>IF($AA$2="2018年",'Offer Statistics'!BO15,IF($AA$2="2019年",'Offer Statistics'!BO77,IF($AA$2="2020年",'Offer Statistics'!BO139)))</f>
        <v>21</v>
      </c>
      <c r="AC15" s="206">
        <f>IF($AA$2="2018年",'Offer Statistics'!BJ15,IF($AA$2="2019年",'Offer Statistics'!BJ77,IF($AA$2="2020年",'Offer Statistics'!BJ139)))</f>
        <v>19</v>
      </c>
      <c r="AD15" s="206">
        <f>IF($AA$2="2018年",'Offer Statistics'!BK15,IF($AA$2="2019年",'Offer Statistics'!BK77,IF($AA$2="2020年",'Offer Statistics'!BK139)))</f>
        <v>1</v>
      </c>
      <c r="AE15" s="206">
        <f>IF($AA$2="2018年",'Offer Statistics'!BL15,IF($AA$2="2019年",'Offer Statistics'!BL77,IF($AA$2="2020年",'Offer Statistics'!BL139)))</f>
        <v>1</v>
      </c>
      <c r="AF15" s="206">
        <f>IF($AA$2="2018年",'Offer Statistics'!BM15,IF($AA$2="2019年",'Offer Statistics'!BM77,IF($AA$2="2020年",'Offer Statistics'!BM139)))</f>
        <v>0</v>
      </c>
      <c r="AG15" s="206">
        <f>IF($AA$2="2018年",'Offer Statistics'!BN15,IF($AA$2="2019年",'Offer Statistics'!BN77,IF($AA$2="2020年",'Offer Statistics'!BN139)))</f>
        <v>0</v>
      </c>
      <c r="AH15" s="205"/>
      <c r="AI15" s="132">
        <f>IF($AH$2="2018年",'Offer Statistics'!BG15,IF($AH$2="2019年",'Offer Statistics'!BG77,IF($AH$2="2020年",'Offer Statistics'!BG139)))</f>
        <v>1536</v>
      </c>
      <c r="AJ15" s="206">
        <f>IF($AH$2="2018年",'Offer Statistics'!BB15,IF($AH$2="2019年",'Offer Statistics'!BB77,IF($AH$2="2020年",'Offer Statistics'!BB139)))</f>
        <v>118</v>
      </c>
      <c r="AK15" s="206">
        <f>IF($AH$2="2018年",'Offer Statistics'!BC15,IF($AH$2="2019年",'Offer Statistics'!BC77,IF($AH$2="2020年",'Offer Statistics'!BC139)))</f>
        <v>157</v>
      </c>
      <c r="AL15" s="206">
        <f>IF($AH$2="2018年",'Offer Statistics'!BD15,IF($AH$2="2019年",'Offer Statistics'!BD77,IF($AH$2="2020年",'Offer Statistics'!BD139)))</f>
        <v>285</v>
      </c>
      <c r="AM15" s="206">
        <f>IF($AH$2="2018年",'Offer Statistics'!BE15,IF($AH$2="2019年",'Offer Statistics'!BE77,IF($AH$2="2020年",'Offer Statistics'!BE139)))</f>
        <v>449</v>
      </c>
      <c r="AN15" s="206">
        <f>IF($AH$2="2018年",'Offer Statistics'!BF15,IF($AH$2="2019年",'Offer Statistics'!BF77,IF($AH$2="2020年",'Offer Statistics'!BF139)))</f>
        <v>527</v>
      </c>
      <c r="AO15" s="131"/>
      <c r="AP15" s="131" t="str">
        <f t="shared" si="3"/>
        <v>JS4123</v>
      </c>
    </row>
    <row r="16" ht="18.0" customHeight="1">
      <c r="A16" s="282" t="s">
        <v>482</v>
      </c>
      <c r="B16" s="282" t="s">
        <v>971</v>
      </c>
      <c r="C16" s="296" t="s">
        <v>483</v>
      </c>
      <c r="D16" s="282" t="s">
        <v>1405</v>
      </c>
      <c r="E16" s="283" t="s">
        <v>21</v>
      </c>
      <c r="F16" s="284">
        <f>4+7+5.5+4+4</f>
        <v>24.5</v>
      </c>
      <c r="G16" s="284">
        <f>7+5.5+4+4+3</f>
        <v>23.5</v>
      </c>
      <c r="H16" s="284">
        <f>7+4+4+4+4</f>
        <v>23</v>
      </c>
      <c r="I16" s="285">
        <f>'計分版'!D179</f>
        <v>0.00000000395</v>
      </c>
      <c r="J16" s="286">
        <f t="shared" si="5"/>
        <v>-23.5</v>
      </c>
      <c r="K16" s="287">
        <f t="shared" si="6"/>
        <v>-5949367088</v>
      </c>
      <c r="L16" s="288">
        <v>15.0</v>
      </c>
      <c r="M16" s="293">
        <f>'入學要求'!S161</f>
        <v>0</v>
      </c>
      <c r="N16" s="283" t="s">
        <v>1077</v>
      </c>
      <c r="O16" s="283">
        <v>3.0</v>
      </c>
      <c r="P16" s="283">
        <v>3.0</v>
      </c>
      <c r="Q16" s="283">
        <v>2.0</v>
      </c>
      <c r="R16" s="283">
        <v>2.0</v>
      </c>
      <c r="S16" s="283">
        <v>3.0</v>
      </c>
      <c r="T16" s="283">
        <v>3.0</v>
      </c>
      <c r="U16" s="290">
        <f>'入學要求'!L161</f>
        <v>0</v>
      </c>
      <c r="V16" s="290">
        <f>'入學要求'!M161</f>
        <v>0</v>
      </c>
      <c r="W16" s="290">
        <f>'入學要求'!N161</f>
        <v>0</v>
      </c>
      <c r="X16" s="290">
        <f>'入學要求'!O161</f>
        <v>0</v>
      </c>
      <c r="Y16" s="290">
        <f>'入學要求'!P161</f>
        <v>0</v>
      </c>
      <c r="Z16" s="290">
        <f>'入學要求'!Q161</f>
        <v>0</v>
      </c>
      <c r="AA16" s="205"/>
      <c r="AB16" s="288">
        <f>IF($AA$2="2018年",'Offer Statistics'!BO16,IF($AA$2="2019年",'Offer Statistics'!BO78,IF($AA$2="2020年",'Offer Statistics'!BO140)))</f>
        <v>14</v>
      </c>
      <c r="AC16" s="291">
        <f>IF($AA$2="2018年",'Offer Statistics'!BJ16,IF($AA$2="2019年",'Offer Statistics'!BJ78,IF($AA$2="2020年",'Offer Statistics'!BJ140)))</f>
        <v>14</v>
      </c>
      <c r="AD16" s="291">
        <f>IF($AA$2="2018年",'Offer Statistics'!BK16,IF($AA$2="2019年",'Offer Statistics'!BK78,IF($AA$2="2020年",'Offer Statistics'!BK140)))</f>
        <v>0</v>
      </c>
      <c r="AE16" s="291">
        <f>IF($AA$2="2018年",'Offer Statistics'!BL16,IF($AA$2="2019年",'Offer Statistics'!BL78,IF($AA$2="2020年",'Offer Statistics'!BL140)))</f>
        <v>0</v>
      </c>
      <c r="AF16" s="291">
        <f>IF($AA$2="2018年",'Offer Statistics'!BM16,IF($AA$2="2019年",'Offer Statistics'!BM78,IF($AA$2="2020年",'Offer Statistics'!BM140)))</f>
        <v>0</v>
      </c>
      <c r="AG16" s="291">
        <f>IF($AA$2="2018年",'Offer Statistics'!BN16,IF($AA$2="2019年",'Offer Statistics'!BN78,IF($AA$2="2020年",'Offer Statistics'!BN140)))</f>
        <v>0</v>
      </c>
      <c r="AH16" s="205"/>
      <c r="AI16" s="288">
        <f>IF($AH$2="2018年",'Offer Statistics'!BG16,IF($AH$2="2019年",'Offer Statistics'!BG78,IF($AH$2="2020年",'Offer Statistics'!BG140)))</f>
        <v>1585</v>
      </c>
      <c r="AJ16" s="291">
        <f>IF($AH$2="2018年",'Offer Statistics'!BB16,IF($AH$2="2019年",'Offer Statistics'!BB78,IF($AH$2="2020年",'Offer Statistics'!BB140)))</f>
        <v>318</v>
      </c>
      <c r="AK16" s="291">
        <f>IF($AH$2="2018年",'Offer Statistics'!BC16,IF($AH$2="2019年",'Offer Statistics'!BC78,IF($AH$2="2020年",'Offer Statistics'!BC140)))</f>
        <v>217</v>
      </c>
      <c r="AL16" s="291">
        <f>IF($AH$2="2018年",'Offer Statistics'!BD16,IF($AH$2="2019年",'Offer Statistics'!BD78,IF($AH$2="2020年",'Offer Statistics'!BD140)))</f>
        <v>335</v>
      </c>
      <c r="AM16" s="291">
        <f>IF($AH$2="2018年",'Offer Statistics'!BE16,IF($AH$2="2019年",'Offer Statistics'!BE78,IF($AH$2="2020年",'Offer Statistics'!BE140)))</f>
        <v>386</v>
      </c>
      <c r="AN16" s="291">
        <f>IF($AH$2="2018年",'Offer Statistics'!BF16,IF($AH$2="2019年",'Offer Statistics'!BF78,IF($AH$2="2020年",'Offer Statistics'!BF140)))</f>
        <v>329</v>
      </c>
      <c r="AO16" s="283"/>
      <c r="AP16" s="283" t="str">
        <f t="shared" si="3"/>
        <v>JS4136</v>
      </c>
    </row>
    <row r="17" ht="18.0" customHeight="1">
      <c r="A17" s="142" t="s">
        <v>487</v>
      </c>
      <c r="B17" s="142" t="s">
        <v>1051</v>
      </c>
      <c r="C17" s="142" t="s">
        <v>488</v>
      </c>
      <c r="D17" s="142" t="s">
        <v>1406</v>
      </c>
      <c r="E17" s="131" t="s">
        <v>21</v>
      </c>
      <c r="F17" s="199">
        <f>7+7+5.5+4+4</f>
        <v>27.5</v>
      </c>
      <c r="G17" s="199">
        <f>7+5.5+5.5+4+4</f>
        <v>26</v>
      </c>
      <c r="H17" s="199">
        <f>7+5.5+4+4+4</f>
        <v>24.5</v>
      </c>
      <c r="I17" s="200">
        <f>'計分版'!D180</f>
        <v>0.00000000395</v>
      </c>
      <c r="J17" s="215">
        <f t="shared" si="5"/>
        <v>-26</v>
      </c>
      <c r="K17" s="237">
        <f t="shared" si="6"/>
        <v>-6582278480</v>
      </c>
      <c r="L17" s="132">
        <v>253.0</v>
      </c>
      <c r="M17" s="203">
        <f>'入學要求'!S162</f>
        <v>0</v>
      </c>
      <c r="N17" s="131" t="s">
        <v>1188</v>
      </c>
      <c r="O17" s="131">
        <v>3.0</v>
      </c>
      <c r="P17" s="131">
        <v>3.0</v>
      </c>
      <c r="Q17" s="131">
        <v>2.0</v>
      </c>
      <c r="R17" s="131">
        <v>2.0</v>
      </c>
      <c r="S17" s="131">
        <v>3.0</v>
      </c>
      <c r="T17" s="131">
        <v>3.0</v>
      </c>
      <c r="U17" s="292">
        <f>'入學要求'!L162</f>
        <v>0</v>
      </c>
      <c r="V17" s="292">
        <f>'入學要求'!M162</f>
        <v>0</v>
      </c>
      <c r="W17" s="292">
        <f>'入學要求'!N162</f>
        <v>0</v>
      </c>
      <c r="X17" s="292">
        <f>'入學要求'!O162</f>
        <v>0</v>
      </c>
      <c r="Y17" s="292">
        <f>'入學要求'!P162</f>
        <v>0</v>
      </c>
      <c r="Z17" s="292">
        <f>'入學要求'!Q162</f>
        <v>0</v>
      </c>
      <c r="AA17" s="205"/>
      <c r="AB17" s="132">
        <f>IF($AA$2="2018年",'Offer Statistics'!BO17,IF($AA$2="2019年",'Offer Statistics'!BO79,IF($AA$2="2020年",'Offer Statistics'!BO141)))</f>
        <v>220</v>
      </c>
      <c r="AC17" s="206">
        <f>IF($AA$2="2018年",'Offer Statistics'!BJ17,IF($AA$2="2019年",'Offer Statistics'!BJ79,IF($AA$2="2020年",'Offer Statistics'!BJ141)))</f>
        <v>220</v>
      </c>
      <c r="AD17" s="206">
        <f>IF($AA$2="2018年",'Offer Statistics'!BK17,IF($AA$2="2019年",'Offer Statistics'!BK79,IF($AA$2="2020年",'Offer Statistics'!BK141)))</f>
        <v>0</v>
      </c>
      <c r="AE17" s="206">
        <f>IF($AA$2="2018年",'Offer Statistics'!BL17,IF($AA$2="2019年",'Offer Statistics'!BL79,IF($AA$2="2020年",'Offer Statistics'!BL141)))</f>
        <v>0</v>
      </c>
      <c r="AF17" s="206">
        <f>IF($AA$2="2018年",'Offer Statistics'!BM17,IF($AA$2="2019年",'Offer Statistics'!BM79,IF($AA$2="2020年",'Offer Statistics'!BM141)))</f>
        <v>0</v>
      </c>
      <c r="AG17" s="206">
        <f>IF($AA$2="2018年",'Offer Statistics'!BN17,IF($AA$2="2019年",'Offer Statistics'!BN79,IF($AA$2="2020年",'Offer Statistics'!BN141)))</f>
        <v>0</v>
      </c>
      <c r="AH17" s="205"/>
      <c r="AI17" s="132">
        <f>IF($AH$2="2018年",'Offer Statistics'!BG17,IF($AH$2="2019年",'Offer Statistics'!BG79,IF($AH$2="2020年",'Offer Statistics'!BG141)))</f>
        <v>4010</v>
      </c>
      <c r="AJ17" s="206">
        <f>IF($AH$2="2018年",'Offer Statistics'!BB17,IF($AH$2="2019年",'Offer Statistics'!BB79,IF($AH$2="2020年",'Offer Statistics'!BB141)))</f>
        <v>1062</v>
      </c>
      <c r="AK17" s="206">
        <f>IF($AH$2="2018年",'Offer Statistics'!BC17,IF($AH$2="2019年",'Offer Statistics'!BC79,IF($AH$2="2020年",'Offer Statistics'!BC141)))</f>
        <v>498</v>
      </c>
      <c r="AL17" s="206">
        <f>IF($AH$2="2018年",'Offer Statistics'!BD17,IF($AH$2="2019年",'Offer Statistics'!BD79,IF($AH$2="2020年",'Offer Statistics'!BD141)))</f>
        <v>774</v>
      </c>
      <c r="AM17" s="206">
        <f>IF($AH$2="2018年",'Offer Statistics'!BE17,IF($AH$2="2019年",'Offer Statistics'!BE79,IF($AH$2="2020年",'Offer Statistics'!BE141)))</f>
        <v>902</v>
      </c>
      <c r="AN17" s="206">
        <f>IF($AH$2="2018年",'Offer Statistics'!BF17,IF($AH$2="2019年",'Offer Statistics'!BF79,IF($AH$2="2020年",'Offer Statistics'!BF141)))</f>
        <v>774</v>
      </c>
      <c r="AO17" s="131"/>
      <c r="AP17" s="131" t="str">
        <f t="shared" si="3"/>
        <v>JS4202</v>
      </c>
    </row>
    <row r="18" ht="18.0" customHeight="1">
      <c r="A18" s="282" t="s">
        <v>492</v>
      </c>
      <c r="B18" s="282" t="s">
        <v>1051</v>
      </c>
      <c r="C18" s="282" t="s">
        <v>493</v>
      </c>
      <c r="D18" s="282" t="s">
        <v>1407</v>
      </c>
      <c r="E18" s="283" t="s">
        <v>191</v>
      </c>
      <c r="F18" s="284">
        <f>8.5+8.5+7+8.5+8.5+7</f>
        <v>48</v>
      </c>
      <c r="G18" s="284">
        <f>8.5+5.5+8.5+5.5+8.5+8.5</f>
        <v>45</v>
      </c>
      <c r="H18" s="284">
        <f>7+5.5+7+8.5+8.5+8.5</f>
        <v>45</v>
      </c>
      <c r="I18" s="285">
        <f>'計分版'!D181</f>
        <v>0.00000000285</v>
      </c>
      <c r="J18" s="286">
        <f t="shared" si="5"/>
        <v>-45</v>
      </c>
      <c r="K18" s="287">
        <f t="shared" si="6"/>
        <v>-15789473683</v>
      </c>
      <c r="L18" s="288">
        <v>15.0</v>
      </c>
      <c r="M18" s="293">
        <f>'入學要求'!S163</f>
        <v>0</v>
      </c>
      <c r="N18" s="283" t="s">
        <v>1188</v>
      </c>
      <c r="O18" s="283">
        <v>4.0</v>
      </c>
      <c r="P18" s="283">
        <v>5.0</v>
      </c>
      <c r="Q18" s="283">
        <v>3.0</v>
      </c>
      <c r="R18" s="283">
        <v>3.0</v>
      </c>
      <c r="S18" s="283">
        <v>3.0</v>
      </c>
      <c r="T18" s="283">
        <v>3.0</v>
      </c>
      <c r="U18" s="290">
        <f>'入學要求'!L163</f>
        <v>0</v>
      </c>
      <c r="V18" s="290">
        <f>'入學要求'!M163</f>
        <v>0</v>
      </c>
      <c r="W18" s="290">
        <f>'入學要求'!N163</f>
        <v>0</v>
      </c>
      <c r="X18" s="290">
        <f>'入學要求'!O163</f>
        <v>0</v>
      </c>
      <c r="Y18" s="290">
        <f>'入學要求'!P163</f>
        <v>0</v>
      </c>
      <c r="Z18" s="290">
        <f>'入學要求'!Q163</f>
        <v>0</v>
      </c>
      <c r="AA18" s="205"/>
      <c r="AB18" s="288">
        <f>IF($AA$2="2018年",'Offer Statistics'!BO18,IF($AA$2="2019年",'Offer Statistics'!BO80,IF($AA$2="2020年",'Offer Statistics'!BO142)))</f>
        <v>10</v>
      </c>
      <c r="AC18" s="291">
        <f>IF($AA$2="2018年",'Offer Statistics'!BJ18,IF($AA$2="2019年",'Offer Statistics'!BJ80,IF($AA$2="2020年",'Offer Statistics'!BJ142)))</f>
        <v>10</v>
      </c>
      <c r="AD18" s="291">
        <f>IF($AA$2="2018年",'Offer Statistics'!BK18,IF($AA$2="2019年",'Offer Statistics'!BK80,IF($AA$2="2020年",'Offer Statistics'!BK142)))</f>
        <v>0</v>
      </c>
      <c r="AE18" s="291">
        <f>IF($AA$2="2018年",'Offer Statistics'!BL18,IF($AA$2="2019年",'Offer Statistics'!BL80,IF($AA$2="2020年",'Offer Statistics'!BL142)))</f>
        <v>0</v>
      </c>
      <c r="AF18" s="291">
        <f>IF($AA$2="2018年",'Offer Statistics'!BM18,IF($AA$2="2019年",'Offer Statistics'!BM80,IF($AA$2="2020年",'Offer Statistics'!BM142)))</f>
        <v>0</v>
      </c>
      <c r="AG18" s="291">
        <f>IF($AA$2="2018年",'Offer Statistics'!BN18,IF($AA$2="2019年",'Offer Statistics'!BN80,IF($AA$2="2020年",'Offer Statistics'!BN142)))</f>
        <v>0</v>
      </c>
      <c r="AH18" s="205"/>
      <c r="AI18" s="288">
        <f>IF($AH$2="2018年",'Offer Statistics'!BG18,IF($AH$2="2019年",'Offer Statistics'!BG80,IF($AH$2="2020年",'Offer Statistics'!BG142)))</f>
        <v>510</v>
      </c>
      <c r="AJ18" s="291">
        <f>IF($AH$2="2018年",'Offer Statistics'!BB18,IF($AH$2="2019年",'Offer Statistics'!BB80,IF($AH$2="2020年",'Offer Statistics'!BB142)))</f>
        <v>39</v>
      </c>
      <c r="AK18" s="291">
        <f>IF($AH$2="2018年",'Offer Statistics'!BC18,IF($AH$2="2019年",'Offer Statistics'!BC80,IF($AH$2="2020年",'Offer Statistics'!BC142)))</f>
        <v>52</v>
      </c>
      <c r="AL18" s="291">
        <f>IF($AH$2="2018年",'Offer Statistics'!BD18,IF($AH$2="2019年",'Offer Statistics'!BD80,IF($AH$2="2020年",'Offer Statistics'!BD142)))</f>
        <v>90</v>
      </c>
      <c r="AM18" s="291">
        <f>IF($AH$2="2018年",'Offer Statistics'!BE18,IF($AH$2="2019年",'Offer Statistics'!BE80,IF($AH$2="2020年",'Offer Statistics'!BE142)))</f>
        <v>133</v>
      </c>
      <c r="AN18" s="291">
        <f>IF($AH$2="2018年",'Offer Statistics'!BF18,IF($AH$2="2019年",'Offer Statistics'!BF80,IF($AH$2="2020年",'Offer Statistics'!BF142)))</f>
        <v>196</v>
      </c>
      <c r="AO18" s="283"/>
      <c r="AP18" s="283" t="str">
        <f t="shared" si="3"/>
        <v>JS4214</v>
      </c>
    </row>
    <row r="19" ht="18.0" customHeight="1">
      <c r="A19" s="142" t="s">
        <v>497</v>
      </c>
      <c r="B19" s="142" t="s">
        <v>1051</v>
      </c>
      <c r="C19" s="142" t="s">
        <v>498</v>
      </c>
      <c r="D19" s="142" t="s">
        <v>1408</v>
      </c>
      <c r="E19" s="134" t="s">
        <v>21</v>
      </c>
      <c r="F19" s="199">
        <f>7+5.5+5.5+4+4</f>
        <v>26</v>
      </c>
      <c r="G19" s="297">
        <f>5.5+4+7+5.5+4</f>
        <v>26</v>
      </c>
      <c r="H19" s="199">
        <f>5.5+7+4+4+4</f>
        <v>24.5</v>
      </c>
      <c r="I19" s="200">
        <f>'計分版'!D182</f>
        <v>0.00000000395</v>
      </c>
      <c r="J19" s="215">
        <f t="shared" si="5"/>
        <v>-26</v>
      </c>
      <c r="K19" s="237">
        <f t="shared" si="6"/>
        <v>-6582278480</v>
      </c>
      <c r="L19" s="132">
        <v>66.0</v>
      </c>
      <c r="M19" s="203">
        <f>'入學要求'!S164</f>
        <v>0</v>
      </c>
      <c r="N19" s="131" t="s">
        <v>1077</v>
      </c>
      <c r="O19" s="131">
        <v>3.0</v>
      </c>
      <c r="P19" s="131">
        <v>3.0</v>
      </c>
      <c r="Q19" s="131">
        <v>2.0</v>
      </c>
      <c r="R19" s="131">
        <v>2.0</v>
      </c>
      <c r="S19" s="131">
        <v>3.0</v>
      </c>
      <c r="T19" s="131">
        <v>3.0</v>
      </c>
      <c r="U19" s="292">
        <f>'入學要求'!L164</f>
        <v>0</v>
      </c>
      <c r="V19" s="292">
        <f>'入學要求'!M164</f>
        <v>0</v>
      </c>
      <c r="W19" s="292">
        <f>'入學要求'!N164</f>
        <v>0</v>
      </c>
      <c r="X19" s="292">
        <f>'入學要求'!O164</f>
        <v>0</v>
      </c>
      <c r="Y19" s="292">
        <f>'入學要求'!P164</f>
        <v>0</v>
      </c>
      <c r="Z19" s="292">
        <f>'入學要求'!Q164</f>
        <v>0</v>
      </c>
      <c r="AA19" s="205"/>
      <c r="AB19" s="132">
        <f>IF($AA$2="2018年",'Offer Statistics'!BO19,IF($AA$2="2019年",'Offer Statistics'!BO81,IF($AA$2="2020年",'Offer Statistics'!BO143)))</f>
        <v>42</v>
      </c>
      <c r="AC19" s="206">
        <f>IF($AA$2="2018年",'Offer Statistics'!BJ19,IF($AA$2="2019年",'Offer Statistics'!BJ81,IF($AA$2="2020年",'Offer Statistics'!BJ143)))</f>
        <v>42</v>
      </c>
      <c r="AD19" s="206">
        <f>IF($AA$2="2018年",'Offer Statistics'!BK19,IF($AA$2="2019年",'Offer Statistics'!BK81,IF($AA$2="2020年",'Offer Statistics'!BK143)))</f>
        <v>0</v>
      </c>
      <c r="AE19" s="206">
        <f>IF($AA$2="2018年",'Offer Statistics'!BL19,IF($AA$2="2019年",'Offer Statistics'!BL81,IF($AA$2="2020年",'Offer Statistics'!BL143)))</f>
        <v>0</v>
      </c>
      <c r="AF19" s="206">
        <f>IF($AA$2="2018年",'Offer Statistics'!BM19,IF($AA$2="2019年",'Offer Statistics'!BM81,IF($AA$2="2020年",'Offer Statistics'!BM143)))</f>
        <v>0</v>
      </c>
      <c r="AG19" s="206">
        <f>IF($AA$2="2018年",'Offer Statistics'!BN19,IF($AA$2="2019年",'Offer Statistics'!BN81,IF($AA$2="2020年",'Offer Statistics'!BN143)))</f>
        <v>0</v>
      </c>
      <c r="AH19" s="205"/>
      <c r="AI19" s="132">
        <f>IF($AH$2="2018年",'Offer Statistics'!BG19,IF($AH$2="2019年",'Offer Statistics'!BG81,IF($AH$2="2020年",'Offer Statistics'!BG143)))</f>
        <v>3963</v>
      </c>
      <c r="AJ19" s="206">
        <f>IF($AH$2="2018年",'Offer Statistics'!BB19,IF($AH$2="2019年",'Offer Statistics'!BB81,IF($AH$2="2020年",'Offer Statistics'!BB143)))</f>
        <v>665</v>
      </c>
      <c r="AK19" s="206">
        <f>IF($AH$2="2018年",'Offer Statistics'!BC19,IF($AH$2="2019年",'Offer Statistics'!BC81,IF($AH$2="2020年",'Offer Statistics'!BC143)))</f>
        <v>553</v>
      </c>
      <c r="AL19" s="206">
        <f>IF($AH$2="2018年",'Offer Statistics'!BD19,IF($AH$2="2019年",'Offer Statistics'!BD81,IF($AH$2="2020年",'Offer Statistics'!BD143)))</f>
        <v>752</v>
      </c>
      <c r="AM19" s="206">
        <f>IF($AH$2="2018年",'Offer Statistics'!BE19,IF($AH$2="2019年",'Offer Statistics'!BE81,IF($AH$2="2020年",'Offer Statistics'!BE143)))</f>
        <v>1051</v>
      </c>
      <c r="AN19" s="206">
        <f>IF($AH$2="2018年",'Offer Statistics'!BF19,IF($AH$2="2019年",'Offer Statistics'!BF81,IF($AH$2="2020年",'Offer Statistics'!BF143)))</f>
        <v>942</v>
      </c>
      <c r="AO19" s="131"/>
      <c r="AP19" s="131" t="str">
        <f t="shared" si="3"/>
        <v>JS4226</v>
      </c>
    </row>
    <row r="20" ht="18.0" customHeight="1">
      <c r="A20" s="282" t="s">
        <v>502</v>
      </c>
      <c r="B20" s="282" t="s">
        <v>1051</v>
      </c>
      <c r="C20" s="282" t="s">
        <v>503</v>
      </c>
      <c r="D20" s="282" t="s">
        <v>1409</v>
      </c>
      <c r="E20" s="283" t="s">
        <v>21</v>
      </c>
      <c r="F20" s="284">
        <f>5.5+5.5+7+7+7</f>
        <v>32</v>
      </c>
      <c r="G20" s="284">
        <f>5.5+7+7+5.5+5.5</f>
        <v>30.5</v>
      </c>
      <c r="H20" s="284">
        <f>5.5+5.5+7+5.5+5.5</f>
        <v>29</v>
      </c>
      <c r="I20" s="285">
        <f>'計分版'!D183</f>
        <v>0.00000000335</v>
      </c>
      <c r="J20" s="286">
        <f t="shared" si="5"/>
        <v>-30.5</v>
      </c>
      <c r="K20" s="287">
        <f t="shared" si="6"/>
        <v>-9104477611</v>
      </c>
      <c r="L20" s="288">
        <v>36.0</v>
      </c>
      <c r="M20" s="293">
        <f>'入學要求'!S165</f>
        <v>0</v>
      </c>
      <c r="N20" s="283" t="s">
        <v>1188</v>
      </c>
      <c r="O20" s="283">
        <v>3.0</v>
      </c>
      <c r="P20" s="283">
        <v>3.0</v>
      </c>
      <c r="Q20" s="283">
        <v>5.0</v>
      </c>
      <c r="R20" s="283">
        <v>2.0</v>
      </c>
      <c r="S20" s="283">
        <v>3.0</v>
      </c>
      <c r="T20" s="283">
        <v>3.0</v>
      </c>
      <c r="U20" s="290">
        <f>'入學要求'!L165</f>
        <v>0</v>
      </c>
      <c r="V20" s="290">
        <f>'入學要求'!M165</f>
        <v>0</v>
      </c>
      <c r="W20" s="290">
        <f>'入學要求'!N165</f>
        <v>0</v>
      </c>
      <c r="X20" s="290">
        <f>'入學要求'!O165</f>
        <v>0</v>
      </c>
      <c r="Y20" s="290">
        <f>'入學要求'!P165</f>
        <v>0</v>
      </c>
      <c r="Z20" s="290">
        <f>'入學要求'!Q165</f>
        <v>0</v>
      </c>
      <c r="AA20" s="205"/>
      <c r="AB20" s="288">
        <f>IF($AA$2="2018年",'Offer Statistics'!BO20,IF($AA$2="2019年",'Offer Statistics'!BO82,IF($AA$2="2020年",'Offer Statistics'!BO144)))</f>
        <v>45</v>
      </c>
      <c r="AC20" s="291">
        <f>IF($AA$2="2018年",'Offer Statistics'!BJ20,IF($AA$2="2019年",'Offer Statistics'!BJ82,IF($AA$2="2020年",'Offer Statistics'!BJ144)))</f>
        <v>45</v>
      </c>
      <c r="AD20" s="291">
        <f>IF($AA$2="2018年",'Offer Statistics'!BK20,IF($AA$2="2019年",'Offer Statistics'!BK82,IF($AA$2="2020年",'Offer Statistics'!BK144)))</f>
        <v>0</v>
      </c>
      <c r="AE20" s="291">
        <f>IF($AA$2="2018年",'Offer Statistics'!BL20,IF($AA$2="2019年",'Offer Statistics'!BL82,IF($AA$2="2020年",'Offer Statistics'!BL144)))</f>
        <v>0</v>
      </c>
      <c r="AF20" s="291">
        <f>IF($AA$2="2018年",'Offer Statistics'!BM20,IF($AA$2="2019年",'Offer Statistics'!BM82,IF($AA$2="2020年",'Offer Statistics'!BM144)))</f>
        <v>0</v>
      </c>
      <c r="AG20" s="291">
        <f>IF($AA$2="2018年",'Offer Statistics'!BN20,IF($AA$2="2019年",'Offer Statistics'!BN82,IF($AA$2="2020年",'Offer Statistics'!BN144)))</f>
        <v>0</v>
      </c>
      <c r="AH20" s="205"/>
      <c r="AI20" s="288">
        <f>IF($AH$2="2018年",'Offer Statistics'!BG20,IF($AH$2="2019年",'Offer Statistics'!BG82,IF($AH$2="2020年",'Offer Statistics'!BG144)))</f>
        <v>711</v>
      </c>
      <c r="AJ20" s="291">
        <f>IF($AH$2="2018年",'Offer Statistics'!BB20,IF($AH$2="2019年",'Offer Statistics'!BB82,IF($AH$2="2020年",'Offer Statistics'!BB144)))</f>
        <v>104</v>
      </c>
      <c r="AK20" s="291">
        <f>IF($AH$2="2018年",'Offer Statistics'!BC20,IF($AH$2="2019年",'Offer Statistics'!BC82,IF($AH$2="2020年",'Offer Statistics'!BC144)))</f>
        <v>70</v>
      </c>
      <c r="AL20" s="291">
        <f>IF($AH$2="2018年",'Offer Statistics'!BD20,IF($AH$2="2019年",'Offer Statistics'!BD82,IF($AH$2="2020年",'Offer Statistics'!BD144)))</f>
        <v>138</v>
      </c>
      <c r="AM20" s="291">
        <f>IF($AH$2="2018年",'Offer Statistics'!BE20,IF($AH$2="2019年",'Offer Statistics'!BE82,IF($AH$2="2020年",'Offer Statistics'!BE144)))</f>
        <v>206</v>
      </c>
      <c r="AN20" s="291">
        <f>IF($AH$2="2018年",'Offer Statistics'!BF20,IF($AH$2="2019年",'Offer Statistics'!BF82,IF($AH$2="2020年",'Offer Statistics'!BF144)))</f>
        <v>193</v>
      </c>
      <c r="AO20" s="283"/>
      <c r="AP20" s="283" t="str">
        <f t="shared" si="3"/>
        <v>JS4238</v>
      </c>
    </row>
    <row r="21" ht="18.0" customHeight="1">
      <c r="A21" s="142" t="s">
        <v>504</v>
      </c>
      <c r="B21" s="142" t="s">
        <v>1051</v>
      </c>
      <c r="C21" s="142" t="s">
        <v>505</v>
      </c>
      <c r="D21" s="142" t="s">
        <v>1410</v>
      </c>
      <c r="E21" s="131" t="s">
        <v>21</v>
      </c>
      <c r="F21" s="199">
        <f>7+5.5+7+7+4</f>
        <v>30.5</v>
      </c>
      <c r="G21" s="199">
        <f>7+5.5+5.5+5.5+4</f>
        <v>27.5</v>
      </c>
      <c r="H21" s="199">
        <f>7+5.5+5.5+4+4</f>
        <v>26</v>
      </c>
      <c r="I21" s="200">
        <f>'計分版'!D184</f>
        <v>0.00000000395</v>
      </c>
      <c r="J21" s="215">
        <f t="shared" si="5"/>
        <v>-27.5</v>
      </c>
      <c r="K21" s="237">
        <f t="shared" si="6"/>
        <v>-6962025315</v>
      </c>
      <c r="L21" s="132">
        <v>126.0</v>
      </c>
      <c r="M21" s="203">
        <f>'入學要求'!S166</f>
        <v>0</v>
      </c>
      <c r="N21" s="131" t="s">
        <v>1188</v>
      </c>
      <c r="O21" s="131">
        <v>3.0</v>
      </c>
      <c r="P21" s="131">
        <v>3.0</v>
      </c>
      <c r="Q21" s="131">
        <v>3.0</v>
      </c>
      <c r="R21" s="131">
        <v>2.0</v>
      </c>
      <c r="S21" s="131">
        <v>3.0</v>
      </c>
      <c r="T21" s="131">
        <v>3.0</v>
      </c>
      <c r="U21" s="292">
        <f>'入學要求'!L166</f>
        <v>0</v>
      </c>
      <c r="V21" s="292">
        <f>'入學要求'!M166</f>
        <v>0</v>
      </c>
      <c r="W21" s="292">
        <f>'入學要求'!N166</f>
        <v>0</v>
      </c>
      <c r="X21" s="292">
        <f>'入學要求'!O166</f>
        <v>0</v>
      </c>
      <c r="Y21" s="292">
        <f>'入學要求'!P166</f>
        <v>0</v>
      </c>
      <c r="Z21" s="292">
        <f>'入學要求'!Q166</f>
        <v>0</v>
      </c>
      <c r="AA21" s="205"/>
      <c r="AB21" s="132">
        <f>IF($AA$2="2018年",'Offer Statistics'!BO21,IF($AA$2="2019年",'Offer Statistics'!BO83,IF($AA$2="2020年",'Offer Statistics'!BO145)))</f>
        <v>122</v>
      </c>
      <c r="AC21" s="206">
        <f>IF($AA$2="2018年",'Offer Statistics'!BJ21,IF($AA$2="2019年",'Offer Statistics'!BJ83,IF($AA$2="2020年",'Offer Statistics'!BJ145)))</f>
        <v>122</v>
      </c>
      <c r="AD21" s="206">
        <f>IF($AA$2="2018年",'Offer Statistics'!BK21,IF($AA$2="2019年",'Offer Statistics'!BK83,IF($AA$2="2020年",'Offer Statistics'!BK145)))</f>
        <v>0</v>
      </c>
      <c r="AE21" s="206">
        <f>IF($AA$2="2018年",'Offer Statistics'!BL21,IF($AA$2="2019年",'Offer Statistics'!BL83,IF($AA$2="2020年",'Offer Statistics'!BL145)))</f>
        <v>0</v>
      </c>
      <c r="AF21" s="206">
        <f>IF($AA$2="2018年",'Offer Statistics'!BM21,IF($AA$2="2019年",'Offer Statistics'!BM83,IF($AA$2="2020年",'Offer Statistics'!BM145)))</f>
        <v>0</v>
      </c>
      <c r="AG21" s="206">
        <f>IF($AA$2="2018年",'Offer Statistics'!BN21,IF($AA$2="2019年",'Offer Statistics'!BN83,IF($AA$2="2020年",'Offer Statistics'!BN145)))</f>
        <v>0</v>
      </c>
      <c r="AH21" s="205"/>
      <c r="AI21" s="132">
        <f>IF($AH$2="2018年",'Offer Statistics'!BG21,IF($AH$2="2019年",'Offer Statistics'!BG83,IF($AH$2="2020年",'Offer Statistics'!BG145)))</f>
        <v>1751</v>
      </c>
      <c r="AJ21" s="206">
        <f>IF($AH$2="2018年",'Offer Statistics'!BB21,IF($AH$2="2019年",'Offer Statistics'!BB83,IF($AH$2="2020年",'Offer Statistics'!BB145)))</f>
        <v>339</v>
      </c>
      <c r="AK21" s="206">
        <f>IF($AH$2="2018年",'Offer Statistics'!BC21,IF($AH$2="2019年",'Offer Statistics'!BC83,IF($AH$2="2020年",'Offer Statistics'!BC145)))</f>
        <v>255</v>
      </c>
      <c r="AL21" s="206">
        <f>IF($AH$2="2018年",'Offer Statistics'!BD21,IF($AH$2="2019年",'Offer Statistics'!BD83,IF($AH$2="2020年",'Offer Statistics'!BD145)))</f>
        <v>365</v>
      </c>
      <c r="AM21" s="206">
        <f>IF($AH$2="2018年",'Offer Statistics'!BE21,IF($AH$2="2019年",'Offer Statistics'!BE83,IF($AH$2="2020年",'Offer Statistics'!BE145)))</f>
        <v>411</v>
      </c>
      <c r="AN21" s="206">
        <f>IF($AH$2="2018年",'Offer Statistics'!BF21,IF($AH$2="2019年",'Offer Statistics'!BF83,IF($AH$2="2020年",'Offer Statistics'!BF145)))</f>
        <v>381</v>
      </c>
      <c r="AO21" s="131"/>
      <c r="AP21" s="131" t="str">
        <f t="shared" si="3"/>
        <v>JS4240</v>
      </c>
    </row>
    <row r="22" ht="18.0" customHeight="1">
      <c r="A22" s="282" t="s">
        <v>506</v>
      </c>
      <c r="B22" s="282" t="s">
        <v>1051</v>
      </c>
      <c r="C22" s="282" t="s">
        <v>507</v>
      </c>
      <c r="D22" s="282" t="s">
        <v>1411</v>
      </c>
      <c r="E22" s="295" t="s">
        <v>21</v>
      </c>
      <c r="F22" s="284">
        <f>5.5*2+7*2+8.5*1.5+8.5+7</f>
        <v>53.25</v>
      </c>
      <c r="G22" s="284">
        <f>4*2+8.5*2+8.5*1.5+7+5.5</f>
        <v>50.25</v>
      </c>
      <c r="H22" s="284">
        <f>5.5*2+8.5*2+7+7+7</f>
        <v>49</v>
      </c>
      <c r="I22" s="285">
        <f>'計分版'!D185</f>
        <v>0.0000000041</v>
      </c>
      <c r="J22" s="286">
        <f t="shared" si="5"/>
        <v>-50.25</v>
      </c>
      <c r="K22" s="287">
        <f t="shared" si="6"/>
        <v>-12256097560</v>
      </c>
      <c r="L22" s="288">
        <v>37.0</v>
      </c>
      <c r="M22" s="293">
        <f>'入學要求'!S167</f>
        <v>0</v>
      </c>
      <c r="N22" s="283" t="s">
        <v>1188</v>
      </c>
      <c r="O22" s="283">
        <v>3.0</v>
      </c>
      <c r="P22" s="283">
        <v>3.0</v>
      </c>
      <c r="Q22" s="283">
        <v>3.0</v>
      </c>
      <c r="R22" s="283">
        <v>2.0</v>
      </c>
      <c r="S22" s="283">
        <v>3.0</v>
      </c>
      <c r="T22" s="283">
        <v>3.0</v>
      </c>
      <c r="U22" s="290">
        <f>'入學要求'!L167</f>
        <v>0</v>
      </c>
      <c r="V22" s="290">
        <f>'入學要求'!M167</f>
        <v>0</v>
      </c>
      <c r="W22" s="290">
        <f>'入學要求'!N167</f>
        <v>0</v>
      </c>
      <c r="X22" s="290">
        <f>'入學要求'!O167</f>
        <v>0</v>
      </c>
      <c r="Y22" s="290">
        <f>'入學要求'!P167</f>
        <v>0</v>
      </c>
      <c r="Z22" s="290">
        <f>'入學要求'!Q167</f>
        <v>0</v>
      </c>
      <c r="AA22" s="205"/>
      <c r="AB22" s="288">
        <f>IF($AA$2="2018年",'Offer Statistics'!BO22,IF($AA$2="2019年",'Offer Statistics'!BO84,IF($AA$2="2020年",'Offer Statistics'!BO146)))</f>
        <v>33</v>
      </c>
      <c r="AC22" s="291">
        <f>IF($AA$2="2018年",'Offer Statistics'!BJ22,IF($AA$2="2019年",'Offer Statistics'!BJ84,IF($AA$2="2020年",'Offer Statistics'!BJ146)))</f>
        <v>33</v>
      </c>
      <c r="AD22" s="291">
        <f>IF($AA$2="2018年",'Offer Statistics'!BK22,IF($AA$2="2019年",'Offer Statistics'!BK84,IF($AA$2="2020年",'Offer Statistics'!BK146)))</f>
        <v>0</v>
      </c>
      <c r="AE22" s="291">
        <f>IF($AA$2="2018年",'Offer Statistics'!BL22,IF($AA$2="2019年",'Offer Statistics'!BL84,IF($AA$2="2020年",'Offer Statistics'!BL146)))</f>
        <v>0</v>
      </c>
      <c r="AF22" s="291">
        <f>IF($AA$2="2018年",'Offer Statistics'!BM22,IF($AA$2="2019年",'Offer Statistics'!BM84,IF($AA$2="2020年",'Offer Statistics'!BM146)))</f>
        <v>0</v>
      </c>
      <c r="AG22" s="291">
        <f>IF($AA$2="2018年",'Offer Statistics'!BN22,IF($AA$2="2019年",'Offer Statistics'!BN84,IF($AA$2="2020年",'Offer Statistics'!BN146)))</f>
        <v>0</v>
      </c>
      <c r="AH22" s="205"/>
      <c r="AI22" s="288">
        <f>IF($AH$2="2018年",'Offer Statistics'!BG22,IF($AH$2="2019年",'Offer Statistics'!BG84,IF($AH$2="2020年",'Offer Statistics'!BG146)))</f>
        <v>627</v>
      </c>
      <c r="AJ22" s="291">
        <f>IF($AH$2="2018年",'Offer Statistics'!BB22,IF($AH$2="2019年",'Offer Statistics'!BB84,IF($AH$2="2020年",'Offer Statistics'!BB146)))</f>
        <v>130</v>
      </c>
      <c r="AK22" s="291">
        <f>IF($AH$2="2018年",'Offer Statistics'!BC22,IF($AH$2="2019年",'Offer Statistics'!BC84,IF($AH$2="2020年",'Offer Statistics'!BC146)))</f>
        <v>66</v>
      </c>
      <c r="AL22" s="291">
        <f>IF($AH$2="2018年",'Offer Statistics'!BD22,IF($AH$2="2019年",'Offer Statistics'!BD84,IF($AH$2="2020年",'Offer Statistics'!BD146)))</f>
        <v>119</v>
      </c>
      <c r="AM22" s="291">
        <f>IF($AH$2="2018年",'Offer Statistics'!BE22,IF($AH$2="2019年",'Offer Statistics'!BE84,IF($AH$2="2020年",'Offer Statistics'!BE146)))</f>
        <v>154</v>
      </c>
      <c r="AN22" s="291">
        <f>IF($AH$2="2018年",'Offer Statistics'!BF22,IF($AH$2="2019年",'Offer Statistics'!BF84,IF($AH$2="2020年",'Offer Statistics'!BF146)))</f>
        <v>158</v>
      </c>
      <c r="AO22" s="283"/>
      <c r="AP22" s="283" t="str">
        <f t="shared" si="3"/>
        <v>JS4252</v>
      </c>
    </row>
    <row r="23" ht="18.0" customHeight="1">
      <c r="A23" s="142" t="s">
        <v>508</v>
      </c>
      <c r="B23" s="142" t="s">
        <v>1052</v>
      </c>
      <c r="C23" s="142" t="s">
        <v>509</v>
      </c>
      <c r="D23" s="142" t="s">
        <v>1412</v>
      </c>
      <c r="E23" s="135" t="s">
        <v>191</v>
      </c>
      <c r="F23" s="199">
        <f>5.5+5.5+7+5.5+8.5+7</f>
        <v>39</v>
      </c>
      <c r="G23" s="199">
        <f>7+5.5+5.5+7+5.5+5.5</f>
        <v>36</v>
      </c>
      <c r="H23" s="199">
        <f>5.5+5.5+5.5+7+5.5+5.5</f>
        <v>34.5</v>
      </c>
      <c r="I23" s="200">
        <f>'計分版'!D186</f>
        <v>0.00000000285</v>
      </c>
      <c r="J23" s="215">
        <f t="shared" si="5"/>
        <v>-36</v>
      </c>
      <c r="K23" s="237">
        <f t="shared" si="6"/>
        <v>-12631578946</v>
      </c>
      <c r="L23" s="132">
        <v>24.0</v>
      </c>
      <c r="M23" s="203">
        <f>'入學要求'!S168</f>
        <v>0</v>
      </c>
      <c r="N23" s="131" t="s">
        <v>1188</v>
      </c>
      <c r="O23" s="131">
        <v>4.0</v>
      </c>
      <c r="P23" s="131">
        <v>5.0</v>
      </c>
      <c r="Q23" s="131">
        <v>3.0</v>
      </c>
      <c r="R23" s="131">
        <v>2.0</v>
      </c>
      <c r="S23" s="131">
        <v>3.0</v>
      </c>
      <c r="T23" s="131">
        <v>3.0</v>
      </c>
      <c r="U23" s="292">
        <f>'入學要求'!L168</f>
        <v>0</v>
      </c>
      <c r="V23" s="292">
        <f>'入學要求'!M168</f>
        <v>0</v>
      </c>
      <c r="W23" s="292">
        <f>'入學要求'!N168</f>
        <v>0</v>
      </c>
      <c r="X23" s="292">
        <f>'入學要求'!O168</f>
        <v>0</v>
      </c>
      <c r="Y23" s="292">
        <f>'入學要求'!P168</f>
        <v>0</v>
      </c>
      <c r="Z23" s="292">
        <f>'入學要求'!Q168</f>
        <v>0</v>
      </c>
      <c r="AA23" s="205"/>
      <c r="AB23" s="132">
        <f>IF($AA$2="2018年",'Offer Statistics'!BO23,IF($AA$2="2019年",'Offer Statistics'!BO85,IF($AA$2="2020年",'Offer Statistics'!BO147)))</f>
        <v>21</v>
      </c>
      <c r="AC23" s="206">
        <f>IF($AA$2="2018年",'Offer Statistics'!BJ23,IF($AA$2="2019年",'Offer Statistics'!BJ85,IF($AA$2="2020年",'Offer Statistics'!BJ147)))</f>
        <v>21</v>
      </c>
      <c r="AD23" s="206">
        <f>IF($AA$2="2018年",'Offer Statistics'!BK23,IF($AA$2="2019年",'Offer Statistics'!BK85,IF($AA$2="2020年",'Offer Statistics'!BK147)))</f>
        <v>0</v>
      </c>
      <c r="AE23" s="206">
        <f>IF($AA$2="2018年",'Offer Statistics'!BL23,IF($AA$2="2019年",'Offer Statistics'!BL85,IF($AA$2="2020年",'Offer Statistics'!BL147)))</f>
        <v>0</v>
      </c>
      <c r="AF23" s="206">
        <f>IF($AA$2="2018年",'Offer Statistics'!BM23,IF($AA$2="2019年",'Offer Statistics'!BM85,IF($AA$2="2020年",'Offer Statistics'!BM147)))</f>
        <v>0</v>
      </c>
      <c r="AG23" s="206">
        <f>IF($AA$2="2018年",'Offer Statistics'!BN23,IF($AA$2="2019年",'Offer Statistics'!BN85,IF($AA$2="2020年",'Offer Statistics'!BN147)))</f>
        <v>0</v>
      </c>
      <c r="AH23" s="205"/>
      <c r="AI23" s="132">
        <f>IF($AH$2="2018年",'Offer Statistics'!BG23,IF($AH$2="2019年",'Offer Statistics'!BG85,IF($AH$2="2020年",'Offer Statistics'!BG147)))</f>
        <v>428</v>
      </c>
      <c r="AJ23" s="206">
        <f>IF($AH$2="2018年",'Offer Statistics'!BB23,IF($AH$2="2019年",'Offer Statistics'!BB85,IF($AH$2="2020年",'Offer Statistics'!BB147)))</f>
        <v>55</v>
      </c>
      <c r="AK23" s="206">
        <f>IF($AH$2="2018年",'Offer Statistics'!BC23,IF($AH$2="2019年",'Offer Statistics'!BC85,IF($AH$2="2020年",'Offer Statistics'!BC147)))</f>
        <v>51</v>
      </c>
      <c r="AL23" s="206">
        <f>IF($AH$2="2018年",'Offer Statistics'!BD23,IF($AH$2="2019年",'Offer Statistics'!BD85,IF($AH$2="2020年",'Offer Statistics'!BD147)))</f>
        <v>90</v>
      </c>
      <c r="AM23" s="206">
        <f>IF($AH$2="2018年",'Offer Statistics'!BE23,IF($AH$2="2019年",'Offer Statistics'!BE85,IF($AH$2="2020年",'Offer Statistics'!BE147)))</f>
        <v>107</v>
      </c>
      <c r="AN23" s="206">
        <f>IF($AH$2="2018年",'Offer Statistics'!BF23,IF($AH$2="2019年",'Offer Statistics'!BF85,IF($AH$2="2020年",'Offer Statistics'!BF147)))</f>
        <v>125</v>
      </c>
      <c r="AO23" s="131"/>
      <c r="AP23" s="131" t="str">
        <f t="shared" si="3"/>
        <v>JS4254</v>
      </c>
    </row>
    <row r="24" ht="18.0" customHeight="1">
      <c r="A24" s="282" t="s">
        <v>510</v>
      </c>
      <c r="B24" s="282" t="s">
        <v>1053</v>
      </c>
      <c r="C24" s="282" t="s">
        <v>511</v>
      </c>
      <c r="D24" s="282" t="s">
        <v>1413</v>
      </c>
      <c r="E24" s="288" t="s">
        <v>191</v>
      </c>
      <c r="F24" s="284">
        <f>4*1.5+7*2+5.5+5.5*2+8.5+7</f>
        <v>52</v>
      </c>
      <c r="G24" s="284">
        <f>5.5*1.5+5.5*2+5.5+7*2+7+5.5</f>
        <v>51.25</v>
      </c>
      <c r="H24" s="284">
        <f>7*1.5+7*2+5.5+4*2+7+4</f>
        <v>49</v>
      </c>
      <c r="I24" s="285">
        <f>'計分版'!D187</f>
        <v>0.0000000035</v>
      </c>
      <c r="J24" s="286">
        <f t="shared" si="5"/>
        <v>-51.25</v>
      </c>
      <c r="K24" s="287">
        <f t="shared" si="6"/>
        <v>-14642857142</v>
      </c>
      <c r="L24" s="288">
        <v>25.0</v>
      </c>
      <c r="M24" s="293">
        <f>'入學要求'!S169</f>
        <v>0</v>
      </c>
      <c r="N24" s="283" t="s">
        <v>1188</v>
      </c>
      <c r="O24" s="283">
        <v>4.0</v>
      </c>
      <c r="P24" s="283">
        <v>5.0</v>
      </c>
      <c r="Q24" s="283">
        <v>3.0</v>
      </c>
      <c r="R24" s="283">
        <v>2.0</v>
      </c>
      <c r="S24" s="283">
        <v>3.0</v>
      </c>
      <c r="T24" s="283">
        <v>3.0</v>
      </c>
      <c r="U24" s="290">
        <f>'入學要求'!L169</f>
        <v>0</v>
      </c>
      <c r="V24" s="290">
        <f>'入學要求'!M169</f>
        <v>0</v>
      </c>
      <c r="W24" s="290">
        <f>'入學要求'!N169</f>
        <v>0</v>
      </c>
      <c r="X24" s="290">
        <f>'入學要求'!O169</f>
        <v>0</v>
      </c>
      <c r="Y24" s="290">
        <f>'入學要求'!P169</f>
        <v>0</v>
      </c>
      <c r="Z24" s="290">
        <f>'入學要求'!Q169</f>
        <v>0</v>
      </c>
      <c r="AA24" s="205"/>
      <c r="AB24" s="288">
        <f>IF($AA$2="2018年",'Offer Statistics'!BO24,IF($AA$2="2019年",'Offer Statistics'!BO86,IF($AA$2="2020年",'Offer Statistics'!BO148)))</f>
        <v>20</v>
      </c>
      <c r="AC24" s="291">
        <f>IF($AA$2="2018年",'Offer Statistics'!BJ24,IF($AA$2="2019年",'Offer Statistics'!BJ86,IF($AA$2="2020年",'Offer Statistics'!BJ148)))</f>
        <v>20</v>
      </c>
      <c r="AD24" s="291">
        <f>IF($AA$2="2018年",'Offer Statistics'!BK24,IF($AA$2="2019年",'Offer Statistics'!BK86,IF($AA$2="2020年",'Offer Statistics'!BK148)))</f>
        <v>0</v>
      </c>
      <c r="AE24" s="291">
        <f>IF($AA$2="2018年",'Offer Statistics'!BL24,IF($AA$2="2019年",'Offer Statistics'!BL86,IF($AA$2="2020年",'Offer Statistics'!BL148)))</f>
        <v>0</v>
      </c>
      <c r="AF24" s="291">
        <f>IF($AA$2="2018年",'Offer Statistics'!BM24,IF($AA$2="2019年",'Offer Statistics'!BM86,IF($AA$2="2020年",'Offer Statistics'!BM148)))</f>
        <v>0</v>
      </c>
      <c r="AG24" s="291">
        <f>IF($AA$2="2018年",'Offer Statistics'!BN24,IF($AA$2="2019年",'Offer Statistics'!BN86,IF($AA$2="2020年",'Offer Statistics'!BN148)))</f>
        <v>0</v>
      </c>
      <c r="AH24" s="205"/>
      <c r="AI24" s="288">
        <f>IF($AH$2="2018年",'Offer Statistics'!BG24,IF($AH$2="2019年",'Offer Statistics'!BG86,IF($AH$2="2020年",'Offer Statistics'!BG148)))</f>
        <v>551</v>
      </c>
      <c r="AJ24" s="291">
        <f>IF($AH$2="2018年",'Offer Statistics'!BB24,IF($AH$2="2019年",'Offer Statistics'!BB86,IF($AH$2="2020年",'Offer Statistics'!BB148)))</f>
        <v>73</v>
      </c>
      <c r="AK24" s="291">
        <f>IF($AH$2="2018年",'Offer Statistics'!BC24,IF($AH$2="2019年",'Offer Statistics'!BC86,IF($AH$2="2020年",'Offer Statistics'!BC148)))</f>
        <v>55</v>
      </c>
      <c r="AL24" s="291">
        <f>IF($AH$2="2018年",'Offer Statistics'!BD24,IF($AH$2="2019年",'Offer Statistics'!BD86,IF($AH$2="2020年",'Offer Statistics'!BD148)))</f>
        <v>109</v>
      </c>
      <c r="AM24" s="291">
        <f>IF($AH$2="2018年",'Offer Statistics'!BE24,IF($AH$2="2019年",'Offer Statistics'!BE86,IF($AH$2="2020年",'Offer Statistics'!BE148)))</f>
        <v>161</v>
      </c>
      <c r="AN24" s="291">
        <f>IF($AH$2="2018年",'Offer Statistics'!BF24,IF($AH$2="2019年",'Offer Statistics'!BF86,IF($AH$2="2020年",'Offer Statistics'!BF148)))</f>
        <v>153</v>
      </c>
      <c r="AO24" s="283"/>
      <c r="AP24" s="283" t="str">
        <f t="shared" si="3"/>
        <v>JS4264</v>
      </c>
    </row>
    <row r="25" ht="18.0" customHeight="1">
      <c r="A25" s="142" t="s">
        <v>512</v>
      </c>
      <c r="B25" s="142" t="s">
        <v>1054</v>
      </c>
      <c r="C25" s="142" t="s">
        <v>513</v>
      </c>
      <c r="D25" s="142" t="s">
        <v>1414</v>
      </c>
      <c r="E25" s="134" t="s">
        <v>21</v>
      </c>
      <c r="F25" s="199">
        <f>5.5*2+8.5*2+8.5*2+8.5+7</f>
        <v>60.5</v>
      </c>
      <c r="G25" s="297">
        <f>5.5*2+8.5*2+7*2+8.5+7</f>
        <v>57.5</v>
      </c>
      <c r="H25" s="199">
        <f>4*2+8.5*2+8.5+7*2+7</f>
        <v>54.5</v>
      </c>
      <c r="I25" s="200">
        <f>'計分版'!D188</f>
        <v>0.00000000435</v>
      </c>
      <c r="J25" s="298">
        <f t="shared" si="5"/>
        <v>-57.5</v>
      </c>
      <c r="K25" s="299">
        <f t="shared" si="6"/>
        <v>-13218390804</v>
      </c>
      <c r="L25" s="132">
        <v>20.0</v>
      </c>
      <c r="M25" s="203">
        <f>'入學要求'!S170</f>
        <v>0</v>
      </c>
      <c r="N25" s="131" t="s">
        <v>1188</v>
      </c>
      <c r="O25" s="131">
        <v>3.0</v>
      </c>
      <c r="P25" s="131">
        <v>3.0</v>
      </c>
      <c r="Q25" s="131">
        <v>3.0</v>
      </c>
      <c r="R25" s="131">
        <v>2.0</v>
      </c>
      <c r="S25" s="131">
        <v>3.0</v>
      </c>
      <c r="T25" s="131">
        <v>3.0</v>
      </c>
      <c r="U25" s="292">
        <f>'入學要求'!L170</f>
        <v>0</v>
      </c>
      <c r="V25" s="292">
        <f>'入學要求'!M170</f>
        <v>0</v>
      </c>
      <c r="W25" s="292">
        <f>'入學要求'!N170</f>
        <v>0</v>
      </c>
      <c r="X25" s="292">
        <f>'入學要求'!O170</f>
        <v>0</v>
      </c>
      <c r="Y25" s="292">
        <f>'入學要求'!P170</f>
        <v>0</v>
      </c>
      <c r="Z25" s="292">
        <f>'入學要求'!Q170</f>
        <v>0</v>
      </c>
      <c r="AA25" s="205"/>
      <c r="AB25" s="132">
        <f>IF($AA$2="2018年",'Offer Statistics'!BO25,IF($AA$2="2019年",'Offer Statistics'!BO87,IF($AA$2="2020年",'Offer Statistics'!BO149)))</f>
        <v>16</v>
      </c>
      <c r="AC25" s="206">
        <f>IF($AA$2="2018年",'Offer Statistics'!BJ25,IF($AA$2="2019年",'Offer Statistics'!BJ87,IF($AA$2="2020年",'Offer Statistics'!BJ149)))</f>
        <v>16</v>
      </c>
      <c r="AD25" s="206">
        <f>IF($AA$2="2018年",'Offer Statistics'!BK25,IF($AA$2="2019年",'Offer Statistics'!BK87,IF($AA$2="2020年",'Offer Statistics'!BK149)))</f>
        <v>0</v>
      </c>
      <c r="AE25" s="206">
        <f>IF($AA$2="2018年",'Offer Statistics'!BL25,IF($AA$2="2019年",'Offer Statistics'!BL87,IF($AA$2="2020年",'Offer Statistics'!BL149)))</f>
        <v>0</v>
      </c>
      <c r="AF25" s="206">
        <f>IF($AA$2="2018年",'Offer Statistics'!BM25,IF($AA$2="2019年",'Offer Statistics'!BM87,IF($AA$2="2020年",'Offer Statistics'!BM149)))</f>
        <v>0</v>
      </c>
      <c r="AG25" s="206">
        <f>IF($AA$2="2018年",'Offer Statistics'!BN25,IF($AA$2="2019年",'Offer Statistics'!BN87,IF($AA$2="2020年",'Offer Statistics'!BN149)))</f>
        <v>0</v>
      </c>
      <c r="AH25" s="205"/>
      <c r="AI25" s="132">
        <f>IF($AH$2="2018年",'Offer Statistics'!BG25,IF($AH$2="2019年",'Offer Statistics'!BG87,IF($AH$2="2020年",'Offer Statistics'!BG149)))</f>
        <v>459</v>
      </c>
      <c r="AJ25" s="206">
        <f>IF($AH$2="2018年",'Offer Statistics'!BB25,IF($AH$2="2019年",'Offer Statistics'!BB87,IF($AH$2="2020年",'Offer Statistics'!BB149)))</f>
        <v>46</v>
      </c>
      <c r="AK25" s="206">
        <f>IF($AH$2="2018年",'Offer Statistics'!BC25,IF($AH$2="2019年",'Offer Statistics'!BC87,IF($AH$2="2020年",'Offer Statistics'!BC149)))</f>
        <v>42</v>
      </c>
      <c r="AL25" s="206">
        <f>IF($AH$2="2018年",'Offer Statistics'!BD25,IF($AH$2="2019年",'Offer Statistics'!BD87,IF($AH$2="2020年",'Offer Statistics'!BD149)))</f>
        <v>94</v>
      </c>
      <c r="AM25" s="206">
        <f>IF($AH$2="2018年",'Offer Statistics'!BE25,IF($AH$2="2019年",'Offer Statistics'!BE87,IF($AH$2="2020年",'Offer Statistics'!BE149)))</f>
        <v>132</v>
      </c>
      <c r="AN25" s="206">
        <f>IF($AH$2="2018年",'Offer Statistics'!BF25,IF($AH$2="2019年",'Offer Statistics'!BF87,IF($AH$2="2020年",'Offer Statistics'!BF149)))</f>
        <v>145</v>
      </c>
      <c r="AO25" s="131"/>
      <c r="AP25" s="131" t="str">
        <f t="shared" si="3"/>
        <v>JS4276</v>
      </c>
    </row>
    <row r="26" ht="18.0" customHeight="1">
      <c r="A26" s="282" t="s">
        <v>514</v>
      </c>
      <c r="B26" s="282" t="s">
        <v>990</v>
      </c>
      <c r="C26" s="282" t="s">
        <v>515</v>
      </c>
      <c r="D26" s="282" t="s">
        <v>1415</v>
      </c>
      <c r="E26" s="283" t="s">
        <v>21</v>
      </c>
      <c r="F26" s="284">
        <f>7+7+5.5+5.5+4</f>
        <v>29</v>
      </c>
      <c r="G26" s="284">
        <f>5.5+8.5+7+4+4</f>
        <v>29</v>
      </c>
      <c r="H26" s="284">
        <f>5.5+5.5+5.5+5.5+4</f>
        <v>26</v>
      </c>
      <c r="I26" s="285">
        <f>'計分版'!D189</f>
        <v>0.00000000395</v>
      </c>
      <c r="J26" s="286">
        <f t="shared" si="5"/>
        <v>-29</v>
      </c>
      <c r="K26" s="287">
        <f t="shared" si="6"/>
        <v>-7341772151</v>
      </c>
      <c r="L26" s="288">
        <v>24.0</v>
      </c>
      <c r="M26" s="293">
        <f>'入學要求'!S171</f>
        <v>0</v>
      </c>
      <c r="N26" s="294" t="s">
        <v>1166</v>
      </c>
      <c r="O26" s="283">
        <v>3.0</v>
      </c>
      <c r="P26" s="283">
        <v>3.0</v>
      </c>
      <c r="Q26" s="283">
        <v>2.0</v>
      </c>
      <c r="R26" s="283">
        <v>2.0</v>
      </c>
      <c r="S26" s="283">
        <v>3.0</v>
      </c>
      <c r="T26" s="283">
        <v>3.0</v>
      </c>
      <c r="U26" s="290">
        <f>'入學要求'!L171</f>
        <v>0</v>
      </c>
      <c r="V26" s="290">
        <f>'入學要求'!M171</f>
        <v>0</v>
      </c>
      <c r="W26" s="290">
        <f>'入學要求'!N171</f>
        <v>0</v>
      </c>
      <c r="X26" s="290">
        <f>'入學要求'!O171</f>
        <v>0</v>
      </c>
      <c r="Y26" s="290">
        <f>'入學要求'!P171</f>
        <v>0</v>
      </c>
      <c r="Z26" s="290">
        <f>'入學要求'!Q171</f>
        <v>0</v>
      </c>
      <c r="AA26" s="205"/>
      <c r="AB26" s="288">
        <f>IF($AA$2="2018年",'Offer Statistics'!BO26,IF($AA$2="2019年",'Offer Statistics'!BO88,IF($AA$2="2020年",'Offer Statistics'!BO150)))</f>
        <v>21</v>
      </c>
      <c r="AC26" s="291">
        <f>IF($AA$2="2018年",'Offer Statistics'!BJ26,IF($AA$2="2019年",'Offer Statistics'!BJ88,IF($AA$2="2020年",'Offer Statistics'!BJ150)))</f>
        <v>21</v>
      </c>
      <c r="AD26" s="291">
        <f>IF($AA$2="2018年",'Offer Statistics'!BK26,IF($AA$2="2019年",'Offer Statistics'!BK88,IF($AA$2="2020年",'Offer Statistics'!BK150)))</f>
        <v>0</v>
      </c>
      <c r="AE26" s="291">
        <f>IF($AA$2="2018年",'Offer Statistics'!BL26,IF($AA$2="2019年",'Offer Statistics'!BL88,IF($AA$2="2020年",'Offer Statistics'!BL150)))</f>
        <v>0</v>
      </c>
      <c r="AF26" s="291">
        <f>IF($AA$2="2018年",'Offer Statistics'!BM26,IF($AA$2="2019年",'Offer Statistics'!BM88,IF($AA$2="2020年",'Offer Statistics'!BM150)))</f>
        <v>0</v>
      </c>
      <c r="AG26" s="291">
        <f>IF($AA$2="2018年",'Offer Statistics'!BN26,IF($AA$2="2019年",'Offer Statistics'!BN88,IF($AA$2="2020年",'Offer Statistics'!BN150)))</f>
        <v>0</v>
      </c>
      <c r="AH26" s="205"/>
      <c r="AI26" s="288">
        <f>IF($AH$2="2018年",'Offer Statistics'!BG26,IF($AH$2="2019年",'Offer Statistics'!BG88,IF($AH$2="2020年",'Offer Statistics'!BG150)))</f>
        <v>2092</v>
      </c>
      <c r="AJ26" s="291">
        <f>IF($AH$2="2018年",'Offer Statistics'!BB26,IF($AH$2="2019年",'Offer Statistics'!BB88,IF($AH$2="2020年",'Offer Statistics'!BB150)))</f>
        <v>529</v>
      </c>
      <c r="AK26" s="291">
        <f>IF($AH$2="2018年",'Offer Statistics'!BC26,IF($AH$2="2019年",'Offer Statistics'!BC88,IF($AH$2="2020年",'Offer Statistics'!BC150)))</f>
        <v>325</v>
      </c>
      <c r="AL26" s="291">
        <f>IF($AH$2="2018年",'Offer Statistics'!BD26,IF($AH$2="2019年",'Offer Statistics'!BD88,IF($AH$2="2020年",'Offer Statistics'!BD150)))</f>
        <v>412</v>
      </c>
      <c r="AM26" s="291">
        <f>IF($AH$2="2018年",'Offer Statistics'!BE26,IF($AH$2="2019年",'Offer Statistics'!BE88,IF($AH$2="2020年",'Offer Statistics'!BE150)))</f>
        <v>422</v>
      </c>
      <c r="AN26" s="291">
        <f>IF($AH$2="2018年",'Offer Statistics'!BF26,IF($AH$2="2019年",'Offer Statistics'!BF88,IF($AH$2="2020年",'Offer Statistics'!BF150)))</f>
        <v>404</v>
      </c>
      <c r="AO26" s="283"/>
      <c r="AP26" s="283" t="str">
        <f t="shared" si="3"/>
        <v>JS4329</v>
      </c>
    </row>
    <row r="27" ht="18.0" customHeight="1">
      <c r="A27" s="142" t="s">
        <v>516</v>
      </c>
      <c r="B27" s="142" t="s">
        <v>990</v>
      </c>
      <c r="C27" s="142" t="s">
        <v>517</v>
      </c>
      <c r="D27" s="142" t="s">
        <v>1416</v>
      </c>
      <c r="E27" s="132" t="s">
        <v>21</v>
      </c>
      <c r="F27" s="199">
        <f>8.5*1.5+5.5+5.5+5.5+4</f>
        <v>33.25</v>
      </c>
      <c r="G27" s="199">
        <f>8.5*1.5+5.5+7+4+4</f>
        <v>33.25</v>
      </c>
      <c r="H27" s="199">
        <f>8.5*1.5+5.5+5.5+4+4</f>
        <v>31.75</v>
      </c>
      <c r="I27" s="200">
        <f>'計分版'!D190</f>
        <v>0.0000000035</v>
      </c>
      <c r="J27" s="215">
        <f t="shared" si="5"/>
        <v>-33.25</v>
      </c>
      <c r="K27" s="237">
        <f t="shared" si="6"/>
        <v>-9499999999</v>
      </c>
      <c r="L27" s="132">
        <v>20.0</v>
      </c>
      <c r="M27" s="203">
        <f>'入學要求'!S172</f>
        <v>0</v>
      </c>
      <c r="N27" s="135" t="s">
        <v>1166</v>
      </c>
      <c r="O27" s="131">
        <v>4.0</v>
      </c>
      <c r="P27" s="131">
        <v>3.0</v>
      </c>
      <c r="Q27" s="131">
        <v>2.0</v>
      </c>
      <c r="R27" s="131">
        <v>2.0</v>
      </c>
      <c r="S27" s="131">
        <v>3.0</v>
      </c>
      <c r="T27" s="131">
        <v>3.0</v>
      </c>
      <c r="U27" s="292">
        <f>'入學要求'!L172</f>
        <v>0</v>
      </c>
      <c r="V27" s="292">
        <f>'入學要求'!M172</f>
        <v>0</v>
      </c>
      <c r="W27" s="292">
        <f>'入學要求'!N172</f>
        <v>0</v>
      </c>
      <c r="X27" s="292">
        <f>'入學要求'!O172</f>
        <v>0</v>
      </c>
      <c r="Y27" s="292">
        <f>'入學要求'!P172</f>
        <v>0</v>
      </c>
      <c r="Z27" s="292">
        <f>'入學要求'!Q172</f>
        <v>0</v>
      </c>
      <c r="AA27" s="205"/>
      <c r="AB27" s="132">
        <f>IF($AA$2="2018年",'Offer Statistics'!BO27,IF($AA$2="2019年",'Offer Statistics'!BO89,IF($AA$2="2020年",'Offer Statistics'!BO151)))</f>
        <v>19</v>
      </c>
      <c r="AC27" s="206">
        <f>IF($AA$2="2018年",'Offer Statistics'!BJ27,IF($AA$2="2019年",'Offer Statistics'!BJ89,IF($AA$2="2020年",'Offer Statistics'!BJ151)))</f>
        <v>19</v>
      </c>
      <c r="AD27" s="206">
        <f>IF($AA$2="2018年",'Offer Statistics'!BK27,IF($AA$2="2019年",'Offer Statistics'!BK89,IF($AA$2="2020年",'Offer Statistics'!BK151)))</f>
        <v>0</v>
      </c>
      <c r="AE27" s="206">
        <f>IF($AA$2="2018年",'Offer Statistics'!BL27,IF($AA$2="2019年",'Offer Statistics'!BL89,IF($AA$2="2020年",'Offer Statistics'!BL151)))</f>
        <v>0</v>
      </c>
      <c r="AF27" s="206">
        <f>IF($AA$2="2018年",'Offer Statistics'!BM27,IF($AA$2="2019年",'Offer Statistics'!BM89,IF($AA$2="2020年",'Offer Statistics'!BM151)))</f>
        <v>0</v>
      </c>
      <c r="AG27" s="206">
        <f>IF($AA$2="2018年",'Offer Statistics'!BN27,IF($AA$2="2019年",'Offer Statistics'!BN89,IF($AA$2="2020年",'Offer Statistics'!BN151)))</f>
        <v>0</v>
      </c>
      <c r="AH27" s="205"/>
      <c r="AI27" s="132">
        <f>IF($AH$2="2018年",'Offer Statistics'!BG27,IF($AH$2="2019年",'Offer Statistics'!BG89,IF($AH$2="2020年",'Offer Statistics'!BG151)))</f>
        <v>1366</v>
      </c>
      <c r="AJ27" s="206">
        <f>IF($AH$2="2018年",'Offer Statistics'!BB27,IF($AH$2="2019年",'Offer Statistics'!BB89,IF($AH$2="2020年",'Offer Statistics'!BB151)))</f>
        <v>230</v>
      </c>
      <c r="AK27" s="206">
        <f>IF($AH$2="2018年",'Offer Statistics'!BC27,IF($AH$2="2019年",'Offer Statistics'!BC89,IF($AH$2="2020年",'Offer Statistics'!BC151)))</f>
        <v>186</v>
      </c>
      <c r="AL27" s="206">
        <f>IF($AH$2="2018年",'Offer Statistics'!BD27,IF($AH$2="2019年",'Offer Statistics'!BD89,IF($AH$2="2020年",'Offer Statistics'!BD151)))</f>
        <v>281</v>
      </c>
      <c r="AM27" s="206">
        <f>IF($AH$2="2018年",'Offer Statistics'!BE27,IF($AH$2="2019年",'Offer Statistics'!BE89,IF($AH$2="2020年",'Offer Statistics'!BE151)))</f>
        <v>340</v>
      </c>
      <c r="AN27" s="206">
        <f>IF($AH$2="2018年",'Offer Statistics'!BF27,IF($AH$2="2019年",'Offer Statistics'!BF89,IF($AH$2="2020年",'Offer Statistics'!BF151)))</f>
        <v>329</v>
      </c>
      <c r="AO27" s="131"/>
      <c r="AP27" s="131" t="str">
        <f t="shared" si="3"/>
        <v>JS4331</v>
      </c>
    </row>
    <row r="28" ht="18.0" customHeight="1">
      <c r="A28" s="282" t="s">
        <v>518</v>
      </c>
      <c r="B28" s="282" t="s">
        <v>990</v>
      </c>
      <c r="C28" s="282" t="s">
        <v>519</v>
      </c>
      <c r="D28" s="282" t="s">
        <v>1417</v>
      </c>
      <c r="E28" s="288" t="s">
        <v>21</v>
      </c>
      <c r="F28" s="284">
        <f>7+7*1.5+5.5+5.5+5.5</f>
        <v>34</v>
      </c>
      <c r="G28" s="284">
        <f>7*1.5+5.5+5.5+5.5+5.5</f>
        <v>32.5</v>
      </c>
      <c r="H28" s="284">
        <f>8.5+5.5*1.5+5.5+4+4</f>
        <v>30.25</v>
      </c>
      <c r="I28" s="285">
        <f>'計分版'!D191</f>
        <v>0.00000000365</v>
      </c>
      <c r="J28" s="286">
        <f t="shared" si="5"/>
        <v>-32.5</v>
      </c>
      <c r="K28" s="287">
        <f t="shared" si="6"/>
        <v>-8904109588</v>
      </c>
      <c r="L28" s="288">
        <v>14.0</v>
      </c>
      <c r="M28" s="293">
        <f>'入學要求'!S173</f>
        <v>0</v>
      </c>
      <c r="N28" s="294" t="s">
        <v>1166</v>
      </c>
      <c r="O28" s="283">
        <v>3.0</v>
      </c>
      <c r="P28" s="283">
        <v>4.0</v>
      </c>
      <c r="Q28" s="283">
        <v>2.0</v>
      </c>
      <c r="R28" s="283">
        <v>2.0</v>
      </c>
      <c r="S28" s="283">
        <v>3.0</v>
      </c>
      <c r="T28" s="283">
        <v>3.0</v>
      </c>
      <c r="U28" s="290">
        <f>'入學要求'!L173</f>
        <v>0</v>
      </c>
      <c r="V28" s="290">
        <f>'入學要求'!M173</f>
        <v>0</v>
      </c>
      <c r="W28" s="290">
        <f>'入學要求'!N173</f>
        <v>0</v>
      </c>
      <c r="X28" s="290">
        <f>'入學要求'!O173</f>
        <v>0</v>
      </c>
      <c r="Y28" s="290">
        <f>'入學要求'!P173</f>
        <v>0</v>
      </c>
      <c r="Z28" s="290">
        <f>'入學要求'!Q173</f>
        <v>0</v>
      </c>
      <c r="AA28" s="205"/>
      <c r="AB28" s="288">
        <f>IF($AA$2="2018年",'Offer Statistics'!BO28,IF($AA$2="2019年",'Offer Statistics'!BO90,IF($AA$2="2020年",'Offer Statistics'!BO152)))</f>
        <v>12</v>
      </c>
      <c r="AC28" s="291">
        <f>IF($AA$2="2018年",'Offer Statistics'!BJ28,IF($AA$2="2019年",'Offer Statistics'!BJ90,IF($AA$2="2020年",'Offer Statistics'!BJ152)))</f>
        <v>12</v>
      </c>
      <c r="AD28" s="291">
        <f>IF($AA$2="2018年",'Offer Statistics'!BK28,IF($AA$2="2019年",'Offer Statistics'!BK90,IF($AA$2="2020年",'Offer Statistics'!BK152)))</f>
        <v>0</v>
      </c>
      <c r="AE28" s="291">
        <f>IF($AA$2="2018年",'Offer Statistics'!BL28,IF($AA$2="2019年",'Offer Statistics'!BL90,IF($AA$2="2020年",'Offer Statistics'!BL152)))</f>
        <v>0</v>
      </c>
      <c r="AF28" s="291">
        <f>IF($AA$2="2018年",'Offer Statistics'!BM28,IF($AA$2="2019年",'Offer Statistics'!BM90,IF($AA$2="2020年",'Offer Statistics'!BM152)))</f>
        <v>0</v>
      </c>
      <c r="AG28" s="291">
        <f>IF($AA$2="2018年",'Offer Statistics'!BN28,IF($AA$2="2019年",'Offer Statistics'!BN90,IF($AA$2="2020年",'Offer Statistics'!BN152)))</f>
        <v>0</v>
      </c>
      <c r="AH28" s="205"/>
      <c r="AI28" s="288">
        <f>IF($AH$2="2018年",'Offer Statistics'!BG28,IF($AH$2="2019年",'Offer Statistics'!BG90,IF($AH$2="2020年",'Offer Statistics'!BG152)))</f>
        <v>896</v>
      </c>
      <c r="AJ28" s="291">
        <f>IF($AH$2="2018年",'Offer Statistics'!BB28,IF($AH$2="2019年",'Offer Statistics'!BB90,IF($AH$2="2020年",'Offer Statistics'!BB152)))</f>
        <v>62</v>
      </c>
      <c r="AK28" s="291">
        <f>IF($AH$2="2018年",'Offer Statistics'!BC28,IF($AH$2="2019年",'Offer Statistics'!BC90,IF($AH$2="2020年",'Offer Statistics'!BC152)))</f>
        <v>109</v>
      </c>
      <c r="AL28" s="291">
        <f>IF($AH$2="2018年",'Offer Statistics'!BD28,IF($AH$2="2019年",'Offer Statistics'!BD90,IF($AH$2="2020年",'Offer Statistics'!BD152)))</f>
        <v>214</v>
      </c>
      <c r="AM28" s="291">
        <f>IF($AH$2="2018年",'Offer Statistics'!BE28,IF($AH$2="2019年",'Offer Statistics'!BE90,IF($AH$2="2020年",'Offer Statistics'!BE152)))</f>
        <v>279</v>
      </c>
      <c r="AN28" s="291">
        <f>IF($AH$2="2018年",'Offer Statistics'!BF28,IF($AH$2="2019年",'Offer Statistics'!BF90,IF($AH$2="2020年",'Offer Statistics'!BF152)))</f>
        <v>232</v>
      </c>
      <c r="AO28" s="283"/>
      <c r="AP28" s="283" t="str">
        <f t="shared" si="3"/>
        <v>JS4343</v>
      </c>
    </row>
    <row r="29" ht="18.0" customHeight="1">
      <c r="A29" s="142" t="s">
        <v>521</v>
      </c>
      <c r="B29" s="142" t="s">
        <v>990</v>
      </c>
      <c r="C29" s="142" t="s">
        <v>522</v>
      </c>
      <c r="D29" s="142" t="s">
        <v>1418</v>
      </c>
      <c r="E29" s="132" t="s">
        <v>21</v>
      </c>
      <c r="F29" s="199">
        <f>7*1.5+5.5*1.5+7*1.5+7*1.5+5.5</f>
        <v>45.25</v>
      </c>
      <c r="G29" s="199">
        <f>4*1.5+4*1.5+7*1.5+7*1.5+7</f>
        <v>40</v>
      </c>
      <c r="H29" s="199">
        <f>7*1.5+7*1.5+7+5.5+4*1.5</f>
        <v>39.5</v>
      </c>
      <c r="I29" s="200">
        <f>'計分版'!D192</f>
        <v>0.00000000385</v>
      </c>
      <c r="J29" s="215">
        <f t="shared" si="5"/>
        <v>-40</v>
      </c>
      <c r="K29" s="237">
        <f t="shared" si="6"/>
        <v>-10389610389</v>
      </c>
      <c r="L29" s="132">
        <v>18.0</v>
      </c>
      <c r="M29" s="203">
        <f>'入學要求'!S174</f>
        <v>0</v>
      </c>
      <c r="N29" s="135" t="s">
        <v>1166</v>
      </c>
      <c r="O29" s="131">
        <v>3.0</v>
      </c>
      <c r="P29" s="131">
        <v>3.0</v>
      </c>
      <c r="Q29" s="131">
        <v>4.0</v>
      </c>
      <c r="R29" s="131">
        <v>2.0</v>
      </c>
      <c r="S29" s="131">
        <v>3.0</v>
      </c>
      <c r="T29" s="131">
        <v>3.0</v>
      </c>
      <c r="U29" s="292">
        <f>'入學要求'!L174</f>
        <v>0</v>
      </c>
      <c r="V29" s="292">
        <f>'入學要求'!M174</f>
        <v>0</v>
      </c>
      <c r="W29" s="292">
        <f>'入學要求'!N174</f>
        <v>0</v>
      </c>
      <c r="X29" s="292">
        <f>'入學要求'!O174</f>
        <v>0</v>
      </c>
      <c r="Y29" s="292">
        <f>'入學要求'!P174</f>
        <v>0</v>
      </c>
      <c r="Z29" s="292">
        <f>'入學要求'!Q174</f>
        <v>0</v>
      </c>
      <c r="AA29" s="205"/>
      <c r="AB29" s="132">
        <f>IF($AA$2="2018年",'Offer Statistics'!BO29,IF($AA$2="2019年",'Offer Statistics'!BO91,IF($AA$2="2020年",'Offer Statistics'!BO153)))</f>
        <v>18</v>
      </c>
      <c r="AC29" s="206">
        <f>IF($AA$2="2018年",'Offer Statistics'!BJ29,IF($AA$2="2019年",'Offer Statistics'!BJ91,IF($AA$2="2020年",'Offer Statistics'!BJ153)))</f>
        <v>18</v>
      </c>
      <c r="AD29" s="206">
        <f>IF($AA$2="2018年",'Offer Statistics'!BK29,IF($AA$2="2019年",'Offer Statistics'!BK91,IF($AA$2="2020年",'Offer Statistics'!BK153)))</f>
        <v>0</v>
      </c>
      <c r="AE29" s="206">
        <f>IF($AA$2="2018年",'Offer Statistics'!BL29,IF($AA$2="2019年",'Offer Statistics'!BL91,IF($AA$2="2020年",'Offer Statistics'!BL153)))</f>
        <v>0</v>
      </c>
      <c r="AF29" s="206">
        <f>IF($AA$2="2018年",'Offer Statistics'!BM29,IF($AA$2="2019年",'Offer Statistics'!BM91,IF($AA$2="2020年",'Offer Statistics'!BM153)))</f>
        <v>0</v>
      </c>
      <c r="AG29" s="206">
        <f>IF($AA$2="2018年",'Offer Statistics'!BN29,IF($AA$2="2019年",'Offer Statistics'!BN91,IF($AA$2="2020年",'Offer Statistics'!BN153)))</f>
        <v>0</v>
      </c>
      <c r="AH29" s="205"/>
      <c r="AI29" s="132">
        <f>IF($AH$2="2018年",'Offer Statistics'!BG29,IF($AH$2="2019年",'Offer Statistics'!BG91,IF($AH$2="2020年",'Offer Statistics'!BG153)))</f>
        <v>1080</v>
      </c>
      <c r="AJ29" s="206">
        <f>IF($AH$2="2018年",'Offer Statistics'!BB29,IF($AH$2="2019年",'Offer Statistics'!BB91,IF($AH$2="2020年",'Offer Statistics'!BB153)))</f>
        <v>155</v>
      </c>
      <c r="AK29" s="206">
        <f>IF($AH$2="2018年",'Offer Statistics'!BC29,IF($AH$2="2019年",'Offer Statistics'!BC91,IF($AH$2="2020年",'Offer Statistics'!BC153)))</f>
        <v>143</v>
      </c>
      <c r="AL29" s="206">
        <f>IF($AH$2="2018年",'Offer Statistics'!BD29,IF($AH$2="2019年",'Offer Statistics'!BD91,IF($AH$2="2020年",'Offer Statistics'!BD153)))</f>
        <v>219</v>
      </c>
      <c r="AM29" s="206">
        <f>IF($AH$2="2018年",'Offer Statistics'!BE29,IF($AH$2="2019年",'Offer Statistics'!BE91,IF($AH$2="2020年",'Offer Statistics'!BE153)))</f>
        <v>294</v>
      </c>
      <c r="AN29" s="206">
        <f>IF($AH$2="2018年",'Offer Statistics'!BF29,IF($AH$2="2019年",'Offer Statistics'!BF91,IF($AH$2="2020年",'Offer Statistics'!BF153)))</f>
        <v>269</v>
      </c>
      <c r="AO29" s="131"/>
      <c r="AP29" s="131" t="str">
        <f t="shared" si="3"/>
        <v>JS4361</v>
      </c>
    </row>
    <row r="30" ht="18.0" customHeight="1">
      <c r="A30" s="282" t="s">
        <v>523</v>
      </c>
      <c r="B30" s="282" t="s">
        <v>990</v>
      </c>
      <c r="C30" s="282" t="s">
        <v>524</v>
      </c>
      <c r="D30" s="282" t="s">
        <v>1419</v>
      </c>
      <c r="E30" s="283" t="s">
        <v>21</v>
      </c>
      <c r="F30" s="284">
        <f>7+7+4+4+4</f>
        <v>26</v>
      </c>
      <c r="G30" s="284">
        <f>8.5+5.5+4+4+4</f>
        <v>26</v>
      </c>
      <c r="H30" s="284">
        <f>5.5+7+4+4+4</f>
        <v>24.5</v>
      </c>
      <c r="I30" s="285">
        <f>'計分版'!D193</f>
        <v>0.00000000395</v>
      </c>
      <c r="J30" s="286">
        <f t="shared" si="5"/>
        <v>-26</v>
      </c>
      <c r="K30" s="287">
        <f t="shared" si="6"/>
        <v>-6582278480</v>
      </c>
      <c r="L30" s="288">
        <v>21.0</v>
      </c>
      <c r="M30" s="293">
        <f>'入學要求'!S175</f>
        <v>0</v>
      </c>
      <c r="N30" s="294" t="s">
        <v>1166</v>
      </c>
      <c r="O30" s="283">
        <v>3.0</v>
      </c>
      <c r="P30" s="283">
        <v>3.0</v>
      </c>
      <c r="Q30" s="283">
        <v>2.0</v>
      </c>
      <c r="R30" s="283">
        <v>2.0</v>
      </c>
      <c r="S30" s="283">
        <v>3.0</v>
      </c>
      <c r="T30" s="283">
        <v>3.0</v>
      </c>
      <c r="U30" s="290">
        <f>'入學要求'!L175</f>
        <v>0</v>
      </c>
      <c r="V30" s="290">
        <f>'入學要求'!M175</f>
        <v>0</v>
      </c>
      <c r="W30" s="290">
        <f>'入學要求'!N175</f>
        <v>0</v>
      </c>
      <c r="X30" s="290">
        <f>'入學要求'!O175</f>
        <v>0</v>
      </c>
      <c r="Y30" s="290">
        <f>'入學要求'!P175</f>
        <v>0</v>
      </c>
      <c r="Z30" s="290">
        <f>'入學要求'!Q175</f>
        <v>0</v>
      </c>
      <c r="AA30" s="205"/>
      <c r="AB30" s="288">
        <f>IF($AA$2="2018年",'Offer Statistics'!BO30,IF($AA$2="2019年",'Offer Statistics'!BO92,IF($AA$2="2020年",'Offer Statistics'!BO154)))</f>
        <v>20</v>
      </c>
      <c r="AC30" s="291">
        <f>IF($AA$2="2018年",'Offer Statistics'!BJ30,IF($AA$2="2019年",'Offer Statistics'!BJ92,IF($AA$2="2020年",'Offer Statistics'!BJ154)))</f>
        <v>20</v>
      </c>
      <c r="AD30" s="291">
        <f>IF($AA$2="2018年",'Offer Statistics'!BK30,IF($AA$2="2019年",'Offer Statistics'!BK92,IF($AA$2="2020年",'Offer Statistics'!BK154)))</f>
        <v>0</v>
      </c>
      <c r="AE30" s="291">
        <f>IF($AA$2="2018年",'Offer Statistics'!BL30,IF($AA$2="2019年",'Offer Statistics'!BL92,IF($AA$2="2020年",'Offer Statistics'!BL154)))</f>
        <v>0</v>
      </c>
      <c r="AF30" s="291">
        <f>IF($AA$2="2018年",'Offer Statistics'!BM30,IF($AA$2="2019年",'Offer Statistics'!BM92,IF($AA$2="2020年",'Offer Statistics'!BM154)))</f>
        <v>0</v>
      </c>
      <c r="AG30" s="291">
        <f>IF($AA$2="2018年",'Offer Statistics'!BN30,IF($AA$2="2019年",'Offer Statistics'!BN92,IF($AA$2="2020年",'Offer Statistics'!BN154)))</f>
        <v>0</v>
      </c>
      <c r="AH30" s="205"/>
      <c r="AI30" s="288">
        <f>IF($AH$2="2018年",'Offer Statistics'!BG30,IF($AH$2="2019年",'Offer Statistics'!BG92,IF($AH$2="2020年",'Offer Statistics'!BG154)))</f>
        <v>4190</v>
      </c>
      <c r="AJ30" s="291">
        <f>IF($AH$2="2018年",'Offer Statistics'!BB30,IF($AH$2="2019年",'Offer Statistics'!BB92,IF($AH$2="2020年",'Offer Statistics'!BB154)))</f>
        <v>521</v>
      </c>
      <c r="AK30" s="291">
        <f>IF($AH$2="2018年",'Offer Statistics'!BC30,IF($AH$2="2019年",'Offer Statistics'!BC92,IF($AH$2="2020年",'Offer Statistics'!BC154)))</f>
        <v>645</v>
      </c>
      <c r="AL30" s="291">
        <f>IF($AH$2="2018年",'Offer Statistics'!BD30,IF($AH$2="2019年",'Offer Statistics'!BD92,IF($AH$2="2020年",'Offer Statistics'!BD154)))</f>
        <v>999</v>
      </c>
      <c r="AM30" s="291">
        <f>IF($AH$2="2018年",'Offer Statistics'!BE30,IF($AH$2="2019年",'Offer Statistics'!BE92,IF($AH$2="2020年",'Offer Statistics'!BE154)))</f>
        <v>1117</v>
      </c>
      <c r="AN30" s="291">
        <f>IF($AH$2="2018年",'Offer Statistics'!BF30,IF($AH$2="2019年",'Offer Statistics'!BF92,IF($AH$2="2020年",'Offer Statistics'!BF154)))</f>
        <v>908</v>
      </c>
      <c r="AO30" s="283"/>
      <c r="AP30" s="283" t="str">
        <f t="shared" si="3"/>
        <v>JS4372</v>
      </c>
    </row>
    <row r="31" ht="18.0" customHeight="1">
      <c r="A31" s="142" t="s">
        <v>526</v>
      </c>
      <c r="B31" s="142" t="s">
        <v>1002</v>
      </c>
      <c r="C31" s="142" t="s">
        <v>527</v>
      </c>
      <c r="D31" s="142" t="s">
        <v>1420</v>
      </c>
      <c r="E31" s="132" t="s">
        <v>21</v>
      </c>
      <c r="F31" s="199">
        <f>4*1.5+7*1.5+5.5*1.5+4*1.5+4</f>
        <v>34.75</v>
      </c>
      <c r="G31" s="199">
        <f>4*1.5+3*1.75+4*1.5+4*1.5+7</f>
        <v>30.25</v>
      </c>
      <c r="H31" s="199">
        <f>4*1.5+3*1.75+5.5*1.5+3*1.5+4</f>
        <v>28</v>
      </c>
      <c r="I31" s="200">
        <f>'計分版'!D194</f>
        <v>0.000000004225</v>
      </c>
      <c r="J31" s="215">
        <f t="shared" si="5"/>
        <v>-30.25</v>
      </c>
      <c r="K31" s="237">
        <f t="shared" si="6"/>
        <v>-7159763313</v>
      </c>
      <c r="L31" s="132">
        <v>304.0</v>
      </c>
      <c r="M31" s="203">
        <f>'入學要求'!S176</f>
        <v>0</v>
      </c>
      <c r="N31" s="131" t="s">
        <v>1077</v>
      </c>
      <c r="O31" s="131">
        <v>3.0</v>
      </c>
      <c r="P31" s="131">
        <v>3.0</v>
      </c>
      <c r="Q31" s="131">
        <v>3.0</v>
      </c>
      <c r="R31" s="131">
        <v>2.0</v>
      </c>
      <c r="S31" s="131">
        <v>3.0</v>
      </c>
      <c r="T31" s="131">
        <v>3.0</v>
      </c>
      <c r="U31" s="292">
        <f>'入學要求'!L176</f>
        <v>0</v>
      </c>
      <c r="V31" s="292">
        <f>'入學要求'!M176</f>
        <v>0</v>
      </c>
      <c r="W31" s="292">
        <f>'入學要求'!N176</f>
        <v>0</v>
      </c>
      <c r="X31" s="292">
        <f>'入學要求'!O176</f>
        <v>0</v>
      </c>
      <c r="Y31" s="292">
        <f>'入學要求'!P176</f>
        <v>0</v>
      </c>
      <c r="Z31" s="292">
        <f>'入學要求'!Q176</f>
        <v>0</v>
      </c>
      <c r="AA31" s="205"/>
      <c r="AB31" s="132">
        <f>IF($AA$2="2018年",'Offer Statistics'!BO31,IF($AA$2="2019年",'Offer Statistics'!BO93,IF($AA$2="2020年",'Offer Statistics'!BO155)))</f>
        <v>254</v>
      </c>
      <c r="AC31" s="206">
        <f>IF($AA$2="2018年",'Offer Statistics'!BJ31,IF($AA$2="2019年",'Offer Statistics'!BJ93,IF($AA$2="2020年",'Offer Statistics'!BJ155)))</f>
        <v>251</v>
      </c>
      <c r="AD31" s="206">
        <f>IF($AA$2="2018年",'Offer Statistics'!BK31,IF($AA$2="2019年",'Offer Statistics'!BK93,IF($AA$2="2020年",'Offer Statistics'!BK155)))</f>
        <v>3</v>
      </c>
      <c r="AE31" s="206">
        <f>IF($AA$2="2018年",'Offer Statistics'!BL31,IF($AA$2="2019年",'Offer Statistics'!BL93,IF($AA$2="2020年",'Offer Statistics'!BL155)))</f>
        <v>0</v>
      </c>
      <c r="AF31" s="206">
        <f>IF($AA$2="2018年",'Offer Statistics'!BM31,IF($AA$2="2019年",'Offer Statistics'!BM93,IF($AA$2="2020年",'Offer Statistics'!BM155)))</f>
        <v>0</v>
      </c>
      <c r="AG31" s="206">
        <f>IF($AA$2="2018年",'Offer Statistics'!BN31,IF($AA$2="2019年",'Offer Statistics'!BN93,IF($AA$2="2020年",'Offer Statistics'!BN155)))</f>
        <v>0</v>
      </c>
      <c r="AH31" s="205"/>
      <c r="AI31" s="132">
        <f>IF($AH$2="2018年",'Offer Statistics'!BG31,IF($AH$2="2019年",'Offer Statistics'!BG93,IF($AH$2="2020年",'Offer Statistics'!BG155)))</f>
        <v>5654</v>
      </c>
      <c r="AJ31" s="206">
        <f>IF($AH$2="2018年",'Offer Statistics'!BB31,IF($AH$2="2019年",'Offer Statistics'!BB93,IF($AH$2="2020年",'Offer Statistics'!BB155)))</f>
        <v>1642</v>
      </c>
      <c r="AK31" s="206">
        <f>IF($AH$2="2018年",'Offer Statistics'!BC31,IF($AH$2="2019年",'Offer Statistics'!BC93,IF($AH$2="2020年",'Offer Statistics'!BC155)))</f>
        <v>1180</v>
      </c>
      <c r="AL31" s="206">
        <f>IF($AH$2="2018年",'Offer Statistics'!BD31,IF($AH$2="2019年",'Offer Statistics'!BD93,IF($AH$2="2020年",'Offer Statistics'!BD155)))</f>
        <v>1104</v>
      </c>
      <c r="AM31" s="206">
        <f>IF($AH$2="2018年",'Offer Statistics'!BE31,IF($AH$2="2019年",'Offer Statistics'!BE93,IF($AH$2="2020年",'Offer Statistics'!BE155)))</f>
        <v>1005</v>
      </c>
      <c r="AN31" s="206">
        <f>IF($AH$2="2018年",'Offer Statistics'!BF31,IF($AH$2="2019年",'Offer Statistics'!BF93,IF($AH$2="2020年",'Offer Statistics'!BF155)))</f>
        <v>723</v>
      </c>
      <c r="AO31" s="131"/>
      <c r="AP31" s="131" t="str">
        <f t="shared" si="3"/>
        <v>JS4401</v>
      </c>
    </row>
    <row r="32" ht="18.0" customHeight="1">
      <c r="A32" s="282" t="s">
        <v>528</v>
      </c>
      <c r="B32" s="282" t="s">
        <v>1002</v>
      </c>
      <c r="C32" s="282" t="s">
        <v>529</v>
      </c>
      <c r="D32" s="282" t="s">
        <v>1421</v>
      </c>
      <c r="E32" s="288" t="s">
        <v>21</v>
      </c>
      <c r="F32" s="284">
        <f>7*1.25+5.5*1.75+5.5*1.75+7*1.5+7*1.5</f>
        <v>49</v>
      </c>
      <c r="G32" s="284">
        <f>5.5*1.25+8.5*1.75+5.5*1.75+5.5*1.5+5.5*1.5</f>
        <v>47.875</v>
      </c>
      <c r="H32" s="284">
        <f>5.5*1.75+5.5*1.75+5.5*1.5+5.5*1.5+5.5</f>
        <v>41.25</v>
      </c>
      <c r="I32" s="285">
        <f>'計分版'!D195</f>
        <v>0.000000004225</v>
      </c>
      <c r="J32" s="286">
        <f t="shared" si="5"/>
        <v>-47.875</v>
      </c>
      <c r="K32" s="287">
        <f t="shared" si="6"/>
        <v>-11331360946</v>
      </c>
      <c r="L32" s="288">
        <v>30.0</v>
      </c>
      <c r="M32" s="293">
        <f>'入學要求'!S177</f>
        <v>0</v>
      </c>
      <c r="N32" s="283" t="s">
        <v>1077</v>
      </c>
      <c r="O32" s="283">
        <v>3.0</v>
      </c>
      <c r="P32" s="283">
        <v>3.0</v>
      </c>
      <c r="Q32" s="283">
        <v>4.0</v>
      </c>
      <c r="R32" s="283">
        <v>3.0</v>
      </c>
      <c r="S32" s="283">
        <v>3.0</v>
      </c>
      <c r="T32" s="283">
        <v>3.0</v>
      </c>
      <c r="U32" s="290">
        <f>'入學要求'!L177</f>
        <v>0</v>
      </c>
      <c r="V32" s="290">
        <f>'入學要求'!M177</f>
        <v>0</v>
      </c>
      <c r="W32" s="290">
        <f>'入學要求'!N177</f>
        <v>0</v>
      </c>
      <c r="X32" s="290">
        <f>'入學要求'!O177</f>
        <v>0</v>
      </c>
      <c r="Y32" s="290">
        <f>'入學要求'!P177</f>
        <v>0</v>
      </c>
      <c r="Z32" s="290">
        <f>'入學要求'!Q177</f>
        <v>0</v>
      </c>
      <c r="AA32" s="205"/>
      <c r="AB32" s="288">
        <f>IF($AA$2="2018年",'Offer Statistics'!BO32,IF($AA$2="2019年",'Offer Statistics'!BO94,IF($AA$2="2020年",'Offer Statistics'!BO156)))</f>
        <v>27</v>
      </c>
      <c r="AC32" s="291">
        <f>IF($AA$2="2018年",'Offer Statistics'!BJ32,IF($AA$2="2019年",'Offer Statistics'!BJ94,IF($AA$2="2020年",'Offer Statistics'!BJ156)))</f>
        <v>26</v>
      </c>
      <c r="AD32" s="291">
        <f>IF($AA$2="2018年",'Offer Statistics'!BK32,IF($AA$2="2019年",'Offer Statistics'!BK94,IF($AA$2="2020年",'Offer Statistics'!BK156)))</f>
        <v>0</v>
      </c>
      <c r="AE32" s="291">
        <f>IF($AA$2="2018年",'Offer Statistics'!BL32,IF($AA$2="2019年",'Offer Statistics'!BL94,IF($AA$2="2020年",'Offer Statistics'!BL156)))</f>
        <v>1</v>
      </c>
      <c r="AF32" s="291">
        <f>IF($AA$2="2018年",'Offer Statistics'!BM32,IF($AA$2="2019年",'Offer Statistics'!BM94,IF($AA$2="2020年",'Offer Statistics'!BM156)))</f>
        <v>0</v>
      </c>
      <c r="AG32" s="291">
        <f>IF($AA$2="2018年",'Offer Statistics'!BN32,IF($AA$2="2019年",'Offer Statistics'!BN94,IF($AA$2="2020年",'Offer Statistics'!BN156)))</f>
        <v>0</v>
      </c>
      <c r="AH32" s="205"/>
      <c r="AI32" s="288">
        <f>IF($AH$2="2018年",'Offer Statistics'!BG32,IF($AH$2="2019年",'Offer Statistics'!BG94,IF($AH$2="2020年",'Offer Statistics'!BG156)))</f>
        <v>878</v>
      </c>
      <c r="AJ32" s="291">
        <f>IF($AH$2="2018年",'Offer Statistics'!BB32,IF($AH$2="2019年",'Offer Statistics'!BB94,IF($AH$2="2020年",'Offer Statistics'!BB156)))</f>
        <v>141</v>
      </c>
      <c r="AK32" s="291">
        <f>IF($AH$2="2018年",'Offer Statistics'!BC32,IF($AH$2="2019年",'Offer Statistics'!BC94,IF($AH$2="2020年",'Offer Statistics'!BC156)))</f>
        <v>108</v>
      </c>
      <c r="AL32" s="291">
        <f>IF($AH$2="2018年",'Offer Statistics'!BD32,IF($AH$2="2019年",'Offer Statistics'!BD94,IF($AH$2="2020年",'Offer Statistics'!BD156)))</f>
        <v>181</v>
      </c>
      <c r="AM32" s="291">
        <f>IF($AH$2="2018年",'Offer Statistics'!BE32,IF($AH$2="2019年",'Offer Statistics'!BE94,IF($AH$2="2020年",'Offer Statistics'!BE156)))</f>
        <v>232</v>
      </c>
      <c r="AN32" s="291">
        <f>IF($AH$2="2018年",'Offer Statistics'!BF32,IF($AH$2="2019年",'Offer Statistics'!BF94,IF($AH$2="2020年",'Offer Statistics'!BF156)))</f>
        <v>216</v>
      </c>
      <c r="AO32" s="283"/>
      <c r="AP32" s="283" t="str">
        <f t="shared" si="3"/>
        <v>JS4428</v>
      </c>
    </row>
    <row r="33" ht="18.0" customHeight="1">
      <c r="A33" s="142" t="s">
        <v>530</v>
      </c>
      <c r="B33" s="142" t="s">
        <v>1002</v>
      </c>
      <c r="C33" s="142" t="s">
        <v>531</v>
      </c>
      <c r="D33" s="142" t="s">
        <v>1422</v>
      </c>
      <c r="E33" s="132" t="s">
        <v>21</v>
      </c>
      <c r="F33" s="199">
        <f>5.5*1.5+5.5*1.5+5.5*1.5+5.5+4</f>
        <v>34.25</v>
      </c>
      <c r="G33" s="199">
        <f>4*1.5+4*1.5+4*1.5+7+4</f>
        <v>29</v>
      </c>
      <c r="H33" s="199">
        <f>4*1.5+7+4*1.5+3*1.5+4</f>
        <v>27.5</v>
      </c>
      <c r="I33" s="200">
        <f>'計分版'!D196</f>
        <v>0.0000000041</v>
      </c>
      <c r="J33" s="215">
        <f t="shared" si="5"/>
        <v>-29</v>
      </c>
      <c r="K33" s="237">
        <f t="shared" si="6"/>
        <v>-7073170731</v>
      </c>
      <c r="L33" s="132">
        <v>57.0</v>
      </c>
      <c r="M33" s="203">
        <f>'入學要求'!S178</f>
        <v>0</v>
      </c>
      <c r="N33" s="131" t="s">
        <v>1077</v>
      </c>
      <c r="O33" s="131">
        <v>3.0</v>
      </c>
      <c r="P33" s="131">
        <v>3.0</v>
      </c>
      <c r="Q33" s="131">
        <v>3.0</v>
      </c>
      <c r="R33" s="131">
        <v>2.0</v>
      </c>
      <c r="S33" s="131">
        <v>3.0</v>
      </c>
      <c r="T33" s="131">
        <v>3.0</v>
      </c>
      <c r="U33" s="292">
        <f>'入學要求'!L178</f>
        <v>0</v>
      </c>
      <c r="V33" s="292">
        <f>'入學要求'!M178</f>
        <v>0</v>
      </c>
      <c r="W33" s="292">
        <f>'入學要求'!N178</f>
        <v>0</v>
      </c>
      <c r="X33" s="292">
        <f>'入學要求'!O178</f>
        <v>0</v>
      </c>
      <c r="Y33" s="292">
        <f>'入學要求'!P178</f>
        <v>0</v>
      </c>
      <c r="Z33" s="292">
        <f>'入學要求'!Q178</f>
        <v>0</v>
      </c>
      <c r="AA33" s="205"/>
      <c r="AB33" s="132">
        <f>IF($AA$2="2018年",'Offer Statistics'!BO33,IF($AA$2="2019年",'Offer Statistics'!BO95,IF($AA$2="2020年",'Offer Statistics'!BO157)))</f>
        <v>33</v>
      </c>
      <c r="AC33" s="206">
        <f>IF($AA$2="2018年",'Offer Statistics'!BJ33,IF($AA$2="2019年",'Offer Statistics'!BJ95,IF($AA$2="2020年",'Offer Statistics'!BJ157)))</f>
        <v>33</v>
      </c>
      <c r="AD33" s="206">
        <f>IF($AA$2="2018年",'Offer Statistics'!BK33,IF($AA$2="2019年",'Offer Statistics'!BK95,IF($AA$2="2020年",'Offer Statistics'!BK157)))</f>
        <v>0</v>
      </c>
      <c r="AE33" s="206">
        <f>IF($AA$2="2018年",'Offer Statistics'!BL33,IF($AA$2="2019年",'Offer Statistics'!BL95,IF($AA$2="2020年",'Offer Statistics'!BL157)))</f>
        <v>0</v>
      </c>
      <c r="AF33" s="206">
        <f>IF($AA$2="2018年",'Offer Statistics'!BM33,IF($AA$2="2019年",'Offer Statistics'!BM95,IF($AA$2="2020年",'Offer Statistics'!BM157)))</f>
        <v>0</v>
      </c>
      <c r="AG33" s="206">
        <f>IF($AA$2="2018年",'Offer Statistics'!BN33,IF($AA$2="2019年",'Offer Statistics'!BN95,IF($AA$2="2020年",'Offer Statistics'!BN157)))</f>
        <v>0</v>
      </c>
      <c r="AH33" s="205"/>
      <c r="AI33" s="132">
        <f>IF($AH$2="2018年",'Offer Statistics'!BG33,IF($AH$2="2019年",'Offer Statistics'!BG95,IF($AH$2="2020年",'Offer Statistics'!BG157)))</f>
        <v>3057</v>
      </c>
      <c r="AJ33" s="206">
        <f>IF($AH$2="2018年",'Offer Statistics'!BB33,IF($AH$2="2019年",'Offer Statistics'!BB95,IF($AH$2="2020年",'Offer Statistics'!BB157)))</f>
        <v>380</v>
      </c>
      <c r="AK33" s="206">
        <f>IF($AH$2="2018年",'Offer Statistics'!BC33,IF($AH$2="2019年",'Offer Statistics'!BC95,IF($AH$2="2020年",'Offer Statistics'!BC157)))</f>
        <v>523</v>
      </c>
      <c r="AL33" s="206">
        <f>IF($AH$2="2018年",'Offer Statistics'!BD33,IF($AH$2="2019年",'Offer Statistics'!BD95,IF($AH$2="2020年",'Offer Statistics'!BD157)))</f>
        <v>726</v>
      </c>
      <c r="AM33" s="206">
        <f>IF($AH$2="2018年",'Offer Statistics'!BE33,IF($AH$2="2019年",'Offer Statistics'!BE95,IF($AH$2="2020年",'Offer Statistics'!BE157)))</f>
        <v>853</v>
      </c>
      <c r="AN33" s="206">
        <f>IF($AH$2="2018年",'Offer Statistics'!BF33,IF($AH$2="2019年",'Offer Statistics'!BF95,IF($AH$2="2020年",'Offer Statistics'!BF157)))</f>
        <v>575</v>
      </c>
      <c r="AO33" s="131"/>
      <c r="AP33" s="131" t="str">
        <f t="shared" si="3"/>
        <v>JS4434</v>
      </c>
    </row>
    <row r="34" ht="18.0" customHeight="1">
      <c r="A34" s="282" t="s">
        <v>533</v>
      </c>
      <c r="B34" s="282" t="s">
        <v>1002</v>
      </c>
      <c r="C34" s="282" t="s">
        <v>534</v>
      </c>
      <c r="D34" s="282" t="s">
        <v>1423</v>
      </c>
      <c r="E34" s="288" t="s">
        <v>21</v>
      </c>
      <c r="F34" s="284">
        <f>5.5*1.5+5.5+7*1.5+7*1.5+4*1.5</f>
        <v>40.75</v>
      </c>
      <c r="G34" s="284">
        <f>5.5*1.5+5.5*1.5+5.5*1.5+5.5*1.5+4*1.5</f>
        <v>39</v>
      </c>
      <c r="H34" s="284">
        <f>5.5*1.5+5.5*1.5+5.5+7*1.5+4*1.5</f>
        <v>38.5</v>
      </c>
      <c r="I34" s="285">
        <f>'計分版'!D197</f>
        <v>0.0000000041</v>
      </c>
      <c r="J34" s="286">
        <f t="shared" si="5"/>
        <v>-39</v>
      </c>
      <c r="K34" s="287">
        <f t="shared" si="6"/>
        <v>-9512195121</v>
      </c>
      <c r="L34" s="288">
        <v>49.0</v>
      </c>
      <c r="M34" s="293">
        <f>'入學要求'!S179</f>
        <v>0</v>
      </c>
      <c r="N34" s="283" t="s">
        <v>1188</v>
      </c>
      <c r="O34" s="283">
        <v>3.0</v>
      </c>
      <c r="P34" s="283">
        <v>3.0</v>
      </c>
      <c r="Q34" s="283">
        <v>3.0</v>
      </c>
      <c r="R34" s="283">
        <v>2.0</v>
      </c>
      <c r="S34" s="283">
        <v>3.0</v>
      </c>
      <c r="T34" s="283">
        <v>3.0</v>
      </c>
      <c r="U34" s="290">
        <f>'入學要求'!L179</f>
        <v>0</v>
      </c>
      <c r="V34" s="290">
        <f>'入學要求'!M179</f>
        <v>0</v>
      </c>
      <c r="W34" s="290">
        <f>'入學要求'!N179</f>
        <v>0</v>
      </c>
      <c r="X34" s="290">
        <f>'入學要求'!O179</f>
        <v>0</v>
      </c>
      <c r="Y34" s="290">
        <f>'入學要求'!P179</f>
        <v>0</v>
      </c>
      <c r="Z34" s="290">
        <f>'入學要求'!Q179</f>
        <v>0</v>
      </c>
      <c r="AA34" s="205"/>
      <c r="AB34" s="288">
        <f>IF($AA$2="2018年",'Offer Statistics'!BO34,IF($AA$2="2019年",'Offer Statistics'!BO96,IF($AA$2="2020年",'Offer Statistics'!BO158)))</f>
        <v>28</v>
      </c>
      <c r="AC34" s="291">
        <f>IF($AA$2="2018年",'Offer Statistics'!BJ34,IF($AA$2="2019年",'Offer Statistics'!BJ96,IF($AA$2="2020年",'Offer Statistics'!BJ158)))</f>
        <v>28</v>
      </c>
      <c r="AD34" s="291">
        <f>IF($AA$2="2018年",'Offer Statistics'!BK34,IF($AA$2="2019年",'Offer Statistics'!BK96,IF($AA$2="2020年",'Offer Statistics'!BK158)))</f>
        <v>0</v>
      </c>
      <c r="AE34" s="291">
        <f>IF($AA$2="2018年",'Offer Statistics'!BL34,IF($AA$2="2019年",'Offer Statistics'!BL96,IF($AA$2="2020年",'Offer Statistics'!BL158)))</f>
        <v>0</v>
      </c>
      <c r="AF34" s="291">
        <f>IF($AA$2="2018年",'Offer Statistics'!BM34,IF($AA$2="2019年",'Offer Statistics'!BM96,IF($AA$2="2020年",'Offer Statistics'!BM158)))</f>
        <v>0</v>
      </c>
      <c r="AG34" s="291">
        <f>IF($AA$2="2018年",'Offer Statistics'!BN34,IF($AA$2="2019年",'Offer Statistics'!BN96,IF($AA$2="2020年",'Offer Statistics'!BN158)))</f>
        <v>0</v>
      </c>
      <c r="AH34" s="205"/>
      <c r="AI34" s="288">
        <f>IF($AH$2="2018年",'Offer Statistics'!BG34,IF($AH$2="2019年",'Offer Statistics'!BG96,IF($AH$2="2020年",'Offer Statistics'!BG158)))</f>
        <v>1725</v>
      </c>
      <c r="AJ34" s="291">
        <f>IF($AH$2="2018年",'Offer Statistics'!BB34,IF($AH$2="2019年",'Offer Statistics'!BB96,IF($AH$2="2020年",'Offer Statistics'!BB158)))</f>
        <v>146</v>
      </c>
      <c r="AK34" s="291">
        <f>IF($AH$2="2018年",'Offer Statistics'!BC34,IF($AH$2="2019年",'Offer Statistics'!BC96,IF($AH$2="2020年",'Offer Statistics'!BC158)))</f>
        <v>162</v>
      </c>
      <c r="AL34" s="291">
        <f>IF($AH$2="2018年",'Offer Statistics'!BD34,IF($AH$2="2019年",'Offer Statistics'!BD96,IF($AH$2="2020年",'Offer Statistics'!BD158)))</f>
        <v>389</v>
      </c>
      <c r="AM34" s="291">
        <f>IF($AH$2="2018年",'Offer Statistics'!BE34,IF($AH$2="2019年",'Offer Statistics'!BE96,IF($AH$2="2020年",'Offer Statistics'!BE158)))</f>
        <v>583</v>
      </c>
      <c r="AN34" s="291">
        <f>IF($AH$2="2018年",'Offer Statistics'!BF34,IF($AH$2="2019年",'Offer Statistics'!BF96,IF($AH$2="2020年",'Offer Statistics'!BF158)))</f>
        <v>445</v>
      </c>
      <c r="AO34" s="283"/>
      <c r="AP34" s="283" t="str">
        <f t="shared" si="3"/>
        <v>JS4460</v>
      </c>
    </row>
    <row r="35" ht="18.0" customHeight="1">
      <c r="A35" s="142" t="s">
        <v>535</v>
      </c>
      <c r="B35" s="142" t="s">
        <v>1002</v>
      </c>
      <c r="C35" s="142" t="s">
        <v>536</v>
      </c>
      <c r="D35" s="142" t="s">
        <v>1424</v>
      </c>
      <c r="E35" s="132" t="s">
        <v>21</v>
      </c>
      <c r="F35" s="199">
        <f>5.5*1.5+4*1.5+4*1.5+4*1.5+5.5</f>
        <v>31.75</v>
      </c>
      <c r="G35" s="199">
        <f>4*1.5+5.5+4*1.5+4*1.5+4*1.5</f>
        <v>29.5</v>
      </c>
      <c r="H35" s="199">
        <f>5.5*1.5+5.5*1.5+3*1.5+3+4</f>
        <v>28</v>
      </c>
      <c r="I35" s="200">
        <f>'計分版'!D198</f>
        <v>0.0000000041</v>
      </c>
      <c r="J35" s="215">
        <f t="shared" si="5"/>
        <v>-29.5</v>
      </c>
      <c r="K35" s="237">
        <f t="shared" si="6"/>
        <v>-7195121950</v>
      </c>
      <c r="L35" s="132">
        <v>35.0</v>
      </c>
      <c r="M35" s="203">
        <f>'入學要求'!S180</f>
        <v>0</v>
      </c>
      <c r="N35" s="131" t="s">
        <v>1077</v>
      </c>
      <c r="O35" s="131">
        <v>3.0</v>
      </c>
      <c r="P35" s="131">
        <v>3.0</v>
      </c>
      <c r="Q35" s="131">
        <v>3.0</v>
      </c>
      <c r="R35" s="131">
        <v>2.0</v>
      </c>
      <c r="S35" s="131">
        <v>3.0</v>
      </c>
      <c r="T35" s="131">
        <v>3.0</v>
      </c>
      <c r="U35" s="292">
        <f>'入學要求'!L180</f>
        <v>0</v>
      </c>
      <c r="V35" s="292">
        <f>'入學要求'!M180</f>
        <v>0</v>
      </c>
      <c r="W35" s="292">
        <f>'入學要求'!N180</f>
        <v>0</v>
      </c>
      <c r="X35" s="292">
        <f>'入學要求'!O180</f>
        <v>0</v>
      </c>
      <c r="Y35" s="292">
        <f>'入學要求'!P180</f>
        <v>0</v>
      </c>
      <c r="Z35" s="292">
        <f>'入學要求'!Q180</f>
        <v>0</v>
      </c>
      <c r="AA35" s="205"/>
      <c r="AB35" s="132">
        <f>IF($AA$2="2018年",'Offer Statistics'!BO35,IF($AA$2="2019年",'Offer Statistics'!BO97,IF($AA$2="2020年",'Offer Statistics'!BO159)))</f>
        <v>33</v>
      </c>
      <c r="AC35" s="206">
        <f>IF($AA$2="2018年",'Offer Statistics'!BJ35,IF($AA$2="2019年",'Offer Statistics'!BJ97,IF($AA$2="2020年",'Offer Statistics'!BJ159)))</f>
        <v>31</v>
      </c>
      <c r="AD35" s="206">
        <f>IF($AA$2="2018年",'Offer Statistics'!BK35,IF($AA$2="2019年",'Offer Statistics'!BK97,IF($AA$2="2020年",'Offer Statistics'!BK159)))</f>
        <v>2</v>
      </c>
      <c r="AE35" s="206">
        <f>IF($AA$2="2018年",'Offer Statistics'!BL35,IF($AA$2="2019年",'Offer Statistics'!BL97,IF($AA$2="2020年",'Offer Statistics'!BL159)))</f>
        <v>0</v>
      </c>
      <c r="AF35" s="206">
        <f>IF($AA$2="2018年",'Offer Statistics'!BM35,IF($AA$2="2019年",'Offer Statistics'!BM97,IF($AA$2="2020年",'Offer Statistics'!BM159)))</f>
        <v>0</v>
      </c>
      <c r="AG35" s="206">
        <f>IF($AA$2="2018年",'Offer Statistics'!BN35,IF($AA$2="2019年",'Offer Statistics'!BN97,IF($AA$2="2020年",'Offer Statistics'!BN159)))</f>
        <v>0</v>
      </c>
      <c r="AH35" s="205"/>
      <c r="AI35" s="132">
        <f>IF($AH$2="2018年",'Offer Statistics'!BG35,IF($AH$2="2019年",'Offer Statistics'!BG97,IF($AH$2="2020年",'Offer Statistics'!BG159)))</f>
        <v>2187</v>
      </c>
      <c r="AJ35" s="206">
        <f>IF($AH$2="2018年",'Offer Statistics'!BB35,IF($AH$2="2019年",'Offer Statistics'!BB97,IF($AH$2="2020年",'Offer Statistics'!BB159)))</f>
        <v>184</v>
      </c>
      <c r="AK35" s="206">
        <f>IF($AH$2="2018年",'Offer Statistics'!BC35,IF($AH$2="2019年",'Offer Statistics'!BC97,IF($AH$2="2020年",'Offer Statistics'!BC159)))</f>
        <v>244</v>
      </c>
      <c r="AL35" s="206">
        <f>IF($AH$2="2018年",'Offer Statistics'!BD35,IF($AH$2="2019年",'Offer Statistics'!BD97,IF($AH$2="2020年",'Offer Statistics'!BD159)))</f>
        <v>490</v>
      </c>
      <c r="AM35" s="206">
        <f>IF($AH$2="2018年",'Offer Statistics'!BE35,IF($AH$2="2019年",'Offer Statistics'!BE97,IF($AH$2="2020年",'Offer Statistics'!BE159)))</f>
        <v>700</v>
      </c>
      <c r="AN35" s="206">
        <f>IF($AH$2="2018年",'Offer Statistics'!BF35,IF($AH$2="2019年",'Offer Statistics'!BF97,IF($AH$2="2020年",'Offer Statistics'!BF159)))</f>
        <v>569</v>
      </c>
      <c r="AO35" s="131"/>
      <c r="AP35" s="131" t="str">
        <f t="shared" si="3"/>
        <v>JS4462</v>
      </c>
    </row>
    <row r="36" ht="18.0" customHeight="1">
      <c r="A36" s="282" t="s">
        <v>537</v>
      </c>
      <c r="B36" s="282" t="s">
        <v>1002</v>
      </c>
      <c r="C36" s="282" t="s">
        <v>538</v>
      </c>
      <c r="D36" s="282" t="s">
        <v>1425</v>
      </c>
      <c r="E36" s="288" t="s">
        <v>21</v>
      </c>
      <c r="F36" s="284">
        <f>8.5*1.75+8.5*1.75+7*1.5+5.5*1.5+5.5*1.5</f>
        <v>56.75</v>
      </c>
      <c r="G36" s="284">
        <f>8.5*1.75+5.5*1.75+7*1.5+8.5+5.5*1.5</f>
        <v>51.75</v>
      </c>
      <c r="H36" s="284">
        <f>8.5*1.75+7*1.75+7*1.5+4*1.5+4*1.25</f>
        <v>48.625</v>
      </c>
      <c r="I36" s="285">
        <f>'計分版'!D199</f>
        <v>0.000000004225</v>
      </c>
      <c r="J36" s="286">
        <f t="shared" si="5"/>
        <v>-51.75</v>
      </c>
      <c r="K36" s="287">
        <f t="shared" si="6"/>
        <v>-12248520709</v>
      </c>
      <c r="L36" s="288">
        <v>30.0</v>
      </c>
      <c r="M36" s="293">
        <f>'入學要求'!S181</f>
        <v>0</v>
      </c>
      <c r="N36" s="283" t="s">
        <v>1077</v>
      </c>
      <c r="O36" s="283">
        <v>3.0</v>
      </c>
      <c r="P36" s="283">
        <v>4.0</v>
      </c>
      <c r="Q36" s="283">
        <v>5.0</v>
      </c>
      <c r="R36" s="283">
        <v>3.0</v>
      </c>
      <c r="S36" s="283">
        <v>3.0</v>
      </c>
      <c r="T36" s="283">
        <v>3.0</v>
      </c>
      <c r="U36" s="290">
        <f>'入學要求'!L181</f>
        <v>0</v>
      </c>
      <c r="V36" s="290">
        <f>'入學要求'!M181</f>
        <v>0</v>
      </c>
      <c r="W36" s="290">
        <f>'入學要求'!N181</f>
        <v>0</v>
      </c>
      <c r="X36" s="290">
        <f>'入學要求'!O181</f>
        <v>0</v>
      </c>
      <c r="Y36" s="290">
        <f>'入學要求'!P181</f>
        <v>0</v>
      </c>
      <c r="Z36" s="290">
        <f>'入學要求'!Q181</f>
        <v>0</v>
      </c>
      <c r="AA36" s="205"/>
      <c r="AB36" s="288">
        <f>IF($AA$2="2018年",'Offer Statistics'!BO36,IF($AA$2="2019年",'Offer Statistics'!BO98,IF($AA$2="2020年",'Offer Statistics'!BO160)))</f>
        <v>35</v>
      </c>
      <c r="AC36" s="291">
        <f>IF($AA$2="2018年",'Offer Statistics'!BJ36,IF($AA$2="2019年",'Offer Statistics'!BJ98,IF($AA$2="2020年",'Offer Statistics'!BJ160)))</f>
        <v>35</v>
      </c>
      <c r="AD36" s="291">
        <f>IF($AA$2="2018年",'Offer Statistics'!BK36,IF($AA$2="2019年",'Offer Statistics'!BK98,IF($AA$2="2020年",'Offer Statistics'!BK160)))</f>
        <v>0</v>
      </c>
      <c r="AE36" s="291">
        <f>IF($AA$2="2018年",'Offer Statistics'!BL36,IF($AA$2="2019年",'Offer Statistics'!BL98,IF($AA$2="2020年",'Offer Statistics'!BL160)))</f>
        <v>0</v>
      </c>
      <c r="AF36" s="291">
        <f>IF($AA$2="2018年",'Offer Statistics'!BM36,IF($AA$2="2019年",'Offer Statistics'!BM98,IF($AA$2="2020年",'Offer Statistics'!BM160)))</f>
        <v>0</v>
      </c>
      <c r="AG36" s="291">
        <f>IF($AA$2="2018年",'Offer Statistics'!BN36,IF($AA$2="2019年",'Offer Statistics'!BN98,IF($AA$2="2020年",'Offer Statistics'!BN160)))</f>
        <v>0</v>
      </c>
      <c r="AH36" s="205"/>
      <c r="AI36" s="288">
        <f>IF($AH$2="2018年",'Offer Statistics'!BG36,IF($AH$2="2019年",'Offer Statistics'!BG98,IF($AH$2="2020年",'Offer Statistics'!BG160)))</f>
        <v>1372</v>
      </c>
      <c r="AJ36" s="291">
        <f>IF($AH$2="2018年",'Offer Statistics'!BB36,IF($AH$2="2019年",'Offer Statistics'!BB98,IF($AH$2="2020年",'Offer Statistics'!BB160)))</f>
        <v>234</v>
      </c>
      <c r="AK36" s="291">
        <f>IF($AH$2="2018年",'Offer Statistics'!BC36,IF($AH$2="2019年",'Offer Statistics'!BC98,IF($AH$2="2020年",'Offer Statistics'!BC160)))</f>
        <v>173</v>
      </c>
      <c r="AL36" s="291">
        <f>IF($AH$2="2018年",'Offer Statistics'!BD36,IF($AH$2="2019年",'Offer Statistics'!BD98,IF($AH$2="2020年",'Offer Statistics'!BD160)))</f>
        <v>277</v>
      </c>
      <c r="AM36" s="291">
        <f>IF($AH$2="2018年",'Offer Statistics'!BE36,IF($AH$2="2019年",'Offer Statistics'!BE98,IF($AH$2="2020年",'Offer Statistics'!BE160)))</f>
        <v>366</v>
      </c>
      <c r="AN36" s="291">
        <f>IF($AH$2="2018年",'Offer Statistics'!BF36,IF($AH$2="2019年",'Offer Statistics'!BF98,IF($AH$2="2020年",'Offer Statistics'!BF160)))</f>
        <v>322</v>
      </c>
      <c r="AO36" s="283"/>
      <c r="AP36" s="283" t="str">
        <f t="shared" si="3"/>
        <v>JS4468</v>
      </c>
    </row>
    <row r="37" ht="18.0" customHeight="1">
      <c r="A37" s="142" t="s">
        <v>539</v>
      </c>
      <c r="B37" s="142" t="s">
        <v>1016</v>
      </c>
      <c r="C37" s="142" t="s">
        <v>540</v>
      </c>
      <c r="D37" s="142" t="s">
        <v>1426</v>
      </c>
      <c r="E37" s="131" t="s">
        <v>478</v>
      </c>
      <c r="F37" s="199">
        <f>7+7+6+6+6+6+5</f>
        <v>43</v>
      </c>
      <c r="G37" s="199">
        <f>5+6+6+5+7+7+6</f>
        <v>42</v>
      </c>
      <c r="H37" s="199">
        <f>5+6+7+6+5+6+6</f>
        <v>41</v>
      </c>
      <c r="I37" s="200">
        <f>'計分版'!D200</f>
        <v>0.00000000175</v>
      </c>
      <c r="J37" s="215">
        <f t="shared" si="5"/>
        <v>-42</v>
      </c>
      <c r="K37" s="237">
        <f t="shared" si="6"/>
        <v>-23999999999</v>
      </c>
      <c r="L37" s="132" t="s">
        <v>1427</v>
      </c>
      <c r="M37" s="203">
        <f>'入學要求'!S182</f>
        <v>0</v>
      </c>
      <c r="N37" s="131" t="s">
        <v>1188</v>
      </c>
      <c r="O37" s="131">
        <v>3.0</v>
      </c>
      <c r="P37" s="131">
        <v>4.0</v>
      </c>
      <c r="Q37" s="131">
        <v>3.0</v>
      </c>
      <c r="R37" s="131">
        <v>3.0</v>
      </c>
      <c r="S37" s="131">
        <v>3.0</v>
      </c>
      <c r="T37" s="131">
        <v>3.0</v>
      </c>
      <c r="U37" s="292">
        <f>'入學要求'!L182</f>
        <v>0</v>
      </c>
      <c r="V37" s="292">
        <f>'入學要求'!M182</f>
        <v>0</v>
      </c>
      <c r="W37" s="292">
        <f>'入學要求'!N182</f>
        <v>0</v>
      </c>
      <c r="X37" s="292">
        <f>'入學要求'!O182</f>
        <v>0</v>
      </c>
      <c r="Y37" s="292">
        <f>'入學要求'!P182</f>
        <v>0</v>
      </c>
      <c r="Z37" s="292">
        <f>'入學要求'!Q182</f>
        <v>0</v>
      </c>
      <c r="AA37" s="205"/>
      <c r="AB37" s="132">
        <f>IF($AA$2="2018年",'Offer Statistics'!BO37,IF($AA$2="2019年",'Offer Statistics'!BO99,IF($AA$2="2020年",'Offer Statistics'!BO161)))</f>
        <v>150</v>
      </c>
      <c r="AC37" s="206">
        <f>IF($AA$2="2018年",'Offer Statistics'!BJ37,IF($AA$2="2019年",'Offer Statistics'!BJ99,IF($AA$2="2020年",'Offer Statistics'!BJ161)))</f>
        <v>150</v>
      </c>
      <c r="AD37" s="206">
        <f>IF($AA$2="2018年",'Offer Statistics'!BK37,IF($AA$2="2019年",'Offer Statistics'!BK99,IF($AA$2="2020年",'Offer Statistics'!BK161)))</f>
        <v>0</v>
      </c>
      <c r="AE37" s="206">
        <f>IF($AA$2="2018年",'Offer Statistics'!BL37,IF($AA$2="2019年",'Offer Statistics'!BL99,IF($AA$2="2020年",'Offer Statistics'!BL161)))</f>
        <v>0</v>
      </c>
      <c r="AF37" s="206">
        <f>IF($AA$2="2018年",'Offer Statistics'!BM37,IF($AA$2="2019年",'Offer Statistics'!BM99,IF($AA$2="2020年",'Offer Statistics'!BM161)))</f>
        <v>0</v>
      </c>
      <c r="AG37" s="206">
        <f>IF($AA$2="2018年",'Offer Statistics'!BN37,IF($AA$2="2019年",'Offer Statistics'!BN99,IF($AA$2="2020年",'Offer Statistics'!BN161)))</f>
        <v>0</v>
      </c>
      <c r="AH37" s="205"/>
      <c r="AI37" s="132">
        <f>IF($AH$2="2018年",'Offer Statistics'!BG37,IF($AH$2="2019年",'Offer Statistics'!BG99,IF($AH$2="2020年",'Offer Statistics'!BG161)))</f>
        <v>1071</v>
      </c>
      <c r="AJ37" s="206">
        <f>IF($AH$2="2018年",'Offer Statistics'!BB37,IF($AH$2="2019年",'Offer Statistics'!BB99,IF($AH$2="2020年",'Offer Statistics'!BB161)))</f>
        <v>496</v>
      </c>
      <c r="AK37" s="206">
        <f>IF($AH$2="2018年",'Offer Statistics'!BC37,IF($AH$2="2019年",'Offer Statistics'!BC99,IF($AH$2="2020年",'Offer Statistics'!BC161)))</f>
        <v>71</v>
      </c>
      <c r="AL37" s="206">
        <f>IF($AH$2="2018年",'Offer Statistics'!BD37,IF($AH$2="2019年",'Offer Statistics'!BD99,IF($AH$2="2020年",'Offer Statistics'!BD161)))</f>
        <v>108</v>
      </c>
      <c r="AM37" s="206">
        <f>IF($AH$2="2018年",'Offer Statistics'!BE37,IF($AH$2="2019年",'Offer Statistics'!BE99,IF($AH$2="2020年",'Offer Statistics'!BE161)))</f>
        <v>145</v>
      </c>
      <c r="AN37" s="206">
        <f>IF($AH$2="2018年",'Offer Statistics'!BF37,IF($AH$2="2019年",'Offer Statistics'!BF99,IF($AH$2="2020年",'Offer Statistics'!BF161)))</f>
        <v>251</v>
      </c>
      <c r="AO37" s="131"/>
      <c r="AP37" s="131" t="str">
        <f t="shared" si="3"/>
        <v>JS4501</v>
      </c>
    </row>
    <row r="38" ht="18.0" customHeight="1">
      <c r="A38" s="282" t="s">
        <v>542</v>
      </c>
      <c r="B38" s="282" t="s">
        <v>1016</v>
      </c>
      <c r="C38" s="282" t="s">
        <v>543</v>
      </c>
      <c r="D38" s="282" t="s">
        <v>1428</v>
      </c>
      <c r="E38" s="283" t="s">
        <v>478</v>
      </c>
      <c r="F38" s="284">
        <f>7+7+7+7+7+7+6</f>
        <v>48</v>
      </c>
      <c r="G38" s="284">
        <f>7+7+6+7+7+7+6</f>
        <v>47</v>
      </c>
      <c r="H38" s="284">
        <f>6+7+7+7+7+6+6</f>
        <v>46</v>
      </c>
      <c r="I38" s="285">
        <f>'計分版'!D201</f>
        <v>0.00000000175</v>
      </c>
      <c r="J38" s="286">
        <f t="shared" si="5"/>
        <v>-47</v>
      </c>
      <c r="K38" s="287">
        <f t="shared" si="6"/>
        <v>-26857142856</v>
      </c>
      <c r="L38" s="288">
        <v>30.0</v>
      </c>
      <c r="M38" s="293">
        <f>'入學要求'!S183</f>
        <v>0</v>
      </c>
      <c r="N38" s="283" t="s">
        <v>1188</v>
      </c>
      <c r="O38" s="283">
        <v>3.0</v>
      </c>
      <c r="P38" s="283">
        <v>4.0</v>
      </c>
      <c r="Q38" s="283">
        <v>3.0</v>
      </c>
      <c r="R38" s="283">
        <v>3.0</v>
      </c>
      <c r="S38" s="283">
        <v>3.0</v>
      </c>
      <c r="T38" s="283">
        <v>3.0</v>
      </c>
      <c r="U38" s="290">
        <f>'入學要求'!L183</f>
        <v>0</v>
      </c>
      <c r="V38" s="290">
        <f>'入學要求'!M183</f>
        <v>0</v>
      </c>
      <c r="W38" s="290">
        <f>'入學要求'!N183</f>
        <v>0</v>
      </c>
      <c r="X38" s="290">
        <f>'入學要求'!O183</f>
        <v>0</v>
      </c>
      <c r="Y38" s="290">
        <f>'入學要求'!P183</f>
        <v>0</v>
      </c>
      <c r="Z38" s="290">
        <f>'入學要求'!Q183</f>
        <v>0</v>
      </c>
      <c r="AA38" s="205"/>
      <c r="AB38" s="288">
        <f>IF($AA$2="2018年",'Offer Statistics'!BO38,IF($AA$2="2019年",'Offer Statistics'!BO100,IF($AA$2="2020年",'Offer Statistics'!BO162)))</f>
        <v>36</v>
      </c>
      <c r="AC38" s="291">
        <f>IF($AA$2="2018年",'Offer Statistics'!BJ38,IF($AA$2="2019年",'Offer Statistics'!BJ100,IF($AA$2="2020年",'Offer Statistics'!BJ162)))</f>
        <v>36</v>
      </c>
      <c r="AD38" s="291">
        <f>IF($AA$2="2018年",'Offer Statistics'!BK38,IF($AA$2="2019年",'Offer Statistics'!BK100,IF($AA$2="2020年",'Offer Statistics'!BK162)))</f>
        <v>0</v>
      </c>
      <c r="AE38" s="291">
        <f>IF($AA$2="2018年",'Offer Statistics'!BL38,IF($AA$2="2019年",'Offer Statistics'!BL100,IF($AA$2="2020年",'Offer Statistics'!BL162)))</f>
        <v>0</v>
      </c>
      <c r="AF38" s="291">
        <f>IF($AA$2="2018年",'Offer Statistics'!BM38,IF($AA$2="2019年",'Offer Statistics'!BM100,IF($AA$2="2020年",'Offer Statistics'!BM162)))</f>
        <v>0</v>
      </c>
      <c r="AG38" s="291">
        <f>IF($AA$2="2018年",'Offer Statistics'!BN38,IF($AA$2="2019年",'Offer Statistics'!BN100,IF($AA$2="2020年",'Offer Statistics'!BN162)))</f>
        <v>0</v>
      </c>
      <c r="AH38" s="205"/>
      <c r="AI38" s="288">
        <f>IF($AH$2="2018年",'Offer Statistics'!BG38,IF($AH$2="2019年",'Offer Statistics'!BG100,IF($AH$2="2020年",'Offer Statistics'!BG162)))</f>
        <v>293</v>
      </c>
      <c r="AJ38" s="291">
        <f>IF($AH$2="2018年",'Offer Statistics'!BB38,IF($AH$2="2019年",'Offer Statistics'!BB100,IF($AH$2="2020年",'Offer Statistics'!BB162)))</f>
        <v>70</v>
      </c>
      <c r="AK38" s="291">
        <f>IF($AH$2="2018年",'Offer Statistics'!BC38,IF($AH$2="2019年",'Offer Statistics'!BC100,IF($AH$2="2020年",'Offer Statistics'!BC162)))</f>
        <v>38</v>
      </c>
      <c r="AL38" s="291">
        <f>IF($AH$2="2018年",'Offer Statistics'!BD38,IF($AH$2="2019年",'Offer Statistics'!BD100,IF($AH$2="2020年",'Offer Statistics'!BD162)))</f>
        <v>36</v>
      </c>
      <c r="AM38" s="291">
        <f>IF($AH$2="2018年",'Offer Statistics'!BE38,IF($AH$2="2019年",'Offer Statistics'!BE100,IF($AH$2="2020年",'Offer Statistics'!BE162)))</f>
        <v>42</v>
      </c>
      <c r="AN38" s="291">
        <f>IF($AH$2="2018年",'Offer Statistics'!BF38,IF($AH$2="2019年",'Offer Statistics'!BF100,IF($AH$2="2020年",'Offer Statistics'!BF162)))</f>
        <v>107</v>
      </c>
      <c r="AO38" s="283"/>
      <c r="AP38" s="283" t="str">
        <f t="shared" si="3"/>
        <v>JS4502</v>
      </c>
    </row>
    <row r="39" ht="18.0" customHeight="1">
      <c r="A39" s="142" t="s">
        <v>544</v>
      </c>
      <c r="B39" s="142" t="s">
        <v>1016</v>
      </c>
      <c r="C39" s="142" t="s">
        <v>545</v>
      </c>
      <c r="D39" s="142" t="s">
        <v>1317</v>
      </c>
      <c r="E39" s="132" t="s">
        <v>191</v>
      </c>
      <c r="F39" s="199">
        <f>4+4+7+4+7*1.5+7*1.5</f>
        <v>40</v>
      </c>
      <c r="G39" s="199">
        <f>4+4+7+4+7*1.5+5.5*1.5</f>
        <v>37.75</v>
      </c>
      <c r="H39" s="199">
        <f>4+5.5+7+3+5.5*1.5+5.5*1.5</f>
        <v>36</v>
      </c>
      <c r="I39" s="200">
        <f>'計分版'!D202</f>
        <v>0.00000000285</v>
      </c>
      <c r="J39" s="215">
        <f t="shared" si="5"/>
        <v>-37.75</v>
      </c>
      <c r="K39" s="237">
        <f t="shared" si="6"/>
        <v>-13245614034</v>
      </c>
      <c r="L39" s="132">
        <v>217.0</v>
      </c>
      <c r="M39" s="203">
        <f>'入學要求'!S184</f>
        <v>0</v>
      </c>
      <c r="N39" s="135" t="s">
        <v>1166</v>
      </c>
      <c r="O39" s="131">
        <v>3.0</v>
      </c>
      <c r="P39" s="131">
        <v>3.0</v>
      </c>
      <c r="Q39" s="131">
        <v>2.0</v>
      </c>
      <c r="R39" s="131">
        <v>2.0</v>
      </c>
      <c r="S39" s="131">
        <v>3.0</v>
      </c>
      <c r="T39" s="131">
        <v>3.0</v>
      </c>
      <c r="U39" s="292">
        <f>'入學要求'!L184</f>
        <v>0</v>
      </c>
      <c r="V39" s="292">
        <f>'入學要求'!M184</f>
        <v>0</v>
      </c>
      <c r="W39" s="292">
        <f>'入學要求'!N184</f>
        <v>0</v>
      </c>
      <c r="X39" s="292">
        <f>'入學要求'!O184</f>
        <v>0</v>
      </c>
      <c r="Y39" s="292">
        <f>'入學要求'!P184</f>
        <v>0</v>
      </c>
      <c r="Z39" s="292">
        <f>'入學要求'!Q184</f>
        <v>0</v>
      </c>
      <c r="AA39" s="205"/>
      <c r="AB39" s="132">
        <f>IF($AA$2="2018年",'Offer Statistics'!BO39,IF($AA$2="2019年",'Offer Statistics'!BO101,IF($AA$2="2020年",'Offer Statistics'!BO163)))</f>
        <v>204</v>
      </c>
      <c r="AC39" s="206">
        <f>IF($AA$2="2018年",'Offer Statistics'!BJ39,IF($AA$2="2019年",'Offer Statistics'!BJ101,IF($AA$2="2020年",'Offer Statistics'!BJ163)))</f>
        <v>204</v>
      </c>
      <c r="AD39" s="206">
        <f>IF($AA$2="2018年",'Offer Statistics'!BK39,IF($AA$2="2019年",'Offer Statistics'!BK101,IF($AA$2="2020年",'Offer Statistics'!BK163)))</f>
        <v>0</v>
      </c>
      <c r="AE39" s="206">
        <f>IF($AA$2="2018年",'Offer Statistics'!BL39,IF($AA$2="2019年",'Offer Statistics'!BL101,IF($AA$2="2020年",'Offer Statistics'!BL163)))</f>
        <v>0</v>
      </c>
      <c r="AF39" s="206">
        <f>IF($AA$2="2018年",'Offer Statistics'!BM39,IF($AA$2="2019年",'Offer Statistics'!BM101,IF($AA$2="2020年",'Offer Statistics'!BM163)))</f>
        <v>0</v>
      </c>
      <c r="AG39" s="206">
        <f>IF($AA$2="2018年",'Offer Statistics'!BN39,IF($AA$2="2019年",'Offer Statistics'!BN101,IF($AA$2="2020年",'Offer Statistics'!BN163)))</f>
        <v>0</v>
      </c>
      <c r="AH39" s="205"/>
      <c r="AI39" s="132">
        <f>IF($AH$2="2018年",'Offer Statistics'!BG39,IF($AH$2="2019年",'Offer Statistics'!BG101,IF($AH$2="2020年",'Offer Statistics'!BG163)))</f>
        <v>3893</v>
      </c>
      <c r="AJ39" s="206">
        <f>IF($AH$2="2018年",'Offer Statistics'!BB39,IF($AH$2="2019年",'Offer Statistics'!BB101,IF($AH$2="2020年",'Offer Statistics'!BB163)))</f>
        <v>805</v>
      </c>
      <c r="AK39" s="206">
        <f>IF($AH$2="2018年",'Offer Statistics'!BC39,IF($AH$2="2019年",'Offer Statistics'!BC101,IF($AH$2="2020年",'Offer Statistics'!BC163)))</f>
        <v>665</v>
      </c>
      <c r="AL39" s="206">
        <f>IF($AH$2="2018年",'Offer Statistics'!BD39,IF($AH$2="2019年",'Offer Statistics'!BD101,IF($AH$2="2020年",'Offer Statistics'!BD163)))</f>
        <v>888</v>
      </c>
      <c r="AM39" s="206">
        <f>IF($AH$2="2018年",'Offer Statistics'!BE39,IF($AH$2="2019年",'Offer Statistics'!BE101,IF($AH$2="2020年",'Offer Statistics'!BE163)))</f>
        <v>845</v>
      </c>
      <c r="AN39" s="206">
        <f>IF($AH$2="2018年",'Offer Statistics'!BF39,IF($AH$2="2019年",'Offer Statistics'!BF101,IF($AH$2="2020年",'Offer Statistics'!BF163)))</f>
        <v>690</v>
      </c>
      <c r="AO39" s="131"/>
      <c r="AP39" s="131" t="str">
        <f t="shared" si="3"/>
        <v>JS4513</v>
      </c>
    </row>
    <row r="40" ht="18.0" customHeight="1">
      <c r="A40" s="282" t="s">
        <v>546</v>
      </c>
      <c r="B40" s="282" t="s">
        <v>1016</v>
      </c>
      <c r="C40" s="282" t="s">
        <v>547</v>
      </c>
      <c r="D40" s="282" t="s">
        <v>1429</v>
      </c>
      <c r="E40" s="283" t="s">
        <v>191</v>
      </c>
      <c r="F40" s="284">
        <f>4+4+8.5+4+8.5+8.5</f>
        <v>37.5</v>
      </c>
      <c r="G40" s="284">
        <f>7+7+7+4+5.5+5.5</f>
        <v>36</v>
      </c>
      <c r="H40" s="284">
        <f>5.5+5.5+7+4+7+5.5</f>
        <v>34.5</v>
      </c>
      <c r="I40" s="285">
        <f>'計分版'!D203</f>
        <v>0.00000000285</v>
      </c>
      <c r="J40" s="286">
        <f t="shared" si="5"/>
        <v>-36</v>
      </c>
      <c r="K40" s="287">
        <f t="shared" si="6"/>
        <v>-12631578946</v>
      </c>
      <c r="L40" s="288">
        <v>61.0</v>
      </c>
      <c r="M40" s="293">
        <f>'入學要求'!S185</f>
        <v>0</v>
      </c>
      <c r="N40" s="283" t="s">
        <v>1188</v>
      </c>
      <c r="O40" s="283">
        <v>3.0</v>
      </c>
      <c r="P40" s="283">
        <v>3.0</v>
      </c>
      <c r="Q40" s="283">
        <v>3.0</v>
      </c>
      <c r="R40" s="283">
        <v>3.0</v>
      </c>
      <c r="S40" s="283">
        <v>3.0</v>
      </c>
      <c r="T40" s="283">
        <v>3.0</v>
      </c>
      <c r="U40" s="290">
        <f>'入學要求'!L185</f>
        <v>0</v>
      </c>
      <c r="V40" s="290">
        <f>'入學要求'!M185</f>
        <v>0</v>
      </c>
      <c r="W40" s="290">
        <f>'入學要求'!N185</f>
        <v>0</v>
      </c>
      <c r="X40" s="290">
        <f>'入學要求'!O185</f>
        <v>0</v>
      </c>
      <c r="Y40" s="290">
        <f>'入學要求'!P185</f>
        <v>0</v>
      </c>
      <c r="Z40" s="290">
        <f>'入學要求'!Q185</f>
        <v>0</v>
      </c>
      <c r="AA40" s="205"/>
      <c r="AB40" s="288">
        <f>IF($AA$2="2018年",'Offer Statistics'!BO40,IF($AA$2="2019年",'Offer Statistics'!BO102,IF($AA$2="2020年",'Offer Statistics'!BO164)))</f>
        <v>49</v>
      </c>
      <c r="AC40" s="291">
        <f>IF($AA$2="2018年",'Offer Statistics'!BJ40,IF($AA$2="2019年",'Offer Statistics'!BJ102,IF($AA$2="2020年",'Offer Statistics'!BJ164)))</f>
        <v>49</v>
      </c>
      <c r="AD40" s="291">
        <f>IF($AA$2="2018年",'Offer Statistics'!BK40,IF($AA$2="2019年",'Offer Statistics'!BK102,IF($AA$2="2020年",'Offer Statistics'!BK164)))</f>
        <v>0</v>
      </c>
      <c r="AE40" s="291">
        <f>IF($AA$2="2018年",'Offer Statistics'!BL40,IF($AA$2="2019年",'Offer Statistics'!BL102,IF($AA$2="2020年",'Offer Statistics'!BL164)))</f>
        <v>0</v>
      </c>
      <c r="AF40" s="291">
        <f>IF($AA$2="2018年",'Offer Statistics'!BM40,IF($AA$2="2019年",'Offer Statistics'!BM102,IF($AA$2="2020年",'Offer Statistics'!BM164)))</f>
        <v>0</v>
      </c>
      <c r="AG40" s="291">
        <f>IF($AA$2="2018年",'Offer Statistics'!BN40,IF($AA$2="2019年",'Offer Statistics'!BN102,IF($AA$2="2020年",'Offer Statistics'!BN164)))</f>
        <v>0</v>
      </c>
      <c r="AH40" s="205"/>
      <c r="AI40" s="288">
        <f>IF($AH$2="2018年",'Offer Statistics'!BG40,IF($AH$2="2019年",'Offer Statistics'!BG102,IF($AH$2="2020年",'Offer Statistics'!BG164)))</f>
        <v>1324</v>
      </c>
      <c r="AJ40" s="291">
        <f>IF($AH$2="2018年",'Offer Statistics'!BB40,IF($AH$2="2019年",'Offer Statistics'!BB102,IF($AH$2="2020年",'Offer Statistics'!BB164)))</f>
        <v>128</v>
      </c>
      <c r="AK40" s="291">
        <f>IF($AH$2="2018年",'Offer Statistics'!BC40,IF($AH$2="2019年",'Offer Statistics'!BC102,IF($AH$2="2020年",'Offer Statistics'!BC164)))</f>
        <v>157</v>
      </c>
      <c r="AL40" s="291">
        <f>IF($AH$2="2018年",'Offer Statistics'!BD40,IF($AH$2="2019年",'Offer Statistics'!BD102,IF($AH$2="2020年",'Offer Statistics'!BD164)))</f>
        <v>281</v>
      </c>
      <c r="AM40" s="291">
        <f>IF($AH$2="2018年",'Offer Statistics'!BE40,IF($AH$2="2019年",'Offer Statistics'!BE102,IF($AH$2="2020年",'Offer Statistics'!BE164)))</f>
        <v>385</v>
      </c>
      <c r="AN40" s="291">
        <f>IF($AH$2="2018年",'Offer Statistics'!BF40,IF($AH$2="2019年",'Offer Statistics'!BF102,IF($AH$2="2020年",'Offer Statistics'!BF164)))</f>
        <v>373</v>
      </c>
      <c r="AO40" s="283"/>
      <c r="AP40" s="283" t="str">
        <f t="shared" si="3"/>
        <v>JS4525</v>
      </c>
    </row>
    <row r="41" ht="18.0" customHeight="1">
      <c r="A41" s="142" t="s">
        <v>549</v>
      </c>
      <c r="B41" s="142" t="s">
        <v>1016</v>
      </c>
      <c r="C41" s="142" t="s">
        <v>550</v>
      </c>
      <c r="D41" s="142" t="s">
        <v>1430</v>
      </c>
      <c r="E41" s="131" t="s">
        <v>21</v>
      </c>
      <c r="F41" s="199">
        <f>8.5+5.5+4+4+4</f>
        <v>26</v>
      </c>
      <c r="G41" s="199">
        <f t="shared" ref="G41:H41" si="7">5.5+5.5+4+4+4</f>
        <v>23</v>
      </c>
      <c r="H41" s="199">
        <f t="shared" si="7"/>
        <v>23</v>
      </c>
      <c r="I41" s="200">
        <f>'計分版'!D204</f>
        <v>0.00000000395</v>
      </c>
      <c r="J41" s="215">
        <f t="shared" si="5"/>
        <v>-23</v>
      </c>
      <c r="K41" s="237">
        <f t="shared" si="6"/>
        <v>-5822784809</v>
      </c>
      <c r="L41" s="132">
        <v>32.0</v>
      </c>
      <c r="M41" s="203">
        <f>'入學要求'!S186</f>
        <v>0</v>
      </c>
      <c r="N41" s="131" t="s">
        <v>541</v>
      </c>
      <c r="O41" s="131">
        <v>3.0</v>
      </c>
      <c r="P41" s="131">
        <v>3.0</v>
      </c>
      <c r="Q41" s="131">
        <v>2.0</v>
      </c>
      <c r="R41" s="131">
        <v>2.0</v>
      </c>
      <c r="S41" s="131">
        <v>3.0</v>
      </c>
      <c r="T41" s="131">
        <v>3.0</v>
      </c>
      <c r="U41" s="292">
        <f>'入學要求'!L186</f>
        <v>0</v>
      </c>
      <c r="V41" s="292">
        <f>'入學要求'!M186</f>
        <v>0</v>
      </c>
      <c r="W41" s="292">
        <f>'入學要求'!N186</f>
        <v>0</v>
      </c>
      <c r="X41" s="292">
        <f>'入學要求'!O186</f>
        <v>0</v>
      </c>
      <c r="Y41" s="292">
        <f>'入學要求'!P186</f>
        <v>0</v>
      </c>
      <c r="Z41" s="292">
        <f>'入學要求'!Q186</f>
        <v>0</v>
      </c>
      <c r="AA41" s="205"/>
      <c r="AB41" s="132">
        <f>IF($AA$2="2018年",'Offer Statistics'!BO41,IF($AA$2="2019年",'Offer Statistics'!BO103,IF($AA$2="2020年",'Offer Statistics'!BO165)))</f>
        <v>30</v>
      </c>
      <c r="AC41" s="206">
        <f>IF($AA$2="2018年",'Offer Statistics'!BJ41,IF($AA$2="2019年",'Offer Statistics'!BJ103,IF($AA$2="2020年",'Offer Statistics'!BJ165)))</f>
        <v>30</v>
      </c>
      <c r="AD41" s="206">
        <f>IF($AA$2="2018年",'Offer Statistics'!BK41,IF($AA$2="2019年",'Offer Statistics'!BK103,IF($AA$2="2020年",'Offer Statistics'!BK165)))</f>
        <v>0</v>
      </c>
      <c r="AE41" s="206">
        <f>IF($AA$2="2018年",'Offer Statistics'!BL41,IF($AA$2="2019年",'Offer Statistics'!BL103,IF($AA$2="2020年",'Offer Statistics'!BL165)))</f>
        <v>0</v>
      </c>
      <c r="AF41" s="206">
        <f>IF($AA$2="2018年",'Offer Statistics'!BM41,IF($AA$2="2019年",'Offer Statistics'!BM103,IF($AA$2="2020年",'Offer Statistics'!BM165)))</f>
        <v>0</v>
      </c>
      <c r="AG41" s="206">
        <f>IF($AA$2="2018年",'Offer Statistics'!BN41,IF($AA$2="2019年",'Offer Statistics'!BN103,IF($AA$2="2020年",'Offer Statistics'!BN165)))</f>
        <v>0</v>
      </c>
      <c r="AH41" s="205"/>
      <c r="AI41" s="132">
        <f>IF($AH$2="2018年",'Offer Statistics'!BG41,IF($AH$2="2019年",'Offer Statistics'!BG103,IF($AH$2="2020年",'Offer Statistics'!BG165)))</f>
        <v>3003</v>
      </c>
      <c r="AJ41" s="206">
        <f>IF($AH$2="2018年",'Offer Statistics'!BB41,IF($AH$2="2019年",'Offer Statistics'!BB103,IF($AH$2="2020年",'Offer Statistics'!BB165)))</f>
        <v>327</v>
      </c>
      <c r="AK41" s="206">
        <f>IF($AH$2="2018年",'Offer Statistics'!BC41,IF($AH$2="2019年",'Offer Statistics'!BC103,IF($AH$2="2020年",'Offer Statistics'!BC165)))</f>
        <v>488</v>
      </c>
      <c r="AL41" s="206">
        <f>IF($AH$2="2018年",'Offer Statistics'!BD41,IF($AH$2="2019年",'Offer Statistics'!BD103,IF($AH$2="2020年",'Offer Statistics'!BD165)))</f>
        <v>710</v>
      </c>
      <c r="AM41" s="206">
        <f>IF($AH$2="2018年",'Offer Statistics'!BE41,IF($AH$2="2019年",'Offer Statistics'!BE103,IF($AH$2="2020年",'Offer Statistics'!BE165)))</f>
        <v>766</v>
      </c>
      <c r="AN41" s="206">
        <f>IF($AH$2="2018年",'Offer Statistics'!BF41,IF($AH$2="2019年",'Offer Statistics'!BF103,IF($AH$2="2020年",'Offer Statistics'!BF165)))</f>
        <v>712</v>
      </c>
      <c r="AO41" s="131"/>
      <c r="AP41" s="131" t="str">
        <f t="shared" si="3"/>
        <v>JS4537</v>
      </c>
    </row>
    <row r="42" ht="18.0" customHeight="1">
      <c r="A42" s="282" t="s">
        <v>555</v>
      </c>
      <c r="B42" s="282" t="s">
        <v>1016</v>
      </c>
      <c r="C42" s="282" t="s">
        <v>556</v>
      </c>
      <c r="D42" s="282" t="s">
        <v>1431</v>
      </c>
      <c r="E42" s="283" t="s">
        <v>191</v>
      </c>
      <c r="F42" s="284">
        <f>7+5.5+5.5+7+5.5+5.5</f>
        <v>36</v>
      </c>
      <c r="G42" s="284">
        <f>5.5+5.5+5.5+4+7+5.5</f>
        <v>33</v>
      </c>
      <c r="H42" s="284">
        <f>7+3+4+5.5+7+5.5</f>
        <v>32</v>
      </c>
      <c r="I42" s="285">
        <f>'計分版'!D205</f>
        <v>0.00000000285</v>
      </c>
      <c r="J42" s="286">
        <f t="shared" si="5"/>
        <v>-33</v>
      </c>
      <c r="K42" s="287">
        <f t="shared" si="6"/>
        <v>-11578947367</v>
      </c>
      <c r="L42" s="288">
        <v>25.0</v>
      </c>
      <c r="M42" s="293">
        <f>'入學要求'!S187</f>
        <v>0</v>
      </c>
      <c r="N42" s="283" t="s">
        <v>1188</v>
      </c>
      <c r="O42" s="283">
        <v>3.0</v>
      </c>
      <c r="P42" s="283">
        <v>3.0</v>
      </c>
      <c r="Q42" s="283">
        <v>2.0</v>
      </c>
      <c r="R42" s="283">
        <v>2.0</v>
      </c>
      <c r="S42" s="283">
        <v>3.0</v>
      </c>
      <c r="T42" s="283">
        <v>3.0</v>
      </c>
      <c r="U42" s="290">
        <f>'入學要求'!L187</f>
        <v>0</v>
      </c>
      <c r="V42" s="290">
        <f>'入學要求'!M187</f>
        <v>0</v>
      </c>
      <c r="W42" s="290">
        <f>'入學要求'!N187</f>
        <v>0</v>
      </c>
      <c r="X42" s="290">
        <f>'入學要求'!O187</f>
        <v>0</v>
      </c>
      <c r="Y42" s="290">
        <f>'入學要求'!P187</f>
        <v>0</v>
      </c>
      <c r="Z42" s="290">
        <f>'入學要求'!Q187</f>
        <v>0</v>
      </c>
      <c r="AA42" s="205"/>
      <c r="AB42" s="288">
        <f>IF($AA$2="2018年",'Offer Statistics'!BO42,IF($AA$2="2019年",'Offer Statistics'!BO104,IF($AA$2="2020年",'Offer Statistics'!BO166)))</f>
        <v>22</v>
      </c>
      <c r="AC42" s="291">
        <f>IF($AA$2="2018年",'Offer Statistics'!BJ42,IF($AA$2="2019年",'Offer Statistics'!BJ104,IF($AA$2="2020年",'Offer Statistics'!BJ166)))</f>
        <v>22</v>
      </c>
      <c r="AD42" s="291">
        <f>IF($AA$2="2018年",'Offer Statistics'!BK42,IF($AA$2="2019年",'Offer Statistics'!BK104,IF($AA$2="2020年",'Offer Statistics'!BK166)))</f>
        <v>0</v>
      </c>
      <c r="AE42" s="291">
        <f>IF($AA$2="2018年",'Offer Statistics'!BL42,IF($AA$2="2019年",'Offer Statistics'!BL104,IF($AA$2="2020年",'Offer Statistics'!BL166)))</f>
        <v>0</v>
      </c>
      <c r="AF42" s="291">
        <f>IF($AA$2="2018年",'Offer Statistics'!BM42,IF($AA$2="2019年",'Offer Statistics'!BM104,IF($AA$2="2020年",'Offer Statistics'!BM166)))</f>
        <v>0</v>
      </c>
      <c r="AG42" s="291">
        <f>IF($AA$2="2018年",'Offer Statistics'!BN42,IF($AA$2="2019年",'Offer Statistics'!BN104,IF($AA$2="2020年",'Offer Statistics'!BN166)))</f>
        <v>0</v>
      </c>
      <c r="AH42" s="205"/>
      <c r="AI42" s="288">
        <f>IF($AH$2="2018年",'Offer Statistics'!BG42,IF($AH$2="2019年",'Offer Statistics'!BG104,IF($AH$2="2020年",'Offer Statistics'!BG166)))</f>
        <v>1183</v>
      </c>
      <c r="AJ42" s="291">
        <f>IF($AH$2="2018年",'Offer Statistics'!BB42,IF($AH$2="2019年",'Offer Statistics'!BB104,IF($AH$2="2020年",'Offer Statistics'!BB166)))</f>
        <v>120</v>
      </c>
      <c r="AK42" s="291">
        <f>IF($AH$2="2018年",'Offer Statistics'!BC42,IF($AH$2="2019年",'Offer Statistics'!BC104,IF($AH$2="2020年",'Offer Statistics'!BC166)))</f>
        <v>108</v>
      </c>
      <c r="AL42" s="291">
        <f>IF($AH$2="2018年",'Offer Statistics'!BD42,IF($AH$2="2019年",'Offer Statistics'!BD104,IF($AH$2="2020年",'Offer Statistics'!BD166)))</f>
        <v>243</v>
      </c>
      <c r="AM42" s="291">
        <f>IF($AH$2="2018年",'Offer Statistics'!BE42,IF($AH$2="2019年",'Offer Statistics'!BE104,IF($AH$2="2020年",'Offer Statistics'!BE166)))</f>
        <v>360</v>
      </c>
      <c r="AN42" s="291">
        <f>IF($AH$2="2018年",'Offer Statistics'!BF42,IF($AH$2="2019年",'Offer Statistics'!BF104,IF($AH$2="2020年",'Offer Statistics'!BF166)))</f>
        <v>352</v>
      </c>
      <c r="AO42" s="283"/>
      <c r="AP42" s="283" t="str">
        <f t="shared" si="3"/>
        <v>JS4542</v>
      </c>
    </row>
    <row r="43" ht="18.0" customHeight="1">
      <c r="A43" s="142" t="s">
        <v>557</v>
      </c>
      <c r="B43" s="142" t="s">
        <v>1016</v>
      </c>
      <c r="C43" s="142" t="s">
        <v>558</v>
      </c>
      <c r="D43" s="142" t="s">
        <v>1432</v>
      </c>
      <c r="E43" s="131" t="s">
        <v>191</v>
      </c>
      <c r="F43" s="199">
        <f>7+5.5+5.5+4+8.5+7</f>
        <v>37.5</v>
      </c>
      <c r="G43" s="199">
        <f>5.5+7+5.5+4+7+7</f>
        <v>36</v>
      </c>
      <c r="H43" s="199">
        <f>7+4+5.5+5.5+7+5.5</f>
        <v>34.5</v>
      </c>
      <c r="I43" s="200">
        <f>'計分版'!D206</f>
        <v>0.00000000285</v>
      </c>
      <c r="J43" s="215">
        <f t="shared" si="5"/>
        <v>-36</v>
      </c>
      <c r="K43" s="237">
        <f t="shared" si="6"/>
        <v>-12631578946</v>
      </c>
      <c r="L43" s="132">
        <v>20.0</v>
      </c>
      <c r="M43" s="203">
        <f>'入學要求'!S188</f>
        <v>0</v>
      </c>
      <c r="N43" s="135" t="s">
        <v>1166</v>
      </c>
      <c r="O43" s="131">
        <v>3.0</v>
      </c>
      <c r="P43" s="131">
        <v>3.0</v>
      </c>
      <c r="Q43" s="131">
        <v>3.0</v>
      </c>
      <c r="R43" s="131">
        <v>2.0</v>
      </c>
      <c r="S43" s="131">
        <v>3.0</v>
      </c>
      <c r="T43" s="131">
        <v>3.0</v>
      </c>
      <c r="U43" s="292">
        <f>'入學要求'!L188</f>
        <v>0</v>
      </c>
      <c r="V43" s="292">
        <f>'入學要求'!M188</f>
        <v>0</v>
      </c>
      <c r="W43" s="292">
        <f>'入學要求'!N188</f>
        <v>0</v>
      </c>
      <c r="X43" s="292">
        <f>'入學要求'!O188</f>
        <v>0</v>
      </c>
      <c r="Y43" s="292">
        <f>'入學要求'!P188</f>
        <v>0</v>
      </c>
      <c r="Z43" s="292">
        <f>'入學要求'!Q188</f>
        <v>0</v>
      </c>
      <c r="AA43" s="205"/>
      <c r="AB43" s="132">
        <f>IF($AA$2="2018年",'Offer Statistics'!BO43,IF($AA$2="2019年",'Offer Statistics'!BO105,IF($AA$2="2020年",'Offer Statistics'!BO167)))</f>
        <v>21</v>
      </c>
      <c r="AC43" s="206">
        <f>IF($AA$2="2018年",'Offer Statistics'!BJ43,IF($AA$2="2019年",'Offer Statistics'!BJ105,IF($AA$2="2020年",'Offer Statistics'!BJ167)))</f>
        <v>21</v>
      </c>
      <c r="AD43" s="206">
        <f>IF($AA$2="2018年",'Offer Statistics'!BK43,IF($AA$2="2019年",'Offer Statistics'!BK105,IF($AA$2="2020年",'Offer Statistics'!BK167)))</f>
        <v>0</v>
      </c>
      <c r="AE43" s="206">
        <f>IF($AA$2="2018年",'Offer Statistics'!BL43,IF($AA$2="2019年",'Offer Statistics'!BL105,IF($AA$2="2020年",'Offer Statistics'!BL167)))</f>
        <v>0</v>
      </c>
      <c r="AF43" s="206">
        <f>IF($AA$2="2018年",'Offer Statistics'!BM43,IF($AA$2="2019年",'Offer Statistics'!BM105,IF($AA$2="2020年",'Offer Statistics'!BM167)))</f>
        <v>0</v>
      </c>
      <c r="AG43" s="206">
        <f>IF($AA$2="2018年",'Offer Statistics'!BN43,IF($AA$2="2019年",'Offer Statistics'!BN105,IF($AA$2="2020年",'Offer Statistics'!BN167)))</f>
        <v>0</v>
      </c>
      <c r="AH43" s="205"/>
      <c r="AI43" s="132">
        <f>IF($AH$2="2018年",'Offer Statistics'!BG43,IF($AH$2="2019年",'Offer Statistics'!BG105,IF($AH$2="2020年",'Offer Statistics'!BG167)))</f>
        <v>1507</v>
      </c>
      <c r="AJ43" s="206">
        <f>IF($AH$2="2018年",'Offer Statistics'!BB43,IF($AH$2="2019年",'Offer Statistics'!BB105,IF($AH$2="2020年",'Offer Statistics'!BB167)))</f>
        <v>116</v>
      </c>
      <c r="AK43" s="206">
        <f>IF($AH$2="2018年",'Offer Statistics'!BC43,IF($AH$2="2019年",'Offer Statistics'!BC105,IF($AH$2="2020年",'Offer Statistics'!BC167)))</f>
        <v>192</v>
      </c>
      <c r="AL43" s="206">
        <f>IF($AH$2="2018年",'Offer Statistics'!BD43,IF($AH$2="2019年",'Offer Statistics'!BD105,IF($AH$2="2020年",'Offer Statistics'!BD167)))</f>
        <v>366</v>
      </c>
      <c r="AM43" s="206">
        <f>IF($AH$2="2018年",'Offer Statistics'!BE43,IF($AH$2="2019年",'Offer Statistics'!BE105,IF($AH$2="2020年",'Offer Statistics'!BE167)))</f>
        <v>447</v>
      </c>
      <c r="AN43" s="206">
        <f>IF($AH$2="2018年",'Offer Statistics'!BF43,IF($AH$2="2019年",'Offer Statistics'!BF105,IF($AH$2="2020年",'Offer Statistics'!BF167)))</f>
        <v>386</v>
      </c>
      <c r="AO43" s="131"/>
      <c r="AP43" s="131" t="str">
        <f t="shared" si="3"/>
        <v>JS4550</v>
      </c>
    </row>
    <row r="44" ht="18.0" customHeight="1">
      <c r="A44" s="282" t="s">
        <v>548</v>
      </c>
      <c r="B44" s="282" t="s">
        <v>1026</v>
      </c>
      <c r="C44" s="282" t="s">
        <v>355</v>
      </c>
      <c r="D44" s="282" t="s">
        <v>1433</v>
      </c>
      <c r="E44" s="288" t="s">
        <v>21</v>
      </c>
      <c r="F44" s="284">
        <f>7+5.5*2+5.5*2+5.5*2+4</f>
        <v>44</v>
      </c>
      <c r="G44" s="284">
        <f t="shared" ref="G44:H44" si="8">5.5*2+5.5*2+4*2+4+4</f>
        <v>38</v>
      </c>
      <c r="H44" s="284">
        <f t="shared" si="8"/>
        <v>38</v>
      </c>
      <c r="I44" s="285">
        <f>'計分版'!D207</f>
        <v>0.00000000315</v>
      </c>
      <c r="J44" s="286">
        <f t="shared" si="5"/>
        <v>-38</v>
      </c>
      <c r="K44" s="287">
        <f t="shared" si="6"/>
        <v>-12063492062</v>
      </c>
      <c r="L44" s="288">
        <v>374.0</v>
      </c>
      <c r="M44" s="293">
        <f>'入學要求'!S189</f>
        <v>0</v>
      </c>
      <c r="N44" s="283" t="s">
        <v>1188</v>
      </c>
      <c r="O44" s="283">
        <v>3.0</v>
      </c>
      <c r="P44" s="283">
        <v>3.0</v>
      </c>
      <c r="Q44" s="283">
        <v>2.0</v>
      </c>
      <c r="R44" s="283">
        <v>2.0</v>
      </c>
      <c r="S44" s="283">
        <v>3.0</v>
      </c>
      <c r="T44" s="283">
        <v>3.0</v>
      </c>
      <c r="U44" s="290">
        <f>'入學要求'!L189</f>
        <v>0</v>
      </c>
      <c r="V44" s="290">
        <f>'入學要求'!M189</f>
        <v>0</v>
      </c>
      <c r="W44" s="290">
        <f>'入學要求'!N189</f>
        <v>0</v>
      </c>
      <c r="X44" s="290">
        <f>'入學要求'!O189</f>
        <v>0</v>
      </c>
      <c r="Y44" s="290">
        <f>'入學要求'!P189</f>
        <v>0</v>
      </c>
      <c r="Z44" s="290">
        <f>'入學要求'!Q189</f>
        <v>0</v>
      </c>
      <c r="AA44" s="205"/>
      <c r="AB44" s="288">
        <f>IF($AA$2="2018年",'Offer Statistics'!BO44,IF($AA$2="2019年",'Offer Statistics'!BO106,IF($AA$2="2020年",'Offer Statistics'!BO168)))</f>
        <v>390</v>
      </c>
      <c r="AC44" s="291">
        <f>IF($AA$2="2018年",'Offer Statistics'!BJ44,IF($AA$2="2019年",'Offer Statistics'!BJ106,IF($AA$2="2020年",'Offer Statistics'!BJ168)))</f>
        <v>390</v>
      </c>
      <c r="AD44" s="291">
        <f>IF($AA$2="2018年",'Offer Statistics'!BK44,IF($AA$2="2019年",'Offer Statistics'!BK106,IF($AA$2="2020年",'Offer Statistics'!BK168)))</f>
        <v>0</v>
      </c>
      <c r="AE44" s="291">
        <f>IF($AA$2="2018年",'Offer Statistics'!BL44,IF($AA$2="2019年",'Offer Statistics'!BL106,IF($AA$2="2020年",'Offer Statistics'!BL168)))</f>
        <v>0</v>
      </c>
      <c r="AF44" s="291">
        <f>IF($AA$2="2018年",'Offer Statistics'!BM44,IF($AA$2="2019年",'Offer Statistics'!BM106,IF($AA$2="2020年",'Offer Statistics'!BM168)))</f>
        <v>0</v>
      </c>
      <c r="AG44" s="291">
        <f>IF($AA$2="2018年",'Offer Statistics'!BN44,IF($AA$2="2019年",'Offer Statistics'!BN106,IF($AA$2="2020年",'Offer Statistics'!BN168)))</f>
        <v>0</v>
      </c>
      <c r="AH44" s="205"/>
      <c r="AI44" s="288">
        <f>IF($AH$2="2018年",'Offer Statistics'!BG44,IF($AH$2="2019年",'Offer Statistics'!BG106,IF($AH$2="2020年",'Offer Statistics'!BG168)))</f>
        <v>5877</v>
      </c>
      <c r="AJ44" s="291">
        <f>IF($AH$2="2018年",'Offer Statistics'!BB44,IF($AH$2="2019年",'Offer Statistics'!BB106,IF($AH$2="2020年",'Offer Statistics'!BB168)))</f>
        <v>1526</v>
      </c>
      <c r="AK44" s="291">
        <f>IF($AH$2="2018年",'Offer Statistics'!BC44,IF($AH$2="2019年",'Offer Statistics'!BC106,IF($AH$2="2020年",'Offer Statistics'!BC168)))</f>
        <v>975</v>
      </c>
      <c r="AL44" s="291">
        <f>IF($AH$2="2018年",'Offer Statistics'!BD44,IF($AH$2="2019年",'Offer Statistics'!BD106,IF($AH$2="2020年",'Offer Statistics'!BD168)))</f>
        <v>1228</v>
      </c>
      <c r="AM44" s="291">
        <f>IF($AH$2="2018年",'Offer Statistics'!BE44,IF($AH$2="2019年",'Offer Statistics'!BE106,IF($AH$2="2020年",'Offer Statistics'!BE168)))</f>
        <v>1283</v>
      </c>
      <c r="AN44" s="291">
        <f>IF($AH$2="2018年",'Offer Statistics'!BF44,IF($AH$2="2019年",'Offer Statistics'!BF106,IF($AH$2="2020年",'Offer Statistics'!BF168)))</f>
        <v>865</v>
      </c>
      <c r="AO44" s="283"/>
      <c r="AP44" s="283" t="str">
        <f t="shared" si="3"/>
        <v>JS4601</v>
      </c>
    </row>
    <row r="45" ht="18.0" customHeight="1">
      <c r="A45" s="142" t="s">
        <v>559</v>
      </c>
      <c r="B45" s="142" t="s">
        <v>1026</v>
      </c>
      <c r="C45" s="142" t="s">
        <v>560</v>
      </c>
      <c r="D45" s="142" t="s">
        <v>1434</v>
      </c>
      <c r="E45" s="132" t="s">
        <v>21</v>
      </c>
      <c r="F45" s="199">
        <f>8.5*1.5+8.5*1.5+7*1.5+5.5*1.5+5.5</f>
        <v>49.75</v>
      </c>
      <c r="G45" s="131">
        <f>7*1.5+5.5*1.5+5.5*1.5+5.5*1.5+7</f>
        <v>42.25</v>
      </c>
      <c r="H45" s="199">
        <f>5.5*1.5+5.5*1.5+7*1.5+5.5*1.5+5.5</f>
        <v>40.75</v>
      </c>
      <c r="I45" s="200">
        <f>'計分版'!D208</f>
        <v>0.0000000041</v>
      </c>
      <c r="J45" s="298">
        <f t="shared" si="5"/>
        <v>-42.25</v>
      </c>
      <c r="K45" s="299">
        <f t="shared" si="6"/>
        <v>-10304878048</v>
      </c>
      <c r="L45" s="132">
        <v>20.0</v>
      </c>
      <c r="M45" s="203">
        <f>'入學要求'!S190</f>
        <v>0</v>
      </c>
      <c r="N45" s="131" t="s">
        <v>1077</v>
      </c>
      <c r="O45" s="131">
        <v>3.0</v>
      </c>
      <c r="P45" s="131">
        <v>4.0</v>
      </c>
      <c r="Q45" s="131">
        <v>4.0</v>
      </c>
      <c r="R45" s="131">
        <v>2.0</v>
      </c>
      <c r="S45" s="131">
        <v>4.0</v>
      </c>
      <c r="T45" s="131">
        <v>3.0</v>
      </c>
      <c r="U45" s="292">
        <f>'入學要求'!L190</f>
        <v>0</v>
      </c>
      <c r="V45" s="292">
        <f>'入學要求'!M190</f>
        <v>0</v>
      </c>
      <c r="W45" s="292">
        <f>'入學要求'!N190</f>
        <v>0</v>
      </c>
      <c r="X45" s="292">
        <f>'入學要求'!O190</f>
        <v>0</v>
      </c>
      <c r="Y45" s="292">
        <f>'入學要求'!P190</f>
        <v>0</v>
      </c>
      <c r="Z45" s="292">
        <f>'入學要求'!Q190</f>
        <v>0</v>
      </c>
      <c r="AA45" s="205"/>
      <c r="AB45" s="132">
        <f>IF($AA$2="2018年",'Offer Statistics'!BO45,IF($AA$2="2019年",'Offer Statistics'!BO107,IF($AA$2="2020年",'Offer Statistics'!BO169)))</f>
        <v>22</v>
      </c>
      <c r="AC45" s="206">
        <f>IF($AA$2="2018年",'Offer Statistics'!BJ45,IF($AA$2="2019年",'Offer Statistics'!BJ107,IF($AA$2="2020年",'Offer Statistics'!BJ169)))</f>
        <v>22</v>
      </c>
      <c r="AD45" s="206">
        <f>IF($AA$2="2018年",'Offer Statistics'!BK45,IF($AA$2="2019年",'Offer Statistics'!BK107,IF($AA$2="2020年",'Offer Statistics'!BK169)))</f>
        <v>0</v>
      </c>
      <c r="AE45" s="206">
        <f>IF($AA$2="2018年",'Offer Statistics'!BL45,IF($AA$2="2019年",'Offer Statistics'!BL107,IF($AA$2="2020年",'Offer Statistics'!BL169)))</f>
        <v>0</v>
      </c>
      <c r="AF45" s="206">
        <f>IF($AA$2="2018年",'Offer Statistics'!BM45,IF($AA$2="2019年",'Offer Statistics'!BM107,IF($AA$2="2020年",'Offer Statistics'!BM169)))</f>
        <v>0</v>
      </c>
      <c r="AG45" s="206">
        <f>IF($AA$2="2018年",'Offer Statistics'!BN45,IF($AA$2="2019年",'Offer Statistics'!BN107,IF($AA$2="2020年",'Offer Statistics'!BN169)))</f>
        <v>0</v>
      </c>
      <c r="AH45" s="205"/>
      <c r="AI45" s="132">
        <f>IF($AH$2="2018年",'Offer Statistics'!BG45,IF($AH$2="2019年",'Offer Statistics'!BG107,IF($AH$2="2020年",'Offer Statistics'!BG169)))</f>
        <v>719</v>
      </c>
      <c r="AJ45" s="206">
        <f>IF($AH$2="2018年",'Offer Statistics'!BB45,IF($AH$2="2019年",'Offer Statistics'!BB107,IF($AH$2="2020年",'Offer Statistics'!BB169)))</f>
        <v>59</v>
      </c>
      <c r="AK45" s="206">
        <f>IF($AH$2="2018年",'Offer Statistics'!BC45,IF($AH$2="2019年",'Offer Statistics'!BC107,IF($AH$2="2020年",'Offer Statistics'!BC169)))</f>
        <v>77</v>
      </c>
      <c r="AL45" s="206">
        <f>IF($AH$2="2018年",'Offer Statistics'!BD45,IF($AH$2="2019年",'Offer Statistics'!BD107,IF($AH$2="2020年",'Offer Statistics'!BD169)))</f>
        <v>142</v>
      </c>
      <c r="AM45" s="206">
        <f>IF($AH$2="2018年",'Offer Statistics'!BE45,IF($AH$2="2019年",'Offer Statistics'!BE107,IF($AH$2="2020年",'Offer Statistics'!BE169)))</f>
        <v>225</v>
      </c>
      <c r="AN45" s="206">
        <f>IF($AH$2="2018年",'Offer Statistics'!BF45,IF($AH$2="2019年",'Offer Statistics'!BF107,IF($AH$2="2020年",'Offer Statistics'!BF169)))</f>
        <v>216</v>
      </c>
      <c r="AO45" s="131"/>
      <c r="AP45" s="131" t="str">
        <f t="shared" si="3"/>
        <v>JS4633</v>
      </c>
    </row>
    <row r="46" ht="18.0" customHeight="1">
      <c r="A46" s="282" t="s">
        <v>561</v>
      </c>
      <c r="B46" s="282" t="s">
        <v>1026</v>
      </c>
      <c r="C46" s="282" t="s">
        <v>562</v>
      </c>
      <c r="D46" s="282" t="s">
        <v>1435</v>
      </c>
      <c r="E46" s="288" t="s">
        <v>21</v>
      </c>
      <c r="F46" s="284">
        <f>8.5*1.5+8.5+8.5+7+4</f>
        <v>40.75</v>
      </c>
      <c r="G46" s="284">
        <f>8.5+7*1.5+7+7+5.5</f>
        <v>38.5</v>
      </c>
      <c r="H46" s="284">
        <f>7*1.5+7+7+7+5.5</f>
        <v>37</v>
      </c>
      <c r="I46" s="285">
        <f>'計分版'!D209</f>
        <v>0.00000000435</v>
      </c>
      <c r="J46" s="286">
        <f t="shared" si="5"/>
        <v>-38.5</v>
      </c>
      <c r="K46" s="287">
        <f t="shared" si="6"/>
        <v>-8850574712</v>
      </c>
      <c r="L46" s="288">
        <v>27.0</v>
      </c>
      <c r="M46" s="293">
        <f>'入學要求'!S191</f>
        <v>0</v>
      </c>
      <c r="N46" s="283" t="s">
        <v>1077</v>
      </c>
      <c r="O46" s="283">
        <v>3.0</v>
      </c>
      <c r="P46" s="283">
        <v>3.0</v>
      </c>
      <c r="Q46" s="283">
        <v>4.0</v>
      </c>
      <c r="R46" s="283">
        <v>2.0</v>
      </c>
      <c r="S46" s="283">
        <v>3.0</v>
      </c>
      <c r="T46" s="283">
        <v>4.0</v>
      </c>
      <c r="U46" s="290">
        <f>'入學要求'!L191</f>
        <v>0</v>
      </c>
      <c r="V46" s="290">
        <f>'入學要求'!M191</f>
        <v>0</v>
      </c>
      <c r="W46" s="290">
        <f>'入學要求'!N191</f>
        <v>0</v>
      </c>
      <c r="X46" s="290">
        <f>'入學要求'!O191</f>
        <v>0</v>
      </c>
      <c r="Y46" s="290">
        <f>'入學要求'!P191</f>
        <v>0</v>
      </c>
      <c r="Z46" s="290">
        <f>'入學要求'!Q191</f>
        <v>0</v>
      </c>
      <c r="AA46" s="205"/>
      <c r="AB46" s="288">
        <f>IF($AA$2="2018年",'Offer Statistics'!BO46,IF($AA$2="2019年",'Offer Statistics'!BO108,IF($AA$2="2020年",'Offer Statistics'!BO170)))</f>
        <v>30</v>
      </c>
      <c r="AC46" s="291">
        <f>IF($AA$2="2018年",'Offer Statistics'!BJ46,IF($AA$2="2019年",'Offer Statistics'!BJ108,IF($AA$2="2020年",'Offer Statistics'!BJ170)))</f>
        <v>30</v>
      </c>
      <c r="AD46" s="291">
        <f>IF($AA$2="2018年",'Offer Statistics'!BK46,IF($AA$2="2019年",'Offer Statistics'!BK108,IF($AA$2="2020年",'Offer Statistics'!BK170)))</f>
        <v>0</v>
      </c>
      <c r="AE46" s="291">
        <f>IF($AA$2="2018年",'Offer Statistics'!BL46,IF($AA$2="2019年",'Offer Statistics'!BL108,IF($AA$2="2020年",'Offer Statistics'!BL170)))</f>
        <v>0</v>
      </c>
      <c r="AF46" s="291">
        <f>IF($AA$2="2018年",'Offer Statistics'!BM46,IF($AA$2="2019年",'Offer Statistics'!BM108,IF($AA$2="2020年",'Offer Statistics'!BM170)))</f>
        <v>0</v>
      </c>
      <c r="AG46" s="291">
        <f>IF($AA$2="2018年",'Offer Statistics'!BN46,IF($AA$2="2019年",'Offer Statistics'!BN108,IF($AA$2="2020年",'Offer Statistics'!BN170)))</f>
        <v>0</v>
      </c>
      <c r="AH46" s="205"/>
      <c r="AI46" s="288">
        <f>IF($AH$2="2018年",'Offer Statistics'!BG46,IF($AH$2="2019年",'Offer Statistics'!BG108,IF($AH$2="2020年",'Offer Statistics'!BG170)))</f>
        <v>619</v>
      </c>
      <c r="AJ46" s="291">
        <f>IF($AH$2="2018年",'Offer Statistics'!BB46,IF($AH$2="2019年",'Offer Statistics'!BB108,IF($AH$2="2020年",'Offer Statistics'!BB170)))</f>
        <v>137</v>
      </c>
      <c r="AK46" s="291">
        <f>IF($AH$2="2018年",'Offer Statistics'!BC46,IF($AH$2="2019年",'Offer Statistics'!BC108,IF($AH$2="2020年",'Offer Statistics'!BC170)))</f>
        <v>87</v>
      </c>
      <c r="AL46" s="291">
        <f>IF($AH$2="2018年",'Offer Statistics'!BD46,IF($AH$2="2019年",'Offer Statistics'!BD108,IF($AH$2="2020年",'Offer Statistics'!BD170)))</f>
        <v>116</v>
      </c>
      <c r="AM46" s="291">
        <f>IF($AH$2="2018年",'Offer Statistics'!BE46,IF($AH$2="2019年",'Offer Statistics'!BE108,IF($AH$2="2020年",'Offer Statistics'!BE170)))</f>
        <v>147</v>
      </c>
      <c r="AN46" s="291">
        <f>IF($AH$2="2018年",'Offer Statistics'!BF46,IF($AH$2="2019年",'Offer Statistics'!BF108,IF($AH$2="2020年",'Offer Statistics'!BF170)))</f>
        <v>132</v>
      </c>
      <c r="AO46" s="283"/>
      <c r="AP46" s="283" t="str">
        <f t="shared" si="3"/>
        <v>JS4682</v>
      </c>
    </row>
    <row r="47" ht="18.0" customHeight="1">
      <c r="A47" s="142" t="s">
        <v>563</v>
      </c>
      <c r="B47" s="142" t="s">
        <v>1026</v>
      </c>
      <c r="C47" s="142" t="s">
        <v>564</v>
      </c>
      <c r="D47" s="142" t="s">
        <v>1436</v>
      </c>
      <c r="E47" s="132" t="s">
        <v>21</v>
      </c>
      <c r="F47" s="199">
        <f>7*1.5+7*1.5+7*1.5+7+7</f>
        <v>45.5</v>
      </c>
      <c r="G47" s="199">
        <f>7*1.5+5*1.5+8.5*1.5+5.5+7</f>
        <v>43.25</v>
      </c>
      <c r="H47" s="199">
        <f>7*1.5+7*1.5+7+4*1.5+5.5</f>
        <v>39.5</v>
      </c>
      <c r="I47" s="200">
        <f>'計分版'!D210</f>
        <v>0.0000000041</v>
      </c>
      <c r="J47" s="215">
        <f t="shared" si="5"/>
        <v>-43.25</v>
      </c>
      <c r="K47" s="237">
        <f t="shared" si="6"/>
        <v>-10548780487</v>
      </c>
      <c r="L47" s="132">
        <v>20.0</v>
      </c>
      <c r="M47" s="203">
        <f>'入學要求'!S192</f>
        <v>0</v>
      </c>
      <c r="N47" s="131" t="s">
        <v>1077</v>
      </c>
      <c r="O47" s="131">
        <v>3.0</v>
      </c>
      <c r="P47" s="131">
        <v>3.0</v>
      </c>
      <c r="Q47" s="131">
        <v>4.0</v>
      </c>
      <c r="R47" s="131">
        <v>2.0</v>
      </c>
      <c r="S47" s="131">
        <v>4.0</v>
      </c>
      <c r="T47" s="131">
        <v>3.0</v>
      </c>
      <c r="U47" s="292">
        <f>'入學要求'!L192</f>
        <v>0</v>
      </c>
      <c r="V47" s="292">
        <f>'入學要求'!M192</f>
        <v>0</v>
      </c>
      <c r="W47" s="292">
        <f>'入學要求'!N192</f>
        <v>0</v>
      </c>
      <c r="X47" s="292">
        <f>'入學要求'!O192</f>
        <v>0</v>
      </c>
      <c r="Y47" s="292">
        <f>'入學要求'!P192</f>
        <v>0</v>
      </c>
      <c r="Z47" s="292">
        <f>'入學要求'!Q192</f>
        <v>0</v>
      </c>
      <c r="AA47" s="205"/>
      <c r="AB47" s="132">
        <f>IF($AA$2="2018年",'Offer Statistics'!BO47,IF($AA$2="2019年",'Offer Statistics'!BO109,IF($AA$2="2020年",'Offer Statistics'!BO171)))</f>
        <v>23</v>
      </c>
      <c r="AC47" s="206">
        <f>IF($AA$2="2018年",'Offer Statistics'!BJ47,IF($AA$2="2019年",'Offer Statistics'!BJ109,IF($AA$2="2020年",'Offer Statistics'!BJ171)))</f>
        <v>23</v>
      </c>
      <c r="AD47" s="206">
        <f>IF($AA$2="2018年",'Offer Statistics'!BK47,IF($AA$2="2019年",'Offer Statistics'!BK109,IF($AA$2="2020年",'Offer Statistics'!BK171)))</f>
        <v>0</v>
      </c>
      <c r="AE47" s="206">
        <f>IF($AA$2="2018年",'Offer Statistics'!BL47,IF($AA$2="2019年",'Offer Statistics'!BL109,IF($AA$2="2020年",'Offer Statistics'!BL171)))</f>
        <v>0</v>
      </c>
      <c r="AF47" s="206">
        <f>IF($AA$2="2018年",'Offer Statistics'!BM47,IF($AA$2="2019年",'Offer Statistics'!BM109,IF($AA$2="2020年",'Offer Statistics'!BM171)))</f>
        <v>0</v>
      </c>
      <c r="AG47" s="206">
        <f>IF($AA$2="2018年",'Offer Statistics'!BN47,IF($AA$2="2019年",'Offer Statistics'!BN109,IF($AA$2="2020年",'Offer Statistics'!BN171)))</f>
        <v>0</v>
      </c>
      <c r="AH47" s="205"/>
      <c r="AI47" s="132">
        <f>IF($AH$2="2018年",'Offer Statistics'!BG47,IF($AH$2="2019年",'Offer Statistics'!BG109,IF($AH$2="2020年",'Offer Statistics'!BG171)))</f>
        <v>397</v>
      </c>
      <c r="AJ47" s="206">
        <f>IF($AH$2="2018年",'Offer Statistics'!BB47,IF($AH$2="2019年",'Offer Statistics'!BB109,IF($AH$2="2020年",'Offer Statistics'!BB171)))</f>
        <v>75</v>
      </c>
      <c r="AK47" s="206">
        <f>IF($AH$2="2018年",'Offer Statistics'!BC47,IF($AH$2="2019年",'Offer Statistics'!BC109,IF($AH$2="2020年",'Offer Statistics'!BC171)))</f>
        <v>52</v>
      </c>
      <c r="AL47" s="206">
        <f>IF($AH$2="2018年",'Offer Statistics'!BD47,IF($AH$2="2019年",'Offer Statistics'!BD109,IF($AH$2="2020年",'Offer Statistics'!BD171)))</f>
        <v>92</v>
      </c>
      <c r="AM47" s="206">
        <f>IF($AH$2="2018年",'Offer Statistics'!BE47,IF($AH$2="2019年",'Offer Statistics'!BE109,IF($AH$2="2020年",'Offer Statistics'!BE171)))</f>
        <v>96</v>
      </c>
      <c r="AN47" s="206">
        <f>IF($AH$2="2018年",'Offer Statistics'!BF47,IF($AH$2="2019年",'Offer Statistics'!BF109,IF($AH$2="2020年",'Offer Statistics'!BF171)))</f>
        <v>82</v>
      </c>
      <c r="AO47" s="131"/>
      <c r="AP47" s="131" t="str">
        <f t="shared" si="3"/>
        <v>JS4690</v>
      </c>
    </row>
    <row r="48" ht="18.0" customHeight="1">
      <c r="A48" s="282" t="s">
        <v>565</v>
      </c>
      <c r="B48" s="282" t="s">
        <v>1026</v>
      </c>
      <c r="C48" s="282" t="s">
        <v>566</v>
      </c>
      <c r="D48" s="282" t="s">
        <v>1437</v>
      </c>
      <c r="E48" s="288" t="s">
        <v>21</v>
      </c>
      <c r="F48" s="284">
        <f>7*2+7*2+7+5.5+4</f>
        <v>44.5</v>
      </c>
      <c r="G48" s="284">
        <f>7*2+5.5*2+7+5.5+4</f>
        <v>41.5</v>
      </c>
      <c r="H48" s="284">
        <f>5.5*2+7*2+5.5+5.5+5.5</f>
        <v>41.5</v>
      </c>
      <c r="I48" s="285">
        <f>'計分版'!D211</f>
        <v>0.00000000435</v>
      </c>
      <c r="J48" s="286">
        <f t="shared" si="5"/>
        <v>-41.5</v>
      </c>
      <c r="K48" s="287">
        <f t="shared" si="6"/>
        <v>-9540229884</v>
      </c>
      <c r="L48" s="288">
        <v>26.0</v>
      </c>
      <c r="M48" s="293">
        <f>'入學要求'!S193</f>
        <v>0</v>
      </c>
      <c r="N48" s="283" t="s">
        <v>1077</v>
      </c>
      <c r="O48" s="283">
        <v>3.0</v>
      </c>
      <c r="P48" s="283">
        <v>3.0</v>
      </c>
      <c r="Q48" s="283">
        <v>3.0</v>
      </c>
      <c r="R48" s="283">
        <v>2.0</v>
      </c>
      <c r="S48" s="283">
        <v>3.0</v>
      </c>
      <c r="T48" s="283">
        <v>3.0</v>
      </c>
      <c r="U48" s="290">
        <f>'入學要求'!L193</f>
        <v>0</v>
      </c>
      <c r="V48" s="290">
        <f>'入學要求'!M193</f>
        <v>0</v>
      </c>
      <c r="W48" s="290">
        <f>'入學要求'!N193</f>
        <v>0</v>
      </c>
      <c r="X48" s="290">
        <f>'入學要求'!O193</f>
        <v>0</v>
      </c>
      <c r="Y48" s="290">
        <f>'入學要求'!P193</f>
        <v>0</v>
      </c>
      <c r="Z48" s="290">
        <f>'入學要求'!Q193</f>
        <v>0</v>
      </c>
      <c r="AA48" s="205"/>
      <c r="AB48" s="288">
        <f>IF($AA$2="2018年",'Offer Statistics'!BO48,IF($AA$2="2019年",'Offer Statistics'!BO110,IF($AA$2="2020年",'Offer Statistics'!BO172)))</f>
        <v>26</v>
      </c>
      <c r="AC48" s="291">
        <f>IF($AA$2="2018年",'Offer Statistics'!BJ48,IF($AA$2="2019年",'Offer Statistics'!BJ110,IF($AA$2="2020年",'Offer Statistics'!BJ172)))</f>
        <v>26</v>
      </c>
      <c r="AD48" s="291">
        <f>IF($AA$2="2018年",'Offer Statistics'!BK48,IF($AA$2="2019年",'Offer Statistics'!BK110,IF($AA$2="2020年",'Offer Statistics'!BK172)))</f>
        <v>0</v>
      </c>
      <c r="AE48" s="291">
        <f>IF($AA$2="2018年",'Offer Statistics'!BL48,IF($AA$2="2019年",'Offer Statistics'!BL110,IF($AA$2="2020年",'Offer Statistics'!BL172)))</f>
        <v>0</v>
      </c>
      <c r="AF48" s="291">
        <f>IF($AA$2="2018年",'Offer Statistics'!BM48,IF($AA$2="2019年",'Offer Statistics'!BM110,IF($AA$2="2020年",'Offer Statistics'!BM172)))</f>
        <v>0</v>
      </c>
      <c r="AG48" s="291">
        <f>IF($AA$2="2018年",'Offer Statistics'!BN48,IF($AA$2="2019年",'Offer Statistics'!BN110,IF($AA$2="2020年",'Offer Statistics'!BN172)))</f>
        <v>0</v>
      </c>
      <c r="AH48" s="205"/>
      <c r="AI48" s="288">
        <f>IF($AH$2="2018年",'Offer Statistics'!BG48,IF($AH$2="2019年",'Offer Statistics'!BG110,IF($AH$2="2020年",'Offer Statistics'!BG172)))</f>
        <v>751</v>
      </c>
      <c r="AJ48" s="291">
        <f>IF($AH$2="2018年",'Offer Statistics'!BB48,IF($AH$2="2019年",'Offer Statistics'!BB110,IF($AH$2="2020年",'Offer Statistics'!BB172)))</f>
        <v>88</v>
      </c>
      <c r="AK48" s="291">
        <f>IF($AH$2="2018年",'Offer Statistics'!BC48,IF($AH$2="2019年",'Offer Statistics'!BC110,IF($AH$2="2020年",'Offer Statistics'!BC172)))</f>
        <v>69</v>
      </c>
      <c r="AL48" s="291">
        <f>IF($AH$2="2018年",'Offer Statistics'!BD48,IF($AH$2="2019年",'Offer Statistics'!BD110,IF($AH$2="2020年",'Offer Statistics'!BD172)))</f>
        <v>148</v>
      </c>
      <c r="AM48" s="291">
        <f>IF($AH$2="2018年",'Offer Statistics'!BE48,IF($AH$2="2019年",'Offer Statistics'!BE110,IF($AH$2="2020年",'Offer Statistics'!BE172)))</f>
        <v>224</v>
      </c>
      <c r="AN48" s="291">
        <f>IF($AH$2="2018年",'Offer Statistics'!BF48,IF($AH$2="2019年",'Offer Statistics'!BF110,IF($AH$2="2020年",'Offer Statistics'!BF172)))</f>
        <v>222</v>
      </c>
      <c r="AO48" s="283"/>
      <c r="AP48" s="283" t="str">
        <f t="shared" si="3"/>
        <v>JS4719</v>
      </c>
    </row>
    <row r="49" ht="18.0" customHeight="1">
      <c r="A49" s="142" t="s">
        <v>567</v>
      </c>
      <c r="B49" s="142" t="s">
        <v>1033</v>
      </c>
      <c r="C49" s="142" t="s">
        <v>568</v>
      </c>
      <c r="D49" s="142" t="s">
        <v>1438</v>
      </c>
      <c r="E49" s="132" t="s">
        <v>21</v>
      </c>
      <c r="F49" s="199">
        <f>7*1.3+7+5.5+5.5+4</f>
        <v>31.1</v>
      </c>
      <c r="G49" s="199">
        <f>7+5.5*1.3+5.5+5.5+4</f>
        <v>29.15</v>
      </c>
      <c r="H49" s="199">
        <f>8.5+5.5+5.5+4*1.3+4</f>
        <v>28.7</v>
      </c>
      <c r="I49" s="200">
        <f>'計分版'!D212</f>
        <v>0.00000000395</v>
      </c>
      <c r="J49" s="215">
        <f t="shared" si="5"/>
        <v>-29.15</v>
      </c>
      <c r="K49" s="237">
        <f t="shared" si="6"/>
        <v>-7379746834</v>
      </c>
      <c r="L49" s="132">
        <v>65.0</v>
      </c>
      <c r="M49" s="203">
        <f>'入學要求'!S194</f>
        <v>0</v>
      </c>
      <c r="N49" s="135" t="s">
        <v>1166</v>
      </c>
      <c r="O49" s="131">
        <v>3.0</v>
      </c>
      <c r="P49" s="131">
        <v>3.0</v>
      </c>
      <c r="Q49" s="131">
        <v>2.0</v>
      </c>
      <c r="R49" s="131">
        <v>2.0</v>
      </c>
      <c r="S49" s="131">
        <v>3.0</v>
      </c>
      <c r="T49" s="131">
        <v>3.0</v>
      </c>
      <c r="U49" s="292">
        <f>'入學要求'!L194</f>
        <v>0</v>
      </c>
      <c r="V49" s="292">
        <f>'入學要求'!M194</f>
        <v>0</v>
      </c>
      <c r="W49" s="292">
        <f>'入學要求'!N194</f>
        <v>0</v>
      </c>
      <c r="X49" s="292">
        <f>'入學要求'!O194</f>
        <v>0</v>
      </c>
      <c r="Y49" s="292">
        <f>'入學要求'!P194</f>
        <v>0</v>
      </c>
      <c r="Z49" s="292">
        <f>'入學要求'!Q194</f>
        <v>0</v>
      </c>
      <c r="AA49" s="205"/>
      <c r="AB49" s="132">
        <f>IF($AA$2="2018年",'Offer Statistics'!BO49,IF($AA$2="2019年",'Offer Statistics'!BO111,IF($AA$2="2020年",'Offer Statistics'!BO173)))</f>
        <v>63</v>
      </c>
      <c r="AC49" s="206">
        <f>IF($AA$2="2018年",'Offer Statistics'!BJ49,IF($AA$2="2019年",'Offer Statistics'!BJ111,IF($AA$2="2020年",'Offer Statistics'!BJ173)))</f>
        <v>63</v>
      </c>
      <c r="AD49" s="206">
        <f>IF($AA$2="2018年",'Offer Statistics'!BK49,IF($AA$2="2019年",'Offer Statistics'!BK111,IF($AA$2="2020年",'Offer Statistics'!BK173)))</f>
        <v>0</v>
      </c>
      <c r="AE49" s="206">
        <f>IF($AA$2="2018年",'Offer Statistics'!BL49,IF($AA$2="2019年",'Offer Statistics'!BL111,IF($AA$2="2020年",'Offer Statistics'!BL173)))</f>
        <v>0</v>
      </c>
      <c r="AF49" s="206">
        <f>IF($AA$2="2018年",'Offer Statistics'!BM49,IF($AA$2="2019年",'Offer Statistics'!BM111,IF($AA$2="2020年",'Offer Statistics'!BM173)))</f>
        <v>0</v>
      </c>
      <c r="AG49" s="206">
        <f>IF($AA$2="2018年",'Offer Statistics'!BN49,IF($AA$2="2019年",'Offer Statistics'!BN111,IF($AA$2="2020年",'Offer Statistics'!BN173)))</f>
        <v>0</v>
      </c>
      <c r="AH49" s="205"/>
      <c r="AI49" s="132">
        <f>IF($AH$2="2018年",'Offer Statistics'!BG49,IF($AH$2="2019年",'Offer Statistics'!BG111,IF($AH$2="2020年",'Offer Statistics'!BG173)))</f>
        <v>4236</v>
      </c>
      <c r="AJ49" s="206">
        <f>IF($AH$2="2018年",'Offer Statistics'!BB49,IF($AH$2="2019年",'Offer Statistics'!BB111,IF($AH$2="2020年",'Offer Statistics'!BB173)))</f>
        <v>410</v>
      </c>
      <c r="AK49" s="206">
        <f>IF($AH$2="2018年",'Offer Statistics'!BC49,IF($AH$2="2019年",'Offer Statistics'!BC111,IF($AH$2="2020年",'Offer Statistics'!BC173)))</f>
        <v>426</v>
      </c>
      <c r="AL49" s="206">
        <f>IF($AH$2="2018年",'Offer Statistics'!BD49,IF($AH$2="2019年",'Offer Statistics'!BD111,IF($AH$2="2020年",'Offer Statistics'!BD173)))</f>
        <v>920</v>
      </c>
      <c r="AM49" s="206">
        <f>IF($AH$2="2018年",'Offer Statistics'!BE49,IF($AH$2="2019年",'Offer Statistics'!BE111,IF($AH$2="2020年",'Offer Statistics'!BE173)))</f>
        <v>1331</v>
      </c>
      <c r="AN49" s="206">
        <f>IF($AH$2="2018年",'Offer Statistics'!BF49,IF($AH$2="2019年",'Offer Statistics'!BF111,IF($AH$2="2020年",'Offer Statistics'!BF173)))</f>
        <v>1149</v>
      </c>
      <c r="AO49" s="131"/>
      <c r="AP49" s="131" t="str">
        <f t="shared" si="3"/>
        <v>JS4801</v>
      </c>
    </row>
    <row r="50" ht="18.0" customHeight="1">
      <c r="A50" s="282" t="s">
        <v>569</v>
      </c>
      <c r="B50" s="282" t="s">
        <v>1033</v>
      </c>
      <c r="C50" s="282" t="s">
        <v>570</v>
      </c>
      <c r="D50" s="282" t="s">
        <v>1439</v>
      </c>
      <c r="E50" s="295" t="s">
        <v>21</v>
      </c>
      <c r="F50" s="284">
        <f>8.5*1.5+7+5.5+7+4*1.5</f>
        <v>38.25</v>
      </c>
      <c r="G50" s="284">
        <f>7*1.5+7+5.5+4+4*1.5</f>
        <v>33</v>
      </c>
      <c r="H50" s="284">
        <f>7+7+5.5+5.5*1.5+4*1.5</f>
        <v>33.75</v>
      </c>
      <c r="I50" s="285">
        <f>'計分版'!D213</f>
        <v>0.00000000395</v>
      </c>
      <c r="J50" s="286">
        <f t="shared" si="5"/>
        <v>-33</v>
      </c>
      <c r="K50" s="287">
        <f t="shared" si="6"/>
        <v>-8354430379</v>
      </c>
      <c r="L50" s="288">
        <v>32.0</v>
      </c>
      <c r="M50" s="293">
        <f>'入學要求'!S195</f>
        <v>0</v>
      </c>
      <c r="N50" s="283" t="s">
        <v>541</v>
      </c>
      <c r="O50" s="283">
        <v>3.0</v>
      </c>
      <c r="P50" s="283">
        <v>3.0</v>
      </c>
      <c r="Q50" s="283">
        <v>3.0</v>
      </c>
      <c r="R50" s="283">
        <v>3.0</v>
      </c>
      <c r="S50" s="283">
        <v>3.0</v>
      </c>
      <c r="T50" s="283">
        <v>3.0</v>
      </c>
      <c r="U50" s="290">
        <f>'入學要求'!L195</f>
        <v>0</v>
      </c>
      <c r="V50" s="290">
        <f>'入學要求'!M195</f>
        <v>0</v>
      </c>
      <c r="W50" s="290">
        <f>'入學要求'!N195</f>
        <v>0</v>
      </c>
      <c r="X50" s="290">
        <f>'入學要求'!O195</f>
        <v>0</v>
      </c>
      <c r="Y50" s="290">
        <f>'入學要求'!P195</f>
        <v>0</v>
      </c>
      <c r="Z50" s="290">
        <f>'入學要求'!Q195</f>
        <v>0</v>
      </c>
      <c r="AA50" s="205"/>
      <c r="AB50" s="288">
        <f>IF($AA$2="2018年",'Offer Statistics'!BO50,IF($AA$2="2019年",'Offer Statistics'!BO112,IF($AA$2="2020年",'Offer Statistics'!BO174)))</f>
        <v>21</v>
      </c>
      <c r="AC50" s="291">
        <f>IF($AA$2="2018年",'Offer Statistics'!BJ50,IF($AA$2="2019年",'Offer Statistics'!BJ112,IF($AA$2="2020年",'Offer Statistics'!BJ174)))</f>
        <v>21</v>
      </c>
      <c r="AD50" s="291">
        <f>IF($AA$2="2018年",'Offer Statistics'!BK50,IF($AA$2="2019年",'Offer Statistics'!BK112,IF($AA$2="2020年",'Offer Statistics'!BK174)))</f>
        <v>0</v>
      </c>
      <c r="AE50" s="291">
        <f>IF($AA$2="2018年",'Offer Statistics'!BL50,IF($AA$2="2019年",'Offer Statistics'!BL112,IF($AA$2="2020年",'Offer Statistics'!BL174)))</f>
        <v>0</v>
      </c>
      <c r="AF50" s="291">
        <f>IF($AA$2="2018年",'Offer Statistics'!BM50,IF($AA$2="2019年",'Offer Statistics'!BM112,IF($AA$2="2020年",'Offer Statistics'!BM174)))</f>
        <v>0</v>
      </c>
      <c r="AG50" s="291">
        <f>IF($AA$2="2018年",'Offer Statistics'!BN50,IF($AA$2="2019年",'Offer Statistics'!BN112,IF($AA$2="2020年",'Offer Statistics'!BN174)))</f>
        <v>0</v>
      </c>
      <c r="AH50" s="205"/>
      <c r="AI50" s="288">
        <f>IF($AH$2="2018年",'Offer Statistics'!BG50,IF($AH$2="2019年",'Offer Statistics'!BG112,IF($AH$2="2020年",'Offer Statistics'!BG174)))</f>
        <v>1028</v>
      </c>
      <c r="AJ50" s="291">
        <f>IF($AH$2="2018年",'Offer Statistics'!BB50,IF($AH$2="2019年",'Offer Statistics'!BB112,IF($AH$2="2020年",'Offer Statistics'!BB174)))</f>
        <v>179</v>
      </c>
      <c r="AK50" s="291">
        <f>IF($AH$2="2018年",'Offer Statistics'!BC50,IF($AH$2="2019年",'Offer Statistics'!BC112,IF($AH$2="2020年",'Offer Statistics'!BC174)))</f>
        <v>97</v>
      </c>
      <c r="AL50" s="291">
        <f>IF($AH$2="2018年",'Offer Statistics'!BD50,IF($AH$2="2019年",'Offer Statistics'!BD112,IF($AH$2="2020年",'Offer Statistics'!BD174)))</f>
        <v>202</v>
      </c>
      <c r="AM50" s="291">
        <f>IF($AH$2="2018年",'Offer Statistics'!BE50,IF($AH$2="2019年",'Offer Statistics'!BE112,IF($AH$2="2020年",'Offer Statistics'!BE174)))</f>
        <v>268</v>
      </c>
      <c r="AN50" s="291">
        <f>IF($AH$2="2018年",'Offer Statistics'!BF50,IF($AH$2="2019年",'Offer Statistics'!BF112,IF($AH$2="2020年",'Offer Statistics'!BF174)))</f>
        <v>282</v>
      </c>
      <c r="AO50" s="283"/>
      <c r="AP50" s="283" t="str">
        <f t="shared" si="3"/>
        <v>JS4812</v>
      </c>
    </row>
    <row r="51" ht="18.0" customHeight="1">
      <c r="A51" s="142" t="s">
        <v>571</v>
      </c>
      <c r="B51" s="142" t="s">
        <v>1033</v>
      </c>
      <c r="C51" s="142" t="s">
        <v>572</v>
      </c>
      <c r="D51" s="142" t="s">
        <v>1440</v>
      </c>
      <c r="E51" s="132" t="s">
        <v>21</v>
      </c>
      <c r="F51" s="199">
        <f>7*1.5+5.5*1.5+5.5+4+4</f>
        <v>32.25</v>
      </c>
      <c r="G51" s="199">
        <f>7*1.5+5.5+5.5+4*1.5+3</f>
        <v>30.5</v>
      </c>
      <c r="H51" s="199">
        <f>5.5*1.5+5.5+5.5+4*1.5+4</f>
        <v>29.25</v>
      </c>
      <c r="I51" s="200">
        <f>'計分版'!D214</f>
        <v>0.0000000041</v>
      </c>
      <c r="J51" s="215">
        <f t="shared" si="5"/>
        <v>-30.5</v>
      </c>
      <c r="K51" s="237">
        <f t="shared" si="6"/>
        <v>-7439024389</v>
      </c>
      <c r="L51" s="132">
        <v>67.0</v>
      </c>
      <c r="M51" s="203">
        <f>'入學要求'!S196</f>
        <v>0</v>
      </c>
      <c r="N51" s="131" t="s">
        <v>1188</v>
      </c>
      <c r="O51" s="131">
        <v>3.0</v>
      </c>
      <c r="P51" s="131">
        <v>3.0</v>
      </c>
      <c r="Q51" s="131">
        <v>3.0</v>
      </c>
      <c r="R51" s="131">
        <v>2.0</v>
      </c>
      <c r="S51" s="131">
        <v>3.0</v>
      </c>
      <c r="T51" s="131">
        <v>3.0</v>
      </c>
      <c r="U51" s="292">
        <f>'入學要求'!L196</f>
        <v>0</v>
      </c>
      <c r="V51" s="292">
        <f>'入學要求'!M196</f>
        <v>0</v>
      </c>
      <c r="W51" s="292">
        <f>'入學要求'!N196</f>
        <v>0</v>
      </c>
      <c r="X51" s="292">
        <f>'入學要求'!O196</f>
        <v>0</v>
      </c>
      <c r="Y51" s="292">
        <f>'入學要求'!P196</f>
        <v>0</v>
      </c>
      <c r="Z51" s="292">
        <f>'入學要求'!Q196</f>
        <v>0</v>
      </c>
      <c r="AA51" s="205"/>
      <c r="AB51" s="132">
        <f>IF($AA$2="2018年",'Offer Statistics'!BO51,IF($AA$2="2019年",'Offer Statistics'!BO113,IF($AA$2="2020年",'Offer Statistics'!BO175)))</f>
        <v>60</v>
      </c>
      <c r="AC51" s="206">
        <f>IF($AA$2="2018年",'Offer Statistics'!BJ51,IF($AA$2="2019年",'Offer Statistics'!BJ113,IF($AA$2="2020年",'Offer Statistics'!BJ175)))</f>
        <v>60</v>
      </c>
      <c r="AD51" s="206">
        <f>IF($AA$2="2018年",'Offer Statistics'!BK51,IF($AA$2="2019年",'Offer Statistics'!BK113,IF($AA$2="2020年",'Offer Statistics'!BK175)))</f>
        <v>0</v>
      </c>
      <c r="AE51" s="206">
        <f>IF($AA$2="2018年",'Offer Statistics'!BL51,IF($AA$2="2019年",'Offer Statistics'!BL113,IF($AA$2="2020年",'Offer Statistics'!BL175)))</f>
        <v>0</v>
      </c>
      <c r="AF51" s="206">
        <f>IF($AA$2="2018年",'Offer Statistics'!BM51,IF($AA$2="2019年",'Offer Statistics'!BM113,IF($AA$2="2020年",'Offer Statistics'!BM175)))</f>
        <v>0</v>
      </c>
      <c r="AG51" s="206">
        <f>IF($AA$2="2018年",'Offer Statistics'!BN51,IF($AA$2="2019年",'Offer Statistics'!BN113,IF($AA$2="2020年",'Offer Statistics'!BN175)))</f>
        <v>0</v>
      </c>
      <c r="AH51" s="205"/>
      <c r="AI51" s="132">
        <f>IF($AH$2="2018年",'Offer Statistics'!BG51,IF($AH$2="2019年",'Offer Statistics'!BG113,IF($AH$2="2020年",'Offer Statistics'!BG175)))</f>
        <v>2586</v>
      </c>
      <c r="AJ51" s="206">
        <f>IF($AH$2="2018年",'Offer Statistics'!BB51,IF($AH$2="2019年",'Offer Statistics'!BB113,IF($AH$2="2020年",'Offer Statistics'!BB175)))</f>
        <v>482</v>
      </c>
      <c r="AK51" s="206">
        <f>IF($AH$2="2018年",'Offer Statistics'!BC51,IF($AH$2="2019年",'Offer Statistics'!BC113,IF($AH$2="2020年",'Offer Statistics'!BC175)))</f>
        <v>313</v>
      </c>
      <c r="AL51" s="206">
        <f>IF($AH$2="2018年",'Offer Statistics'!BD51,IF($AH$2="2019年",'Offer Statistics'!BD113,IF($AH$2="2020年",'Offer Statistics'!BD175)))</f>
        <v>538</v>
      </c>
      <c r="AM51" s="206">
        <f>IF($AH$2="2018年",'Offer Statistics'!BE51,IF($AH$2="2019年",'Offer Statistics'!BE113,IF($AH$2="2020年",'Offer Statistics'!BE175)))</f>
        <v>687</v>
      </c>
      <c r="AN51" s="206">
        <f>IF($AH$2="2018年",'Offer Statistics'!BF51,IF($AH$2="2019年",'Offer Statistics'!BF113,IF($AH$2="2020年",'Offer Statistics'!BF175)))</f>
        <v>566</v>
      </c>
      <c r="AO51" s="131"/>
      <c r="AP51" s="131" t="str">
        <f t="shared" si="3"/>
        <v>JS4824</v>
      </c>
    </row>
    <row r="52" ht="18.0" customHeight="1">
      <c r="A52" s="282" t="s">
        <v>573</v>
      </c>
      <c r="B52" s="282" t="s">
        <v>1033</v>
      </c>
      <c r="C52" s="282" t="s">
        <v>574</v>
      </c>
      <c r="D52" s="282" t="s">
        <v>1441</v>
      </c>
      <c r="E52" s="288" t="s">
        <v>21</v>
      </c>
      <c r="F52" s="284">
        <f>8.5+7+5.5+4*1.5+4</f>
        <v>31</v>
      </c>
      <c r="G52" s="284">
        <f>7+5.5*1.5+5.5+4+4</f>
        <v>28.75</v>
      </c>
      <c r="H52" s="284">
        <f>7+5.5+4*1.5+4+4</f>
        <v>26.5</v>
      </c>
      <c r="I52" s="285">
        <f>'計分版'!D215</f>
        <v>0.00000000395</v>
      </c>
      <c r="J52" s="286">
        <f t="shared" si="5"/>
        <v>-28.75</v>
      </c>
      <c r="K52" s="287">
        <f t="shared" si="6"/>
        <v>-7278481012</v>
      </c>
      <c r="L52" s="288">
        <v>40.0</v>
      </c>
      <c r="M52" s="293">
        <f>'入學要求'!S197</f>
        <v>0</v>
      </c>
      <c r="N52" s="283" t="s">
        <v>1077</v>
      </c>
      <c r="O52" s="283">
        <v>3.0</v>
      </c>
      <c r="P52" s="283">
        <v>3.0</v>
      </c>
      <c r="Q52" s="283">
        <v>2.0</v>
      </c>
      <c r="R52" s="283">
        <v>2.0</v>
      </c>
      <c r="S52" s="283">
        <v>3.0</v>
      </c>
      <c r="T52" s="283">
        <v>3.0</v>
      </c>
      <c r="U52" s="290">
        <f>'入學要求'!L197</f>
        <v>0</v>
      </c>
      <c r="V52" s="290">
        <f>'入學要求'!M197</f>
        <v>0</v>
      </c>
      <c r="W52" s="290">
        <f>'入學要求'!N197</f>
        <v>0</v>
      </c>
      <c r="X52" s="290">
        <f>'入學要求'!O197</f>
        <v>0</v>
      </c>
      <c r="Y52" s="290">
        <f>'入學要求'!P197</f>
        <v>0</v>
      </c>
      <c r="Z52" s="290">
        <f>'入學要求'!Q197</f>
        <v>0</v>
      </c>
      <c r="AA52" s="205"/>
      <c r="AB52" s="288">
        <f>IF($AA$2="2018年",'Offer Statistics'!BO52,IF($AA$2="2019年",'Offer Statistics'!BO114,IF($AA$2="2020年",'Offer Statistics'!BO176)))</f>
        <v>40</v>
      </c>
      <c r="AC52" s="291">
        <f>IF($AA$2="2018年",'Offer Statistics'!BJ52,IF($AA$2="2019年",'Offer Statistics'!BJ114,IF($AA$2="2020年",'Offer Statistics'!BJ176)))</f>
        <v>40</v>
      </c>
      <c r="AD52" s="291">
        <f>IF($AA$2="2018年",'Offer Statistics'!BK52,IF($AA$2="2019年",'Offer Statistics'!BK114,IF($AA$2="2020年",'Offer Statistics'!BK176)))</f>
        <v>0</v>
      </c>
      <c r="AE52" s="291">
        <f>IF($AA$2="2018年",'Offer Statistics'!BL52,IF($AA$2="2019年",'Offer Statistics'!BL114,IF($AA$2="2020年",'Offer Statistics'!BL176)))</f>
        <v>0</v>
      </c>
      <c r="AF52" s="291">
        <f>IF($AA$2="2018年",'Offer Statistics'!BM52,IF($AA$2="2019年",'Offer Statistics'!BM114,IF($AA$2="2020年",'Offer Statistics'!BM176)))</f>
        <v>0</v>
      </c>
      <c r="AG52" s="291">
        <f>IF($AA$2="2018年",'Offer Statistics'!BN52,IF($AA$2="2019年",'Offer Statistics'!BN114,IF($AA$2="2020年",'Offer Statistics'!BN176)))</f>
        <v>0</v>
      </c>
      <c r="AH52" s="205"/>
      <c r="AI52" s="288">
        <f>IF($AH$2="2018年",'Offer Statistics'!BG52,IF($AH$2="2019年",'Offer Statistics'!BG114,IF($AH$2="2020年",'Offer Statistics'!BG176)))</f>
        <v>1548</v>
      </c>
      <c r="AJ52" s="291">
        <f>IF($AH$2="2018年",'Offer Statistics'!BB52,IF($AH$2="2019年",'Offer Statistics'!BB114,IF($AH$2="2020年",'Offer Statistics'!BB176)))</f>
        <v>208</v>
      </c>
      <c r="AK52" s="291">
        <f>IF($AH$2="2018年",'Offer Statistics'!BC52,IF($AH$2="2019年",'Offer Statistics'!BC114,IF($AH$2="2020年",'Offer Statistics'!BC176)))</f>
        <v>197</v>
      </c>
      <c r="AL52" s="291">
        <f>IF($AH$2="2018年",'Offer Statistics'!BD52,IF($AH$2="2019年",'Offer Statistics'!BD114,IF($AH$2="2020年",'Offer Statistics'!BD176)))</f>
        <v>309</v>
      </c>
      <c r="AM52" s="291">
        <f>IF($AH$2="2018年",'Offer Statistics'!BE52,IF($AH$2="2019年",'Offer Statistics'!BE114,IF($AH$2="2020年",'Offer Statistics'!BE176)))</f>
        <v>429</v>
      </c>
      <c r="AN52" s="291">
        <f>IF($AH$2="2018年",'Offer Statistics'!BF52,IF($AH$2="2019年",'Offer Statistics'!BF114,IF($AH$2="2020年",'Offer Statistics'!BF176)))</f>
        <v>405</v>
      </c>
      <c r="AO52" s="283"/>
      <c r="AP52" s="283" t="str">
        <f t="shared" si="3"/>
        <v>JS4836</v>
      </c>
    </row>
    <row r="53" ht="18.0" customHeight="1">
      <c r="A53" s="142" t="s">
        <v>575</v>
      </c>
      <c r="B53" s="142" t="s">
        <v>1033</v>
      </c>
      <c r="C53" s="142" t="s">
        <v>576</v>
      </c>
      <c r="D53" s="142" t="s">
        <v>1442</v>
      </c>
      <c r="E53" s="131" t="s">
        <v>21</v>
      </c>
      <c r="F53" s="199">
        <f>7+5.5+5.5+5.5+5.5</f>
        <v>29</v>
      </c>
      <c r="G53" s="199">
        <f>7+5.5+5.5+4+3</f>
        <v>25</v>
      </c>
      <c r="H53" s="199">
        <f>5.5+5.5+5.5+4+4</f>
        <v>24.5</v>
      </c>
      <c r="I53" s="200">
        <f>'計分版'!D216</f>
        <v>0.00000000395</v>
      </c>
      <c r="J53" s="215">
        <f t="shared" si="5"/>
        <v>-25</v>
      </c>
      <c r="K53" s="237">
        <f t="shared" si="6"/>
        <v>-6329113923</v>
      </c>
      <c r="L53" s="132">
        <v>20.0</v>
      </c>
      <c r="M53" s="203">
        <f>'入學要求'!S198</f>
        <v>0</v>
      </c>
      <c r="N53" s="131" t="s">
        <v>1077</v>
      </c>
      <c r="O53" s="131">
        <v>3.0</v>
      </c>
      <c r="P53" s="131">
        <v>3.0</v>
      </c>
      <c r="Q53" s="131">
        <v>2.0</v>
      </c>
      <c r="R53" s="131">
        <v>2.0</v>
      </c>
      <c r="S53" s="131">
        <v>3.0</v>
      </c>
      <c r="T53" s="131">
        <v>3.0</v>
      </c>
      <c r="U53" s="292">
        <f>'入學要求'!L198</f>
        <v>0</v>
      </c>
      <c r="V53" s="292">
        <f>'入學要求'!M198</f>
        <v>0</v>
      </c>
      <c r="W53" s="292">
        <f>'入學要求'!N198</f>
        <v>0</v>
      </c>
      <c r="X53" s="292">
        <f>'入學要求'!O198</f>
        <v>0</v>
      </c>
      <c r="Y53" s="292">
        <f>'入學要求'!P198</f>
        <v>0</v>
      </c>
      <c r="Z53" s="292">
        <f>'入學要求'!Q198</f>
        <v>0</v>
      </c>
      <c r="AA53" s="205"/>
      <c r="AB53" s="132">
        <f>IF($AA$2="2018年",'Offer Statistics'!BO53,IF($AA$2="2019年",'Offer Statistics'!BO115,IF($AA$2="2020年",'Offer Statistics'!BO177)))</f>
        <v>22</v>
      </c>
      <c r="AC53" s="206">
        <f>IF($AA$2="2018年",'Offer Statistics'!BJ53,IF($AA$2="2019年",'Offer Statistics'!BJ115,IF($AA$2="2020年",'Offer Statistics'!BJ177)))</f>
        <v>22</v>
      </c>
      <c r="AD53" s="206">
        <f>IF($AA$2="2018年",'Offer Statistics'!BK53,IF($AA$2="2019年",'Offer Statistics'!BK115,IF($AA$2="2020年",'Offer Statistics'!BK177)))</f>
        <v>0</v>
      </c>
      <c r="AE53" s="206">
        <f>IF($AA$2="2018年",'Offer Statistics'!BL53,IF($AA$2="2019年",'Offer Statistics'!BL115,IF($AA$2="2020年",'Offer Statistics'!BL177)))</f>
        <v>0</v>
      </c>
      <c r="AF53" s="206">
        <f>IF($AA$2="2018年",'Offer Statistics'!BM53,IF($AA$2="2019年",'Offer Statistics'!BM115,IF($AA$2="2020年",'Offer Statistics'!BM177)))</f>
        <v>0</v>
      </c>
      <c r="AG53" s="206">
        <f>IF($AA$2="2018年",'Offer Statistics'!BN53,IF($AA$2="2019年",'Offer Statistics'!BN115,IF($AA$2="2020年",'Offer Statistics'!BN177)))</f>
        <v>0</v>
      </c>
      <c r="AH53" s="205"/>
      <c r="AI53" s="132">
        <f>IF($AH$2="2018年",'Offer Statistics'!BG53,IF($AH$2="2019年",'Offer Statistics'!BG115,IF($AH$2="2020年",'Offer Statistics'!BG177)))</f>
        <v>1494</v>
      </c>
      <c r="AJ53" s="206">
        <f>IF($AH$2="2018年",'Offer Statistics'!BB53,IF($AH$2="2019年",'Offer Statistics'!BB115,IF($AH$2="2020年",'Offer Statistics'!BB177)))</f>
        <v>165</v>
      </c>
      <c r="AK53" s="206">
        <f>IF($AH$2="2018年",'Offer Statistics'!BC53,IF($AH$2="2019年",'Offer Statistics'!BC115,IF($AH$2="2020年",'Offer Statistics'!BC177)))</f>
        <v>154</v>
      </c>
      <c r="AL53" s="206">
        <f>IF($AH$2="2018年",'Offer Statistics'!BD53,IF($AH$2="2019年",'Offer Statistics'!BD115,IF($AH$2="2020年",'Offer Statistics'!BD177)))</f>
        <v>293</v>
      </c>
      <c r="AM53" s="206">
        <f>IF($AH$2="2018年",'Offer Statistics'!BE53,IF($AH$2="2019年",'Offer Statistics'!BE115,IF($AH$2="2020年",'Offer Statistics'!BE177)))</f>
        <v>448</v>
      </c>
      <c r="AN53" s="206">
        <f>IF($AH$2="2018年",'Offer Statistics'!BF53,IF($AH$2="2019年",'Offer Statistics'!BF115,IF($AH$2="2020年",'Offer Statistics'!BF177)))</f>
        <v>434</v>
      </c>
      <c r="AO53" s="131"/>
      <c r="AP53" s="131" t="str">
        <f t="shared" si="3"/>
        <v>JS4838</v>
      </c>
    </row>
    <row r="54" ht="18.0" customHeight="1">
      <c r="A54" s="282" t="s">
        <v>577</v>
      </c>
      <c r="B54" s="282" t="s">
        <v>1033</v>
      </c>
      <c r="C54" s="282" t="s">
        <v>578</v>
      </c>
      <c r="D54" s="282" t="s">
        <v>1443</v>
      </c>
      <c r="E54" s="288" t="s">
        <v>191</v>
      </c>
      <c r="F54" s="284">
        <f>4*1.25+4*1.5+4+7*1.25+8.5+5.5</f>
        <v>37.75</v>
      </c>
      <c r="G54" s="284">
        <f>5.5*1.25+4*1.5+4+8.5*1.25+4+4</f>
        <v>35.5</v>
      </c>
      <c r="H54" s="284">
        <f>5.5*1.25+5.5*1.5+5.5+4*1.25+4+4</f>
        <v>33.625</v>
      </c>
      <c r="I54" s="285">
        <f>'計分版'!D217</f>
        <v>0.000000003075</v>
      </c>
      <c r="J54" s="286">
        <f t="shared" si="5"/>
        <v>-35.5</v>
      </c>
      <c r="K54" s="287">
        <f t="shared" si="6"/>
        <v>-11544715446</v>
      </c>
      <c r="L54" s="288">
        <v>38.0</v>
      </c>
      <c r="M54" s="293">
        <f>'入學要求'!S199</f>
        <v>0</v>
      </c>
      <c r="N54" s="283" t="s">
        <v>1077</v>
      </c>
      <c r="O54" s="283">
        <v>3.0</v>
      </c>
      <c r="P54" s="283">
        <v>3.0</v>
      </c>
      <c r="Q54" s="283">
        <v>2.0</v>
      </c>
      <c r="R54" s="283">
        <v>3.0</v>
      </c>
      <c r="S54" s="283">
        <v>3.0</v>
      </c>
      <c r="T54" s="283">
        <v>3.0</v>
      </c>
      <c r="U54" s="290">
        <f>'入學要求'!L199</f>
        <v>0</v>
      </c>
      <c r="V54" s="290">
        <f>'入學要求'!M199</f>
        <v>0</v>
      </c>
      <c r="W54" s="290">
        <f>'入學要求'!N199</f>
        <v>0</v>
      </c>
      <c r="X54" s="290">
        <f>'入學要求'!O199</f>
        <v>0</v>
      </c>
      <c r="Y54" s="290">
        <f>'入學要求'!P199</f>
        <v>0</v>
      </c>
      <c r="Z54" s="290">
        <f>'入學要求'!Q199</f>
        <v>0</v>
      </c>
      <c r="AA54" s="205"/>
      <c r="AB54" s="288">
        <f>IF($AA$2="2018年",'Offer Statistics'!BO54,IF($AA$2="2019年",'Offer Statistics'!BO116,IF($AA$2="2020年",'Offer Statistics'!BO178)))</f>
        <v>37</v>
      </c>
      <c r="AC54" s="291">
        <f>IF($AA$2="2018年",'Offer Statistics'!BJ54,IF($AA$2="2019年",'Offer Statistics'!BJ116,IF($AA$2="2020年",'Offer Statistics'!BJ178)))</f>
        <v>37</v>
      </c>
      <c r="AD54" s="291">
        <f>IF($AA$2="2018年",'Offer Statistics'!BK54,IF($AA$2="2019年",'Offer Statistics'!BK116,IF($AA$2="2020年",'Offer Statistics'!BK178)))</f>
        <v>0</v>
      </c>
      <c r="AE54" s="291">
        <f>IF($AA$2="2018年",'Offer Statistics'!BL54,IF($AA$2="2019年",'Offer Statistics'!BL116,IF($AA$2="2020年",'Offer Statistics'!BL178)))</f>
        <v>0</v>
      </c>
      <c r="AF54" s="291">
        <f>IF($AA$2="2018年",'Offer Statistics'!BM54,IF($AA$2="2019年",'Offer Statistics'!BM116,IF($AA$2="2020年",'Offer Statistics'!BM178)))</f>
        <v>0</v>
      </c>
      <c r="AG54" s="291">
        <f>IF($AA$2="2018年",'Offer Statistics'!BN54,IF($AA$2="2019年",'Offer Statistics'!BN116,IF($AA$2="2020年",'Offer Statistics'!BN178)))</f>
        <v>0</v>
      </c>
      <c r="AH54" s="205"/>
      <c r="AI54" s="288">
        <f>IF($AH$2="2018年",'Offer Statistics'!BG54,IF($AH$2="2019年",'Offer Statistics'!BG116,IF($AH$2="2020年",'Offer Statistics'!BG178)))</f>
        <v>1158</v>
      </c>
      <c r="AJ54" s="291">
        <f>IF($AH$2="2018年",'Offer Statistics'!BB54,IF($AH$2="2019年",'Offer Statistics'!BB116,IF($AH$2="2020年",'Offer Statistics'!BB178)))</f>
        <v>125</v>
      </c>
      <c r="AK54" s="291">
        <f>IF($AH$2="2018年",'Offer Statistics'!BC54,IF($AH$2="2019年",'Offer Statistics'!BC116,IF($AH$2="2020年",'Offer Statistics'!BC178)))</f>
        <v>125</v>
      </c>
      <c r="AL54" s="291">
        <f>IF($AH$2="2018年",'Offer Statistics'!BD54,IF($AH$2="2019年",'Offer Statistics'!BD116,IF($AH$2="2020年",'Offer Statistics'!BD178)))</f>
        <v>227</v>
      </c>
      <c r="AM54" s="291">
        <f>IF($AH$2="2018年",'Offer Statistics'!BE54,IF($AH$2="2019年",'Offer Statistics'!BE116,IF($AH$2="2020年",'Offer Statistics'!BE178)))</f>
        <v>373</v>
      </c>
      <c r="AN54" s="291">
        <f>IF($AH$2="2018年",'Offer Statistics'!BF54,IF($AH$2="2019年",'Offer Statistics'!BF116,IF($AH$2="2020年",'Offer Statistics'!BF178)))</f>
        <v>308</v>
      </c>
      <c r="AO54" s="283"/>
      <c r="AP54" s="283" t="str">
        <f t="shared" si="3"/>
        <v>JS4848</v>
      </c>
    </row>
    <row r="55" ht="18.0" customHeight="1">
      <c r="A55" s="142" t="s">
        <v>579</v>
      </c>
      <c r="B55" s="142" t="s">
        <v>1033</v>
      </c>
      <c r="C55" s="142" t="s">
        <v>580</v>
      </c>
      <c r="D55" s="142" t="s">
        <v>1444</v>
      </c>
      <c r="E55" s="132" t="s">
        <v>21</v>
      </c>
      <c r="F55" s="199">
        <f>8.5+8.5+7+5.5*1.3+4*1.3</f>
        <v>36.35</v>
      </c>
      <c r="G55" s="199">
        <f>8.5*1.3+8.5+5.5*1.3+4+4</f>
        <v>34.7</v>
      </c>
      <c r="H55" s="199">
        <f>8.5*1.3+5.5+5.5+5.5*1.3+4</f>
        <v>33.2</v>
      </c>
      <c r="I55" s="200">
        <f>'計分版'!D218</f>
        <v>0.00000000395</v>
      </c>
      <c r="J55" s="215">
        <f t="shared" si="5"/>
        <v>-34.7</v>
      </c>
      <c r="K55" s="237">
        <f t="shared" si="6"/>
        <v>-8784810126</v>
      </c>
      <c r="L55" s="132">
        <v>43.0</v>
      </c>
      <c r="M55" s="203">
        <f>'入學要求'!S200</f>
        <v>0</v>
      </c>
      <c r="N55" s="131" t="s">
        <v>541</v>
      </c>
      <c r="O55" s="131">
        <v>3.0</v>
      </c>
      <c r="P55" s="131">
        <v>3.0</v>
      </c>
      <c r="Q55" s="131">
        <v>2.0</v>
      </c>
      <c r="R55" s="131">
        <v>2.0</v>
      </c>
      <c r="S55" s="131">
        <v>3.0</v>
      </c>
      <c r="T55" s="131">
        <v>3.0</v>
      </c>
      <c r="U55" s="292">
        <f>'入學要求'!L200</f>
        <v>0</v>
      </c>
      <c r="V55" s="292">
        <f>'入學要求'!M200</f>
        <v>0</v>
      </c>
      <c r="W55" s="292">
        <f>'入學要求'!N200</f>
        <v>0</v>
      </c>
      <c r="X55" s="292">
        <f>'入學要求'!O200</f>
        <v>0</v>
      </c>
      <c r="Y55" s="292">
        <f>'入學要求'!P200</f>
        <v>0</v>
      </c>
      <c r="Z55" s="292">
        <f>'入學要求'!Q200</f>
        <v>0</v>
      </c>
      <c r="AA55" s="205"/>
      <c r="AB55" s="132">
        <f>IF($AA$2="2018年",'Offer Statistics'!BO55,IF($AA$2="2019年",'Offer Statistics'!BO117,IF($AA$2="2020年",'Offer Statistics'!BO179)))</f>
        <v>41</v>
      </c>
      <c r="AC55" s="206">
        <f>IF($AA$2="2018年",'Offer Statistics'!BJ55,IF($AA$2="2019年",'Offer Statistics'!BJ117,IF($AA$2="2020年",'Offer Statistics'!BJ179)))</f>
        <v>41</v>
      </c>
      <c r="AD55" s="206">
        <f>IF($AA$2="2018年",'Offer Statistics'!BK55,IF($AA$2="2019年",'Offer Statistics'!BK117,IF($AA$2="2020年",'Offer Statistics'!BK179)))</f>
        <v>0</v>
      </c>
      <c r="AE55" s="206">
        <f>IF($AA$2="2018年",'Offer Statistics'!BL55,IF($AA$2="2019年",'Offer Statistics'!BL117,IF($AA$2="2020年",'Offer Statistics'!BL179)))</f>
        <v>0</v>
      </c>
      <c r="AF55" s="206">
        <f>IF($AA$2="2018年",'Offer Statistics'!BM55,IF($AA$2="2019年",'Offer Statistics'!BM117,IF($AA$2="2020年",'Offer Statistics'!BM179)))</f>
        <v>0</v>
      </c>
      <c r="AG55" s="206">
        <f>IF($AA$2="2018年",'Offer Statistics'!BN55,IF($AA$2="2019年",'Offer Statistics'!BN117,IF($AA$2="2020年",'Offer Statistics'!BN179)))</f>
        <v>0</v>
      </c>
      <c r="AH55" s="205"/>
      <c r="AI55" s="132">
        <f>IF($AH$2="2018年",'Offer Statistics'!BG55,IF($AH$2="2019年",'Offer Statistics'!BG117,IF($AH$2="2020年",'Offer Statistics'!BG179)))</f>
        <v>1832</v>
      </c>
      <c r="AJ55" s="206">
        <f>IF($AH$2="2018年",'Offer Statistics'!BB55,IF($AH$2="2019年",'Offer Statistics'!BB117,IF($AH$2="2020年",'Offer Statistics'!BB179)))</f>
        <v>150</v>
      </c>
      <c r="AK55" s="206">
        <f>IF($AH$2="2018年",'Offer Statistics'!BC55,IF($AH$2="2019年",'Offer Statistics'!BC117,IF($AH$2="2020年",'Offer Statistics'!BC179)))</f>
        <v>196</v>
      </c>
      <c r="AL55" s="206">
        <f>IF($AH$2="2018年",'Offer Statistics'!BD55,IF($AH$2="2019年",'Offer Statistics'!BD117,IF($AH$2="2020年",'Offer Statistics'!BD179)))</f>
        <v>349</v>
      </c>
      <c r="AM55" s="206">
        <f>IF($AH$2="2018年",'Offer Statistics'!BE55,IF($AH$2="2019年",'Offer Statistics'!BE117,IF($AH$2="2020年",'Offer Statistics'!BE179)))</f>
        <v>602</v>
      </c>
      <c r="AN55" s="206">
        <f>IF($AH$2="2018年",'Offer Statistics'!BF55,IF($AH$2="2019年",'Offer Statistics'!BF117,IF($AH$2="2020年",'Offer Statistics'!BF179)))</f>
        <v>535</v>
      </c>
      <c r="AO55" s="131"/>
      <c r="AP55" s="131" t="str">
        <f t="shared" si="3"/>
        <v>JS4850</v>
      </c>
    </row>
    <row r="56" ht="18.0" customHeight="1">
      <c r="A56" s="282" t="s">
        <v>581</v>
      </c>
      <c r="B56" s="282" t="s">
        <v>1033</v>
      </c>
      <c r="C56" s="282" t="s">
        <v>582</v>
      </c>
      <c r="D56" s="282" t="s">
        <v>1445</v>
      </c>
      <c r="E56" s="288" t="s">
        <v>21</v>
      </c>
      <c r="F56" s="284">
        <f>8.5*1.3+7+5.5+5.5+5.5</f>
        <v>34.55</v>
      </c>
      <c r="G56" s="284">
        <f>7*1.3+7+7+5.5+4</f>
        <v>32.6</v>
      </c>
      <c r="H56" s="284">
        <f>8.5*1.3+7+4+4+4</f>
        <v>30.05</v>
      </c>
      <c r="I56" s="285">
        <f>'計分版'!D219</f>
        <v>0.00000000395</v>
      </c>
      <c r="J56" s="286">
        <f t="shared" si="5"/>
        <v>-32.6</v>
      </c>
      <c r="K56" s="287">
        <f t="shared" si="6"/>
        <v>-8253164556</v>
      </c>
      <c r="L56" s="288">
        <v>10.0</v>
      </c>
      <c r="M56" s="293">
        <f>'入學要求'!S201</f>
        <v>0</v>
      </c>
      <c r="N56" s="283" t="s">
        <v>541</v>
      </c>
      <c r="O56" s="283">
        <v>3.0</v>
      </c>
      <c r="P56" s="283">
        <v>4.0</v>
      </c>
      <c r="Q56" s="283">
        <v>2.0</v>
      </c>
      <c r="R56" s="283">
        <v>2.0</v>
      </c>
      <c r="S56" s="283">
        <v>3.0</v>
      </c>
      <c r="T56" s="283">
        <v>3.0</v>
      </c>
      <c r="U56" s="290">
        <f>'入學要求'!L201</f>
        <v>0</v>
      </c>
      <c r="V56" s="290">
        <f>'入學要求'!M201</f>
        <v>0</v>
      </c>
      <c r="W56" s="290">
        <f>'入學要求'!N201</f>
        <v>0</v>
      </c>
      <c r="X56" s="290">
        <f>'入學要求'!O201</f>
        <v>0</v>
      </c>
      <c r="Y56" s="290">
        <f>'入學要求'!P201</f>
        <v>0</v>
      </c>
      <c r="Z56" s="290">
        <f>'入學要求'!Q201</f>
        <v>0</v>
      </c>
      <c r="AA56" s="205"/>
      <c r="AB56" s="288">
        <f>IF($AA$2="2018年",'Offer Statistics'!BO56,IF($AA$2="2019年",'Offer Statistics'!BO118,IF($AA$2="2020年",'Offer Statistics'!BO180)))</f>
        <v>12</v>
      </c>
      <c r="AC56" s="291">
        <f>IF($AA$2="2018年",'Offer Statistics'!BJ56,IF($AA$2="2019年",'Offer Statistics'!BJ118,IF($AA$2="2020年",'Offer Statistics'!BJ180)))</f>
        <v>12</v>
      </c>
      <c r="AD56" s="291">
        <f>IF($AA$2="2018年",'Offer Statistics'!BK56,IF($AA$2="2019年",'Offer Statistics'!BK118,IF($AA$2="2020年",'Offer Statistics'!BK180)))</f>
        <v>0</v>
      </c>
      <c r="AE56" s="291">
        <f>IF($AA$2="2018年",'Offer Statistics'!BL56,IF($AA$2="2019年",'Offer Statistics'!BL118,IF($AA$2="2020年",'Offer Statistics'!BL180)))</f>
        <v>0</v>
      </c>
      <c r="AF56" s="291">
        <f>IF($AA$2="2018年",'Offer Statistics'!BM56,IF($AA$2="2019年",'Offer Statistics'!BM118,IF($AA$2="2020年",'Offer Statistics'!BM180)))</f>
        <v>0</v>
      </c>
      <c r="AG56" s="291">
        <f>IF($AA$2="2018年",'Offer Statistics'!BN56,IF($AA$2="2019年",'Offer Statistics'!BN118,IF($AA$2="2020年",'Offer Statistics'!BN180)))</f>
        <v>0</v>
      </c>
      <c r="AH56" s="205"/>
      <c r="AI56" s="288">
        <f>IF($AH$2="2018年",'Offer Statistics'!BG56,IF($AH$2="2019年",'Offer Statistics'!BG118,IF($AH$2="2020年",'Offer Statistics'!BG180)))</f>
        <v>643</v>
      </c>
      <c r="AJ56" s="291">
        <f>IF($AH$2="2018年",'Offer Statistics'!BB56,IF($AH$2="2019年",'Offer Statistics'!BB118,IF($AH$2="2020年",'Offer Statistics'!BB180)))</f>
        <v>51</v>
      </c>
      <c r="AK56" s="291">
        <f>IF($AH$2="2018年",'Offer Statistics'!BC56,IF($AH$2="2019年",'Offer Statistics'!BC118,IF($AH$2="2020年",'Offer Statistics'!BC180)))</f>
        <v>63</v>
      </c>
      <c r="AL56" s="291">
        <f>IF($AH$2="2018年",'Offer Statistics'!BD56,IF($AH$2="2019年",'Offer Statistics'!BD118,IF($AH$2="2020年",'Offer Statistics'!BD180)))</f>
        <v>132</v>
      </c>
      <c r="AM56" s="291">
        <f>IF($AH$2="2018年",'Offer Statistics'!BE56,IF($AH$2="2019年",'Offer Statistics'!BE118,IF($AH$2="2020年",'Offer Statistics'!BE180)))</f>
        <v>205</v>
      </c>
      <c r="AN56" s="291">
        <f>IF($AH$2="2018年",'Offer Statistics'!BF56,IF($AH$2="2019年",'Offer Statistics'!BF118,IF($AH$2="2020年",'Offer Statistics'!BF180)))</f>
        <v>192</v>
      </c>
      <c r="AO56" s="283"/>
      <c r="AP56" s="283" t="str">
        <f t="shared" si="3"/>
        <v>JS4858</v>
      </c>
    </row>
    <row r="57" ht="18.0" customHeight="1">
      <c r="A57" s="142" t="s">
        <v>55</v>
      </c>
      <c r="B57" s="142" t="s">
        <v>1033</v>
      </c>
      <c r="C57" s="142" t="s">
        <v>583</v>
      </c>
      <c r="D57" s="142" t="s">
        <v>1446</v>
      </c>
      <c r="E57" s="132" t="s">
        <v>21</v>
      </c>
      <c r="F57" s="199">
        <f>5.5*1.5+5.5*1.5+7+7+7</f>
        <v>37.5</v>
      </c>
      <c r="G57" s="199">
        <f>7*1.5+5.5*1.5+7+5.5+4</f>
        <v>35.25</v>
      </c>
      <c r="H57" s="199">
        <f>4*1.5+7*1.5+5.5+5.5+5.5</f>
        <v>33</v>
      </c>
      <c r="I57" s="200">
        <f>'計分版'!D220</f>
        <v>0.00000000395</v>
      </c>
      <c r="J57" s="215">
        <f t="shared" si="5"/>
        <v>-35.25</v>
      </c>
      <c r="K57" s="237">
        <f t="shared" si="6"/>
        <v>-8924050632</v>
      </c>
      <c r="L57" s="132">
        <v>54.0</v>
      </c>
      <c r="M57" s="203">
        <f>'入學要求'!S202</f>
        <v>0</v>
      </c>
      <c r="N57" s="131" t="s">
        <v>541</v>
      </c>
      <c r="O57" s="131">
        <v>3.0</v>
      </c>
      <c r="P57" s="131">
        <v>3.0</v>
      </c>
      <c r="Q57" s="131">
        <v>2.0</v>
      </c>
      <c r="R57" s="131">
        <v>2.0</v>
      </c>
      <c r="S57" s="131">
        <v>3.0</v>
      </c>
      <c r="T57" s="131">
        <v>3.0</v>
      </c>
      <c r="U57" s="292">
        <f>'入學要求'!L202</f>
        <v>0</v>
      </c>
      <c r="V57" s="292">
        <f>'入學要求'!M202</f>
        <v>0</v>
      </c>
      <c r="W57" s="292">
        <f>'入學要求'!N202</f>
        <v>0</v>
      </c>
      <c r="X57" s="292">
        <f>'入學要求'!O202</f>
        <v>0</v>
      </c>
      <c r="Y57" s="292">
        <f>'入學要求'!P202</f>
        <v>0</v>
      </c>
      <c r="Z57" s="292">
        <f>'入學要求'!Q202</f>
        <v>0</v>
      </c>
      <c r="AA57" s="205"/>
      <c r="AB57" s="132">
        <f>IF($AA$2="2018年",'Offer Statistics'!BO57,IF($AA$2="2019年",'Offer Statistics'!BO119,IF($AA$2="2020年",'Offer Statistics'!BO181)))</f>
        <v>57</v>
      </c>
      <c r="AC57" s="206">
        <f>IF($AA$2="2018年",'Offer Statistics'!BJ57,IF($AA$2="2019年",'Offer Statistics'!BJ119,IF($AA$2="2020年",'Offer Statistics'!BJ181)))</f>
        <v>55</v>
      </c>
      <c r="AD57" s="206">
        <f>IF($AA$2="2018年",'Offer Statistics'!BK57,IF($AA$2="2019年",'Offer Statistics'!BK119,IF($AA$2="2020年",'Offer Statistics'!BK181)))</f>
        <v>2</v>
      </c>
      <c r="AE57" s="206">
        <f>IF($AA$2="2018年",'Offer Statistics'!BL57,IF($AA$2="2019年",'Offer Statistics'!BL119,IF($AA$2="2020年",'Offer Statistics'!BL181)))</f>
        <v>0</v>
      </c>
      <c r="AF57" s="206">
        <f>IF($AA$2="2018年",'Offer Statistics'!BM57,IF($AA$2="2019年",'Offer Statistics'!BM119,IF($AA$2="2020年",'Offer Statistics'!BM181)))</f>
        <v>0</v>
      </c>
      <c r="AG57" s="206">
        <f>IF($AA$2="2018年",'Offer Statistics'!BN57,IF($AA$2="2019年",'Offer Statistics'!BN119,IF($AA$2="2020年",'Offer Statistics'!BN181)))</f>
        <v>0</v>
      </c>
      <c r="AH57" s="205"/>
      <c r="AI57" s="132">
        <f>IF($AH$2="2018年",'Offer Statistics'!BG57,IF($AH$2="2019年",'Offer Statistics'!BG119,IF($AH$2="2020年",'Offer Statistics'!BG181)))</f>
        <v>4284</v>
      </c>
      <c r="AJ57" s="206">
        <f>IF($AH$2="2018年",'Offer Statistics'!BB57,IF($AH$2="2019年",'Offer Statistics'!BB119,IF($AH$2="2020年",'Offer Statistics'!BB181)))</f>
        <v>369</v>
      </c>
      <c r="AK57" s="206">
        <f>IF($AH$2="2018年",'Offer Statistics'!BC57,IF($AH$2="2019年",'Offer Statistics'!BC119,IF($AH$2="2020年",'Offer Statistics'!BC181)))</f>
        <v>506</v>
      </c>
      <c r="AL57" s="206">
        <f>IF($AH$2="2018年",'Offer Statistics'!BD57,IF($AH$2="2019年",'Offer Statistics'!BD119,IF($AH$2="2020年",'Offer Statistics'!BD181)))</f>
        <v>884</v>
      </c>
      <c r="AM57" s="206">
        <f>IF($AH$2="2018年",'Offer Statistics'!BE57,IF($AH$2="2019年",'Offer Statistics'!BE119,IF($AH$2="2020年",'Offer Statistics'!BE181)))</f>
        <v>1305</v>
      </c>
      <c r="AN57" s="206">
        <f>IF($AH$2="2018年",'Offer Statistics'!BF57,IF($AH$2="2019年",'Offer Statistics'!BF119,IF($AH$2="2020年",'Offer Statistics'!BF181)))</f>
        <v>1220</v>
      </c>
      <c r="AO57" s="131"/>
      <c r="AP57" s="131" t="str">
        <f t="shared" si="3"/>
        <v>JS4862</v>
      </c>
    </row>
    <row r="58" ht="18.0" customHeight="1">
      <c r="A58" s="282" t="s">
        <v>584</v>
      </c>
      <c r="B58" s="282" t="s">
        <v>1033</v>
      </c>
      <c r="C58" s="282" t="s">
        <v>585</v>
      </c>
      <c r="D58" s="282" t="s">
        <v>1319</v>
      </c>
      <c r="E58" s="283" t="s">
        <v>21</v>
      </c>
      <c r="F58" s="284">
        <f>8.5+7+5.5+5.5+5.5</f>
        <v>32</v>
      </c>
      <c r="G58" s="284">
        <f>8.5+7+7+4+4</f>
        <v>30.5</v>
      </c>
      <c r="H58" s="284">
        <f>7+7+5.5+5.5+4</f>
        <v>29</v>
      </c>
      <c r="I58" s="285">
        <f>'計分版'!D221</f>
        <v>0.00000000395</v>
      </c>
      <c r="J58" s="286">
        <f t="shared" si="5"/>
        <v>-30.5</v>
      </c>
      <c r="K58" s="287">
        <f t="shared" si="6"/>
        <v>-7721518986</v>
      </c>
      <c r="L58" s="288">
        <v>46.0</v>
      </c>
      <c r="M58" s="293">
        <f>'入學要求'!S203</f>
        <v>0</v>
      </c>
      <c r="N58" s="283" t="s">
        <v>1188</v>
      </c>
      <c r="O58" s="283">
        <v>3.0</v>
      </c>
      <c r="P58" s="283">
        <v>3.0</v>
      </c>
      <c r="Q58" s="283">
        <v>2.0</v>
      </c>
      <c r="R58" s="283">
        <v>3.0</v>
      </c>
      <c r="S58" s="283">
        <v>3.0</v>
      </c>
      <c r="T58" s="283">
        <v>3.0</v>
      </c>
      <c r="U58" s="290">
        <f>'入學要求'!L203</f>
        <v>0</v>
      </c>
      <c r="V58" s="290">
        <f>'入學要求'!M203</f>
        <v>0</v>
      </c>
      <c r="W58" s="290">
        <f>'入學要求'!N203</f>
        <v>0</v>
      </c>
      <c r="X58" s="290">
        <f>'入學要求'!O203</f>
        <v>0</v>
      </c>
      <c r="Y58" s="290">
        <f>'入學要求'!P203</f>
        <v>0</v>
      </c>
      <c r="Z58" s="290">
        <f>'入學要求'!Q203</f>
        <v>0</v>
      </c>
      <c r="AA58" s="205"/>
      <c r="AB58" s="288">
        <f>IF($AA$2="2018年",'Offer Statistics'!BO58,IF($AA$2="2019年",'Offer Statistics'!BO120,IF($AA$2="2020年",'Offer Statistics'!BO182)))</f>
        <v>39</v>
      </c>
      <c r="AC58" s="291">
        <f>IF($AA$2="2018年",'Offer Statistics'!BJ58,IF($AA$2="2019年",'Offer Statistics'!BJ120,IF($AA$2="2020年",'Offer Statistics'!BJ182)))</f>
        <v>39</v>
      </c>
      <c r="AD58" s="291">
        <f>IF($AA$2="2018年",'Offer Statistics'!BK58,IF($AA$2="2019年",'Offer Statistics'!BK120,IF($AA$2="2020年",'Offer Statistics'!BK182)))</f>
        <v>0</v>
      </c>
      <c r="AE58" s="291">
        <f>IF($AA$2="2018年",'Offer Statistics'!BL58,IF($AA$2="2019年",'Offer Statistics'!BL120,IF($AA$2="2020年",'Offer Statistics'!BL182)))</f>
        <v>0</v>
      </c>
      <c r="AF58" s="291">
        <f>IF($AA$2="2018年",'Offer Statistics'!BM58,IF($AA$2="2019年",'Offer Statistics'!BM120,IF($AA$2="2020年",'Offer Statistics'!BM182)))</f>
        <v>0</v>
      </c>
      <c r="AG58" s="291">
        <f>IF($AA$2="2018年",'Offer Statistics'!BN58,IF($AA$2="2019年",'Offer Statistics'!BN120,IF($AA$2="2020年",'Offer Statistics'!BN182)))</f>
        <v>0</v>
      </c>
      <c r="AH58" s="205"/>
      <c r="AI58" s="288">
        <f>IF($AH$2="2018年",'Offer Statistics'!BG58,IF($AH$2="2019年",'Offer Statistics'!BG120,IF($AH$2="2020年",'Offer Statistics'!BG182)))</f>
        <v>3396</v>
      </c>
      <c r="AJ58" s="291">
        <f>IF($AH$2="2018年",'Offer Statistics'!BB58,IF($AH$2="2019年",'Offer Statistics'!BB120,IF($AH$2="2020年",'Offer Statistics'!BB182)))</f>
        <v>370</v>
      </c>
      <c r="AK58" s="291">
        <f>IF($AH$2="2018年",'Offer Statistics'!BC58,IF($AH$2="2019年",'Offer Statistics'!BC120,IF($AH$2="2020年",'Offer Statistics'!BC182)))</f>
        <v>378</v>
      </c>
      <c r="AL58" s="291">
        <f>IF($AH$2="2018年",'Offer Statistics'!BD58,IF($AH$2="2019年",'Offer Statistics'!BD120,IF($AH$2="2020年",'Offer Statistics'!BD182)))</f>
        <v>712</v>
      </c>
      <c r="AM58" s="291">
        <f>IF($AH$2="2018年",'Offer Statistics'!BE58,IF($AH$2="2019年",'Offer Statistics'!BE120,IF($AH$2="2020年",'Offer Statistics'!BE182)))</f>
        <v>1042</v>
      </c>
      <c r="AN58" s="291">
        <f>IF($AH$2="2018年",'Offer Statistics'!BF58,IF($AH$2="2019年",'Offer Statistics'!BF120,IF($AH$2="2020年",'Offer Statistics'!BF182)))</f>
        <v>894</v>
      </c>
      <c r="AO58" s="283"/>
      <c r="AP58" s="283" t="str">
        <f t="shared" si="3"/>
        <v>JS4874</v>
      </c>
    </row>
    <row r="59" ht="18.0" customHeight="1">
      <c r="A59" s="142" t="s">
        <v>586</v>
      </c>
      <c r="B59" s="142" t="s">
        <v>1033</v>
      </c>
      <c r="C59" s="142" t="s">
        <v>587</v>
      </c>
      <c r="D59" s="142" t="s">
        <v>1447</v>
      </c>
      <c r="E59" s="132" t="s">
        <v>21</v>
      </c>
      <c r="F59" s="199">
        <f>5.5*1.5+5.5*1.5+5.5+5.5+4</f>
        <v>31.5</v>
      </c>
      <c r="G59" s="199">
        <f>7*1.5+5*1.5+4+4+4</f>
        <v>30</v>
      </c>
      <c r="H59" s="199">
        <f>7*1.5+4+7+4+3*1.5</f>
        <v>30</v>
      </c>
      <c r="I59" s="200">
        <f>'計分版'!D222</f>
        <v>0.00000000395</v>
      </c>
      <c r="J59" s="215">
        <f t="shared" si="5"/>
        <v>-30</v>
      </c>
      <c r="K59" s="237">
        <f t="shared" si="6"/>
        <v>-7594936708</v>
      </c>
      <c r="L59" s="132">
        <v>39.0</v>
      </c>
      <c r="M59" s="203">
        <f>'入學要求'!S204</f>
        <v>0</v>
      </c>
      <c r="N59" s="131" t="s">
        <v>1188</v>
      </c>
      <c r="O59" s="131">
        <v>3.0</v>
      </c>
      <c r="P59" s="131">
        <v>3.0</v>
      </c>
      <c r="Q59" s="131">
        <v>2.0</v>
      </c>
      <c r="R59" s="131">
        <v>2.0</v>
      </c>
      <c r="S59" s="131">
        <v>3.0</v>
      </c>
      <c r="T59" s="131">
        <v>3.0</v>
      </c>
      <c r="U59" s="292">
        <f>'入學要求'!L204</f>
        <v>0</v>
      </c>
      <c r="V59" s="292">
        <f>'入學要求'!M204</f>
        <v>0</v>
      </c>
      <c r="W59" s="292">
        <f>'入學要求'!N204</f>
        <v>0</v>
      </c>
      <c r="X59" s="292">
        <f>'入學要求'!O204</f>
        <v>0</v>
      </c>
      <c r="Y59" s="292">
        <f>'入學要求'!P204</f>
        <v>0</v>
      </c>
      <c r="Z59" s="292">
        <f>'入學要求'!Q204</f>
        <v>0</v>
      </c>
      <c r="AA59" s="205"/>
      <c r="AB59" s="132">
        <f>IF($AA$2="2018年",'Offer Statistics'!BO59,IF($AA$2="2019年",'Offer Statistics'!BO121,IF($AA$2="2020年",'Offer Statistics'!BO183)))</f>
        <v>33</v>
      </c>
      <c r="AC59" s="206">
        <f>IF($AA$2="2018年",'Offer Statistics'!BJ59,IF($AA$2="2019年",'Offer Statistics'!BJ121,IF($AA$2="2020年",'Offer Statistics'!BJ183)))</f>
        <v>32</v>
      </c>
      <c r="AD59" s="206">
        <f>IF($AA$2="2018年",'Offer Statistics'!BK59,IF($AA$2="2019年",'Offer Statistics'!BK121,IF($AA$2="2020年",'Offer Statistics'!BK183)))</f>
        <v>1</v>
      </c>
      <c r="AE59" s="206">
        <f>IF($AA$2="2018年",'Offer Statistics'!BL59,IF($AA$2="2019年",'Offer Statistics'!BL121,IF($AA$2="2020年",'Offer Statistics'!BL183)))</f>
        <v>0</v>
      </c>
      <c r="AF59" s="206">
        <f>IF($AA$2="2018年",'Offer Statistics'!BM59,IF($AA$2="2019年",'Offer Statistics'!BM121,IF($AA$2="2020年",'Offer Statistics'!BM183)))</f>
        <v>0</v>
      </c>
      <c r="AG59" s="206">
        <f>IF($AA$2="2018年",'Offer Statistics'!BN59,IF($AA$2="2019年",'Offer Statistics'!BN121,IF($AA$2="2020年",'Offer Statistics'!BN183)))</f>
        <v>0</v>
      </c>
      <c r="AH59" s="205"/>
      <c r="AI59" s="132">
        <f>IF($AH$2="2018年",'Offer Statistics'!BG59,IF($AH$2="2019年",'Offer Statistics'!BG121,IF($AH$2="2020年",'Offer Statistics'!BG183)))</f>
        <v>2683</v>
      </c>
      <c r="AJ59" s="206">
        <f>IF($AH$2="2018年",'Offer Statistics'!BB59,IF($AH$2="2019年",'Offer Statistics'!BB121,IF($AH$2="2020年",'Offer Statistics'!BB183)))</f>
        <v>256</v>
      </c>
      <c r="AK59" s="206">
        <f>IF($AH$2="2018年",'Offer Statistics'!BC59,IF($AH$2="2019年",'Offer Statistics'!BC121,IF($AH$2="2020年",'Offer Statistics'!BC183)))</f>
        <v>257</v>
      </c>
      <c r="AL59" s="206">
        <f>IF($AH$2="2018年",'Offer Statistics'!BD59,IF($AH$2="2019年",'Offer Statistics'!BD121,IF($AH$2="2020年",'Offer Statistics'!BD183)))</f>
        <v>513</v>
      </c>
      <c r="AM59" s="206">
        <f>IF($AH$2="2018年",'Offer Statistics'!BE59,IF($AH$2="2019年",'Offer Statistics'!BE121,IF($AH$2="2020年",'Offer Statistics'!BE183)))</f>
        <v>841</v>
      </c>
      <c r="AN59" s="206">
        <f>IF($AH$2="2018年",'Offer Statistics'!BF59,IF($AH$2="2019年",'Offer Statistics'!BF121,IF($AH$2="2020年",'Offer Statistics'!BF183)))</f>
        <v>816</v>
      </c>
      <c r="AO59" s="131"/>
      <c r="AP59" s="131" t="str">
        <f t="shared" si="3"/>
        <v>JS4886</v>
      </c>
    </row>
    <row r="60" ht="18.0" customHeight="1">
      <c r="A60" s="282" t="s">
        <v>588</v>
      </c>
      <c r="B60" s="282" t="s">
        <v>1033</v>
      </c>
      <c r="C60" s="282" t="s">
        <v>589</v>
      </c>
      <c r="D60" s="282" t="s">
        <v>1448</v>
      </c>
      <c r="E60" s="288" t="s">
        <v>21</v>
      </c>
      <c r="F60" s="284">
        <f>8.5+7+5.5+5.5+4*1.5</f>
        <v>32.5</v>
      </c>
      <c r="G60" s="284">
        <f>7+7+5.5+5.5+4*1.5</f>
        <v>31</v>
      </c>
      <c r="H60" s="284">
        <f>5.5*1.5+5.5+5.5+5.5+4</f>
        <v>28.75</v>
      </c>
      <c r="I60" s="285">
        <f>'計分版'!D223</f>
        <v>0.00000000395</v>
      </c>
      <c r="J60" s="286">
        <f t="shared" si="5"/>
        <v>-31</v>
      </c>
      <c r="K60" s="287">
        <f t="shared" si="6"/>
        <v>-7848101265</v>
      </c>
      <c r="L60" s="288">
        <v>20.0</v>
      </c>
      <c r="M60" s="293">
        <f>'入學要求'!S205</f>
        <v>0</v>
      </c>
      <c r="N60" s="283" t="s">
        <v>1188</v>
      </c>
      <c r="O60" s="283">
        <v>3.0</v>
      </c>
      <c r="P60" s="283">
        <v>3.0</v>
      </c>
      <c r="Q60" s="283">
        <v>2.0</v>
      </c>
      <c r="R60" s="283">
        <v>2.0</v>
      </c>
      <c r="S60" s="283">
        <v>3.0</v>
      </c>
      <c r="T60" s="283">
        <v>3.0</v>
      </c>
      <c r="U60" s="290">
        <f>'入學要求'!L205</f>
        <v>0</v>
      </c>
      <c r="V60" s="290">
        <f>'入學要求'!M205</f>
        <v>0</v>
      </c>
      <c r="W60" s="290">
        <f>'入學要求'!N205</f>
        <v>0</v>
      </c>
      <c r="X60" s="290">
        <f>'入學要求'!O205</f>
        <v>0</v>
      </c>
      <c r="Y60" s="290">
        <f>'入學要求'!P205</f>
        <v>0</v>
      </c>
      <c r="Z60" s="290">
        <f>'入學要求'!Q205</f>
        <v>0</v>
      </c>
      <c r="AA60" s="205"/>
      <c r="AB60" s="288">
        <f>IF($AA$2="2018年",'Offer Statistics'!BO60,IF($AA$2="2019年",'Offer Statistics'!BO122,IF($AA$2="2020年",'Offer Statistics'!BO184)))</f>
        <v>18</v>
      </c>
      <c r="AC60" s="291">
        <f>IF($AA$2="2018年",'Offer Statistics'!BJ60,IF($AA$2="2019年",'Offer Statistics'!BJ122,IF($AA$2="2020年",'Offer Statistics'!BJ184)))</f>
        <v>18</v>
      </c>
      <c r="AD60" s="291">
        <f>IF($AA$2="2018年",'Offer Statistics'!BK60,IF($AA$2="2019年",'Offer Statistics'!BK122,IF($AA$2="2020年",'Offer Statistics'!BK184)))</f>
        <v>0</v>
      </c>
      <c r="AE60" s="291">
        <f>IF($AA$2="2018年",'Offer Statistics'!BL60,IF($AA$2="2019年",'Offer Statistics'!BL122,IF($AA$2="2020年",'Offer Statistics'!BL184)))</f>
        <v>0</v>
      </c>
      <c r="AF60" s="291">
        <f>IF($AA$2="2018年",'Offer Statistics'!BM60,IF($AA$2="2019年",'Offer Statistics'!BM122,IF($AA$2="2020年",'Offer Statistics'!BM184)))</f>
        <v>0</v>
      </c>
      <c r="AG60" s="291">
        <f>IF($AA$2="2018年",'Offer Statistics'!BN60,IF($AA$2="2019年",'Offer Statistics'!BN122,IF($AA$2="2020年",'Offer Statistics'!BN184)))</f>
        <v>0</v>
      </c>
      <c r="AH60" s="205"/>
      <c r="AI60" s="288">
        <f>IF($AH$2="2018年",'Offer Statistics'!BG60,IF($AH$2="2019年",'Offer Statistics'!BG122,IF($AH$2="2020年",'Offer Statistics'!BG184)))</f>
        <v>1054</v>
      </c>
      <c r="AJ60" s="291">
        <f>IF($AH$2="2018年",'Offer Statistics'!BB60,IF($AH$2="2019年",'Offer Statistics'!BB122,IF($AH$2="2020年",'Offer Statistics'!BB184)))</f>
        <v>88</v>
      </c>
      <c r="AK60" s="291">
        <f>IF($AH$2="2018年",'Offer Statistics'!BC60,IF($AH$2="2019年",'Offer Statistics'!BC122,IF($AH$2="2020年",'Offer Statistics'!BC184)))</f>
        <v>122</v>
      </c>
      <c r="AL60" s="291">
        <f>IF($AH$2="2018年",'Offer Statistics'!BD60,IF($AH$2="2019年",'Offer Statistics'!BD122,IF($AH$2="2020年",'Offer Statistics'!BD184)))</f>
        <v>218</v>
      </c>
      <c r="AM60" s="291">
        <f>IF($AH$2="2018年",'Offer Statistics'!BE60,IF($AH$2="2019年",'Offer Statistics'!BE122,IF($AH$2="2020年",'Offer Statistics'!BE184)))</f>
        <v>316</v>
      </c>
      <c r="AN60" s="291">
        <f>IF($AH$2="2018年",'Offer Statistics'!BF60,IF($AH$2="2019年",'Offer Statistics'!BF122,IF($AH$2="2020年",'Offer Statistics'!BF184)))</f>
        <v>310</v>
      </c>
      <c r="AO60" s="283"/>
      <c r="AP60" s="283" t="str">
        <f t="shared" si="3"/>
        <v>JS4892</v>
      </c>
    </row>
    <row r="61" ht="18.0" customHeight="1">
      <c r="A61" s="142" t="s">
        <v>590</v>
      </c>
      <c r="B61" s="142" t="s">
        <v>1033</v>
      </c>
      <c r="C61" s="142" t="s">
        <v>591</v>
      </c>
      <c r="D61" s="142" t="s">
        <v>1449</v>
      </c>
      <c r="E61" s="131" t="s">
        <v>21</v>
      </c>
      <c r="F61" s="199">
        <f>7+7+5.5+4+4</f>
        <v>27.5</v>
      </c>
      <c r="G61" s="199">
        <f>8.5+7+4+4+3</f>
        <v>26.5</v>
      </c>
      <c r="H61" s="199">
        <f>7+5.5+5.5+4+4</f>
        <v>26</v>
      </c>
      <c r="I61" s="200">
        <f>'計分版'!D224</f>
        <v>0.00000000395</v>
      </c>
      <c r="J61" s="215">
        <f t="shared" si="5"/>
        <v>-26.5</v>
      </c>
      <c r="K61" s="237">
        <f t="shared" si="6"/>
        <v>-6708860758</v>
      </c>
      <c r="L61" s="132">
        <v>20.0</v>
      </c>
      <c r="M61" s="203">
        <f>'入學要求'!S206</f>
        <v>0</v>
      </c>
      <c r="N61" s="131" t="s">
        <v>1188</v>
      </c>
      <c r="O61" s="131">
        <v>3.0</v>
      </c>
      <c r="P61" s="131">
        <v>3.0</v>
      </c>
      <c r="Q61" s="131">
        <v>3.0</v>
      </c>
      <c r="R61" s="131">
        <v>2.0</v>
      </c>
      <c r="S61" s="131">
        <v>3.0</v>
      </c>
      <c r="T61" s="131">
        <v>3.0</v>
      </c>
      <c r="U61" s="292">
        <f>'入學要求'!L206</f>
        <v>0</v>
      </c>
      <c r="V61" s="292">
        <f>'入學要求'!M206</f>
        <v>0</v>
      </c>
      <c r="W61" s="292">
        <f>'入學要求'!N206</f>
        <v>0</v>
      </c>
      <c r="X61" s="292">
        <f>'入學要求'!O206</f>
        <v>0</v>
      </c>
      <c r="Y61" s="292">
        <f>'入學要求'!P206</f>
        <v>0</v>
      </c>
      <c r="Z61" s="292">
        <f>'入學要求'!Q206</f>
        <v>0</v>
      </c>
      <c r="AA61" s="205"/>
      <c r="AB61" s="132">
        <f>IF($AA$2="2018年",'Offer Statistics'!BO61,IF($AA$2="2019年",'Offer Statistics'!BO123,IF($AA$2="2020年",'Offer Statistics'!BO185)))</f>
        <v>19</v>
      </c>
      <c r="AC61" s="206">
        <f>IF($AA$2="2018年",'Offer Statistics'!BJ61,IF($AA$2="2019年",'Offer Statistics'!BJ123,IF($AA$2="2020年",'Offer Statistics'!BJ185)))</f>
        <v>19</v>
      </c>
      <c r="AD61" s="206">
        <f>IF($AA$2="2018年",'Offer Statistics'!BK61,IF($AA$2="2019年",'Offer Statistics'!BK123,IF($AA$2="2020年",'Offer Statistics'!BK185)))</f>
        <v>0</v>
      </c>
      <c r="AE61" s="206">
        <f>IF($AA$2="2018年",'Offer Statistics'!BL61,IF($AA$2="2019年",'Offer Statistics'!BL123,IF($AA$2="2020年",'Offer Statistics'!BL185)))</f>
        <v>0</v>
      </c>
      <c r="AF61" s="206">
        <f>IF($AA$2="2018年",'Offer Statistics'!BM61,IF($AA$2="2019年",'Offer Statistics'!BM123,IF($AA$2="2020年",'Offer Statistics'!BM185)))</f>
        <v>0</v>
      </c>
      <c r="AG61" s="206">
        <f>IF($AA$2="2018年",'Offer Statistics'!BN61,IF($AA$2="2019年",'Offer Statistics'!BN123,IF($AA$2="2020年",'Offer Statistics'!BN185)))</f>
        <v>0</v>
      </c>
      <c r="AH61" s="205"/>
      <c r="AI61" s="132">
        <f>IF($AH$2="2018年",'Offer Statistics'!BG61,IF($AH$2="2019年",'Offer Statistics'!BG123,IF($AH$2="2020年",'Offer Statistics'!BG185)))</f>
        <v>790</v>
      </c>
      <c r="AJ61" s="206">
        <f>IF($AH$2="2018年",'Offer Statistics'!BB61,IF($AH$2="2019年",'Offer Statistics'!BB123,IF($AH$2="2020年",'Offer Statistics'!BB185)))</f>
        <v>80</v>
      </c>
      <c r="AK61" s="206">
        <f>IF($AH$2="2018年",'Offer Statistics'!BC61,IF($AH$2="2019年",'Offer Statistics'!BC123,IF($AH$2="2020年",'Offer Statistics'!BC185)))</f>
        <v>84</v>
      </c>
      <c r="AL61" s="206">
        <f>IF($AH$2="2018年",'Offer Statistics'!BD61,IF($AH$2="2019年",'Offer Statistics'!BD123,IF($AH$2="2020年",'Offer Statistics'!BD185)))</f>
        <v>184</v>
      </c>
      <c r="AM61" s="206">
        <f>IF($AH$2="2018年",'Offer Statistics'!BE61,IF($AH$2="2019年",'Offer Statistics'!BE123,IF($AH$2="2020年",'Offer Statistics'!BE185)))</f>
        <v>207</v>
      </c>
      <c r="AN61" s="206">
        <f>IF($AH$2="2018年",'Offer Statistics'!BF61,IF($AH$2="2019年",'Offer Statistics'!BF123,IF($AH$2="2020年",'Offer Statistics'!BF185)))</f>
        <v>235</v>
      </c>
      <c r="AO61" s="131"/>
      <c r="AP61" s="131" t="str">
        <f t="shared" si="3"/>
        <v>JS4893</v>
      </c>
    </row>
    <row r="62" ht="18.0" customHeight="1">
      <c r="A62" s="282" t="s">
        <v>592</v>
      </c>
      <c r="B62" s="282" t="s">
        <v>1055</v>
      </c>
      <c r="C62" s="282" t="s">
        <v>593</v>
      </c>
      <c r="D62" s="282" t="s">
        <v>1450</v>
      </c>
      <c r="E62" s="288" t="s">
        <v>191</v>
      </c>
      <c r="F62" s="284">
        <f>4*1.5+7*2+5.5+5.5*2+8.5+7</f>
        <v>52</v>
      </c>
      <c r="G62" s="284">
        <f>4*1.5+7*2+4+5.5*2+7+5.5</f>
        <v>47.5</v>
      </c>
      <c r="H62" s="284">
        <f>5.5*1.5+7*2+5.5+4*2+5.5+5.5</f>
        <v>46.75</v>
      </c>
      <c r="I62" s="285">
        <f>'計分版'!D225</f>
        <v>0.0000000035</v>
      </c>
      <c r="J62" s="286">
        <f t="shared" si="5"/>
        <v>-47.5</v>
      </c>
      <c r="K62" s="287">
        <f t="shared" si="6"/>
        <v>-13571428570</v>
      </c>
      <c r="L62" s="288">
        <v>76.0</v>
      </c>
      <c r="M62" s="300">
        <f>'入學要求'!S207</f>
        <v>0</v>
      </c>
      <c r="N62" s="283" t="s">
        <v>1188</v>
      </c>
      <c r="O62" s="283">
        <v>4.0</v>
      </c>
      <c r="P62" s="283">
        <v>5.0</v>
      </c>
      <c r="Q62" s="283">
        <v>3.0</v>
      </c>
      <c r="R62" s="283">
        <v>3.0</v>
      </c>
      <c r="S62" s="283">
        <v>3.0</v>
      </c>
      <c r="T62" s="283">
        <v>3.0</v>
      </c>
      <c r="U62" s="290">
        <f>'入學要求'!L207</f>
        <v>0</v>
      </c>
      <c r="V62" s="290">
        <f>'入學要求'!M207</f>
        <v>0</v>
      </c>
      <c r="W62" s="290">
        <f>'入學要求'!N207</f>
        <v>0</v>
      </c>
      <c r="X62" s="290">
        <f>'入學要求'!O207</f>
        <v>0</v>
      </c>
      <c r="Y62" s="290">
        <f>'入學要求'!P207</f>
        <v>0</v>
      </c>
      <c r="Z62" s="290">
        <f>'入學要求'!Q207</f>
        <v>0</v>
      </c>
      <c r="AA62" s="205"/>
      <c r="AB62" s="288">
        <f>IF($AA$2="2018年",'Offer Statistics'!BO62,IF($AA$2="2019年",'Offer Statistics'!BO124,IF($AA$2="2020年",'Offer Statistics'!BO186)))</f>
        <v>60</v>
      </c>
      <c r="AC62" s="291">
        <f>IF($AA$2="2018年",'Offer Statistics'!BJ62,IF($AA$2="2019年",'Offer Statistics'!BJ124,IF($AA$2="2020年",'Offer Statistics'!BJ186)))</f>
        <v>60</v>
      </c>
      <c r="AD62" s="291">
        <f>IF($AA$2="2018年",'Offer Statistics'!BK62,IF($AA$2="2019年",'Offer Statistics'!BK124,IF($AA$2="2020年",'Offer Statistics'!BK186)))</f>
        <v>0</v>
      </c>
      <c r="AE62" s="291">
        <f>IF($AA$2="2018年",'Offer Statistics'!BL62,IF($AA$2="2019年",'Offer Statistics'!BL124,IF($AA$2="2020年",'Offer Statistics'!BL186)))</f>
        <v>0</v>
      </c>
      <c r="AF62" s="291">
        <f>IF($AA$2="2018年",'Offer Statistics'!BM62,IF($AA$2="2019年",'Offer Statistics'!BM124,IF($AA$2="2020年",'Offer Statistics'!BM186)))</f>
        <v>0</v>
      </c>
      <c r="AG62" s="291">
        <f>IF($AA$2="2018年",'Offer Statistics'!BN62,IF($AA$2="2019年",'Offer Statistics'!BN124,IF($AA$2="2020年",'Offer Statistics'!BN186)))</f>
        <v>0</v>
      </c>
      <c r="AH62" s="205"/>
      <c r="AI62" s="288">
        <f>IF($AH$2="2018年",'Offer Statistics'!BG62,IF($AH$2="2019年",'Offer Statistics'!BG124,IF($AH$2="2020年",'Offer Statistics'!BG186)))</f>
        <v>762</v>
      </c>
      <c r="AJ62" s="291">
        <f>IF($AH$2="2018年",'Offer Statistics'!BB62,IF($AH$2="2019年",'Offer Statistics'!BB124,IF($AH$2="2020年",'Offer Statistics'!BB186)))</f>
        <v>182</v>
      </c>
      <c r="AK62" s="291">
        <f>IF($AH$2="2018年",'Offer Statistics'!BC62,IF($AH$2="2019年",'Offer Statistics'!BC124,IF($AH$2="2020年",'Offer Statistics'!BC186)))</f>
        <v>96</v>
      </c>
      <c r="AL62" s="291">
        <f>IF($AH$2="2018年",'Offer Statistics'!BD62,IF($AH$2="2019年",'Offer Statistics'!BD124,IF($AH$2="2020年",'Offer Statistics'!BD186)))</f>
        <v>123</v>
      </c>
      <c r="AM62" s="291">
        <f>IF($AH$2="2018年",'Offer Statistics'!BE62,IF($AH$2="2019年",'Offer Statistics'!BE124,IF($AH$2="2020年",'Offer Statistics'!BE186)))</f>
        <v>161</v>
      </c>
      <c r="AN62" s="291">
        <f>IF($AH$2="2018年",'Offer Statistics'!BF62,IF($AH$2="2019年",'Offer Statistics'!BF124,IF($AH$2="2020年",'Offer Statistics'!BF186)))</f>
        <v>200</v>
      </c>
      <c r="AO62" s="283"/>
      <c r="AP62" s="283" t="str">
        <f t="shared" si="3"/>
        <v>JS4903</v>
      </c>
    </row>
    <row r="63" ht="18.0" customHeight="1">
      <c r="A63" s="142"/>
      <c r="B63" s="142"/>
      <c r="C63" s="142"/>
      <c r="D63" s="142"/>
      <c r="E63" s="132"/>
      <c r="F63" s="131"/>
      <c r="G63" s="131"/>
      <c r="H63" s="131"/>
      <c r="I63" s="131"/>
      <c r="J63" s="131"/>
      <c r="K63" s="131"/>
      <c r="L63" s="131"/>
      <c r="M63" s="131"/>
      <c r="N63" s="131"/>
      <c r="O63" s="142"/>
      <c r="P63" s="142"/>
      <c r="Q63" s="142"/>
      <c r="R63" s="142"/>
      <c r="S63" s="142"/>
      <c r="T63" s="142"/>
      <c r="U63" s="142"/>
      <c r="V63" s="142"/>
      <c r="W63" s="142"/>
      <c r="X63" s="142"/>
      <c r="Y63" s="142"/>
      <c r="Z63" s="142"/>
      <c r="AA63" s="131"/>
      <c r="AB63" s="142"/>
      <c r="AC63" s="142"/>
      <c r="AD63" s="142"/>
      <c r="AE63" s="142"/>
      <c r="AF63" s="142"/>
      <c r="AG63" s="142"/>
      <c r="AH63" s="142"/>
      <c r="AI63" s="142"/>
      <c r="AJ63" s="142"/>
      <c r="AK63" s="142"/>
      <c r="AL63" s="142"/>
      <c r="AM63" s="142"/>
      <c r="AN63" s="142"/>
      <c r="AO63" s="142"/>
      <c r="AP63" s="142"/>
    </row>
    <row r="64" ht="18.0" customHeight="1">
      <c r="A64" s="220" t="s">
        <v>1451</v>
      </c>
      <c r="B64" s="142"/>
      <c r="C64" s="142"/>
      <c r="D64" s="142"/>
      <c r="E64" s="132"/>
      <c r="F64" s="131"/>
      <c r="G64" s="131"/>
      <c r="H64" s="131"/>
      <c r="I64" s="131"/>
      <c r="J64" s="131"/>
      <c r="K64" s="131"/>
      <c r="L64" s="131"/>
      <c r="M64" s="131"/>
      <c r="N64" s="131"/>
      <c r="O64" s="142"/>
      <c r="P64" s="142"/>
      <c r="Q64" s="142"/>
      <c r="R64" s="142"/>
      <c r="S64" s="142"/>
      <c r="T64" s="142"/>
      <c r="U64" s="142"/>
      <c r="V64" s="142"/>
      <c r="W64" s="142"/>
      <c r="X64" s="142"/>
      <c r="Y64" s="142"/>
      <c r="Z64" s="142"/>
      <c r="AA64" s="131"/>
      <c r="AB64" s="142"/>
      <c r="AC64" s="142"/>
      <c r="AD64" s="142"/>
      <c r="AE64" s="142"/>
      <c r="AF64" s="142"/>
      <c r="AG64" s="142"/>
      <c r="AH64" s="142"/>
      <c r="AI64" s="142"/>
      <c r="AJ64" s="142"/>
      <c r="AK64" s="142"/>
      <c r="AL64" s="142"/>
      <c r="AM64" s="142"/>
      <c r="AN64" s="142"/>
      <c r="AO64" s="142"/>
      <c r="AP64" s="142"/>
    </row>
    <row r="65" ht="18.0" customHeight="1">
      <c r="A65" s="142" t="s">
        <v>1452</v>
      </c>
      <c r="B65" s="142"/>
      <c r="C65" s="142"/>
      <c r="D65" s="142"/>
      <c r="E65" s="132"/>
      <c r="F65" s="131"/>
      <c r="G65" s="131"/>
      <c r="H65" s="131"/>
      <c r="I65" s="131"/>
      <c r="J65" s="131"/>
      <c r="K65" s="131"/>
      <c r="L65" s="131"/>
      <c r="M65" s="131"/>
      <c r="N65" s="131"/>
      <c r="O65" s="142"/>
      <c r="P65" s="142"/>
      <c r="Q65" s="142"/>
      <c r="R65" s="142"/>
      <c r="S65" s="142"/>
      <c r="T65" s="142"/>
      <c r="U65" s="142"/>
      <c r="V65" s="142"/>
      <c r="W65" s="142"/>
      <c r="X65" s="142"/>
      <c r="Y65" s="142"/>
      <c r="Z65" s="142"/>
      <c r="AA65" s="131"/>
      <c r="AB65" s="142"/>
      <c r="AC65" s="142"/>
      <c r="AD65" s="142"/>
      <c r="AE65" s="142"/>
      <c r="AF65" s="142"/>
      <c r="AG65" s="142"/>
      <c r="AH65" s="142"/>
      <c r="AI65" s="142"/>
      <c r="AJ65" s="142"/>
      <c r="AK65" s="142"/>
      <c r="AL65" s="142"/>
      <c r="AM65" s="142"/>
      <c r="AN65" s="142"/>
      <c r="AO65" s="142"/>
      <c r="AP65" s="142"/>
    </row>
    <row r="66" ht="18.0" customHeight="1">
      <c r="A66" s="142" t="s">
        <v>1453</v>
      </c>
      <c r="B66" s="142"/>
      <c r="C66" s="142"/>
      <c r="D66" s="142"/>
      <c r="E66" s="132"/>
      <c r="F66" s="131"/>
      <c r="G66" s="131"/>
      <c r="H66" s="131"/>
      <c r="I66" s="131"/>
      <c r="J66" s="131"/>
      <c r="K66" s="131"/>
      <c r="L66" s="131"/>
      <c r="M66" s="131"/>
      <c r="N66" s="131"/>
      <c r="O66" s="142"/>
      <c r="P66" s="142"/>
      <c r="Q66" s="142"/>
      <c r="R66" s="142"/>
      <c r="S66" s="142"/>
      <c r="T66" s="142"/>
      <c r="U66" s="142"/>
      <c r="V66" s="142"/>
      <c r="W66" s="142"/>
      <c r="X66" s="142"/>
      <c r="Y66" s="142"/>
      <c r="Z66" s="142"/>
      <c r="AA66" s="131"/>
      <c r="AB66" s="142"/>
      <c r="AC66" s="142"/>
      <c r="AD66" s="142"/>
      <c r="AE66" s="142"/>
      <c r="AF66" s="142"/>
      <c r="AG66" s="142"/>
      <c r="AH66" s="142"/>
      <c r="AI66" s="142"/>
      <c r="AJ66" s="142"/>
      <c r="AK66" s="142"/>
      <c r="AL66" s="142"/>
      <c r="AM66" s="142"/>
      <c r="AN66" s="142"/>
      <c r="AO66" s="142"/>
      <c r="AP66" s="142"/>
    </row>
    <row r="67" ht="18.0" customHeight="1">
      <c r="A67" s="142" t="s">
        <v>1454</v>
      </c>
      <c r="B67" s="142"/>
      <c r="C67" s="142"/>
      <c r="D67" s="142"/>
      <c r="E67" s="132"/>
      <c r="F67" s="131"/>
      <c r="G67" s="131"/>
      <c r="H67" s="131"/>
      <c r="I67" s="131"/>
      <c r="J67" s="131"/>
      <c r="K67" s="131"/>
      <c r="L67" s="131"/>
      <c r="M67" s="131"/>
      <c r="N67" s="131"/>
      <c r="O67" s="142"/>
      <c r="P67" s="142"/>
      <c r="Q67" s="142"/>
      <c r="R67" s="142"/>
      <c r="S67" s="142"/>
      <c r="T67" s="142"/>
      <c r="U67" s="142"/>
      <c r="V67" s="142"/>
      <c r="W67" s="142"/>
      <c r="X67" s="142"/>
      <c r="Y67" s="142"/>
      <c r="Z67" s="142"/>
      <c r="AA67" s="131"/>
      <c r="AB67" s="142"/>
      <c r="AC67" s="142"/>
      <c r="AD67" s="142"/>
      <c r="AE67" s="142"/>
      <c r="AF67" s="142"/>
      <c r="AG67" s="142"/>
      <c r="AH67" s="142"/>
      <c r="AI67" s="142"/>
      <c r="AJ67" s="142"/>
      <c r="AK67" s="142"/>
      <c r="AL67" s="142"/>
      <c r="AM67" s="142"/>
      <c r="AN67" s="142"/>
      <c r="AO67" s="142"/>
      <c r="AP67" s="142"/>
    </row>
    <row r="68" ht="18.0" customHeight="1">
      <c r="A68" s="142"/>
      <c r="B68" s="142"/>
      <c r="C68" s="198"/>
      <c r="D68" s="142"/>
      <c r="E68" s="131"/>
      <c r="F68" s="142"/>
      <c r="G68" s="142"/>
      <c r="H68" s="131"/>
      <c r="I68" s="142"/>
      <c r="J68" s="142"/>
      <c r="K68" s="132"/>
      <c r="L68" s="131"/>
      <c r="M68" s="142"/>
      <c r="N68" s="142"/>
      <c r="O68" s="142"/>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2"/>
      <c r="AN68" s="142"/>
      <c r="AO68" s="142"/>
      <c r="AP68" s="142"/>
    </row>
    <row r="69" ht="18.0" customHeight="1">
      <c r="A69" s="142" t="s">
        <v>1229</v>
      </c>
      <c r="B69" s="142"/>
      <c r="C69" s="142"/>
      <c r="D69" s="142"/>
      <c r="E69" s="132"/>
      <c r="F69" s="131"/>
      <c r="G69" s="131"/>
      <c r="H69" s="131"/>
      <c r="I69" s="131"/>
      <c r="J69" s="219"/>
      <c r="K69" s="198"/>
      <c r="L69" s="131"/>
      <c r="M69" s="142"/>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42"/>
      <c r="AP69" s="131"/>
    </row>
    <row r="70" ht="18.0" customHeight="1">
      <c r="A70" s="142"/>
      <c r="B70" s="142"/>
      <c r="C70" s="142"/>
      <c r="D70" s="142"/>
      <c r="E70" s="132"/>
      <c r="F70" s="131"/>
      <c r="G70" s="131"/>
      <c r="H70" s="131"/>
      <c r="I70" s="131"/>
      <c r="J70" s="131"/>
      <c r="K70" s="131"/>
      <c r="L70" s="131"/>
      <c r="M70" s="131"/>
      <c r="N70" s="131"/>
      <c r="O70" s="142"/>
      <c r="P70" s="142"/>
      <c r="Q70" s="142"/>
      <c r="R70" s="142"/>
      <c r="S70" s="142"/>
      <c r="T70" s="142"/>
      <c r="U70" s="142"/>
      <c r="V70" s="142"/>
      <c r="W70" s="142"/>
      <c r="X70" s="142"/>
      <c r="Y70" s="142"/>
      <c r="Z70" s="142"/>
      <c r="AA70" s="131"/>
      <c r="AB70" s="142"/>
      <c r="AC70" s="142"/>
      <c r="AD70" s="142"/>
      <c r="AE70" s="142"/>
      <c r="AF70" s="142"/>
      <c r="AG70" s="142"/>
      <c r="AH70" s="142"/>
      <c r="AI70" s="142"/>
      <c r="AJ70" s="142"/>
      <c r="AK70" s="142"/>
      <c r="AL70" s="142"/>
      <c r="AM70" s="142"/>
      <c r="AN70" s="142"/>
      <c r="AO70" s="142"/>
      <c r="AP70" s="142"/>
    </row>
    <row r="71" ht="18.0" customHeight="1">
      <c r="A71" s="220" t="s">
        <v>1230</v>
      </c>
      <c r="B71" s="142"/>
      <c r="C71" s="142"/>
      <c r="D71" s="142"/>
      <c r="E71" s="132"/>
      <c r="F71" s="131"/>
      <c r="G71" s="131"/>
      <c r="H71" s="131"/>
      <c r="I71" s="131"/>
      <c r="J71" s="131"/>
      <c r="K71" s="131"/>
      <c r="L71" s="131"/>
      <c r="M71" s="131"/>
      <c r="N71" s="131"/>
      <c r="O71" s="142"/>
      <c r="P71" s="142"/>
      <c r="Q71" s="142"/>
      <c r="R71" s="142"/>
      <c r="S71" s="142"/>
      <c r="T71" s="142"/>
      <c r="U71" s="142"/>
      <c r="V71" s="142"/>
      <c r="W71" s="142"/>
      <c r="X71" s="142"/>
      <c r="Y71" s="142"/>
      <c r="Z71" s="142"/>
      <c r="AA71" s="131"/>
      <c r="AB71" s="142"/>
      <c r="AC71" s="142"/>
      <c r="AD71" s="142"/>
      <c r="AE71" s="142"/>
      <c r="AF71" s="142"/>
      <c r="AG71" s="142"/>
      <c r="AH71" s="142"/>
      <c r="AI71" s="142"/>
      <c r="AJ71" s="142"/>
      <c r="AK71" s="142"/>
      <c r="AL71" s="142"/>
      <c r="AM71" s="142"/>
      <c r="AN71" s="142"/>
      <c r="AO71" s="142"/>
      <c r="AP71" s="142"/>
    </row>
    <row r="72" ht="18.0" customHeight="1">
      <c r="A72" s="142" t="s">
        <v>1455</v>
      </c>
      <c r="B72" s="142"/>
      <c r="C72" s="142"/>
      <c r="D72" s="142"/>
      <c r="E72" s="132"/>
      <c r="F72" s="131"/>
      <c r="G72" s="131"/>
      <c r="H72" s="131"/>
      <c r="I72" s="131"/>
      <c r="J72" s="131"/>
      <c r="K72" s="131"/>
      <c r="L72" s="131"/>
      <c r="M72" s="131"/>
      <c r="N72" s="131"/>
      <c r="O72" s="142"/>
      <c r="P72" s="142"/>
      <c r="Q72" s="142"/>
      <c r="R72" s="142"/>
      <c r="S72" s="142"/>
      <c r="T72" s="142"/>
      <c r="U72" s="142"/>
      <c r="V72" s="142"/>
      <c r="W72" s="142"/>
      <c r="X72" s="142"/>
      <c r="Y72" s="142"/>
      <c r="Z72" s="142"/>
      <c r="AA72" s="131"/>
      <c r="AB72" s="142"/>
      <c r="AC72" s="142"/>
      <c r="AD72" s="142"/>
      <c r="AE72" s="142"/>
      <c r="AF72" s="142"/>
      <c r="AG72" s="142"/>
      <c r="AH72" s="142"/>
      <c r="AI72" s="142"/>
      <c r="AJ72" s="142"/>
      <c r="AK72" s="142"/>
      <c r="AL72" s="142"/>
      <c r="AM72" s="142"/>
      <c r="AN72" s="142"/>
      <c r="AO72" s="142"/>
      <c r="AP72" s="142"/>
    </row>
    <row r="73" ht="18.0" customHeight="1">
      <c r="A73" s="142" t="s">
        <v>1456</v>
      </c>
      <c r="B73" s="142"/>
      <c r="C73" s="142"/>
      <c r="D73" s="142"/>
      <c r="E73" s="132"/>
      <c r="F73" s="131"/>
      <c r="G73" s="131"/>
      <c r="H73" s="131"/>
      <c r="I73" s="131"/>
      <c r="J73" s="131"/>
      <c r="K73" s="131"/>
      <c r="L73" s="131"/>
      <c r="M73" s="131"/>
      <c r="N73" s="131"/>
      <c r="O73" s="142"/>
      <c r="P73" s="142"/>
      <c r="Q73" s="142"/>
      <c r="R73" s="142"/>
      <c r="S73" s="142"/>
      <c r="T73" s="142"/>
      <c r="U73" s="142"/>
      <c r="V73" s="142"/>
      <c r="W73" s="142"/>
      <c r="X73" s="142"/>
      <c r="Y73" s="142"/>
      <c r="Z73" s="142"/>
      <c r="AA73" s="131"/>
      <c r="AB73" s="142"/>
      <c r="AC73" s="142"/>
      <c r="AD73" s="142"/>
      <c r="AE73" s="142"/>
      <c r="AF73" s="142"/>
      <c r="AG73" s="142"/>
      <c r="AH73" s="142"/>
      <c r="AI73" s="142"/>
      <c r="AJ73" s="142"/>
      <c r="AK73" s="142"/>
      <c r="AL73" s="142"/>
      <c r="AM73" s="142"/>
      <c r="AN73" s="142"/>
      <c r="AO73" s="142"/>
      <c r="AP73" s="142"/>
    </row>
    <row r="74" ht="18.0" customHeight="1">
      <c r="A74" s="142"/>
      <c r="B74" s="142"/>
      <c r="C74" s="142"/>
      <c r="D74" s="142"/>
      <c r="E74" s="132"/>
      <c r="F74" s="131"/>
      <c r="G74" s="131"/>
      <c r="H74" s="131"/>
      <c r="I74" s="131"/>
      <c r="J74" s="131"/>
      <c r="K74" s="131"/>
      <c r="L74" s="131"/>
      <c r="M74" s="131"/>
      <c r="N74" s="131"/>
      <c r="O74" s="142"/>
      <c r="P74" s="142"/>
      <c r="Q74" s="142"/>
      <c r="R74" s="142"/>
      <c r="S74" s="142"/>
      <c r="T74" s="142"/>
      <c r="U74" s="142"/>
      <c r="V74" s="142"/>
      <c r="W74" s="142"/>
      <c r="X74" s="142"/>
      <c r="Y74" s="142"/>
      <c r="Z74" s="142"/>
      <c r="AA74" s="131"/>
      <c r="AB74" s="142"/>
      <c r="AC74" s="142"/>
      <c r="AD74" s="142"/>
      <c r="AE74" s="142"/>
      <c r="AF74" s="142"/>
      <c r="AG74" s="142"/>
      <c r="AH74" s="142"/>
      <c r="AI74" s="142"/>
      <c r="AJ74" s="142"/>
      <c r="AK74" s="142"/>
      <c r="AL74" s="142"/>
      <c r="AM74" s="142"/>
      <c r="AN74" s="142"/>
      <c r="AO74" s="142"/>
      <c r="AP74" s="142"/>
    </row>
    <row r="75" ht="18.0" customHeight="1">
      <c r="A75" s="142" t="s">
        <v>1457</v>
      </c>
      <c r="B75" s="142"/>
      <c r="C75" s="142"/>
      <c r="D75" s="142"/>
      <c r="E75" s="132"/>
      <c r="F75" s="131"/>
      <c r="G75" s="131"/>
      <c r="H75" s="131"/>
      <c r="I75" s="131"/>
      <c r="J75" s="131"/>
      <c r="K75" s="131"/>
      <c r="L75" s="131"/>
      <c r="M75" s="131"/>
      <c r="N75" s="131"/>
      <c r="O75" s="142"/>
      <c r="P75" s="142"/>
      <c r="Q75" s="142"/>
      <c r="R75" s="142"/>
      <c r="S75" s="142"/>
      <c r="T75" s="142"/>
      <c r="U75" s="142"/>
      <c r="V75" s="142"/>
      <c r="W75" s="142"/>
      <c r="X75" s="142"/>
      <c r="Y75" s="142"/>
      <c r="Z75" s="142"/>
      <c r="AA75" s="131"/>
      <c r="AB75" s="142"/>
      <c r="AC75" s="142"/>
      <c r="AD75" s="142"/>
      <c r="AE75" s="142"/>
      <c r="AF75" s="142"/>
      <c r="AG75" s="142"/>
      <c r="AH75" s="142"/>
      <c r="AI75" s="142"/>
      <c r="AJ75" s="142"/>
      <c r="AK75" s="142"/>
      <c r="AL75" s="142"/>
      <c r="AM75" s="142"/>
      <c r="AN75" s="142"/>
      <c r="AO75" s="142"/>
      <c r="AP75" s="142"/>
    </row>
    <row r="76" ht="18.0" customHeight="1">
      <c r="A76" s="142" t="s">
        <v>1458</v>
      </c>
      <c r="B76" s="142"/>
      <c r="C76" s="142"/>
      <c r="D76" s="142"/>
      <c r="E76" s="132"/>
      <c r="F76" s="131"/>
      <c r="G76" s="131"/>
      <c r="H76" s="131"/>
      <c r="I76" s="131"/>
      <c r="J76" s="131"/>
      <c r="K76" s="131"/>
      <c r="L76" s="131"/>
      <c r="M76" s="131"/>
      <c r="N76" s="131"/>
      <c r="O76" s="142"/>
      <c r="P76" s="142"/>
      <c r="Q76" s="142"/>
      <c r="R76" s="142"/>
      <c r="S76" s="142"/>
      <c r="T76" s="142"/>
      <c r="U76" s="142"/>
      <c r="V76" s="142"/>
      <c r="W76" s="142"/>
      <c r="X76" s="142"/>
      <c r="Y76" s="142"/>
      <c r="Z76" s="142"/>
      <c r="AA76" s="131"/>
      <c r="AB76" s="142"/>
      <c r="AC76" s="142"/>
      <c r="AD76" s="142"/>
      <c r="AE76" s="142"/>
      <c r="AF76" s="142"/>
      <c r="AG76" s="142"/>
      <c r="AH76" s="142"/>
      <c r="AI76" s="142"/>
      <c r="AJ76" s="142"/>
      <c r="AK76" s="142"/>
      <c r="AL76" s="142"/>
      <c r="AM76" s="142"/>
      <c r="AN76" s="142"/>
      <c r="AO76" s="142"/>
      <c r="AP76" s="142"/>
    </row>
    <row r="77" ht="18.0" customHeight="1">
      <c r="A77" s="142"/>
      <c r="B77" s="142"/>
      <c r="C77" s="142"/>
      <c r="D77" s="142"/>
      <c r="E77" s="132"/>
      <c r="F77" s="131"/>
      <c r="G77" s="131"/>
      <c r="H77" s="131"/>
      <c r="I77" s="131"/>
      <c r="J77" s="131"/>
      <c r="K77" s="131"/>
      <c r="L77" s="131"/>
      <c r="M77" s="131"/>
      <c r="N77" s="131"/>
      <c r="O77" s="142"/>
      <c r="P77" s="142"/>
      <c r="Q77" s="142"/>
      <c r="R77" s="142"/>
      <c r="S77" s="142"/>
      <c r="T77" s="142"/>
      <c r="U77" s="142"/>
      <c r="V77" s="142"/>
      <c r="W77" s="142"/>
      <c r="X77" s="142"/>
      <c r="Y77" s="142"/>
      <c r="Z77" s="142"/>
      <c r="AA77" s="131"/>
      <c r="AB77" s="142"/>
      <c r="AC77" s="142"/>
      <c r="AD77" s="142"/>
      <c r="AE77" s="142"/>
      <c r="AF77" s="142"/>
      <c r="AG77" s="142"/>
      <c r="AH77" s="142"/>
      <c r="AI77" s="142"/>
      <c r="AJ77" s="142"/>
      <c r="AK77" s="142"/>
      <c r="AL77" s="142"/>
      <c r="AM77" s="142"/>
      <c r="AN77" s="142"/>
      <c r="AO77" s="142"/>
      <c r="AP77" s="142"/>
    </row>
    <row r="78" ht="18.0" customHeight="1">
      <c r="A78" s="142" t="s">
        <v>1459</v>
      </c>
      <c r="B78" s="142"/>
      <c r="C78" s="142"/>
      <c r="D78" s="142"/>
      <c r="E78" s="132"/>
      <c r="F78" s="131"/>
      <c r="G78" s="131"/>
      <c r="H78" s="131"/>
      <c r="I78" s="131"/>
      <c r="J78" s="131"/>
      <c r="K78" s="131"/>
      <c r="L78" s="131"/>
      <c r="M78" s="131"/>
      <c r="N78" s="131"/>
      <c r="O78" s="142"/>
      <c r="P78" s="142"/>
      <c r="Q78" s="142"/>
      <c r="R78" s="142"/>
      <c r="S78" s="142"/>
      <c r="T78" s="142"/>
      <c r="U78" s="142"/>
      <c r="V78" s="142"/>
      <c r="W78" s="142"/>
      <c r="X78" s="142"/>
      <c r="Y78" s="142"/>
      <c r="Z78" s="142"/>
      <c r="AA78" s="131"/>
      <c r="AB78" s="142"/>
      <c r="AC78" s="142"/>
      <c r="AD78" s="142"/>
      <c r="AE78" s="142"/>
      <c r="AF78" s="142"/>
      <c r="AG78" s="142"/>
      <c r="AH78" s="142"/>
      <c r="AI78" s="142"/>
      <c r="AJ78" s="142"/>
      <c r="AK78" s="142"/>
      <c r="AL78" s="142"/>
      <c r="AM78" s="142"/>
      <c r="AN78" s="142"/>
      <c r="AO78" s="142"/>
      <c r="AP78" s="142"/>
    </row>
    <row r="79" ht="18.0" customHeight="1">
      <c r="A79" s="142"/>
      <c r="B79" s="142" t="s">
        <v>1460</v>
      </c>
      <c r="C79" s="142"/>
      <c r="D79" s="142"/>
      <c r="E79" s="132"/>
      <c r="F79" s="131"/>
      <c r="G79" s="131"/>
      <c r="H79" s="131"/>
      <c r="I79" s="131"/>
      <c r="J79" s="131"/>
      <c r="K79" s="131"/>
      <c r="L79" s="131"/>
      <c r="M79" s="131"/>
      <c r="N79" s="131"/>
      <c r="O79" s="142"/>
      <c r="P79" s="142"/>
      <c r="Q79" s="142"/>
      <c r="R79" s="142"/>
      <c r="S79" s="142"/>
      <c r="T79" s="142"/>
      <c r="U79" s="142"/>
      <c r="V79" s="142"/>
      <c r="W79" s="142"/>
      <c r="X79" s="142"/>
      <c r="Y79" s="142"/>
      <c r="Z79" s="142"/>
      <c r="AA79" s="131"/>
      <c r="AB79" s="142"/>
      <c r="AC79" s="142"/>
      <c r="AD79" s="142"/>
      <c r="AE79" s="142"/>
      <c r="AF79" s="142"/>
      <c r="AG79" s="142"/>
      <c r="AH79" s="142"/>
      <c r="AI79" s="142"/>
      <c r="AJ79" s="142"/>
      <c r="AK79" s="142"/>
      <c r="AL79" s="142"/>
      <c r="AM79" s="142"/>
      <c r="AN79" s="142"/>
      <c r="AO79" s="142"/>
      <c r="AP79" s="142"/>
    </row>
    <row r="80" ht="18.0" customHeight="1">
      <c r="A80" s="112"/>
      <c r="B80" s="142" t="s">
        <v>1461</v>
      </c>
      <c r="C80" s="142"/>
      <c r="D80" s="142"/>
      <c r="E80" s="132"/>
      <c r="F80" s="131"/>
      <c r="G80" s="131"/>
      <c r="H80" s="131"/>
      <c r="I80" s="131"/>
      <c r="J80" s="131"/>
      <c r="K80" s="131"/>
      <c r="L80" s="131"/>
      <c r="M80" s="131"/>
      <c r="N80" s="131"/>
      <c r="O80" s="142"/>
      <c r="P80" s="142"/>
      <c r="Q80" s="142"/>
      <c r="R80" s="142"/>
      <c r="S80" s="142"/>
      <c r="T80" s="142"/>
      <c r="U80" s="142"/>
      <c r="V80" s="142"/>
      <c r="W80" s="142"/>
      <c r="X80" s="142"/>
      <c r="Y80" s="142"/>
      <c r="Z80" s="142"/>
      <c r="AA80" s="131"/>
      <c r="AB80" s="142"/>
      <c r="AC80" s="142"/>
      <c r="AD80" s="142"/>
      <c r="AE80" s="142"/>
      <c r="AF80" s="142"/>
      <c r="AG80" s="142"/>
      <c r="AH80" s="142"/>
      <c r="AI80" s="142"/>
      <c r="AJ80" s="142"/>
      <c r="AK80" s="142"/>
      <c r="AL80" s="142"/>
      <c r="AM80" s="142"/>
      <c r="AN80" s="142"/>
      <c r="AO80" s="142"/>
      <c r="AP80" s="142"/>
    </row>
    <row r="81" ht="18.0" customHeight="1">
      <c r="A81" s="142"/>
      <c r="B81" s="142" t="s">
        <v>1462</v>
      </c>
      <c r="C81" s="142"/>
      <c r="D81" s="142"/>
      <c r="E81" s="132"/>
      <c r="F81" s="131"/>
      <c r="G81" s="131"/>
      <c r="H81" s="131"/>
      <c r="I81" s="131"/>
      <c r="J81" s="131"/>
      <c r="K81" s="131"/>
      <c r="L81" s="131"/>
      <c r="M81" s="131"/>
      <c r="N81" s="131"/>
      <c r="O81" s="142"/>
      <c r="P81" s="142"/>
      <c r="Q81" s="142"/>
      <c r="R81" s="142"/>
      <c r="S81" s="142"/>
      <c r="T81" s="142"/>
      <c r="U81" s="142"/>
      <c r="V81" s="142"/>
      <c r="W81" s="142"/>
      <c r="X81" s="142"/>
      <c r="Y81" s="142"/>
      <c r="Z81" s="142"/>
      <c r="AA81" s="131"/>
      <c r="AB81" s="142"/>
      <c r="AC81" s="142"/>
      <c r="AD81" s="142"/>
      <c r="AE81" s="142"/>
      <c r="AF81" s="142"/>
      <c r="AG81" s="142"/>
      <c r="AH81" s="142"/>
      <c r="AI81" s="142"/>
      <c r="AJ81" s="142"/>
      <c r="AK81" s="142"/>
      <c r="AL81" s="142"/>
      <c r="AM81" s="142"/>
      <c r="AN81" s="142"/>
      <c r="AO81" s="142"/>
      <c r="AP81" s="142"/>
    </row>
    <row r="82" ht="18.0" customHeight="1">
      <c r="A82" s="142"/>
      <c r="B82" s="142" t="s">
        <v>1463</v>
      </c>
      <c r="C82" s="142"/>
      <c r="D82" s="142"/>
      <c r="E82" s="132"/>
      <c r="F82" s="131"/>
      <c r="G82" s="131"/>
      <c r="H82" s="131"/>
      <c r="I82" s="131"/>
      <c r="J82" s="131"/>
      <c r="K82" s="131"/>
      <c r="L82" s="131"/>
      <c r="M82" s="131"/>
      <c r="N82" s="131"/>
      <c r="O82" s="142"/>
      <c r="P82" s="142"/>
      <c r="Q82" s="142"/>
      <c r="R82" s="142"/>
      <c r="S82" s="142"/>
      <c r="T82" s="142"/>
      <c r="U82" s="142"/>
      <c r="V82" s="142"/>
      <c r="W82" s="142"/>
      <c r="X82" s="142"/>
      <c r="Y82" s="142"/>
      <c r="Z82" s="142"/>
      <c r="AA82" s="131"/>
      <c r="AB82" s="142"/>
      <c r="AC82" s="142"/>
      <c r="AD82" s="142"/>
      <c r="AE82" s="142"/>
      <c r="AF82" s="142"/>
      <c r="AG82" s="142"/>
      <c r="AH82" s="142"/>
      <c r="AI82" s="142"/>
      <c r="AJ82" s="142"/>
      <c r="AK82" s="142"/>
      <c r="AL82" s="142"/>
      <c r="AM82" s="142"/>
      <c r="AN82" s="142"/>
      <c r="AO82" s="142"/>
      <c r="AP82" s="142"/>
    </row>
    <row r="83" ht="18.0" customHeight="1">
      <c r="A83" s="142"/>
      <c r="B83" s="142"/>
      <c r="C83" s="142"/>
      <c r="D83" s="142"/>
      <c r="E83" s="132"/>
      <c r="F83" s="131"/>
      <c r="G83" s="131"/>
      <c r="H83" s="131"/>
      <c r="I83" s="131"/>
      <c r="J83" s="131"/>
      <c r="K83" s="131"/>
      <c r="L83" s="131"/>
      <c r="M83" s="131"/>
      <c r="N83" s="131"/>
      <c r="O83" s="142"/>
      <c r="P83" s="142"/>
      <c r="Q83" s="142"/>
      <c r="R83" s="142"/>
      <c r="S83" s="142"/>
      <c r="T83" s="142"/>
      <c r="U83" s="142"/>
      <c r="V83" s="142"/>
      <c r="W83" s="142"/>
      <c r="X83" s="142"/>
      <c r="Y83" s="142"/>
      <c r="Z83" s="142"/>
      <c r="AA83" s="131"/>
      <c r="AB83" s="142"/>
      <c r="AC83" s="142"/>
      <c r="AD83" s="142"/>
      <c r="AE83" s="142"/>
      <c r="AF83" s="142"/>
      <c r="AG83" s="142"/>
      <c r="AH83" s="142"/>
      <c r="AI83" s="142"/>
      <c r="AJ83" s="142"/>
      <c r="AK83" s="142"/>
      <c r="AL83" s="142"/>
      <c r="AM83" s="142"/>
      <c r="AN83" s="142"/>
      <c r="AO83" s="142"/>
      <c r="AP83" s="142"/>
    </row>
    <row r="84" ht="18.0" customHeight="1">
      <c r="A84" s="142" t="s">
        <v>1464</v>
      </c>
      <c r="B84" s="142"/>
      <c r="C84" s="142"/>
      <c r="D84" s="142"/>
      <c r="E84" s="132"/>
      <c r="F84" s="131"/>
      <c r="G84" s="131"/>
      <c r="H84" s="131"/>
      <c r="I84" s="131"/>
      <c r="J84" s="131"/>
      <c r="K84" s="131"/>
      <c r="L84" s="131"/>
      <c r="M84" s="131"/>
      <c r="N84" s="131"/>
      <c r="O84" s="142"/>
      <c r="P84" s="142"/>
      <c r="Q84" s="142"/>
      <c r="R84" s="142"/>
      <c r="S84" s="142"/>
      <c r="T84" s="142"/>
      <c r="U84" s="142"/>
      <c r="V84" s="142"/>
      <c r="W84" s="142"/>
      <c r="X84" s="142"/>
      <c r="Y84" s="142"/>
      <c r="Z84" s="142"/>
      <c r="AA84" s="131"/>
      <c r="AB84" s="142"/>
      <c r="AC84" s="142"/>
      <c r="AD84" s="142"/>
      <c r="AE84" s="142"/>
      <c r="AF84" s="142"/>
      <c r="AG84" s="142"/>
      <c r="AH84" s="142"/>
      <c r="AI84" s="142"/>
      <c r="AJ84" s="142"/>
      <c r="AK84" s="142"/>
      <c r="AL84" s="142"/>
      <c r="AM84" s="142"/>
      <c r="AN84" s="142"/>
      <c r="AO84" s="142"/>
      <c r="AP84" s="142"/>
    </row>
    <row r="85" ht="18.0" customHeight="1">
      <c r="A85" s="221"/>
      <c r="B85" s="142"/>
      <c r="C85" s="142"/>
      <c r="D85" s="142"/>
      <c r="E85" s="132"/>
      <c r="F85" s="131"/>
      <c r="G85" s="131"/>
      <c r="H85" s="131"/>
      <c r="I85" s="131"/>
      <c r="J85" s="131"/>
      <c r="K85" s="131"/>
      <c r="L85" s="131"/>
      <c r="M85" s="131"/>
      <c r="N85" s="131"/>
      <c r="O85" s="142"/>
      <c r="P85" s="142"/>
      <c r="Q85" s="142"/>
      <c r="R85" s="142"/>
      <c r="S85" s="142"/>
      <c r="T85" s="142"/>
      <c r="U85" s="142"/>
      <c r="V85" s="142"/>
      <c r="W85" s="142"/>
      <c r="X85" s="142"/>
      <c r="Y85" s="142"/>
      <c r="Z85" s="142"/>
      <c r="AA85" s="131"/>
      <c r="AB85" s="142"/>
      <c r="AC85" s="142"/>
      <c r="AD85" s="142"/>
      <c r="AE85" s="142"/>
      <c r="AF85" s="142"/>
      <c r="AG85" s="142"/>
      <c r="AH85" s="142"/>
      <c r="AI85" s="142"/>
      <c r="AJ85" s="142"/>
      <c r="AK85" s="142"/>
      <c r="AL85" s="142"/>
      <c r="AM85" s="142"/>
      <c r="AN85" s="142"/>
      <c r="AO85" s="142"/>
      <c r="AP85" s="142"/>
    </row>
    <row r="86" ht="18.0" customHeight="1">
      <c r="A86" s="220" t="s">
        <v>1232</v>
      </c>
      <c r="B86" s="142"/>
      <c r="C86" s="142"/>
      <c r="D86" s="142"/>
      <c r="E86" s="132"/>
      <c r="F86" s="131"/>
      <c r="G86" s="131"/>
      <c r="H86" s="131"/>
      <c r="I86" s="131"/>
      <c r="J86" s="131"/>
      <c r="K86" s="131"/>
      <c r="L86" s="131"/>
      <c r="M86" s="131"/>
      <c r="N86" s="131"/>
      <c r="O86" s="142"/>
      <c r="P86" s="142"/>
      <c r="Q86" s="142"/>
      <c r="R86" s="142"/>
      <c r="S86" s="142"/>
      <c r="T86" s="142"/>
      <c r="U86" s="142"/>
      <c r="V86" s="142"/>
      <c r="W86" s="142"/>
      <c r="X86" s="142"/>
      <c r="Y86" s="142"/>
      <c r="Z86" s="142"/>
      <c r="AA86" s="131"/>
      <c r="AB86" s="142"/>
      <c r="AC86" s="142"/>
      <c r="AD86" s="142"/>
      <c r="AE86" s="142"/>
      <c r="AF86" s="142"/>
      <c r="AG86" s="142"/>
      <c r="AH86" s="142"/>
      <c r="AI86" s="142"/>
      <c r="AJ86" s="142"/>
      <c r="AK86" s="142"/>
      <c r="AL86" s="142"/>
      <c r="AM86" s="142"/>
      <c r="AN86" s="142"/>
      <c r="AO86" s="142"/>
      <c r="AP86" s="142"/>
    </row>
    <row r="87" ht="18.0" customHeight="1">
      <c r="A87" s="221" t="s">
        <v>1465</v>
      </c>
      <c r="B87" s="142"/>
      <c r="C87" s="142"/>
      <c r="D87" s="142"/>
      <c r="E87" s="132"/>
      <c r="F87" s="131"/>
      <c r="G87" s="131"/>
      <c r="H87" s="131"/>
      <c r="I87" s="131"/>
      <c r="J87" s="131"/>
      <c r="K87" s="131"/>
      <c r="L87" s="131"/>
      <c r="M87" s="131"/>
      <c r="N87" s="131"/>
      <c r="O87" s="142"/>
      <c r="P87" s="142"/>
      <c r="Q87" s="142"/>
      <c r="R87" s="142"/>
      <c r="S87" s="142"/>
      <c r="T87" s="142"/>
      <c r="U87" s="142"/>
      <c r="V87" s="142"/>
      <c r="W87" s="142"/>
      <c r="X87" s="142"/>
      <c r="Y87" s="142"/>
      <c r="Z87" s="142"/>
      <c r="AA87" s="131"/>
      <c r="AB87" s="142"/>
      <c r="AC87" s="142"/>
      <c r="AD87" s="142"/>
      <c r="AE87" s="142"/>
      <c r="AF87" s="142"/>
      <c r="AG87" s="142"/>
      <c r="AH87" s="142"/>
      <c r="AI87" s="142"/>
      <c r="AJ87" s="142"/>
      <c r="AK87" s="142"/>
      <c r="AL87" s="142"/>
      <c r="AM87" s="142"/>
      <c r="AN87" s="142"/>
      <c r="AO87" s="142"/>
      <c r="AP87" s="142"/>
    </row>
    <row r="88" ht="18.0" customHeight="1">
      <c r="A88" s="221" t="s">
        <v>1466</v>
      </c>
      <c r="B88" s="142"/>
      <c r="C88" s="142"/>
      <c r="D88" s="142"/>
      <c r="E88" s="132"/>
      <c r="F88" s="131"/>
      <c r="G88" s="131"/>
      <c r="H88" s="131"/>
      <c r="I88" s="131"/>
      <c r="J88" s="131"/>
      <c r="K88" s="131"/>
      <c r="L88" s="131"/>
      <c r="M88" s="131"/>
      <c r="N88" s="131"/>
      <c r="O88" s="142"/>
      <c r="P88" s="142"/>
      <c r="Q88" s="142"/>
      <c r="R88" s="142"/>
      <c r="S88" s="142"/>
      <c r="T88" s="142"/>
      <c r="U88" s="142"/>
      <c r="V88" s="142"/>
      <c r="W88" s="142"/>
      <c r="X88" s="142"/>
      <c r="Y88" s="142"/>
      <c r="Z88" s="142"/>
      <c r="AA88" s="131"/>
      <c r="AB88" s="142"/>
      <c r="AC88" s="142"/>
      <c r="AD88" s="142"/>
      <c r="AE88" s="142"/>
      <c r="AF88" s="142"/>
      <c r="AG88" s="142"/>
      <c r="AH88" s="142"/>
      <c r="AI88" s="142"/>
      <c r="AJ88" s="142"/>
      <c r="AK88" s="142"/>
      <c r="AL88" s="142"/>
      <c r="AM88" s="142"/>
      <c r="AN88" s="142"/>
      <c r="AO88" s="142"/>
      <c r="AP88" s="142"/>
    </row>
    <row r="89" ht="18.0" customHeight="1">
      <c r="A89" s="242" t="s">
        <v>1467</v>
      </c>
      <c r="B89" s="142"/>
      <c r="C89" s="142"/>
      <c r="D89" s="142"/>
      <c r="E89" s="132"/>
      <c r="F89" s="131"/>
      <c r="G89" s="131"/>
      <c r="H89" s="131"/>
      <c r="I89" s="131"/>
      <c r="J89" s="131"/>
      <c r="K89" s="131"/>
      <c r="L89" s="131"/>
      <c r="M89" s="131"/>
      <c r="N89" s="131"/>
      <c r="O89" s="142"/>
      <c r="P89" s="142"/>
      <c r="Q89" s="142"/>
      <c r="R89" s="142"/>
      <c r="S89" s="142"/>
      <c r="T89" s="142"/>
      <c r="U89" s="142"/>
      <c r="V89" s="142"/>
      <c r="W89" s="142"/>
      <c r="X89" s="142"/>
      <c r="Y89" s="142"/>
      <c r="Z89" s="142"/>
      <c r="AA89" s="131"/>
      <c r="AB89" s="142"/>
      <c r="AC89" s="142"/>
      <c r="AD89" s="142"/>
      <c r="AE89" s="142"/>
      <c r="AF89" s="142"/>
      <c r="AG89" s="142"/>
      <c r="AH89" s="142"/>
      <c r="AI89" s="142"/>
      <c r="AJ89" s="142"/>
      <c r="AK89" s="142"/>
      <c r="AL89" s="142"/>
      <c r="AM89" s="142"/>
      <c r="AN89" s="142"/>
      <c r="AO89" s="142"/>
      <c r="AP89" s="142"/>
    </row>
    <row r="90" ht="18.0" customHeight="1">
      <c r="A90" s="221" t="s">
        <v>1468</v>
      </c>
      <c r="B90" s="142"/>
      <c r="C90" s="142"/>
      <c r="D90" s="142"/>
      <c r="E90" s="132"/>
      <c r="F90" s="131"/>
      <c r="G90" s="131"/>
      <c r="H90" s="131"/>
      <c r="I90" s="131"/>
      <c r="J90" s="131"/>
      <c r="K90" s="131"/>
      <c r="L90" s="131"/>
      <c r="M90" s="131"/>
      <c r="N90" s="131"/>
      <c r="O90" s="142"/>
      <c r="P90" s="142"/>
      <c r="Q90" s="142"/>
      <c r="R90" s="142"/>
      <c r="S90" s="142"/>
      <c r="T90" s="142"/>
      <c r="U90" s="142"/>
      <c r="V90" s="142"/>
      <c r="W90" s="142"/>
      <c r="X90" s="142"/>
      <c r="Y90" s="142"/>
      <c r="Z90" s="142"/>
      <c r="AA90" s="131"/>
      <c r="AB90" s="142"/>
      <c r="AC90" s="142"/>
      <c r="AD90" s="142"/>
      <c r="AE90" s="142"/>
      <c r="AF90" s="142"/>
      <c r="AG90" s="142"/>
      <c r="AH90" s="142"/>
      <c r="AI90" s="142"/>
      <c r="AJ90" s="142"/>
      <c r="AK90" s="142"/>
      <c r="AL90" s="142"/>
      <c r="AM90" s="142"/>
      <c r="AN90" s="142"/>
      <c r="AO90" s="142"/>
      <c r="AP90" s="142"/>
    </row>
    <row r="91" ht="18.0" customHeight="1">
      <c r="A91" s="142"/>
      <c r="B91" s="142"/>
      <c r="C91" s="142"/>
      <c r="D91" s="142"/>
      <c r="E91" s="132"/>
      <c r="F91" s="131"/>
      <c r="G91" s="131"/>
      <c r="H91" s="131"/>
      <c r="I91" s="131"/>
      <c r="J91" s="131"/>
      <c r="K91" s="131"/>
      <c r="L91" s="131"/>
      <c r="M91" s="131"/>
      <c r="N91" s="131"/>
      <c r="O91" s="142"/>
      <c r="P91" s="142"/>
      <c r="Q91" s="142"/>
      <c r="R91" s="142"/>
      <c r="S91" s="142"/>
      <c r="T91" s="142"/>
      <c r="U91" s="142"/>
      <c r="V91" s="142"/>
      <c r="W91" s="142"/>
      <c r="X91" s="142"/>
      <c r="Y91" s="142"/>
      <c r="Z91" s="142"/>
      <c r="AA91" s="131"/>
      <c r="AB91" s="142"/>
      <c r="AC91" s="142"/>
      <c r="AD91" s="142"/>
      <c r="AE91" s="142"/>
      <c r="AF91" s="142"/>
      <c r="AG91" s="142"/>
      <c r="AH91" s="142"/>
      <c r="AI91" s="142"/>
      <c r="AJ91" s="142"/>
      <c r="AK91" s="142"/>
      <c r="AL91" s="142"/>
      <c r="AM91" s="142"/>
      <c r="AN91" s="142"/>
      <c r="AO91" s="142"/>
      <c r="AP91" s="142"/>
    </row>
    <row r="92" ht="18.0" hidden="1" customHeight="1">
      <c r="A92" s="142"/>
      <c r="B92" s="142"/>
      <c r="C92" s="142"/>
      <c r="D92" s="142"/>
      <c r="E92" s="132"/>
      <c r="F92" s="131"/>
      <c r="G92" s="131"/>
      <c r="H92" s="131"/>
      <c r="I92" s="131"/>
      <c r="J92" s="131"/>
      <c r="K92" s="131"/>
      <c r="L92" s="131"/>
      <c r="M92" s="131"/>
      <c r="N92" s="131"/>
      <c r="O92" s="142"/>
      <c r="P92" s="142"/>
      <c r="Q92" s="142"/>
      <c r="R92" s="142"/>
      <c r="S92" s="142"/>
      <c r="T92" s="142"/>
      <c r="U92" s="142"/>
      <c r="V92" s="142"/>
      <c r="W92" s="142"/>
      <c r="X92" s="142"/>
      <c r="Y92" s="142"/>
      <c r="Z92" s="142"/>
      <c r="AA92" s="131"/>
      <c r="AB92" s="142"/>
      <c r="AC92" s="142"/>
      <c r="AD92" s="142"/>
      <c r="AE92" s="142"/>
      <c r="AF92" s="142"/>
      <c r="AG92" s="142"/>
      <c r="AH92" s="142"/>
      <c r="AI92" s="142"/>
      <c r="AJ92" s="142"/>
      <c r="AK92" s="142"/>
      <c r="AL92" s="142"/>
      <c r="AM92" s="142"/>
      <c r="AN92" s="142"/>
      <c r="AO92" s="142"/>
      <c r="AP92" s="142"/>
    </row>
    <row r="93" ht="18.0" hidden="1" customHeight="1">
      <c r="A93" s="142"/>
      <c r="B93" s="142"/>
      <c r="C93" s="142"/>
      <c r="D93" s="142"/>
      <c r="E93" s="132"/>
      <c r="F93" s="131"/>
      <c r="G93" s="131"/>
      <c r="H93" s="131"/>
      <c r="I93" s="131"/>
      <c r="J93" s="131"/>
      <c r="K93" s="131"/>
      <c r="L93" s="131"/>
      <c r="M93" s="131"/>
      <c r="N93" s="131"/>
      <c r="O93" s="142"/>
      <c r="P93" s="142"/>
      <c r="Q93" s="142"/>
      <c r="R93" s="142"/>
      <c r="S93" s="142"/>
      <c r="T93" s="142"/>
      <c r="U93" s="142"/>
      <c r="V93" s="142"/>
      <c r="W93" s="142"/>
      <c r="X93" s="142"/>
      <c r="Y93" s="142"/>
      <c r="Z93" s="142"/>
      <c r="AA93" s="131"/>
      <c r="AB93" s="142"/>
      <c r="AC93" s="142"/>
      <c r="AD93" s="142"/>
      <c r="AE93" s="142"/>
      <c r="AF93" s="142"/>
      <c r="AG93" s="142"/>
      <c r="AH93" s="142"/>
      <c r="AI93" s="142"/>
      <c r="AJ93" s="142"/>
      <c r="AK93" s="142"/>
      <c r="AL93" s="142"/>
      <c r="AM93" s="142"/>
      <c r="AN93" s="142"/>
      <c r="AO93" s="142"/>
      <c r="AP93" s="142"/>
    </row>
    <row r="94" ht="18.0" hidden="1" customHeight="1">
      <c r="A94" s="142"/>
      <c r="B94" s="142"/>
      <c r="C94" s="142"/>
      <c r="D94" s="142"/>
      <c r="E94" s="132"/>
      <c r="F94" s="131"/>
      <c r="G94" s="131"/>
      <c r="H94" s="131"/>
      <c r="I94" s="131"/>
      <c r="J94" s="131"/>
      <c r="K94" s="131"/>
      <c r="L94" s="131"/>
      <c r="M94" s="131"/>
      <c r="N94" s="131"/>
      <c r="O94" s="142"/>
      <c r="P94" s="142"/>
      <c r="Q94" s="142"/>
      <c r="R94" s="142"/>
      <c r="S94" s="142"/>
      <c r="T94" s="142"/>
      <c r="U94" s="142"/>
      <c r="V94" s="142"/>
      <c r="W94" s="142"/>
      <c r="X94" s="142"/>
      <c r="Y94" s="142"/>
      <c r="Z94" s="142"/>
      <c r="AA94" s="131"/>
      <c r="AB94" s="142"/>
      <c r="AC94" s="142"/>
      <c r="AD94" s="142"/>
      <c r="AE94" s="142"/>
      <c r="AF94" s="142"/>
      <c r="AG94" s="142"/>
      <c r="AH94" s="142"/>
      <c r="AI94" s="142"/>
      <c r="AJ94" s="142"/>
      <c r="AK94" s="142"/>
      <c r="AL94" s="142"/>
      <c r="AM94" s="142"/>
      <c r="AN94" s="142"/>
      <c r="AO94" s="142"/>
      <c r="AP94" s="142"/>
    </row>
    <row r="95" ht="13.5" customHeight="1">
      <c r="A95" s="142"/>
      <c r="B95" s="142"/>
      <c r="C95" s="142"/>
      <c r="D95" s="142"/>
      <c r="E95" s="132"/>
      <c r="F95" s="131"/>
      <c r="G95" s="131"/>
      <c r="H95" s="131"/>
      <c r="I95" s="131"/>
      <c r="J95" s="131"/>
      <c r="K95" s="131"/>
      <c r="L95" s="131"/>
      <c r="M95" s="131"/>
      <c r="N95" s="131"/>
      <c r="O95" s="142"/>
      <c r="P95" s="142"/>
      <c r="Q95" s="142"/>
      <c r="R95" s="142"/>
      <c r="S95" s="142"/>
      <c r="T95" s="142"/>
      <c r="U95" s="142"/>
      <c r="V95" s="142"/>
      <c r="W95" s="142"/>
      <c r="X95" s="142"/>
      <c r="Y95" s="142"/>
      <c r="Z95" s="142"/>
      <c r="AA95" s="131"/>
      <c r="AB95" s="142"/>
      <c r="AC95" s="142"/>
      <c r="AD95" s="142"/>
      <c r="AE95" s="142"/>
      <c r="AF95" s="142"/>
      <c r="AG95" s="142"/>
      <c r="AH95" s="142"/>
      <c r="AI95" s="142"/>
      <c r="AJ95" s="142"/>
      <c r="AK95" s="142"/>
      <c r="AL95" s="142"/>
      <c r="AM95" s="142"/>
      <c r="AN95" s="142"/>
      <c r="AO95" s="142"/>
      <c r="AP95" s="142"/>
    </row>
    <row r="96" ht="13.5" customHeight="1">
      <c r="A96" s="142"/>
      <c r="B96" s="142"/>
      <c r="C96" s="142"/>
      <c r="D96" s="142"/>
      <c r="E96" s="132"/>
      <c r="F96" s="131"/>
      <c r="G96" s="131"/>
      <c r="H96" s="131"/>
      <c r="I96" s="131"/>
      <c r="J96" s="131"/>
      <c r="K96" s="131"/>
      <c r="L96" s="131"/>
      <c r="M96" s="131"/>
      <c r="N96" s="131"/>
      <c r="O96" s="142"/>
      <c r="P96" s="142"/>
      <c r="Q96" s="142"/>
      <c r="R96" s="142"/>
      <c r="S96" s="142"/>
      <c r="T96" s="142"/>
      <c r="U96" s="142"/>
      <c r="V96" s="142"/>
      <c r="W96" s="142"/>
      <c r="X96" s="142"/>
      <c r="Y96" s="142"/>
      <c r="Z96" s="142"/>
      <c r="AA96" s="131"/>
      <c r="AB96" s="142"/>
      <c r="AC96" s="142"/>
      <c r="AD96" s="142"/>
      <c r="AE96" s="142"/>
      <c r="AF96" s="142"/>
      <c r="AG96" s="142"/>
      <c r="AH96" s="142"/>
      <c r="AI96" s="142"/>
      <c r="AJ96" s="142"/>
      <c r="AK96" s="142"/>
      <c r="AL96" s="142"/>
      <c r="AM96" s="142"/>
      <c r="AN96" s="142"/>
      <c r="AO96" s="142"/>
      <c r="AP96" s="142"/>
    </row>
    <row r="97" ht="13.5" customHeight="1">
      <c r="A97" s="142"/>
      <c r="B97" s="142"/>
      <c r="C97" s="142"/>
      <c r="D97" s="142"/>
      <c r="E97" s="132"/>
      <c r="F97" s="131"/>
      <c r="G97" s="131"/>
      <c r="H97" s="131"/>
      <c r="I97" s="131"/>
      <c r="J97" s="131"/>
      <c r="K97" s="131"/>
      <c r="L97" s="131"/>
      <c r="M97" s="131"/>
      <c r="N97" s="131"/>
      <c r="O97" s="142"/>
      <c r="P97" s="142"/>
      <c r="Q97" s="142"/>
      <c r="R97" s="142"/>
      <c r="S97" s="142"/>
      <c r="T97" s="142"/>
      <c r="U97" s="142"/>
      <c r="V97" s="142"/>
      <c r="W97" s="142"/>
      <c r="X97" s="142"/>
      <c r="Y97" s="142"/>
      <c r="Z97" s="142"/>
      <c r="AA97" s="131"/>
      <c r="AB97" s="142"/>
      <c r="AC97" s="142"/>
      <c r="AD97" s="142"/>
      <c r="AE97" s="142"/>
      <c r="AF97" s="142"/>
      <c r="AG97" s="142"/>
      <c r="AH97" s="142"/>
      <c r="AI97" s="142"/>
      <c r="AJ97" s="142"/>
      <c r="AK97" s="142"/>
      <c r="AL97" s="142"/>
      <c r="AM97" s="142"/>
      <c r="AN97" s="142"/>
      <c r="AO97" s="142"/>
      <c r="AP97" s="142"/>
    </row>
    <row r="98" ht="13.5" customHeight="1">
      <c r="A98" s="142"/>
      <c r="B98" s="142"/>
      <c r="C98" s="142"/>
      <c r="D98" s="142"/>
      <c r="E98" s="132"/>
      <c r="F98" s="131"/>
      <c r="G98" s="131"/>
      <c r="H98" s="131"/>
      <c r="I98" s="131"/>
      <c r="J98" s="131"/>
      <c r="K98" s="131"/>
      <c r="L98" s="131"/>
      <c r="M98" s="131"/>
      <c r="N98" s="131"/>
      <c r="O98" s="142"/>
      <c r="P98" s="142"/>
      <c r="Q98" s="142"/>
      <c r="R98" s="142"/>
      <c r="S98" s="142"/>
      <c r="T98" s="142"/>
      <c r="U98" s="142"/>
      <c r="V98" s="142"/>
      <c r="W98" s="142"/>
      <c r="X98" s="142"/>
      <c r="Y98" s="142"/>
      <c r="Z98" s="142"/>
      <c r="AA98" s="131"/>
      <c r="AB98" s="142"/>
      <c r="AC98" s="142"/>
      <c r="AD98" s="142"/>
      <c r="AE98" s="142"/>
      <c r="AF98" s="142"/>
      <c r="AG98" s="142"/>
      <c r="AH98" s="142"/>
      <c r="AI98" s="142"/>
      <c r="AJ98" s="142"/>
      <c r="AK98" s="142"/>
      <c r="AL98" s="142"/>
      <c r="AM98" s="142"/>
      <c r="AN98" s="142"/>
      <c r="AO98" s="142"/>
      <c r="AP98" s="142"/>
    </row>
    <row r="99" ht="13.5" customHeight="1">
      <c r="A99" s="142"/>
      <c r="B99" s="142"/>
      <c r="C99" s="142"/>
      <c r="D99" s="142"/>
      <c r="E99" s="132"/>
      <c r="F99" s="131"/>
      <c r="G99" s="131"/>
      <c r="H99" s="131"/>
      <c r="I99" s="131"/>
      <c r="J99" s="131"/>
      <c r="K99" s="131"/>
      <c r="L99" s="131"/>
      <c r="M99" s="131"/>
      <c r="N99" s="131"/>
      <c r="O99" s="142"/>
      <c r="P99" s="142"/>
      <c r="Q99" s="142"/>
      <c r="R99" s="142"/>
      <c r="S99" s="142"/>
      <c r="T99" s="142"/>
      <c r="U99" s="142"/>
      <c r="V99" s="142"/>
      <c r="W99" s="142"/>
      <c r="X99" s="142"/>
      <c r="Y99" s="142"/>
      <c r="Z99" s="142"/>
      <c r="AA99" s="131"/>
      <c r="AB99" s="142"/>
      <c r="AC99" s="142"/>
      <c r="AD99" s="142"/>
      <c r="AE99" s="142"/>
      <c r="AF99" s="142"/>
      <c r="AG99" s="142"/>
      <c r="AH99" s="142"/>
      <c r="AI99" s="142"/>
      <c r="AJ99" s="142"/>
      <c r="AK99" s="142"/>
      <c r="AL99" s="142"/>
      <c r="AM99" s="142"/>
      <c r="AN99" s="142"/>
      <c r="AO99" s="142"/>
      <c r="AP99" s="142"/>
    </row>
    <row r="100" ht="13.5" customHeight="1">
      <c r="A100" s="142"/>
      <c r="B100" s="142"/>
      <c r="C100" s="142"/>
      <c r="D100" s="142"/>
      <c r="E100" s="132"/>
      <c r="F100" s="131"/>
      <c r="G100" s="131"/>
      <c r="H100" s="131"/>
      <c r="I100" s="131"/>
      <c r="J100" s="131"/>
      <c r="K100" s="131"/>
      <c r="L100" s="131"/>
      <c r="M100" s="131"/>
      <c r="N100" s="131"/>
      <c r="O100" s="142"/>
      <c r="P100" s="142"/>
      <c r="Q100" s="142"/>
      <c r="R100" s="142"/>
      <c r="S100" s="142"/>
      <c r="T100" s="142"/>
      <c r="U100" s="142"/>
      <c r="V100" s="142"/>
      <c r="W100" s="142"/>
      <c r="X100" s="142"/>
      <c r="Y100" s="142"/>
      <c r="Z100" s="142"/>
      <c r="AA100" s="131"/>
      <c r="AB100" s="142"/>
      <c r="AC100" s="142"/>
      <c r="AD100" s="142"/>
      <c r="AE100" s="142"/>
      <c r="AF100" s="142"/>
      <c r="AG100" s="142"/>
      <c r="AH100" s="142"/>
      <c r="AI100" s="142"/>
      <c r="AJ100" s="142"/>
      <c r="AK100" s="142"/>
      <c r="AL100" s="142"/>
      <c r="AM100" s="142"/>
      <c r="AN100" s="142"/>
      <c r="AO100" s="142"/>
      <c r="AP100" s="142"/>
    </row>
    <row r="101" ht="13.5" customHeight="1">
      <c r="A101" s="142"/>
      <c r="B101" s="142"/>
      <c r="C101" s="142"/>
      <c r="D101" s="142"/>
      <c r="E101" s="132"/>
      <c r="F101" s="131"/>
      <c r="G101" s="131"/>
      <c r="H101" s="131"/>
      <c r="I101" s="131"/>
      <c r="J101" s="131"/>
      <c r="K101" s="131"/>
      <c r="L101" s="131"/>
      <c r="M101" s="131"/>
      <c r="N101" s="131"/>
      <c r="O101" s="142"/>
      <c r="P101" s="142"/>
      <c r="Q101" s="142"/>
      <c r="R101" s="142"/>
      <c r="S101" s="142"/>
      <c r="T101" s="142"/>
      <c r="U101" s="142"/>
      <c r="V101" s="142"/>
      <c r="W101" s="142"/>
      <c r="X101" s="142"/>
      <c r="Y101" s="142"/>
      <c r="Z101" s="142"/>
      <c r="AA101" s="131"/>
      <c r="AB101" s="142"/>
      <c r="AC101" s="142"/>
      <c r="AD101" s="142"/>
      <c r="AE101" s="142"/>
      <c r="AF101" s="142"/>
      <c r="AG101" s="142"/>
      <c r="AH101" s="142"/>
      <c r="AI101" s="142"/>
      <c r="AJ101" s="142"/>
      <c r="AK101" s="142"/>
      <c r="AL101" s="142"/>
      <c r="AM101" s="142"/>
      <c r="AN101" s="142"/>
      <c r="AO101" s="142"/>
      <c r="AP101" s="142"/>
    </row>
    <row r="102" ht="13.5" customHeight="1">
      <c r="A102" s="142"/>
      <c r="B102" s="142"/>
      <c r="C102" s="142"/>
      <c r="D102" s="142"/>
      <c r="E102" s="132"/>
      <c r="F102" s="131"/>
      <c r="G102" s="131"/>
      <c r="H102" s="131"/>
      <c r="I102" s="131"/>
      <c r="J102" s="131"/>
      <c r="K102" s="131"/>
      <c r="L102" s="131"/>
      <c r="M102" s="131"/>
      <c r="N102" s="131"/>
      <c r="O102" s="142"/>
      <c r="P102" s="142"/>
      <c r="Q102" s="142"/>
      <c r="R102" s="142"/>
      <c r="S102" s="142"/>
      <c r="T102" s="142"/>
      <c r="U102" s="142"/>
      <c r="V102" s="142"/>
      <c r="W102" s="142"/>
      <c r="X102" s="142"/>
      <c r="Y102" s="142"/>
      <c r="Z102" s="142"/>
      <c r="AA102" s="131"/>
      <c r="AB102" s="142"/>
      <c r="AC102" s="142"/>
      <c r="AD102" s="142"/>
      <c r="AE102" s="142"/>
      <c r="AF102" s="142"/>
      <c r="AG102" s="142"/>
      <c r="AH102" s="142"/>
      <c r="AI102" s="142"/>
      <c r="AJ102" s="142"/>
      <c r="AK102" s="142"/>
      <c r="AL102" s="142"/>
      <c r="AM102" s="142"/>
      <c r="AN102" s="142"/>
      <c r="AO102" s="142"/>
      <c r="AP102" s="142"/>
    </row>
    <row r="103" ht="13.5" customHeight="1">
      <c r="A103" s="142"/>
      <c r="B103" s="142"/>
      <c r="C103" s="142"/>
      <c r="D103" s="142"/>
      <c r="E103" s="132"/>
      <c r="F103" s="131"/>
      <c r="G103" s="131"/>
      <c r="H103" s="131"/>
      <c r="I103" s="131"/>
      <c r="J103" s="131"/>
      <c r="K103" s="131"/>
      <c r="L103" s="131"/>
      <c r="M103" s="131"/>
      <c r="N103" s="131"/>
      <c r="O103" s="142"/>
      <c r="P103" s="142"/>
      <c r="Q103" s="142"/>
      <c r="R103" s="142"/>
      <c r="S103" s="142"/>
      <c r="T103" s="142"/>
      <c r="U103" s="142"/>
      <c r="V103" s="142"/>
      <c r="W103" s="142"/>
      <c r="X103" s="142"/>
      <c r="Y103" s="142"/>
      <c r="Z103" s="142"/>
      <c r="AA103" s="131"/>
      <c r="AB103" s="142"/>
      <c r="AC103" s="142"/>
      <c r="AD103" s="142"/>
      <c r="AE103" s="142"/>
      <c r="AF103" s="142"/>
      <c r="AG103" s="142"/>
      <c r="AH103" s="142"/>
      <c r="AI103" s="142"/>
      <c r="AJ103" s="142"/>
      <c r="AK103" s="142"/>
      <c r="AL103" s="142"/>
      <c r="AM103" s="142"/>
      <c r="AN103" s="142"/>
      <c r="AO103" s="142"/>
      <c r="AP103" s="142"/>
    </row>
    <row r="104" ht="13.5" customHeight="1">
      <c r="A104" s="142"/>
      <c r="B104" s="142"/>
      <c r="C104" s="142"/>
      <c r="D104" s="142"/>
      <c r="E104" s="132"/>
      <c r="F104" s="131"/>
      <c r="G104" s="131"/>
      <c r="H104" s="131"/>
      <c r="I104" s="131"/>
      <c r="J104" s="131"/>
      <c r="K104" s="131"/>
      <c r="L104" s="131"/>
      <c r="M104" s="131"/>
      <c r="N104" s="131"/>
      <c r="O104" s="142"/>
      <c r="P104" s="142"/>
      <c r="Q104" s="142"/>
      <c r="R104" s="142"/>
      <c r="S104" s="142"/>
      <c r="T104" s="142"/>
      <c r="U104" s="142"/>
      <c r="V104" s="142"/>
      <c r="W104" s="142"/>
      <c r="X104" s="142"/>
      <c r="Y104" s="142"/>
      <c r="Z104" s="142"/>
      <c r="AA104" s="131"/>
      <c r="AB104" s="142"/>
      <c r="AC104" s="142"/>
      <c r="AD104" s="142"/>
      <c r="AE104" s="142"/>
      <c r="AF104" s="142"/>
      <c r="AG104" s="142"/>
      <c r="AH104" s="142"/>
      <c r="AI104" s="142"/>
      <c r="AJ104" s="142"/>
      <c r="AK104" s="142"/>
      <c r="AL104" s="142"/>
      <c r="AM104" s="142"/>
      <c r="AN104" s="142"/>
      <c r="AO104" s="142"/>
      <c r="AP104" s="142"/>
    </row>
    <row r="105" ht="13.5" customHeight="1">
      <c r="A105" s="142"/>
      <c r="B105" s="142"/>
      <c r="C105" s="142"/>
      <c r="D105" s="142"/>
      <c r="E105" s="132"/>
      <c r="F105" s="131"/>
      <c r="G105" s="131"/>
      <c r="H105" s="131"/>
      <c r="I105" s="131"/>
      <c r="J105" s="131"/>
      <c r="K105" s="131"/>
      <c r="L105" s="131"/>
      <c r="M105" s="131"/>
      <c r="N105" s="131"/>
      <c r="O105" s="142"/>
      <c r="P105" s="142"/>
      <c r="Q105" s="142"/>
      <c r="R105" s="142"/>
      <c r="S105" s="142"/>
      <c r="T105" s="142"/>
      <c r="U105" s="142"/>
      <c r="V105" s="142"/>
      <c r="W105" s="142"/>
      <c r="X105" s="142"/>
      <c r="Y105" s="142"/>
      <c r="Z105" s="142"/>
      <c r="AA105" s="131"/>
      <c r="AB105" s="142"/>
      <c r="AC105" s="142"/>
      <c r="AD105" s="142"/>
      <c r="AE105" s="142"/>
      <c r="AF105" s="142"/>
      <c r="AG105" s="142"/>
      <c r="AH105" s="142"/>
      <c r="AI105" s="142"/>
      <c r="AJ105" s="142"/>
      <c r="AK105" s="142"/>
      <c r="AL105" s="142"/>
      <c r="AM105" s="142"/>
      <c r="AN105" s="142"/>
      <c r="AO105" s="142"/>
      <c r="AP105" s="142"/>
    </row>
    <row r="106" ht="13.5" customHeight="1">
      <c r="A106" s="142"/>
      <c r="B106" s="142"/>
      <c r="C106" s="142"/>
      <c r="D106" s="142"/>
      <c r="E106" s="132"/>
      <c r="F106" s="131"/>
      <c r="G106" s="131"/>
      <c r="H106" s="131"/>
      <c r="I106" s="131"/>
      <c r="J106" s="131"/>
      <c r="K106" s="131"/>
      <c r="L106" s="131"/>
      <c r="M106" s="131"/>
      <c r="N106" s="131"/>
      <c r="O106" s="142"/>
      <c r="P106" s="142"/>
      <c r="Q106" s="142"/>
      <c r="R106" s="142"/>
      <c r="S106" s="142"/>
      <c r="T106" s="142"/>
      <c r="U106" s="142"/>
      <c r="V106" s="142"/>
      <c r="W106" s="142"/>
      <c r="X106" s="142"/>
      <c r="Y106" s="142"/>
      <c r="Z106" s="142"/>
      <c r="AA106" s="131"/>
      <c r="AB106" s="142"/>
      <c r="AC106" s="142"/>
      <c r="AD106" s="142"/>
      <c r="AE106" s="142"/>
      <c r="AF106" s="142"/>
      <c r="AG106" s="142"/>
      <c r="AH106" s="142"/>
      <c r="AI106" s="142"/>
      <c r="AJ106" s="142"/>
      <c r="AK106" s="142"/>
      <c r="AL106" s="142"/>
      <c r="AM106" s="142"/>
      <c r="AN106" s="142"/>
      <c r="AO106" s="142"/>
      <c r="AP106" s="142"/>
    </row>
    <row r="107" ht="13.5" customHeight="1">
      <c r="A107" s="142"/>
      <c r="B107" s="142"/>
      <c r="C107" s="142"/>
      <c r="D107" s="142"/>
      <c r="E107" s="132"/>
      <c r="F107" s="131"/>
      <c r="G107" s="131"/>
      <c r="H107" s="131"/>
      <c r="I107" s="131"/>
      <c r="J107" s="131"/>
      <c r="K107" s="131"/>
      <c r="L107" s="131"/>
      <c r="M107" s="131"/>
      <c r="N107" s="131"/>
      <c r="O107" s="142"/>
      <c r="P107" s="142"/>
      <c r="Q107" s="142"/>
      <c r="R107" s="142"/>
      <c r="S107" s="142"/>
      <c r="T107" s="142"/>
      <c r="U107" s="142"/>
      <c r="V107" s="142"/>
      <c r="W107" s="142"/>
      <c r="X107" s="142"/>
      <c r="Y107" s="142"/>
      <c r="Z107" s="142"/>
      <c r="AA107" s="131"/>
      <c r="AB107" s="142"/>
      <c r="AC107" s="142"/>
      <c r="AD107" s="142"/>
      <c r="AE107" s="142"/>
      <c r="AF107" s="142"/>
      <c r="AG107" s="142"/>
      <c r="AH107" s="142"/>
      <c r="AI107" s="142"/>
      <c r="AJ107" s="142"/>
      <c r="AK107" s="142"/>
      <c r="AL107" s="142"/>
      <c r="AM107" s="142"/>
      <c r="AN107" s="142"/>
      <c r="AO107" s="142"/>
      <c r="AP107" s="142"/>
    </row>
    <row r="108" ht="13.5" customHeight="1">
      <c r="A108" s="142"/>
      <c r="B108" s="142"/>
      <c r="C108" s="142"/>
      <c r="D108" s="142"/>
      <c r="E108" s="132"/>
      <c r="F108" s="131"/>
      <c r="G108" s="131"/>
      <c r="H108" s="131"/>
      <c r="I108" s="131"/>
      <c r="J108" s="131"/>
      <c r="K108" s="131"/>
      <c r="L108" s="131"/>
      <c r="M108" s="131"/>
      <c r="N108" s="131"/>
      <c r="O108" s="142"/>
      <c r="P108" s="142"/>
      <c r="Q108" s="142"/>
      <c r="R108" s="142"/>
      <c r="S108" s="142"/>
      <c r="T108" s="142"/>
      <c r="U108" s="142"/>
      <c r="V108" s="142"/>
      <c r="W108" s="142"/>
      <c r="X108" s="142"/>
      <c r="Y108" s="142"/>
      <c r="Z108" s="142"/>
      <c r="AA108" s="131"/>
      <c r="AB108" s="142"/>
      <c r="AC108" s="142"/>
      <c r="AD108" s="142"/>
      <c r="AE108" s="142"/>
      <c r="AF108" s="142"/>
      <c r="AG108" s="142"/>
      <c r="AH108" s="142"/>
      <c r="AI108" s="142"/>
      <c r="AJ108" s="142"/>
      <c r="AK108" s="142"/>
      <c r="AL108" s="142"/>
      <c r="AM108" s="142"/>
      <c r="AN108" s="142"/>
      <c r="AO108" s="142"/>
      <c r="AP108" s="142"/>
    </row>
    <row r="109" ht="13.5" customHeight="1">
      <c r="A109" s="142"/>
      <c r="B109" s="142"/>
      <c r="C109" s="142"/>
      <c r="D109" s="142"/>
      <c r="E109" s="132"/>
      <c r="F109" s="131"/>
      <c r="G109" s="131"/>
      <c r="H109" s="131"/>
      <c r="I109" s="131"/>
      <c r="J109" s="131"/>
      <c r="K109" s="131"/>
      <c r="L109" s="131"/>
      <c r="M109" s="131"/>
      <c r="N109" s="131"/>
      <c r="O109" s="142"/>
      <c r="P109" s="142"/>
      <c r="Q109" s="142"/>
      <c r="R109" s="142"/>
      <c r="S109" s="142"/>
      <c r="T109" s="142"/>
      <c r="U109" s="142"/>
      <c r="V109" s="142"/>
      <c r="W109" s="142"/>
      <c r="X109" s="142"/>
      <c r="Y109" s="142"/>
      <c r="Z109" s="142"/>
      <c r="AA109" s="131"/>
      <c r="AB109" s="142"/>
      <c r="AC109" s="142"/>
      <c r="AD109" s="142"/>
      <c r="AE109" s="142"/>
      <c r="AF109" s="142"/>
      <c r="AG109" s="142"/>
      <c r="AH109" s="142"/>
      <c r="AI109" s="142"/>
      <c r="AJ109" s="142"/>
      <c r="AK109" s="142"/>
      <c r="AL109" s="142"/>
      <c r="AM109" s="142"/>
      <c r="AN109" s="142"/>
      <c r="AO109" s="142"/>
      <c r="AP109" s="142"/>
    </row>
    <row r="110" ht="13.5" customHeight="1">
      <c r="A110" s="142"/>
      <c r="B110" s="142"/>
      <c r="C110" s="142"/>
      <c r="D110" s="142"/>
      <c r="E110" s="132"/>
      <c r="F110" s="131"/>
      <c r="G110" s="131"/>
      <c r="H110" s="131"/>
      <c r="I110" s="131"/>
      <c r="J110" s="131"/>
      <c r="K110" s="131"/>
      <c r="L110" s="131"/>
      <c r="M110" s="131"/>
      <c r="N110" s="131"/>
      <c r="O110" s="142"/>
      <c r="P110" s="142"/>
      <c r="Q110" s="142"/>
      <c r="R110" s="142"/>
      <c r="S110" s="142"/>
      <c r="T110" s="142"/>
      <c r="U110" s="142"/>
      <c r="V110" s="142"/>
      <c r="W110" s="142"/>
      <c r="X110" s="142"/>
      <c r="Y110" s="142"/>
      <c r="Z110" s="142"/>
      <c r="AA110" s="131"/>
      <c r="AB110" s="142"/>
      <c r="AC110" s="142"/>
      <c r="AD110" s="142"/>
      <c r="AE110" s="142"/>
      <c r="AF110" s="142"/>
      <c r="AG110" s="142"/>
      <c r="AH110" s="142"/>
      <c r="AI110" s="142"/>
      <c r="AJ110" s="142"/>
      <c r="AK110" s="142"/>
      <c r="AL110" s="142"/>
      <c r="AM110" s="142"/>
      <c r="AN110" s="142"/>
      <c r="AO110" s="142"/>
      <c r="AP110" s="142"/>
    </row>
    <row r="111" ht="13.5" customHeight="1">
      <c r="A111" s="142"/>
      <c r="B111" s="142"/>
      <c r="C111" s="142"/>
      <c r="D111" s="142"/>
      <c r="E111" s="132"/>
      <c r="F111" s="131"/>
      <c r="G111" s="131"/>
      <c r="H111" s="131"/>
      <c r="I111" s="131"/>
      <c r="J111" s="131"/>
      <c r="K111" s="131"/>
      <c r="L111" s="131"/>
      <c r="M111" s="131"/>
      <c r="N111" s="131"/>
      <c r="O111" s="142"/>
      <c r="P111" s="142"/>
      <c r="Q111" s="142"/>
      <c r="R111" s="142"/>
      <c r="S111" s="142"/>
      <c r="T111" s="142"/>
      <c r="U111" s="142"/>
      <c r="V111" s="142"/>
      <c r="W111" s="142"/>
      <c r="X111" s="142"/>
      <c r="Y111" s="142"/>
      <c r="Z111" s="142"/>
      <c r="AA111" s="131"/>
      <c r="AB111" s="142"/>
      <c r="AC111" s="142"/>
      <c r="AD111" s="142"/>
      <c r="AE111" s="142"/>
      <c r="AF111" s="142"/>
      <c r="AG111" s="142"/>
      <c r="AH111" s="142"/>
      <c r="AI111" s="142"/>
      <c r="AJ111" s="142"/>
      <c r="AK111" s="142"/>
      <c r="AL111" s="142"/>
      <c r="AM111" s="142"/>
      <c r="AN111" s="142"/>
      <c r="AO111" s="142"/>
      <c r="AP111" s="142"/>
    </row>
    <row r="112" ht="13.5" customHeight="1">
      <c r="A112" s="142"/>
      <c r="B112" s="142"/>
      <c r="C112" s="142"/>
      <c r="D112" s="142"/>
      <c r="E112" s="132"/>
      <c r="F112" s="131"/>
      <c r="G112" s="131"/>
      <c r="H112" s="131"/>
      <c r="I112" s="131"/>
      <c r="J112" s="131"/>
      <c r="K112" s="131"/>
      <c r="L112" s="131"/>
      <c r="M112" s="131"/>
      <c r="N112" s="131"/>
      <c r="O112" s="142"/>
      <c r="P112" s="142"/>
      <c r="Q112" s="142"/>
      <c r="R112" s="142"/>
      <c r="S112" s="142"/>
      <c r="T112" s="142"/>
      <c r="U112" s="142"/>
      <c r="V112" s="142"/>
      <c r="W112" s="142"/>
      <c r="X112" s="142"/>
      <c r="Y112" s="142"/>
      <c r="Z112" s="142"/>
      <c r="AA112" s="131"/>
      <c r="AB112" s="142"/>
      <c r="AC112" s="142"/>
      <c r="AD112" s="142"/>
      <c r="AE112" s="142"/>
      <c r="AF112" s="142"/>
      <c r="AG112" s="142"/>
      <c r="AH112" s="142"/>
      <c r="AI112" s="142"/>
      <c r="AJ112" s="142"/>
      <c r="AK112" s="142"/>
      <c r="AL112" s="142"/>
      <c r="AM112" s="142"/>
      <c r="AN112" s="142"/>
      <c r="AO112" s="142"/>
      <c r="AP112" s="142"/>
    </row>
    <row r="113" ht="13.5" customHeight="1">
      <c r="A113" s="142"/>
      <c r="B113" s="142"/>
      <c r="C113" s="142"/>
      <c r="D113" s="142"/>
      <c r="E113" s="132"/>
      <c r="F113" s="131"/>
      <c r="G113" s="131"/>
      <c r="H113" s="131"/>
      <c r="I113" s="131"/>
      <c r="J113" s="131"/>
      <c r="K113" s="131"/>
      <c r="L113" s="131"/>
      <c r="M113" s="131"/>
      <c r="N113" s="131"/>
      <c r="O113" s="142"/>
      <c r="P113" s="142"/>
      <c r="Q113" s="142"/>
      <c r="R113" s="142"/>
      <c r="S113" s="142"/>
      <c r="T113" s="142"/>
      <c r="U113" s="142"/>
      <c r="V113" s="142"/>
      <c r="W113" s="142"/>
      <c r="X113" s="142"/>
      <c r="Y113" s="142"/>
      <c r="Z113" s="142"/>
      <c r="AA113" s="131"/>
      <c r="AB113" s="142"/>
      <c r="AC113" s="142"/>
      <c r="AD113" s="142"/>
      <c r="AE113" s="142"/>
      <c r="AF113" s="142"/>
      <c r="AG113" s="142"/>
      <c r="AH113" s="142"/>
      <c r="AI113" s="142"/>
      <c r="AJ113" s="142"/>
      <c r="AK113" s="142"/>
      <c r="AL113" s="142"/>
      <c r="AM113" s="142"/>
      <c r="AN113" s="142"/>
      <c r="AO113" s="142"/>
      <c r="AP113" s="142"/>
    </row>
    <row r="114" ht="13.5" customHeight="1">
      <c r="A114" s="142"/>
      <c r="B114" s="142"/>
      <c r="C114" s="142"/>
      <c r="D114" s="142"/>
      <c r="E114" s="132"/>
      <c r="F114" s="131"/>
      <c r="G114" s="131"/>
      <c r="H114" s="131"/>
      <c r="I114" s="131"/>
      <c r="J114" s="131"/>
      <c r="K114" s="131"/>
      <c r="L114" s="131"/>
      <c r="M114" s="131"/>
      <c r="N114" s="131"/>
      <c r="O114" s="142"/>
      <c r="P114" s="142"/>
      <c r="Q114" s="142"/>
      <c r="R114" s="142"/>
      <c r="S114" s="142"/>
      <c r="T114" s="142"/>
      <c r="U114" s="142"/>
      <c r="V114" s="142"/>
      <c r="W114" s="142"/>
      <c r="X114" s="142"/>
      <c r="Y114" s="142"/>
      <c r="Z114" s="142"/>
      <c r="AA114" s="131"/>
      <c r="AB114" s="142"/>
      <c r="AC114" s="142"/>
      <c r="AD114" s="142"/>
      <c r="AE114" s="142"/>
      <c r="AF114" s="142"/>
      <c r="AG114" s="142"/>
      <c r="AH114" s="142"/>
      <c r="AI114" s="142"/>
      <c r="AJ114" s="142"/>
      <c r="AK114" s="142"/>
      <c r="AL114" s="142"/>
      <c r="AM114" s="142"/>
      <c r="AN114" s="142"/>
      <c r="AO114" s="142"/>
      <c r="AP114" s="142"/>
    </row>
    <row r="115" ht="13.5" customHeight="1">
      <c r="A115" s="142"/>
      <c r="B115" s="142"/>
      <c r="C115" s="142"/>
      <c r="D115" s="142"/>
      <c r="E115" s="132"/>
      <c r="F115" s="131"/>
      <c r="G115" s="131"/>
      <c r="H115" s="131"/>
      <c r="I115" s="131"/>
      <c r="J115" s="131"/>
      <c r="K115" s="131"/>
      <c r="L115" s="131"/>
      <c r="M115" s="131"/>
      <c r="N115" s="131"/>
      <c r="O115" s="142"/>
      <c r="P115" s="142"/>
      <c r="Q115" s="142"/>
      <c r="R115" s="142"/>
      <c r="S115" s="142"/>
      <c r="T115" s="142"/>
      <c r="U115" s="142"/>
      <c r="V115" s="142"/>
      <c r="W115" s="142"/>
      <c r="X115" s="142"/>
      <c r="Y115" s="142"/>
      <c r="Z115" s="142"/>
      <c r="AA115" s="131"/>
      <c r="AB115" s="142"/>
      <c r="AC115" s="142"/>
      <c r="AD115" s="142"/>
      <c r="AE115" s="142"/>
      <c r="AF115" s="142"/>
      <c r="AG115" s="142"/>
      <c r="AH115" s="142"/>
      <c r="AI115" s="142"/>
      <c r="AJ115" s="142"/>
      <c r="AK115" s="142"/>
      <c r="AL115" s="142"/>
      <c r="AM115" s="142"/>
      <c r="AN115" s="142"/>
      <c r="AO115" s="142"/>
      <c r="AP115" s="142"/>
    </row>
    <row r="116" ht="13.5" customHeight="1">
      <c r="A116" s="142"/>
      <c r="B116" s="142"/>
      <c r="C116" s="142"/>
      <c r="D116" s="142"/>
      <c r="E116" s="132"/>
      <c r="F116" s="131"/>
      <c r="G116" s="131"/>
      <c r="H116" s="131"/>
      <c r="I116" s="131"/>
      <c r="J116" s="131"/>
      <c r="K116" s="131"/>
      <c r="L116" s="131"/>
      <c r="M116" s="131"/>
      <c r="N116" s="131"/>
      <c r="O116" s="142"/>
      <c r="P116" s="142"/>
      <c r="Q116" s="142"/>
      <c r="R116" s="142"/>
      <c r="S116" s="142"/>
      <c r="T116" s="142"/>
      <c r="U116" s="142"/>
      <c r="V116" s="142"/>
      <c r="W116" s="142"/>
      <c r="X116" s="142"/>
      <c r="Y116" s="142"/>
      <c r="Z116" s="142"/>
      <c r="AA116" s="131"/>
      <c r="AB116" s="142"/>
      <c r="AC116" s="142"/>
      <c r="AD116" s="142"/>
      <c r="AE116" s="142"/>
      <c r="AF116" s="142"/>
      <c r="AG116" s="142"/>
      <c r="AH116" s="142"/>
      <c r="AI116" s="142"/>
      <c r="AJ116" s="142"/>
      <c r="AK116" s="142"/>
      <c r="AL116" s="142"/>
      <c r="AM116" s="142"/>
      <c r="AN116" s="142"/>
      <c r="AO116" s="142"/>
      <c r="AP116" s="142"/>
    </row>
    <row r="117" ht="13.5" customHeight="1">
      <c r="A117" s="142"/>
      <c r="B117" s="142"/>
      <c r="C117" s="142"/>
      <c r="D117" s="142"/>
      <c r="E117" s="132"/>
      <c r="F117" s="131"/>
      <c r="G117" s="131"/>
      <c r="H117" s="131"/>
      <c r="I117" s="131"/>
      <c r="J117" s="131"/>
      <c r="K117" s="131"/>
      <c r="L117" s="131"/>
      <c r="M117" s="131"/>
      <c r="N117" s="131"/>
      <c r="O117" s="142"/>
      <c r="P117" s="142"/>
      <c r="Q117" s="142"/>
      <c r="R117" s="142"/>
      <c r="S117" s="142"/>
      <c r="T117" s="142"/>
      <c r="U117" s="142"/>
      <c r="V117" s="142"/>
      <c r="W117" s="142"/>
      <c r="X117" s="142"/>
      <c r="Y117" s="142"/>
      <c r="Z117" s="142"/>
      <c r="AA117" s="131"/>
      <c r="AB117" s="142"/>
      <c r="AC117" s="142"/>
      <c r="AD117" s="142"/>
      <c r="AE117" s="142"/>
      <c r="AF117" s="142"/>
      <c r="AG117" s="142"/>
      <c r="AH117" s="142"/>
      <c r="AI117" s="142"/>
      <c r="AJ117" s="142"/>
      <c r="AK117" s="142"/>
      <c r="AL117" s="142"/>
      <c r="AM117" s="142"/>
      <c r="AN117" s="142"/>
      <c r="AO117" s="142"/>
      <c r="AP117" s="142"/>
    </row>
    <row r="118" ht="13.5" customHeight="1">
      <c r="A118" s="142"/>
      <c r="B118" s="142"/>
      <c r="C118" s="142"/>
      <c r="D118" s="142"/>
      <c r="E118" s="132"/>
      <c r="F118" s="131"/>
      <c r="G118" s="131"/>
      <c r="H118" s="131"/>
      <c r="I118" s="131"/>
      <c r="J118" s="131"/>
      <c r="K118" s="131"/>
      <c r="L118" s="131"/>
      <c r="M118" s="131"/>
      <c r="N118" s="131"/>
      <c r="O118" s="142"/>
      <c r="P118" s="142"/>
      <c r="Q118" s="142"/>
      <c r="R118" s="142"/>
      <c r="S118" s="142"/>
      <c r="T118" s="142"/>
      <c r="U118" s="142"/>
      <c r="V118" s="142"/>
      <c r="W118" s="142"/>
      <c r="X118" s="142"/>
      <c r="Y118" s="142"/>
      <c r="Z118" s="142"/>
      <c r="AA118" s="131"/>
      <c r="AB118" s="142"/>
      <c r="AC118" s="142"/>
      <c r="AD118" s="142"/>
      <c r="AE118" s="142"/>
      <c r="AF118" s="142"/>
      <c r="AG118" s="142"/>
      <c r="AH118" s="142"/>
      <c r="AI118" s="142"/>
      <c r="AJ118" s="142"/>
      <c r="AK118" s="142"/>
      <c r="AL118" s="142"/>
      <c r="AM118" s="142"/>
      <c r="AN118" s="142"/>
      <c r="AO118" s="142"/>
      <c r="AP118" s="142"/>
    </row>
    <row r="119" ht="13.5" customHeight="1">
      <c r="A119" s="142"/>
      <c r="B119" s="142"/>
      <c r="C119" s="142"/>
      <c r="D119" s="142"/>
      <c r="E119" s="132"/>
      <c r="F119" s="131"/>
      <c r="G119" s="131"/>
      <c r="H119" s="131"/>
      <c r="I119" s="131"/>
      <c r="J119" s="131"/>
      <c r="K119" s="131"/>
      <c r="L119" s="131"/>
      <c r="M119" s="131"/>
      <c r="N119" s="131"/>
      <c r="O119" s="142"/>
      <c r="P119" s="142"/>
      <c r="Q119" s="142"/>
      <c r="R119" s="142"/>
      <c r="S119" s="142"/>
      <c r="T119" s="142"/>
      <c r="U119" s="142"/>
      <c r="V119" s="142"/>
      <c r="W119" s="142"/>
      <c r="X119" s="142"/>
      <c r="Y119" s="142"/>
      <c r="Z119" s="142"/>
      <c r="AA119" s="131"/>
      <c r="AB119" s="142"/>
      <c r="AC119" s="142"/>
      <c r="AD119" s="142"/>
      <c r="AE119" s="142"/>
      <c r="AF119" s="142"/>
      <c r="AG119" s="142"/>
      <c r="AH119" s="142"/>
      <c r="AI119" s="142"/>
      <c r="AJ119" s="142"/>
      <c r="AK119" s="142"/>
      <c r="AL119" s="142"/>
      <c r="AM119" s="142"/>
      <c r="AN119" s="142"/>
      <c r="AO119" s="142"/>
      <c r="AP119" s="142"/>
    </row>
    <row r="120" ht="13.5" customHeight="1">
      <c r="A120" s="142"/>
      <c r="B120" s="142"/>
      <c r="C120" s="142"/>
      <c r="D120" s="142"/>
      <c r="E120" s="132"/>
      <c r="F120" s="131"/>
      <c r="G120" s="131"/>
      <c r="H120" s="131"/>
      <c r="I120" s="131"/>
      <c r="J120" s="131"/>
      <c r="K120" s="131"/>
      <c r="L120" s="131"/>
      <c r="M120" s="131"/>
      <c r="N120" s="131"/>
      <c r="O120" s="142"/>
      <c r="P120" s="142"/>
      <c r="Q120" s="142"/>
      <c r="R120" s="142"/>
      <c r="S120" s="142"/>
      <c r="T120" s="142"/>
      <c r="U120" s="142"/>
      <c r="V120" s="142"/>
      <c r="W120" s="142"/>
      <c r="X120" s="142"/>
      <c r="Y120" s="142"/>
      <c r="Z120" s="142"/>
      <c r="AA120" s="131"/>
      <c r="AB120" s="142"/>
      <c r="AC120" s="142"/>
      <c r="AD120" s="142"/>
      <c r="AE120" s="142"/>
      <c r="AF120" s="142"/>
      <c r="AG120" s="142"/>
      <c r="AH120" s="142"/>
      <c r="AI120" s="142"/>
      <c r="AJ120" s="142"/>
      <c r="AK120" s="142"/>
      <c r="AL120" s="142"/>
      <c r="AM120" s="142"/>
      <c r="AN120" s="142"/>
      <c r="AO120" s="142"/>
      <c r="AP120" s="142"/>
    </row>
    <row r="121" ht="13.5" customHeight="1">
      <c r="A121" s="142"/>
      <c r="B121" s="142"/>
      <c r="C121" s="142"/>
      <c r="D121" s="142"/>
      <c r="E121" s="132"/>
      <c r="F121" s="131"/>
      <c r="G121" s="131"/>
      <c r="H121" s="131"/>
      <c r="I121" s="131"/>
      <c r="J121" s="131"/>
      <c r="K121" s="131"/>
      <c r="L121" s="131"/>
      <c r="M121" s="131"/>
      <c r="N121" s="131"/>
      <c r="O121" s="142"/>
      <c r="P121" s="142"/>
      <c r="Q121" s="142"/>
      <c r="R121" s="142"/>
      <c r="S121" s="142"/>
      <c r="T121" s="142"/>
      <c r="U121" s="142"/>
      <c r="V121" s="142"/>
      <c r="W121" s="142"/>
      <c r="X121" s="142"/>
      <c r="Y121" s="142"/>
      <c r="Z121" s="142"/>
      <c r="AA121" s="131"/>
      <c r="AB121" s="142"/>
      <c r="AC121" s="142"/>
      <c r="AD121" s="142"/>
      <c r="AE121" s="142"/>
      <c r="AF121" s="142"/>
      <c r="AG121" s="142"/>
      <c r="AH121" s="142"/>
      <c r="AI121" s="142"/>
      <c r="AJ121" s="142"/>
      <c r="AK121" s="142"/>
      <c r="AL121" s="142"/>
      <c r="AM121" s="142"/>
      <c r="AN121" s="142"/>
      <c r="AO121" s="142"/>
      <c r="AP121" s="142"/>
    </row>
    <row r="122" ht="13.5" customHeight="1">
      <c r="A122" s="142"/>
      <c r="B122" s="142"/>
      <c r="C122" s="142"/>
      <c r="D122" s="142"/>
      <c r="E122" s="132"/>
      <c r="F122" s="131"/>
      <c r="G122" s="131"/>
      <c r="H122" s="131"/>
      <c r="I122" s="131"/>
      <c r="J122" s="131"/>
      <c r="K122" s="131"/>
      <c r="L122" s="131"/>
      <c r="M122" s="131"/>
      <c r="N122" s="131"/>
      <c r="O122" s="142"/>
      <c r="P122" s="142"/>
      <c r="Q122" s="142"/>
      <c r="R122" s="142"/>
      <c r="S122" s="142"/>
      <c r="T122" s="142"/>
      <c r="U122" s="142"/>
      <c r="V122" s="142"/>
      <c r="W122" s="142"/>
      <c r="X122" s="142"/>
      <c r="Y122" s="142"/>
      <c r="Z122" s="142"/>
      <c r="AA122" s="131"/>
      <c r="AB122" s="142"/>
      <c r="AC122" s="142"/>
      <c r="AD122" s="142"/>
      <c r="AE122" s="142"/>
      <c r="AF122" s="142"/>
      <c r="AG122" s="142"/>
      <c r="AH122" s="142"/>
      <c r="AI122" s="142"/>
      <c r="AJ122" s="142"/>
      <c r="AK122" s="142"/>
      <c r="AL122" s="142"/>
      <c r="AM122" s="142"/>
      <c r="AN122" s="142"/>
      <c r="AO122" s="142"/>
      <c r="AP122" s="142"/>
    </row>
    <row r="123" ht="13.5" customHeight="1">
      <c r="A123" s="142"/>
      <c r="B123" s="142"/>
      <c r="C123" s="142"/>
      <c r="D123" s="142"/>
      <c r="E123" s="132"/>
      <c r="F123" s="131"/>
      <c r="G123" s="131"/>
      <c r="H123" s="131"/>
      <c r="I123" s="131"/>
      <c r="J123" s="131"/>
      <c r="K123" s="131"/>
      <c r="L123" s="131"/>
      <c r="M123" s="131"/>
      <c r="N123" s="131"/>
      <c r="O123" s="142"/>
      <c r="P123" s="142"/>
      <c r="Q123" s="142"/>
      <c r="R123" s="142"/>
      <c r="S123" s="142"/>
      <c r="T123" s="142"/>
      <c r="U123" s="142"/>
      <c r="V123" s="142"/>
      <c r="W123" s="142"/>
      <c r="X123" s="142"/>
      <c r="Y123" s="142"/>
      <c r="Z123" s="142"/>
      <c r="AA123" s="131"/>
      <c r="AB123" s="142"/>
      <c r="AC123" s="142"/>
      <c r="AD123" s="142"/>
      <c r="AE123" s="142"/>
      <c r="AF123" s="142"/>
      <c r="AG123" s="142"/>
      <c r="AH123" s="142"/>
      <c r="AI123" s="142"/>
      <c r="AJ123" s="142"/>
      <c r="AK123" s="142"/>
      <c r="AL123" s="142"/>
      <c r="AM123" s="142"/>
      <c r="AN123" s="142"/>
      <c r="AO123" s="142"/>
      <c r="AP123" s="142"/>
    </row>
    <row r="124" ht="13.5" customHeight="1">
      <c r="A124" s="142"/>
      <c r="B124" s="142"/>
      <c r="C124" s="142"/>
      <c r="D124" s="142"/>
      <c r="E124" s="132"/>
      <c r="F124" s="131"/>
      <c r="G124" s="131"/>
      <c r="H124" s="131"/>
      <c r="I124" s="131"/>
      <c r="J124" s="131"/>
      <c r="K124" s="131"/>
      <c r="L124" s="131"/>
      <c r="M124" s="131"/>
      <c r="N124" s="131"/>
      <c r="O124" s="142"/>
      <c r="P124" s="142"/>
      <c r="Q124" s="142"/>
      <c r="R124" s="142"/>
      <c r="S124" s="142"/>
      <c r="T124" s="142"/>
      <c r="U124" s="142"/>
      <c r="V124" s="142"/>
      <c r="W124" s="142"/>
      <c r="X124" s="142"/>
      <c r="Y124" s="142"/>
      <c r="Z124" s="142"/>
      <c r="AA124" s="131"/>
      <c r="AB124" s="142"/>
      <c r="AC124" s="142"/>
      <c r="AD124" s="142"/>
      <c r="AE124" s="142"/>
      <c r="AF124" s="142"/>
      <c r="AG124" s="142"/>
      <c r="AH124" s="142"/>
      <c r="AI124" s="142"/>
      <c r="AJ124" s="142"/>
      <c r="AK124" s="142"/>
      <c r="AL124" s="142"/>
      <c r="AM124" s="142"/>
      <c r="AN124" s="142"/>
      <c r="AO124" s="142"/>
      <c r="AP124" s="142"/>
    </row>
    <row r="125" ht="13.5" customHeight="1">
      <c r="A125" s="142"/>
      <c r="B125" s="142"/>
      <c r="C125" s="142"/>
      <c r="D125" s="142"/>
      <c r="E125" s="132"/>
      <c r="F125" s="131"/>
      <c r="G125" s="131"/>
      <c r="H125" s="131"/>
      <c r="I125" s="131"/>
      <c r="J125" s="131"/>
      <c r="K125" s="131"/>
      <c r="L125" s="131"/>
      <c r="M125" s="131"/>
      <c r="N125" s="131"/>
      <c r="O125" s="142"/>
      <c r="P125" s="142"/>
      <c r="Q125" s="142"/>
      <c r="R125" s="142"/>
      <c r="S125" s="142"/>
      <c r="T125" s="142"/>
      <c r="U125" s="142"/>
      <c r="V125" s="142"/>
      <c r="W125" s="142"/>
      <c r="X125" s="142"/>
      <c r="Y125" s="142"/>
      <c r="Z125" s="142"/>
      <c r="AA125" s="131"/>
      <c r="AB125" s="142"/>
      <c r="AC125" s="142"/>
      <c r="AD125" s="142"/>
      <c r="AE125" s="142"/>
      <c r="AF125" s="142"/>
      <c r="AG125" s="142"/>
      <c r="AH125" s="142"/>
      <c r="AI125" s="142"/>
      <c r="AJ125" s="142"/>
      <c r="AK125" s="142"/>
      <c r="AL125" s="142"/>
      <c r="AM125" s="142"/>
      <c r="AN125" s="142"/>
      <c r="AO125" s="142"/>
      <c r="AP125" s="142"/>
    </row>
    <row r="126" ht="13.5" customHeight="1">
      <c r="A126" s="142"/>
      <c r="B126" s="142"/>
      <c r="C126" s="142"/>
      <c r="D126" s="142"/>
      <c r="E126" s="132"/>
      <c r="F126" s="131"/>
      <c r="G126" s="131"/>
      <c r="H126" s="131"/>
      <c r="I126" s="131"/>
      <c r="J126" s="131"/>
      <c r="K126" s="131"/>
      <c r="L126" s="131"/>
      <c r="M126" s="131"/>
      <c r="N126" s="131"/>
      <c r="O126" s="142"/>
      <c r="P126" s="142"/>
      <c r="Q126" s="142"/>
      <c r="R126" s="142"/>
      <c r="S126" s="142"/>
      <c r="T126" s="142"/>
      <c r="U126" s="142"/>
      <c r="V126" s="142"/>
      <c r="W126" s="142"/>
      <c r="X126" s="142"/>
      <c r="Y126" s="142"/>
      <c r="Z126" s="142"/>
      <c r="AA126" s="131"/>
      <c r="AB126" s="142"/>
      <c r="AC126" s="142"/>
      <c r="AD126" s="142"/>
      <c r="AE126" s="142"/>
      <c r="AF126" s="142"/>
      <c r="AG126" s="142"/>
      <c r="AH126" s="142"/>
      <c r="AI126" s="142"/>
      <c r="AJ126" s="142"/>
      <c r="AK126" s="142"/>
      <c r="AL126" s="142"/>
      <c r="AM126" s="142"/>
      <c r="AN126" s="142"/>
      <c r="AO126" s="142"/>
      <c r="AP126" s="142"/>
    </row>
    <row r="127" ht="13.5" customHeight="1">
      <c r="A127" s="142"/>
      <c r="B127" s="142"/>
      <c r="C127" s="142"/>
      <c r="D127" s="142"/>
      <c r="E127" s="132"/>
      <c r="F127" s="131"/>
      <c r="G127" s="131"/>
      <c r="H127" s="131"/>
      <c r="I127" s="131"/>
      <c r="J127" s="131"/>
      <c r="K127" s="131"/>
      <c r="L127" s="131"/>
      <c r="M127" s="131"/>
      <c r="N127" s="131"/>
      <c r="O127" s="142"/>
      <c r="P127" s="142"/>
      <c r="Q127" s="142"/>
      <c r="R127" s="142"/>
      <c r="S127" s="142"/>
      <c r="T127" s="142"/>
      <c r="U127" s="142"/>
      <c r="V127" s="142"/>
      <c r="W127" s="142"/>
      <c r="X127" s="142"/>
      <c r="Y127" s="142"/>
      <c r="Z127" s="142"/>
      <c r="AA127" s="131"/>
      <c r="AB127" s="142"/>
      <c r="AC127" s="142"/>
      <c r="AD127" s="142"/>
      <c r="AE127" s="142"/>
      <c r="AF127" s="142"/>
      <c r="AG127" s="142"/>
      <c r="AH127" s="142"/>
      <c r="AI127" s="142"/>
      <c r="AJ127" s="142"/>
      <c r="AK127" s="142"/>
      <c r="AL127" s="142"/>
      <c r="AM127" s="142"/>
      <c r="AN127" s="142"/>
      <c r="AO127" s="142"/>
      <c r="AP127" s="142"/>
    </row>
    <row r="128" ht="13.5" customHeight="1">
      <c r="A128" s="142"/>
      <c r="B128" s="142"/>
      <c r="C128" s="142"/>
      <c r="D128" s="142"/>
      <c r="E128" s="132"/>
      <c r="F128" s="131"/>
      <c r="G128" s="131"/>
      <c r="H128" s="131"/>
      <c r="I128" s="131"/>
      <c r="J128" s="131"/>
      <c r="K128" s="131"/>
      <c r="L128" s="131"/>
      <c r="M128" s="131"/>
      <c r="N128" s="131"/>
      <c r="O128" s="142"/>
      <c r="P128" s="142"/>
      <c r="Q128" s="142"/>
      <c r="R128" s="142"/>
      <c r="S128" s="142"/>
      <c r="T128" s="142"/>
      <c r="U128" s="142"/>
      <c r="V128" s="142"/>
      <c r="W128" s="142"/>
      <c r="X128" s="142"/>
      <c r="Y128" s="142"/>
      <c r="Z128" s="142"/>
      <c r="AA128" s="131"/>
      <c r="AB128" s="142"/>
      <c r="AC128" s="142"/>
      <c r="AD128" s="142"/>
      <c r="AE128" s="142"/>
      <c r="AF128" s="142"/>
      <c r="AG128" s="142"/>
      <c r="AH128" s="142"/>
      <c r="AI128" s="142"/>
      <c r="AJ128" s="142"/>
      <c r="AK128" s="142"/>
      <c r="AL128" s="142"/>
      <c r="AM128" s="142"/>
      <c r="AN128" s="142"/>
      <c r="AO128" s="142"/>
      <c r="AP128" s="142"/>
    </row>
    <row r="129" ht="13.5" customHeight="1">
      <c r="A129" s="142"/>
      <c r="B129" s="142"/>
      <c r="C129" s="142"/>
      <c r="D129" s="142"/>
      <c r="E129" s="132"/>
      <c r="F129" s="131"/>
      <c r="G129" s="131"/>
      <c r="H129" s="131"/>
      <c r="I129" s="131"/>
      <c r="J129" s="131"/>
      <c r="K129" s="131"/>
      <c r="L129" s="131"/>
      <c r="M129" s="131"/>
      <c r="N129" s="131"/>
      <c r="O129" s="142"/>
      <c r="P129" s="142"/>
      <c r="Q129" s="142"/>
      <c r="R129" s="142"/>
      <c r="S129" s="142"/>
      <c r="T129" s="142"/>
      <c r="U129" s="142"/>
      <c r="V129" s="142"/>
      <c r="W129" s="142"/>
      <c r="X129" s="142"/>
      <c r="Y129" s="142"/>
      <c r="Z129" s="142"/>
      <c r="AA129" s="131"/>
      <c r="AB129" s="142"/>
      <c r="AC129" s="142"/>
      <c r="AD129" s="142"/>
      <c r="AE129" s="142"/>
      <c r="AF129" s="142"/>
      <c r="AG129" s="142"/>
      <c r="AH129" s="142"/>
      <c r="AI129" s="142"/>
      <c r="AJ129" s="142"/>
      <c r="AK129" s="142"/>
      <c r="AL129" s="142"/>
      <c r="AM129" s="142"/>
      <c r="AN129" s="142"/>
      <c r="AO129" s="142"/>
      <c r="AP129" s="142"/>
    </row>
    <row r="130" ht="13.5" customHeight="1">
      <c r="A130" s="142"/>
      <c r="B130" s="142"/>
      <c r="C130" s="142"/>
      <c r="D130" s="142"/>
      <c r="E130" s="132"/>
      <c r="F130" s="131"/>
      <c r="G130" s="131"/>
      <c r="H130" s="131"/>
      <c r="I130" s="131"/>
      <c r="J130" s="131"/>
      <c r="K130" s="131"/>
      <c r="L130" s="131"/>
      <c r="M130" s="131"/>
      <c r="N130" s="131"/>
      <c r="O130" s="142"/>
      <c r="P130" s="142"/>
      <c r="Q130" s="142"/>
      <c r="R130" s="142"/>
      <c r="S130" s="142"/>
      <c r="T130" s="142"/>
      <c r="U130" s="142"/>
      <c r="V130" s="142"/>
      <c r="W130" s="142"/>
      <c r="X130" s="142"/>
      <c r="Y130" s="142"/>
      <c r="Z130" s="142"/>
      <c r="AA130" s="131"/>
      <c r="AB130" s="142"/>
      <c r="AC130" s="142"/>
      <c r="AD130" s="142"/>
      <c r="AE130" s="142"/>
      <c r="AF130" s="142"/>
      <c r="AG130" s="142"/>
      <c r="AH130" s="142"/>
      <c r="AI130" s="142"/>
      <c r="AJ130" s="142"/>
      <c r="AK130" s="142"/>
      <c r="AL130" s="142"/>
      <c r="AM130" s="142"/>
      <c r="AN130" s="142"/>
      <c r="AO130" s="142"/>
      <c r="AP130" s="142"/>
    </row>
    <row r="131" ht="13.5" customHeight="1">
      <c r="A131" s="142"/>
      <c r="B131" s="142"/>
      <c r="C131" s="142"/>
      <c r="D131" s="142"/>
      <c r="E131" s="132"/>
      <c r="F131" s="131"/>
      <c r="G131" s="131"/>
      <c r="H131" s="131"/>
      <c r="I131" s="131"/>
      <c r="J131" s="131"/>
      <c r="K131" s="131"/>
      <c r="L131" s="131"/>
      <c r="M131" s="131"/>
      <c r="N131" s="131"/>
      <c r="O131" s="142"/>
      <c r="P131" s="142"/>
      <c r="Q131" s="142"/>
      <c r="R131" s="142"/>
      <c r="S131" s="142"/>
      <c r="T131" s="142"/>
      <c r="U131" s="142"/>
      <c r="V131" s="142"/>
      <c r="W131" s="142"/>
      <c r="X131" s="142"/>
      <c r="Y131" s="142"/>
      <c r="Z131" s="142"/>
      <c r="AA131" s="131"/>
      <c r="AB131" s="142"/>
      <c r="AC131" s="142"/>
      <c r="AD131" s="142"/>
      <c r="AE131" s="142"/>
      <c r="AF131" s="142"/>
      <c r="AG131" s="142"/>
      <c r="AH131" s="142"/>
      <c r="AI131" s="142"/>
      <c r="AJ131" s="142"/>
      <c r="AK131" s="142"/>
      <c r="AL131" s="142"/>
      <c r="AM131" s="142"/>
      <c r="AN131" s="142"/>
      <c r="AO131" s="142"/>
      <c r="AP131" s="142"/>
    </row>
    <row r="132" ht="13.5" customHeight="1">
      <c r="A132" s="142"/>
      <c r="B132" s="142"/>
      <c r="C132" s="142"/>
      <c r="D132" s="142"/>
      <c r="E132" s="132"/>
      <c r="F132" s="131"/>
      <c r="G132" s="131"/>
      <c r="H132" s="131"/>
      <c r="I132" s="131"/>
      <c r="J132" s="131"/>
      <c r="K132" s="131"/>
      <c r="L132" s="131"/>
      <c r="M132" s="131"/>
      <c r="N132" s="131"/>
      <c r="O132" s="142"/>
      <c r="P132" s="142"/>
      <c r="Q132" s="142"/>
      <c r="R132" s="142"/>
      <c r="S132" s="142"/>
      <c r="T132" s="142"/>
      <c r="U132" s="142"/>
      <c r="V132" s="142"/>
      <c r="W132" s="142"/>
      <c r="X132" s="142"/>
      <c r="Y132" s="142"/>
      <c r="Z132" s="142"/>
      <c r="AA132" s="131"/>
      <c r="AB132" s="142"/>
      <c r="AC132" s="142"/>
      <c r="AD132" s="142"/>
      <c r="AE132" s="142"/>
      <c r="AF132" s="142"/>
      <c r="AG132" s="142"/>
      <c r="AH132" s="142"/>
      <c r="AI132" s="142"/>
      <c r="AJ132" s="142"/>
      <c r="AK132" s="142"/>
      <c r="AL132" s="142"/>
      <c r="AM132" s="142"/>
      <c r="AN132" s="142"/>
      <c r="AO132" s="142"/>
      <c r="AP132" s="142"/>
    </row>
    <row r="133" ht="13.5" customHeight="1">
      <c r="A133" s="142"/>
      <c r="B133" s="142"/>
      <c r="C133" s="142"/>
      <c r="D133" s="142"/>
      <c r="E133" s="132"/>
      <c r="F133" s="131"/>
      <c r="G133" s="131"/>
      <c r="H133" s="131"/>
      <c r="I133" s="131"/>
      <c r="J133" s="131"/>
      <c r="K133" s="131"/>
      <c r="L133" s="131"/>
      <c r="M133" s="131"/>
      <c r="N133" s="131"/>
      <c r="O133" s="142"/>
      <c r="P133" s="142"/>
      <c r="Q133" s="142"/>
      <c r="R133" s="142"/>
      <c r="S133" s="142"/>
      <c r="T133" s="142"/>
      <c r="U133" s="142"/>
      <c r="V133" s="142"/>
      <c r="W133" s="142"/>
      <c r="X133" s="142"/>
      <c r="Y133" s="142"/>
      <c r="Z133" s="142"/>
      <c r="AA133" s="131"/>
      <c r="AB133" s="142"/>
      <c r="AC133" s="142"/>
      <c r="AD133" s="142"/>
      <c r="AE133" s="142"/>
      <c r="AF133" s="142"/>
      <c r="AG133" s="142"/>
      <c r="AH133" s="142"/>
      <c r="AI133" s="142"/>
      <c r="AJ133" s="142"/>
      <c r="AK133" s="142"/>
      <c r="AL133" s="142"/>
      <c r="AM133" s="142"/>
      <c r="AN133" s="142"/>
      <c r="AO133" s="142"/>
      <c r="AP133" s="142"/>
    </row>
    <row r="134" ht="13.5" customHeight="1">
      <c r="A134" s="142"/>
      <c r="B134" s="142"/>
      <c r="C134" s="142"/>
      <c r="D134" s="142"/>
      <c r="E134" s="132"/>
      <c r="F134" s="131"/>
      <c r="G134" s="131"/>
      <c r="H134" s="131"/>
      <c r="I134" s="131"/>
      <c r="J134" s="131"/>
      <c r="K134" s="131"/>
      <c r="L134" s="131"/>
      <c r="M134" s="131"/>
      <c r="N134" s="131"/>
      <c r="O134" s="142"/>
      <c r="P134" s="142"/>
      <c r="Q134" s="142"/>
      <c r="R134" s="142"/>
      <c r="S134" s="142"/>
      <c r="T134" s="142"/>
      <c r="U134" s="142"/>
      <c r="V134" s="142"/>
      <c r="W134" s="142"/>
      <c r="X134" s="142"/>
      <c r="Y134" s="142"/>
      <c r="Z134" s="142"/>
      <c r="AA134" s="131"/>
      <c r="AB134" s="142"/>
      <c r="AC134" s="142"/>
      <c r="AD134" s="142"/>
      <c r="AE134" s="142"/>
      <c r="AF134" s="142"/>
      <c r="AG134" s="142"/>
      <c r="AH134" s="142"/>
      <c r="AI134" s="142"/>
      <c r="AJ134" s="142"/>
      <c r="AK134" s="142"/>
      <c r="AL134" s="142"/>
      <c r="AM134" s="142"/>
      <c r="AN134" s="142"/>
      <c r="AO134" s="142"/>
      <c r="AP134" s="142"/>
    </row>
    <row r="135" ht="13.5" customHeight="1">
      <c r="A135" s="142"/>
      <c r="B135" s="142"/>
      <c r="C135" s="142"/>
      <c r="D135" s="142"/>
      <c r="E135" s="132"/>
      <c r="F135" s="131"/>
      <c r="G135" s="131"/>
      <c r="H135" s="131"/>
      <c r="I135" s="131"/>
      <c r="J135" s="131"/>
      <c r="K135" s="131"/>
      <c r="L135" s="131"/>
      <c r="M135" s="131"/>
      <c r="N135" s="131"/>
      <c r="O135" s="142"/>
      <c r="P135" s="142"/>
      <c r="Q135" s="142"/>
      <c r="R135" s="142"/>
      <c r="S135" s="142"/>
      <c r="T135" s="142"/>
      <c r="U135" s="142"/>
      <c r="V135" s="142"/>
      <c r="W135" s="142"/>
      <c r="X135" s="142"/>
      <c r="Y135" s="142"/>
      <c r="Z135" s="142"/>
      <c r="AA135" s="131"/>
      <c r="AB135" s="142"/>
      <c r="AC135" s="142"/>
      <c r="AD135" s="142"/>
      <c r="AE135" s="142"/>
      <c r="AF135" s="142"/>
      <c r="AG135" s="142"/>
      <c r="AH135" s="142"/>
      <c r="AI135" s="142"/>
      <c r="AJ135" s="142"/>
      <c r="AK135" s="142"/>
      <c r="AL135" s="142"/>
      <c r="AM135" s="142"/>
      <c r="AN135" s="142"/>
      <c r="AO135" s="142"/>
      <c r="AP135" s="142"/>
    </row>
    <row r="136" ht="13.5" customHeight="1">
      <c r="A136" s="142"/>
      <c r="B136" s="142"/>
      <c r="C136" s="142"/>
      <c r="D136" s="142"/>
      <c r="E136" s="132"/>
      <c r="F136" s="131"/>
      <c r="G136" s="131"/>
      <c r="H136" s="131"/>
      <c r="I136" s="131"/>
      <c r="J136" s="131"/>
      <c r="K136" s="131"/>
      <c r="L136" s="131"/>
      <c r="M136" s="131"/>
      <c r="N136" s="131"/>
      <c r="O136" s="142"/>
      <c r="P136" s="142"/>
      <c r="Q136" s="142"/>
      <c r="R136" s="142"/>
      <c r="S136" s="142"/>
      <c r="T136" s="142"/>
      <c r="U136" s="142"/>
      <c r="V136" s="142"/>
      <c r="W136" s="142"/>
      <c r="X136" s="142"/>
      <c r="Y136" s="142"/>
      <c r="Z136" s="142"/>
      <c r="AA136" s="131"/>
      <c r="AB136" s="142"/>
      <c r="AC136" s="142"/>
      <c r="AD136" s="142"/>
      <c r="AE136" s="142"/>
      <c r="AF136" s="142"/>
      <c r="AG136" s="142"/>
      <c r="AH136" s="142"/>
      <c r="AI136" s="142"/>
      <c r="AJ136" s="142"/>
      <c r="AK136" s="142"/>
      <c r="AL136" s="142"/>
      <c r="AM136" s="142"/>
      <c r="AN136" s="142"/>
      <c r="AO136" s="142"/>
      <c r="AP136" s="142"/>
    </row>
    <row r="137" ht="13.5" customHeight="1">
      <c r="A137" s="142"/>
      <c r="B137" s="142"/>
      <c r="C137" s="142"/>
      <c r="D137" s="142"/>
      <c r="E137" s="132"/>
      <c r="F137" s="131"/>
      <c r="G137" s="131"/>
      <c r="H137" s="131"/>
      <c r="I137" s="131"/>
      <c r="J137" s="131"/>
      <c r="K137" s="131"/>
      <c r="L137" s="131"/>
      <c r="M137" s="131"/>
      <c r="N137" s="131"/>
      <c r="O137" s="142"/>
      <c r="P137" s="142"/>
      <c r="Q137" s="142"/>
      <c r="R137" s="142"/>
      <c r="S137" s="142"/>
      <c r="T137" s="142"/>
      <c r="U137" s="142"/>
      <c r="V137" s="142"/>
      <c r="W137" s="142"/>
      <c r="X137" s="142"/>
      <c r="Y137" s="142"/>
      <c r="Z137" s="142"/>
      <c r="AA137" s="131"/>
      <c r="AB137" s="142"/>
      <c r="AC137" s="142"/>
      <c r="AD137" s="142"/>
      <c r="AE137" s="142"/>
      <c r="AF137" s="142"/>
      <c r="AG137" s="142"/>
      <c r="AH137" s="142"/>
      <c r="AI137" s="142"/>
      <c r="AJ137" s="142"/>
      <c r="AK137" s="142"/>
      <c r="AL137" s="142"/>
      <c r="AM137" s="142"/>
      <c r="AN137" s="142"/>
      <c r="AO137" s="142"/>
      <c r="AP137" s="142"/>
    </row>
    <row r="138" ht="13.5" customHeight="1">
      <c r="A138" s="142"/>
      <c r="B138" s="142"/>
      <c r="C138" s="142"/>
      <c r="D138" s="142"/>
      <c r="E138" s="132"/>
      <c r="F138" s="131"/>
      <c r="G138" s="131"/>
      <c r="H138" s="131"/>
      <c r="I138" s="131"/>
      <c r="J138" s="131"/>
      <c r="K138" s="131"/>
      <c r="L138" s="131"/>
      <c r="M138" s="131"/>
      <c r="N138" s="131"/>
      <c r="O138" s="142"/>
      <c r="P138" s="142"/>
      <c r="Q138" s="142"/>
      <c r="R138" s="142"/>
      <c r="S138" s="142"/>
      <c r="T138" s="142"/>
      <c r="U138" s="142"/>
      <c r="V138" s="142"/>
      <c r="W138" s="142"/>
      <c r="X138" s="142"/>
      <c r="Y138" s="142"/>
      <c r="Z138" s="142"/>
      <c r="AA138" s="131"/>
      <c r="AB138" s="142"/>
      <c r="AC138" s="142"/>
      <c r="AD138" s="142"/>
      <c r="AE138" s="142"/>
      <c r="AF138" s="142"/>
      <c r="AG138" s="142"/>
      <c r="AH138" s="142"/>
      <c r="AI138" s="142"/>
      <c r="AJ138" s="142"/>
      <c r="AK138" s="142"/>
      <c r="AL138" s="142"/>
      <c r="AM138" s="142"/>
      <c r="AN138" s="142"/>
      <c r="AO138" s="142"/>
      <c r="AP138" s="142"/>
    </row>
    <row r="139" ht="13.5" customHeight="1">
      <c r="A139" s="142"/>
      <c r="B139" s="142"/>
      <c r="C139" s="142"/>
      <c r="D139" s="142"/>
      <c r="E139" s="132"/>
      <c r="F139" s="131"/>
      <c r="G139" s="131"/>
      <c r="H139" s="131"/>
      <c r="I139" s="131"/>
      <c r="J139" s="131"/>
      <c r="K139" s="131"/>
      <c r="L139" s="131"/>
      <c r="M139" s="131"/>
      <c r="N139" s="131"/>
      <c r="O139" s="142"/>
      <c r="P139" s="142"/>
      <c r="Q139" s="142"/>
      <c r="R139" s="142"/>
      <c r="S139" s="142"/>
      <c r="T139" s="142"/>
      <c r="U139" s="142"/>
      <c r="V139" s="142"/>
      <c r="W139" s="142"/>
      <c r="X139" s="142"/>
      <c r="Y139" s="142"/>
      <c r="Z139" s="142"/>
      <c r="AA139" s="131"/>
      <c r="AB139" s="142"/>
      <c r="AC139" s="142"/>
      <c r="AD139" s="142"/>
      <c r="AE139" s="142"/>
      <c r="AF139" s="142"/>
      <c r="AG139" s="142"/>
      <c r="AH139" s="142"/>
      <c r="AI139" s="142"/>
      <c r="AJ139" s="142"/>
      <c r="AK139" s="142"/>
      <c r="AL139" s="142"/>
      <c r="AM139" s="142"/>
      <c r="AN139" s="142"/>
      <c r="AO139" s="142"/>
      <c r="AP139" s="142"/>
    </row>
    <row r="140" ht="13.5" customHeight="1">
      <c r="A140" s="142"/>
      <c r="B140" s="142"/>
      <c r="C140" s="142"/>
      <c r="D140" s="142"/>
      <c r="E140" s="132"/>
      <c r="F140" s="131"/>
      <c r="G140" s="131"/>
      <c r="H140" s="131"/>
      <c r="I140" s="131"/>
      <c r="J140" s="131"/>
      <c r="K140" s="131"/>
      <c r="L140" s="131"/>
      <c r="M140" s="131"/>
      <c r="N140" s="131"/>
      <c r="O140" s="142"/>
      <c r="P140" s="142"/>
      <c r="Q140" s="142"/>
      <c r="R140" s="142"/>
      <c r="S140" s="142"/>
      <c r="T140" s="142"/>
      <c r="U140" s="142"/>
      <c r="V140" s="142"/>
      <c r="W140" s="142"/>
      <c r="X140" s="142"/>
      <c r="Y140" s="142"/>
      <c r="Z140" s="142"/>
      <c r="AA140" s="131"/>
      <c r="AB140" s="142"/>
      <c r="AC140" s="142"/>
      <c r="AD140" s="142"/>
      <c r="AE140" s="142"/>
      <c r="AF140" s="142"/>
      <c r="AG140" s="142"/>
      <c r="AH140" s="142"/>
      <c r="AI140" s="142"/>
      <c r="AJ140" s="142"/>
      <c r="AK140" s="142"/>
      <c r="AL140" s="142"/>
      <c r="AM140" s="142"/>
      <c r="AN140" s="142"/>
      <c r="AO140" s="142"/>
      <c r="AP140" s="142"/>
    </row>
    <row r="141" ht="13.5" customHeight="1">
      <c r="A141" s="142"/>
      <c r="B141" s="142"/>
      <c r="C141" s="142"/>
      <c r="D141" s="142"/>
      <c r="E141" s="132"/>
      <c r="F141" s="131"/>
      <c r="G141" s="131"/>
      <c r="H141" s="131"/>
      <c r="I141" s="131"/>
      <c r="J141" s="131"/>
      <c r="K141" s="131"/>
      <c r="L141" s="131"/>
      <c r="M141" s="131"/>
      <c r="N141" s="131"/>
      <c r="O141" s="142"/>
      <c r="P141" s="142"/>
      <c r="Q141" s="142"/>
      <c r="R141" s="142"/>
      <c r="S141" s="142"/>
      <c r="T141" s="142"/>
      <c r="U141" s="142"/>
      <c r="V141" s="142"/>
      <c r="W141" s="142"/>
      <c r="X141" s="142"/>
      <c r="Y141" s="142"/>
      <c r="Z141" s="142"/>
      <c r="AA141" s="131"/>
      <c r="AB141" s="142"/>
      <c r="AC141" s="142"/>
      <c r="AD141" s="142"/>
      <c r="AE141" s="142"/>
      <c r="AF141" s="142"/>
      <c r="AG141" s="142"/>
      <c r="AH141" s="142"/>
      <c r="AI141" s="142"/>
      <c r="AJ141" s="142"/>
      <c r="AK141" s="142"/>
      <c r="AL141" s="142"/>
      <c r="AM141" s="142"/>
      <c r="AN141" s="142"/>
      <c r="AO141" s="142"/>
      <c r="AP141" s="142"/>
    </row>
    <row r="142" ht="13.5" customHeight="1">
      <c r="A142" s="142"/>
      <c r="B142" s="142"/>
      <c r="C142" s="142"/>
      <c r="D142" s="142"/>
      <c r="E142" s="132"/>
      <c r="F142" s="131"/>
      <c r="G142" s="131"/>
      <c r="H142" s="131"/>
      <c r="I142" s="131"/>
      <c r="J142" s="131"/>
      <c r="K142" s="131"/>
      <c r="L142" s="131"/>
      <c r="M142" s="131"/>
      <c r="N142" s="131"/>
      <c r="O142" s="142"/>
      <c r="P142" s="142"/>
      <c r="Q142" s="142"/>
      <c r="R142" s="142"/>
      <c r="S142" s="142"/>
      <c r="T142" s="142"/>
      <c r="U142" s="142"/>
      <c r="V142" s="142"/>
      <c r="W142" s="142"/>
      <c r="X142" s="142"/>
      <c r="Y142" s="142"/>
      <c r="Z142" s="142"/>
      <c r="AA142" s="131"/>
      <c r="AB142" s="142"/>
      <c r="AC142" s="142"/>
      <c r="AD142" s="142"/>
      <c r="AE142" s="142"/>
      <c r="AF142" s="142"/>
      <c r="AG142" s="142"/>
      <c r="AH142" s="142"/>
      <c r="AI142" s="142"/>
      <c r="AJ142" s="142"/>
      <c r="AK142" s="142"/>
      <c r="AL142" s="142"/>
      <c r="AM142" s="142"/>
      <c r="AN142" s="142"/>
      <c r="AO142" s="142"/>
      <c r="AP142" s="142"/>
    </row>
    <row r="143" ht="13.5" customHeight="1">
      <c r="A143" s="142"/>
      <c r="B143" s="142"/>
      <c r="C143" s="142"/>
      <c r="D143" s="142"/>
      <c r="E143" s="132"/>
      <c r="F143" s="131"/>
      <c r="G143" s="131"/>
      <c r="H143" s="131"/>
      <c r="I143" s="131"/>
      <c r="J143" s="131"/>
      <c r="K143" s="131"/>
      <c r="L143" s="131"/>
      <c r="M143" s="131"/>
      <c r="N143" s="131"/>
      <c r="O143" s="142"/>
      <c r="P143" s="142"/>
      <c r="Q143" s="142"/>
      <c r="R143" s="142"/>
      <c r="S143" s="142"/>
      <c r="T143" s="142"/>
      <c r="U143" s="142"/>
      <c r="V143" s="142"/>
      <c r="W143" s="142"/>
      <c r="X143" s="142"/>
      <c r="Y143" s="142"/>
      <c r="Z143" s="142"/>
      <c r="AA143" s="131"/>
      <c r="AB143" s="142"/>
      <c r="AC143" s="142"/>
      <c r="AD143" s="142"/>
      <c r="AE143" s="142"/>
      <c r="AF143" s="142"/>
      <c r="AG143" s="142"/>
      <c r="AH143" s="142"/>
      <c r="AI143" s="142"/>
      <c r="AJ143" s="142"/>
      <c r="AK143" s="142"/>
      <c r="AL143" s="142"/>
      <c r="AM143" s="142"/>
      <c r="AN143" s="142"/>
      <c r="AO143" s="142"/>
      <c r="AP143" s="142"/>
    </row>
    <row r="144" ht="13.5" customHeight="1">
      <c r="A144" s="142"/>
      <c r="B144" s="142"/>
      <c r="C144" s="142"/>
      <c r="D144" s="142"/>
      <c r="E144" s="132"/>
      <c r="F144" s="131"/>
      <c r="G144" s="131"/>
      <c r="H144" s="131"/>
      <c r="I144" s="131"/>
      <c r="J144" s="131"/>
      <c r="K144" s="131"/>
      <c r="L144" s="131"/>
      <c r="M144" s="131"/>
      <c r="N144" s="131"/>
      <c r="O144" s="142"/>
      <c r="P144" s="142"/>
      <c r="Q144" s="142"/>
      <c r="R144" s="142"/>
      <c r="S144" s="142"/>
      <c r="T144" s="142"/>
      <c r="U144" s="142"/>
      <c r="V144" s="142"/>
      <c r="W144" s="142"/>
      <c r="X144" s="142"/>
      <c r="Y144" s="142"/>
      <c r="Z144" s="142"/>
      <c r="AA144" s="131"/>
      <c r="AB144" s="142"/>
      <c r="AC144" s="142"/>
      <c r="AD144" s="142"/>
      <c r="AE144" s="142"/>
      <c r="AF144" s="142"/>
      <c r="AG144" s="142"/>
      <c r="AH144" s="142"/>
      <c r="AI144" s="142"/>
      <c r="AJ144" s="142"/>
      <c r="AK144" s="142"/>
      <c r="AL144" s="142"/>
      <c r="AM144" s="142"/>
      <c r="AN144" s="142"/>
      <c r="AO144" s="142"/>
      <c r="AP144" s="142"/>
    </row>
    <row r="145" ht="13.5" customHeight="1">
      <c r="A145" s="142"/>
      <c r="B145" s="142"/>
      <c r="C145" s="142"/>
      <c r="D145" s="142"/>
      <c r="E145" s="132"/>
      <c r="F145" s="131"/>
      <c r="G145" s="131"/>
      <c r="H145" s="131"/>
      <c r="I145" s="131"/>
      <c r="J145" s="131"/>
      <c r="K145" s="131"/>
      <c r="L145" s="131"/>
      <c r="M145" s="131"/>
      <c r="N145" s="131"/>
      <c r="O145" s="142"/>
      <c r="P145" s="142"/>
      <c r="Q145" s="142"/>
      <c r="R145" s="142"/>
      <c r="S145" s="142"/>
      <c r="T145" s="142"/>
      <c r="U145" s="142"/>
      <c r="V145" s="142"/>
      <c r="W145" s="142"/>
      <c r="X145" s="142"/>
      <c r="Y145" s="142"/>
      <c r="Z145" s="142"/>
      <c r="AA145" s="131"/>
      <c r="AB145" s="142"/>
      <c r="AC145" s="142"/>
      <c r="AD145" s="142"/>
      <c r="AE145" s="142"/>
      <c r="AF145" s="142"/>
      <c r="AG145" s="142"/>
      <c r="AH145" s="142"/>
      <c r="AI145" s="142"/>
      <c r="AJ145" s="142"/>
      <c r="AK145" s="142"/>
      <c r="AL145" s="142"/>
      <c r="AM145" s="142"/>
      <c r="AN145" s="142"/>
      <c r="AO145" s="142"/>
      <c r="AP145" s="142"/>
    </row>
    <row r="146" ht="13.5" customHeight="1">
      <c r="A146" s="142"/>
      <c r="B146" s="142"/>
      <c r="C146" s="142"/>
      <c r="D146" s="142"/>
      <c r="E146" s="132"/>
      <c r="F146" s="131"/>
      <c r="G146" s="131"/>
      <c r="H146" s="131"/>
      <c r="I146" s="131"/>
      <c r="J146" s="131"/>
      <c r="K146" s="131"/>
      <c r="L146" s="131"/>
      <c r="M146" s="131"/>
      <c r="N146" s="131"/>
      <c r="O146" s="142"/>
      <c r="P146" s="142"/>
      <c r="Q146" s="142"/>
      <c r="R146" s="142"/>
      <c r="S146" s="142"/>
      <c r="T146" s="142"/>
      <c r="U146" s="142"/>
      <c r="V146" s="142"/>
      <c r="W146" s="142"/>
      <c r="X146" s="142"/>
      <c r="Y146" s="142"/>
      <c r="Z146" s="142"/>
      <c r="AA146" s="131"/>
      <c r="AB146" s="142"/>
      <c r="AC146" s="142"/>
      <c r="AD146" s="142"/>
      <c r="AE146" s="142"/>
      <c r="AF146" s="142"/>
      <c r="AG146" s="142"/>
      <c r="AH146" s="142"/>
      <c r="AI146" s="142"/>
      <c r="AJ146" s="142"/>
      <c r="AK146" s="142"/>
      <c r="AL146" s="142"/>
      <c r="AM146" s="142"/>
      <c r="AN146" s="142"/>
      <c r="AO146" s="142"/>
      <c r="AP146" s="142"/>
    </row>
    <row r="147" ht="13.5" customHeight="1">
      <c r="A147" s="142"/>
      <c r="B147" s="142"/>
      <c r="C147" s="142"/>
      <c r="D147" s="142"/>
      <c r="E147" s="132"/>
      <c r="F147" s="131"/>
      <c r="G147" s="131"/>
      <c r="H147" s="131"/>
      <c r="I147" s="131"/>
      <c r="J147" s="131"/>
      <c r="K147" s="131"/>
      <c r="L147" s="131"/>
      <c r="M147" s="131"/>
      <c r="N147" s="131"/>
      <c r="O147" s="142"/>
      <c r="P147" s="142"/>
      <c r="Q147" s="142"/>
      <c r="R147" s="142"/>
      <c r="S147" s="142"/>
      <c r="T147" s="142"/>
      <c r="U147" s="142"/>
      <c r="V147" s="142"/>
      <c r="W147" s="142"/>
      <c r="X147" s="142"/>
      <c r="Y147" s="142"/>
      <c r="Z147" s="142"/>
      <c r="AA147" s="131"/>
      <c r="AB147" s="142"/>
      <c r="AC147" s="142"/>
      <c r="AD147" s="142"/>
      <c r="AE147" s="142"/>
      <c r="AF147" s="142"/>
      <c r="AG147" s="142"/>
      <c r="AH147" s="142"/>
      <c r="AI147" s="142"/>
      <c r="AJ147" s="142"/>
      <c r="AK147" s="142"/>
      <c r="AL147" s="142"/>
      <c r="AM147" s="142"/>
      <c r="AN147" s="142"/>
      <c r="AO147" s="142"/>
      <c r="AP147" s="142"/>
    </row>
    <row r="148" ht="13.5" customHeight="1">
      <c r="A148" s="142"/>
      <c r="B148" s="142"/>
      <c r="C148" s="142"/>
      <c r="D148" s="142"/>
      <c r="E148" s="132"/>
      <c r="F148" s="131"/>
      <c r="G148" s="131"/>
      <c r="H148" s="131"/>
      <c r="I148" s="131"/>
      <c r="J148" s="131"/>
      <c r="K148" s="131"/>
      <c r="L148" s="131"/>
      <c r="M148" s="131"/>
      <c r="N148" s="131"/>
      <c r="O148" s="142"/>
      <c r="P148" s="142"/>
      <c r="Q148" s="142"/>
      <c r="R148" s="142"/>
      <c r="S148" s="142"/>
      <c r="T148" s="142"/>
      <c r="U148" s="142"/>
      <c r="V148" s="142"/>
      <c r="W148" s="142"/>
      <c r="X148" s="142"/>
      <c r="Y148" s="142"/>
      <c r="Z148" s="142"/>
      <c r="AA148" s="131"/>
      <c r="AB148" s="142"/>
      <c r="AC148" s="142"/>
      <c r="AD148" s="142"/>
      <c r="AE148" s="142"/>
      <c r="AF148" s="142"/>
      <c r="AG148" s="142"/>
      <c r="AH148" s="142"/>
      <c r="AI148" s="142"/>
      <c r="AJ148" s="142"/>
      <c r="AK148" s="142"/>
      <c r="AL148" s="142"/>
      <c r="AM148" s="142"/>
      <c r="AN148" s="142"/>
      <c r="AO148" s="142"/>
      <c r="AP148" s="142"/>
    </row>
    <row r="149" ht="13.5" customHeight="1">
      <c r="A149" s="142"/>
      <c r="B149" s="142"/>
      <c r="C149" s="142"/>
      <c r="D149" s="142"/>
      <c r="E149" s="132"/>
      <c r="F149" s="131"/>
      <c r="G149" s="131"/>
      <c r="H149" s="131"/>
      <c r="I149" s="131"/>
      <c r="J149" s="131"/>
      <c r="K149" s="131"/>
      <c r="L149" s="131"/>
      <c r="M149" s="131"/>
      <c r="N149" s="131"/>
      <c r="O149" s="142"/>
      <c r="P149" s="142"/>
      <c r="Q149" s="142"/>
      <c r="R149" s="142"/>
      <c r="S149" s="142"/>
      <c r="T149" s="142"/>
      <c r="U149" s="142"/>
      <c r="V149" s="142"/>
      <c r="W149" s="142"/>
      <c r="X149" s="142"/>
      <c r="Y149" s="142"/>
      <c r="Z149" s="142"/>
      <c r="AA149" s="131"/>
      <c r="AB149" s="142"/>
      <c r="AC149" s="142"/>
      <c r="AD149" s="142"/>
      <c r="AE149" s="142"/>
      <c r="AF149" s="142"/>
      <c r="AG149" s="142"/>
      <c r="AH149" s="142"/>
      <c r="AI149" s="142"/>
      <c r="AJ149" s="142"/>
      <c r="AK149" s="142"/>
      <c r="AL149" s="142"/>
      <c r="AM149" s="142"/>
      <c r="AN149" s="142"/>
      <c r="AO149" s="142"/>
      <c r="AP149" s="142"/>
    </row>
    <row r="150" ht="13.5" customHeight="1">
      <c r="A150" s="142"/>
      <c r="B150" s="142"/>
      <c r="C150" s="142"/>
      <c r="D150" s="142"/>
      <c r="E150" s="132"/>
      <c r="F150" s="131"/>
      <c r="G150" s="131"/>
      <c r="H150" s="131"/>
      <c r="I150" s="131"/>
      <c r="J150" s="131"/>
      <c r="K150" s="131"/>
      <c r="L150" s="131"/>
      <c r="M150" s="131"/>
      <c r="N150" s="131"/>
      <c r="O150" s="142"/>
      <c r="P150" s="142"/>
      <c r="Q150" s="142"/>
      <c r="R150" s="142"/>
      <c r="S150" s="142"/>
      <c r="T150" s="142"/>
      <c r="U150" s="142"/>
      <c r="V150" s="142"/>
      <c r="W150" s="142"/>
      <c r="X150" s="142"/>
      <c r="Y150" s="142"/>
      <c r="Z150" s="142"/>
      <c r="AA150" s="131"/>
      <c r="AB150" s="142"/>
      <c r="AC150" s="142"/>
      <c r="AD150" s="142"/>
      <c r="AE150" s="142"/>
      <c r="AF150" s="142"/>
      <c r="AG150" s="142"/>
      <c r="AH150" s="142"/>
      <c r="AI150" s="142"/>
      <c r="AJ150" s="142"/>
      <c r="AK150" s="142"/>
      <c r="AL150" s="142"/>
      <c r="AM150" s="142"/>
      <c r="AN150" s="142"/>
      <c r="AO150" s="142"/>
      <c r="AP150" s="142"/>
    </row>
    <row r="151" ht="13.5" customHeight="1">
      <c r="A151" s="142"/>
      <c r="B151" s="142"/>
      <c r="C151" s="142"/>
      <c r="D151" s="142"/>
      <c r="E151" s="132"/>
      <c r="F151" s="131"/>
      <c r="G151" s="131"/>
      <c r="H151" s="131"/>
      <c r="I151" s="131"/>
      <c r="J151" s="131"/>
      <c r="K151" s="131"/>
      <c r="L151" s="131"/>
      <c r="M151" s="131"/>
      <c r="N151" s="131"/>
      <c r="O151" s="142"/>
      <c r="P151" s="142"/>
      <c r="Q151" s="142"/>
      <c r="R151" s="142"/>
      <c r="S151" s="142"/>
      <c r="T151" s="142"/>
      <c r="U151" s="142"/>
      <c r="V151" s="142"/>
      <c r="W151" s="142"/>
      <c r="X151" s="142"/>
      <c r="Y151" s="142"/>
      <c r="Z151" s="142"/>
      <c r="AA151" s="131"/>
      <c r="AB151" s="142"/>
      <c r="AC151" s="142"/>
      <c r="AD151" s="142"/>
      <c r="AE151" s="142"/>
      <c r="AF151" s="142"/>
      <c r="AG151" s="142"/>
      <c r="AH151" s="142"/>
      <c r="AI151" s="142"/>
      <c r="AJ151" s="142"/>
      <c r="AK151" s="142"/>
      <c r="AL151" s="142"/>
      <c r="AM151" s="142"/>
      <c r="AN151" s="142"/>
      <c r="AO151" s="142"/>
      <c r="AP151" s="142"/>
    </row>
    <row r="152" ht="13.5" customHeight="1">
      <c r="A152" s="142"/>
      <c r="B152" s="142"/>
      <c r="C152" s="142"/>
      <c r="D152" s="142"/>
      <c r="E152" s="132"/>
      <c r="F152" s="131"/>
      <c r="G152" s="131"/>
      <c r="H152" s="131"/>
      <c r="I152" s="131"/>
      <c r="J152" s="131"/>
      <c r="K152" s="131"/>
      <c r="L152" s="131"/>
      <c r="M152" s="131"/>
      <c r="N152" s="131"/>
      <c r="O152" s="142"/>
      <c r="P152" s="142"/>
      <c r="Q152" s="142"/>
      <c r="R152" s="142"/>
      <c r="S152" s="142"/>
      <c r="T152" s="142"/>
      <c r="U152" s="142"/>
      <c r="V152" s="142"/>
      <c r="W152" s="142"/>
      <c r="X152" s="142"/>
      <c r="Y152" s="142"/>
      <c r="Z152" s="142"/>
      <c r="AA152" s="131"/>
      <c r="AB152" s="142"/>
      <c r="AC152" s="142"/>
      <c r="AD152" s="142"/>
      <c r="AE152" s="142"/>
      <c r="AF152" s="142"/>
      <c r="AG152" s="142"/>
      <c r="AH152" s="142"/>
      <c r="AI152" s="142"/>
      <c r="AJ152" s="142"/>
      <c r="AK152" s="142"/>
      <c r="AL152" s="142"/>
      <c r="AM152" s="142"/>
      <c r="AN152" s="142"/>
      <c r="AO152" s="142"/>
      <c r="AP152" s="142"/>
    </row>
    <row r="153" ht="13.5" customHeight="1">
      <c r="A153" s="142"/>
      <c r="B153" s="142"/>
      <c r="C153" s="142"/>
      <c r="D153" s="142"/>
      <c r="E153" s="132"/>
      <c r="F153" s="131"/>
      <c r="G153" s="131"/>
      <c r="H153" s="131"/>
      <c r="I153" s="131"/>
      <c r="J153" s="131"/>
      <c r="K153" s="131"/>
      <c r="L153" s="131"/>
      <c r="M153" s="131"/>
      <c r="N153" s="131"/>
      <c r="O153" s="142"/>
      <c r="P153" s="142"/>
      <c r="Q153" s="142"/>
      <c r="R153" s="142"/>
      <c r="S153" s="142"/>
      <c r="T153" s="142"/>
      <c r="U153" s="142"/>
      <c r="V153" s="142"/>
      <c r="W153" s="142"/>
      <c r="X153" s="142"/>
      <c r="Y153" s="142"/>
      <c r="Z153" s="142"/>
      <c r="AA153" s="131"/>
      <c r="AB153" s="142"/>
      <c r="AC153" s="142"/>
      <c r="AD153" s="142"/>
      <c r="AE153" s="142"/>
      <c r="AF153" s="142"/>
      <c r="AG153" s="142"/>
      <c r="AH153" s="142"/>
      <c r="AI153" s="142"/>
      <c r="AJ153" s="142"/>
      <c r="AK153" s="142"/>
      <c r="AL153" s="142"/>
      <c r="AM153" s="142"/>
      <c r="AN153" s="142"/>
      <c r="AO153" s="142"/>
      <c r="AP153" s="142"/>
    </row>
    <row r="154" ht="13.5" customHeight="1">
      <c r="A154" s="142"/>
      <c r="B154" s="142"/>
      <c r="C154" s="142"/>
      <c r="D154" s="142"/>
      <c r="E154" s="132"/>
      <c r="F154" s="131"/>
      <c r="G154" s="131"/>
      <c r="H154" s="131"/>
      <c r="I154" s="131"/>
      <c r="J154" s="131"/>
      <c r="K154" s="131"/>
      <c r="L154" s="131"/>
      <c r="M154" s="131"/>
      <c r="N154" s="131"/>
      <c r="O154" s="142"/>
      <c r="P154" s="142"/>
      <c r="Q154" s="142"/>
      <c r="R154" s="142"/>
      <c r="S154" s="142"/>
      <c r="T154" s="142"/>
      <c r="U154" s="142"/>
      <c r="V154" s="142"/>
      <c r="W154" s="142"/>
      <c r="X154" s="142"/>
      <c r="Y154" s="142"/>
      <c r="Z154" s="142"/>
      <c r="AA154" s="131"/>
      <c r="AB154" s="142"/>
      <c r="AC154" s="142"/>
      <c r="AD154" s="142"/>
      <c r="AE154" s="142"/>
      <c r="AF154" s="142"/>
      <c r="AG154" s="142"/>
      <c r="AH154" s="142"/>
      <c r="AI154" s="142"/>
      <c r="AJ154" s="142"/>
      <c r="AK154" s="142"/>
      <c r="AL154" s="142"/>
      <c r="AM154" s="142"/>
      <c r="AN154" s="142"/>
      <c r="AO154" s="142"/>
      <c r="AP154" s="142"/>
    </row>
    <row r="155" ht="13.5" customHeight="1">
      <c r="A155" s="142"/>
      <c r="B155" s="142"/>
      <c r="C155" s="142"/>
      <c r="D155" s="142"/>
      <c r="E155" s="132"/>
      <c r="F155" s="131"/>
      <c r="G155" s="131"/>
      <c r="H155" s="131"/>
      <c r="I155" s="131"/>
      <c r="J155" s="131"/>
      <c r="K155" s="131"/>
      <c r="L155" s="131"/>
      <c r="M155" s="131"/>
      <c r="N155" s="131"/>
      <c r="O155" s="142"/>
      <c r="P155" s="142"/>
      <c r="Q155" s="142"/>
      <c r="R155" s="142"/>
      <c r="S155" s="142"/>
      <c r="T155" s="142"/>
      <c r="U155" s="142"/>
      <c r="V155" s="142"/>
      <c r="W155" s="142"/>
      <c r="X155" s="142"/>
      <c r="Y155" s="142"/>
      <c r="Z155" s="142"/>
      <c r="AA155" s="131"/>
      <c r="AB155" s="142"/>
      <c r="AC155" s="142"/>
      <c r="AD155" s="142"/>
      <c r="AE155" s="142"/>
      <c r="AF155" s="142"/>
      <c r="AG155" s="142"/>
      <c r="AH155" s="142"/>
      <c r="AI155" s="142"/>
      <c r="AJ155" s="142"/>
      <c r="AK155" s="142"/>
      <c r="AL155" s="142"/>
      <c r="AM155" s="142"/>
      <c r="AN155" s="142"/>
      <c r="AO155" s="142"/>
      <c r="AP155" s="142"/>
    </row>
    <row r="156" ht="13.5" customHeight="1">
      <c r="A156" s="142"/>
      <c r="B156" s="142"/>
      <c r="C156" s="142"/>
      <c r="D156" s="142"/>
      <c r="E156" s="132"/>
      <c r="F156" s="131"/>
      <c r="G156" s="131"/>
      <c r="H156" s="131"/>
      <c r="I156" s="131"/>
      <c r="J156" s="131"/>
      <c r="K156" s="131"/>
      <c r="L156" s="131"/>
      <c r="M156" s="131"/>
      <c r="N156" s="131"/>
      <c r="O156" s="142"/>
      <c r="P156" s="142"/>
      <c r="Q156" s="142"/>
      <c r="R156" s="142"/>
      <c r="S156" s="142"/>
      <c r="T156" s="142"/>
      <c r="U156" s="142"/>
      <c r="V156" s="142"/>
      <c r="W156" s="142"/>
      <c r="X156" s="142"/>
      <c r="Y156" s="142"/>
      <c r="Z156" s="142"/>
      <c r="AA156" s="131"/>
      <c r="AB156" s="142"/>
      <c r="AC156" s="142"/>
      <c r="AD156" s="142"/>
      <c r="AE156" s="142"/>
      <c r="AF156" s="142"/>
      <c r="AG156" s="142"/>
      <c r="AH156" s="142"/>
      <c r="AI156" s="142"/>
      <c r="AJ156" s="142"/>
      <c r="AK156" s="142"/>
      <c r="AL156" s="142"/>
      <c r="AM156" s="142"/>
      <c r="AN156" s="142"/>
      <c r="AO156" s="142"/>
      <c r="AP156" s="142"/>
    </row>
    <row r="157" ht="13.5" customHeight="1">
      <c r="A157" s="142"/>
      <c r="B157" s="142"/>
      <c r="C157" s="142"/>
      <c r="D157" s="142"/>
      <c r="E157" s="132"/>
      <c r="F157" s="131"/>
      <c r="G157" s="131"/>
      <c r="H157" s="131"/>
      <c r="I157" s="131"/>
      <c r="J157" s="131"/>
      <c r="K157" s="131"/>
      <c r="L157" s="131"/>
      <c r="M157" s="131"/>
      <c r="N157" s="131"/>
      <c r="O157" s="142"/>
      <c r="P157" s="142"/>
      <c r="Q157" s="142"/>
      <c r="R157" s="142"/>
      <c r="S157" s="142"/>
      <c r="T157" s="142"/>
      <c r="U157" s="142"/>
      <c r="V157" s="142"/>
      <c r="W157" s="142"/>
      <c r="X157" s="142"/>
      <c r="Y157" s="142"/>
      <c r="Z157" s="142"/>
      <c r="AA157" s="131"/>
      <c r="AB157" s="142"/>
      <c r="AC157" s="142"/>
      <c r="AD157" s="142"/>
      <c r="AE157" s="142"/>
      <c r="AF157" s="142"/>
      <c r="AG157" s="142"/>
      <c r="AH157" s="142"/>
      <c r="AI157" s="142"/>
      <c r="AJ157" s="142"/>
      <c r="AK157" s="142"/>
      <c r="AL157" s="142"/>
      <c r="AM157" s="142"/>
      <c r="AN157" s="142"/>
      <c r="AO157" s="142"/>
      <c r="AP157" s="142"/>
    </row>
    <row r="158" ht="13.5" customHeight="1">
      <c r="A158" s="142"/>
      <c r="B158" s="142"/>
      <c r="C158" s="142"/>
      <c r="D158" s="142"/>
      <c r="E158" s="132"/>
      <c r="F158" s="131"/>
      <c r="G158" s="131"/>
      <c r="H158" s="131"/>
      <c r="I158" s="131"/>
      <c r="J158" s="131"/>
      <c r="K158" s="131"/>
      <c r="L158" s="131"/>
      <c r="M158" s="131"/>
      <c r="N158" s="131"/>
      <c r="O158" s="142"/>
      <c r="P158" s="142"/>
      <c r="Q158" s="142"/>
      <c r="R158" s="142"/>
      <c r="S158" s="142"/>
      <c r="T158" s="142"/>
      <c r="U158" s="142"/>
      <c r="V158" s="142"/>
      <c r="W158" s="142"/>
      <c r="X158" s="142"/>
      <c r="Y158" s="142"/>
      <c r="Z158" s="142"/>
      <c r="AA158" s="131"/>
      <c r="AB158" s="142"/>
      <c r="AC158" s="142"/>
      <c r="AD158" s="142"/>
      <c r="AE158" s="142"/>
      <c r="AF158" s="142"/>
      <c r="AG158" s="142"/>
      <c r="AH158" s="142"/>
      <c r="AI158" s="142"/>
      <c r="AJ158" s="142"/>
      <c r="AK158" s="142"/>
      <c r="AL158" s="142"/>
      <c r="AM158" s="142"/>
      <c r="AN158" s="142"/>
      <c r="AO158" s="142"/>
      <c r="AP158" s="142"/>
    </row>
    <row r="159" ht="13.5" customHeight="1">
      <c r="A159" s="142"/>
      <c r="B159" s="142"/>
      <c r="C159" s="142"/>
      <c r="D159" s="142"/>
      <c r="E159" s="132"/>
      <c r="F159" s="131"/>
      <c r="G159" s="131"/>
      <c r="H159" s="131"/>
      <c r="I159" s="131"/>
      <c r="J159" s="131"/>
      <c r="K159" s="131"/>
      <c r="L159" s="131"/>
      <c r="M159" s="131"/>
      <c r="N159" s="131"/>
      <c r="O159" s="142"/>
      <c r="P159" s="142"/>
      <c r="Q159" s="142"/>
      <c r="R159" s="142"/>
      <c r="S159" s="142"/>
      <c r="T159" s="142"/>
      <c r="U159" s="142"/>
      <c r="V159" s="142"/>
      <c r="W159" s="142"/>
      <c r="X159" s="142"/>
      <c r="Y159" s="142"/>
      <c r="Z159" s="142"/>
      <c r="AA159" s="131"/>
      <c r="AB159" s="142"/>
      <c r="AC159" s="142"/>
      <c r="AD159" s="142"/>
      <c r="AE159" s="142"/>
      <c r="AF159" s="142"/>
      <c r="AG159" s="142"/>
      <c r="AH159" s="142"/>
      <c r="AI159" s="142"/>
      <c r="AJ159" s="142"/>
      <c r="AK159" s="142"/>
      <c r="AL159" s="142"/>
      <c r="AM159" s="142"/>
      <c r="AN159" s="142"/>
      <c r="AO159" s="142"/>
      <c r="AP159" s="142"/>
    </row>
    <row r="160" ht="13.5" customHeight="1">
      <c r="A160" s="142"/>
      <c r="B160" s="142"/>
      <c r="C160" s="142"/>
      <c r="D160" s="142"/>
      <c r="E160" s="132"/>
      <c r="F160" s="131"/>
      <c r="G160" s="131"/>
      <c r="H160" s="131"/>
      <c r="I160" s="131"/>
      <c r="J160" s="131"/>
      <c r="K160" s="131"/>
      <c r="L160" s="131"/>
      <c r="M160" s="131"/>
      <c r="N160" s="131"/>
      <c r="O160" s="142"/>
      <c r="P160" s="142"/>
      <c r="Q160" s="142"/>
      <c r="R160" s="142"/>
      <c r="S160" s="142"/>
      <c r="T160" s="142"/>
      <c r="U160" s="142"/>
      <c r="V160" s="142"/>
      <c r="W160" s="142"/>
      <c r="X160" s="142"/>
      <c r="Y160" s="142"/>
      <c r="Z160" s="142"/>
      <c r="AA160" s="131"/>
      <c r="AB160" s="142"/>
      <c r="AC160" s="142"/>
      <c r="AD160" s="142"/>
      <c r="AE160" s="142"/>
      <c r="AF160" s="142"/>
      <c r="AG160" s="142"/>
      <c r="AH160" s="142"/>
      <c r="AI160" s="142"/>
      <c r="AJ160" s="142"/>
      <c r="AK160" s="142"/>
      <c r="AL160" s="142"/>
      <c r="AM160" s="142"/>
      <c r="AN160" s="142"/>
      <c r="AO160" s="142"/>
      <c r="AP160" s="142"/>
    </row>
    <row r="161" ht="13.5" customHeight="1">
      <c r="A161" s="142"/>
      <c r="B161" s="142"/>
      <c r="C161" s="142"/>
      <c r="D161" s="142"/>
      <c r="E161" s="132"/>
      <c r="F161" s="131"/>
      <c r="G161" s="131"/>
      <c r="H161" s="131"/>
      <c r="I161" s="131"/>
      <c r="J161" s="131"/>
      <c r="K161" s="131"/>
      <c r="L161" s="131"/>
      <c r="M161" s="131"/>
      <c r="N161" s="131"/>
      <c r="O161" s="142"/>
      <c r="P161" s="142"/>
      <c r="Q161" s="142"/>
      <c r="R161" s="142"/>
      <c r="S161" s="142"/>
      <c r="T161" s="142"/>
      <c r="U161" s="142"/>
      <c r="V161" s="142"/>
      <c r="W161" s="142"/>
      <c r="X161" s="142"/>
      <c r="Y161" s="142"/>
      <c r="Z161" s="142"/>
      <c r="AA161" s="131"/>
      <c r="AB161" s="142"/>
      <c r="AC161" s="142"/>
      <c r="AD161" s="142"/>
      <c r="AE161" s="142"/>
      <c r="AF161" s="142"/>
      <c r="AG161" s="142"/>
      <c r="AH161" s="142"/>
      <c r="AI161" s="142"/>
      <c r="AJ161" s="142"/>
      <c r="AK161" s="142"/>
      <c r="AL161" s="142"/>
      <c r="AM161" s="142"/>
      <c r="AN161" s="142"/>
      <c r="AO161" s="142"/>
      <c r="AP161" s="142"/>
    </row>
    <row r="162" ht="13.5" customHeight="1">
      <c r="A162" s="142"/>
      <c r="B162" s="142"/>
      <c r="C162" s="142"/>
      <c r="D162" s="142"/>
      <c r="E162" s="132"/>
      <c r="F162" s="131"/>
      <c r="G162" s="131"/>
      <c r="H162" s="131"/>
      <c r="I162" s="131"/>
      <c r="J162" s="131"/>
      <c r="K162" s="131"/>
      <c r="L162" s="131"/>
      <c r="M162" s="131"/>
      <c r="N162" s="131"/>
      <c r="O162" s="142"/>
      <c r="P162" s="142"/>
      <c r="Q162" s="142"/>
      <c r="R162" s="142"/>
      <c r="S162" s="142"/>
      <c r="T162" s="142"/>
      <c r="U162" s="142"/>
      <c r="V162" s="142"/>
      <c r="W162" s="142"/>
      <c r="X162" s="142"/>
      <c r="Y162" s="142"/>
      <c r="Z162" s="142"/>
      <c r="AA162" s="131"/>
      <c r="AB162" s="142"/>
      <c r="AC162" s="142"/>
      <c r="AD162" s="142"/>
      <c r="AE162" s="142"/>
      <c r="AF162" s="142"/>
      <c r="AG162" s="142"/>
      <c r="AH162" s="142"/>
      <c r="AI162" s="142"/>
      <c r="AJ162" s="142"/>
      <c r="AK162" s="142"/>
      <c r="AL162" s="142"/>
      <c r="AM162" s="142"/>
      <c r="AN162" s="142"/>
      <c r="AO162" s="142"/>
      <c r="AP162" s="142"/>
    </row>
    <row r="163" ht="13.5" customHeight="1">
      <c r="A163" s="142"/>
      <c r="B163" s="142"/>
      <c r="C163" s="142"/>
      <c r="D163" s="142"/>
      <c r="E163" s="132"/>
      <c r="F163" s="131"/>
      <c r="G163" s="131"/>
      <c r="H163" s="131"/>
      <c r="I163" s="131"/>
      <c r="J163" s="131"/>
      <c r="K163" s="131"/>
      <c r="L163" s="131"/>
      <c r="M163" s="131"/>
      <c r="N163" s="131"/>
      <c r="O163" s="142"/>
      <c r="P163" s="142"/>
      <c r="Q163" s="142"/>
      <c r="R163" s="142"/>
      <c r="S163" s="142"/>
      <c r="T163" s="142"/>
      <c r="U163" s="142"/>
      <c r="V163" s="142"/>
      <c r="W163" s="142"/>
      <c r="X163" s="142"/>
      <c r="Y163" s="142"/>
      <c r="Z163" s="142"/>
      <c r="AA163" s="131"/>
      <c r="AB163" s="142"/>
      <c r="AC163" s="142"/>
      <c r="AD163" s="142"/>
      <c r="AE163" s="142"/>
      <c r="AF163" s="142"/>
      <c r="AG163" s="142"/>
      <c r="AH163" s="142"/>
      <c r="AI163" s="142"/>
      <c r="AJ163" s="142"/>
      <c r="AK163" s="142"/>
      <c r="AL163" s="142"/>
      <c r="AM163" s="142"/>
      <c r="AN163" s="142"/>
      <c r="AO163" s="142"/>
      <c r="AP163" s="142"/>
    </row>
    <row r="164" ht="13.5" customHeight="1">
      <c r="A164" s="142"/>
      <c r="B164" s="142"/>
      <c r="C164" s="142"/>
      <c r="D164" s="142"/>
      <c r="E164" s="132"/>
      <c r="F164" s="131"/>
      <c r="G164" s="131"/>
      <c r="H164" s="131"/>
      <c r="I164" s="131"/>
      <c r="J164" s="131"/>
      <c r="K164" s="131"/>
      <c r="L164" s="131"/>
      <c r="M164" s="131"/>
      <c r="N164" s="131"/>
      <c r="O164" s="142"/>
      <c r="P164" s="142"/>
      <c r="Q164" s="142"/>
      <c r="R164" s="142"/>
      <c r="S164" s="142"/>
      <c r="T164" s="142"/>
      <c r="U164" s="142"/>
      <c r="V164" s="142"/>
      <c r="W164" s="142"/>
      <c r="X164" s="142"/>
      <c r="Y164" s="142"/>
      <c r="Z164" s="142"/>
      <c r="AA164" s="131"/>
      <c r="AB164" s="142"/>
      <c r="AC164" s="142"/>
      <c r="AD164" s="142"/>
      <c r="AE164" s="142"/>
      <c r="AF164" s="142"/>
      <c r="AG164" s="142"/>
      <c r="AH164" s="142"/>
      <c r="AI164" s="142"/>
      <c r="AJ164" s="142"/>
      <c r="AK164" s="142"/>
      <c r="AL164" s="142"/>
      <c r="AM164" s="142"/>
      <c r="AN164" s="142"/>
      <c r="AO164" s="142"/>
      <c r="AP164" s="142"/>
    </row>
    <row r="165" ht="13.5" customHeight="1">
      <c r="A165" s="142"/>
      <c r="B165" s="142"/>
      <c r="C165" s="142"/>
      <c r="D165" s="142"/>
      <c r="E165" s="132"/>
      <c r="F165" s="131"/>
      <c r="G165" s="131"/>
      <c r="H165" s="131"/>
      <c r="I165" s="131"/>
      <c r="J165" s="131"/>
      <c r="K165" s="131"/>
      <c r="L165" s="131"/>
      <c r="M165" s="131"/>
      <c r="N165" s="131"/>
      <c r="O165" s="142"/>
      <c r="P165" s="142"/>
      <c r="Q165" s="142"/>
      <c r="R165" s="142"/>
      <c r="S165" s="142"/>
      <c r="T165" s="142"/>
      <c r="U165" s="142"/>
      <c r="V165" s="142"/>
      <c r="W165" s="142"/>
      <c r="X165" s="142"/>
      <c r="Y165" s="142"/>
      <c r="Z165" s="142"/>
      <c r="AA165" s="131"/>
      <c r="AB165" s="142"/>
      <c r="AC165" s="142"/>
      <c r="AD165" s="142"/>
      <c r="AE165" s="142"/>
      <c r="AF165" s="142"/>
      <c r="AG165" s="142"/>
      <c r="AH165" s="142"/>
      <c r="AI165" s="142"/>
      <c r="AJ165" s="142"/>
      <c r="AK165" s="142"/>
      <c r="AL165" s="142"/>
      <c r="AM165" s="142"/>
      <c r="AN165" s="142"/>
      <c r="AO165" s="142"/>
      <c r="AP165" s="142"/>
    </row>
    <row r="166" ht="13.5" customHeight="1">
      <c r="A166" s="142"/>
      <c r="B166" s="142"/>
      <c r="C166" s="142"/>
      <c r="D166" s="142"/>
      <c r="E166" s="132"/>
      <c r="F166" s="131"/>
      <c r="G166" s="131"/>
      <c r="H166" s="131"/>
      <c r="I166" s="131"/>
      <c r="J166" s="131"/>
      <c r="K166" s="131"/>
      <c r="L166" s="131"/>
      <c r="M166" s="131"/>
      <c r="N166" s="131"/>
      <c r="O166" s="142"/>
      <c r="P166" s="142"/>
      <c r="Q166" s="142"/>
      <c r="R166" s="142"/>
      <c r="S166" s="142"/>
      <c r="T166" s="142"/>
      <c r="U166" s="142"/>
      <c r="V166" s="142"/>
      <c r="W166" s="142"/>
      <c r="X166" s="142"/>
      <c r="Y166" s="142"/>
      <c r="Z166" s="142"/>
      <c r="AA166" s="131"/>
      <c r="AB166" s="142"/>
      <c r="AC166" s="142"/>
      <c r="AD166" s="142"/>
      <c r="AE166" s="142"/>
      <c r="AF166" s="142"/>
      <c r="AG166" s="142"/>
      <c r="AH166" s="142"/>
      <c r="AI166" s="142"/>
      <c r="AJ166" s="142"/>
      <c r="AK166" s="142"/>
      <c r="AL166" s="142"/>
      <c r="AM166" s="142"/>
      <c r="AN166" s="142"/>
      <c r="AO166" s="142"/>
      <c r="AP166" s="142"/>
    </row>
    <row r="167" ht="13.5" customHeight="1">
      <c r="A167" s="142"/>
      <c r="B167" s="142"/>
      <c r="C167" s="142"/>
      <c r="D167" s="142"/>
      <c r="E167" s="132"/>
      <c r="F167" s="131"/>
      <c r="G167" s="131"/>
      <c r="H167" s="131"/>
      <c r="I167" s="131"/>
      <c r="J167" s="131"/>
      <c r="K167" s="131"/>
      <c r="L167" s="131"/>
      <c r="M167" s="131"/>
      <c r="N167" s="131"/>
      <c r="O167" s="142"/>
      <c r="P167" s="142"/>
      <c r="Q167" s="142"/>
      <c r="R167" s="142"/>
      <c r="S167" s="142"/>
      <c r="T167" s="142"/>
      <c r="U167" s="142"/>
      <c r="V167" s="142"/>
      <c r="W167" s="142"/>
      <c r="X167" s="142"/>
      <c r="Y167" s="142"/>
      <c r="Z167" s="142"/>
      <c r="AA167" s="131"/>
      <c r="AB167" s="142"/>
      <c r="AC167" s="142"/>
      <c r="AD167" s="142"/>
      <c r="AE167" s="142"/>
      <c r="AF167" s="142"/>
      <c r="AG167" s="142"/>
      <c r="AH167" s="142"/>
      <c r="AI167" s="142"/>
      <c r="AJ167" s="142"/>
      <c r="AK167" s="142"/>
      <c r="AL167" s="142"/>
      <c r="AM167" s="142"/>
      <c r="AN167" s="142"/>
      <c r="AO167" s="142"/>
      <c r="AP167" s="142"/>
    </row>
    <row r="168" ht="13.5" customHeight="1">
      <c r="A168" s="142"/>
      <c r="B168" s="142"/>
      <c r="C168" s="142"/>
      <c r="D168" s="142"/>
      <c r="E168" s="132"/>
      <c r="F168" s="131"/>
      <c r="G168" s="131"/>
      <c r="H168" s="131"/>
      <c r="I168" s="131"/>
      <c r="J168" s="131"/>
      <c r="K168" s="131"/>
      <c r="L168" s="131"/>
      <c r="M168" s="131"/>
      <c r="N168" s="131"/>
      <c r="O168" s="142"/>
      <c r="P168" s="142"/>
      <c r="Q168" s="142"/>
      <c r="R168" s="142"/>
      <c r="S168" s="142"/>
      <c r="T168" s="142"/>
      <c r="U168" s="142"/>
      <c r="V168" s="142"/>
      <c r="W168" s="142"/>
      <c r="X168" s="142"/>
      <c r="Y168" s="142"/>
      <c r="Z168" s="142"/>
      <c r="AA168" s="131"/>
      <c r="AB168" s="142"/>
      <c r="AC168" s="142"/>
      <c r="AD168" s="142"/>
      <c r="AE168" s="142"/>
      <c r="AF168" s="142"/>
      <c r="AG168" s="142"/>
      <c r="AH168" s="142"/>
      <c r="AI168" s="142"/>
      <c r="AJ168" s="142"/>
      <c r="AK168" s="142"/>
      <c r="AL168" s="142"/>
      <c r="AM168" s="142"/>
      <c r="AN168" s="142"/>
      <c r="AO168" s="142"/>
      <c r="AP168" s="142"/>
    </row>
    <row r="169" ht="13.5" customHeight="1">
      <c r="A169" s="142"/>
      <c r="B169" s="142"/>
      <c r="C169" s="142"/>
      <c r="D169" s="142"/>
      <c r="E169" s="132"/>
      <c r="F169" s="131"/>
      <c r="G169" s="131"/>
      <c r="H169" s="131"/>
      <c r="I169" s="131"/>
      <c r="J169" s="131"/>
      <c r="K169" s="131"/>
      <c r="L169" s="131"/>
      <c r="M169" s="131"/>
      <c r="N169" s="131"/>
      <c r="O169" s="142"/>
      <c r="P169" s="142"/>
      <c r="Q169" s="142"/>
      <c r="R169" s="142"/>
      <c r="S169" s="142"/>
      <c r="T169" s="142"/>
      <c r="U169" s="142"/>
      <c r="V169" s="142"/>
      <c r="W169" s="142"/>
      <c r="X169" s="142"/>
      <c r="Y169" s="142"/>
      <c r="Z169" s="142"/>
      <c r="AA169" s="131"/>
      <c r="AB169" s="142"/>
      <c r="AC169" s="142"/>
      <c r="AD169" s="142"/>
      <c r="AE169" s="142"/>
      <c r="AF169" s="142"/>
      <c r="AG169" s="142"/>
      <c r="AH169" s="142"/>
      <c r="AI169" s="142"/>
      <c r="AJ169" s="142"/>
      <c r="AK169" s="142"/>
      <c r="AL169" s="142"/>
      <c r="AM169" s="142"/>
      <c r="AN169" s="142"/>
      <c r="AO169" s="142"/>
      <c r="AP169" s="142"/>
    </row>
    <row r="170" ht="13.5" customHeight="1">
      <c r="A170" s="142"/>
      <c r="B170" s="142"/>
      <c r="C170" s="142"/>
      <c r="D170" s="142"/>
      <c r="E170" s="132"/>
      <c r="F170" s="131"/>
      <c r="G170" s="131"/>
      <c r="H170" s="131"/>
      <c r="I170" s="131"/>
      <c r="J170" s="131"/>
      <c r="K170" s="131"/>
      <c r="L170" s="131"/>
      <c r="M170" s="131"/>
      <c r="N170" s="131"/>
      <c r="O170" s="142"/>
      <c r="P170" s="142"/>
      <c r="Q170" s="142"/>
      <c r="R170" s="142"/>
      <c r="S170" s="142"/>
      <c r="T170" s="142"/>
      <c r="U170" s="142"/>
      <c r="V170" s="142"/>
      <c r="W170" s="142"/>
      <c r="X170" s="142"/>
      <c r="Y170" s="142"/>
      <c r="Z170" s="142"/>
      <c r="AA170" s="131"/>
      <c r="AB170" s="142"/>
      <c r="AC170" s="142"/>
      <c r="AD170" s="142"/>
      <c r="AE170" s="142"/>
      <c r="AF170" s="142"/>
      <c r="AG170" s="142"/>
      <c r="AH170" s="142"/>
      <c r="AI170" s="142"/>
      <c r="AJ170" s="142"/>
      <c r="AK170" s="142"/>
      <c r="AL170" s="142"/>
      <c r="AM170" s="142"/>
      <c r="AN170" s="142"/>
      <c r="AO170" s="142"/>
      <c r="AP170" s="142"/>
    </row>
    <row r="171" ht="13.5" customHeight="1">
      <c r="A171" s="142"/>
      <c r="B171" s="142"/>
      <c r="C171" s="142"/>
      <c r="D171" s="142"/>
      <c r="E171" s="132"/>
      <c r="F171" s="131"/>
      <c r="G171" s="131"/>
      <c r="H171" s="131"/>
      <c r="I171" s="131"/>
      <c r="J171" s="131"/>
      <c r="K171" s="131"/>
      <c r="L171" s="131"/>
      <c r="M171" s="131"/>
      <c r="N171" s="131"/>
      <c r="O171" s="142"/>
      <c r="P171" s="142"/>
      <c r="Q171" s="142"/>
      <c r="R171" s="142"/>
      <c r="S171" s="142"/>
      <c r="T171" s="142"/>
      <c r="U171" s="142"/>
      <c r="V171" s="142"/>
      <c r="W171" s="142"/>
      <c r="X171" s="142"/>
      <c r="Y171" s="142"/>
      <c r="Z171" s="142"/>
      <c r="AA171" s="131"/>
      <c r="AB171" s="142"/>
      <c r="AC171" s="142"/>
      <c r="AD171" s="142"/>
      <c r="AE171" s="142"/>
      <c r="AF171" s="142"/>
      <c r="AG171" s="142"/>
      <c r="AH171" s="142"/>
      <c r="AI171" s="142"/>
      <c r="AJ171" s="142"/>
      <c r="AK171" s="142"/>
      <c r="AL171" s="142"/>
      <c r="AM171" s="142"/>
      <c r="AN171" s="142"/>
      <c r="AO171" s="142"/>
      <c r="AP171" s="142"/>
    </row>
    <row r="172" ht="13.5" customHeight="1">
      <c r="A172" s="142"/>
      <c r="B172" s="142"/>
      <c r="C172" s="142"/>
      <c r="D172" s="142"/>
      <c r="E172" s="132"/>
      <c r="F172" s="131"/>
      <c r="G172" s="131"/>
      <c r="H172" s="131"/>
      <c r="I172" s="131"/>
      <c r="J172" s="131"/>
      <c r="K172" s="131"/>
      <c r="L172" s="131"/>
      <c r="M172" s="131"/>
      <c r="N172" s="131"/>
      <c r="O172" s="142"/>
      <c r="P172" s="142"/>
      <c r="Q172" s="142"/>
      <c r="R172" s="142"/>
      <c r="S172" s="142"/>
      <c r="T172" s="142"/>
      <c r="U172" s="142"/>
      <c r="V172" s="142"/>
      <c r="W172" s="142"/>
      <c r="X172" s="142"/>
      <c r="Y172" s="142"/>
      <c r="Z172" s="142"/>
      <c r="AA172" s="131"/>
      <c r="AB172" s="142"/>
      <c r="AC172" s="142"/>
      <c r="AD172" s="142"/>
      <c r="AE172" s="142"/>
      <c r="AF172" s="142"/>
      <c r="AG172" s="142"/>
      <c r="AH172" s="142"/>
      <c r="AI172" s="142"/>
      <c r="AJ172" s="142"/>
      <c r="AK172" s="142"/>
      <c r="AL172" s="142"/>
      <c r="AM172" s="142"/>
      <c r="AN172" s="142"/>
      <c r="AO172" s="142"/>
      <c r="AP172" s="142"/>
    </row>
    <row r="173" ht="13.5" customHeight="1">
      <c r="A173" s="142"/>
      <c r="B173" s="142"/>
      <c r="C173" s="142"/>
      <c r="D173" s="142"/>
      <c r="E173" s="132"/>
      <c r="F173" s="131"/>
      <c r="G173" s="131"/>
      <c r="H173" s="131"/>
      <c r="I173" s="131"/>
      <c r="J173" s="131"/>
      <c r="K173" s="131"/>
      <c r="L173" s="131"/>
      <c r="M173" s="131"/>
      <c r="N173" s="131"/>
      <c r="O173" s="142"/>
      <c r="P173" s="142"/>
      <c r="Q173" s="142"/>
      <c r="R173" s="142"/>
      <c r="S173" s="142"/>
      <c r="T173" s="142"/>
      <c r="U173" s="142"/>
      <c r="V173" s="142"/>
      <c r="W173" s="142"/>
      <c r="X173" s="142"/>
      <c r="Y173" s="142"/>
      <c r="Z173" s="142"/>
      <c r="AA173" s="131"/>
      <c r="AB173" s="142"/>
      <c r="AC173" s="142"/>
      <c r="AD173" s="142"/>
      <c r="AE173" s="142"/>
      <c r="AF173" s="142"/>
      <c r="AG173" s="142"/>
      <c r="AH173" s="142"/>
      <c r="AI173" s="142"/>
      <c r="AJ173" s="142"/>
      <c r="AK173" s="142"/>
      <c r="AL173" s="142"/>
      <c r="AM173" s="142"/>
      <c r="AN173" s="142"/>
      <c r="AO173" s="142"/>
      <c r="AP173" s="142"/>
    </row>
    <row r="174" ht="13.5" customHeight="1">
      <c r="A174" s="142"/>
      <c r="B174" s="142"/>
      <c r="C174" s="142"/>
      <c r="D174" s="142"/>
      <c r="E174" s="132"/>
      <c r="F174" s="131"/>
      <c r="G174" s="131"/>
      <c r="H174" s="131"/>
      <c r="I174" s="131"/>
      <c r="J174" s="131"/>
      <c r="K174" s="131"/>
      <c r="L174" s="131"/>
      <c r="M174" s="131"/>
      <c r="N174" s="131"/>
      <c r="O174" s="142"/>
      <c r="P174" s="142"/>
      <c r="Q174" s="142"/>
      <c r="R174" s="142"/>
      <c r="S174" s="142"/>
      <c r="T174" s="142"/>
      <c r="U174" s="142"/>
      <c r="V174" s="142"/>
      <c r="W174" s="142"/>
      <c r="X174" s="142"/>
      <c r="Y174" s="142"/>
      <c r="Z174" s="142"/>
      <c r="AA174" s="131"/>
      <c r="AB174" s="142"/>
      <c r="AC174" s="142"/>
      <c r="AD174" s="142"/>
      <c r="AE174" s="142"/>
      <c r="AF174" s="142"/>
      <c r="AG174" s="142"/>
      <c r="AH174" s="142"/>
      <c r="AI174" s="142"/>
      <c r="AJ174" s="142"/>
      <c r="AK174" s="142"/>
      <c r="AL174" s="142"/>
      <c r="AM174" s="142"/>
      <c r="AN174" s="142"/>
      <c r="AO174" s="142"/>
      <c r="AP174" s="142"/>
    </row>
    <row r="175" ht="13.5" customHeight="1">
      <c r="A175" s="142"/>
      <c r="B175" s="142"/>
      <c r="C175" s="142"/>
      <c r="D175" s="142"/>
      <c r="E175" s="132"/>
      <c r="F175" s="131"/>
      <c r="G175" s="131"/>
      <c r="H175" s="131"/>
      <c r="I175" s="131"/>
      <c r="J175" s="131"/>
      <c r="K175" s="131"/>
      <c r="L175" s="131"/>
      <c r="M175" s="131"/>
      <c r="N175" s="131"/>
      <c r="O175" s="142"/>
      <c r="P175" s="142"/>
      <c r="Q175" s="142"/>
      <c r="R175" s="142"/>
      <c r="S175" s="142"/>
      <c r="T175" s="142"/>
      <c r="U175" s="142"/>
      <c r="V175" s="142"/>
      <c r="W175" s="142"/>
      <c r="X175" s="142"/>
      <c r="Y175" s="142"/>
      <c r="Z175" s="142"/>
      <c r="AA175" s="131"/>
      <c r="AB175" s="142"/>
      <c r="AC175" s="142"/>
      <c r="AD175" s="142"/>
      <c r="AE175" s="142"/>
      <c r="AF175" s="142"/>
      <c r="AG175" s="142"/>
      <c r="AH175" s="142"/>
      <c r="AI175" s="142"/>
      <c r="AJ175" s="142"/>
      <c r="AK175" s="142"/>
      <c r="AL175" s="142"/>
      <c r="AM175" s="142"/>
      <c r="AN175" s="142"/>
      <c r="AO175" s="142"/>
      <c r="AP175" s="142"/>
    </row>
    <row r="176" ht="13.5" customHeight="1">
      <c r="A176" s="142"/>
      <c r="B176" s="142"/>
      <c r="C176" s="142"/>
      <c r="D176" s="142"/>
      <c r="E176" s="132"/>
      <c r="F176" s="131"/>
      <c r="G176" s="131"/>
      <c r="H176" s="131"/>
      <c r="I176" s="131"/>
      <c r="J176" s="131"/>
      <c r="K176" s="131"/>
      <c r="L176" s="131"/>
      <c r="M176" s="131"/>
      <c r="N176" s="131"/>
      <c r="O176" s="142"/>
      <c r="P176" s="142"/>
      <c r="Q176" s="142"/>
      <c r="R176" s="142"/>
      <c r="S176" s="142"/>
      <c r="T176" s="142"/>
      <c r="U176" s="142"/>
      <c r="V176" s="142"/>
      <c r="W176" s="142"/>
      <c r="X176" s="142"/>
      <c r="Y176" s="142"/>
      <c r="Z176" s="142"/>
      <c r="AA176" s="131"/>
      <c r="AB176" s="142"/>
      <c r="AC176" s="142"/>
      <c r="AD176" s="142"/>
      <c r="AE176" s="142"/>
      <c r="AF176" s="142"/>
      <c r="AG176" s="142"/>
      <c r="AH176" s="142"/>
      <c r="AI176" s="142"/>
      <c r="AJ176" s="142"/>
      <c r="AK176" s="142"/>
      <c r="AL176" s="142"/>
      <c r="AM176" s="142"/>
      <c r="AN176" s="142"/>
      <c r="AO176" s="142"/>
      <c r="AP176" s="142"/>
    </row>
    <row r="177" ht="13.5" customHeight="1">
      <c r="A177" s="142"/>
      <c r="B177" s="142"/>
      <c r="C177" s="142"/>
      <c r="D177" s="142"/>
      <c r="E177" s="132"/>
      <c r="F177" s="131"/>
      <c r="G177" s="131"/>
      <c r="H177" s="131"/>
      <c r="I177" s="131"/>
      <c r="J177" s="131"/>
      <c r="K177" s="131"/>
      <c r="L177" s="131"/>
      <c r="M177" s="131"/>
      <c r="N177" s="131"/>
      <c r="O177" s="142"/>
      <c r="P177" s="142"/>
      <c r="Q177" s="142"/>
      <c r="R177" s="142"/>
      <c r="S177" s="142"/>
      <c r="T177" s="142"/>
      <c r="U177" s="142"/>
      <c r="V177" s="142"/>
      <c r="W177" s="142"/>
      <c r="X177" s="142"/>
      <c r="Y177" s="142"/>
      <c r="Z177" s="142"/>
      <c r="AA177" s="131"/>
      <c r="AB177" s="142"/>
      <c r="AC177" s="142"/>
      <c r="AD177" s="142"/>
      <c r="AE177" s="142"/>
      <c r="AF177" s="142"/>
      <c r="AG177" s="142"/>
      <c r="AH177" s="142"/>
      <c r="AI177" s="142"/>
      <c r="AJ177" s="142"/>
      <c r="AK177" s="142"/>
      <c r="AL177" s="142"/>
      <c r="AM177" s="142"/>
      <c r="AN177" s="142"/>
      <c r="AO177" s="142"/>
      <c r="AP177" s="142"/>
    </row>
    <row r="178" ht="13.5" customHeight="1">
      <c r="A178" s="142"/>
      <c r="B178" s="142"/>
      <c r="C178" s="142"/>
      <c r="D178" s="142"/>
      <c r="E178" s="132"/>
      <c r="F178" s="131"/>
      <c r="G178" s="131"/>
      <c r="H178" s="131"/>
      <c r="I178" s="131"/>
      <c r="J178" s="131"/>
      <c r="K178" s="131"/>
      <c r="L178" s="131"/>
      <c r="M178" s="131"/>
      <c r="N178" s="131"/>
      <c r="O178" s="142"/>
      <c r="P178" s="142"/>
      <c r="Q178" s="142"/>
      <c r="R178" s="142"/>
      <c r="S178" s="142"/>
      <c r="T178" s="142"/>
      <c r="U178" s="142"/>
      <c r="V178" s="142"/>
      <c r="W178" s="142"/>
      <c r="X178" s="142"/>
      <c r="Y178" s="142"/>
      <c r="Z178" s="142"/>
      <c r="AA178" s="131"/>
      <c r="AB178" s="142"/>
      <c r="AC178" s="142"/>
      <c r="AD178" s="142"/>
      <c r="AE178" s="142"/>
      <c r="AF178" s="142"/>
      <c r="AG178" s="142"/>
      <c r="AH178" s="142"/>
      <c r="AI178" s="142"/>
      <c r="AJ178" s="142"/>
      <c r="AK178" s="142"/>
      <c r="AL178" s="142"/>
      <c r="AM178" s="142"/>
      <c r="AN178" s="142"/>
      <c r="AO178" s="142"/>
      <c r="AP178" s="142"/>
    </row>
    <row r="179" ht="13.5" customHeight="1">
      <c r="A179" s="142"/>
      <c r="B179" s="142"/>
      <c r="C179" s="142"/>
      <c r="D179" s="142"/>
      <c r="E179" s="132"/>
      <c r="F179" s="131"/>
      <c r="G179" s="131"/>
      <c r="H179" s="131"/>
      <c r="I179" s="131"/>
      <c r="J179" s="131"/>
      <c r="K179" s="131"/>
      <c r="L179" s="131"/>
      <c r="M179" s="131"/>
      <c r="N179" s="131"/>
      <c r="O179" s="142"/>
      <c r="P179" s="142"/>
      <c r="Q179" s="142"/>
      <c r="R179" s="142"/>
      <c r="S179" s="142"/>
      <c r="T179" s="142"/>
      <c r="U179" s="142"/>
      <c r="V179" s="142"/>
      <c r="W179" s="142"/>
      <c r="X179" s="142"/>
      <c r="Y179" s="142"/>
      <c r="Z179" s="142"/>
      <c r="AA179" s="131"/>
      <c r="AB179" s="142"/>
      <c r="AC179" s="142"/>
      <c r="AD179" s="142"/>
      <c r="AE179" s="142"/>
      <c r="AF179" s="142"/>
      <c r="AG179" s="142"/>
      <c r="AH179" s="142"/>
      <c r="AI179" s="142"/>
      <c r="AJ179" s="142"/>
      <c r="AK179" s="142"/>
      <c r="AL179" s="142"/>
      <c r="AM179" s="142"/>
      <c r="AN179" s="142"/>
      <c r="AO179" s="142"/>
      <c r="AP179" s="142"/>
    </row>
    <row r="180" ht="13.5" customHeight="1">
      <c r="A180" s="142"/>
      <c r="B180" s="142"/>
      <c r="C180" s="142"/>
      <c r="D180" s="142"/>
      <c r="E180" s="132"/>
      <c r="F180" s="131"/>
      <c r="G180" s="131"/>
      <c r="H180" s="131"/>
      <c r="I180" s="131"/>
      <c r="J180" s="131"/>
      <c r="K180" s="131"/>
      <c r="L180" s="131"/>
      <c r="M180" s="131"/>
      <c r="N180" s="131"/>
      <c r="O180" s="142"/>
      <c r="P180" s="142"/>
      <c r="Q180" s="142"/>
      <c r="R180" s="142"/>
      <c r="S180" s="142"/>
      <c r="T180" s="142"/>
      <c r="U180" s="142"/>
      <c r="V180" s="142"/>
      <c r="W180" s="142"/>
      <c r="X180" s="142"/>
      <c r="Y180" s="142"/>
      <c r="Z180" s="142"/>
      <c r="AA180" s="131"/>
      <c r="AB180" s="142"/>
      <c r="AC180" s="142"/>
      <c r="AD180" s="142"/>
      <c r="AE180" s="142"/>
      <c r="AF180" s="142"/>
      <c r="AG180" s="142"/>
      <c r="AH180" s="142"/>
      <c r="AI180" s="142"/>
      <c r="AJ180" s="142"/>
      <c r="AK180" s="142"/>
      <c r="AL180" s="142"/>
      <c r="AM180" s="142"/>
      <c r="AN180" s="142"/>
      <c r="AO180" s="142"/>
      <c r="AP180" s="142"/>
    </row>
    <row r="181" ht="13.5" customHeight="1">
      <c r="A181" s="142"/>
      <c r="B181" s="142"/>
      <c r="C181" s="142"/>
      <c r="D181" s="142"/>
      <c r="E181" s="132"/>
      <c r="F181" s="131"/>
      <c r="G181" s="131"/>
      <c r="H181" s="131"/>
      <c r="I181" s="131"/>
      <c r="J181" s="131"/>
      <c r="K181" s="131"/>
      <c r="L181" s="131"/>
      <c r="M181" s="131"/>
      <c r="N181" s="131"/>
      <c r="O181" s="142"/>
      <c r="P181" s="142"/>
      <c r="Q181" s="142"/>
      <c r="R181" s="142"/>
      <c r="S181" s="142"/>
      <c r="T181" s="142"/>
      <c r="U181" s="142"/>
      <c r="V181" s="142"/>
      <c r="W181" s="142"/>
      <c r="X181" s="142"/>
      <c r="Y181" s="142"/>
      <c r="Z181" s="142"/>
      <c r="AA181" s="131"/>
      <c r="AB181" s="142"/>
      <c r="AC181" s="142"/>
      <c r="AD181" s="142"/>
      <c r="AE181" s="142"/>
      <c r="AF181" s="142"/>
      <c r="AG181" s="142"/>
      <c r="AH181" s="142"/>
      <c r="AI181" s="142"/>
      <c r="AJ181" s="142"/>
      <c r="AK181" s="142"/>
      <c r="AL181" s="142"/>
      <c r="AM181" s="142"/>
      <c r="AN181" s="142"/>
      <c r="AO181" s="142"/>
      <c r="AP181" s="142"/>
    </row>
    <row r="182" ht="13.5" customHeight="1">
      <c r="A182" s="142"/>
      <c r="B182" s="142"/>
      <c r="C182" s="142"/>
      <c r="D182" s="142"/>
      <c r="E182" s="132"/>
      <c r="F182" s="131"/>
      <c r="G182" s="131"/>
      <c r="H182" s="131"/>
      <c r="I182" s="131"/>
      <c r="J182" s="131"/>
      <c r="K182" s="131"/>
      <c r="L182" s="131"/>
      <c r="M182" s="131"/>
      <c r="N182" s="131"/>
      <c r="O182" s="142"/>
      <c r="P182" s="142"/>
      <c r="Q182" s="142"/>
      <c r="R182" s="142"/>
      <c r="S182" s="142"/>
      <c r="T182" s="142"/>
      <c r="U182" s="142"/>
      <c r="V182" s="142"/>
      <c r="W182" s="142"/>
      <c r="X182" s="142"/>
      <c r="Y182" s="142"/>
      <c r="Z182" s="142"/>
      <c r="AA182" s="131"/>
      <c r="AB182" s="142"/>
      <c r="AC182" s="142"/>
      <c r="AD182" s="142"/>
      <c r="AE182" s="142"/>
      <c r="AF182" s="142"/>
      <c r="AG182" s="142"/>
      <c r="AH182" s="142"/>
      <c r="AI182" s="142"/>
      <c r="AJ182" s="142"/>
      <c r="AK182" s="142"/>
      <c r="AL182" s="142"/>
      <c r="AM182" s="142"/>
      <c r="AN182" s="142"/>
      <c r="AO182" s="142"/>
      <c r="AP182" s="142"/>
    </row>
    <row r="183" ht="13.5" customHeight="1">
      <c r="A183" s="142"/>
      <c r="B183" s="142"/>
      <c r="C183" s="142"/>
      <c r="D183" s="142"/>
      <c r="E183" s="132"/>
      <c r="F183" s="131"/>
      <c r="G183" s="131"/>
      <c r="H183" s="131"/>
      <c r="I183" s="131"/>
      <c r="J183" s="131"/>
      <c r="K183" s="131"/>
      <c r="L183" s="131"/>
      <c r="M183" s="131"/>
      <c r="N183" s="131"/>
      <c r="O183" s="142"/>
      <c r="P183" s="142"/>
      <c r="Q183" s="142"/>
      <c r="R183" s="142"/>
      <c r="S183" s="142"/>
      <c r="T183" s="142"/>
      <c r="U183" s="142"/>
      <c r="V183" s="142"/>
      <c r="W183" s="142"/>
      <c r="X183" s="142"/>
      <c r="Y183" s="142"/>
      <c r="Z183" s="142"/>
      <c r="AA183" s="131"/>
      <c r="AB183" s="142"/>
      <c r="AC183" s="142"/>
      <c r="AD183" s="142"/>
      <c r="AE183" s="142"/>
      <c r="AF183" s="142"/>
      <c r="AG183" s="142"/>
      <c r="AH183" s="142"/>
      <c r="AI183" s="142"/>
      <c r="AJ183" s="142"/>
      <c r="AK183" s="142"/>
      <c r="AL183" s="142"/>
      <c r="AM183" s="142"/>
      <c r="AN183" s="142"/>
      <c r="AO183" s="142"/>
      <c r="AP183" s="142"/>
    </row>
    <row r="184" ht="13.5" customHeight="1">
      <c r="A184" s="142"/>
      <c r="B184" s="142"/>
      <c r="C184" s="142"/>
      <c r="D184" s="142"/>
      <c r="E184" s="132"/>
      <c r="F184" s="131"/>
      <c r="G184" s="131"/>
      <c r="H184" s="131"/>
      <c r="I184" s="131"/>
      <c r="J184" s="131"/>
      <c r="K184" s="131"/>
      <c r="L184" s="131"/>
      <c r="M184" s="131"/>
      <c r="N184" s="131"/>
      <c r="O184" s="142"/>
      <c r="P184" s="142"/>
      <c r="Q184" s="142"/>
      <c r="R184" s="142"/>
      <c r="S184" s="142"/>
      <c r="T184" s="142"/>
      <c r="U184" s="142"/>
      <c r="V184" s="142"/>
      <c r="W184" s="142"/>
      <c r="X184" s="142"/>
      <c r="Y184" s="142"/>
      <c r="Z184" s="142"/>
      <c r="AA184" s="131"/>
      <c r="AB184" s="142"/>
      <c r="AC184" s="142"/>
      <c r="AD184" s="142"/>
      <c r="AE184" s="142"/>
      <c r="AF184" s="142"/>
      <c r="AG184" s="142"/>
      <c r="AH184" s="142"/>
      <c r="AI184" s="142"/>
      <c r="AJ184" s="142"/>
      <c r="AK184" s="142"/>
      <c r="AL184" s="142"/>
      <c r="AM184" s="142"/>
      <c r="AN184" s="142"/>
      <c r="AO184" s="142"/>
      <c r="AP184" s="142"/>
    </row>
    <row r="185" ht="13.5" customHeight="1">
      <c r="A185" s="142"/>
      <c r="B185" s="142"/>
      <c r="C185" s="142"/>
      <c r="D185" s="142"/>
      <c r="E185" s="132"/>
      <c r="F185" s="131"/>
      <c r="G185" s="131"/>
      <c r="H185" s="131"/>
      <c r="I185" s="131"/>
      <c r="J185" s="131"/>
      <c r="K185" s="131"/>
      <c r="L185" s="131"/>
      <c r="M185" s="131"/>
      <c r="N185" s="131"/>
      <c r="O185" s="142"/>
      <c r="P185" s="142"/>
      <c r="Q185" s="142"/>
      <c r="R185" s="142"/>
      <c r="S185" s="142"/>
      <c r="T185" s="142"/>
      <c r="U185" s="142"/>
      <c r="V185" s="142"/>
      <c r="W185" s="142"/>
      <c r="X185" s="142"/>
      <c r="Y185" s="142"/>
      <c r="Z185" s="142"/>
      <c r="AA185" s="131"/>
      <c r="AB185" s="142"/>
      <c r="AC185" s="142"/>
      <c r="AD185" s="142"/>
      <c r="AE185" s="142"/>
      <c r="AF185" s="142"/>
      <c r="AG185" s="142"/>
      <c r="AH185" s="142"/>
      <c r="AI185" s="142"/>
      <c r="AJ185" s="142"/>
      <c r="AK185" s="142"/>
      <c r="AL185" s="142"/>
      <c r="AM185" s="142"/>
      <c r="AN185" s="142"/>
      <c r="AO185" s="142"/>
      <c r="AP185" s="142"/>
    </row>
    <row r="186" ht="13.5" customHeight="1">
      <c r="A186" s="142"/>
      <c r="B186" s="142"/>
      <c r="C186" s="142"/>
      <c r="D186" s="142"/>
      <c r="E186" s="132"/>
      <c r="F186" s="131"/>
      <c r="G186" s="131"/>
      <c r="H186" s="131"/>
      <c r="I186" s="131"/>
      <c r="J186" s="131"/>
      <c r="K186" s="131"/>
      <c r="L186" s="131"/>
      <c r="M186" s="131"/>
      <c r="N186" s="131"/>
      <c r="O186" s="142"/>
      <c r="P186" s="142"/>
      <c r="Q186" s="142"/>
      <c r="R186" s="142"/>
      <c r="S186" s="142"/>
      <c r="T186" s="142"/>
      <c r="U186" s="142"/>
      <c r="V186" s="142"/>
      <c r="W186" s="142"/>
      <c r="X186" s="142"/>
      <c r="Y186" s="142"/>
      <c r="Z186" s="142"/>
      <c r="AA186" s="131"/>
      <c r="AB186" s="142"/>
      <c r="AC186" s="142"/>
      <c r="AD186" s="142"/>
      <c r="AE186" s="142"/>
      <c r="AF186" s="142"/>
      <c r="AG186" s="142"/>
      <c r="AH186" s="142"/>
      <c r="AI186" s="142"/>
      <c r="AJ186" s="142"/>
      <c r="AK186" s="142"/>
      <c r="AL186" s="142"/>
      <c r="AM186" s="142"/>
      <c r="AN186" s="142"/>
      <c r="AO186" s="142"/>
      <c r="AP186" s="142"/>
    </row>
    <row r="187" ht="13.5" customHeight="1">
      <c r="A187" s="142"/>
      <c r="B187" s="142"/>
      <c r="C187" s="142"/>
      <c r="D187" s="142"/>
      <c r="E187" s="132"/>
      <c r="F187" s="131"/>
      <c r="G187" s="131"/>
      <c r="H187" s="131"/>
      <c r="I187" s="131"/>
      <c r="J187" s="131"/>
      <c r="K187" s="131"/>
      <c r="L187" s="131"/>
      <c r="M187" s="131"/>
      <c r="N187" s="131"/>
      <c r="O187" s="142"/>
      <c r="P187" s="142"/>
      <c r="Q187" s="142"/>
      <c r="R187" s="142"/>
      <c r="S187" s="142"/>
      <c r="T187" s="142"/>
      <c r="U187" s="142"/>
      <c r="V187" s="142"/>
      <c r="W187" s="142"/>
      <c r="X187" s="142"/>
      <c r="Y187" s="142"/>
      <c r="Z187" s="142"/>
      <c r="AA187" s="131"/>
      <c r="AB187" s="142"/>
      <c r="AC187" s="142"/>
      <c r="AD187" s="142"/>
      <c r="AE187" s="142"/>
      <c r="AF187" s="142"/>
      <c r="AG187" s="142"/>
      <c r="AH187" s="142"/>
      <c r="AI187" s="142"/>
      <c r="AJ187" s="142"/>
      <c r="AK187" s="142"/>
      <c r="AL187" s="142"/>
      <c r="AM187" s="142"/>
      <c r="AN187" s="142"/>
      <c r="AO187" s="142"/>
      <c r="AP187" s="142"/>
    </row>
    <row r="188" ht="13.5" customHeight="1">
      <c r="A188" s="142"/>
      <c r="B188" s="142"/>
      <c r="C188" s="142"/>
      <c r="D188" s="142"/>
      <c r="E188" s="132"/>
      <c r="F188" s="131"/>
      <c r="G188" s="131"/>
      <c r="H188" s="131"/>
      <c r="I188" s="131"/>
      <c r="J188" s="131"/>
      <c r="K188" s="131"/>
      <c r="L188" s="131"/>
      <c r="M188" s="131"/>
      <c r="N188" s="131"/>
      <c r="O188" s="142"/>
      <c r="P188" s="142"/>
      <c r="Q188" s="142"/>
      <c r="R188" s="142"/>
      <c r="S188" s="142"/>
      <c r="T188" s="142"/>
      <c r="U188" s="142"/>
      <c r="V188" s="142"/>
      <c r="W188" s="142"/>
      <c r="X188" s="142"/>
      <c r="Y188" s="142"/>
      <c r="Z188" s="142"/>
      <c r="AA188" s="131"/>
      <c r="AB188" s="142"/>
      <c r="AC188" s="142"/>
      <c r="AD188" s="142"/>
      <c r="AE188" s="142"/>
      <c r="AF188" s="142"/>
      <c r="AG188" s="142"/>
      <c r="AH188" s="142"/>
      <c r="AI188" s="142"/>
      <c r="AJ188" s="142"/>
      <c r="AK188" s="142"/>
      <c r="AL188" s="142"/>
      <c r="AM188" s="142"/>
      <c r="AN188" s="142"/>
      <c r="AO188" s="142"/>
      <c r="AP188" s="142"/>
    </row>
    <row r="189" ht="13.5" customHeight="1">
      <c r="A189" s="142"/>
      <c r="B189" s="142"/>
      <c r="C189" s="142"/>
      <c r="D189" s="142"/>
      <c r="E189" s="132"/>
      <c r="F189" s="131"/>
      <c r="G189" s="131"/>
      <c r="H189" s="131"/>
      <c r="I189" s="131"/>
      <c r="J189" s="131"/>
      <c r="K189" s="131"/>
      <c r="L189" s="131"/>
      <c r="M189" s="131"/>
      <c r="N189" s="131"/>
      <c r="O189" s="142"/>
      <c r="P189" s="142"/>
      <c r="Q189" s="142"/>
      <c r="R189" s="142"/>
      <c r="S189" s="142"/>
      <c r="T189" s="142"/>
      <c r="U189" s="142"/>
      <c r="V189" s="142"/>
      <c r="W189" s="142"/>
      <c r="X189" s="142"/>
      <c r="Y189" s="142"/>
      <c r="Z189" s="142"/>
      <c r="AA189" s="131"/>
      <c r="AB189" s="142"/>
      <c r="AC189" s="142"/>
      <c r="AD189" s="142"/>
      <c r="AE189" s="142"/>
      <c r="AF189" s="142"/>
      <c r="AG189" s="142"/>
      <c r="AH189" s="142"/>
      <c r="AI189" s="142"/>
      <c r="AJ189" s="142"/>
      <c r="AK189" s="142"/>
      <c r="AL189" s="142"/>
      <c r="AM189" s="142"/>
      <c r="AN189" s="142"/>
      <c r="AO189" s="142"/>
      <c r="AP189" s="142"/>
    </row>
    <row r="190" ht="13.5" customHeight="1">
      <c r="A190" s="142"/>
      <c r="B190" s="142"/>
      <c r="C190" s="142"/>
      <c r="D190" s="142"/>
      <c r="E190" s="132"/>
      <c r="F190" s="131"/>
      <c r="G190" s="131"/>
      <c r="H190" s="131"/>
      <c r="I190" s="131"/>
      <c r="J190" s="131"/>
      <c r="K190" s="131"/>
      <c r="L190" s="131"/>
      <c r="M190" s="131"/>
      <c r="N190" s="131"/>
      <c r="O190" s="142"/>
      <c r="P190" s="142"/>
      <c r="Q190" s="142"/>
      <c r="R190" s="142"/>
      <c r="S190" s="142"/>
      <c r="T190" s="142"/>
      <c r="U190" s="142"/>
      <c r="V190" s="142"/>
      <c r="W190" s="142"/>
      <c r="X190" s="142"/>
      <c r="Y190" s="142"/>
      <c r="Z190" s="142"/>
      <c r="AA190" s="131"/>
      <c r="AB190" s="142"/>
      <c r="AC190" s="142"/>
      <c r="AD190" s="142"/>
      <c r="AE190" s="142"/>
      <c r="AF190" s="142"/>
      <c r="AG190" s="142"/>
      <c r="AH190" s="142"/>
      <c r="AI190" s="142"/>
      <c r="AJ190" s="142"/>
      <c r="AK190" s="142"/>
      <c r="AL190" s="142"/>
      <c r="AM190" s="142"/>
      <c r="AN190" s="142"/>
      <c r="AO190" s="142"/>
      <c r="AP190" s="142"/>
    </row>
    <row r="191" ht="13.5" customHeight="1">
      <c r="A191" s="142"/>
      <c r="B191" s="142"/>
      <c r="C191" s="142"/>
      <c r="D191" s="142"/>
      <c r="E191" s="132"/>
      <c r="F191" s="131"/>
      <c r="G191" s="131"/>
      <c r="H191" s="131"/>
      <c r="I191" s="131"/>
      <c r="J191" s="131"/>
      <c r="K191" s="131"/>
      <c r="L191" s="131"/>
      <c r="M191" s="131"/>
      <c r="N191" s="131"/>
      <c r="O191" s="142"/>
      <c r="P191" s="142"/>
      <c r="Q191" s="142"/>
      <c r="R191" s="142"/>
      <c r="S191" s="142"/>
      <c r="T191" s="142"/>
      <c r="U191" s="142"/>
      <c r="V191" s="142"/>
      <c r="W191" s="142"/>
      <c r="X191" s="142"/>
      <c r="Y191" s="142"/>
      <c r="Z191" s="142"/>
      <c r="AA191" s="131"/>
      <c r="AB191" s="142"/>
      <c r="AC191" s="142"/>
      <c r="AD191" s="142"/>
      <c r="AE191" s="142"/>
      <c r="AF191" s="142"/>
      <c r="AG191" s="142"/>
      <c r="AH191" s="142"/>
      <c r="AI191" s="142"/>
      <c r="AJ191" s="142"/>
      <c r="AK191" s="142"/>
      <c r="AL191" s="142"/>
      <c r="AM191" s="142"/>
      <c r="AN191" s="142"/>
      <c r="AO191" s="142"/>
      <c r="AP191" s="142"/>
    </row>
    <row r="192" ht="13.5" customHeight="1">
      <c r="A192" s="142"/>
      <c r="B192" s="142"/>
      <c r="C192" s="142"/>
      <c r="D192" s="142"/>
      <c r="E192" s="132"/>
      <c r="F192" s="131"/>
      <c r="G192" s="131"/>
      <c r="H192" s="131"/>
      <c r="I192" s="131"/>
      <c r="J192" s="131"/>
      <c r="K192" s="131"/>
      <c r="L192" s="131"/>
      <c r="M192" s="131"/>
      <c r="N192" s="131"/>
      <c r="O192" s="142"/>
      <c r="P192" s="142"/>
      <c r="Q192" s="142"/>
      <c r="R192" s="142"/>
      <c r="S192" s="142"/>
      <c r="T192" s="142"/>
      <c r="U192" s="142"/>
      <c r="V192" s="142"/>
      <c r="W192" s="142"/>
      <c r="X192" s="142"/>
      <c r="Y192" s="142"/>
      <c r="Z192" s="142"/>
      <c r="AA192" s="131"/>
      <c r="AB192" s="142"/>
      <c r="AC192" s="142"/>
      <c r="AD192" s="142"/>
      <c r="AE192" s="142"/>
      <c r="AF192" s="142"/>
      <c r="AG192" s="142"/>
      <c r="AH192" s="142"/>
      <c r="AI192" s="142"/>
      <c r="AJ192" s="142"/>
      <c r="AK192" s="142"/>
      <c r="AL192" s="142"/>
      <c r="AM192" s="142"/>
      <c r="AN192" s="142"/>
      <c r="AO192" s="142"/>
      <c r="AP192" s="142"/>
    </row>
    <row r="193" ht="13.5" customHeight="1">
      <c r="A193" s="142"/>
      <c r="B193" s="142"/>
      <c r="C193" s="142"/>
      <c r="D193" s="142"/>
      <c r="E193" s="132"/>
      <c r="F193" s="131"/>
      <c r="G193" s="131"/>
      <c r="H193" s="131"/>
      <c r="I193" s="131"/>
      <c r="J193" s="131"/>
      <c r="K193" s="131"/>
      <c r="L193" s="131"/>
      <c r="M193" s="131"/>
      <c r="N193" s="131"/>
      <c r="O193" s="142"/>
      <c r="P193" s="142"/>
      <c r="Q193" s="142"/>
      <c r="R193" s="142"/>
      <c r="S193" s="142"/>
      <c r="T193" s="142"/>
      <c r="U193" s="142"/>
      <c r="V193" s="142"/>
      <c r="W193" s="142"/>
      <c r="X193" s="142"/>
      <c r="Y193" s="142"/>
      <c r="Z193" s="142"/>
      <c r="AA193" s="131"/>
      <c r="AB193" s="142"/>
      <c r="AC193" s="142"/>
      <c r="AD193" s="142"/>
      <c r="AE193" s="142"/>
      <c r="AF193" s="142"/>
      <c r="AG193" s="142"/>
      <c r="AH193" s="142"/>
      <c r="AI193" s="142"/>
      <c r="AJ193" s="142"/>
      <c r="AK193" s="142"/>
      <c r="AL193" s="142"/>
      <c r="AM193" s="142"/>
      <c r="AN193" s="142"/>
      <c r="AO193" s="142"/>
      <c r="AP193" s="142"/>
    </row>
    <row r="194" ht="13.5" customHeight="1">
      <c r="A194" s="142"/>
      <c r="B194" s="142"/>
      <c r="C194" s="142"/>
      <c r="D194" s="142"/>
      <c r="E194" s="132"/>
      <c r="F194" s="131"/>
      <c r="G194" s="131"/>
      <c r="H194" s="131"/>
      <c r="I194" s="131"/>
      <c r="J194" s="131"/>
      <c r="K194" s="131"/>
      <c r="L194" s="131"/>
      <c r="M194" s="131"/>
      <c r="N194" s="131"/>
      <c r="O194" s="142"/>
      <c r="P194" s="142"/>
      <c r="Q194" s="142"/>
      <c r="R194" s="142"/>
      <c r="S194" s="142"/>
      <c r="T194" s="142"/>
      <c r="U194" s="142"/>
      <c r="V194" s="142"/>
      <c r="W194" s="142"/>
      <c r="X194" s="142"/>
      <c r="Y194" s="142"/>
      <c r="Z194" s="142"/>
      <c r="AA194" s="131"/>
      <c r="AB194" s="142"/>
      <c r="AC194" s="142"/>
      <c r="AD194" s="142"/>
      <c r="AE194" s="142"/>
      <c r="AF194" s="142"/>
      <c r="AG194" s="142"/>
      <c r="AH194" s="142"/>
      <c r="AI194" s="142"/>
      <c r="AJ194" s="142"/>
      <c r="AK194" s="142"/>
      <c r="AL194" s="142"/>
      <c r="AM194" s="142"/>
      <c r="AN194" s="142"/>
      <c r="AO194" s="142"/>
      <c r="AP194" s="142"/>
    </row>
    <row r="195" ht="13.5" customHeight="1">
      <c r="A195" s="142"/>
      <c r="B195" s="142"/>
      <c r="C195" s="142"/>
      <c r="D195" s="142"/>
      <c r="E195" s="132"/>
      <c r="F195" s="131"/>
      <c r="G195" s="131"/>
      <c r="H195" s="131"/>
      <c r="I195" s="131"/>
      <c r="J195" s="131"/>
      <c r="K195" s="131"/>
      <c r="L195" s="131"/>
      <c r="M195" s="131"/>
      <c r="N195" s="131"/>
      <c r="O195" s="142"/>
      <c r="P195" s="142"/>
      <c r="Q195" s="142"/>
      <c r="R195" s="142"/>
      <c r="S195" s="142"/>
      <c r="T195" s="142"/>
      <c r="U195" s="142"/>
      <c r="V195" s="142"/>
      <c r="W195" s="142"/>
      <c r="X195" s="142"/>
      <c r="Y195" s="142"/>
      <c r="Z195" s="142"/>
      <c r="AA195" s="131"/>
      <c r="AB195" s="142"/>
      <c r="AC195" s="142"/>
      <c r="AD195" s="142"/>
      <c r="AE195" s="142"/>
      <c r="AF195" s="142"/>
      <c r="AG195" s="142"/>
      <c r="AH195" s="142"/>
      <c r="AI195" s="142"/>
      <c r="AJ195" s="142"/>
      <c r="AK195" s="142"/>
      <c r="AL195" s="142"/>
      <c r="AM195" s="142"/>
      <c r="AN195" s="142"/>
      <c r="AO195" s="142"/>
      <c r="AP195" s="142"/>
    </row>
    <row r="196" ht="13.5" customHeight="1">
      <c r="A196" s="142"/>
      <c r="B196" s="142"/>
      <c r="C196" s="142"/>
      <c r="D196" s="142"/>
      <c r="E196" s="132"/>
      <c r="F196" s="131"/>
      <c r="G196" s="131"/>
      <c r="H196" s="131"/>
      <c r="I196" s="131"/>
      <c r="J196" s="131"/>
      <c r="K196" s="131"/>
      <c r="L196" s="131"/>
      <c r="M196" s="131"/>
      <c r="N196" s="131"/>
      <c r="O196" s="142"/>
      <c r="P196" s="142"/>
      <c r="Q196" s="142"/>
      <c r="R196" s="142"/>
      <c r="S196" s="142"/>
      <c r="T196" s="142"/>
      <c r="U196" s="142"/>
      <c r="V196" s="142"/>
      <c r="W196" s="142"/>
      <c r="X196" s="142"/>
      <c r="Y196" s="142"/>
      <c r="Z196" s="142"/>
      <c r="AA196" s="131"/>
      <c r="AB196" s="142"/>
      <c r="AC196" s="142"/>
      <c r="AD196" s="142"/>
      <c r="AE196" s="142"/>
      <c r="AF196" s="142"/>
      <c r="AG196" s="142"/>
      <c r="AH196" s="142"/>
      <c r="AI196" s="142"/>
      <c r="AJ196" s="142"/>
      <c r="AK196" s="142"/>
      <c r="AL196" s="142"/>
      <c r="AM196" s="142"/>
      <c r="AN196" s="142"/>
      <c r="AO196" s="142"/>
      <c r="AP196" s="142"/>
    </row>
    <row r="197" ht="13.5" customHeight="1">
      <c r="A197" s="142"/>
      <c r="B197" s="142"/>
      <c r="C197" s="142"/>
      <c r="D197" s="142"/>
      <c r="E197" s="132"/>
      <c r="F197" s="131"/>
      <c r="G197" s="131"/>
      <c r="H197" s="131"/>
      <c r="I197" s="131"/>
      <c r="J197" s="131"/>
      <c r="K197" s="131"/>
      <c r="L197" s="131"/>
      <c r="M197" s="131"/>
      <c r="N197" s="131"/>
      <c r="O197" s="142"/>
      <c r="P197" s="142"/>
      <c r="Q197" s="142"/>
      <c r="R197" s="142"/>
      <c r="S197" s="142"/>
      <c r="T197" s="142"/>
      <c r="U197" s="142"/>
      <c r="V197" s="142"/>
      <c r="W197" s="142"/>
      <c r="X197" s="142"/>
      <c r="Y197" s="142"/>
      <c r="Z197" s="142"/>
      <c r="AA197" s="131"/>
      <c r="AB197" s="142"/>
      <c r="AC197" s="142"/>
      <c r="AD197" s="142"/>
      <c r="AE197" s="142"/>
      <c r="AF197" s="142"/>
      <c r="AG197" s="142"/>
      <c r="AH197" s="142"/>
      <c r="AI197" s="142"/>
      <c r="AJ197" s="142"/>
      <c r="AK197" s="142"/>
      <c r="AL197" s="142"/>
      <c r="AM197" s="142"/>
      <c r="AN197" s="142"/>
      <c r="AO197" s="142"/>
      <c r="AP197" s="142"/>
    </row>
    <row r="198" ht="13.5" customHeight="1">
      <c r="A198" s="142"/>
      <c r="B198" s="142"/>
      <c r="C198" s="142"/>
      <c r="D198" s="142"/>
      <c r="E198" s="132"/>
      <c r="F198" s="131"/>
      <c r="G198" s="131"/>
      <c r="H198" s="131"/>
      <c r="I198" s="131"/>
      <c r="J198" s="131"/>
      <c r="K198" s="131"/>
      <c r="L198" s="131"/>
      <c r="M198" s="131"/>
      <c r="N198" s="131"/>
      <c r="O198" s="142"/>
      <c r="P198" s="142"/>
      <c r="Q198" s="142"/>
      <c r="R198" s="142"/>
      <c r="S198" s="142"/>
      <c r="T198" s="142"/>
      <c r="U198" s="142"/>
      <c r="V198" s="142"/>
      <c r="W198" s="142"/>
      <c r="X198" s="142"/>
      <c r="Y198" s="142"/>
      <c r="Z198" s="142"/>
      <c r="AA198" s="131"/>
      <c r="AB198" s="142"/>
      <c r="AC198" s="142"/>
      <c r="AD198" s="142"/>
      <c r="AE198" s="142"/>
      <c r="AF198" s="142"/>
      <c r="AG198" s="142"/>
      <c r="AH198" s="142"/>
      <c r="AI198" s="142"/>
      <c r="AJ198" s="142"/>
      <c r="AK198" s="142"/>
      <c r="AL198" s="142"/>
      <c r="AM198" s="142"/>
      <c r="AN198" s="142"/>
      <c r="AO198" s="142"/>
      <c r="AP198" s="142"/>
    </row>
    <row r="199" ht="13.5" customHeight="1">
      <c r="A199" s="142"/>
      <c r="B199" s="142"/>
      <c r="C199" s="142"/>
      <c r="D199" s="142"/>
      <c r="E199" s="132"/>
      <c r="F199" s="131"/>
      <c r="G199" s="131"/>
      <c r="H199" s="131"/>
      <c r="I199" s="131"/>
      <c r="J199" s="131"/>
      <c r="K199" s="131"/>
      <c r="L199" s="131"/>
      <c r="M199" s="131"/>
      <c r="N199" s="131"/>
      <c r="O199" s="142"/>
      <c r="P199" s="142"/>
      <c r="Q199" s="142"/>
      <c r="R199" s="142"/>
      <c r="S199" s="142"/>
      <c r="T199" s="142"/>
      <c r="U199" s="142"/>
      <c r="V199" s="142"/>
      <c r="W199" s="142"/>
      <c r="X199" s="142"/>
      <c r="Y199" s="142"/>
      <c r="Z199" s="142"/>
      <c r="AA199" s="131"/>
      <c r="AB199" s="142"/>
      <c r="AC199" s="142"/>
      <c r="AD199" s="142"/>
      <c r="AE199" s="142"/>
      <c r="AF199" s="142"/>
      <c r="AG199" s="142"/>
      <c r="AH199" s="142"/>
      <c r="AI199" s="142"/>
      <c r="AJ199" s="142"/>
      <c r="AK199" s="142"/>
      <c r="AL199" s="142"/>
      <c r="AM199" s="142"/>
      <c r="AN199" s="142"/>
      <c r="AO199" s="142"/>
      <c r="AP199" s="142"/>
    </row>
    <row r="200" ht="13.5" customHeight="1">
      <c r="A200" s="142"/>
      <c r="B200" s="142"/>
      <c r="C200" s="142"/>
      <c r="D200" s="142"/>
      <c r="E200" s="132"/>
      <c r="F200" s="131"/>
      <c r="G200" s="131"/>
      <c r="H200" s="131"/>
      <c r="I200" s="131"/>
      <c r="J200" s="131"/>
      <c r="K200" s="131"/>
      <c r="L200" s="131"/>
      <c r="M200" s="131"/>
      <c r="N200" s="131"/>
      <c r="O200" s="142"/>
      <c r="P200" s="142"/>
      <c r="Q200" s="142"/>
      <c r="R200" s="142"/>
      <c r="S200" s="142"/>
      <c r="T200" s="142"/>
      <c r="U200" s="142"/>
      <c r="V200" s="142"/>
      <c r="W200" s="142"/>
      <c r="X200" s="142"/>
      <c r="Y200" s="142"/>
      <c r="Z200" s="142"/>
      <c r="AA200" s="131"/>
      <c r="AB200" s="142"/>
      <c r="AC200" s="142"/>
      <c r="AD200" s="142"/>
      <c r="AE200" s="142"/>
      <c r="AF200" s="142"/>
      <c r="AG200" s="142"/>
      <c r="AH200" s="142"/>
      <c r="AI200" s="142"/>
      <c r="AJ200" s="142"/>
      <c r="AK200" s="142"/>
      <c r="AL200" s="142"/>
      <c r="AM200" s="142"/>
      <c r="AN200" s="142"/>
      <c r="AO200" s="142"/>
      <c r="AP200" s="142"/>
    </row>
    <row r="201" ht="13.5" customHeight="1">
      <c r="A201" s="142"/>
      <c r="B201" s="142"/>
      <c r="C201" s="142"/>
      <c r="D201" s="142"/>
      <c r="E201" s="132"/>
      <c r="F201" s="131"/>
      <c r="G201" s="131"/>
      <c r="H201" s="131"/>
      <c r="I201" s="131"/>
      <c r="J201" s="131"/>
      <c r="K201" s="131"/>
      <c r="L201" s="131"/>
      <c r="M201" s="131"/>
      <c r="N201" s="131"/>
      <c r="O201" s="142"/>
      <c r="P201" s="142"/>
      <c r="Q201" s="142"/>
      <c r="R201" s="142"/>
      <c r="S201" s="142"/>
      <c r="T201" s="142"/>
      <c r="U201" s="142"/>
      <c r="V201" s="142"/>
      <c r="W201" s="142"/>
      <c r="X201" s="142"/>
      <c r="Y201" s="142"/>
      <c r="Z201" s="142"/>
      <c r="AA201" s="131"/>
      <c r="AB201" s="142"/>
      <c r="AC201" s="142"/>
      <c r="AD201" s="142"/>
      <c r="AE201" s="142"/>
      <c r="AF201" s="142"/>
      <c r="AG201" s="142"/>
      <c r="AH201" s="142"/>
      <c r="AI201" s="142"/>
      <c r="AJ201" s="142"/>
      <c r="AK201" s="142"/>
      <c r="AL201" s="142"/>
      <c r="AM201" s="142"/>
      <c r="AN201" s="142"/>
      <c r="AO201" s="142"/>
      <c r="AP201" s="142"/>
    </row>
    <row r="202" ht="13.5" customHeight="1">
      <c r="A202" s="142"/>
      <c r="B202" s="142"/>
      <c r="C202" s="142"/>
      <c r="D202" s="142"/>
      <c r="E202" s="132"/>
      <c r="F202" s="131"/>
      <c r="G202" s="131"/>
      <c r="H202" s="131"/>
      <c r="I202" s="131"/>
      <c r="J202" s="131"/>
      <c r="K202" s="131"/>
      <c r="L202" s="131"/>
      <c r="M202" s="131"/>
      <c r="N202" s="131"/>
      <c r="O202" s="142"/>
      <c r="P202" s="142"/>
      <c r="Q202" s="142"/>
      <c r="R202" s="142"/>
      <c r="S202" s="142"/>
      <c r="T202" s="142"/>
      <c r="U202" s="142"/>
      <c r="V202" s="142"/>
      <c r="W202" s="142"/>
      <c r="X202" s="142"/>
      <c r="Y202" s="142"/>
      <c r="Z202" s="142"/>
      <c r="AA202" s="131"/>
      <c r="AB202" s="142"/>
      <c r="AC202" s="142"/>
      <c r="AD202" s="142"/>
      <c r="AE202" s="142"/>
      <c r="AF202" s="142"/>
      <c r="AG202" s="142"/>
      <c r="AH202" s="142"/>
      <c r="AI202" s="142"/>
      <c r="AJ202" s="142"/>
      <c r="AK202" s="142"/>
      <c r="AL202" s="142"/>
      <c r="AM202" s="142"/>
      <c r="AN202" s="142"/>
      <c r="AO202" s="142"/>
      <c r="AP202" s="142"/>
    </row>
    <row r="203" ht="13.5" customHeight="1">
      <c r="A203" s="142"/>
      <c r="B203" s="142"/>
      <c r="C203" s="142"/>
      <c r="D203" s="142"/>
      <c r="E203" s="132"/>
      <c r="F203" s="131"/>
      <c r="G203" s="131"/>
      <c r="H203" s="131"/>
      <c r="I203" s="131"/>
      <c r="J203" s="131"/>
      <c r="K203" s="131"/>
      <c r="L203" s="131"/>
      <c r="M203" s="131"/>
      <c r="N203" s="131"/>
      <c r="O203" s="142"/>
      <c r="P203" s="142"/>
      <c r="Q203" s="142"/>
      <c r="R203" s="142"/>
      <c r="S203" s="142"/>
      <c r="T203" s="142"/>
      <c r="U203" s="142"/>
      <c r="V203" s="142"/>
      <c r="W203" s="142"/>
      <c r="X203" s="142"/>
      <c r="Y203" s="142"/>
      <c r="Z203" s="142"/>
      <c r="AA203" s="131"/>
      <c r="AB203" s="142"/>
      <c r="AC203" s="142"/>
      <c r="AD203" s="142"/>
      <c r="AE203" s="142"/>
      <c r="AF203" s="142"/>
      <c r="AG203" s="142"/>
      <c r="AH203" s="142"/>
      <c r="AI203" s="142"/>
      <c r="AJ203" s="142"/>
      <c r="AK203" s="142"/>
      <c r="AL203" s="142"/>
      <c r="AM203" s="142"/>
      <c r="AN203" s="142"/>
      <c r="AO203" s="142"/>
      <c r="AP203" s="142"/>
    </row>
    <row r="204" ht="13.5" customHeight="1">
      <c r="A204" s="142"/>
      <c r="B204" s="142"/>
      <c r="C204" s="142"/>
      <c r="D204" s="142"/>
      <c r="E204" s="132"/>
      <c r="F204" s="131"/>
      <c r="G204" s="131"/>
      <c r="H204" s="131"/>
      <c r="I204" s="131"/>
      <c r="J204" s="131"/>
      <c r="K204" s="131"/>
      <c r="L204" s="131"/>
      <c r="M204" s="131"/>
      <c r="N204" s="131"/>
      <c r="O204" s="142"/>
      <c r="P204" s="142"/>
      <c r="Q204" s="142"/>
      <c r="R204" s="142"/>
      <c r="S204" s="142"/>
      <c r="T204" s="142"/>
      <c r="U204" s="142"/>
      <c r="V204" s="142"/>
      <c r="W204" s="142"/>
      <c r="X204" s="142"/>
      <c r="Y204" s="142"/>
      <c r="Z204" s="142"/>
      <c r="AA204" s="131"/>
      <c r="AB204" s="142"/>
      <c r="AC204" s="142"/>
      <c r="AD204" s="142"/>
      <c r="AE204" s="142"/>
      <c r="AF204" s="142"/>
      <c r="AG204" s="142"/>
      <c r="AH204" s="142"/>
      <c r="AI204" s="142"/>
      <c r="AJ204" s="142"/>
      <c r="AK204" s="142"/>
      <c r="AL204" s="142"/>
      <c r="AM204" s="142"/>
      <c r="AN204" s="142"/>
      <c r="AO204" s="142"/>
      <c r="AP204" s="142"/>
    </row>
    <row r="205" ht="13.5" customHeight="1">
      <c r="A205" s="142"/>
      <c r="B205" s="142"/>
      <c r="C205" s="142"/>
      <c r="D205" s="142"/>
      <c r="E205" s="132"/>
      <c r="F205" s="131"/>
      <c r="G205" s="131"/>
      <c r="H205" s="131"/>
      <c r="I205" s="131"/>
      <c r="J205" s="131"/>
      <c r="K205" s="131"/>
      <c r="L205" s="131"/>
      <c r="M205" s="131"/>
      <c r="N205" s="131"/>
      <c r="O205" s="142"/>
      <c r="P205" s="142"/>
      <c r="Q205" s="142"/>
      <c r="R205" s="142"/>
      <c r="S205" s="142"/>
      <c r="T205" s="142"/>
      <c r="U205" s="142"/>
      <c r="V205" s="142"/>
      <c r="W205" s="142"/>
      <c r="X205" s="142"/>
      <c r="Y205" s="142"/>
      <c r="Z205" s="142"/>
      <c r="AA205" s="131"/>
      <c r="AB205" s="142"/>
      <c r="AC205" s="142"/>
      <c r="AD205" s="142"/>
      <c r="AE205" s="142"/>
      <c r="AF205" s="142"/>
      <c r="AG205" s="142"/>
      <c r="AH205" s="142"/>
      <c r="AI205" s="142"/>
      <c r="AJ205" s="142"/>
      <c r="AK205" s="142"/>
      <c r="AL205" s="142"/>
      <c r="AM205" s="142"/>
      <c r="AN205" s="142"/>
      <c r="AO205" s="142"/>
      <c r="AP205" s="142"/>
    </row>
    <row r="206" ht="13.5" customHeight="1">
      <c r="A206" s="142"/>
      <c r="B206" s="142"/>
      <c r="C206" s="142"/>
      <c r="D206" s="142"/>
      <c r="E206" s="132"/>
      <c r="F206" s="131"/>
      <c r="G206" s="131"/>
      <c r="H206" s="131"/>
      <c r="I206" s="131"/>
      <c r="J206" s="131"/>
      <c r="K206" s="131"/>
      <c r="L206" s="131"/>
      <c r="M206" s="131"/>
      <c r="N206" s="131"/>
      <c r="O206" s="142"/>
      <c r="P206" s="142"/>
      <c r="Q206" s="142"/>
      <c r="R206" s="142"/>
      <c r="S206" s="142"/>
      <c r="T206" s="142"/>
      <c r="U206" s="142"/>
      <c r="V206" s="142"/>
      <c r="W206" s="142"/>
      <c r="X206" s="142"/>
      <c r="Y206" s="142"/>
      <c r="Z206" s="142"/>
      <c r="AA206" s="131"/>
      <c r="AB206" s="142"/>
      <c r="AC206" s="142"/>
      <c r="AD206" s="142"/>
      <c r="AE206" s="142"/>
      <c r="AF206" s="142"/>
      <c r="AG206" s="142"/>
      <c r="AH206" s="142"/>
      <c r="AI206" s="142"/>
      <c r="AJ206" s="142"/>
      <c r="AK206" s="142"/>
      <c r="AL206" s="142"/>
      <c r="AM206" s="142"/>
      <c r="AN206" s="142"/>
      <c r="AO206" s="142"/>
      <c r="AP206" s="142"/>
    </row>
    <row r="207" ht="13.5" customHeight="1">
      <c r="A207" s="142"/>
      <c r="B207" s="142"/>
      <c r="C207" s="142"/>
      <c r="D207" s="142"/>
      <c r="E207" s="132"/>
      <c r="F207" s="131"/>
      <c r="G207" s="131"/>
      <c r="H207" s="131"/>
      <c r="I207" s="131"/>
      <c r="J207" s="131"/>
      <c r="K207" s="131"/>
      <c r="L207" s="131"/>
      <c r="M207" s="131"/>
      <c r="N207" s="131"/>
      <c r="O207" s="142"/>
      <c r="P207" s="142"/>
      <c r="Q207" s="142"/>
      <c r="R207" s="142"/>
      <c r="S207" s="142"/>
      <c r="T207" s="142"/>
      <c r="U207" s="142"/>
      <c r="V207" s="142"/>
      <c r="W207" s="142"/>
      <c r="X207" s="142"/>
      <c r="Y207" s="142"/>
      <c r="Z207" s="142"/>
      <c r="AA207" s="131"/>
      <c r="AB207" s="142"/>
      <c r="AC207" s="142"/>
      <c r="AD207" s="142"/>
      <c r="AE207" s="142"/>
      <c r="AF207" s="142"/>
      <c r="AG207" s="142"/>
      <c r="AH207" s="142"/>
      <c r="AI207" s="142"/>
      <c r="AJ207" s="142"/>
      <c r="AK207" s="142"/>
      <c r="AL207" s="142"/>
      <c r="AM207" s="142"/>
      <c r="AN207" s="142"/>
      <c r="AO207" s="142"/>
      <c r="AP207" s="142"/>
    </row>
    <row r="208" ht="13.5" customHeight="1">
      <c r="A208" s="142"/>
      <c r="B208" s="142"/>
      <c r="C208" s="142"/>
      <c r="D208" s="142"/>
      <c r="E208" s="132"/>
      <c r="F208" s="131"/>
      <c r="G208" s="131"/>
      <c r="H208" s="131"/>
      <c r="I208" s="131"/>
      <c r="J208" s="131"/>
      <c r="K208" s="131"/>
      <c r="L208" s="131"/>
      <c r="M208" s="131"/>
      <c r="N208" s="131"/>
      <c r="O208" s="142"/>
      <c r="P208" s="142"/>
      <c r="Q208" s="142"/>
      <c r="R208" s="142"/>
      <c r="S208" s="142"/>
      <c r="T208" s="142"/>
      <c r="U208" s="142"/>
      <c r="V208" s="142"/>
      <c r="W208" s="142"/>
      <c r="X208" s="142"/>
      <c r="Y208" s="142"/>
      <c r="Z208" s="142"/>
      <c r="AA208" s="131"/>
      <c r="AB208" s="142"/>
      <c r="AC208" s="142"/>
      <c r="AD208" s="142"/>
      <c r="AE208" s="142"/>
      <c r="AF208" s="142"/>
      <c r="AG208" s="142"/>
      <c r="AH208" s="142"/>
      <c r="AI208" s="142"/>
      <c r="AJ208" s="142"/>
      <c r="AK208" s="142"/>
      <c r="AL208" s="142"/>
      <c r="AM208" s="142"/>
      <c r="AN208" s="142"/>
      <c r="AO208" s="142"/>
      <c r="AP208" s="142"/>
    </row>
    <row r="209" ht="13.5" customHeight="1">
      <c r="A209" s="142"/>
      <c r="B209" s="142"/>
      <c r="C209" s="142"/>
      <c r="D209" s="142"/>
      <c r="E209" s="132"/>
      <c r="F209" s="131"/>
      <c r="G209" s="131"/>
      <c r="H209" s="131"/>
      <c r="I209" s="131"/>
      <c r="J209" s="131"/>
      <c r="K209" s="131"/>
      <c r="L209" s="131"/>
      <c r="M209" s="131"/>
      <c r="N209" s="131"/>
      <c r="O209" s="142"/>
      <c r="P209" s="142"/>
      <c r="Q209" s="142"/>
      <c r="R209" s="142"/>
      <c r="S209" s="142"/>
      <c r="T209" s="142"/>
      <c r="U209" s="142"/>
      <c r="V209" s="142"/>
      <c r="W209" s="142"/>
      <c r="X209" s="142"/>
      <c r="Y209" s="142"/>
      <c r="Z209" s="142"/>
      <c r="AA209" s="131"/>
      <c r="AB209" s="142"/>
      <c r="AC209" s="142"/>
      <c r="AD209" s="142"/>
      <c r="AE209" s="142"/>
      <c r="AF209" s="142"/>
      <c r="AG209" s="142"/>
      <c r="AH209" s="142"/>
      <c r="AI209" s="142"/>
      <c r="AJ209" s="142"/>
      <c r="AK209" s="142"/>
      <c r="AL209" s="142"/>
      <c r="AM209" s="142"/>
      <c r="AN209" s="142"/>
      <c r="AO209" s="142"/>
      <c r="AP209" s="142"/>
    </row>
    <row r="210" ht="13.5" customHeight="1">
      <c r="A210" s="142"/>
      <c r="B210" s="142"/>
      <c r="C210" s="142"/>
      <c r="D210" s="142"/>
      <c r="E210" s="132"/>
      <c r="F210" s="131"/>
      <c r="G210" s="131"/>
      <c r="H210" s="131"/>
      <c r="I210" s="131"/>
      <c r="J210" s="131"/>
      <c r="K210" s="131"/>
      <c r="L210" s="131"/>
      <c r="M210" s="131"/>
      <c r="N210" s="131"/>
      <c r="O210" s="142"/>
      <c r="P210" s="142"/>
      <c r="Q210" s="142"/>
      <c r="R210" s="142"/>
      <c r="S210" s="142"/>
      <c r="T210" s="142"/>
      <c r="U210" s="142"/>
      <c r="V210" s="142"/>
      <c r="W210" s="142"/>
      <c r="X210" s="142"/>
      <c r="Y210" s="142"/>
      <c r="Z210" s="142"/>
      <c r="AA210" s="131"/>
      <c r="AB210" s="142"/>
      <c r="AC210" s="142"/>
      <c r="AD210" s="142"/>
      <c r="AE210" s="142"/>
      <c r="AF210" s="142"/>
      <c r="AG210" s="142"/>
      <c r="AH210" s="142"/>
      <c r="AI210" s="142"/>
      <c r="AJ210" s="142"/>
      <c r="AK210" s="142"/>
      <c r="AL210" s="142"/>
      <c r="AM210" s="142"/>
      <c r="AN210" s="142"/>
      <c r="AO210" s="142"/>
      <c r="AP210" s="142"/>
    </row>
    <row r="211" ht="13.5" customHeight="1">
      <c r="A211" s="142"/>
      <c r="B211" s="142"/>
      <c r="C211" s="142"/>
      <c r="D211" s="142"/>
      <c r="E211" s="132"/>
      <c r="F211" s="131"/>
      <c r="G211" s="131"/>
      <c r="H211" s="131"/>
      <c r="I211" s="131"/>
      <c r="J211" s="131"/>
      <c r="K211" s="131"/>
      <c r="L211" s="131"/>
      <c r="M211" s="131"/>
      <c r="N211" s="131"/>
      <c r="O211" s="142"/>
      <c r="P211" s="142"/>
      <c r="Q211" s="142"/>
      <c r="R211" s="142"/>
      <c r="S211" s="142"/>
      <c r="T211" s="142"/>
      <c r="U211" s="142"/>
      <c r="V211" s="142"/>
      <c r="W211" s="142"/>
      <c r="X211" s="142"/>
      <c r="Y211" s="142"/>
      <c r="Z211" s="142"/>
      <c r="AA211" s="131"/>
      <c r="AB211" s="142"/>
      <c r="AC211" s="142"/>
      <c r="AD211" s="142"/>
      <c r="AE211" s="142"/>
      <c r="AF211" s="142"/>
      <c r="AG211" s="142"/>
      <c r="AH211" s="142"/>
      <c r="AI211" s="142"/>
      <c r="AJ211" s="142"/>
      <c r="AK211" s="142"/>
      <c r="AL211" s="142"/>
      <c r="AM211" s="142"/>
      <c r="AN211" s="142"/>
      <c r="AO211" s="142"/>
      <c r="AP211" s="142"/>
    </row>
    <row r="212" ht="13.5" customHeight="1">
      <c r="A212" s="142"/>
      <c r="B212" s="142"/>
      <c r="C212" s="142"/>
      <c r="D212" s="142"/>
      <c r="E212" s="132"/>
      <c r="F212" s="131"/>
      <c r="G212" s="131"/>
      <c r="H212" s="131"/>
      <c r="I212" s="131"/>
      <c r="J212" s="131"/>
      <c r="K212" s="131"/>
      <c r="L212" s="131"/>
      <c r="M212" s="131"/>
      <c r="N212" s="131"/>
      <c r="O212" s="142"/>
      <c r="P212" s="142"/>
      <c r="Q212" s="142"/>
      <c r="R212" s="142"/>
      <c r="S212" s="142"/>
      <c r="T212" s="142"/>
      <c r="U212" s="142"/>
      <c r="V212" s="142"/>
      <c r="W212" s="142"/>
      <c r="X212" s="142"/>
      <c r="Y212" s="142"/>
      <c r="Z212" s="142"/>
      <c r="AA212" s="131"/>
      <c r="AB212" s="142"/>
      <c r="AC212" s="142"/>
      <c r="AD212" s="142"/>
      <c r="AE212" s="142"/>
      <c r="AF212" s="142"/>
      <c r="AG212" s="142"/>
      <c r="AH212" s="142"/>
      <c r="AI212" s="142"/>
      <c r="AJ212" s="142"/>
      <c r="AK212" s="142"/>
      <c r="AL212" s="142"/>
      <c r="AM212" s="142"/>
      <c r="AN212" s="142"/>
      <c r="AO212" s="142"/>
      <c r="AP212" s="142"/>
    </row>
    <row r="213" ht="13.5" customHeight="1">
      <c r="A213" s="142"/>
      <c r="B213" s="142"/>
      <c r="C213" s="142"/>
      <c r="D213" s="142"/>
      <c r="E213" s="132"/>
      <c r="F213" s="131"/>
      <c r="G213" s="131"/>
      <c r="H213" s="131"/>
      <c r="I213" s="131"/>
      <c r="J213" s="131"/>
      <c r="K213" s="131"/>
      <c r="L213" s="131"/>
      <c r="M213" s="131"/>
      <c r="N213" s="131"/>
      <c r="O213" s="142"/>
      <c r="P213" s="142"/>
      <c r="Q213" s="142"/>
      <c r="R213" s="142"/>
      <c r="S213" s="142"/>
      <c r="T213" s="142"/>
      <c r="U213" s="142"/>
      <c r="V213" s="142"/>
      <c r="W213" s="142"/>
      <c r="X213" s="142"/>
      <c r="Y213" s="142"/>
      <c r="Z213" s="142"/>
      <c r="AA213" s="131"/>
      <c r="AB213" s="142"/>
      <c r="AC213" s="142"/>
      <c r="AD213" s="142"/>
      <c r="AE213" s="142"/>
      <c r="AF213" s="142"/>
      <c r="AG213" s="142"/>
      <c r="AH213" s="142"/>
      <c r="AI213" s="142"/>
      <c r="AJ213" s="142"/>
      <c r="AK213" s="142"/>
      <c r="AL213" s="142"/>
      <c r="AM213" s="142"/>
      <c r="AN213" s="142"/>
      <c r="AO213" s="142"/>
      <c r="AP213" s="142"/>
    </row>
    <row r="214" ht="13.5" customHeight="1">
      <c r="A214" s="142"/>
      <c r="B214" s="142"/>
      <c r="C214" s="142"/>
      <c r="D214" s="142"/>
      <c r="E214" s="132"/>
      <c r="F214" s="131"/>
      <c r="G214" s="131"/>
      <c r="H214" s="131"/>
      <c r="I214" s="131"/>
      <c r="J214" s="131"/>
      <c r="K214" s="131"/>
      <c r="L214" s="131"/>
      <c r="M214" s="131"/>
      <c r="N214" s="131"/>
      <c r="O214" s="142"/>
      <c r="P214" s="142"/>
      <c r="Q214" s="142"/>
      <c r="R214" s="142"/>
      <c r="S214" s="142"/>
      <c r="T214" s="142"/>
      <c r="U214" s="142"/>
      <c r="V214" s="142"/>
      <c r="W214" s="142"/>
      <c r="X214" s="142"/>
      <c r="Y214" s="142"/>
      <c r="Z214" s="142"/>
      <c r="AA214" s="131"/>
      <c r="AB214" s="142"/>
      <c r="AC214" s="142"/>
      <c r="AD214" s="142"/>
      <c r="AE214" s="142"/>
      <c r="AF214" s="142"/>
      <c r="AG214" s="142"/>
      <c r="AH214" s="142"/>
      <c r="AI214" s="142"/>
      <c r="AJ214" s="142"/>
      <c r="AK214" s="142"/>
      <c r="AL214" s="142"/>
      <c r="AM214" s="142"/>
      <c r="AN214" s="142"/>
      <c r="AO214" s="142"/>
      <c r="AP214" s="142"/>
    </row>
    <row r="215" ht="13.5" customHeight="1">
      <c r="A215" s="142"/>
      <c r="B215" s="142"/>
      <c r="C215" s="142"/>
      <c r="D215" s="142"/>
      <c r="E215" s="132"/>
      <c r="F215" s="131"/>
      <c r="G215" s="131"/>
      <c r="H215" s="131"/>
      <c r="I215" s="131"/>
      <c r="J215" s="131"/>
      <c r="K215" s="131"/>
      <c r="L215" s="131"/>
      <c r="M215" s="131"/>
      <c r="N215" s="131"/>
      <c r="O215" s="142"/>
      <c r="P215" s="142"/>
      <c r="Q215" s="142"/>
      <c r="R215" s="142"/>
      <c r="S215" s="142"/>
      <c r="T215" s="142"/>
      <c r="U215" s="142"/>
      <c r="V215" s="142"/>
      <c r="W215" s="142"/>
      <c r="X215" s="142"/>
      <c r="Y215" s="142"/>
      <c r="Z215" s="142"/>
      <c r="AA215" s="131"/>
      <c r="AB215" s="142"/>
      <c r="AC215" s="142"/>
      <c r="AD215" s="142"/>
      <c r="AE215" s="142"/>
      <c r="AF215" s="142"/>
      <c r="AG215" s="142"/>
      <c r="AH215" s="142"/>
      <c r="AI215" s="142"/>
      <c r="AJ215" s="142"/>
      <c r="AK215" s="142"/>
      <c r="AL215" s="142"/>
      <c r="AM215" s="142"/>
      <c r="AN215" s="142"/>
      <c r="AO215" s="142"/>
      <c r="AP215" s="142"/>
    </row>
    <row r="216" ht="13.5" customHeight="1">
      <c r="A216" s="142"/>
      <c r="B216" s="142"/>
      <c r="C216" s="142"/>
      <c r="D216" s="142"/>
      <c r="E216" s="132"/>
      <c r="F216" s="131"/>
      <c r="G216" s="131"/>
      <c r="H216" s="131"/>
      <c r="I216" s="131"/>
      <c r="J216" s="131"/>
      <c r="K216" s="131"/>
      <c r="L216" s="131"/>
      <c r="M216" s="131"/>
      <c r="N216" s="131"/>
      <c r="O216" s="142"/>
      <c r="P216" s="142"/>
      <c r="Q216" s="142"/>
      <c r="R216" s="142"/>
      <c r="S216" s="142"/>
      <c r="T216" s="142"/>
      <c r="U216" s="142"/>
      <c r="V216" s="142"/>
      <c r="W216" s="142"/>
      <c r="X216" s="142"/>
      <c r="Y216" s="142"/>
      <c r="Z216" s="142"/>
      <c r="AA216" s="131"/>
      <c r="AB216" s="142"/>
      <c r="AC216" s="142"/>
      <c r="AD216" s="142"/>
      <c r="AE216" s="142"/>
      <c r="AF216" s="142"/>
      <c r="AG216" s="142"/>
      <c r="AH216" s="142"/>
      <c r="AI216" s="142"/>
      <c r="AJ216" s="142"/>
      <c r="AK216" s="142"/>
      <c r="AL216" s="142"/>
      <c r="AM216" s="142"/>
      <c r="AN216" s="142"/>
      <c r="AO216" s="142"/>
      <c r="AP216" s="142"/>
    </row>
    <row r="217" ht="13.5" customHeight="1">
      <c r="A217" s="142"/>
      <c r="B217" s="142"/>
      <c r="C217" s="142"/>
      <c r="D217" s="142"/>
      <c r="E217" s="132"/>
      <c r="F217" s="131"/>
      <c r="G217" s="131"/>
      <c r="H217" s="131"/>
      <c r="I217" s="131"/>
      <c r="J217" s="131"/>
      <c r="K217" s="131"/>
      <c r="L217" s="131"/>
      <c r="M217" s="131"/>
      <c r="N217" s="131"/>
      <c r="O217" s="142"/>
      <c r="P217" s="142"/>
      <c r="Q217" s="142"/>
      <c r="R217" s="142"/>
      <c r="S217" s="142"/>
      <c r="T217" s="142"/>
      <c r="U217" s="142"/>
      <c r="V217" s="142"/>
      <c r="W217" s="142"/>
      <c r="X217" s="142"/>
      <c r="Y217" s="142"/>
      <c r="Z217" s="142"/>
      <c r="AA217" s="131"/>
      <c r="AB217" s="142"/>
      <c r="AC217" s="142"/>
      <c r="AD217" s="142"/>
      <c r="AE217" s="142"/>
      <c r="AF217" s="142"/>
      <c r="AG217" s="142"/>
      <c r="AH217" s="142"/>
      <c r="AI217" s="142"/>
      <c r="AJ217" s="142"/>
      <c r="AK217" s="142"/>
      <c r="AL217" s="142"/>
      <c r="AM217" s="142"/>
      <c r="AN217" s="142"/>
      <c r="AO217" s="142"/>
      <c r="AP217" s="142"/>
    </row>
    <row r="218" ht="13.5" customHeight="1">
      <c r="A218" s="142"/>
      <c r="B218" s="142"/>
      <c r="C218" s="142"/>
      <c r="D218" s="142"/>
      <c r="E218" s="132"/>
      <c r="F218" s="131"/>
      <c r="G218" s="131"/>
      <c r="H218" s="131"/>
      <c r="I218" s="131"/>
      <c r="J218" s="131"/>
      <c r="K218" s="131"/>
      <c r="L218" s="131"/>
      <c r="M218" s="131"/>
      <c r="N218" s="131"/>
      <c r="O218" s="142"/>
      <c r="P218" s="142"/>
      <c r="Q218" s="142"/>
      <c r="R218" s="142"/>
      <c r="S218" s="142"/>
      <c r="T218" s="142"/>
      <c r="U218" s="142"/>
      <c r="V218" s="142"/>
      <c r="W218" s="142"/>
      <c r="X218" s="142"/>
      <c r="Y218" s="142"/>
      <c r="Z218" s="142"/>
      <c r="AA218" s="131"/>
      <c r="AB218" s="142"/>
      <c r="AC218" s="142"/>
      <c r="AD218" s="142"/>
      <c r="AE218" s="142"/>
      <c r="AF218" s="142"/>
      <c r="AG218" s="142"/>
      <c r="AH218" s="142"/>
      <c r="AI218" s="142"/>
      <c r="AJ218" s="142"/>
      <c r="AK218" s="142"/>
      <c r="AL218" s="142"/>
      <c r="AM218" s="142"/>
      <c r="AN218" s="142"/>
      <c r="AO218" s="142"/>
      <c r="AP218" s="142"/>
    </row>
    <row r="219" ht="13.5" customHeight="1">
      <c r="A219" s="142"/>
      <c r="B219" s="142"/>
      <c r="C219" s="142"/>
      <c r="D219" s="142"/>
      <c r="E219" s="132"/>
      <c r="F219" s="131"/>
      <c r="G219" s="131"/>
      <c r="H219" s="131"/>
      <c r="I219" s="131"/>
      <c r="J219" s="131"/>
      <c r="K219" s="131"/>
      <c r="L219" s="131"/>
      <c r="M219" s="131"/>
      <c r="N219" s="131"/>
      <c r="O219" s="142"/>
      <c r="P219" s="142"/>
      <c r="Q219" s="142"/>
      <c r="R219" s="142"/>
      <c r="S219" s="142"/>
      <c r="T219" s="142"/>
      <c r="U219" s="142"/>
      <c r="V219" s="142"/>
      <c r="W219" s="142"/>
      <c r="X219" s="142"/>
      <c r="Y219" s="142"/>
      <c r="Z219" s="142"/>
      <c r="AA219" s="131"/>
      <c r="AB219" s="142"/>
      <c r="AC219" s="142"/>
      <c r="AD219" s="142"/>
      <c r="AE219" s="142"/>
      <c r="AF219" s="142"/>
      <c r="AG219" s="142"/>
      <c r="AH219" s="142"/>
      <c r="AI219" s="142"/>
      <c r="AJ219" s="142"/>
      <c r="AK219" s="142"/>
      <c r="AL219" s="142"/>
      <c r="AM219" s="142"/>
      <c r="AN219" s="142"/>
      <c r="AO219" s="142"/>
      <c r="AP219" s="142"/>
    </row>
    <row r="220" ht="13.5" customHeight="1">
      <c r="A220" s="142"/>
      <c r="B220" s="142"/>
      <c r="C220" s="142"/>
      <c r="D220" s="142"/>
      <c r="E220" s="132"/>
      <c r="F220" s="131"/>
      <c r="G220" s="131"/>
      <c r="H220" s="131"/>
      <c r="I220" s="131"/>
      <c r="J220" s="131"/>
      <c r="K220" s="131"/>
      <c r="L220" s="131"/>
      <c r="M220" s="131"/>
      <c r="N220" s="131"/>
      <c r="O220" s="142"/>
      <c r="P220" s="142"/>
      <c r="Q220" s="142"/>
      <c r="R220" s="142"/>
      <c r="S220" s="142"/>
      <c r="T220" s="142"/>
      <c r="U220" s="142"/>
      <c r="V220" s="142"/>
      <c r="W220" s="142"/>
      <c r="X220" s="142"/>
      <c r="Y220" s="142"/>
      <c r="Z220" s="142"/>
      <c r="AA220" s="131"/>
      <c r="AB220" s="142"/>
      <c r="AC220" s="142"/>
      <c r="AD220" s="142"/>
      <c r="AE220" s="142"/>
      <c r="AF220" s="142"/>
      <c r="AG220" s="142"/>
      <c r="AH220" s="142"/>
      <c r="AI220" s="142"/>
      <c r="AJ220" s="142"/>
      <c r="AK220" s="142"/>
      <c r="AL220" s="142"/>
      <c r="AM220" s="142"/>
      <c r="AN220" s="142"/>
      <c r="AO220" s="142"/>
      <c r="AP220" s="142"/>
    </row>
    <row r="221" ht="13.5" customHeight="1">
      <c r="A221" s="142"/>
      <c r="B221" s="142"/>
      <c r="C221" s="142"/>
      <c r="D221" s="142"/>
      <c r="E221" s="132"/>
      <c r="F221" s="131"/>
      <c r="G221" s="131"/>
      <c r="H221" s="131"/>
      <c r="I221" s="131"/>
      <c r="J221" s="131"/>
      <c r="K221" s="131"/>
      <c r="L221" s="131"/>
      <c r="M221" s="131"/>
      <c r="N221" s="131"/>
      <c r="O221" s="142"/>
      <c r="P221" s="142"/>
      <c r="Q221" s="142"/>
      <c r="R221" s="142"/>
      <c r="S221" s="142"/>
      <c r="T221" s="142"/>
      <c r="U221" s="142"/>
      <c r="V221" s="142"/>
      <c r="W221" s="142"/>
      <c r="X221" s="142"/>
      <c r="Y221" s="142"/>
      <c r="Z221" s="142"/>
      <c r="AA221" s="131"/>
      <c r="AB221" s="142"/>
      <c r="AC221" s="142"/>
      <c r="AD221" s="142"/>
      <c r="AE221" s="142"/>
      <c r="AF221" s="142"/>
      <c r="AG221" s="142"/>
      <c r="AH221" s="142"/>
      <c r="AI221" s="142"/>
      <c r="AJ221" s="142"/>
      <c r="AK221" s="142"/>
      <c r="AL221" s="142"/>
      <c r="AM221" s="142"/>
      <c r="AN221" s="142"/>
      <c r="AO221" s="142"/>
      <c r="AP221" s="142"/>
    </row>
    <row r="222" ht="13.5" customHeight="1">
      <c r="A222" s="142"/>
      <c r="B222" s="142"/>
      <c r="C222" s="142"/>
      <c r="D222" s="142"/>
      <c r="E222" s="132"/>
      <c r="F222" s="131"/>
      <c r="G222" s="131"/>
      <c r="H222" s="131"/>
      <c r="I222" s="131"/>
      <c r="J222" s="131"/>
      <c r="K222" s="131"/>
      <c r="L222" s="131"/>
      <c r="M222" s="131"/>
      <c r="N222" s="131"/>
      <c r="O222" s="142"/>
      <c r="P222" s="142"/>
      <c r="Q222" s="142"/>
      <c r="R222" s="142"/>
      <c r="S222" s="142"/>
      <c r="T222" s="142"/>
      <c r="U222" s="142"/>
      <c r="V222" s="142"/>
      <c r="W222" s="142"/>
      <c r="X222" s="142"/>
      <c r="Y222" s="142"/>
      <c r="Z222" s="142"/>
      <c r="AA222" s="131"/>
      <c r="AB222" s="142"/>
      <c r="AC222" s="142"/>
      <c r="AD222" s="142"/>
      <c r="AE222" s="142"/>
      <c r="AF222" s="142"/>
      <c r="AG222" s="142"/>
      <c r="AH222" s="142"/>
      <c r="AI222" s="142"/>
      <c r="AJ222" s="142"/>
      <c r="AK222" s="142"/>
      <c r="AL222" s="142"/>
      <c r="AM222" s="142"/>
      <c r="AN222" s="142"/>
      <c r="AO222" s="142"/>
      <c r="AP222" s="142"/>
    </row>
    <row r="223" ht="13.5" customHeight="1">
      <c r="A223" s="142"/>
      <c r="B223" s="142"/>
      <c r="C223" s="142"/>
      <c r="D223" s="142"/>
      <c r="E223" s="132"/>
      <c r="F223" s="131"/>
      <c r="G223" s="131"/>
      <c r="H223" s="131"/>
      <c r="I223" s="131"/>
      <c r="J223" s="131"/>
      <c r="K223" s="131"/>
      <c r="L223" s="131"/>
      <c r="M223" s="131"/>
      <c r="N223" s="131"/>
      <c r="O223" s="142"/>
      <c r="P223" s="142"/>
      <c r="Q223" s="142"/>
      <c r="R223" s="142"/>
      <c r="S223" s="142"/>
      <c r="T223" s="142"/>
      <c r="U223" s="142"/>
      <c r="V223" s="142"/>
      <c r="W223" s="142"/>
      <c r="X223" s="142"/>
      <c r="Y223" s="142"/>
      <c r="Z223" s="142"/>
      <c r="AA223" s="131"/>
      <c r="AB223" s="142"/>
      <c r="AC223" s="142"/>
      <c r="AD223" s="142"/>
      <c r="AE223" s="142"/>
      <c r="AF223" s="142"/>
      <c r="AG223" s="142"/>
      <c r="AH223" s="142"/>
      <c r="AI223" s="142"/>
      <c r="AJ223" s="142"/>
      <c r="AK223" s="142"/>
      <c r="AL223" s="142"/>
      <c r="AM223" s="142"/>
      <c r="AN223" s="142"/>
      <c r="AO223" s="142"/>
      <c r="AP223" s="142"/>
    </row>
    <row r="224" ht="13.5" customHeight="1">
      <c r="A224" s="142"/>
      <c r="B224" s="142"/>
      <c r="C224" s="142"/>
      <c r="D224" s="142"/>
      <c r="E224" s="132"/>
      <c r="F224" s="131"/>
      <c r="G224" s="131"/>
      <c r="H224" s="131"/>
      <c r="I224" s="131"/>
      <c r="J224" s="131"/>
      <c r="K224" s="131"/>
      <c r="L224" s="131"/>
      <c r="M224" s="131"/>
      <c r="N224" s="131"/>
      <c r="O224" s="142"/>
      <c r="P224" s="142"/>
      <c r="Q224" s="142"/>
      <c r="R224" s="142"/>
      <c r="S224" s="142"/>
      <c r="T224" s="142"/>
      <c r="U224" s="142"/>
      <c r="V224" s="142"/>
      <c r="W224" s="142"/>
      <c r="X224" s="142"/>
      <c r="Y224" s="142"/>
      <c r="Z224" s="142"/>
      <c r="AA224" s="131"/>
      <c r="AB224" s="142"/>
      <c r="AC224" s="142"/>
      <c r="AD224" s="142"/>
      <c r="AE224" s="142"/>
      <c r="AF224" s="142"/>
      <c r="AG224" s="142"/>
      <c r="AH224" s="142"/>
      <c r="AI224" s="142"/>
      <c r="AJ224" s="142"/>
      <c r="AK224" s="142"/>
      <c r="AL224" s="142"/>
      <c r="AM224" s="142"/>
      <c r="AN224" s="142"/>
      <c r="AO224" s="142"/>
      <c r="AP224" s="142"/>
    </row>
    <row r="225" ht="13.5" customHeight="1">
      <c r="A225" s="142"/>
      <c r="B225" s="142"/>
      <c r="C225" s="142"/>
      <c r="D225" s="142"/>
      <c r="E225" s="132"/>
      <c r="F225" s="131"/>
      <c r="G225" s="131"/>
      <c r="H225" s="131"/>
      <c r="I225" s="131"/>
      <c r="J225" s="131"/>
      <c r="K225" s="131"/>
      <c r="L225" s="131"/>
      <c r="M225" s="131"/>
      <c r="N225" s="131"/>
      <c r="O225" s="142"/>
      <c r="P225" s="142"/>
      <c r="Q225" s="142"/>
      <c r="R225" s="142"/>
      <c r="S225" s="142"/>
      <c r="T225" s="142"/>
      <c r="U225" s="142"/>
      <c r="V225" s="142"/>
      <c r="W225" s="142"/>
      <c r="X225" s="142"/>
      <c r="Y225" s="142"/>
      <c r="Z225" s="142"/>
      <c r="AA225" s="131"/>
      <c r="AB225" s="142"/>
      <c r="AC225" s="142"/>
      <c r="AD225" s="142"/>
      <c r="AE225" s="142"/>
      <c r="AF225" s="142"/>
      <c r="AG225" s="142"/>
      <c r="AH225" s="142"/>
      <c r="AI225" s="142"/>
      <c r="AJ225" s="142"/>
      <c r="AK225" s="142"/>
      <c r="AL225" s="142"/>
      <c r="AM225" s="142"/>
      <c r="AN225" s="142"/>
      <c r="AO225" s="142"/>
      <c r="AP225" s="142"/>
    </row>
    <row r="226" ht="13.5" customHeight="1">
      <c r="A226" s="142"/>
      <c r="B226" s="142"/>
      <c r="C226" s="142"/>
      <c r="D226" s="142"/>
      <c r="E226" s="132"/>
      <c r="F226" s="131"/>
      <c r="G226" s="131"/>
      <c r="H226" s="131"/>
      <c r="I226" s="131"/>
      <c r="J226" s="131"/>
      <c r="K226" s="131"/>
      <c r="L226" s="131"/>
      <c r="M226" s="131"/>
      <c r="N226" s="131"/>
      <c r="O226" s="142"/>
      <c r="P226" s="142"/>
      <c r="Q226" s="142"/>
      <c r="R226" s="142"/>
      <c r="S226" s="142"/>
      <c r="T226" s="142"/>
      <c r="U226" s="142"/>
      <c r="V226" s="142"/>
      <c r="W226" s="142"/>
      <c r="X226" s="142"/>
      <c r="Y226" s="142"/>
      <c r="Z226" s="142"/>
      <c r="AA226" s="131"/>
      <c r="AB226" s="142"/>
      <c r="AC226" s="142"/>
      <c r="AD226" s="142"/>
      <c r="AE226" s="142"/>
      <c r="AF226" s="142"/>
      <c r="AG226" s="142"/>
      <c r="AH226" s="142"/>
      <c r="AI226" s="142"/>
      <c r="AJ226" s="142"/>
      <c r="AK226" s="142"/>
      <c r="AL226" s="142"/>
      <c r="AM226" s="142"/>
      <c r="AN226" s="142"/>
      <c r="AO226" s="142"/>
      <c r="AP226" s="142"/>
    </row>
    <row r="227" ht="13.5" customHeight="1">
      <c r="A227" s="142"/>
      <c r="B227" s="142"/>
      <c r="C227" s="142"/>
      <c r="D227" s="142"/>
      <c r="E227" s="132"/>
      <c r="F227" s="131"/>
      <c r="G227" s="131"/>
      <c r="H227" s="131"/>
      <c r="I227" s="131"/>
      <c r="J227" s="131"/>
      <c r="K227" s="131"/>
      <c r="L227" s="131"/>
      <c r="M227" s="131"/>
      <c r="N227" s="131"/>
      <c r="O227" s="142"/>
      <c r="P227" s="142"/>
      <c r="Q227" s="142"/>
      <c r="R227" s="142"/>
      <c r="S227" s="142"/>
      <c r="T227" s="142"/>
      <c r="U227" s="142"/>
      <c r="V227" s="142"/>
      <c r="W227" s="142"/>
      <c r="X227" s="142"/>
      <c r="Y227" s="142"/>
      <c r="Z227" s="142"/>
      <c r="AA227" s="131"/>
      <c r="AB227" s="142"/>
      <c r="AC227" s="142"/>
      <c r="AD227" s="142"/>
      <c r="AE227" s="142"/>
      <c r="AF227" s="142"/>
      <c r="AG227" s="142"/>
      <c r="AH227" s="142"/>
      <c r="AI227" s="142"/>
      <c r="AJ227" s="142"/>
      <c r="AK227" s="142"/>
      <c r="AL227" s="142"/>
      <c r="AM227" s="142"/>
      <c r="AN227" s="142"/>
      <c r="AO227" s="142"/>
      <c r="AP227" s="142"/>
    </row>
    <row r="228" ht="13.5" customHeight="1">
      <c r="A228" s="142"/>
      <c r="B228" s="142"/>
      <c r="C228" s="142"/>
      <c r="D228" s="142"/>
      <c r="E228" s="132"/>
      <c r="F228" s="131"/>
      <c r="G228" s="131"/>
      <c r="H228" s="131"/>
      <c r="I228" s="131"/>
      <c r="J228" s="131"/>
      <c r="K228" s="131"/>
      <c r="L228" s="131"/>
      <c r="M228" s="131"/>
      <c r="N228" s="131"/>
      <c r="O228" s="142"/>
      <c r="P228" s="142"/>
      <c r="Q228" s="142"/>
      <c r="R228" s="142"/>
      <c r="S228" s="142"/>
      <c r="T228" s="142"/>
      <c r="U228" s="142"/>
      <c r="V228" s="142"/>
      <c r="W228" s="142"/>
      <c r="X228" s="142"/>
      <c r="Y228" s="142"/>
      <c r="Z228" s="142"/>
      <c r="AA228" s="131"/>
      <c r="AB228" s="142"/>
      <c r="AC228" s="142"/>
      <c r="AD228" s="142"/>
      <c r="AE228" s="142"/>
      <c r="AF228" s="142"/>
      <c r="AG228" s="142"/>
      <c r="AH228" s="142"/>
      <c r="AI228" s="142"/>
      <c r="AJ228" s="142"/>
      <c r="AK228" s="142"/>
      <c r="AL228" s="142"/>
      <c r="AM228" s="142"/>
      <c r="AN228" s="142"/>
      <c r="AO228" s="142"/>
      <c r="AP228" s="142"/>
    </row>
    <row r="229" ht="13.5" customHeight="1">
      <c r="A229" s="142"/>
      <c r="B229" s="142"/>
      <c r="C229" s="142"/>
      <c r="D229" s="142"/>
      <c r="E229" s="132"/>
      <c r="F229" s="131"/>
      <c r="G229" s="131"/>
      <c r="H229" s="131"/>
      <c r="I229" s="131"/>
      <c r="J229" s="131"/>
      <c r="K229" s="131"/>
      <c r="L229" s="131"/>
      <c r="M229" s="131"/>
      <c r="N229" s="131"/>
      <c r="O229" s="142"/>
      <c r="P229" s="142"/>
      <c r="Q229" s="142"/>
      <c r="R229" s="142"/>
      <c r="S229" s="142"/>
      <c r="T229" s="142"/>
      <c r="U229" s="142"/>
      <c r="V229" s="142"/>
      <c r="W229" s="142"/>
      <c r="X229" s="142"/>
      <c r="Y229" s="142"/>
      <c r="Z229" s="142"/>
      <c r="AA229" s="131"/>
      <c r="AB229" s="142"/>
      <c r="AC229" s="142"/>
      <c r="AD229" s="142"/>
      <c r="AE229" s="142"/>
      <c r="AF229" s="142"/>
      <c r="AG229" s="142"/>
      <c r="AH229" s="142"/>
      <c r="AI229" s="142"/>
      <c r="AJ229" s="142"/>
      <c r="AK229" s="142"/>
      <c r="AL229" s="142"/>
      <c r="AM229" s="142"/>
      <c r="AN229" s="142"/>
      <c r="AO229" s="142"/>
      <c r="AP229" s="142"/>
    </row>
    <row r="230" ht="13.5" customHeight="1">
      <c r="A230" s="142"/>
      <c r="B230" s="142"/>
      <c r="C230" s="142"/>
      <c r="D230" s="142"/>
      <c r="E230" s="132"/>
      <c r="F230" s="131"/>
      <c r="G230" s="131"/>
      <c r="H230" s="131"/>
      <c r="I230" s="131"/>
      <c r="J230" s="131"/>
      <c r="K230" s="131"/>
      <c r="L230" s="131"/>
      <c r="M230" s="131"/>
      <c r="N230" s="131"/>
      <c r="O230" s="142"/>
      <c r="P230" s="142"/>
      <c r="Q230" s="142"/>
      <c r="R230" s="142"/>
      <c r="S230" s="142"/>
      <c r="T230" s="142"/>
      <c r="U230" s="142"/>
      <c r="V230" s="142"/>
      <c r="W230" s="142"/>
      <c r="X230" s="142"/>
      <c r="Y230" s="142"/>
      <c r="Z230" s="142"/>
      <c r="AA230" s="131"/>
      <c r="AB230" s="142"/>
      <c r="AC230" s="142"/>
      <c r="AD230" s="142"/>
      <c r="AE230" s="142"/>
      <c r="AF230" s="142"/>
      <c r="AG230" s="142"/>
      <c r="AH230" s="142"/>
      <c r="AI230" s="142"/>
      <c r="AJ230" s="142"/>
      <c r="AK230" s="142"/>
      <c r="AL230" s="142"/>
      <c r="AM230" s="142"/>
      <c r="AN230" s="142"/>
      <c r="AO230" s="142"/>
      <c r="AP230" s="142"/>
    </row>
    <row r="231" ht="13.5" customHeight="1">
      <c r="A231" s="142"/>
      <c r="B231" s="142"/>
      <c r="C231" s="142"/>
      <c r="D231" s="142"/>
      <c r="E231" s="132"/>
      <c r="F231" s="131"/>
      <c r="G231" s="131"/>
      <c r="H231" s="131"/>
      <c r="I231" s="131"/>
      <c r="J231" s="131"/>
      <c r="K231" s="131"/>
      <c r="L231" s="131"/>
      <c r="M231" s="131"/>
      <c r="N231" s="131"/>
      <c r="O231" s="142"/>
      <c r="P231" s="142"/>
      <c r="Q231" s="142"/>
      <c r="R231" s="142"/>
      <c r="S231" s="142"/>
      <c r="T231" s="142"/>
      <c r="U231" s="142"/>
      <c r="V231" s="142"/>
      <c r="W231" s="142"/>
      <c r="X231" s="142"/>
      <c r="Y231" s="142"/>
      <c r="Z231" s="142"/>
      <c r="AA231" s="131"/>
      <c r="AB231" s="142"/>
      <c r="AC231" s="142"/>
      <c r="AD231" s="142"/>
      <c r="AE231" s="142"/>
      <c r="AF231" s="142"/>
      <c r="AG231" s="142"/>
      <c r="AH231" s="142"/>
      <c r="AI231" s="142"/>
      <c r="AJ231" s="142"/>
      <c r="AK231" s="142"/>
      <c r="AL231" s="142"/>
      <c r="AM231" s="142"/>
      <c r="AN231" s="142"/>
      <c r="AO231" s="142"/>
      <c r="AP231" s="142"/>
    </row>
    <row r="232" ht="13.5" customHeight="1">
      <c r="A232" s="142"/>
      <c r="B232" s="142"/>
      <c r="C232" s="142"/>
      <c r="D232" s="142"/>
      <c r="E232" s="132"/>
      <c r="F232" s="131"/>
      <c r="G232" s="131"/>
      <c r="H232" s="131"/>
      <c r="I232" s="131"/>
      <c r="J232" s="131"/>
      <c r="K232" s="131"/>
      <c r="L232" s="131"/>
      <c r="M232" s="131"/>
      <c r="N232" s="131"/>
      <c r="O232" s="142"/>
      <c r="P232" s="142"/>
      <c r="Q232" s="142"/>
      <c r="R232" s="142"/>
      <c r="S232" s="142"/>
      <c r="T232" s="142"/>
      <c r="U232" s="142"/>
      <c r="V232" s="142"/>
      <c r="W232" s="142"/>
      <c r="X232" s="142"/>
      <c r="Y232" s="142"/>
      <c r="Z232" s="142"/>
      <c r="AA232" s="131"/>
      <c r="AB232" s="142"/>
      <c r="AC232" s="142"/>
      <c r="AD232" s="142"/>
      <c r="AE232" s="142"/>
      <c r="AF232" s="142"/>
      <c r="AG232" s="142"/>
      <c r="AH232" s="142"/>
      <c r="AI232" s="142"/>
      <c r="AJ232" s="142"/>
      <c r="AK232" s="142"/>
      <c r="AL232" s="142"/>
      <c r="AM232" s="142"/>
      <c r="AN232" s="142"/>
      <c r="AO232" s="142"/>
      <c r="AP232" s="142"/>
    </row>
    <row r="233" ht="13.5" customHeight="1">
      <c r="A233" s="142"/>
      <c r="B233" s="142"/>
      <c r="C233" s="142"/>
      <c r="D233" s="142"/>
      <c r="E233" s="132"/>
      <c r="F233" s="131"/>
      <c r="G233" s="131"/>
      <c r="H233" s="131"/>
      <c r="I233" s="131"/>
      <c r="J233" s="131"/>
      <c r="K233" s="131"/>
      <c r="L233" s="131"/>
      <c r="M233" s="131"/>
      <c r="N233" s="131"/>
      <c r="O233" s="142"/>
      <c r="P233" s="142"/>
      <c r="Q233" s="142"/>
      <c r="R233" s="142"/>
      <c r="S233" s="142"/>
      <c r="T233" s="142"/>
      <c r="U233" s="142"/>
      <c r="V233" s="142"/>
      <c r="W233" s="142"/>
      <c r="X233" s="142"/>
      <c r="Y233" s="142"/>
      <c r="Z233" s="142"/>
      <c r="AA233" s="131"/>
      <c r="AB233" s="142"/>
      <c r="AC233" s="142"/>
      <c r="AD233" s="142"/>
      <c r="AE233" s="142"/>
      <c r="AF233" s="142"/>
      <c r="AG233" s="142"/>
      <c r="AH233" s="142"/>
      <c r="AI233" s="142"/>
      <c r="AJ233" s="142"/>
      <c r="AK233" s="142"/>
      <c r="AL233" s="142"/>
      <c r="AM233" s="142"/>
      <c r="AN233" s="142"/>
      <c r="AO233" s="142"/>
      <c r="AP233" s="142"/>
    </row>
    <row r="234" ht="13.5" customHeight="1">
      <c r="A234" s="142"/>
      <c r="B234" s="142"/>
      <c r="C234" s="142"/>
      <c r="D234" s="142"/>
      <c r="E234" s="132"/>
      <c r="F234" s="131"/>
      <c r="G234" s="131"/>
      <c r="H234" s="131"/>
      <c r="I234" s="131"/>
      <c r="J234" s="131"/>
      <c r="K234" s="131"/>
      <c r="L234" s="131"/>
      <c r="M234" s="131"/>
      <c r="N234" s="131"/>
      <c r="O234" s="142"/>
      <c r="P234" s="142"/>
      <c r="Q234" s="142"/>
      <c r="R234" s="142"/>
      <c r="S234" s="142"/>
      <c r="T234" s="142"/>
      <c r="U234" s="142"/>
      <c r="V234" s="142"/>
      <c r="W234" s="142"/>
      <c r="X234" s="142"/>
      <c r="Y234" s="142"/>
      <c r="Z234" s="142"/>
      <c r="AA234" s="131"/>
      <c r="AB234" s="142"/>
      <c r="AC234" s="142"/>
      <c r="AD234" s="142"/>
      <c r="AE234" s="142"/>
      <c r="AF234" s="142"/>
      <c r="AG234" s="142"/>
      <c r="AH234" s="142"/>
      <c r="AI234" s="142"/>
      <c r="AJ234" s="142"/>
      <c r="AK234" s="142"/>
      <c r="AL234" s="142"/>
      <c r="AM234" s="142"/>
      <c r="AN234" s="142"/>
      <c r="AO234" s="142"/>
      <c r="AP234" s="142"/>
    </row>
    <row r="235" ht="13.5" customHeight="1">
      <c r="A235" s="142"/>
      <c r="B235" s="142"/>
      <c r="C235" s="142"/>
      <c r="D235" s="142"/>
      <c r="E235" s="132"/>
      <c r="F235" s="131"/>
      <c r="G235" s="131"/>
      <c r="H235" s="131"/>
      <c r="I235" s="131"/>
      <c r="J235" s="131"/>
      <c r="K235" s="131"/>
      <c r="L235" s="131"/>
      <c r="M235" s="131"/>
      <c r="N235" s="131"/>
      <c r="O235" s="142"/>
      <c r="P235" s="142"/>
      <c r="Q235" s="142"/>
      <c r="R235" s="142"/>
      <c r="S235" s="142"/>
      <c r="T235" s="142"/>
      <c r="U235" s="142"/>
      <c r="V235" s="142"/>
      <c r="W235" s="142"/>
      <c r="X235" s="142"/>
      <c r="Y235" s="142"/>
      <c r="Z235" s="142"/>
      <c r="AA235" s="131"/>
      <c r="AB235" s="142"/>
      <c r="AC235" s="142"/>
      <c r="AD235" s="142"/>
      <c r="AE235" s="142"/>
      <c r="AF235" s="142"/>
      <c r="AG235" s="142"/>
      <c r="AH235" s="142"/>
      <c r="AI235" s="142"/>
      <c r="AJ235" s="142"/>
      <c r="AK235" s="142"/>
      <c r="AL235" s="142"/>
      <c r="AM235" s="142"/>
      <c r="AN235" s="142"/>
      <c r="AO235" s="142"/>
      <c r="AP235" s="142"/>
    </row>
    <row r="236" ht="13.5" customHeight="1">
      <c r="A236" s="142"/>
      <c r="B236" s="142"/>
      <c r="C236" s="142"/>
      <c r="D236" s="142"/>
      <c r="E236" s="132"/>
      <c r="F236" s="131"/>
      <c r="G236" s="131"/>
      <c r="H236" s="131"/>
      <c r="I236" s="131"/>
      <c r="J236" s="131"/>
      <c r="K236" s="131"/>
      <c r="L236" s="131"/>
      <c r="M236" s="131"/>
      <c r="N236" s="131"/>
      <c r="O236" s="142"/>
      <c r="P236" s="142"/>
      <c r="Q236" s="142"/>
      <c r="R236" s="142"/>
      <c r="S236" s="142"/>
      <c r="T236" s="142"/>
      <c r="U236" s="142"/>
      <c r="V236" s="142"/>
      <c r="W236" s="142"/>
      <c r="X236" s="142"/>
      <c r="Y236" s="142"/>
      <c r="Z236" s="142"/>
      <c r="AA236" s="131"/>
      <c r="AB236" s="142"/>
      <c r="AC236" s="142"/>
      <c r="AD236" s="142"/>
      <c r="AE236" s="142"/>
      <c r="AF236" s="142"/>
      <c r="AG236" s="142"/>
      <c r="AH236" s="142"/>
      <c r="AI236" s="142"/>
      <c r="AJ236" s="142"/>
      <c r="AK236" s="142"/>
      <c r="AL236" s="142"/>
      <c r="AM236" s="142"/>
      <c r="AN236" s="142"/>
      <c r="AO236" s="142"/>
      <c r="AP236" s="142"/>
    </row>
    <row r="237" ht="13.5" customHeight="1">
      <c r="A237" s="142"/>
      <c r="B237" s="142"/>
      <c r="C237" s="142"/>
      <c r="D237" s="142"/>
      <c r="E237" s="132"/>
      <c r="F237" s="131"/>
      <c r="G237" s="131"/>
      <c r="H237" s="131"/>
      <c r="I237" s="131"/>
      <c r="J237" s="131"/>
      <c r="K237" s="131"/>
      <c r="L237" s="131"/>
      <c r="M237" s="131"/>
      <c r="N237" s="131"/>
      <c r="O237" s="142"/>
      <c r="P237" s="142"/>
      <c r="Q237" s="142"/>
      <c r="R237" s="142"/>
      <c r="S237" s="142"/>
      <c r="T237" s="142"/>
      <c r="U237" s="142"/>
      <c r="V237" s="142"/>
      <c r="W237" s="142"/>
      <c r="X237" s="142"/>
      <c r="Y237" s="142"/>
      <c r="Z237" s="142"/>
      <c r="AA237" s="131"/>
      <c r="AB237" s="142"/>
      <c r="AC237" s="142"/>
      <c r="AD237" s="142"/>
      <c r="AE237" s="142"/>
      <c r="AF237" s="142"/>
      <c r="AG237" s="142"/>
      <c r="AH237" s="142"/>
      <c r="AI237" s="142"/>
      <c r="AJ237" s="142"/>
      <c r="AK237" s="142"/>
      <c r="AL237" s="142"/>
      <c r="AM237" s="142"/>
      <c r="AN237" s="142"/>
      <c r="AO237" s="142"/>
      <c r="AP237" s="142"/>
    </row>
    <row r="238" ht="13.5" customHeight="1">
      <c r="A238" s="142"/>
      <c r="B238" s="142"/>
      <c r="C238" s="142"/>
      <c r="D238" s="142"/>
      <c r="E238" s="132"/>
      <c r="F238" s="131"/>
      <c r="G238" s="131"/>
      <c r="H238" s="131"/>
      <c r="I238" s="131"/>
      <c r="J238" s="131"/>
      <c r="K238" s="131"/>
      <c r="L238" s="131"/>
      <c r="M238" s="131"/>
      <c r="N238" s="131"/>
      <c r="O238" s="142"/>
      <c r="P238" s="142"/>
      <c r="Q238" s="142"/>
      <c r="R238" s="142"/>
      <c r="S238" s="142"/>
      <c r="T238" s="142"/>
      <c r="U238" s="142"/>
      <c r="V238" s="142"/>
      <c r="W238" s="142"/>
      <c r="X238" s="142"/>
      <c r="Y238" s="142"/>
      <c r="Z238" s="142"/>
      <c r="AA238" s="131"/>
      <c r="AB238" s="142"/>
      <c r="AC238" s="142"/>
      <c r="AD238" s="142"/>
      <c r="AE238" s="142"/>
      <c r="AF238" s="142"/>
      <c r="AG238" s="142"/>
      <c r="AH238" s="142"/>
      <c r="AI238" s="142"/>
      <c r="AJ238" s="142"/>
      <c r="AK238" s="142"/>
      <c r="AL238" s="142"/>
      <c r="AM238" s="142"/>
      <c r="AN238" s="142"/>
      <c r="AO238" s="142"/>
      <c r="AP238" s="142"/>
    </row>
    <row r="239" ht="13.5" customHeight="1">
      <c r="A239" s="142"/>
      <c r="B239" s="142"/>
      <c r="C239" s="142"/>
      <c r="D239" s="142"/>
      <c r="E239" s="132"/>
      <c r="F239" s="131"/>
      <c r="G239" s="131"/>
      <c r="H239" s="131"/>
      <c r="I239" s="131"/>
      <c r="J239" s="131"/>
      <c r="K239" s="131"/>
      <c r="L239" s="131"/>
      <c r="M239" s="131"/>
      <c r="N239" s="131"/>
      <c r="O239" s="142"/>
      <c r="P239" s="142"/>
      <c r="Q239" s="142"/>
      <c r="R239" s="142"/>
      <c r="S239" s="142"/>
      <c r="T239" s="142"/>
      <c r="U239" s="142"/>
      <c r="V239" s="142"/>
      <c r="W239" s="142"/>
      <c r="X239" s="142"/>
      <c r="Y239" s="142"/>
      <c r="Z239" s="142"/>
      <c r="AA239" s="131"/>
      <c r="AB239" s="142"/>
      <c r="AC239" s="142"/>
      <c r="AD239" s="142"/>
      <c r="AE239" s="142"/>
      <c r="AF239" s="142"/>
      <c r="AG239" s="142"/>
      <c r="AH239" s="142"/>
      <c r="AI239" s="142"/>
      <c r="AJ239" s="142"/>
      <c r="AK239" s="142"/>
      <c r="AL239" s="142"/>
      <c r="AM239" s="142"/>
      <c r="AN239" s="142"/>
      <c r="AO239" s="142"/>
      <c r="AP239" s="142"/>
    </row>
    <row r="240" ht="13.5" customHeight="1">
      <c r="A240" s="142"/>
      <c r="B240" s="142"/>
      <c r="C240" s="142"/>
      <c r="D240" s="142"/>
      <c r="E240" s="132"/>
      <c r="F240" s="131"/>
      <c r="G240" s="131"/>
      <c r="H240" s="131"/>
      <c r="I240" s="131"/>
      <c r="J240" s="131"/>
      <c r="K240" s="131"/>
      <c r="L240" s="131"/>
      <c r="M240" s="131"/>
      <c r="N240" s="131"/>
      <c r="O240" s="142"/>
      <c r="P240" s="142"/>
      <c r="Q240" s="142"/>
      <c r="R240" s="142"/>
      <c r="S240" s="142"/>
      <c r="T240" s="142"/>
      <c r="U240" s="142"/>
      <c r="V240" s="142"/>
      <c r="W240" s="142"/>
      <c r="X240" s="142"/>
      <c r="Y240" s="142"/>
      <c r="Z240" s="142"/>
      <c r="AA240" s="131"/>
      <c r="AB240" s="142"/>
      <c r="AC240" s="142"/>
      <c r="AD240" s="142"/>
      <c r="AE240" s="142"/>
      <c r="AF240" s="142"/>
      <c r="AG240" s="142"/>
      <c r="AH240" s="142"/>
      <c r="AI240" s="142"/>
      <c r="AJ240" s="142"/>
      <c r="AK240" s="142"/>
      <c r="AL240" s="142"/>
      <c r="AM240" s="142"/>
      <c r="AN240" s="142"/>
      <c r="AO240" s="142"/>
      <c r="AP240" s="142"/>
    </row>
    <row r="241" ht="13.5" customHeight="1">
      <c r="A241" s="142"/>
      <c r="B241" s="142"/>
      <c r="C241" s="142"/>
      <c r="D241" s="142"/>
      <c r="E241" s="132"/>
      <c r="F241" s="131"/>
      <c r="G241" s="131"/>
      <c r="H241" s="131"/>
      <c r="I241" s="131"/>
      <c r="J241" s="131"/>
      <c r="K241" s="131"/>
      <c r="L241" s="131"/>
      <c r="M241" s="131"/>
      <c r="N241" s="131"/>
      <c r="O241" s="142"/>
      <c r="P241" s="142"/>
      <c r="Q241" s="142"/>
      <c r="R241" s="142"/>
      <c r="S241" s="142"/>
      <c r="T241" s="142"/>
      <c r="U241" s="142"/>
      <c r="V241" s="142"/>
      <c r="W241" s="142"/>
      <c r="X241" s="142"/>
      <c r="Y241" s="142"/>
      <c r="Z241" s="142"/>
      <c r="AA241" s="131"/>
      <c r="AB241" s="142"/>
      <c r="AC241" s="142"/>
      <c r="AD241" s="142"/>
      <c r="AE241" s="142"/>
      <c r="AF241" s="142"/>
      <c r="AG241" s="142"/>
      <c r="AH241" s="142"/>
      <c r="AI241" s="142"/>
      <c r="AJ241" s="142"/>
      <c r="AK241" s="142"/>
      <c r="AL241" s="142"/>
      <c r="AM241" s="142"/>
      <c r="AN241" s="142"/>
      <c r="AO241" s="142"/>
      <c r="AP241" s="142"/>
    </row>
    <row r="242" ht="13.5" customHeight="1">
      <c r="A242" s="142"/>
      <c r="B242" s="142"/>
      <c r="C242" s="142"/>
      <c r="D242" s="142"/>
      <c r="E242" s="132"/>
      <c r="F242" s="131"/>
      <c r="G242" s="131"/>
      <c r="H242" s="131"/>
      <c r="I242" s="131"/>
      <c r="J242" s="131"/>
      <c r="K242" s="131"/>
      <c r="L242" s="131"/>
      <c r="M242" s="131"/>
      <c r="N242" s="131"/>
      <c r="O242" s="142"/>
      <c r="P242" s="142"/>
      <c r="Q242" s="142"/>
      <c r="R242" s="142"/>
      <c r="S242" s="142"/>
      <c r="T242" s="142"/>
      <c r="U242" s="142"/>
      <c r="V242" s="142"/>
      <c r="W242" s="142"/>
      <c r="X242" s="142"/>
      <c r="Y242" s="142"/>
      <c r="Z242" s="142"/>
      <c r="AA242" s="131"/>
      <c r="AB242" s="142"/>
      <c r="AC242" s="142"/>
      <c r="AD242" s="142"/>
      <c r="AE242" s="142"/>
      <c r="AF242" s="142"/>
      <c r="AG242" s="142"/>
      <c r="AH242" s="142"/>
      <c r="AI242" s="142"/>
      <c r="AJ242" s="142"/>
      <c r="AK242" s="142"/>
      <c r="AL242" s="142"/>
      <c r="AM242" s="142"/>
      <c r="AN242" s="142"/>
      <c r="AO242" s="142"/>
      <c r="AP242" s="142"/>
    </row>
    <row r="243" ht="13.5" customHeight="1">
      <c r="A243" s="142"/>
      <c r="B243" s="142"/>
      <c r="C243" s="142"/>
      <c r="D243" s="142"/>
      <c r="E243" s="132"/>
      <c r="F243" s="131"/>
      <c r="G243" s="131"/>
      <c r="H243" s="131"/>
      <c r="I243" s="131"/>
      <c r="J243" s="131"/>
      <c r="K243" s="131"/>
      <c r="L243" s="131"/>
      <c r="M243" s="131"/>
      <c r="N243" s="131"/>
      <c r="O243" s="142"/>
      <c r="P243" s="142"/>
      <c r="Q243" s="142"/>
      <c r="R243" s="142"/>
      <c r="S243" s="142"/>
      <c r="T243" s="142"/>
      <c r="U243" s="142"/>
      <c r="V243" s="142"/>
      <c r="W243" s="142"/>
      <c r="X243" s="142"/>
      <c r="Y243" s="142"/>
      <c r="Z243" s="142"/>
      <c r="AA243" s="131"/>
      <c r="AB243" s="142"/>
      <c r="AC243" s="142"/>
      <c r="AD243" s="142"/>
      <c r="AE243" s="142"/>
      <c r="AF243" s="142"/>
      <c r="AG243" s="142"/>
      <c r="AH243" s="142"/>
      <c r="AI243" s="142"/>
      <c r="AJ243" s="142"/>
      <c r="AK243" s="142"/>
      <c r="AL243" s="142"/>
      <c r="AM243" s="142"/>
      <c r="AN243" s="142"/>
      <c r="AO243" s="142"/>
      <c r="AP243" s="142"/>
    </row>
    <row r="244" ht="13.5" customHeight="1">
      <c r="A244" s="142"/>
      <c r="B244" s="142"/>
      <c r="C244" s="142"/>
      <c r="D244" s="142"/>
      <c r="E244" s="132"/>
      <c r="F244" s="131"/>
      <c r="G244" s="131"/>
      <c r="H244" s="131"/>
      <c r="I244" s="131"/>
      <c r="J244" s="131"/>
      <c r="K244" s="131"/>
      <c r="L244" s="131"/>
      <c r="M244" s="131"/>
      <c r="N244" s="131"/>
      <c r="O244" s="142"/>
      <c r="P244" s="142"/>
      <c r="Q244" s="142"/>
      <c r="R244" s="142"/>
      <c r="S244" s="142"/>
      <c r="T244" s="142"/>
      <c r="U244" s="142"/>
      <c r="V244" s="142"/>
      <c r="W244" s="142"/>
      <c r="X244" s="142"/>
      <c r="Y244" s="142"/>
      <c r="Z244" s="142"/>
      <c r="AA244" s="131"/>
      <c r="AB244" s="142"/>
      <c r="AC244" s="142"/>
      <c r="AD244" s="142"/>
      <c r="AE244" s="142"/>
      <c r="AF244" s="142"/>
      <c r="AG244" s="142"/>
      <c r="AH244" s="142"/>
      <c r="AI244" s="142"/>
      <c r="AJ244" s="142"/>
      <c r="AK244" s="142"/>
      <c r="AL244" s="142"/>
      <c r="AM244" s="142"/>
      <c r="AN244" s="142"/>
      <c r="AO244" s="142"/>
      <c r="AP244" s="142"/>
    </row>
    <row r="245" ht="13.5" customHeight="1">
      <c r="A245" s="142"/>
      <c r="B245" s="142"/>
      <c r="C245" s="142"/>
      <c r="D245" s="142"/>
      <c r="E245" s="132"/>
      <c r="F245" s="131"/>
      <c r="G245" s="131"/>
      <c r="H245" s="131"/>
      <c r="I245" s="131"/>
      <c r="J245" s="131"/>
      <c r="K245" s="131"/>
      <c r="L245" s="131"/>
      <c r="M245" s="131"/>
      <c r="N245" s="131"/>
      <c r="O245" s="142"/>
      <c r="P245" s="142"/>
      <c r="Q245" s="142"/>
      <c r="R245" s="142"/>
      <c r="S245" s="142"/>
      <c r="T245" s="142"/>
      <c r="U245" s="142"/>
      <c r="V245" s="142"/>
      <c r="W245" s="142"/>
      <c r="X245" s="142"/>
      <c r="Y245" s="142"/>
      <c r="Z245" s="142"/>
      <c r="AA245" s="131"/>
      <c r="AB245" s="142"/>
      <c r="AC245" s="142"/>
      <c r="AD245" s="142"/>
      <c r="AE245" s="142"/>
      <c r="AF245" s="142"/>
      <c r="AG245" s="142"/>
      <c r="AH245" s="142"/>
      <c r="AI245" s="142"/>
      <c r="AJ245" s="142"/>
      <c r="AK245" s="142"/>
      <c r="AL245" s="142"/>
      <c r="AM245" s="142"/>
      <c r="AN245" s="142"/>
      <c r="AO245" s="142"/>
      <c r="AP245" s="142"/>
    </row>
    <row r="246" ht="13.5" customHeight="1">
      <c r="A246" s="142"/>
      <c r="B246" s="142"/>
      <c r="C246" s="142"/>
      <c r="D246" s="142"/>
      <c r="E246" s="132"/>
      <c r="F246" s="131"/>
      <c r="G246" s="131"/>
      <c r="H246" s="131"/>
      <c r="I246" s="131"/>
      <c r="J246" s="131"/>
      <c r="K246" s="131"/>
      <c r="L246" s="131"/>
      <c r="M246" s="131"/>
      <c r="N246" s="131"/>
      <c r="O246" s="142"/>
      <c r="P246" s="142"/>
      <c r="Q246" s="142"/>
      <c r="R246" s="142"/>
      <c r="S246" s="142"/>
      <c r="T246" s="142"/>
      <c r="U246" s="142"/>
      <c r="V246" s="142"/>
      <c r="W246" s="142"/>
      <c r="X246" s="142"/>
      <c r="Y246" s="142"/>
      <c r="Z246" s="142"/>
      <c r="AA246" s="131"/>
      <c r="AB246" s="142"/>
      <c r="AC246" s="142"/>
      <c r="AD246" s="142"/>
      <c r="AE246" s="142"/>
      <c r="AF246" s="142"/>
      <c r="AG246" s="142"/>
      <c r="AH246" s="142"/>
      <c r="AI246" s="142"/>
      <c r="AJ246" s="142"/>
      <c r="AK246" s="142"/>
      <c r="AL246" s="142"/>
      <c r="AM246" s="142"/>
      <c r="AN246" s="142"/>
      <c r="AO246" s="142"/>
      <c r="AP246" s="142"/>
    </row>
    <row r="247" ht="13.5" customHeight="1">
      <c r="A247" s="142"/>
      <c r="B247" s="142"/>
      <c r="C247" s="142"/>
      <c r="D247" s="142"/>
      <c r="E247" s="132"/>
      <c r="F247" s="131"/>
      <c r="G247" s="131"/>
      <c r="H247" s="131"/>
      <c r="I247" s="131"/>
      <c r="J247" s="131"/>
      <c r="K247" s="131"/>
      <c r="L247" s="131"/>
      <c r="M247" s="131"/>
      <c r="N247" s="131"/>
      <c r="O247" s="142"/>
      <c r="P247" s="142"/>
      <c r="Q247" s="142"/>
      <c r="R247" s="142"/>
      <c r="S247" s="142"/>
      <c r="T247" s="142"/>
      <c r="U247" s="142"/>
      <c r="V247" s="142"/>
      <c r="W247" s="142"/>
      <c r="X247" s="142"/>
      <c r="Y247" s="142"/>
      <c r="Z247" s="142"/>
      <c r="AA247" s="131"/>
      <c r="AB247" s="142"/>
      <c r="AC247" s="142"/>
      <c r="AD247" s="142"/>
      <c r="AE247" s="142"/>
      <c r="AF247" s="142"/>
      <c r="AG247" s="142"/>
      <c r="AH247" s="142"/>
      <c r="AI247" s="142"/>
      <c r="AJ247" s="142"/>
      <c r="AK247" s="142"/>
      <c r="AL247" s="142"/>
      <c r="AM247" s="142"/>
      <c r="AN247" s="142"/>
      <c r="AO247" s="142"/>
      <c r="AP247" s="142"/>
    </row>
    <row r="248" ht="13.5" customHeight="1">
      <c r="A248" s="142"/>
      <c r="B248" s="142"/>
      <c r="C248" s="142"/>
      <c r="D248" s="142"/>
      <c r="E248" s="132"/>
      <c r="F248" s="131"/>
      <c r="G248" s="131"/>
      <c r="H248" s="131"/>
      <c r="I248" s="131"/>
      <c r="J248" s="131"/>
      <c r="K248" s="131"/>
      <c r="L248" s="131"/>
      <c r="M248" s="131"/>
      <c r="N248" s="131"/>
      <c r="O248" s="142"/>
      <c r="P248" s="142"/>
      <c r="Q248" s="142"/>
      <c r="R248" s="142"/>
      <c r="S248" s="142"/>
      <c r="T248" s="142"/>
      <c r="U248" s="142"/>
      <c r="V248" s="142"/>
      <c r="W248" s="142"/>
      <c r="X248" s="142"/>
      <c r="Y248" s="142"/>
      <c r="Z248" s="142"/>
      <c r="AA248" s="131"/>
      <c r="AB248" s="142"/>
      <c r="AC248" s="142"/>
      <c r="AD248" s="142"/>
      <c r="AE248" s="142"/>
      <c r="AF248" s="142"/>
      <c r="AG248" s="142"/>
      <c r="AH248" s="142"/>
      <c r="AI248" s="142"/>
      <c r="AJ248" s="142"/>
      <c r="AK248" s="142"/>
      <c r="AL248" s="142"/>
      <c r="AM248" s="142"/>
      <c r="AN248" s="142"/>
      <c r="AO248" s="142"/>
      <c r="AP248" s="142"/>
    </row>
    <row r="249" ht="13.5" customHeight="1">
      <c r="A249" s="142"/>
      <c r="B249" s="142"/>
      <c r="C249" s="142"/>
      <c r="D249" s="142"/>
      <c r="E249" s="132"/>
      <c r="F249" s="131"/>
      <c r="G249" s="131"/>
      <c r="H249" s="131"/>
      <c r="I249" s="131"/>
      <c r="J249" s="131"/>
      <c r="K249" s="131"/>
      <c r="L249" s="131"/>
      <c r="M249" s="131"/>
      <c r="N249" s="131"/>
      <c r="O249" s="142"/>
      <c r="P249" s="142"/>
      <c r="Q249" s="142"/>
      <c r="R249" s="142"/>
      <c r="S249" s="142"/>
      <c r="T249" s="142"/>
      <c r="U249" s="142"/>
      <c r="V249" s="142"/>
      <c r="W249" s="142"/>
      <c r="X249" s="142"/>
      <c r="Y249" s="142"/>
      <c r="Z249" s="142"/>
      <c r="AA249" s="131"/>
      <c r="AB249" s="142"/>
      <c r="AC249" s="142"/>
      <c r="AD249" s="142"/>
      <c r="AE249" s="142"/>
      <c r="AF249" s="142"/>
      <c r="AG249" s="142"/>
      <c r="AH249" s="142"/>
      <c r="AI249" s="142"/>
      <c r="AJ249" s="142"/>
      <c r="AK249" s="142"/>
      <c r="AL249" s="142"/>
      <c r="AM249" s="142"/>
      <c r="AN249" s="142"/>
      <c r="AO249" s="142"/>
      <c r="AP249" s="142"/>
    </row>
    <row r="250" ht="13.5" customHeight="1">
      <c r="A250" s="142"/>
      <c r="B250" s="142"/>
      <c r="C250" s="142"/>
      <c r="D250" s="142"/>
      <c r="E250" s="132"/>
      <c r="F250" s="131"/>
      <c r="G250" s="131"/>
      <c r="H250" s="131"/>
      <c r="I250" s="131"/>
      <c r="J250" s="131"/>
      <c r="K250" s="131"/>
      <c r="L250" s="131"/>
      <c r="M250" s="131"/>
      <c r="N250" s="131"/>
      <c r="O250" s="142"/>
      <c r="P250" s="142"/>
      <c r="Q250" s="142"/>
      <c r="R250" s="142"/>
      <c r="S250" s="142"/>
      <c r="T250" s="142"/>
      <c r="U250" s="142"/>
      <c r="V250" s="142"/>
      <c r="W250" s="142"/>
      <c r="X250" s="142"/>
      <c r="Y250" s="142"/>
      <c r="Z250" s="142"/>
      <c r="AA250" s="131"/>
      <c r="AB250" s="142"/>
      <c r="AC250" s="142"/>
      <c r="AD250" s="142"/>
      <c r="AE250" s="142"/>
      <c r="AF250" s="142"/>
      <c r="AG250" s="142"/>
      <c r="AH250" s="142"/>
      <c r="AI250" s="142"/>
      <c r="AJ250" s="142"/>
      <c r="AK250" s="142"/>
      <c r="AL250" s="142"/>
      <c r="AM250" s="142"/>
      <c r="AN250" s="142"/>
      <c r="AO250" s="142"/>
      <c r="AP250" s="142"/>
    </row>
    <row r="251" ht="13.5" customHeight="1">
      <c r="A251" s="142"/>
      <c r="B251" s="142"/>
      <c r="C251" s="142"/>
      <c r="D251" s="142"/>
      <c r="E251" s="132"/>
      <c r="F251" s="131"/>
      <c r="G251" s="131"/>
      <c r="H251" s="131"/>
      <c r="I251" s="131"/>
      <c r="J251" s="131"/>
      <c r="K251" s="131"/>
      <c r="L251" s="131"/>
      <c r="M251" s="131"/>
      <c r="N251" s="131"/>
      <c r="O251" s="142"/>
      <c r="P251" s="142"/>
      <c r="Q251" s="142"/>
      <c r="R251" s="142"/>
      <c r="S251" s="142"/>
      <c r="T251" s="142"/>
      <c r="U251" s="142"/>
      <c r="V251" s="142"/>
      <c r="W251" s="142"/>
      <c r="X251" s="142"/>
      <c r="Y251" s="142"/>
      <c r="Z251" s="142"/>
      <c r="AA251" s="131"/>
      <c r="AB251" s="142"/>
      <c r="AC251" s="142"/>
      <c r="AD251" s="142"/>
      <c r="AE251" s="142"/>
      <c r="AF251" s="142"/>
      <c r="AG251" s="142"/>
      <c r="AH251" s="142"/>
      <c r="AI251" s="142"/>
      <c r="AJ251" s="142"/>
      <c r="AK251" s="142"/>
      <c r="AL251" s="142"/>
      <c r="AM251" s="142"/>
      <c r="AN251" s="142"/>
      <c r="AO251" s="142"/>
      <c r="AP251" s="142"/>
    </row>
    <row r="252" ht="13.5" customHeight="1">
      <c r="A252" s="142"/>
      <c r="B252" s="142"/>
      <c r="C252" s="142"/>
      <c r="D252" s="142"/>
      <c r="E252" s="132"/>
      <c r="F252" s="131"/>
      <c r="G252" s="131"/>
      <c r="H252" s="131"/>
      <c r="I252" s="131"/>
      <c r="J252" s="131"/>
      <c r="K252" s="131"/>
      <c r="L252" s="131"/>
      <c r="M252" s="131"/>
      <c r="N252" s="131"/>
      <c r="O252" s="142"/>
      <c r="P252" s="142"/>
      <c r="Q252" s="142"/>
      <c r="R252" s="142"/>
      <c r="S252" s="142"/>
      <c r="T252" s="142"/>
      <c r="U252" s="142"/>
      <c r="V252" s="142"/>
      <c r="W252" s="142"/>
      <c r="X252" s="142"/>
      <c r="Y252" s="142"/>
      <c r="Z252" s="142"/>
      <c r="AA252" s="131"/>
      <c r="AB252" s="142"/>
      <c r="AC252" s="142"/>
      <c r="AD252" s="142"/>
      <c r="AE252" s="142"/>
      <c r="AF252" s="142"/>
      <c r="AG252" s="142"/>
      <c r="AH252" s="142"/>
      <c r="AI252" s="142"/>
      <c r="AJ252" s="142"/>
      <c r="AK252" s="142"/>
      <c r="AL252" s="142"/>
      <c r="AM252" s="142"/>
      <c r="AN252" s="142"/>
      <c r="AO252" s="142"/>
      <c r="AP252" s="142"/>
    </row>
    <row r="253" ht="13.5" customHeight="1">
      <c r="A253" s="142"/>
      <c r="B253" s="142"/>
      <c r="C253" s="142"/>
      <c r="D253" s="142"/>
      <c r="E253" s="132"/>
      <c r="F253" s="131"/>
      <c r="G253" s="131"/>
      <c r="H253" s="131"/>
      <c r="I253" s="131"/>
      <c r="J253" s="131"/>
      <c r="K253" s="131"/>
      <c r="L253" s="131"/>
      <c r="M253" s="131"/>
      <c r="N253" s="131"/>
      <c r="O253" s="142"/>
      <c r="P253" s="142"/>
      <c r="Q253" s="142"/>
      <c r="R253" s="142"/>
      <c r="S253" s="142"/>
      <c r="T253" s="142"/>
      <c r="U253" s="142"/>
      <c r="V253" s="142"/>
      <c r="W253" s="142"/>
      <c r="X253" s="142"/>
      <c r="Y253" s="142"/>
      <c r="Z253" s="142"/>
      <c r="AA253" s="131"/>
      <c r="AB253" s="142"/>
      <c r="AC253" s="142"/>
      <c r="AD253" s="142"/>
      <c r="AE253" s="142"/>
      <c r="AF253" s="142"/>
      <c r="AG253" s="142"/>
      <c r="AH253" s="142"/>
      <c r="AI253" s="142"/>
      <c r="AJ253" s="142"/>
      <c r="AK253" s="142"/>
      <c r="AL253" s="142"/>
      <c r="AM253" s="142"/>
      <c r="AN253" s="142"/>
      <c r="AO253" s="142"/>
      <c r="AP253" s="142"/>
    </row>
    <row r="254" ht="13.5" customHeight="1">
      <c r="A254" s="142"/>
      <c r="B254" s="142"/>
      <c r="C254" s="142"/>
      <c r="D254" s="142"/>
      <c r="E254" s="132"/>
      <c r="F254" s="131"/>
      <c r="G254" s="131"/>
      <c r="H254" s="131"/>
      <c r="I254" s="131"/>
      <c r="J254" s="131"/>
      <c r="K254" s="131"/>
      <c r="L254" s="131"/>
      <c r="M254" s="131"/>
      <c r="N254" s="131"/>
      <c r="O254" s="142"/>
      <c r="P254" s="142"/>
      <c r="Q254" s="142"/>
      <c r="R254" s="142"/>
      <c r="S254" s="142"/>
      <c r="T254" s="142"/>
      <c r="U254" s="142"/>
      <c r="V254" s="142"/>
      <c r="W254" s="142"/>
      <c r="X254" s="142"/>
      <c r="Y254" s="142"/>
      <c r="Z254" s="142"/>
      <c r="AA254" s="131"/>
      <c r="AB254" s="142"/>
      <c r="AC254" s="142"/>
      <c r="AD254" s="142"/>
      <c r="AE254" s="142"/>
      <c r="AF254" s="142"/>
      <c r="AG254" s="142"/>
      <c r="AH254" s="142"/>
      <c r="AI254" s="142"/>
      <c r="AJ254" s="142"/>
      <c r="AK254" s="142"/>
      <c r="AL254" s="142"/>
      <c r="AM254" s="142"/>
      <c r="AN254" s="142"/>
      <c r="AO254" s="142"/>
      <c r="AP254" s="142"/>
    </row>
    <row r="255" ht="13.5" customHeight="1">
      <c r="A255" s="142"/>
      <c r="B255" s="142"/>
      <c r="C255" s="142"/>
      <c r="D255" s="142"/>
      <c r="E255" s="132"/>
      <c r="F255" s="131"/>
      <c r="G255" s="131"/>
      <c r="H255" s="131"/>
      <c r="I255" s="131"/>
      <c r="J255" s="131"/>
      <c r="K255" s="131"/>
      <c r="L255" s="131"/>
      <c r="M255" s="131"/>
      <c r="N255" s="131"/>
      <c r="O255" s="142"/>
      <c r="P255" s="142"/>
      <c r="Q255" s="142"/>
      <c r="R255" s="142"/>
      <c r="S255" s="142"/>
      <c r="T255" s="142"/>
      <c r="U255" s="142"/>
      <c r="V255" s="142"/>
      <c r="W255" s="142"/>
      <c r="X255" s="142"/>
      <c r="Y255" s="142"/>
      <c r="Z255" s="142"/>
      <c r="AA255" s="131"/>
      <c r="AB255" s="142"/>
      <c r="AC255" s="142"/>
      <c r="AD255" s="142"/>
      <c r="AE255" s="142"/>
      <c r="AF255" s="142"/>
      <c r="AG255" s="142"/>
      <c r="AH255" s="142"/>
      <c r="AI255" s="142"/>
      <c r="AJ255" s="142"/>
      <c r="AK255" s="142"/>
      <c r="AL255" s="142"/>
      <c r="AM255" s="142"/>
      <c r="AN255" s="142"/>
      <c r="AO255" s="142"/>
      <c r="AP255" s="142"/>
    </row>
    <row r="256" ht="13.5" customHeight="1">
      <c r="A256" s="142"/>
      <c r="B256" s="142"/>
      <c r="C256" s="142"/>
      <c r="D256" s="142"/>
      <c r="E256" s="132"/>
      <c r="F256" s="131"/>
      <c r="G256" s="131"/>
      <c r="H256" s="131"/>
      <c r="I256" s="131"/>
      <c r="J256" s="131"/>
      <c r="K256" s="131"/>
      <c r="L256" s="131"/>
      <c r="M256" s="131"/>
      <c r="N256" s="131"/>
      <c r="O256" s="142"/>
      <c r="P256" s="142"/>
      <c r="Q256" s="142"/>
      <c r="R256" s="142"/>
      <c r="S256" s="142"/>
      <c r="T256" s="142"/>
      <c r="U256" s="142"/>
      <c r="V256" s="142"/>
      <c r="W256" s="142"/>
      <c r="X256" s="142"/>
      <c r="Y256" s="142"/>
      <c r="Z256" s="142"/>
      <c r="AA256" s="131"/>
      <c r="AB256" s="142"/>
      <c r="AC256" s="142"/>
      <c r="AD256" s="142"/>
      <c r="AE256" s="142"/>
      <c r="AF256" s="142"/>
      <c r="AG256" s="142"/>
      <c r="AH256" s="142"/>
      <c r="AI256" s="142"/>
      <c r="AJ256" s="142"/>
      <c r="AK256" s="142"/>
      <c r="AL256" s="142"/>
      <c r="AM256" s="142"/>
      <c r="AN256" s="142"/>
      <c r="AO256" s="142"/>
      <c r="AP256" s="142"/>
    </row>
    <row r="257" ht="13.5" customHeight="1">
      <c r="A257" s="142"/>
      <c r="B257" s="142"/>
      <c r="C257" s="142"/>
      <c r="D257" s="142"/>
      <c r="E257" s="132"/>
      <c r="F257" s="131"/>
      <c r="G257" s="131"/>
      <c r="H257" s="131"/>
      <c r="I257" s="131"/>
      <c r="J257" s="131"/>
      <c r="K257" s="131"/>
      <c r="L257" s="131"/>
      <c r="M257" s="131"/>
      <c r="N257" s="131"/>
      <c r="O257" s="142"/>
      <c r="P257" s="142"/>
      <c r="Q257" s="142"/>
      <c r="R257" s="142"/>
      <c r="S257" s="142"/>
      <c r="T257" s="142"/>
      <c r="U257" s="142"/>
      <c r="V257" s="142"/>
      <c r="W257" s="142"/>
      <c r="X257" s="142"/>
      <c r="Y257" s="142"/>
      <c r="Z257" s="142"/>
      <c r="AA257" s="131"/>
      <c r="AB257" s="142"/>
      <c r="AC257" s="142"/>
      <c r="AD257" s="142"/>
      <c r="AE257" s="142"/>
      <c r="AF257" s="142"/>
      <c r="AG257" s="142"/>
      <c r="AH257" s="142"/>
      <c r="AI257" s="142"/>
      <c r="AJ257" s="142"/>
      <c r="AK257" s="142"/>
      <c r="AL257" s="142"/>
      <c r="AM257" s="142"/>
      <c r="AN257" s="142"/>
      <c r="AO257" s="142"/>
      <c r="AP257" s="142"/>
    </row>
    <row r="258" ht="13.5" customHeight="1">
      <c r="A258" s="142"/>
      <c r="B258" s="142"/>
      <c r="C258" s="142"/>
      <c r="D258" s="142"/>
      <c r="E258" s="132"/>
      <c r="F258" s="131"/>
      <c r="G258" s="131"/>
      <c r="H258" s="131"/>
      <c r="I258" s="131"/>
      <c r="J258" s="131"/>
      <c r="K258" s="131"/>
      <c r="L258" s="131"/>
      <c r="M258" s="131"/>
      <c r="N258" s="131"/>
      <c r="O258" s="142"/>
      <c r="P258" s="142"/>
      <c r="Q258" s="142"/>
      <c r="R258" s="142"/>
      <c r="S258" s="142"/>
      <c r="T258" s="142"/>
      <c r="U258" s="142"/>
      <c r="V258" s="142"/>
      <c r="W258" s="142"/>
      <c r="X258" s="142"/>
      <c r="Y258" s="142"/>
      <c r="Z258" s="142"/>
      <c r="AA258" s="131"/>
      <c r="AB258" s="142"/>
      <c r="AC258" s="142"/>
      <c r="AD258" s="142"/>
      <c r="AE258" s="142"/>
      <c r="AF258" s="142"/>
      <c r="AG258" s="142"/>
      <c r="AH258" s="142"/>
      <c r="AI258" s="142"/>
      <c r="AJ258" s="142"/>
      <c r="AK258" s="142"/>
      <c r="AL258" s="142"/>
      <c r="AM258" s="142"/>
      <c r="AN258" s="142"/>
      <c r="AO258" s="142"/>
      <c r="AP258" s="142"/>
    </row>
    <row r="259" ht="13.5" customHeight="1">
      <c r="A259" s="142"/>
      <c r="B259" s="142"/>
      <c r="C259" s="142"/>
      <c r="D259" s="142"/>
      <c r="E259" s="132"/>
      <c r="F259" s="131"/>
      <c r="G259" s="131"/>
      <c r="H259" s="131"/>
      <c r="I259" s="131"/>
      <c r="J259" s="131"/>
      <c r="K259" s="131"/>
      <c r="L259" s="131"/>
      <c r="M259" s="131"/>
      <c r="N259" s="131"/>
      <c r="O259" s="142"/>
      <c r="P259" s="142"/>
      <c r="Q259" s="142"/>
      <c r="R259" s="142"/>
      <c r="S259" s="142"/>
      <c r="T259" s="142"/>
      <c r="U259" s="142"/>
      <c r="V259" s="142"/>
      <c r="W259" s="142"/>
      <c r="X259" s="142"/>
      <c r="Y259" s="142"/>
      <c r="Z259" s="142"/>
      <c r="AA259" s="131"/>
      <c r="AB259" s="142"/>
      <c r="AC259" s="142"/>
      <c r="AD259" s="142"/>
      <c r="AE259" s="142"/>
      <c r="AF259" s="142"/>
      <c r="AG259" s="142"/>
      <c r="AH259" s="142"/>
      <c r="AI259" s="142"/>
      <c r="AJ259" s="142"/>
      <c r="AK259" s="142"/>
      <c r="AL259" s="142"/>
      <c r="AM259" s="142"/>
      <c r="AN259" s="142"/>
      <c r="AO259" s="142"/>
      <c r="AP259" s="142"/>
    </row>
    <row r="260" ht="13.5" customHeight="1">
      <c r="A260" s="142"/>
      <c r="B260" s="142"/>
      <c r="C260" s="142"/>
      <c r="D260" s="142"/>
      <c r="E260" s="132"/>
      <c r="F260" s="131"/>
      <c r="G260" s="131"/>
      <c r="H260" s="131"/>
      <c r="I260" s="131"/>
      <c r="J260" s="131"/>
      <c r="K260" s="131"/>
      <c r="L260" s="131"/>
      <c r="M260" s="131"/>
      <c r="N260" s="131"/>
      <c r="O260" s="142"/>
      <c r="P260" s="142"/>
      <c r="Q260" s="142"/>
      <c r="R260" s="142"/>
      <c r="S260" s="142"/>
      <c r="T260" s="142"/>
      <c r="U260" s="142"/>
      <c r="V260" s="142"/>
      <c r="W260" s="142"/>
      <c r="X260" s="142"/>
      <c r="Y260" s="142"/>
      <c r="Z260" s="142"/>
      <c r="AA260" s="131"/>
      <c r="AB260" s="142"/>
      <c r="AC260" s="142"/>
      <c r="AD260" s="142"/>
      <c r="AE260" s="142"/>
      <c r="AF260" s="142"/>
      <c r="AG260" s="142"/>
      <c r="AH260" s="142"/>
      <c r="AI260" s="142"/>
      <c r="AJ260" s="142"/>
      <c r="AK260" s="142"/>
      <c r="AL260" s="142"/>
      <c r="AM260" s="142"/>
      <c r="AN260" s="142"/>
      <c r="AO260" s="142"/>
      <c r="AP260" s="142"/>
    </row>
    <row r="261" ht="13.5" customHeight="1">
      <c r="A261" s="142"/>
      <c r="B261" s="142"/>
      <c r="C261" s="142"/>
      <c r="D261" s="142"/>
      <c r="E261" s="132"/>
      <c r="F261" s="131"/>
      <c r="G261" s="131"/>
      <c r="H261" s="131"/>
      <c r="I261" s="131"/>
      <c r="J261" s="131"/>
      <c r="K261" s="131"/>
      <c r="L261" s="131"/>
      <c r="M261" s="131"/>
      <c r="N261" s="131"/>
      <c r="O261" s="142"/>
      <c r="P261" s="142"/>
      <c r="Q261" s="142"/>
      <c r="R261" s="142"/>
      <c r="S261" s="142"/>
      <c r="T261" s="142"/>
      <c r="U261" s="142"/>
      <c r="V261" s="142"/>
      <c r="W261" s="142"/>
      <c r="X261" s="142"/>
      <c r="Y261" s="142"/>
      <c r="Z261" s="142"/>
      <c r="AA261" s="131"/>
      <c r="AB261" s="142"/>
      <c r="AC261" s="142"/>
      <c r="AD261" s="142"/>
      <c r="AE261" s="142"/>
      <c r="AF261" s="142"/>
      <c r="AG261" s="142"/>
      <c r="AH261" s="142"/>
      <c r="AI261" s="142"/>
      <c r="AJ261" s="142"/>
      <c r="AK261" s="142"/>
      <c r="AL261" s="142"/>
      <c r="AM261" s="142"/>
      <c r="AN261" s="142"/>
      <c r="AO261" s="142"/>
      <c r="AP261" s="142"/>
    </row>
    <row r="262" ht="13.5" customHeight="1">
      <c r="A262" s="142"/>
      <c r="B262" s="142"/>
      <c r="C262" s="142"/>
      <c r="D262" s="142"/>
      <c r="E262" s="132"/>
      <c r="F262" s="131"/>
      <c r="G262" s="131"/>
      <c r="H262" s="131"/>
      <c r="I262" s="131"/>
      <c r="J262" s="131"/>
      <c r="K262" s="131"/>
      <c r="L262" s="131"/>
      <c r="M262" s="131"/>
      <c r="N262" s="131"/>
      <c r="O262" s="142"/>
      <c r="P262" s="142"/>
      <c r="Q262" s="142"/>
      <c r="R262" s="142"/>
      <c r="S262" s="142"/>
      <c r="T262" s="142"/>
      <c r="U262" s="142"/>
      <c r="V262" s="142"/>
      <c r="W262" s="142"/>
      <c r="X262" s="142"/>
      <c r="Y262" s="142"/>
      <c r="Z262" s="142"/>
      <c r="AA262" s="131"/>
      <c r="AB262" s="142"/>
      <c r="AC262" s="142"/>
      <c r="AD262" s="142"/>
      <c r="AE262" s="142"/>
      <c r="AF262" s="142"/>
      <c r="AG262" s="142"/>
      <c r="AH262" s="142"/>
      <c r="AI262" s="142"/>
      <c r="AJ262" s="142"/>
      <c r="AK262" s="142"/>
      <c r="AL262" s="142"/>
      <c r="AM262" s="142"/>
      <c r="AN262" s="142"/>
      <c r="AO262" s="142"/>
      <c r="AP262" s="142"/>
    </row>
    <row r="263" ht="13.5" customHeight="1">
      <c r="A263" s="142"/>
      <c r="B263" s="142"/>
      <c r="C263" s="142"/>
      <c r="D263" s="142"/>
      <c r="E263" s="132"/>
      <c r="F263" s="131"/>
      <c r="G263" s="131"/>
      <c r="H263" s="131"/>
      <c r="I263" s="131"/>
      <c r="J263" s="131"/>
      <c r="K263" s="131"/>
      <c r="L263" s="131"/>
      <c r="M263" s="131"/>
      <c r="N263" s="131"/>
      <c r="O263" s="142"/>
      <c r="P263" s="142"/>
      <c r="Q263" s="142"/>
      <c r="R263" s="142"/>
      <c r="S263" s="142"/>
      <c r="T263" s="142"/>
      <c r="U263" s="142"/>
      <c r="V263" s="142"/>
      <c r="W263" s="142"/>
      <c r="X263" s="142"/>
      <c r="Y263" s="142"/>
      <c r="Z263" s="142"/>
      <c r="AA263" s="131"/>
      <c r="AB263" s="142"/>
      <c r="AC263" s="142"/>
      <c r="AD263" s="142"/>
      <c r="AE263" s="142"/>
      <c r="AF263" s="142"/>
      <c r="AG263" s="142"/>
      <c r="AH263" s="142"/>
      <c r="AI263" s="142"/>
      <c r="AJ263" s="142"/>
      <c r="AK263" s="142"/>
      <c r="AL263" s="142"/>
      <c r="AM263" s="142"/>
      <c r="AN263" s="142"/>
      <c r="AO263" s="142"/>
      <c r="AP263" s="142"/>
    </row>
    <row r="264" ht="13.5" customHeight="1">
      <c r="A264" s="142"/>
      <c r="B264" s="142"/>
      <c r="C264" s="142"/>
      <c r="D264" s="142"/>
      <c r="E264" s="132"/>
      <c r="F264" s="131"/>
      <c r="G264" s="131"/>
      <c r="H264" s="131"/>
      <c r="I264" s="131"/>
      <c r="J264" s="131"/>
      <c r="K264" s="131"/>
      <c r="L264" s="131"/>
      <c r="M264" s="131"/>
      <c r="N264" s="131"/>
      <c r="O264" s="142"/>
      <c r="P264" s="142"/>
      <c r="Q264" s="142"/>
      <c r="R264" s="142"/>
      <c r="S264" s="142"/>
      <c r="T264" s="142"/>
      <c r="U264" s="142"/>
      <c r="V264" s="142"/>
      <c r="W264" s="142"/>
      <c r="X264" s="142"/>
      <c r="Y264" s="142"/>
      <c r="Z264" s="142"/>
      <c r="AA264" s="131"/>
      <c r="AB264" s="142"/>
      <c r="AC264" s="142"/>
      <c r="AD264" s="142"/>
      <c r="AE264" s="142"/>
      <c r="AF264" s="142"/>
      <c r="AG264" s="142"/>
      <c r="AH264" s="142"/>
      <c r="AI264" s="142"/>
      <c r="AJ264" s="142"/>
      <c r="AK264" s="142"/>
      <c r="AL264" s="142"/>
      <c r="AM264" s="142"/>
      <c r="AN264" s="142"/>
      <c r="AO264" s="142"/>
      <c r="AP264" s="142"/>
    </row>
    <row r="265" ht="13.5" customHeight="1">
      <c r="A265" s="142"/>
      <c r="B265" s="142"/>
      <c r="C265" s="142"/>
      <c r="D265" s="142"/>
      <c r="E265" s="132"/>
      <c r="F265" s="131"/>
      <c r="G265" s="131"/>
      <c r="H265" s="131"/>
      <c r="I265" s="131"/>
      <c r="J265" s="131"/>
      <c r="K265" s="131"/>
      <c r="L265" s="131"/>
      <c r="M265" s="131"/>
      <c r="N265" s="131"/>
      <c r="O265" s="142"/>
      <c r="P265" s="142"/>
      <c r="Q265" s="142"/>
      <c r="R265" s="142"/>
      <c r="S265" s="142"/>
      <c r="T265" s="142"/>
      <c r="U265" s="142"/>
      <c r="V265" s="142"/>
      <c r="W265" s="142"/>
      <c r="X265" s="142"/>
      <c r="Y265" s="142"/>
      <c r="Z265" s="142"/>
      <c r="AA265" s="131"/>
      <c r="AB265" s="142"/>
      <c r="AC265" s="142"/>
      <c r="AD265" s="142"/>
      <c r="AE265" s="142"/>
      <c r="AF265" s="142"/>
      <c r="AG265" s="142"/>
      <c r="AH265" s="142"/>
      <c r="AI265" s="142"/>
      <c r="AJ265" s="142"/>
      <c r="AK265" s="142"/>
      <c r="AL265" s="142"/>
      <c r="AM265" s="142"/>
      <c r="AN265" s="142"/>
      <c r="AO265" s="142"/>
      <c r="AP265" s="142"/>
    </row>
    <row r="266" ht="13.5" customHeight="1">
      <c r="A266" s="142"/>
      <c r="B266" s="142"/>
      <c r="C266" s="142"/>
      <c r="D266" s="142"/>
      <c r="E266" s="132"/>
      <c r="F266" s="131"/>
      <c r="G266" s="131"/>
      <c r="H266" s="131"/>
      <c r="I266" s="131"/>
      <c r="J266" s="131"/>
      <c r="K266" s="131"/>
      <c r="L266" s="131"/>
      <c r="M266" s="131"/>
      <c r="N266" s="131"/>
      <c r="O266" s="142"/>
      <c r="P266" s="142"/>
      <c r="Q266" s="142"/>
      <c r="R266" s="142"/>
      <c r="S266" s="142"/>
      <c r="T266" s="142"/>
      <c r="U266" s="142"/>
      <c r="V266" s="142"/>
      <c r="W266" s="142"/>
      <c r="X266" s="142"/>
      <c r="Y266" s="142"/>
      <c r="Z266" s="142"/>
      <c r="AA266" s="131"/>
      <c r="AB266" s="142"/>
      <c r="AC266" s="142"/>
      <c r="AD266" s="142"/>
      <c r="AE266" s="142"/>
      <c r="AF266" s="142"/>
      <c r="AG266" s="142"/>
      <c r="AH266" s="142"/>
      <c r="AI266" s="142"/>
      <c r="AJ266" s="142"/>
      <c r="AK266" s="142"/>
      <c r="AL266" s="142"/>
      <c r="AM266" s="142"/>
      <c r="AN266" s="142"/>
      <c r="AO266" s="142"/>
      <c r="AP266" s="142"/>
    </row>
    <row r="267" ht="13.5" customHeight="1">
      <c r="A267" s="142"/>
      <c r="B267" s="142"/>
      <c r="C267" s="142"/>
      <c r="D267" s="142"/>
      <c r="E267" s="132"/>
      <c r="F267" s="131"/>
      <c r="G267" s="131"/>
      <c r="H267" s="131"/>
      <c r="I267" s="131"/>
      <c r="J267" s="131"/>
      <c r="K267" s="131"/>
      <c r="L267" s="131"/>
      <c r="M267" s="131"/>
      <c r="N267" s="131"/>
      <c r="O267" s="142"/>
      <c r="P267" s="142"/>
      <c r="Q267" s="142"/>
      <c r="R267" s="142"/>
      <c r="S267" s="142"/>
      <c r="T267" s="142"/>
      <c r="U267" s="142"/>
      <c r="V267" s="142"/>
      <c r="W267" s="142"/>
      <c r="X267" s="142"/>
      <c r="Y267" s="142"/>
      <c r="Z267" s="142"/>
      <c r="AA267" s="131"/>
      <c r="AB267" s="142"/>
      <c r="AC267" s="142"/>
      <c r="AD267" s="142"/>
      <c r="AE267" s="142"/>
      <c r="AF267" s="142"/>
      <c r="AG267" s="142"/>
      <c r="AH267" s="142"/>
      <c r="AI267" s="142"/>
      <c r="AJ267" s="142"/>
      <c r="AK267" s="142"/>
      <c r="AL267" s="142"/>
      <c r="AM267" s="142"/>
      <c r="AN267" s="142"/>
      <c r="AO267" s="142"/>
      <c r="AP267" s="142"/>
    </row>
    <row r="268" ht="13.5" customHeight="1">
      <c r="A268" s="142"/>
      <c r="B268" s="142"/>
      <c r="C268" s="142"/>
      <c r="D268" s="142"/>
      <c r="E268" s="132"/>
      <c r="F268" s="131"/>
      <c r="G268" s="131"/>
      <c r="H268" s="131"/>
      <c r="I268" s="131"/>
      <c r="J268" s="131"/>
      <c r="K268" s="131"/>
      <c r="L268" s="131"/>
      <c r="M268" s="131"/>
      <c r="N268" s="131"/>
      <c r="O268" s="142"/>
      <c r="P268" s="142"/>
      <c r="Q268" s="142"/>
      <c r="R268" s="142"/>
      <c r="S268" s="142"/>
      <c r="T268" s="142"/>
      <c r="U268" s="142"/>
      <c r="V268" s="142"/>
      <c r="W268" s="142"/>
      <c r="X268" s="142"/>
      <c r="Y268" s="142"/>
      <c r="Z268" s="142"/>
      <c r="AA268" s="131"/>
      <c r="AB268" s="142"/>
      <c r="AC268" s="142"/>
      <c r="AD268" s="142"/>
      <c r="AE268" s="142"/>
      <c r="AF268" s="142"/>
      <c r="AG268" s="142"/>
      <c r="AH268" s="142"/>
      <c r="AI268" s="142"/>
      <c r="AJ268" s="142"/>
      <c r="AK268" s="142"/>
      <c r="AL268" s="142"/>
      <c r="AM268" s="142"/>
      <c r="AN268" s="142"/>
      <c r="AO268" s="142"/>
      <c r="AP268" s="142"/>
    </row>
    <row r="269" ht="13.5" customHeight="1">
      <c r="A269" s="142"/>
      <c r="B269" s="142"/>
      <c r="C269" s="142"/>
      <c r="D269" s="142"/>
      <c r="E269" s="132"/>
      <c r="F269" s="131"/>
      <c r="G269" s="131"/>
      <c r="H269" s="131"/>
      <c r="I269" s="131"/>
      <c r="J269" s="131"/>
      <c r="K269" s="131"/>
      <c r="L269" s="131"/>
      <c r="M269" s="131"/>
      <c r="N269" s="131"/>
      <c r="O269" s="142"/>
      <c r="P269" s="142"/>
      <c r="Q269" s="142"/>
      <c r="R269" s="142"/>
      <c r="S269" s="142"/>
      <c r="T269" s="142"/>
      <c r="U269" s="142"/>
      <c r="V269" s="142"/>
      <c r="W269" s="142"/>
      <c r="X269" s="142"/>
      <c r="Y269" s="142"/>
      <c r="Z269" s="142"/>
      <c r="AA269" s="131"/>
      <c r="AB269" s="142"/>
      <c r="AC269" s="142"/>
      <c r="AD269" s="142"/>
      <c r="AE269" s="142"/>
      <c r="AF269" s="142"/>
      <c r="AG269" s="142"/>
      <c r="AH269" s="142"/>
      <c r="AI269" s="142"/>
      <c r="AJ269" s="142"/>
      <c r="AK269" s="142"/>
      <c r="AL269" s="142"/>
      <c r="AM269" s="142"/>
      <c r="AN269" s="142"/>
      <c r="AO269" s="142"/>
      <c r="AP269" s="142"/>
    </row>
    <row r="270" ht="13.5" customHeight="1">
      <c r="A270" s="142"/>
      <c r="B270" s="142"/>
      <c r="C270" s="142"/>
      <c r="D270" s="142"/>
      <c r="E270" s="132"/>
      <c r="F270" s="131"/>
      <c r="G270" s="131"/>
      <c r="H270" s="131"/>
      <c r="I270" s="131"/>
      <c r="J270" s="131"/>
      <c r="K270" s="131"/>
      <c r="L270" s="131"/>
      <c r="M270" s="131"/>
      <c r="N270" s="131"/>
      <c r="O270" s="142"/>
      <c r="P270" s="142"/>
      <c r="Q270" s="142"/>
      <c r="R270" s="142"/>
      <c r="S270" s="142"/>
      <c r="T270" s="142"/>
      <c r="U270" s="142"/>
      <c r="V270" s="142"/>
      <c r="W270" s="142"/>
      <c r="X270" s="142"/>
      <c r="Y270" s="142"/>
      <c r="Z270" s="142"/>
      <c r="AA270" s="131"/>
      <c r="AB270" s="142"/>
      <c r="AC270" s="142"/>
      <c r="AD270" s="142"/>
      <c r="AE270" s="142"/>
      <c r="AF270" s="142"/>
      <c r="AG270" s="142"/>
      <c r="AH270" s="142"/>
      <c r="AI270" s="142"/>
      <c r="AJ270" s="142"/>
      <c r="AK270" s="142"/>
      <c r="AL270" s="142"/>
      <c r="AM270" s="142"/>
      <c r="AN270" s="142"/>
      <c r="AO270" s="142"/>
      <c r="AP270" s="142"/>
    </row>
    <row r="271" ht="13.5" customHeight="1">
      <c r="A271" s="142"/>
      <c r="B271" s="142"/>
      <c r="C271" s="142"/>
      <c r="D271" s="142"/>
      <c r="E271" s="132"/>
      <c r="F271" s="131"/>
      <c r="G271" s="131"/>
      <c r="H271" s="131"/>
      <c r="I271" s="131"/>
      <c r="J271" s="131"/>
      <c r="K271" s="131"/>
      <c r="L271" s="131"/>
      <c r="M271" s="131"/>
      <c r="N271" s="131"/>
      <c r="O271" s="142"/>
      <c r="P271" s="142"/>
      <c r="Q271" s="142"/>
      <c r="R271" s="142"/>
      <c r="S271" s="142"/>
      <c r="T271" s="142"/>
      <c r="U271" s="142"/>
      <c r="V271" s="142"/>
      <c r="W271" s="142"/>
      <c r="X271" s="142"/>
      <c r="Y271" s="142"/>
      <c r="Z271" s="142"/>
      <c r="AA271" s="131"/>
      <c r="AB271" s="142"/>
      <c r="AC271" s="142"/>
      <c r="AD271" s="142"/>
      <c r="AE271" s="142"/>
      <c r="AF271" s="142"/>
      <c r="AG271" s="142"/>
      <c r="AH271" s="142"/>
      <c r="AI271" s="142"/>
      <c r="AJ271" s="142"/>
      <c r="AK271" s="142"/>
      <c r="AL271" s="142"/>
      <c r="AM271" s="142"/>
      <c r="AN271" s="142"/>
      <c r="AO271" s="142"/>
      <c r="AP271" s="142"/>
    </row>
    <row r="272" ht="13.5" customHeight="1">
      <c r="A272" s="142"/>
      <c r="B272" s="142"/>
      <c r="C272" s="142"/>
      <c r="D272" s="142"/>
      <c r="E272" s="132"/>
      <c r="F272" s="131"/>
      <c r="G272" s="131"/>
      <c r="H272" s="131"/>
      <c r="I272" s="131"/>
      <c r="J272" s="131"/>
      <c r="K272" s="131"/>
      <c r="L272" s="131"/>
      <c r="M272" s="131"/>
      <c r="N272" s="131"/>
      <c r="O272" s="142"/>
      <c r="P272" s="142"/>
      <c r="Q272" s="142"/>
      <c r="R272" s="142"/>
      <c r="S272" s="142"/>
      <c r="T272" s="142"/>
      <c r="U272" s="142"/>
      <c r="V272" s="142"/>
      <c r="W272" s="142"/>
      <c r="X272" s="142"/>
      <c r="Y272" s="142"/>
      <c r="Z272" s="142"/>
      <c r="AA272" s="131"/>
      <c r="AB272" s="142"/>
      <c r="AC272" s="142"/>
      <c r="AD272" s="142"/>
      <c r="AE272" s="142"/>
      <c r="AF272" s="142"/>
      <c r="AG272" s="142"/>
      <c r="AH272" s="142"/>
      <c r="AI272" s="142"/>
      <c r="AJ272" s="142"/>
      <c r="AK272" s="142"/>
      <c r="AL272" s="142"/>
      <c r="AM272" s="142"/>
      <c r="AN272" s="142"/>
      <c r="AO272" s="142"/>
      <c r="AP272" s="142"/>
    </row>
    <row r="273" ht="13.5" customHeight="1">
      <c r="A273" s="142"/>
      <c r="B273" s="142"/>
      <c r="C273" s="142"/>
      <c r="D273" s="142"/>
      <c r="E273" s="132"/>
      <c r="F273" s="131"/>
      <c r="G273" s="131"/>
      <c r="H273" s="131"/>
      <c r="I273" s="131"/>
      <c r="J273" s="131"/>
      <c r="K273" s="131"/>
      <c r="L273" s="131"/>
      <c r="M273" s="131"/>
      <c r="N273" s="131"/>
      <c r="O273" s="142"/>
      <c r="P273" s="142"/>
      <c r="Q273" s="142"/>
      <c r="R273" s="142"/>
      <c r="S273" s="142"/>
      <c r="T273" s="142"/>
      <c r="U273" s="142"/>
      <c r="V273" s="142"/>
      <c r="W273" s="142"/>
      <c r="X273" s="142"/>
      <c r="Y273" s="142"/>
      <c r="Z273" s="142"/>
      <c r="AA273" s="131"/>
      <c r="AB273" s="142"/>
      <c r="AC273" s="142"/>
      <c r="AD273" s="142"/>
      <c r="AE273" s="142"/>
      <c r="AF273" s="142"/>
      <c r="AG273" s="142"/>
      <c r="AH273" s="142"/>
      <c r="AI273" s="142"/>
      <c r="AJ273" s="142"/>
      <c r="AK273" s="142"/>
      <c r="AL273" s="142"/>
      <c r="AM273" s="142"/>
      <c r="AN273" s="142"/>
      <c r="AO273" s="142"/>
      <c r="AP273" s="142"/>
    </row>
    <row r="274" ht="13.5" customHeight="1">
      <c r="A274" s="142"/>
      <c r="B274" s="142"/>
      <c r="C274" s="142"/>
      <c r="D274" s="142"/>
      <c r="E274" s="132"/>
      <c r="F274" s="131"/>
      <c r="G274" s="131"/>
      <c r="H274" s="131"/>
      <c r="I274" s="131"/>
      <c r="J274" s="131"/>
      <c r="K274" s="131"/>
      <c r="L274" s="131"/>
      <c r="M274" s="131"/>
      <c r="N274" s="131"/>
      <c r="O274" s="142"/>
      <c r="P274" s="142"/>
      <c r="Q274" s="142"/>
      <c r="R274" s="142"/>
      <c r="S274" s="142"/>
      <c r="T274" s="142"/>
      <c r="U274" s="142"/>
      <c r="V274" s="142"/>
      <c r="W274" s="142"/>
      <c r="X274" s="142"/>
      <c r="Y274" s="142"/>
      <c r="Z274" s="142"/>
      <c r="AA274" s="131"/>
      <c r="AB274" s="142"/>
      <c r="AC274" s="142"/>
      <c r="AD274" s="142"/>
      <c r="AE274" s="142"/>
      <c r="AF274" s="142"/>
      <c r="AG274" s="142"/>
      <c r="AH274" s="142"/>
      <c r="AI274" s="142"/>
      <c r="AJ274" s="142"/>
      <c r="AK274" s="142"/>
      <c r="AL274" s="142"/>
      <c r="AM274" s="142"/>
      <c r="AN274" s="142"/>
      <c r="AO274" s="142"/>
      <c r="AP274" s="142"/>
    </row>
    <row r="275" ht="13.5" customHeight="1">
      <c r="A275" s="142"/>
      <c r="B275" s="142"/>
      <c r="C275" s="142"/>
      <c r="D275" s="142"/>
      <c r="E275" s="132"/>
      <c r="F275" s="131"/>
      <c r="G275" s="131"/>
      <c r="H275" s="131"/>
      <c r="I275" s="131"/>
      <c r="J275" s="131"/>
      <c r="K275" s="131"/>
      <c r="L275" s="131"/>
      <c r="M275" s="131"/>
      <c r="N275" s="131"/>
      <c r="O275" s="142"/>
      <c r="P275" s="142"/>
      <c r="Q275" s="142"/>
      <c r="R275" s="142"/>
      <c r="S275" s="142"/>
      <c r="T275" s="142"/>
      <c r="U275" s="142"/>
      <c r="V275" s="142"/>
      <c r="W275" s="142"/>
      <c r="X275" s="142"/>
      <c r="Y275" s="142"/>
      <c r="Z275" s="142"/>
      <c r="AA275" s="131"/>
      <c r="AB275" s="142"/>
      <c r="AC275" s="142"/>
      <c r="AD275" s="142"/>
      <c r="AE275" s="142"/>
      <c r="AF275" s="142"/>
      <c r="AG275" s="142"/>
      <c r="AH275" s="142"/>
      <c r="AI275" s="142"/>
      <c r="AJ275" s="142"/>
      <c r="AK275" s="142"/>
      <c r="AL275" s="142"/>
      <c r="AM275" s="142"/>
      <c r="AN275" s="142"/>
      <c r="AO275" s="142"/>
      <c r="AP275" s="142"/>
    </row>
    <row r="276" ht="13.5" customHeight="1">
      <c r="A276" s="142"/>
      <c r="B276" s="142"/>
      <c r="C276" s="142"/>
      <c r="D276" s="142"/>
      <c r="E276" s="132"/>
      <c r="F276" s="131"/>
      <c r="G276" s="131"/>
      <c r="H276" s="131"/>
      <c r="I276" s="131"/>
      <c r="J276" s="131"/>
      <c r="K276" s="131"/>
      <c r="L276" s="131"/>
      <c r="M276" s="131"/>
      <c r="N276" s="131"/>
      <c r="O276" s="142"/>
      <c r="P276" s="142"/>
      <c r="Q276" s="142"/>
      <c r="R276" s="142"/>
      <c r="S276" s="142"/>
      <c r="T276" s="142"/>
      <c r="U276" s="142"/>
      <c r="V276" s="142"/>
      <c r="W276" s="142"/>
      <c r="X276" s="142"/>
      <c r="Y276" s="142"/>
      <c r="Z276" s="142"/>
      <c r="AA276" s="131"/>
      <c r="AB276" s="142"/>
      <c r="AC276" s="142"/>
      <c r="AD276" s="142"/>
      <c r="AE276" s="142"/>
      <c r="AF276" s="142"/>
      <c r="AG276" s="142"/>
      <c r="AH276" s="142"/>
      <c r="AI276" s="142"/>
      <c r="AJ276" s="142"/>
      <c r="AK276" s="142"/>
      <c r="AL276" s="142"/>
      <c r="AM276" s="142"/>
      <c r="AN276" s="142"/>
      <c r="AO276" s="142"/>
      <c r="AP276" s="142"/>
    </row>
    <row r="277" ht="13.5" customHeight="1">
      <c r="A277" s="142"/>
      <c r="B277" s="142"/>
      <c r="C277" s="142"/>
      <c r="D277" s="142"/>
      <c r="E277" s="132"/>
      <c r="F277" s="131"/>
      <c r="G277" s="131"/>
      <c r="H277" s="131"/>
      <c r="I277" s="131"/>
      <c r="J277" s="131"/>
      <c r="K277" s="131"/>
      <c r="L277" s="131"/>
      <c r="M277" s="131"/>
      <c r="N277" s="131"/>
      <c r="O277" s="142"/>
      <c r="P277" s="142"/>
      <c r="Q277" s="142"/>
      <c r="R277" s="142"/>
      <c r="S277" s="142"/>
      <c r="T277" s="142"/>
      <c r="U277" s="142"/>
      <c r="V277" s="142"/>
      <c r="W277" s="142"/>
      <c r="X277" s="142"/>
      <c r="Y277" s="142"/>
      <c r="Z277" s="142"/>
      <c r="AA277" s="131"/>
      <c r="AB277" s="142"/>
      <c r="AC277" s="142"/>
      <c r="AD277" s="142"/>
      <c r="AE277" s="142"/>
      <c r="AF277" s="142"/>
      <c r="AG277" s="142"/>
      <c r="AH277" s="142"/>
      <c r="AI277" s="142"/>
      <c r="AJ277" s="142"/>
      <c r="AK277" s="142"/>
      <c r="AL277" s="142"/>
      <c r="AM277" s="142"/>
      <c r="AN277" s="142"/>
      <c r="AO277" s="142"/>
      <c r="AP277" s="142"/>
    </row>
    <row r="278" ht="13.5" customHeight="1">
      <c r="A278" s="142"/>
      <c r="B278" s="142"/>
      <c r="C278" s="142"/>
      <c r="D278" s="142"/>
      <c r="E278" s="132"/>
      <c r="F278" s="131"/>
      <c r="G278" s="131"/>
      <c r="H278" s="131"/>
      <c r="I278" s="131"/>
      <c r="J278" s="131"/>
      <c r="K278" s="131"/>
      <c r="L278" s="131"/>
      <c r="M278" s="131"/>
      <c r="N278" s="131"/>
      <c r="O278" s="142"/>
      <c r="P278" s="142"/>
      <c r="Q278" s="142"/>
      <c r="R278" s="142"/>
      <c r="S278" s="142"/>
      <c r="T278" s="142"/>
      <c r="U278" s="142"/>
      <c r="V278" s="142"/>
      <c r="W278" s="142"/>
      <c r="X278" s="142"/>
      <c r="Y278" s="142"/>
      <c r="Z278" s="142"/>
      <c r="AA278" s="131"/>
      <c r="AB278" s="142"/>
      <c r="AC278" s="142"/>
      <c r="AD278" s="142"/>
      <c r="AE278" s="142"/>
      <c r="AF278" s="142"/>
      <c r="AG278" s="142"/>
      <c r="AH278" s="142"/>
      <c r="AI278" s="142"/>
      <c r="AJ278" s="142"/>
      <c r="AK278" s="142"/>
      <c r="AL278" s="142"/>
      <c r="AM278" s="142"/>
      <c r="AN278" s="142"/>
      <c r="AO278" s="142"/>
      <c r="AP278" s="142"/>
    </row>
    <row r="279" ht="13.5" customHeight="1">
      <c r="A279" s="142"/>
      <c r="B279" s="142"/>
      <c r="C279" s="142"/>
      <c r="D279" s="142"/>
      <c r="E279" s="132"/>
      <c r="F279" s="131"/>
      <c r="G279" s="131"/>
      <c r="H279" s="131"/>
      <c r="I279" s="131"/>
      <c r="J279" s="131"/>
      <c r="K279" s="131"/>
      <c r="L279" s="131"/>
      <c r="M279" s="131"/>
      <c r="N279" s="131"/>
      <c r="O279" s="142"/>
      <c r="P279" s="142"/>
      <c r="Q279" s="142"/>
      <c r="R279" s="142"/>
      <c r="S279" s="142"/>
      <c r="T279" s="142"/>
      <c r="U279" s="142"/>
      <c r="V279" s="142"/>
      <c r="W279" s="142"/>
      <c r="X279" s="142"/>
      <c r="Y279" s="142"/>
      <c r="Z279" s="142"/>
      <c r="AA279" s="131"/>
      <c r="AB279" s="142"/>
      <c r="AC279" s="142"/>
      <c r="AD279" s="142"/>
      <c r="AE279" s="142"/>
      <c r="AF279" s="142"/>
      <c r="AG279" s="142"/>
      <c r="AH279" s="142"/>
      <c r="AI279" s="142"/>
      <c r="AJ279" s="142"/>
      <c r="AK279" s="142"/>
      <c r="AL279" s="142"/>
      <c r="AM279" s="142"/>
      <c r="AN279" s="142"/>
      <c r="AO279" s="142"/>
      <c r="AP279" s="142"/>
    </row>
    <row r="280" ht="13.5" customHeight="1">
      <c r="A280" s="142"/>
      <c r="B280" s="142"/>
      <c r="C280" s="142"/>
      <c r="D280" s="142"/>
      <c r="E280" s="132"/>
      <c r="F280" s="131"/>
      <c r="G280" s="131"/>
      <c r="H280" s="131"/>
      <c r="I280" s="131"/>
      <c r="J280" s="131"/>
      <c r="K280" s="131"/>
      <c r="L280" s="131"/>
      <c r="M280" s="131"/>
      <c r="N280" s="131"/>
      <c r="O280" s="142"/>
      <c r="P280" s="142"/>
      <c r="Q280" s="142"/>
      <c r="R280" s="142"/>
      <c r="S280" s="142"/>
      <c r="T280" s="142"/>
      <c r="U280" s="142"/>
      <c r="V280" s="142"/>
      <c r="W280" s="142"/>
      <c r="X280" s="142"/>
      <c r="Y280" s="142"/>
      <c r="Z280" s="142"/>
      <c r="AA280" s="131"/>
      <c r="AB280" s="142"/>
      <c r="AC280" s="142"/>
      <c r="AD280" s="142"/>
      <c r="AE280" s="142"/>
      <c r="AF280" s="142"/>
      <c r="AG280" s="142"/>
      <c r="AH280" s="142"/>
      <c r="AI280" s="142"/>
      <c r="AJ280" s="142"/>
      <c r="AK280" s="142"/>
      <c r="AL280" s="142"/>
      <c r="AM280" s="142"/>
      <c r="AN280" s="142"/>
      <c r="AO280" s="142"/>
      <c r="AP280" s="142"/>
    </row>
    <row r="281" ht="13.5" customHeight="1">
      <c r="A281" s="142"/>
      <c r="B281" s="142"/>
      <c r="C281" s="142"/>
      <c r="D281" s="142"/>
      <c r="E281" s="132"/>
      <c r="F281" s="131"/>
      <c r="G281" s="131"/>
      <c r="H281" s="131"/>
      <c r="I281" s="131"/>
      <c r="J281" s="131"/>
      <c r="K281" s="131"/>
      <c r="L281" s="131"/>
      <c r="M281" s="131"/>
      <c r="N281" s="131"/>
      <c r="O281" s="142"/>
      <c r="P281" s="142"/>
      <c r="Q281" s="142"/>
      <c r="R281" s="142"/>
      <c r="S281" s="142"/>
      <c r="T281" s="142"/>
      <c r="U281" s="142"/>
      <c r="V281" s="142"/>
      <c r="W281" s="142"/>
      <c r="X281" s="142"/>
      <c r="Y281" s="142"/>
      <c r="Z281" s="142"/>
      <c r="AA281" s="131"/>
      <c r="AB281" s="142"/>
      <c r="AC281" s="142"/>
      <c r="AD281" s="142"/>
      <c r="AE281" s="142"/>
      <c r="AF281" s="142"/>
      <c r="AG281" s="142"/>
      <c r="AH281" s="142"/>
      <c r="AI281" s="142"/>
      <c r="AJ281" s="142"/>
      <c r="AK281" s="142"/>
      <c r="AL281" s="142"/>
      <c r="AM281" s="142"/>
      <c r="AN281" s="142"/>
      <c r="AO281" s="142"/>
      <c r="AP281" s="142"/>
    </row>
    <row r="282" ht="13.5" customHeight="1">
      <c r="A282" s="142"/>
      <c r="B282" s="142"/>
      <c r="C282" s="142"/>
      <c r="D282" s="142"/>
      <c r="E282" s="132"/>
      <c r="F282" s="131"/>
      <c r="G282" s="131"/>
      <c r="H282" s="131"/>
      <c r="I282" s="131"/>
      <c r="J282" s="131"/>
      <c r="K282" s="131"/>
      <c r="L282" s="131"/>
      <c r="M282" s="131"/>
      <c r="N282" s="131"/>
      <c r="O282" s="142"/>
      <c r="P282" s="142"/>
      <c r="Q282" s="142"/>
      <c r="R282" s="142"/>
      <c r="S282" s="142"/>
      <c r="T282" s="142"/>
      <c r="U282" s="142"/>
      <c r="V282" s="142"/>
      <c r="W282" s="142"/>
      <c r="X282" s="142"/>
      <c r="Y282" s="142"/>
      <c r="Z282" s="142"/>
      <c r="AA282" s="131"/>
      <c r="AB282" s="142"/>
      <c r="AC282" s="142"/>
      <c r="AD282" s="142"/>
      <c r="AE282" s="142"/>
      <c r="AF282" s="142"/>
      <c r="AG282" s="142"/>
      <c r="AH282" s="142"/>
      <c r="AI282" s="142"/>
      <c r="AJ282" s="142"/>
      <c r="AK282" s="142"/>
      <c r="AL282" s="142"/>
      <c r="AM282" s="142"/>
      <c r="AN282" s="142"/>
      <c r="AO282" s="142"/>
      <c r="AP282" s="142"/>
    </row>
    <row r="283" ht="13.5" customHeight="1">
      <c r="A283" s="142"/>
      <c r="B283" s="142"/>
      <c r="C283" s="142"/>
      <c r="D283" s="142"/>
      <c r="E283" s="132"/>
      <c r="F283" s="131"/>
      <c r="G283" s="131"/>
      <c r="H283" s="131"/>
      <c r="I283" s="131"/>
      <c r="J283" s="131"/>
      <c r="K283" s="131"/>
      <c r="L283" s="131"/>
      <c r="M283" s="131"/>
      <c r="N283" s="131"/>
      <c r="O283" s="142"/>
      <c r="P283" s="142"/>
      <c r="Q283" s="142"/>
      <c r="R283" s="142"/>
      <c r="S283" s="142"/>
      <c r="T283" s="142"/>
      <c r="U283" s="142"/>
      <c r="V283" s="142"/>
      <c r="W283" s="142"/>
      <c r="X283" s="142"/>
      <c r="Y283" s="142"/>
      <c r="Z283" s="142"/>
      <c r="AA283" s="131"/>
      <c r="AB283" s="142"/>
      <c r="AC283" s="142"/>
      <c r="AD283" s="142"/>
      <c r="AE283" s="142"/>
      <c r="AF283" s="142"/>
      <c r="AG283" s="142"/>
      <c r="AH283" s="142"/>
      <c r="AI283" s="142"/>
      <c r="AJ283" s="142"/>
      <c r="AK283" s="142"/>
      <c r="AL283" s="142"/>
      <c r="AM283" s="142"/>
      <c r="AN283" s="142"/>
      <c r="AO283" s="142"/>
      <c r="AP283" s="142"/>
    </row>
    <row r="284" ht="13.5" customHeight="1">
      <c r="A284" s="142"/>
      <c r="B284" s="142"/>
      <c r="C284" s="142"/>
      <c r="D284" s="142"/>
      <c r="E284" s="132"/>
      <c r="F284" s="131"/>
      <c r="G284" s="131"/>
      <c r="H284" s="131"/>
      <c r="I284" s="131"/>
      <c r="J284" s="131"/>
      <c r="K284" s="131"/>
      <c r="L284" s="131"/>
      <c r="M284" s="131"/>
      <c r="N284" s="131"/>
      <c r="O284" s="142"/>
      <c r="P284" s="142"/>
      <c r="Q284" s="142"/>
      <c r="R284" s="142"/>
      <c r="S284" s="142"/>
      <c r="T284" s="142"/>
      <c r="U284" s="142"/>
      <c r="V284" s="142"/>
      <c r="W284" s="142"/>
      <c r="X284" s="142"/>
      <c r="Y284" s="142"/>
      <c r="Z284" s="142"/>
      <c r="AA284" s="131"/>
      <c r="AB284" s="142"/>
      <c r="AC284" s="142"/>
      <c r="AD284" s="142"/>
      <c r="AE284" s="142"/>
      <c r="AF284" s="142"/>
      <c r="AG284" s="142"/>
      <c r="AH284" s="142"/>
      <c r="AI284" s="142"/>
      <c r="AJ284" s="142"/>
      <c r="AK284" s="142"/>
      <c r="AL284" s="142"/>
      <c r="AM284" s="142"/>
      <c r="AN284" s="142"/>
      <c r="AO284" s="142"/>
      <c r="AP284" s="142"/>
    </row>
    <row r="285" ht="13.5" customHeight="1">
      <c r="A285" s="142"/>
      <c r="B285" s="142"/>
      <c r="C285" s="142"/>
      <c r="D285" s="142"/>
      <c r="E285" s="132"/>
      <c r="F285" s="131"/>
      <c r="G285" s="131"/>
      <c r="H285" s="131"/>
      <c r="I285" s="131"/>
      <c r="J285" s="131"/>
      <c r="K285" s="131"/>
      <c r="L285" s="131"/>
      <c r="M285" s="131"/>
      <c r="N285" s="131"/>
      <c r="O285" s="142"/>
      <c r="P285" s="142"/>
      <c r="Q285" s="142"/>
      <c r="R285" s="142"/>
      <c r="S285" s="142"/>
      <c r="T285" s="142"/>
      <c r="U285" s="142"/>
      <c r="V285" s="142"/>
      <c r="W285" s="142"/>
      <c r="X285" s="142"/>
      <c r="Y285" s="142"/>
      <c r="Z285" s="142"/>
      <c r="AA285" s="131"/>
      <c r="AB285" s="142"/>
      <c r="AC285" s="142"/>
      <c r="AD285" s="142"/>
      <c r="AE285" s="142"/>
      <c r="AF285" s="142"/>
      <c r="AG285" s="142"/>
      <c r="AH285" s="142"/>
      <c r="AI285" s="142"/>
      <c r="AJ285" s="142"/>
      <c r="AK285" s="142"/>
      <c r="AL285" s="142"/>
      <c r="AM285" s="142"/>
      <c r="AN285" s="142"/>
      <c r="AO285" s="142"/>
      <c r="AP285" s="142"/>
    </row>
    <row r="286" ht="13.5" customHeight="1">
      <c r="A286" s="142"/>
      <c r="B286" s="142"/>
      <c r="C286" s="142"/>
      <c r="D286" s="142"/>
      <c r="E286" s="132"/>
      <c r="F286" s="131"/>
      <c r="G286" s="131"/>
      <c r="H286" s="131"/>
      <c r="I286" s="131"/>
      <c r="J286" s="131"/>
      <c r="K286" s="131"/>
      <c r="L286" s="131"/>
      <c r="M286" s="131"/>
      <c r="N286" s="131"/>
      <c r="O286" s="142"/>
      <c r="P286" s="142"/>
      <c r="Q286" s="142"/>
      <c r="R286" s="142"/>
      <c r="S286" s="142"/>
      <c r="T286" s="142"/>
      <c r="U286" s="142"/>
      <c r="V286" s="142"/>
      <c r="W286" s="142"/>
      <c r="X286" s="142"/>
      <c r="Y286" s="142"/>
      <c r="Z286" s="142"/>
      <c r="AA286" s="131"/>
      <c r="AB286" s="142"/>
      <c r="AC286" s="142"/>
      <c r="AD286" s="142"/>
      <c r="AE286" s="142"/>
      <c r="AF286" s="142"/>
      <c r="AG286" s="142"/>
      <c r="AH286" s="142"/>
      <c r="AI286" s="142"/>
      <c r="AJ286" s="142"/>
      <c r="AK286" s="142"/>
      <c r="AL286" s="142"/>
      <c r="AM286" s="142"/>
      <c r="AN286" s="142"/>
      <c r="AO286" s="142"/>
      <c r="AP286" s="142"/>
    </row>
    <row r="287" ht="13.5" customHeight="1">
      <c r="A287" s="142"/>
      <c r="B287" s="142"/>
      <c r="C287" s="142"/>
      <c r="D287" s="142"/>
      <c r="E287" s="132"/>
      <c r="F287" s="131"/>
      <c r="G287" s="131"/>
      <c r="H287" s="131"/>
      <c r="I287" s="131"/>
      <c r="J287" s="131"/>
      <c r="K287" s="131"/>
      <c r="L287" s="131"/>
      <c r="M287" s="131"/>
      <c r="N287" s="131"/>
      <c r="O287" s="142"/>
      <c r="P287" s="142"/>
      <c r="Q287" s="142"/>
      <c r="R287" s="142"/>
      <c r="S287" s="142"/>
      <c r="T287" s="142"/>
      <c r="U287" s="142"/>
      <c r="V287" s="142"/>
      <c r="W287" s="142"/>
      <c r="X287" s="142"/>
      <c r="Y287" s="142"/>
      <c r="Z287" s="142"/>
      <c r="AA287" s="131"/>
      <c r="AB287" s="142"/>
      <c r="AC287" s="142"/>
      <c r="AD287" s="142"/>
      <c r="AE287" s="142"/>
      <c r="AF287" s="142"/>
      <c r="AG287" s="142"/>
      <c r="AH287" s="142"/>
      <c r="AI287" s="142"/>
      <c r="AJ287" s="142"/>
      <c r="AK287" s="142"/>
      <c r="AL287" s="142"/>
      <c r="AM287" s="142"/>
      <c r="AN287" s="142"/>
      <c r="AO287" s="142"/>
      <c r="AP287" s="142"/>
    </row>
    <row r="288" ht="13.5" customHeight="1">
      <c r="A288" s="142"/>
      <c r="B288" s="142"/>
      <c r="C288" s="142"/>
      <c r="D288" s="142"/>
      <c r="E288" s="132"/>
      <c r="F288" s="131"/>
      <c r="G288" s="131"/>
      <c r="H288" s="131"/>
      <c r="I288" s="131"/>
      <c r="J288" s="131"/>
      <c r="K288" s="131"/>
      <c r="L288" s="131"/>
      <c r="M288" s="131"/>
      <c r="N288" s="131"/>
      <c r="O288" s="142"/>
      <c r="P288" s="142"/>
      <c r="Q288" s="142"/>
      <c r="R288" s="142"/>
      <c r="S288" s="142"/>
      <c r="T288" s="142"/>
      <c r="U288" s="142"/>
      <c r="V288" s="142"/>
      <c r="W288" s="142"/>
      <c r="X288" s="142"/>
      <c r="Y288" s="142"/>
      <c r="Z288" s="142"/>
      <c r="AA288" s="131"/>
      <c r="AB288" s="142"/>
      <c r="AC288" s="142"/>
      <c r="AD288" s="142"/>
      <c r="AE288" s="142"/>
      <c r="AF288" s="142"/>
      <c r="AG288" s="142"/>
      <c r="AH288" s="142"/>
      <c r="AI288" s="142"/>
      <c r="AJ288" s="142"/>
      <c r="AK288" s="142"/>
      <c r="AL288" s="142"/>
      <c r="AM288" s="142"/>
      <c r="AN288" s="142"/>
      <c r="AO288" s="142"/>
      <c r="AP288" s="142"/>
    </row>
    <row r="289" ht="13.5" customHeight="1">
      <c r="A289" s="142"/>
      <c r="B289" s="142"/>
      <c r="C289" s="142"/>
      <c r="D289" s="142"/>
      <c r="E289" s="132"/>
      <c r="F289" s="131"/>
      <c r="G289" s="131"/>
      <c r="H289" s="131"/>
      <c r="I289" s="131"/>
      <c r="J289" s="131"/>
      <c r="K289" s="131"/>
      <c r="L289" s="131"/>
      <c r="M289" s="131"/>
      <c r="N289" s="131"/>
      <c r="O289" s="142"/>
      <c r="P289" s="142"/>
      <c r="Q289" s="142"/>
      <c r="R289" s="142"/>
      <c r="S289" s="142"/>
      <c r="T289" s="142"/>
      <c r="U289" s="142"/>
      <c r="V289" s="142"/>
      <c r="W289" s="142"/>
      <c r="X289" s="142"/>
      <c r="Y289" s="142"/>
      <c r="Z289" s="142"/>
      <c r="AA289" s="131"/>
      <c r="AB289" s="142"/>
      <c r="AC289" s="142"/>
      <c r="AD289" s="142"/>
      <c r="AE289" s="142"/>
      <c r="AF289" s="142"/>
      <c r="AG289" s="142"/>
      <c r="AH289" s="142"/>
      <c r="AI289" s="142"/>
      <c r="AJ289" s="142"/>
      <c r="AK289" s="142"/>
      <c r="AL289" s="142"/>
      <c r="AM289" s="142"/>
      <c r="AN289" s="142"/>
      <c r="AO289" s="142"/>
      <c r="AP289" s="142"/>
    </row>
    <row r="290" ht="13.5" customHeight="1">
      <c r="A290" s="142"/>
      <c r="B290" s="142"/>
      <c r="C290" s="142"/>
      <c r="D290" s="142"/>
      <c r="E290" s="132"/>
      <c r="F290" s="131"/>
      <c r="G290" s="131"/>
      <c r="H290" s="131"/>
      <c r="I290" s="131"/>
      <c r="J290" s="131"/>
      <c r="K290" s="131"/>
      <c r="L290" s="131"/>
      <c r="M290" s="131"/>
      <c r="N290" s="131"/>
      <c r="O290" s="142"/>
      <c r="P290" s="142"/>
      <c r="Q290" s="142"/>
      <c r="R290" s="142"/>
      <c r="S290" s="142"/>
      <c r="T290" s="142"/>
      <c r="U290" s="142"/>
      <c r="V290" s="142"/>
      <c r="W290" s="142"/>
      <c r="X290" s="142"/>
      <c r="Y290" s="142"/>
      <c r="Z290" s="142"/>
      <c r="AA290" s="131"/>
      <c r="AB290" s="142"/>
      <c r="AC290" s="142"/>
      <c r="AD290" s="142"/>
      <c r="AE290" s="142"/>
      <c r="AF290" s="142"/>
      <c r="AG290" s="142"/>
      <c r="AH290" s="142"/>
      <c r="AI290" s="142"/>
      <c r="AJ290" s="142"/>
      <c r="AK290" s="142"/>
      <c r="AL290" s="142"/>
      <c r="AM290" s="142"/>
      <c r="AN290" s="142"/>
      <c r="AO290" s="142"/>
      <c r="AP290" s="142"/>
    </row>
    <row r="291" ht="13.5" customHeight="1">
      <c r="A291" s="142"/>
      <c r="B291" s="142"/>
      <c r="C291" s="142"/>
      <c r="D291" s="142"/>
      <c r="E291" s="132"/>
      <c r="F291" s="131"/>
      <c r="G291" s="131"/>
      <c r="H291" s="131"/>
      <c r="I291" s="131"/>
      <c r="J291" s="131"/>
      <c r="K291" s="131"/>
      <c r="L291" s="131"/>
      <c r="M291" s="131"/>
      <c r="N291" s="131"/>
      <c r="O291" s="142"/>
      <c r="P291" s="142"/>
      <c r="Q291" s="142"/>
      <c r="R291" s="142"/>
      <c r="S291" s="142"/>
      <c r="T291" s="142"/>
      <c r="U291" s="142"/>
      <c r="V291" s="142"/>
      <c r="W291" s="142"/>
      <c r="X291" s="142"/>
      <c r="Y291" s="142"/>
      <c r="Z291" s="142"/>
      <c r="AA291" s="131"/>
      <c r="AB291" s="142"/>
      <c r="AC291" s="142"/>
      <c r="AD291" s="142"/>
      <c r="AE291" s="142"/>
      <c r="AF291" s="142"/>
      <c r="AG291" s="142"/>
      <c r="AH291" s="142"/>
      <c r="AI291" s="142"/>
      <c r="AJ291" s="142"/>
      <c r="AK291" s="142"/>
      <c r="AL291" s="142"/>
      <c r="AM291" s="142"/>
      <c r="AN291" s="142"/>
      <c r="AO291" s="142"/>
      <c r="AP291" s="142"/>
    </row>
    <row r="292" ht="13.5" customHeight="1">
      <c r="A292" s="142"/>
      <c r="B292" s="142"/>
      <c r="C292" s="142"/>
      <c r="D292" s="142"/>
      <c r="E292" s="132"/>
      <c r="F292" s="131"/>
      <c r="G292" s="131"/>
      <c r="H292" s="131"/>
      <c r="I292" s="131"/>
      <c r="J292" s="131"/>
      <c r="K292" s="131"/>
      <c r="L292" s="131"/>
      <c r="M292" s="131"/>
      <c r="N292" s="131"/>
      <c r="O292" s="142"/>
      <c r="P292" s="142"/>
      <c r="Q292" s="142"/>
      <c r="R292" s="142"/>
      <c r="S292" s="142"/>
      <c r="T292" s="142"/>
      <c r="U292" s="142"/>
      <c r="V292" s="142"/>
      <c r="W292" s="142"/>
      <c r="X292" s="142"/>
      <c r="Y292" s="142"/>
      <c r="Z292" s="142"/>
      <c r="AA292" s="131"/>
      <c r="AB292" s="142"/>
      <c r="AC292" s="142"/>
      <c r="AD292" s="142"/>
      <c r="AE292" s="142"/>
      <c r="AF292" s="142"/>
      <c r="AG292" s="142"/>
      <c r="AH292" s="142"/>
      <c r="AI292" s="142"/>
      <c r="AJ292" s="142"/>
      <c r="AK292" s="142"/>
      <c r="AL292" s="142"/>
      <c r="AM292" s="142"/>
      <c r="AN292" s="142"/>
      <c r="AO292" s="142"/>
      <c r="AP292" s="142"/>
    </row>
    <row r="293" ht="13.5" customHeight="1">
      <c r="A293" s="142"/>
      <c r="B293" s="142"/>
      <c r="C293" s="142"/>
      <c r="D293" s="142"/>
      <c r="E293" s="132"/>
      <c r="F293" s="131"/>
      <c r="G293" s="131"/>
      <c r="H293" s="131"/>
      <c r="I293" s="131"/>
      <c r="J293" s="131"/>
      <c r="K293" s="131"/>
      <c r="L293" s="131"/>
      <c r="M293" s="131"/>
      <c r="N293" s="131"/>
      <c r="O293" s="142"/>
      <c r="P293" s="142"/>
      <c r="Q293" s="142"/>
      <c r="R293" s="142"/>
      <c r="S293" s="142"/>
      <c r="T293" s="142"/>
      <c r="U293" s="142"/>
      <c r="V293" s="142"/>
      <c r="W293" s="142"/>
      <c r="X293" s="142"/>
      <c r="Y293" s="142"/>
      <c r="Z293" s="142"/>
      <c r="AA293" s="131"/>
      <c r="AB293" s="142"/>
      <c r="AC293" s="142"/>
      <c r="AD293" s="142"/>
      <c r="AE293" s="142"/>
      <c r="AF293" s="142"/>
      <c r="AG293" s="142"/>
      <c r="AH293" s="142"/>
      <c r="AI293" s="142"/>
      <c r="AJ293" s="142"/>
      <c r="AK293" s="142"/>
      <c r="AL293" s="142"/>
      <c r="AM293" s="142"/>
      <c r="AN293" s="142"/>
      <c r="AO293" s="142"/>
      <c r="AP293" s="142"/>
    </row>
    <row r="294" ht="13.5" customHeight="1">
      <c r="A294" s="142"/>
      <c r="B294" s="142"/>
      <c r="C294" s="142"/>
      <c r="D294" s="142"/>
      <c r="E294" s="132"/>
      <c r="F294" s="131"/>
      <c r="G294" s="131"/>
      <c r="H294" s="131"/>
      <c r="I294" s="131"/>
      <c r="J294" s="131"/>
      <c r="K294" s="131"/>
      <c r="L294" s="131"/>
      <c r="M294" s="131"/>
      <c r="N294" s="131"/>
      <c r="O294" s="142"/>
      <c r="P294" s="142"/>
      <c r="Q294" s="142"/>
      <c r="R294" s="142"/>
      <c r="S294" s="142"/>
      <c r="T294" s="142"/>
      <c r="U294" s="142"/>
      <c r="V294" s="142"/>
      <c r="W294" s="142"/>
      <c r="X294" s="142"/>
      <c r="Y294" s="142"/>
      <c r="Z294" s="142"/>
      <c r="AA294" s="131"/>
      <c r="AB294" s="142"/>
      <c r="AC294" s="142"/>
      <c r="AD294" s="142"/>
      <c r="AE294" s="142"/>
      <c r="AF294" s="142"/>
      <c r="AG294" s="142"/>
      <c r="AH294" s="142"/>
      <c r="AI294" s="142"/>
      <c r="AJ294" s="142"/>
      <c r="AK294" s="142"/>
      <c r="AL294" s="142"/>
      <c r="AM294" s="142"/>
      <c r="AN294" s="142"/>
      <c r="AO294" s="142"/>
      <c r="AP294" s="142"/>
    </row>
    <row r="295" ht="13.5" customHeight="1">
      <c r="A295" s="142"/>
      <c r="B295" s="142"/>
      <c r="C295" s="142"/>
      <c r="D295" s="142"/>
      <c r="E295" s="132"/>
      <c r="F295" s="131"/>
      <c r="G295" s="131"/>
      <c r="H295" s="131"/>
      <c r="I295" s="131"/>
      <c r="J295" s="131"/>
      <c r="K295" s="131"/>
      <c r="L295" s="131"/>
      <c r="M295" s="131"/>
      <c r="N295" s="131"/>
      <c r="O295" s="142"/>
      <c r="P295" s="142"/>
      <c r="Q295" s="142"/>
      <c r="R295" s="142"/>
      <c r="S295" s="142"/>
      <c r="T295" s="142"/>
      <c r="U295" s="142"/>
      <c r="V295" s="142"/>
      <c r="W295" s="142"/>
      <c r="X295" s="142"/>
      <c r="Y295" s="142"/>
      <c r="Z295" s="142"/>
      <c r="AA295" s="131"/>
      <c r="AB295" s="142"/>
      <c r="AC295" s="142"/>
      <c r="AD295" s="142"/>
      <c r="AE295" s="142"/>
      <c r="AF295" s="142"/>
      <c r="AG295" s="142"/>
      <c r="AH295" s="142"/>
      <c r="AI295" s="142"/>
      <c r="AJ295" s="142"/>
      <c r="AK295" s="142"/>
      <c r="AL295" s="142"/>
      <c r="AM295" s="142"/>
      <c r="AN295" s="142"/>
      <c r="AO295" s="142"/>
      <c r="AP295" s="142"/>
    </row>
    <row r="296" ht="13.5" customHeight="1">
      <c r="A296" s="142"/>
      <c r="B296" s="142"/>
      <c r="C296" s="142"/>
      <c r="D296" s="142"/>
      <c r="E296" s="132"/>
      <c r="F296" s="131"/>
      <c r="G296" s="131"/>
      <c r="H296" s="131"/>
      <c r="I296" s="131"/>
      <c r="J296" s="131"/>
      <c r="K296" s="131"/>
      <c r="L296" s="131"/>
      <c r="M296" s="131"/>
      <c r="N296" s="131"/>
      <c r="O296" s="142"/>
      <c r="P296" s="142"/>
      <c r="Q296" s="142"/>
      <c r="R296" s="142"/>
      <c r="S296" s="142"/>
      <c r="T296" s="142"/>
      <c r="U296" s="142"/>
      <c r="V296" s="142"/>
      <c r="W296" s="142"/>
      <c r="X296" s="142"/>
      <c r="Y296" s="142"/>
      <c r="Z296" s="142"/>
      <c r="AA296" s="131"/>
      <c r="AB296" s="142"/>
      <c r="AC296" s="142"/>
      <c r="AD296" s="142"/>
      <c r="AE296" s="142"/>
      <c r="AF296" s="142"/>
      <c r="AG296" s="142"/>
      <c r="AH296" s="142"/>
      <c r="AI296" s="142"/>
      <c r="AJ296" s="142"/>
      <c r="AK296" s="142"/>
      <c r="AL296" s="142"/>
      <c r="AM296" s="142"/>
      <c r="AN296" s="142"/>
      <c r="AO296" s="142"/>
      <c r="AP296" s="142"/>
    </row>
    <row r="297" ht="13.5" customHeight="1">
      <c r="A297" s="142"/>
      <c r="B297" s="142"/>
      <c r="C297" s="142"/>
      <c r="D297" s="142"/>
      <c r="E297" s="132"/>
      <c r="F297" s="131"/>
      <c r="G297" s="131"/>
      <c r="H297" s="131"/>
      <c r="I297" s="131"/>
      <c r="J297" s="131"/>
      <c r="K297" s="131"/>
      <c r="L297" s="131"/>
      <c r="M297" s="131"/>
      <c r="N297" s="131"/>
      <c r="O297" s="142"/>
      <c r="P297" s="142"/>
      <c r="Q297" s="142"/>
      <c r="R297" s="142"/>
      <c r="S297" s="142"/>
      <c r="T297" s="142"/>
      <c r="U297" s="142"/>
      <c r="V297" s="142"/>
      <c r="W297" s="142"/>
      <c r="X297" s="142"/>
      <c r="Y297" s="142"/>
      <c r="Z297" s="142"/>
      <c r="AA297" s="131"/>
      <c r="AB297" s="142"/>
      <c r="AC297" s="142"/>
      <c r="AD297" s="142"/>
      <c r="AE297" s="142"/>
      <c r="AF297" s="142"/>
      <c r="AG297" s="142"/>
      <c r="AH297" s="142"/>
      <c r="AI297" s="142"/>
      <c r="AJ297" s="142"/>
      <c r="AK297" s="142"/>
      <c r="AL297" s="142"/>
      <c r="AM297" s="142"/>
      <c r="AN297" s="142"/>
      <c r="AO297" s="142"/>
      <c r="AP297" s="142"/>
    </row>
    <row r="298" ht="13.5" customHeight="1">
      <c r="A298" s="142"/>
      <c r="B298" s="142"/>
      <c r="C298" s="142"/>
      <c r="D298" s="142"/>
      <c r="E298" s="132"/>
      <c r="F298" s="131"/>
      <c r="G298" s="131"/>
      <c r="H298" s="131"/>
      <c r="I298" s="131"/>
      <c r="J298" s="131"/>
      <c r="K298" s="131"/>
      <c r="L298" s="131"/>
      <c r="M298" s="131"/>
      <c r="N298" s="131"/>
      <c r="O298" s="142"/>
      <c r="P298" s="142"/>
      <c r="Q298" s="142"/>
      <c r="R298" s="142"/>
      <c r="S298" s="142"/>
      <c r="T298" s="142"/>
      <c r="U298" s="142"/>
      <c r="V298" s="142"/>
      <c r="W298" s="142"/>
      <c r="X298" s="142"/>
      <c r="Y298" s="142"/>
      <c r="Z298" s="142"/>
      <c r="AA298" s="131"/>
      <c r="AB298" s="142"/>
      <c r="AC298" s="142"/>
      <c r="AD298" s="142"/>
      <c r="AE298" s="142"/>
      <c r="AF298" s="142"/>
      <c r="AG298" s="142"/>
      <c r="AH298" s="142"/>
      <c r="AI298" s="142"/>
      <c r="AJ298" s="142"/>
      <c r="AK298" s="142"/>
      <c r="AL298" s="142"/>
      <c r="AM298" s="142"/>
      <c r="AN298" s="142"/>
      <c r="AO298" s="142"/>
      <c r="AP298" s="142"/>
    </row>
    <row r="299" ht="13.5" customHeight="1">
      <c r="A299" s="142"/>
      <c r="B299" s="142"/>
      <c r="C299" s="142"/>
      <c r="D299" s="142"/>
      <c r="E299" s="132"/>
      <c r="F299" s="131"/>
      <c r="G299" s="131"/>
      <c r="H299" s="131"/>
      <c r="I299" s="131"/>
      <c r="J299" s="131"/>
      <c r="K299" s="131"/>
      <c r="L299" s="131"/>
      <c r="M299" s="131"/>
      <c r="N299" s="131"/>
      <c r="O299" s="142"/>
      <c r="P299" s="142"/>
      <c r="Q299" s="142"/>
      <c r="R299" s="142"/>
      <c r="S299" s="142"/>
      <c r="T299" s="142"/>
      <c r="U299" s="142"/>
      <c r="V299" s="142"/>
      <c r="W299" s="142"/>
      <c r="X299" s="142"/>
      <c r="Y299" s="142"/>
      <c r="Z299" s="142"/>
      <c r="AA299" s="131"/>
      <c r="AB299" s="142"/>
      <c r="AC299" s="142"/>
      <c r="AD299" s="142"/>
      <c r="AE299" s="142"/>
      <c r="AF299" s="142"/>
      <c r="AG299" s="142"/>
      <c r="AH299" s="142"/>
      <c r="AI299" s="142"/>
      <c r="AJ299" s="142"/>
      <c r="AK299" s="142"/>
      <c r="AL299" s="142"/>
      <c r="AM299" s="142"/>
      <c r="AN299" s="142"/>
      <c r="AO299" s="142"/>
      <c r="AP299" s="142"/>
    </row>
    <row r="300" ht="13.5" customHeight="1">
      <c r="A300" s="142"/>
      <c r="B300" s="142"/>
      <c r="C300" s="142"/>
      <c r="D300" s="142"/>
      <c r="E300" s="132"/>
      <c r="F300" s="131"/>
      <c r="G300" s="131"/>
      <c r="H300" s="131"/>
      <c r="I300" s="131"/>
      <c r="J300" s="131"/>
      <c r="K300" s="131"/>
      <c r="L300" s="131"/>
      <c r="M300" s="131"/>
      <c r="N300" s="131"/>
      <c r="O300" s="142"/>
      <c r="P300" s="142"/>
      <c r="Q300" s="142"/>
      <c r="R300" s="142"/>
      <c r="S300" s="142"/>
      <c r="T300" s="142"/>
      <c r="U300" s="142"/>
      <c r="V300" s="142"/>
      <c r="W300" s="142"/>
      <c r="X300" s="142"/>
      <c r="Y300" s="142"/>
      <c r="Z300" s="142"/>
      <c r="AA300" s="131"/>
      <c r="AB300" s="142"/>
      <c r="AC300" s="142"/>
      <c r="AD300" s="142"/>
      <c r="AE300" s="142"/>
      <c r="AF300" s="142"/>
      <c r="AG300" s="142"/>
      <c r="AH300" s="142"/>
      <c r="AI300" s="142"/>
      <c r="AJ300" s="142"/>
      <c r="AK300" s="142"/>
      <c r="AL300" s="142"/>
      <c r="AM300" s="142"/>
      <c r="AN300" s="142"/>
      <c r="AO300" s="142"/>
      <c r="AP300" s="142"/>
    </row>
    <row r="301" ht="13.5" customHeight="1">
      <c r="A301" s="142"/>
      <c r="B301" s="142"/>
      <c r="C301" s="142"/>
      <c r="D301" s="142"/>
      <c r="E301" s="132"/>
      <c r="F301" s="131"/>
      <c r="G301" s="131"/>
      <c r="H301" s="131"/>
      <c r="I301" s="131"/>
      <c r="J301" s="131"/>
      <c r="K301" s="131"/>
      <c r="L301" s="131"/>
      <c r="M301" s="131"/>
      <c r="N301" s="131"/>
      <c r="O301" s="142"/>
      <c r="P301" s="142"/>
      <c r="Q301" s="142"/>
      <c r="R301" s="142"/>
      <c r="S301" s="142"/>
      <c r="T301" s="142"/>
      <c r="U301" s="142"/>
      <c r="V301" s="142"/>
      <c r="W301" s="142"/>
      <c r="X301" s="142"/>
      <c r="Y301" s="142"/>
      <c r="Z301" s="142"/>
      <c r="AA301" s="131"/>
      <c r="AB301" s="142"/>
      <c r="AC301" s="142"/>
      <c r="AD301" s="142"/>
      <c r="AE301" s="142"/>
      <c r="AF301" s="142"/>
      <c r="AG301" s="142"/>
      <c r="AH301" s="142"/>
      <c r="AI301" s="142"/>
      <c r="AJ301" s="142"/>
      <c r="AK301" s="142"/>
      <c r="AL301" s="142"/>
      <c r="AM301" s="142"/>
      <c r="AN301" s="142"/>
      <c r="AO301" s="142"/>
      <c r="AP301" s="142"/>
    </row>
    <row r="302" ht="13.5" customHeight="1">
      <c r="A302" s="142"/>
      <c r="B302" s="142"/>
      <c r="C302" s="142"/>
      <c r="D302" s="142"/>
      <c r="E302" s="132"/>
      <c r="F302" s="131"/>
      <c r="G302" s="131"/>
      <c r="H302" s="131"/>
      <c r="I302" s="131"/>
      <c r="J302" s="131"/>
      <c r="K302" s="131"/>
      <c r="L302" s="131"/>
      <c r="M302" s="131"/>
      <c r="N302" s="131"/>
      <c r="O302" s="142"/>
      <c r="P302" s="142"/>
      <c r="Q302" s="142"/>
      <c r="R302" s="142"/>
      <c r="S302" s="142"/>
      <c r="T302" s="142"/>
      <c r="U302" s="142"/>
      <c r="V302" s="142"/>
      <c r="W302" s="142"/>
      <c r="X302" s="142"/>
      <c r="Y302" s="142"/>
      <c r="Z302" s="142"/>
      <c r="AA302" s="131"/>
      <c r="AB302" s="142"/>
      <c r="AC302" s="142"/>
      <c r="AD302" s="142"/>
      <c r="AE302" s="142"/>
      <c r="AF302" s="142"/>
      <c r="AG302" s="142"/>
      <c r="AH302" s="142"/>
      <c r="AI302" s="142"/>
      <c r="AJ302" s="142"/>
      <c r="AK302" s="142"/>
      <c r="AL302" s="142"/>
      <c r="AM302" s="142"/>
      <c r="AN302" s="142"/>
      <c r="AO302" s="142"/>
      <c r="AP302" s="142"/>
    </row>
    <row r="303" ht="13.5" customHeight="1">
      <c r="A303" s="142"/>
      <c r="B303" s="142"/>
      <c r="C303" s="142"/>
      <c r="D303" s="142"/>
      <c r="E303" s="132"/>
      <c r="F303" s="131"/>
      <c r="G303" s="131"/>
      <c r="H303" s="131"/>
      <c r="I303" s="131"/>
      <c r="J303" s="131"/>
      <c r="K303" s="131"/>
      <c r="L303" s="131"/>
      <c r="M303" s="131"/>
      <c r="N303" s="131"/>
      <c r="O303" s="142"/>
      <c r="P303" s="142"/>
      <c r="Q303" s="142"/>
      <c r="R303" s="142"/>
      <c r="S303" s="142"/>
      <c r="T303" s="142"/>
      <c r="U303" s="142"/>
      <c r="V303" s="142"/>
      <c r="W303" s="142"/>
      <c r="X303" s="142"/>
      <c r="Y303" s="142"/>
      <c r="Z303" s="142"/>
      <c r="AA303" s="131"/>
      <c r="AB303" s="142"/>
      <c r="AC303" s="142"/>
      <c r="AD303" s="142"/>
      <c r="AE303" s="142"/>
      <c r="AF303" s="142"/>
      <c r="AG303" s="142"/>
      <c r="AH303" s="142"/>
      <c r="AI303" s="142"/>
      <c r="AJ303" s="142"/>
      <c r="AK303" s="142"/>
      <c r="AL303" s="142"/>
      <c r="AM303" s="142"/>
      <c r="AN303" s="142"/>
      <c r="AO303" s="142"/>
      <c r="AP303" s="142"/>
    </row>
    <row r="304" ht="13.5" customHeight="1">
      <c r="A304" s="142"/>
      <c r="B304" s="142"/>
      <c r="C304" s="142"/>
      <c r="D304" s="142"/>
      <c r="E304" s="132"/>
      <c r="F304" s="131"/>
      <c r="G304" s="131"/>
      <c r="H304" s="131"/>
      <c r="I304" s="131"/>
      <c r="J304" s="131"/>
      <c r="K304" s="131"/>
      <c r="L304" s="131"/>
      <c r="M304" s="131"/>
      <c r="N304" s="131"/>
      <c r="O304" s="142"/>
      <c r="P304" s="142"/>
      <c r="Q304" s="142"/>
      <c r="R304" s="142"/>
      <c r="S304" s="142"/>
      <c r="T304" s="142"/>
      <c r="U304" s="142"/>
      <c r="V304" s="142"/>
      <c r="W304" s="142"/>
      <c r="X304" s="142"/>
      <c r="Y304" s="142"/>
      <c r="Z304" s="142"/>
      <c r="AA304" s="131"/>
      <c r="AB304" s="142"/>
      <c r="AC304" s="142"/>
      <c r="AD304" s="142"/>
      <c r="AE304" s="142"/>
      <c r="AF304" s="142"/>
      <c r="AG304" s="142"/>
      <c r="AH304" s="142"/>
      <c r="AI304" s="142"/>
      <c r="AJ304" s="142"/>
      <c r="AK304" s="142"/>
      <c r="AL304" s="142"/>
      <c r="AM304" s="142"/>
      <c r="AN304" s="142"/>
      <c r="AO304" s="142"/>
      <c r="AP304" s="142"/>
    </row>
    <row r="305" ht="13.5" customHeight="1">
      <c r="A305" s="142"/>
      <c r="B305" s="142"/>
      <c r="C305" s="142"/>
      <c r="D305" s="142"/>
      <c r="E305" s="132"/>
      <c r="F305" s="131"/>
      <c r="G305" s="131"/>
      <c r="H305" s="131"/>
      <c r="I305" s="131"/>
      <c r="J305" s="131"/>
      <c r="K305" s="131"/>
      <c r="L305" s="131"/>
      <c r="M305" s="131"/>
      <c r="N305" s="131"/>
      <c r="O305" s="142"/>
      <c r="P305" s="142"/>
      <c r="Q305" s="142"/>
      <c r="R305" s="142"/>
      <c r="S305" s="142"/>
      <c r="T305" s="142"/>
      <c r="U305" s="142"/>
      <c r="V305" s="142"/>
      <c r="W305" s="142"/>
      <c r="X305" s="142"/>
      <c r="Y305" s="142"/>
      <c r="Z305" s="142"/>
      <c r="AA305" s="131"/>
      <c r="AB305" s="142"/>
      <c r="AC305" s="142"/>
      <c r="AD305" s="142"/>
      <c r="AE305" s="142"/>
      <c r="AF305" s="142"/>
      <c r="AG305" s="142"/>
      <c r="AH305" s="142"/>
      <c r="AI305" s="142"/>
      <c r="AJ305" s="142"/>
      <c r="AK305" s="142"/>
      <c r="AL305" s="142"/>
      <c r="AM305" s="142"/>
      <c r="AN305" s="142"/>
      <c r="AO305" s="142"/>
      <c r="AP305" s="142"/>
    </row>
    <row r="306" ht="13.5" customHeight="1">
      <c r="A306" s="142"/>
      <c r="B306" s="142"/>
      <c r="C306" s="142"/>
      <c r="D306" s="142"/>
      <c r="E306" s="132"/>
      <c r="F306" s="131"/>
      <c r="G306" s="131"/>
      <c r="H306" s="131"/>
      <c r="I306" s="131"/>
      <c r="J306" s="131"/>
      <c r="K306" s="131"/>
      <c r="L306" s="131"/>
      <c r="M306" s="131"/>
      <c r="N306" s="131"/>
      <c r="O306" s="142"/>
      <c r="P306" s="142"/>
      <c r="Q306" s="142"/>
      <c r="R306" s="142"/>
      <c r="S306" s="142"/>
      <c r="T306" s="142"/>
      <c r="U306" s="142"/>
      <c r="V306" s="142"/>
      <c r="W306" s="142"/>
      <c r="X306" s="142"/>
      <c r="Y306" s="142"/>
      <c r="Z306" s="142"/>
      <c r="AA306" s="131"/>
      <c r="AB306" s="142"/>
      <c r="AC306" s="142"/>
      <c r="AD306" s="142"/>
      <c r="AE306" s="142"/>
      <c r="AF306" s="142"/>
      <c r="AG306" s="142"/>
      <c r="AH306" s="142"/>
      <c r="AI306" s="142"/>
      <c r="AJ306" s="142"/>
      <c r="AK306" s="142"/>
      <c r="AL306" s="142"/>
      <c r="AM306" s="142"/>
      <c r="AN306" s="142"/>
      <c r="AO306" s="142"/>
      <c r="AP306" s="142"/>
    </row>
    <row r="307" ht="13.5" customHeight="1">
      <c r="A307" s="142"/>
      <c r="B307" s="142"/>
      <c r="C307" s="142"/>
      <c r="D307" s="142"/>
      <c r="E307" s="132"/>
      <c r="F307" s="131"/>
      <c r="G307" s="131"/>
      <c r="H307" s="131"/>
      <c r="I307" s="131"/>
      <c r="J307" s="131"/>
      <c r="K307" s="131"/>
      <c r="L307" s="131"/>
      <c r="M307" s="131"/>
      <c r="N307" s="131"/>
      <c r="O307" s="142"/>
      <c r="P307" s="142"/>
      <c r="Q307" s="142"/>
      <c r="R307" s="142"/>
      <c r="S307" s="142"/>
      <c r="T307" s="142"/>
      <c r="U307" s="142"/>
      <c r="V307" s="142"/>
      <c r="W307" s="142"/>
      <c r="X307" s="142"/>
      <c r="Y307" s="142"/>
      <c r="Z307" s="142"/>
      <c r="AA307" s="131"/>
      <c r="AB307" s="142"/>
      <c r="AC307" s="142"/>
      <c r="AD307" s="142"/>
      <c r="AE307" s="142"/>
      <c r="AF307" s="142"/>
      <c r="AG307" s="142"/>
      <c r="AH307" s="142"/>
      <c r="AI307" s="142"/>
      <c r="AJ307" s="142"/>
      <c r="AK307" s="142"/>
      <c r="AL307" s="142"/>
      <c r="AM307" s="142"/>
      <c r="AN307" s="142"/>
      <c r="AO307" s="142"/>
      <c r="AP307" s="142"/>
    </row>
    <row r="308" ht="13.5" customHeight="1">
      <c r="A308" s="142"/>
      <c r="B308" s="142"/>
      <c r="C308" s="142"/>
      <c r="D308" s="142"/>
      <c r="E308" s="132"/>
      <c r="F308" s="131"/>
      <c r="G308" s="131"/>
      <c r="H308" s="131"/>
      <c r="I308" s="131"/>
      <c r="J308" s="131"/>
      <c r="K308" s="131"/>
      <c r="L308" s="131"/>
      <c r="M308" s="131"/>
      <c r="N308" s="131"/>
      <c r="O308" s="142"/>
      <c r="P308" s="142"/>
      <c r="Q308" s="142"/>
      <c r="R308" s="142"/>
      <c r="S308" s="142"/>
      <c r="T308" s="142"/>
      <c r="U308" s="142"/>
      <c r="V308" s="142"/>
      <c r="W308" s="142"/>
      <c r="X308" s="142"/>
      <c r="Y308" s="142"/>
      <c r="Z308" s="142"/>
      <c r="AA308" s="131"/>
      <c r="AB308" s="142"/>
      <c r="AC308" s="142"/>
      <c r="AD308" s="142"/>
      <c r="AE308" s="142"/>
      <c r="AF308" s="142"/>
      <c r="AG308" s="142"/>
      <c r="AH308" s="142"/>
      <c r="AI308" s="142"/>
      <c r="AJ308" s="142"/>
      <c r="AK308" s="142"/>
      <c r="AL308" s="142"/>
      <c r="AM308" s="142"/>
      <c r="AN308" s="142"/>
      <c r="AO308" s="142"/>
      <c r="AP308" s="142"/>
    </row>
    <row r="309" ht="13.5" customHeight="1">
      <c r="A309" s="142"/>
      <c r="B309" s="142"/>
      <c r="C309" s="142"/>
      <c r="D309" s="142"/>
      <c r="E309" s="132"/>
      <c r="F309" s="131"/>
      <c r="G309" s="131"/>
      <c r="H309" s="131"/>
      <c r="I309" s="131"/>
      <c r="J309" s="131"/>
      <c r="K309" s="131"/>
      <c r="L309" s="131"/>
      <c r="M309" s="131"/>
      <c r="N309" s="131"/>
      <c r="O309" s="142"/>
      <c r="P309" s="142"/>
      <c r="Q309" s="142"/>
      <c r="R309" s="142"/>
      <c r="S309" s="142"/>
      <c r="T309" s="142"/>
      <c r="U309" s="142"/>
      <c r="V309" s="142"/>
      <c r="W309" s="142"/>
      <c r="X309" s="142"/>
      <c r="Y309" s="142"/>
      <c r="Z309" s="142"/>
      <c r="AA309" s="131"/>
      <c r="AB309" s="142"/>
      <c r="AC309" s="142"/>
      <c r="AD309" s="142"/>
      <c r="AE309" s="142"/>
      <c r="AF309" s="142"/>
      <c r="AG309" s="142"/>
      <c r="AH309" s="142"/>
      <c r="AI309" s="142"/>
      <c r="AJ309" s="142"/>
      <c r="AK309" s="142"/>
      <c r="AL309" s="142"/>
      <c r="AM309" s="142"/>
      <c r="AN309" s="142"/>
      <c r="AO309" s="142"/>
      <c r="AP309" s="142"/>
    </row>
    <row r="310" ht="13.5" customHeight="1">
      <c r="A310" s="142"/>
      <c r="B310" s="142"/>
      <c r="C310" s="142"/>
      <c r="D310" s="142"/>
      <c r="E310" s="132"/>
      <c r="F310" s="131"/>
      <c r="G310" s="131"/>
      <c r="H310" s="131"/>
      <c r="I310" s="131"/>
      <c r="J310" s="131"/>
      <c r="K310" s="131"/>
      <c r="L310" s="131"/>
      <c r="M310" s="131"/>
      <c r="N310" s="131"/>
      <c r="O310" s="142"/>
      <c r="P310" s="142"/>
      <c r="Q310" s="142"/>
      <c r="R310" s="142"/>
      <c r="S310" s="142"/>
      <c r="T310" s="142"/>
      <c r="U310" s="142"/>
      <c r="V310" s="142"/>
      <c r="W310" s="142"/>
      <c r="X310" s="142"/>
      <c r="Y310" s="142"/>
      <c r="Z310" s="142"/>
      <c r="AA310" s="131"/>
      <c r="AB310" s="142"/>
      <c r="AC310" s="142"/>
      <c r="AD310" s="142"/>
      <c r="AE310" s="142"/>
      <c r="AF310" s="142"/>
      <c r="AG310" s="142"/>
      <c r="AH310" s="142"/>
      <c r="AI310" s="142"/>
      <c r="AJ310" s="142"/>
      <c r="AK310" s="142"/>
      <c r="AL310" s="142"/>
      <c r="AM310" s="142"/>
      <c r="AN310" s="142"/>
      <c r="AO310" s="142"/>
      <c r="AP310" s="142"/>
    </row>
    <row r="311" ht="13.5" customHeight="1">
      <c r="A311" s="142"/>
      <c r="B311" s="142"/>
      <c r="C311" s="142"/>
      <c r="D311" s="142"/>
      <c r="E311" s="132"/>
      <c r="F311" s="131"/>
      <c r="G311" s="131"/>
      <c r="H311" s="131"/>
      <c r="I311" s="131"/>
      <c r="J311" s="131"/>
      <c r="K311" s="131"/>
      <c r="L311" s="131"/>
      <c r="M311" s="131"/>
      <c r="N311" s="131"/>
      <c r="O311" s="142"/>
      <c r="P311" s="142"/>
      <c r="Q311" s="142"/>
      <c r="R311" s="142"/>
      <c r="S311" s="142"/>
      <c r="T311" s="142"/>
      <c r="U311" s="142"/>
      <c r="V311" s="142"/>
      <c r="W311" s="142"/>
      <c r="X311" s="142"/>
      <c r="Y311" s="142"/>
      <c r="Z311" s="142"/>
      <c r="AA311" s="131"/>
      <c r="AB311" s="142"/>
      <c r="AC311" s="142"/>
      <c r="AD311" s="142"/>
      <c r="AE311" s="142"/>
      <c r="AF311" s="142"/>
      <c r="AG311" s="142"/>
      <c r="AH311" s="142"/>
      <c r="AI311" s="142"/>
      <c r="AJ311" s="142"/>
      <c r="AK311" s="142"/>
      <c r="AL311" s="142"/>
      <c r="AM311" s="142"/>
      <c r="AN311" s="142"/>
      <c r="AO311" s="142"/>
      <c r="AP311" s="142"/>
    </row>
    <row r="312" ht="13.5" customHeight="1">
      <c r="A312" s="142"/>
      <c r="B312" s="142"/>
      <c r="C312" s="142"/>
      <c r="D312" s="142"/>
      <c r="E312" s="132"/>
      <c r="F312" s="131"/>
      <c r="G312" s="131"/>
      <c r="H312" s="131"/>
      <c r="I312" s="131"/>
      <c r="J312" s="131"/>
      <c r="K312" s="131"/>
      <c r="L312" s="131"/>
      <c r="M312" s="131"/>
      <c r="N312" s="131"/>
      <c r="O312" s="142"/>
      <c r="P312" s="142"/>
      <c r="Q312" s="142"/>
      <c r="R312" s="142"/>
      <c r="S312" s="142"/>
      <c r="T312" s="142"/>
      <c r="U312" s="142"/>
      <c r="V312" s="142"/>
      <c r="W312" s="142"/>
      <c r="X312" s="142"/>
      <c r="Y312" s="142"/>
      <c r="Z312" s="142"/>
      <c r="AA312" s="131"/>
      <c r="AB312" s="142"/>
      <c r="AC312" s="142"/>
      <c r="AD312" s="142"/>
      <c r="AE312" s="142"/>
      <c r="AF312" s="142"/>
      <c r="AG312" s="142"/>
      <c r="AH312" s="142"/>
      <c r="AI312" s="142"/>
      <c r="AJ312" s="142"/>
      <c r="AK312" s="142"/>
      <c r="AL312" s="142"/>
      <c r="AM312" s="142"/>
      <c r="AN312" s="142"/>
      <c r="AO312" s="142"/>
      <c r="AP312" s="142"/>
    </row>
    <row r="313" ht="13.5" customHeight="1">
      <c r="A313" s="142"/>
      <c r="B313" s="142"/>
      <c r="C313" s="142"/>
      <c r="D313" s="142"/>
      <c r="E313" s="132"/>
      <c r="F313" s="131"/>
      <c r="G313" s="131"/>
      <c r="H313" s="131"/>
      <c r="I313" s="131"/>
      <c r="J313" s="131"/>
      <c r="K313" s="131"/>
      <c r="L313" s="131"/>
      <c r="M313" s="131"/>
      <c r="N313" s="131"/>
      <c r="O313" s="142"/>
      <c r="P313" s="142"/>
      <c r="Q313" s="142"/>
      <c r="R313" s="142"/>
      <c r="S313" s="142"/>
      <c r="T313" s="142"/>
      <c r="U313" s="142"/>
      <c r="V313" s="142"/>
      <c r="W313" s="142"/>
      <c r="X313" s="142"/>
      <c r="Y313" s="142"/>
      <c r="Z313" s="142"/>
      <c r="AA313" s="131"/>
      <c r="AB313" s="142"/>
      <c r="AC313" s="142"/>
      <c r="AD313" s="142"/>
      <c r="AE313" s="142"/>
      <c r="AF313" s="142"/>
      <c r="AG313" s="142"/>
      <c r="AH313" s="142"/>
      <c r="AI313" s="142"/>
      <c r="AJ313" s="142"/>
      <c r="AK313" s="142"/>
      <c r="AL313" s="142"/>
      <c r="AM313" s="142"/>
      <c r="AN313" s="142"/>
      <c r="AO313" s="142"/>
      <c r="AP313" s="142"/>
    </row>
    <row r="314" ht="13.5" customHeight="1">
      <c r="A314" s="142"/>
      <c r="B314" s="142"/>
      <c r="C314" s="142"/>
      <c r="D314" s="142"/>
      <c r="E314" s="132"/>
      <c r="F314" s="131"/>
      <c r="G314" s="131"/>
      <c r="H314" s="131"/>
      <c r="I314" s="131"/>
      <c r="J314" s="131"/>
      <c r="K314" s="131"/>
      <c r="L314" s="131"/>
      <c r="M314" s="131"/>
      <c r="N314" s="131"/>
      <c r="O314" s="142"/>
      <c r="P314" s="142"/>
      <c r="Q314" s="142"/>
      <c r="R314" s="142"/>
      <c r="S314" s="142"/>
      <c r="T314" s="142"/>
      <c r="U314" s="142"/>
      <c r="V314" s="142"/>
      <c r="W314" s="142"/>
      <c r="X314" s="142"/>
      <c r="Y314" s="142"/>
      <c r="Z314" s="142"/>
      <c r="AA314" s="131"/>
      <c r="AB314" s="142"/>
      <c r="AC314" s="142"/>
      <c r="AD314" s="142"/>
      <c r="AE314" s="142"/>
      <c r="AF314" s="142"/>
      <c r="AG314" s="142"/>
      <c r="AH314" s="142"/>
      <c r="AI314" s="142"/>
      <c r="AJ314" s="142"/>
      <c r="AK314" s="142"/>
      <c r="AL314" s="142"/>
      <c r="AM314" s="142"/>
      <c r="AN314" s="142"/>
      <c r="AO314" s="142"/>
      <c r="AP314" s="142"/>
    </row>
    <row r="315" ht="13.5" customHeight="1">
      <c r="A315" s="142"/>
      <c r="B315" s="142"/>
      <c r="C315" s="142"/>
      <c r="D315" s="142"/>
      <c r="E315" s="132"/>
      <c r="F315" s="131"/>
      <c r="G315" s="131"/>
      <c r="H315" s="131"/>
      <c r="I315" s="131"/>
      <c r="J315" s="131"/>
      <c r="K315" s="131"/>
      <c r="L315" s="131"/>
      <c r="M315" s="131"/>
      <c r="N315" s="131"/>
      <c r="O315" s="142"/>
      <c r="P315" s="142"/>
      <c r="Q315" s="142"/>
      <c r="R315" s="142"/>
      <c r="S315" s="142"/>
      <c r="T315" s="142"/>
      <c r="U315" s="142"/>
      <c r="V315" s="142"/>
      <c r="W315" s="142"/>
      <c r="X315" s="142"/>
      <c r="Y315" s="142"/>
      <c r="Z315" s="142"/>
      <c r="AA315" s="131"/>
      <c r="AB315" s="142"/>
      <c r="AC315" s="142"/>
      <c r="AD315" s="142"/>
      <c r="AE315" s="142"/>
      <c r="AF315" s="142"/>
      <c r="AG315" s="142"/>
      <c r="AH315" s="142"/>
      <c r="AI315" s="142"/>
      <c r="AJ315" s="142"/>
      <c r="AK315" s="142"/>
      <c r="AL315" s="142"/>
      <c r="AM315" s="142"/>
      <c r="AN315" s="142"/>
      <c r="AO315" s="142"/>
      <c r="AP315" s="142"/>
    </row>
    <row r="316" ht="13.5" customHeight="1">
      <c r="A316" s="142"/>
      <c r="B316" s="142"/>
      <c r="C316" s="142"/>
      <c r="D316" s="142"/>
      <c r="E316" s="132"/>
      <c r="F316" s="131"/>
      <c r="G316" s="131"/>
      <c r="H316" s="131"/>
      <c r="I316" s="131"/>
      <c r="J316" s="131"/>
      <c r="K316" s="131"/>
      <c r="L316" s="131"/>
      <c r="M316" s="131"/>
      <c r="N316" s="131"/>
      <c r="O316" s="142"/>
      <c r="P316" s="142"/>
      <c r="Q316" s="142"/>
      <c r="R316" s="142"/>
      <c r="S316" s="142"/>
      <c r="T316" s="142"/>
      <c r="U316" s="142"/>
      <c r="V316" s="142"/>
      <c r="W316" s="142"/>
      <c r="X316" s="142"/>
      <c r="Y316" s="142"/>
      <c r="Z316" s="142"/>
      <c r="AA316" s="131"/>
      <c r="AB316" s="142"/>
      <c r="AC316" s="142"/>
      <c r="AD316" s="142"/>
      <c r="AE316" s="142"/>
      <c r="AF316" s="142"/>
      <c r="AG316" s="142"/>
      <c r="AH316" s="142"/>
      <c r="AI316" s="142"/>
      <c r="AJ316" s="142"/>
      <c r="AK316" s="142"/>
      <c r="AL316" s="142"/>
      <c r="AM316" s="142"/>
      <c r="AN316" s="142"/>
      <c r="AO316" s="142"/>
      <c r="AP316" s="142"/>
    </row>
    <row r="317" ht="13.5" customHeight="1">
      <c r="A317" s="142"/>
      <c r="B317" s="142"/>
      <c r="C317" s="142"/>
      <c r="D317" s="142"/>
      <c r="E317" s="132"/>
      <c r="F317" s="131"/>
      <c r="G317" s="131"/>
      <c r="H317" s="131"/>
      <c r="I317" s="131"/>
      <c r="J317" s="131"/>
      <c r="K317" s="131"/>
      <c r="L317" s="131"/>
      <c r="M317" s="131"/>
      <c r="N317" s="131"/>
      <c r="O317" s="142"/>
      <c r="P317" s="142"/>
      <c r="Q317" s="142"/>
      <c r="R317" s="142"/>
      <c r="S317" s="142"/>
      <c r="T317" s="142"/>
      <c r="U317" s="142"/>
      <c r="V317" s="142"/>
      <c r="W317" s="142"/>
      <c r="X317" s="142"/>
      <c r="Y317" s="142"/>
      <c r="Z317" s="142"/>
      <c r="AA317" s="131"/>
      <c r="AB317" s="142"/>
      <c r="AC317" s="142"/>
      <c r="AD317" s="142"/>
      <c r="AE317" s="142"/>
      <c r="AF317" s="142"/>
      <c r="AG317" s="142"/>
      <c r="AH317" s="142"/>
      <c r="AI317" s="142"/>
      <c r="AJ317" s="142"/>
      <c r="AK317" s="142"/>
      <c r="AL317" s="142"/>
      <c r="AM317" s="142"/>
      <c r="AN317" s="142"/>
      <c r="AO317" s="142"/>
      <c r="AP317" s="142"/>
    </row>
    <row r="318" ht="13.5" customHeight="1">
      <c r="A318" s="142"/>
      <c r="B318" s="142"/>
      <c r="C318" s="142"/>
      <c r="D318" s="142"/>
      <c r="E318" s="132"/>
      <c r="F318" s="131"/>
      <c r="G318" s="131"/>
      <c r="H318" s="131"/>
      <c r="I318" s="131"/>
      <c r="J318" s="131"/>
      <c r="K318" s="131"/>
      <c r="L318" s="131"/>
      <c r="M318" s="131"/>
      <c r="N318" s="131"/>
      <c r="O318" s="142"/>
      <c r="P318" s="142"/>
      <c r="Q318" s="142"/>
      <c r="R318" s="142"/>
      <c r="S318" s="142"/>
      <c r="T318" s="142"/>
      <c r="U318" s="142"/>
      <c r="V318" s="142"/>
      <c r="W318" s="142"/>
      <c r="X318" s="142"/>
      <c r="Y318" s="142"/>
      <c r="Z318" s="142"/>
      <c r="AA318" s="131"/>
      <c r="AB318" s="142"/>
      <c r="AC318" s="142"/>
      <c r="AD318" s="142"/>
      <c r="AE318" s="142"/>
      <c r="AF318" s="142"/>
      <c r="AG318" s="142"/>
      <c r="AH318" s="142"/>
      <c r="AI318" s="142"/>
      <c r="AJ318" s="142"/>
      <c r="AK318" s="142"/>
      <c r="AL318" s="142"/>
      <c r="AM318" s="142"/>
      <c r="AN318" s="142"/>
      <c r="AO318" s="142"/>
      <c r="AP318" s="142"/>
    </row>
    <row r="319" ht="13.5" customHeight="1">
      <c r="A319" s="142"/>
      <c r="B319" s="142"/>
      <c r="C319" s="142"/>
      <c r="D319" s="142"/>
      <c r="E319" s="132"/>
      <c r="F319" s="131"/>
      <c r="G319" s="131"/>
      <c r="H319" s="131"/>
      <c r="I319" s="131"/>
      <c r="J319" s="131"/>
      <c r="K319" s="131"/>
      <c r="L319" s="131"/>
      <c r="M319" s="131"/>
      <c r="N319" s="131"/>
      <c r="O319" s="142"/>
      <c r="P319" s="142"/>
      <c r="Q319" s="142"/>
      <c r="R319" s="142"/>
      <c r="S319" s="142"/>
      <c r="T319" s="142"/>
      <c r="U319" s="142"/>
      <c r="V319" s="142"/>
      <c r="W319" s="142"/>
      <c r="X319" s="142"/>
      <c r="Y319" s="142"/>
      <c r="Z319" s="142"/>
      <c r="AA319" s="131"/>
      <c r="AB319" s="142"/>
      <c r="AC319" s="142"/>
      <c r="AD319" s="142"/>
      <c r="AE319" s="142"/>
      <c r="AF319" s="142"/>
      <c r="AG319" s="142"/>
      <c r="AH319" s="142"/>
      <c r="AI319" s="142"/>
      <c r="AJ319" s="142"/>
      <c r="AK319" s="142"/>
      <c r="AL319" s="142"/>
      <c r="AM319" s="142"/>
      <c r="AN319" s="142"/>
      <c r="AO319" s="142"/>
      <c r="AP319" s="142"/>
    </row>
    <row r="320" ht="13.5" customHeight="1">
      <c r="A320" s="142"/>
      <c r="B320" s="142"/>
      <c r="C320" s="142"/>
      <c r="D320" s="142"/>
      <c r="E320" s="132"/>
      <c r="F320" s="131"/>
      <c r="G320" s="131"/>
      <c r="H320" s="131"/>
      <c r="I320" s="131"/>
      <c r="J320" s="131"/>
      <c r="K320" s="131"/>
      <c r="L320" s="131"/>
      <c r="M320" s="131"/>
      <c r="N320" s="131"/>
      <c r="O320" s="142"/>
      <c r="P320" s="142"/>
      <c r="Q320" s="142"/>
      <c r="R320" s="142"/>
      <c r="S320" s="142"/>
      <c r="T320" s="142"/>
      <c r="U320" s="142"/>
      <c r="V320" s="142"/>
      <c r="W320" s="142"/>
      <c r="X320" s="142"/>
      <c r="Y320" s="142"/>
      <c r="Z320" s="142"/>
      <c r="AA320" s="131"/>
      <c r="AB320" s="142"/>
      <c r="AC320" s="142"/>
      <c r="AD320" s="142"/>
      <c r="AE320" s="142"/>
      <c r="AF320" s="142"/>
      <c r="AG320" s="142"/>
      <c r="AH320" s="142"/>
      <c r="AI320" s="142"/>
      <c r="AJ320" s="142"/>
      <c r="AK320" s="142"/>
      <c r="AL320" s="142"/>
      <c r="AM320" s="142"/>
      <c r="AN320" s="142"/>
      <c r="AO320" s="142"/>
      <c r="AP320" s="142"/>
    </row>
    <row r="321" ht="13.5" customHeight="1">
      <c r="A321" s="142"/>
      <c r="B321" s="142"/>
      <c r="C321" s="142"/>
      <c r="D321" s="142"/>
      <c r="E321" s="132"/>
      <c r="F321" s="131"/>
      <c r="G321" s="131"/>
      <c r="H321" s="131"/>
      <c r="I321" s="131"/>
      <c r="J321" s="131"/>
      <c r="K321" s="131"/>
      <c r="L321" s="131"/>
      <c r="M321" s="131"/>
      <c r="N321" s="131"/>
      <c r="O321" s="142"/>
      <c r="P321" s="142"/>
      <c r="Q321" s="142"/>
      <c r="R321" s="142"/>
      <c r="S321" s="142"/>
      <c r="T321" s="142"/>
      <c r="U321" s="142"/>
      <c r="V321" s="142"/>
      <c r="W321" s="142"/>
      <c r="X321" s="142"/>
      <c r="Y321" s="142"/>
      <c r="Z321" s="142"/>
      <c r="AA321" s="131"/>
      <c r="AB321" s="142"/>
      <c r="AC321" s="142"/>
      <c r="AD321" s="142"/>
      <c r="AE321" s="142"/>
      <c r="AF321" s="142"/>
      <c r="AG321" s="142"/>
      <c r="AH321" s="142"/>
      <c r="AI321" s="142"/>
      <c r="AJ321" s="142"/>
      <c r="AK321" s="142"/>
      <c r="AL321" s="142"/>
      <c r="AM321" s="142"/>
      <c r="AN321" s="142"/>
      <c r="AO321" s="142"/>
      <c r="AP321" s="142"/>
    </row>
    <row r="322" ht="13.5" customHeight="1">
      <c r="A322" s="142"/>
      <c r="B322" s="142"/>
      <c r="C322" s="142"/>
      <c r="D322" s="142"/>
      <c r="E322" s="132"/>
      <c r="F322" s="131"/>
      <c r="G322" s="131"/>
      <c r="H322" s="131"/>
      <c r="I322" s="131"/>
      <c r="J322" s="131"/>
      <c r="K322" s="131"/>
      <c r="L322" s="131"/>
      <c r="M322" s="131"/>
      <c r="N322" s="131"/>
      <c r="O322" s="142"/>
      <c r="P322" s="142"/>
      <c r="Q322" s="142"/>
      <c r="R322" s="142"/>
      <c r="S322" s="142"/>
      <c r="T322" s="142"/>
      <c r="U322" s="142"/>
      <c r="V322" s="142"/>
      <c r="W322" s="142"/>
      <c r="X322" s="142"/>
      <c r="Y322" s="142"/>
      <c r="Z322" s="142"/>
      <c r="AA322" s="131"/>
      <c r="AB322" s="142"/>
      <c r="AC322" s="142"/>
      <c r="AD322" s="142"/>
      <c r="AE322" s="142"/>
      <c r="AF322" s="142"/>
      <c r="AG322" s="142"/>
      <c r="AH322" s="142"/>
      <c r="AI322" s="142"/>
      <c r="AJ322" s="142"/>
      <c r="AK322" s="142"/>
      <c r="AL322" s="142"/>
      <c r="AM322" s="142"/>
      <c r="AN322" s="142"/>
      <c r="AO322" s="142"/>
      <c r="AP322" s="142"/>
    </row>
    <row r="323" ht="13.5" customHeight="1">
      <c r="A323" s="142"/>
      <c r="B323" s="142"/>
      <c r="C323" s="142"/>
      <c r="D323" s="142"/>
      <c r="E323" s="132"/>
      <c r="F323" s="131"/>
      <c r="G323" s="131"/>
      <c r="H323" s="131"/>
      <c r="I323" s="131"/>
      <c r="J323" s="131"/>
      <c r="K323" s="131"/>
      <c r="L323" s="131"/>
      <c r="M323" s="131"/>
      <c r="N323" s="131"/>
      <c r="O323" s="142"/>
      <c r="P323" s="142"/>
      <c r="Q323" s="142"/>
      <c r="R323" s="142"/>
      <c r="S323" s="142"/>
      <c r="T323" s="142"/>
      <c r="U323" s="142"/>
      <c r="V323" s="142"/>
      <c r="W323" s="142"/>
      <c r="X323" s="142"/>
      <c r="Y323" s="142"/>
      <c r="Z323" s="142"/>
      <c r="AA323" s="131"/>
      <c r="AB323" s="142"/>
      <c r="AC323" s="142"/>
      <c r="AD323" s="142"/>
      <c r="AE323" s="142"/>
      <c r="AF323" s="142"/>
      <c r="AG323" s="142"/>
      <c r="AH323" s="142"/>
      <c r="AI323" s="142"/>
      <c r="AJ323" s="142"/>
      <c r="AK323" s="142"/>
      <c r="AL323" s="142"/>
      <c r="AM323" s="142"/>
      <c r="AN323" s="142"/>
      <c r="AO323" s="142"/>
      <c r="AP323" s="142"/>
    </row>
    <row r="324" ht="13.5" customHeight="1">
      <c r="A324" s="142"/>
      <c r="B324" s="142"/>
      <c r="C324" s="142"/>
      <c r="D324" s="142"/>
      <c r="E324" s="132"/>
      <c r="F324" s="131"/>
      <c r="G324" s="131"/>
      <c r="H324" s="131"/>
      <c r="I324" s="131"/>
      <c r="J324" s="131"/>
      <c r="K324" s="131"/>
      <c r="L324" s="131"/>
      <c r="M324" s="131"/>
      <c r="N324" s="131"/>
      <c r="O324" s="142"/>
      <c r="P324" s="142"/>
      <c r="Q324" s="142"/>
      <c r="R324" s="142"/>
      <c r="S324" s="142"/>
      <c r="T324" s="142"/>
      <c r="U324" s="142"/>
      <c r="V324" s="142"/>
      <c r="W324" s="142"/>
      <c r="X324" s="142"/>
      <c r="Y324" s="142"/>
      <c r="Z324" s="142"/>
      <c r="AA324" s="131"/>
      <c r="AB324" s="142"/>
      <c r="AC324" s="142"/>
      <c r="AD324" s="142"/>
      <c r="AE324" s="142"/>
      <c r="AF324" s="142"/>
      <c r="AG324" s="142"/>
      <c r="AH324" s="142"/>
      <c r="AI324" s="142"/>
      <c r="AJ324" s="142"/>
      <c r="AK324" s="142"/>
      <c r="AL324" s="142"/>
      <c r="AM324" s="142"/>
      <c r="AN324" s="142"/>
      <c r="AO324" s="142"/>
      <c r="AP324" s="142"/>
    </row>
    <row r="325" ht="13.5" customHeight="1">
      <c r="A325" s="142"/>
      <c r="B325" s="142"/>
      <c r="C325" s="142"/>
      <c r="D325" s="142"/>
      <c r="E325" s="132"/>
      <c r="F325" s="131"/>
      <c r="G325" s="131"/>
      <c r="H325" s="131"/>
      <c r="I325" s="131"/>
      <c r="J325" s="131"/>
      <c r="K325" s="131"/>
      <c r="L325" s="131"/>
      <c r="M325" s="131"/>
      <c r="N325" s="131"/>
      <c r="O325" s="142"/>
      <c r="P325" s="142"/>
      <c r="Q325" s="142"/>
      <c r="R325" s="142"/>
      <c r="S325" s="142"/>
      <c r="T325" s="142"/>
      <c r="U325" s="142"/>
      <c r="V325" s="142"/>
      <c r="W325" s="142"/>
      <c r="X325" s="142"/>
      <c r="Y325" s="142"/>
      <c r="Z325" s="142"/>
      <c r="AA325" s="131"/>
      <c r="AB325" s="142"/>
      <c r="AC325" s="142"/>
      <c r="AD325" s="142"/>
      <c r="AE325" s="142"/>
      <c r="AF325" s="142"/>
      <c r="AG325" s="142"/>
      <c r="AH325" s="142"/>
      <c r="AI325" s="142"/>
      <c r="AJ325" s="142"/>
      <c r="AK325" s="142"/>
      <c r="AL325" s="142"/>
      <c r="AM325" s="142"/>
      <c r="AN325" s="142"/>
      <c r="AO325" s="142"/>
      <c r="AP325" s="142"/>
    </row>
    <row r="326" ht="13.5" customHeight="1">
      <c r="A326" s="142"/>
      <c r="B326" s="142"/>
      <c r="C326" s="142"/>
      <c r="D326" s="142"/>
      <c r="E326" s="132"/>
      <c r="F326" s="131"/>
      <c r="G326" s="131"/>
      <c r="H326" s="131"/>
      <c r="I326" s="131"/>
      <c r="J326" s="131"/>
      <c r="K326" s="131"/>
      <c r="L326" s="131"/>
      <c r="M326" s="131"/>
      <c r="N326" s="131"/>
      <c r="O326" s="142"/>
      <c r="P326" s="142"/>
      <c r="Q326" s="142"/>
      <c r="R326" s="142"/>
      <c r="S326" s="142"/>
      <c r="T326" s="142"/>
      <c r="U326" s="142"/>
      <c r="V326" s="142"/>
      <c r="W326" s="142"/>
      <c r="X326" s="142"/>
      <c r="Y326" s="142"/>
      <c r="Z326" s="142"/>
      <c r="AA326" s="131"/>
      <c r="AB326" s="142"/>
      <c r="AC326" s="142"/>
      <c r="AD326" s="142"/>
      <c r="AE326" s="142"/>
      <c r="AF326" s="142"/>
      <c r="AG326" s="142"/>
      <c r="AH326" s="142"/>
      <c r="AI326" s="142"/>
      <c r="AJ326" s="142"/>
      <c r="AK326" s="142"/>
      <c r="AL326" s="142"/>
      <c r="AM326" s="142"/>
      <c r="AN326" s="142"/>
      <c r="AO326" s="142"/>
      <c r="AP326" s="142"/>
    </row>
    <row r="327" ht="13.5" customHeight="1">
      <c r="A327" s="142"/>
      <c r="B327" s="142"/>
      <c r="C327" s="142"/>
      <c r="D327" s="142"/>
      <c r="E327" s="132"/>
      <c r="F327" s="131"/>
      <c r="G327" s="131"/>
      <c r="H327" s="131"/>
      <c r="I327" s="131"/>
      <c r="J327" s="131"/>
      <c r="K327" s="131"/>
      <c r="L327" s="131"/>
      <c r="M327" s="131"/>
      <c r="N327" s="131"/>
      <c r="O327" s="142"/>
      <c r="P327" s="142"/>
      <c r="Q327" s="142"/>
      <c r="R327" s="142"/>
      <c r="S327" s="142"/>
      <c r="T327" s="142"/>
      <c r="U327" s="142"/>
      <c r="V327" s="142"/>
      <c r="W327" s="142"/>
      <c r="X327" s="142"/>
      <c r="Y327" s="142"/>
      <c r="Z327" s="142"/>
      <c r="AA327" s="131"/>
      <c r="AB327" s="142"/>
      <c r="AC327" s="142"/>
      <c r="AD327" s="142"/>
      <c r="AE327" s="142"/>
      <c r="AF327" s="142"/>
      <c r="AG327" s="142"/>
      <c r="AH327" s="142"/>
      <c r="AI327" s="142"/>
      <c r="AJ327" s="142"/>
      <c r="AK327" s="142"/>
      <c r="AL327" s="142"/>
      <c r="AM327" s="142"/>
      <c r="AN327" s="142"/>
      <c r="AO327" s="142"/>
      <c r="AP327" s="142"/>
    </row>
    <row r="328" ht="13.5" customHeight="1">
      <c r="A328" s="142"/>
      <c r="B328" s="142"/>
      <c r="C328" s="142"/>
      <c r="D328" s="142"/>
      <c r="E328" s="132"/>
      <c r="F328" s="131"/>
      <c r="G328" s="131"/>
      <c r="H328" s="131"/>
      <c r="I328" s="131"/>
      <c r="J328" s="131"/>
      <c r="K328" s="131"/>
      <c r="L328" s="131"/>
      <c r="M328" s="131"/>
      <c r="N328" s="131"/>
      <c r="O328" s="142"/>
      <c r="P328" s="142"/>
      <c r="Q328" s="142"/>
      <c r="R328" s="142"/>
      <c r="S328" s="142"/>
      <c r="T328" s="142"/>
      <c r="U328" s="142"/>
      <c r="V328" s="142"/>
      <c r="W328" s="142"/>
      <c r="X328" s="142"/>
      <c r="Y328" s="142"/>
      <c r="Z328" s="142"/>
      <c r="AA328" s="131"/>
      <c r="AB328" s="142"/>
      <c r="AC328" s="142"/>
      <c r="AD328" s="142"/>
      <c r="AE328" s="142"/>
      <c r="AF328" s="142"/>
      <c r="AG328" s="142"/>
      <c r="AH328" s="142"/>
      <c r="AI328" s="142"/>
      <c r="AJ328" s="142"/>
      <c r="AK328" s="142"/>
      <c r="AL328" s="142"/>
      <c r="AM328" s="142"/>
      <c r="AN328" s="142"/>
      <c r="AO328" s="142"/>
      <c r="AP328" s="142"/>
    </row>
    <row r="329" ht="13.5" customHeight="1">
      <c r="A329" s="142"/>
      <c r="B329" s="142"/>
      <c r="C329" s="142"/>
      <c r="D329" s="142"/>
      <c r="E329" s="132"/>
      <c r="F329" s="131"/>
      <c r="G329" s="131"/>
      <c r="H329" s="131"/>
      <c r="I329" s="131"/>
      <c r="J329" s="131"/>
      <c r="K329" s="131"/>
      <c r="L329" s="131"/>
      <c r="M329" s="131"/>
      <c r="N329" s="131"/>
      <c r="O329" s="142"/>
      <c r="P329" s="142"/>
      <c r="Q329" s="142"/>
      <c r="R329" s="142"/>
      <c r="S329" s="142"/>
      <c r="T329" s="142"/>
      <c r="U329" s="142"/>
      <c r="V329" s="142"/>
      <c r="W329" s="142"/>
      <c r="X329" s="142"/>
      <c r="Y329" s="142"/>
      <c r="Z329" s="142"/>
      <c r="AA329" s="131"/>
      <c r="AB329" s="142"/>
      <c r="AC329" s="142"/>
      <c r="AD329" s="142"/>
      <c r="AE329" s="142"/>
      <c r="AF329" s="142"/>
      <c r="AG329" s="142"/>
      <c r="AH329" s="142"/>
      <c r="AI329" s="142"/>
      <c r="AJ329" s="142"/>
      <c r="AK329" s="142"/>
      <c r="AL329" s="142"/>
      <c r="AM329" s="142"/>
      <c r="AN329" s="142"/>
      <c r="AO329" s="142"/>
      <c r="AP329" s="142"/>
    </row>
    <row r="330" ht="13.5" customHeight="1">
      <c r="A330" s="142"/>
      <c r="B330" s="142"/>
      <c r="C330" s="142"/>
      <c r="D330" s="142"/>
      <c r="E330" s="132"/>
      <c r="F330" s="131"/>
      <c r="G330" s="131"/>
      <c r="H330" s="131"/>
      <c r="I330" s="131"/>
      <c r="J330" s="131"/>
      <c r="K330" s="131"/>
      <c r="L330" s="131"/>
      <c r="M330" s="131"/>
      <c r="N330" s="131"/>
      <c r="O330" s="142"/>
      <c r="P330" s="142"/>
      <c r="Q330" s="142"/>
      <c r="R330" s="142"/>
      <c r="S330" s="142"/>
      <c r="T330" s="142"/>
      <c r="U330" s="142"/>
      <c r="V330" s="142"/>
      <c r="W330" s="142"/>
      <c r="X330" s="142"/>
      <c r="Y330" s="142"/>
      <c r="Z330" s="142"/>
      <c r="AA330" s="131"/>
      <c r="AB330" s="142"/>
      <c r="AC330" s="142"/>
      <c r="AD330" s="142"/>
      <c r="AE330" s="142"/>
      <c r="AF330" s="142"/>
      <c r="AG330" s="142"/>
      <c r="AH330" s="142"/>
      <c r="AI330" s="142"/>
      <c r="AJ330" s="142"/>
      <c r="AK330" s="142"/>
      <c r="AL330" s="142"/>
      <c r="AM330" s="142"/>
      <c r="AN330" s="142"/>
      <c r="AO330" s="142"/>
      <c r="AP330" s="142"/>
    </row>
    <row r="331" ht="13.5" customHeight="1">
      <c r="A331" s="142"/>
      <c r="B331" s="142"/>
      <c r="C331" s="142"/>
      <c r="D331" s="142"/>
      <c r="E331" s="132"/>
      <c r="F331" s="131"/>
      <c r="G331" s="131"/>
      <c r="H331" s="131"/>
      <c r="I331" s="131"/>
      <c r="J331" s="131"/>
      <c r="K331" s="131"/>
      <c r="L331" s="131"/>
      <c r="M331" s="131"/>
      <c r="N331" s="131"/>
      <c r="O331" s="142"/>
      <c r="P331" s="142"/>
      <c r="Q331" s="142"/>
      <c r="R331" s="142"/>
      <c r="S331" s="142"/>
      <c r="T331" s="142"/>
      <c r="U331" s="142"/>
      <c r="V331" s="142"/>
      <c r="W331" s="142"/>
      <c r="X331" s="142"/>
      <c r="Y331" s="142"/>
      <c r="Z331" s="142"/>
      <c r="AA331" s="131"/>
      <c r="AB331" s="142"/>
      <c r="AC331" s="142"/>
      <c r="AD331" s="142"/>
      <c r="AE331" s="142"/>
      <c r="AF331" s="142"/>
      <c r="AG331" s="142"/>
      <c r="AH331" s="142"/>
      <c r="AI331" s="142"/>
      <c r="AJ331" s="142"/>
      <c r="AK331" s="142"/>
      <c r="AL331" s="142"/>
      <c r="AM331" s="142"/>
      <c r="AN331" s="142"/>
      <c r="AO331" s="142"/>
      <c r="AP331" s="142"/>
    </row>
    <row r="332" ht="13.5" customHeight="1">
      <c r="A332" s="142"/>
      <c r="B332" s="142"/>
      <c r="C332" s="142"/>
      <c r="D332" s="142"/>
      <c r="E332" s="132"/>
      <c r="F332" s="131"/>
      <c r="G332" s="131"/>
      <c r="H332" s="131"/>
      <c r="I332" s="131"/>
      <c r="J332" s="131"/>
      <c r="K332" s="131"/>
      <c r="L332" s="131"/>
      <c r="M332" s="131"/>
      <c r="N332" s="131"/>
      <c r="O332" s="142"/>
      <c r="P332" s="142"/>
      <c r="Q332" s="142"/>
      <c r="R332" s="142"/>
      <c r="S332" s="142"/>
      <c r="T332" s="142"/>
      <c r="U332" s="142"/>
      <c r="V332" s="142"/>
      <c r="W332" s="142"/>
      <c r="X332" s="142"/>
      <c r="Y332" s="142"/>
      <c r="Z332" s="142"/>
      <c r="AA332" s="131"/>
      <c r="AB332" s="142"/>
      <c r="AC332" s="142"/>
      <c r="AD332" s="142"/>
      <c r="AE332" s="142"/>
      <c r="AF332" s="142"/>
      <c r="AG332" s="142"/>
      <c r="AH332" s="142"/>
      <c r="AI332" s="142"/>
      <c r="AJ332" s="142"/>
      <c r="AK332" s="142"/>
      <c r="AL332" s="142"/>
      <c r="AM332" s="142"/>
      <c r="AN332" s="142"/>
      <c r="AO332" s="142"/>
      <c r="AP332" s="142"/>
    </row>
    <row r="333" ht="13.5" customHeight="1">
      <c r="A333" s="142"/>
      <c r="B333" s="142"/>
      <c r="C333" s="142"/>
      <c r="D333" s="142"/>
      <c r="E333" s="132"/>
      <c r="F333" s="131"/>
      <c r="G333" s="131"/>
      <c r="H333" s="131"/>
      <c r="I333" s="131"/>
      <c r="J333" s="131"/>
      <c r="K333" s="131"/>
      <c r="L333" s="131"/>
      <c r="M333" s="131"/>
      <c r="N333" s="131"/>
      <c r="O333" s="142"/>
      <c r="P333" s="142"/>
      <c r="Q333" s="142"/>
      <c r="R333" s="142"/>
      <c r="S333" s="142"/>
      <c r="T333" s="142"/>
      <c r="U333" s="142"/>
      <c r="V333" s="142"/>
      <c r="W333" s="142"/>
      <c r="X333" s="142"/>
      <c r="Y333" s="142"/>
      <c r="Z333" s="142"/>
      <c r="AA333" s="131"/>
      <c r="AB333" s="142"/>
      <c r="AC333" s="142"/>
      <c r="AD333" s="142"/>
      <c r="AE333" s="142"/>
      <c r="AF333" s="142"/>
      <c r="AG333" s="142"/>
      <c r="AH333" s="142"/>
      <c r="AI333" s="142"/>
      <c r="AJ333" s="142"/>
      <c r="AK333" s="142"/>
      <c r="AL333" s="142"/>
      <c r="AM333" s="142"/>
      <c r="AN333" s="142"/>
      <c r="AO333" s="142"/>
      <c r="AP333" s="142"/>
    </row>
    <row r="334" ht="13.5" customHeight="1">
      <c r="A334" s="142"/>
      <c r="B334" s="142"/>
      <c r="C334" s="142"/>
      <c r="D334" s="142"/>
      <c r="E334" s="132"/>
      <c r="F334" s="131"/>
      <c r="G334" s="131"/>
      <c r="H334" s="131"/>
      <c r="I334" s="131"/>
      <c r="J334" s="131"/>
      <c r="K334" s="131"/>
      <c r="L334" s="131"/>
      <c r="M334" s="131"/>
      <c r="N334" s="131"/>
      <c r="O334" s="142"/>
      <c r="P334" s="142"/>
      <c r="Q334" s="142"/>
      <c r="R334" s="142"/>
      <c r="S334" s="142"/>
      <c r="T334" s="142"/>
      <c r="U334" s="142"/>
      <c r="V334" s="142"/>
      <c r="W334" s="142"/>
      <c r="X334" s="142"/>
      <c r="Y334" s="142"/>
      <c r="Z334" s="142"/>
      <c r="AA334" s="131"/>
      <c r="AB334" s="142"/>
      <c r="AC334" s="142"/>
      <c r="AD334" s="142"/>
      <c r="AE334" s="142"/>
      <c r="AF334" s="142"/>
      <c r="AG334" s="142"/>
      <c r="AH334" s="142"/>
      <c r="AI334" s="142"/>
      <c r="AJ334" s="142"/>
      <c r="AK334" s="142"/>
      <c r="AL334" s="142"/>
      <c r="AM334" s="142"/>
      <c r="AN334" s="142"/>
      <c r="AO334" s="142"/>
      <c r="AP334" s="142"/>
    </row>
    <row r="335" ht="13.5" customHeight="1">
      <c r="A335" s="142"/>
      <c r="B335" s="142"/>
      <c r="C335" s="142"/>
      <c r="D335" s="142"/>
      <c r="E335" s="132"/>
      <c r="F335" s="131"/>
      <c r="G335" s="131"/>
      <c r="H335" s="131"/>
      <c r="I335" s="131"/>
      <c r="J335" s="131"/>
      <c r="K335" s="131"/>
      <c r="L335" s="131"/>
      <c r="M335" s="131"/>
      <c r="N335" s="131"/>
      <c r="O335" s="142"/>
      <c r="P335" s="142"/>
      <c r="Q335" s="142"/>
      <c r="R335" s="142"/>
      <c r="S335" s="142"/>
      <c r="T335" s="142"/>
      <c r="U335" s="142"/>
      <c r="V335" s="142"/>
      <c r="W335" s="142"/>
      <c r="X335" s="142"/>
      <c r="Y335" s="142"/>
      <c r="Z335" s="142"/>
      <c r="AA335" s="131"/>
      <c r="AB335" s="142"/>
      <c r="AC335" s="142"/>
      <c r="AD335" s="142"/>
      <c r="AE335" s="142"/>
      <c r="AF335" s="142"/>
      <c r="AG335" s="142"/>
      <c r="AH335" s="142"/>
      <c r="AI335" s="142"/>
      <c r="AJ335" s="142"/>
      <c r="AK335" s="142"/>
      <c r="AL335" s="142"/>
      <c r="AM335" s="142"/>
      <c r="AN335" s="142"/>
      <c r="AO335" s="142"/>
      <c r="AP335" s="142"/>
    </row>
    <row r="336" ht="13.5" customHeight="1">
      <c r="A336" s="142"/>
      <c r="B336" s="142"/>
      <c r="C336" s="142"/>
      <c r="D336" s="142"/>
      <c r="E336" s="132"/>
      <c r="F336" s="131"/>
      <c r="G336" s="131"/>
      <c r="H336" s="131"/>
      <c r="I336" s="131"/>
      <c r="J336" s="131"/>
      <c r="K336" s="131"/>
      <c r="L336" s="131"/>
      <c r="M336" s="131"/>
      <c r="N336" s="131"/>
      <c r="O336" s="142"/>
      <c r="P336" s="142"/>
      <c r="Q336" s="142"/>
      <c r="R336" s="142"/>
      <c r="S336" s="142"/>
      <c r="T336" s="142"/>
      <c r="U336" s="142"/>
      <c r="V336" s="142"/>
      <c r="W336" s="142"/>
      <c r="X336" s="142"/>
      <c r="Y336" s="142"/>
      <c r="Z336" s="142"/>
      <c r="AA336" s="131"/>
      <c r="AB336" s="142"/>
      <c r="AC336" s="142"/>
      <c r="AD336" s="142"/>
      <c r="AE336" s="142"/>
      <c r="AF336" s="142"/>
      <c r="AG336" s="142"/>
      <c r="AH336" s="142"/>
      <c r="AI336" s="142"/>
      <c r="AJ336" s="142"/>
      <c r="AK336" s="142"/>
      <c r="AL336" s="142"/>
      <c r="AM336" s="142"/>
      <c r="AN336" s="142"/>
      <c r="AO336" s="142"/>
      <c r="AP336" s="142"/>
    </row>
    <row r="337" ht="13.5" customHeight="1">
      <c r="A337" s="142"/>
      <c r="B337" s="142"/>
      <c r="C337" s="142"/>
      <c r="D337" s="142"/>
      <c r="E337" s="132"/>
      <c r="F337" s="131"/>
      <c r="G337" s="131"/>
      <c r="H337" s="131"/>
      <c r="I337" s="131"/>
      <c r="J337" s="131"/>
      <c r="K337" s="131"/>
      <c r="L337" s="131"/>
      <c r="M337" s="131"/>
      <c r="N337" s="131"/>
      <c r="O337" s="142"/>
      <c r="P337" s="142"/>
      <c r="Q337" s="142"/>
      <c r="R337" s="142"/>
      <c r="S337" s="142"/>
      <c r="T337" s="142"/>
      <c r="U337" s="142"/>
      <c r="V337" s="142"/>
      <c r="W337" s="142"/>
      <c r="X337" s="142"/>
      <c r="Y337" s="142"/>
      <c r="Z337" s="142"/>
      <c r="AA337" s="131"/>
      <c r="AB337" s="142"/>
      <c r="AC337" s="142"/>
      <c r="AD337" s="142"/>
      <c r="AE337" s="142"/>
      <c r="AF337" s="142"/>
      <c r="AG337" s="142"/>
      <c r="AH337" s="142"/>
      <c r="AI337" s="142"/>
      <c r="AJ337" s="142"/>
      <c r="AK337" s="142"/>
      <c r="AL337" s="142"/>
      <c r="AM337" s="142"/>
      <c r="AN337" s="142"/>
      <c r="AO337" s="142"/>
      <c r="AP337" s="142"/>
    </row>
    <row r="338" ht="13.5" customHeight="1">
      <c r="A338" s="142"/>
      <c r="B338" s="142"/>
      <c r="C338" s="142"/>
      <c r="D338" s="142"/>
      <c r="E338" s="132"/>
      <c r="F338" s="131"/>
      <c r="G338" s="131"/>
      <c r="H338" s="131"/>
      <c r="I338" s="131"/>
      <c r="J338" s="131"/>
      <c r="K338" s="131"/>
      <c r="L338" s="131"/>
      <c r="M338" s="131"/>
      <c r="N338" s="131"/>
      <c r="O338" s="142"/>
      <c r="P338" s="142"/>
      <c r="Q338" s="142"/>
      <c r="R338" s="142"/>
      <c r="S338" s="142"/>
      <c r="T338" s="142"/>
      <c r="U338" s="142"/>
      <c r="V338" s="142"/>
      <c r="W338" s="142"/>
      <c r="X338" s="142"/>
      <c r="Y338" s="142"/>
      <c r="Z338" s="142"/>
      <c r="AA338" s="131"/>
      <c r="AB338" s="142"/>
      <c r="AC338" s="142"/>
      <c r="AD338" s="142"/>
      <c r="AE338" s="142"/>
      <c r="AF338" s="142"/>
      <c r="AG338" s="142"/>
      <c r="AH338" s="142"/>
      <c r="AI338" s="142"/>
      <c r="AJ338" s="142"/>
      <c r="AK338" s="142"/>
      <c r="AL338" s="142"/>
      <c r="AM338" s="142"/>
      <c r="AN338" s="142"/>
      <c r="AO338" s="142"/>
      <c r="AP338" s="142"/>
    </row>
    <row r="339" ht="13.5" customHeight="1">
      <c r="A339" s="142"/>
      <c r="B339" s="142"/>
      <c r="C339" s="142"/>
      <c r="D339" s="142"/>
      <c r="E339" s="132"/>
      <c r="F339" s="131"/>
      <c r="G339" s="131"/>
      <c r="H339" s="131"/>
      <c r="I339" s="131"/>
      <c r="J339" s="131"/>
      <c r="K339" s="131"/>
      <c r="L339" s="131"/>
      <c r="M339" s="131"/>
      <c r="N339" s="131"/>
      <c r="O339" s="142"/>
      <c r="P339" s="142"/>
      <c r="Q339" s="142"/>
      <c r="R339" s="142"/>
      <c r="S339" s="142"/>
      <c r="T339" s="142"/>
      <c r="U339" s="142"/>
      <c r="V339" s="142"/>
      <c r="W339" s="142"/>
      <c r="X339" s="142"/>
      <c r="Y339" s="142"/>
      <c r="Z339" s="142"/>
      <c r="AA339" s="131"/>
      <c r="AB339" s="142"/>
      <c r="AC339" s="142"/>
      <c r="AD339" s="142"/>
      <c r="AE339" s="142"/>
      <c r="AF339" s="142"/>
      <c r="AG339" s="142"/>
      <c r="AH339" s="142"/>
      <c r="AI339" s="142"/>
      <c r="AJ339" s="142"/>
      <c r="AK339" s="142"/>
      <c r="AL339" s="142"/>
      <c r="AM339" s="142"/>
      <c r="AN339" s="142"/>
      <c r="AO339" s="142"/>
      <c r="AP339" s="142"/>
    </row>
    <row r="340" ht="13.5" customHeight="1">
      <c r="A340" s="142"/>
      <c r="B340" s="142"/>
      <c r="C340" s="142"/>
      <c r="D340" s="142"/>
      <c r="E340" s="132"/>
      <c r="F340" s="131"/>
      <c r="G340" s="131"/>
      <c r="H340" s="131"/>
      <c r="I340" s="131"/>
      <c r="J340" s="131"/>
      <c r="K340" s="131"/>
      <c r="L340" s="131"/>
      <c r="M340" s="131"/>
      <c r="N340" s="131"/>
      <c r="O340" s="142"/>
      <c r="P340" s="142"/>
      <c r="Q340" s="142"/>
      <c r="R340" s="142"/>
      <c r="S340" s="142"/>
      <c r="T340" s="142"/>
      <c r="U340" s="142"/>
      <c r="V340" s="142"/>
      <c r="W340" s="142"/>
      <c r="X340" s="142"/>
      <c r="Y340" s="142"/>
      <c r="Z340" s="142"/>
      <c r="AA340" s="131"/>
      <c r="AB340" s="142"/>
      <c r="AC340" s="142"/>
      <c r="AD340" s="142"/>
      <c r="AE340" s="142"/>
      <c r="AF340" s="142"/>
      <c r="AG340" s="142"/>
      <c r="AH340" s="142"/>
      <c r="AI340" s="142"/>
      <c r="AJ340" s="142"/>
      <c r="AK340" s="142"/>
      <c r="AL340" s="142"/>
      <c r="AM340" s="142"/>
      <c r="AN340" s="142"/>
      <c r="AO340" s="142"/>
      <c r="AP340" s="142"/>
    </row>
    <row r="341" ht="13.5" customHeight="1">
      <c r="A341" s="142"/>
      <c r="B341" s="142"/>
      <c r="C341" s="142"/>
      <c r="D341" s="142"/>
      <c r="E341" s="132"/>
      <c r="F341" s="131"/>
      <c r="G341" s="131"/>
      <c r="H341" s="131"/>
      <c r="I341" s="131"/>
      <c r="J341" s="131"/>
      <c r="K341" s="131"/>
      <c r="L341" s="131"/>
      <c r="M341" s="131"/>
      <c r="N341" s="131"/>
      <c r="O341" s="142"/>
      <c r="P341" s="142"/>
      <c r="Q341" s="142"/>
      <c r="R341" s="142"/>
      <c r="S341" s="142"/>
      <c r="T341" s="142"/>
      <c r="U341" s="142"/>
      <c r="V341" s="142"/>
      <c r="W341" s="142"/>
      <c r="X341" s="142"/>
      <c r="Y341" s="142"/>
      <c r="Z341" s="142"/>
      <c r="AA341" s="131"/>
      <c r="AB341" s="142"/>
      <c r="AC341" s="142"/>
      <c r="AD341" s="142"/>
      <c r="AE341" s="142"/>
      <c r="AF341" s="142"/>
      <c r="AG341" s="142"/>
      <c r="AH341" s="142"/>
      <c r="AI341" s="142"/>
      <c r="AJ341" s="142"/>
      <c r="AK341" s="142"/>
      <c r="AL341" s="142"/>
      <c r="AM341" s="142"/>
      <c r="AN341" s="142"/>
      <c r="AO341" s="142"/>
      <c r="AP341" s="142"/>
    </row>
    <row r="342" ht="13.5" customHeight="1">
      <c r="A342" s="142"/>
      <c r="B342" s="142"/>
      <c r="C342" s="142"/>
      <c r="D342" s="142"/>
      <c r="E342" s="132"/>
      <c r="F342" s="131"/>
      <c r="G342" s="131"/>
      <c r="H342" s="131"/>
      <c r="I342" s="131"/>
      <c r="J342" s="131"/>
      <c r="K342" s="131"/>
      <c r="L342" s="131"/>
      <c r="M342" s="131"/>
      <c r="N342" s="131"/>
      <c r="O342" s="142"/>
      <c r="P342" s="142"/>
      <c r="Q342" s="142"/>
      <c r="R342" s="142"/>
      <c r="S342" s="142"/>
      <c r="T342" s="142"/>
      <c r="U342" s="142"/>
      <c r="V342" s="142"/>
      <c r="W342" s="142"/>
      <c r="X342" s="142"/>
      <c r="Y342" s="142"/>
      <c r="Z342" s="142"/>
      <c r="AA342" s="131"/>
      <c r="AB342" s="142"/>
      <c r="AC342" s="142"/>
      <c r="AD342" s="142"/>
      <c r="AE342" s="142"/>
      <c r="AF342" s="142"/>
      <c r="AG342" s="142"/>
      <c r="AH342" s="142"/>
      <c r="AI342" s="142"/>
      <c r="AJ342" s="142"/>
      <c r="AK342" s="142"/>
      <c r="AL342" s="142"/>
      <c r="AM342" s="142"/>
      <c r="AN342" s="142"/>
      <c r="AO342" s="142"/>
      <c r="AP342" s="142"/>
    </row>
    <row r="343" ht="13.5" customHeight="1">
      <c r="A343" s="142"/>
      <c r="B343" s="142"/>
      <c r="C343" s="142"/>
      <c r="D343" s="142"/>
      <c r="E343" s="132"/>
      <c r="F343" s="131"/>
      <c r="G343" s="131"/>
      <c r="H343" s="131"/>
      <c r="I343" s="131"/>
      <c r="J343" s="131"/>
      <c r="K343" s="131"/>
      <c r="L343" s="131"/>
      <c r="M343" s="131"/>
      <c r="N343" s="131"/>
      <c r="O343" s="142"/>
      <c r="P343" s="142"/>
      <c r="Q343" s="142"/>
      <c r="R343" s="142"/>
      <c r="S343" s="142"/>
      <c r="T343" s="142"/>
      <c r="U343" s="142"/>
      <c r="V343" s="142"/>
      <c r="W343" s="142"/>
      <c r="X343" s="142"/>
      <c r="Y343" s="142"/>
      <c r="Z343" s="142"/>
      <c r="AA343" s="131"/>
      <c r="AB343" s="142"/>
      <c r="AC343" s="142"/>
      <c r="AD343" s="142"/>
      <c r="AE343" s="142"/>
      <c r="AF343" s="142"/>
      <c r="AG343" s="142"/>
      <c r="AH343" s="142"/>
      <c r="AI343" s="142"/>
      <c r="AJ343" s="142"/>
      <c r="AK343" s="142"/>
      <c r="AL343" s="142"/>
      <c r="AM343" s="142"/>
      <c r="AN343" s="142"/>
      <c r="AO343" s="142"/>
      <c r="AP343" s="142"/>
    </row>
    <row r="344" ht="13.5" customHeight="1">
      <c r="A344" s="142"/>
      <c r="B344" s="142"/>
      <c r="C344" s="142"/>
      <c r="D344" s="142"/>
      <c r="E344" s="132"/>
      <c r="F344" s="131"/>
      <c r="G344" s="131"/>
      <c r="H344" s="131"/>
      <c r="I344" s="131"/>
      <c r="J344" s="131"/>
      <c r="K344" s="131"/>
      <c r="L344" s="131"/>
      <c r="M344" s="131"/>
      <c r="N344" s="131"/>
      <c r="O344" s="142"/>
      <c r="P344" s="142"/>
      <c r="Q344" s="142"/>
      <c r="R344" s="142"/>
      <c r="S344" s="142"/>
      <c r="T344" s="142"/>
      <c r="U344" s="142"/>
      <c r="V344" s="142"/>
      <c r="W344" s="142"/>
      <c r="X344" s="142"/>
      <c r="Y344" s="142"/>
      <c r="Z344" s="142"/>
      <c r="AA344" s="131"/>
      <c r="AB344" s="142"/>
      <c r="AC344" s="142"/>
      <c r="AD344" s="142"/>
      <c r="AE344" s="142"/>
      <c r="AF344" s="142"/>
      <c r="AG344" s="142"/>
      <c r="AH344" s="142"/>
      <c r="AI344" s="142"/>
      <c r="AJ344" s="142"/>
      <c r="AK344" s="142"/>
      <c r="AL344" s="142"/>
      <c r="AM344" s="142"/>
      <c r="AN344" s="142"/>
      <c r="AO344" s="142"/>
      <c r="AP344" s="142"/>
    </row>
    <row r="345" ht="13.5" customHeight="1">
      <c r="A345" s="142"/>
      <c r="B345" s="142"/>
      <c r="C345" s="142"/>
      <c r="D345" s="142"/>
      <c r="E345" s="132"/>
      <c r="F345" s="131"/>
      <c r="G345" s="131"/>
      <c r="H345" s="131"/>
      <c r="I345" s="131"/>
      <c r="J345" s="131"/>
      <c r="K345" s="131"/>
      <c r="L345" s="131"/>
      <c r="M345" s="131"/>
      <c r="N345" s="131"/>
      <c r="O345" s="142"/>
      <c r="P345" s="142"/>
      <c r="Q345" s="142"/>
      <c r="R345" s="142"/>
      <c r="S345" s="142"/>
      <c r="T345" s="142"/>
      <c r="U345" s="142"/>
      <c r="V345" s="142"/>
      <c r="W345" s="142"/>
      <c r="X345" s="142"/>
      <c r="Y345" s="142"/>
      <c r="Z345" s="142"/>
      <c r="AA345" s="131"/>
      <c r="AB345" s="142"/>
      <c r="AC345" s="142"/>
      <c r="AD345" s="142"/>
      <c r="AE345" s="142"/>
      <c r="AF345" s="142"/>
      <c r="AG345" s="142"/>
      <c r="AH345" s="142"/>
      <c r="AI345" s="142"/>
      <c r="AJ345" s="142"/>
      <c r="AK345" s="142"/>
      <c r="AL345" s="142"/>
      <c r="AM345" s="142"/>
      <c r="AN345" s="142"/>
      <c r="AO345" s="142"/>
      <c r="AP345" s="142"/>
    </row>
    <row r="346" ht="13.5" customHeight="1">
      <c r="A346" s="142"/>
      <c r="B346" s="142"/>
      <c r="C346" s="142"/>
      <c r="D346" s="142"/>
      <c r="E346" s="132"/>
      <c r="F346" s="131"/>
      <c r="G346" s="131"/>
      <c r="H346" s="131"/>
      <c r="I346" s="131"/>
      <c r="J346" s="131"/>
      <c r="K346" s="131"/>
      <c r="L346" s="131"/>
      <c r="M346" s="131"/>
      <c r="N346" s="131"/>
      <c r="O346" s="142"/>
      <c r="P346" s="142"/>
      <c r="Q346" s="142"/>
      <c r="R346" s="142"/>
      <c r="S346" s="142"/>
      <c r="T346" s="142"/>
      <c r="U346" s="142"/>
      <c r="V346" s="142"/>
      <c r="W346" s="142"/>
      <c r="X346" s="142"/>
      <c r="Y346" s="142"/>
      <c r="Z346" s="142"/>
      <c r="AA346" s="131"/>
      <c r="AB346" s="142"/>
      <c r="AC346" s="142"/>
      <c r="AD346" s="142"/>
      <c r="AE346" s="142"/>
      <c r="AF346" s="142"/>
      <c r="AG346" s="142"/>
      <c r="AH346" s="142"/>
      <c r="AI346" s="142"/>
      <c r="AJ346" s="142"/>
      <c r="AK346" s="142"/>
      <c r="AL346" s="142"/>
      <c r="AM346" s="142"/>
      <c r="AN346" s="142"/>
      <c r="AO346" s="142"/>
      <c r="AP346" s="142"/>
    </row>
    <row r="347" ht="13.5" customHeight="1">
      <c r="A347" s="142"/>
      <c r="B347" s="142"/>
      <c r="C347" s="142"/>
      <c r="D347" s="142"/>
      <c r="E347" s="132"/>
      <c r="F347" s="131"/>
      <c r="G347" s="131"/>
      <c r="H347" s="131"/>
      <c r="I347" s="131"/>
      <c r="J347" s="131"/>
      <c r="K347" s="131"/>
      <c r="L347" s="131"/>
      <c r="M347" s="131"/>
      <c r="N347" s="131"/>
      <c r="O347" s="142"/>
      <c r="P347" s="142"/>
      <c r="Q347" s="142"/>
      <c r="R347" s="142"/>
      <c r="S347" s="142"/>
      <c r="T347" s="142"/>
      <c r="U347" s="142"/>
      <c r="V347" s="142"/>
      <c r="W347" s="142"/>
      <c r="X347" s="142"/>
      <c r="Y347" s="142"/>
      <c r="Z347" s="142"/>
      <c r="AA347" s="131"/>
      <c r="AB347" s="142"/>
      <c r="AC347" s="142"/>
      <c r="AD347" s="142"/>
      <c r="AE347" s="142"/>
      <c r="AF347" s="142"/>
      <c r="AG347" s="142"/>
      <c r="AH347" s="142"/>
      <c r="AI347" s="142"/>
      <c r="AJ347" s="142"/>
      <c r="AK347" s="142"/>
      <c r="AL347" s="142"/>
      <c r="AM347" s="142"/>
      <c r="AN347" s="142"/>
      <c r="AO347" s="142"/>
      <c r="AP347" s="142"/>
    </row>
    <row r="348" ht="13.5" customHeight="1">
      <c r="A348" s="142"/>
      <c r="B348" s="142"/>
      <c r="C348" s="142"/>
      <c r="D348" s="142"/>
      <c r="E348" s="132"/>
      <c r="F348" s="131"/>
      <c r="G348" s="131"/>
      <c r="H348" s="131"/>
      <c r="I348" s="131"/>
      <c r="J348" s="131"/>
      <c r="K348" s="131"/>
      <c r="L348" s="131"/>
      <c r="M348" s="131"/>
      <c r="N348" s="131"/>
      <c r="O348" s="142"/>
      <c r="P348" s="142"/>
      <c r="Q348" s="142"/>
      <c r="R348" s="142"/>
      <c r="S348" s="142"/>
      <c r="T348" s="142"/>
      <c r="U348" s="142"/>
      <c r="V348" s="142"/>
      <c r="W348" s="142"/>
      <c r="X348" s="142"/>
      <c r="Y348" s="142"/>
      <c r="Z348" s="142"/>
      <c r="AA348" s="131"/>
      <c r="AB348" s="142"/>
      <c r="AC348" s="142"/>
      <c r="AD348" s="142"/>
      <c r="AE348" s="142"/>
      <c r="AF348" s="142"/>
      <c r="AG348" s="142"/>
      <c r="AH348" s="142"/>
      <c r="AI348" s="142"/>
      <c r="AJ348" s="142"/>
      <c r="AK348" s="142"/>
      <c r="AL348" s="142"/>
      <c r="AM348" s="142"/>
      <c r="AN348" s="142"/>
      <c r="AO348" s="142"/>
      <c r="AP348" s="142"/>
    </row>
    <row r="349" ht="13.5" customHeight="1">
      <c r="A349" s="142"/>
      <c r="B349" s="142"/>
      <c r="C349" s="142"/>
      <c r="D349" s="142"/>
      <c r="E349" s="132"/>
      <c r="F349" s="131"/>
      <c r="G349" s="131"/>
      <c r="H349" s="131"/>
      <c r="I349" s="131"/>
      <c r="J349" s="131"/>
      <c r="K349" s="131"/>
      <c r="L349" s="131"/>
      <c r="M349" s="131"/>
      <c r="N349" s="131"/>
      <c r="O349" s="142"/>
      <c r="P349" s="142"/>
      <c r="Q349" s="142"/>
      <c r="R349" s="142"/>
      <c r="S349" s="142"/>
      <c r="T349" s="142"/>
      <c r="U349" s="142"/>
      <c r="V349" s="142"/>
      <c r="W349" s="142"/>
      <c r="X349" s="142"/>
      <c r="Y349" s="142"/>
      <c r="Z349" s="142"/>
      <c r="AA349" s="131"/>
      <c r="AB349" s="142"/>
      <c r="AC349" s="142"/>
      <c r="AD349" s="142"/>
      <c r="AE349" s="142"/>
      <c r="AF349" s="142"/>
      <c r="AG349" s="142"/>
      <c r="AH349" s="142"/>
      <c r="AI349" s="142"/>
      <c r="AJ349" s="142"/>
      <c r="AK349" s="142"/>
      <c r="AL349" s="142"/>
      <c r="AM349" s="142"/>
      <c r="AN349" s="142"/>
      <c r="AO349" s="142"/>
      <c r="AP349" s="142"/>
    </row>
    <row r="350" ht="13.5" customHeight="1">
      <c r="A350" s="142"/>
      <c r="B350" s="142"/>
      <c r="C350" s="142"/>
      <c r="D350" s="142"/>
      <c r="E350" s="132"/>
      <c r="F350" s="131"/>
      <c r="G350" s="131"/>
      <c r="H350" s="131"/>
      <c r="I350" s="131"/>
      <c r="J350" s="131"/>
      <c r="K350" s="131"/>
      <c r="L350" s="131"/>
      <c r="M350" s="131"/>
      <c r="N350" s="131"/>
      <c r="O350" s="142"/>
      <c r="P350" s="142"/>
      <c r="Q350" s="142"/>
      <c r="R350" s="142"/>
      <c r="S350" s="142"/>
      <c r="T350" s="142"/>
      <c r="U350" s="142"/>
      <c r="V350" s="142"/>
      <c r="W350" s="142"/>
      <c r="X350" s="142"/>
      <c r="Y350" s="142"/>
      <c r="Z350" s="142"/>
      <c r="AA350" s="131"/>
      <c r="AB350" s="142"/>
      <c r="AC350" s="142"/>
      <c r="AD350" s="142"/>
      <c r="AE350" s="142"/>
      <c r="AF350" s="142"/>
      <c r="AG350" s="142"/>
      <c r="AH350" s="142"/>
      <c r="AI350" s="142"/>
      <c r="AJ350" s="142"/>
      <c r="AK350" s="142"/>
      <c r="AL350" s="142"/>
      <c r="AM350" s="142"/>
      <c r="AN350" s="142"/>
      <c r="AO350" s="142"/>
      <c r="AP350" s="142"/>
    </row>
    <row r="351" ht="13.5" customHeight="1">
      <c r="A351" s="142"/>
      <c r="B351" s="142"/>
      <c r="C351" s="142"/>
      <c r="D351" s="142"/>
      <c r="E351" s="132"/>
      <c r="F351" s="131"/>
      <c r="G351" s="131"/>
      <c r="H351" s="131"/>
      <c r="I351" s="131"/>
      <c r="J351" s="131"/>
      <c r="K351" s="131"/>
      <c r="L351" s="131"/>
      <c r="M351" s="131"/>
      <c r="N351" s="131"/>
      <c r="O351" s="142"/>
      <c r="P351" s="142"/>
      <c r="Q351" s="142"/>
      <c r="R351" s="142"/>
      <c r="S351" s="142"/>
      <c r="T351" s="142"/>
      <c r="U351" s="142"/>
      <c r="V351" s="142"/>
      <c r="W351" s="142"/>
      <c r="X351" s="142"/>
      <c r="Y351" s="142"/>
      <c r="Z351" s="142"/>
      <c r="AA351" s="131"/>
      <c r="AB351" s="142"/>
      <c r="AC351" s="142"/>
      <c r="AD351" s="142"/>
      <c r="AE351" s="142"/>
      <c r="AF351" s="142"/>
      <c r="AG351" s="142"/>
      <c r="AH351" s="142"/>
      <c r="AI351" s="142"/>
      <c r="AJ351" s="142"/>
      <c r="AK351" s="142"/>
      <c r="AL351" s="142"/>
      <c r="AM351" s="142"/>
      <c r="AN351" s="142"/>
      <c r="AO351" s="142"/>
      <c r="AP351" s="142"/>
    </row>
    <row r="352" ht="13.5" customHeight="1">
      <c r="A352" s="142"/>
      <c r="B352" s="142"/>
      <c r="C352" s="142"/>
      <c r="D352" s="142"/>
      <c r="E352" s="132"/>
      <c r="F352" s="131"/>
      <c r="G352" s="131"/>
      <c r="H352" s="131"/>
      <c r="I352" s="131"/>
      <c r="J352" s="131"/>
      <c r="K352" s="131"/>
      <c r="L352" s="131"/>
      <c r="M352" s="131"/>
      <c r="N352" s="131"/>
      <c r="O352" s="142"/>
      <c r="P352" s="142"/>
      <c r="Q352" s="142"/>
      <c r="R352" s="142"/>
      <c r="S352" s="142"/>
      <c r="T352" s="142"/>
      <c r="U352" s="142"/>
      <c r="V352" s="142"/>
      <c r="W352" s="142"/>
      <c r="X352" s="142"/>
      <c r="Y352" s="142"/>
      <c r="Z352" s="142"/>
      <c r="AA352" s="131"/>
      <c r="AB352" s="142"/>
      <c r="AC352" s="142"/>
      <c r="AD352" s="142"/>
      <c r="AE352" s="142"/>
      <c r="AF352" s="142"/>
      <c r="AG352" s="142"/>
      <c r="AH352" s="142"/>
      <c r="AI352" s="142"/>
      <c r="AJ352" s="142"/>
      <c r="AK352" s="142"/>
      <c r="AL352" s="142"/>
      <c r="AM352" s="142"/>
      <c r="AN352" s="142"/>
      <c r="AO352" s="142"/>
      <c r="AP352" s="142"/>
    </row>
    <row r="353" ht="13.5" customHeight="1">
      <c r="A353" s="142"/>
      <c r="B353" s="142"/>
      <c r="C353" s="142"/>
      <c r="D353" s="142"/>
      <c r="E353" s="132"/>
      <c r="F353" s="131"/>
      <c r="G353" s="131"/>
      <c r="H353" s="131"/>
      <c r="I353" s="131"/>
      <c r="J353" s="131"/>
      <c r="K353" s="131"/>
      <c r="L353" s="131"/>
      <c r="M353" s="131"/>
      <c r="N353" s="131"/>
      <c r="O353" s="142"/>
      <c r="P353" s="142"/>
      <c r="Q353" s="142"/>
      <c r="R353" s="142"/>
      <c r="S353" s="142"/>
      <c r="T353" s="142"/>
      <c r="U353" s="142"/>
      <c r="V353" s="142"/>
      <c r="W353" s="142"/>
      <c r="X353" s="142"/>
      <c r="Y353" s="142"/>
      <c r="Z353" s="142"/>
      <c r="AA353" s="131"/>
      <c r="AB353" s="142"/>
      <c r="AC353" s="142"/>
      <c r="AD353" s="142"/>
      <c r="AE353" s="142"/>
      <c r="AF353" s="142"/>
      <c r="AG353" s="142"/>
      <c r="AH353" s="142"/>
      <c r="AI353" s="142"/>
      <c r="AJ353" s="142"/>
      <c r="AK353" s="142"/>
      <c r="AL353" s="142"/>
      <c r="AM353" s="142"/>
      <c r="AN353" s="142"/>
      <c r="AO353" s="142"/>
      <c r="AP353" s="142"/>
    </row>
    <row r="354" ht="13.5" customHeight="1">
      <c r="A354" s="142"/>
      <c r="B354" s="142"/>
      <c r="C354" s="142"/>
      <c r="D354" s="142"/>
      <c r="E354" s="132"/>
      <c r="F354" s="131"/>
      <c r="G354" s="131"/>
      <c r="H354" s="131"/>
      <c r="I354" s="131"/>
      <c r="J354" s="131"/>
      <c r="K354" s="131"/>
      <c r="L354" s="131"/>
      <c r="M354" s="131"/>
      <c r="N354" s="131"/>
      <c r="O354" s="142"/>
      <c r="P354" s="142"/>
      <c r="Q354" s="142"/>
      <c r="R354" s="142"/>
      <c r="S354" s="142"/>
      <c r="T354" s="142"/>
      <c r="U354" s="142"/>
      <c r="V354" s="142"/>
      <c r="W354" s="142"/>
      <c r="X354" s="142"/>
      <c r="Y354" s="142"/>
      <c r="Z354" s="142"/>
      <c r="AA354" s="131"/>
      <c r="AB354" s="142"/>
      <c r="AC354" s="142"/>
      <c r="AD354" s="142"/>
      <c r="AE354" s="142"/>
      <c r="AF354" s="142"/>
      <c r="AG354" s="142"/>
      <c r="AH354" s="142"/>
      <c r="AI354" s="142"/>
      <c r="AJ354" s="142"/>
      <c r="AK354" s="142"/>
      <c r="AL354" s="142"/>
      <c r="AM354" s="142"/>
      <c r="AN354" s="142"/>
      <c r="AO354" s="142"/>
      <c r="AP354" s="142"/>
    </row>
    <row r="355" ht="13.5" customHeight="1">
      <c r="A355" s="142"/>
      <c r="B355" s="142"/>
      <c r="C355" s="142"/>
      <c r="D355" s="142"/>
      <c r="E355" s="132"/>
      <c r="F355" s="131"/>
      <c r="G355" s="131"/>
      <c r="H355" s="131"/>
      <c r="I355" s="131"/>
      <c r="J355" s="131"/>
      <c r="K355" s="131"/>
      <c r="L355" s="131"/>
      <c r="M355" s="131"/>
      <c r="N355" s="131"/>
      <c r="O355" s="142"/>
      <c r="P355" s="142"/>
      <c r="Q355" s="142"/>
      <c r="R355" s="142"/>
      <c r="S355" s="142"/>
      <c r="T355" s="142"/>
      <c r="U355" s="142"/>
      <c r="V355" s="142"/>
      <c r="W355" s="142"/>
      <c r="X355" s="142"/>
      <c r="Y355" s="142"/>
      <c r="Z355" s="142"/>
      <c r="AA355" s="131"/>
      <c r="AB355" s="142"/>
      <c r="AC355" s="142"/>
      <c r="AD355" s="142"/>
      <c r="AE355" s="142"/>
      <c r="AF355" s="142"/>
      <c r="AG355" s="142"/>
      <c r="AH355" s="142"/>
      <c r="AI355" s="142"/>
      <c r="AJ355" s="142"/>
      <c r="AK355" s="142"/>
      <c r="AL355" s="142"/>
      <c r="AM355" s="142"/>
      <c r="AN355" s="142"/>
      <c r="AO355" s="142"/>
      <c r="AP355" s="142"/>
    </row>
    <row r="356" ht="13.5" customHeight="1">
      <c r="A356" s="142"/>
      <c r="B356" s="142"/>
      <c r="C356" s="142"/>
      <c r="D356" s="142"/>
      <c r="E356" s="132"/>
      <c r="F356" s="131"/>
      <c r="G356" s="131"/>
      <c r="H356" s="131"/>
      <c r="I356" s="131"/>
      <c r="J356" s="131"/>
      <c r="K356" s="131"/>
      <c r="L356" s="131"/>
      <c r="M356" s="131"/>
      <c r="N356" s="131"/>
      <c r="O356" s="142"/>
      <c r="P356" s="142"/>
      <c r="Q356" s="142"/>
      <c r="R356" s="142"/>
      <c r="S356" s="142"/>
      <c r="T356" s="142"/>
      <c r="U356" s="142"/>
      <c r="V356" s="142"/>
      <c r="W356" s="142"/>
      <c r="X356" s="142"/>
      <c r="Y356" s="142"/>
      <c r="Z356" s="142"/>
      <c r="AA356" s="131"/>
      <c r="AB356" s="142"/>
      <c r="AC356" s="142"/>
      <c r="AD356" s="142"/>
      <c r="AE356" s="142"/>
      <c r="AF356" s="142"/>
      <c r="AG356" s="142"/>
      <c r="AH356" s="142"/>
      <c r="AI356" s="142"/>
      <c r="AJ356" s="142"/>
      <c r="AK356" s="142"/>
      <c r="AL356" s="142"/>
      <c r="AM356" s="142"/>
      <c r="AN356" s="142"/>
      <c r="AO356" s="142"/>
      <c r="AP356" s="142"/>
    </row>
    <row r="357" ht="13.5" customHeight="1">
      <c r="A357" s="142"/>
      <c r="B357" s="142"/>
      <c r="C357" s="142"/>
      <c r="D357" s="142"/>
      <c r="E357" s="132"/>
      <c r="F357" s="131"/>
      <c r="G357" s="131"/>
      <c r="H357" s="131"/>
      <c r="I357" s="131"/>
      <c r="J357" s="131"/>
      <c r="K357" s="131"/>
      <c r="L357" s="131"/>
      <c r="M357" s="131"/>
      <c r="N357" s="131"/>
      <c r="O357" s="142"/>
      <c r="P357" s="142"/>
      <c r="Q357" s="142"/>
      <c r="R357" s="142"/>
      <c r="S357" s="142"/>
      <c r="T357" s="142"/>
      <c r="U357" s="142"/>
      <c r="V357" s="142"/>
      <c r="W357" s="142"/>
      <c r="X357" s="142"/>
      <c r="Y357" s="142"/>
      <c r="Z357" s="142"/>
      <c r="AA357" s="131"/>
      <c r="AB357" s="142"/>
      <c r="AC357" s="142"/>
      <c r="AD357" s="142"/>
      <c r="AE357" s="142"/>
      <c r="AF357" s="142"/>
      <c r="AG357" s="142"/>
      <c r="AH357" s="142"/>
      <c r="AI357" s="142"/>
      <c r="AJ357" s="142"/>
      <c r="AK357" s="142"/>
      <c r="AL357" s="142"/>
      <c r="AM357" s="142"/>
      <c r="AN357" s="142"/>
      <c r="AO357" s="142"/>
      <c r="AP357" s="142"/>
    </row>
    <row r="358" ht="13.5" customHeight="1">
      <c r="A358" s="142"/>
      <c r="B358" s="142"/>
      <c r="C358" s="142"/>
      <c r="D358" s="142"/>
      <c r="E358" s="132"/>
      <c r="F358" s="131"/>
      <c r="G358" s="131"/>
      <c r="H358" s="131"/>
      <c r="I358" s="131"/>
      <c r="J358" s="131"/>
      <c r="K358" s="131"/>
      <c r="L358" s="131"/>
      <c r="M358" s="131"/>
      <c r="N358" s="131"/>
      <c r="O358" s="142"/>
      <c r="P358" s="142"/>
      <c r="Q358" s="142"/>
      <c r="R358" s="142"/>
      <c r="S358" s="142"/>
      <c r="T358" s="142"/>
      <c r="U358" s="142"/>
      <c r="V358" s="142"/>
      <c r="W358" s="142"/>
      <c r="X358" s="142"/>
      <c r="Y358" s="142"/>
      <c r="Z358" s="142"/>
      <c r="AA358" s="131"/>
      <c r="AB358" s="142"/>
      <c r="AC358" s="142"/>
      <c r="AD358" s="142"/>
      <c r="AE358" s="142"/>
      <c r="AF358" s="142"/>
      <c r="AG358" s="142"/>
      <c r="AH358" s="142"/>
      <c r="AI358" s="142"/>
      <c r="AJ358" s="142"/>
      <c r="AK358" s="142"/>
      <c r="AL358" s="142"/>
      <c r="AM358" s="142"/>
      <c r="AN358" s="142"/>
      <c r="AO358" s="142"/>
      <c r="AP358" s="142"/>
    </row>
    <row r="359" ht="13.5" customHeight="1">
      <c r="A359" s="142"/>
      <c r="B359" s="142"/>
      <c r="C359" s="142"/>
      <c r="D359" s="142"/>
      <c r="E359" s="132"/>
      <c r="F359" s="131"/>
      <c r="G359" s="131"/>
      <c r="H359" s="131"/>
      <c r="I359" s="131"/>
      <c r="J359" s="131"/>
      <c r="K359" s="131"/>
      <c r="L359" s="131"/>
      <c r="M359" s="131"/>
      <c r="N359" s="131"/>
      <c r="O359" s="142"/>
      <c r="P359" s="142"/>
      <c r="Q359" s="142"/>
      <c r="R359" s="142"/>
      <c r="S359" s="142"/>
      <c r="T359" s="142"/>
      <c r="U359" s="142"/>
      <c r="V359" s="142"/>
      <c r="W359" s="142"/>
      <c r="X359" s="142"/>
      <c r="Y359" s="142"/>
      <c r="Z359" s="142"/>
      <c r="AA359" s="131"/>
      <c r="AB359" s="142"/>
      <c r="AC359" s="142"/>
      <c r="AD359" s="142"/>
      <c r="AE359" s="142"/>
      <c r="AF359" s="142"/>
      <c r="AG359" s="142"/>
      <c r="AH359" s="142"/>
      <c r="AI359" s="142"/>
      <c r="AJ359" s="142"/>
      <c r="AK359" s="142"/>
      <c r="AL359" s="142"/>
      <c r="AM359" s="142"/>
      <c r="AN359" s="142"/>
      <c r="AO359" s="142"/>
      <c r="AP359" s="142"/>
    </row>
    <row r="360" ht="13.5" customHeight="1">
      <c r="A360" s="142"/>
      <c r="B360" s="142"/>
      <c r="C360" s="142"/>
      <c r="D360" s="142"/>
      <c r="E360" s="132"/>
      <c r="F360" s="131"/>
      <c r="G360" s="131"/>
      <c r="H360" s="131"/>
      <c r="I360" s="131"/>
      <c r="J360" s="131"/>
      <c r="K360" s="131"/>
      <c r="L360" s="131"/>
      <c r="M360" s="131"/>
      <c r="N360" s="131"/>
      <c r="O360" s="142"/>
      <c r="P360" s="142"/>
      <c r="Q360" s="142"/>
      <c r="R360" s="142"/>
      <c r="S360" s="142"/>
      <c r="T360" s="142"/>
      <c r="U360" s="142"/>
      <c r="V360" s="142"/>
      <c r="W360" s="142"/>
      <c r="X360" s="142"/>
      <c r="Y360" s="142"/>
      <c r="Z360" s="142"/>
      <c r="AA360" s="131"/>
      <c r="AB360" s="142"/>
      <c r="AC360" s="142"/>
      <c r="AD360" s="142"/>
      <c r="AE360" s="142"/>
      <c r="AF360" s="142"/>
      <c r="AG360" s="142"/>
      <c r="AH360" s="142"/>
      <c r="AI360" s="142"/>
      <c r="AJ360" s="142"/>
      <c r="AK360" s="142"/>
      <c r="AL360" s="142"/>
      <c r="AM360" s="142"/>
      <c r="AN360" s="142"/>
      <c r="AO360" s="142"/>
      <c r="AP360" s="142"/>
    </row>
    <row r="361" ht="13.5" customHeight="1">
      <c r="A361" s="142"/>
      <c r="B361" s="142"/>
      <c r="C361" s="142"/>
      <c r="D361" s="142"/>
      <c r="E361" s="132"/>
      <c r="F361" s="131"/>
      <c r="G361" s="131"/>
      <c r="H361" s="131"/>
      <c r="I361" s="131"/>
      <c r="J361" s="131"/>
      <c r="K361" s="131"/>
      <c r="L361" s="131"/>
      <c r="M361" s="131"/>
      <c r="N361" s="131"/>
      <c r="O361" s="142"/>
      <c r="P361" s="142"/>
      <c r="Q361" s="142"/>
      <c r="R361" s="142"/>
      <c r="S361" s="142"/>
      <c r="T361" s="142"/>
      <c r="U361" s="142"/>
      <c r="V361" s="142"/>
      <c r="W361" s="142"/>
      <c r="X361" s="142"/>
      <c r="Y361" s="142"/>
      <c r="Z361" s="142"/>
      <c r="AA361" s="131"/>
      <c r="AB361" s="142"/>
      <c r="AC361" s="142"/>
      <c r="AD361" s="142"/>
      <c r="AE361" s="142"/>
      <c r="AF361" s="142"/>
      <c r="AG361" s="142"/>
      <c r="AH361" s="142"/>
      <c r="AI361" s="142"/>
      <c r="AJ361" s="142"/>
      <c r="AK361" s="142"/>
      <c r="AL361" s="142"/>
      <c r="AM361" s="142"/>
      <c r="AN361" s="142"/>
      <c r="AO361" s="142"/>
      <c r="AP361" s="142"/>
    </row>
    <row r="362" ht="13.5" customHeight="1">
      <c r="A362" s="142"/>
      <c r="B362" s="142"/>
      <c r="C362" s="142"/>
      <c r="D362" s="142"/>
      <c r="E362" s="132"/>
      <c r="F362" s="131"/>
      <c r="G362" s="131"/>
      <c r="H362" s="131"/>
      <c r="I362" s="131"/>
      <c r="J362" s="131"/>
      <c r="K362" s="131"/>
      <c r="L362" s="131"/>
      <c r="M362" s="131"/>
      <c r="N362" s="131"/>
      <c r="O362" s="142"/>
      <c r="P362" s="142"/>
      <c r="Q362" s="142"/>
      <c r="R362" s="142"/>
      <c r="S362" s="142"/>
      <c r="T362" s="142"/>
      <c r="U362" s="142"/>
      <c r="V362" s="142"/>
      <c r="W362" s="142"/>
      <c r="X362" s="142"/>
      <c r="Y362" s="142"/>
      <c r="Z362" s="142"/>
      <c r="AA362" s="131"/>
      <c r="AB362" s="142"/>
      <c r="AC362" s="142"/>
      <c r="AD362" s="142"/>
      <c r="AE362" s="142"/>
      <c r="AF362" s="142"/>
      <c r="AG362" s="142"/>
      <c r="AH362" s="142"/>
      <c r="AI362" s="142"/>
      <c r="AJ362" s="142"/>
      <c r="AK362" s="142"/>
      <c r="AL362" s="142"/>
      <c r="AM362" s="142"/>
      <c r="AN362" s="142"/>
      <c r="AO362" s="142"/>
      <c r="AP362" s="142"/>
    </row>
    <row r="363" ht="13.5" customHeight="1">
      <c r="A363" s="142"/>
      <c r="B363" s="142"/>
      <c r="C363" s="142"/>
      <c r="D363" s="142"/>
      <c r="E363" s="132"/>
      <c r="F363" s="131"/>
      <c r="G363" s="131"/>
      <c r="H363" s="131"/>
      <c r="I363" s="131"/>
      <c r="J363" s="131"/>
      <c r="K363" s="131"/>
      <c r="L363" s="131"/>
      <c r="M363" s="131"/>
      <c r="N363" s="131"/>
      <c r="O363" s="142"/>
      <c r="P363" s="142"/>
      <c r="Q363" s="142"/>
      <c r="R363" s="142"/>
      <c r="S363" s="142"/>
      <c r="T363" s="142"/>
      <c r="U363" s="142"/>
      <c r="V363" s="142"/>
      <c r="W363" s="142"/>
      <c r="X363" s="142"/>
      <c r="Y363" s="142"/>
      <c r="Z363" s="142"/>
      <c r="AA363" s="131"/>
      <c r="AB363" s="142"/>
      <c r="AC363" s="142"/>
      <c r="AD363" s="142"/>
      <c r="AE363" s="142"/>
      <c r="AF363" s="142"/>
      <c r="AG363" s="142"/>
      <c r="AH363" s="142"/>
      <c r="AI363" s="142"/>
      <c r="AJ363" s="142"/>
      <c r="AK363" s="142"/>
      <c r="AL363" s="142"/>
      <c r="AM363" s="142"/>
      <c r="AN363" s="142"/>
      <c r="AO363" s="142"/>
      <c r="AP363" s="142"/>
    </row>
    <row r="364" ht="13.5" customHeight="1">
      <c r="A364" s="142"/>
      <c r="B364" s="142"/>
      <c r="C364" s="142"/>
      <c r="D364" s="142"/>
      <c r="E364" s="132"/>
      <c r="F364" s="131"/>
      <c r="G364" s="131"/>
      <c r="H364" s="131"/>
      <c r="I364" s="131"/>
      <c r="J364" s="131"/>
      <c r="K364" s="131"/>
      <c r="L364" s="131"/>
      <c r="M364" s="131"/>
      <c r="N364" s="131"/>
      <c r="O364" s="142"/>
      <c r="P364" s="142"/>
      <c r="Q364" s="142"/>
      <c r="R364" s="142"/>
      <c r="S364" s="142"/>
      <c r="T364" s="142"/>
      <c r="U364" s="142"/>
      <c r="V364" s="142"/>
      <c r="W364" s="142"/>
      <c r="X364" s="142"/>
      <c r="Y364" s="142"/>
      <c r="Z364" s="142"/>
      <c r="AA364" s="131"/>
      <c r="AB364" s="142"/>
      <c r="AC364" s="142"/>
      <c r="AD364" s="142"/>
      <c r="AE364" s="142"/>
      <c r="AF364" s="142"/>
      <c r="AG364" s="142"/>
      <c r="AH364" s="142"/>
      <c r="AI364" s="142"/>
      <c r="AJ364" s="142"/>
      <c r="AK364" s="142"/>
      <c r="AL364" s="142"/>
      <c r="AM364" s="142"/>
      <c r="AN364" s="142"/>
      <c r="AO364" s="142"/>
      <c r="AP364" s="142"/>
    </row>
    <row r="365" ht="13.5" customHeight="1">
      <c r="A365" s="142"/>
      <c r="B365" s="142"/>
      <c r="C365" s="142"/>
      <c r="D365" s="142"/>
      <c r="E365" s="132"/>
      <c r="F365" s="131"/>
      <c r="G365" s="131"/>
      <c r="H365" s="131"/>
      <c r="I365" s="131"/>
      <c r="J365" s="131"/>
      <c r="K365" s="131"/>
      <c r="L365" s="131"/>
      <c r="M365" s="131"/>
      <c r="N365" s="131"/>
      <c r="O365" s="142"/>
      <c r="P365" s="142"/>
      <c r="Q365" s="142"/>
      <c r="R365" s="142"/>
      <c r="S365" s="142"/>
      <c r="T365" s="142"/>
      <c r="U365" s="142"/>
      <c r="V365" s="142"/>
      <c r="W365" s="142"/>
      <c r="X365" s="142"/>
      <c r="Y365" s="142"/>
      <c r="Z365" s="142"/>
      <c r="AA365" s="131"/>
      <c r="AB365" s="142"/>
      <c r="AC365" s="142"/>
      <c r="AD365" s="142"/>
      <c r="AE365" s="142"/>
      <c r="AF365" s="142"/>
      <c r="AG365" s="142"/>
      <c r="AH365" s="142"/>
      <c r="AI365" s="142"/>
      <c r="AJ365" s="142"/>
      <c r="AK365" s="142"/>
      <c r="AL365" s="142"/>
      <c r="AM365" s="142"/>
      <c r="AN365" s="142"/>
      <c r="AO365" s="142"/>
      <c r="AP365" s="142"/>
    </row>
    <row r="366" ht="13.5" customHeight="1">
      <c r="A366" s="142"/>
      <c r="B366" s="142"/>
      <c r="C366" s="142"/>
      <c r="D366" s="142"/>
      <c r="E366" s="132"/>
      <c r="F366" s="131"/>
      <c r="G366" s="131"/>
      <c r="H366" s="131"/>
      <c r="I366" s="131"/>
      <c r="J366" s="131"/>
      <c r="K366" s="131"/>
      <c r="L366" s="131"/>
      <c r="M366" s="131"/>
      <c r="N366" s="131"/>
      <c r="O366" s="142"/>
      <c r="P366" s="142"/>
      <c r="Q366" s="142"/>
      <c r="R366" s="142"/>
      <c r="S366" s="142"/>
      <c r="T366" s="142"/>
      <c r="U366" s="142"/>
      <c r="V366" s="142"/>
      <c r="W366" s="142"/>
      <c r="X366" s="142"/>
      <c r="Y366" s="142"/>
      <c r="Z366" s="142"/>
      <c r="AA366" s="131"/>
      <c r="AB366" s="142"/>
      <c r="AC366" s="142"/>
      <c r="AD366" s="142"/>
      <c r="AE366" s="142"/>
      <c r="AF366" s="142"/>
      <c r="AG366" s="142"/>
      <c r="AH366" s="142"/>
      <c r="AI366" s="142"/>
      <c r="AJ366" s="142"/>
      <c r="AK366" s="142"/>
      <c r="AL366" s="142"/>
      <c r="AM366" s="142"/>
      <c r="AN366" s="142"/>
      <c r="AO366" s="142"/>
      <c r="AP366" s="142"/>
    </row>
    <row r="367" ht="13.5" customHeight="1">
      <c r="A367" s="142"/>
      <c r="B367" s="142"/>
      <c r="C367" s="142"/>
      <c r="D367" s="142"/>
      <c r="E367" s="132"/>
      <c r="F367" s="131"/>
      <c r="G367" s="131"/>
      <c r="H367" s="131"/>
      <c r="I367" s="131"/>
      <c r="J367" s="131"/>
      <c r="K367" s="131"/>
      <c r="L367" s="131"/>
      <c r="M367" s="131"/>
      <c r="N367" s="131"/>
      <c r="O367" s="142"/>
      <c r="P367" s="142"/>
      <c r="Q367" s="142"/>
      <c r="R367" s="142"/>
      <c r="S367" s="142"/>
      <c r="T367" s="142"/>
      <c r="U367" s="142"/>
      <c r="V367" s="142"/>
      <c r="W367" s="142"/>
      <c r="X367" s="142"/>
      <c r="Y367" s="142"/>
      <c r="Z367" s="142"/>
      <c r="AA367" s="131"/>
      <c r="AB367" s="142"/>
      <c r="AC367" s="142"/>
      <c r="AD367" s="142"/>
      <c r="AE367" s="142"/>
      <c r="AF367" s="142"/>
      <c r="AG367" s="142"/>
      <c r="AH367" s="142"/>
      <c r="AI367" s="142"/>
      <c r="AJ367" s="142"/>
      <c r="AK367" s="142"/>
      <c r="AL367" s="142"/>
      <c r="AM367" s="142"/>
      <c r="AN367" s="142"/>
      <c r="AO367" s="142"/>
      <c r="AP367" s="142"/>
    </row>
    <row r="368" ht="13.5" customHeight="1">
      <c r="A368" s="142"/>
      <c r="B368" s="142"/>
      <c r="C368" s="142"/>
      <c r="D368" s="142"/>
      <c r="E368" s="132"/>
      <c r="F368" s="131"/>
      <c r="G368" s="131"/>
      <c r="H368" s="131"/>
      <c r="I368" s="131"/>
      <c r="J368" s="131"/>
      <c r="K368" s="131"/>
      <c r="L368" s="131"/>
      <c r="M368" s="131"/>
      <c r="N368" s="131"/>
      <c r="O368" s="142"/>
      <c r="P368" s="142"/>
      <c r="Q368" s="142"/>
      <c r="R368" s="142"/>
      <c r="S368" s="142"/>
      <c r="T368" s="142"/>
      <c r="U368" s="142"/>
      <c r="V368" s="142"/>
      <c r="W368" s="142"/>
      <c r="X368" s="142"/>
      <c r="Y368" s="142"/>
      <c r="Z368" s="142"/>
      <c r="AA368" s="131"/>
      <c r="AB368" s="142"/>
      <c r="AC368" s="142"/>
      <c r="AD368" s="142"/>
      <c r="AE368" s="142"/>
      <c r="AF368" s="142"/>
      <c r="AG368" s="142"/>
      <c r="AH368" s="142"/>
      <c r="AI368" s="142"/>
      <c r="AJ368" s="142"/>
      <c r="AK368" s="142"/>
      <c r="AL368" s="142"/>
      <c r="AM368" s="142"/>
      <c r="AN368" s="142"/>
      <c r="AO368" s="142"/>
      <c r="AP368" s="142"/>
    </row>
    <row r="369" ht="13.5" customHeight="1">
      <c r="A369" s="142"/>
      <c r="B369" s="142"/>
      <c r="C369" s="142"/>
      <c r="D369" s="142"/>
      <c r="E369" s="132"/>
      <c r="F369" s="131"/>
      <c r="G369" s="131"/>
      <c r="H369" s="131"/>
      <c r="I369" s="131"/>
      <c r="J369" s="131"/>
      <c r="K369" s="131"/>
      <c r="L369" s="131"/>
      <c r="M369" s="131"/>
      <c r="N369" s="131"/>
      <c r="O369" s="142"/>
      <c r="P369" s="142"/>
      <c r="Q369" s="142"/>
      <c r="R369" s="142"/>
      <c r="S369" s="142"/>
      <c r="T369" s="142"/>
      <c r="U369" s="142"/>
      <c r="V369" s="142"/>
      <c r="W369" s="142"/>
      <c r="X369" s="142"/>
      <c r="Y369" s="142"/>
      <c r="Z369" s="142"/>
      <c r="AA369" s="131"/>
      <c r="AB369" s="142"/>
      <c r="AC369" s="142"/>
      <c r="AD369" s="142"/>
      <c r="AE369" s="142"/>
      <c r="AF369" s="142"/>
      <c r="AG369" s="142"/>
      <c r="AH369" s="142"/>
      <c r="AI369" s="142"/>
      <c r="AJ369" s="142"/>
      <c r="AK369" s="142"/>
      <c r="AL369" s="142"/>
      <c r="AM369" s="142"/>
      <c r="AN369" s="142"/>
      <c r="AO369" s="142"/>
      <c r="AP369" s="142"/>
    </row>
    <row r="370" ht="13.5" customHeight="1">
      <c r="A370" s="142"/>
      <c r="B370" s="142"/>
      <c r="C370" s="142"/>
      <c r="D370" s="142"/>
      <c r="E370" s="132"/>
      <c r="F370" s="131"/>
      <c r="G370" s="131"/>
      <c r="H370" s="131"/>
      <c r="I370" s="131"/>
      <c r="J370" s="131"/>
      <c r="K370" s="131"/>
      <c r="L370" s="131"/>
      <c r="M370" s="131"/>
      <c r="N370" s="131"/>
      <c r="O370" s="142"/>
      <c r="P370" s="142"/>
      <c r="Q370" s="142"/>
      <c r="R370" s="142"/>
      <c r="S370" s="142"/>
      <c r="T370" s="142"/>
      <c r="U370" s="142"/>
      <c r="V370" s="142"/>
      <c r="W370" s="142"/>
      <c r="X370" s="142"/>
      <c r="Y370" s="142"/>
      <c r="Z370" s="142"/>
      <c r="AA370" s="131"/>
      <c r="AB370" s="142"/>
      <c r="AC370" s="142"/>
      <c r="AD370" s="142"/>
      <c r="AE370" s="142"/>
      <c r="AF370" s="142"/>
      <c r="AG370" s="142"/>
      <c r="AH370" s="142"/>
      <c r="AI370" s="142"/>
      <c r="AJ370" s="142"/>
      <c r="AK370" s="142"/>
      <c r="AL370" s="142"/>
      <c r="AM370" s="142"/>
      <c r="AN370" s="142"/>
      <c r="AO370" s="142"/>
      <c r="AP370" s="142"/>
    </row>
    <row r="371" ht="13.5" customHeight="1">
      <c r="A371" s="142"/>
      <c r="B371" s="142"/>
      <c r="C371" s="142"/>
      <c r="D371" s="142"/>
      <c r="E371" s="132"/>
      <c r="F371" s="131"/>
      <c r="G371" s="131"/>
      <c r="H371" s="131"/>
      <c r="I371" s="131"/>
      <c r="J371" s="131"/>
      <c r="K371" s="131"/>
      <c r="L371" s="131"/>
      <c r="M371" s="131"/>
      <c r="N371" s="131"/>
      <c r="O371" s="142"/>
      <c r="P371" s="142"/>
      <c r="Q371" s="142"/>
      <c r="R371" s="142"/>
      <c r="S371" s="142"/>
      <c r="T371" s="142"/>
      <c r="U371" s="142"/>
      <c r="V371" s="142"/>
      <c r="W371" s="142"/>
      <c r="X371" s="142"/>
      <c r="Y371" s="142"/>
      <c r="Z371" s="142"/>
      <c r="AA371" s="131"/>
      <c r="AB371" s="142"/>
      <c r="AC371" s="142"/>
      <c r="AD371" s="142"/>
      <c r="AE371" s="142"/>
      <c r="AF371" s="142"/>
      <c r="AG371" s="142"/>
      <c r="AH371" s="142"/>
      <c r="AI371" s="142"/>
      <c r="AJ371" s="142"/>
      <c r="AK371" s="142"/>
      <c r="AL371" s="142"/>
      <c r="AM371" s="142"/>
      <c r="AN371" s="142"/>
      <c r="AO371" s="142"/>
      <c r="AP371" s="142"/>
    </row>
    <row r="372" ht="13.5" customHeight="1">
      <c r="A372" s="142"/>
      <c r="B372" s="142"/>
      <c r="C372" s="142"/>
      <c r="D372" s="142"/>
      <c r="E372" s="132"/>
      <c r="F372" s="131"/>
      <c r="G372" s="131"/>
      <c r="H372" s="131"/>
      <c r="I372" s="131"/>
      <c r="J372" s="131"/>
      <c r="K372" s="131"/>
      <c r="L372" s="131"/>
      <c r="M372" s="131"/>
      <c r="N372" s="131"/>
      <c r="O372" s="142"/>
      <c r="P372" s="142"/>
      <c r="Q372" s="142"/>
      <c r="R372" s="142"/>
      <c r="S372" s="142"/>
      <c r="T372" s="142"/>
      <c r="U372" s="142"/>
      <c r="V372" s="142"/>
      <c r="W372" s="142"/>
      <c r="X372" s="142"/>
      <c r="Y372" s="142"/>
      <c r="Z372" s="142"/>
      <c r="AA372" s="131"/>
      <c r="AB372" s="142"/>
      <c r="AC372" s="142"/>
      <c r="AD372" s="142"/>
      <c r="AE372" s="142"/>
      <c r="AF372" s="142"/>
      <c r="AG372" s="142"/>
      <c r="AH372" s="142"/>
      <c r="AI372" s="142"/>
      <c r="AJ372" s="142"/>
      <c r="AK372" s="142"/>
      <c r="AL372" s="142"/>
      <c r="AM372" s="142"/>
      <c r="AN372" s="142"/>
      <c r="AO372" s="142"/>
      <c r="AP372" s="142"/>
    </row>
    <row r="373" ht="13.5" customHeight="1">
      <c r="A373" s="142"/>
      <c r="B373" s="142"/>
      <c r="C373" s="142"/>
      <c r="D373" s="142"/>
      <c r="E373" s="132"/>
      <c r="F373" s="131"/>
      <c r="G373" s="131"/>
      <c r="H373" s="131"/>
      <c r="I373" s="131"/>
      <c r="J373" s="131"/>
      <c r="K373" s="131"/>
      <c r="L373" s="131"/>
      <c r="M373" s="131"/>
      <c r="N373" s="131"/>
      <c r="O373" s="142"/>
      <c r="P373" s="142"/>
      <c r="Q373" s="142"/>
      <c r="R373" s="142"/>
      <c r="S373" s="142"/>
      <c r="T373" s="142"/>
      <c r="U373" s="142"/>
      <c r="V373" s="142"/>
      <c r="W373" s="142"/>
      <c r="X373" s="142"/>
      <c r="Y373" s="142"/>
      <c r="Z373" s="142"/>
      <c r="AA373" s="131"/>
      <c r="AB373" s="142"/>
      <c r="AC373" s="142"/>
      <c r="AD373" s="142"/>
      <c r="AE373" s="142"/>
      <c r="AF373" s="142"/>
      <c r="AG373" s="142"/>
      <c r="AH373" s="142"/>
      <c r="AI373" s="142"/>
      <c r="AJ373" s="142"/>
      <c r="AK373" s="142"/>
      <c r="AL373" s="142"/>
      <c r="AM373" s="142"/>
      <c r="AN373" s="142"/>
      <c r="AO373" s="142"/>
      <c r="AP373" s="142"/>
    </row>
    <row r="374" ht="13.5" customHeight="1">
      <c r="A374" s="142"/>
      <c r="B374" s="142"/>
      <c r="C374" s="142"/>
      <c r="D374" s="142"/>
      <c r="E374" s="132"/>
      <c r="F374" s="131"/>
      <c r="G374" s="131"/>
      <c r="H374" s="131"/>
      <c r="I374" s="131"/>
      <c r="J374" s="131"/>
      <c r="K374" s="131"/>
      <c r="L374" s="131"/>
      <c r="M374" s="131"/>
      <c r="N374" s="131"/>
      <c r="O374" s="142"/>
      <c r="P374" s="142"/>
      <c r="Q374" s="142"/>
      <c r="R374" s="142"/>
      <c r="S374" s="142"/>
      <c r="T374" s="142"/>
      <c r="U374" s="142"/>
      <c r="V374" s="142"/>
      <c r="W374" s="142"/>
      <c r="X374" s="142"/>
      <c r="Y374" s="142"/>
      <c r="Z374" s="142"/>
      <c r="AA374" s="131"/>
      <c r="AB374" s="142"/>
      <c r="AC374" s="142"/>
      <c r="AD374" s="142"/>
      <c r="AE374" s="142"/>
      <c r="AF374" s="142"/>
      <c r="AG374" s="142"/>
      <c r="AH374" s="142"/>
      <c r="AI374" s="142"/>
      <c r="AJ374" s="142"/>
      <c r="AK374" s="142"/>
      <c r="AL374" s="142"/>
      <c r="AM374" s="142"/>
      <c r="AN374" s="142"/>
      <c r="AO374" s="142"/>
      <c r="AP374" s="142"/>
    </row>
    <row r="375" ht="13.5" customHeight="1">
      <c r="A375" s="142"/>
      <c r="B375" s="142"/>
      <c r="C375" s="142"/>
      <c r="D375" s="142"/>
      <c r="E375" s="132"/>
      <c r="F375" s="131"/>
      <c r="G375" s="131"/>
      <c r="H375" s="131"/>
      <c r="I375" s="131"/>
      <c r="J375" s="131"/>
      <c r="K375" s="131"/>
      <c r="L375" s="131"/>
      <c r="M375" s="131"/>
      <c r="N375" s="131"/>
      <c r="O375" s="142"/>
      <c r="P375" s="142"/>
      <c r="Q375" s="142"/>
      <c r="R375" s="142"/>
      <c r="S375" s="142"/>
      <c r="T375" s="142"/>
      <c r="U375" s="142"/>
      <c r="V375" s="142"/>
      <c r="W375" s="142"/>
      <c r="X375" s="142"/>
      <c r="Y375" s="142"/>
      <c r="Z375" s="142"/>
      <c r="AA375" s="131"/>
      <c r="AB375" s="142"/>
      <c r="AC375" s="142"/>
      <c r="AD375" s="142"/>
      <c r="AE375" s="142"/>
      <c r="AF375" s="142"/>
      <c r="AG375" s="142"/>
      <c r="AH375" s="142"/>
      <c r="AI375" s="142"/>
      <c r="AJ375" s="142"/>
      <c r="AK375" s="142"/>
      <c r="AL375" s="142"/>
      <c r="AM375" s="142"/>
      <c r="AN375" s="142"/>
      <c r="AO375" s="142"/>
      <c r="AP375" s="142"/>
    </row>
    <row r="376" ht="13.5" customHeight="1">
      <c r="A376" s="142"/>
      <c r="B376" s="142"/>
      <c r="C376" s="142"/>
      <c r="D376" s="142"/>
      <c r="E376" s="132"/>
      <c r="F376" s="131"/>
      <c r="G376" s="131"/>
      <c r="H376" s="131"/>
      <c r="I376" s="131"/>
      <c r="J376" s="131"/>
      <c r="K376" s="131"/>
      <c r="L376" s="131"/>
      <c r="M376" s="131"/>
      <c r="N376" s="131"/>
      <c r="O376" s="142"/>
      <c r="P376" s="142"/>
      <c r="Q376" s="142"/>
      <c r="R376" s="142"/>
      <c r="S376" s="142"/>
      <c r="T376" s="142"/>
      <c r="U376" s="142"/>
      <c r="V376" s="142"/>
      <c r="W376" s="142"/>
      <c r="X376" s="142"/>
      <c r="Y376" s="142"/>
      <c r="Z376" s="142"/>
      <c r="AA376" s="131"/>
      <c r="AB376" s="142"/>
      <c r="AC376" s="142"/>
      <c r="AD376" s="142"/>
      <c r="AE376" s="142"/>
      <c r="AF376" s="142"/>
      <c r="AG376" s="142"/>
      <c r="AH376" s="142"/>
      <c r="AI376" s="142"/>
      <c r="AJ376" s="142"/>
      <c r="AK376" s="142"/>
      <c r="AL376" s="142"/>
      <c r="AM376" s="142"/>
      <c r="AN376" s="142"/>
      <c r="AO376" s="142"/>
      <c r="AP376" s="142"/>
    </row>
    <row r="377" ht="13.5" customHeight="1">
      <c r="A377" s="142"/>
      <c r="B377" s="142"/>
      <c r="C377" s="142"/>
      <c r="D377" s="142"/>
      <c r="E377" s="132"/>
      <c r="F377" s="131"/>
      <c r="G377" s="131"/>
      <c r="H377" s="131"/>
      <c r="I377" s="131"/>
      <c r="J377" s="131"/>
      <c r="K377" s="131"/>
      <c r="L377" s="131"/>
      <c r="M377" s="131"/>
      <c r="N377" s="131"/>
      <c r="O377" s="142"/>
      <c r="P377" s="142"/>
      <c r="Q377" s="142"/>
      <c r="R377" s="142"/>
      <c r="S377" s="142"/>
      <c r="T377" s="142"/>
      <c r="U377" s="142"/>
      <c r="V377" s="142"/>
      <c r="W377" s="142"/>
      <c r="X377" s="142"/>
      <c r="Y377" s="142"/>
      <c r="Z377" s="142"/>
      <c r="AA377" s="131"/>
      <c r="AB377" s="142"/>
      <c r="AC377" s="142"/>
      <c r="AD377" s="142"/>
      <c r="AE377" s="142"/>
      <c r="AF377" s="142"/>
      <c r="AG377" s="142"/>
      <c r="AH377" s="142"/>
      <c r="AI377" s="142"/>
      <c r="AJ377" s="142"/>
      <c r="AK377" s="142"/>
      <c r="AL377" s="142"/>
      <c r="AM377" s="142"/>
      <c r="AN377" s="142"/>
      <c r="AO377" s="142"/>
      <c r="AP377" s="142"/>
    </row>
    <row r="378" ht="13.5" customHeight="1">
      <c r="A378" s="142"/>
      <c r="B378" s="142"/>
      <c r="C378" s="142"/>
      <c r="D378" s="142"/>
      <c r="E378" s="132"/>
      <c r="F378" s="131"/>
      <c r="G378" s="131"/>
      <c r="H378" s="131"/>
      <c r="I378" s="131"/>
      <c r="J378" s="131"/>
      <c r="K378" s="131"/>
      <c r="L378" s="131"/>
      <c r="M378" s="131"/>
      <c r="N378" s="131"/>
      <c r="O378" s="142"/>
      <c r="P378" s="142"/>
      <c r="Q378" s="142"/>
      <c r="R378" s="142"/>
      <c r="S378" s="142"/>
      <c r="T378" s="142"/>
      <c r="U378" s="142"/>
      <c r="V378" s="142"/>
      <c r="W378" s="142"/>
      <c r="X378" s="142"/>
      <c r="Y378" s="142"/>
      <c r="Z378" s="142"/>
      <c r="AA378" s="131"/>
      <c r="AB378" s="142"/>
      <c r="AC378" s="142"/>
      <c r="AD378" s="142"/>
      <c r="AE378" s="142"/>
      <c r="AF378" s="142"/>
      <c r="AG378" s="142"/>
      <c r="AH378" s="142"/>
      <c r="AI378" s="142"/>
      <c r="AJ378" s="142"/>
      <c r="AK378" s="142"/>
      <c r="AL378" s="142"/>
      <c r="AM378" s="142"/>
      <c r="AN378" s="142"/>
      <c r="AO378" s="142"/>
      <c r="AP378" s="142"/>
    </row>
    <row r="379" ht="13.5" customHeight="1">
      <c r="A379" s="142"/>
      <c r="B379" s="142"/>
      <c r="C379" s="142"/>
      <c r="D379" s="142"/>
      <c r="E379" s="132"/>
      <c r="F379" s="131"/>
      <c r="G379" s="131"/>
      <c r="H379" s="131"/>
      <c r="I379" s="131"/>
      <c r="J379" s="131"/>
      <c r="K379" s="131"/>
      <c r="L379" s="131"/>
      <c r="M379" s="131"/>
      <c r="N379" s="131"/>
      <c r="O379" s="142"/>
      <c r="P379" s="142"/>
      <c r="Q379" s="142"/>
      <c r="R379" s="142"/>
      <c r="S379" s="142"/>
      <c r="T379" s="142"/>
      <c r="U379" s="142"/>
      <c r="V379" s="142"/>
      <c r="W379" s="142"/>
      <c r="X379" s="142"/>
      <c r="Y379" s="142"/>
      <c r="Z379" s="142"/>
      <c r="AA379" s="131"/>
      <c r="AB379" s="142"/>
      <c r="AC379" s="142"/>
      <c r="AD379" s="142"/>
      <c r="AE379" s="142"/>
      <c r="AF379" s="142"/>
      <c r="AG379" s="142"/>
      <c r="AH379" s="142"/>
      <c r="AI379" s="142"/>
      <c r="AJ379" s="142"/>
      <c r="AK379" s="142"/>
      <c r="AL379" s="142"/>
      <c r="AM379" s="142"/>
      <c r="AN379" s="142"/>
      <c r="AO379" s="142"/>
      <c r="AP379" s="142"/>
    </row>
    <row r="380" ht="13.5" customHeight="1">
      <c r="A380" s="142"/>
      <c r="B380" s="142"/>
      <c r="C380" s="142"/>
      <c r="D380" s="142"/>
      <c r="E380" s="132"/>
      <c r="F380" s="131"/>
      <c r="G380" s="131"/>
      <c r="H380" s="131"/>
      <c r="I380" s="131"/>
      <c r="J380" s="131"/>
      <c r="K380" s="131"/>
      <c r="L380" s="131"/>
      <c r="M380" s="131"/>
      <c r="N380" s="131"/>
      <c r="O380" s="142"/>
      <c r="P380" s="142"/>
      <c r="Q380" s="142"/>
      <c r="R380" s="142"/>
      <c r="S380" s="142"/>
      <c r="T380" s="142"/>
      <c r="U380" s="142"/>
      <c r="V380" s="142"/>
      <c r="W380" s="142"/>
      <c r="X380" s="142"/>
      <c r="Y380" s="142"/>
      <c r="Z380" s="142"/>
      <c r="AA380" s="131"/>
      <c r="AB380" s="142"/>
      <c r="AC380" s="142"/>
      <c r="AD380" s="142"/>
      <c r="AE380" s="142"/>
      <c r="AF380" s="142"/>
      <c r="AG380" s="142"/>
      <c r="AH380" s="142"/>
      <c r="AI380" s="142"/>
      <c r="AJ380" s="142"/>
      <c r="AK380" s="142"/>
      <c r="AL380" s="142"/>
      <c r="AM380" s="142"/>
      <c r="AN380" s="142"/>
      <c r="AO380" s="142"/>
      <c r="AP380" s="142"/>
    </row>
    <row r="381" ht="13.5" customHeight="1">
      <c r="A381" s="142"/>
      <c r="B381" s="142"/>
      <c r="C381" s="142"/>
      <c r="D381" s="142"/>
      <c r="E381" s="132"/>
      <c r="F381" s="131"/>
      <c r="G381" s="131"/>
      <c r="H381" s="131"/>
      <c r="I381" s="131"/>
      <c r="J381" s="131"/>
      <c r="K381" s="131"/>
      <c r="L381" s="131"/>
      <c r="M381" s="131"/>
      <c r="N381" s="131"/>
      <c r="O381" s="142"/>
      <c r="P381" s="142"/>
      <c r="Q381" s="142"/>
      <c r="R381" s="142"/>
      <c r="S381" s="142"/>
      <c r="T381" s="142"/>
      <c r="U381" s="142"/>
      <c r="V381" s="142"/>
      <c r="W381" s="142"/>
      <c r="X381" s="142"/>
      <c r="Y381" s="142"/>
      <c r="Z381" s="142"/>
      <c r="AA381" s="131"/>
      <c r="AB381" s="142"/>
      <c r="AC381" s="142"/>
      <c r="AD381" s="142"/>
      <c r="AE381" s="142"/>
      <c r="AF381" s="142"/>
      <c r="AG381" s="142"/>
      <c r="AH381" s="142"/>
      <c r="AI381" s="142"/>
      <c r="AJ381" s="142"/>
      <c r="AK381" s="142"/>
      <c r="AL381" s="142"/>
      <c r="AM381" s="142"/>
      <c r="AN381" s="142"/>
      <c r="AO381" s="142"/>
      <c r="AP381" s="142"/>
    </row>
    <row r="382" ht="13.5" customHeight="1">
      <c r="A382" s="142"/>
      <c r="B382" s="142"/>
      <c r="C382" s="142"/>
      <c r="D382" s="142"/>
      <c r="E382" s="132"/>
      <c r="F382" s="131"/>
      <c r="G382" s="131"/>
      <c r="H382" s="131"/>
      <c r="I382" s="131"/>
      <c r="J382" s="131"/>
      <c r="K382" s="131"/>
      <c r="L382" s="131"/>
      <c r="M382" s="131"/>
      <c r="N382" s="131"/>
      <c r="O382" s="142"/>
      <c r="P382" s="142"/>
      <c r="Q382" s="142"/>
      <c r="R382" s="142"/>
      <c r="S382" s="142"/>
      <c r="T382" s="142"/>
      <c r="U382" s="142"/>
      <c r="V382" s="142"/>
      <c r="W382" s="142"/>
      <c r="X382" s="142"/>
      <c r="Y382" s="142"/>
      <c r="Z382" s="142"/>
      <c r="AA382" s="131"/>
      <c r="AB382" s="142"/>
      <c r="AC382" s="142"/>
      <c r="AD382" s="142"/>
      <c r="AE382" s="142"/>
      <c r="AF382" s="142"/>
      <c r="AG382" s="142"/>
      <c r="AH382" s="142"/>
      <c r="AI382" s="142"/>
      <c r="AJ382" s="142"/>
      <c r="AK382" s="142"/>
      <c r="AL382" s="142"/>
      <c r="AM382" s="142"/>
      <c r="AN382" s="142"/>
      <c r="AO382" s="142"/>
      <c r="AP382" s="142"/>
    </row>
    <row r="383" ht="13.5" customHeight="1">
      <c r="A383" s="142"/>
      <c r="B383" s="142"/>
      <c r="C383" s="142"/>
      <c r="D383" s="142"/>
      <c r="E383" s="132"/>
      <c r="F383" s="131"/>
      <c r="G383" s="131"/>
      <c r="H383" s="131"/>
      <c r="I383" s="131"/>
      <c r="J383" s="131"/>
      <c r="K383" s="131"/>
      <c r="L383" s="131"/>
      <c r="M383" s="131"/>
      <c r="N383" s="131"/>
      <c r="O383" s="142"/>
      <c r="P383" s="142"/>
      <c r="Q383" s="142"/>
      <c r="R383" s="142"/>
      <c r="S383" s="142"/>
      <c r="T383" s="142"/>
      <c r="U383" s="142"/>
      <c r="V383" s="142"/>
      <c r="W383" s="142"/>
      <c r="X383" s="142"/>
      <c r="Y383" s="142"/>
      <c r="Z383" s="142"/>
      <c r="AA383" s="131"/>
      <c r="AB383" s="142"/>
      <c r="AC383" s="142"/>
      <c r="AD383" s="142"/>
      <c r="AE383" s="142"/>
      <c r="AF383" s="142"/>
      <c r="AG383" s="142"/>
      <c r="AH383" s="142"/>
      <c r="AI383" s="142"/>
      <c r="AJ383" s="142"/>
      <c r="AK383" s="142"/>
      <c r="AL383" s="142"/>
      <c r="AM383" s="142"/>
      <c r="AN383" s="142"/>
      <c r="AO383" s="142"/>
      <c r="AP383" s="142"/>
    </row>
    <row r="384" ht="13.5" customHeight="1">
      <c r="A384" s="142"/>
      <c r="B384" s="142"/>
      <c r="C384" s="142"/>
      <c r="D384" s="142"/>
      <c r="E384" s="132"/>
      <c r="F384" s="131"/>
      <c r="G384" s="131"/>
      <c r="H384" s="131"/>
      <c r="I384" s="131"/>
      <c r="J384" s="131"/>
      <c r="K384" s="131"/>
      <c r="L384" s="131"/>
      <c r="M384" s="131"/>
      <c r="N384" s="131"/>
      <c r="O384" s="142"/>
      <c r="P384" s="142"/>
      <c r="Q384" s="142"/>
      <c r="R384" s="142"/>
      <c r="S384" s="142"/>
      <c r="T384" s="142"/>
      <c r="U384" s="142"/>
      <c r="V384" s="142"/>
      <c r="W384" s="142"/>
      <c r="X384" s="142"/>
      <c r="Y384" s="142"/>
      <c r="Z384" s="142"/>
      <c r="AA384" s="131"/>
      <c r="AB384" s="142"/>
      <c r="AC384" s="142"/>
      <c r="AD384" s="142"/>
      <c r="AE384" s="142"/>
      <c r="AF384" s="142"/>
      <c r="AG384" s="142"/>
      <c r="AH384" s="142"/>
      <c r="AI384" s="142"/>
      <c r="AJ384" s="142"/>
      <c r="AK384" s="142"/>
      <c r="AL384" s="142"/>
      <c r="AM384" s="142"/>
      <c r="AN384" s="142"/>
      <c r="AO384" s="142"/>
      <c r="AP384" s="142"/>
    </row>
    <row r="385" ht="13.5" customHeight="1">
      <c r="A385" s="142"/>
      <c r="B385" s="142"/>
      <c r="C385" s="142"/>
      <c r="D385" s="142"/>
      <c r="E385" s="132"/>
      <c r="F385" s="131"/>
      <c r="G385" s="131"/>
      <c r="H385" s="131"/>
      <c r="I385" s="131"/>
      <c r="J385" s="131"/>
      <c r="K385" s="131"/>
      <c r="L385" s="131"/>
      <c r="M385" s="131"/>
      <c r="N385" s="131"/>
      <c r="O385" s="142"/>
      <c r="P385" s="142"/>
      <c r="Q385" s="142"/>
      <c r="R385" s="142"/>
      <c r="S385" s="142"/>
      <c r="T385" s="142"/>
      <c r="U385" s="142"/>
      <c r="V385" s="142"/>
      <c r="W385" s="142"/>
      <c r="X385" s="142"/>
      <c r="Y385" s="142"/>
      <c r="Z385" s="142"/>
      <c r="AA385" s="131"/>
      <c r="AB385" s="142"/>
      <c r="AC385" s="142"/>
      <c r="AD385" s="142"/>
      <c r="AE385" s="142"/>
      <c r="AF385" s="142"/>
      <c r="AG385" s="142"/>
      <c r="AH385" s="142"/>
      <c r="AI385" s="142"/>
      <c r="AJ385" s="142"/>
      <c r="AK385" s="142"/>
      <c r="AL385" s="142"/>
      <c r="AM385" s="142"/>
      <c r="AN385" s="142"/>
      <c r="AO385" s="142"/>
      <c r="AP385" s="142"/>
    </row>
    <row r="386" ht="13.5" customHeight="1">
      <c r="A386" s="142"/>
      <c r="B386" s="142"/>
      <c r="C386" s="142"/>
      <c r="D386" s="142"/>
      <c r="E386" s="132"/>
      <c r="F386" s="131"/>
      <c r="G386" s="131"/>
      <c r="H386" s="131"/>
      <c r="I386" s="131"/>
      <c r="J386" s="131"/>
      <c r="K386" s="131"/>
      <c r="L386" s="131"/>
      <c r="M386" s="131"/>
      <c r="N386" s="131"/>
      <c r="O386" s="142"/>
      <c r="P386" s="142"/>
      <c r="Q386" s="142"/>
      <c r="R386" s="142"/>
      <c r="S386" s="142"/>
      <c r="T386" s="142"/>
      <c r="U386" s="142"/>
      <c r="V386" s="142"/>
      <c r="W386" s="142"/>
      <c r="X386" s="142"/>
      <c r="Y386" s="142"/>
      <c r="Z386" s="142"/>
      <c r="AA386" s="131"/>
      <c r="AB386" s="142"/>
      <c r="AC386" s="142"/>
      <c r="AD386" s="142"/>
      <c r="AE386" s="142"/>
      <c r="AF386" s="142"/>
      <c r="AG386" s="142"/>
      <c r="AH386" s="142"/>
      <c r="AI386" s="142"/>
      <c r="AJ386" s="142"/>
      <c r="AK386" s="142"/>
      <c r="AL386" s="142"/>
      <c r="AM386" s="142"/>
      <c r="AN386" s="142"/>
      <c r="AO386" s="142"/>
      <c r="AP386" s="142"/>
    </row>
    <row r="387" ht="13.5" customHeight="1">
      <c r="A387" s="142"/>
      <c r="B387" s="142"/>
      <c r="C387" s="142"/>
      <c r="D387" s="142"/>
      <c r="E387" s="132"/>
      <c r="F387" s="131"/>
      <c r="G387" s="131"/>
      <c r="H387" s="131"/>
      <c r="I387" s="131"/>
      <c r="J387" s="131"/>
      <c r="K387" s="131"/>
      <c r="L387" s="131"/>
      <c r="M387" s="131"/>
      <c r="N387" s="131"/>
      <c r="O387" s="142"/>
      <c r="P387" s="142"/>
      <c r="Q387" s="142"/>
      <c r="R387" s="142"/>
      <c r="S387" s="142"/>
      <c r="T387" s="142"/>
      <c r="U387" s="142"/>
      <c r="V387" s="142"/>
      <c r="W387" s="142"/>
      <c r="X387" s="142"/>
      <c r="Y387" s="142"/>
      <c r="Z387" s="142"/>
      <c r="AA387" s="131"/>
      <c r="AB387" s="142"/>
      <c r="AC387" s="142"/>
      <c r="AD387" s="142"/>
      <c r="AE387" s="142"/>
      <c r="AF387" s="142"/>
      <c r="AG387" s="142"/>
      <c r="AH387" s="142"/>
      <c r="AI387" s="142"/>
      <c r="AJ387" s="142"/>
      <c r="AK387" s="142"/>
      <c r="AL387" s="142"/>
      <c r="AM387" s="142"/>
      <c r="AN387" s="142"/>
      <c r="AO387" s="142"/>
      <c r="AP387" s="142"/>
    </row>
    <row r="388" ht="13.5" customHeight="1">
      <c r="A388" s="142"/>
      <c r="B388" s="142"/>
      <c r="C388" s="142"/>
      <c r="D388" s="142"/>
      <c r="E388" s="132"/>
      <c r="F388" s="131"/>
      <c r="G388" s="131"/>
      <c r="H388" s="131"/>
      <c r="I388" s="131"/>
      <c r="J388" s="131"/>
      <c r="K388" s="131"/>
      <c r="L388" s="131"/>
      <c r="M388" s="131"/>
      <c r="N388" s="131"/>
      <c r="O388" s="142"/>
      <c r="P388" s="142"/>
      <c r="Q388" s="142"/>
      <c r="R388" s="142"/>
      <c r="S388" s="142"/>
      <c r="T388" s="142"/>
      <c r="U388" s="142"/>
      <c r="V388" s="142"/>
      <c r="W388" s="142"/>
      <c r="X388" s="142"/>
      <c r="Y388" s="142"/>
      <c r="Z388" s="142"/>
      <c r="AA388" s="131"/>
      <c r="AB388" s="142"/>
      <c r="AC388" s="142"/>
      <c r="AD388" s="142"/>
      <c r="AE388" s="142"/>
      <c r="AF388" s="142"/>
      <c r="AG388" s="142"/>
      <c r="AH388" s="142"/>
      <c r="AI388" s="142"/>
      <c r="AJ388" s="142"/>
      <c r="AK388" s="142"/>
      <c r="AL388" s="142"/>
      <c r="AM388" s="142"/>
      <c r="AN388" s="142"/>
      <c r="AO388" s="142"/>
      <c r="AP388" s="142"/>
    </row>
    <row r="389" ht="13.5" customHeight="1">
      <c r="A389" s="142"/>
      <c r="B389" s="142"/>
      <c r="C389" s="142"/>
      <c r="D389" s="142"/>
      <c r="E389" s="132"/>
      <c r="F389" s="131"/>
      <c r="G389" s="131"/>
      <c r="H389" s="131"/>
      <c r="I389" s="131"/>
      <c r="J389" s="131"/>
      <c r="K389" s="131"/>
      <c r="L389" s="131"/>
      <c r="M389" s="131"/>
      <c r="N389" s="131"/>
      <c r="O389" s="142"/>
      <c r="P389" s="142"/>
      <c r="Q389" s="142"/>
      <c r="R389" s="142"/>
      <c r="S389" s="142"/>
      <c r="T389" s="142"/>
      <c r="U389" s="142"/>
      <c r="V389" s="142"/>
      <c r="W389" s="142"/>
      <c r="X389" s="142"/>
      <c r="Y389" s="142"/>
      <c r="Z389" s="142"/>
      <c r="AA389" s="131"/>
      <c r="AB389" s="142"/>
      <c r="AC389" s="142"/>
      <c r="AD389" s="142"/>
      <c r="AE389" s="142"/>
      <c r="AF389" s="142"/>
      <c r="AG389" s="142"/>
      <c r="AH389" s="142"/>
      <c r="AI389" s="142"/>
      <c r="AJ389" s="142"/>
      <c r="AK389" s="142"/>
      <c r="AL389" s="142"/>
      <c r="AM389" s="142"/>
      <c r="AN389" s="142"/>
      <c r="AO389" s="142"/>
      <c r="AP389" s="142"/>
    </row>
    <row r="390" ht="13.5" customHeight="1">
      <c r="A390" s="142"/>
      <c r="B390" s="142"/>
      <c r="C390" s="142"/>
      <c r="D390" s="142"/>
      <c r="E390" s="132"/>
      <c r="F390" s="131"/>
      <c r="G390" s="131"/>
      <c r="H390" s="131"/>
      <c r="I390" s="131"/>
      <c r="J390" s="131"/>
      <c r="K390" s="131"/>
      <c r="L390" s="131"/>
      <c r="M390" s="131"/>
      <c r="N390" s="131"/>
      <c r="O390" s="142"/>
      <c r="P390" s="142"/>
      <c r="Q390" s="142"/>
      <c r="R390" s="142"/>
      <c r="S390" s="142"/>
      <c r="T390" s="142"/>
      <c r="U390" s="142"/>
      <c r="V390" s="142"/>
      <c r="W390" s="142"/>
      <c r="X390" s="142"/>
      <c r="Y390" s="142"/>
      <c r="Z390" s="142"/>
      <c r="AA390" s="131"/>
      <c r="AB390" s="142"/>
      <c r="AC390" s="142"/>
      <c r="AD390" s="142"/>
      <c r="AE390" s="142"/>
      <c r="AF390" s="142"/>
      <c r="AG390" s="142"/>
      <c r="AH390" s="142"/>
      <c r="AI390" s="142"/>
      <c r="AJ390" s="142"/>
      <c r="AK390" s="142"/>
      <c r="AL390" s="142"/>
      <c r="AM390" s="142"/>
      <c r="AN390" s="142"/>
      <c r="AO390" s="142"/>
      <c r="AP390" s="142"/>
    </row>
    <row r="391" ht="13.5" customHeight="1">
      <c r="A391" s="142"/>
      <c r="B391" s="142"/>
      <c r="C391" s="142"/>
      <c r="D391" s="142"/>
      <c r="E391" s="132"/>
      <c r="F391" s="131"/>
      <c r="G391" s="131"/>
      <c r="H391" s="131"/>
      <c r="I391" s="131"/>
      <c r="J391" s="131"/>
      <c r="K391" s="131"/>
      <c r="L391" s="131"/>
      <c r="M391" s="131"/>
      <c r="N391" s="131"/>
      <c r="O391" s="142"/>
      <c r="P391" s="142"/>
      <c r="Q391" s="142"/>
      <c r="R391" s="142"/>
      <c r="S391" s="142"/>
      <c r="T391" s="142"/>
      <c r="U391" s="142"/>
      <c r="V391" s="142"/>
      <c r="W391" s="142"/>
      <c r="X391" s="142"/>
      <c r="Y391" s="142"/>
      <c r="Z391" s="142"/>
      <c r="AA391" s="131"/>
      <c r="AB391" s="142"/>
      <c r="AC391" s="142"/>
      <c r="AD391" s="142"/>
      <c r="AE391" s="142"/>
      <c r="AF391" s="142"/>
      <c r="AG391" s="142"/>
      <c r="AH391" s="142"/>
      <c r="AI391" s="142"/>
      <c r="AJ391" s="142"/>
      <c r="AK391" s="142"/>
      <c r="AL391" s="142"/>
      <c r="AM391" s="142"/>
      <c r="AN391" s="142"/>
      <c r="AO391" s="142"/>
      <c r="AP391" s="142"/>
    </row>
    <row r="392" ht="13.5" customHeight="1">
      <c r="A392" s="142"/>
      <c r="B392" s="142"/>
      <c r="C392" s="142"/>
      <c r="D392" s="142"/>
      <c r="E392" s="132"/>
      <c r="F392" s="131"/>
      <c r="G392" s="131"/>
      <c r="H392" s="131"/>
      <c r="I392" s="131"/>
      <c r="J392" s="131"/>
      <c r="K392" s="131"/>
      <c r="L392" s="131"/>
      <c r="M392" s="131"/>
      <c r="N392" s="131"/>
      <c r="O392" s="142"/>
      <c r="P392" s="142"/>
      <c r="Q392" s="142"/>
      <c r="R392" s="142"/>
      <c r="S392" s="142"/>
      <c r="T392" s="142"/>
      <c r="U392" s="142"/>
      <c r="V392" s="142"/>
      <c r="W392" s="142"/>
      <c r="X392" s="142"/>
      <c r="Y392" s="142"/>
      <c r="Z392" s="142"/>
      <c r="AA392" s="131"/>
      <c r="AB392" s="142"/>
      <c r="AC392" s="142"/>
      <c r="AD392" s="142"/>
      <c r="AE392" s="142"/>
      <c r="AF392" s="142"/>
      <c r="AG392" s="142"/>
      <c r="AH392" s="142"/>
      <c r="AI392" s="142"/>
      <c r="AJ392" s="142"/>
      <c r="AK392" s="142"/>
      <c r="AL392" s="142"/>
      <c r="AM392" s="142"/>
      <c r="AN392" s="142"/>
      <c r="AO392" s="142"/>
      <c r="AP392" s="142"/>
    </row>
    <row r="393" ht="13.5" customHeight="1">
      <c r="A393" s="142"/>
      <c r="B393" s="142"/>
      <c r="C393" s="142"/>
      <c r="D393" s="142"/>
      <c r="E393" s="132"/>
      <c r="F393" s="131"/>
      <c r="G393" s="131"/>
      <c r="H393" s="131"/>
      <c r="I393" s="131"/>
      <c r="J393" s="131"/>
      <c r="K393" s="131"/>
      <c r="L393" s="131"/>
      <c r="M393" s="131"/>
      <c r="N393" s="131"/>
      <c r="O393" s="142"/>
      <c r="P393" s="142"/>
      <c r="Q393" s="142"/>
      <c r="R393" s="142"/>
      <c r="S393" s="142"/>
      <c r="T393" s="142"/>
      <c r="U393" s="142"/>
      <c r="V393" s="142"/>
      <c r="W393" s="142"/>
      <c r="X393" s="142"/>
      <c r="Y393" s="142"/>
      <c r="Z393" s="142"/>
      <c r="AA393" s="131"/>
      <c r="AB393" s="142"/>
      <c r="AC393" s="142"/>
      <c r="AD393" s="142"/>
      <c r="AE393" s="142"/>
      <c r="AF393" s="142"/>
      <c r="AG393" s="142"/>
      <c r="AH393" s="142"/>
      <c r="AI393" s="142"/>
      <c r="AJ393" s="142"/>
      <c r="AK393" s="142"/>
      <c r="AL393" s="142"/>
      <c r="AM393" s="142"/>
      <c r="AN393" s="142"/>
      <c r="AO393" s="142"/>
      <c r="AP393" s="142"/>
    </row>
    <row r="394" ht="13.5" customHeight="1">
      <c r="A394" s="142"/>
      <c r="B394" s="142"/>
      <c r="C394" s="142"/>
      <c r="D394" s="142"/>
      <c r="E394" s="132"/>
      <c r="F394" s="131"/>
      <c r="G394" s="131"/>
      <c r="H394" s="131"/>
      <c r="I394" s="131"/>
      <c r="J394" s="131"/>
      <c r="K394" s="131"/>
      <c r="L394" s="131"/>
      <c r="M394" s="131"/>
      <c r="N394" s="131"/>
      <c r="O394" s="142"/>
      <c r="P394" s="142"/>
      <c r="Q394" s="142"/>
      <c r="R394" s="142"/>
      <c r="S394" s="142"/>
      <c r="T394" s="142"/>
      <c r="U394" s="142"/>
      <c r="V394" s="142"/>
      <c r="W394" s="142"/>
      <c r="X394" s="142"/>
      <c r="Y394" s="142"/>
      <c r="Z394" s="142"/>
      <c r="AA394" s="131"/>
      <c r="AB394" s="142"/>
      <c r="AC394" s="142"/>
      <c r="AD394" s="142"/>
      <c r="AE394" s="142"/>
      <c r="AF394" s="142"/>
      <c r="AG394" s="142"/>
      <c r="AH394" s="142"/>
      <c r="AI394" s="142"/>
      <c r="AJ394" s="142"/>
      <c r="AK394" s="142"/>
      <c r="AL394" s="142"/>
      <c r="AM394" s="142"/>
      <c r="AN394" s="142"/>
      <c r="AO394" s="142"/>
      <c r="AP394" s="142"/>
    </row>
    <row r="395" ht="13.5" customHeight="1">
      <c r="A395" s="142"/>
      <c r="B395" s="142"/>
      <c r="C395" s="142"/>
      <c r="D395" s="142"/>
      <c r="E395" s="132"/>
      <c r="F395" s="131"/>
      <c r="G395" s="131"/>
      <c r="H395" s="131"/>
      <c r="I395" s="131"/>
      <c r="J395" s="131"/>
      <c r="K395" s="131"/>
      <c r="L395" s="131"/>
      <c r="M395" s="131"/>
      <c r="N395" s="131"/>
      <c r="O395" s="142"/>
      <c r="P395" s="142"/>
      <c r="Q395" s="142"/>
      <c r="R395" s="142"/>
      <c r="S395" s="142"/>
      <c r="T395" s="142"/>
      <c r="U395" s="142"/>
      <c r="V395" s="142"/>
      <c r="W395" s="142"/>
      <c r="X395" s="142"/>
      <c r="Y395" s="142"/>
      <c r="Z395" s="142"/>
      <c r="AA395" s="131"/>
      <c r="AB395" s="142"/>
      <c r="AC395" s="142"/>
      <c r="AD395" s="142"/>
      <c r="AE395" s="142"/>
      <c r="AF395" s="142"/>
      <c r="AG395" s="142"/>
      <c r="AH395" s="142"/>
      <c r="AI395" s="142"/>
      <c r="AJ395" s="142"/>
      <c r="AK395" s="142"/>
      <c r="AL395" s="142"/>
      <c r="AM395" s="142"/>
      <c r="AN395" s="142"/>
      <c r="AO395" s="142"/>
      <c r="AP395" s="142"/>
    </row>
    <row r="396" ht="13.5" customHeight="1">
      <c r="A396" s="142"/>
      <c r="B396" s="142"/>
      <c r="C396" s="142"/>
      <c r="D396" s="142"/>
      <c r="E396" s="132"/>
      <c r="F396" s="131"/>
      <c r="G396" s="131"/>
      <c r="H396" s="131"/>
      <c r="I396" s="131"/>
      <c r="J396" s="131"/>
      <c r="K396" s="131"/>
      <c r="L396" s="131"/>
      <c r="M396" s="131"/>
      <c r="N396" s="131"/>
      <c r="O396" s="142"/>
      <c r="P396" s="142"/>
      <c r="Q396" s="142"/>
      <c r="R396" s="142"/>
      <c r="S396" s="142"/>
      <c r="T396" s="142"/>
      <c r="U396" s="142"/>
      <c r="V396" s="142"/>
      <c r="W396" s="142"/>
      <c r="X396" s="142"/>
      <c r="Y396" s="142"/>
      <c r="Z396" s="142"/>
      <c r="AA396" s="131"/>
      <c r="AB396" s="142"/>
      <c r="AC396" s="142"/>
      <c r="AD396" s="142"/>
      <c r="AE396" s="142"/>
      <c r="AF396" s="142"/>
      <c r="AG396" s="142"/>
      <c r="AH396" s="142"/>
      <c r="AI396" s="142"/>
      <c r="AJ396" s="142"/>
      <c r="AK396" s="142"/>
      <c r="AL396" s="142"/>
      <c r="AM396" s="142"/>
      <c r="AN396" s="142"/>
      <c r="AO396" s="142"/>
      <c r="AP396" s="142"/>
    </row>
    <row r="397" ht="13.5" customHeight="1">
      <c r="A397" s="142"/>
      <c r="B397" s="142"/>
      <c r="C397" s="142"/>
      <c r="D397" s="142"/>
      <c r="E397" s="132"/>
      <c r="F397" s="131"/>
      <c r="G397" s="131"/>
      <c r="H397" s="131"/>
      <c r="I397" s="131"/>
      <c r="J397" s="131"/>
      <c r="K397" s="131"/>
      <c r="L397" s="131"/>
      <c r="M397" s="131"/>
      <c r="N397" s="131"/>
      <c r="O397" s="142"/>
      <c r="P397" s="142"/>
      <c r="Q397" s="142"/>
      <c r="R397" s="142"/>
      <c r="S397" s="142"/>
      <c r="T397" s="142"/>
      <c r="U397" s="142"/>
      <c r="V397" s="142"/>
      <c r="W397" s="142"/>
      <c r="X397" s="142"/>
      <c r="Y397" s="142"/>
      <c r="Z397" s="142"/>
      <c r="AA397" s="131"/>
      <c r="AB397" s="142"/>
      <c r="AC397" s="142"/>
      <c r="AD397" s="142"/>
      <c r="AE397" s="142"/>
      <c r="AF397" s="142"/>
      <c r="AG397" s="142"/>
      <c r="AH397" s="142"/>
      <c r="AI397" s="142"/>
      <c r="AJ397" s="142"/>
      <c r="AK397" s="142"/>
      <c r="AL397" s="142"/>
      <c r="AM397" s="142"/>
      <c r="AN397" s="142"/>
      <c r="AO397" s="142"/>
      <c r="AP397" s="142"/>
    </row>
    <row r="398" ht="13.5" customHeight="1">
      <c r="A398" s="142"/>
      <c r="B398" s="142"/>
      <c r="C398" s="142"/>
      <c r="D398" s="142"/>
      <c r="E398" s="132"/>
      <c r="F398" s="131"/>
      <c r="G398" s="131"/>
      <c r="H398" s="131"/>
      <c r="I398" s="131"/>
      <c r="J398" s="131"/>
      <c r="K398" s="131"/>
      <c r="L398" s="131"/>
      <c r="M398" s="131"/>
      <c r="N398" s="131"/>
      <c r="O398" s="142"/>
      <c r="P398" s="142"/>
      <c r="Q398" s="142"/>
      <c r="R398" s="142"/>
      <c r="S398" s="142"/>
      <c r="T398" s="142"/>
      <c r="U398" s="142"/>
      <c r="V398" s="142"/>
      <c r="W398" s="142"/>
      <c r="X398" s="142"/>
      <c r="Y398" s="142"/>
      <c r="Z398" s="142"/>
      <c r="AA398" s="131"/>
      <c r="AB398" s="142"/>
      <c r="AC398" s="142"/>
      <c r="AD398" s="142"/>
      <c r="AE398" s="142"/>
      <c r="AF398" s="142"/>
      <c r="AG398" s="142"/>
      <c r="AH398" s="142"/>
      <c r="AI398" s="142"/>
      <c r="AJ398" s="142"/>
      <c r="AK398" s="142"/>
      <c r="AL398" s="142"/>
      <c r="AM398" s="142"/>
      <c r="AN398" s="142"/>
      <c r="AO398" s="142"/>
      <c r="AP398" s="142"/>
    </row>
    <row r="399" ht="13.5" customHeight="1">
      <c r="A399" s="142"/>
      <c r="B399" s="142"/>
      <c r="C399" s="142"/>
      <c r="D399" s="142"/>
      <c r="E399" s="132"/>
      <c r="F399" s="131"/>
      <c r="G399" s="131"/>
      <c r="H399" s="131"/>
      <c r="I399" s="131"/>
      <c r="J399" s="131"/>
      <c r="K399" s="131"/>
      <c r="L399" s="131"/>
      <c r="M399" s="131"/>
      <c r="N399" s="131"/>
      <c r="O399" s="142"/>
      <c r="P399" s="142"/>
      <c r="Q399" s="142"/>
      <c r="R399" s="142"/>
      <c r="S399" s="142"/>
      <c r="T399" s="142"/>
      <c r="U399" s="142"/>
      <c r="V399" s="142"/>
      <c r="W399" s="142"/>
      <c r="X399" s="142"/>
      <c r="Y399" s="142"/>
      <c r="Z399" s="142"/>
      <c r="AA399" s="131"/>
      <c r="AB399" s="142"/>
      <c r="AC399" s="142"/>
      <c r="AD399" s="142"/>
      <c r="AE399" s="142"/>
      <c r="AF399" s="142"/>
      <c r="AG399" s="142"/>
      <c r="AH399" s="142"/>
      <c r="AI399" s="142"/>
      <c r="AJ399" s="142"/>
      <c r="AK399" s="142"/>
      <c r="AL399" s="142"/>
      <c r="AM399" s="142"/>
      <c r="AN399" s="142"/>
      <c r="AO399" s="142"/>
      <c r="AP399" s="142"/>
    </row>
    <row r="400" ht="13.5" customHeight="1">
      <c r="A400" s="142"/>
      <c r="B400" s="142"/>
      <c r="C400" s="142"/>
      <c r="D400" s="142"/>
      <c r="E400" s="132"/>
      <c r="F400" s="131"/>
      <c r="G400" s="131"/>
      <c r="H400" s="131"/>
      <c r="I400" s="131"/>
      <c r="J400" s="131"/>
      <c r="K400" s="131"/>
      <c r="L400" s="131"/>
      <c r="M400" s="131"/>
      <c r="N400" s="131"/>
      <c r="O400" s="142"/>
      <c r="P400" s="142"/>
      <c r="Q400" s="142"/>
      <c r="R400" s="142"/>
      <c r="S400" s="142"/>
      <c r="T400" s="142"/>
      <c r="U400" s="142"/>
      <c r="V400" s="142"/>
      <c r="W400" s="142"/>
      <c r="X400" s="142"/>
      <c r="Y400" s="142"/>
      <c r="Z400" s="142"/>
      <c r="AA400" s="131"/>
      <c r="AB400" s="142"/>
      <c r="AC400" s="142"/>
      <c r="AD400" s="142"/>
      <c r="AE400" s="142"/>
      <c r="AF400" s="142"/>
      <c r="AG400" s="142"/>
      <c r="AH400" s="142"/>
      <c r="AI400" s="142"/>
      <c r="AJ400" s="142"/>
      <c r="AK400" s="142"/>
      <c r="AL400" s="142"/>
      <c r="AM400" s="142"/>
      <c r="AN400" s="142"/>
      <c r="AO400" s="142"/>
      <c r="AP400" s="142"/>
    </row>
    <row r="401" ht="13.5" customHeight="1">
      <c r="A401" s="142"/>
      <c r="B401" s="142"/>
      <c r="C401" s="142"/>
      <c r="D401" s="142"/>
      <c r="E401" s="132"/>
      <c r="F401" s="131"/>
      <c r="G401" s="131"/>
      <c r="H401" s="131"/>
      <c r="I401" s="131"/>
      <c r="J401" s="131"/>
      <c r="K401" s="131"/>
      <c r="L401" s="131"/>
      <c r="M401" s="131"/>
      <c r="N401" s="131"/>
      <c r="O401" s="142"/>
      <c r="P401" s="142"/>
      <c r="Q401" s="142"/>
      <c r="R401" s="142"/>
      <c r="S401" s="142"/>
      <c r="T401" s="142"/>
      <c r="U401" s="142"/>
      <c r="V401" s="142"/>
      <c r="W401" s="142"/>
      <c r="X401" s="142"/>
      <c r="Y401" s="142"/>
      <c r="Z401" s="142"/>
      <c r="AA401" s="131"/>
      <c r="AB401" s="142"/>
      <c r="AC401" s="142"/>
      <c r="AD401" s="142"/>
      <c r="AE401" s="142"/>
      <c r="AF401" s="142"/>
      <c r="AG401" s="142"/>
      <c r="AH401" s="142"/>
      <c r="AI401" s="142"/>
      <c r="AJ401" s="142"/>
      <c r="AK401" s="142"/>
      <c r="AL401" s="142"/>
      <c r="AM401" s="142"/>
      <c r="AN401" s="142"/>
      <c r="AO401" s="142"/>
      <c r="AP401" s="142"/>
    </row>
    <row r="402" ht="13.5" customHeight="1">
      <c r="A402" s="142"/>
      <c r="B402" s="142"/>
      <c r="C402" s="142"/>
      <c r="D402" s="142"/>
      <c r="E402" s="132"/>
      <c r="F402" s="131"/>
      <c r="G402" s="131"/>
      <c r="H402" s="131"/>
      <c r="I402" s="131"/>
      <c r="J402" s="131"/>
      <c r="K402" s="131"/>
      <c r="L402" s="131"/>
      <c r="M402" s="131"/>
      <c r="N402" s="131"/>
      <c r="O402" s="142"/>
      <c r="P402" s="142"/>
      <c r="Q402" s="142"/>
      <c r="R402" s="142"/>
      <c r="S402" s="142"/>
      <c r="T402" s="142"/>
      <c r="U402" s="142"/>
      <c r="V402" s="142"/>
      <c r="W402" s="142"/>
      <c r="X402" s="142"/>
      <c r="Y402" s="142"/>
      <c r="Z402" s="142"/>
      <c r="AA402" s="131"/>
      <c r="AB402" s="142"/>
      <c r="AC402" s="142"/>
      <c r="AD402" s="142"/>
      <c r="AE402" s="142"/>
      <c r="AF402" s="142"/>
      <c r="AG402" s="142"/>
      <c r="AH402" s="142"/>
      <c r="AI402" s="142"/>
      <c r="AJ402" s="142"/>
      <c r="AK402" s="142"/>
      <c r="AL402" s="142"/>
      <c r="AM402" s="142"/>
      <c r="AN402" s="142"/>
      <c r="AO402" s="142"/>
      <c r="AP402" s="142"/>
    </row>
    <row r="403" ht="13.5" customHeight="1">
      <c r="A403" s="142"/>
      <c r="B403" s="142"/>
      <c r="C403" s="142"/>
      <c r="D403" s="142"/>
      <c r="E403" s="132"/>
      <c r="F403" s="131"/>
      <c r="G403" s="131"/>
      <c r="H403" s="131"/>
      <c r="I403" s="131"/>
      <c r="J403" s="131"/>
      <c r="K403" s="131"/>
      <c r="L403" s="131"/>
      <c r="M403" s="131"/>
      <c r="N403" s="131"/>
      <c r="O403" s="142"/>
      <c r="P403" s="142"/>
      <c r="Q403" s="142"/>
      <c r="R403" s="142"/>
      <c r="S403" s="142"/>
      <c r="T403" s="142"/>
      <c r="U403" s="142"/>
      <c r="V403" s="142"/>
      <c r="W403" s="142"/>
      <c r="X403" s="142"/>
      <c r="Y403" s="142"/>
      <c r="Z403" s="142"/>
      <c r="AA403" s="131"/>
      <c r="AB403" s="142"/>
      <c r="AC403" s="142"/>
      <c r="AD403" s="142"/>
      <c r="AE403" s="142"/>
      <c r="AF403" s="142"/>
      <c r="AG403" s="142"/>
      <c r="AH403" s="142"/>
      <c r="AI403" s="142"/>
      <c r="AJ403" s="142"/>
      <c r="AK403" s="142"/>
      <c r="AL403" s="142"/>
      <c r="AM403" s="142"/>
      <c r="AN403" s="142"/>
      <c r="AO403" s="142"/>
      <c r="AP403" s="142"/>
    </row>
    <row r="404" ht="13.5" customHeight="1">
      <c r="A404" s="142"/>
      <c r="B404" s="142"/>
      <c r="C404" s="142"/>
      <c r="D404" s="142"/>
      <c r="E404" s="132"/>
      <c r="F404" s="131"/>
      <c r="G404" s="131"/>
      <c r="H404" s="131"/>
      <c r="I404" s="131"/>
      <c r="J404" s="131"/>
      <c r="K404" s="131"/>
      <c r="L404" s="131"/>
      <c r="M404" s="131"/>
      <c r="N404" s="131"/>
      <c r="O404" s="142"/>
      <c r="P404" s="142"/>
      <c r="Q404" s="142"/>
      <c r="R404" s="142"/>
      <c r="S404" s="142"/>
      <c r="T404" s="142"/>
      <c r="U404" s="142"/>
      <c r="V404" s="142"/>
      <c r="W404" s="142"/>
      <c r="X404" s="142"/>
      <c r="Y404" s="142"/>
      <c r="Z404" s="142"/>
      <c r="AA404" s="131"/>
      <c r="AB404" s="142"/>
      <c r="AC404" s="142"/>
      <c r="AD404" s="142"/>
      <c r="AE404" s="142"/>
      <c r="AF404" s="142"/>
      <c r="AG404" s="142"/>
      <c r="AH404" s="142"/>
      <c r="AI404" s="142"/>
      <c r="AJ404" s="142"/>
      <c r="AK404" s="142"/>
      <c r="AL404" s="142"/>
      <c r="AM404" s="142"/>
      <c r="AN404" s="142"/>
      <c r="AO404" s="142"/>
      <c r="AP404" s="142"/>
    </row>
    <row r="405" ht="13.5" customHeight="1">
      <c r="A405" s="142"/>
      <c r="B405" s="142"/>
      <c r="C405" s="142"/>
      <c r="D405" s="142"/>
      <c r="E405" s="132"/>
      <c r="F405" s="131"/>
      <c r="G405" s="131"/>
      <c r="H405" s="131"/>
      <c r="I405" s="131"/>
      <c r="J405" s="131"/>
      <c r="K405" s="131"/>
      <c r="L405" s="131"/>
      <c r="M405" s="131"/>
      <c r="N405" s="131"/>
      <c r="O405" s="142"/>
      <c r="P405" s="142"/>
      <c r="Q405" s="142"/>
      <c r="R405" s="142"/>
      <c r="S405" s="142"/>
      <c r="T405" s="142"/>
      <c r="U405" s="142"/>
      <c r="V405" s="142"/>
      <c r="W405" s="142"/>
      <c r="X405" s="142"/>
      <c r="Y405" s="142"/>
      <c r="Z405" s="142"/>
      <c r="AA405" s="131"/>
      <c r="AB405" s="142"/>
      <c r="AC405" s="142"/>
      <c r="AD405" s="142"/>
      <c r="AE405" s="142"/>
      <c r="AF405" s="142"/>
      <c r="AG405" s="142"/>
      <c r="AH405" s="142"/>
      <c r="AI405" s="142"/>
      <c r="AJ405" s="142"/>
      <c r="AK405" s="142"/>
      <c r="AL405" s="142"/>
      <c r="AM405" s="142"/>
      <c r="AN405" s="142"/>
      <c r="AO405" s="142"/>
      <c r="AP405" s="142"/>
    </row>
    <row r="406" ht="13.5" customHeight="1">
      <c r="A406" s="142"/>
      <c r="B406" s="142"/>
      <c r="C406" s="142"/>
      <c r="D406" s="142"/>
      <c r="E406" s="132"/>
      <c r="F406" s="131"/>
      <c r="G406" s="131"/>
      <c r="H406" s="131"/>
      <c r="I406" s="131"/>
      <c r="J406" s="131"/>
      <c r="K406" s="131"/>
      <c r="L406" s="131"/>
      <c r="M406" s="131"/>
      <c r="N406" s="131"/>
      <c r="O406" s="142"/>
      <c r="P406" s="142"/>
      <c r="Q406" s="142"/>
      <c r="R406" s="142"/>
      <c r="S406" s="142"/>
      <c r="T406" s="142"/>
      <c r="U406" s="142"/>
      <c r="V406" s="142"/>
      <c r="W406" s="142"/>
      <c r="X406" s="142"/>
      <c r="Y406" s="142"/>
      <c r="Z406" s="142"/>
      <c r="AA406" s="131"/>
      <c r="AB406" s="142"/>
      <c r="AC406" s="142"/>
      <c r="AD406" s="142"/>
      <c r="AE406" s="142"/>
      <c r="AF406" s="142"/>
      <c r="AG406" s="142"/>
      <c r="AH406" s="142"/>
      <c r="AI406" s="142"/>
      <c r="AJ406" s="142"/>
      <c r="AK406" s="142"/>
      <c r="AL406" s="142"/>
      <c r="AM406" s="142"/>
      <c r="AN406" s="142"/>
      <c r="AO406" s="142"/>
      <c r="AP406" s="142"/>
    </row>
    <row r="407" ht="13.5" customHeight="1">
      <c r="A407" s="142"/>
      <c r="B407" s="142"/>
      <c r="C407" s="142"/>
      <c r="D407" s="142"/>
      <c r="E407" s="132"/>
      <c r="F407" s="131"/>
      <c r="G407" s="131"/>
      <c r="H407" s="131"/>
      <c r="I407" s="131"/>
      <c r="J407" s="131"/>
      <c r="K407" s="131"/>
      <c r="L407" s="131"/>
      <c r="M407" s="131"/>
      <c r="N407" s="131"/>
      <c r="O407" s="142"/>
      <c r="P407" s="142"/>
      <c r="Q407" s="142"/>
      <c r="R407" s="142"/>
      <c r="S407" s="142"/>
      <c r="T407" s="142"/>
      <c r="U407" s="142"/>
      <c r="V407" s="142"/>
      <c r="W407" s="142"/>
      <c r="X407" s="142"/>
      <c r="Y407" s="142"/>
      <c r="Z407" s="142"/>
      <c r="AA407" s="131"/>
      <c r="AB407" s="142"/>
      <c r="AC407" s="142"/>
      <c r="AD407" s="142"/>
      <c r="AE407" s="142"/>
      <c r="AF407" s="142"/>
      <c r="AG407" s="142"/>
      <c r="AH407" s="142"/>
      <c r="AI407" s="142"/>
      <c r="AJ407" s="142"/>
      <c r="AK407" s="142"/>
      <c r="AL407" s="142"/>
      <c r="AM407" s="142"/>
      <c r="AN407" s="142"/>
      <c r="AO407" s="142"/>
      <c r="AP407" s="142"/>
    </row>
    <row r="408" ht="13.5" customHeight="1">
      <c r="A408" s="142"/>
      <c r="B408" s="142"/>
      <c r="C408" s="142"/>
      <c r="D408" s="142"/>
      <c r="E408" s="132"/>
      <c r="F408" s="131"/>
      <c r="G408" s="131"/>
      <c r="H408" s="131"/>
      <c r="I408" s="131"/>
      <c r="J408" s="131"/>
      <c r="K408" s="131"/>
      <c r="L408" s="131"/>
      <c r="M408" s="131"/>
      <c r="N408" s="131"/>
      <c r="O408" s="142"/>
      <c r="P408" s="142"/>
      <c r="Q408" s="142"/>
      <c r="R408" s="142"/>
      <c r="S408" s="142"/>
      <c r="T408" s="142"/>
      <c r="U408" s="142"/>
      <c r="V408" s="142"/>
      <c r="W408" s="142"/>
      <c r="X408" s="142"/>
      <c r="Y408" s="142"/>
      <c r="Z408" s="142"/>
      <c r="AA408" s="131"/>
      <c r="AB408" s="142"/>
      <c r="AC408" s="142"/>
      <c r="AD408" s="142"/>
      <c r="AE408" s="142"/>
      <c r="AF408" s="142"/>
      <c r="AG408" s="142"/>
      <c r="AH408" s="142"/>
      <c r="AI408" s="142"/>
      <c r="AJ408" s="142"/>
      <c r="AK408" s="142"/>
      <c r="AL408" s="142"/>
      <c r="AM408" s="142"/>
      <c r="AN408" s="142"/>
      <c r="AO408" s="142"/>
      <c r="AP408" s="142"/>
    </row>
    <row r="409" ht="13.5" customHeight="1">
      <c r="A409" s="142"/>
      <c r="B409" s="142"/>
      <c r="C409" s="142"/>
      <c r="D409" s="142"/>
      <c r="E409" s="132"/>
      <c r="F409" s="131"/>
      <c r="G409" s="131"/>
      <c r="H409" s="131"/>
      <c r="I409" s="131"/>
      <c r="J409" s="131"/>
      <c r="K409" s="131"/>
      <c r="L409" s="131"/>
      <c r="M409" s="131"/>
      <c r="N409" s="131"/>
      <c r="O409" s="142"/>
      <c r="P409" s="142"/>
      <c r="Q409" s="142"/>
      <c r="R409" s="142"/>
      <c r="S409" s="142"/>
      <c r="T409" s="142"/>
      <c r="U409" s="142"/>
      <c r="V409" s="142"/>
      <c r="W409" s="142"/>
      <c r="X409" s="142"/>
      <c r="Y409" s="142"/>
      <c r="Z409" s="142"/>
      <c r="AA409" s="131"/>
      <c r="AB409" s="142"/>
      <c r="AC409" s="142"/>
      <c r="AD409" s="142"/>
      <c r="AE409" s="142"/>
      <c r="AF409" s="142"/>
      <c r="AG409" s="142"/>
      <c r="AH409" s="142"/>
      <c r="AI409" s="142"/>
      <c r="AJ409" s="142"/>
      <c r="AK409" s="142"/>
      <c r="AL409" s="142"/>
      <c r="AM409" s="142"/>
      <c r="AN409" s="142"/>
      <c r="AO409" s="142"/>
      <c r="AP409" s="142"/>
    </row>
    <row r="410" ht="13.5" customHeight="1">
      <c r="A410" s="142"/>
      <c r="B410" s="142"/>
      <c r="C410" s="142"/>
      <c r="D410" s="142"/>
      <c r="E410" s="132"/>
      <c r="F410" s="131"/>
      <c r="G410" s="131"/>
      <c r="H410" s="131"/>
      <c r="I410" s="131"/>
      <c r="J410" s="131"/>
      <c r="K410" s="131"/>
      <c r="L410" s="131"/>
      <c r="M410" s="131"/>
      <c r="N410" s="131"/>
      <c r="O410" s="142"/>
      <c r="P410" s="142"/>
      <c r="Q410" s="142"/>
      <c r="R410" s="142"/>
      <c r="S410" s="142"/>
      <c r="T410" s="142"/>
      <c r="U410" s="142"/>
      <c r="V410" s="142"/>
      <c r="W410" s="142"/>
      <c r="X410" s="142"/>
      <c r="Y410" s="142"/>
      <c r="Z410" s="142"/>
      <c r="AA410" s="131"/>
      <c r="AB410" s="142"/>
      <c r="AC410" s="142"/>
      <c r="AD410" s="142"/>
      <c r="AE410" s="142"/>
      <c r="AF410" s="142"/>
      <c r="AG410" s="142"/>
      <c r="AH410" s="142"/>
      <c r="AI410" s="142"/>
      <c r="AJ410" s="142"/>
      <c r="AK410" s="142"/>
      <c r="AL410" s="142"/>
      <c r="AM410" s="142"/>
      <c r="AN410" s="142"/>
      <c r="AO410" s="142"/>
      <c r="AP410" s="142"/>
    </row>
    <row r="411" ht="13.5" customHeight="1">
      <c r="A411" s="142"/>
      <c r="B411" s="142"/>
      <c r="C411" s="142"/>
      <c r="D411" s="142"/>
      <c r="E411" s="132"/>
      <c r="F411" s="131"/>
      <c r="G411" s="131"/>
      <c r="H411" s="131"/>
      <c r="I411" s="131"/>
      <c r="J411" s="131"/>
      <c r="K411" s="131"/>
      <c r="L411" s="131"/>
      <c r="M411" s="131"/>
      <c r="N411" s="131"/>
      <c r="O411" s="142"/>
      <c r="P411" s="142"/>
      <c r="Q411" s="142"/>
      <c r="R411" s="142"/>
      <c r="S411" s="142"/>
      <c r="T411" s="142"/>
      <c r="U411" s="142"/>
      <c r="V411" s="142"/>
      <c r="W411" s="142"/>
      <c r="X411" s="142"/>
      <c r="Y411" s="142"/>
      <c r="Z411" s="142"/>
      <c r="AA411" s="131"/>
      <c r="AB411" s="142"/>
      <c r="AC411" s="142"/>
      <c r="AD411" s="142"/>
      <c r="AE411" s="142"/>
      <c r="AF411" s="142"/>
      <c r="AG411" s="142"/>
      <c r="AH411" s="142"/>
      <c r="AI411" s="142"/>
      <c r="AJ411" s="142"/>
      <c r="AK411" s="142"/>
      <c r="AL411" s="142"/>
      <c r="AM411" s="142"/>
      <c r="AN411" s="142"/>
      <c r="AO411" s="142"/>
      <c r="AP411" s="142"/>
    </row>
    <row r="412" ht="13.5" customHeight="1">
      <c r="A412" s="142"/>
      <c r="B412" s="142"/>
      <c r="C412" s="142"/>
      <c r="D412" s="142"/>
      <c r="E412" s="132"/>
      <c r="F412" s="131"/>
      <c r="G412" s="131"/>
      <c r="H412" s="131"/>
      <c r="I412" s="131"/>
      <c r="J412" s="131"/>
      <c r="K412" s="131"/>
      <c r="L412" s="131"/>
      <c r="M412" s="131"/>
      <c r="N412" s="131"/>
      <c r="O412" s="142"/>
      <c r="P412" s="142"/>
      <c r="Q412" s="142"/>
      <c r="R412" s="142"/>
      <c r="S412" s="142"/>
      <c r="T412" s="142"/>
      <c r="U412" s="142"/>
      <c r="V412" s="142"/>
      <c r="W412" s="142"/>
      <c r="X412" s="142"/>
      <c r="Y412" s="142"/>
      <c r="Z412" s="142"/>
      <c r="AA412" s="131"/>
      <c r="AB412" s="142"/>
      <c r="AC412" s="142"/>
      <c r="AD412" s="142"/>
      <c r="AE412" s="142"/>
      <c r="AF412" s="142"/>
      <c r="AG412" s="142"/>
      <c r="AH412" s="142"/>
      <c r="AI412" s="142"/>
      <c r="AJ412" s="142"/>
      <c r="AK412" s="142"/>
      <c r="AL412" s="142"/>
      <c r="AM412" s="142"/>
      <c r="AN412" s="142"/>
      <c r="AO412" s="142"/>
      <c r="AP412" s="142"/>
    </row>
    <row r="413" ht="13.5" customHeight="1">
      <c r="A413" s="142"/>
      <c r="B413" s="142"/>
      <c r="C413" s="142"/>
      <c r="D413" s="142"/>
      <c r="E413" s="132"/>
      <c r="F413" s="131"/>
      <c r="G413" s="131"/>
      <c r="H413" s="131"/>
      <c r="I413" s="131"/>
      <c r="J413" s="131"/>
      <c r="K413" s="131"/>
      <c r="L413" s="131"/>
      <c r="M413" s="131"/>
      <c r="N413" s="131"/>
      <c r="O413" s="142"/>
      <c r="P413" s="142"/>
      <c r="Q413" s="142"/>
      <c r="R413" s="142"/>
      <c r="S413" s="142"/>
      <c r="T413" s="142"/>
      <c r="U413" s="142"/>
      <c r="V413" s="142"/>
      <c r="W413" s="142"/>
      <c r="X413" s="142"/>
      <c r="Y413" s="142"/>
      <c r="Z413" s="142"/>
      <c r="AA413" s="131"/>
      <c r="AB413" s="142"/>
      <c r="AC413" s="142"/>
      <c r="AD413" s="142"/>
      <c r="AE413" s="142"/>
      <c r="AF413" s="142"/>
      <c r="AG413" s="142"/>
      <c r="AH413" s="142"/>
      <c r="AI413" s="142"/>
      <c r="AJ413" s="142"/>
      <c r="AK413" s="142"/>
      <c r="AL413" s="142"/>
      <c r="AM413" s="142"/>
      <c r="AN413" s="142"/>
      <c r="AO413" s="142"/>
      <c r="AP413" s="142"/>
    </row>
    <row r="414" ht="13.5" customHeight="1">
      <c r="A414" s="142"/>
      <c r="B414" s="142"/>
      <c r="C414" s="142"/>
      <c r="D414" s="142"/>
      <c r="E414" s="132"/>
      <c r="F414" s="131"/>
      <c r="G414" s="131"/>
      <c r="H414" s="131"/>
      <c r="I414" s="131"/>
      <c r="J414" s="131"/>
      <c r="K414" s="131"/>
      <c r="L414" s="131"/>
      <c r="M414" s="131"/>
      <c r="N414" s="131"/>
      <c r="O414" s="142"/>
      <c r="P414" s="142"/>
      <c r="Q414" s="142"/>
      <c r="R414" s="142"/>
      <c r="S414" s="142"/>
      <c r="T414" s="142"/>
      <c r="U414" s="142"/>
      <c r="V414" s="142"/>
      <c r="W414" s="142"/>
      <c r="X414" s="142"/>
      <c r="Y414" s="142"/>
      <c r="Z414" s="142"/>
      <c r="AA414" s="131"/>
      <c r="AB414" s="142"/>
      <c r="AC414" s="142"/>
      <c r="AD414" s="142"/>
      <c r="AE414" s="142"/>
      <c r="AF414" s="142"/>
      <c r="AG414" s="142"/>
      <c r="AH414" s="142"/>
      <c r="AI414" s="142"/>
      <c r="AJ414" s="142"/>
      <c r="AK414" s="142"/>
      <c r="AL414" s="142"/>
      <c r="AM414" s="142"/>
      <c r="AN414" s="142"/>
      <c r="AO414" s="142"/>
      <c r="AP414" s="142"/>
    </row>
    <row r="415" ht="13.5" customHeight="1">
      <c r="A415" s="142"/>
      <c r="B415" s="142"/>
      <c r="C415" s="142"/>
      <c r="D415" s="142"/>
      <c r="E415" s="132"/>
      <c r="F415" s="131"/>
      <c r="G415" s="131"/>
      <c r="H415" s="131"/>
      <c r="I415" s="131"/>
      <c r="J415" s="131"/>
      <c r="K415" s="131"/>
      <c r="L415" s="131"/>
      <c r="M415" s="131"/>
      <c r="N415" s="131"/>
      <c r="O415" s="142"/>
      <c r="P415" s="142"/>
      <c r="Q415" s="142"/>
      <c r="R415" s="142"/>
      <c r="S415" s="142"/>
      <c r="T415" s="142"/>
      <c r="U415" s="142"/>
      <c r="V415" s="142"/>
      <c r="W415" s="142"/>
      <c r="X415" s="142"/>
      <c r="Y415" s="142"/>
      <c r="Z415" s="142"/>
      <c r="AA415" s="131"/>
      <c r="AB415" s="142"/>
      <c r="AC415" s="142"/>
      <c r="AD415" s="142"/>
      <c r="AE415" s="142"/>
      <c r="AF415" s="142"/>
      <c r="AG415" s="142"/>
      <c r="AH415" s="142"/>
      <c r="AI415" s="142"/>
      <c r="AJ415" s="142"/>
      <c r="AK415" s="142"/>
      <c r="AL415" s="142"/>
      <c r="AM415" s="142"/>
      <c r="AN415" s="142"/>
      <c r="AO415" s="142"/>
      <c r="AP415" s="142"/>
    </row>
    <row r="416" ht="13.5" customHeight="1">
      <c r="A416" s="142"/>
      <c r="B416" s="142"/>
      <c r="C416" s="142"/>
      <c r="D416" s="142"/>
      <c r="E416" s="132"/>
      <c r="F416" s="131"/>
      <c r="G416" s="131"/>
      <c r="H416" s="131"/>
      <c r="I416" s="131"/>
      <c r="J416" s="131"/>
      <c r="K416" s="131"/>
      <c r="L416" s="131"/>
      <c r="M416" s="131"/>
      <c r="N416" s="131"/>
      <c r="O416" s="142"/>
      <c r="P416" s="142"/>
      <c r="Q416" s="142"/>
      <c r="R416" s="142"/>
      <c r="S416" s="142"/>
      <c r="T416" s="142"/>
      <c r="U416" s="142"/>
      <c r="V416" s="142"/>
      <c r="W416" s="142"/>
      <c r="X416" s="142"/>
      <c r="Y416" s="142"/>
      <c r="Z416" s="142"/>
      <c r="AA416" s="131"/>
      <c r="AB416" s="142"/>
      <c r="AC416" s="142"/>
      <c r="AD416" s="142"/>
      <c r="AE416" s="142"/>
      <c r="AF416" s="142"/>
      <c r="AG416" s="142"/>
      <c r="AH416" s="142"/>
      <c r="AI416" s="142"/>
      <c r="AJ416" s="142"/>
      <c r="AK416" s="142"/>
      <c r="AL416" s="142"/>
      <c r="AM416" s="142"/>
      <c r="AN416" s="142"/>
      <c r="AO416" s="142"/>
      <c r="AP416" s="142"/>
    </row>
    <row r="417" ht="13.5" customHeight="1">
      <c r="A417" s="142"/>
      <c r="B417" s="142"/>
      <c r="C417" s="142"/>
      <c r="D417" s="142"/>
      <c r="E417" s="132"/>
      <c r="F417" s="131"/>
      <c r="G417" s="131"/>
      <c r="H417" s="131"/>
      <c r="I417" s="131"/>
      <c r="J417" s="131"/>
      <c r="K417" s="131"/>
      <c r="L417" s="131"/>
      <c r="M417" s="131"/>
      <c r="N417" s="131"/>
      <c r="O417" s="142"/>
      <c r="P417" s="142"/>
      <c r="Q417" s="142"/>
      <c r="R417" s="142"/>
      <c r="S417" s="142"/>
      <c r="T417" s="142"/>
      <c r="U417" s="142"/>
      <c r="V417" s="142"/>
      <c r="W417" s="142"/>
      <c r="X417" s="142"/>
      <c r="Y417" s="142"/>
      <c r="Z417" s="142"/>
      <c r="AA417" s="131"/>
      <c r="AB417" s="142"/>
      <c r="AC417" s="142"/>
      <c r="AD417" s="142"/>
      <c r="AE417" s="142"/>
      <c r="AF417" s="142"/>
      <c r="AG417" s="142"/>
      <c r="AH417" s="142"/>
      <c r="AI417" s="142"/>
      <c r="AJ417" s="142"/>
      <c r="AK417" s="142"/>
      <c r="AL417" s="142"/>
      <c r="AM417" s="142"/>
      <c r="AN417" s="142"/>
      <c r="AO417" s="142"/>
      <c r="AP417" s="142"/>
    </row>
    <row r="418" ht="13.5" customHeight="1">
      <c r="A418" s="142"/>
      <c r="B418" s="142"/>
      <c r="C418" s="142"/>
      <c r="D418" s="142"/>
      <c r="E418" s="132"/>
      <c r="F418" s="131"/>
      <c r="G418" s="131"/>
      <c r="H418" s="131"/>
      <c r="I418" s="131"/>
      <c r="J418" s="131"/>
      <c r="K418" s="131"/>
      <c r="L418" s="131"/>
      <c r="M418" s="131"/>
      <c r="N418" s="131"/>
      <c r="O418" s="142"/>
      <c r="P418" s="142"/>
      <c r="Q418" s="142"/>
      <c r="R418" s="142"/>
      <c r="S418" s="142"/>
      <c r="T418" s="142"/>
      <c r="U418" s="142"/>
      <c r="V418" s="142"/>
      <c r="W418" s="142"/>
      <c r="X418" s="142"/>
      <c r="Y418" s="142"/>
      <c r="Z418" s="142"/>
      <c r="AA418" s="131"/>
      <c r="AB418" s="142"/>
      <c r="AC418" s="142"/>
      <c r="AD418" s="142"/>
      <c r="AE418" s="142"/>
      <c r="AF418" s="142"/>
      <c r="AG418" s="142"/>
      <c r="AH418" s="142"/>
      <c r="AI418" s="142"/>
      <c r="AJ418" s="142"/>
      <c r="AK418" s="142"/>
      <c r="AL418" s="142"/>
      <c r="AM418" s="142"/>
      <c r="AN418" s="142"/>
      <c r="AO418" s="142"/>
      <c r="AP418" s="142"/>
    </row>
    <row r="419" ht="13.5" customHeight="1">
      <c r="A419" s="142"/>
      <c r="B419" s="142"/>
      <c r="C419" s="142"/>
      <c r="D419" s="142"/>
      <c r="E419" s="132"/>
      <c r="F419" s="131"/>
      <c r="G419" s="131"/>
      <c r="H419" s="131"/>
      <c r="I419" s="131"/>
      <c r="J419" s="131"/>
      <c r="K419" s="131"/>
      <c r="L419" s="131"/>
      <c r="M419" s="131"/>
      <c r="N419" s="131"/>
      <c r="O419" s="142"/>
      <c r="P419" s="142"/>
      <c r="Q419" s="142"/>
      <c r="R419" s="142"/>
      <c r="S419" s="142"/>
      <c r="T419" s="142"/>
      <c r="U419" s="142"/>
      <c r="V419" s="142"/>
      <c r="W419" s="142"/>
      <c r="X419" s="142"/>
      <c r="Y419" s="142"/>
      <c r="Z419" s="142"/>
      <c r="AA419" s="131"/>
      <c r="AB419" s="142"/>
      <c r="AC419" s="142"/>
      <c r="AD419" s="142"/>
      <c r="AE419" s="142"/>
      <c r="AF419" s="142"/>
      <c r="AG419" s="142"/>
      <c r="AH419" s="142"/>
      <c r="AI419" s="142"/>
      <c r="AJ419" s="142"/>
      <c r="AK419" s="142"/>
      <c r="AL419" s="142"/>
      <c r="AM419" s="142"/>
      <c r="AN419" s="142"/>
      <c r="AO419" s="142"/>
      <c r="AP419" s="142"/>
    </row>
    <row r="420" ht="13.5" customHeight="1">
      <c r="A420" s="142"/>
      <c r="B420" s="142"/>
      <c r="C420" s="142"/>
      <c r="D420" s="142"/>
      <c r="E420" s="132"/>
      <c r="F420" s="131"/>
      <c r="G420" s="131"/>
      <c r="H420" s="131"/>
      <c r="I420" s="131"/>
      <c r="J420" s="131"/>
      <c r="K420" s="131"/>
      <c r="L420" s="131"/>
      <c r="M420" s="131"/>
      <c r="N420" s="131"/>
      <c r="O420" s="142"/>
      <c r="P420" s="142"/>
      <c r="Q420" s="142"/>
      <c r="R420" s="142"/>
      <c r="S420" s="142"/>
      <c r="T420" s="142"/>
      <c r="U420" s="142"/>
      <c r="V420" s="142"/>
      <c r="W420" s="142"/>
      <c r="X420" s="142"/>
      <c r="Y420" s="142"/>
      <c r="Z420" s="142"/>
      <c r="AA420" s="131"/>
      <c r="AB420" s="142"/>
      <c r="AC420" s="142"/>
      <c r="AD420" s="142"/>
      <c r="AE420" s="142"/>
      <c r="AF420" s="142"/>
      <c r="AG420" s="142"/>
      <c r="AH420" s="142"/>
      <c r="AI420" s="142"/>
      <c r="AJ420" s="142"/>
      <c r="AK420" s="142"/>
      <c r="AL420" s="142"/>
      <c r="AM420" s="142"/>
      <c r="AN420" s="142"/>
      <c r="AO420" s="142"/>
      <c r="AP420" s="142"/>
    </row>
    <row r="421" ht="13.5" customHeight="1">
      <c r="A421" s="142"/>
      <c r="B421" s="142"/>
      <c r="C421" s="142"/>
      <c r="D421" s="142"/>
      <c r="E421" s="132"/>
      <c r="F421" s="131"/>
      <c r="G421" s="131"/>
      <c r="H421" s="131"/>
      <c r="I421" s="131"/>
      <c r="J421" s="131"/>
      <c r="K421" s="131"/>
      <c r="L421" s="131"/>
      <c r="M421" s="131"/>
      <c r="N421" s="131"/>
      <c r="O421" s="142"/>
      <c r="P421" s="142"/>
      <c r="Q421" s="142"/>
      <c r="R421" s="142"/>
      <c r="S421" s="142"/>
      <c r="T421" s="142"/>
      <c r="U421" s="142"/>
      <c r="V421" s="142"/>
      <c r="W421" s="142"/>
      <c r="X421" s="142"/>
      <c r="Y421" s="142"/>
      <c r="Z421" s="142"/>
      <c r="AA421" s="131"/>
      <c r="AB421" s="142"/>
      <c r="AC421" s="142"/>
      <c r="AD421" s="142"/>
      <c r="AE421" s="142"/>
      <c r="AF421" s="142"/>
      <c r="AG421" s="142"/>
      <c r="AH421" s="142"/>
      <c r="AI421" s="142"/>
      <c r="AJ421" s="142"/>
      <c r="AK421" s="142"/>
      <c r="AL421" s="142"/>
      <c r="AM421" s="142"/>
      <c r="AN421" s="142"/>
      <c r="AO421" s="142"/>
      <c r="AP421" s="142"/>
    </row>
    <row r="422" ht="13.5" customHeight="1">
      <c r="A422" s="142"/>
      <c r="B422" s="142"/>
      <c r="C422" s="142"/>
      <c r="D422" s="142"/>
      <c r="E422" s="132"/>
      <c r="F422" s="131"/>
      <c r="G422" s="131"/>
      <c r="H422" s="131"/>
      <c r="I422" s="131"/>
      <c r="J422" s="131"/>
      <c r="K422" s="131"/>
      <c r="L422" s="131"/>
      <c r="M422" s="131"/>
      <c r="N422" s="131"/>
      <c r="O422" s="142"/>
      <c r="P422" s="142"/>
      <c r="Q422" s="142"/>
      <c r="R422" s="142"/>
      <c r="S422" s="142"/>
      <c r="T422" s="142"/>
      <c r="U422" s="142"/>
      <c r="V422" s="142"/>
      <c r="W422" s="142"/>
      <c r="X422" s="142"/>
      <c r="Y422" s="142"/>
      <c r="Z422" s="142"/>
      <c r="AA422" s="131"/>
      <c r="AB422" s="142"/>
      <c r="AC422" s="142"/>
      <c r="AD422" s="142"/>
      <c r="AE422" s="142"/>
      <c r="AF422" s="142"/>
      <c r="AG422" s="142"/>
      <c r="AH422" s="142"/>
      <c r="AI422" s="142"/>
      <c r="AJ422" s="142"/>
      <c r="AK422" s="142"/>
      <c r="AL422" s="142"/>
      <c r="AM422" s="142"/>
      <c r="AN422" s="142"/>
      <c r="AO422" s="142"/>
      <c r="AP422" s="142"/>
    </row>
    <row r="423" ht="13.5" customHeight="1">
      <c r="A423" s="142"/>
      <c r="B423" s="142"/>
      <c r="C423" s="142"/>
      <c r="D423" s="142"/>
      <c r="E423" s="132"/>
      <c r="F423" s="131"/>
      <c r="G423" s="131"/>
      <c r="H423" s="131"/>
      <c r="I423" s="131"/>
      <c r="J423" s="131"/>
      <c r="K423" s="131"/>
      <c r="L423" s="131"/>
      <c r="M423" s="131"/>
      <c r="N423" s="131"/>
      <c r="O423" s="142"/>
      <c r="P423" s="142"/>
      <c r="Q423" s="142"/>
      <c r="R423" s="142"/>
      <c r="S423" s="142"/>
      <c r="T423" s="142"/>
      <c r="U423" s="142"/>
      <c r="V423" s="142"/>
      <c r="W423" s="142"/>
      <c r="X423" s="142"/>
      <c r="Y423" s="142"/>
      <c r="Z423" s="142"/>
      <c r="AA423" s="131"/>
      <c r="AB423" s="142"/>
      <c r="AC423" s="142"/>
      <c r="AD423" s="142"/>
      <c r="AE423" s="142"/>
      <c r="AF423" s="142"/>
      <c r="AG423" s="142"/>
      <c r="AH423" s="142"/>
      <c r="AI423" s="142"/>
      <c r="AJ423" s="142"/>
      <c r="AK423" s="142"/>
      <c r="AL423" s="142"/>
      <c r="AM423" s="142"/>
      <c r="AN423" s="142"/>
      <c r="AO423" s="142"/>
      <c r="AP423" s="142"/>
    </row>
    <row r="424" ht="13.5" customHeight="1">
      <c r="A424" s="142"/>
      <c r="B424" s="142"/>
      <c r="C424" s="142"/>
      <c r="D424" s="142"/>
      <c r="E424" s="132"/>
      <c r="F424" s="131"/>
      <c r="G424" s="131"/>
      <c r="H424" s="131"/>
      <c r="I424" s="131"/>
      <c r="J424" s="131"/>
      <c r="K424" s="131"/>
      <c r="L424" s="131"/>
      <c r="M424" s="131"/>
      <c r="N424" s="131"/>
      <c r="O424" s="142"/>
      <c r="P424" s="142"/>
      <c r="Q424" s="142"/>
      <c r="R424" s="142"/>
      <c r="S424" s="142"/>
      <c r="T424" s="142"/>
      <c r="U424" s="142"/>
      <c r="V424" s="142"/>
      <c r="W424" s="142"/>
      <c r="X424" s="142"/>
      <c r="Y424" s="142"/>
      <c r="Z424" s="142"/>
      <c r="AA424" s="131"/>
      <c r="AB424" s="142"/>
      <c r="AC424" s="142"/>
      <c r="AD424" s="142"/>
      <c r="AE424" s="142"/>
      <c r="AF424" s="142"/>
      <c r="AG424" s="142"/>
      <c r="AH424" s="142"/>
      <c r="AI424" s="142"/>
      <c r="AJ424" s="142"/>
      <c r="AK424" s="142"/>
      <c r="AL424" s="142"/>
      <c r="AM424" s="142"/>
      <c r="AN424" s="142"/>
      <c r="AO424" s="142"/>
      <c r="AP424" s="142"/>
    </row>
    <row r="425" ht="13.5" customHeight="1">
      <c r="A425" s="142"/>
      <c r="B425" s="142"/>
      <c r="C425" s="142"/>
      <c r="D425" s="142"/>
      <c r="E425" s="132"/>
      <c r="F425" s="131"/>
      <c r="G425" s="131"/>
      <c r="H425" s="131"/>
      <c r="I425" s="131"/>
      <c r="J425" s="131"/>
      <c r="K425" s="131"/>
      <c r="L425" s="131"/>
      <c r="M425" s="131"/>
      <c r="N425" s="131"/>
      <c r="O425" s="142"/>
      <c r="P425" s="142"/>
      <c r="Q425" s="142"/>
      <c r="R425" s="142"/>
      <c r="S425" s="142"/>
      <c r="T425" s="142"/>
      <c r="U425" s="142"/>
      <c r="V425" s="142"/>
      <c r="W425" s="142"/>
      <c r="X425" s="142"/>
      <c r="Y425" s="142"/>
      <c r="Z425" s="142"/>
      <c r="AA425" s="131"/>
      <c r="AB425" s="142"/>
      <c r="AC425" s="142"/>
      <c r="AD425" s="142"/>
      <c r="AE425" s="142"/>
      <c r="AF425" s="142"/>
      <c r="AG425" s="142"/>
      <c r="AH425" s="142"/>
      <c r="AI425" s="142"/>
      <c r="AJ425" s="142"/>
      <c r="AK425" s="142"/>
      <c r="AL425" s="142"/>
      <c r="AM425" s="142"/>
      <c r="AN425" s="142"/>
      <c r="AO425" s="142"/>
      <c r="AP425" s="142"/>
    </row>
    <row r="426" ht="13.5" customHeight="1">
      <c r="A426" s="142"/>
      <c r="B426" s="142"/>
      <c r="C426" s="142"/>
      <c r="D426" s="142"/>
      <c r="E426" s="132"/>
      <c r="F426" s="131"/>
      <c r="G426" s="131"/>
      <c r="H426" s="131"/>
      <c r="I426" s="131"/>
      <c r="J426" s="131"/>
      <c r="K426" s="131"/>
      <c r="L426" s="131"/>
      <c r="M426" s="131"/>
      <c r="N426" s="131"/>
      <c r="O426" s="142"/>
      <c r="P426" s="142"/>
      <c r="Q426" s="142"/>
      <c r="R426" s="142"/>
      <c r="S426" s="142"/>
      <c r="T426" s="142"/>
      <c r="U426" s="142"/>
      <c r="V426" s="142"/>
      <c r="W426" s="142"/>
      <c r="X426" s="142"/>
      <c r="Y426" s="142"/>
      <c r="Z426" s="142"/>
      <c r="AA426" s="131"/>
      <c r="AB426" s="142"/>
      <c r="AC426" s="142"/>
      <c r="AD426" s="142"/>
      <c r="AE426" s="142"/>
      <c r="AF426" s="142"/>
      <c r="AG426" s="142"/>
      <c r="AH426" s="142"/>
      <c r="AI426" s="142"/>
      <c r="AJ426" s="142"/>
      <c r="AK426" s="142"/>
      <c r="AL426" s="142"/>
      <c r="AM426" s="142"/>
      <c r="AN426" s="142"/>
      <c r="AO426" s="142"/>
      <c r="AP426" s="142"/>
    </row>
    <row r="427" ht="13.5" customHeight="1">
      <c r="A427" s="142"/>
      <c r="B427" s="142"/>
      <c r="C427" s="142"/>
      <c r="D427" s="142"/>
      <c r="E427" s="132"/>
      <c r="F427" s="131"/>
      <c r="G427" s="131"/>
      <c r="H427" s="131"/>
      <c r="I427" s="131"/>
      <c r="J427" s="131"/>
      <c r="K427" s="131"/>
      <c r="L427" s="131"/>
      <c r="M427" s="131"/>
      <c r="N427" s="131"/>
      <c r="O427" s="142"/>
      <c r="P427" s="142"/>
      <c r="Q427" s="142"/>
      <c r="R427" s="142"/>
      <c r="S427" s="142"/>
      <c r="T427" s="142"/>
      <c r="U427" s="142"/>
      <c r="V427" s="142"/>
      <c r="W427" s="142"/>
      <c r="X427" s="142"/>
      <c r="Y427" s="142"/>
      <c r="Z427" s="142"/>
      <c r="AA427" s="131"/>
      <c r="AB427" s="142"/>
      <c r="AC427" s="142"/>
      <c r="AD427" s="142"/>
      <c r="AE427" s="142"/>
      <c r="AF427" s="142"/>
      <c r="AG427" s="142"/>
      <c r="AH427" s="142"/>
      <c r="AI427" s="142"/>
      <c r="AJ427" s="142"/>
      <c r="AK427" s="142"/>
      <c r="AL427" s="142"/>
      <c r="AM427" s="142"/>
      <c r="AN427" s="142"/>
      <c r="AO427" s="142"/>
      <c r="AP427" s="142"/>
    </row>
    <row r="428" ht="13.5" customHeight="1">
      <c r="A428" s="142"/>
      <c r="B428" s="142"/>
      <c r="C428" s="142"/>
      <c r="D428" s="142"/>
      <c r="E428" s="132"/>
      <c r="F428" s="131"/>
      <c r="G428" s="131"/>
      <c r="H428" s="131"/>
      <c r="I428" s="131"/>
      <c r="J428" s="131"/>
      <c r="K428" s="131"/>
      <c r="L428" s="131"/>
      <c r="M428" s="131"/>
      <c r="N428" s="131"/>
      <c r="O428" s="142"/>
      <c r="P428" s="142"/>
      <c r="Q428" s="142"/>
      <c r="R428" s="142"/>
      <c r="S428" s="142"/>
      <c r="T428" s="142"/>
      <c r="U428" s="142"/>
      <c r="V428" s="142"/>
      <c r="W428" s="142"/>
      <c r="X428" s="142"/>
      <c r="Y428" s="142"/>
      <c r="Z428" s="142"/>
      <c r="AA428" s="131"/>
      <c r="AB428" s="142"/>
      <c r="AC428" s="142"/>
      <c r="AD428" s="142"/>
      <c r="AE428" s="142"/>
      <c r="AF428" s="142"/>
      <c r="AG428" s="142"/>
      <c r="AH428" s="142"/>
      <c r="AI428" s="142"/>
      <c r="AJ428" s="142"/>
      <c r="AK428" s="142"/>
      <c r="AL428" s="142"/>
      <c r="AM428" s="142"/>
      <c r="AN428" s="142"/>
      <c r="AO428" s="142"/>
      <c r="AP428" s="142"/>
    </row>
    <row r="429" ht="13.5" customHeight="1">
      <c r="A429" s="142"/>
      <c r="B429" s="142"/>
      <c r="C429" s="142"/>
      <c r="D429" s="142"/>
      <c r="E429" s="132"/>
      <c r="F429" s="131"/>
      <c r="G429" s="131"/>
      <c r="H429" s="131"/>
      <c r="I429" s="131"/>
      <c r="J429" s="131"/>
      <c r="K429" s="131"/>
      <c r="L429" s="131"/>
      <c r="M429" s="131"/>
      <c r="N429" s="131"/>
      <c r="O429" s="142"/>
      <c r="P429" s="142"/>
      <c r="Q429" s="142"/>
      <c r="R429" s="142"/>
      <c r="S429" s="142"/>
      <c r="T429" s="142"/>
      <c r="U429" s="142"/>
      <c r="V429" s="142"/>
      <c r="W429" s="142"/>
      <c r="X429" s="142"/>
      <c r="Y429" s="142"/>
      <c r="Z429" s="142"/>
      <c r="AA429" s="131"/>
      <c r="AB429" s="142"/>
      <c r="AC429" s="142"/>
      <c r="AD429" s="142"/>
      <c r="AE429" s="142"/>
      <c r="AF429" s="142"/>
      <c r="AG429" s="142"/>
      <c r="AH429" s="142"/>
      <c r="AI429" s="142"/>
      <c r="AJ429" s="142"/>
      <c r="AK429" s="142"/>
      <c r="AL429" s="142"/>
      <c r="AM429" s="142"/>
      <c r="AN429" s="142"/>
      <c r="AO429" s="142"/>
      <c r="AP429" s="142"/>
    </row>
    <row r="430" ht="13.5" customHeight="1">
      <c r="A430" s="142"/>
      <c r="B430" s="142"/>
      <c r="C430" s="142"/>
      <c r="D430" s="142"/>
      <c r="E430" s="132"/>
      <c r="F430" s="131"/>
      <c r="G430" s="131"/>
      <c r="H430" s="131"/>
      <c r="I430" s="131"/>
      <c r="J430" s="131"/>
      <c r="K430" s="131"/>
      <c r="L430" s="131"/>
      <c r="M430" s="131"/>
      <c r="N430" s="131"/>
      <c r="O430" s="142"/>
      <c r="P430" s="142"/>
      <c r="Q430" s="142"/>
      <c r="R430" s="142"/>
      <c r="S430" s="142"/>
      <c r="T430" s="142"/>
      <c r="U430" s="142"/>
      <c r="V430" s="142"/>
      <c r="W430" s="142"/>
      <c r="X430" s="142"/>
      <c r="Y430" s="142"/>
      <c r="Z430" s="142"/>
      <c r="AA430" s="131"/>
      <c r="AB430" s="142"/>
      <c r="AC430" s="142"/>
      <c r="AD430" s="142"/>
      <c r="AE430" s="142"/>
      <c r="AF430" s="142"/>
      <c r="AG430" s="142"/>
      <c r="AH430" s="142"/>
      <c r="AI430" s="142"/>
      <c r="AJ430" s="142"/>
      <c r="AK430" s="142"/>
      <c r="AL430" s="142"/>
      <c r="AM430" s="142"/>
      <c r="AN430" s="142"/>
      <c r="AO430" s="142"/>
      <c r="AP430" s="142"/>
    </row>
    <row r="431" ht="13.5" customHeight="1">
      <c r="A431" s="142"/>
      <c r="B431" s="142"/>
      <c r="C431" s="142"/>
      <c r="D431" s="142"/>
      <c r="E431" s="132"/>
      <c r="F431" s="131"/>
      <c r="G431" s="131"/>
      <c r="H431" s="131"/>
      <c r="I431" s="131"/>
      <c r="J431" s="131"/>
      <c r="K431" s="131"/>
      <c r="L431" s="131"/>
      <c r="M431" s="131"/>
      <c r="N431" s="131"/>
      <c r="O431" s="142"/>
      <c r="P431" s="142"/>
      <c r="Q431" s="142"/>
      <c r="R431" s="142"/>
      <c r="S431" s="142"/>
      <c r="T431" s="142"/>
      <c r="U431" s="142"/>
      <c r="V431" s="142"/>
      <c r="W431" s="142"/>
      <c r="X431" s="142"/>
      <c r="Y431" s="142"/>
      <c r="Z431" s="142"/>
      <c r="AA431" s="131"/>
      <c r="AB431" s="142"/>
      <c r="AC431" s="142"/>
      <c r="AD431" s="142"/>
      <c r="AE431" s="142"/>
      <c r="AF431" s="142"/>
      <c r="AG431" s="142"/>
      <c r="AH431" s="142"/>
      <c r="AI431" s="142"/>
      <c r="AJ431" s="142"/>
      <c r="AK431" s="142"/>
      <c r="AL431" s="142"/>
      <c r="AM431" s="142"/>
      <c r="AN431" s="142"/>
      <c r="AO431" s="142"/>
      <c r="AP431" s="142"/>
    </row>
    <row r="432" ht="13.5" customHeight="1">
      <c r="A432" s="142"/>
      <c r="B432" s="142"/>
      <c r="C432" s="142"/>
      <c r="D432" s="142"/>
      <c r="E432" s="132"/>
      <c r="F432" s="131"/>
      <c r="G432" s="131"/>
      <c r="H432" s="131"/>
      <c r="I432" s="131"/>
      <c r="J432" s="131"/>
      <c r="K432" s="131"/>
      <c r="L432" s="131"/>
      <c r="M432" s="131"/>
      <c r="N432" s="131"/>
      <c r="O432" s="142"/>
      <c r="P432" s="142"/>
      <c r="Q432" s="142"/>
      <c r="R432" s="142"/>
      <c r="S432" s="142"/>
      <c r="T432" s="142"/>
      <c r="U432" s="142"/>
      <c r="V432" s="142"/>
      <c r="W432" s="142"/>
      <c r="X432" s="142"/>
      <c r="Y432" s="142"/>
      <c r="Z432" s="142"/>
      <c r="AA432" s="131"/>
      <c r="AB432" s="142"/>
      <c r="AC432" s="142"/>
      <c r="AD432" s="142"/>
      <c r="AE432" s="142"/>
      <c r="AF432" s="142"/>
      <c r="AG432" s="142"/>
      <c r="AH432" s="142"/>
      <c r="AI432" s="142"/>
      <c r="AJ432" s="142"/>
      <c r="AK432" s="142"/>
      <c r="AL432" s="142"/>
      <c r="AM432" s="142"/>
      <c r="AN432" s="142"/>
      <c r="AO432" s="142"/>
      <c r="AP432" s="142"/>
    </row>
    <row r="433" ht="13.5" customHeight="1">
      <c r="A433" s="142"/>
      <c r="B433" s="142"/>
      <c r="C433" s="142"/>
      <c r="D433" s="142"/>
      <c r="E433" s="132"/>
      <c r="F433" s="131"/>
      <c r="G433" s="131"/>
      <c r="H433" s="131"/>
      <c r="I433" s="131"/>
      <c r="J433" s="131"/>
      <c r="K433" s="131"/>
      <c r="L433" s="131"/>
      <c r="M433" s="131"/>
      <c r="N433" s="131"/>
      <c r="O433" s="142"/>
      <c r="P433" s="142"/>
      <c r="Q433" s="142"/>
      <c r="R433" s="142"/>
      <c r="S433" s="142"/>
      <c r="T433" s="142"/>
      <c r="U433" s="142"/>
      <c r="V433" s="142"/>
      <c r="W433" s="142"/>
      <c r="X433" s="142"/>
      <c r="Y433" s="142"/>
      <c r="Z433" s="142"/>
      <c r="AA433" s="131"/>
      <c r="AB433" s="142"/>
      <c r="AC433" s="142"/>
      <c r="AD433" s="142"/>
      <c r="AE433" s="142"/>
      <c r="AF433" s="142"/>
      <c r="AG433" s="142"/>
      <c r="AH433" s="142"/>
      <c r="AI433" s="142"/>
      <c r="AJ433" s="142"/>
      <c r="AK433" s="142"/>
      <c r="AL433" s="142"/>
      <c r="AM433" s="142"/>
      <c r="AN433" s="142"/>
      <c r="AO433" s="142"/>
      <c r="AP433" s="142"/>
    </row>
    <row r="434" ht="13.5" customHeight="1">
      <c r="A434" s="142"/>
      <c r="B434" s="142"/>
      <c r="C434" s="142"/>
      <c r="D434" s="142"/>
      <c r="E434" s="132"/>
      <c r="F434" s="131"/>
      <c r="G434" s="131"/>
      <c r="H434" s="131"/>
      <c r="I434" s="131"/>
      <c r="J434" s="131"/>
      <c r="K434" s="131"/>
      <c r="L434" s="131"/>
      <c r="M434" s="131"/>
      <c r="N434" s="131"/>
      <c r="O434" s="142"/>
      <c r="P434" s="142"/>
      <c r="Q434" s="142"/>
      <c r="R434" s="142"/>
      <c r="S434" s="142"/>
      <c r="T434" s="142"/>
      <c r="U434" s="142"/>
      <c r="V434" s="142"/>
      <c r="W434" s="142"/>
      <c r="X434" s="142"/>
      <c r="Y434" s="142"/>
      <c r="Z434" s="142"/>
      <c r="AA434" s="131"/>
      <c r="AB434" s="142"/>
      <c r="AC434" s="142"/>
      <c r="AD434" s="142"/>
      <c r="AE434" s="142"/>
      <c r="AF434" s="142"/>
      <c r="AG434" s="142"/>
      <c r="AH434" s="142"/>
      <c r="AI434" s="142"/>
      <c r="AJ434" s="142"/>
      <c r="AK434" s="142"/>
      <c r="AL434" s="142"/>
      <c r="AM434" s="142"/>
      <c r="AN434" s="142"/>
      <c r="AO434" s="142"/>
      <c r="AP434" s="142"/>
    </row>
    <row r="435" ht="13.5" customHeight="1">
      <c r="A435" s="142"/>
      <c r="B435" s="142"/>
      <c r="C435" s="142"/>
      <c r="D435" s="142"/>
      <c r="E435" s="132"/>
      <c r="F435" s="131"/>
      <c r="G435" s="131"/>
      <c r="H435" s="131"/>
      <c r="I435" s="131"/>
      <c r="J435" s="131"/>
      <c r="K435" s="131"/>
      <c r="L435" s="131"/>
      <c r="M435" s="131"/>
      <c r="N435" s="131"/>
      <c r="O435" s="142"/>
      <c r="P435" s="142"/>
      <c r="Q435" s="142"/>
      <c r="R435" s="142"/>
      <c r="S435" s="142"/>
      <c r="T435" s="142"/>
      <c r="U435" s="142"/>
      <c r="V435" s="142"/>
      <c r="W435" s="142"/>
      <c r="X435" s="142"/>
      <c r="Y435" s="142"/>
      <c r="Z435" s="142"/>
      <c r="AA435" s="131"/>
      <c r="AB435" s="142"/>
      <c r="AC435" s="142"/>
      <c r="AD435" s="142"/>
      <c r="AE435" s="142"/>
      <c r="AF435" s="142"/>
      <c r="AG435" s="142"/>
      <c r="AH435" s="142"/>
      <c r="AI435" s="142"/>
      <c r="AJ435" s="142"/>
      <c r="AK435" s="142"/>
      <c r="AL435" s="142"/>
      <c r="AM435" s="142"/>
      <c r="AN435" s="142"/>
      <c r="AO435" s="142"/>
      <c r="AP435" s="142"/>
    </row>
    <row r="436" ht="13.5" customHeight="1">
      <c r="A436" s="142"/>
      <c r="B436" s="142"/>
      <c r="C436" s="142"/>
      <c r="D436" s="142"/>
      <c r="E436" s="132"/>
      <c r="F436" s="131"/>
      <c r="G436" s="131"/>
      <c r="H436" s="131"/>
      <c r="I436" s="131"/>
      <c r="J436" s="131"/>
      <c r="K436" s="131"/>
      <c r="L436" s="131"/>
      <c r="M436" s="131"/>
      <c r="N436" s="131"/>
      <c r="O436" s="142"/>
      <c r="P436" s="142"/>
      <c r="Q436" s="142"/>
      <c r="R436" s="142"/>
      <c r="S436" s="142"/>
      <c r="T436" s="142"/>
      <c r="U436" s="142"/>
      <c r="V436" s="142"/>
      <c r="W436" s="142"/>
      <c r="X436" s="142"/>
      <c r="Y436" s="142"/>
      <c r="Z436" s="142"/>
      <c r="AA436" s="131"/>
      <c r="AB436" s="142"/>
      <c r="AC436" s="142"/>
      <c r="AD436" s="142"/>
      <c r="AE436" s="142"/>
      <c r="AF436" s="142"/>
      <c r="AG436" s="142"/>
      <c r="AH436" s="142"/>
      <c r="AI436" s="142"/>
      <c r="AJ436" s="142"/>
      <c r="AK436" s="142"/>
      <c r="AL436" s="142"/>
      <c r="AM436" s="142"/>
      <c r="AN436" s="142"/>
      <c r="AO436" s="142"/>
      <c r="AP436" s="142"/>
    </row>
    <row r="437" ht="13.5" customHeight="1">
      <c r="A437" s="142"/>
      <c r="B437" s="142"/>
      <c r="C437" s="142"/>
      <c r="D437" s="142"/>
      <c r="E437" s="132"/>
      <c r="F437" s="131"/>
      <c r="G437" s="131"/>
      <c r="H437" s="131"/>
      <c r="I437" s="131"/>
      <c r="J437" s="131"/>
      <c r="K437" s="131"/>
      <c r="L437" s="131"/>
      <c r="M437" s="131"/>
      <c r="N437" s="131"/>
      <c r="O437" s="142"/>
      <c r="P437" s="142"/>
      <c r="Q437" s="142"/>
      <c r="R437" s="142"/>
      <c r="S437" s="142"/>
      <c r="T437" s="142"/>
      <c r="U437" s="142"/>
      <c r="V437" s="142"/>
      <c r="W437" s="142"/>
      <c r="X437" s="142"/>
      <c r="Y437" s="142"/>
      <c r="Z437" s="142"/>
      <c r="AA437" s="131"/>
      <c r="AB437" s="142"/>
      <c r="AC437" s="142"/>
      <c r="AD437" s="142"/>
      <c r="AE437" s="142"/>
      <c r="AF437" s="142"/>
      <c r="AG437" s="142"/>
      <c r="AH437" s="142"/>
      <c r="AI437" s="142"/>
      <c r="AJ437" s="142"/>
      <c r="AK437" s="142"/>
      <c r="AL437" s="142"/>
      <c r="AM437" s="142"/>
      <c r="AN437" s="142"/>
      <c r="AO437" s="142"/>
      <c r="AP437" s="142"/>
    </row>
    <row r="438" ht="13.5" customHeight="1">
      <c r="A438" s="142"/>
      <c r="B438" s="142"/>
      <c r="C438" s="142"/>
      <c r="D438" s="142"/>
      <c r="E438" s="132"/>
      <c r="F438" s="131"/>
      <c r="G438" s="131"/>
      <c r="H438" s="131"/>
      <c r="I438" s="131"/>
      <c r="J438" s="131"/>
      <c r="K438" s="131"/>
      <c r="L438" s="131"/>
      <c r="M438" s="131"/>
      <c r="N438" s="131"/>
      <c r="O438" s="142"/>
      <c r="P438" s="142"/>
      <c r="Q438" s="142"/>
      <c r="R438" s="142"/>
      <c r="S438" s="142"/>
      <c r="T438" s="142"/>
      <c r="U438" s="142"/>
      <c r="V438" s="142"/>
      <c r="W438" s="142"/>
      <c r="X438" s="142"/>
      <c r="Y438" s="142"/>
      <c r="Z438" s="142"/>
      <c r="AA438" s="131"/>
      <c r="AB438" s="142"/>
      <c r="AC438" s="142"/>
      <c r="AD438" s="142"/>
      <c r="AE438" s="142"/>
      <c r="AF438" s="142"/>
      <c r="AG438" s="142"/>
      <c r="AH438" s="142"/>
      <c r="AI438" s="142"/>
      <c r="AJ438" s="142"/>
      <c r="AK438" s="142"/>
      <c r="AL438" s="142"/>
      <c r="AM438" s="142"/>
      <c r="AN438" s="142"/>
      <c r="AO438" s="142"/>
      <c r="AP438" s="142"/>
    </row>
    <row r="439" ht="13.5" customHeight="1">
      <c r="A439" s="142"/>
      <c r="B439" s="142"/>
      <c r="C439" s="142"/>
      <c r="D439" s="142"/>
      <c r="E439" s="132"/>
      <c r="F439" s="131"/>
      <c r="G439" s="131"/>
      <c r="H439" s="131"/>
      <c r="I439" s="131"/>
      <c r="J439" s="131"/>
      <c r="K439" s="131"/>
      <c r="L439" s="131"/>
      <c r="M439" s="131"/>
      <c r="N439" s="131"/>
      <c r="O439" s="142"/>
      <c r="P439" s="142"/>
      <c r="Q439" s="142"/>
      <c r="R439" s="142"/>
      <c r="S439" s="142"/>
      <c r="T439" s="142"/>
      <c r="U439" s="142"/>
      <c r="V439" s="142"/>
      <c r="W439" s="142"/>
      <c r="X439" s="142"/>
      <c r="Y439" s="142"/>
      <c r="Z439" s="142"/>
      <c r="AA439" s="131"/>
      <c r="AB439" s="142"/>
      <c r="AC439" s="142"/>
      <c r="AD439" s="142"/>
      <c r="AE439" s="142"/>
      <c r="AF439" s="142"/>
      <c r="AG439" s="142"/>
      <c r="AH439" s="142"/>
      <c r="AI439" s="142"/>
      <c r="AJ439" s="142"/>
      <c r="AK439" s="142"/>
      <c r="AL439" s="142"/>
      <c r="AM439" s="142"/>
      <c r="AN439" s="142"/>
      <c r="AO439" s="142"/>
      <c r="AP439" s="142"/>
    </row>
    <row r="440" ht="13.5" customHeight="1">
      <c r="A440" s="142"/>
      <c r="B440" s="142"/>
      <c r="C440" s="142"/>
      <c r="D440" s="142"/>
      <c r="E440" s="132"/>
      <c r="F440" s="131"/>
      <c r="G440" s="131"/>
      <c r="H440" s="131"/>
      <c r="I440" s="131"/>
      <c r="J440" s="131"/>
      <c r="K440" s="131"/>
      <c r="L440" s="131"/>
      <c r="M440" s="131"/>
      <c r="N440" s="131"/>
      <c r="O440" s="142"/>
      <c r="P440" s="142"/>
      <c r="Q440" s="142"/>
      <c r="R440" s="142"/>
      <c r="S440" s="142"/>
      <c r="T440" s="142"/>
      <c r="U440" s="142"/>
      <c r="V440" s="142"/>
      <c r="W440" s="142"/>
      <c r="X440" s="142"/>
      <c r="Y440" s="142"/>
      <c r="Z440" s="142"/>
      <c r="AA440" s="131"/>
      <c r="AB440" s="142"/>
      <c r="AC440" s="142"/>
      <c r="AD440" s="142"/>
      <c r="AE440" s="142"/>
      <c r="AF440" s="142"/>
      <c r="AG440" s="142"/>
      <c r="AH440" s="142"/>
      <c r="AI440" s="142"/>
      <c r="AJ440" s="142"/>
      <c r="AK440" s="142"/>
      <c r="AL440" s="142"/>
      <c r="AM440" s="142"/>
      <c r="AN440" s="142"/>
      <c r="AO440" s="142"/>
      <c r="AP440" s="142"/>
    </row>
    <row r="441" ht="13.5" customHeight="1">
      <c r="A441" s="142"/>
      <c r="B441" s="142"/>
      <c r="C441" s="142"/>
      <c r="D441" s="142"/>
      <c r="E441" s="132"/>
      <c r="F441" s="131"/>
      <c r="G441" s="131"/>
      <c r="H441" s="131"/>
      <c r="I441" s="131"/>
      <c r="J441" s="131"/>
      <c r="K441" s="131"/>
      <c r="L441" s="131"/>
      <c r="M441" s="131"/>
      <c r="N441" s="131"/>
      <c r="O441" s="142"/>
      <c r="P441" s="142"/>
      <c r="Q441" s="142"/>
      <c r="R441" s="142"/>
      <c r="S441" s="142"/>
      <c r="T441" s="142"/>
      <c r="U441" s="142"/>
      <c r="V441" s="142"/>
      <c r="W441" s="142"/>
      <c r="X441" s="142"/>
      <c r="Y441" s="142"/>
      <c r="Z441" s="142"/>
      <c r="AA441" s="131"/>
      <c r="AB441" s="142"/>
      <c r="AC441" s="142"/>
      <c r="AD441" s="142"/>
      <c r="AE441" s="142"/>
      <c r="AF441" s="142"/>
      <c r="AG441" s="142"/>
      <c r="AH441" s="142"/>
      <c r="AI441" s="142"/>
      <c r="AJ441" s="142"/>
      <c r="AK441" s="142"/>
      <c r="AL441" s="142"/>
      <c r="AM441" s="142"/>
      <c r="AN441" s="142"/>
      <c r="AO441" s="142"/>
      <c r="AP441" s="142"/>
    </row>
    <row r="442" ht="13.5" customHeight="1">
      <c r="A442" s="142"/>
      <c r="B442" s="142"/>
      <c r="C442" s="142"/>
      <c r="D442" s="142"/>
      <c r="E442" s="132"/>
      <c r="F442" s="131"/>
      <c r="G442" s="131"/>
      <c r="H442" s="131"/>
      <c r="I442" s="131"/>
      <c r="J442" s="131"/>
      <c r="K442" s="131"/>
      <c r="L442" s="131"/>
      <c r="M442" s="131"/>
      <c r="N442" s="131"/>
      <c r="O442" s="142"/>
      <c r="P442" s="142"/>
      <c r="Q442" s="142"/>
      <c r="R442" s="142"/>
      <c r="S442" s="142"/>
      <c r="T442" s="142"/>
      <c r="U442" s="142"/>
      <c r="V442" s="142"/>
      <c r="W442" s="142"/>
      <c r="X442" s="142"/>
      <c r="Y442" s="142"/>
      <c r="Z442" s="142"/>
      <c r="AA442" s="131"/>
      <c r="AB442" s="142"/>
      <c r="AC442" s="142"/>
      <c r="AD442" s="142"/>
      <c r="AE442" s="142"/>
      <c r="AF442" s="142"/>
      <c r="AG442" s="142"/>
      <c r="AH442" s="142"/>
      <c r="AI442" s="142"/>
      <c r="AJ442" s="142"/>
      <c r="AK442" s="142"/>
      <c r="AL442" s="142"/>
      <c r="AM442" s="142"/>
      <c r="AN442" s="142"/>
      <c r="AO442" s="142"/>
      <c r="AP442" s="142"/>
    </row>
    <row r="443" ht="13.5" customHeight="1">
      <c r="A443" s="142"/>
      <c r="B443" s="142"/>
      <c r="C443" s="142"/>
      <c r="D443" s="142"/>
      <c r="E443" s="132"/>
      <c r="F443" s="131"/>
      <c r="G443" s="131"/>
      <c r="H443" s="131"/>
      <c r="I443" s="131"/>
      <c r="J443" s="131"/>
      <c r="K443" s="131"/>
      <c r="L443" s="131"/>
      <c r="M443" s="131"/>
      <c r="N443" s="131"/>
      <c r="O443" s="142"/>
      <c r="P443" s="142"/>
      <c r="Q443" s="142"/>
      <c r="R443" s="142"/>
      <c r="S443" s="142"/>
      <c r="T443" s="142"/>
      <c r="U443" s="142"/>
      <c r="V443" s="142"/>
      <c r="W443" s="142"/>
      <c r="X443" s="142"/>
      <c r="Y443" s="142"/>
      <c r="Z443" s="142"/>
      <c r="AA443" s="131"/>
      <c r="AB443" s="142"/>
      <c r="AC443" s="142"/>
      <c r="AD443" s="142"/>
      <c r="AE443" s="142"/>
      <c r="AF443" s="142"/>
      <c r="AG443" s="142"/>
      <c r="AH443" s="142"/>
      <c r="AI443" s="142"/>
      <c r="AJ443" s="142"/>
      <c r="AK443" s="142"/>
      <c r="AL443" s="142"/>
      <c r="AM443" s="142"/>
      <c r="AN443" s="142"/>
      <c r="AO443" s="142"/>
      <c r="AP443" s="142"/>
    </row>
    <row r="444" ht="13.5" customHeight="1">
      <c r="A444" s="142"/>
      <c r="B444" s="142"/>
      <c r="C444" s="142"/>
      <c r="D444" s="142"/>
      <c r="E444" s="132"/>
      <c r="F444" s="131"/>
      <c r="G444" s="131"/>
      <c r="H444" s="131"/>
      <c r="I444" s="131"/>
      <c r="J444" s="131"/>
      <c r="K444" s="131"/>
      <c r="L444" s="131"/>
      <c r="M444" s="131"/>
      <c r="N444" s="131"/>
      <c r="O444" s="142"/>
      <c r="P444" s="142"/>
      <c r="Q444" s="142"/>
      <c r="R444" s="142"/>
      <c r="S444" s="142"/>
      <c r="T444" s="142"/>
      <c r="U444" s="142"/>
      <c r="V444" s="142"/>
      <c r="W444" s="142"/>
      <c r="X444" s="142"/>
      <c r="Y444" s="142"/>
      <c r="Z444" s="142"/>
      <c r="AA444" s="131"/>
      <c r="AB444" s="142"/>
      <c r="AC444" s="142"/>
      <c r="AD444" s="142"/>
      <c r="AE444" s="142"/>
      <c r="AF444" s="142"/>
      <c r="AG444" s="142"/>
      <c r="AH444" s="142"/>
      <c r="AI444" s="142"/>
      <c r="AJ444" s="142"/>
      <c r="AK444" s="142"/>
      <c r="AL444" s="142"/>
      <c r="AM444" s="142"/>
      <c r="AN444" s="142"/>
      <c r="AO444" s="142"/>
      <c r="AP444" s="142"/>
    </row>
    <row r="445" ht="13.5" customHeight="1">
      <c r="A445" s="142"/>
      <c r="B445" s="142"/>
      <c r="C445" s="142"/>
      <c r="D445" s="142"/>
      <c r="E445" s="132"/>
      <c r="F445" s="131"/>
      <c r="G445" s="131"/>
      <c r="H445" s="131"/>
      <c r="I445" s="131"/>
      <c r="J445" s="131"/>
      <c r="K445" s="131"/>
      <c r="L445" s="131"/>
      <c r="M445" s="131"/>
      <c r="N445" s="131"/>
      <c r="O445" s="142"/>
      <c r="P445" s="142"/>
      <c r="Q445" s="142"/>
      <c r="R445" s="142"/>
      <c r="S445" s="142"/>
      <c r="T445" s="142"/>
      <c r="U445" s="142"/>
      <c r="V445" s="142"/>
      <c r="W445" s="142"/>
      <c r="X445" s="142"/>
      <c r="Y445" s="142"/>
      <c r="Z445" s="142"/>
      <c r="AA445" s="131"/>
      <c r="AB445" s="142"/>
      <c r="AC445" s="142"/>
      <c r="AD445" s="142"/>
      <c r="AE445" s="142"/>
      <c r="AF445" s="142"/>
      <c r="AG445" s="142"/>
      <c r="AH445" s="142"/>
      <c r="AI445" s="142"/>
      <c r="AJ445" s="142"/>
      <c r="AK445" s="142"/>
      <c r="AL445" s="142"/>
      <c r="AM445" s="142"/>
      <c r="AN445" s="142"/>
      <c r="AO445" s="142"/>
      <c r="AP445" s="142"/>
    </row>
    <row r="446" ht="13.5" customHeight="1">
      <c r="A446" s="142"/>
      <c r="B446" s="142"/>
      <c r="C446" s="142"/>
      <c r="D446" s="142"/>
      <c r="E446" s="132"/>
      <c r="F446" s="131"/>
      <c r="G446" s="131"/>
      <c r="H446" s="131"/>
      <c r="I446" s="131"/>
      <c r="J446" s="131"/>
      <c r="K446" s="131"/>
      <c r="L446" s="131"/>
      <c r="M446" s="131"/>
      <c r="N446" s="131"/>
      <c r="O446" s="142"/>
      <c r="P446" s="142"/>
      <c r="Q446" s="142"/>
      <c r="R446" s="142"/>
      <c r="S446" s="142"/>
      <c r="T446" s="142"/>
      <c r="U446" s="142"/>
      <c r="V446" s="142"/>
      <c r="W446" s="142"/>
      <c r="X446" s="142"/>
      <c r="Y446" s="142"/>
      <c r="Z446" s="142"/>
      <c r="AA446" s="131"/>
      <c r="AB446" s="142"/>
      <c r="AC446" s="142"/>
      <c r="AD446" s="142"/>
      <c r="AE446" s="142"/>
      <c r="AF446" s="142"/>
      <c r="AG446" s="142"/>
      <c r="AH446" s="142"/>
      <c r="AI446" s="142"/>
      <c r="AJ446" s="142"/>
      <c r="AK446" s="142"/>
      <c r="AL446" s="142"/>
      <c r="AM446" s="142"/>
      <c r="AN446" s="142"/>
      <c r="AO446" s="142"/>
      <c r="AP446" s="142"/>
    </row>
    <row r="447" ht="13.5" customHeight="1">
      <c r="A447" s="142"/>
      <c r="B447" s="142"/>
      <c r="C447" s="142"/>
      <c r="D447" s="142"/>
      <c r="E447" s="132"/>
      <c r="F447" s="131"/>
      <c r="G447" s="131"/>
      <c r="H447" s="131"/>
      <c r="I447" s="131"/>
      <c r="J447" s="131"/>
      <c r="K447" s="131"/>
      <c r="L447" s="131"/>
      <c r="M447" s="131"/>
      <c r="N447" s="131"/>
      <c r="O447" s="142"/>
      <c r="P447" s="142"/>
      <c r="Q447" s="142"/>
      <c r="R447" s="142"/>
      <c r="S447" s="142"/>
      <c r="T447" s="142"/>
      <c r="U447" s="142"/>
      <c r="V447" s="142"/>
      <c r="W447" s="142"/>
      <c r="X447" s="142"/>
      <c r="Y447" s="142"/>
      <c r="Z447" s="142"/>
      <c r="AA447" s="131"/>
      <c r="AB447" s="142"/>
      <c r="AC447" s="142"/>
      <c r="AD447" s="142"/>
      <c r="AE447" s="142"/>
      <c r="AF447" s="142"/>
      <c r="AG447" s="142"/>
      <c r="AH447" s="142"/>
      <c r="AI447" s="142"/>
      <c r="AJ447" s="142"/>
      <c r="AK447" s="142"/>
      <c r="AL447" s="142"/>
      <c r="AM447" s="142"/>
      <c r="AN447" s="142"/>
      <c r="AO447" s="142"/>
      <c r="AP447" s="142"/>
    </row>
    <row r="448" ht="13.5" customHeight="1">
      <c r="A448" s="142"/>
      <c r="B448" s="142"/>
      <c r="C448" s="142"/>
      <c r="D448" s="142"/>
      <c r="E448" s="132"/>
      <c r="F448" s="131"/>
      <c r="G448" s="131"/>
      <c r="H448" s="131"/>
      <c r="I448" s="131"/>
      <c r="J448" s="131"/>
      <c r="K448" s="131"/>
      <c r="L448" s="131"/>
      <c r="M448" s="131"/>
      <c r="N448" s="131"/>
      <c r="O448" s="142"/>
      <c r="P448" s="142"/>
      <c r="Q448" s="142"/>
      <c r="R448" s="142"/>
      <c r="S448" s="142"/>
      <c r="T448" s="142"/>
      <c r="U448" s="142"/>
      <c r="V448" s="142"/>
      <c r="W448" s="142"/>
      <c r="X448" s="142"/>
      <c r="Y448" s="142"/>
      <c r="Z448" s="142"/>
      <c r="AA448" s="131"/>
      <c r="AB448" s="142"/>
      <c r="AC448" s="142"/>
      <c r="AD448" s="142"/>
      <c r="AE448" s="142"/>
      <c r="AF448" s="142"/>
      <c r="AG448" s="142"/>
      <c r="AH448" s="142"/>
      <c r="AI448" s="142"/>
      <c r="AJ448" s="142"/>
      <c r="AK448" s="142"/>
      <c r="AL448" s="142"/>
      <c r="AM448" s="142"/>
      <c r="AN448" s="142"/>
      <c r="AO448" s="142"/>
      <c r="AP448" s="142"/>
    </row>
    <row r="449" ht="13.5" customHeight="1">
      <c r="A449" s="142"/>
      <c r="B449" s="142"/>
      <c r="C449" s="142"/>
      <c r="D449" s="142"/>
      <c r="E449" s="132"/>
      <c r="F449" s="131"/>
      <c r="G449" s="131"/>
      <c r="H449" s="131"/>
      <c r="I449" s="131"/>
      <c r="J449" s="131"/>
      <c r="K449" s="131"/>
      <c r="L449" s="131"/>
      <c r="M449" s="131"/>
      <c r="N449" s="131"/>
      <c r="O449" s="142"/>
      <c r="P449" s="142"/>
      <c r="Q449" s="142"/>
      <c r="R449" s="142"/>
      <c r="S449" s="142"/>
      <c r="T449" s="142"/>
      <c r="U449" s="142"/>
      <c r="V449" s="142"/>
      <c r="W449" s="142"/>
      <c r="X449" s="142"/>
      <c r="Y449" s="142"/>
      <c r="Z449" s="142"/>
      <c r="AA449" s="131"/>
      <c r="AB449" s="142"/>
      <c r="AC449" s="142"/>
      <c r="AD449" s="142"/>
      <c r="AE449" s="142"/>
      <c r="AF449" s="142"/>
      <c r="AG449" s="142"/>
      <c r="AH449" s="142"/>
      <c r="AI449" s="142"/>
      <c r="AJ449" s="142"/>
      <c r="AK449" s="142"/>
      <c r="AL449" s="142"/>
      <c r="AM449" s="142"/>
      <c r="AN449" s="142"/>
      <c r="AO449" s="142"/>
      <c r="AP449" s="142"/>
    </row>
    <row r="450" ht="13.5" customHeight="1">
      <c r="A450" s="142"/>
      <c r="B450" s="142"/>
      <c r="C450" s="142"/>
      <c r="D450" s="142"/>
      <c r="E450" s="132"/>
      <c r="F450" s="131"/>
      <c r="G450" s="131"/>
      <c r="H450" s="131"/>
      <c r="I450" s="131"/>
      <c r="J450" s="131"/>
      <c r="K450" s="131"/>
      <c r="L450" s="131"/>
      <c r="M450" s="131"/>
      <c r="N450" s="131"/>
      <c r="O450" s="142"/>
      <c r="P450" s="142"/>
      <c r="Q450" s="142"/>
      <c r="R450" s="142"/>
      <c r="S450" s="142"/>
      <c r="T450" s="142"/>
      <c r="U450" s="142"/>
      <c r="V450" s="142"/>
      <c r="W450" s="142"/>
      <c r="X450" s="142"/>
      <c r="Y450" s="142"/>
      <c r="Z450" s="142"/>
      <c r="AA450" s="131"/>
      <c r="AB450" s="142"/>
      <c r="AC450" s="142"/>
      <c r="AD450" s="142"/>
      <c r="AE450" s="142"/>
      <c r="AF450" s="142"/>
      <c r="AG450" s="142"/>
      <c r="AH450" s="142"/>
      <c r="AI450" s="142"/>
      <c r="AJ450" s="142"/>
      <c r="AK450" s="142"/>
      <c r="AL450" s="142"/>
      <c r="AM450" s="142"/>
      <c r="AN450" s="142"/>
      <c r="AO450" s="142"/>
      <c r="AP450" s="142"/>
    </row>
    <row r="451" ht="13.5" customHeight="1">
      <c r="A451" s="142"/>
      <c r="B451" s="142"/>
      <c r="C451" s="142"/>
      <c r="D451" s="142"/>
      <c r="E451" s="132"/>
      <c r="F451" s="131"/>
      <c r="G451" s="131"/>
      <c r="H451" s="131"/>
      <c r="I451" s="131"/>
      <c r="J451" s="131"/>
      <c r="K451" s="131"/>
      <c r="L451" s="131"/>
      <c r="M451" s="131"/>
      <c r="N451" s="131"/>
      <c r="O451" s="142"/>
      <c r="P451" s="142"/>
      <c r="Q451" s="142"/>
      <c r="R451" s="142"/>
      <c r="S451" s="142"/>
      <c r="T451" s="142"/>
      <c r="U451" s="142"/>
      <c r="V451" s="142"/>
      <c r="W451" s="142"/>
      <c r="X451" s="142"/>
      <c r="Y451" s="142"/>
      <c r="Z451" s="142"/>
      <c r="AA451" s="131"/>
      <c r="AB451" s="142"/>
      <c r="AC451" s="142"/>
      <c r="AD451" s="142"/>
      <c r="AE451" s="142"/>
      <c r="AF451" s="142"/>
      <c r="AG451" s="142"/>
      <c r="AH451" s="142"/>
      <c r="AI451" s="142"/>
      <c r="AJ451" s="142"/>
      <c r="AK451" s="142"/>
      <c r="AL451" s="142"/>
      <c r="AM451" s="142"/>
      <c r="AN451" s="142"/>
      <c r="AO451" s="142"/>
      <c r="AP451" s="142"/>
    </row>
    <row r="452" ht="13.5" customHeight="1">
      <c r="A452" s="142"/>
      <c r="B452" s="142"/>
      <c r="C452" s="142"/>
      <c r="D452" s="142"/>
      <c r="E452" s="132"/>
      <c r="F452" s="131"/>
      <c r="G452" s="131"/>
      <c r="H452" s="131"/>
      <c r="I452" s="131"/>
      <c r="J452" s="131"/>
      <c r="K452" s="131"/>
      <c r="L452" s="131"/>
      <c r="M452" s="131"/>
      <c r="N452" s="131"/>
      <c r="O452" s="142"/>
      <c r="P452" s="142"/>
      <c r="Q452" s="142"/>
      <c r="R452" s="142"/>
      <c r="S452" s="142"/>
      <c r="T452" s="142"/>
      <c r="U452" s="142"/>
      <c r="V452" s="142"/>
      <c r="W452" s="142"/>
      <c r="X452" s="142"/>
      <c r="Y452" s="142"/>
      <c r="Z452" s="142"/>
      <c r="AA452" s="131"/>
      <c r="AB452" s="142"/>
      <c r="AC452" s="142"/>
      <c r="AD452" s="142"/>
      <c r="AE452" s="142"/>
      <c r="AF452" s="142"/>
      <c r="AG452" s="142"/>
      <c r="AH452" s="142"/>
      <c r="AI452" s="142"/>
      <c r="AJ452" s="142"/>
      <c r="AK452" s="142"/>
      <c r="AL452" s="142"/>
      <c r="AM452" s="142"/>
      <c r="AN452" s="142"/>
      <c r="AO452" s="142"/>
      <c r="AP452" s="142"/>
    </row>
    <row r="453" ht="13.5" customHeight="1">
      <c r="A453" s="142"/>
      <c r="B453" s="142"/>
      <c r="C453" s="142"/>
      <c r="D453" s="142"/>
      <c r="E453" s="132"/>
      <c r="F453" s="131"/>
      <c r="G453" s="131"/>
      <c r="H453" s="131"/>
      <c r="I453" s="131"/>
      <c r="J453" s="131"/>
      <c r="K453" s="131"/>
      <c r="L453" s="131"/>
      <c r="M453" s="131"/>
      <c r="N453" s="131"/>
      <c r="O453" s="142"/>
      <c r="P453" s="142"/>
      <c r="Q453" s="142"/>
      <c r="R453" s="142"/>
      <c r="S453" s="142"/>
      <c r="T453" s="142"/>
      <c r="U453" s="142"/>
      <c r="V453" s="142"/>
      <c r="W453" s="142"/>
      <c r="X453" s="142"/>
      <c r="Y453" s="142"/>
      <c r="Z453" s="142"/>
      <c r="AA453" s="131"/>
      <c r="AB453" s="142"/>
      <c r="AC453" s="142"/>
      <c r="AD453" s="142"/>
      <c r="AE453" s="142"/>
      <c r="AF453" s="142"/>
      <c r="AG453" s="142"/>
      <c r="AH453" s="142"/>
      <c r="AI453" s="142"/>
      <c r="AJ453" s="142"/>
      <c r="AK453" s="142"/>
      <c r="AL453" s="142"/>
      <c r="AM453" s="142"/>
      <c r="AN453" s="142"/>
      <c r="AO453" s="142"/>
      <c r="AP453" s="142"/>
    </row>
    <row r="454" ht="13.5" customHeight="1">
      <c r="A454" s="142"/>
      <c r="B454" s="142"/>
      <c r="C454" s="142"/>
      <c r="D454" s="142"/>
      <c r="E454" s="132"/>
      <c r="F454" s="131"/>
      <c r="G454" s="131"/>
      <c r="H454" s="131"/>
      <c r="I454" s="131"/>
      <c r="J454" s="131"/>
      <c r="K454" s="131"/>
      <c r="L454" s="131"/>
      <c r="M454" s="131"/>
      <c r="N454" s="131"/>
      <c r="O454" s="142"/>
      <c r="P454" s="142"/>
      <c r="Q454" s="142"/>
      <c r="R454" s="142"/>
      <c r="S454" s="142"/>
      <c r="T454" s="142"/>
      <c r="U454" s="142"/>
      <c r="V454" s="142"/>
      <c r="W454" s="142"/>
      <c r="X454" s="142"/>
      <c r="Y454" s="142"/>
      <c r="Z454" s="142"/>
      <c r="AA454" s="131"/>
      <c r="AB454" s="142"/>
      <c r="AC454" s="142"/>
      <c r="AD454" s="142"/>
      <c r="AE454" s="142"/>
      <c r="AF454" s="142"/>
      <c r="AG454" s="142"/>
      <c r="AH454" s="142"/>
      <c r="AI454" s="142"/>
      <c r="AJ454" s="142"/>
      <c r="AK454" s="142"/>
      <c r="AL454" s="142"/>
      <c r="AM454" s="142"/>
      <c r="AN454" s="142"/>
      <c r="AO454" s="142"/>
      <c r="AP454" s="142"/>
    </row>
    <row r="455" ht="13.5" customHeight="1">
      <c r="A455" s="142"/>
      <c r="B455" s="142"/>
      <c r="C455" s="142"/>
      <c r="D455" s="142"/>
      <c r="E455" s="132"/>
      <c r="F455" s="131"/>
      <c r="G455" s="131"/>
      <c r="H455" s="131"/>
      <c r="I455" s="131"/>
      <c r="J455" s="131"/>
      <c r="K455" s="131"/>
      <c r="L455" s="131"/>
      <c r="M455" s="131"/>
      <c r="N455" s="131"/>
      <c r="O455" s="142"/>
      <c r="P455" s="142"/>
      <c r="Q455" s="142"/>
      <c r="R455" s="142"/>
      <c r="S455" s="142"/>
      <c r="T455" s="142"/>
      <c r="U455" s="142"/>
      <c r="V455" s="142"/>
      <c r="W455" s="142"/>
      <c r="X455" s="142"/>
      <c r="Y455" s="142"/>
      <c r="Z455" s="142"/>
      <c r="AA455" s="131"/>
      <c r="AB455" s="142"/>
      <c r="AC455" s="142"/>
      <c r="AD455" s="142"/>
      <c r="AE455" s="142"/>
      <c r="AF455" s="142"/>
      <c r="AG455" s="142"/>
      <c r="AH455" s="142"/>
      <c r="AI455" s="142"/>
      <c r="AJ455" s="142"/>
      <c r="AK455" s="142"/>
      <c r="AL455" s="142"/>
      <c r="AM455" s="142"/>
      <c r="AN455" s="142"/>
      <c r="AO455" s="142"/>
      <c r="AP455" s="142"/>
    </row>
    <row r="456" ht="13.5" customHeight="1">
      <c r="A456" s="142"/>
      <c r="B456" s="142"/>
      <c r="C456" s="142"/>
      <c r="D456" s="142"/>
      <c r="E456" s="132"/>
      <c r="F456" s="131"/>
      <c r="G456" s="131"/>
      <c r="H456" s="131"/>
      <c r="I456" s="131"/>
      <c r="J456" s="131"/>
      <c r="K456" s="131"/>
      <c r="L456" s="131"/>
      <c r="M456" s="131"/>
      <c r="N456" s="131"/>
      <c r="O456" s="142"/>
      <c r="P456" s="142"/>
      <c r="Q456" s="142"/>
      <c r="R456" s="142"/>
      <c r="S456" s="142"/>
      <c r="T456" s="142"/>
      <c r="U456" s="142"/>
      <c r="V456" s="142"/>
      <c r="W456" s="142"/>
      <c r="X456" s="142"/>
      <c r="Y456" s="142"/>
      <c r="Z456" s="142"/>
      <c r="AA456" s="131"/>
      <c r="AB456" s="142"/>
      <c r="AC456" s="142"/>
      <c r="AD456" s="142"/>
      <c r="AE456" s="142"/>
      <c r="AF456" s="142"/>
      <c r="AG456" s="142"/>
      <c r="AH456" s="142"/>
      <c r="AI456" s="142"/>
      <c r="AJ456" s="142"/>
      <c r="AK456" s="142"/>
      <c r="AL456" s="142"/>
      <c r="AM456" s="142"/>
      <c r="AN456" s="142"/>
      <c r="AO456" s="142"/>
      <c r="AP456" s="142"/>
    </row>
    <row r="457" ht="13.5" customHeight="1">
      <c r="A457" s="142"/>
      <c r="B457" s="142"/>
      <c r="C457" s="142"/>
      <c r="D457" s="142"/>
      <c r="E457" s="132"/>
      <c r="F457" s="131"/>
      <c r="G457" s="131"/>
      <c r="H457" s="131"/>
      <c r="I457" s="131"/>
      <c r="J457" s="131"/>
      <c r="K457" s="131"/>
      <c r="L457" s="131"/>
      <c r="M457" s="131"/>
      <c r="N457" s="131"/>
      <c r="O457" s="142"/>
      <c r="P457" s="142"/>
      <c r="Q457" s="142"/>
      <c r="R457" s="142"/>
      <c r="S457" s="142"/>
      <c r="T457" s="142"/>
      <c r="U457" s="142"/>
      <c r="V457" s="142"/>
      <c r="W457" s="142"/>
      <c r="X457" s="142"/>
      <c r="Y457" s="142"/>
      <c r="Z457" s="142"/>
      <c r="AA457" s="131"/>
      <c r="AB457" s="142"/>
      <c r="AC457" s="142"/>
      <c r="AD457" s="142"/>
      <c r="AE457" s="142"/>
      <c r="AF457" s="142"/>
      <c r="AG457" s="142"/>
      <c r="AH457" s="142"/>
      <c r="AI457" s="142"/>
      <c r="AJ457" s="142"/>
      <c r="AK457" s="142"/>
      <c r="AL457" s="142"/>
      <c r="AM457" s="142"/>
      <c r="AN457" s="142"/>
      <c r="AO457" s="142"/>
      <c r="AP457" s="142"/>
    </row>
    <row r="458" ht="13.5" customHeight="1">
      <c r="A458" s="142"/>
      <c r="B458" s="142"/>
      <c r="C458" s="142"/>
      <c r="D458" s="142"/>
      <c r="E458" s="132"/>
      <c r="F458" s="131"/>
      <c r="G458" s="131"/>
      <c r="H458" s="131"/>
      <c r="I458" s="131"/>
      <c r="J458" s="131"/>
      <c r="K458" s="131"/>
      <c r="L458" s="131"/>
      <c r="M458" s="131"/>
      <c r="N458" s="131"/>
      <c r="O458" s="142"/>
      <c r="P458" s="142"/>
      <c r="Q458" s="142"/>
      <c r="R458" s="142"/>
      <c r="S458" s="142"/>
      <c r="T458" s="142"/>
      <c r="U458" s="142"/>
      <c r="V458" s="142"/>
      <c r="W458" s="142"/>
      <c r="X458" s="142"/>
      <c r="Y458" s="142"/>
      <c r="Z458" s="142"/>
      <c r="AA458" s="131"/>
      <c r="AB458" s="142"/>
      <c r="AC458" s="142"/>
      <c r="AD458" s="142"/>
      <c r="AE458" s="142"/>
      <c r="AF458" s="142"/>
      <c r="AG458" s="142"/>
      <c r="AH458" s="142"/>
      <c r="AI458" s="142"/>
      <c r="AJ458" s="142"/>
      <c r="AK458" s="142"/>
      <c r="AL458" s="142"/>
      <c r="AM458" s="142"/>
      <c r="AN458" s="142"/>
      <c r="AO458" s="142"/>
      <c r="AP458" s="142"/>
    </row>
    <row r="459" ht="13.5" customHeight="1">
      <c r="A459" s="142"/>
      <c r="B459" s="142"/>
      <c r="C459" s="142"/>
      <c r="D459" s="142"/>
      <c r="E459" s="132"/>
      <c r="F459" s="131"/>
      <c r="G459" s="131"/>
      <c r="H459" s="131"/>
      <c r="I459" s="131"/>
      <c r="J459" s="131"/>
      <c r="K459" s="131"/>
      <c r="L459" s="131"/>
      <c r="M459" s="131"/>
      <c r="N459" s="131"/>
      <c r="O459" s="142"/>
      <c r="P459" s="142"/>
      <c r="Q459" s="142"/>
      <c r="R459" s="142"/>
      <c r="S459" s="142"/>
      <c r="T459" s="142"/>
      <c r="U459" s="142"/>
      <c r="V459" s="142"/>
      <c r="W459" s="142"/>
      <c r="X459" s="142"/>
      <c r="Y459" s="142"/>
      <c r="Z459" s="142"/>
      <c r="AA459" s="131"/>
      <c r="AB459" s="142"/>
      <c r="AC459" s="142"/>
      <c r="AD459" s="142"/>
      <c r="AE459" s="142"/>
      <c r="AF459" s="142"/>
      <c r="AG459" s="142"/>
      <c r="AH459" s="142"/>
      <c r="AI459" s="142"/>
      <c r="AJ459" s="142"/>
      <c r="AK459" s="142"/>
      <c r="AL459" s="142"/>
      <c r="AM459" s="142"/>
      <c r="AN459" s="142"/>
      <c r="AO459" s="142"/>
      <c r="AP459" s="142"/>
    </row>
    <row r="460" ht="13.5" customHeight="1">
      <c r="A460" s="142"/>
      <c r="B460" s="142"/>
      <c r="C460" s="142"/>
      <c r="D460" s="142"/>
      <c r="E460" s="132"/>
      <c r="F460" s="131"/>
      <c r="G460" s="131"/>
      <c r="H460" s="131"/>
      <c r="I460" s="131"/>
      <c r="J460" s="131"/>
      <c r="K460" s="131"/>
      <c r="L460" s="131"/>
      <c r="M460" s="131"/>
      <c r="N460" s="131"/>
      <c r="O460" s="142"/>
      <c r="P460" s="142"/>
      <c r="Q460" s="142"/>
      <c r="R460" s="142"/>
      <c r="S460" s="142"/>
      <c r="T460" s="142"/>
      <c r="U460" s="142"/>
      <c r="V460" s="142"/>
      <c r="W460" s="142"/>
      <c r="X460" s="142"/>
      <c r="Y460" s="142"/>
      <c r="Z460" s="142"/>
      <c r="AA460" s="131"/>
      <c r="AB460" s="142"/>
      <c r="AC460" s="142"/>
      <c r="AD460" s="142"/>
      <c r="AE460" s="142"/>
      <c r="AF460" s="142"/>
      <c r="AG460" s="142"/>
      <c r="AH460" s="142"/>
      <c r="AI460" s="142"/>
      <c r="AJ460" s="142"/>
      <c r="AK460" s="142"/>
      <c r="AL460" s="142"/>
      <c r="AM460" s="142"/>
      <c r="AN460" s="142"/>
      <c r="AO460" s="142"/>
      <c r="AP460" s="142"/>
    </row>
    <row r="461" ht="13.5" customHeight="1">
      <c r="A461" s="142"/>
      <c r="B461" s="142"/>
      <c r="C461" s="142"/>
      <c r="D461" s="142"/>
      <c r="E461" s="132"/>
      <c r="F461" s="131"/>
      <c r="G461" s="131"/>
      <c r="H461" s="131"/>
      <c r="I461" s="131"/>
      <c r="J461" s="131"/>
      <c r="K461" s="131"/>
      <c r="L461" s="131"/>
      <c r="M461" s="131"/>
      <c r="N461" s="131"/>
      <c r="O461" s="142"/>
      <c r="P461" s="142"/>
      <c r="Q461" s="142"/>
      <c r="R461" s="142"/>
      <c r="S461" s="142"/>
      <c r="T461" s="142"/>
      <c r="U461" s="142"/>
      <c r="V461" s="142"/>
      <c r="W461" s="142"/>
      <c r="X461" s="142"/>
      <c r="Y461" s="142"/>
      <c r="Z461" s="142"/>
      <c r="AA461" s="131"/>
      <c r="AB461" s="142"/>
      <c r="AC461" s="142"/>
      <c r="AD461" s="142"/>
      <c r="AE461" s="142"/>
      <c r="AF461" s="142"/>
      <c r="AG461" s="142"/>
      <c r="AH461" s="142"/>
      <c r="AI461" s="142"/>
      <c r="AJ461" s="142"/>
      <c r="AK461" s="142"/>
      <c r="AL461" s="142"/>
      <c r="AM461" s="142"/>
      <c r="AN461" s="142"/>
      <c r="AO461" s="142"/>
      <c r="AP461" s="142"/>
    </row>
    <row r="462" ht="13.5" customHeight="1">
      <c r="A462" s="142"/>
      <c r="B462" s="142"/>
      <c r="C462" s="142"/>
      <c r="D462" s="142"/>
      <c r="E462" s="132"/>
      <c r="F462" s="131"/>
      <c r="G462" s="131"/>
      <c r="H462" s="131"/>
      <c r="I462" s="131"/>
      <c r="J462" s="131"/>
      <c r="K462" s="131"/>
      <c r="L462" s="131"/>
      <c r="M462" s="131"/>
      <c r="N462" s="131"/>
      <c r="O462" s="142"/>
      <c r="P462" s="142"/>
      <c r="Q462" s="142"/>
      <c r="R462" s="142"/>
      <c r="S462" s="142"/>
      <c r="T462" s="142"/>
      <c r="U462" s="142"/>
      <c r="V462" s="142"/>
      <c r="W462" s="142"/>
      <c r="X462" s="142"/>
      <c r="Y462" s="142"/>
      <c r="Z462" s="142"/>
      <c r="AA462" s="131"/>
      <c r="AB462" s="142"/>
      <c r="AC462" s="142"/>
      <c r="AD462" s="142"/>
      <c r="AE462" s="142"/>
      <c r="AF462" s="142"/>
      <c r="AG462" s="142"/>
      <c r="AH462" s="142"/>
      <c r="AI462" s="142"/>
      <c r="AJ462" s="142"/>
      <c r="AK462" s="142"/>
      <c r="AL462" s="142"/>
      <c r="AM462" s="142"/>
      <c r="AN462" s="142"/>
      <c r="AO462" s="142"/>
      <c r="AP462" s="142"/>
    </row>
    <row r="463" ht="13.5" customHeight="1">
      <c r="A463" s="142"/>
      <c r="B463" s="142"/>
      <c r="C463" s="142"/>
      <c r="D463" s="142"/>
      <c r="E463" s="132"/>
      <c r="F463" s="131"/>
      <c r="G463" s="131"/>
      <c r="H463" s="131"/>
      <c r="I463" s="131"/>
      <c r="J463" s="131"/>
      <c r="K463" s="131"/>
      <c r="L463" s="131"/>
      <c r="M463" s="131"/>
      <c r="N463" s="131"/>
      <c r="O463" s="142"/>
      <c r="P463" s="142"/>
      <c r="Q463" s="142"/>
      <c r="R463" s="142"/>
      <c r="S463" s="142"/>
      <c r="T463" s="142"/>
      <c r="U463" s="142"/>
      <c r="V463" s="142"/>
      <c r="W463" s="142"/>
      <c r="X463" s="142"/>
      <c r="Y463" s="142"/>
      <c r="Z463" s="142"/>
      <c r="AA463" s="131"/>
      <c r="AB463" s="142"/>
      <c r="AC463" s="142"/>
      <c r="AD463" s="142"/>
      <c r="AE463" s="142"/>
      <c r="AF463" s="142"/>
      <c r="AG463" s="142"/>
      <c r="AH463" s="142"/>
      <c r="AI463" s="142"/>
      <c r="AJ463" s="142"/>
      <c r="AK463" s="142"/>
      <c r="AL463" s="142"/>
      <c r="AM463" s="142"/>
      <c r="AN463" s="142"/>
      <c r="AO463" s="142"/>
      <c r="AP463" s="142"/>
    </row>
    <row r="464" ht="13.5" customHeight="1">
      <c r="A464" s="142"/>
      <c r="B464" s="142"/>
      <c r="C464" s="142"/>
      <c r="D464" s="142"/>
      <c r="E464" s="132"/>
      <c r="F464" s="131"/>
      <c r="G464" s="131"/>
      <c r="H464" s="131"/>
      <c r="I464" s="131"/>
      <c r="J464" s="131"/>
      <c r="K464" s="131"/>
      <c r="L464" s="131"/>
      <c r="M464" s="131"/>
      <c r="N464" s="131"/>
      <c r="O464" s="142"/>
      <c r="P464" s="142"/>
      <c r="Q464" s="142"/>
      <c r="R464" s="142"/>
      <c r="S464" s="142"/>
      <c r="T464" s="142"/>
      <c r="U464" s="142"/>
      <c r="V464" s="142"/>
      <c r="W464" s="142"/>
      <c r="X464" s="142"/>
      <c r="Y464" s="142"/>
      <c r="Z464" s="142"/>
      <c r="AA464" s="131"/>
      <c r="AB464" s="142"/>
      <c r="AC464" s="142"/>
      <c r="AD464" s="142"/>
      <c r="AE464" s="142"/>
      <c r="AF464" s="142"/>
      <c r="AG464" s="142"/>
      <c r="AH464" s="142"/>
      <c r="AI464" s="142"/>
      <c r="AJ464" s="142"/>
      <c r="AK464" s="142"/>
      <c r="AL464" s="142"/>
      <c r="AM464" s="142"/>
      <c r="AN464" s="142"/>
      <c r="AO464" s="142"/>
      <c r="AP464" s="142"/>
    </row>
    <row r="465" ht="13.5" customHeight="1">
      <c r="A465" s="142"/>
      <c r="B465" s="142"/>
      <c r="C465" s="142"/>
      <c r="D465" s="142"/>
      <c r="E465" s="132"/>
      <c r="F465" s="131"/>
      <c r="G465" s="131"/>
      <c r="H465" s="131"/>
      <c r="I465" s="131"/>
      <c r="J465" s="131"/>
      <c r="K465" s="131"/>
      <c r="L465" s="131"/>
      <c r="M465" s="131"/>
      <c r="N465" s="131"/>
      <c r="O465" s="142"/>
      <c r="P465" s="142"/>
      <c r="Q465" s="142"/>
      <c r="R465" s="142"/>
      <c r="S465" s="142"/>
      <c r="T465" s="142"/>
      <c r="U465" s="142"/>
      <c r="V465" s="142"/>
      <c r="W465" s="142"/>
      <c r="X465" s="142"/>
      <c r="Y465" s="142"/>
      <c r="Z465" s="142"/>
      <c r="AA465" s="131"/>
      <c r="AB465" s="142"/>
      <c r="AC465" s="142"/>
      <c r="AD465" s="142"/>
      <c r="AE465" s="142"/>
      <c r="AF465" s="142"/>
      <c r="AG465" s="142"/>
      <c r="AH465" s="142"/>
      <c r="AI465" s="142"/>
      <c r="AJ465" s="142"/>
      <c r="AK465" s="142"/>
      <c r="AL465" s="142"/>
      <c r="AM465" s="142"/>
      <c r="AN465" s="142"/>
      <c r="AO465" s="142"/>
      <c r="AP465" s="142"/>
    </row>
    <row r="466" ht="13.5" customHeight="1">
      <c r="A466" s="142"/>
      <c r="B466" s="142"/>
      <c r="C466" s="142"/>
      <c r="D466" s="142"/>
      <c r="E466" s="132"/>
      <c r="F466" s="131"/>
      <c r="G466" s="131"/>
      <c r="H466" s="131"/>
      <c r="I466" s="131"/>
      <c r="J466" s="131"/>
      <c r="K466" s="131"/>
      <c r="L466" s="131"/>
      <c r="M466" s="131"/>
      <c r="N466" s="131"/>
      <c r="O466" s="142"/>
      <c r="P466" s="142"/>
      <c r="Q466" s="142"/>
      <c r="R466" s="142"/>
      <c r="S466" s="142"/>
      <c r="T466" s="142"/>
      <c r="U466" s="142"/>
      <c r="V466" s="142"/>
      <c r="W466" s="142"/>
      <c r="X466" s="142"/>
      <c r="Y466" s="142"/>
      <c r="Z466" s="142"/>
      <c r="AA466" s="131"/>
      <c r="AB466" s="142"/>
      <c r="AC466" s="142"/>
      <c r="AD466" s="142"/>
      <c r="AE466" s="142"/>
      <c r="AF466" s="142"/>
      <c r="AG466" s="142"/>
      <c r="AH466" s="142"/>
      <c r="AI466" s="142"/>
      <c r="AJ466" s="142"/>
      <c r="AK466" s="142"/>
      <c r="AL466" s="142"/>
      <c r="AM466" s="142"/>
      <c r="AN466" s="142"/>
      <c r="AO466" s="142"/>
      <c r="AP466" s="142"/>
    </row>
    <row r="467" ht="13.5" customHeight="1">
      <c r="A467" s="142"/>
      <c r="B467" s="142"/>
      <c r="C467" s="142"/>
      <c r="D467" s="142"/>
      <c r="E467" s="132"/>
      <c r="F467" s="131"/>
      <c r="G467" s="131"/>
      <c r="H467" s="131"/>
      <c r="I467" s="131"/>
      <c r="J467" s="131"/>
      <c r="K467" s="131"/>
      <c r="L467" s="131"/>
      <c r="M467" s="131"/>
      <c r="N467" s="131"/>
      <c r="O467" s="142"/>
      <c r="P467" s="142"/>
      <c r="Q467" s="142"/>
      <c r="R467" s="142"/>
      <c r="S467" s="142"/>
      <c r="T467" s="142"/>
      <c r="U467" s="142"/>
      <c r="V467" s="142"/>
      <c r="W467" s="142"/>
      <c r="X467" s="142"/>
      <c r="Y467" s="142"/>
      <c r="Z467" s="142"/>
      <c r="AA467" s="131"/>
      <c r="AB467" s="142"/>
      <c r="AC467" s="142"/>
      <c r="AD467" s="142"/>
      <c r="AE467" s="142"/>
      <c r="AF467" s="142"/>
      <c r="AG467" s="142"/>
      <c r="AH467" s="142"/>
      <c r="AI467" s="142"/>
      <c r="AJ467" s="142"/>
      <c r="AK467" s="142"/>
      <c r="AL467" s="142"/>
      <c r="AM467" s="142"/>
      <c r="AN467" s="142"/>
      <c r="AO467" s="142"/>
      <c r="AP467" s="142"/>
    </row>
    <row r="468" ht="13.5" customHeight="1">
      <c r="A468" s="142"/>
      <c r="B468" s="142"/>
      <c r="C468" s="142"/>
      <c r="D468" s="142"/>
      <c r="E468" s="132"/>
      <c r="F468" s="131"/>
      <c r="G468" s="131"/>
      <c r="H468" s="131"/>
      <c r="I468" s="131"/>
      <c r="J468" s="131"/>
      <c r="K468" s="131"/>
      <c r="L468" s="131"/>
      <c r="M468" s="131"/>
      <c r="N468" s="131"/>
      <c r="O468" s="142"/>
      <c r="P468" s="142"/>
      <c r="Q468" s="142"/>
      <c r="R468" s="142"/>
      <c r="S468" s="142"/>
      <c r="T468" s="142"/>
      <c r="U468" s="142"/>
      <c r="V468" s="142"/>
      <c r="W468" s="142"/>
      <c r="X468" s="142"/>
      <c r="Y468" s="142"/>
      <c r="Z468" s="142"/>
      <c r="AA468" s="131"/>
      <c r="AB468" s="142"/>
      <c r="AC468" s="142"/>
      <c r="AD468" s="142"/>
      <c r="AE468" s="142"/>
      <c r="AF468" s="142"/>
      <c r="AG468" s="142"/>
      <c r="AH468" s="142"/>
      <c r="AI468" s="142"/>
      <c r="AJ468" s="142"/>
      <c r="AK468" s="142"/>
      <c r="AL468" s="142"/>
      <c r="AM468" s="142"/>
      <c r="AN468" s="142"/>
      <c r="AO468" s="142"/>
      <c r="AP468" s="142"/>
    </row>
    <row r="469" ht="13.5" customHeight="1">
      <c r="A469" s="142"/>
      <c r="B469" s="142"/>
      <c r="C469" s="142"/>
      <c r="D469" s="142"/>
      <c r="E469" s="132"/>
      <c r="F469" s="131"/>
      <c r="G469" s="131"/>
      <c r="H469" s="131"/>
      <c r="I469" s="131"/>
      <c r="J469" s="131"/>
      <c r="K469" s="131"/>
      <c r="L469" s="131"/>
      <c r="M469" s="131"/>
      <c r="N469" s="131"/>
      <c r="O469" s="142"/>
      <c r="P469" s="142"/>
      <c r="Q469" s="142"/>
      <c r="R469" s="142"/>
      <c r="S469" s="142"/>
      <c r="T469" s="142"/>
      <c r="U469" s="142"/>
      <c r="V469" s="142"/>
      <c r="W469" s="142"/>
      <c r="X469" s="142"/>
      <c r="Y469" s="142"/>
      <c r="Z469" s="142"/>
      <c r="AA469" s="131"/>
      <c r="AB469" s="142"/>
      <c r="AC469" s="142"/>
      <c r="AD469" s="142"/>
      <c r="AE469" s="142"/>
      <c r="AF469" s="142"/>
      <c r="AG469" s="142"/>
      <c r="AH469" s="142"/>
      <c r="AI469" s="142"/>
      <c r="AJ469" s="142"/>
      <c r="AK469" s="142"/>
      <c r="AL469" s="142"/>
      <c r="AM469" s="142"/>
      <c r="AN469" s="142"/>
      <c r="AO469" s="142"/>
      <c r="AP469" s="142"/>
    </row>
    <row r="470" ht="13.5" customHeight="1">
      <c r="A470" s="142"/>
      <c r="B470" s="142"/>
      <c r="C470" s="142"/>
      <c r="D470" s="142"/>
      <c r="E470" s="132"/>
      <c r="F470" s="131"/>
      <c r="G470" s="131"/>
      <c r="H470" s="131"/>
      <c r="I470" s="131"/>
      <c r="J470" s="131"/>
      <c r="K470" s="131"/>
      <c r="L470" s="131"/>
      <c r="M470" s="131"/>
      <c r="N470" s="131"/>
      <c r="O470" s="142"/>
      <c r="P470" s="142"/>
      <c r="Q470" s="142"/>
      <c r="R470" s="142"/>
      <c r="S470" s="142"/>
      <c r="T470" s="142"/>
      <c r="U470" s="142"/>
      <c r="V470" s="142"/>
      <c r="W470" s="142"/>
      <c r="X470" s="142"/>
      <c r="Y470" s="142"/>
      <c r="Z470" s="142"/>
      <c r="AA470" s="131"/>
      <c r="AB470" s="142"/>
      <c r="AC470" s="142"/>
      <c r="AD470" s="142"/>
      <c r="AE470" s="142"/>
      <c r="AF470" s="142"/>
      <c r="AG470" s="142"/>
      <c r="AH470" s="142"/>
      <c r="AI470" s="142"/>
      <c r="AJ470" s="142"/>
      <c r="AK470" s="142"/>
      <c r="AL470" s="142"/>
      <c r="AM470" s="142"/>
      <c r="AN470" s="142"/>
      <c r="AO470" s="142"/>
      <c r="AP470" s="142"/>
    </row>
    <row r="471" ht="13.5" customHeight="1">
      <c r="A471" s="142"/>
      <c r="B471" s="142"/>
      <c r="C471" s="142"/>
      <c r="D471" s="142"/>
      <c r="E471" s="132"/>
      <c r="F471" s="131"/>
      <c r="G471" s="131"/>
      <c r="H471" s="131"/>
      <c r="I471" s="131"/>
      <c r="J471" s="131"/>
      <c r="K471" s="131"/>
      <c r="L471" s="131"/>
      <c r="M471" s="131"/>
      <c r="N471" s="131"/>
      <c r="O471" s="142"/>
      <c r="P471" s="142"/>
      <c r="Q471" s="142"/>
      <c r="R471" s="142"/>
      <c r="S471" s="142"/>
      <c r="T471" s="142"/>
      <c r="U471" s="142"/>
      <c r="V471" s="142"/>
      <c r="W471" s="142"/>
      <c r="X471" s="142"/>
      <c r="Y471" s="142"/>
      <c r="Z471" s="142"/>
      <c r="AA471" s="131"/>
      <c r="AB471" s="142"/>
      <c r="AC471" s="142"/>
      <c r="AD471" s="142"/>
      <c r="AE471" s="142"/>
      <c r="AF471" s="142"/>
      <c r="AG471" s="142"/>
      <c r="AH471" s="142"/>
      <c r="AI471" s="142"/>
      <c r="AJ471" s="142"/>
      <c r="AK471" s="142"/>
      <c r="AL471" s="142"/>
      <c r="AM471" s="142"/>
      <c r="AN471" s="142"/>
      <c r="AO471" s="142"/>
      <c r="AP471" s="142"/>
    </row>
    <row r="472" ht="13.5" customHeight="1">
      <c r="A472" s="142"/>
      <c r="B472" s="142"/>
      <c r="C472" s="142"/>
      <c r="D472" s="142"/>
      <c r="E472" s="132"/>
      <c r="F472" s="131"/>
      <c r="G472" s="131"/>
      <c r="H472" s="131"/>
      <c r="I472" s="131"/>
      <c r="J472" s="131"/>
      <c r="K472" s="131"/>
      <c r="L472" s="131"/>
      <c r="M472" s="131"/>
      <c r="N472" s="131"/>
      <c r="O472" s="142"/>
      <c r="P472" s="142"/>
      <c r="Q472" s="142"/>
      <c r="R472" s="142"/>
      <c r="S472" s="142"/>
      <c r="T472" s="142"/>
      <c r="U472" s="142"/>
      <c r="V472" s="142"/>
      <c r="W472" s="142"/>
      <c r="X472" s="142"/>
      <c r="Y472" s="142"/>
      <c r="Z472" s="142"/>
      <c r="AA472" s="131"/>
      <c r="AB472" s="142"/>
      <c r="AC472" s="142"/>
      <c r="AD472" s="142"/>
      <c r="AE472" s="142"/>
      <c r="AF472" s="142"/>
      <c r="AG472" s="142"/>
      <c r="AH472" s="142"/>
      <c r="AI472" s="142"/>
      <c r="AJ472" s="142"/>
      <c r="AK472" s="142"/>
      <c r="AL472" s="142"/>
      <c r="AM472" s="142"/>
      <c r="AN472" s="142"/>
      <c r="AO472" s="142"/>
      <c r="AP472" s="142"/>
    </row>
    <row r="473" ht="13.5" customHeight="1">
      <c r="A473" s="142"/>
      <c r="B473" s="142"/>
      <c r="C473" s="142"/>
      <c r="D473" s="142"/>
      <c r="E473" s="132"/>
      <c r="F473" s="131"/>
      <c r="G473" s="131"/>
      <c r="H473" s="131"/>
      <c r="I473" s="131"/>
      <c r="J473" s="131"/>
      <c r="K473" s="131"/>
      <c r="L473" s="131"/>
      <c r="M473" s="131"/>
      <c r="N473" s="131"/>
      <c r="O473" s="142"/>
      <c r="P473" s="142"/>
      <c r="Q473" s="142"/>
      <c r="R473" s="142"/>
      <c r="S473" s="142"/>
      <c r="T473" s="142"/>
      <c r="U473" s="142"/>
      <c r="V473" s="142"/>
      <c r="W473" s="142"/>
      <c r="X473" s="142"/>
      <c r="Y473" s="142"/>
      <c r="Z473" s="142"/>
      <c r="AA473" s="131"/>
      <c r="AB473" s="142"/>
      <c r="AC473" s="142"/>
      <c r="AD473" s="142"/>
      <c r="AE473" s="142"/>
      <c r="AF473" s="142"/>
      <c r="AG473" s="142"/>
      <c r="AH473" s="142"/>
      <c r="AI473" s="142"/>
      <c r="AJ473" s="142"/>
      <c r="AK473" s="142"/>
      <c r="AL473" s="142"/>
      <c r="AM473" s="142"/>
      <c r="AN473" s="142"/>
      <c r="AO473" s="142"/>
      <c r="AP473" s="142"/>
    </row>
    <row r="474" ht="13.5" customHeight="1">
      <c r="A474" s="142"/>
      <c r="B474" s="142"/>
      <c r="C474" s="142"/>
      <c r="D474" s="142"/>
      <c r="E474" s="132"/>
      <c r="F474" s="131"/>
      <c r="G474" s="131"/>
      <c r="H474" s="131"/>
      <c r="I474" s="131"/>
      <c r="J474" s="131"/>
      <c r="K474" s="131"/>
      <c r="L474" s="131"/>
      <c r="M474" s="131"/>
      <c r="N474" s="131"/>
      <c r="O474" s="142"/>
      <c r="P474" s="142"/>
      <c r="Q474" s="142"/>
      <c r="R474" s="142"/>
      <c r="S474" s="142"/>
      <c r="T474" s="142"/>
      <c r="U474" s="142"/>
      <c r="V474" s="142"/>
      <c r="W474" s="142"/>
      <c r="X474" s="142"/>
      <c r="Y474" s="142"/>
      <c r="Z474" s="142"/>
      <c r="AA474" s="131"/>
      <c r="AB474" s="142"/>
      <c r="AC474" s="142"/>
      <c r="AD474" s="142"/>
      <c r="AE474" s="142"/>
      <c r="AF474" s="142"/>
      <c r="AG474" s="142"/>
      <c r="AH474" s="142"/>
      <c r="AI474" s="142"/>
      <c r="AJ474" s="142"/>
      <c r="AK474" s="142"/>
      <c r="AL474" s="142"/>
      <c r="AM474" s="142"/>
      <c r="AN474" s="142"/>
      <c r="AO474" s="142"/>
      <c r="AP474" s="142"/>
    </row>
    <row r="475" ht="13.5" customHeight="1">
      <c r="A475" s="142"/>
      <c r="B475" s="142"/>
      <c r="C475" s="142"/>
      <c r="D475" s="142"/>
      <c r="E475" s="132"/>
      <c r="F475" s="131"/>
      <c r="G475" s="131"/>
      <c r="H475" s="131"/>
      <c r="I475" s="131"/>
      <c r="J475" s="131"/>
      <c r="K475" s="131"/>
      <c r="L475" s="131"/>
      <c r="M475" s="131"/>
      <c r="N475" s="131"/>
      <c r="O475" s="142"/>
      <c r="P475" s="142"/>
      <c r="Q475" s="142"/>
      <c r="R475" s="142"/>
      <c r="S475" s="142"/>
      <c r="T475" s="142"/>
      <c r="U475" s="142"/>
      <c r="V475" s="142"/>
      <c r="W475" s="142"/>
      <c r="X475" s="142"/>
      <c r="Y475" s="142"/>
      <c r="Z475" s="142"/>
      <c r="AA475" s="131"/>
      <c r="AB475" s="142"/>
      <c r="AC475" s="142"/>
      <c r="AD475" s="142"/>
      <c r="AE475" s="142"/>
      <c r="AF475" s="142"/>
      <c r="AG475" s="142"/>
      <c r="AH475" s="142"/>
      <c r="AI475" s="142"/>
      <c r="AJ475" s="142"/>
      <c r="AK475" s="142"/>
      <c r="AL475" s="142"/>
      <c r="AM475" s="142"/>
      <c r="AN475" s="142"/>
      <c r="AO475" s="142"/>
      <c r="AP475" s="142"/>
    </row>
    <row r="476" ht="13.5" customHeight="1">
      <c r="A476" s="142"/>
      <c r="B476" s="142"/>
      <c r="C476" s="142"/>
      <c r="D476" s="142"/>
      <c r="E476" s="132"/>
      <c r="F476" s="131"/>
      <c r="G476" s="131"/>
      <c r="H476" s="131"/>
      <c r="I476" s="131"/>
      <c r="J476" s="131"/>
      <c r="K476" s="131"/>
      <c r="L476" s="131"/>
      <c r="M476" s="131"/>
      <c r="N476" s="131"/>
      <c r="O476" s="142"/>
      <c r="P476" s="142"/>
      <c r="Q476" s="142"/>
      <c r="R476" s="142"/>
      <c r="S476" s="142"/>
      <c r="T476" s="142"/>
      <c r="U476" s="142"/>
      <c r="V476" s="142"/>
      <c r="W476" s="142"/>
      <c r="X476" s="142"/>
      <c r="Y476" s="142"/>
      <c r="Z476" s="142"/>
      <c r="AA476" s="131"/>
      <c r="AB476" s="142"/>
      <c r="AC476" s="142"/>
      <c r="AD476" s="142"/>
      <c r="AE476" s="142"/>
      <c r="AF476" s="142"/>
      <c r="AG476" s="142"/>
      <c r="AH476" s="142"/>
      <c r="AI476" s="142"/>
      <c r="AJ476" s="142"/>
      <c r="AK476" s="142"/>
      <c r="AL476" s="142"/>
      <c r="AM476" s="142"/>
      <c r="AN476" s="142"/>
      <c r="AO476" s="142"/>
      <c r="AP476" s="142"/>
    </row>
    <row r="477" ht="13.5" customHeight="1">
      <c r="A477" s="142"/>
      <c r="B477" s="142"/>
      <c r="C477" s="142"/>
      <c r="D477" s="142"/>
      <c r="E477" s="132"/>
      <c r="F477" s="131"/>
      <c r="G477" s="131"/>
      <c r="H477" s="131"/>
      <c r="I477" s="131"/>
      <c r="J477" s="131"/>
      <c r="K477" s="131"/>
      <c r="L477" s="131"/>
      <c r="M477" s="131"/>
      <c r="N477" s="131"/>
      <c r="O477" s="142"/>
      <c r="P477" s="142"/>
      <c r="Q477" s="142"/>
      <c r="R477" s="142"/>
      <c r="S477" s="142"/>
      <c r="T477" s="142"/>
      <c r="U477" s="142"/>
      <c r="V477" s="142"/>
      <c r="W477" s="142"/>
      <c r="X477" s="142"/>
      <c r="Y477" s="142"/>
      <c r="Z477" s="142"/>
      <c r="AA477" s="131"/>
      <c r="AB477" s="142"/>
      <c r="AC477" s="142"/>
      <c r="AD477" s="142"/>
      <c r="AE477" s="142"/>
      <c r="AF477" s="142"/>
      <c r="AG477" s="142"/>
      <c r="AH477" s="142"/>
      <c r="AI477" s="142"/>
      <c r="AJ477" s="142"/>
      <c r="AK477" s="142"/>
      <c r="AL477" s="142"/>
      <c r="AM477" s="142"/>
      <c r="AN477" s="142"/>
      <c r="AO477" s="142"/>
      <c r="AP477" s="142"/>
    </row>
    <row r="478" ht="13.5" customHeight="1">
      <c r="A478" s="142"/>
      <c r="B478" s="142"/>
      <c r="C478" s="142"/>
      <c r="D478" s="142"/>
      <c r="E478" s="132"/>
      <c r="F478" s="131"/>
      <c r="G478" s="131"/>
      <c r="H478" s="131"/>
      <c r="I478" s="131"/>
      <c r="J478" s="131"/>
      <c r="K478" s="131"/>
      <c r="L478" s="131"/>
      <c r="M478" s="131"/>
      <c r="N478" s="131"/>
      <c r="O478" s="142"/>
      <c r="P478" s="142"/>
      <c r="Q478" s="142"/>
      <c r="R478" s="142"/>
      <c r="S478" s="142"/>
      <c r="T478" s="142"/>
      <c r="U478" s="142"/>
      <c r="V478" s="142"/>
      <c r="W478" s="142"/>
      <c r="X478" s="142"/>
      <c r="Y478" s="142"/>
      <c r="Z478" s="142"/>
      <c r="AA478" s="131"/>
      <c r="AB478" s="142"/>
      <c r="AC478" s="142"/>
      <c r="AD478" s="142"/>
      <c r="AE478" s="142"/>
      <c r="AF478" s="142"/>
      <c r="AG478" s="142"/>
      <c r="AH478" s="142"/>
      <c r="AI478" s="142"/>
      <c r="AJ478" s="142"/>
      <c r="AK478" s="142"/>
      <c r="AL478" s="142"/>
      <c r="AM478" s="142"/>
      <c r="AN478" s="142"/>
      <c r="AO478" s="142"/>
      <c r="AP478" s="142"/>
    </row>
    <row r="479" ht="13.5" customHeight="1">
      <c r="A479" s="142"/>
      <c r="B479" s="142"/>
      <c r="C479" s="142"/>
      <c r="D479" s="142"/>
      <c r="E479" s="132"/>
      <c r="F479" s="131"/>
      <c r="G479" s="131"/>
      <c r="H479" s="131"/>
      <c r="I479" s="131"/>
      <c r="J479" s="131"/>
      <c r="K479" s="131"/>
      <c r="L479" s="131"/>
      <c r="M479" s="131"/>
      <c r="N479" s="131"/>
      <c r="O479" s="142"/>
      <c r="P479" s="142"/>
      <c r="Q479" s="142"/>
      <c r="R479" s="142"/>
      <c r="S479" s="142"/>
      <c r="T479" s="142"/>
      <c r="U479" s="142"/>
      <c r="V479" s="142"/>
      <c r="W479" s="142"/>
      <c r="X479" s="142"/>
      <c r="Y479" s="142"/>
      <c r="Z479" s="142"/>
      <c r="AA479" s="131"/>
      <c r="AB479" s="142"/>
      <c r="AC479" s="142"/>
      <c r="AD479" s="142"/>
      <c r="AE479" s="142"/>
      <c r="AF479" s="142"/>
      <c r="AG479" s="142"/>
      <c r="AH479" s="142"/>
      <c r="AI479" s="142"/>
      <c r="AJ479" s="142"/>
      <c r="AK479" s="142"/>
      <c r="AL479" s="142"/>
      <c r="AM479" s="142"/>
      <c r="AN479" s="142"/>
      <c r="AO479" s="142"/>
      <c r="AP479" s="142"/>
    </row>
    <row r="480" ht="13.5" customHeight="1">
      <c r="A480" s="142"/>
      <c r="B480" s="142"/>
      <c r="C480" s="142"/>
      <c r="D480" s="142"/>
      <c r="E480" s="132"/>
      <c r="F480" s="131"/>
      <c r="G480" s="131"/>
      <c r="H480" s="131"/>
      <c r="I480" s="131"/>
      <c r="J480" s="131"/>
      <c r="K480" s="131"/>
      <c r="L480" s="131"/>
      <c r="M480" s="131"/>
      <c r="N480" s="131"/>
      <c r="O480" s="142"/>
      <c r="P480" s="142"/>
      <c r="Q480" s="142"/>
      <c r="R480" s="142"/>
      <c r="S480" s="142"/>
      <c r="T480" s="142"/>
      <c r="U480" s="142"/>
      <c r="V480" s="142"/>
      <c r="W480" s="142"/>
      <c r="X480" s="142"/>
      <c r="Y480" s="142"/>
      <c r="Z480" s="142"/>
      <c r="AA480" s="131"/>
      <c r="AB480" s="142"/>
      <c r="AC480" s="142"/>
      <c r="AD480" s="142"/>
      <c r="AE480" s="142"/>
      <c r="AF480" s="142"/>
      <c r="AG480" s="142"/>
      <c r="AH480" s="142"/>
      <c r="AI480" s="142"/>
      <c r="AJ480" s="142"/>
      <c r="AK480" s="142"/>
      <c r="AL480" s="142"/>
      <c r="AM480" s="142"/>
      <c r="AN480" s="142"/>
      <c r="AO480" s="142"/>
      <c r="AP480" s="142"/>
    </row>
    <row r="481" ht="13.5" customHeight="1">
      <c r="A481" s="142"/>
      <c r="B481" s="142"/>
      <c r="C481" s="142"/>
      <c r="D481" s="142"/>
      <c r="E481" s="132"/>
      <c r="F481" s="131"/>
      <c r="G481" s="131"/>
      <c r="H481" s="131"/>
      <c r="I481" s="131"/>
      <c r="J481" s="131"/>
      <c r="K481" s="131"/>
      <c r="L481" s="131"/>
      <c r="M481" s="131"/>
      <c r="N481" s="131"/>
      <c r="O481" s="142"/>
      <c r="P481" s="142"/>
      <c r="Q481" s="142"/>
      <c r="R481" s="142"/>
      <c r="S481" s="142"/>
      <c r="T481" s="142"/>
      <c r="U481" s="142"/>
      <c r="V481" s="142"/>
      <c r="W481" s="142"/>
      <c r="X481" s="142"/>
      <c r="Y481" s="142"/>
      <c r="Z481" s="142"/>
      <c r="AA481" s="131"/>
      <c r="AB481" s="142"/>
      <c r="AC481" s="142"/>
      <c r="AD481" s="142"/>
      <c r="AE481" s="142"/>
      <c r="AF481" s="142"/>
      <c r="AG481" s="142"/>
      <c r="AH481" s="142"/>
      <c r="AI481" s="142"/>
      <c r="AJ481" s="142"/>
      <c r="AK481" s="142"/>
      <c r="AL481" s="142"/>
      <c r="AM481" s="142"/>
      <c r="AN481" s="142"/>
      <c r="AO481" s="142"/>
      <c r="AP481" s="142"/>
    </row>
    <row r="482" ht="13.5" customHeight="1">
      <c r="A482" s="142"/>
      <c r="B482" s="142"/>
      <c r="C482" s="142"/>
      <c r="D482" s="142"/>
      <c r="E482" s="132"/>
      <c r="F482" s="131"/>
      <c r="G482" s="131"/>
      <c r="H482" s="131"/>
      <c r="I482" s="131"/>
      <c r="J482" s="131"/>
      <c r="K482" s="131"/>
      <c r="L482" s="131"/>
      <c r="M482" s="131"/>
      <c r="N482" s="131"/>
      <c r="O482" s="142"/>
      <c r="P482" s="142"/>
      <c r="Q482" s="142"/>
      <c r="R482" s="142"/>
      <c r="S482" s="142"/>
      <c r="T482" s="142"/>
      <c r="U482" s="142"/>
      <c r="V482" s="142"/>
      <c r="W482" s="142"/>
      <c r="X482" s="142"/>
      <c r="Y482" s="142"/>
      <c r="Z482" s="142"/>
      <c r="AA482" s="131"/>
      <c r="AB482" s="142"/>
      <c r="AC482" s="142"/>
      <c r="AD482" s="142"/>
      <c r="AE482" s="142"/>
      <c r="AF482" s="142"/>
      <c r="AG482" s="142"/>
      <c r="AH482" s="142"/>
      <c r="AI482" s="142"/>
      <c r="AJ482" s="142"/>
      <c r="AK482" s="142"/>
      <c r="AL482" s="142"/>
      <c r="AM482" s="142"/>
      <c r="AN482" s="142"/>
      <c r="AO482" s="142"/>
      <c r="AP482" s="142"/>
    </row>
    <row r="483" ht="13.5" customHeight="1">
      <c r="A483" s="142"/>
      <c r="B483" s="142"/>
      <c r="C483" s="142"/>
      <c r="D483" s="142"/>
      <c r="E483" s="132"/>
      <c r="F483" s="131"/>
      <c r="G483" s="131"/>
      <c r="H483" s="131"/>
      <c r="I483" s="131"/>
      <c r="J483" s="131"/>
      <c r="K483" s="131"/>
      <c r="L483" s="131"/>
      <c r="M483" s="131"/>
      <c r="N483" s="131"/>
      <c r="O483" s="142"/>
      <c r="P483" s="142"/>
      <c r="Q483" s="142"/>
      <c r="R483" s="142"/>
      <c r="S483" s="142"/>
      <c r="T483" s="142"/>
      <c r="U483" s="142"/>
      <c r="V483" s="142"/>
      <c r="W483" s="142"/>
      <c r="X483" s="142"/>
      <c r="Y483" s="142"/>
      <c r="Z483" s="142"/>
      <c r="AA483" s="131"/>
      <c r="AB483" s="142"/>
      <c r="AC483" s="142"/>
      <c r="AD483" s="142"/>
      <c r="AE483" s="142"/>
      <c r="AF483" s="142"/>
      <c r="AG483" s="142"/>
      <c r="AH483" s="142"/>
      <c r="AI483" s="142"/>
      <c r="AJ483" s="142"/>
      <c r="AK483" s="142"/>
      <c r="AL483" s="142"/>
      <c r="AM483" s="142"/>
      <c r="AN483" s="142"/>
      <c r="AO483" s="142"/>
      <c r="AP483" s="142"/>
    </row>
    <row r="484" ht="13.5" customHeight="1">
      <c r="A484" s="142"/>
      <c r="B484" s="142"/>
      <c r="C484" s="142"/>
      <c r="D484" s="142"/>
      <c r="E484" s="132"/>
      <c r="F484" s="131"/>
      <c r="G484" s="131"/>
      <c r="H484" s="131"/>
      <c r="I484" s="131"/>
      <c r="J484" s="131"/>
      <c r="K484" s="131"/>
      <c r="L484" s="131"/>
      <c r="M484" s="131"/>
      <c r="N484" s="131"/>
      <c r="O484" s="142"/>
      <c r="P484" s="142"/>
      <c r="Q484" s="142"/>
      <c r="R484" s="142"/>
      <c r="S484" s="142"/>
      <c r="T484" s="142"/>
      <c r="U484" s="142"/>
      <c r="V484" s="142"/>
      <c r="W484" s="142"/>
      <c r="X484" s="142"/>
      <c r="Y484" s="142"/>
      <c r="Z484" s="142"/>
      <c r="AA484" s="131"/>
      <c r="AB484" s="142"/>
      <c r="AC484" s="142"/>
      <c r="AD484" s="142"/>
      <c r="AE484" s="142"/>
      <c r="AF484" s="142"/>
      <c r="AG484" s="142"/>
      <c r="AH484" s="142"/>
      <c r="AI484" s="142"/>
      <c r="AJ484" s="142"/>
      <c r="AK484" s="142"/>
      <c r="AL484" s="142"/>
      <c r="AM484" s="142"/>
      <c r="AN484" s="142"/>
      <c r="AO484" s="142"/>
      <c r="AP484" s="142"/>
    </row>
    <row r="485" ht="13.5" customHeight="1">
      <c r="A485" s="142"/>
      <c r="B485" s="142"/>
      <c r="C485" s="142"/>
      <c r="D485" s="142"/>
      <c r="E485" s="132"/>
      <c r="F485" s="131"/>
      <c r="G485" s="131"/>
      <c r="H485" s="131"/>
      <c r="I485" s="131"/>
      <c r="J485" s="131"/>
      <c r="K485" s="131"/>
      <c r="L485" s="131"/>
      <c r="M485" s="131"/>
      <c r="N485" s="131"/>
      <c r="O485" s="142"/>
      <c r="P485" s="142"/>
      <c r="Q485" s="142"/>
      <c r="R485" s="142"/>
      <c r="S485" s="142"/>
      <c r="T485" s="142"/>
      <c r="U485" s="142"/>
      <c r="V485" s="142"/>
      <c r="W485" s="142"/>
      <c r="X485" s="142"/>
      <c r="Y485" s="142"/>
      <c r="Z485" s="142"/>
      <c r="AA485" s="131"/>
      <c r="AB485" s="142"/>
      <c r="AC485" s="142"/>
      <c r="AD485" s="142"/>
      <c r="AE485" s="142"/>
      <c r="AF485" s="142"/>
      <c r="AG485" s="142"/>
      <c r="AH485" s="142"/>
      <c r="AI485" s="142"/>
      <c r="AJ485" s="142"/>
      <c r="AK485" s="142"/>
      <c r="AL485" s="142"/>
      <c r="AM485" s="142"/>
      <c r="AN485" s="142"/>
      <c r="AO485" s="142"/>
      <c r="AP485" s="142"/>
    </row>
    <row r="486" ht="13.5" customHeight="1">
      <c r="A486" s="142"/>
      <c r="B486" s="142"/>
      <c r="C486" s="142"/>
      <c r="D486" s="142"/>
      <c r="E486" s="132"/>
      <c r="F486" s="131"/>
      <c r="G486" s="131"/>
      <c r="H486" s="131"/>
      <c r="I486" s="131"/>
      <c r="J486" s="131"/>
      <c r="K486" s="131"/>
      <c r="L486" s="131"/>
      <c r="M486" s="131"/>
      <c r="N486" s="131"/>
      <c r="O486" s="142"/>
      <c r="P486" s="142"/>
      <c r="Q486" s="142"/>
      <c r="R486" s="142"/>
      <c r="S486" s="142"/>
      <c r="T486" s="142"/>
      <c r="U486" s="142"/>
      <c r="V486" s="142"/>
      <c r="W486" s="142"/>
      <c r="X486" s="142"/>
      <c r="Y486" s="142"/>
      <c r="Z486" s="142"/>
      <c r="AA486" s="131"/>
      <c r="AB486" s="142"/>
      <c r="AC486" s="142"/>
      <c r="AD486" s="142"/>
      <c r="AE486" s="142"/>
      <c r="AF486" s="142"/>
      <c r="AG486" s="142"/>
      <c r="AH486" s="142"/>
      <c r="AI486" s="142"/>
      <c r="AJ486" s="142"/>
      <c r="AK486" s="142"/>
      <c r="AL486" s="142"/>
      <c r="AM486" s="142"/>
      <c r="AN486" s="142"/>
      <c r="AO486" s="142"/>
      <c r="AP486" s="142"/>
    </row>
    <row r="487" ht="13.5" customHeight="1">
      <c r="A487" s="142"/>
      <c r="B487" s="142"/>
      <c r="C487" s="142"/>
      <c r="D487" s="142"/>
      <c r="E487" s="132"/>
      <c r="F487" s="131"/>
      <c r="G487" s="131"/>
      <c r="H487" s="131"/>
      <c r="I487" s="131"/>
      <c r="J487" s="131"/>
      <c r="K487" s="131"/>
      <c r="L487" s="131"/>
      <c r="M487" s="131"/>
      <c r="N487" s="131"/>
      <c r="O487" s="142"/>
      <c r="P487" s="142"/>
      <c r="Q487" s="142"/>
      <c r="R487" s="142"/>
      <c r="S487" s="142"/>
      <c r="T487" s="142"/>
      <c r="U487" s="142"/>
      <c r="V487" s="142"/>
      <c r="W487" s="142"/>
      <c r="X487" s="142"/>
      <c r="Y487" s="142"/>
      <c r="Z487" s="142"/>
      <c r="AA487" s="131"/>
      <c r="AB487" s="142"/>
      <c r="AC487" s="142"/>
      <c r="AD487" s="142"/>
      <c r="AE487" s="142"/>
      <c r="AF487" s="142"/>
      <c r="AG487" s="142"/>
      <c r="AH487" s="142"/>
      <c r="AI487" s="142"/>
      <c r="AJ487" s="142"/>
      <c r="AK487" s="142"/>
      <c r="AL487" s="142"/>
      <c r="AM487" s="142"/>
      <c r="AN487" s="142"/>
      <c r="AO487" s="142"/>
      <c r="AP487" s="142"/>
    </row>
    <row r="488" ht="13.5" customHeight="1">
      <c r="A488" s="142"/>
      <c r="B488" s="142"/>
      <c r="C488" s="142"/>
      <c r="D488" s="142"/>
      <c r="E488" s="132"/>
      <c r="F488" s="131"/>
      <c r="G488" s="131"/>
      <c r="H488" s="131"/>
      <c r="I488" s="131"/>
      <c r="J488" s="131"/>
      <c r="K488" s="131"/>
      <c r="L488" s="131"/>
      <c r="M488" s="131"/>
      <c r="N488" s="131"/>
      <c r="O488" s="142"/>
      <c r="P488" s="142"/>
      <c r="Q488" s="142"/>
      <c r="R488" s="142"/>
      <c r="S488" s="142"/>
      <c r="T488" s="142"/>
      <c r="U488" s="142"/>
      <c r="V488" s="142"/>
      <c r="W488" s="142"/>
      <c r="X488" s="142"/>
      <c r="Y488" s="142"/>
      <c r="Z488" s="142"/>
      <c r="AA488" s="131"/>
      <c r="AB488" s="142"/>
      <c r="AC488" s="142"/>
      <c r="AD488" s="142"/>
      <c r="AE488" s="142"/>
      <c r="AF488" s="142"/>
      <c r="AG488" s="142"/>
      <c r="AH488" s="142"/>
      <c r="AI488" s="142"/>
      <c r="AJ488" s="142"/>
      <c r="AK488" s="142"/>
      <c r="AL488" s="142"/>
      <c r="AM488" s="142"/>
      <c r="AN488" s="142"/>
      <c r="AO488" s="142"/>
      <c r="AP488" s="142"/>
    </row>
    <row r="489" ht="13.5" customHeight="1">
      <c r="A489" s="142"/>
      <c r="B489" s="142"/>
      <c r="C489" s="142"/>
      <c r="D489" s="142"/>
      <c r="E489" s="132"/>
      <c r="F489" s="131"/>
      <c r="G489" s="131"/>
      <c r="H489" s="131"/>
      <c r="I489" s="131"/>
      <c r="J489" s="131"/>
      <c r="K489" s="131"/>
      <c r="L489" s="131"/>
      <c r="M489" s="131"/>
      <c r="N489" s="131"/>
      <c r="O489" s="142"/>
      <c r="P489" s="142"/>
      <c r="Q489" s="142"/>
      <c r="R489" s="142"/>
      <c r="S489" s="142"/>
      <c r="T489" s="142"/>
      <c r="U489" s="142"/>
      <c r="V489" s="142"/>
      <c r="W489" s="142"/>
      <c r="X489" s="142"/>
      <c r="Y489" s="142"/>
      <c r="Z489" s="142"/>
      <c r="AA489" s="131"/>
      <c r="AB489" s="142"/>
      <c r="AC489" s="142"/>
      <c r="AD489" s="142"/>
      <c r="AE489" s="142"/>
      <c r="AF489" s="142"/>
      <c r="AG489" s="142"/>
      <c r="AH489" s="142"/>
      <c r="AI489" s="142"/>
      <c r="AJ489" s="142"/>
      <c r="AK489" s="142"/>
      <c r="AL489" s="142"/>
      <c r="AM489" s="142"/>
      <c r="AN489" s="142"/>
      <c r="AO489" s="142"/>
      <c r="AP489" s="142"/>
    </row>
    <row r="490" ht="13.5" customHeight="1">
      <c r="A490" s="142"/>
      <c r="B490" s="142"/>
      <c r="C490" s="142"/>
      <c r="D490" s="142"/>
      <c r="E490" s="132"/>
      <c r="F490" s="131"/>
      <c r="G490" s="131"/>
      <c r="H490" s="131"/>
      <c r="I490" s="131"/>
      <c r="J490" s="131"/>
      <c r="K490" s="131"/>
      <c r="L490" s="131"/>
      <c r="M490" s="131"/>
      <c r="N490" s="131"/>
      <c r="O490" s="142"/>
      <c r="P490" s="142"/>
      <c r="Q490" s="142"/>
      <c r="R490" s="142"/>
      <c r="S490" s="142"/>
      <c r="T490" s="142"/>
      <c r="U490" s="142"/>
      <c r="V490" s="142"/>
      <c r="W490" s="142"/>
      <c r="X490" s="142"/>
      <c r="Y490" s="142"/>
      <c r="Z490" s="142"/>
      <c r="AA490" s="131"/>
      <c r="AB490" s="142"/>
      <c r="AC490" s="142"/>
      <c r="AD490" s="142"/>
      <c r="AE490" s="142"/>
      <c r="AF490" s="142"/>
      <c r="AG490" s="142"/>
      <c r="AH490" s="142"/>
      <c r="AI490" s="142"/>
      <c r="AJ490" s="142"/>
      <c r="AK490" s="142"/>
      <c r="AL490" s="142"/>
      <c r="AM490" s="142"/>
      <c r="AN490" s="142"/>
      <c r="AO490" s="142"/>
      <c r="AP490" s="142"/>
    </row>
    <row r="491" ht="13.5" customHeight="1">
      <c r="A491" s="142"/>
      <c r="B491" s="142"/>
      <c r="C491" s="142"/>
      <c r="D491" s="142"/>
      <c r="E491" s="132"/>
      <c r="F491" s="131"/>
      <c r="G491" s="131"/>
      <c r="H491" s="131"/>
      <c r="I491" s="131"/>
      <c r="J491" s="131"/>
      <c r="K491" s="131"/>
      <c r="L491" s="131"/>
      <c r="M491" s="131"/>
      <c r="N491" s="131"/>
      <c r="O491" s="142"/>
      <c r="P491" s="142"/>
      <c r="Q491" s="142"/>
      <c r="R491" s="142"/>
      <c r="S491" s="142"/>
      <c r="T491" s="142"/>
      <c r="U491" s="142"/>
      <c r="V491" s="142"/>
      <c r="W491" s="142"/>
      <c r="X491" s="142"/>
      <c r="Y491" s="142"/>
      <c r="Z491" s="142"/>
      <c r="AA491" s="131"/>
      <c r="AB491" s="142"/>
      <c r="AC491" s="142"/>
      <c r="AD491" s="142"/>
      <c r="AE491" s="142"/>
      <c r="AF491" s="142"/>
      <c r="AG491" s="142"/>
      <c r="AH491" s="142"/>
      <c r="AI491" s="142"/>
      <c r="AJ491" s="142"/>
      <c r="AK491" s="142"/>
      <c r="AL491" s="142"/>
      <c r="AM491" s="142"/>
      <c r="AN491" s="142"/>
      <c r="AO491" s="142"/>
      <c r="AP491" s="142"/>
    </row>
    <row r="492" ht="13.5" customHeight="1">
      <c r="A492" s="142"/>
      <c r="B492" s="142"/>
      <c r="C492" s="142"/>
      <c r="D492" s="142"/>
      <c r="E492" s="132"/>
      <c r="F492" s="131"/>
      <c r="G492" s="131"/>
      <c r="H492" s="131"/>
      <c r="I492" s="131"/>
      <c r="J492" s="131"/>
      <c r="K492" s="131"/>
      <c r="L492" s="131"/>
      <c r="M492" s="131"/>
      <c r="N492" s="131"/>
      <c r="O492" s="142"/>
      <c r="P492" s="142"/>
      <c r="Q492" s="142"/>
      <c r="R492" s="142"/>
      <c r="S492" s="142"/>
      <c r="T492" s="142"/>
      <c r="U492" s="142"/>
      <c r="V492" s="142"/>
      <c r="W492" s="142"/>
      <c r="X492" s="142"/>
      <c r="Y492" s="142"/>
      <c r="Z492" s="142"/>
      <c r="AA492" s="131"/>
      <c r="AB492" s="142"/>
      <c r="AC492" s="142"/>
      <c r="AD492" s="142"/>
      <c r="AE492" s="142"/>
      <c r="AF492" s="142"/>
      <c r="AG492" s="142"/>
      <c r="AH492" s="142"/>
      <c r="AI492" s="142"/>
      <c r="AJ492" s="142"/>
      <c r="AK492" s="142"/>
      <c r="AL492" s="142"/>
      <c r="AM492" s="142"/>
      <c r="AN492" s="142"/>
      <c r="AO492" s="142"/>
      <c r="AP492" s="142"/>
    </row>
    <row r="493" ht="13.5" customHeight="1">
      <c r="A493" s="142"/>
      <c r="B493" s="142"/>
      <c r="C493" s="142"/>
      <c r="D493" s="142"/>
      <c r="E493" s="132"/>
      <c r="F493" s="131"/>
      <c r="G493" s="131"/>
      <c r="H493" s="131"/>
      <c r="I493" s="131"/>
      <c r="J493" s="131"/>
      <c r="K493" s="131"/>
      <c r="L493" s="131"/>
      <c r="M493" s="131"/>
      <c r="N493" s="131"/>
      <c r="O493" s="142"/>
      <c r="P493" s="142"/>
      <c r="Q493" s="142"/>
      <c r="R493" s="142"/>
      <c r="S493" s="142"/>
      <c r="T493" s="142"/>
      <c r="U493" s="142"/>
      <c r="V493" s="142"/>
      <c r="W493" s="142"/>
      <c r="X493" s="142"/>
      <c r="Y493" s="142"/>
      <c r="Z493" s="142"/>
      <c r="AA493" s="131"/>
      <c r="AB493" s="142"/>
      <c r="AC493" s="142"/>
      <c r="AD493" s="142"/>
      <c r="AE493" s="142"/>
      <c r="AF493" s="142"/>
      <c r="AG493" s="142"/>
      <c r="AH493" s="142"/>
      <c r="AI493" s="142"/>
      <c r="AJ493" s="142"/>
      <c r="AK493" s="142"/>
      <c r="AL493" s="142"/>
      <c r="AM493" s="142"/>
      <c r="AN493" s="142"/>
      <c r="AO493" s="142"/>
      <c r="AP493" s="142"/>
    </row>
    <row r="494" ht="13.5" customHeight="1">
      <c r="A494" s="142"/>
      <c r="B494" s="142"/>
      <c r="C494" s="142"/>
      <c r="D494" s="142"/>
      <c r="E494" s="132"/>
      <c r="F494" s="131"/>
      <c r="G494" s="131"/>
      <c r="H494" s="131"/>
      <c r="I494" s="131"/>
      <c r="J494" s="131"/>
      <c r="K494" s="131"/>
      <c r="L494" s="131"/>
      <c r="M494" s="131"/>
      <c r="N494" s="131"/>
      <c r="O494" s="142"/>
      <c r="P494" s="142"/>
      <c r="Q494" s="142"/>
      <c r="R494" s="142"/>
      <c r="S494" s="142"/>
      <c r="T494" s="142"/>
      <c r="U494" s="142"/>
      <c r="V494" s="142"/>
      <c r="W494" s="142"/>
      <c r="X494" s="142"/>
      <c r="Y494" s="142"/>
      <c r="Z494" s="142"/>
      <c r="AA494" s="131"/>
      <c r="AB494" s="142"/>
      <c r="AC494" s="142"/>
      <c r="AD494" s="142"/>
      <c r="AE494" s="142"/>
      <c r="AF494" s="142"/>
      <c r="AG494" s="142"/>
      <c r="AH494" s="142"/>
      <c r="AI494" s="142"/>
      <c r="AJ494" s="142"/>
      <c r="AK494" s="142"/>
      <c r="AL494" s="142"/>
      <c r="AM494" s="142"/>
      <c r="AN494" s="142"/>
      <c r="AO494" s="142"/>
      <c r="AP494" s="142"/>
    </row>
    <row r="495" ht="13.5" customHeight="1">
      <c r="A495" s="142"/>
      <c r="B495" s="142"/>
      <c r="C495" s="142"/>
      <c r="D495" s="142"/>
      <c r="E495" s="132"/>
      <c r="F495" s="131"/>
      <c r="G495" s="131"/>
      <c r="H495" s="131"/>
      <c r="I495" s="131"/>
      <c r="J495" s="131"/>
      <c r="K495" s="131"/>
      <c r="L495" s="131"/>
      <c r="M495" s="131"/>
      <c r="N495" s="131"/>
      <c r="O495" s="142"/>
      <c r="P495" s="142"/>
      <c r="Q495" s="142"/>
      <c r="R495" s="142"/>
      <c r="S495" s="142"/>
      <c r="T495" s="142"/>
      <c r="U495" s="142"/>
      <c r="V495" s="142"/>
      <c r="W495" s="142"/>
      <c r="X495" s="142"/>
      <c r="Y495" s="142"/>
      <c r="Z495" s="142"/>
      <c r="AA495" s="131"/>
      <c r="AB495" s="142"/>
      <c r="AC495" s="142"/>
      <c r="AD495" s="142"/>
      <c r="AE495" s="142"/>
      <c r="AF495" s="142"/>
      <c r="AG495" s="142"/>
      <c r="AH495" s="142"/>
      <c r="AI495" s="142"/>
      <c r="AJ495" s="142"/>
      <c r="AK495" s="142"/>
      <c r="AL495" s="142"/>
      <c r="AM495" s="142"/>
      <c r="AN495" s="142"/>
      <c r="AO495" s="142"/>
      <c r="AP495" s="142"/>
    </row>
    <row r="496" ht="13.5" customHeight="1">
      <c r="A496" s="142"/>
      <c r="B496" s="142"/>
      <c r="C496" s="142"/>
      <c r="D496" s="142"/>
      <c r="E496" s="132"/>
      <c r="F496" s="131"/>
      <c r="G496" s="131"/>
      <c r="H496" s="131"/>
      <c r="I496" s="131"/>
      <c r="J496" s="131"/>
      <c r="K496" s="131"/>
      <c r="L496" s="131"/>
      <c r="M496" s="131"/>
      <c r="N496" s="131"/>
      <c r="O496" s="142"/>
      <c r="P496" s="142"/>
      <c r="Q496" s="142"/>
      <c r="R496" s="142"/>
      <c r="S496" s="142"/>
      <c r="T496" s="142"/>
      <c r="U496" s="142"/>
      <c r="V496" s="142"/>
      <c r="W496" s="142"/>
      <c r="X496" s="142"/>
      <c r="Y496" s="142"/>
      <c r="Z496" s="142"/>
      <c r="AA496" s="131"/>
      <c r="AB496" s="142"/>
      <c r="AC496" s="142"/>
      <c r="AD496" s="142"/>
      <c r="AE496" s="142"/>
      <c r="AF496" s="142"/>
      <c r="AG496" s="142"/>
      <c r="AH496" s="142"/>
      <c r="AI496" s="142"/>
      <c r="AJ496" s="142"/>
      <c r="AK496" s="142"/>
      <c r="AL496" s="142"/>
      <c r="AM496" s="142"/>
      <c r="AN496" s="142"/>
      <c r="AO496" s="142"/>
      <c r="AP496" s="142"/>
    </row>
    <row r="497" ht="13.5" customHeight="1">
      <c r="A497" s="142"/>
      <c r="B497" s="142"/>
      <c r="C497" s="142"/>
      <c r="D497" s="142"/>
      <c r="E497" s="132"/>
      <c r="F497" s="131"/>
      <c r="G497" s="131"/>
      <c r="H497" s="131"/>
      <c r="I497" s="131"/>
      <c r="J497" s="131"/>
      <c r="K497" s="131"/>
      <c r="L497" s="131"/>
      <c r="M497" s="131"/>
      <c r="N497" s="131"/>
      <c r="O497" s="142"/>
      <c r="P497" s="142"/>
      <c r="Q497" s="142"/>
      <c r="R497" s="142"/>
      <c r="S497" s="142"/>
      <c r="T497" s="142"/>
      <c r="U497" s="142"/>
      <c r="V497" s="142"/>
      <c r="W497" s="142"/>
      <c r="X497" s="142"/>
      <c r="Y497" s="142"/>
      <c r="Z497" s="142"/>
      <c r="AA497" s="131"/>
      <c r="AB497" s="142"/>
      <c r="AC497" s="142"/>
      <c r="AD497" s="142"/>
      <c r="AE497" s="142"/>
      <c r="AF497" s="142"/>
      <c r="AG497" s="142"/>
      <c r="AH497" s="142"/>
      <c r="AI497" s="142"/>
      <c r="AJ497" s="142"/>
      <c r="AK497" s="142"/>
      <c r="AL497" s="142"/>
      <c r="AM497" s="142"/>
      <c r="AN497" s="142"/>
      <c r="AO497" s="142"/>
      <c r="AP497" s="142"/>
    </row>
    <row r="498" ht="13.5" customHeight="1">
      <c r="A498" s="142"/>
      <c r="B498" s="142"/>
      <c r="C498" s="142"/>
      <c r="D498" s="142"/>
      <c r="E498" s="132"/>
      <c r="F498" s="131"/>
      <c r="G498" s="131"/>
      <c r="H498" s="131"/>
      <c r="I498" s="131"/>
      <c r="J498" s="131"/>
      <c r="K498" s="131"/>
      <c r="L498" s="131"/>
      <c r="M498" s="131"/>
      <c r="N498" s="131"/>
      <c r="O498" s="142"/>
      <c r="P498" s="142"/>
      <c r="Q498" s="142"/>
      <c r="R498" s="142"/>
      <c r="S498" s="142"/>
      <c r="T498" s="142"/>
      <c r="U498" s="142"/>
      <c r="V498" s="142"/>
      <c r="W498" s="142"/>
      <c r="X498" s="142"/>
      <c r="Y498" s="142"/>
      <c r="Z498" s="142"/>
      <c r="AA498" s="131"/>
      <c r="AB498" s="142"/>
      <c r="AC498" s="142"/>
      <c r="AD498" s="142"/>
      <c r="AE498" s="142"/>
      <c r="AF498" s="142"/>
      <c r="AG498" s="142"/>
      <c r="AH498" s="142"/>
      <c r="AI498" s="142"/>
      <c r="AJ498" s="142"/>
      <c r="AK498" s="142"/>
      <c r="AL498" s="142"/>
      <c r="AM498" s="142"/>
      <c r="AN498" s="142"/>
      <c r="AO498" s="142"/>
      <c r="AP498" s="142"/>
    </row>
    <row r="499" ht="13.5" customHeight="1">
      <c r="A499" s="142"/>
      <c r="B499" s="142"/>
      <c r="C499" s="142"/>
      <c r="D499" s="142"/>
      <c r="E499" s="132"/>
      <c r="F499" s="131"/>
      <c r="G499" s="131"/>
      <c r="H499" s="131"/>
      <c r="I499" s="131"/>
      <c r="J499" s="131"/>
      <c r="K499" s="131"/>
      <c r="L499" s="131"/>
      <c r="M499" s="131"/>
      <c r="N499" s="131"/>
      <c r="O499" s="142"/>
      <c r="P499" s="142"/>
      <c r="Q499" s="142"/>
      <c r="R499" s="142"/>
      <c r="S499" s="142"/>
      <c r="T499" s="142"/>
      <c r="U499" s="142"/>
      <c r="V499" s="142"/>
      <c r="W499" s="142"/>
      <c r="X499" s="142"/>
      <c r="Y499" s="142"/>
      <c r="Z499" s="142"/>
      <c r="AA499" s="131"/>
      <c r="AB499" s="142"/>
      <c r="AC499" s="142"/>
      <c r="AD499" s="142"/>
      <c r="AE499" s="142"/>
      <c r="AF499" s="142"/>
      <c r="AG499" s="142"/>
      <c r="AH499" s="142"/>
      <c r="AI499" s="142"/>
      <c r="AJ499" s="142"/>
      <c r="AK499" s="142"/>
      <c r="AL499" s="142"/>
      <c r="AM499" s="142"/>
      <c r="AN499" s="142"/>
      <c r="AO499" s="142"/>
      <c r="AP499" s="142"/>
    </row>
    <row r="500" ht="13.5" customHeight="1">
      <c r="A500" s="142"/>
      <c r="B500" s="142"/>
      <c r="C500" s="142"/>
      <c r="D500" s="142"/>
      <c r="E500" s="132"/>
      <c r="F500" s="131"/>
      <c r="G500" s="131"/>
      <c r="H500" s="131"/>
      <c r="I500" s="131"/>
      <c r="J500" s="131"/>
      <c r="K500" s="131"/>
      <c r="L500" s="131"/>
      <c r="M500" s="131"/>
      <c r="N500" s="131"/>
      <c r="O500" s="142"/>
      <c r="P500" s="142"/>
      <c r="Q500" s="142"/>
      <c r="R500" s="142"/>
      <c r="S500" s="142"/>
      <c r="T500" s="142"/>
      <c r="U500" s="142"/>
      <c r="V500" s="142"/>
      <c r="W500" s="142"/>
      <c r="X500" s="142"/>
      <c r="Y500" s="142"/>
      <c r="Z500" s="142"/>
      <c r="AA500" s="131"/>
      <c r="AB500" s="142"/>
      <c r="AC500" s="142"/>
      <c r="AD500" s="142"/>
      <c r="AE500" s="142"/>
      <c r="AF500" s="142"/>
      <c r="AG500" s="142"/>
      <c r="AH500" s="142"/>
      <c r="AI500" s="142"/>
      <c r="AJ500" s="142"/>
      <c r="AK500" s="142"/>
      <c r="AL500" s="142"/>
      <c r="AM500" s="142"/>
      <c r="AN500" s="142"/>
      <c r="AO500" s="142"/>
      <c r="AP500" s="142"/>
    </row>
    <row r="501" ht="13.5" customHeight="1">
      <c r="A501" s="142"/>
      <c r="B501" s="142"/>
      <c r="C501" s="142"/>
      <c r="D501" s="142"/>
      <c r="E501" s="132"/>
      <c r="F501" s="131"/>
      <c r="G501" s="131"/>
      <c r="H501" s="131"/>
      <c r="I501" s="131"/>
      <c r="J501" s="131"/>
      <c r="K501" s="131"/>
      <c r="L501" s="131"/>
      <c r="M501" s="131"/>
      <c r="N501" s="131"/>
      <c r="O501" s="142"/>
      <c r="P501" s="142"/>
      <c r="Q501" s="142"/>
      <c r="R501" s="142"/>
      <c r="S501" s="142"/>
      <c r="T501" s="142"/>
      <c r="U501" s="142"/>
      <c r="V501" s="142"/>
      <c r="W501" s="142"/>
      <c r="X501" s="142"/>
      <c r="Y501" s="142"/>
      <c r="Z501" s="142"/>
      <c r="AA501" s="131"/>
      <c r="AB501" s="142"/>
      <c r="AC501" s="142"/>
      <c r="AD501" s="142"/>
      <c r="AE501" s="142"/>
      <c r="AF501" s="142"/>
      <c r="AG501" s="142"/>
      <c r="AH501" s="142"/>
      <c r="AI501" s="142"/>
      <c r="AJ501" s="142"/>
      <c r="AK501" s="142"/>
      <c r="AL501" s="142"/>
      <c r="AM501" s="142"/>
      <c r="AN501" s="142"/>
      <c r="AO501" s="142"/>
      <c r="AP501" s="142"/>
    </row>
    <row r="502" ht="13.5" customHeight="1">
      <c r="A502" s="142"/>
      <c r="B502" s="142"/>
      <c r="C502" s="142"/>
      <c r="D502" s="142"/>
      <c r="E502" s="132"/>
      <c r="F502" s="131"/>
      <c r="G502" s="131"/>
      <c r="H502" s="131"/>
      <c r="I502" s="131"/>
      <c r="J502" s="131"/>
      <c r="K502" s="131"/>
      <c r="L502" s="131"/>
      <c r="M502" s="131"/>
      <c r="N502" s="131"/>
      <c r="O502" s="142"/>
      <c r="P502" s="142"/>
      <c r="Q502" s="142"/>
      <c r="R502" s="142"/>
      <c r="S502" s="142"/>
      <c r="T502" s="142"/>
      <c r="U502" s="142"/>
      <c r="V502" s="142"/>
      <c r="W502" s="142"/>
      <c r="X502" s="142"/>
      <c r="Y502" s="142"/>
      <c r="Z502" s="142"/>
      <c r="AA502" s="131"/>
      <c r="AB502" s="142"/>
      <c r="AC502" s="142"/>
      <c r="AD502" s="142"/>
      <c r="AE502" s="142"/>
      <c r="AF502" s="142"/>
      <c r="AG502" s="142"/>
      <c r="AH502" s="142"/>
      <c r="AI502" s="142"/>
      <c r="AJ502" s="142"/>
      <c r="AK502" s="142"/>
      <c r="AL502" s="142"/>
      <c r="AM502" s="142"/>
      <c r="AN502" s="142"/>
      <c r="AO502" s="142"/>
      <c r="AP502" s="142"/>
    </row>
    <row r="503" ht="13.5" customHeight="1">
      <c r="A503" s="142"/>
      <c r="B503" s="142"/>
      <c r="C503" s="142"/>
      <c r="D503" s="142"/>
      <c r="E503" s="132"/>
      <c r="F503" s="131"/>
      <c r="G503" s="131"/>
      <c r="H503" s="131"/>
      <c r="I503" s="131"/>
      <c r="J503" s="131"/>
      <c r="K503" s="131"/>
      <c r="L503" s="131"/>
      <c r="M503" s="131"/>
      <c r="N503" s="131"/>
      <c r="O503" s="142"/>
      <c r="P503" s="142"/>
      <c r="Q503" s="142"/>
      <c r="R503" s="142"/>
      <c r="S503" s="142"/>
      <c r="T503" s="142"/>
      <c r="U503" s="142"/>
      <c r="V503" s="142"/>
      <c r="W503" s="142"/>
      <c r="X503" s="142"/>
      <c r="Y503" s="142"/>
      <c r="Z503" s="142"/>
      <c r="AA503" s="131"/>
      <c r="AB503" s="142"/>
      <c r="AC503" s="142"/>
      <c r="AD503" s="142"/>
      <c r="AE503" s="142"/>
      <c r="AF503" s="142"/>
      <c r="AG503" s="142"/>
      <c r="AH503" s="142"/>
      <c r="AI503" s="142"/>
      <c r="AJ503" s="142"/>
      <c r="AK503" s="142"/>
      <c r="AL503" s="142"/>
      <c r="AM503" s="142"/>
      <c r="AN503" s="142"/>
      <c r="AO503" s="142"/>
      <c r="AP503" s="142"/>
    </row>
    <row r="504" ht="13.5" customHeight="1">
      <c r="A504" s="142"/>
      <c r="B504" s="142"/>
      <c r="C504" s="142"/>
      <c r="D504" s="142"/>
      <c r="E504" s="132"/>
      <c r="F504" s="131"/>
      <c r="G504" s="131"/>
      <c r="H504" s="131"/>
      <c r="I504" s="131"/>
      <c r="J504" s="131"/>
      <c r="K504" s="131"/>
      <c r="L504" s="131"/>
      <c r="M504" s="131"/>
      <c r="N504" s="131"/>
      <c r="O504" s="142"/>
      <c r="P504" s="142"/>
      <c r="Q504" s="142"/>
      <c r="R504" s="142"/>
      <c r="S504" s="142"/>
      <c r="T504" s="142"/>
      <c r="U504" s="142"/>
      <c r="V504" s="142"/>
      <c r="W504" s="142"/>
      <c r="X504" s="142"/>
      <c r="Y504" s="142"/>
      <c r="Z504" s="142"/>
      <c r="AA504" s="131"/>
      <c r="AB504" s="142"/>
      <c r="AC504" s="142"/>
      <c r="AD504" s="142"/>
      <c r="AE504" s="142"/>
      <c r="AF504" s="142"/>
      <c r="AG504" s="142"/>
      <c r="AH504" s="142"/>
      <c r="AI504" s="142"/>
      <c r="AJ504" s="142"/>
      <c r="AK504" s="142"/>
      <c r="AL504" s="142"/>
      <c r="AM504" s="142"/>
      <c r="AN504" s="142"/>
      <c r="AO504" s="142"/>
      <c r="AP504" s="142"/>
    </row>
    <row r="505" ht="13.5" customHeight="1">
      <c r="A505" s="142"/>
      <c r="B505" s="142"/>
      <c r="C505" s="142"/>
      <c r="D505" s="142"/>
      <c r="E505" s="132"/>
      <c r="F505" s="131"/>
      <c r="G505" s="131"/>
      <c r="H505" s="131"/>
      <c r="I505" s="131"/>
      <c r="J505" s="131"/>
      <c r="K505" s="131"/>
      <c r="L505" s="131"/>
      <c r="M505" s="131"/>
      <c r="N505" s="131"/>
      <c r="O505" s="142"/>
      <c r="P505" s="142"/>
      <c r="Q505" s="142"/>
      <c r="R505" s="142"/>
      <c r="S505" s="142"/>
      <c r="T505" s="142"/>
      <c r="U505" s="142"/>
      <c r="V505" s="142"/>
      <c r="W505" s="142"/>
      <c r="X505" s="142"/>
      <c r="Y505" s="142"/>
      <c r="Z505" s="142"/>
      <c r="AA505" s="131"/>
      <c r="AB505" s="142"/>
      <c r="AC505" s="142"/>
      <c r="AD505" s="142"/>
      <c r="AE505" s="142"/>
      <c r="AF505" s="142"/>
      <c r="AG505" s="142"/>
      <c r="AH505" s="142"/>
      <c r="AI505" s="142"/>
      <c r="AJ505" s="142"/>
      <c r="AK505" s="142"/>
      <c r="AL505" s="142"/>
      <c r="AM505" s="142"/>
      <c r="AN505" s="142"/>
      <c r="AO505" s="142"/>
      <c r="AP505" s="142"/>
    </row>
    <row r="506" ht="13.5" customHeight="1">
      <c r="A506" s="142"/>
      <c r="B506" s="142"/>
      <c r="C506" s="142"/>
      <c r="D506" s="142"/>
      <c r="E506" s="132"/>
      <c r="F506" s="131"/>
      <c r="G506" s="131"/>
      <c r="H506" s="131"/>
      <c r="I506" s="131"/>
      <c r="J506" s="131"/>
      <c r="K506" s="131"/>
      <c r="L506" s="131"/>
      <c r="M506" s="131"/>
      <c r="N506" s="131"/>
      <c r="O506" s="142"/>
      <c r="P506" s="142"/>
      <c r="Q506" s="142"/>
      <c r="R506" s="142"/>
      <c r="S506" s="142"/>
      <c r="T506" s="142"/>
      <c r="U506" s="142"/>
      <c r="V506" s="142"/>
      <c r="W506" s="142"/>
      <c r="X506" s="142"/>
      <c r="Y506" s="142"/>
      <c r="Z506" s="142"/>
      <c r="AA506" s="131"/>
      <c r="AB506" s="142"/>
      <c r="AC506" s="142"/>
      <c r="AD506" s="142"/>
      <c r="AE506" s="142"/>
      <c r="AF506" s="142"/>
      <c r="AG506" s="142"/>
      <c r="AH506" s="142"/>
      <c r="AI506" s="142"/>
      <c r="AJ506" s="142"/>
      <c r="AK506" s="142"/>
      <c r="AL506" s="142"/>
      <c r="AM506" s="142"/>
      <c r="AN506" s="142"/>
      <c r="AO506" s="142"/>
      <c r="AP506" s="142"/>
    </row>
    <row r="507" ht="13.5" customHeight="1">
      <c r="A507" s="142"/>
      <c r="B507" s="142"/>
      <c r="C507" s="142"/>
      <c r="D507" s="142"/>
      <c r="E507" s="132"/>
      <c r="F507" s="131"/>
      <c r="G507" s="131"/>
      <c r="H507" s="131"/>
      <c r="I507" s="131"/>
      <c r="J507" s="131"/>
      <c r="K507" s="131"/>
      <c r="L507" s="131"/>
      <c r="M507" s="131"/>
      <c r="N507" s="131"/>
      <c r="O507" s="142"/>
      <c r="P507" s="142"/>
      <c r="Q507" s="142"/>
      <c r="R507" s="142"/>
      <c r="S507" s="142"/>
      <c r="T507" s="142"/>
      <c r="U507" s="142"/>
      <c r="V507" s="142"/>
      <c r="W507" s="142"/>
      <c r="X507" s="142"/>
      <c r="Y507" s="142"/>
      <c r="Z507" s="142"/>
      <c r="AA507" s="131"/>
      <c r="AB507" s="142"/>
      <c r="AC507" s="142"/>
      <c r="AD507" s="142"/>
      <c r="AE507" s="142"/>
      <c r="AF507" s="142"/>
      <c r="AG507" s="142"/>
      <c r="AH507" s="142"/>
      <c r="AI507" s="142"/>
      <c r="AJ507" s="142"/>
      <c r="AK507" s="142"/>
      <c r="AL507" s="142"/>
      <c r="AM507" s="142"/>
      <c r="AN507" s="142"/>
      <c r="AO507" s="142"/>
      <c r="AP507" s="142"/>
    </row>
    <row r="508" ht="13.5" customHeight="1">
      <c r="A508" s="142"/>
      <c r="B508" s="142"/>
      <c r="C508" s="142"/>
      <c r="D508" s="142"/>
      <c r="E508" s="132"/>
      <c r="F508" s="131"/>
      <c r="G508" s="131"/>
      <c r="H508" s="131"/>
      <c r="I508" s="131"/>
      <c r="J508" s="131"/>
      <c r="K508" s="131"/>
      <c r="L508" s="131"/>
      <c r="M508" s="131"/>
      <c r="N508" s="131"/>
      <c r="O508" s="142"/>
      <c r="P508" s="142"/>
      <c r="Q508" s="142"/>
      <c r="R508" s="142"/>
      <c r="S508" s="142"/>
      <c r="T508" s="142"/>
      <c r="U508" s="142"/>
      <c r="V508" s="142"/>
      <c r="W508" s="142"/>
      <c r="X508" s="142"/>
      <c r="Y508" s="142"/>
      <c r="Z508" s="142"/>
      <c r="AA508" s="131"/>
      <c r="AB508" s="142"/>
      <c r="AC508" s="142"/>
      <c r="AD508" s="142"/>
      <c r="AE508" s="142"/>
      <c r="AF508" s="142"/>
      <c r="AG508" s="142"/>
      <c r="AH508" s="142"/>
      <c r="AI508" s="142"/>
      <c r="AJ508" s="142"/>
      <c r="AK508" s="142"/>
      <c r="AL508" s="142"/>
      <c r="AM508" s="142"/>
      <c r="AN508" s="142"/>
      <c r="AO508" s="142"/>
      <c r="AP508" s="142"/>
    </row>
    <row r="509" ht="13.5" customHeight="1">
      <c r="A509" s="142"/>
      <c r="B509" s="142"/>
      <c r="C509" s="142"/>
      <c r="D509" s="142"/>
      <c r="E509" s="132"/>
      <c r="F509" s="131"/>
      <c r="G509" s="131"/>
      <c r="H509" s="131"/>
      <c r="I509" s="131"/>
      <c r="J509" s="131"/>
      <c r="K509" s="131"/>
      <c r="L509" s="131"/>
      <c r="M509" s="131"/>
      <c r="N509" s="131"/>
      <c r="O509" s="142"/>
      <c r="P509" s="142"/>
      <c r="Q509" s="142"/>
      <c r="R509" s="142"/>
      <c r="S509" s="142"/>
      <c r="T509" s="142"/>
      <c r="U509" s="142"/>
      <c r="V509" s="142"/>
      <c r="W509" s="142"/>
      <c r="X509" s="142"/>
      <c r="Y509" s="142"/>
      <c r="Z509" s="142"/>
      <c r="AA509" s="131"/>
      <c r="AB509" s="142"/>
      <c r="AC509" s="142"/>
      <c r="AD509" s="142"/>
      <c r="AE509" s="142"/>
      <c r="AF509" s="142"/>
      <c r="AG509" s="142"/>
      <c r="AH509" s="142"/>
      <c r="AI509" s="142"/>
      <c r="AJ509" s="142"/>
      <c r="AK509" s="142"/>
      <c r="AL509" s="142"/>
      <c r="AM509" s="142"/>
      <c r="AN509" s="142"/>
      <c r="AO509" s="142"/>
      <c r="AP509" s="142"/>
    </row>
    <row r="510" ht="13.5" customHeight="1">
      <c r="A510" s="142"/>
      <c r="B510" s="142"/>
      <c r="C510" s="142"/>
      <c r="D510" s="142"/>
      <c r="E510" s="132"/>
      <c r="F510" s="131"/>
      <c r="G510" s="131"/>
      <c r="H510" s="131"/>
      <c r="I510" s="131"/>
      <c r="J510" s="131"/>
      <c r="K510" s="131"/>
      <c r="L510" s="131"/>
      <c r="M510" s="131"/>
      <c r="N510" s="131"/>
      <c r="O510" s="142"/>
      <c r="P510" s="142"/>
      <c r="Q510" s="142"/>
      <c r="R510" s="142"/>
      <c r="S510" s="142"/>
      <c r="T510" s="142"/>
      <c r="U510" s="142"/>
      <c r="V510" s="142"/>
      <c r="W510" s="142"/>
      <c r="X510" s="142"/>
      <c r="Y510" s="142"/>
      <c r="Z510" s="142"/>
      <c r="AA510" s="131"/>
      <c r="AB510" s="142"/>
      <c r="AC510" s="142"/>
      <c r="AD510" s="142"/>
      <c r="AE510" s="142"/>
      <c r="AF510" s="142"/>
      <c r="AG510" s="142"/>
      <c r="AH510" s="142"/>
      <c r="AI510" s="142"/>
      <c r="AJ510" s="142"/>
      <c r="AK510" s="142"/>
      <c r="AL510" s="142"/>
      <c r="AM510" s="142"/>
      <c r="AN510" s="142"/>
      <c r="AO510" s="142"/>
      <c r="AP510" s="142"/>
    </row>
    <row r="511" ht="13.5" customHeight="1">
      <c r="A511" s="142"/>
      <c r="B511" s="142"/>
      <c r="C511" s="142"/>
      <c r="D511" s="142"/>
      <c r="E511" s="132"/>
      <c r="F511" s="131"/>
      <c r="G511" s="131"/>
      <c r="H511" s="131"/>
      <c r="I511" s="131"/>
      <c r="J511" s="131"/>
      <c r="K511" s="131"/>
      <c r="L511" s="131"/>
      <c r="M511" s="131"/>
      <c r="N511" s="131"/>
      <c r="O511" s="142"/>
      <c r="P511" s="142"/>
      <c r="Q511" s="142"/>
      <c r="R511" s="142"/>
      <c r="S511" s="142"/>
      <c r="T511" s="142"/>
      <c r="U511" s="142"/>
      <c r="V511" s="142"/>
      <c r="W511" s="142"/>
      <c r="X511" s="142"/>
      <c r="Y511" s="142"/>
      <c r="Z511" s="142"/>
      <c r="AA511" s="131"/>
      <c r="AB511" s="142"/>
      <c r="AC511" s="142"/>
      <c r="AD511" s="142"/>
      <c r="AE511" s="142"/>
      <c r="AF511" s="142"/>
      <c r="AG511" s="142"/>
      <c r="AH511" s="142"/>
      <c r="AI511" s="142"/>
      <c r="AJ511" s="142"/>
      <c r="AK511" s="142"/>
      <c r="AL511" s="142"/>
      <c r="AM511" s="142"/>
      <c r="AN511" s="142"/>
      <c r="AO511" s="142"/>
      <c r="AP511" s="142"/>
    </row>
    <row r="512" ht="13.5" customHeight="1">
      <c r="A512" s="142"/>
      <c r="B512" s="142"/>
      <c r="C512" s="142"/>
      <c r="D512" s="142"/>
      <c r="E512" s="132"/>
      <c r="F512" s="131"/>
      <c r="G512" s="131"/>
      <c r="H512" s="131"/>
      <c r="I512" s="131"/>
      <c r="J512" s="131"/>
      <c r="K512" s="131"/>
      <c r="L512" s="131"/>
      <c r="M512" s="131"/>
      <c r="N512" s="131"/>
      <c r="O512" s="142"/>
      <c r="P512" s="142"/>
      <c r="Q512" s="142"/>
      <c r="R512" s="142"/>
      <c r="S512" s="142"/>
      <c r="T512" s="142"/>
      <c r="U512" s="142"/>
      <c r="V512" s="142"/>
      <c r="W512" s="142"/>
      <c r="X512" s="142"/>
      <c r="Y512" s="142"/>
      <c r="Z512" s="142"/>
      <c r="AA512" s="131"/>
      <c r="AB512" s="142"/>
      <c r="AC512" s="142"/>
      <c r="AD512" s="142"/>
      <c r="AE512" s="142"/>
      <c r="AF512" s="142"/>
      <c r="AG512" s="142"/>
      <c r="AH512" s="142"/>
      <c r="AI512" s="142"/>
      <c r="AJ512" s="142"/>
      <c r="AK512" s="142"/>
      <c r="AL512" s="142"/>
      <c r="AM512" s="142"/>
      <c r="AN512" s="142"/>
      <c r="AO512" s="142"/>
      <c r="AP512" s="142"/>
    </row>
    <row r="513" ht="13.5" customHeight="1">
      <c r="A513" s="142"/>
      <c r="B513" s="142"/>
      <c r="C513" s="142"/>
      <c r="D513" s="142"/>
      <c r="E513" s="132"/>
      <c r="F513" s="131"/>
      <c r="G513" s="131"/>
      <c r="H513" s="131"/>
      <c r="I513" s="131"/>
      <c r="J513" s="131"/>
      <c r="K513" s="131"/>
      <c r="L513" s="131"/>
      <c r="M513" s="131"/>
      <c r="N513" s="131"/>
      <c r="O513" s="142"/>
      <c r="P513" s="142"/>
      <c r="Q513" s="142"/>
      <c r="R513" s="142"/>
      <c r="S513" s="142"/>
      <c r="T513" s="142"/>
      <c r="U513" s="142"/>
      <c r="V513" s="142"/>
      <c r="W513" s="142"/>
      <c r="X513" s="142"/>
      <c r="Y513" s="142"/>
      <c r="Z513" s="142"/>
      <c r="AA513" s="131"/>
      <c r="AB513" s="142"/>
      <c r="AC513" s="142"/>
      <c r="AD513" s="142"/>
      <c r="AE513" s="142"/>
      <c r="AF513" s="142"/>
      <c r="AG513" s="142"/>
      <c r="AH513" s="142"/>
      <c r="AI513" s="142"/>
      <c r="AJ513" s="142"/>
      <c r="AK513" s="142"/>
      <c r="AL513" s="142"/>
      <c r="AM513" s="142"/>
      <c r="AN513" s="142"/>
      <c r="AO513" s="142"/>
      <c r="AP513" s="142"/>
    </row>
    <row r="514" ht="13.5" customHeight="1">
      <c r="A514" s="142"/>
      <c r="B514" s="142"/>
      <c r="C514" s="142"/>
      <c r="D514" s="142"/>
      <c r="E514" s="132"/>
      <c r="F514" s="131"/>
      <c r="G514" s="131"/>
      <c r="H514" s="131"/>
      <c r="I514" s="131"/>
      <c r="J514" s="131"/>
      <c r="K514" s="131"/>
      <c r="L514" s="131"/>
      <c r="M514" s="131"/>
      <c r="N514" s="131"/>
      <c r="O514" s="142"/>
      <c r="P514" s="142"/>
      <c r="Q514" s="142"/>
      <c r="R514" s="142"/>
      <c r="S514" s="142"/>
      <c r="T514" s="142"/>
      <c r="U514" s="142"/>
      <c r="V514" s="142"/>
      <c r="W514" s="142"/>
      <c r="X514" s="142"/>
      <c r="Y514" s="142"/>
      <c r="Z514" s="142"/>
      <c r="AA514" s="131"/>
      <c r="AB514" s="142"/>
      <c r="AC514" s="142"/>
      <c r="AD514" s="142"/>
      <c r="AE514" s="142"/>
      <c r="AF514" s="142"/>
      <c r="AG514" s="142"/>
      <c r="AH514" s="142"/>
      <c r="AI514" s="142"/>
      <c r="AJ514" s="142"/>
      <c r="AK514" s="142"/>
      <c r="AL514" s="142"/>
      <c r="AM514" s="142"/>
      <c r="AN514" s="142"/>
      <c r="AO514" s="142"/>
      <c r="AP514" s="142"/>
    </row>
    <row r="515" ht="13.5" customHeight="1">
      <c r="A515" s="142"/>
      <c r="B515" s="142"/>
      <c r="C515" s="142"/>
      <c r="D515" s="142"/>
      <c r="E515" s="132"/>
      <c r="F515" s="131"/>
      <c r="G515" s="131"/>
      <c r="H515" s="131"/>
      <c r="I515" s="131"/>
      <c r="J515" s="131"/>
      <c r="K515" s="131"/>
      <c r="L515" s="131"/>
      <c r="M515" s="131"/>
      <c r="N515" s="131"/>
      <c r="O515" s="142"/>
      <c r="P515" s="142"/>
      <c r="Q515" s="142"/>
      <c r="R515" s="142"/>
      <c r="S515" s="142"/>
      <c r="T515" s="142"/>
      <c r="U515" s="142"/>
      <c r="V515" s="142"/>
      <c r="W515" s="142"/>
      <c r="X515" s="142"/>
      <c r="Y515" s="142"/>
      <c r="Z515" s="142"/>
      <c r="AA515" s="131"/>
      <c r="AB515" s="142"/>
      <c r="AC515" s="142"/>
      <c r="AD515" s="142"/>
      <c r="AE515" s="142"/>
      <c r="AF515" s="142"/>
      <c r="AG515" s="142"/>
      <c r="AH515" s="142"/>
      <c r="AI515" s="142"/>
      <c r="AJ515" s="142"/>
      <c r="AK515" s="142"/>
      <c r="AL515" s="142"/>
      <c r="AM515" s="142"/>
      <c r="AN515" s="142"/>
      <c r="AO515" s="142"/>
      <c r="AP515" s="142"/>
    </row>
    <row r="516" ht="13.5" customHeight="1">
      <c r="A516" s="142"/>
      <c r="B516" s="142"/>
      <c r="C516" s="142"/>
      <c r="D516" s="142"/>
      <c r="E516" s="132"/>
      <c r="F516" s="131"/>
      <c r="G516" s="131"/>
      <c r="H516" s="131"/>
      <c r="I516" s="131"/>
      <c r="J516" s="131"/>
      <c r="K516" s="131"/>
      <c r="L516" s="131"/>
      <c r="M516" s="131"/>
      <c r="N516" s="131"/>
      <c r="O516" s="142"/>
      <c r="P516" s="142"/>
      <c r="Q516" s="142"/>
      <c r="R516" s="142"/>
      <c r="S516" s="142"/>
      <c r="T516" s="142"/>
      <c r="U516" s="142"/>
      <c r="V516" s="142"/>
      <c r="W516" s="142"/>
      <c r="X516" s="142"/>
      <c r="Y516" s="142"/>
      <c r="Z516" s="142"/>
      <c r="AA516" s="131"/>
      <c r="AB516" s="142"/>
      <c r="AC516" s="142"/>
      <c r="AD516" s="142"/>
      <c r="AE516" s="142"/>
      <c r="AF516" s="142"/>
      <c r="AG516" s="142"/>
      <c r="AH516" s="142"/>
      <c r="AI516" s="142"/>
      <c r="AJ516" s="142"/>
      <c r="AK516" s="142"/>
      <c r="AL516" s="142"/>
      <c r="AM516" s="142"/>
      <c r="AN516" s="142"/>
      <c r="AO516" s="142"/>
      <c r="AP516" s="142"/>
    </row>
    <row r="517" ht="13.5" customHeight="1">
      <c r="A517" s="142"/>
      <c r="B517" s="142"/>
      <c r="C517" s="142"/>
      <c r="D517" s="142"/>
      <c r="E517" s="132"/>
      <c r="F517" s="131"/>
      <c r="G517" s="131"/>
      <c r="H517" s="131"/>
      <c r="I517" s="131"/>
      <c r="J517" s="131"/>
      <c r="K517" s="131"/>
      <c r="L517" s="131"/>
      <c r="M517" s="131"/>
      <c r="N517" s="131"/>
      <c r="O517" s="142"/>
      <c r="P517" s="142"/>
      <c r="Q517" s="142"/>
      <c r="R517" s="142"/>
      <c r="S517" s="142"/>
      <c r="T517" s="142"/>
      <c r="U517" s="142"/>
      <c r="V517" s="142"/>
      <c r="W517" s="142"/>
      <c r="X517" s="142"/>
      <c r="Y517" s="142"/>
      <c r="Z517" s="142"/>
      <c r="AA517" s="131"/>
      <c r="AB517" s="142"/>
      <c r="AC517" s="142"/>
      <c r="AD517" s="142"/>
      <c r="AE517" s="142"/>
      <c r="AF517" s="142"/>
      <c r="AG517" s="142"/>
      <c r="AH517" s="142"/>
      <c r="AI517" s="142"/>
      <c r="AJ517" s="142"/>
      <c r="AK517" s="142"/>
      <c r="AL517" s="142"/>
      <c r="AM517" s="142"/>
      <c r="AN517" s="142"/>
      <c r="AO517" s="142"/>
      <c r="AP517" s="142"/>
    </row>
    <row r="518" ht="13.5" customHeight="1">
      <c r="A518" s="142"/>
      <c r="B518" s="142"/>
      <c r="C518" s="142"/>
      <c r="D518" s="142"/>
      <c r="E518" s="132"/>
      <c r="F518" s="131"/>
      <c r="G518" s="131"/>
      <c r="H518" s="131"/>
      <c r="I518" s="131"/>
      <c r="J518" s="131"/>
      <c r="K518" s="131"/>
      <c r="L518" s="131"/>
      <c r="M518" s="131"/>
      <c r="N518" s="131"/>
      <c r="O518" s="142"/>
      <c r="P518" s="142"/>
      <c r="Q518" s="142"/>
      <c r="R518" s="142"/>
      <c r="S518" s="142"/>
      <c r="T518" s="142"/>
      <c r="U518" s="142"/>
      <c r="V518" s="142"/>
      <c r="W518" s="142"/>
      <c r="X518" s="142"/>
      <c r="Y518" s="142"/>
      <c r="Z518" s="142"/>
      <c r="AA518" s="131"/>
      <c r="AB518" s="142"/>
      <c r="AC518" s="142"/>
      <c r="AD518" s="142"/>
      <c r="AE518" s="142"/>
      <c r="AF518" s="142"/>
      <c r="AG518" s="142"/>
      <c r="AH518" s="142"/>
      <c r="AI518" s="142"/>
      <c r="AJ518" s="142"/>
      <c r="AK518" s="142"/>
      <c r="AL518" s="142"/>
      <c r="AM518" s="142"/>
      <c r="AN518" s="142"/>
      <c r="AO518" s="142"/>
      <c r="AP518" s="142"/>
    </row>
    <row r="519" ht="13.5" customHeight="1">
      <c r="A519" s="142"/>
      <c r="B519" s="142"/>
      <c r="C519" s="142"/>
      <c r="D519" s="142"/>
      <c r="E519" s="132"/>
      <c r="F519" s="131"/>
      <c r="G519" s="131"/>
      <c r="H519" s="131"/>
      <c r="I519" s="131"/>
      <c r="J519" s="131"/>
      <c r="K519" s="131"/>
      <c r="L519" s="131"/>
      <c r="M519" s="131"/>
      <c r="N519" s="131"/>
      <c r="O519" s="142"/>
      <c r="P519" s="142"/>
      <c r="Q519" s="142"/>
      <c r="R519" s="142"/>
      <c r="S519" s="142"/>
      <c r="T519" s="142"/>
      <c r="U519" s="142"/>
      <c r="V519" s="142"/>
      <c r="W519" s="142"/>
      <c r="X519" s="142"/>
      <c r="Y519" s="142"/>
      <c r="Z519" s="142"/>
      <c r="AA519" s="131"/>
      <c r="AB519" s="142"/>
      <c r="AC519" s="142"/>
      <c r="AD519" s="142"/>
      <c r="AE519" s="142"/>
      <c r="AF519" s="142"/>
      <c r="AG519" s="142"/>
      <c r="AH519" s="142"/>
      <c r="AI519" s="142"/>
      <c r="AJ519" s="142"/>
      <c r="AK519" s="142"/>
      <c r="AL519" s="142"/>
      <c r="AM519" s="142"/>
      <c r="AN519" s="142"/>
      <c r="AO519" s="142"/>
      <c r="AP519" s="142"/>
    </row>
    <row r="520" ht="13.5" customHeight="1">
      <c r="A520" s="142"/>
      <c r="B520" s="142"/>
      <c r="C520" s="142"/>
      <c r="D520" s="142"/>
      <c r="E520" s="132"/>
      <c r="F520" s="131"/>
      <c r="G520" s="131"/>
      <c r="H520" s="131"/>
      <c r="I520" s="131"/>
      <c r="J520" s="131"/>
      <c r="K520" s="131"/>
      <c r="L520" s="131"/>
      <c r="M520" s="131"/>
      <c r="N520" s="131"/>
      <c r="O520" s="142"/>
      <c r="P520" s="142"/>
      <c r="Q520" s="142"/>
      <c r="R520" s="142"/>
      <c r="S520" s="142"/>
      <c r="T520" s="142"/>
      <c r="U520" s="142"/>
      <c r="V520" s="142"/>
      <c r="W520" s="142"/>
      <c r="X520" s="142"/>
      <c r="Y520" s="142"/>
      <c r="Z520" s="142"/>
      <c r="AA520" s="131"/>
      <c r="AB520" s="142"/>
      <c r="AC520" s="142"/>
      <c r="AD520" s="142"/>
      <c r="AE520" s="142"/>
      <c r="AF520" s="142"/>
      <c r="AG520" s="142"/>
      <c r="AH520" s="142"/>
      <c r="AI520" s="142"/>
      <c r="AJ520" s="142"/>
      <c r="AK520" s="142"/>
      <c r="AL520" s="142"/>
      <c r="AM520" s="142"/>
      <c r="AN520" s="142"/>
      <c r="AO520" s="142"/>
      <c r="AP520" s="142"/>
    </row>
    <row r="521" ht="13.5" customHeight="1">
      <c r="A521" s="142"/>
      <c r="B521" s="142"/>
      <c r="C521" s="142"/>
      <c r="D521" s="142"/>
      <c r="E521" s="132"/>
      <c r="F521" s="131"/>
      <c r="G521" s="131"/>
      <c r="H521" s="131"/>
      <c r="I521" s="131"/>
      <c r="J521" s="131"/>
      <c r="K521" s="131"/>
      <c r="L521" s="131"/>
      <c r="M521" s="131"/>
      <c r="N521" s="131"/>
      <c r="O521" s="142"/>
      <c r="P521" s="142"/>
      <c r="Q521" s="142"/>
      <c r="R521" s="142"/>
      <c r="S521" s="142"/>
      <c r="T521" s="142"/>
      <c r="U521" s="142"/>
      <c r="V521" s="142"/>
      <c r="W521" s="142"/>
      <c r="X521" s="142"/>
      <c r="Y521" s="142"/>
      <c r="Z521" s="142"/>
      <c r="AA521" s="131"/>
      <c r="AB521" s="142"/>
      <c r="AC521" s="142"/>
      <c r="AD521" s="142"/>
      <c r="AE521" s="142"/>
      <c r="AF521" s="142"/>
      <c r="AG521" s="142"/>
      <c r="AH521" s="142"/>
      <c r="AI521" s="142"/>
      <c r="AJ521" s="142"/>
      <c r="AK521" s="142"/>
      <c r="AL521" s="142"/>
      <c r="AM521" s="142"/>
      <c r="AN521" s="142"/>
      <c r="AO521" s="142"/>
      <c r="AP521" s="142"/>
    </row>
    <row r="522" ht="13.5" customHeight="1">
      <c r="A522" s="142"/>
      <c r="B522" s="142"/>
      <c r="C522" s="142"/>
      <c r="D522" s="142"/>
      <c r="E522" s="132"/>
      <c r="F522" s="131"/>
      <c r="G522" s="131"/>
      <c r="H522" s="131"/>
      <c r="I522" s="131"/>
      <c r="J522" s="131"/>
      <c r="K522" s="131"/>
      <c r="L522" s="131"/>
      <c r="M522" s="131"/>
      <c r="N522" s="131"/>
      <c r="O522" s="142"/>
      <c r="P522" s="142"/>
      <c r="Q522" s="142"/>
      <c r="R522" s="142"/>
      <c r="S522" s="142"/>
      <c r="T522" s="142"/>
      <c r="U522" s="142"/>
      <c r="V522" s="142"/>
      <c r="W522" s="142"/>
      <c r="X522" s="142"/>
      <c r="Y522" s="142"/>
      <c r="Z522" s="142"/>
      <c r="AA522" s="131"/>
      <c r="AB522" s="142"/>
      <c r="AC522" s="142"/>
      <c r="AD522" s="142"/>
      <c r="AE522" s="142"/>
      <c r="AF522" s="142"/>
      <c r="AG522" s="142"/>
      <c r="AH522" s="142"/>
      <c r="AI522" s="142"/>
      <c r="AJ522" s="142"/>
      <c r="AK522" s="142"/>
      <c r="AL522" s="142"/>
      <c r="AM522" s="142"/>
      <c r="AN522" s="142"/>
      <c r="AO522" s="142"/>
      <c r="AP522" s="142"/>
    </row>
    <row r="523" ht="13.5" customHeight="1">
      <c r="A523" s="142"/>
      <c r="B523" s="142"/>
      <c r="C523" s="142"/>
      <c r="D523" s="142"/>
      <c r="E523" s="132"/>
      <c r="F523" s="131"/>
      <c r="G523" s="131"/>
      <c r="H523" s="131"/>
      <c r="I523" s="131"/>
      <c r="J523" s="131"/>
      <c r="K523" s="131"/>
      <c r="L523" s="131"/>
      <c r="M523" s="131"/>
      <c r="N523" s="131"/>
      <c r="O523" s="142"/>
      <c r="P523" s="142"/>
      <c r="Q523" s="142"/>
      <c r="R523" s="142"/>
      <c r="S523" s="142"/>
      <c r="T523" s="142"/>
      <c r="U523" s="142"/>
      <c r="V523" s="142"/>
      <c r="W523" s="142"/>
      <c r="X523" s="142"/>
      <c r="Y523" s="142"/>
      <c r="Z523" s="142"/>
      <c r="AA523" s="131"/>
      <c r="AB523" s="142"/>
      <c r="AC523" s="142"/>
      <c r="AD523" s="142"/>
      <c r="AE523" s="142"/>
      <c r="AF523" s="142"/>
      <c r="AG523" s="142"/>
      <c r="AH523" s="142"/>
      <c r="AI523" s="142"/>
      <c r="AJ523" s="142"/>
      <c r="AK523" s="142"/>
      <c r="AL523" s="142"/>
      <c r="AM523" s="142"/>
      <c r="AN523" s="142"/>
      <c r="AO523" s="142"/>
      <c r="AP523" s="142"/>
    </row>
    <row r="524" ht="13.5" customHeight="1">
      <c r="A524" s="142"/>
      <c r="B524" s="142"/>
      <c r="C524" s="142"/>
      <c r="D524" s="142"/>
      <c r="E524" s="132"/>
      <c r="F524" s="131"/>
      <c r="G524" s="131"/>
      <c r="H524" s="131"/>
      <c r="I524" s="131"/>
      <c r="J524" s="131"/>
      <c r="K524" s="131"/>
      <c r="L524" s="131"/>
      <c r="M524" s="131"/>
      <c r="N524" s="131"/>
      <c r="O524" s="142"/>
      <c r="P524" s="142"/>
      <c r="Q524" s="142"/>
      <c r="R524" s="142"/>
      <c r="S524" s="142"/>
      <c r="T524" s="142"/>
      <c r="U524" s="142"/>
      <c r="V524" s="142"/>
      <c r="W524" s="142"/>
      <c r="X524" s="142"/>
      <c r="Y524" s="142"/>
      <c r="Z524" s="142"/>
      <c r="AA524" s="131"/>
      <c r="AB524" s="142"/>
      <c r="AC524" s="142"/>
      <c r="AD524" s="142"/>
      <c r="AE524" s="142"/>
      <c r="AF524" s="142"/>
      <c r="AG524" s="142"/>
      <c r="AH524" s="142"/>
      <c r="AI524" s="142"/>
      <c r="AJ524" s="142"/>
      <c r="AK524" s="142"/>
      <c r="AL524" s="142"/>
      <c r="AM524" s="142"/>
      <c r="AN524" s="142"/>
      <c r="AO524" s="142"/>
      <c r="AP524" s="142"/>
    </row>
    <row r="525" ht="13.5" customHeight="1">
      <c r="A525" s="142"/>
      <c r="B525" s="142"/>
      <c r="C525" s="142"/>
      <c r="D525" s="142"/>
      <c r="E525" s="132"/>
      <c r="F525" s="131"/>
      <c r="G525" s="131"/>
      <c r="H525" s="131"/>
      <c r="I525" s="131"/>
      <c r="J525" s="131"/>
      <c r="K525" s="131"/>
      <c r="L525" s="131"/>
      <c r="M525" s="131"/>
      <c r="N525" s="131"/>
      <c r="O525" s="142"/>
      <c r="P525" s="142"/>
      <c r="Q525" s="142"/>
      <c r="R525" s="142"/>
      <c r="S525" s="142"/>
      <c r="T525" s="142"/>
      <c r="U525" s="142"/>
      <c r="V525" s="142"/>
      <c r="W525" s="142"/>
      <c r="X525" s="142"/>
      <c r="Y525" s="142"/>
      <c r="Z525" s="142"/>
      <c r="AA525" s="131"/>
      <c r="AB525" s="142"/>
      <c r="AC525" s="142"/>
      <c r="AD525" s="142"/>
      <c r="AE525" s="142"/>
      <c r="AF525" s="142"/>
      <c r="AG525" s="142"/>
      <c r="AH525" s="142"/>
      <c r="AI525" s="142"/>
      <c r="AJ525" s="142"/>
      <c r="AK525" s="142"/>
      <c r="AL525" s="142"/>
      <c r="AM525" s="142"/>
      <c r="AN525" s="142"/>
      <c r="AO525" s="142"/>
      <c r="AP525" s="142"/>
    </row>
    <row r="526" ht="13.5" customHeight="1">
      <c r="A526" s="142"/>
      <c r="B526" s="142"/>
      <c r="C526" s="142"/>
      <c r="D526" s="142"/>
      <c r="E526" s="132"/>
      <c r="F526" s="131"/>
      <c r="G526" s="131"/>
      <c r="H526" s="131"/>
      <c r="I526" s="131"/>
      <c r="J526" s="131"/>
      <c r="K526" s="131"/>
      <c r="L526" s="131"/>
      <c r="M526" s="131"/>
      <c r="N526" s="131"/>
      <c r="O526" s="142"/>
      <c r="P526" s="142"/>
      <c r="Q526" s="142"/>
      <c r="R526" s="142"/>
      <c r="S526" s="142"/>
      <c r="T526" s="142"/>
      <c r="U526" s="142"/>
      <c r="V526" s="142"/>
      <c r="W526" s="142"/>
      <c r="X526" s="142"/>
      <c r="Y526" s="142"/>
      <c r="Z526" s="142"/>
      <c r="AA526" s="131"/>
      <c r="AB526" s="142"/>
      <c r="AC526" s="142"/>
      <c r="AD526" s="142"/>
      <c r="AE526" s="142"/>
      <c r="AF526" s="142"/>
      <c r="AG526" s="142"/>
      <c r="AH526" s="142"/>
      <c r="AI526" s="142"/>
      <c r="AJ526" s="142"/>
      <c r="AK526" s="142"/>
      <c r="AL526" s="142"/>
      <c r="AM526" s="142"/>
      <c r="AN526" s="142"/>
      <c r="AO526" s="142"/>
      <c r="AP526" s="142"/>
    </row>
    <row r="527" ht="13.5" customHeight="1">
      <c r="A527" s="142"/>
      <c r="B527" s="142"/>
      <c r="C527" s="142"/>
      <c r="D527" s="142"/>
      <c r="E527" s="132"/>
      <c r="F527" s="131"/>
      <c r="G527" s="131"/>
      <c r="H527" s="131"/>
      <c r="I527" s="131"/>
      <c r="J527" s="131"/>
      <c r="K527" s="131"/>
      <c r="L527" s="131"/>
      <c r="M527" s="131"/>
      <c r="N527" s="131"/>
      <c r="O527" s="142"/>
      <c r="P527" s="142"/>
      <c r="Q527" s="142"/>
      <c r="R527" s="142"/>
      <c r="S527" s="142"/>
      <c r="T527" s="142"/>
      <c r="U527" s="142"/>
      <c r="V527" s="142"/>
      <c r="W527" s="142"/>
      <c r="X527" s="142"/>
      <c r="Y527" s="142"/>
      <c r="Z527" s="142"/>
      <c r="AA527" s="131"/>
      <c r="AB527" s="142"/>
      <c r="AC527" s="142"/>
      <c r="AD527" s="142"/>
      <c r="AE527" s="142"/>
      <c r="AF527" s="142"/>
      <c r="AG527" s="142"/>
      <c r="AH527" s="142"/>
      <c r="AI527" s="142"/>
      <c r="AJ527" s="142"/>
      <c r="AK527" s="142"/>
      <c r="AL527" s="142"/>
      <c r="AM527" s="142"/>
      <c r="AN527" s="142"/>
      <c r="AO527" s="142"/>
      <c r="AP527" s="142"/>
    </row>
    <row r="528" ht="13.5" customHeight="1">
      <c r="A528" s="142"/>
      <c r="B528" s="142"/>
      <c r="C528" s="142"/>
      <c r="D528" s="142"/>
      <c r="E528" s="132"/>
      <c r="F528" s="131"/>
      <c r="G528" s="131"/>
      <c r="H528" s="131"/>
      <c r="I528" s="131"/>
      <c r="J528" s="131"/>
      <c r="K528" s="131"/>
      <c r="L528" s="131"/>
      <c r="M528" s="131"/>
      <c r="N528" s="131"/>
      <c r="O528" s="142"/>
      <c r="P528" s="142"/>
      <c r="Q528" s="142"/>
      <c r="R528" s="142"/>
      <c r="S528" s="142"/>
      <c r="T528" s="142"/>
      <c r="U528" s="142"/>
      <c r="V528" s="142"/>
      <c r="W528" s="142"/>
      <c r="X528" s="142"/>
      <c r="Y528" s="142"/>
      <c r="Z528" s="142"/>
      <c r="AA528" s="131"/>
      <c r="AB528" s="142"/>
      <c r="AC528" s="142"/>
      <c r="AD528" s="142"/>
      <c r="AE528" s="142"/>
      <c r="AF528" s="142"/>
      <c r="AG528" s="142"/>
      <c r="AH528" s="142"/>
      <c r="AI528" s="142"/>
      <c r="AJ528" s="142"/>
      <c r="AK528" s="142"/>
      <c r="AL528" s="142"/>
      <c r="AM528" s="142"/>
      <c r="AN528" s="142"/>
      <c r="AO528" s="142"/>
      <c r="AP528" s="142"/>
    </row>
    <row r="529" ht="13.5" customHeight="1">
      <c r="A529" s="142"/>
      <c r="B529" s="142"/>
      <c r="C529" s="142"/>
      <c r="D529" s="142"/>
      <c r="E529" s="132"/>
      <c r="F529" s="131"/>
      <c r="G529" s="131"/>
      <c r="H529" s="131"/>
      <c r="I529" s="131"/>
      <c r="J529" s="131"/>
      <c r="K529" s="131"/>
      <c r="L529" s="131"/>
      <c r="M529" s="131"/>
      <c r="N529" s="131"/>
      <c r="O529" s="142"/>
      <c r="P529" s="142"/>
      <c r="Q529" s="142"/>
      <c r="R529" s="142"/>
      <c r="S529" s="142"/>
      <c r="T529" s="142"/>
      <c r="U529" s="142"/>
      <c r="V529" s="142"/>
      <c r="W529" s="142"/>
      <c r="X529" s="142"/>
      <c r="Y529" s="142"/>
      <c r="Z529" s="142"/>
      <c r="AA529" s="131"/>
      <c r="AB529" s="142"/>
      <c r="AC529" s="142"/>
      <c r="AD529" s="142"/>
      <c r="AE529" s="142"/>
      <c r="AF529" s="142"/>
      <c r="AG529" s="142"/>
      <c r="AH529" s="142"/>
      <c r="AI529" s="142"/>
      <c r="AJ529" s="142"/>
      <c r="AK529" s="142"/>
      <c r="AL529" s="142"/>
      <c r="AM529" s="142"/>
      <c r="AN529" s="142"/>
      <c r="AO529" s="142"/>
      <c r="AP529" s="142"/>
    </row>
    <row r="530" ht="13.5" customHeight="1">
      <c r="A530" s="142"/>
      <c r="B530" s="142"/>
      <c r="C530" s="142"/>
      <c r="D530" s="142"/>
      <c r="E530" s="132"/>
      <c r="F530" s="131"/>
      <c r="G530" s="131"/>
      <c r="H530" s="131"/>
      <c r="I530" s="131"/>
      <c r="J530" s="131"/>
      <c r="K530" s="131"/>
      <c r="L530" s="131"/>
      <c r="M530" s="131"/>
      <c r="N530" s="131"/>
      <c r="O530" s="142"/>
      <c r="P530" s="142"/>
      <c r="Q530" s="142"/>
      <c r="R530" s="142"/>
      <c r="S530" s="142"/>
      <c r="T530" s="142"/>
      <c r="U530" s="142"/>
      <c r="V530" s="142"/>
      <c r="W530" s="142"/>
      <c r="X530" s="142"/>
      <c r="Y530" s="142"/>
      <c r="Z530" s="142"/>
      <c r="AA530" s="131"/>
      <c r="AB530" s="142"/>
      <c r="AC530" s="142"/>
      <c r="AD530" s="142"/>
      <c r="AE530" s="142"/>
      <c r="AF530" s="142"/>
      <c r="AG530" s="142"/>
      <c r="AH530" s="142"/>
      <c r="AI530" s="142"/>
      <c r="AJ530" s="142"/>
      <c r="AK530" s="142"/>
      <c r="AL530" s="142"/>
      <c r="AM530" s="142"/>
      <c r="AN530" s="142"/>
      <c r="AO530" s="142"/>
      <c r="AP530" s="142"/>
    </row>
    <row r="531" ht="13.5" customHeight="1">
      <c r="A531" s="142"/>
      <c r="B531" s="142"/>
      <c r="C531" s="142"/>
      <c r="D531" s="142"/>
      <c r="E531" s="132"/>
      <c r="F531" s="131"/>
      <c r="G531" s="131"/>
      <c r="H531" s="131"/>
      <c r="I531" s="131"/>
      <c r="J531" s="131"/>
      <c r="K531" s="131"/>
      <c r="L531" s="131"/>
      <c r="M531" s="131"/>
      <c r="N531" s="131"/>
      <c r="O531" s="142"/>
      <c r="P531" s="142"/>
      <c r="Q531" s="142"/>
      <c r="R531" s="142"/>
      <c r="S531" s="142"/>
      <c r="T531" s="142"/>
      <c r="U531" s="142"/>
      <c r="V531" s="142"/>
      <c r="W531" s="142"/>
      <c r="X531" s="142"/>
      <c r="Y531" s="142"/>
      <c r="Z531" s="142"/>
      <c r="AA531" s="131"/>
      <c r="AB531" s="142"/>
      <c r="AC531" s="142"/>
      <c r="AD531" s="142"/>
      <c r="AE531" s="142"/>
      <c r="AF531" s="142"/>
      <c r="AG531" s="142"/>
      <c r="AH531" s="142"/>
      <c r="AI531" s="142"/>
      <c r="AJ531" s="142"/>
      <c r="AK531" s="142"/>
      <c r="AL531" s="142"/>
      <c r="AM531" s="142"/>
      <c r="AN531" s="142"/>
      <c r="AO531" s="142"/>
      <c r="AP531" s="142"/>
    </row>
    <row r="532" ht="13.5" customHeight="1">
      <c r="A532" s="142"/>
      <c r="B532" s="142"/>
      <c r="C532" s="142"/>
      <c r="D532" s="142"/>
      <c r="E532" s="132"/>
      <c r="F532" s="131"/>
      <c r="G532" s="131"/>
      <c r="H532" s="131"/>
      <c r="I532" s="131"/>
      <c r="J532" s="131"/>
      <c r="K532" s="131"/>
      <c r="L532" s="131"/>
      <c r="M532" s="131"/>
      <c r="N532" s="131"/>
      <c r="O532" s="142"/>
      <c r="P532" s="142"/>
      <c r="Q532" s="142"/>
      <c r="R532" s="142"/>
      <c r="S532" s="142"/>
      <c r="T532" s="142"/>
      <c r="U532" s="142"/>
      <c r="V532" s="142"/>
      <c r="W532" s="142"/>
      <c r="X532" s="142"/>
      <c r="Y532" s="142"/>
      <c r="Z532" s="142"/>
      <c r="AA532" s="131"/>
      <c r="AB532" s="142"/>
      <c r="AC532" s="142"/>
      <c r="AD532" s="142"/>
      <c r="AE532" s="142"/>
      <c r="AF532" s="142"/>
      <c r="AG532" s="142"/>
      <c r="AH532" s="142"/>
      <c r="AI532" s="142"/>
      <c r="AJ532" s="142"/>
      <c r="AK532" s="142"/>
      <c r="AL532" s="142"/>
      <c r="AM532" s="142"/>
      <c r="AN532" s="142"/>
      <c r="AO532" s="142"/>
      <c r="AP532" s="142"/>
    </row>
    <row r="533" ht="13.5" customHeight="1">
      <c r="A533" s="142"/>
      <c r="B533" s="142"/>
      <c r="C533" s="142"/>
      <c r="D533" s="142"/>
      <c r="E533" s="132"/>
      <c r="F533" s="131"/>
      <c r="G533" s="131"/>
      <c r="H533" s="131"/>
      <c r="I533" s="131"/>
      <c r="J533" s="131"/>
      <c r="K533" s="131"/>
      <c r="L533" s="131"/>
      <c r="M533" s="131"/>
      <c r="N533" s="131"/>
      <c r="O533" s="142"/>
      <c r="P533" s="142"/>
      <c r="Q533" s="142"/>
      <c r="R533" s="142"/>
      <c r="S533" s="142"/>
      <c r="T533" s="142"/>
      <c r="U533" s="142"/>
      <c r="V533" s="142"/>
      <c r="W533" s="142"/>
      <c r="X533" s="142"/>
      <c r="Y533" s="142"/>
      <c r="Z533" s="142"/>
      <c r="AA533" s="131"/>
      <c r="AB533" s="142"/>
      <c r="AC533" s="142"/>
      <c r="AD533" s="142"/>
      <c r="AE533" s="142"/>
      <c r="AF533" s="142"/>
      <c r="AG533" s="142"/>
      <c r="AH533" s="142"/>
      <c r="AI533" s="142"/>
      <c r="AJ533" s="142"/>
      <c r="AK533" s="142"/>
      <c r="AL533" s="142"/>
      <c r="AM533" s="142"/>
      <c r="AN533" s="142"/>
      <c r="AO533" s="142"/>
      <c r="AP533" s="142"/>
    </row>
    <row r="534" ht="13.5" customHeight="1">
      <c r="A534" s="142"/>
      <c r="B534" s="142"/>
      <c r="C534" s="142"/>
      <c r="D534" s="142"/>
      <c r="E534" s="132"/>
      <c r="F534" s="131"/>
      <c r="G534" s="131"/>
      <c r="H534" s="131"/>
      <c r="I534" s="131"/>
      <c r="J534" s="131"/>
      <c r="K534" s="131"/>
      <c r="L534" s="131"/>
      <c r="M534" s="131"/>
      <c r="N534" s="131"/>
      <c r="O534" s="142"/>
      <c r="P534" s="142"/>
      <c r="Q534" s="142"/>
      <c r="R534" s="142"/>
      <c r="S534" s="142"/>
      <c r="T534" s="142"/>
      <c r="U534" s="142"/>
      <c r="V534" s="142"/>
      <c r="W534" s="142"/>
      <c r="X534" s="142"/>
      <c r="Y534" s="142"/>
      <c r="Z534" s="142"/>
      <c r="AA534" s="131"/>
      <c r="AB534" s="142"/>
      <c r="AC534" s="142"/>
      <c r="AD534" s="142"/>
      <c r="AE534" s="142"/>
      <c r="AF534" s="142"/>
      <c r="AG534" s="142"/>
      <c r="AH534" s="142"/>
      <c r="AI534" s="142"/>
      <c r="AJ534" s="142"/>
      <c r="AK534" s="142"/>
      <c r="AL534" s="142"/>
      <c r="AM534" s="142"/>
      <c r="AN534" s="142"/>
      <c r="AO534" s="142"/>
      <c r="AP534" s="142"/>
    </row>
    <row r="535" ht="13.5" customHeight="1">
      <c r="A535" s="142"/>
      <c r="B535" s="142"/>
      <c r="C535" s="142"/>
      <c r="D535" s="142"/>
      <c r="E535" s="132"/>
      <c r="F535" s="131"/>
      <c r="G535" s="131"/>
      <c r="H535" s="131"/>
      <c r="I535" s="131"/>
      <c r="J535" s="131"/>
      <c r="K535" s="131"/>
      <c r="L535" s="131"/>
      <c r="M535" s="131"/>
      <c r="N535" s="131"/>
      <c r="O535" s="142"/>
      <c r="P535" s="142"/>
      <c r="Q535" s="142"/>
      <c r="R535" s="142"/>
      <c r="S535" s="142"/>
      <c r="T535" s="142"/>
      <c r="U535" s="142"/>
      <c r="V535" s="142"/>
      <c r="W535" s="142"/>
      <c r="X535" s="142"/>
      <c r="Y535" s="142"/>
      <c r="Z535" s="142"/>
      <c r="AA535" s="131"/>
      <c r="AB535" s="142"/>
      <c r="AC535" s="142"/>
      <c r="AD535" s="142"/>
      <c r="AE535" s="142"/>
      <c r="AF535" s="142"/>
      <c r="AG535" s="142"/>
      <c r="AH535" s="142"/>
      <c r="AI535" s="142"/>
      <c r="AJ535" s="142"/>
      <c r="AK535" s="142"/>
      <c r="AL535" s="142"/>
      <c r="AM535" s="142"/>
      <c r="AN535" s="142"/>
      <c r="AO535" s="142"/>
      <c r="AP535" s="142"/>
    </row>
    <row r="536" ht="13.5" customHeight="1">
      <c r="A536" s="142"/>
      <c r="B536" s="142"/>
      <c r="C536" s="142"/>
      <c r="D536" s="142"/>
      <c r="E536" s="132"/>
      <c r="F536" s="131"/>
      <c r="G536" s="131"/>
      <c r="H536" s="131"/>
      <c r="I536" s="131"/>
      <c r="J536" s="131"/>
      <c r="K536" s="131"/>
      <c r="L536" s="131"/>
      <c r="M536" s="131"/>
      <c r="N536" s="131"/>
      <c r="O536" s="142"/>
      <c r="P536" s="142"/>
      <c r="Q536" s="142"/>
      <c r="R536" s="142"/>
      <c r="S536" s="142"/>
      <c r="T536" s="142"/>
      <c r="U536" s="142"/>
      <c r="V536" s="142"/>
      <c r="W536" s="142"/>
      <c r="X536" s="142"/>
      <c r="Y536" s="142"/>
      <c r="Z536" s="142"/>
      <c r="AA536" s="131"/>
      <c r="AB536" s="142"/>
      <c r="AC536" s="142"/>
      <c r="AD536" s="142"/>
      <c r="AE536" s="142"/>
      <c r="AF536" s="142"/>
      <c r="AG536" s="142"/>
      <c r="AH536" s="142"/>
      <c r="AI536" s="142"/>
      <c r="AJ536" s="142"/>
      <c r="AK536" s="142"/>
      <c r="AL536" s="142"/>
      <c r="AM536" s="142"/>
      <c r="AN536" s="142"/>
      <c r="AO536" s="142"/>
      <c r="AP536" s="142"/>
    </row>
    <row r="537" ht="13.5" customHeight="1">
      <c r="A537" s="142"/>
      <c r="B537" s="142"/>
      <c r="C537" s="142"/>
      <c r="D537" s="142"/>
      <c r="E537" s="132"/>
      <c r="F537" s="131"/>
      <c r="G537" s="131"/>
      <c r="H537" s="131"/>
      <c r="I537" s="131"/>
      <c r="J537" s="131"/>
      <c r="K537" s="131"/>
      <c r="L537" s="131"/>
      <c r="M537" s="131"/>
      <c r="N537" s="131"/>
      <c r="O537" s="142"/>
      <c r="P537" s="142"/>
      <c r="Q537" s="142"/>
      <c r="R537" s="142"/>
      <c r="S537" s="142"/>
      <c r="T537" s="142"/>
      <c r="U537" s="142"/>
      <c r="V537" s="142"/>
      <c r="W537" s="142"/>
      <c r="X537" s="142"/>
      <c r="Y537" s="142"/>
      <c r="Z537" s="142"/>
      <c r="AA537" s="131"/>
      <c r="AB537" s="142"/>
      <c r="AC537" s="142"/>
      <c r="AD537" s="142"/>
      <c r="AE537" s="142"/>
      <c r="AF537" s="142"/>
      <c r="AG537" s="142"/>
      <c r="AH537" s="142"/>
      <c r="AI537" s="142"/>
      <c r="AJ537" s="142"/>
      <c r="AK537" s="142"/>
      <c r="AL537" s="142"/>
      <c r="AM537" s="142"/>
      <c r="AN537" s="142"/>
      <c r="AO537" s="142"/>
      <c r="AP537" s="142"/>
    </row>
    <row r="538" ht="13.5" customHeight="1">
      <c r="A538" s="142"/>
      <c r="B538" s="142"/>
      <c r="C538" s="142"/>
      <c r="D538" s="142"/>
      <c r="E538" s="132"/>
      <c r="F538" s="131"/>
      <c r="G538" s="131"/>
      <c r="H538" s="131"/>
      <c r="I538" s="131"/>
      <c r="J538" s="131"/>
      <c r="K538" s="131"/>
      <c r="L538" s="131"/>
      <c r="M538" s="131"/>
      <c r="N538" s="131"/>
      <c r="O538" s="142"/>
      <c r="P538" s="142"/>
      <c r="Q538" s="142"/>
      <c r="R538" s="142"/>
      <c r="S538" s="142"/>
      <c r="T538" s="142"/>
      <c r="U538" s="142"/>
      <c r="V538" s="142"/>
      <c r="W538" s="142"/>
      <c r="X538" s="142"/>
      <c r="Y538" s="142"/>
      <c r="Z538" s="142"/>
      <c r="AA538" s="131"/>
      <c r="AB538" s="142"/>
      <c r="AC538" s="142"/>
      <c r="AD538" s="142"/>
      <c r="AE538" s="142"/>
      <c r="AF538" s="142"/>
      <c r="AG538" s="142"/>
      <c r="AH538" s="142"/>
      <c r="AI538" s="142"/>
      <c r="AJ538" s="142"/>
      <c r="AK538" s="142"/>
      <c r="AL538" s="142"/>
      <c r="AM538" s="142"/>
      <c r="AN538" s="142"/>
      <c r="AO538" s="142"/>
      <c r="AP538" s="142"/>
    </row>
    <row r="539" ht="13.5" customHeight="1">
      <c r="A539" s="142"/>
      <c r="B539" s="142"/>
      <c r="C539" s="142"/>
      <c r="D539" s="142"/>
      <c r="E539" s="132"/>
      <c r="F539" s="131"/>
      <c r="G539" s="131"/>
      <c r="H539" s="131"/>
      <c r="I539" s="131"/>
      <c r="J539" s="131"/>
      <c r="K539" s="131"/>
      <c r="L539" s="131"/>
      <c r="M539" s="131"/>
      <c r="N539" s="131"/>
      <c r="O539" s="142"/>
      <c r="P539" s="142"/>
      <c r="Q539" s="142"/>
      <c r="R539" s="142"/>
      <c r="S539" s="142"/>
      <c r="T539" s="142"/>
      <c r="U539" s="142"/>
      <c r="V539" s="142"/>
      <c r="W539" s="142"/>
      <c r="X539" s="142"/>
      <c r="Y539" s="142"/>
      <c r="Z539" s="142"/>
      <c r="AA539" s="131"/>
      <c r="AB539" s="142"/>
      <c r="AC539" s="142"/>
      <c r="AD539" s="142"/>
      <c r="AE539" s="142"/>
      <c r="AF539" s="142"/>
      <c r="AG539" s="142"/>
      <c r="AH539" s="142"/>
      <c r="AI539" s="142"/>
      <c r="AJ539" s="142"/>
      <c r="AK539" s="142"/>
      <c r="AL539" s="142"/>
      <c r="AM539" s="142"/>
      <c r="AN539" s="142"/>
      <c r="AO539" s="142"/>
      <c r="AP539" s="142"/>
    </row>
    <row r="540" ht="13.5" customHeight="1">
      <c r="A540" s="142"/>
      <c r="B540" s="142"/>
      <c r="C540" s="142"/>
      <c r="D540" s="142"/>
      <c r="E540" s="132"/>
      <c r="F540" s="131"/>
      <c r="G540" s="131"/>
      <c r="H540" s="131"/>
      <c r="I540" s="131"/>
      <c r="J540" s="131"/>
      <c r="K540" s="131"/>
      <c r="L540" s="131"/>
      <c r="M540" s="131"/>
      <c r="N540" s="131"/>
      <c r="O540" s="142"/>
      <c r="P540" s="142"/>
      <c r="Q540" s="142"/>
      <c r="R540" s="142"/>
      <c r="S540" s="142"/>
      <c r="T540" s="142"/>
      <c r="U540" s="142"/>
      <c r="V540" s="142"/>
      <c r="W540" s="142"/>
      <c r="X540" s="142"/>
      <c r="Y540" s="142"/>
      <c r="Z540" s="142"/>
      <c r="AA540" s="131"/>
      <c r="AB540" s="142"/>
      <c r="AC540" s="142"/>
      <c r="AD540" s="142"/>
      <c r="AE540" s="142"/>
      <c r="AF540" s="142"/>
      <c r="AG540" s="142"/>
      <c r="AH540" s="142"/>
      <c r="AI540" s="142"/>
      <c r="AJ540" s="142"/>
      <c r="AK540" s="142"/>
      <c r="AL540" s="142"/>
      <c r="AM540" s="142"/>
      <c r="AN540" s="142"/>
      <c r="AO540" s="142"/>
      <c r="AP540" s="142"/>
    </row>
    <row r="541" ht="13.5" customHeight="1">
      <c r="A541" s="142"/>
      <c r="B541" s="142"/>
      <c r="C541" s="142"/>
      <c r="D541" s="142"/>
      <c r="E541" s="132"/>
      <c r="F541" s="131"/>
      <c r="G541" s="131"/>
      <c r="H541" s="131"/>
      <c r="I541" s="131"/>
      <c r="J541" s="131"/>
      <c r="K541" s="131"/>
      <c r="L541" s="131"/>
      <c r="M541" s="131"/>
      <c r="N541" s="131"/>
      <c r="O541" s="142"/>
      <c r="P541" s="142"/>
      <c r="Q541" s="142"/>
      <c r="R541" s="142"/>
      <c r="S541" s="142"/>
      <c r="T541" s="142"/>
      <c r="U541" s="142"/>
      <c r="V541" s="142"/>
      <c r="W541" s="142"/>
      <c r="X541" s="142"/>
      <c r="Y541" s="142"/>
      <c r="Z541" s="142"/>
      <c r="AA541" s="131"/>
      <c r="AB541" s="142"/>
      <c r="AC541" s="142"/>
      <c r="AD541" s="142"/>
      <c r="AE541" s="142"/>
      <c r="AF541" s="142"/>
      <c r="AG541" s="142"/>
      <c r="AH541" s="142"/>
      <c r="AI541" s="142"/>
      <c r="AJ541" s="142"/>
      <c r="AK541" s="142"/>
      <c r="AL541" s="142"/>
      <c r="AM541" s="142"/>
      <c r="AN541" s="142"/>
      <c r="AO541" s="142"/>
      <c r="AP541" s="142"/>
    </row>
    <row r="542" ht="13.5" customHeight="1">
      <c r="A542" s="142"/>
      <c r="B542" s="142"/>
      <c r="C542" s="142"/>
      <c r="D542" s="142"/>
      <c r="E542" s="132"/>
      <c r="F542" s="131"/>
      <c r="G542" s="131"/>
      <c r="H542" s="131"/>
      <c r="I542" s="131"/>
      <c r="J542" s="131"/>
      <c r="K542" s="131"/>
      <c r="L542" s="131"/>
      <c r="M542" s="131"/>
      <c r="N542" s="131"/>
      <c r="O542" s="142"/>
      <c r="P542" s="142"/>
      <c r="Q542" s="142"/>
      <c r="R542" s="142"/>
      <c r="S542" s="142"/>
      <c r="T542" s="142"/>
      <c r="U542" s="142"/>
      <c r="V542" s="142"/>
      <c r="W542" s="142"/>
      <c r="X542" s="142"/>
      <c r="Y542" s="142"/>
      <c r="Z542" s="142"/>
      <c r="AA542" s="131"/>
      <c r="AB542" s="142"/>
      <c r="AC542" s="142"/>
      <c r="AD542" s="142"/>
      <c r="AE542" s="142"/>
      <c r="AF542" s="142"/>
      <c r="AG542" s="142"/>
      <c r="AH542" s="142"/>
      <c r="AI542" s="142"/>
      <c r="AJ542" s="142"/>
      <c r="AK542" s="142"/>
      <c r="AL542" s="142"/>
      <c r="AM542" s="142"/>
      <c r="AN542" s="142"/>
      <c r="AO542" s="142"/>
      <c r="AP542" s="142"/>
    </row>
    <row r="543" ht="13.5" customHeight="1">
      <c r="A543" s="142"/>
      <c r="B543" s="142"/>
      <c r="C543" s="142"/>
      <c r="D543" s="142"/>
      <c r="E543" s="132"/>
      <c r="F543" s="131"/>
      <c r="G543" s="131"/>
      <c r="H543" s="131"/>
      <c r="I543" s="131"/>
      <c r="J543" s="131"/>
      <c r="K543" s="131"/>
      <c r="L543" s="131"/>
      <c r="M543" s="131"/>
      <c r="N543" s="131"/>
      <c r="O543" s="142"/>
      <c r="P543" s="142"/>
      <c r="Q543" s="142"/>
      <c r="R543" s="142"/>
      <c r="S543" s="142"/>
      <c r="T543" s="142"/>
      <c r="U543" s="142"/>
      <c r="V543" s="142"/>
      <c r="W543" s="142"/>
      <c r="X543" s="142"/>
      <c r="Y543" s="142"/>
      <c r="Z543" s="142"/>
      <c r="AA543" s="131"/>
      <c r="AB543" s="142"/>
      <c r="AC543" s="142"/>
      <c r="AD543" s="142"/>
      <c r="AE543" s="142"/>
      <c r="AF543" s="142"/>
      <c r="AG543" s="142"/>
      <c r="AH543" s="142"/>
      <c r="AI543" s="142"/>
      <c r="AJ543" s="142"/>
      <c r="AK543" s="142"/>
      <c r="AL543" s="142"/>
      <c r="AM543" s="142"/>
      <c r="AN543" s="142"/>
      <c r="AO543" s="142"/>
      <c r="AP543" s="142"/>
    </row>
    <row r="544" ht="13.5" customHeight="1">
      <c r="A544" s="142"/>
      <c r="B544" s="142"/>
      <c r="C544" s="142"/>
      <c r="D544" s="142"/>
      <c r="E544" s="132"/>
      <c r="F544" s="131"/>
      <c r="G544" s="131"/>
      <c r="H544" s="131"/>
      <c r="I544" s="131"/>
      <c r="J544" s="131"/>
      <c r="K544" s="131"/>
      <c r="L544" s="131"/>
      <c r="M544" s="131"/>
      <c r="N544" s="131"/>
      <c r="O544" s="142"/>
      <c r="P544" s="142"/>
      <c r="Q544" s="142"/>
      <c r="R544" s="142"/>
      <c r="S544" s="142"/>
      <c r="T544" s="142"/>
      <c r="U544" s="142"/>
      <c r="V544" s="142"/>
      <c r="W544" s="142"/>
      <c r="X544" s="142"/>
      <c r="Y544" s="142"/>
      <c r="Z544" s="142"/>
      <c r="AA544" s="131"/>
      <c r="AB544" s="142"/>
      <c r="AC544" s="142"/>
      <c r="AD544" s="142"/>
      <c r="AE544" s="142"/>
      <c r="AF544" s="142"/>
      <c r="AG544" s="142"/>
      <c r="AH544" s="142"/>
      <c r="AI544" s="142"/>
      <c r="AJ544" s="142"/>
      <c r="AK544" s="142"/>
      <c r="AL544" s="142"/>
      <c r="AM544" s="142"/>
      <c r="AN544" s="142"/>
      <c r="AO544" s="142"/>
      <c r="AP544" s="142"/>
    </row>
    <row r="545" ht="13.5" customHeight="1">
      <c r="A545" s="142"/>
      <c r="B545" s="142"/>
      <c r="C545" s="142"/>
      <c r="D545" s="142"/>
      <c r="E545" s="132"/>
      <c r="F545" s="131"/>
      <c r="G545" s="131"/>
      <c r="H545" s="131"/>
      <c r="I545" s="131"/>
      <c r="J545" s="131"/>
      <c r="K545" s="131"/>
      <c r="L545" s="131"/>
      <c r="M545" s="131"/>
      <c r="N545" s="131"/>
      <c r="O545" s="142"/>
      <c r="P545" s="142"/>
      <c r="Q545" s="142"/>
      <c r="R545" s="142"/>
      <c r="S545" s="142"/>
      <c r="T545" s="142"/>
      <c r="U545" s="142"/>
      <c r="V545" s="142"/>
      <c r="W545" s="142"/>
      <c r="X545" s="142"/>
      <c r="Y545" s="142"/>
      <c r="Z545" s="142"/>
      <c r="AA545" s="131"/>
      <c r="AB545" s="142"/>
      <c r="AC545" s="142"/>
      <c r="AD545" s="142"/>
      <c r="AE545" s="142"/>
      <c r="AF545" s="142"/>
      <c r="AG545" s="142"/>
      <c r="AH545" s="142"/>
      <c r="AI545" s="142"/>
      <c r="AJ545" s="142"/>
      <c r="AK545" s="142"/>
      <c r="AL545" s="142"/>
      <c r="AM545" s="142"/>
      <c r="AN545" s="142"/>
      <c r="AO545" s="142"/>
      <c r="AP545" s="142"/>
    </row>
    <row r="546" ht="13.5" customHeight="1">
      <c r="A546" s="142"/>
      <c r="B546" s="142"/>
      <c r="C546" s="142"/>
      <c r="D546" s="142"/>
      <c r="E546" s="132"/>
      <c r="F546" s="131"/>
      <c r="G546" s="131"/>
      <c r="H546" s="131"/>
      <c r="I546" s="131"/>
      <c r="J546" s="131"/>
      <c r="K546" s="131"/>
      <c r="L546" s="131"/>
      <c r="M546" s="131"/>
      <c r="N546" s="131"/>
      <c r="O546" s="142"/>
      <c r="P546" s="142"/>
      <c r="Q546" s="142"/>
      <c r="R546" s="142"/>
      <c r="S546" s="142"/>
      <c r="T546" s="142"/>
      <c r="U546" s="142"/>
      <c r="V546" s="142"/>
      <c r="W546" s="142"/>
      <c r="X546" s="142"/>
      <c r="Y546" s="142"/>
      <c r="Z546" s="142"/>
      <c r="AA546" s="131"/>
      <c r="AB546" s="142"/>
      <c r="AC546" s="142"/>
      <c r="AD546" s="142"/>
      <c r="AE546" s="142"/>
      <c r="AF546" s="142"/>
      <c r="AG546" s="142"/>
      <c r="AH546" s="142"/>
      <c r="AI546" s="142"/>
      <c r="AJ546" s="142"/>
      <c r="AK546" s="142"/>
      <c r="AL546" s="142"/>
      <c r="AM546" s="142"/>
      <c r="AN546" s="142"/>
      <c r="AO546" s="142"/>
      <c r="AP546" s="142"/>
    </row>
    <row r="547" ht="13.5" customHeight="1">
      <c r="A547" s="142"/>
      <c r="B547" s="142"/>
      <c r="C547" s="142"/>
      <c r="D547" s="142"/>
      <c r="E547" s="132"/>
      <c r="F547" s="131"/>
      <c r="G547" s="131"/>
      <c r="H547" s="131"/>
      <c r="I547" s="131"/>
      <c r="J547" s="131"/>
      <c r="K547" s="131"/>
      <c r="L547" s="131"/>
      <c r="M547" s="131"/>
      <c r="N547" s="131"/>
      <c r="O547" s="142"/>
      <c r="P547" s="142"/>
      <c r="Q547" s="142"/>
      <c r="R547" s="142"/>
      <c r="S547" s="142"/>
      <c r="T547" s="142"/>
      <c r="U547" s="142"/>
      <c r="V547" s="142"/>
      <c r="W547" s="142"/>
      <c r="X547" s="142"/>
      <c r="Y547" s="142"/>
      <c r="Z547" s="142"/>
      <c r="AA547" s="131"/>
      <c r="AB547" s="142"/>
      <c r="AC547" s="142"/>
      <c r="AD547" s="142"/>
      <c r="AE547" s="142"/>
      <c r="AF547" s="142"/>
      <c r="AG547" s="142"/>
      <c r="AH547" s="142"/>
      <c r="AI547" s="142"/>
      <c r="AJ547" s="142"/>
      <c r="AK547" s="142"/>
      <c r="AL547" s="142"/>
      <c r="AM547" s="142"/>
      <c r="AN547" s="142"/>
      <c r="AO547" s="142"/>
      <c r="AP547" s="142"/>
    </row>
    <row r="548" ht="13.5" customHeight="1">
      <c r="A548" s="142"/>
      <c r="B548" s="142"/>
      <c r="C548" s="142"/>
      <c r="D548" s="142"/>
      <c r="E548" s="132"/>
      <c r="F548" s="131"/>
      <c r="G548" s="131"/>
      <c r="H548" s="131"/>
      <c r="I548" s="131"/>
      <c r="J548" s="131"/>
      <c r="K548" s="131"/>
      <c r="L548" s="131"/>
      <c r="M548" s="131"/>
      <c r="N548" s="131"/>
      <c r="O548" s="142"/>
      <c r="P548" s="142"/>
      <c r="Q548" s="142"/>
      <c r="R548" s="142"/>
      <c r="S548" s="142"/>
      <c r="T548" s="142"/>
      <c r="U548" s="142"/>
      <c r="V548" s="142"/>
      <c r="W548" s="142"/>
      <c r="X548" s="142"/>
      <c r="Y548" s="142"/>
      <c r="Z548" s="142"/>
      <c r="AA548" s="131"/>
      <c r="AB548" s="142"/>
      <c r="AC548" s="142"/>
      <c r="AD548" s="142"/>
      <c r="AE548" s="142"/>
      <c r="AF548" s="142"/>
      <c r="AG548" s="142"/>
      <c r="AH548" s="142"/>
      <c r="AI548" s="142"/>
      <c r="AJ548" s="142"/>
      <c r="AK548" s="142"/>
      <c r="AL548" s="142"/>
      <c r="AM548" s="142"/>
      <c r="AN548" s="142"/>
      <c r="AO548" s="142"/>
      <c r="AP548" s="142"/>
    </row>
    <row r="549" ht="13.5" customHeight="1">
      <c r="A549" s="142"/>
      <c r="B549" s="142"/>
      <c r="C549" s="142"/>
      <c r="D549" s="142"/>
      <c r="E549" s="132"/>
      <c r="F549" s="131"/>
      <c r="G549" s="131"/>
      <c r="H549" s="131"/>
      <c r="I549" s="131"/>
      <c r="J549" s="131"/>
      <c r="K549" s="131"/>
      <c r="L549" s="131"/>
      <c r="M549" s="131"/>
      <c r="N549" s="131"/>
      <c r="O549" s="142"/>
      <c r="P549" s="142"/>
      <c r="Q549" s="142"/>
      <c r="R549" s="142"/>
      <c r="S549" s="142"/>
      <c r="T549" s="142"/>
      <c r="U549" s="142"/>
      <c r="V549" s="142"/>
      <c r="W549" s="142"/>
      <c r="X549" s="142"/>
      <c r="Y549" s="142"/>
      <c r="Z549" s="142"/>
      <c r="AA549" s="131"/>
      <c r="AB549" s="142"/>
      <c r="AC549" s="142"/>
      <c r="AD549" s="142"/>
      <c r="AE549" s="142"/>
      <c r="AF549" s="142"/>
      <c r="AG549" s="142"/>
      <c r="AH549" s="142"/>
      <c r="AI549" s="142"/>
      <c r="AJ549" s="142"/>
      <c r="AK549" s="142"/>
      <c r="AL549" s="142"/>
      <c r="AM549" s="142"/>
      <c r="AN549" s="142"/>
      <c r="AO549" s="142"/>
      <c r="AP549" s="142"/>
    </row>
    <row r="550" ht="13.5" customHeight="1">
      <c r="A550" s="142"/>
      <c r="B550" s="142"/>
      <c r="C550" s="142"/>
      <c r="D550" s="142"/>
      <c r="E550" s="132"/>
      <c r="F550" s="131"/>
      <c r="G550" s="131"/>
      <c r="H550" s="131"/>
      <c r="I550" s="131"/>
      <c r="J550" s="131"/>
      <c r="K550" s="131"/>
      <c r="L550" s="131"/>
      <c r="M550" s="131"/>
      <c r="N550" s="131"/>
      <c r="O550" s="142"/>
      <c r="P550" s="142"/>
      <c r="Q550" s="142"/>
      <c r="R550" s="142"/>
      <c r="S550" s="142"/>
      <c r="T550" s="142"/>
      <c r="U550" s="142"/>
      <c r="V550" s="142"/>
      <c r="W550" s="142"/>
      <c r="X550" s="142"/>
      <c r="Y550" s="142"/>
      <c r="Z550" s="142"/>
      <c r="AA550" s="131"/>
      <c r="AB550" s="142"/>
      <c r="AC550" s="142"/>
      <c r="AD550" s="142"/>
      <c r="AE550" s="142"/>
      <c r="AF550" s="142"/>
      <c r="AG550" s="142"/>
      <c r="AH550" s="142"/>
      <c r="AI550" s="142"/>
      <c r="AJ550" s="142"/>
      <c r="AK550" s="142"/>
      <c r="AL550" s="142"/>
      <c r="AM550" s="142"/>
      <c r="AN550" s="142"/>
      <c r="AO550" s="142"/>
      <c r="AP550" s="142"/>
    </row>
    <row r="551" ht="13.5" customHeight="1">
      <c r="A551" s="142"/>
      <c r="B551" s="142"/>
      <c r="C551" s="142"/>
      <c r="D551" s="142"/>
      <c r="E551" s="132"/>
      <c r="F551" s="131"/>
      <c r="G551" s="131"/>
      <c r="H551" s="131"/>
      <c r="I551" s="131"/>
      <c r="J551" s="131"/>
      <c r="K551" s="131"/>
      <c r="L551" s="131"/>
      <c r="M551" s="131"/>
      <c r="N551" s="131"/>
      <c r="O551" s="142"/>
      <c r="P551" s="142"/>
      <c r="Q551" s="142"/>
      <c r="R551" s="142"/>
      <c r="S551" s="142"/>
      <c r="T551" s="142"/>
      <c r="U551" s="142"/>
      <c r="V551" s="142"/>
      <c r="W551" s="142"/>
      <c r="X551" s="142"/>
      <c r="Y551" s="142"/>
      <c r="Z551" s="142"/>
      <c r="AA551" s="131"/>
      <c r="AB551" s="142"/>
      <c r="AC551" s="142"/>
      <c r="AD551" s="142"/>
      <c r="AE551" s="142"/>
      <c r="AF551" s="142"/>
      <c r="AG551" s="142"/>
      <c r="AH551" s="142"/>
      <c r="AI551" s="142"/>
      <c r="AJ551" s="142"/>
      <c r="AK551" s="142"/>
      <c r="AL551" s="142"/>
      <c r="AM551" s="142"/>
      <c r="AN551" s="142"/>
      <c r="AO551" s="142"/>
      <c r="AP551" s="142"/>
    </row>
    <row r="552" ht="13.5" customHeight="1">
      <c r="A552" s="142"/>
      <c r="B552" s="142"/>
      <c r="C552" s="142"/>
      <c r="D552" s="142"/>
      <c r="E552" s="132"/>
      <c r="F552" s="131"/>
      <c r="G552" s="131"/>
      <c r="H552" s="131"/>
      <c r="I552" s="131"/>
      <c r="J552" s="131"/>
      <c r="K552" s="131"/>
      <c r="L552" s="131"/>
      <c r="M552" s="131"/>
      <c r="N552" s="131"/>
      <c r="O552" s="142"/>
      <c r="P552" s="142"/>
      <c r="Q552" s="142"/>
      <c r="R552" s="142"/>
      <c r="S552" s="142"/>
      <c r="T552" s="142"/>
      <c r="U552" s="142"/>
      <c r="V552" s="142"/>
      <c r="W552" s="142"/>
      <c r="X552" s="142"/>
      <c r="Y552" s="142"/>
      <c r="Z552" s="142"/>
      <c r="AA552" s="131"/>
      <c r="AB552" s="142"/>
      <c r="AC552" s="142"/>
      <c r="AD552" s="142"/>
      <c r="AE552" s="142"/>
      <c r="AF552" s="142"/>
      <c r="AG552" s="142"/>
      <c r="AH552" s="142"/>
      <c r="AI552" s="142"/>
      <c r="AJ552" s="142"/>
      <c r="AK552" s="142"/>
      <c r="AL552" s="142"/>
      <c r="AM552" s="142"/>
      <c r="AN552" s="142"/>
      <c r="AO552" s="142"/>
      <c r="AP552" s="142"/>
    </row>
    <row r="553" ht="13.5" customHeight="1">
      <c r="A553" s="142"/>
      <c r="B553" s="142"/>
      <c r="C553" s="142"/>
      <c r="D553" s="142"/>
      <c r="E553" s="132"/>
      <c r="F553" s="131"/>
      <c r="G553" s="131"/>
      <c r="H553" s="131"/>
      <c r="I553" s="131"/>
      <c r="J553" s="131"/>
      <c r="K553" s="131"/>
      <c r="L553" s="131"/>
      <c r="M553" s="131"/>
      <c r="N553" s="131"/>
      <c r="O553" s="142"/>
      <c r="P553" s="142"/>
      <c r="Q553" s="142"/>
      <c r="R553" s="142"/>
      <c r="S553" s="142"/>
      <c r="T553" s="142"/>
      <c r="U553" s="142"/>
      <c r="V553" s="142"/>
      <c r="W553" s="142"/>
      <c r="X553" s="142"/>
      <c r="Y553" s="142"/>
      <c r="Z553" s="142"/>
      <c r="AA553" s="131"/>
      <c r="AB553" s="142"/>
      <c r="AC553" s="142"/>
      <c r="AD553" s="142"/>
      <c r="AE553" s="142"/>
      <c r="AF553" s="142"/>
      <c r="AG553" s="142"/>
      <c r="AH553" s="142"/>
      <c r="AI553" s="142"/>
      <c r="AJ553" s="142"/>
      <c r="AK553" s="142"/>
      <c r="AL553" s="142"/>
      <c r="AM553" s="142"/>
      <c r="AN553" s="142"/>
      <c r="AO553" s="142"/>
      <c r="AP553" s="142"/>
    </row>
    <row r="554" ht="13.5" customHeight="1">
      <c r="A554" s="142"/>
      <c r="B554" s="142"/>
      <c r="C554" s="142"/>
      <c r="D554" s="142"/>
      <c r="E554" s="132"/>
      <c r="F554" s="131"/>
      <c r="G554" s="131"/>
      <c r="H554" s="131"/>
      <c r="I554" s="131"/>
      <c r="J554" s="131"/>
      <c r="K554" s="131"/>
      <c r="L554" s="131"/>
      <c r="M554" s="131"/>
      <c r="N554" s="131"/>
      <c r="O554" s="142"/>
      <c r="P554" s="142"/>
      <c r="Q554" s="142"/>
      <c r="R554" s="142"/>
      <c r="S554" s="142"/>
      <c r="T554" s="142"/>
      <c r="U554" s="142"/>
      <c r="V554" s="142"/>
      <c r="W554" s="142"/>
      <c r="X554" s="142"/>
      <c r="Y554" s="142"/>
      <c r="Z554" s="142"/>
      <c r="AA554" s="131"/>
      <c r="AB554" s="142"/>
      <c r="AC554" s="142"/>
      <c r="AD554" s="142"/>
      <c r="AE554" s="142"/>
      <c r="AF554" s="142"/>
      <c r="AG554" s="142"/>
      <c r="AH554" s="142"/>
      <c r="AI554" s="142"/>
      <c r="AJ554" s="142"/>
      <c r="AK554" s="142"/>
      <c r="AL554" s="142"/>
      <c r="AM554" s="142"/>
      <c r="AN554" s="142"/>
      <c r="AO554" s="142"/>
      <c r="AP554" s="142"/>
    </row>
    <row r="555" ht="13.5" customHeight="1">
      <c r="A555" s="142"/>
      <c r="B555" s="142"/>
      <c r="C555" s="142"/>
      <c r="D555" s="142"/>
      <c r="E555" s="132"/>
      <c r="F555" s="131"/>
      <c r="G555" s="131"/>
      <c r="H555" s="131"/>
      <c r="I555" s="131"/>
      <c r="J555" s="131"/>
      <c r="K555" s="131"/>
      <c r="L555" s="131"/>
      <c r="M555" s="131"/>
      <c r="N555" s="131"/>
      <c r="O555" s="142"/>
      <c r="P555" s="142"/>
      <c r="Q555" s="142"/>
      <c r="R555" s="142"/>
      <c r="S555" s="142"/>
      <c r="T555" s="142"/>
      <c r="U555" s="142"/>
      <c r="V555" s="142"/>
      <c r="W555" s="142"/>
      <c r="X555" s="142"/>
      <c r="Y555" s="142"/>
      <c r="Z555" s="142"/>
      <c r="AA555" s="131"/>
      <c r="AB555" s="142"/>
      <c r="AC555" s="142"/>
      <c r="AD555" s="142"/>
      <c r="AE555" s="142"/>
      <c r="AF555" s="142"/>
      <c r="AG555" s="142"/>
      <c r="AH555" s="142"/>
      <c r="AI555" s="142"/>
      <c r="AJ555" s="142"/>
      <c r="AK555" s="142"/>
      <c r="AL555" s="142"/>
      <c r="AM555" s="142"/>
      <c r="AN555" s="142"/>
      <c r="AO555" s="142"/>
      <c r="AP555" s="142"/>
    </row>
    <row r="556" ht="13.5" customHeight="1">
      <c r="A556" s="142"/>
      <c r="B556" s="142"/>
      <c r="C556" s="142"/>
      <c r="D556" s="142"/>
      <c r="E556" s="132"/>
      <c r="F556" s="131"/>
      <c r="G556" s="131"/>
      <c r="H556" s="131"/>
      <c r="I556" s="131"/>
      <c r="J556" s="131"/>
      <c r="K556" s="131"/>
      <c r="L556" s="131"/>
      <c r="M556" s="131"/>
      <c r="N556" s="131"/>
      <c r="O556" s="142"/>
      <c r="P556" s="142"/>
      <c r="Q556" s="142"/>
      <c r="R556" s="142"/>
      <c r="S556" s="142"/>
      <c r="T556" s="142"/>
      <c r="U556" s="142"/>
      <c r="V556" s="142"/>
      <c r="W556" s="142"/>
      <c r="X556" s="142"/>
      <c r="Y556" s="142"/>
      <c r="Z556" s="142"/>
      <c r="AA556" s="131"/>
      <c r="AB556" s="142"/>
      <c r="AC556" s="142"/>
      <c r="AD556" s="142"/>
      <c r="AE556" s="142"/>
      <c r="AF556" s="142"/>
      <c r="AG556" s="142"/>
      <c r="AH556" s="142"/>
      <c r="AI556" s="142"/>
      <c r="AJ556" s="142"/>
      <c r="AK556" s="142"/>
      <c r="AL556" s="142"/>
      <c r="AM556" s="142"/>
      <c r="AN556" s="142"/>
      <c r="AO556" s="142"/>
      <c r="AP556" s="142"/>
    </row>
    <row r="557" ht="13.5" customHeight="1">
      <c r="A557" s="142"/>
      <c r="B557" s="142"/>
      <c r="C557" s="142"/>
      <c r="D557" s="142"/>
      <c r="E557" s="132"/>
      <c r="F557" s="131"/>
      <c r="G557" s="131"/>
      <c r="H557" s="131"/>
      <c r="I557" s="131"/>
      <c r="J557" s="131"/>
      <c r="K557" s="131"/>
      <c r="L557" s="131"/>
      <c r="M557" s="131"/>
      <c r="N557" s="131"/>
      <c r="O557" s="142"/>
      <c r="P557" s="142"/>
      <c r="Q557" s="142"/>
      <c r="R557" s="142"/>
      <c r="S557" s="142"/>
      <c r="T557" s="142"/>
      <c r="U557" s="142"/>
      <c r="V557" s="142"/>
      <c r="W557" s="142"/>
      <c r="X557" s="142"/>
      <c r="Y557" s="142"/>
      <c r="Z557" s="142"/>
      <c r="AA557" s="131"/>
      <c r="AB557" s="142"/>
      <c r="AC557" s="142"/>
      <c r="AD557" s="142"/>
      <c r="AE557" s="142"/>
      <c r="AF557" s="142"/>
      <c r="AG557" s="142"/>
      <c r="AH557" s="142"/>
      <c r="AI557" s="142"/>
      <c r="AJ557" s="142"/>
      <c r="AK557" s="142"/>
      <c r="AL557" s="142"/>
      <c r="AM557" s="142"/>
      <c r="AN557" s="142"/>
      <c r="AO557" s="142"/>
      <c r="AP557" s="142"/>
    </row>
    <row r="558" ht="13.5" customHeight="1">
      <c r="A558" s="142"/>
      <c r="B558" s="142"/>
      <c r="C558" s="142"/>
      <c r="D558" s="142"/>
      <c r="E558" s="132"/>
      <c r="F558" s="131"/>
      <c r="G558" s="131"/>
      <c r="H558" s="131"/>
      <c r="I558" s="131"/>
      <c r="J558" s="131"/>
      <c r="K558" s="131"/>
      <c r="L558" s="131"/>
      <c r="M558" s="131"/>
      <c r="N558" s="131"/>
      <c r="O558" s="142"/>
      <c r="P558" s="142"/>
      <c r="Q558" s="142"/>
      <c r="R558" s="142"/>
      <c r="S558" s="142"/>
      <c r="T558" s="142"/>
      <c r="U558" s="142"/>
      <c r="V558" s="142"/>
      <c r="W558" s="142"/>
      <c r="X558" s="142"/>
      <c r="Y558" s="142"/>
      <c r="Z558" s="142"/>
      <c r="AA558" s="131"/>
      <c r="AB558" s="142"/>
      <c r="AC558" s="142"/>
      <c r="AD558" s="142"/>
      <c r="AE558" s="142"/>
      <c r="AF558" s="142"/>
      <c r="AG558" s="142"/>
      <c r="AH558" s="142"/>
      <c r="AI558" s="142"/>
      <c r="AJ558" s="142"/>
      <c r="AK558" s="142"/>
      <c r="AL558" s="142"/>
      <c r="AM558" s="142"/>
      <c r="AN558" s="142"/>
      <c r="AO558" s="142"/>
      <c r="AP558" s="142"/>
    </row>
    <row r="559" ht="13.5" customHeight="1">
      <c r="A559" s="142"/>
      <c r="B559" s="142"/>
      <c r="C559" s="142"/>
      <c r="D559" s="142"/>
      <c r="E559" s="132"/>
      <c r="F559" s="131"/>
      <c r="G559" s="131"/>
      <c r="H559" s="131"/>
      <c r="I559" s="131"/>
      <c r="J559" s="131"/>
      <c r="K559" s="131"/>
      <c r="L559" s="131"/>
      <c r="M559" s="131"/>
      <c r="N559" s="131"/>
      <c r="O559" s="142"/>
      <c r="P559" s="142"/>
      <c r="Q559" s="142"/>
      <c r="R559" s="142"/>
      <c r="S559" s="142"/>
      <c r="T559" s="142"/>
      <c r="U559" s="142"/>
      <c r="V559" s="142"/>
      <c r="W559" s="142"/>
      <c r="X559" s="142"/>
      <c r="Y559" s="142"/>
      <c r="Z559" s="142"/>
      <c r="AA559" s="131"/>
      <c r="AB559" s="142"/>
      <c r="AC559" s="142"/>
      <c r="AD559" s="142"/>
      <c r="AE559" s="142"/>
      <c r="AF559" s="142"/>
      <c r="AG559" s="142"/>
      <c r="AH559" s="142"/>
      <c r="AI559" s="142"/>
      <c r="AJ559" s="142"/>
      <c r="AK559" s="142"/>
      <c r="AL559" s="142"/>
      <c r="AM559" s="142"/>
      <c r="AN559" s="142"/>
      <c r="AO559" s="142"/>
      <c r="AP559" s="142"/>
    </row>
    <row r="560" ht="13.5" customHeight="1">
      <c r="A560" s="142"/>
      <c r="B560" s="142"/>
      <c r="C560" s="142"/>
      <c r="D560" s="142"/>
      <c r="E560" s="132"/>
      <c r="F560" s="131"/>
      <c r="G560" s="131"/>
      <c r="H560" s="131"/>
      <c r="I560" s="131"/>
      <c r="J560" s="131"/>
      <c r="K560" s="131"/>
      <c r="L560" s="131"/>
      <c r="M560" s="131"/>
      <c r="N560" s="131"/>
      <c r="O560" s="142"/>
      <c r="P560" s="142"/>
      <c r="Q560" s="142"/>
      <c r="R560" s="142"/>
      <c r="S560" s="142"/>
      <c r="T560" s="142"/>
      <c r="U560" s="142"/>
      <c r="V560" s="142"/>
      <c r="W560" s="142"/>
      <c r="X560" s="142"/>
      <c r="Y560" s="142"/>
      <c r="Z560" s="142"/>
      <c r="AA560" s="131"/>
      <c r="AB560" s="142"/>
      <c r="AC560" s="142"/>
      <c r="AD560" s="142"/>
      <c r="AE560" s="142"/>
      <c r="AF560" s="142"/>
      <c r="AG560" s="142"/>
      <c r="AH560" s="142"/>
      <c r="AI560" s="142"/>
      <c r="AJ560" s="142"/>
      <c r="AK560" s="142"/>
      <c r="AL560" s="142"/>
      <c r="AM560" s="142"/>
      <c r="AN560" s="142"/>
      <c r="AO560" s="142"/>
      <c r="AP560" s="142"/>
    </row>
    <row r="561" ht="13.5" customHeight="1">
      <c r="A561" s="142"/>
      <c r="B561" s="142"/>
      <c r="C561" s="142"/>
      <c r="D561" s="142"/>
      <c r="E561" s="132"/>
      <c r="F561" s="131"/>
      <c r="G561" s="131"/>
      <c r="H561" s="131"/>
      <c r="I561" s="131"/>
      <c r="J561" s="131"/>
      <c r="K561" s="131"/>
      <c r="L561" s="131"/>
      <c r="M561" s="131"/>
      <c r="N561" s="131"/>
      <c r="O561" s="142"/>
      <c r="P561" s="142"/>
      <c r="Q561" s="142"/>
      <c r="R561" s="142"/>
      <c r="S561" s="142"/>
      <c r="T561" s="142"/>
      <c r="U561" s="142"/>
      <c r="V561" s="142"/>
      <c r="W561" s="142"/>
      <c r="X561" s="142"/>
      <c r="Y561" s="142"/>
      <c r="Z561" s="142"/>
      <c r="AA561" s="131"/>
      <c r="AB561" s="142"/>
      <c r="AC561" s="142"/>
      <c r="AD561" s="142"/>
      <c r="AE561" s="142"/>
      <c r="AF561" s="142"/>
      <c r="AG561" s="142"/>
      <c r="AH561" s="142"/>
      <c r="AI561" s="142"/>
      <c r="AJ561" s="142"/>
      <c r="AK561" s="142"/>
      <c r="AL561" s="142"/>
      <c r="AM561" s="142"/>
      <c r="AN561" s="142"/>
      <c r="AO561" s="142"/>
      <c r="AP561" s="142"/>
    </row>
    <row r="562" ht="13.5" customHeight="1">
      <c r="A562" s="142"/>
      <c r="B562" s="142"/>
      <c r="C562" s="142"/>
      <c r="D562" s="142"/>
      <c r="E562" s="132"/>
      <c r="F562" s="131"/>
      <c r="G562" s="131"/>
      <c r="H562" s="131"/>
      <c r="I562" s="131"/>
      <c r="J562" s="131"/>
      <c r="K562" s="131"/>
      <c r="L562" s="131"/>
      <c r="M562" s="131"/>
      <c r="N562" s="131"/>
      <c r="O562" s="142"/>
      <c r="P562" s="142"/>
      <c r="Q562" s="142"/>
      <c r="R562" s="142"/>
      <c r="S562" s="142"/>
      <c r="T562" s="142"/>
      <c r="U562" s="142"/>
      <c r="V562" s="142"/>
      <c r="W562" s="142"/>
      <c r="X562" s="142"/>
      <c r="Y562" s="142"/>
      <c r="Z562" s="142"/>
      <c r="AA562" s="131"/>
      <c r="AB562" s="142"/>
      <c r="AC562" s="142"/>
      <c r="AD562" s="142"/>
      <c r="AE562" s="142"/>
      <c r="AF562" s="142"/>
      <c r="AG562" s="142"/>
      <c r="AH562" s="142"/>
      <c r="AI562" s="142"/>
      <c r="AJ562" s="142"/>
      <c r="AK562" s="142"/>
      <c r="AL562" s="142"/>
      <c r="AM562" s="142"/>
      <c r="AN562" s="142"/>
      <c r="AO562" s="142"/>
      <c r="AP562" s="142"/>
    </row>
    <row r="563" ht="13.5" customHeight="1">
      <c r="A563" s="142"/>
      <c r="B563" s="142"/>
      <c r="C563" s="142"/>
      <c r="D563" s="142"/>
      <c r="E563" s="132"/>
      <c r="F563" s="131"/>
      <c r="G563" s="131"/>
      <c r="H563" s="131"/>
      <c r="I563" s="131"/>
      <c r="J563" s="131"/>
      <c r="K563" s="131"/>
      <c r="L563" s="131"/>
      <c r="M563" s="131"/>
      <c r="N563" s="131"/>
      <c r="O563" s="142"/>
      <c r="P563" s="142"/>
      <c r="Q563" s="142"/>
      <c r="R563" s="142"/>
      <c r="S563" s="142"/>
      <c r="T563" s="142"/>
      <c r="U563" s="142"/>
      <c r="V563" s="142"/>
      <c r="W563" s="142"/>
      <c r="X563" s="142"/>
      <c r="Y563" s="142"/>
      <c r="Z563" s="142"/>
      <c r="AA563" s="131"/>
      <c r="AB563" s="142"/>
      <c r="AC563" s="142"/>
      <c r="AD563" s="142"/>
      <c r="AE563" s="142"/>
      <c r="AF563" s="142"/>
      <c r="AG563" s="142"/>
      <c r="AH563" s="142"/>
      <c r="AI563" s="142"/>
      <c r="AJ563" s="142"/>
      <c r="AK563" s="142"/>
      <c r="AL563" s="142"/>
      <c r="AM563" s="142"/>
      <c r="AN563" s="142"/>
      <c r="AO563" s="142"/>
      <c r="AP563" s="142"/>
    </row>
    <row r="564" ht="13.5" customHeight="1">
      <c r="A564" s="142"/>
      <c r="B564" s="142"/>
      <c r="C564" s="142"/>
      <c r="D564" s="142"/>
      <c r="E564" s="132"/>
      <c r="F564" s="131"/>
      <c r="G564" s="131"/>
      <c r="H564" s="131"/>
      <c r="I564" s="131"/>
      <c r="J564" s="131"/>
      <c r="K564" s="131"/>
      <c r="L564" s="131"/>
      <c r="M564" s="131"/>
      <c r="N564" s="131"/>
      <c r="O564" s="142"/>
      <c r="P564" s="142"/>
      <c r="Q564" s="142"/>
      <c r="R564" s="142"/>
      <c r="S564" s="142"/>
      <c r="T564" s="142"/>
      <c r="U564" s="142"/>
      <c r="V564" s="142"/>
      <c r="W564" s="142"/>
      <c r="X564" s="142"/>
      <c r="Y564" s="142"/>
      <c r="Z564" s="142"/>
      <c r="AA564" s="131"/>
      <c r="AB564" s="142"/>
      <c r="AC564" s="142"/>
      <c r="AD564" s="142"/>
      <c r="AE564" s="142"/>
      <c r="AF564" s="142"/>
      <c r="AG564" s="142"/>
      <c r="AH564" s="142"/>
      <c r="AI564" s="142"/>
      <c r="AJ564" s="142"/>
      <c r="AK564" s="142"/>
      <c r="AL564" s="142"/>
      <c r="AM564" s="142"/>
      <c r="AN564" s="142"/>
      <c r="AO564" s="142"/>
      <c r="AP564" s="142"/>
    </row>
    <row r="565" ht="13.5" customHeight="1">
      <c r="A565" s="142"/>
      <c r="B565" s="142"/>
      <c r="C565" s="142"/>
      <c r="D565" s="142"/>
      <c r="E565" s="132"/>
      <c r="F565" s="131"/>
      <c r="G565" s="131"/>
      <c r="H565" s="131"/>
      <c r="I565" s="131"/>
      <c r="J565" s="131"/>
      <c r="K565" s="131"/>
      <c r="L565" s="131"/>
      <c r="M565" s="131"/>
      <c r="N565" s="131"/>
      <c r="O565" s="142"/>
      <c r="P565" s="142"/>
      <c r="Q565" s="142"/>
      <c r="R565" s="142"/>
      <c r="S565" s="142"/>
      <c r="T565" s="142"/>
      <c r="U565" s="142"/>
      <c r="V565" s="142"/>
      <c r="W565" s="142"/>
      <c r="X565" s="142"/>
      <c r="Y565" s="142"/>
      <c r="Z565" s="142"/>
      <c r="AA565" s="131"/>
      <c r="AB565" s="142"/>
      <c r="AC565" s="142"/>
      <c r="AD565" s="142"/>
      <c r="AE565" s="142"/>
      <c r="AF565" s="142"/>
      <c r="AG565" s="142"/>
      <c r="AH565" s="142"/>
      <c r="AI565" s="142"/>
      <c r="AJ565" s="142"/>
      <c r="AK565" s="142"/>
      <c r="AL565" s="142"/>
      <c r="AM565" s="142"/>
      <c r="AN565" s="142"/>
      <c r="AO565" s="142"/>
      <c r="AP565" s="142"/>
    </row>
    <row r="566" ht="13.5" customHeight="1">
      <c r="A566" s="142"/>
      <c r="B566" s="142"/>
      <c r="C566" s="142"/>
      <c r="D566" s="142"/>
      <c r="E566" s="132"/>
      <c r="F566" s="131"/>
      <c r="G566" s="131"/>
      <c r="H566" s="131"/>
      <c r="I566" s="131"/>
      <c r="J566" s="131"/>
      <c r="K566" s="131"/>
      <c r="L566" s="131"/>
      <c r="M566" s="131"/>
      <c r="N566" s="131"/>
      <c r="O566" s="142"/>
      <c r="P566" s="142"/>
      <c r="Q566" s="142"/>
      <c r="R566" s="142"/>
      <c r="S566" s="142"/>
      <c r="T566" s="142"/>
      <c r="U566" s="142"/>
      <c r="V566" s="142"/>
      <c r="W566" s="142"/>
      <c r="X566" s="142"/>
      <c r="Y566" s="142"/>
      <c r="Z566" s="142"/>
      <c r="AA566" s="131"/>
      <c r="AB566" s="142"/>
      <c r="AC566" s="142"/>
      <c r="AD566" s="142"/>
      <c r="AE566" s="142"/>
      <c r="AF566" s="142"/>
      <c r="AG566" s="142"/>
      <c r="AH566" s="142"/>
      <c r="AI566" s="142"/>
      <c r="AJ566" s="142"/>
      <c r="AK566" s="142"/>
      <c r="AL566" s="142"/>
      <c r="AM566" s="142"/>
      <c r="AN566" s="142"/>
      <c r="AO566" s="142"/>
      <c r="AP566" s="142"/>
    </row>
    <row r="567" ht="13.5" customHeight="1">
      <c r="A567" s="142"/>
      <c r="B567" s="142"/>
      <c r="C567" s="142"/>
      <c r="D567" s="142"/>
      <c r="E567" s="132"/>
      <c r="F567" s="131"/>
      <c r="G567" s="131"/>
      <c r="H567" s="131"/>
      <c r="I567" s="131"/>
      <c r="J567" s="131"/>
      <c r="K567" s="131"/>
      <c r="L567" s="131"/>
      <c r="M567" s="131"/>
      <c r="N567" s="131"/>
      <c r="O567" s="142"/>
      <c r="P567" s="142"/>
      <c r="Q567" s="142"/>
      <c r="R567" s="142"/>
      <c r="S567" s="142"/>
      <c r="T567" s="142"/>
      <c r="U567" s="142"/>
      <c r="V567" s="142"/>
      <c r="W567" s="142"/>
      <c r="X567" s="142"/>
      <c r="Y567" s="142"/>
      <c r="Z567" s="142"/>
      <c r="AA567" s="131"/>
      <c r="AB567" s="142"/>
      <c r="AC567" s="142"/>
      <c r="AD567" s="142"/>
      <c r="AE567" s="142"/>
      <c r="AF567" s="142"/>
      <c r="AG567" s="142"/>
      <c r="AH567" s="142"/>
      <c r="AI567" s="142"/>
      <c r="AJ567" s="142"/>
      <c r="AK567" s="142"/>
      <c r="AL567" s="142"/>
      <c r="AM567" s="142"/>
      <c r="AN567" s="142"/>
      <c r="AO567" s="142"/>
      <c r="AP567" s="142"/>
    </row>
    <row r="568" ht="13.5" customHeight="1">
      <c r="A568" s="142"/>
      <c r="B568" s="142"/>
      <c r="C568" s="142"/>
      <c r="D568" s="142"/>
      <c r="E568" s="132"/>
      <c r="F568" s="131"/>
      <c r="G568" s="131"/>
      <c r="H568" s="131"/>
      <c r="I568" s="131"/>
      <c r="J568" s="131"/>
      <c r="K568" s="131"/>
      <c r="L568" s="131"/>
      <c r="M568" s="131"/>
      <c r="N568" s="131"/>
      <c r="O568" s="142"/>
      <c r="P568" s="142"/>
      <c r="Q568" s="142"/>
      <c r="R568" s="142"/>
      <c r="S568" s="142"/>
      <c r="T568" s="142"/>
      <c r="U568" s="142"/>
      <c r="V568" s="142"/>
      <c r="W568" s="142"/>
      <c r="X568" s="142"/>
      <c r="Y568" s="142"/>
      <c r="Z568" s="142"/>
      <c r="AA568" s="131"/>
      <c r="AB568" s="142"/>
      <c r="AC568" s="142"/>
      <c r="AD568" s="142"/>
      <c r="AE568" s="142"/>
      <c r="AF568" s="142"/>
      <c r="AG568" s="142"/>
      <c r="AH568" s="142"/>
      <c r="AI568" s="142"/>
      <c r="AJ568" s="142"/>
      <c r="AK568" s="142"/>
      <c r="AL568" s="142"/>
      <c r="AM568" s="142"/>
      <c r="AN568" s="142"/>
      <c r="AO568" s="142"/>
      <c r="AP568" s="142"/>
    </row>
    <row r="569" ht="13.5" customHeight="1">
      <c r="A569" s="142"/>
      <c r="B569" s="142"/>
      <c r="C569" s="142"/>
      <c r="D569" s="142"/>
      <c r="E569" s="132"/>
      <c r="F569" s="131"/>
      <c r="G569" s="131"/>
      <c r="H569" s="131"/>
      <c r="I569" s="131"/>
      <c r="J569" s="131"/>
      <c r="K569" s="131"/>
      <c r="L569" s="131"/>
      <c r="M569" s="131"/>
      <c r="N569" s="131"/>
      <c r="O569" s="142"/>
      <c r="P569" s="142"/>
      <c r="Q569" s="142"/>
      <c r="R569" s="142"/>
      <c r="S569" s="142"/>
      <c r="T569" s="142"/>
      <c r="U569" s="142"/>
      <c r="V569" s="142"/>
      <c r="W569" s="142"/>
      <c r="X569" s="142"/>
      <c r="Y569" s="142"/>
      <c r="Z569" s="142"/>
      <c r="AA569" s="131"/>
      <c r="AB569" s="142"/>
      <c r="AC569" s="142"/>
      <c r="AD569" s="142"/>
      <c r="AE569" s="142"/>
      <c r="AF569" s="142"/>
      <c r="AG569" s="142"/>
      <c r="AH569" s="142"/>
      <c r="AI569" s="142"/>
      <c r="AJ569" s="142"/>
      <c r="AK569" s="142"/>
      <c r="AL569" s="142"/>
      <c r="AM569" s="142"/>
      <c r="AN569" s="142"/>
      <c r="AO569" s="142"/>
      <c r="AP569" s="142"/>
    </row>
    <row r="570" ht="13.5" customHeight="1">
      <c r="A570" s="142"/>
      <c r="B570" s="142"/>
      <c r="C570" s="142"/>
      <c r="D570" s="142"/>
      <c r="E570" s="132"/>
      <c r="F570" s="131"/>
      <c r="G570" s="131"/>
      <c r="H570" s="131"/>
      <c r="I570" s="131"/>
      <c r="J570" s="131"/>
      <c r="K570" s="131"/>
      <c r="L570" s="131"/>
      <c r="M570" s="131"/>
      <c r="N570" s="131"/>
      <c r="O570" s="142"/>
      <c r="P570" s="142"/>
      <c r="Q570" s="142"/>
      <c r="R570" s="142"/>
      <c r="S570" s="142"/>
      <c r="T570" s="142"/>
      <c r="U570" s="142"/>
      <c r="V570" s="142"/>
      <c r="W570" s="142"/>
      <c r="X570" s="142"/>
      <c r="Y570" s="142"/>
      <c r="Z570" s="142"/>
      <c r="AA570" s="131"/>
      <c r="AB570" s="142"/>
      <c r="AC570" s="142"/>
      <c r="AD570" s="142"/>
      <c r="AE570" s="142"/>
      <c r="AF570" s="142"/>
      <c r="AG570" s="142"/>
      <c r="AH570" s="142"/>
      <c r="AI570" s="142"/>
      <c r="AJ570" s="142"/>
      <c r="AK570" s="142"/>
      <c r="AL570" s="142"/>
      <c r="AM570" s="142"/>
      <c r="AN570" s="142"/>
      <c r="AO570" s="142"/>
      <c r="AP570" s="142"/>
    </row>
    <row r="571" ht="13.5" customHeight="1">
      <c r="A571" s="142"/>
      <c r="B571" s="142"/>
      <c r="C571" s="142"/>
      <c r="D571" s="142"/>
      <c r="E571" s="132"/>
      <c r="F571" s="131"/>
      <c r="G571" s="131"/>
      <c r="H571" s="131"/>
      <c r="I571" s="131"/>
      <c r="J571" s="131"/>
      <c r="K571" s="131"/>
      <c r="L571" s="131"/>
      <c r="M571" s="131"/>
      <c r="N571" s="131"/>
      <c r="O571" s="142"/>
      <c r="P571" s="142"/>
      <c r="Q571" s="142"/>
      <c r="R571" s="142"/>
      <c r="S571" s="142"/>
      <c r="T571" s="142"/>
      <c r="U571" s="142"/>
      <c r="V571" s="142"/>
      <c r="W571" s="142"/>
      <c r="X571" s="142"/>
      <c r="Y571" s="142"/>
      <c r="Z571" s="142"/>
      <c r="AA571" s="131"/>
      <c r="AB571" s="142"/>
      <c r="AC571" s="142"/>
      <c r="AD571" s="142"/>
      <c r="AE571" s="142"/>
      <c r="AF571" s="142"/>
      <c r="AG571" s="142"/>
      <c r="AH571" s="142"/>
      <c r="AI571" s="142"/>
      <c r="AJ571" s="142"/>
      <c r="AK571" s="142"/>
      <c r="AL571" s="142"/>
      <c r="AM571" s="142"/>
      <c r="AN571" s="142"/>
      <c r="AO571" s="142"/>
      <c r="AP571" s="142"/>
    </row>
    <row r="572" ht="13.5" customHeight="1">
      <c r="A572" s="142"/>
      <c r="B572" s="142"/>
      <c r="C572" s="142"/>
      <c r="D572" s="142"/>
      <c r="E572" s="132"/>
      <c r="F572" s="131"/>
      <c r="G572" s="131"/>
      <c r="H572" s="131"/>
      <c r="I572" s="131"/>
      <c r="J572" s="131"/>
      <c r="K572" s="131"/>
      <c r="L572" s="131"/>
      <c r="M572" s="131"/>
      <c r="N572" s="131"/>
      <c r="O572" s="142"/>
      <c r="P572" s="142"/>
      <c r="Q572" s="142"/>
      <c r="R572" s="142"/>
      <c r="S572" s="142"/>
      <c r="T572" s="142"/>
      <c r="U572" s="142"/>
      <c r="V572" s="142"/>
      <c r="W572" s="142"/>
      <c r="X572" s="142"/>
      <c r="Y572" s="142"/>
      <c r="Z572" s="142"/>
      <c r="AA572" s="131"/>
      <c r="AB572" s="142"/>
      <c r="AC572" s="142"/>
      <c r="AD572" s="142"/>
      <c r="AE572" s="142"/>
      <c r="AF572" s="142"/>
      <c r="AG572" s="142"/>
      <c r="AH572" s="142"/>
      <c r="AI572" s="142"/>
      <c r="AJ572" s="142"/>
      <c r="AK572" s="142"/>
      <c r="AL572" s="142"/>
      <c r="AM572" s="142"/>
      <c r="AN572" s="142"/>
      <c r="AO572" s="142"/>
      <c r="AP572" s="142"/>
    </row>
    <row r="573" ht="13.5" customHeight="1">
      <c r="A573" s="142"/>
      <c r="B573" s="142"/>
      <c r="C573" s="142"/>
      <c r="D573" s="142"/>
      <c r="E573" s="132"/>
      <c r="F573" s="131"/>
      <c r="G573" s="131"/>
      <c r="H573" s="131"/>
      <c r="I573" s="131"/>
      <c r="J573" s="131"/>
      <c r="K573" s="131"/>
      <c r="L573" s="131"/>
      <c r="M573" s="131"/>
      <c r="N573" s="131"/>
      <c r="O573" s="142"/>
      <c r="P573" s="142"/>
      <c r="Q573" s="142"/>
      <c r="R573" s="142"/>
      <c r="S573" s="142"/>
      <c r="T573" s="142"/>
      <c r="U573" s="142"/>
      <c r="V573" s="142"/>
      <c r="W573" s="142"/>
      <c r="X573" s="142"/>
      <c r="Y573" s="142"/>
      <c r="Z573" s="142"/>
      <c r="AA573" s="131"/>
      <c r="AB573" s="142"/>
      <c r="AC573" s="142"/>
      <c r="AD573" s="142"/>
      <c r="AE573" s="142"/>
      <c r="AF573" s="142"/>
      <c r="AG573" s="142"/>
      <c r="AH573" s="142"/>
      <c r="AI573" s="142"/>
      <c r="AJ573" s="142"/>
      <c r="AK573" s="142"/>
      <c r="AL573" s="142"/>
      <c r="AM573" s="142"/>
      <c r="AN573" s="142"/>
      <c r="AO573" s="142"/>
      <c r="AP573" s="142"/>
    </row>
    <row r="574" ht="13.5" customHeight="1">
      <c r="A574" s="142"/>
      <c r="B574" s="142"/>
      <c r="C574" s="142"/>
      <c r="D574" s="142"/>
      <c r="E574" s="132"/>
      <c r="F574" s="131"/>
      <c r="G574" s="131"/>
      <c r="H574" s="131"/>
      <c r="I574" s="131"/>
      <c r="J574" s="131"/>
      <c r="K574" s="131"/>
      <c r="L574" s="131"/>
      <c r="M574" s="131"/>
      <c r="N574" s="131"/>
      <c r="O574" s="142"/>
      <c r="P574" s="142"/>
      <c r="Q574" s="142"/>
      <c r="R574" s="142"/>
      <c r="S574" s="142"/>
      <c r="T574" s="142"/>
      <c r="U574" s="142"/>
      <c r="V574" s="142"/>
      <c r="W574" s="142"/>
      <c r="X574" s="142"/>
      <c r="Y574" s="142"/>
      <c r="Z574" s="142"/>
      <c r="AA574" s="131"/>
      <c r="AB574" s="142"/>
      <c r="AC574" s="142"/>
      <c r="AD574" s="142"/>
      <c r="AE574" s="142"/>
      <c r="AF574" s="142"/>
      <c r="AG574" s="142"/>
      <c r="AH574" s="142"/>
      <c r="AI574" s="142"/>
      <c r="AJ574" s="142"/>
      <c r="AK574" s="142"/>
      <c r="AL574" s="142"/>
      <c r="AM574" s="142"/>
      <c r="AN574" s="142"/>
      <c r="AO574" s="142"/>
      <c r="AP574" s="142"/>
    </row>
    <row r="575" ht="13.5" customHeight="1">
      <c r="A575" s="142"/>
      <c r="B575" s="142"/>
      <c r="C575" s="142"/>
      <c r="D575" s="142"/>
      <c r="E575" s="132"/>
      <c r="F575" s="131"/>
      <c r="G575" s="131"/>
      <c r="H575" s="131"/>
      <c r="I575" s="131"/>
      <c r="J575" s="131"/>
      <c r="K575" s="131"/>
      <c r="L575" s="131"/>
      <c r="M575" s="131"/>
      <c r="N575" s="131"/>
      <c r="O575" s="142"/>
      <c r="P575" s="142"/>
      <c r="Q575" s="142"/>
      <c r="R575" s="142"/>
      <c r="S575" s="142"/>
      <c r="T575" s="142"/>
      <c r="U575" s="142"/>
      <c r="V575" s="142"/>
      <c r="W575" s="142"/>
      <c r="X575" s="142"/>
      <c r="Y575" s="142"/>
      <c r="Z575" s="142"/>
      <c r="AA575" s="131"/>
      <c r="AB575" s="142"/>
      <c r="AC575" s="142"/>
      <c r="AD575" s="142"/>
      <c r="AE575" s="142"/>
      <c r="AF575" s="142"/>
      <c r="AG575" s="142"/>
      <c r="AH575" s="142"/>
      <c r="AI575" s="142"/>
      <c r="AJ575" s="142"/>
      <c r="AK575" s="142"/>
      <c r="AL575" s="142"/>
      <c r="AM575" s="142"/>
      <c r="AN575" s="142"/>
      <c r="AO575" s="142"/>
      <c r="AP575" s="142"/>
    </row>
    <row r="576" ht="13.5" customHeight="1">
      <c r="A576" s="142"/>
      <c r="B576" s="142"/>
      <c r="C576" s="142"/>
      <c r="D576" s="142"/>
      <c r="E576" s="132"/>
      <c r="F576" s="131"/>
      <c r="G576" s="131"/>
      <c r="H576" s="131"/>
      <c r="I576" s="131"/>
      <c r="J576" s="131"/>
      <c r="K576" s="131"/>
      <c r="L576" s="131"/>
      <c r="M576" s="131"/>
      <c r="N576" s="131"/>
      <c r="O576" s="142"/>
      <c r="P576" s="142"/>
      <c r="Q576" s="142"/>
      <c r="R576" s="142"/>
      <c r="S576" s="142"/>
      <c r="T576" s="142"/>
      <c r="U576" s="142"/>
      <c r="V576" s="142"/>
      <c r="W576" s="142"/>
      <c r="X576" s="142"/>
      <c r="Y576" s="142"/>
      <c r="Z576" s="142"/>
      <c r="AA576" s="131"/>
      <c r="AB576" s="142"/>
      <c r="AC576" s="142"/>
      <c r="AD576" s="142"/>
      <c r="AE576" s="142"/>
      <c r="AF576" s="142"/>
      <c r="AG576" s="142"/>
      <c r="AH576" s="142"/>
      <c r="AI576" s="142"/>
      <c r="AJ576" s="142"/>
      <c r="AK576" s="142"/>
      <c r="AL576" s="142"/>
      <c r="AM576" s="142"/>
      <c r="AN576" s="142"/>
      <c r="AO576" s="142"/>
      <c r="AP576" s="142"/>
    </row>
    <row r="577" ht="13.5" customHeight="1">
      <c r="A577" s="142"/>
      <c r="B577" s="142"/>
      <c r="C577" s="142"/>
      <c r="D577" s="142"/>
      <c r="E577" s="132"/>
      <c r="F577" s="131"/>
      <c r="G577" s="131"/>
      <c r="H577" s="131"/>
      <c r="I577" s="131"/>
      <c r="J577" s="131"/>
      <c r="K577" s="131"/>
      <c r="L577" s="131"/>
      <c r="M577" s="131"/>
      <c r="N577" s="131"/>
      <c r="O577" s="142"/>
      <c r="P577" s="142"/>
      <c r="Q577" s="142"/>
      <c r="R577" s="142"/>
      <c r="S577" s="142"/>
      <c r="T577" s="142"/>
      <c r="U577" s="142"/>
      <c r="V577" s="142"/>
      <c r="W577" s="142"/>
      <c r="X577" s="142"/>
      <c r="Y577" s="142"/>
      <c r="Z577" s="142"/>
      <c r="AA577" s="131"/>
      <c r="AB577" s="142"/>
      <c r="AC577" s="142"/>
      <c r="AD577" s="142"/>
      <c r="AE577" s="142"/>
      <c r="AF577" s="142"/>
      <c r="AG577" s="142"/>
      <c r="AH577" s="142"/>
      <c r="AI577" s="142"/>
      <c r="AJ577" s="142"/>
      <c r="AK577" s="142"/>
      <c r="AL577" s="142"/>
      <c r="AM577" s="142"/>
      <c r="AN577" s="142"/>
      <c r="AO577" s="142"/>
      <c r="AP577" s="142"/>
    </row>
    <row r="578" ht="13.5" customHeight="1">
      <c r="A578" s="142"/>
      <c r="B578" s="142"/>
      <c r="C578" s="142"/>
      <c r="D578" s="142"/>
      <c r="E578" s="132"/>
      <c r="F578" s="131"/>
      <c r="G578" s="131"/>
      <c r="H578" s="131"/>
      <c r="I578" s="131"/>
      <c r="J578" s="131"/>
      <c r="K578" s="131"/>
      <c r="L578" s="131"/>
      <c r="M578" s="131"/>
      <c r="N578" s="131"/>
      <c r="O578" s="142"/>
      <c r="P578" s="142"/>
      <c r="Q578" s="142"/>
      <c r="R578" s="142"/>
      <c r="S578" s="142"/>
      <c r="T578" s="142"/>
      <c r="U578" s="142"/>
      <c r="V578" s="142"/>
      <c r="W578" s="142"/>
      <c r="X578" s="142"/>
      <c r="Y578" s="142"/>
      <c r="Z578" s="142"/>
      <c r="AA578" s="131"/>
      <c r="AB578" s="142"/>
      <c r="AC578" s="142"/>
      <c r="AD578" s="142"/>
      <c r="AE578" s="142"/>
      <c r="AF578" s="142"/>
      <c r="AG578" s="142"/>
      <c r="AH578" s="142"/>
      <c r="AI578" s="142"/>
      <c r="AJ578" s="142"/>
      <c r="AK578" s="142"/>
      <c r="AL578" s="142"/>
      <c r="AM578" s="142"/>
      <c r="AN578" s="142"/>
      <c r="AO578" s="142"/>
      <c r="AP578" s="142"/>
    </row>
    <row r="579" ht="13.5" customHeight="1">
      <c r="A579" s="142"/>
      <c r="B579" s="142"/>
      <c r="C579" s="142"/>
      <c r="D579" s="142"/>
      <c r="E579" s="132"/>
      <c r="F579" s="131"/>
      <c r="G579" s="131"/>
      <c r="H579" s="131"/>
      <c r="I579" s="131"/>
      <c r="J579" s="131"/>
      <c r="K579" s="131"/>
      <c r="L579" s="131"/>
      <c r="M579" s="131"/>
      <c r="N579" s="131"/>
      <c r="O579" s="142"/>
      <c r="P579" s="142"/>
      <c r="Q579" s="142"/>
      <c r="R579" s="142"/>
      <c r="S579" s="142"/>
      <c r="T579" s="142"/>
      <c r="U579" s="142"/>
      <c r="V579" s="142"/>
      <c r="W579" s="142"/>
      <c r="X579" s="142"/>
      <c r="Y579" s="142"/>
      <c r="Z579" s="142"/>
      <c r="AA579" s="131"/>
      <c r="AB579" s="142"/>
      <c r="AC579" s="142"/>
      <c r="AD579" s="142"/>
      <c r="AE579" s="142"/>
      <c r="AF579" s="142"/>
      <c r="AG579" s="142"/>
      <c r="AH579" s="142"/>
      <c r="AI579" s="142"/>
      <c r="AJ579" s="142"/>
      <c r="AK579" s="142"/>
      <c r="AL579" s="142"/>
      <c r="AM579" s="142"/>
      <c r="AN579" s="142"/>
      <c r="AO579" s="142"/>
      <c r="AP579" s="142"/>
    </row>
    <row r="580" ht="13.5" customHeight="1">
      <c r="A580" s="142"/>
      <c r="B580" s="142"/>
      <c r="C580" s="142"/>
      <c r="D580" s="142"/>
      <c r="E580" s="132"/>
      <c r="F580" s="131"/>
      <c r="G580" s="131"/>
      <c r="H580" s="131"/>
      <c r="I580" s="131"/>
      <c r="J580" s="131"/>
      <c r="K580" s="131"/>
      <c r="L580" s="131"/>
      <c r="M580" s="131"/>
      <c r="N580" s="131"/>
      <c r="O580" s="142"/>
      <c r="P580" s="142"/>
      <c r="Q580" s="142"/>
      <c r="R580" s="142"/>
      <c r="S580" s="142"/>
      <c r="T580" s="142"/>
      <c r="U580" s="142"/>
      <c r="V580" s="142"/>
      <c r="W580" s="142"/>
      <c r="X580" s="142"/>
      <c r="Y580" s="142"/>
      <c r="Z580" s="142"/>
      <c r="AA580" s="131"/>
      <c r="AB580" s="142"/>
      <c r="AC580" s="142"/>
      <c r="AD580" s="142"/>
      <c r="AE580" s="142"/>
      <c r="AF580" s="142"/>
      <c r="AG580" s="142"/>
      <c r="AH580" s="142"/>
      <c r="AI580" s="142"/>
      <c r="AJ580" s="142"/>
      <c r="AK580" s="142"/>
      <c r="AL580" s="142"/>
      <c r="AM580" s="142"/>
      <c r="AN580" s="142"/>
      <c r="AO580" s="142"/>
      <c r="AP580" s="142"/>
    </row>
    <row r="581" ht="13.5" customHeight="1">
      <c r="A581" s="142"/>
      <c r="B581" s="142"/>
      <c r="C581" s="142"/>
      <c r="D581" s="142"/>
      <c r="E581" s="132"/>
      <c r="F581" s="131"/>
      <c r="G581" s="131"/>
      <c r="H581" s="131"/>
      <c r="I581" s="131"/>
      <c r="J581" s="131"/>
      <c r="K581" s="131"/>
      <c r="L581" s="131"/>
      <c r="M581" s="131"/>
      <c r="N581" s="131"/>
      <c r="O581" s="142"/>
      <c r="P581" s="142"/>
      <c r="Q581" s="142"/>
      <c r="R581" s="142"/>
      <c r="S581" s="142"/>
      <c r="T581" s="142"/>
      <c r="U581" s="142"/>
      <c r="V581" s="142"/>
      <c r="W581" s="142"/>
      <c r="X581" s="142"/>
      <c r="Y581" s="142"/>
      <c r="Z581" s="142"/>
      <c r="AA581" s="131"/>
      <c r="AB581" s="142"/>
      <c r="AC581" s="142"/>
      <c r="AD581" s="142"/>
      <c r="AE581" s="142"/>
      <c r="AF581" s="142"/>
      <c r="AG581" s="142"/>
      <c r="AH581" s="142"/>
      <c r="AI581" s="142"/>
      <c r="AJ581" s="142"/>
      <c r="AK581" s="142"/>
      <c r="AL581" s="142"/>
      <c r="AM581" s="142"/>
      <c r="AN581" s="142"/>
      <c r="AO581" s="142"/>
      <c r="AP581" s="142"/>
    </row>
    <row r="582" ht="13.5" customHeight="1">
      <c r="A582" s="142"/>
      <c r="B582" s="142"/>
      <c r="C582" s="142"/>
      <c r="D582" s="142"/>
      <c r="E582" s="132"/>
      <c r="F582" s="131"/>
      <c r="G582" s="131"/>
      <c r="H582" s="131"/>
      <c r="I582" s="131"/>
      <c r="J582" s="131"/>
      <c r="K582" s="131"/>
      <c r="L582" s="131"/>
      <c r="M582" s="131"/>
      <c r="N582" s="131"/>
      <c r="O582" s="142"/>
      <c r="P582" s="142"/>
      <c r="Q582" s="142"/>
      <c r="R582" s="142"/>
      <c r="S582" s="142"/>
      <c r="T582" s="142"/>
      <c r="U582" s="142"/>
      <c r="V582" s="142"/>
      <c r="W582" s="142"/>
      <c r="X582" s="142"/>
      <c r="Y582" s="142"/>
      <c r="Z582" s="142"/>
      <c r="AA582" s="131"/>
      <c r="AB582" s="142"/>
      <c r="AC582" s="142"/>
      <c r="AD582" s="142"/>
      <c r="AE582" s="142"/>
      <c r="AF582" s="142"/>
      <c r="AG582" s="142"/>
      <c r="AH582" s="142"/>
      <c r="AI582" s="142"/>
      <c r="AJ582" s="142"/>
      <c r="AK582" s="142"/>
      <c r="AL582" s="142"/>
      <c r="AM582" s="142"/>
      <c r="AN582" s="142"/>
      <c r="AO582" s="142"/>
      <c r="AP582" s="142"/>
    </row>
    <row r="583" ht="13.5" customHeight="1">
      <c r="A583" s="142"/>
      <c r="B583" s="142"/>
      <c r="C583" s="142"/>
      <c r="D583" s="142"/>
      <c r="E583" s="132"/>
      <c r="F583" s="131"/>
      <c r="G583" s="131"/>
      <c r="H583" s="131"/>
      <c r="I583" s="131"/>
      <c r="J583" s="131"/>
      <c r="K583" s="131"/>
      <c r="L583" s="131"/>
      <c r="M583" s="131"/>
      <c r="N583" s="131"/>
      <c r="O583" s="142"/>
      <c r="P583" s="142"/>
      <c r="Q583" s="142"/>
      <c r="R583" s="142"/>
      <c r="S583" s="142"/>
      <c r="T583" s="142"/>
      <c r="U583" s="142"/>
      <c r="V583" s="142"/>
      <c r="W583" s="142"/>
      <c r="X583" s="142"/>
      <c r="Y583" s="142"/>
      <c r="Z583" s="142"/>
      <c r="AA583" s="131"/>
      <c r="AB583" s="142"/>
      <c r="AC583" s="142"/>
      <c r="AD583" s="142"/>
      <c r="AE583" s="142"/>
      <c r="AF583" s="142"/>
      <c r="AG583" s="142"/>
      <c r="AH583" s="142"/>
      <c r="AI583" s="142"/>
      <c r="AJ583" s="142"/>
      <c r="AK583" s="142"/>
      <c r="AL583" s="142"/>
      <c r="AM583" s="142"/>
      <c r="AN583" s="142"/>
      <c r="AO583" s="142"/>
      <c r="AP583" s="142"/>
    </row>
    <row r="584" ht="13.5" customHeight="1">
      <c r="A584" s="142"/>
      <c r="B584" s="142"/>
      <c r="C584" s="142"/>
      <c r="D584" s="142"/>
      <c r="E584" s="132"/>
      <c r="F584" s="131"/>
      <c r="G584" s="131"/>
      <c r="H584" s="131"/>
      <c r="I584" s="131"/>
      <c r="J584" s="131"/>
      <c r="K584" s="131"/>
      <c r="L584" s="131"/>
      <c r="M584" s="131"/>
      <c r="N584" s="131"/>
      <c r="O584" s="142"/>
      <c r="P584" s="142"/>
      <c r="Q584" s="142"/>
      <c r="R584" s="142"/>
      <c r="S584" s="142"/>
      <c r="T584" s="142"/>
      <c r="U584" s="142"/>
      <c r="V584" s="142"/>
      <c r="W584" s="142"/>
      <c r="X584" s="142"/>
      <c r="Y584" s="142"/>
      <c r="Z584" s="142"/>
      <c r="AA584" s="131"/>
      <c r="AB584" s="142"/>
      <c r="AC584" s="142"/>
      <c r="AD584" s="142"/>
      <c r="AE584" s="142"/>
      <c r="AF584" s="142"/>
      <c r="AG584" s="142"/>
      <c r="AH584" s="142"/>
      <c r="AI584" s="142"/>
      <c r="AJ584" s="142"/>
      <c r="AK584" s="142"/>
      <c r="AL584" s="142"/>
      <c r="AM584" s="142"/>
      <c r="AN584" s="142"/>
      <c r="AO584" s="142"/>
      <c r="AP584" s="142"/>
    </row>
    <row r="585" ht="13.5" customHeight="1">
      <c r="A585" s="142"/>
      <c r="B585" s="142"/>
      <c r="C585" s="142"/>
      <c r="D585" s="142"/>
      <c r="E585" s="132"/>
      <c r="F585" s="131"/>
      <c r="G585" s="131"/>
      <c r="H585" s="131"/>
      <c r="I585" s="131"/>
      <c r="J585" s="131"/>
      <c r="K585" s="131"/>
      <c r="L585" s="131"/>
      <c r="M585" s="131"/>
      <c r="N585" s="131"/>
      <c r="O585" s="142"/>
      <c r="P585" s="142"/>
      <c r="Q585" s="142"/>
      <c r="R585" s="142"/>
      <c r="S585" s="142"/>
      <c r="T585" s="142"/>
      <c r="U585" s="142"/>
      <c r="V585" s="142"/>
      <c r="W585" s="142"/>
      <c r="X585" s="142"/>
      <c r="Y585" s="142"/>
      <c r="Z585" s="142"/>
      <c r="AA585" s="131"/>
      <c r="AB585" s="142"/>
      <c r="AC585" s="142"/>
      <c r="AD585" s="142"/>
      <c r="AE585" s="142"/>
      <c r="AF585" s="142"/>
      <c r="AG585" s="142"/>
      <c r="AH585" s="142"/>
      <c r="AI585" s="142"/>
      <c r="AJ585" s="142"/>
      <c r="AK585" s="142"/>
      <c r="AL585" s="142"/>
      <c r="AM585" s="142"/>
      <c r="AN585" s="142"/>
      <c r="AO585" s="142"/>
      <c r="AP585" s="142"/>
    </row>
    <row r="586" ht="13.5" customHeight="1">
      <c r="A586" s="142"/>
      <c r="B586" s="142"/>
      <c r="C586" s="142"/>
      <c r="D586" s="142"/>
      <c r="E586" s="132"/>
      <c r="F586" s="131"/>
      <c r="G586" s="131"/>
      <c r="H586" s="131"/>
      <c r="I586" s="131"/>
      <c r="J586" s="131"/>
      <c r="K586" s="131"/>
      <c r="L586" s="131"/>
      <c r="M586" s="131"/>
      <c r="N586" s="131"/>
      <c r="O586" s="142"/>
      <c r="P586" s="142"/>
      <c r="Q586" s="142"/>
      <c r="R586" s="142"/>
      <c r="S586" s="142"/>
      <c r="T586" s="142"/>
      <c r="U586" s="142"/>
      <c r="V586" s="142"/>
      <c r="W586" s="142"/>
      <c r="X586" s="142"/>
      <c r="Y586" s="142"/>
      <c r="Z586" s="142"/>
      <c r="AA586" s="131"/>
      <c r="AB586" s="142"/>
      <c r="AC586" s="142"/>
      <c r="AD586" s="142"/>
      <c r="AE586" s="142"/>
      <c r="AF586" s="142"/>
      <c r="AG586" s="142"/>
      <c r="AH586" s="142"/>
      <c r="AI586" s="142"/>
      <c r="AJ586" s="142"/>
      <c r="AK586" s="142"/>
      <c r="AL586" s="142"/>
      <c r="AM586" s="142"/>
      <c r="AN586" s="142"/>
      <c r="AO586" s="142"/>
      <c r="AP586" s="142"/>
    </row>
    <row r="587" ht="13.5" customHeight="1">
      <c r="A587" s="142"/>
      <c r="B587" s="142"/>
      <c r="C587" s="142"/>
      <c r="D587" s="142"/>
      <c r="E587" s="132"/>
      <c r="F587" s="131"/>
      <c r="G587" s="131"/>
      <c r="H587" s="131"/>
      <c r="I587" s="131"/>
      <c r="J587" s="131"/>
      <c r="K587" s="131"/>
      <c r="L587" s="131"/>
      <c r="M587" s="131"/>
      <c r="N587" s="131"/>
      <c r="O587" s="142"/>
      <c r="P587" s="142"/>
      <c r="Q587" s="142"/>
      <c r="R587" s="142"/>
      <c r="S587" s="142"/>
      <c r="T587" s="142"/>
      <c r="U587" s="142"/>
      <c r="V587" s="142"/>
      <c r="W587" s="142"/>
      <c r="X587" s="142"/>
      <c r="Y587" s="142"/>
      <c r="Z587" s="142"/>
      <c r="AA587" s="131"/>
      <c r="AB587" s="142"/>
      <c r="AC587" s="142"/>
      <c r="AD587" s="142"/>
      <c r="AE587" s="142"/>
      <c r="AF587" s="142"/>
      <c r="AG587" s="142"/>
      <c r="AH587" s="142"/>
      <c r="AI587" s="142"/>
      <c r="AJ587" s="142"/>
      <c r="AK587" s="142"/>
      <c r="AL587" s="142"/>
      <c r="AM587" s="142"/>
      <c r="AN587" s="142"/>
      <c r="AO587" s="142"/>
      <c r="AP587" s="142"/>
    </row>
    <row r="588" ht="13.5" customHeight="1">
      <c r="A588" s="142"/>
      <c r="B588" s="142"/>
      <c r="C588" s="142"/>
      <c r="D588" s="142"/>
      <c r="E588" s="132"/>
      <c r="F588" s="131"/>
      <c r="G588" s="131"/>
      <c r="H588" s="131"/>
      <c r="I588" s="131"/>
      <c r="J588" s="131"/>
      <c r="K588" s="131"/>
      <c r="L588" s="131"/>
      <c r="M588" s="131"/>
      <c r="N588" s="131"/>
      <c r="O588" s="142"/>
      <c r="P588" s="142"/>
      <c r="Q588" s="142"/>
      <c r="R588" s="142"/>
      <c r="S588" s="142"/>
      <c r="T588" s="142"/>
      <c r="U588" s="142"/>
      <c r="V588" s="142"/>
      <c r="W588" s="142"/>
      <c r="X588" s="142"/>
      <c r="Y588" s="142"/>
      <c r="Z588" s="142"/>
      <c r="AA588" s="131"/>
      <c r="AB588" s="142"/>
      <c r="AC588" s="142"/>
      <c r="AD588" s="142"/>
      <c r="AE588" s="142"/>
      <c r="AF588" s="142"/>
      <c r="AG588" s="142"/>
      <c r="AH588" s="142"/>
      <c r="AI588" s="142"/>
      <c r="AJ588" s="142"/>
      <c r="AK588" s="142"/>
      <c r="AL588" s="142"/>
      <c r="AM588" s="142"/>
      <c r="AN588" s="142"/>
      <c r="AO588" s="142"/>
      <c r="AP588" s="142"/>
    </row>
    <row r="589" ht="13.5" customHeight="1">
      <c r="A589" s="142"/>
      <c r="B589" s="142"/>
      <c r="C589" s="142"/>
      <c r="D589" s="142"/>
      <c r="E589" s="132"/>
      <c r="F589" s="131"/>
      <c r="G589" s="131"/>
      <c r="H589" s="131"/>
      <c r="I589" s="131"/>
      <c r="J589" s="131"/>
      <c r="K589" s="131"/>
      <c r="L589" s="131"/>
      <c r="M589" s="131"/>
      <c r="N589" s="131"/>
      <c r="O589" s="142"/>
      <c r="P589" s="142"/>
      <c r="Q589" s="142"/>
      <c r="R589" s="142"/>
      <c r="S589" s="142"/>
      <c r="T589" s="142"/>
      <c r="U589" s="142"/>
      <c r="V589" s="142"/>
      <c r="W589" s="142"/>
      <c r="X589" s="142"/>
      <c r="Y589" s="142"/>
      <c r="Z589" s="142"/>
      <c r="AA589" s="131"/>
      <c r="AB589" s="142"/>
      <c r="AC589" s="142"/>
      <c r="AD589" s="142"/>
      <c r="AE589" s="142"/>
      <c r="AF589" s="142"/>
      <c r="AG589" s="142"/>
      <c r="AH589" s="142"/>
      <c r="AI589" s="142"/>
      <c r="AJ589" s="142"/>
      <c r="AK589" s="142"/>
      <c r="AL589" s="142"/>
      <c r="AM589" s="142"/>
      <c r="AN589" s="142"/>
      <c r="AO589" s="142"/>
      <c r="AP589" s="142"/>
    </row>
    <row r="590" ht="13.5" customHeight="1">
      <c r="A590" s="142"/>
      <c r="B590" s="142"/>
      <c r="C590" s="142"/>
      <c r="D590" s="142"/>
      <c r="E590" s="132"/>
      <c r="F590" s="131"/>
      <c r="G590" s="131"/>
      <c r="H590" s="131"/>
      <c r="I590" s="131"/>
      <c r="J590" s="131"/>
      <c r="K590" s="131"/>
      <c r="L590" s="131"/>
      <c r="M590" s="131"/>
      <c r="N590" s="131"/>
      <c r="O590" s="142"/>
      <c r="P590" s="142"/>
      <c r="Q590" s="142"/>
      <c r="R590" s="142"/>
      <c r="S590" s="142"/>
      <c r="T590" s="142"/>
      <c r="U590" s="142"/>
      <c r="V590" s="142"/>
      <c r="W590" s="142"/>
      <c r="X590" s="142"/>
      <c r="Y590" s="142"/>
      <c r="Z590" s="142"/>
      <c r="AA590" s="131"/>
      <c r="AB590" s="142"/>
      <c r="AC590" s="142"/>
      <c r="AD590" s="142"/>
      <c r="AE590" s="142"/>
      <c r="AF590" s="142"/>
      <c r="AG590" s="142"/>
      <c r="AH590" s="142"/>
      <c r="AI590" s="142"/>
      <c r="AJ590" s="142"/>
      <c r="AK590" s="142"/>
      <c r="AL590" s="142"/>
      <c r="AM590" s="142"/>
      <c r="AN590" s="142"/>
      <c r="AO590" s="142"/>
      <c r="AP590" s="142"/>
    </row>
    <row r="591" ht="13.5" customHeight="1">
      <c r="A591" s="142"/>
      <c r="B591" s="142"/>
      <c r="C591" s="142"/>
      <c r="D591" s="142"/>
      <c r="E591" s="132"/>
      <c r="F591" s="131"/>
      <c r="G591" s="131"/>
      <c r="H591" s="131"/>
      <c r="I591" s="131"/>
      <c r="J591" s="131"/>
      <c r="K591" s="131"/>
      <c r="L591" s="131"/>
      <c r="M591" s="131"/>
      <c r="N591" s="131"/>
      <c r="O591" s="142"/>
      <c r="P591" s="142"/>
      <c r="Q591" s="142"/>
      <c r="R591" s="142"/>
      <c r="S591" s="142"/>
      <c r="T591" s="142"/>
      <c r="U591" s="142"/>
      <c r="V591" s="142"/>
      <c r="W591" s="142"/>
      <c r="X591" s="142"/>
      <c r="Y591" s="142"/>
      <c r="Z591" s="142"/>
      <c r="AA591" s="131"/>
      <c r="AB591" s="142"/>
      <c r="AC591" s="142"/>
      <c r="AD591" s="142"/>
      <c r="AE591" s="142"/>
      <c r="AF591" s="142"/>
      <c r="AG591" s="142"/>
      <c r="AH591" s="142"/>
      <c r="AI591" s="142"/>
      <c r="AJ591" s="142"/>
      <c r="AK591" s="142"/>
      <c r="AL591" s="142"/>
      <c r="AM591" s="142"/>
      <c r="AN591" s="142"/>
      <c r="AO591" s="142"/>
      <c r="AP591" s="142"/>
    </row>
    <row r="592" ht="13.5" customHeight="1">
      <c r="A592" s="142"/>
      <c r="B592" s="142"/>
      <c r="C592" s="142"/>
      <c r="D592" s="142"/>
      <c r="E592" s="132"/>
      <c r="F592" s="131"/>
      <c r="G592" s="131"/>
      <c r="H592" s="131"/>
      <c r="I592" s="131"/>
      <c r="J592" s="131"/>
      <c r="K592" s="131"/>
      <c r="L592" s="131"/>
      <c r="M592" s="131"/>
      <c r="N592" s="131"/>
      <c r="O592" s="142"/>
      <c r="P592" s="142"/>
      <c r="Q592" s="142"/>
      <c r="R592" s="142"/>
      <c r="S592" s="142"/>
      <c r="T592" s="142"/>
      <c r="U592" s="142"/>
      <c r="V592" s="142"/>
      <c r="W592" s="142"/>
      <c r="X592" s="142"/>
      <c r="Y592" s="142"/>
      <c r="Z592" s="142"/>
      <c r="AA592" s="131"/>
      <c r="AB592" s="142"/>
      <c r="AC592" s="142"/>
      <c r="AD592" s="142"/>
      <c r="AE592" s="142"/>
      <c r="AF592" s="142"/>
      <c r="AG592" s="142"/>
      <c r="AH592" s="142"/>
      <c r="AI592" s="142"/>
      <c r="AJ592" s="142"/>
      <c r="AK592" s="142"/>
      <c r="AL592" s="142"/>
      <c r="AM592" s="142"/>
      <c r="AN592" s="142"/>
      <c r="AO592" s="142"/>
      <c r="AP592" s="142"/>
    </row>
    <row r="593" ht="13.5" customHeight="1">
      <c r="A593" s="142"/>
      <c r="B593" s="142"/>
      <c r="C593" s="142"/>
      <c r="D593" s="142"/>
      <c r="E593" s="132"/>
      <c r="F593" s="131"/>
      <c r="G593" s="131"/>
      <c r="H593" s="131"/>
      <c r="I593" s="131"/>
      <c r="J593" s="131"/>
      <c r="K593" s="131"/>
      <c r="L593" s="131"/>
      <c r="M593" s="131"/>
      <c r="N593" s="131"/>
      <c r="O593" s="142"/>
      <c r="P593" s="142"/>
      <c r="Q593" s="142"/>
      <c r="R593" s="142"/>
      <c r="S593" s="142"/>
      <c r="T593" s="142"/>
      <c r="U593" s="142"/>
      <c r="V593" s="142"/>
      <c r="W593" s="142"/>
      <c r="X593" s="142"/>
      <c r="Y593" s="142"/>
      <c r="Z593" s="142"/>
      <c r="AA593" s="131"/>
      <c r="AB593" s="142"/>
      <c r="AC593" s="142"/>
      <c r="AD593" s="142"/>
      <c r="AE593" s="142"/>
      <c r="AF593" s="142"/>
      <c r="AG593" s="142"/>
      <c r="AH593" s="142"/>
      <c r="AI593" s="142"/>
      <c r="AJ593" s="142"/>
      <c r="AK593" s="142"/>
      <c r="AL593" s="142"/>
      <c r="AM593" s="142"/>
      <c r="AN593" s="142"/>
      <c r="AO593" s="142"/>
      <c r="AP593" s="142"/>
    </row>
    <row r="594" ht="13.5" customHeight="1">
      <c r="A594" s="142"/>
      <c r="B594" s="142"/>
      <c r="C594" s="142"/>
      <c r="D594" s="142"/>
      <c r="E594" s="132"/>
      <c r="F594" s="131"/>
      <c r="G594" s="131"/>
      <c r="H594" s="131"/>
      <c r="I594" s="131"/>
      <c r="J594" s="131"/>
      <c r="K594" s="131"/>
      <c r="L594" s="131"/>
      <c r="M594" s="131"/>
      <c r="N594" s="131"/>
      <c r="O594" s="142"/>
      <c r="P594" s="142"/>
      <c r="Q594" s="142"/>
      <c r="R594" s="142"/>
      <c r="S594" s="142"/>
      <c r="T594" s="142"/>
      <c r="U594" s="142"/>
      <c r="V594" s="142"/>
      <c r="W594" s="142"/>
      <c r="X594" s="142"/>
      <c r="Y594" s="142"/>
      <c r="Z594" s="142"/>
      <c r="AA594" s="131"/>
      <c r="AB594" s="142"/>
      <c r="AC594" s="142"/>
      <c r="AD594" s="142"/>
      <c r="AE594" s="142"/>
      <c r="AF594" s="142"/>
      <c r="AG594" s="142"/>
      <c r="AH594" s="142"/>
      <c r="AI594" s="142"/>
      <c r="AJ594" s="142"/>
      <c r="AK594" s="142"/>
      <c r="AL594" s="142"/>
      <c r="AM594" s="142"/>
      <c r="AN594" s="142"/>
      <c r="AO594" s="142"/>
      <c r="AP594" s="142"/>
    </row>
    <row r="595" ht="13.5" customHeight="1">
      <c r="A595" s="142"/>
      <c r="B595" s="142"/>
      <c r="C595" s="142"/>
      <c r="D595" s="142"/>
      <c r="E595" s="132"/>
      <c r="F595" s="131"/>
      <c r="G595" s="131"/>
      <c r="H595" s="131"/>
      <c r="I595" s="131"/>
      <c r="J595" s="131"/>
      <c r="K595" s="131"/>
      <c r="L595" s="131"/>
      <c r="M595" s="131"/>
      <c r="N595" s="131"/>
      <c r="O595" s="142"/>
      <c r="P595" s="142"/>
      <c r="Q595" s="142"/>
      <c r="R595" s="142"/>
      <c r="S595" s="142"/>
      <c r="T595" s="142"/>
      <c r="U595" s="142"/>
      <c r="V595" s="142"/>
      <c r="W595" s="142"/>
      <c r="X595" s="142"/>
      <c r="Y595" s="142"/>
      <c r="Z595" s="142"/>
      <c r="AA595" s="131"/>
      <c r="AB595" s="142"/>
      <c r="AC595" s="142"/>
      <c r="AD595" s="142"/>
      <c r="AE595" s="142"/>
      <c r="AF595" s="142"/>
      <c r="AG595" s="142"/>
      <c r="AH595" s="142"/>
      <c r="AI595" s="142"/>
      <c r="AJ595" s="142"/>
      <c r="AK595" s="142"/>
      <c r="AL595" s="142"/>
      <c r="AM595" s="142"/>
      <c r="AN595" s="142"/>
      <c r="AO595" s="142"/>
      <c r="AP595" s="142"/>
    </row>
    <row r="596" ht="13.5" customHeight="1">
      <c r="A596" s="142"/>
      <c r="B596" s="142"/>
      <c r="C596" s="142"/>
      <c r="D596" s="142"/>
      <c r="E596" s="132"/>
      <c r="F596" s="131"/>
      <c r="G596" s="131"/>
      <c r="H596" s="131"/>
      <c r="I596" s="131"/>
      <c r="J596" s="131"/>
      <c r="K596" s="131"/>
      <c r="L596" s="131"/>
      <c r="M596" s="131"/>
      <c r="N596" s="131"/>
      <c r="O596" s="142"/>
      <c r="P596" s="142"/>
      <c r="Q596" s="142"/>
      <c r="R596" s="142"/>
      <c r="S596" s="142"/>
      <c r="T596" s="142"/>
      <c r="U596" s="142"/>
      <c r="V596" s="142"/>
      <c r="W596" s="142"/>
      <c r="X596" s="142"/>
      <c r="Y596" s="142"/>
      <c r="Z596" s="142"/>
      <c r="AA596" s="131"/>
      <c r="AB596" s="142"/>
      <c r="AC596" s="142"/>
      <c r="AD596" s="142"/>
      <c r="AE596" s="142"/>
      <c r="AF596" s="142"/>
      <c r="AG596" s="142"/>
      <c r="AH596" s="142"/>
      <c r="AI596" s="142"/>
      <c r="AJ596" s="142"/>
      <c r="AK596" s="142"/>
      <c r="AL596" s="142"/>
      <c r="AM596" s="142"/>
      <c r="AN596" s="142"/>
      <c r="AO596" s="142"/>
      <c r="AP596" s="142"/>
    </row>
    <row r="597" ht="13.5" customHeight="1">
      <c r="A597" s="142"/>
      <c r="B597" s="142"/>
      <c r="C597" s="142"/>
      <c r="D597" s="142"/>
      <c r="E597" s="132"/>
      <c r="F597" s="131"/>
      <c r="G597" s="131"/>
      <c r="H597" s="131"/>
      <c r="I597" s="131"/>
      <c r="J597" s="131"/>
      <c r="K597" s="131"/>
      <c r="L597" s="131"/>
      <c r="M597" s="131"/>
      <c r="N597" s="131"/>
      <c r="O597" s="142"/>
      <c r="P597" s="142"/>
      <c r="Q597" s="142"/>
      <c r="R597" s="142"/>
      <c r="S597" s="142"/>
      <c r="T597" s="142"/>
      <c r="U597" s="142"/>
      <c r="V597" s="142"/>
      <c r="W597" s="142"/>
      <c r="X597" s="142"/>
      <c r="Y597" s="142"/>
      <c r="Z597" s="142"/>
      <c r="AA597" s="131"/>
      <c r="AB597" s="142"/>
      <c r="AC597" s="142"/>
      <c r="AD597" s="142"/>
      <c r="AE597" s="142"/>
      <c r="AF597" s="142"/>
      <c r="AG597" s="142"/>
      <c r="AH597" s="142"/>
      <c r="AI597" s="142"/>
      <c r="AJ597" s="142"/>
      <c r="AK597" s="142"/>
      <c r="AL597" s="142"/>
      <c r="AM597" s="142"/>
      <c r="AN597" s="142"/>
      <c r="AO597" s="142"/>
      <c r="AP597" s="142"/>
    </row>
    <row r="598" ht="13.5" customHeight="1">
      <c r="A598" s="142"/>
      <c r="B598" s="142"/>
      <c r="C598" s="142"/>
      <c r="D598" s="142"/>
      <c r="E598" s="132"/>
      <c r="F598" s="131"/>
      <c r="G598" s="131"/>
      <c r="H598" s="131"/>
      <c r="I598" s="131"/>
      <c r="J598" s="131"/>
      <c r="K598" s="131"/>
      <c r="L598" s="131"/>
      <c r="M598" s="131"/>
      <c r="N598" s="131"/>
      <c r="O598" s="142"/>
      <c r="P598" s="142"/>
      <c r="Q598" s="142"/>
      <c r="R598" s="142"/>
      <c r="S598" s="142"/>
      <c r="T598" s="142"/>
      <c r="U598" s="142"/>
      <c r="V598" s="142"/>
      <c r="W598" s="142"/>
      <c r="X598" s="142"/>
      <c r="Y598" s="142"/>
      <c r="Z598" s="142"/>
      <c r="AA598" s="131"/>
      <c r="AB598" s="142"/>
      <c r="AC598" s="142"/>
      <c r="AD598" s="142"/>
      <c r="AE598" s="142"/>
      <c r="AF598" s="142"/>
      <c r="AG598" s="142"/>
      <c r="AH598" s="142"/>
      <c r="AI598" s="142"/>
      <c r="AJ598" s="142"/>
      <c r="AK598" s="142"/>
      <c r="AL598" s="142"/>
      <c r="AM598" s="142"/>
      <c r="AN598" s="142"/>
      <c r="AO598" s="142"/>
      <c r="AP598" s="142"/>
    </row>
    <row r="599" ht="13.5" customHeight="1">
      <c r="A599" s="142"/>
      <c r="B599" s="142"/>
      <c r="C599" s="142"/>
      <c r="D599" s="142"/>
      <c r="E599" s="132"/>
      <c r="F599" s="131"/>
      <c r="G599" s="131"/>
      <c r="H599" s="131"/>
      <c r="I599" s="131"/>
      <c r="J599" s="131"/>
      <c r="K599" s="131"/>
      <c r="L599" s="131"/>
      <c r="M599" s="131"/>
      <c r="N599" s="131"/>
      <c r="O599" s="142"/>
      <c r="P599" s="142"/>
      <c r="Q599" s="142"/>
      <c r="R599" s="142"/>
      <c r="S599" s="142"/>
      <c r="T599" s="142"/>
      <c r="U599" s="142"/>
      <c r="V599" s="142"/>
      <c r="W599" s="142"/>
      <c r="X599" s="142"/>
      <c r="Y599" s="142"/>
      <c r="Z599" s="142"/>
      <c r="AA599" s="131"/>
      <c r="AB599" s="142"/>
      <c r="AC599" s="142"/>
      <c r="AD599" s="142"/>
      <c r="AE599" s="142"/>
      <c r="AF599" s="142"/>
      <c r="AG599" s="142"/>
      <c r="AH599" s="142"/>
      <c r="AI599" s="142"/>
      <c r="AJ599" s="142"/>
      <c r="AK599" s="142"/>
      <c r="AL599" s="142"/>
      <c r="AM599" s="142"/>
      <c r="AN599" s="142"/>
      <c r="AO599" s="142"/>
      <c r="AP599" s="142"/>
    </row>
    <row r="600" ht="13.5" customHeight="1">
      <c r="A600" s="142"/>
      <c r="B600" s="142"/>
      <c r="C600" s="142"/>
      <c r="D600" s="142"/>
      <c r="E600" s="132"/>
      <c r="F600" s="131"/>
      <c r="G600" s="131"/>
      <c r="H600" s="131"/>
      <c r="I600" s="131"/>
      <c r="J600" s="131"/>
      <c r="K600" s="131"/>
      <c r="L600" s="131"/>
      <c r="M600" s="131"/>
      <c r="N600" s="131"/>
      <c r="O600" s="142"/>
      <c r="P600" s="142"/>
      <c r="Q600" s="142"/>
      <c r="R600" s="142"/>
      <c r="S600" s="142"/>
      <c r="T600" s="142"/>
      <c r="U600" s="142"/>
      <c r="V600" s="142"/>
      <c r="W600" s="142"/>
      <c r="X600" s="142"/>
      <c r="Y600" s="142"/>
      <c r="Z600" s="142"/>
      <c r="AA600" s="131"/>
      <c r="AB600" s="142"/>
      <c r="AC600" s="142"/>
      <c r="AD600" s="142"/>
      <c r="AE600" s="142"/>
      <c r="AF600" s="142"/>
      <c r="AG600" s="142"/>
      <c r="AH600" s="142"/>
      <c r="AI600" s="142"/>
      <c r="AJ600" s="142"/>
      <c r="AK600" s="142"/>
      <c r="AL600" s="142"/>
      <c r="AM600" s="142"/>
      <c r="AN600" s="142"/>
      <c r="AO600" s="142"/>
      <c r="AP600" s="142"/>
    </row>
    <row r="601" ht="13.5" customHeight="1">
      <c r="A601" s="142"/>
      <c r="B601" s="142"/>
      <c r="C601" s="142"/>
      <c r="D601" s="142"/>
      <c r="E601" s="132"/>
      <c r="F601" s="131"/>
      <c r="G601" s="131"/>
      <c r="H601" s="131"/>
      <c r="I601" s="131"/>
      <c r="J601" s="131"/>
      <c r="K601" s="131"/>
      <c r="L601" s="131"/>
      <c r="M601" s="131"/>
      <c r="N601" s="131"/>
      <c r="O601" s="142"/>
      <c r="P601" s="142"/>
      <c r="Q601" s="142"/>
      <c r="R601" s="142"/>
      <c r="S601" s="142"/>
      <c r="T601" s="142"/>
      <c r="U601" s="142"/>
      <c r="V601" s="142"/>
      <c r="W601" s="142"/>
      <c r="X601" s="142"/>
      <c r="Y601" s="142"/>
      <c r="Z601" s="142"/>
      <c r="AA601" s="131"/>
      <c r="AB601" s="142"/>
      <c r="AC601" s="142"/>
      <c r="AD601" s="142"/>
      <c r="AE601" s="142"/>
      <c r="AF601" s="142"/>
      <c r="AG601" s="142"/>
      <c r="AH601" s="142"/>
      <c r="AI601" s="142"/>
      <c r="AJ601" s="142"/>
      <c r="AK601" s="142"/>
      <c r="AL601" s="142"/>
      <c r="AM601" s="142"/>
      <c r="AN601" s="142"/>
      <c r="AO601" s="142"/>
      <c r="AP601" s="142"/>
    </row>
    <row r="602" ht="13.5" customHeight="1">
      <c r="A602" s="142"/>
      <c r="B602" s="142"/>
      <c r="C602" s="142"/>
      <c r="D602" s="142"/>
      <c r="E602" s="132"/>
      <c r="F602" s="131"/>
      <c r="G602" s="131"/>
      <c r="H602" s="131"/>
      <c r="I602" s="131"/>
      <c r="J602" s="131"/>
      <c r="K602" s="131"/>
      <c r="L602" s="131"/>
      <c r="M602" s="131"/>
      <c r="N602" s="131"/>
      <c r="O602" s="142"/>
      <c r="P602" s="142"/>
      <c r="Q602" s="142"/>
      <c r="R602" s="142"/>
      <c r="S602" s="142"/>
      <c r="T602" s="142"/>
      <c r="U602" s="142"/>
      <c r="V602" s="142"/>
      <c r="W602" s="142"/>
      <c r="X602" s="142"/>
      <c r="Y602" s="142"/>
      <c r="Z602" s="142"/>
      <c r="AA602" s="131"/>
      <c r="AB602" s="142"/>
      <c r="AC602" s="142"/>
      <c r="AD602" s="142"/>
      <c r="AE602" s="142"/>
      <c r="AF602" s="142"/>
      <c r="AG602" s="142"/>
      <c r="AH602" s="142"/>
      <c r="AI602" s="142"/>
      <c r="AJ602" s="142"/>
      <c r="AK602" s="142"/>
      <c r="AL602" s="142"/>
      <c r="AM602" s="142"/>
      <c r="AN602" s="142"/>
      <c r="AO602" s="142"/>
      <c r="AP602" s="142"/>
    </row>
    <row r="603" ht="13.5" customHeight="1">
      <c r="A603" s="142"/>
      <c r="B603" s="142"/>
      <c r="C603" s="142"/>
      <c r="D603" s="142"/>
      <c r="E603" s="132"/>
      <c r="F603" s="131"/>
      <c r="G603" s="131"/>
      <c r="H603" s="131"/>
      <c r="I603" s="131"/>
      <c r="J603" s="131"/>
      <c r="K603" s="131"/>
      <c r="L603" s="131"/>
      <c r="M603" s="131"/>
      <c r="N603" s="131"/>
      <c r="O603" s="142"/>
      <c r="P603" s="142"/>
      <c r="Q603" s="142"/>
      <c r="R603" s="142"/>
      <c r="S603" s="142"/>
      <c r="T603" s="142"/>
      <c r="U603" s="142"/>
      <c r="V603" s="142"/>
      <c r="W603" s="142"/>
      <c r="X603" s="142"/>
      <c r="Y603" s="142"/>
      <c r="Z603" s="142"/>
      <c r="AA603" s="131"/>
      <c r="AB603" s="142"/>
      <c r="AC603" s="142"/>
      <c r="AD603" s="142"/>
      <c r="AE603" s="142"/>
      <c r="AF603" s="142"/>
      <c r="AG603" s="142"/>
      <c r="AH603" s="142"/>
      <c r="AI603" s="142"/>
      <c r="AJ603" s="142"/>
      <c r="AK603" s="142"/>
      <c r="AL603" s="142"/>
      <c r="AM603" s="142"/>
      <c r="AN603" s="142"/>
      <c r="AO603" s="142"/>
      <c r="AP603" s="142"/>
    </row>
    <row r="604" ht="13.5" customHeight="1">
      <c r="A604" s="142"/>
      <c r="B604" s="142"/>
      <c r="C604" s="142"/>
      <c r="D604" s="142"/>
      <c r="E604" s="132"/>
      <c r="F604" s="131"/>
      <c r="G604" s="131"/>
      <c r="H604" s="131"/>
      <c r="I604" s="131"/>
      <c r="J604" s="131"/>
      <c r="K604" s="131"/>
      <c r="L604" s="131"/>
      <c r="M604" s="131"/>
      <c r="N604" s="131"/>
      <c r="O604" s="142"/>
      <c r="P604" s="142"/>
      <c r="Q604" s="142"/>
      <c r="R604" s="142"/>
      <c r="S604" s="142"/>
      <c r="T604" s="142"/>
      <c r="U604" s="142"/>
      <c r="V604" s="142"/>
      <c r="W604" s="142"/>
      <c r="X604" s="142"/>
      <c r="Y604" s="142"/>
      <c r="Z604" s="142"/>
      <c r="AA604" s="131"/>
      <c r="AB604" s="142"/>
      <c r="AC604" s="142"/>
      <c r="AD604" s="142"/>
      <c r="AE604" s="142"/>
      <c r="AF604" s="142"/>
      <c r="AG604" s="142"/>
      <c r="AH604" s="142"/>
      <c r="AI604" s="142"/>
      <c r="AJ604" s="142"/>
      <c r="AK604" s="142"/>
      <c r="AL604" s="142"/>
      <c r="AM604" s="142"/>
      <c r="AN604" s="142"/>
      <c r="AO604" s="142"/>
      <c r="AP604" s="142"/>
    </row>
    <row r="605" ht="13.5" customHeight="1">
      <c r="A605" s="142"/>
      <c r="B605" s="142"/>
      <c r="C605" s="142"/>
      <c r="D605" s="142"/>
      <c r="E605" s="132"/>
      <c r="F605" s="131"/>
      <c r="G605" s="131"/>
      <c r="H605" s="131"/>
      <c r="I605" s="131"/>
      <c r="J605" s="131"/>
      <c r="K605" s="131"/>
      <c r="L605" s="131"/>
      <c r="M605" s="131"/>
      <c r="N605" s="131"/>
      <c r="O605" s="142"/>
      <c r="P605" s="142"/>
      <c r="Q605" s="142"/>
      <c r="R605" s="142"/>
      <c r="S605" s="142"/>
      <c r="T605" s="142"/>
      <c r="U605" s="142"/>
      <c r="V605" s="142"/>
      <c r="W605" s="142"/>
      <c r="X605" s="142"/>
      <c r="Y605" s="142"/>
      <c r="Z605" s="142"/>
      <c r="AA605" s="131"/>
      <c r="AB605" s="142"/>
      <c r="AC605" s="142"/>
      <c r="AD605" s="142"/>
      <c r="AE605" s="142"/>
      <c r="AF605" s="142"/>
      <c r="AG605" s="142"/>
      <c r="AH605" s="142"/>
      <c r="AI605" s="142"/>
      <c r="AJ605" s="142"/>
      <c r="AK605" s="142"/>
      <c r="AL605" s="142"/>
      <c r="AM605" s="142"/>
      <c r="AN605" s="142"/>
      <c r="AO605" s="142"/>
      <c r="AP605" s="142"/>
    </row>
    <row r="606" ht="13.5" customHeight="1">
      <c r="A606" s="142"/>
      <c r="B606" s="142"/>
      <c r="C606" s="142"/>
      <c r="D606" s="142"/>
      <c r="E606" s="132"/>
      <c r="F606" s="131"/>
      <c r="G606" s="131"/>
      <c r="H606" s="131"/>
      <c r="I606" s="131"/>
      <c r="J606" s="131"/>
      <c r="K606" s="131"/>
      <c r="L606" s="131"/>
      <c r="M606" s="131"/>
      <c r="N606" s="131"/>
      <c r="O606" s="142"/>
      <c r="P606" s="142"/>
      <c r="Q606" s="142"/>
      <c r="R606" s="142"/>
      <c r="S606" s="142"/>
      <c r="T606" s="142"/>
      <c r="U606" s="142"/>
      <c r="V606" s="142"/>
      <c r="W606" s="142"/>
      <c r="X606" s="142"/>
      <c r="Y606" s="142"/>
      <c r="Z606" s="142"/>
      <c r="AA606" s="131"/>
      <c r="AB606" s="142"/>
      <c r="AC606" s="142"/>
      <c r="AD606" s="142"/>
      <c r="AE606" s="142"/>
      <c r="AF606" s="142"/>
      <c r="AG606" s="142"/>
      <c r="AH606" s="142"/>
      <c r="AI606" s="142"/>
      <c r="AJ606" s="142"/>
      <c r="AK606" s="142"/>
      <c r="AL606" s="142"/>
      <c r="AM606" s="142"/>
      <c r="AN606" s="142"/>
      <c r="AO606" s="142"/>
      <c r="AP606" s="142"/>
    </row>
    <row r="607" ht="13.5" customHeight="1">
      <c r="A607" s="142"/>
      <c r="B607" s="142"/>
      <c r="C607" s="142"/>
      <c r="D607" s="142"/>
      <c r="E607" s="132"/>
      <c r="F607" s="131"/>
      <c r="G607" s="131"/>
      <c r="H607" s="131"/>
      <c r="I607" s="131"/>
      <c r="J607" s="131"/>
      <c r="K607" s="131"/>
      <c r="L607" s="131"/>
      <c r="M607" s="131"/>
      <c r="N607" s="131"/>
      <c r="O607" s="142"/>
      <c r="P607" s="142"/>
      <c r="Q607" s="142"/>
      <c r="R607" s="142"/>
      <c r="S607" s="142"/>
      <c r="T607" s="142"/>
      <c r="U607" s="142"/>
      <c r="V607" s="142"/>
      <c r="W607" s="142"/>
      <c r="X607" s="142"/>
      <c r="Y607" s="142"/>
      <c r="Z607" s="142"/>
      <c r="AA607" s="131"/>
      <c r="AB607" s="142"/>
      <c r="AC607" s="142"/>
      <c r="AD607" s="142"/>
      <c r="AE607" s="142"/>
      <c r="AF607" s="142"/>
      <c r="AG607" s="142"/>
      <c r="AH607" s="142"/>
      <c r="AI607" s="142"/>
      <c r="AJ607" s="142"/>
      <c r="AK607" s="142"/>
      <c r="AL607" s="142"/>
      <c r="AM607" s="142"/>
      <c r="AN607" s="142"/>
      <c r="AO607" s="142"/>
      <c r="AP607" s="142"/>
    </row>
    <row r="608" ht="13.5" customHeight="1">
      <c r="A608" s="142"/>
      <c r="B608" s="142"/>
      <c r="C608" s="142"/>
      <c r="D608" s="142"/>
      <c r="E608" s="132"/>
      <c r="F608" s="131"/>
      <c r="G608" s="131"/>
      <c r="H608" s="131"/>
      <c r="I608" s="131"/>
      <c r="J608" s="131"/>
      <c r="K608" s="131"/>
      <c r="L608" s="131"/>
      <c r="M608" s="131"/>
      <c r="N608" s="131"/>
      <c r="O608" s="142"/>
      <c r="P608" s="142"/>
      <c r="Q608" s="142"/>
      <c r="R608" s="142"/>
      <c r="S608" s="142"/>
      <c r="T608" s="142"/>
      <c r="U608" s="142"/>
      <c r="V608" s="142"/>
      <c r="W608" s="142"/>
      <c r="X608" s="142"/>
      <c r="Y608" s="142"/>
      <c r="Z608" s="142"/>
      <c r="AA608" s="131"/>
      <c r="AB608" s="142"/>
      <c r="AC608" s="142"/>
      <c r="AD608" s="142"/>
      <c r="AE608" s="142"/>
      <c r="AF608" s="142"/>
      <c r="AG608" s="142"/>
      <c r="AH608" s="142"/>
      <c r="AI608" s="142"/>
      <c r="AJ608" s="142"/>
      <c r="AK608" s="142"/>
      <c r="AL608" s="142"/>
      <c r="AM608" s="142"/>
      <c r="AN608" s="142"/>
      <c r="AO608" s="142"/>
      <c r="AP608" s="142"/>
    </row>
    <row r="609" ht="13.5" customHeight="1">
      <c r="A609" s="142"/>
      <c r="B609" s="142"/>
      <c r="C609" s="142"/>
      <c r="D609" s="142"/>
      <c r="E609" s="132"/>
      <c r="F609" s="131"/>
      <c r="G609" s="131"/>
      <c r="H609" s="131"/>
      <c r="I609" s="131"/>
      <c r="J609" s="131"/>
      <c r="K609" s="131"/>
      <c r="L609" s="131"/>
      <c r="M609" s="131"/>
      <c r="N609" s="131"/>
      <c r="O609" s="142"/>
      <c r="P609" s="142"/>
      <c r="Q609" s="142"/>
      <c r="R609" s="142"/>
      <c r="S609" s="142"/>
      <c r="T609" s="142"/>
      <c r="U609" s="142"/>
      <c r="V609" s="142"/>
      <c r="W609" s="142"/>
      <c r="X609" s="142"/>
      <c r="Y609" s="142"/>
      <c r="Z609" s="142"/>
      <c r="AA609" s="131"/>
      <c r="AB609" s="142"/>
      <c r="AC609" s="142"/>
      <c r="AD609" s="142"/>
      <c r="AE609" s="142"/>
      <c r="AF609" s="142"/>
      <c r="AG609" s="142"/>
      <c r="AH609" s="142"/>
      <c r="AI609" s="142"/>
      <c r="AJ609" s="142"/>
      <c r="AK609" s="142"/>
      <c r="AL609" s="142"/>
      <c r="AM609" s="142"/>
      <c r="AN609" s="142"/>
      <c r="AO609" s="142"/>
      <c r="AP609" s="142"/>
    </row>
    <row r="610" ht="13.5" customHeight="1">
      <c r="A610" s="142"/>
      <c r="B610" s="142"/>
      <c r="C610" s="142"/>
      <c r="D610" s="142"/>
      <c r="E610" s="132"/>
      <c r="F610" s="131"/>
      <c r="G610" s="131"/>
      <c r="H610" s="131"/>
      <c r="I610" s="131"/>
      <c r="J610" s="131"/>
      <c r="K610" s="131"/>
      <c r="L610" s="131"/>
      <c r="M610" s="131"/>
      <c r="N610" s="131"/>
      <c r="O610" s="142"/>
      <c r="P610" s="142"/>
      <c r="Q610" s="142"/>
      <c r="R610" s="142"/>
      <c r="S610" s="142"/>
      <c r="T610" s="142"/>
      <c r="U610" s="142"/>
      <c r="V610" s="142"/>
      <c r="W610" s="142"/>
      <c r="X610" s="142"/>
      <c r="Y610" s="142"/>
      <c r="Z610" s="142"/>
      <c r="AA610" s="131"/>
      <c r="AB610" s="142"/>
      <c r="AC610" s="142"/>
      <c r="AD610" s="142"/>
      <c r="AE610" s="142"/>
      <c r="AF610" s="142"/>
      <c r="AG610" s="142"/>
      <c r="AH610" s="142"/>
      <c r="AI610" s="142"/>
      <c r="AJ610" s="142"/>
      <c r="AK610" s="142"/>
      <c r="AL610" s="142"/>
      <c r="AM610" s="142"/>
      <c r="AN610" s="142"/>
      <c r="AO610" s="142"/>
      <c r="AP610" s="142"/>
    </row>
    <row r="611" ht="13.5" customHeight="1">
      <c r="A611" s="142"/>
      <c r="B611" s="142"/>
      <c r="C611" s="142"/>
      <c r="D611" s="142"/>
      <c r="E611" s="132"/>
      <c r="F611" s="131"/>
      <c r="G611" s="131"/>
      <c r="H611" s="131"/>
      <c r="I611" s="131"/>
      <c r="J611" s="131"/>
      <c r="K611" s="131"/>
      <c r="L611" s="131"/>
      <c r="M611" s="131"/>
      <c r="N611" s="131"/>
      <c r="O611" s="142"/>
      <c r="P611" s="142"/>
      <c r="Q611" s="142"/>
      <c r="R611" s="142"/>
      <c r="S611" s="142"/>
      <c r="T611" s="142"/>
      <c r="U611" s="142"/>
      <c r="V611" s="142"/>
      <c r="W611" s="142"/>
      <c r="X611" s="142"/>
      <c r="Y611" s="142"/>
      <c r="Z611" s="142"/>
      <c r="AA611" s="131"/>
      <c r="AB611" s="142"/>
      <c r="AC611" s="142"/>
      <c r="AD611" s="142"/>
      <c r="AE611" s="142"/>
      <c r="AF611" s="142"/>
      <c r="AG611" s="142"/>
      <c r="AH611" s="142"/>
      <c r="AI611" s="142"/>
      <c r="AJ611" s="142"/>
      <c r="AK611" s="142"/>
      <c r="AL611" s="142"/>
      <c r="AM611" s="142"/>
      <c r="AN611" s="142"/>
      <c r="AO611" s="142"/>
      <c r="AP611" s="142"/>
    </row>
    <row r="612" ht="13.5" customHeight="1">
      <c r="A612" s="142"/>
      <c r="B612" s="142"/>
      <c r="C612" s="142"/>
      <c r="D612" s="142"/>
      <c r="E612" s="132"/>
      <c r="F612" s="131"/>
      <c r="G612" s="131"/>
      <c r="H612" s="131"/>
      <c r="I612" s="131"/>
      <c r="J612" s="131"/>
      <c r="K612" s="131"/>
      <c r="L612" s="131"/>
      <c r="M612" s="131"/>
      <c r="N612" s="131"/>
      <c r="O612" s="142"/>
      <c r="P612" s="142"/>
      <c r="Q612" s="142"/>
      <c r="R612" s="142"/>
      <c r="S612" s="142"/>
      <c r="T612" s="142"/>
      <c r="U612" s="142"/>
      <c r="V612" s="142"/>
      <c r="W612" s="142"/>
      <c r="X612" s="142"/>
      <c r="Y612" s="142"/>
      <c r="Z612" s="142"/>
      <c r="AA612" s="131"/>
      <c r="AB612" s="142"/>
      <c r="AC612" s="142"/>
      <c r="AD612" s="142"/>
      <c r="AE612" s="142"/>
      <c r="AF612" s="142"/>
      <c r="AG612" s="142"/>
      <c r="AH612" s="142"/>
      <c r="AI612" s="142"/>
      <c r="AJ612" s="142"/>
      <c r="AK612" s="142"/>
      <c r="AL612" s="142"/>
      <c r="AM612" s="142"/>
      <c r="AN612" s="142"/>
      <c r="AO612" s="142"/>
      <c r="AP612" s="142"/>
    </row>
    <row r="613" ht="13.5" customHeight="1">
      <c r="A613" s="142"/>
      <c r="B613" s="142"/>
      <c r="C613" s="142"/>
      <c r="D613" s="142"/>
      <c r="E613" s="132"/>
      <c r="F613" s="131"/>
      <c r="G613" s="131"/>
      <c r="H613" s="131"/>
      <c r="I613" s="131"/>
      <c r="J613" s="131"/>
      <c r="K613" s="131"/>
      <c r="L613" s="131"/>
      <c r="M613" s="131"/>
      <c r="N613" s="131"/>
      <c r="O613" s="142"/>
      <c r="P613" s="142"/>
      <c r="Q613" s="142"/>
      <c r="R613" s="142"/>
      <c r="S613" s="142"/>
      <c r="T613" s="142"/>
      <c r="U613" s="142"/>
      <c r="V613" s="142"/>
      <c r="W613" s="142"/>
      <c r="X613" s="142"/>
      <c r="Y613" s="142"/>
      <c r="Z613" s="142"/>
      <c r="AA613" s="131"/>
      <c r="AB613" s="142"/>
      <c r="AC613" s="142"/>
      <c r="AD613" s="142"/>
      <c r="AE613" s="142"/>
      <c r="AF613" s="142"/>
      <c r="AG613" s="142"/>
      <c r="AH613" s="142"/>
      <c r="AI613" s="142"/>
      <c r="AJ613" s="142"/>
      <c r="AK613" s="142"/>
      <c r="AL613" s="142"/>
      <c r="AM613" s="142"/>
      <c r="AN613" s="142"/>
      <c r="AO613" s="142"/>
      <c r="AP613" s="142"/>
    </row>
    <row r="614" ht="13.5" customHeight="1">
      <c r="A614" s="142"/>
      <c r="B614" s="142"/>
      <c r="C614" s="142"/>
      <c r="D614" s="142"/>
      <c r="E614" s="132"/>
      <c r="F614" s="131"/>
      <c r="G614" s="131"/>
      <c r="H614" s="131"/>
      <c r="I614" s="131"/>
      <c r="J614" s="131"/>
      <c r="K614" s="131"/>
      <c r="L614" s="131"/>
      <c r="M614" s="131"/>
      <c r="N614" s="131"/>
      <c r="O614" s="142"/>
      <c r="P614" s="142"/>
      <c r="Q614" s="142"/>
      <c r="R614" s="142"/>
      <c r="S614" s="142"/>
      <c r="T614" s="142"/>
      <c r="U614" s="142"/>
      <c r="V614" s="142"/>
      <c r="W614" s="142"/>
      <c r="X614" s="142"/>
      <c r="Y614" s="142"/>
      <c r="Z614" s="142"/>
      <c r="AA614" s="131"/>
      <c r="AB614" s="142"/>
      <c r="AC614" s="142"/>
      <c r="AD614" s="142"/>
      <c r="AE614" s="142"/>
      <c r="AF614" s="142"/>
      <c r="AG614" s="142"/>
      <c r="AH614" s="142"/>
      <c r="AI614" s="142"/>
      <c r="AJ614" s="142"/>
      <c r="AK614" s="142"/>
      <c r="AL614" s="142"/>
      <c r="AM614" s="142"/>
      <c r="AN614" s="142"/>
      <c r="AO614" s="142"/>
      <c r="AP614" s="142"/>
    </row>
    <row r="615" ht="13.5" customHeight="1">
      <c r="A615" s="142"/>
      <c r="B615" s="142"/>
      <c r="C615" s="142"/>
      <c r="D615" s="142"/>
      <c r="E615" s="132"/>
      <c r="F615" s="131"/>
      <c r="G615" s="131"/>
      <c r="H615" s="131"/>
      <c r="I615" s="131"/>
      <c r="J615" s="131"/>
      <c r="K615" s="131"/>
      <c r="L615" s="131"/>
      <c r="M615" s="131"/>
      <c r="N615" s="131"/>
      <c r="O615" s="142"/>
      <c r="P615" s="142"/>
      <c r="Q615" s="142"/>
      <c r="R615" s="142"/>
      <c r="S615" s="142"/>
      <c r="T615" s="142"/>
      <c r="U615" s="142"/>
      <c r="V615" s="142"/>
      <c r="W615" s="142"/>
      <c r="X615" s="142"/>
      <c r="Y615" s="142"/>
      <c r="Z615" s="142"/>
      <c r="AA615" s="131"/>
      <c r="AB615" s="142"/>
      <c r="AC615" s="142"/>
      <c r="AD615" s="142"/>
      <c r="AE615" s="142"/>
      <c r="AF615" s="142"/>
      <c r="AG615" s="142"/>
      <c r="AH615" s="142"/>
      <c r="AI615" s="142"/>
      <c r="AJ615" s="142"/>
      <c r="AK615" s="142"/>
      <c r="AL615" s="142"/>
      <c r="AM615" s="142"/>
      <c r="AN615" s="142"/>
      <c r="AO615" s="142"/>
      <c r="AP615" s="142"/>
    </row>
    <row r="616" ht="13.5" customHeight="1">
      <c r="A616" s="142"/>
      <c r="B616" s="142"/>
      <c r="C616" s="142"/>
      <c r="D616" s="142"/>
      <c r="E616" s="132"/>
      <c r="F616" s="131"/>
      <c r="G616" s="131"/>
      <c r="H616" s="131"/>
      <c r="I616" s="131"/>
      <c r="J616" s="131"/>
      <c r="K616" s="131"/>
      <c r="L616" s="131"/>
      <c r="M616" s="131"/>
      <c r="N616" s="131"/>
      <c r="O616" s="142"/>
      <c r="P616" s="142"/>
      <c r="Q616" s="142"/>
      <c r="R616" s="142"/>
      <c r="S616" s="142"/>
      <c r="T616" s="142"/>
      <c r="U616" s="142"/>
      <c r="V616" s="142"/>
      <c r="W616" s="142"/>
      <c r="X616" s="142"/>
      <c r="Y616" s="142"/>
      <c r="Z616" s="142"/>
      <c r="AA616" s="131"/>
      <c r="AB616" s="142"/>
      <c r="AC616" s="142"/>
      <c r="AD616" s="142"/>
      <c r="AE616" s="142"/>
      <c r="AF616" s="142"/>
      <c r="AG616" s="142"/>
      <c r="AH616" s="142"/>
      <c r="AI616" s="142"/>
      <c r="AJ616" s="142"/>
      <c r="AK616" s="142"/>
      <c r="AL616" s="142"/>
      <c r="AM616" s="142"/>
      <c r="AN616" s="142"/>
      <c r="AO616" s="142"/>
      <c r="AP616" s="142"/>
    </row>
    <row r="617" ht="13.5" customHeight="1">
      <c r="A617" s="142"/>
      <c r="B617" s="142"/>
      <c r="C617" s="142"/>
      <c r="D617" s="142"/>
      <c r="E617" s="132"/>
      <c r="F617" s="131"/>
      <c r="G617" s="131"/>
      <c r="H617" s="131"/>
      <c r="I617" s="131"/>
      <c r="J617" s="131"/>
      <c r="K617" s="131"/>
      <c r="L617" s="131"/>
      <c r="M617" s="131"/>
      <c r="N617" s="131"/>
      <c r="O617" s="142"/>
      <c r="P617" s="142"/>
      <c r="Q617" s="142"/>
      <c r="R617" s="142"/>
      <c r="S617" s="142"/>
      <c r="T617" s="142"/>
      <c r="U617" s="142"/>
      <c r="V617" s="142"/>
      <c r="W617" s="142"/>
      <c r="X617" s="142"/>
      <c r="Y617" s="142"/>
      <c r="Z617" s="142"/>
      <c r="AA617" s="131"/>
      <c r="AB617" s="142"/>
      <c r="AC617" s="142"/>
      <c r="AD617" s="142"/>
      <c r="AE617" s="142"/>
      <c r="AF617" s="142"/>
      <c r="AG617" s="142"/>
      <c r="AH617" s="142"/>
      <c r="AI617" s="142"/>
      <c r="AJ617" s="142"/>
      <c r="AK617" s="142"/>
      <c r="AL617" s="142"/>
      <c r="AM617" s="142"/>
      <c r="AN617" s="142"/>
      <c r="AO617" s="142"/>
      <c r="AP617" s="142"/>
    </row>
    <row r="618" ht="13.5" customHeight="1">
      <c r="A618" s="142"/>
      <c r="B618" s="142"/>
      <c r="C618" s="142"/>
      <c r="D618" s="142"/>
      <c r="E618" s="132"/>
      <c r="F618" s="131"/>
      <c r="G618" s="131"/>
      <c r="H618" s="131"/>
      <c r="I618" s="131"/>
      <c r="J618" s="131"/>
      <c r="K618" s="131"/>
      <c r="L618" s="131"/>
      <c r="M618" s="131"/>
      <c r="N618" s="131"/>
      <c r="O618" s="142"/>
      <c r="P618" s="142"/>
      <c r="Q618" s="142"/>
      <c r="R618" s="142"/>
      <c r="S618" s="142"/>
      <c r="T618" s="142"/>
      <c r="U618" s="142"/>
      <c r="V618" s="142"/>
      <c r="W618" s="142"/>
      <c r="X618" s="142"/>
      <c r="Y618" s="142"/>
      <c r="Z618" s="142"/>
      <c r="AA618" s="131"/>
      <c r="AB618" s="142"/>
      <c r="AC618" s="142"/>
      <c r="AD618" s="142"/>
      <c r="AE618" s="142"/>
      <c r="AF618" s="142"/>
      <c r="AG618" s="142"/>
      <c r="AH618" s="142"/>
      <c r="AI618" s="142"/>
      <c r="AJ618" s="142"/>
      <c r="AK618" s="142"/>
      <c r="AL618" s="142"/>
      <c r="AM618" s="142"/>
      <c r="AN618" s="142"/>
      <c r="AO618" s="142"/>
      <c r="AP618" s="142"/>
    </row>
    <row r="619" ht="13.5" customHeight="1">
      <c r="A619" s="142"/>
      <c r="B619" s="142"/>
      <c r="C619" s="142"/>
      <c r="D619" s="142"/>
      <c r="E619" s="132"/>
      <c r="F619" s="131"/>
      <c r="G619" s="131"/>
      <c r="H619" s="131"/>
      <c r="I619" s="131"/>
      <c r="J619" s="131"/>
      <c r="K619" s="131"/>
      <c r="L619" s="131"/>
      <c r="M619" s="131"/>
      <c r="N619" s="131"/>
      <c r="O619" s="142"/>
      <c r="P619" s="142"/>
      <c r="Q619" s="142"/>
      <c r="R619" s="142"/>
      <c r="S619" s="142"/>
      <c r="T619" s="142"/>
      <c r="U619" s="142"/>
      <c r="V619" s="142"/>
      <c r="W619" s="142"/>
      <c r="X619" s="142"/>
      <c r="Y619" s="142"/>
      <c r="Z619" s="142"/>
      <c r="AA619" s="131"/>
      <c r="AB619" s="142"/>
      <c r="AC619" s="142"/>
      <c r="AD619" s="142"/>
      <c r="AE619" s="142"/>
      <c r="AF619" s="142"/>
      <c r="AG619" s="142"/>
      <c r="AH619" s="142"/>
      <c r="AI619" s="142"/>
      <c r="AJ619" s="142"/>
      <c r="AK619" s="142"/>
      <c r="AL619" s="142"/>
      <c r="AM619" s="142"/>
      <c r="AN619" s="142"/>
      <c r="AO619" s="142"/>
      <c r="AP619" s="142"/>
    </row>
    <row r="620" ht="13.5" customHeight="1">
      <c r="A620" s="142"/>
      <c r="B620" s="142"/>
      <c r="C620" s="142"/>
      <c r="D620" s="142"/>
      <c r="E620" s="132"/>
      <c r="F620" s="131"/>
      <c r="G620" s="131"/>
      <c r="H620" s="131"/>
      <c r="I620" s="131"/>
      <c r="J620" s="131"/>
      <c r="K620" s="131"/>
      <c r="L620" s="131"/>
      <c r="M620" s="131"/>
      <c r="N620" s="131"/>
      <c r="O620" s="142"/>
      <c r="P620" s="142"/>
      <c r="Q620" s="142"/>
      <c r="R620" s="142"/>
      <c r="S620" s="142"/>
      <c r="T620" s="142"/>
      <c r="U620" s="142"/>
      <c r="V620" s="142"/>
      <c r="W620" s="142"/>
      <c r="X620" s="142"/>
      <c r="Y620" s="142"/>
      <c r="Z620" s="142"/>
      <c r="AA620" s="131"/>
      <c r="AB620" s="142"/>
      <c r="AC620" s="142"/>
      <c r="AD620" s="142"/>
      <c r="AE620" s="142"/>
      <c r="AF620" s="142"/>
      <c r="AG620" s="142"/>
      <c r="AH620" s="142"/>
      <c r="AI620" s="142"/>
      <c r="AJ620" s="142"/>
      <c r="AK620" s="142"/>
      <c r="AL620" s="142"/>
      <c r="AM620" s="142"/>
      <c r="AN620" s="142"/>
      <c r="AO620" s="142"/>
      <c r="AP620" s="142"/>
    </row>
    <row r="621" ht="13.5" customHeight="1">
      <c r="A621" s="142"/>
      <c r="B621" s="142"/>
      <c r="C621" s="142"/>
      <c r="D621" s="142"/>
      <c r="E621" s="132"/>
      <c r="F621" s="131"/>
      <c r="G621" s="131"/>
      <c r="H621" s="131"/>
      <c r="I621" s="131"/>
      <c r="J621" s="131"/>
      <c r="K621" s="131"/>
      <c r="L621" s="131"/>
      <c r="M621" s="131"/>
      <c r="N621" s="131"/>
      <c r="O621" s="142"/>
      <c r="P621" s="142"/>
      <c r="Q621" s="142"/>
      <c r="R621" s="142"/>
      <c r="S621" s="142"/>
      <c r="T621" s="142"/>
      <c r="U621" s="142"/>
      <c r="V621" s="142"/>
      <c r="W621" s="142"/>
      <c r="X621" s="142"/>
      <c r="Y621" s="142"/>
      <c r="Z621" s="142"/>
      <c r="AA621" s="131"/>
      <c r="AB621" s="142"/>
      <c r="AC621" s="142"/>
      <c r="AD621" s="142"/>
      <c r="AE621" s="142"/>
      <c r="AF621" s="142"/>
      <c r="AG621" s="142"/>
      <c r="AH621" s="142"/>
      <c r="AI621" s="142"/>
      <c r="AJ621" s="142"/>
      <c r="AK621" s="142"/>
      <c r="AL621" s="142"/>
      <c r="AM621" s="142"/>
      <c r="AN621" s="142"/>
      <c r="AO621" s="142"/>
      <c r="AP621" s="142"/>
    </row>
    <row r="622" ht="13.5" customHeight="1">
      <c r="A622" s="142"/>
      <c r="B622" s="142"/>
      <c r="C622" s="142"/>
      <c r="D622" s="142"/>
      <c r="E622" s="132"/>
      <c r="F622" s="131"/>
      <c r="G622" s="131"/>
      <c r="H622" s="131"/>
      <c r="I622" s="131"/>
      <c r="J622" s="131"/>
      <c r="K622" s="131"/>
      <c r="L622" s="131"/>
      <c r="M622" s="131"/>
      <c r="N622" s="131"/>
      <c r="O622" s="142"/>
      <c r="P622" s="142"/>
      <c r="Q622" s="142"/>
      <c r="R622" s="142"/>
      <c r="S622" s="142"/>
      <c r="T622" s="142"/>
      <c r="U622" s="142"/>
      <c r="V622" s="142"/>
      <c r="W622" s="142"/>
      <c r="X622" s="142"/>
      <c r="Y622" s="142"/>
      <c r="Z622" s="142"/>
      <c r="AA622" s="131"/>
      <c r="AB622" s="142"/>
      <c r="AC622" s="142"/>
      <c r="AD622" s="142"/>
      <c r="AE622" s="142"/>
      <c r="AF622" s="142"/>
      <c r="AG622" s="142"/>
      <c r="AH622" s="142"/>
      <c r="AI622" s="142"/>
      <c r="AJ622" s="142"/>
      <c r="AK622" s="142"/>
      <c r="AL622" s="142"/>
      <c r="AM622" s="142"/>
      <c r="AN622" s="142"/>
      <c r="AO622" s="142"/>
      <c r="AP622" s="142"/>
    </row>
    <row r="623" ht="13.5" customHeight="1">
      <c r="A623" s="142"/>
      <c r="B623" s="142"/>
      <c r="C623" s="142"/>
      <c r="D623" s="142"/>
      <c r="E623" s="132"/>
      <c r="F623" s="131"/>
      <c r="G623" s="131"/>
      <c r="H623" s="131"/>
      <c r="I623" s="131"/>
      <c r="J623" s="131"/>
      <c r="K623" s="131"/>
      <c r="L623" s="131"/>
      <c r="M623" s="131"/>
      <c r="N623" s="131"/>
      <c r="O623" s="142"/>
      <c r="P623" s="142"/>
      <c r="Q623" s="142"/>
      <c r="R623" s="142"/>
      <c r="S623" s="142"/>
      <c r="T623" s="142"/>
      <c r="U623" s="142"/>
      <c r="V623" s="142"/>
      <c r="W623" s="142"/>
      <c r="X623" s="142"/>
      <c r="Y623" s="142"/>
      <c r="Z623" s="142"/>
      <c r="AA623" s="131"/>
      <c r="AB623" s="142"/>
      <c r="AC623" s="142"/>
      <c r="AD623" s="142"/>
      <c r="AE623" s="142"/>
      <c r="AF623" s="142"/>
      <c r="AG623" s="142"/>
      <c r="AH623" s="142"/>
      <c r="AI623" s="142"/>
      <c r="AJ623" s="142"/>
      <c r="AK623" s="142"/>
      <c r="AL623" s="142"/>
      <c r="AM623" s="142"/>
      <c r="AN623" s="142"/>
      <c r="AO623" s="142"/>
      <c r="AP623" s="142"/>
    </row>
    <row r="624" ht="13.5" customHeight="1">
      <c r="A624" s="142"/>
      <c r="B624" s="142"/>
      <c r="C624" s="142"/>
      <c r="D624" s="142"/>
      <c r="E624" s="132"/>
      <c r="F624" s="131"/>
      <c r="G624" s="131"/>
      <c r="H624" s="131"/>
      <c r="I624" s="131"/>
      <c r="J624" s="131"/>
      <c r="K624" s="131"/>
      <c r="L624" s="131"/>
      <c r="M624" s="131"/>
      <c r="N624" s="131"/>
      <c r="O624" s="142"/>
      <c r="P624" s="142"/>
      <c r="Q624" s="142"/>
      <c r="R624" s="142"/>
      <c r="S624" s="142"/>
      <c r="T624" s="142"/>
      <c r="U624" s="142"/>
      <c r="V624" s="142"/>
      <c r="W624" s="142"/>
      <c r="X624" s="142"/>
      <c r="Y624" s="142"/>
      <c r="Z624" s="142"/>
      <c r="AA624" s="131"/>
      <c r="AB624" s="142"/>
      <c r="AC624" s="142"/>
      <c r="AD624" s="142"/>
      <c r="AE624" s="142"/>
      <c r="AF624" s="142"/>
      <c r="AG624" s="142"/>
      <c r="AH624" s="142"/>
      <c r="AI624" s="142"/>
      <c r="AJ624" s="142"/>
      <c r="AK624" s="142"/>
      <c r="AL624" s="142"/>
      <c r="AM624" s="142"/>
      <c r="AN624" s="142"/>
      <c r="AO624" s="142"/>
      <c r="AP624" s="142"/>
    </row>
    <row r="625" ht="13.5" customHeight="1">
      <c r="A625" s="142"/>
      <c r="B625" s="142"/>
      <c r="C625" s="142"/>
      <c r="D625" s="142"/>
      <c r="E625" s="132"/>
      <c r="F625" s="131"/>
      <c r="G625" s="131"/>
      <c r="H625" s="131"/>
      <c r="I625" s="131"/>
      <c r="J625" s="131"/>
      <c r="K625" s="131"/>
      <c r="L625" s="131"/>
      <c r="M625" s="131"/>
      <c r="N625" s="131"/>
      <c r="O625" s="142"/>
      <c r="P625" s="142"/>
      <c r="Q625" s="142"/>
      <c r="R625" s="142"/>
      <c r="S625" s="142"/>
      <c r="T625" s="142"/>
      <c r="U625" s="142"/>
      <c r="V625" s="142"/>
      <c r="W625" s="142"/>
      <c r="X625" s="142"/>
      <c r="Y625" s="142"/>
      <c r="Z625" s="142"/>
      <c r="AA625" s="131"/>
      <c r="AB625" s="142"/>
      <c r="AC625" s="142"/>
      <c r="AD625" s="142"/>
      <c r="AE625" s="142"/>
      <c r="AF625" s="142"/>
      <c r="AG625" s="142"/>
      <c r="AH625" s="142"/>
      <c r="AI625" s="142"/>
      <c r="AJ625" s="142"/>
      <c r="AK625" s="142"/>
      <c r="AL625" s="142"/>
      <c r="AM625" s="142"/>
      <c r="AN625" s="142"/>
      <c r="AO625" s="142"/>
      <c r="AP625" s="142"/>
    </row>
    <row r="626" ht="13.5" customHeight="1">
      <c r="A626" s="142"/>
      <c r="B626" s="142"/>
      <c r="C626" s="142"/>
      <c r="D626" s="142"/>
      <c r="E626" s="132"/>
      <c r="F626" s="131"/>
      <c r="G626" s="131"/>
      <c r="H626" s="131"/>
      <c r="I626" s="131"/>
      <c r="J626" s="131"/>
      <c r="K626" s="131"/>
      <c r="L626" s="131"/>
      <c r="M626" s="131"/>
      <c r="N626" s="131"/>
      <c r="O626" s="142"/>
      <c r="P626" s="142"/>
      <c r="Q626" s="142"/>
      <c r="R626" s="142"/>
      <c r="S626" s="142"/>
      <c r="T626" s="142"/>
      <c r="U626" s="142"/>
      <c r="V626" s="142"/>
      <c r="W626" s="142"/>
      <c r="X626" s="142"/>
      <c r="Y626" s="142"/>
      <c r="Z626" s="142"/>
      <c r="AA626" s="131"/>
      <c r="AB626" s="142"/>
      <c r="AC626" s="142"/>
      <c r="AD626" s="142"/>
      <c r="AE626" s="142"/>
      <c r="AF626" s="142"/>
      <c r="AG626" s="142"/>
      <c r="AH626" s="142"/>
      <c r="AI626" s="142"/>
      <c r="AJ626" s="142"/>
      <c r="AK626" s="142"/>
      <c r="AL626" s="142"/>
      <c r="AM626" s="142"/>
      <c r="AN626" s="142"/>
      <c r="AO626" s="142"/>
      <c r="AP626" s="142"/>
    </row>
    <row r="627" ht="13.5" customHeight="1">
      <c r="A627" s="142"/>
      <c r="B627" s="142"/>
      <c r="C627" s="142"/>
      <c r="D627" s="142"/>
      <c r="E627" s="132"/>
      <c r="F627" s="131"/>
      <c r="G627" s="131"/>
      <c r="H627" s="131"/>
      <c r="I627" s="131"/>
      <c r="J627" s="131"/>
      <c r="K627" s="131"/>
      <c r="L627" s="131"/>
      <c r="M627" s="131"/>
      <c r="N627" s="131"/>
      <c r="O627" s="142"/>
      <c r="P627" s="142"/>
      <c r="Q627" s="142"/>
      <c r="R627" s="142"/>
      <c r="S627" s="142"/>
      <c r="T627" s="142"/>
      <c r="U627" s="142"/>
      <c r="V627" s="142"/>
      <c r="W627" s="142"/>
      <c r="X627" s="142"/>
      <c r="Y627" s="142"/>
      <c r="Z627" s="142"/>
      <c r="AA627" s="131"/>
      <c r="AB627" s="142"/>
      <c r="AC627" s="142"/>
      <c r="AD627" s="142"/>
      <c r="AE627" s="142"/>
      <c r="AF627" s="142"/>
      <c r="AG627" s="142"/>
      <c r="AH627" s="142"/>
      <c r="AI627" s="142"/>
      <c r="AJ627" s="142"/>
      <c r="AK627" s="142"/>
      <c r="AL627" s="142"/>
      <c r="AM627" s="142"/>
      <c r="AN627" s="142"/>
      <c r="AO627" s="142"/>
      <c r="AP627" s="142"/>
    </row>
    <row r="628" ht="13.5" customHeight="1">
      <c r="A628" s="142"/>
      <c r="B628" s="142"/>
      <c r="C628" s="142"/>
      <c r="D628" s="142"/>
      <c r="E628" s="132"/>
      <c r="F628" s="131"/>
      <c r="G628" s="131"/>
      <c r="H628" s="131"/>
      <c r="I628" s="131"/>
      <c r="J628" s="131"/>
      <c r="K628" s="131"/>
      <c r="L628" s="131"/>
      <c r="M628" s="131"/>
      <c r="N628" s="131"/>
      <c r="O628" s="142"/>
      <c r="P628" s="142"/>
      <c r="Q628" s="142"/>
      <c r="R628" s="142"/>
      <c r="S628" s="142"/>
      <c r="T628" s="142"/>
      <c r="U628" s="142"/>
      <c r="V628" s="142"/>
      <c r="W628" s="142"/>
      <c r="X628" s="142"/>
      <c r="Y628" s="142"/>
      <c r="Z628" s="142"/>
      <c r="AA628" s="131"/>
      <c r="AB628" s="142"/>
      <c r="AC628" s="142"/>
      <c r="AD628" s="142"/>
      <c r="AE628" s="142"/>
      <c r="AF628" s="142"/>
      <c r="AG628" s="142"/>
      <c r="AH628" s="142"/>
      <c r="AI628" s="142"/>
      <c r="AJ628" s="142"/>
      <c r="AK628" s="142"/>
      <c r="AL628" s="142"/>
      <c r="AM628" s="142"/>
      <c r="AN628" s="142"/>
      <c r="AO628" s="142"/>
      <c r="AP628" s="142"/>
    </row>
    <row r="629" ht="13.5" customHeight="1">
      <c r="A629" s="142"/>
      <c r="B629" s="142"/>
      <c r="C629" s="142"/>
      <c r="D629" s="142"/>
      <c r="E629" s="132"/>
      <c r="F629" s="131"/>
      <c r="G629" s="131"/>
      <c r="H629" s="131"/>
      <c r="I629" s="131"/>
      <c r="J629" s="131"/>
      <c r="K629" s="131"/>
      <c r="L629" s="131"/>
      <c r="M629" s="131"/>
      <c r="N629" s="131"/>
      <c r="O629" s="142"/>
      <c r="P629" s="142"/>
      <c r="Q629" s="142"/>
      <c r="R629" s="142"/>
      <c r="S629" s="142"/>
      <c r="T629" s="142"/>
      <c r="U629" s="142"/>
      <c r="V629" s="142"/>
      <c r="W629" s="142"/>
      <c r="X629" s="142"/>
      <c r="Y629" s="142"/>
      <c r="Z629" s="142"/>
      <c r="AA629" s="131"/>
      <c r="AB629" s="142"/>
      <c r="AC629" s="142"/>
      <c r="AD629" s="142"/>
      <c r="AE629" s="142"/>
      <c r="AF629" s="142"/>
      <c r="AG629" s="142"/>
      <c r="AH629" s="142"/>
      <c r="AI629" s="142"/>
      <c r="AJ629" s="142"/>
      <c r="AK629" s="142"/>
      <c r="AL629" s="142"/>
      <c r="AM629" s="142"/>
      <c r="AN629" s="142"/>
      <c r="AO629" s="142"/>
      <c r="AP629" s="142"/>
    </row>
    <row r="630" ht="13.5" customHeight="1">
      <c r="A630" s="142"/>
      <c r="B630" s="142"/>
      <c r="C630" s="142"/>
      <c r="D630" s="142"/>
      <c r="E630" s="132"/>
      <c r="F630" s="131"/>
      <c r="G630" s="131"/>
      <c r="H630" s="131"/>
      <c r="I630" s="131"/>
      <c r="J630" s="131"/>
      <c r="K630" s="131"/>
      <c r="L630" s="131"/>
      <c r="M630" s="131"/>
      <c r="N630" s="131"/>
      <c r="O630" s="142"/>
      <c r="P630" s="142"/>
      <c r="Q630" s="142"/>
      <c r="R630" s="142"/>
      <c r="S630" s="142"/>
      <c r="T630" s="142"/>
      <c r="U630" s="142"/>
      <c r="V630" s="142"/>
      <c r="W630" s="142"/>
      <c r="X630" s="142"/>
      <c r="Y630" s="142"/>
      <c r="Z630" s="142"/>
      <c r="AA630" s="131"/>
      <c r="AB630" s="142"/>
      <c r="AC630" s="142"/>
      <c r="AD630" s="142"/>
      <c r="AE630" s="142"/>
      <c r="AF630" s="142"/>
      <c r="AG630" s="142"/>
      <c r="AH630" s="142"/>
      <c r="AI630" s="142"/>
      <c r="AJ630" s="142"/>
      <c r="AK630" s="142"/>
      <c r="AL630" s="142"/>
      <c r="AM630" s="142"/>
      <c r="AN630" s="142"/>
      <c r="AO630" s="142"/>
      <c r="AP630" s="142"/>
    </row>
    <row r="631" ht="13.5" customHeight="1">
      <c r="A631" s="142"/>
      <c r="B631" s="142"/>
      <c r="C631" s="142"/>
      <c r="D631" s="142"/>
      <c r="E631" s="132"/>
      <c r="F631" s="131"/>
      <c r="G631" s="131"/>
      <c r="H631" s="131"/>
      <c r="I631" s="131"/>
      <c r="J631" s="131"/>
      <c r="K631" s="131"/>
      <c r="L631" s="131"/>
      <c r="M631" s="131"/>
      <c r="N631" s="131"/>
      <c r="O631" s="142"/>
      <c r="P631" s="142"/>
      <c r="Q631" s="142"/>
      <c r="R631" s="142"/>
      <c r="S631" s="142"/>
      <c r="T631" s="142"/>
      <c r="U631" s="142"/>
      <c r="V631" s="142"/>
      <c r="W631" s="142"/>
      <c r="X631" s="142"/>
      <c r="Y631" s="142"/>
      <c r="Z631" s="142"/>
      <c r="AA631" s="131"/>
      <c r="AB631" s="142"/>
      <c r="AC631" s="142"/>
      <c r="AD631" s="142"/>
      <c r="AE631" s="142"/>
      <c r="AF631" s="142"/>
      <c r="AG631" s="142"/>
      <c r="AH631" s="142"/>
      <c r="AI631" s="142"/>
      <c r="AJ631" s="142"/>
      <c r="AK631" s="142"/>
      <c r="AL631" s="142"/>
      <c r="AM631" s="142"/>
      <c r="AN631" s="142"/>
      <c r="AO631" s="142"/>
      <c r="AP631" s="142"/>
    </row>
    <row r="632" ht="13.5" customHeight="1">
      <c r="A632" s="142"/>
      <c r="B632" s="142"/>
      <c r="C632" s="142"/>
      <c r="D632" s="142"/>
      <c r="E632" s="132"/>
      <c r="F632" s="131"/>
      <c r="G632" s="131"/>
      <c r="H632" s="131"/>
      <c r="I632" s="131"/>
      <c r="J632" s="131"/>
      <c r="K632" s="131"/>
      <c r="L632" s="131"/>
      <c r="M632" s="131"/>
      <c r="N632" s="131"/>
      <c r="O632" s="142"/>
      <c r="P632" s="142"/>
      <c r="Q632" s="142"/>
      <c r="R632" s="142"/>
      <c r="S632" s="142"/>
      <c r="T632" s="142"/>
      <c r="U632" s="142"/>
      <c r="V632" s="142"/>
      <c r="W632" s="142"/>
      <c r="X632" s="142"/>
      <c r="Y632" s="142"/>
      <c r="Z632" s="142"/>
      <c r="AA632" s="131"/>
      <c r="AB632" s="142"/>
      <c r="AC632" s="142"/>
      <c r="AD632" s="142"/>
      <c r="AE632" s="142"/>
      <c r="AF632" s="142"/>
      <c r="AG632" s="142"/>
      <c r="AH632" s="142"/>
      <c r="AI632" s="142"/>
      <c r="AJ632" s="142"/>
      <c r="AK632" s="142"/>
      <c r="AL632" s="142"/>
      <c r="AM632" s="142"/>
      <c r="AN632" s="142"/>
      <c r="AO632" s="142"/>
      <c r="AP632" s="142"/>
    </row>
    <row r="633" ht="13.5" customHeight="1">
      <c r="A633" s="142"/>
      <c r="B633" s="142"/>
      <c r="C633" s="142"/>
      <c r="D633" s="142"/>
      <c r="E633" s="132"/>
      <c r="F633" s="131"/>
      <c r="G633" s="131"/>
      <c r="H633" s="131"/>
      <c r="I633" s="131"/>
      <c r="J633" s="131"/>
      <c r="K633" s="131"/>
      <c r="L633" s="131"/>
      <c r="M633" s="131"/>
      <c r="N633" s="131"/>
      <c r="O633" s="142"/>
      <c r="P633" s="142"/>
      <c r="Q633" s="142"/>
      <c r="R633" s="142"/>
      <c r="S633" s="142"/>
      <c r="T633" s="142"/>
      <c r="U633" s="142"/>
      <c r="V633" s="142"/>
      <c r="W633" s="142"/>
      <c r="X633" s="142"/>
      <c r="Y633" s="142"/>
      <c r="Z633" s="142"/>
      <c r="AA633" s="131"/>
      <c r="AB633" s="142"/>
      <c r="AC633" s="142"/>
      <c r="AD633" s="142"/>
      <c r="AE633" s="142"/>
      <c r="AF633" s="142"/>
      <c r="AG633" s="142"/>
      <c r="AH633" s="142"/>
      <c r="AI633" s="142"/>
      <c r="AJ633" s="142"/>
      <c r="AK633" s="142"/>
      <c r="AL633" s="142"/>
      <c r="AM633" s="142"/>
      <c r="AN633" s="142"/>
      <c r="AO633" s="142"/>
      <c r="AP633" s="142"/>
    </row>
    <row r="634" ht="13.5" customHeight="1">
      <c r="A634" s="142"/>
      <c r="B634" s="142"/>
      <c r="C634" s="142"/>
      <c r="D634" s="142"/>
      <c r="E634" s="132"/>
      <c r="F634" s="131"/>
      <c r="G634" s="131"/>
      <c r="H634" s="131"/>
      <c r="I634" s="131"/>
      <c r="J634" s="131"/>
      <c r="K634" s="131"/>
      <c r="L634" s="131"/>
      <c r="M634" s="131"/>
      <c r="N634" s="131"/>
      <c r="O634" s="142"/>
      <c r="P634" s="142"/>
      <c r="Q634" s="142"/>
      <c r="R634" s="142"/>
      <c r="S634" s="142"/>
      <c r="T634" s="142"/>
      <c r="U634" s="142"/>
      <c r="V634" s="142"/>
      <c r="W634" s="142"/>
      <c r="X634" s="142"/>
      <c r="Y634" s="142"/>
      <c r="Z634" s="142"/>
      <c r="AA634" s="131"/>
      <c r="AB634" s="142"/>
      <c r="AC634" s="142"/>
      <c r="AD634" s="142"/>
      <c r="AE634" s="142"/>
      <c r="AF634" s="142"/>
      <c r="AG634" s="142"/>
      <c r="AH634" s="142"/>
      <c r="AI634" s="142"/>
      <c r="AJ634" s="142"/>
      <c r="AK634" s="142"/>
      <c r="AL634" s="142"/>
      <c r="AM634" s="142"/>
      <c r="AN634" s="142"/>
      <c r="AO634" s="142"/>
      <c r="AP634" s="142"/>
    </row>
    <row r="635" ht="13.5" customHeight="1">
      <c r="A635" s="142"/>
      <c r="B635" s="142"/>
      <c r="C635" s="142"/>
      <c r="D635" s="142"/>
      <c r="E635" s="132"/>
      <c r="F635" s="131"/>
      <c r="G635" s="131"/>
      <c r="H635" s="131"/>
      <c r="I635" s="131"/>
      <c r="J635" s="131"/>
      <c r="K635" s="131"/>
      <c r="L635" s="131"/>
      <c r="M635" s="131"/>
      <c r="N635" s="131"/>
      <c r="O635" s="142"/>
      <c r="P635" s="142"/>
      <c r="Q635" s="142"/>
      <c r="R635" s="142"/>
      <c r="S635" s="142"/>
      <c r="T635" s="142"/>
      <c r="U635" s="142"/>
      <c r="V635" s="142"/>
      <c r="W635" s="142"/>
      <c r="X635" s="142"/>
      <c r="Y635" s="142"/>
      <c r="Z635" s="142"/>
      <c r="AA635" s="131"/>
      <c r="AB635" s="142"/>
      <c r="AC635" s="142"/>
      <c r="AD635" s="142"/>
      <c r="AE635" s="142"/>
      <c r="AF635" s="142"/>
      <c r="AG635" s="142"/>
      <c r="AH635" s="142"/>
      <c r="AI635" s="142"/>
      <c r="AJ635" s="142"/>
      <c r="AK635" s="142"/>
      <c r="AL635" s="142"/>
      <c r="AM635" s="142"/>
      <c r="AN635" s="142"/>
      <c r="AO635" s="142"/>
      <c r="AP635" s="142"/>
    </row>
    <row r="636" ht="13.5" customHeight="1">
      <c r="A636" s="142"/>
      <c r="B636" s="142"/>
      <c r="C636" s="142"/>
      <c r="D636" s="142"/>
      <c r="E636" s="132"/>
      <c r="F636" s="131"/>
      <c r="G636" s="131"/>
      <c r="H636" s="131"/>
      <c r="I636" s="131"/>
      <c r="J636" s="131"/>
      <c r="K636" s="131"/>
      <c r="L636" s="131"/>
      <c r="M636" s="131"/>
      <c r="N636" s="131"/>
      <c r="O636" s="142"/>
      <c r="P636" s="142"/>
      <c r="Q636" s="142"/>
      <c r="R636" s="142"/>
      <c r="S636" s="142"/>
      <c r="T636" s="142"/>
      <c r="U636" s="142"/>
      <c r="V636" s="142"/>
      <c r="W636" s="142"/>
      <c r="X636" s="142"/>
      <c r="Y636" s="142"/>
      <c r="Z636" s="142"/>
      <c r="AA636" s="131"/>
      <c r="AB636" s="142"/>
      <c r="AC636" s="142"/>
      <c r="AD636" s="142"/>
      <c r="AE636" s="142"/>
      <c r="AF636" s="142"/>
      <c r="AG636" s="142"/>
      <c r="AH636" s="142"/>
      <c r="AI636" s="142"/>
      <c r="AJ636" s="142"/>
      <c r="AK636" s="142"/>
      <c r="AL636" s="142"/>
      <c r="AM636" s="142"/>
      <c r="AN636" s="142"/>
      <c r="AO636" s="142"/>
      <c r="AP636" s="142"/>
    </row>
    <row r="637" ht="13.5" customHeight="1">
      <c r="A637" s="142"/>
      <c r="B637" s="142"/>
      <c r="C637" s="142"/>
      <c r="D637" s="142"/>
      <c r="E637" s="132"/>
      <c r="F637" s="131"/>
      <c r="G637" s="131"/>
      <c r="H637" s="131"/>
      <c r="I637" s="131"/>
      <c r="J637" s="131"/>
      <c r="K637" s="131"/>
      <c r="L637" s="131"/>
      <c r="M637" s="131"/>
      <c r="N637" s="131"/>
      <c r="O637" s="142"/>
      <c r="P637" s="142"/>
      <c r="Q637" s="142"/>
      <c r="R637" s="142"/>
      <c r="S637" s="142"/>
      <c r="T637" s="142"/>
      <c r="U637" s="142"/>
      <c r="V637" s="142"/>
      <c r="W637" s="142"/>
      <c r="X637" s="142"/>
      <c r="Y637" s="142"/>
      <c r="Z637" s="142"/>
      <c r="AA637" s="131"/>
      <c r="AB637" s="142"/>
      <c r="AC637" s="142"/>
      <c r="AD637" s="142"/>
      <c r="AE637" s="142"/>
      <c r="AF637" s="142"/>
      <c r="AG637" s="142"/>
      <c r="AH637" s="142"/>
      <c r="AI637" s="142"/>
      <c r="AJ637" s="142"/>
      <c r="AK637" s="142"/>
      <c r="AL637" s="142"/>
      <c r="AM637" s="142"/>
      <c r="AN637" s="142"/>
      <c r="AO637" s="142"/>
      <c r="AP637" s="142"/>
    </row>
    <row r="638" ht="13.5" customHeight="1">
      <c r="A638" s="142"/>
      <c r="B638" s="142"/>
      <c r="C638" s="142"/>
      <c r="D638" s="142"/>
      <c r="E638" s="132"/>
      <c r="F638" s="131"/>
      <c r="G638" s="131"/>
      <c r="H638" s="131"/>
      <c r="I638" s="131"/>
      <c r="J638" s="131"/>
      <c r="K638" s="131"/>
      <c r="L638" s="131"/>
      <c r="M638" s="131"/>
      <c r="N638" s="131"/>
      <c r="O638" s="142"/>
      <c r="P638" s="142"/>
      <c r="Q638" s="142"/>
      <c r="R638" s="142"/>
      <c r="S638" s="142"/>
      <c r="T638" s="142"/>
      <c r="U638" s="142"/>
      <c r="V638" s="142"/>
      <c r="W638" s="142"/>
      <c r="X638" s="142"/>
      <c r="Y638" s="142"/>
      <c r="Z638" s="142"/>
      <c r="AA638" s="131"/>
      <c r="AB638" s="142"/>
      <c r="AC638" s="142"/>
      <c r="AD638" s="142"/>
      <c r="AE638" s="142"/>
      <c r="AF638" s="142"/>
      <c r="AG638" s="142"/>
      <c r="AH638" s="142"/>
      <c r="AI638" s="142"/>
      <c r="AJ638" s="142"/>
      <c r="AK638" s="142"/>
      <c r="AL638" s="142"/>
      <c r="AM638" s="142"/>
      <c r="AN638" s="142"/>
      <c r="AO638" s="142"/>
      <c r="AP638" s="142"/>
    </row>
    <row r="639" ht="13.5" customHeight="1">
      <c r="A639" s="142"/>
      <c r="B639" s="142"/>
      <c r="C639" s="142"/>
      <c r="D639" s="142"/>
      <c r="E639" s="132"/>
      <c r="F639" s="131"/>
      <c r="G639" s="131"/>
      <c r="H639" s="131"/>
      <c r="I639" s="131"/>
      <c r="J639" s="131"/>
      <c r="K639" s="131"/>
      <c r="L639" s="131"/>
      <c r="M639" s="131"/>
      <c r="N639" s="131"/>
      <c r="O639" s="142"/>
      <c r="P639" s="142"/>
      <c r="Q639" s="142"/>
      <c r="R639" s="142"/>
      <c r="S639" s="142"/>
      <c r="T639" s="142"/>
      <c r="U639" s="142"/>
      <c r="V639" s="142"/>
      <c r="W639" s="142"/>
      <c r="X639" s="142"/>
      <c r="Y639" s="142"/>
      <c r="Z639" s="142"/>
      <c r="AA639" s="131"/>
      <c r="AB639" s="142"/>
      <c r="AC639" s="142"/>
      <c r="AD639" s="142"/>
      <c r="AE639" s="142"/>
      <c r="AF639" s="142"/>
      <c r="AG639" s="142"/>
      <c r="AH639" s="142"/>
      <c r="AI639" s="142"/>
      <c r="AJ639" s="142"/>
      <c r="AK639" s="142"/>
      <c r="AL639" s="142"/>
      <c r="AM639" s="142"/>
      <c r="AN639" s="142"/>
      <c r="AO639" s="142"/>
      <c r="AP639" s="142"/>
    </row>
    <row r="640" ht="13.5" customHeight="1">
      <c r="A640" s="142"/>
      <c r="B640" s="142"/>
      <c r="C640" s="142"/>
      <c r="D640" s="142"/>
      <c r="E640" s="132"/>
      <c r="F640" s="131"/>
      <c r="G640" s="131"/>
      <c r="H640" s="131"/>
      <c r="I640" s="131"/>
      <c r="J640" s="131"/>
      <c r="K640" s="131"/>
      <c r="L640" s="131"/>
      <c r="M640" s="131"/>
      <c r="N640" s="131"/>
      <c r="O640" s="142"/>
      <c r="P640" s="142"/>
      <c r="Q640" s="142"/>
      <c r="R640" s="142"/>
      <c r="S640" s="142"/>
      <c r="T640" s="142"/>
      <c r="U640" s="142"/>
      <c r="V640" s="142"/>
      <c r="W640" s="142"/>
      <c r="X640" s="142"/>
      <c r="Y640" s="142"/>
      <c r="Z640" s="142"/>
      <c r="AA640" s="131"/>
      <c r="AB640" s="142"/>
      <c r="AC640" s="142"/>
      <c r="AD640" s="142"/>
      <c r="AE640" s="142"/>
      <c r="AF640" s="142"/>
      <c r="AG640" s="142"/>
      <c r="AH640" s="142"/>
      <c r="AI640" s="142"/>
      <c r="AJ640" s="142"/>
      <c r="AK640" s="142"/>
      <c r="AL640" s="142"/>
      <c r="AM640" s="142"/>
      <c r="AN640" s="142"/>
      <c r="AO640" s="142"/>
      <c r="AP640" s="142"/>
    </row>
    <row r="641" ht="13.5" customHeight="1">
      <c r="A641" s="142"/>
      <c r="B641" s="142"/>
      <c r="C641" s="142"/>
      <c r="D641" s="142"/>
      <c r="E641" s="132"/>
      <c r="F641" s="131"/>
      <c r="G641" s="131"/>
      <c r="H641" s="131"/>
      <c r="I641" s="131"/>
      <c r="J641" s="131"/>
      <c r="K641" s="131"/>
      <c r="L641" s="131"/>
      <c r="M641" s="131"/>
      <c r="N641" s="131"/>
      <c r="O641" s="142"/>
      <c r="P641" s="142"/>
      <c r="Q641" s="142"/>
      <c r="R641" s="142"/>
      <c r="S641" s="142"/>
      <c r="T641" s="142"/>
      <c r="U641" s="142"/>
      <c r="V641" s="142"/>
      <c r="W641" s="142"/>
      <c r="X641" s="142"/>
      <c r="Y641" s="142"/>
      <c r="Z641" s="142"/>
      <c r="AA641" s="131"/>
      <c r="AB641" s="142"/>
      <c r="AC641" s="142"/>
      <c r="AD641" s="142"/>
      <c r="AE641" s="142"/>
      <c r="AF641" s="142"/>
      <c r="AG641" s="142"/>
      <c r="AH641" s="142"/>
      <c r="AI641" s="142"/>
      <c r="AJ641" s="142"/>
      <c r="AK641" s="142"/>
      <c r="AL641" s="142"/>
      <c r="AM641" s="142"/>
      <c r="AN641" s="142"/>
      <c r="AO641" s="142"/>
      <c r="AP641" s="142"/>
    </row>
    <row r="642" ht="13.5" customHeight="1">
      <c r="A642" s="142"/>
      <c r="B642" s="142"/>
      <c r="C642" s="142"/>
      <c r="D642" s="142"/>
      <c r="E642" s="132"/>
      <c r="F642" s="131"/>
      <c r="G642" s="131"/>
      <c r="H642" s="131"/>
      <c r="I642" s="131"/>
      <c r="J642" s="131"/>
      <c r="K642" s="131"/>
      <c r="L642" s="131"/>
      <c r="M642" s="131"/>
      <c r="N642" s="131"/>
      <c r="O642" s="142"/>
      <c r="P642" s="142"/>
      <c r="Q642" s="142"/>
      <c r="R642" s="142"/>
      <c r="S642" s="142"/>
      <c r="T642" s="142"/>
      <c r="U642" s="142"/>
      <c r="V642" s="142"/>
      <c r="W642" s="142"/>
      <c r="X642" s="142"/>
      <c r="Y642" s="142"/>
      <c r="Z642" s="142"/>
      <c r="AA642" s="131"/>
      <c r="AB642" s="142"/>
      <c r="AC642" s="142"/>
      <c r="AD642" s="142"/>
      <c r="AE642" s="142"/>
      <c r="AF642" s="142"/>
      <c r="AG642" s="142"/>
      <c r="AH642" s="142"/>
      <c r="AI642" s="142"/>
      <c r="AJ642" s="142"/>
      <c r="AK642" s="142"/>
      <c r="AL642" s="142"/>
      <c r="AM642" s="142"/>
      <c r="AN642" s="142"/>
      <c r="AO642" s="142"/>
      <c r="AP642" s="142"/>
    </row>
    <row r="643" ht="13.5" customHeight="1">
      <c r="A643" s="142"/>
      <c r="B643" s="142"/>
      <c r="C643" s="142"/>
      <c r="D643" s="142"/>
      <c r="E643" s="132"/>
      <c r="F643" s="131"/>
      <c r="G643" s="131"/>
      <c r="H643" s="131"/>
      <c r="I643" s="131"/>
      <c r="J643" s="131"/>
      <c r="K643" s="131"/>
      <c r="L643" s="131"/>
      <c r="M643" s="131"/>
      <c r="N643" s="131"/>
      <c r="O643" s="142"/>
      <c r="P643" s="142"/>
      <c r="Q643" s="142"/>
      <c r="R643" s="142"/>
      <c r="S643" s="142"/>
      <c r="T643" s="142"/>
      <c r="U643" s="142"/>
      <c r="V643" s="142"/>
      <c r="W643" s="142"/>
      <c r="X643" s="142"/>
      <c r="Y643" s="142"/>
      <c r="Z643" s="142"/>
      <c r="AA643" s="131"/>
      <c r="AB643" s="142"/>
      <c r="AC643" s="142"/>
      <c r="AD643" s="142"/>
      <c r="AE643" s="142"/>
      <c r="AF643" s="142"/>
      <c r="AG643" s="142"/>
      <c r="AH643" s="142"/>
      <c r="AI643" s="142"/>
      <c r="AJ643" s="142"/>
      <c r="AK643" s="142"/>
      <c r="AL643" s="142"/>
      <c r="AM643" s="142"/>
      <c r="AN643" s="142"/>
      <c r="AO643" s="142"/>
      <c r="AP643" s="142"/>
    </row>
    <row r="644" ht="13.5" customHeight="1">
      <c r="A644" s="142"/>
      <c r="B644" s="142"/>
      <c r="C644" s="142"/>
      <c r="D644" s="142"/>
      <c r="E644" s="132"/>
      <c r="F644" s="131"/>
      <c r="G644" s="131"/>
      <c r="H644" s="131"/>
      <c r="I644" s="131"/>
      <c r="J644" s="131"/>
      <c r="K644" s="131"/>
      <c r="L644" s="131"/>
      <c r="M644" s="131"/>
      <c r="N644" s="131"/>
      <c r="O644" s="142"/>
      <c r="P644" s="142"/>
      <c r="Q644" s="142"/>
      <c r="R644" s="142"/>
      <c r="S644" s="142"/>
      <c r="T644" s="142"/>
      <c r="U644" s="142"/>
      <c r="V644" s="142"/>
      <c r="W644" s="142"/>
      <c r="X644" s="142"/>
      <c r="Y644" s="142"/>
      <c r="Z644" s="142"/>
      <c r="AA644" s="131"/>
      <c r="AB644" s="142"/>
      <c r="AC644" s="142"/>
      <c r="AD644" s="142"/>
      <c r="AE644" s="142"/>
      <c r="AF644" s="142"/>
      <c r="AG644" s="142"/>
      <c r="AH644" s="142"/>
      <c r="AI644" s="142"/>
      <c r="AJ644" s="142"/>
      <c r="AK644" s="142"/>
      <c r="AL644" s="142"/>
      <c r="AM644" s="142"/>
      <c r="AN644" s="142"/>
      <c r="AO644" s="142"/>
      <c r="AP644" s="142"/>
    </row>
    <row r="645" ht="13.5" customHeight="1">
      <c r="A645" s="142"/>
      <c r="B645" s="142"/>
      <c r="C645" s="142"/>
      <c r="D645" s="142"/>
      <c r="E645" s="132"/>
      <c r="F645" s="131"/>
      <c r="G645" s="131"/>
      <c r="H645" s="131"/>
      <c r="I645" s="131"/>
      <c r="J645" s="131"/>
      <c r="K645" s="131"/>
      <c r="L645" s="131"/>
      <c r="M645" s="131"/>
      <c r="N645" s="131"/>
      <c r="O645" s="142"/>
      <c r="P645" s="142"/>
      <c r="Q645" s="142"/>
      <c r="R645" s="142"/>
      <c r="S645" s="142"/>
      <c r="T645" s="142"/>
      <c r="U645" s="142"/>
      <c r="V645" s="142"/>
      <c r="W645" s="142"/>
      <c r="X645" s="142"/>
      <c r="Y645" s="142"/>
      <c r="Z645" s="142"/>
      <c r="AA645" s="131"/>
      <c r="AB645" s="142"/>
      <c r="AC645" s="142"/>
      <c r="AD645" s="142"/>
      <c r="AE645" s="142"/>
      <c r="AF645" s="142"/>
      <c r="AG645" s="142"/>
      <c r="AH645" s="142"/>
      <c r="AI645" s="142"/>
      <c r="AJ645" s="142"/>
      <c r="AK645" s="142"/>
      <c r="AL645" s="142"/>
      <c r="AM645" s="142"/>
      <c r="AN645" s="142"/>
      <c r="AO645" s="142"/>
      <c r="AP645" s="142"/>
    </row>
    <row r="646" ht="13.5" customHeight="1">
      <c r="A646" s="142"/>
      <c r="B646" s="142"/>
      <c r="C646" s="142"/>
      <c r="D646" s="142"/>
      <c r="E646" s="132"/>
      <c r="F646" s="131"/>
      <c r="G646" s="131"/>
      <c r="H646" s="131"/>
      <c r="I646" s="131"/>
      <c r="J646" s="131"/>
      <c r="K646" s="131"/>
      <c r="L646" s="131"/>
      <c r="M646" s="131"/>
      <c r="N646" s="131"/>
      <c r="O646" s="142"/>
      <c r="P646" s="142"/>
      <c r="Q646" s="142"/>
      <c r="R646" s="142"/>
      <c r="S646" s="142"/>
      <c r="T646" s="142"/>
      <c r="U646" s="142"/>
      <c r="V646" s="142"/>
      <c r="W646" s="142"/>
      <c r="X646" s="142"/>
      <c r="Y646" s="142"/>
      <c r="Z646" s="142"/>
      <c r="AA646" s="131"/>
      <c r="AB646" s="142"/>
      <c r="AC646" s="142"/>
      <c r="AD646" s="142"/>
      <c r="AE646" s="142"/>
      <c r="AF646" s="142"/>
      <c r="AG646" s="142"/>
      <c r="AH646" s="142"/>
      <c r="AI646" s="142"/>
      <c r="AJ646" s="142"/>
      <c r="AK646" s="142"/>
      <c r="AL646" s="142"/>
      <c r="AM646" s="142"/>
      <c r="AN646" s="142"/>
      <c r="AO646" s="142"/>
      <c r="AP646" s="142"/>
    </row>
    <row r="647" ht="13.5" customHeight="1">
      <c r="A647" s="142"/>
      <c r="B647" s="142"/>
      <c r="C647" s="142"/>
      <c r="D647" s="142"/>
      <c r="E647" s="132"/>
      <c r="F647" s="131"/>
      <c r="G647" s="131"/>
      <c r="H647" s="131"/>
      <c r="I647" s="131"/>
      <c r="J647" s="131"/>
      <c r="K647" s="131"/>
      <c r="L647" s="131"/>
      <c r="M647" s="131"/>
      <c r="N647" s="131"/>
      <c r="O647" s="142"/>
      <c r="P647" s="142"/>
      <c r="Q647" s="142"/>
      <c r="R647" s="142"/>
      <c r="S647" s="142"/>
      <c r="T647" s="142"/>
      <c r="U647" s="142"/>
      <c r="V647" s="142"/>
      <c r="W647" s="142"/>
      <c r="X647" s="142"/>
      <c r="Y647" s="142"/>
      <c r="Z647" s="142"/>
      <c r="AA647" s="131"/>
      <c r="AB647" s="142"/>
      <c r="AC647" s="142"/>
      <c r="AD647" s="142"/>
      <c r="AE647" s="142"/>
      <c r="AF647" s="142"/>
      <c r="AG647" s="142"/>
      <c r="AH647" s="142"/>
      <c r="AI647" s="142"/>
      <c r="AJ647" s="142"/>
      <c r="AK647" s="142"/>
      <c r="AL647" s="142"/>
      <c r="AM647" s="142"/>
      <c r="AN647" s="142"/>
      <c r="AO647" s="142"/>
      <c r="AP647" s="142"/>
    </row>
    <row r="648" ht="13.5" customHeight="1">
      <c r="A648" s="142"/>
      <c r="B648" s="142"/>
      <c r="C648" s="142"/>
      <c r="D648" s="142"/>
      <c r="E648" s="132"/>
      <c r="F648" s="131"/>
      <c r="G648" s="131"/>
      <c r="H648" s="131"/>
      <c r="I648" s="131"/>
      <c r="J648" s="131"/>
      <c r="K648" s="131"/>
      <c r="L648" s="131"/>
      <c r="M648" s="131"/>
      <c r="N648" s="131"/>
      <c r="O648" s="142"/>
      <c r="P648" s="142"/>
      <c r="Q648" s="142"/>
      <c r="R648" s="142"/>
      <c r="S648" s="142"/>
      <c r="T648" s="142"/>
      <c r="U648" s="142"/>
      <c r="V648" s="142"/>
      <c r="W648" s="142"/>
      <c r="X648" s="142"/>
      <c r="Y648" s="142"/>
      <c r="Z648" s="142"/>
      <c r="AA648" s="131"/>
      <c r="AB648" s="142"/>
      <c r="AC648" s="142"/>
      <c r="AD648" s="142"/>
      <c r="AE648" s="142"/>
      <c r="AF648" s="142"/>
      <c r="AG648" s="142"/>
      <c r="AH648" s="142"/>
      <c r="AI648" s="142"/>
      <c r="AJ648" s="142"/>
      <c r="AK648" s="142"/>
      <c r="AL648" s="142"/>
      <c r="AM648" s="142"/>
      <c r="AN648" s="142"/>
      <c r="AO648" s="142"/>
      <c r="AP648" s="142"/>
    </row>
    <row r="649" ht="13.5" customHeight="1">
      <c r="A649" s="142"/>
      <c r="B649" s="142"/>
      <c r="C649" s="142"/>
      <c r="D649" s="142"/>
      <c r="E649" s="132"/>
      <c r="F649" s="131"/>
      <c r="G649" s="131"/>
      <c r="H649" s="131"/>
      <c r="I649" s="131"/>
      <c r="J649" s="131"/>
      <c r="K649" s="131"/>
      <c r="L649" s="131"/>
      <c r="M649" s="131"/>
      <c r="N649" s="131"/>
      <c r="O649" s="142"/>
      <c r="P649" s="142"/>
      <c r="Q649" s="142"/>
      <c r="R649" s="142"/>
      <c r="S649" s="142"/>
      <c r="T649" s="142"/>
      <c r="U649" s="142"/>
      <c r="V649" s="142"/>
      <c r="W649" s="142"/>
      <c r="X649" s="142"/>
      <c r="Y649" s="142"/>
      <c r="Z649" s="142"/>
      <c r="AA649" s="131"/>
      <c r="AB649" s="142"/>
      <c r="AC649" s="142"/>
      <c r="AD649" s="142"/>
      <c r="AE649" s="142"/>
      <c r="AF649" s="142"/>
      <c r="AG649" s="142"/>
      <c r="AH649" s="142"/>
      <c r="AI649" s="142"/>
      <c r="AJ649" s="142"/>
      <c r="AK649" s="142"/>
      <c r="AL649" s="142"/>
      <c r="AM649" s="142"/>
      <c r="AN649" s="142"/>
      <c r="AO649" s="142"/>
      <c r="AP649" s="142"/>
    </row>
    <row r="650" ht="13.5" customHeight="1">
      <c r="A650" s="142"/>
      <c r="B650" s="142"/>
      <c r="C650" s="142"/>
      <c r="D650" s="142"/>
      <c r="E650" s="132"/>
      <c r="F650" s="131"/>
      <c r="G650" s="131"/>
      <c r="H650" s="131"/>
      <c r="I650" s="131"/>
      <c r="J650" s="131"/>
      <c r="K650" s="131"/>
      <c r="L650" s="131"/>
      <c r="M650" s="131"/>
      <c r="N650" s="131"/>
      <c r="O650" s="142"/>
      <c r="P650" s="142"/>
      <c r="Q650" s="142"/>
      <c r="R650" s="142"/>
      <c r="S650" s="142"/>
      <c r="T650" s="142"/>
      <c r="U650" s="142"/>
      <c r="V650" s="142"/>
      <c r="W650" s="142"/>
      <c r="X650" s="142"/>
      <c r="Y650" s="142"/>
      <c r="Z650" s="142"/>
      <c r="AA650" s="131"/>
      <c r="AB650" s="142"/>
      <c r="AC650" s="142"/>
      <c r="AD650" s="142"/>
      <c r="AE650" s="142"/>
      <c r="AF650" s="142"/>
      <c r="AG650" s="142"/>
      <c r="AH650" s="142"/>
      <c r="AI650" s="142"/>
      <c r="AJ650" s="142"/>
      <c r="AK650" s="142"/>
      <c r="AL650" s="142"/>
      <c r="AM650" s="142"/>
      <c r="AN650" s="142"/>
      <c r="AO650" s="142"/>
      <c r="AP650" s="142"/>
    </row>
    <row r="651" ht="13.5" customHeight="1">
      <c r="A651" s="142"/>
      <c r="B651" s="142"/>
      <c r="C651" s="142"/>
      <c r="D651" s="142"/>
      <c r="E651" s="132"/>
      <c r="F651" s="131"/>
      <c r="G651" s="131"/>
      <c r="H651" s="131"/>
      <c r="I651" s="131"/>
      <c r="J651" s="131"/>
      <c r="K651" s="131"/>
      <c r="L651" s="131"/>
      <c r="M651" s="131"/>
      <c r="N651" s="131"/>
      <c r="O651" s="142"/>
      <c r="P651" s="142"/>
      <c r="Q651" s="142"/>
      <c r="R651" s="142"/>
      <c r="S651" s="142"/>
      <c r="T651" s="142"/>
      <c r="U651" s="142"/>
      <c r="V651" s="142"/>
      <c r="W651" s="142"/>
      <c r="X651" s="142"/>
      <c r="Y651" s="142"/>
      <c r="Z651" s="142"/>
      <c r="AA651" s="131"/>
      <c r="AB651" s="142"/>
      <c r="AC651" s="142"/>
      <c r="AD651" s="142"/>
      <c r="AE651" s="142"/>
      <c r="AF651" s="142"/>
      <c r="AG651" s="142"/>
      <c r="AH651" s="142"/>
      <c r="AI651" s="142"/>
      <c r="AJ651" s="142"/>
      <c r="AK651" s="142"/>
      <c r="AL651" s="142"/>
      <c r="AM651" s="142"/>
      <c r="AN651" s="142"/>
      <c r="AO651" s="142"/>
      <c r="AP651" s="142"/>
    </row>
    <row r="652" ht="13.5" customHeight="1">
      <c r="A652" s="142"/>
      <c r="B652" s="142"/>
      <c r="C652" s="142"/>
      <c r="D652" s="142"/>
      <c r="E652" s="132"/>
      <c r="F652" s="131"/>
      <c r="G652" s="131"/>
      <c r="H652" s="131"/>
      <c r="I652" s="131"/>
      <c r="J652" s="131"/>
      <c r="K652" s="131"/>
      <c r="L652" s="131"/>
      <c r="M652" s="131"/>
      <c r="N652" s="131"/>
      <c r="O652" s="142"/>
      <c r="P652" s="142"/>
      <c r="Q652" s="142"/>
      <c r="R652" s="142"/>
      <c r="S652" s="142"/>
      <c r="T652" s="142"/>
      <c r="U652" s="142"/>
      <c r="V652" s="142"/>
      <c r="W652" s="142"/>
      <c r="X652" s="142"/>
      <c r="Y652" s="142"/>
      <c r="Z652" s="142"/>
      <c r="AA652" s="131"/>
      <c r="AB652" s="142"/>
      <c r="AC652" s="142"/>
      <c r="AD652" s="142"/>
      <c r="AE652" s="142"/>
      <c r="AF652" s="142"/>
      <c r="AG652" s="142"/>
      <c r="AH652" s="142"/>
      <c r="AI652" s="142"/>
      <c r="AJ652" s="142"/>
      <c r="AK652" s="142"/>
      <c r="AL652" s="142"/>
      <c r="AM652" s="142"/>
      <c r="AN652" s="142"/>
      <c r="AO652" s="142"/>
      <c r="AP652" s="142"/>
    </row>
    <row r="653" ht="13.5" customHeight="1">
      <c r="A653" s="142"/>
      <c r="B653" s="142"/>
      <c r="C653" s="142"/>
      <c r="D653" s="142"/>
      <c r="E653" s="132"/>
      <c r="F653" s="131"/>
      <c r="G653" s="131"/>
      <c r="H653" s="131"/>
      <c r="I653" s="131"/>
      <c r="J653" s="131"/>
      <c r="K653" s="131"/>
      <c r="L653" s="131"/>
      <c r="M653" s="131"/>
      <c r="N653" s="131"/>
      <c r="O653" s="142"/>
      <c r="P653" s="142"/>
      <c r="Q653" s="142"/>
      <c r="R653" s="142"/>
      <c r="S653" s="142"/>
      <c r="T653" s="142"/>
      <c r="U653" s="142"/>
      <c r="V653" s="142"/>
      <c r="W653" s="142"/>
      <c r="X653" s="142"/>
      <c r="Y653" s="142"/>
      <c r="Z653" s="142"/>
      <c r="AA653" s="131"/>
      <c r="AB653" s="142"/>
      <c r="AC653" s="142"/>
      <c r="AD653" s="142"/>
      <c r="AE653" s="142"/>
      <c r="AF653" s="142"/>
      <c r="AG653" s="142"/>
      <c r="AH653" s="142"/>
      <c r="AI653" s="142"/>
      <c r="AJ653" s="142"/>
      <c r="AK653" s="142"/>
      <c r="AL653" s="142"/>
      <c r="AM653" s="142"/>
      <c r="AN653" s="142"/>
      <c r="AO653" s="142"/>
      <c r="AP653" s="142"/>
    </row>
    <row r="654" ht="13.5" customHeight="1">
      <c r="A654" s="142"/>
      <c r="B654" s="142"/>
      <c r="C654" s="142"/>
      <c r="D654" s="142"/>
      <c r="E654" s="132"/>
      <c r="F654" s="131"/>
      <c r="G654" s="131"/>
      <c r="H654" s="131"/>
      <c r="I654" s="131"/>
      <c r="J654" s="131"/>
      <c r="K654" s="131"/>
      <c r="L654" s="131"/>
      <c r="M654" s="131"/>
      <c r="N654" s="131"/>
      <c r="O654" s="142"/>
      <c r="P654" s="142"/>
      <c r="Q654" s="142"/>
      <c r="R654" s="142"/>
      <c r="S654" s="142"/>
      <c r="T654" s="142"/>
      <c r="U654" s="142"/>
      <c r="V654" s="142"/>
      <c r="W654" s="142"/>
      <c r="X654" s="142"/>
      <c r="Y654" s="142"/>
      <c r="Z654" s="142"/>
      <c r="AA654" s="131"/>
      <c r="AB654" s="142"/>
      <c r="AC654" s="142"/>
      <c r="AD654" s="142"/>
      <c r="AE654" s="142"/>
      <c r="AF654" s="142"/>
      <c r="AG654" s="142"/>
      <c r="AH654" s="142"/>
      <c r="AI654" s="142"/>
      <c r="AJ654" s="142"/>
      <c r="AK654" s="142"/>
      <c r="AL654" s="142"/>
      <c r="AM654" s="142"/>
      <c r="AN654" s="142"/>
      <c r="AO654" s="142"/>
      <c r="AP654" s="142"/>
    </row>
    <row r="655" ht="13.5" customHeight="1">
      <c r="A655" s="142"/>
      <c r="B655" s="142"/>
      <c r="C655" s="142"/>
      <c r="D655" s="142"/>
      <c r="E655" s="132"/>
      <c r="F655" s="131"/>
      <c r="G655" s="131"/>
      <c r="H655" s="131"/>
      <c r="I655" s="131"/>
      <c r="J655" s="131"/>
      <c r="K655" s="131"/>
      <c r="L655" s="131"/>
      <c r="M655" s="131"/>
      <c r="N655" s="131"/>
      <c r="O655" s="142"/>
      <c r="P655" s="142"/>
      <c r="Q655" s="142"/>
      <c r="R655" s="142"/>
      <c r="S655" s="142"/>
      <c r="T655" s="142"/>
      <c r="U655" s="142"/>
      <c r="V655" s="142"/>
      <c r="W655" s="142"/>
      <c r="X655" s="142"/>
      <c r="Y655" s="142"/>
      <c r="Z655" s="142"/>
      <c r="AA655" s="131"/>
      <c r="AB655" s="142"/>
      <c r="AC655" s="142"/>
      <c r="AD655" s="142"/>
      <c r="AE655" s="142"/>
      <c r="AF655" s="142"/>
      <c r="AG655" s="142"/>
      <c r="AH655" s="142"/>
      <c r="AI655" s="142"/>
      <c r="AJ655" s="142"/>
      <c r="AK655" s="142"/>
      <c r="AL655" s="142"/>
      <c r="AM655" s="142"/>
      <c r="AN655" s="142"/>
      <c r="AO655" s="142"/>
      <c r="AP655" s="142"/>
    </row>
    <row r="656" ht="13.5" customHeight="1">
      <c r="A656" s="142"/>
      <c r="B656" s="142"/>
      <c r="C656" s="142"/>
      <c r="D656" s="142"/>
      <c r="E656" s="132"/>
      <c r="F656" s="131"/>
      <c r="G656" s="131"/>
      <c r="H656" s="131"/>
      <c r="I656" s="131"/>
      <c r="J656" s="131"/>
      <c r="K656" s="131"/>
      <c r="L656" s="131"/>
      <c r="M656" s="131"/>
      <c r="N656" s="131"/>
      <c r="O656" s="142"/>
      <c r="P656" s="142"/>
      <c r="Q656" s="142"/>
      <c r="R656" s="142"/>
      <c r="S656" s="142"/>
      <c r="T656" s="142"/>
      <c r="U656" s="142"/>
      <c r="V656" s="142"/>
      <c r="W656" s="142"/>
      <c r="X656" s="142"/>
      <c r="Y656" s="142"/>
      <c r="Z656" s="142"/>
      <c r="AA656" s="131"/>
      <c r="AB656" s="142"/>
      <c r="AC656" s="142"/>
      <c r="AD656" s="142"/>
      <c r="AE656" s="142"/>
      <c r="AF656" s="142"/>
      <c r="AG656" s="142"/>
      <c r="AH656" s="142"/>
      <c r="AI656" s="142"/>
      <c r="AJ656" s="142"/>
      <c r="AK656" s="142"/>
      <c r="AL656" s="142"/>
      <c r="AM656" s="142"/>
      <c r="AN656" s="142"/>
      <c r="AO656" s="142"/>
      <c r="AP656" s="142"/>
    </row>
    <row r="657" ht="13.5" customHeight="1">
      <c r="A657" s="142"/>
      <c r="B657" s="142"/>
      <c r="C657" s="142"/>
      <c r="D657" s="142"/>
      <c r="E657" s="132"/>
      <c r="F657" s="131"/>
      <c r="G657" s="131"/>
      <c r="H657" s="131"/>
      <c r="I657" s="131"/>
      <c r="J657" s="131"/>
      <c r="K657" s="131"/>
      <c r="L657" s="131"/>
      <c r="M657" s="131"/>
      <c r="N657" s="131"/>
      <c r="O657" s="142"/>
      <c r="P657" s="142"/>
      <c r="Q657" s="142"/>
      <c r="R657" s="142"/>
      <c r="S657" s="142"/>
      <c r="T657" s="142"/>
      <c r="U657" s="142"/>
      <c r="V657" s="142"/>
      <c r="W657" s="142"/>
      <c r="X657" s="142"/>
      <c r="Y657" s="142"/>
      <c r="Z657" s="142"/>
      <c r="AA657" s="131"/>
      <c r="AB657" s="142"/>
      <c r="AC657" s="142"/>
      <c r="AD657" s="142"/>
      <c r="AE657" s="142"/>
      <c r="AF657" s="142"/>
      <c r="AG657" s="142"/>
      <c r="AH657" s="142"/>
      <c r="AI657" s="142"/>
      <c r="AJ657" s="142"/>
      <c r="AK657" s="142"/>
      <c r="AL657" s="142"/>
      <c r="AM657" s="142"/>
      <c r="AN657" s="142"/>
      <c r="AO657" s="142"/>
      <c r="AP657" s="142"/>
    </row>
    <row r="658" ht="13.5" customHeight="1">
      <c r="A658" s="142"/>
      <c r="B658" s="142"/>
      <c r="C658" s="142"/>
      <c r="D658" s="142"/>
      <c r="E658" s="132"/>
      <c r="F658" s="131"/>
      <c r="G658" s="131"/>
      <c r="H658" s="131"/>
      <c r="I658" s="131"/>
      <c r="J658" s="131"/>
      <c r="K658" s="131"/>
      <c r="L658" s="131"/>
      <c r="M658" s="131"/>
      <c r="N658" s="131"/>
      <c r="O658" s="142"/>
      <c r="P658" s="142"/>
      <c r="Q658" s="142"/>
      <c r="R658" s="142"/>
      <c r="S658" s="142"/>
      <c r="T658" s="142"/>
      <c r="U658" s="142"/>
      <c r="V658" s="142"/>
      <c r="W658" s="142"/>
      <c r="X658" s="142"/>
      <c r="Y658" s="142"/>
      <c r="Z658" s="142"/>
      <c r="AA658" s="131"/>
      <c r="AB658" s="142"/>
      <c r="AC658" s="142"/>
      <c r="AD658" s="142"/>
      <c r="AE658" s="142"/>
      <c r="AF658" s="142"/>
      <c r="AG658" s="142"/>
      <c r="AH658" s="142"/>
      <c r="AI658" s="142"/>
      <c r="AJ658" s="142"/>
      <c r="AK658" s="142"/>
      <c r="AL658" s="142"/>
      <c r="AM658" s="142"/>
      <c r="AN658" s="142"/>
      <c r="AO658" s="142"/>
      <c r="AP658" s="142"/>
    </row>
    <row r="659" ht="13.5" customHeight="1">
      <c r="A659" s="142"/>
      <c r="B659" s="142"/>
      <c r="C659" s="142"/>
      <c r="D659" s="142"/>
      <c r="E659" s="132"/>
      <c r="F659" s="131"/>
      <c r="G659" s="131"/>
      <c r="H659" s="131"/>
      <c r="I659" s="131"/>
      <c r="J659" s="131"/>
      <c r="K659" s="131"/>
      <c r="L659" s="131"/>
      <c r="M659" s="131"/>
      <c r="N659" s="131"/>
      <c r="O659" s="142"/>
      <c r="P659" s="142"/>
      <c r="Q659" s="142"/>
      <c r="R659" s="142"/>
      <c r="S659" s="142"/>
      <c r="T659" s="142"/>
      <c r="U659" s="142"/>
      <c r="V659" s="142"/>
      <c r="W659" s="142"/>
      <c r="X659" s="142"/>
      <c r="Y659" s="142"/>
      <c r="Z659" s="142"/>
      <c r="AA659" s="131"/>
      <c r="AB659" s="142"/>
      <c r="AC659" s="142"/>
      <c r="AD659" s="142"/>
      <c r="AE659" s="142"/>
      <c r="AF659" s="142"/>
      <c r="AG659" s="142"/>
      <c r="AH659" s="142"/>
      <c r="AI659" s="142"/>
      <c r="AJ659" s="142"/>
      <c r="AK659" s="142"/>
      <c r="AL659" s="142"/>
      <c r="AM659" s="142"/>
      <c r="AN659" s="142"/>
      <c r="AO659" s="142"/>
      <c r="AP659" s="142"/>
    </row>
    <row r="660" ht="13.5" customHeight="1">
      <c r="A660" s="142"/>
      <c r="B660" s="142"/>
      <c r="C660" s="142"/>
      <c r="D660" s="142"/>
      <c r="E660" s="132"/>
      <c r="F660" s="131"/>
      <c r="G660" s="131"/>
      <c r="H660" s="131"/>
      <c r="I660" s="131"/>
      <c r="J660" s="131"/>
      <c r="K660" s="131"/>
      <c r="L660" s="131"/>
      <c r="M660" s="131"/>
      <c r="N660" s="131"/>
      <c r="O660" s="142"/>
      <c r="P660" s="142"/>
      <c r="Q660" s="142"/>
      <c r="R660" s="142"/>
      <c r="S660" s="142"/>
      <c r="T660" s="142"/>
      <c r="U660" s="142"/>
      <c r="V660" s="142"/>
      <c r="W660" s="142"/>
      <c r="X660" s="142"/>
      <c r="Y660" s="142"/>
      <c r="Z660" s="142"/>
      <c r="AA660" s="131"/>
      <c r="AB660" s="142"/>
      <c r="AC660" s="142"/>
      <c r="AD660" s="142"/>
      <c r="AE660" s="142"/>
      <c r="AF660" s="142"/>
      <c r="AG660" s="142"/>
      <c r="AH660" s="142"/>
      <c r="AI660" s="142"/>
      <c r="AJ660" s="142"/>
      <c r="AK660" s="142"/>
      <c r="AL660" s="142"/>
      <c r="AM660" s="142"/>
      <c r="AN660" s="142"/>
      <c r="AO660" s="142"/>
      <c r="AP660" s="142"/>
    </row>
    <row r="661" ht="13.5" customHeight="1">
      <c r="A661" s="142"/>
      <c r="B661" s="142"/>
      <c r="C661" s="142"/>
      <c r="D661" s="142"/>
      <c r="E661" s="132"/>
      <c r="F661" s="131"/>
      <c r="G661" s="131"/>
      <c r="H661" s="131"/>
      <c r="I661" s="131"/>
      <c r="J661" s="131"/>
      <c r="K661" s="131"/>
      <c r="L661" s="131"/>
      <c r="M661" s="131"/>
      <c r="N661" s="131"/>
      <c r="O661" s="142"/>
      <c r="P661" s="142"/>
      <c r="Q661" s="142"/>
      <c r="R661" s="142"/>
      <c r="S661" s="142"/>
      <c r="T661" s="142"/>
      <c r="U661" s="142"/>
      <c r="V661" s="142"/>
      <c r="W661" s="142"/>
      <c r="X661" s="142"/>
      <c r="Y661" s="142"/>
      <c r="Z661" s="142"/>
      <c r="AA661" s="131"/>
      <c r="AB661" s="142"/>
      <c r="AC661" s="142"/>
      <c r="AD661" s="142"/>
      <c r="AE661" s="142"/>
      <c r="AF661" s="142"/>
      <c r="AG661" s="142"/>
      <c r="AH661" s="142"/>
      <c r="AI661" s="142"/>
      <c r="AJ661" s="142"/>
      <c r="AK661" s="142"/>
      <c r="AL661" s="142"/>
      <c r="AM661" s="142"/>
      <c r="AN661" s="142"/>
      <c r="AO661" s="142"/>
      <c r="AP661" s="142"/>
    </row>
    <row r="662" ht="13.5" customHeight="1">
      <c r="A662" s="142"/>
      <c r="B662" s="142"/>
      <c r="C662" s="142"/>
      <c r="D662" s="142"/>
      <c r="E662" s="132"/>
      <c r="F662" s="131"/>
      <c r="G662" s="131"/>
      <c r="H662" s="131"/>
      <c r="I662" s="131"/>
      <c r="J662" s="131"/>
      <c r="K662" s="131"/>
      <c r="L662" s="131"/>
      <c r="M662" s="131"/>
      <c r="N662" s="131"/>
      <c r="O662" s="142"/>
      <c r="P662" s="142"/>
      <c r="Q662" s="142"/>
      <c r="R662" s="142"/>
      <c r="S662" s="142"/>
      <c r="T662" s="142"/>
      <c r="U662" s="142"/>
      <c r="V662" s="142"/>
      <c r="W662" s="142"/>
      <c r="X662" s="142"/>
      <c r="Y662" s="142"/>
      <c r="Z662" s="142"/>
      <c r="AA662" s="131"/>
      <c r="AB662" s="142"/>
      <c r="AC662" s="142"/>
      <c r="AD662" s="142"/>
      <c r="AE662" s="142"/>
      <c r="AF662" s="142"/>
      <c r="AG662" s="142"/>
      <c r="AH662" s="142"/>
      <c r="AI662" s="142"/>
      <c r="AJ662" s="142"/>
      <c r="AK662" s="142"/>
      <c r="AL662" s="142"/>
      <c r="AM662" s="142"/>
      <c r="AN662" s="142"/>
      <c r="AO662" s="142"/>
      <c r="AP662" s="142"/>
    </row>
    <row r="663" ht="13.5" customHeight="1">
      <c r="A663" s="142"/>
      <c r="B663" s="142"/>
      <c r="C663" s="142"/>
      <c r="D663" s="142"/>
      <c r="E663" s="132"/>
      <c r="F663" s="131"/>
      <c r="G663" s="131"/>
      <c r="H663" s="131"/>
      <c r="I663" s="131"/>
      <c r="J663" s="131"/>
      <c r="K663" s="131"/>
      <c r="L663" s="131"/>
      <c r="M663" s="131"/>
      <c r="N663" s="131"/>
      <c r="O663" s="142"/>
      <c r="P663" s="142"/>
      <c r="Q663" s="142"/>
      <c r="R663" s="142"/>
      <c r="S663" s="142"/>
      <c r="T663" s="142"/>
      <c r="U663" s="142"/>
      <c r="V663" s="142"/>
      <c r="W663" s="142"/>
      <c r="X663" s="142"/>
      <c r="Y663" s="142"/>
      <c r="Z663" s="142"/>
      <c r="AA663" s="131"/>
      <c r="AB663" s="142"/>
      <c r="AC663" s="142"/>
      <c r="AD663" s="142"/>
      <c r="AE663" s="142"/>
      <c r="AF663" s="142"/>
      <c r="AG663" s="142"/>
      <c r="AH663" s="142"/>
      <c r="AI663" s="142"/>
      <c r="AJ663" s="142"/>
      <c r="AK663" s="142"/>
      <c r="AL663" s="142"/>
      <c r="AM663" s="142"/>
      <c r="AN663" s="142"/>
      <c r="AO663" s="142"/>
      <c r="AP663" s="142"/>
    </row>
    <row r="664" ht="13.5" customHeight="1">
      <c r="A664" s="142"/>
      <c r="B664" s="142"/>
      <c r="C664" s="142"/>
      <c r="D664" s="142"/>
      <c r="E664" s="132"/>
      <c r="F664" s="131"/>
      <c r="G664" s="131"/>
      <c r="H664" s="131"/>
      <c r="I664" s="131"/>
      <c r="J664" s="131"/>
      <c r="K664" s="131"/>
      <c r="L664" s="131"/>
      <c r="M664" s="131"/>
      <c r="N664" s="131"/>
      <c r="O664" s="142"/>
      <c r="P664" s="142"/>
      <c r="Q664" s="142"/>
      <c r="R664" s="142"/>
      <c r="S664" s="142"/>
      <c r="T664" s="142"/>
      <c r="U664" s="142"/>
      <c r="V664" s="142"/>
      <c r="W664" s="142"/>
      <c r="X664" s="142"/>
      <c r="Y664" s="142"/>
      <c r="Z664" s="142"/>
      <c r="AA664" s="131"/>
      <c r="AB664" s="142"/>
      <c r="AC664" s="142"/>
      <c r="AD664" s="142"/>
      <c r="AE664" s="142"/>
      <c r="AF664" s="142"/>
      <c r="AG664" s="142"/>
      <c r="AH664" s="142"/>
      <c r="AI664" s="142"/>
      <c r="AJ664" s="142"/>
      <c r="AK664" s="142"/>
      <c r="AL664" s="142"/>
      <c r="AM664" s="142"/>
      <c r="AN664" s="142"/>
      <c r="AO664" s="142"/>
      <c r="AP664" s="142"/>
    </row>
    <row r="665" ht="13.5" customHeight="1">
      <c r="A665" s="142"/>
      <c r="B665" s="142"/>
      <c r="C665" s="142"/>
      <c r="D665" s="142"/>
      <c r="E665" s="132"/>
      <c r="F665" s="131"/>
      <c r="G665" s="131"/>
      <c r="H665" s="131"/>
      <c r="I665" s="131"/>
      <c r="J665" s="131"/>
      <c r="K665" s="131"/>
      <c r="L665" s="131"/>
      <c r="M665" s="131"/>
      <c r="N665" s="131"/>
      <c r="O665" s="142"/>
      <c r="P665" s="142"/>
      <c r="Q665" s="142"/>
      <c r="R665" s="142"/>
      <c r="S665" s="142"/>
      <c r="T665" s="142"/>
      <c r="U665" s="142"/>
      <c r="V665" s="142"/>
      <c r="W665" s="142"/>
      <c r="X665" s="142"/>
      <c r="Y665" s="142"/>
      <c r="Z665" s="142"/>
      <c r="AA665" s="131"/>
      <c r="AB665" s="142"/>
      <c r="AC665" s="142"/>
      <c r="AD665" s="142"/>
      <c r="AE665" s="142"/>
      <c r="AF665" s="142"/>
      <c r="AG665" s="142"/>
      <c r="AH665" s="142"/>
      <c r="AI665" s="142"/>
      <c r="AJ665" s="142"/>
      <c r="AK665" s="142"/>
      <c r="AL665" s="142"/>
      <c r="AM665" s="142"/>
      <c r="AN665" s="142"/>
      <c r="AO665" s="142"/>
      <c r="AP665" s="142"/>
    </row>
    <row r="666" ht="13.5" customHeight="1">
      <c r="A666" s="142"/>
      <c r="B666" s="142"/>
      <c r="C666" s="142"/>
      <c r="D666" s="142"/>
      <c r="E666" s="132"/>
      <c r="F666" s="131"/>
      <c r="G666" s="131"/>
      <c r="H666" s="131"/>
      <c r="I666" s="131"/>
      <c r="J666" s="131"/>
      <c r="K666" s="131"/>
      <c r="L666" s="131"/>
      <c r="M666" s="131"/>
      <c r="N666" s="131"/>
      <c r="O666" s="142"/>
      <c r="P666" s="142"/>
      <c r="Q666" s="142"/>
      <c r="R666" s="142"/>
      <c r="S666" s="142"/>
      <c r="T666" s="142"/>
      <c r="U666" s="142"/>
      <c r="V666" s="142"/>
      <c r="W666" s="142"/>
      <c r="X666" s="142"/>
      <c r="Y666" s="142"/>
      <c r="Z666" s="142"/>
      <c r="AA666" s="131"/>
      <c r="AB666" s="142"/>
      <c r="AC666" s="142"/>
      <c r="AD666" s="142"/>
      <c r="AE666" s="142"/>
      <c r="AF666" s="142"/>
      <c r="AG666" s="142"/>
      <c r="AH666" s="142"/>
      <c r="AI666" s="142"/>
      <c r="AJ666" s="142"/>
      <c r="AK666" s="142"/>
      <c r="AL666" s="142"/>
      <c r="AM666" s="142"/>
      <c r="AN666" s="142"/>
      <c r="AO666" s="142"/>
      <c r="AP666" s="142"/>
    </row>
    <row r="667" ht="13.5" customHeight="1">
      <c r="A667" s="142"/>
      <c r="B667" s="142"/>
      <c r="C667" s="142"/>
      <c r="D667" s="142"/>
      <c r="E667" s="132"/>
      <c r="F667" s="131"/>
      <c r="G667" s="131"/>
      <c r="H667" s="131"/>
      <c r="I667" s="131"/>
      <c r="J667" s="131"/>
      <c r="K667" s="131"/>
      <c r="L667" s="131"/>
      <c r="M667" s="131"/>
      <c r="N667" s="131"/>
      <c r="O667" s="142"/>
      <c r="P667" s="142"/>
      <c r="Q667" s="142"/>
      <c r="R667" s="142"/>
      <c r="S667" s="142"/>
      <c r="T667" s="142"/>
      <c r="U667" s="142"/>
      <c r="V667" s="142"/>
      <c r="W667" s="142"/>
      <c r="X667" s="142"/>
      <c r="Y667" s="142"/>
      <c r="Z667" s="142"/>
      <c r="AA667" s="131"/>
      <c r="AB667" s="142"/>
      <c r="AC667" s="142"/>
      <c r="AD667" s="142"/>
      <c r="AE667" s="142"/>
      <c r="AF667" s="142"/>
      <c r="AG667" s="142"/>
      <c r="AH667" s="142"/>
      <c r="AI667" s="142"/>
      <c r="AJ667" s="142"/>
      <c r="AK667" s="142"/>
      <c r="AL667" s="142"/>
      <c r="AM667" s="142"/>
      <c r="AN667" s="142"/>
      <c r="AO667" s="142"/>
      <c r="AP667" s="142"/>
    </row>
    <row r="668" ht="13.5" customHeight="1">
      <c r="A668" s="142"/>
      <c r="B668" s="142"/>
      <c r="C668" s="142"/>
      <c r="D668" s="142"/>
      <c r="E668" s="132"/>
      <c r="F668" s="131"/>
      <c r="G668" s="131"/>
      <c r="H668" s="131"/>
      <c r="I668" s="131"/>
      <c r="J668" s="131"/>
      <c r="K668" s="131"/>
      <c r="L668" s="131"/>
      <c r="M668" s="131"/>
      <c r="N668" s="131"/>
      <c r="O668" s="142"/>
      <c r="P668" s="142"/>
      <c r="Q668" s="142"/>
      <c r="R668" s="142"/>
      <c r="S668" s="142"/>
      <c r="T668" s="142"/>
      <c r="U668" s="142"/>
      <c r="V668" s="142"/>
      <c r="W668" s="142"/>
      <c r="X668" s="142"/>
      <c r="Y668" s="142"/>
      <c r="Z668" s="142"/>
      <c r="AA668" s="131"/>
      <c r="AB668" s="142"/>
      <c r="AC668" s="142"/>
      <c r="AD668" s="142"/>
      <c r="AE668" s="142"/>
      <c r="AF668" s="142"/>
      <c r="AG668" s="142"/>
      <c r="AH668" s="142"/>
      <c r="AI668" s="142"/>
      <c r="AJ668" s="142"/>
      <c r="AK668" s="142"/>
      <c r="AL668" s="142"/>
      <c r="AM668" s="142"/>
      <c r="AN668" s="142"/>
      <c r="AO668" s="142"/>
      <c r="AP668" s="142"/>
    </row>
    <row r="669" ht="13.5" customHeight="1">
      <c r="A669" s="142"/>
      <c r="B669" s="142"/>
      <c r="C669" s="142"/>
      <c r="D669" s="142"/>
      <c r="E669" s="132"/>
      <c r="F669" s="131"/>
      <c r="G669" s="131"/>
      <c r="H669" s="131"/>
      <c r="I669" s="131"/>
      <c r="J669" s="131"/>
      <c r="K669" s="131"/>
      <c r="L669" s="131"/>
      <c r="M669" s="131"/>
      <c r="N669" s="131"/>
      <c r="O669" s="142"/>
      <c r="P669" s="142"/>
      <c r="Q669" s="142"/>
      <c r="R669" s="142"/>
      <c r="S669" s="142"/>
      <c r="T669" s="142"/>
      <c r="U669" s="142"/>
      <c r="V669" s="142"/>
      <c r="W669" s="142"/>
      <c r="X669" s="142"/>
      <c r="Y669" s="142"/>
      <c r="Z669" s="142"/>
      <c r="AA669" s="131"/>
      <c r="AB669" s="142"/>
      <c r="AC669" s="142"/>
      <c r="AD669" s="142"/>
      <c r="AE669" s="142"/>
      <c r="AF669" s="142"/>
      <c r="AG669" s="142"/>
      <c r="AH669" s="142"/>
      <c r="AI669" s="142"/>
      <c r="AJ669" s="142"/>
      <c r="AK669" s="142"/>
      <c r="AL669" s="142"/>
      <c r="AM669" s="142"/>
      <c r="AN669" s="142"/>
      <c r="AO669" s="142"/>
      <c r="AP669" s="142"/>
    </row>
    <row r="670" ht="13.5" customHeight="1">
      <c r="A670" s="142"/>
      <c r="B670" s="142"/>
      <c r="C670" s="142"/>
      <c r="D670" s="142"/>
      <c r="E670" s="132"/>
      <c r="F670" s="131"/>
      <c r="G670" s="131"/>
      <c r="H670" s="131"/>
      <c r="I670" s="131"/>
      <c r="J670" s="131"/>
      <c r="K670" s="131"/>
      <c r="L670" s="131"/>
      <c r="M670" s="131"/>
      <c r="N670" s="131"/>
      <c r="O670" s="142"/>
      <c r="P670" s="142"/>
      <c r="Q670" s="142"/>
      <c r="R670" s="142"/>
      <c r="S670" s="142"/>
      <c r="T670" s="142"/>
      <c r="U670" s="142"/>
      <c r="V670" s="142"/>
      <c r="W670" s="142"/>
      <c r="X670" s="142"/>
      <c r="Y670" s="142"/>
      <c r="Z670" s="142"/>
      <c r="AA670" s="131"/>
      <c r="AB670" s="142"/>
      <c r="AC670" s="142"/>
      <c r="AD670" s="142"/>
      <c r="AE670" s="142"/>
      <c r="AF670" s="142"/>
      <c r="AG670" s="142"/>
      <c r="AH670" s="142"/>
      <c r="AI670" s="142"/>
      <c r="AJ670" s="142"/>
      <c r="AK670" s="142"/>
      <c r="AL670" s="142"/>
      <c r="AM670" s="142"/>
      <c r="AN670" s="142"/>
      <c r="AO670" s="142"/>
      <c r="AP670" s="142"/>
    </row>
    <row r="671" ht="13.5" customHeight="1">
      <c r="A671" s="142"/>
      <c r="B671" s="142"/>
      <c r="C671" s="142"/>
      <c r="D671" s="142"/>
      <c r="E671" s="132"/>
      <c r="F671" s="131"/>
      <c r="G671" s="131"/>
      <c r="H671" s="131"/>
      <c r="I671" s="131"/>
      <c r="J671" s="131"/>
      <c r="K671" s="131"/>
      <c r="L671" s="131"/>
      <c r="M671" s="131"/>
      <c r="N671" s="131"/>
      <c r="O671" s="142"/>
      <c r="P671" s="142"/>
      <c r="Q671" s="142"/>
      <c r="R671" s="142"/>
      <c r="S671" s="142"/>
      <c r="T671" s="142"/>
      <c r="U671" s="142"/>
      <c r="V671" s="142"/>
      <c r="W671" s="142"/>
      <c r="X671" s="142"/>
      <c r="Y671" s="142"/>
      <c r="Z671" s="142"/>
      <c r="AA671" s="131"/>
      <c r="AB671" s="142"/>
      <c r="AC671" s="142"/>
      <c r="AD671" s="142"/>
      <c r="AE671" s="142"/>
      <c r="AF671" s="142"/>
      <c r="AG671" s="142"/>
      <c r="AH671" s="142"/>
      <c r="AI671" s="142"/>
      <c r="AJ671" s="142"/>
      <c r="AK671" s="142"/>
      <c r="AL671" s="142"/>
      <c r="AM671" s="142"/>
      <c r="AN671" s="142"/>
      <c r="AO671" s="142"/>
      <c r="AP671" s="142"/>
    </row>
    <row r="672" ht="13.5" customHeight="1">
      <c r="A672" s="142"/>
      <c r="B672" s="142"/>
      <c r="C672" s="142"/>
      <c r="D672" s="142"/>
      <c r="E672" s="132"/>
      <c r="F672" s="131"/>
      <c r="G672" s="131"/>
      <c r="H672" s="131"/>
      <c r="I672" s="131"/>
      <c r="J672" s="131"/>
      <c r="K672" s="131"/>
      <c r="L672" s="131"/>
      <c r="M672" s="131"/>
      <c r="N672" s="131"/>
      <c r="O672" s="142"/>
      <c r="P672" s="142"/>
      <c r="Q672" s="142"/>
      <c r="R672" s="142"/>
      <c r="S672" s="142"/>
      <c r="T672" s="142"/>
      <c r="U672" s="142"/>
      <c r="V672" s="142"/>
      <c r="W672" s="142"/>
      <c r="X672" s="142"/>
      <c r="Y672" s="142"/>
      <c r="Z672" s="142"/>
      <c r="AA672" s="131"/>
      <c r="AB672" s="142"/>
      <c r="AC672" s="142"/>
      <c r="AD672" s="142"/>
      <c r="AE672" s="142"/>
      <c r="AF672" s="142"/>
      <c r="AG672" s="142"/>
      <c r="AH672" s="142"/>
      <c r="AI672" s="142"/>
      <c r="AJ672" s="142"/>
      <c r="AK672" s="142"/>
      <c r="AL672" s="142"/>
      <c r="AM672" s="142"/>
      <c r="AN672" s="142"/>
      <c r="AO672" s="142"/>
      <c r="AP672" s="142"/>
    </row>
    <row r="673" ht="13.5" customHeight="1">
      <c r="A673" s="142"/>
      <c r="B673" s="142"/>
      <c r="C673" s="142"/>
      <c r="D673" s="142"/>
      <c r="E673" s="132"/>
      <c r="F673" s="131"/>
      <c r="G673" s="131"/>
      <c r="H673" s="131"/>
      <c r="I673" s="131"/>
      <c r="J673" s="131"/>
      <c r="K673" s="131"/>
      <c r="L673" s="131"/>
      <c r="M673" s="131"/>
      <c r="N673" s="131"/>
      <c r="O673" s="142"/>
      <c r="P673" s="142"/>
      <c r="Q673" s="142"/>
      <c r="R673" s="142"/>
      <c r="S673" s="142"/>
      <c r="T673" s="142"/>
      <c r="U673" s="142"/>
      <c r="V673" s="142"/>
      <c r="W673" s="142"/>
      <c r="X673" s="142"/>
      <c r="Y673" s="142"/>
      <c r="Z673" s="142"/>
      <c r="AA673" s="131"/>
      <c r="AB673" s="142"/>
      <c r="AC673" s="142"/>
      <c r="AD673" s="142"/>
      <c r="AE673" s="142"/>
      <c r="AF673" s="142"/>
      <c r="AG673" s="142"/>
      <c r="AH673" s="142"/>
      <c r="AI673" s="142"/>
      <c r="AJ673" s="142"/>
      <c r="AK673" s="142"/>
      <c r="AL673" s="142"/>
      <c r="AM673" s="142"/>
      <c r="AN673" s="142"/>
      <c r="AO673" s="142"/>
      <c r="AP673" s="142"/>
    </row>
    <row r="674" ht="13.5" customHeight="1">
      <c r="A674" s="142"/>
      <c r="B674" s="142"/>
      <c r="C674" s="142"/>
      <c r="D674" s="142"/>
      <c r="E674" s="132"/>
      <c r="F674" s="131"/>
      <c r="G674" s="131"/>
      <c r="H674" s="131"/>
      <c r="I674" s="131"/>
      <c r="J674" s="131"/>
      <c r="K674" s="131"/>
      <c r="L674" s="131"/>
      <c r="M674" s="131"/>
      <c r="N674" s="131"/>
      <c r="O674" s="142"/>
      <c r="P674" s="142"/>
      <c r="Q674" s="142"/>
      <c r="R674" s="142"/>
      <c r="S674" s="142"/>
      <c r="T674" s="142"/>
      <c r="U674" s="142"/>
      <c r="V674" s="142"/>
      <c r="W674" s="142"/>
      <c r="X674" s="142"/>
      <c r="Y674" s="142"/>
      <c r="Z674" s="142"/>
      <c r="AA674" s="131"/>
      <c r="AB674" s="142"/>
      <c r="AC674" s="142"/>
      <c r="AD674" s="142"/>
      <c r="AE674" s="142"/>
      <c r="AF674" s="142"/>
      <c r="AG674" s="142"/>
      <c r="AH674" s="142"/>
      <c r="AI674" s="142"/>
      <c r="AJ674" s="142"/>
      <c r="AK674" s="142"/>
      <c r="AL674" s="142"/>
      <c r="AM674" s="142"/>
      <c r="AN674" s="142"/>
      <c r="AO674" s="142"/>
      <c r="AP674" s="142"/>
    </row>
    <row r="675" ht="13.5" customHeight="1">
      <c r="A675" s="142"/>
      <c r="B675" s="142"/>
      <c r="C675" s="142"/>
      <c r="D675" s="142"/>
      <c r="E675" s="132"/>
      <c r="F675" s="131"/>
      <c r="G675" s="131"/>
      <c r="H675" s="131"/>
      <c r="I675" s="131"/>
      <c r="J675" s="131"/>
      <c r="K675" s="131"/>
      <c r="L675" s="131"/>
      <c r="M675" s="131"/>
      <c r="N675" s="131"/>
      <c r="O675" s="142"/>
      <c r="P675" s="142"/>
      <c r="Q675" s="142"/>
      <c r="R675" s="142"/>
      <c r="S675" s="142"/>
      <c r="T675" s="142"/>
      <c r="U675" s="142"/>
      <c r="V675" s="142"/>
      <c r="W675" s="142"/>
      <c r="X675" s="142"/>
      <c r="Y675" s="142"/>
      <c r="Z675" s="142"/>
      <c r="AA675" s="131"/>
      <c r="AB675" s="142"/>
      <c r="AC675" s="142"/>
      <c r="AD675" s="142"/>
      <c r="AE675" s="142"/>
      <c r="AF675" s="142"/>
      <c r="AG675" s="142"/>
      <c r="AH675" s="142"/>
      <c r="AI675" s="142"/>
      <c r="AJ675" s="142"/>
      <c r="AK675" s="142"/>
      <c r="AL675" s="142"/>
      <c r="AM675" s="142"/>
      <c r="AN675" s="142"/>
      <c r="AO675" s="142"/>
      <c r="AP675" s="142"/>
    </row>
    <row r="676" ht="13.5" customHeight="1">
      <c r="A676" s="142"/>
      <c r="B676" s="142"/>
      <c r="C676" s="142"/>
      <c r="D676" s="142"/>
      <c r="E676" s="132"/>
      <c r="F676" s="131"/>
      <c r="G676" s="131"/>
      <c r="H676" s="131"/>
      <c r="I676" s="131"/>
      <c r="J676" s="131"/>
      <c r="K676" s="131"/>
      <c r="L676" s="131"/>
      <c r="M676" s="131"/>
      <c r="N676" s="131"/>
      <c r="O676" s="142"/>
      <c r="P676" s="142"/>
      <c r="Q676" s="142"/>
      <c r="R676" s="142"/>
      <c r="S676" s="142"/>
      <c r="T676" s="142"/>
      <c r="U676" s="142"/>
      <c r="V676" s="142"/>
      <c r="W676" s="142"/>
      <c r="X676" s="142"/>
      <c r="Y676" s="142"/>
      <c r="Z676" s="142"/>
      <c r="AA676" s="131"/>
      <c r="AB676" s="142"/>
      <c r="AC676" s="142"/>
      <c r="AD676" s="142"/>
      <c r="AE676" s="142"/>
      <c r="AF676" s="142"/>
      <c r="AG676" s="142"/>
      <c r="AH676" s="142"/>
      <c r="AI676" s="142"/>
      <c r="AJ676" s="142"/>
      <c r="AK676" s="142"/>
      <c r="AL676" s="142"/>
      <c r="AM676" s="142"/>
      <c r="AN676" s="142"/>
      <c r="AO676" s="142"/>
      <c r="AP676" s="142"/>
    </row>
    <row r="677" ht="13.5" customHeight="1">
      <c r="A677" s="142"/>
      <c r="B677" s="142"/>
      <c r="C677" s="142"/>
      <c r="D677" s="142"/>
      <c r="E677" s="132"/>
      <c r="F677" s="131"/>
      <c r="G677" s="131"/>
      <c r="H677" s="131"/>
      <c r="I677" s="131"/>
      <c r="J677" s="131"/>
      <c r="K677" s="131"/>
      <c r="L677" s="131"/>
      <c r="M677" s="131"/>
      <c r="N677" s="131"/>
      <c r="O677" s="142"/>
      <c r="P677" s="142"/>
      <c r="Q677" s="142"/>
      <c r="R677" s="142"/>
      <c r="S677" s="142"/>
      <c r="T677" s="142"/>
      <c r="U677" s="142"/>
      <c r="V677" s="142"/>
      <c r="W677" s="142"/>
      <c r="X677" s="142"/>
      <c r="Y677" s="142"/>
      <c r="Z677" s="142"/>
      <c r="AA677" s="131"/>
      <c r="AB677" s="142"/>
      <c r="AC677" s="142"/>
      <c r="AD677" s="142"/>
      <c r="AE677" s="142"/>
      <c r="AF677" s="142"/>
      <c r="AG677" s="142"/>
      <c r="AH677" s="142"/>
      <c r="AI677" s="142"/>
      <c r="AJ677" s="142"/>
      <c r="AK677" s="142"/>
      <c r="AL677" s="142"/>
      <c r="AM677" s="142"/>
      <c r="AN677" s="142"/>
      <c r="AO677" s="142"/>
      <c r="AP677" s="142"/>
    </row>
    <row r="678" ht="13.5" customHeight="1">
      <c r="A678" s="142"/>
      <c r="B678" s="142"/>
      <c r="C678" s="142"/>
      <c r="D678" s="142"/>
      <c r="E678" s="132"/>
      <c r="F678" s="131"/>
      <c r="G678" s="131"/>
      <c r="H678" s="131"/>
      <c r="I678" s="131"/>
      <c r="J678" s="131"/>
      <c r="K678" s="131"/>
      <c r="L678" s="131"/>
      <c r="M678" s="131"/>
      <c r="N678" s="131"/>
      <c r="O678" s="142"/>
      <c r="P678" s="142"/>
      <c r="Q678" s="142"/>
      <c r="R678" s="142"/>
      <c r="S678" s="142"/>
      <c r="T678" s="142"/>
      <c r="U678" s="142"/>
      <c r="V678" s="142"/>
      <c r="W678" s="142"/>
      <c r="X678" s="142"/>
      <c r="Y678" s="142"/>
      <c r="Z678" s="142"/>
      <c r="AA678" s="131"/>
      <c r="AB678" s="142"/>
      <c r="AC678" s="142"/>
      <c r="AD678" s="142"/>
      <c r="AE678" s="142"/>
      <c r="AF678" s="142"/>
      <c r="AG678" s="142"/>
      <c r="AH678" s="142"/>
      <c r="AI678" s="142"/>
      <c r="AJ678" s="142"/>
      <c r="AK678" s="142"/>
      <c r="AL678" s="142"/>
      <c r="AM678" s="142"/>
      <c r="AN678" s="142"/>
      <c r="AO678" s="142"/>
      <c r="AP678" s="142"/>
    </row>
    <row r="679" ht="13.5" customHeight="1">
      <c r="A679" s="142"/>
      <c r="B679" s="142"/>
      <c r="C679" s="142"/>
      <c r="D679" s="142"/>
      <c r="E679" s="132"/>
      <c r="F679" s="131"/>
      <c r="G679" s="131"/>
      <c r="H679" s="131"/>
      <c r="I679" s="131"/>
      <c r="J679" s="131"/>
      <c r="K679" s="131"/>
      <c r="L679" s="131"/>
      <c r="M679" s="131"/>
      <c r="N679" s="131"/>
      <c r="O679" s="142"/>
      <c r="P679" s="142"/>
      <c r="Q679" s="142"/>
      <c r="R679" s="142"/>
      <c r="S679" s="142"/>
      <c r="T679" s="142"/>
      <c r="U679" s="142"/>
      <c r="V679" s="142"/>
      <c r="W679" s="142"/>
      <c r="X679" s="142"/>
      <c r="Y679" s="142"/>
      <c r="Z679" s="142"/>
      <c r="AA679" s="131"/>
      <c r="AB679" s="142"/>
      <c r="AC679" s="142"/>
      <c r="AD679" s="142"/>
      <c r="AE679" s="142"/>
      <c r="AF679" s="142"/>
      <c r="AG679" s="142"/>
      <c r="AH679" s="142"/>
      <c r="AI679" s="142"/>
      <c r="AJ679" s="142"/>
      <c r="AK679" s="142"/>
      <c r="AL679" s="142"/>
      <c r="AM679" s="142"/>
      <c r="AN679" s="142"/>
      <c r="AO679" s="142"/>
      <c r="AP679" s="142"/>
    </row>
    <row r="680" ht="13.5" customHeight="1">
      <c r="A680" s="142"/>
      <c r="B680" s="142"/>
      <c r="C680" s="142"/>
      <c r="D680" s="142"/>
      <c r="E680" s="132"/>
      <c r="F680" s="131"/>
      <c r="G680" s="131"/>
      <c r="H680" s="131"/>
      <c r="I680" s="131"/>
      <c r="J680" s="131"/>
      <c r="K680" s="131"/>
      <c r="L680" s="131"/>
      <c r="M680" s="131"/>
      <c r="N680" s="131"/>
      <c r="O680" s="142"/>
      <c r="P680" s="142"/>
      <c r="Q680" s="142"/>
      <c r="R680" s="142"/>
      <c r="S680" s="142"/>
      <c r="T680" s="142"/>
      <c r="U680" s="142"/>
      <c r="V680" s="142"/>
      <c r="W680" s="142"/>
      <c r="X680" s="142"/>
      <c r="Y680" s="142"/>
      <c r="Z680" s="142"/>
      <c r="AA680" s="131"/>
      <c r="AB680" s="142"/>
      <c r="AC680" s="142"/>
      <c r="AD680" s="142"/>
      <c r="AE680" s="142"/>
      <c r="AF680" s="142"/>
      <c r="AG680" s="142"/>
      <c r="AH680" s="142"/>
      <c r="AI680" s="142"/>
      <c r="AJ680" s="142"/>
      <c r="AK680" s="142"/>
      <c r="AL680" s="142"/>
      <c r="AM680" s="142"/>
      <c r="AN680" s="142"/>
      <c r="AO680" s="142"/>
      <c r="AP680" s="142"/>
    </row>
    <row r="681" ht="13.5" customHeight="1">
      <c r="A681" s="142"/>
      <c r="B681" s="142"/>
      <c r="C681" s="142"/>
      <c r="D681" s="142"/>
      <c r="E681" s="132"/>
      <c r="F681" s="131"/>
      <c r="G681" s="131"/>
      <c r="H681" s="131"/>
      <c r="I681" s="131"/>
      <c r="J681" s="131"/>
      <c r="K681" s="131"/>
      <c r="L681" s="131"/>
      <c r="M681" s="131"/>
      <c r="N681" s="131"/>
      <c r="O681" s="142"/>
      <c r="P681" s="142"/>
      <c r="Q681" s="142"/>
      <c r="R681" s="142"/>
      <c r="S681" s="142"/>
      <c r="T681" s="142"/>
      <c r="U681" s="142"/>
      <c r="V681" s="142"/>
      <c r="W681" s="142"/>
      <c r="X681" s="142"/>
      <c r="Y681" s="142"/>
      <c r="Z681" s="142"/>
      <c r="AA681" s="131"/>
      <c r="AB681" s="142"/>
      <c r="AC681" s="142"/>
      <c r="AD681" s="142"/>
      <c r="AE681" s="142"/>
      <c r="AF681" s="142"/>
      <c r="AG681" s="142"/>
      <c r="AH681" s="142"/>
      <c r="AI681" s="142"/>
      <c r="AJ681" s="142"/>
      <c r="AK681" s="142"/>
      <c r="AL681" s="142"/>
      <c r="AM681" s="142"/>
      <c r="AN681" s="142"/>
      <c r="AO681" s="142"/>
      <c r="AP681" s="142"/>
    </row>
    <row r="682" ht="13.5" customHeight="1">
      <c r="A682" s="142"/>
      <c r="B682" s="142"/>
      <c r="C682" s="142"/>
      <c r="D682" s="142"/>
      <c r="E682" s="132"/>
      <c r="F682" s="131"/>
      <c r="G682" s="131"/>
      <c r="H682" s="131"/>
      <c r="I682" s="131"/>
      <c r="J682" s="131"/>
      <c r="K682" s="131"/>
      <c r="L682" s="131"/>
      <c r="M682" s="131"/>
      <c r="N682" s="131"/>
      <c r="O682" s="142"/>
      <c r="P682" s="142"/>
      <c r="Q682" s="142"/>
      <c r="R682" s="142"/>
      <c r="S682" s="142"/>
      <c r="T682" s="142"/>
      <c r="U682" s="142"/>
      <c r="V682" s="142"/>
      <c r="W682" s="142"/>
      <c r="X682" s="142"/>
      <c r="Y682" s="142"/>
      <c r="Z682" s="142"/>
      <c r="AA682" s="131"/>
      <c r="AB682" s="142"/>
      <c r="AC682" s="142"/>
      <c r="AD682" s="142"/>
      <c r="AE682" s="142"/>
      <c r="AF682" s="142"/>
      <c r="AG682" s="142"/>
      <c r="AH682" s="142"/>
      <c r="AI682" s="142"/>
      <c r="AJ682" s="142"/>
      <c r="AK682" s="142"/>
      <c r="AL682" s="142"/>
      <c r="AM682" s="142"/>
      <c r="AN682" s="142"/>
      <c r="AO682" s="142"/>
      <c r="AP682" s="142"/>
    </row>
    <row r="683" ht="13.5" customHeight="1">
      <c r="A683" s="142"/>
      <c r="B683" s="142"/>
      <c r="C683" s="142"/>
      <c r="D683" s="142"/>
      <c r="E683" s="132"/>
      <c r="F683" s="131"/>
      <c r="G683" s="131"/>
      <c r="H683" s="131"/>
      <c r="I683" s="131"/>
      <c r="J683" s="131"/>
      <c r="K683" s="131"/>
      <c r="L683" s="131"/>
      <c r="M683" s="131"/>
      <c r="N683" s="131"/>
      <c r="O683" s="142"/>
      <c r="P683" s="142"/>
      <c r="Q683" s="142"/>
      <c r="R683" s="142"/>
      <c r="S683" s="142"/>
      <c r="T683" s="142"/>
      <c r="U683" s="142"/>
      <c r="V683" s="142"/>
      <c r="W683" s="142"/>
      <c r="X683" s="142"/>
      <c r="Y683" s="142"/>
      <c r="Z683" s="142"/>
      <c r="AA683" s="131"/>
      <c r="AB683" s="142"/>
      <c r="AC683" s="142"/>
      <c r="AD683" s="142"/>
      <c r="AE683" s="142"/>
      <c r="AF683" s="142"/>
      <c r="AG683" s="142"/>
      <c r="AH683" s="142"/>
      <c r="AI683" s="142"/>
      <c r="AJ683" s="142"/>
      <c r="AK683" s="142"/>
      <c r="AL683" s="142"/>
      <c r="AM683" s="142"/>
      <c r="AN683" s="142"/>
      <c r="AO683" s="142"/>
      <c r="AP683" s="142"/>
    </row>
    <row r="684" ht="13.5" customHeight="1">
      <c r="A684" s="142"/>
      <c r="B684" s="142"/>
      <c r="C684" s="142"/>
      <c r="D684" s="142"/>
      <c r="E684" s="132"/>
      <c r="F684" s="131"/>
      <c r="G684" s="131"/>
      <c r="H684" s="131"/>
      <c r="I684" s="131"/>
      <c r="J684" s="131"/>
      <c r="K684" s="131"/>
      <c r="L684" s="131"/>
      <c r="M684" s="131"/>
      <c r="N684" s="131"/>
      <c r="O684" s="142"/>
      <c r="P684" s="142"/>
      <c r="Q684" s="142"/>
      <c r="R684" s="142"/>
      <c r="S684" s="142"/>
      <c r="T684" s="142"/>
      <c r="U684" s="142"/>
      <c r="V684" s="142"/>
      <c r="W684" s="142"/>
      <c r="X684" s="142"/>
      <c r="Y684" s="142"/>
      <c r="Z684" s="142"/>
      <c r="AA684" s="131"/>
      <c r="AB684" s="142"/>
      <c r="AC684" s="142"/>
      <c r="AD684" s="142"/>
      <c r="AE684" s="142"/>
      <c r="AF684" s="142"/>
      <c r="AG684" s="142"/>
      <c r="AH684" s="142"/>
      <c r="AI684" s="142"/>
      <c r="AJ684" s="142"/>
      <c r="AK684" s="142"/>
      <c r="AL684" s="142"/>
      <c r="AM684" s="142"/>
      <c r="AN684" s="142"/>
      <c r="AO684" s="142"/>
      <c r="AP684" s="142"/>
    </row>
    <row r="685" ht="13.5" customHeight="1">
      <c r="A685" s="142"/>
      <c r="B685" s="142"/>
      <c r="C685" s="142"/>
      <c r="D685" s="142"/>
      <c r="E685" s="132"/>
      <c r="F685" s="131"/>
      <c r="G685" s="131"/>
      <c r="H685" s="131"/>
      <c r="I685" s="131"/>
      <c r="J685" s="131"/>
      <c r="K685" s="131"/>
      <c r="L685" s="131"/>
      <c r="M685" s="131"/>
      <c r="N685" s="131"/>
      <c r="O685" s="142"/>
      <c r="P685" s="142"/>
      <c r="Q685" s="142"/>
      <c r="R685" s="142"/>
      <c r="S685" s="142"/>
      <c r="T685" s="142"/>
      <c r="U685" s="142"/>
      <c r="V685" s="142"/>
      <c r="W685" s="142"/>
      <c r="X685" s="142"/>
      <c r="Y685" s="142"/>
      <c r="Z685" s="142"/>
      <c r="AA685" s="131"/>
      <c r="AB685" s="142"/>
      <c r="AC685" s="142"/>
      <c r="AD685" s="142"/>
      <c r="AE685" s="142"/>
      <c r="AF685" s="142"/>
      <c r="AG685" s="142"/>
      <c r="AH685" s="142"/>
      <c r="AI685" s="142"/>
      <c r="AJ685" s="142"/>
      <c r="AK685" s="142"/>
      <c r="AL685" s="142"/>
      <c r="AM685" s="142"/>
      <c r="AN685" s="142"/>
      <c r="AO685" s="142"/>
      <c r="AP685" s="142"/>
    </row>
    <row r="686" ht="13.5" customHeight="1">
      <c r="A686" s="142"/>
      <c r="B686" s="142"/>
      <c r="C686" s="142"/>
      <c r="D686" s="142"/>
      <c r="E686" s="132"/>
      <c r="F686" s="131"/>
      <c r="G686" s="131"/>
      <c r="H686" s="131"/>
      <c r="I686" s="131"/>
      <c r="J686" s="131"/>
      <c r="K686" s="131"/>
      <c r="L686" s="131"/>
      <c r="M686" s="131"/>
      <c r="N686" s="131"/>
      <c r="O686" s="142"/>
      <c r="P686" s="142"/>
      <c r="Q686" s="142"/>
      <c r="R686" s="142"/>
      <c r="S686" s="142"/>
      <c r="T686" s="142"/>
      <c r="U686" s="142"/>
      <c r="V686" s="142"/>
      <c r="W686" s="142"/>
      <c r="X686" s="142"/>
      <c r="Y686" s="142"/>
      <c r="Z686" s="142"/>
      <c r="AA686" s="131"/>
      <c r="AB686" s="142"/>
      <c r="AC686" s="142"/>
      <c r="AD686" s="142"/>
      <c r="AE686" s="142"/>
      <c r="AF686" s="142"/>
      <c r="AG686" s="142"/>
      <c r="AH686" s="142"/>
      <c r="AI686" s="142"/>
      <c r="AJ686" s="142"/>
      <c r="AK686" s="142"/>
      <c r="AL686" s="142"/>
      <c r="AM686" s="142"/>
      <c r="AN686" s="142"/>
      <c r="AO686" s="142"/>
      <c r="AP686" s="142"/>
    </row>
    <row r="687" ht="13.5" customHeight="1">
      <c r="A687" s="142"/>
      <c r="B687" s="142"/>
      <c r="C687" s="142"/>
      <c r="D687" s="142"/>
      <c r="E687" s="132"/>
      <c r="F687" s="131"/>
      <c r="G687" s="131"/>
      <c r="H687" s="131"/>
      <c r="I687" s="131"/>
      <c r="J687" s="131"/>
      <c r="K687" s="131"/>
      <c r="L687" s="131"/>
      <c r="M687" s="131"/>
      <c r="N687" s="131"/>
      <c r="O687" s="142"/>
      <c r="P687" s="142"/>
      <c r="Q687" s="142"/>
      <c r="R687" s="142"/>
      <c r="S687" s="142"/>
      <c r="T687" s="142"/>
      <c r="U687" s="142"/>
      <c r="V687" s="142"/>
      <c r="W687" s="142"/>
      <c r="X687" s="142"/>
      <c r="Y687" s="142"/>
      <c r="Z687" s="142"/>
      <c r="AA687" s="131"/>
      <c r="AB687" s="142"/>
      <c r="AC687" s="142"/>
      <c r="AD687" s="142"/>
      <c r="AE687" s="142"/>
      <c r="AF687" s="142"/>
      <c r="AG687" s="142"/>
      <c r="AH687" s="142"/>
      <c r="AI687" s="142"/>
      <c r="AJ687" s="142"/>
      <c r="AK687" s="142"/>
      <c r="AL687" s="142"/>
      <c r="AM687" s="142"/>
      <c r="AN687" s="142"/>
      <c r="AO687" s="142"/>
      <c r="AP687" s="142"/>
    </row>
    <row r="688" ht="13.5" customHeight="1">
      <c r="A688" s="142"/>
      <c r="B688" s="142"/>
      <c r="C688" s="142"/>
      <c r="D688" s="142"/>
      <c r="E688" s="132"/>
      <c r="F688" s="131"/>
      <c r="G688" s="131"/>
      <c r="H688" s="131"/>
      <c r="I688" s="131"/>
      <c r="J688" s="131"/>
      <c r="K688" s="131"/>
      <c r="L688" s="131"/>
      <c r="M688" s="131"/>
      <c r="N688" s="131"/>
      <c r="O688" s="142"/>
      <c r="P688" s="142"/>
      <c r="Q688" s="142"/>
      <c r="R688" s="142"/>
      <c r="S688" s="142"/>
      <c r="T688" s="142"/>
      <c r="U688" s="142"/>
      <c r="V688" s="142"/>
      <c r="W688" s="142"/>
      <c r="X688" s="142"/>
      <c r="Y688" s="142"/>
      <c r="Z688" s="142"/>
      <c r="AA688" s="131"/>
      <c r="AB688" s="142"/>
      <c r="AC688" s="142"/>
      <c r="AD688" s="142"/>
      <c r="AE688" s="142"/>
      <c r="AF688" s="142"/>
      <c r="AG688" s="142"/>
      <c r="AH688" s="142"/>
      <c r="AI688" s="142"/>
      <c r="AJ688" s="142"/>
      <c r="AK688" s="142"/>
      <c r="AL688" s="142"/>
      <c r="AM688" s="142"/>
      <c r="AN688" s="142"/>
      <c r="AO688" s="142"/>
      <c r="AP688" s="142"/>
    </row>
    <row r="689" ht="13.5" customHeight="1">
      <c r="A689" s="142"/>
      <c r="B689" s="142"/>
      <c r="C689" s="142"/>
      <c r="D689" s="142"/>
      <c r="E689" s="132"/>
      <c r="F689" s="131"/>
      <c r="G689" s="131"/>
      <c r="H689" s="131"/>
      <c r="I689" s="131"/>
      <c r="J689" s="131"/>
      <c r="K689" s="131"/>
      <c r="L689" s="131"/>
      <c r="M689" s="131"/>
      <c r="N689" s="131"/>
      <c r="O689" s="142"/>
      <c r="P689" s="142"/>
      <c r="Q689" s="142"/>
      <c r="R689" s="142"/>
      <c r="S689" s="142"/>
      <c r="T689" s="142"/>
      <c r="U689" s="142"/>
      <c r="V689" s="142"/>
      <c r="W689" s="142"/>
      <c r="X689" s="142"/>
      <c r="Y689" s="142"/>
      <c r="Z689" s="142"/>
      <c r="AA689" s="131"/>
      <c r="AB689" s="142"/>
      <c r="AC689" s="142"/>
      <c r="AD689" s="142"/>
      <c r="AE689" s="142"/>
      <c r="AF689" s="142"/>
      <c r="AG689" s="142"/>
      <c r="AH689" s="142"/>
      <c r="AI689" s="142"/>
      <c r="AJ689" s="142"/>
      <c r="AK689" s="142"/>
      <c r="AL689" s="142"/>
      <c r="AM689" s="142"/>
      <c r="AN689" s="142"/>
      <c r="AO689" s="142"/>
      <c r="AP689" s="142"/>
    </row>
    <row r="690" ht="13.5" customHeight="1">
      <c r="A690" s="142"/>
      <c r="B690" s="142"/>
      <c r="C690" s="142"/>
      <c r="D690" s="142"/>
      <c r="E690" s="132"/>
      <c r="F690" s="131"/>
      <c r="G690" s="131"/>
      <c r="H690" s="131"/>
      <c r="I690" s="131"/>
      <c r="J690" s="131"/>
      <c r="K690" s="131"/>
      <c r="L690" s="131"/>
      <c r="M690" s="131"/>
      <c r="N690" s="131"/>
      <c r="O690" s="142"/>
      <c r="P690" s="142"/>
      <c r="Q690" s="142"/>
      <c r="R690" s="142"/>
      <c r="S690" s="142"/>
      <c r="T690" s="142"/>
      <c r="U690" s="142"/>
      <c r="V690" s="142"/>
      <c r="W690" s="142"/>
      <c r="X690" s="142"/>
      <c r="Y690" s="142"/>
      <c r="Z690" s="142"/>
      <c r="AA690" s="131"/>
      <c r="AB690" s="142"/>
      <c r="AC690" s="142"/>
      <c r="AD690" s="142"/>
      <c r="AE690" s="142"/>
      <c r="AF690" s="142"/>
      <c r="AG690" s="142"/>
      <c r="AH690" s="142"/>
      <c r="AI690" s="142"/>
      <c r="AJ690" s="142"/>
      <c r="AK690" s="142"/>
      <c r="AL690" s="142"/>
      <c r="AM690" s="142"/>
      <c r="AN690" s="142"/>
      <c r="AO690" s="142"/>
      <c r="AP690" s="142"/>
    </row>
    <row r="691" ht="13.5" customHeight="1">
      <c r="A691" s="142"/>
      <c r="B691" s="142"/>
      <c r="C691" s="142"/>
      <c r="D691" s="142"/>
      <c r="E691" s="132"/>
      <c r="F691" s="131"/>
      <c r="G691" s="131"/>
      <c r="H691" s="131"/>
      <c r="I691" s="131"/>
      <c r="J691" s="131"/>
      <c r="K691" s="131"/>
      <c r="L691" s="131"/>
      <c r="M691" s="131"/>
      <c r="N691" s="131"/>
      <c r="O691" s="142"/>
      <c r="P691" s="142"/>
      <c r="Q691" s="142"/>
      <c r="R691" s="142"/>
      <c r="S691" s="142"/>
      <c r="T691" s="142"/>
      <c r="U691" s="142"/>
      <c r="V691" s="142"/>
      <c r="W691" s="142"/>
      <c r="X691" s="142"/>
      <c r="Y691" s="142"/>
      <c r="Z691" s="142"/>
      <c r="AA691" s="131"/>
      <c r="AB691" s="142"/>
      <c r="AC691" s="142"/>
      <c r="AD691" s="142"/>
      <c r="AE691" s="142"/>
      <c r="AF691" s="142"/>
      <c r="AG691" s="142"/>
      <c r="AH691" s="142"/>
      <c r="AI691" s="142"/>
      <c r="AJ691" s="142"/>
      <c r="AK691" s="142"/>
      <c r="AL691" s="142"/>
      <c r="AM691" s="142"/>
      <c r="AN691" s="142"/>
      <c r="AO691" s="142"/>
      <c r="AP691" s="142"/>
    </row>
    <row r="692" ht="13.5" customHeight="1">
      <c r="A692" s="142"/>
      <c r="B692" s="142"/>
      <c r="C692" s="142"/>
      <c r="D692" s="142"/>
      <c r="E692" s="132"/>
      <c r="F692" s="131"/>
      <c r="G692" s="131"/>
      <c r="H692" s="131"/>
      <c r="I692" s="131"/>
      <c r="J692" s="131"/>
      <c r="K692" s="131"/>
      <c r="L692" s="131"/>
      <c r="M692" s="131"/>
      <c r="N692" s="131"/>
      <c r="O692" s="142"/>
      <c r="P692" s="142"/>
      <c r="Q692" s="142"/>
      <c r="R692" s="142"/>
      <c r="S692" s="142"/>
      <c r="T692" s="142"/>
      <c r="U692" s="142"/>
      <c r="V692" s="142"/>
      <c r="W692" s="142"/>
      <c r="X692" s="142"/>
      <c r="Y692" s="142"/>
      <c r="Z692" s="142"/>
      <c r="AA692" s="131"/>
      <c r="AB692" s="142"/>
      <c r="AC692" s="142"/>
      <c r="AD692" s="142"/>
      <c r="AE692" s="142"/>
      <c r="AF692" s="142"/>
      <c r="AG692" s="142"/>
      <c r="AH692" s="142"/>
      <c r="AI692" s="142"/>
      <c r="AJ692" s="142"/>
      <c r="AK692" s="142"/>
      <c r="AL692" s="142"/>
      <c r="AM692" s="142"/>
      <c r="AN692" s="142"/>
      <c r="AO692" s="142"/>
      <c r="AP692" s="142"/>
    </row>
    <row r="693" ht="13.5" customHeight="1">
      <c r="A693" s="142"/>
      <c r="B693" s="142"/>
      <c r="C693" s="142"/>
      <c r="D693" s="142"/>
      <c r="E693" s="132"/>
      <c r="F693" s="131"/>
      <c r="G693" s="131"/>
      <c r="H693" s="131"/>
      <c r="I693" s="131"/>
      <c r="J693" s="131"/>
      <c r="K693" s="131"/>
      <c r="L693" s="131"/>
      <c r="M693" s="131"/>
      <c r="N693" s="131"/>
      <c r="O693" s="142"/>
      <c r="P693" s="142"/>
      <c r="Q693" s="142"/>
      <c r="R693" s="142"/>
      <c r="S693" s="142"/>
      <c r="T693" s="142"/>
      <c r="U693" s="142"/>
      <c r="V693" s="142"/>
      <c r="W693" s="142"/>
      <c r="X693" s="142"/>
      <c r="Y693" s="142"/>
      <c r="Z693" s="142"/>
      <c r="AA693" s="131"/>
      <c r="AB693" s="142"/>
      <c r="AC693" s="142"/>
      <c r="AD693" s="142"/>
      <c r="AE693" s="142"/>
      <c r="AF693" s="142"/>
      <c r="AG693" s="142"/>
      <c r="AH693" s="142"/>
      <c r="AI693" s="142"/>
      <c r="AJ693" s="142"/>
      <c r="AK693" s="142"/>
      <c r="AL693" s="142"/>
      <c r="AM693" s="142"/>
      <c r="AN693" s="142"/>
      <c r="AO693" s="142"/>
      <c r="AP693" s="142"/>
    </row>
    <row r="694" ht="13.5" customHeight="1">
      <c r="A694" s="142"/>
      <c r="B694" s="142"/>
      <c r="C694" s="142"/>
      <c r="D694" s="142"/>
      <c r="E694" s="132"/>
      <c r="F694" s="131"/>
      <c r="G694" s="131"/>
      <c r="H694" s="131"/>
      <c r="I694" s="131"/>
      <c r="J694" s="131"/>
      <c r="K694" s="131"/>
      <c r="L694" s="131"/>
      <c r="M694" s="131"/>
      <c r="N694" s="131"/>
      <c r="O694" s="142"/>
      <c r="P694" s="142"/>
      <c r="Q694" s="142"/>
      <c r="R694" s="142"/>
      <c r="S694" s="142"/>
      <c r="T694" s="142"/>
      <c r="U694" s="142"/>
      <c r="V694" s="142"/>
      <c r="W694" s="142"/>
      <c r="X694" s="142"/>
      <c r="Y694" s="142"/>
      <c r="Z694" s="142"/>
      <c r="AA694" s="131"/>
      <c r="AB694" s="142"/>
      <c r="AC694" s="142"/>
      <c r="AD694" s="142"/>
      <c r="AE694" s="142"/>
      <c r="AF694" s="142"/>
      <c r="AG694" s="142"/>
      <c r="AH694" s="142"/>
      <c r="AI694" s="142"/>
      <c r="AJ694" s="142"/>
      <c r="AK694" s="142"/>
      <c r="AL694" s="142"/>
      <c r="AM694" s="142"/>
      <c r="AN694" s="142"/>
      <c r="AO694" s="142"/>
      <c r="AP694" s="142"/>
    </row>
    <row r="695" ht="13.5" customHeight="1">
      <c r="A695" s="142"/>
      <c r="B695" s="142"/>
      <c r="C695" s="142"/>
      <c r="D695" s="142"/>
      <c r="E695" s="132"/>
      <c r="F695" s="131"/>
      <c r="G695" s="131"/>
      <c r="H695" s="131"/>
      <c r="I695" s="131"/>
      <c r="J695" s="131"/>
      <c r="K695" s="131"/>
      <c r="L695" s="131"/>
      <c r="M695" s="131"/>
      <c r="N695" s="131"/>
      <c r="O695" s="142"/>
      <c r="P695" s="142"/>
      <c r="Q695" s="142"/>
      <c r="R695" s="142"/>
      <c r="S695" s="142"/>
      <c r="T695" s="142"/>
      <c r="U695" s="142"/>
      <c r="V695" s="142"/>
      <c r="W695" s="142"/>
      <c r="X695" s="142"/>
      <c r="Y695" s="142"/>
      <c r="Z695" s="142"/>
      <c r="AA695" s="131"/>
      <c r="AB695" s="142"/>
      <c r="AC695" s="142"/>
      <c r="AD695" s="142"/>
      <c r="AE695" s="142"/>
      <c r="AF695" s="142"/>
      <c r="AG695" s="142"/>
      <c r="AH695" s="142"/>
      <c r="AI695" s="142"/>
      <c r="AJ695" s="142"/>
      <c r="AK695" s="142"/>
      <c r="AL695" s="142"/>
      <c r="AM695" s="142"/>
      <c r="AN695" s="142"/>
      <c r="AO695" s="142"/>
      <c r="AP695" s="142"/>
    </row>
    <row r="696" ht="13.5" customHeight="1">
      <c r="A696" s="142"/>
      <c r="B696" s="142"/>
      <c r="C696" s="142"/>
      <c r="D696" s="142"/>
      <c r="E696" s="132"/>
      <c r="F696" s="131"/>
      <c r="G696" s="131"/>
      <c r="H696" s="131"/>
      <c r="I696" s="131"/>
      <c r="J696" s="131"/>
      <c r="K696" s="131"/>
      <c r="L696" s="131"/>
      <c r="M696" s="131"/>
      <c r="N696" s="131"/>
      <c r="O696" s="142"/>
      <c r="P696" s="142"/>
      <c r="Q696" s="142"/>
      <c r="R696" s="142"/>
      <c r="S696" s="142"/>
      <c r="T696" s="142"/>
      <c r="U696" s="142"/>
      <c r="V696" s="142"/>
      <c r="W696" s="142"/>
      <c r="X696" s="142"/>
      <c r="Y696" s="142"/>
      <c r="Z696" s="142"/>
      <c r="AA696" s="131"/>
      <c r="AB696" s="142"/>
      <c r="AC696" s="142"/>
      <c r="AD696" s="142"/>
      <c r="AE696" s="142"/>
      <c r="AF696" s="142"/>
      <c r="AG696" s="142"/>
      <c r="AH696" s="142"/>
      <c r="AI696" s="142"/>
      <c r="AJ696" s="142"/>
      <c r="AK696" s="142"/>
      <c r="AL696" s="142"/>
      <c r="AM696" s="142"/>
      <c r="AN696" s="142"/>
      <c r="AO696" s="142"/>
      <c r="AP696" s="142"/>
    </row>
    <row r="697" ht="13.5" customHeight="1">
      <c r="A697" s="142"/>
      <c r="B697" s="142"/>
      <c r="C697" s="142"/>
      <c r="D697" s="142"/>
      <c r="E697" s="132"/>
      <c r="F697" s="131"/>
      <c r="G697" s="131"/>
      <c r="H697" s="131"/>
      <c r="I697" s="131"/>
      <c r="J697" s="131"/>
      <c r="K697" s="131"/>
      <c r="L697" s="131"/>
      <c r="M697" s="131"/>
      <c r="N697" s="131"/>
      <c r="O697" s="142"/>
      <c r="P697" s="142"/>
      <c r="Q697" s="142"/>
      <c r="R697" s="142"/>
      <c r="S697" s="142"/>
      <c r="T697" s="142"/>
      <c r="U697" s="142"/>
      <c r="V697" s="142"/>
      <c r="W697" s="142"/>
      <c r="X697" s="142"/>
      <c r="Y697" s="142"/>
      <c r="Z697" s="142"/>
      <c r="AA697" s="131"/>
      <c r="AB697" s="142"/>
      <c r="AC697" s="142"/>
      <c r="AD697" s="142"/>
      <c r="AE697" s="142"/>
      <c r="AF697" s="142"/>
      <c r="AG697" s="142"/>
      <c r="AH697" s="142"/>
      <c r="AI697" s="142"/>
      <c r="AJ697" s="142"/>
      <c r="AK697" s="142"/>
      <c r="AL697" s="142"/>
      <c r="AM697" s="142"/>
      <c r="AN697" s="142"/>
      <c r="AO697" s="142"/>
      <c r="AP697" s="142"/>
    </row>
    <row r="698" ht="13.5" customHeight="1">
      <c r="A698" s="142"/>
      <c r="B698" s="142"/>
      <c r="C698" s="142"/>
      <c r="D698" s="142"/>
      <c r="E698" s="132"/>
      <c r="F698" s="131"/>
      <c r="G698" s="131"/>
      <c r="H698" s="131"/>
      <c r="I698" s="131"/>
      <c r="J698" s="131"/>
      <c r="K698" s="131"/>
      <c r="L698" s="131"/>
      <c r="M698" s="131"/>
      <c r="N698" s="131"/>
      <c r="O698" s="142"/>
      <c r="P698" s="142"/>
      <c r="Q698" s="142"/>
      <c r="R698" s="142"/>
      <c r="S698" s="142"/>
      <c r="T698" s="142"/>
      <c r="U698" s="142"/>
      <c r="V698" s="142"/>
      <c r="W698" s="142"/>
      <c r="X698" s="142"/>
      <c r="Y698" s="142"/>
      <c r="Z698" s="142"/>
      <c r="AA698" s="131"/>
      <c r="AB698" s="142"/>
      <c r="AC698" s="142"/>
      <c r="AD698" s="142"/>
      <c r="AE698" s="142"/>
      <c r="AF698" s="142"/>
      <c r="AG698" s="142"/>
      <c r="AH698" s="142"/>
      <c r="AI698" s="142"/>
      <c r="AJ698" s="142"/>
      <c r="AK698" s="142"/>
      <c r="AL698" s="142"/>
      <c r="AM698" s="142"/>
      <c r="AN698" s="142"/>
      <c r="AO698" s="142"/>
      <c r="AP698" s="142"/>
    </row>
    <row r="699" ht="13.5" customHeight="1">
      <c r="A699" s="142"/>
      <c r="B699" s="142"/>
      <c r="C699" s="142"/>
      <c r="D699" s="142"/>
      <c r="E699" s="132"/>
      <c r="F699" s="131"/>
      <c r="G699" s="131"/>
      <c r="H699" s="131"/>
      <c r="I699" s="131"/>
      <c r="J699" s="131"/>
      <c r="K699" s="131"/>
      <c r="L699" s="131"/>
      <c r="M699" s="131"/>
      <c r="N699" s="131"/>
      <c r="O699" s="142"/>
      <c r="P699" s="142"/>
      <c r="Q699" s="142"/>
      <c r="R699" s="142"/>
      <c r="S699" s="142"/>
      <c r="T699" s="142"/>
      <c r="U699" s="142"/>
      <c r="V699" s="142"/>
      <c r="W699" s="142"/>
      <c r="X699" s="142"/>
      <c r="Y699" s="142"/>
      <c r="Z699" s="142"/>
      <c r="AA699" s="131"/>
      <c r="AB699" s="142"/>
      <c r="AC699" s="142"/>
      <c r="AD699" s="142"/>
      <c r="AE699" s="142"/>
      <c r="AF699" s="142"/>
      <c r="AG699" s="142"/>
      <c r="AH699" s="142"/>
      <c r="AI699" s="142"/>
      <c r="AJ699" s="142"/>
      <c r="AK699" s="142"/>
      <c r="AL699" s="142"/>
      <c r="AM699" s="142"/>
      <c r="AN699" s="142"/>
      <c r="AO699" s="142"/>
      <c r="AP699" s="142"/>
    </row>
    <row r="700" ht="13.5" customHeight="1">
      <c r="A700" s="142"/>
      <c r="B700" s="142"/>
      <c r="C700" s="142"/>
      <c r="D700" s="142"/>
      <c r="E700" s="132"/>
      <c r="F700" s="131"/>
      <c r="G700" s="131"/>
      <c r="H700" s="131"/>
      <c r="I700" s="131"/>
      <c r="J700" s="131"/>
      <c r="K700" s="131"/>
      <c r="L700" s="131"/>
      <c r="M700" s="131"/>
      <c r="N700" s="131"/>
      <c r="O700" s="142"/>
      <c r="P700" s="142"/>
      <c r="Q700" s="142"/>
      <c r="R700" s="142"/>
      <c r="S700" s="142"/>
      <c r="T700" s="142"/>
      <c r="U700" s="142"/>
      <c r="V700" s="142"/>
      <c r="W700" s="142"/>
      <c r="X700" s="142"/>
      <c r="Y700" s="142"/>
      <c r="Z700" s="142"/>
      <c r="AA700" s="131"/>
      <c r="AB700" s="142"/>
      <c r="AC700" s="142"/>
      <c r="AD700" s="142"/>
      <c r="AE700" s="142"/>
      <c r="AF700" s="142"/>
      <c r="AG700" s="142"/>
      <c r="AH700" s="142"/>
      <c r="AI700" s="142"/>
      <c r="AJ700" s="142"/>
      <c r="AK700" s="142"/>
      <c r="AL700" s="142"/>
      <c r="AM700" s="142"/>
      <c r="AN700" s="142"/>
      <c r="AO700" s="142"/>
      <c r="AP700" s="142"/>
    </row>
    <row r="701" ht="13.5" customHeight="1">
      <c r="A701" s="142"/>
      <c r="B701" s="142"/>
      <c r="C701" s="142"/>
      <c r="D701" s="142"/>
      <c r="E701" s="132"/>
      <c r="F701" s="131"/>
      <c r="G701" s="131"/>
      <c r="H701" s="131"/>
      <c r="I701" s="131"/>
      <c r="J701" s="131"/>
      <c r="K701" s="131"/>
      <c r="L701" s="131"/>
      <c r="M701" s="131"/>
      <c r="N701" s="131"/>
      <c r="O701" s="142"/>
      <c r="P701" s="142"/>
      <c r="Q701" s="142"/>
      <c r="R701" s="142"/>
      <c r="S701" s="142"/>
      <c r="T701" s="142"/>
      <c r="U701" s="142"/>
      <c r="V701" s="142"/>
      <c r="W701" s="142"/>
      <c r="X701" s="142"/>
      <c r="Y701" s="142"/>
      <c r="Z701" s="142"/>
      <c r="AA701" s="131"/>
      <c r="AB701" s="142"/>
      <c r="AC701" s="142"/>
      <c r="AD701" s="142"/>
      <c r="AE701" s="142"/>
      <c r="AF701" s="142"/>
      <c r="AG701" s="142"/>
      <c r="AH701" s="142"/>
      <c r="AI701" s="142"/>
      <c r="AJ701" s="142"/>
      <c r="AK701" s="142"/>
      <c r="AL701" s="142"/>
      <c r="AM701" s="142"/>
      <c r="AN701" s="142"/>
      <c r="AO701" s="142"/>
      <c r="AP701" s="142"/>
    </row>
    <row r="702" ht="13.5" customHeight="1">
      <c r="A702" s="142"/>
      <c r="B702" s="142"/>
      <c r="C702" s="142"/>
      <c r="D702" s="142"/>
      <c r="E702" s="132"/>
      <c r="F702" s="131"/>
      <c r="G702" s="131"/>
      <c r="H702" s="131"/>
      <c r="I702" s="131"/>
      <c r="J702" s="131"/>
      <c r="K702" s="131"/>
      <c r="L702" s="131"/>
      <c r="M702" s="131"/>
      <c r="N702" s="131"/>
      <c r="O702" s="142"/>
      <c r="P702" s="142"/>
      <c r="Q702" s="142"/>
      <c r="R702" s="142"/>
      <c r="S702" s="142"/>
      <c r="T702" s="142"/>
      <c r="U702" s="142"/>
      <c r="V702" s="142"/>
      <c r="W702" s="142"/>
      <c r="X702" s="142"/>
      <c r="Y702" s="142"/>
      <c r="Z702" s="142"/>
      <c r="AA702" s="131"/>
      <c r="AB702" s="142"/>
      <c r="AC702" s="142"/>
      <c r="AD702" s="142"/>
      <c r="AE702" s="142"/>
      <c r="AF702" s="142"/>
      <c r="AG702" s="142"/>
      <c r="AH702" s="142"/>
      <c r="AI702" s="142"/>
      <c r="AJ702" s="142"/>
      <c r="AK702" s="142"/>
      <c r="AL702" s="142"/>
      <c r="AM702" s="142"/>
      <c r="AN702" s="142"/>
      <c r="AO702" s="142"/>
      <c r="AP702" s="142"/>
    </row>
    <row r="703" ht="13.5" customHeight="1">
      <c r="A703" s="142"/>
      <c r="B703" s="142"/>
      <c r="C703" s="142"/>
      <c r="D703" s="142"/>
      <c r="E703" s="132"/>
      <c r="F703" s="131"/>
      <c r="G703" s="131"/>
      <c r="H703" s="131"/>
      <c r="I703" s="131"/>
      <c r="J703" s="131"/>
      <c r="K703" s="131"/>
      <c r="L703" s="131"/>
      <c r="M703" s="131"/>
      <c r="N703" s="131"/>
      <c r="O703" s="142"/>
      <c r="P703" s="142"/>
      <c r="Q703" s="142"/>
      <c r="R703" s="142"/>
      <c r="S703" s="142"/>
      <c r="T703" s="142"/>
      <c r="U703" s="142"/>
      <c r="V703" s="142"/>
      <c r="W703" s="142"/>
      <c r="X703" s="142"/>
      <c r="Y703" s="142"/>
      <c r="Z703" s="142"/>
      <c r="AA703" s="131"/>
      <c r="AB703" s="142"/>
      <c r="AC703" s="142"/>
      <c r="AD703" s="142"/>
      <c r="AE703" s="142"/>
      <c r="AF703" s="142"/>
      <c r="AG703" s="142"/>
      <c r="AH703" s="142"/>
      <c r="AI703" s="142"/>
      <c r="AJ703" s="142"/>
      <c r="AK703" s="142"/>
      <c r="AL703" s="142"/>
      <c r="AM703" s="142"/>
      <c r="AN703" s="142"/>
      <c r="AO703" s="142"/>
      <c r="AP703" s="142"/>
    </row>
    <row r="704" ht="13.5" customHeight="1">
      <c r="A704" s="142"/>
      <c r="B704" s="142"/>
      <c r="C704" s="142"/>
      <c r="D704" s="142"/>
      <c r="E704" s="132"/>
      <c r="F704" s="131"/>
      <c r="G704" s="131"/>
      <c r="H704" s="131"/>
      <c r="I704" s="131"/>
      <c r="J704" s="131"/>
      <c r="K704" s="131"/>
      <c r="L704" s="131"/>
      <c r="M704" s="131"/>
      <c r="N704" s="131"/>
      <c r="O704" s="142"/>
      <c r="P704" s="142"/>
      <c r="Q704" s="142"/>
      <c r="R704" s="142"/>
      <c r="S704" s="142"/>
      <c r="T704" s="142"/>
      <c r="U704" s="142"/>
      <c r="V704" s="142"/>
      <c r="W704" s="142"/>
      <c r="X704" s="142"/>
      <c r="Y704" s="142"/>
      <c r="Z704" s="142"/>
      <c r="AA704" s="131"/>
      <c r="AB704" s="142"/>
      <c r="AC704" s="142"/>
      <c r="AD704" s="142"/>
      <c r="AE704" s="142"/>
      <c r="AF704" s="142"/>
      <c r="AG704" s="142"/>
      <c r="AH704" s="142"/>
      <c r="AI704" s="142"/>
      <c r="AJ704" s="142"/>
      <c r="AK704" s="142"/>
      <c r="AL704" s="142"/>
      <c r="AM704" s="142"/>
      <c r="AN704" s="142"/>
      <c r="AO704" s="142"/>
      <c r="AP704" s="142"/>
    </row>
    <row r="705" ht="13.5" customHeight="1">
      <c r="A705" s="142"/>
      <c r="B705" s="142"/>
      <c r="C705" s="142"/>
      <c r="D705" s="142"/>
      <c r="E705" s="132"/>
      <c r="F705" s="131"/>
      <c r="G705" s="131"/>
      <c r="H705" s="131"/>
      <c r="I705" s="131"/>
      <c r="J705" s="131"/>
      <c r="K705" s="131"/>
      <c r="L705" s="131"/>
      <c r="M705" s="131"/>
      <c r="N705" s="131"/>
      <c r="O705" s="142"/>
      <c r="P705" s="142"/>
      <c r="Q705" s="142"/>
      <c r="R705" s="142"/>
      <c r="S705" s="142"/>
      <c r="T705" s="142"/>
      <c r="U705" s="142"/>
      <c r="V705" s="142"/>
      <c r="W705" s="142"/>
      <c r="X705" s="142"/>
      <c r="Y705" s="142"/>
      <c r="Z705" s="142"/>
      <c r="AA705" s="131"/>
      <c r="AB705" s="142"/>
      <c r="AC705" s="142"/>
      <c r="AD705" s="142"/>
      <c r="AE705" s="142"/>
      <c r="AF705" s="142"/>
      <c r="AG705" s="142"/>
      <c r="AH705" s="142"/>
      <c r="AI705" s="142"/>
      <c r="AJ705" s="142"/>
      <c r="AK705" s="142"/>
      <c r="AL705" s="142"/>
      <c r="AM705" s="142"/>
      <c r="AN705" s="142"/>
      <c r="AO705" s="142"/>
      <c r="AP705" s="142"/>
    </row>
    <row r="706" ht="13.5" customHeight="1">
      <c r="A706" s="142"/>
      <c r="B706" s="142"/>
      <c r="C706" s="142"/>
      <c r="D706" s="142"/>
      <c r="E706" s="132"/>
      <c r="F706" s="131"/>
      <c r="G706" s="131"/>
      <c r="H706" s="131"/>
      <c r="I706" s="131"/>
      <c r="J706" s="131"/>
      <c r="K706" s="131"/>
      <c r="L706" s="131"/>
      <c r="M706" s="131"/>
      <c r="N706" s="131"/>
      <c r="O706" s="142"/>
      <c r="P706" s="142"/>
      <c r="Q706" s="142"/>
      <c r="R706" s="142"/>
      <c r="S706" s="142"/>
      <c r="T706" s="142"/>
      <c r="U706" s="142"/>
      <c r="V706" s="142"/>
      <c r="W706" s="142"/>
      <c r="X706" s="142"/>
      <c r="Y706" s="142"/>
      <c r="Z706" s="142"/>
      <c r="AA706" s="131"/>
      <c r="AB706" s="142"/>
      <c r="AC706" s="142"/>
      <c r="AD706" s="142"/>
      <c r="AE706" s="142"/>
      <c r="AF706" s="142"/>
      <c r="AG706" s="142"/>
      <c r="AH706" s="142"/>
      <c r="AI706" s="142"/>
      <c r="AJ706" s="142"/>
      <c r="AK706" s="142"/>
      <c r="AL706" s="142"/>
      <c r="AM706" s="142"/>
      <c r="AN706" s="142"/>
      <c r="AO706" s="142"/>
      <c r="AP706" s="142"/>
    </row>
    <row r="707" ht="13.5" customHeight="1">
      <c r="A707" s="142"/>
      <c r="B707" s="142"/>
      <c r="C707" s="142"/>
      <c r="D707" s="142"/>
      <c r="E707" s="132"/>
      <c r="F707" s="131"/>
      <c r="G707" s="131"/>
      <c r="H707" s="131"/>
      <c r="I707" s="131"/>
      <c r="J707" s="131"/>
      <c r="K707" s="131"/>
      <c r="L707" s="131"/>
      <c r="M707" s="131"/>
      <c r="N707" s="131"/>
      <c r="O707" s="142"/>
      <c r="P707" s="142"/>
      <c r="Q707" s="142"/>
      <c r="R707" s="142"/>
      <c r="S707" s="142"/>
      <c r="T707" s="142"/>
      <c r="U707" s="142"/>
      <c r="V707" s="142"/>
      <c r="W707" s="142"/>
      <c r="X707" s="142"/>
      <c r="Y707" s="142"/>
      <c r="Z707" s="142"/>
      <c r="AA707" s="131"/>
      <c r="AB707" s="142"/>
      <c r="AC707" s="142"/>
      <c r="AD707" s="142"/>
      <c r="AE707" s="142"/>
      <c r="AF707" s="142"/>
      <c r="AG707" s="142"/>
      <c r="AH707" s="142"/>
      <c r="AI707" s="142"/>
      <c r="AJ707" s="142"/>
      <c r="AK707" s="142"/>
      <c r="AL707" s="142"/>
      <c r="AM707" s="142"/>
      <c r="AN707" s="142"/>
      <c r="AO707" s="142"/>
      <c r="AP707" s="142"/>
    </row>
    <row r="708" ht="13.5" customHeight="1">
      <c r="A708" s="142"/>
      <c r="B708" s="142"/>
      <c r="C708" s="142"/>
      <c r="D708" s="142"/>
      <c r="E708" s="132"/>
      <c r="F708" s="131"/>
      <c r="G708" s="131"/>
      <c r="H708" s="131"/>
      <c r="I708" s="131"/>
      <c r="J708" s="131"/>
      <c r="K708" s="131"/>
      <c r="L708" s="131"/>
      <c r="M708" s="131"/>
      <c r="N708" s="131"/>
      <c r="O708" s="142"/>
      <c r="P708" s="142"/>
      <c r="Q708" s="142"/>
      <c r="R708" s="142"/>
      <c r="S708" s="142"/>
      <c r="T708" s="142"/>
      <c r="U708" s="142"/>
      <c r="V708" s="142"/>
      <c r="W708" s="142"/>
      <c r="X708" s="142"/>
      <c r="Y708" s="142"/>
      <c r="Z708" s="142"/>
      <c r="AA708" s="131"/>
      <c r="AB708" s="142"/>
      <c r="AC708" s="142"/>
      <c r="AD708" s="142"/>
      <c r="AE708" s="142"/>
      <c r="AF708" s="142"/>
      <c r="AG708" s="142"/>
      <c r="AH708" s="142"/>
      <c r="AI708" s="142"/>
      <c r="AJ708" s="142"/>
      <c r="AK708" s="142"/>
      <c r="AL708" s="142"/>
      <c r="AM708" s="142"/>
      <c r="AN708" s="142"/>
      <c r="AO708" s="142"/>
      <c r="AP708" s="142"/>
    </row>
    <row r="709" ht="13.5" customHeight="1">
      <c r="A709" s="142"/>
      <c r="B709" s="142"/>
      <c r="C709" s="142"/>
      <c r="D709" s="142"/>
      <c r="E709" s="132"/>
      <c r="F709" s="131"/>
      <c r="G709" s="131"/>
      <c r="H709" s="131"/>
      <c r="I709" s="131"/>
      <c r="J709" s="131"/>
      <c r="K709" s="131"/>
      <c r="L709" s="131"/>
      <c r="M709" s="131"/>
      <c r="N709" s="131"/>
      <c r="O709" s="142"/>
      <c r="P709" s="142"/>
      <c r="Q709" s="142"/>
      <c r="R709" s="142"/>
      <c r="S709" s="142"/>
      <c r="T709" s="142"/>
      <c r="U709" s="142"/>
      <c r="V709" s="142"/>
      <c r="W709" s="142"/>
      <c r="X709" s="142"/>
      <c r="Y709" s="142"/>
      <c r="Z709" s="142"/>
      <c r="AA709" s="131"/>
      <c r="AB709" s="142"/>
      <c r="AC709" s="142"/>
      <c r="AD709" s="142"/>
      <c r="AE709" s="142"/>
      <c r="AF709" s="142"/>
      <c r="AG709" s="142"/>
      <c r="AH709" s="142"/>
      <c r="AI709" s="142"/>
      <c r="AJ709" s="142"/>
      <c r="AK709" s="142"/>
      <c r="AL709" s="142"/>
      <c r="AM709" s="142"/>
      <c r="AN709" s="142"/>
      <c r="AO709" s="142"/>
      <c r="AP709" s="142"/>
    </row>
    <row r="710" ht="13.5" customHeight="1">
      <c r="A710" s="142"/>
      <c r="B710" s="142"/>
      <c r="C710" s="142"/>
      <c r="D710" s="142"/>
      <c r="E710" s="132"/>
      <c r="F710" s="131"/>
      <c r="G710" s="131"/>
      <c r="H710" s="131"/>
      <c r="I710" s="131"/>
      <c r="J710" s="131"/>
      <c r="K710" s="131"/>
      <c r="L710" s="131"/>
      <c r="M710" s="131"/>
      <c r="N710" s="131"/>
      <c r="O710" s="142"/>
      <c r="P710" s="142"/>
      <c r="Q710" s="142"/>
      <c r="R710" s="142"/>
      <c r="S710" s="142"/>
      <c r="T710" s="142"/>
      <c r="U710" s="142"/>
      <c r="V710" s="142"/>
      <c r="W710" s="142"/>
      <c r="X710" s="142"/>
      <c r="Y710" s="142"/>
      <c r="Z710" s="142"/>
      <c r="AA710" s="131"/>
      <c r="AB710" s="142"/>
      <c r="AC710" s="142"/>
      <c r="AD710" s="142"/>
      <c r="AE710" s="142"/>
      <c r="AF710" s="142"/>
      <c r="AG710" s="142"/>
      <c r="AH710" s="142"/>
      <c r="AI710" s="142"/>
      <c r="AJ710" s="142"/>
      <c r="AK710" s="142"/>
      <c r="AL710" s="142"/>
      <c r="AM710" s="142"/>
      <c r="AN710" s="142"/>
      <c r="AO710" s="142"/>
      <c r="AP710" s="142"/>
    </row>
    <row r="711" ht="13.5" customHeight="1">
      <c r="A711" s="142"/>
      <c r="B711" s="142"/>
      <c r="C711" s="142"/>
      <c r="D711" s="142"/>
      <c r="E711" s="132"/>
      <c r="F711" s="131"/>
      <c r="G711" s="131"/>
      <c r="H711" s="131"/>
      <c r="I711" s="131"/>
      <c r="J711" s="131"/>
      <c r="K711" s="131"/>
      <c r="L711" s="131"/>
      <c r="M711" s="131"/>
      <c r="N711" s="131"/>
      <c r="O711" s="142"/>
      <c r="P711" s="142"/>
      <c r="Q711" s="142"/>
      <c r="R711" s="142"/>
      <c r="S711" s="142"/>
      <c r="T711" s="142"/>
      <c r="U711" s="142"/>
      <c r="V711" s="142"/>
      <c r="W711" s="142"/>
      <c r="X711" s="142"/>
      <c r="Y711" s="142"/>
      <c r="Z711" s="142"/>
      <c r="AA711" s="131"/>
      <c r="AB711" s="142"/>
      <c r="AC711" s="142"/>
      <c r="AD711" s="142"/>
      <c r="AE711" s="142"/>
      <c r="AF711" s="142"/>
      <c r="AG711" s="142"/>
      <c r="AH711" s="142"/>
      <c r="AI711" s="142"/>
      <c r="AJ711" s="142"/>
      <c r="AK711" s="142"/>
      <c r="AL711" s="142"/>
      <c r="AM711" s="142"/>
      <c r="AN711" s="142"/>
      <c r="AO711" s="142"/>
      <c r="AP711" s="142"/>
    </row>
    <row r="712" ht="13.5" customHeight="1">
      <c r="A712" s="142"/>
      <c r="B712" s="142"/>
      <c r="C712" s="142"/>
      <c r="D712" s="142"/>
      <c r="E712" s="132"/>
      <c r="F712" s="131"/>
      <c r="G712" s="131"/>
      <c r="H712" s="131"/>
      <c r="I712" s="131"/>
      <c r="J712" s="131"/>
      <c r="K712" s="131"/>
      <c r="L712" s="131"/>
      <c r="M712" s="131"/>
      <c r="N712" s="131"/>
      <c r="O712" s="142"/>
      <c r="P712" s="142"/>
      <c r="Q712" s="142"/>
      <c r="R712" s="142"/>
      <c r="S712" s="142"/>
      <c r="T712" s="142"/>
      <c r="U712" s="142"/>
      <c r="V712" s="142"/>
      <c r="W712" s="142"/>
      <c r="X712" s="142"/>
      <c r="Y712" s="142"/>
      <c r="Z712" s="142"/>
      <c r="AA712" s="131"/>
      <c r="AB712" s="142"/>
      <c r="AC712" s="142"/>
      <c r="AD712" s="142"/>
      <c r="AE712" s="142"/>
      <c r="AF712" s="142"/>
      <c r="AG712" s="142"/>
      <c r="AH712" s="142"/>
      <c r="AI712" s="142"/>
      <c r="AJ712" s="142"/>
      <c r="AK712" s="142"/>
      <c r="AL712" s="142"/>
      <c r="AM712" s="142"/>
      <c r="AN712" s="142"/>
      <c r="AO712" s="142"/>
      <c r="AP712" s="142"/>
    </row>
    <row r="713" ht="13.5" customHeight="1">
      <c r="A713" s="142"/>
      <c r="B713" s="142"/>
      <c r="C713" s="142"/>
      <c r="D713" s="142"/>
      <c r="E713" s="132"/>
      <c r="F713" s="131"/>
      <c r="G713" s="131"/>
      <c r="H713" s="131"/>
      <c r="I713" s="131"/>
      <c r="J713" s="131"/>
      <c r="K713" s="131"/>
      <c r="L713" s="131"/>
      <c r="M713" s="131"/>
      <c r="N713" s="131"/>
      <c r="O713" s="142"/>
      <c r="P713" s="142"/>
      <c r="Q713" s="142"/>
      <c r="R713" s="142"/>
      <c r="S713" s="142"/>
      <c r="T713" s="142"/>
      <c r="U713" s="142"/>
      <c r="V713" s="142"/>
      <c r="W713" s="142"/>
      <c r="X713" s="142"/>
      <c r="Y713" s="142"/>
      <c r="Z713" s="142"/>
      <c r="AA713" s="131"/>
      <c r="AB713" s="142"/>
      <c r="AC713" s="142"/>
      <c r="AD713" s="142"/>
      <c r="AE713" s="142"/>
      <c r="AF713" s="142"/>
      <c r="AG713" s="142"/>
      <c r="AH713" s="142"/>
      <c r="AI713" s="142"/>
      <c r="AJ713" s="142"/>
      <c r="AK713" s="142"/>
      <c r="AL713" s="142"/>
      <c r="AM713" s="142"/>
      <c r="AN713" s="142"/>
      <c r="AO713" s="142"/>
      <c r="AP713" s="142"/>
    </row>
    <row r="714" ht="13.5" customHeight="1">
      <c r="A714" s="142"/>
      <c r="B714" s="142"/>
      <c r="C714" s="142"/>
      <c r="D714" s="142"/>
      <c r="E714" s="132"/>
      <c r="F714" s="131"/>
      <c r="G714" s="131"/>
      <c r="H714" s="131"/>
      <c r="I714" s="131"/>
      <c r="J714" s="131"/>
      <c r="K714" s="131"/>
      <c r="L714" s="131"/>
      <c r="M714" s="131"/>
      <c r="N714" s="131"/>
      <c r="O714" s="142"/>
      <c r="P714" s="142"/>
      <c r="Q714" s="142"/>
      <c r="R714" s="142"/>
      <c r="S714" s="142"/>
      <c r="T714" s="142"/>
      <c r="U714" s="142"/>
      <c r="V714" s="142"/>
      <c r="W714" s="142"/>
      <c r="X714" s="142"/>
      <c r="Y714" s="142"/>
      <c r="Z714" s="142"/>
      <c r="AA714" s="131"/>
      <c r="AB714" s="142"/>
      <c r="AC714" s="142"/>
      <c r="AD714" s="142"/>
      <c r="AE714" s="142"/>
      <c r="AF714" s="142"/>
      <c r="AG714" s="142"/>
      <c r="AH714" s="142"/>
      <c r="AI714" s="142"/>
      <c r="AJ714" s="142"/>
      <c r="AK714" s="142"/>
      <c r="AL714" s="142"/>
      <c r="AM714" s="142"/>
      <c r="AN714" s="142"/>
      <c r="AO714" s="142"/>
      <c r="AP714" s="142"/>
    </row>
    <row r="715" ht="13.5" customHeight="1">
      <c r="A715" s="142"/>
      <c r="B715" s="142"/>
      <c r="C715" s="142"/>
      <c r="D715" s="142"/>
      <c r="E715" s="132"/>
      <c r="F715" s="131"/>
      <c r="G715" s="131"/>
      <c r="H715" s="131"/>
      <c r="I715" s="131"/>
      <c r="J715" s="131"/>
      <c r="K715" s="131"/>
      <c r="L715" s="131"/>
      <c r="M715" s="131"/>
      <c r="N715" s="131"/>
      <c r="O715" s="142"/>
      <c r="P715" s="142"/>
      <c r="Q715" s="142"/>
      <c r="R715" s="142"/>
      <c r="S715" s="142"/>
      <c r="T715" s="142"/>
      <c r="U715" s="142"/>
      <c r="V715" s="142"/>
      <c r="W715" s="142"/>
      <c r="X715" s="142"/>
      <c r="Y715" s="142"/>
      <c r="Z715" s="142"/>
      <c r="AA715" s="131"/>
      <c r="AB715" s="142"/>
      <c r="AC715" s="142"/>
      <c r="AD715" s="142"/>
      <c r="AE715" s="142"/>
      <c r="AF715" s="142"/>
      <c r="AG715" s="142"/>
      <c r="AH715" s="142"/>
      <c r="AI715" s="142"/>
      <c r="AJ715" s="142"/>
      <c r="AK715" s="142"/>
      <c r="AL715" s="142"/>
      <c r="AM715" s="142"/>
      <c r="AN715" s="142"/>
      <c r="AO715" s="142"/>
      <c r="AP715" s="142"/>
    </row>
    <row r="716" ht="13.5" customHeight="1">
      <c r="A716" s="142"/>
      <c r="B716" s="142"/>
      <c r="C716" s="142"/>
      <c r="D716" s="142"/>
      <c r="E716" s="132"/>
      <c r="F716" s="131"/>
      <c r="G716" s="131"/>
      <c r="H716" s="131"/>
      <c r="I716" s="131"/>
      <c r="J716" s="131"/>
      <c r="K716" s="131"/>
      <c r="L716" s="131"/>
      <c r="M716" s="131"/>
      <c r="N716" s="131"/>
      <c r="O716" s="142"/>
      <c r="P716" s="142"/>
      <c r="Q716" s="142"/>
      <c r="R716" s="142"/>
      <c r="S716" s="142"/>
      <c r="T716" s="142"/>
      <c r="U716" s="142"/>
      <c r="V716" s="142"/>
      <c r="W716" s="142"/>
      <c r="X716" s="142"/>
      <c r="Y716" s="142"/>
      <c r="Z716" s="142"/>
      <c r="AA716" s="131"/>
      <c r="AB716" s="142"/>
      <c r="AC716" s="142"/>
      <c r="AD716" s="142"/>
      <c r="AE716" s="142"/>
      <c r="AF716" s="142"/>
      <c r="AG716" s="142"/>
      <c r="AH716" s="142"/>
      <c r="AI716" s="142"/>
      <c r="AJ716" s="142"/>
      <c r="AK716" s="142"/>
      <c r="AL716" s="142"/>
      <c r="AM716" s="142"/>
      <c r="AN716" s="142"/>
      <c r="AO716" s="142"/>
      <c r="AP716" s="142"/>
    </row>
    <row r="717" ht="13.5" customHeight="1">
      <c r="A717" s="142"/>
      <c r="B717" s="142"/>
      <c r="C717" s="142"/>
      <c r="D717" s="142"/>
      <c r="E717" s="132"/>
      <c r="F717" s="131"/>
      <c r="G717" s="131"/>
      <c r="H717" s="131"/>
      <c r="I717" s="131"/>
      <c r="J717" s="131"/>
      <c r="K717" s="131"/>
      <c r="L717" s="131"/>
      <c r="M717" s="131"/>
      <c r="N717" s="131"/>
      <c r="O717" s="142"/>
      <c r="P717" s="142"/>
      <c r="Q717" s="142"/>
      <c r="R717" s="142"/>
      <c r="S717" s="142"/>
      <c r="T717" s="142"/>
      <c r="U717" s="142"/>
      <c r="V717" s="142"/>
      <c r="W717" s="142"/>
      <c r="X717" s="142"/>
      <c r="Y717" s="142"/>
      <c r="Z717" s="142"/>
      <c r="AA717" s="131"/>
      <c r="AB717" s="142"/>
      <c r="AC717" s="142"/>
      <c r="AD717" s="142"/>
      <c r="AE717" s="142"/>
      <c r="AF717" s="142"/>
      <c r="AG717" s="142"/>
      <c r="AH717" s="142"/>
      <c r="AI717" s="142"/>
      <c r="AJ717" s="142"/>
      <c r="AK717" s="142"/>
      <c r="AL717" s="142"/>
      <c r="AM717" s="142"/>
      <c r="AN717" s="142"/>
      <c r="AO717" s="142"/>
      <c r="AP717" s="142"/>
    </row>
    <row r="718" ht="13.5" customHeight="1">
      <c r="A718" s="142"/>
      <c r="B718" s="142"/>
      <c r="C718" s="142"/>
      <c r="D718" s="142"/>
      <c r="E718" s="132"/>
      <c r="F718" s="131"/>
      <c r="G718" s="131"/>
      <c r="H718" s="131"/>
      <c r="I718" s="131"/>
      <c r="J718" s="131"/>
      <c r="K718" s="131"/>
      <c r="L718" s="131"/>
      <c r="M718" s="131"/>
      <c r="N718" s="131"/>
      <c r="O718" s="142"/>
      <c r="P718" s="142"/>
      <c r="Q718" s="142"/>
      <c r="R718" s="142"/>
      <c r="S718" s="142"/>
      <c r="T718" s="142"/>
      <c r="U718" s="142"/>
      <c r="V718" s="142"/>
      <c r="W718" s="142"/>
      <c r="X718" s="142"/>
      <c r="Y718" s="142"/>
      <c r="Z718" s="142"/>
      <c r="AA718" s="131"/>
      <c r="AB718" s="142"/>
      <c r="AC718" s="142"/>
      <c r="AD718" s="142"/>
      <c r="AE718" s="142"/>
      <c r="AF718" s="142"/>
      <c r="AG718" s="142"/>
      <c r="AH718" s="142"/>
      <c r="AI718" s="142"/>
      <c r="AJ718" s="142"/>
      <c r="AK718" s="142"/>
      <c r="AL718" s="142"/>
      <c r="AM718" s="142"/>
      <c r="AN718" s="142"/>
      <c r="AO718" s="142"/>
      <c r="AP718" s="142"/>
    </row>
    <row r="719" ht="13.5" customHeight="1">
      <c r="A719" s="142"/>
      <c r="B719" s="142"/>
      <c r="C719" s="142"/>
      <c r="D719" s="142"/>
      <c r="E719" s="132"/>
      <c r="F719" s="131"/>
      <c r="G719" s="131"/>
      <c r="H719" s="131"/>
      <c r="I719" s="131"/>
      <c r="J719" s="131"/>
      <c r="K719" s="131"/>
      <c r="L719" s="131"/>
      <c r="M719" s="131"/>
      <c r="N719" s="131"/>
      <c r="O719" s="142"/>
      <c r="P719" s="142"/>
      <c r="Q719" s="142"/>
      <c r="R719" s="142"/>
      <c r="S719" s="142"/>
      <c r="T719" s="142"/>
      <c r="U719" s="142"/>
      <c r="V719" s="142"/>
      <c r="W719" s="142"/>
      <c r="X719" s="142"/>
      <c r="Y719" s="142"/>
      <c r="Z719" s="142"/>
      <c r="AA719" s="131"/>
      <c r="AB719" s="142"/>
      <c r="AC719" s="142"/>
      <c r="AD719" s="142"/>
      <c r="AE719" s="142"/>
      <c r="AF719" s="142"/>
      <c r="AG719" s="142"/>
      <c r="AH719" s="142"/>
      <c r="AI719" s="142"/>
      <c r="AJ719" s="142"/>
      <c r="AK719" s="142"/>
      <c r="AL719" s="142"/>
      <c r="AM719" s="142"/>
      <c r="AN719" s="142"/>
      <c r="AO719" s="142"/>
      <c r="AP719" s="142"/>
    </row>
    <row r="720" ht="13.5" customHeight="1">
      <c r="A720" s="142"/>
      <c r="B720" s="142"/>
      <c r="C720" s="142"/>
      <c r="D720" s="142"/>
      <c r="E720" s="132"/>
      <c r="F720" s="131"/>
      <c r="G720" s="131"/>
      <c r="H720" s="131"/>
      <c r="I720" s="131"/>
      <c r="J720" s="131"/>
      <c r="K720" s="131"/>
      <c r="L720" s="131"/>
      <c r="M720" s="131"/>
      <c r="N720" s="131"/>
      <c r="O720" s="142"/>
      <c r="P720" s="142"/>
      <c r="Q720" s="142"/>
      <c r="R720" s="142"/>
      <c r="S720" s="142"/>
      <c r="T720" s="142"/>
      <c r="U720" s="142"/>
      <c r="V720" s="142"/>
      <c r="W720" s="142"/>
      <c r="X720" s="142"/>
      <c r="Y720" s="142"/>
      <c r="Z720" s="142"/>
      <c r="AA720" s="131"/>
      <c r="AB720" s="142"/>
      <c r="AC720" s="142"/>
      <c r="AD720" s="142"/>
      <c r="AE720" s="142"/>
      <c r="AF720" s="142"/>
      <c r="AG720" s="142"/>
      <c r="AH720" s="142"/>
      <c r="AI720" s="142"/>
      <c r="AJ720" s="142"/>
      <c r="AK720" s="142"/>
      <c r="AL720" s="142"/>
      <c r="AM720" s="142"/>
      <c r="AN720" s="142"/>
      <c r="AO720" s="142"/>
      <c r="AP720" s="142"/>
    </row>
    <row r="721" ht="13.5" customHeight="1">
      <c r="A721" s="142"/>
      <c r="B721" s="142"/>
      <c r="C721" s="142"/>
      <c r="D721" s="142"/>
      <c r="E721" s="132"/>
      <c r="F721" s="131"/>
      <c r="G721" s="131"/>
      <c r="H721" s="131"/>
      <c r="I721" s="131"/>
      <c r="J721" s="131"/>
      <c r="K721" s="131"/>
      <c r="L721" s="131"/>
      <c r="M721" s="131"/>
      <c r="N721" s="131"/>
      <c r="O721" s="142"/>
      <c r="P721" s="142"/>
      <c r="Q721" s="142"/>
      <c r="R721" s="142"/>
      <c r="S721" s="142"/>
      <c r="T721" s="142"/>
      <c r="U721" s="142"/>
      <c r="V721" s="142"/>
      <c r="W721" s="142"/>
      <c r="X721" s="142"/>
      <c r="Y721" s="142"/>
      <c r="Z721" s="142"/>
      <c r="AA721" s="131"/>
      <c r="AB721" s="142"/>
      <c r="AC721" s="142"/>
      <c r="AD721" s="142"/>
      <c r="AE721" s="142"/>
      <c r="AF721" s="142"/>
      <c r="AG721" s="142"/>
      <c r="AH721" s="142"/>
      <c r="AI721" s="142"/>
      <c r="AJ721" s="142"/>
      <c r="AK721" s="142"/>
      <c r="AL721" s="142"/>
      <c r="AM721" s="142"/>
      <c r="AN721" s="142"/>
      <c r="AO721" s="142"/>
      <c r="AP721" s="142"/>
    </row>
    <row r="722" ht="13.5" customHeight="1">
      <c r="A722" s="142"/>
      <c r="B722" s="142"/>
      <c r="C722" s="142"/>
      <c r="D722" s="142"/>
      <c r="E722" s="132"/>
      <c r="F722" s="131"/>
      <c r="G722" s="131"/>
      <c r="H722" s="131"/>
      <c r="I722" s="131"/>
      <c r="J722" s="131"/>
      <c r="K722" s="131"/>
      <c r="L722" s="131"/>
      <c r="M722" s="131"/>
      <c r="N722" s="131"/>
      <c r="O722" s="142"/>
      <c r="P722" s="142"/>
      <c r="Q722" s="142"/>
      <c r="R722" s="142"/>
      <c r="S722" s="142"/>
      <c r="T722" s="142"/>
      <c r="U722" s="142"/>
      <c r="V722" s="142"/>
      <c r="W722" s="142"/>
      <c r="X722" s="142"/>
      <c r="Y722" s="142"/>
      <c r="Z722" s="142"/>
      <c r="AA722" s="131"/>
      <c r="AB722" s="142"/>
      <c r="AC722" s="142"/>
      <c r="AD722" s="142"/>
      <c r="AE722" s="142"/>
      <c r="AF722" s="142"/>
      <c r="AG722" s="142"/>
      <c r="AH722" s="142"/>
      <c r="AI722" s="142"/>
      <c r="AJ722" s="142"/>
      <c r="AK722" s="142"/>
      <c r="AL722" s="142"/>
      <c r="AM722" s="142"/>
      <c r="AN722" s="142"/>
      <c r="AO722" s="142"/>
      <c r="AP722" s="142"/>
    </row>
    <row r="723" ht="13.5" customHeight="1">
      <c r="A723" s="142"/>
      <c r="B723" s="142"/>
      <c r="C723" s="142"/>
      <c r="D723" s="142"/>
      <c r="E723" s="132"/>
      <c r="F723" s="131"/>
      <c r="G723" s="131"/>
      <c r="H723" s="131"/>
      <c r="I723" s="131"/>
      <c r="J723" s="131"/>
      <c r="K723" s="131"/>
      <c r="L723" s="131"/>
      <c r="M723" s="131"/>
      <c r="N723" s="131"/>
      <c r="O723" s="142"/>
      <c r="P723" s="142"/>
      <c r="Q723" s="142"/>
      <c r="R723" s="142"/>
      <c r="S723" s="142"/>
      <c r="T723" s="142"/>
      <c r="U723" s="142"/>
      <c r="V723" s="142"/>
      <c r="W723" s="142"/>
      <c r="X723" s="142"/>
      <c r="Y723" s="142"/>
      <c r="Z723" s="142"/>
      <c r="AA723" s="131"/>
      <c r="AB723" s="142"/>
      <c r="AC723" s="142"/>
      <c r="AD723" s="142"/>
      <c r="AE723" s="142"/>
      <c r="AF723" s="142"/>
      <c r="AG723" s="142"/>
      <c r="AH723" s="142"/>
      <c r="AI723" s="142"/>
      <c r="AJ723" s="142"/>
      <c r="AK723" s="142"/>
      <c r="AL723" s="142"/>
      <c r="AM723" s="142"/>
      <c r="AN723" s="142"/>
      <c r="AO723" s="142"/>
      <c r="AP723" s="142"/>
    </row>
    <row r="724" ht="13.5" customHeight="1">
      <c r="A724" s="142"/>
      <c r="B724" s="142"/>
      <c r="C724" s="142"/>
      <c r="D724" s="142"/>
      <c r="E724" s="132"/>
      <c r="F724" s="131"/>
      <c r="G724" s="131"/>
      <c r="H724" s="131"/>
      <c r="I724" s="131"/>
      <c r="J724" s="131"/>
      <c r="K724" s="131"/>
      <c r="L724" s="131"/>
      <c r="M724" s="131"/>
      <c r="N724" s="131"/>
      <c r="O724" s="142"/>
      <c r="P724" s="142"/>
      <c r="Q724" s="142"/>
      <c r="R724" s="142"/>
      <c r="S724" s="142"/>
      <c r="T724" s="142"/>
      <c r="U724" s="142"/>
      <c r="V724" s="142"/>
      <c r="W724" s="142"/>
      <c r="X724" s="142"/>
      <c r="Y724" s="142"/>
      <c r="Z724" s="142"/>
      <c r="AA724" s="131"/>
      <c r="AB724" s="142"/>
      <c r="AC724" s="142"/>
      <c r="AD724" s="142"/>
      <c r="AE724" s="142"/>
      <c r="AF724" s="142"/>
      <c r="AG724" s="142"/>
      <c r="AH724" s="142"/>
      <c r="AI724" s="142"/>
      <c r="AJ724" s="142"/>
      <c r="AK724" s="142"/>
      <c r="AL724" s="142"/>
      <c r="AM724" s="142"/>
      <c r="AN724" s="142"/>
      <c r="AO724" s="142"/>
      <c r="AP724" s="142"/>
    </row>
    <row r="725" ht="13.5" customHeight="1">
      <c r="A725" s="142"/>
      <c r="B725" s="142"/>
      <c r="C725" s="142"/>
      <c r="D725" s="142"/>
      <c r="E725" s="132"/>
      <c r="F725" s="131"/>
      <c r="G725" s="131"/>
      <c r="H725" s="131"/>
      <c r="I725" s="131"/>
      <c r="J725" s="131"/>
      <c r="K725" s="131"/>
      <c r="L725" s="131"/>
      <c r="M725" s="131"/>
      <c r="N725" s="131"/>
      <c r="O725" s="142"/>
      <c r="P725" s="142"/>
      <c r="Q725" s="142"/>
      <c r="R725" s="142"/>
      <c r="S725" s="142"/>
      <c r="T725" s="142"/>
      <c r="U725" s="142"/>
      <c r="V725" s="142"/>
      <c r="W725" s="142"/>
      <c r="X725" s="142"/>
      <c r="Y725" s="142"/>
      <c r="Z725" s="142"/>
      <c r="AA725" s="131"/>
      <c r="AB725" s="142"/>
      <c r="AC725" s="142"/>
      <c r="AD725" s="142"/>
      <c r="AE725" s="142"/>
      <c r="AF725" s="142"/>
      <c r="AG725" s="142"/>
      <c r="AH725" s="142"/>
      <c r="AI725" s="142"/>
      <c r="AJ725" s="142"/>
      <c r="AK725" s="142"/>
      <c r="AL725" s="142"/>
      <c r="AM725" s="142"/>
      <c r="AN725" s="142"/>
      <c r="AO725" s="142"/>
      <c r="AP725" s="142"/>
    </row>
    <row r="726" ht="13.5" customHeight="1">
      <c r="A726" s="142"/>
      <c r="B726" s="142"/>
      <c r="C726" s="142"/>
      <c r="D726" s="142"/>
      <c r="E726" s="132"/>
      <c r="F726" s="131"/>
      <c r="G726" s="131"/>
      <c r="H726" s="131"/>
      <c r="I726" s="131"/>
      <c r="J726" s="131"/>
      <c r="K726" s="131"/>
      <c r="L726" s="131"/>
      <c r="M726" s="131"/>
      <c r="N726" s="131"/>
      <c r="O726" s="142"/>
      <c r="P726" s="142"/>
      <c r="Q726" s="142"/>
      <c r="R726" s="142"/>
      <c r="S726" s="142"/>
      <c r="T726" s="142"/>
      <c r="U726" s="142"/>
      <c r="V726" s="142"/>
      <c r="W726" s="142"/>
      <c r="X726" s="142"/>
      <c r="Y726" s="142"/>
      <c r="Z726" s="142"/>
      <c r="AA726" s="131"/>
      <c r="AB726" s="142"/>
      <c r="AC726" s="142"/>
      <c r="AD726" s="142"/>
      <c r="AE726" s="142"/>
      <c r="AF726" s="142"/>
      <c r="AG726" s="142"/>
      <c r="AH726" s="142"/>
      <c r="AI726" s="142"/>
      <c r="AJ726" s="142"/>
      <c r="AK726" s="142"/>
      <c r="AL726" s="142"/>
      <c r="AM726" s="142"/>
      <c r="AN726" s="142"/>
      <c r="AO726" s="142"/>
      <c r="AP726" s="142"/>
    </row>
    <row r="727" ht="13.5" customHeight="1">
      <c r="A727" s="142"/>
      <c r="B727" s="142"/>
      <c r="C727" s="142"/>
      <c r="D727" s="142"/>
      <c r="E727" s="132"/>
      <c r="F727" s="131"/>
      <c r="G727" s="131"/>
      <c r="H727" s="131"/>
      <c r="I727" s="131"/>
      <c r="J727" s="131"/>
      <c r="K727" s="131"/>
      <c r="L727" s="131"/>
      <c r="M727" s="131"/>
      <c r="N727" s="131"/>
      <c r="O727" s="142"/>
      <c r="P727" s="142"/>
      <c r="Q727" s="142"/>
      <c r="R727" s="142"/>
      <c r="S727" s="142"/>
      <c r="T727" s="142"/>
      <c r="U727" s="142"/>
      <c r="V727" s="142"/>
      <c r="W727" s="142"/>
      <c r="X727" s="142"/>
      <c r="Y727" s="142"/>
      <c r="Z727" s="142"/>
      <c r="AA727" s="131"/>
      <c r="AB727" s="142"/>
      <c r="AC727" s="142"/>
      <c r="AD727" s="142"/>
      <c r="AE727" s="142"/>
      <c r="AF727" s="142"/>
      <c r="AG727" s="142"/>
      <c r="AH727" s="142"/>
      <c r="AI727" s="142"/>
      <c r="AJ727" s="142"/>
      <c r="AK727" s="142"/>
      <c r="AL727" s="142"/>
      <c r="AM727" s="142"/>
      <c r="AN727" s="142"/>
      <c r="AO727" s="142"/>
      <c r="AP727" s="142"/>
    </row>
    <row r="728" ht="13.5" customHeight="1">
      <c r="A728" s="142"/>
      <c r="B728" s="142"/>
      <c r="C728" s="142"/>
      <c r="D728" s="142"/>
      <c r="E728" s="132"/>
      <c r="F728" s="131"/>
      <c r="G728" s="131"/>
      <c r="H728" s="131"/>
      <c r="I728" s="131"/>
      <c r="J728" s="131"/>
      <c r="K728" s="131"/>
      <c r="L728" s="131"/>
      <c r="M728" s="131"/>
      <c r="N728" s="131"/>
      <c r="O728" s="142"/>
      <c r="P728" s="142"/>
      <c r="Q728" s="142"/>
      <c r="R728" s="142"/>
      <c r="S728" s="142"/>
      <c r="T728" s="142"/>
      <c r="U728" s="142"/>
      <c r="V728" s="142"/>
      <c r="W728" s="142"/>
      <c r="X728" s="142"/>
      <c r="Y728" s="142"/>
      <c r="Z728" s="142"/>
      <c r="AA728" s="131"/>
      <c r="AB728" s="142"/>
      <c r="AC728" s="142"/>
      <c r="AD728" s="142"/>
      <c r="AE728" s="142"/>
      <c r="AF728" s="142"/>
      <c r="AG728" s="142"/>
      <c r="AH728" s="142"/>
      <c r="AI728" s="142"/>
      <c r="AJ728" s="142"/>
      <c r="AK728" s="142"/>
      <c r="AL728" s="142"/>
      <c r="AM728" s="142"/>
      <c r="AN728" s="142"/>
      <c r="AO728" s="142"/>
      <c r="AP728" s="142"/>
    </row>
    <row r="729" ht="13.5" customHeight="1">
      <c r="A729" s="142"/>
      <c r="B729" s="142"/>
      <c r="C729" s="142"/>
      <c r="D729" s="142"/>
      <c r="E729" s="132"/>
      <c r="F729" s="131"/>
      <c r="G729" s="131"/>
      <c r="H729" s="131"/>
      <c r="I729" s="131"/>
      <c r="J729" s="131"/>
      <c r="K729" s="131"/>
      <c r="L729" s="131"/>
      <c r="M729" s="131"/>
      <c r="N729" s="131"/>
      <c r="O729" s="142"/>
      <c r="P729" s="142"/>
      <c r="Q729" s="142"/>
      <c r="R729" s="142"/>
      <c r="S729" s="142"/>
      <c r="T729" s="142"/>
      <c r="U729" s="142"/>
      <c r="V729" s="142"/>
      <c r="W729" s="142"/>
      <c r="X729" s="142"/>
      <c r="Y729" s="142"/>
      <c r="Z729" s="142"/>
      <c r="AA729" s="131"/>
      <c r="AB729" s="142"/>
      <c r="AC729" s="142"/>
      <c r="AD729" s="142"/>
      <c r="AE729" s="142"/>
      <c r="AF729" s="142"/>
      <c r="AG729" s="142"/>
      <c r="AH729" s="142"/>
      <c r="AI729" s="142"/>
      <c r="AJ729" s="142"/>
      <c r="AK729" s="142"/>
      <c r="AL729" s="142"/>
      <c r="AM729" s="142"/>
      <c r="AN729" s="142"/>
      <c r="AO729" s="142"/>
      <c r="AP729" s="142"/>
    </row>
    <row r="730" ht="13.5" customHeight="1">
      <c r="A730" s="142"/>
      <c r="B730" s="142"/>
      <c r="C730" s="142"/>
      <c r="D730" s="142"/>
      <c r="E730" s="132"/>
      <c r="F730" s="131"/>
      <c r="G730" s="131"/>
      <c r="H730" s="131"/>
      <c r="I730" s="131"/>
      <c r="J730" s="131"/>
      <c r="K730" s="131"/>
      <c r="L730" s="131"/>
      <c r="M730" s="131"/>
      <c r="N730" s="131"/>
      <c r="O730" s="142"/>
      <c r="P730" s="142"/>
      <c r="Q730" s="142"/>
      <c r="R730" s="142"/>
      <c r="S730" s="142"/>
      <c r="T730" s="142"/>
      <c r="U730" s="142"/>
      <c r="V730" s="142"/>
      <c r="W730" s="142"/>
      <c r="X730" s="142"/>
      <c r="Y730" s="142"/>
      <c r="Z730" s="142"/>
      <c r="AA730" s="131"/>
      <c r="AB730" s="142"/>
      <c r="AC730" s="142"/>
      <c r="AD730" s="142"/>
      <c r="AE730" s="142"/>
      <c r="AF730" s="142"/>
      <c r="AG730" s="142"/>
      <c r="AH730" s="142"/>
      <c r="AI730" s="142"/>
      <c r="AJ730" s="142"/>
      <c r="AK730" s="142"/>
      <c r="AL730" s="142"/>
      <c r="AM730" s="142"/>
      <c r="AN730" s="142"/>
      <c r="AO730" s="142"/>
      <c r="AP730" s="142"/>
    </row>
    <row r="731" ht="13.5" customHeight="1">
      <c r="A731" s="142"/>
      <c r="B731" s="142"/>
      <c r="C731" s="142"/>
      <c r="D731" s="142"/>
      <c r="E731" s="132"/>
      <c r="F731" s="131"/>
      <c r="G731" s="131"/>
      <c r="H731" s="131"/>
      <c r="I731" s="131"/>
      <c r="J731" s="131"/>
      <c r="K731" s="131"/>
      <c r="L731" s="131"/>
      <c r="M731" s="131"/>
      <c r="N731" s="131"/>
      <c r="O731" s="142"/>
      <c r="P731" s="142"/>
      <c r="Q731" s="142"/>
      <c r="R731" s="142"/>
      <c r="S731" s="142"/>
      <c r="T731" s="142"/>
      <c r="U731" s="142"/>
      <c r="V731" s="142"/>
      <c r="W731" s="142"/>
      <c r="X731" s="142"/>
      <c r="Y731" s="142"/>
      <c r="Z731" s="142"/>
      <c r="AA731" s="131"/>
      <c r="AB731" s="142"/>
      <c r="AC731" s="142"/>
      <c r="AD731" s="142"/>
      <c r="AE731" s="142"/>
      <c r="AF731" s="142"/>
      <c r="AG731" s="142"/>
      <c r="AH731" s="142"/>
      <c r="AI731" s="142"/>
      <c r="AJ731" s="142"/>
      <c r="AK731" s="142"/>
      <c r="AL731" s="142"/>
      <c r="AM731" s="142"/>
      <c r="AN731" s="142"/>
      <c r="AO731" s="142"/>
      <c r="AP731" s="142"/>
    </row>
    <row r="732" ht="13.5" customHeight="1">
      <c r="A732" s="142"/>
      <c r="B732" s="142"/>
      <c r="C732" s="142"/>
      <c r="D732" s="142"/>
      <c r="E732" s="132"/>
      <c r="F732" s="131"/>
      <c r="G732" s="131"/>
      <c r="H732" s="131"/>
      <c r="I732" s="131"/>
      <c r="J732" s="131"/>
      <c r="K732" s="131"/>
      <c r="L732" s="131"/>
      <c r="M732" s="131"/>
      <c r="N732" s="131"/>
      <c r="O732" s="142"/>
      <c r="P732" s="142"/>
      <c r="Q732" s="142"/>
      <c r="R732" s="142"/>
      <c r="S732" s="142"/>
      <c r="T732" s="142"/>
      <c r="U732" s="142"/>
      <c r="V732" s="142"/>
      <c r="W732" s="142"/>
      <c r="X732" s="142"/>
      <c r="Y732" s="142"/>
      <c r="Z732" s="142"/>
      <c r="AA732" s="131"/>
      <c r="AB732" s="142"/>
      <c r="AC732" s="142"/>
      <c r="AD732" s="142"/>
      <c r="AE732" s="142"/>
      <c r="AF732" s="142"/>
      <c r="AG732" s="142"/>
      <c r="AH732" s="142"/>
      <c r="AI732" s="142"/>
      <c r="AJ732" s="142"/>
      <c r="AK732" s="142"/>
      <c r="AL732" s="142"/>
      <c r="AM732" s="142"/>
      <c r="AN732" s="142"/>
      <c r="AO732" s="142"/>
      <c r="AP732" s="142"/>
    </row>
    <row r="733" ht="13.5" customHeight="1">
      <c r="A733" s="142"/>
      <c r="B733" s="142"/>
      <c r="C733" s="142"/>
      <c r="D733" s="142"/>
      <c r="E733" s="132"/>
      <c r="F733" s="131"/>
      <c r="G733" s="131"/>
      <c r="H733" s="131"/>
      <c r="I733" s="131"/>
      <c r="J733" s="131"/>
      <c r="K733" s="131"/>
      <c r="L733" s="131"/>
      <c r="M733" s="131"/>
      <c r="N733" s="131"/>
      <c r="O733" s="142"/>
      <c r="P733" s="142"/>
      <c r="Q733" s="142"/>
      <c r="R733" s="142"/>
      <c r="S733" s="142"/>
      <c r="T733" s="142"/>
      <c r="U733" s="142"/>
      <c r="V733" s="142"/>
      <c r="W733" s="142"/>
      <c r="X733" s="142"/>
      <c r="Y733" s="142"/>
      <c r="Z733" s="142"/>
      <c r="AA733" s="131"/>
      <c r="AB733" s="142"/>
      <c r="AC733" s="142"/>
      <c r="AD733" s="142"/>
      <c r="AE733" s="142"/>
      <c r="AF733" s="142"/>
      <c r="AG733" s="142"/>
      <c r="AH733" s="142"/>
      <c r="AI733" s="142"/>
      <c r="AJ733" s="142"/>
      <c r="AK733" s="142"/>
      <c r="AL733" s="142"/>
      <c r="AM733" s="142"/>
      <c r="AN733" s="142"/>
      <c r="AO733" s="142"/>
      <c r="AP733" s="142"/>
    </row>
    <row r="734" ht="13.5" customHeight="1">
      <c r="A734" s="142"/>
      <c r="B734" s="142"/>
      <c r="C734" s="142"/>
      <c r="D734" s="142"/>
      <c r="E734" s="132"/>
      <c r="F734" s="131"/>
      <c r="G734" s="131"/>
      <c r="H734" s="131"/>
      <c r="I734" s="131"/>
      <c r="J734" s="131"/>
      <c r="K734" s="131"/>
      <c r="L734" s="131"/>
      <c r="M734" s="131"/>
      <c r="N734" s="131"/>
      <c r="O734" s="142"/>
      <c r="P734" s="142"/>
      <c r="Q734" s="142"/>
      <c r="R734" s="142"/>
      <c r="S734" s="142"/>
      <c r="T734" s="142"/>
      <c r="U734" s="142"/>
      <c r="V734" s="142"/>
      <c r="W734" s="142"/>
      <c r="X734" s="142"/>
      <c r="Y734" s="142"/>
      <c r="Z734" s="142"/>
      <c r="AA734" s="131"/>
      <c r="AB734" s="142"/>
      <c r="AC734" s="142"/>
      <c r="AD734" s="142"/>
      <c r="AE734" s="142"/>
      <c r="AF734" s="142"/>
      <c r="AG734" s="142"/>
      <c r="AH734" s="142"/>
      <c r="AI734" s="142"/>
      <c r="AJ734" s="142"/>
      <c r="AK734" s="142"/>
      <c r="AL734" s="142"/>
      <c r="AM734" s="142"/>
      <c r="AN734" s="142"/>
      <c r="AO734" s="142"/>
      <c r="AP734" s="142"/>
    </row>
    <row r="735" ht="13.5" customHeight="1">
      <c r="A735" s="142"/>
      <c r="B735" s="142"/>
      <c r="C735" s="142"/>
      <c r="D735" s="142"/>
      <c r="E735" s="132"/>
      <c r="F735" s="131"/>
      <c r="G735" s="131"/>
      <c r="H735" s="131"/>
      <c r="I735" s="131"/>
      <c r="J735" s="131"/>
      <c r="K735" s="131"/>
      <c r="L735" s="131"/>
      <c r="M735" s="131"/>
      <c r="N735" s="131"/>
      <c r="O735" s="142"/>
      <c r="P735" s="142"/>
      <c r="Q735" s="142"/>
      <c r="R735" s="142"/>
      <c r="S735" s="142"/>
      <c r="T735" s="142"/>
      <c r="U735" s="142"/>
      <c r="V735" s="142"/>
      <c r="W735" s="142"/>
      <c r="X735" s="142"/>
      <c r="Y735" s="142"/>
      <c r="Z735" s="142"/>
      <c r="AA735" s="131"/>
      <c r="AB735" s="142"/>
      <c r="AC735" s="142"/>
      <c r="AD735" s="142"/>
      <c r="AE735" s="142"/>
      <c r="AF735" s="142"/>
      <c r="AG735" s="142"/>
      <c r="AH735" s="142"/>
      <c r="AI735" s="142"/>
      <c r="AJ735" s="142"/>
      <c r="AK735" s="142"/>
      <c r="AL735" s="142"/>
      <c r="AM735" s="142"/>
      <c r="AN735" s="142"/>
      <c r="AO735" s="142"/>
      <c r="AP735" s="142"/>
    </row>
    <row r="736" ht="13.5" customHeight="1">
      <c r="A736" s="142"/>
      <c r="B736" s="142"/>
      <c r="C736" s="142"/>
      <c r="D736" s="142"/>
      <c r="E736" s="132"/>
      <c r="F736" s="131"/>
      <c r="G736" s="131"/>
      <c r="H736" s="131"/>
      <c r="I736" s="131"/>
      <c r="J736" s="131"/>
      <c r="K736" s="131"/>
      <c r="L736" s="131"/>
      <c r="M736" s="131"/>
      <c r="N736" s="131"/>
      <c r="O736" s="142"/>
      <c r="P736" s="142"/>
      <c r="Q736" s="142"/>
      <c r="R736" s="142"/>
      <c r="S736" s="142"/>
      <c r="T736" s="142"/>
      <c r="U736" s="142"/>
      <c r="V736" s="142"/>
      <c r="W736" s="142"/>
      <c r="X736" s="142"/>
      <c r="Y736" s="142"/>
      <c r="Z736" s="142"/>
      <c r="AA736" s="131"/>
      <c r="AB736" s="142"/>
      <c r="AC736" s="142"/>
      <c r="AD736" s="142"/>
      <c r="AE736" s="142"/>
      <c r="AF736" s="142"/>
      <c r="AG736" s="142"/>
      <c r="AH736" s="142"/>
      <c r="AI736" s="142"/>
      <c r="AJ736" s="142"/>
      <c r="AK736" s="142"/>
      <c r="AL736" s="142"/>
      <c r="AM736" s="142"/>
      <c r="AN736" s="142"/>
      <c r="AO736" s="142"/>
      <c r="AP736" s="142"/>
    </row>
    <row r="737" ht="13.5" customHeight="1">
      <c r="A737" s="142"/>
      <c r="B737" s="142"/>
      <c r="C737" s="142"/>
      <c r="D737" s="142"/>
      <c r="E737" s="132"/>
      <c r="F737" s="131"/>
      <c r="G737" s="131"/>
      <c r="H737" s="131"/>
      <c r="I737" s="131"/>
      <c r="J737" s="131"/>
      <c r="K737" s="131"/>
      <c r="L737" s="131"/>
      <c r="M737" s="131"/>
      <c r="N737" s="131"/>
      <c r="O737" s="142"/>
      <c r="P737" s="142"/>
      <c r="Q737" s="142"/>
      <c r="R737" s="142"/>
      <c r="S737" s="142"/>
      <c r="T737" s="142"/>
      <c r="U737" s="142"/>
      <c r="V737" s="142"/>
      <c r="W737" s="142"/>
      <c r="X737" s="142"/>
      <c r="Y737" s="142"/>
      <c r="Z737" s="142"/>
      <c r="AA737" s="131"/>
      <c r="AB737" s="142"/>
      <c r="AC737" s="142"/>
      <c r="AD737" s="142"/>
      <c r="AE737" s="142"/>
      <c r="AF737" s="142"/>
      <c r="AG737" s="142"/>
      <c r="AH737" s="142"/>
      <c r="AI737" s="142"/>
      <c r="AJ737" s="142"/>
      <c r="AK737" s="142"/>
      <c r="AL737" s="142"/>
      <c r="AM737" s="142"/>
      <c r="AN737" s="142"/>
      <c r="AO737" s="142"/>
      <c r="AP737" s="142"/>
    </row>
    <row r="738" ht="13.5" customHeight="1">
      <c r="A738" s="142"/>
      <c r="B738" s="142"/>
      <c r="C738" s="142"/>
      <c r="D738" s="142"/>
      <c r="E738" s="132"/>
      <c r="F738" s="131"/>
      <c r="G738" s="131"/>
      <c r="H738" s="131"/>
      <c r="I738" s="131"/>
      <c r="J738" s="131"/>
      <c r="K738" s="131"/>
      <c r="L738" s="131"/>
      <c r="M738" s="131"/>
      <c r="N738" s="131"/>
      <c r="O738" s="142"/>
      <c r="P738" s="142"/>
      <c r="Q738" s="142"/>
      <c r="R738" s="142"/>
      <c r="S738" s="142"/>
      <c r="T738" s="142"/>
      <c r="U738" s="142"/>
      <c r="V738" s="142"/>
      <c r="W738" s="142"/>
      <c r="X738" s="142"/>
      <c r="Y738" s="142"/>
      <c r="Z738" s="142"/>
      <c r="AA738" s="131"/>
      <c r="AB738" s="142"/>
      <c r="AC738" s="142"/>
      <c r="AD738" s="142"/>
      <c r="AE738" s="142"/>
      <c r="AF738" s="142"/>
      <c r="AG738" s="142"/>
      <c r="AH738" s="142"/>
      <c r="AI738" s="142"/>
      <c r="AJ738" s="142"/>
      <c r="AK738" s="142"/>
      <c r="AL738" s="142"/>
      <c r="AM738" s="142"/>
      <c r="AN738" s="142"/>
      <c r="AO738" s="142"/>
      <c r="AP738" s="142"/>
    </row>
    <row r="739" ht="13.5" customHeight="1">
      <c r="A739" s="142"/>
      <c r="B739" s="142"/>
      <c r="C739" s="142"/>
      <c r="D739" s="142"/>
      <c r="E739" s="132"/>
      <c r="F739" s="131"/>
      <c r="G739" s="131"/>
      <c r="H739" s="131"/>
      <c r="I739" s="131"/>
      <c r="J739" s="131"/>
      <c r="K739" s="131"/>
      <c r="L739" s="131"/>
      <c r="M739" s="131"/>
      <c r="N739" s="131"/>
      <c r="O739" s="142"/>
      <c r="P739" s="142"/>
      <c r="Q739" s="142"/>
      <c r="R739" s="142"/>
      <c r="S739" s="142"/>
      <c r="T739" s="142"/>
      <c r="U739" s="142"/>
      <c r="V739" s="142"/>
      <c r="W739" s="142"/>
      <c r="X739" s="142"/>
      <c r="Y739" s="142"/>
      <c r="Z739" s="142"/>
      <c r="AA739" s="131"/>
      <c r="AB739" s="142"/>
      <c r="AC739" s="142"/>
      <c r="AD739" s="142"/>
      <c r="AE739" s="142"/>
      <c r="AF739" s="142"/>
      <c r="AG739" s="142"/>
      <c r="AH739" s="142"/>
      <c r="AI739" s="142"/>
      <c r="AJ739" s="142"/>
      <c r="AK739" s="142"/>
      <c r="AL739" s="142"/>
      <c r="AM739" s="142"/>
      <c r="AN739" s="142"/>
      <c r="AO739" s="142"/>
      <c r="AP739" s="142"/>
    </row>
    <row r="740" ht="13.5" customHeight="1">
      <c r="A740" s="142"/>
      <c r="B740" s="142"/>
      <c r="C740" s="142"/>
      <c r="D740" s="142"/>
      <c r="E740" s="132"/>
      <c r="F740" s="131"/>
      <c r="G740" s="131"/>
      <c r="H740" s="131"/>
      <c r="I740" s="131"/>
      <c r="J740" s="131"/>
      <c r="K740" s="131"/>
      <c r="L740" s="131"/>
      <c r="M740" s="131"/>
      <c r="N740" s="131"/>
      <c r="O740" s="142"/>
      <c r="P740" s="142"/>
      <c r="Q740" s="142"/>
      <c r="R740" s="142"/>
      <c r="S740" s="142"/>
      <c r="T740" s="142"/>
      <c r="U740" s="142"/>
      <c r="V740" s="142"/>
      <c r="W740" s="142"/>
      <c r="X740" s="142"/>
      <c r="Y740" s="142"/>
      <c r="Z740" s="142"/>
      <c r="AA740" s="131"/>
      <c r="AB740" s="142"/>
      <c r="AC740" s="142"/>
      <c r="AD740" s="142"/>
      <c r="AE740" s="142"/>
      <c r="AF740" s="142"/>
      <c r="AG740" s="142"/>
      <c r="AH740" s="142"/>
      <c r="AI740" s="142"/>
      <c r="AJ740" s="142"/>
      <c r="AK740" s="142"/>
      <c r="AL740" s="142"/>
      <c r="AM740" s="142"/>
      <c r="AN740" s="142"/>
      <c r="AO740" s="142"/>
      <c r="AP740" s="142"/>
    </row>
    <row r="741" ht="13.5" customHeight="1">
      <c r="A741" s="142"/>
      <c r="B741" s="142"/>
      <c r="C741" s="142"/>
      <c r="D741" s="142"/>
      <c r="E741" s="132"/>
      <c r="F741" s="131"/>
      <c r="G741" s="131"/>
      <c r="H741" s="131"/>
      <c r="I741" s="131"/>
      <c r="J741" s="131"/>
      <c r="K741" s="131"/>
      <c r="L741" s="131"/>
      <c r="M741" s="131"/>
      <c r="N741" s="131"/>
      <c r="O741" s="142"/>
      <c r="P741" s="142"/>
      <c r="Q741" s="142"/>
      <c r="R741" s="142"/>
      <c r="S741" s="142"/>
      <c r="T741" s="142"/>
      <c r="U741" s="142"/>
      <c r="V741" s="142"/>
      <c r="W741" s="142"/>
      <c r="X741" s="142"/>
      <c r="Y741" s="142"/>
      <c r="Z741" s="142"/>
      <c r="AA741" s="131"/>
      <c r="AB741" s="142"/>
      <c r="AC741" s="142"/>
      <c r="AD741" s="142"/>
      <c r="AE741" s="142"/>
      <c r="AF741" s="142"/>
      <c r="AG741" s="142"/>
      <c r="AH741" s="142"/>
      <c r="AI741" s="142"/>
      <c r="AJ741" s="142"/>
      <c r="AK741" s="142"/>
      <c r="AL741" s="142"/>
      <c r="AM741" s="142"/>
      <c r="AN741" s="142"/>
      <c r="AO741" s="142"/>
      <c r="AP741" s="142"/>
    </row>
    <row r="742" ht="13.5" customHeight="1">
      <c r="A742" s="142"/>
      <c r="B742" s="142"/>
      <c r="C742" s="142"/>
      <c r="D742" s="142"/>
      <c r="E742" s="132"/>
      <c r="F742" s="131"/>
      <c r="G742" s="131"/>
      <c r="H742" s="131"/>
      <c r="I742" s="131"/>
      <c r="J742" s="131"/>
      <c r="K742" s="131"/>
      <c r="L742" s="131"/>
      <c r="M742" s="131"/>
      <c r="N742" s="131"/>
      <c r="O742" s="142"/>
      <c r="P742" s="142"/>
      <c r="Q742" s="142"/>
      <c r="R742" s="142"/>
      <c r="S742" s="142"/>
      <c r="T742" s="142"/>
      <c r="U742" s="142"/>
      <c r="V742" s="142"/>
      <c r="W742" s="142"/>
      <c r="X742" s="142"/>
      <c r="Y742" s="142"/>
      <c r="Z742" s="142"/>
      <c r="AA742" s="131"/>
      <c r="AB742" s="142"/>
      <c r="AC742" s="142"/>
      <c r="AD742" s="142"/>
      <c r="AE742" s="142"/>
      <c r="AF742" s="142"/>
      <c r="AG742" s="142"/>
      <c r="AH742" s="142"/>
      <c r="AI742" s="142"/>
      <c r="AJ742" s="142"/>
      <c r="AK742" s="142"/>
      <c r="AL742" s="142"/>
      <c r="AM742" s="142"/>
      <c r="AN742" s="142"/>
      <c r="AO742" s="142"/>
      <c r="AP742" s="142"/>
    </row>
    <row r="743" ht="13.5" customHeight="1">
      <c r="A743" s="142"/>
      <c r="B743" s="142"/>
      <c r="C743" s="142"/>
      <c r="D743" s="142"/>
      <c r="E743" s="132"/>
      <c r="F743" s="131"/>
      <c r="G743" s="131"/>
      <c r="H743" s="131"/>
      <c r="I743" s="131"/>
      <c r="J743" s="131"/>
      <c r="K743" s="131"/>
      <c r="L743" s="131"/>
      <c r="M743" s="131"/>
      <c r="N743" s="131"/>
      <c r="O743" s="142"/>
      <c r="P743" s="142"/>
      <c r="Q743" s="142"/>
      <c r="R743" s="142"/>
      <c r="S743" s="142"/>
      <c r="T743" s="142"/>
      <c r="U743" s="142"/>
      <c r="V743" s="142"/>
      <c r="W743" s="142"/>
      <c r="X743" s="142"/>
      <c r="Y743" s="142"/>
      <c r="Z743" s="142"/>
      <c r="AA743" s="131"/>
      <c r="AB743" s="142"/>
      <c r="AC743" s="142"/>
      <c r="AD743" s="142"/>
      <c r="AE743" s="142"/>
      <c r="AF743" s="142"/>
      <c r="AG743" s="142"/>
      <c r="AH743" s="142"/>
      <c r="AI743" s="142"/>
      <c r="AJ743" s="142"/>
      <c r="AK743" s="142"/>
      <c r="AL743" s="142"/>
      <c r="AM743" s="142"/>
      <c r="AN743" s="142"/>
      <c r="AO743" s="142"/>
      <c r="AP743" s="142"/>
    </row>
    <row r="744" ht="13.5" customHeight="1">
      <c r="A744" s="142"/>
      <c r="B744" s="142"/>
      <c r="C744" s="142"/>
      <c r="D744" s="142"/>
      <c r="E744" s="132"/>
      <c r="F744" s="131"/>
      <c r="G744" s="131"/>
      <c r="H744" s="131"/>
      <c r="I744" s="131"/>
      <c r="J744" s="131"/>
      <c r="K744" s="131"/>
      <c r="L744" s="131"/>
      <c r="M744" s="131"/>
      <c r="N744" s="131"/>
      <c r="O744" s="142"/>
      <c r="P744" s="142"/>
      <c r="Q744" s="142"/>
      <c r="R744" s="142"/>
      <c r="S744" s="142"/>
      <c r="T744" s="142"/>
      <c r="U744" s="142"/>
      <c r="V744" s="142"/>
      <c r="W744" s="142"/>
      <c r="X744" s="142"/>
      <c r="Y744" s="142"/>
      <c r="Z744" s="142"/>
      <c r="AA744" s="131"/>
      <c r="AB744" s="142"/>
      <c r="AC744" s="142"/>
      <c r="AD744" s="142"/>
      <c r="AE744" s="142"/>
      <c r="AF744" s="142"/>
      <c r="AG744" s="142"/>
      <c r="AH744" s="142"/>
      <c r="AI744" s="142"/>
      <c r="AJ744" s="142"/>
      <c r="AK744" s="142"/>
      <c r="AL744" s="142"/>
      <c r="AM744" s="142"/>
      <c r="AN744" s="142"/>
      <c r="AO744" s="142"/>
      <c r="AP744" s="142"/>
    </row>
    <row r="745" ht="13.5" customHeight="1">
      <c r="A745" s="142"/>
      <c r="B745" s="142"/>
      <c r="C745" s="142"/>
      <c r="D745" s="142"/>
      <c r="E745" s="132"/>
      <c r="F745" s="131"/>
      <c r="G745" s="131"/>
      <c r="H745" s="131"/>
      <c r="I745" s="131"/>
      <c r="J745" s="131"/>
      <c r="K745" s="131"/>
      <c r="L745" s="131"/>
      <c r="M745" s="131"/>
      <c r="N745" s="131"/>
      <c r="O745" s="142"/>
      <c r="P745" s="142"/>
      <c r="Q745" s="142"/>
      <c r="R745" s="142"/>
      <c r="S745" s="142"/>
      <c r="T745" s="142"/>
      <c r="U745" s="142"/>
      <c r="V745" s="142"/>
      <c r="W745" s="142"/>
      <c r="X745" s="142"/>
      <c r="Y745" s="142"/>
      <c r="Z745" s="142"/>
      <c r="AA745" s="131"/>
      <c r="AB745" s="142"/>
      <c r="AC745" s="142"/>
      <c r="AD745" s="142"/>
      <c r="AE745" s="142"/>
      <c r="AF745" s="142"/>
      <c r="AG745" s="142"/>
      <c r="AH745" s="142"/>
      <c r="AI745" s="142"/>
      <c r="AJ745" s="142"/>
      <c r="AK745" s="142"/>
      <c r="AL745" s="142"/>
      <c r="AM745" s="142"/>
      <c r="AN745" s="142"/>
      <c r="AO745" s="142"/>
      <c r="AP745" s="142"/>
    </row>
    <row r="746" ht="13.5" customHeight="1">
      <c r="A746" s="142"/>
      <c r="B746" s="142"/>
      <c r="C746" s="142"/>
      <c r="D746" s="142"/>
      <c r="E746" s="132"/>
      <c r="F746" s="131"/>
      <c r="G746" s="131"/>
      <c r="H746" s="131"/>
      <c r="I746" s="131"/>
      <c r="J746" s="131"/>
      <c r="K746" s="131"/>
      <c r="L746" s="131"/>
      <c r="M746" s="131"/>
      <c r="N746" s="131"/>
      <c r="O746" s="142"/>
      <c r="P746" s="142"/>
      <c r="Q746" s="142"/>
      <c r="R746" s="142"/>
      <c r="S746" s="142"/>
      <c r="T746" s="142"/>
      <c r="U746" s="142"/>
      <c r="V746" s="142"/>
      <c r="W746" s="142"/>
      <c r="X746" s="142"/>
      <c r="Y746" s="142"/>
      <c r="Z746" s="142"/>
      <c r="AA746" s="131"/>
      <c r="AB746" s="142"/>
      <c r="AC746" s="142"/>
      <c r="AD746" s="142"/>
      <c r="AE746" s="142"/>
      <c r="AF746" s="142"/>
      <c r="AG746" s="142"/>
      <c r="AH746" s="142"/>
      <c r="AI746" s="142"/>
      <c r="AJ746" s="142"/>
      <c r="AK746" s="142"/>
      <c r="AL746" s="142"/>
      <c r="AM746" s="142"/>
      <c r="AN746" s="142"/>
      <c r="AO746" s="142"/>
      <c r="AP746" s="142"/>
    </row>
    <row r="747" ht="13.5" customHeight="1">
      <c r="A747" s="142"/>
      <c r="B747" s="142"/>
      <c r="C747" s="142"/>
      <c r="D747" s="142"/>
      <c r="E747" s="132"/>
      <c r="F747" s="131"/>
      <c r="G747" s="131"/>
      <c r="H747" s="131"/>
      <c r="I747" s="131"/>
      <c r="J747" s="131"/>
      <c r="K747" s="131"/>
      <c r="L747" s="131"/>
      <c r="M747" s="131"/>
      <c r="N747" s="131"/>
      <c r="O747" s="142"/>
      <c r="P747" s="142"/>
      <c r="Q747" s="142"/>
      <c r="R747" s="142"/>
      <c r="S747" s="142"/>
      <c r="T747" s="142"/>
      <c r="U747" s="142"/>
      <c r="V747" s="142"/>
      <c r="W747" s="142"/>
      <c r="X747" s="142"/>
      <c r="Y747" s="142"/>
      <c r="Z747" s="142"/>
      <c r="AA747" s="131"/>
      <c r="AB747" s="142"/>
      <c r="AC747" s="142"/>
      <c r="AD747" s="142"/>
      <c r="AE747" s="142"/>
      <c r="AF747" s="142"/>
      <c r="AG747" s="142"/>
      <c r="AH747" s="142"/>
      <c r="AI747" s="142"/>
      <c r="AJ747" s="142"/>
      <c r="AK747" s="142"/>
      <c r="AL747" s="142"/>
      <c r="AM747" s="142"/>
      <c r="AN747" s="142"/>
      <c r="AO747" s="142"/>
      <c r="AP747" s="142"/>
    </row>
    <row r="748" ht="13.5" customHeight="1">
      <c r="A748" s="142"/>
      <c r="B748" s="142"/>
      <c r="C748" s="142"/>
      <c r="D748" s="142"/>
      <c r="E748" s="132"/>
      <c r="F748" s="131"/>
      <c r="G748" s="131"/>
      <c r="H748" s="131"/>
      <c r="I748" s="131"/>
      <c r="J748" s="131"/>
      <c r="K748" s="131"/>
      <c r="L748" s="131"/>
      <c r="M748" s="131"/>
      <c r="N748" s="131"/>
      <c r="O748" s="142"/>
      <c r="P748" s="142"/>
      <c r="Q748" s="142"/>
      <c r="R748" s="142"/>
      <c r="S748" s="142"/>
      <c r="T748" s="142"/>
      <c r="U748" s="142"/>
      <c r="V748" s="142"/>
      <c r="W748" s="142"/>
      <c r="X748" s="142"/>
      <c r="Y748" s="142"/>
      <c r="Z748" s="142"/>
      <c r="AA748" s="131"/>
      <c r="AB748" s="142"/>
      <c r="AC748" s="142"/>
      <c r="AD748" s="142"/>
      <c r="AE748" s="142"/>
      <c r="AF748" s="142"/>
      <c r="AG748" s="142"/>
      <c r="AH748" s="142"/>
      <c r="AI748" s="142"/>
      <c r="AJ748" s="142"/>
      <c r="AK748" s="142"/>
      <c r="AL748" s="142"/>
      <c r="AM748" s="142"/>
      <c r="AN748" s="142"/>
      <c r="AO748" s="142"/>
      <c r="AP748" s="142"/>
    </row>
    <row r="749" ht="13.5" customHeight="1">
      <c r="A749" s="142"/>
      <c r="B749" s="142"/>
      <c r="C749" s="142"/>
      <c r="D749" s="142"/>
      <c r="E749" s="132"/>
      <c r="F749" s="131"/>
      <c r="G749" s="131"/>
      <c r="H749" s="131"/>
      <c r="I749" s="131"/>
      <c r="J749" s="131"/>
      <c r="K749" s="131"/>
      <c r="L749" s="131"/>
      <c r="M749" s="131"/>
      <c r="N749" s="131"/>
      <c r="O749" s="142"/>
      <c r="P749" s="142"/>
      <c r="Q749" s="142"/>
      <c r="R749" s="142"/>
      <c r="S749" s="142"/>
      <c r="T749" s="142"/>
      <c r="U749" s="142"/>
      <c r="V749" s="142"/>
      <c r="W749" s="142"/>
      <c r="X749" s="142"/>
      <c r="Y749" s="142"/>
      <c r="Z749" s="142"/>
      <c r="AA749" s="131"/>
      <c r="AB749" s="142"/>
      <c r="AC749" s="142"/>
      <c r="AD749" s="142"/>
      <c r="AE749" s="142"/>
      <c r="AF749" s="142"/>
      <c r="AG749" s="142"/>
      <c r="AH749" s="142"/>
      <c r="AI749" s="142"/>
      <c r="AJ749" s="142"/>
      <c r="AK749" s="142"/>
      <c r="AL749" s="142"/>
      <c r="AM749" s="142"/>
      <c r="AN749" s="142"/>
      <c r="AO749" s="142"/>
      <c r="AP749" s="142"/>
    </row>
    <row r="750" ht="13.5" customHeight="1">
      <c r="A750" s="142"/>
      <c r="B750" s="142"/>
      <c r="C750" s="142"/>
      <c r="D750" s="142"/>
      <c r="E750" s="132"/>
      <c r="F750" s="131"/>
      <c r="G750" s="131"/>
      <c r="H750" s="131"/>
      <c r="I750" s="131"/>
      <c r="J750" s="131"/>
      <c r="K750" s="131"/>
      <c r="L750" s="131"/>
      <c r="M750" s="131"/>
      <c r="N750" s="131"/>
      <c r="O750" s="142"/>
      <c r="P750" s="142"/>
      <c r="Q750" s="142"/>
      <c r="R750" s="142"/>
      <c r="S750" s="142"/>
      <c r="T750" s="142"/>
      <c r="U750" s="142"/>
      <c r="V750" s="142"/>
      <c r="W750" s="142"/>
      <c r="X750" s="142"/>
      <c r="Y750" s="142"/>
      <c r="Z750" s="142"/>
      <c r="AA750" s="131"/>
      <c r="AB750" s="142"/>
      <c r="AC750" s="142"/>
      <c r="AD750" s="142"/>
      <c r="AE750" s="142"/>
      <c r="AF750" s="142"/>
      <c r="AG750" s="142"/>
      <c r="AH750" s="142"/>
      <c r="AI750" s="142"/>
      <c r="AJ750" s="142"/>
      <c r="AK750" s="142"/>
      <c r="AL750" s="142"/>
      <c r="AM750" s="142"/>
      <c r="AN750" s="142"/>
      <c r="AO750" s="142"/>
      <c r="AP750" s="142"/>
    </row>
    <row r="751" ht="13.5" customHeight="1">
      <c r="A751" s="142"/>
      <c r="B751" s="142"/>
      <c r="C751" s="142"/>
      <c r="D751" s="142"/>
      <c r="E751" s="132"/>
      <c r="F751" s="131"/>
      <c r="G751" s="131"/>
      <c r="H751" s="131"/>
      <c r="I751" s="131"/>
      <c r="J751" s="131"/>
      <c r="K751" s="131"/>
      <c r="L751" s="131"/>
      <c r="M751" s="131"/>
      <c r="N751" s="131"/>
      <c r="O751" s="142"/>
      <c r="P751" s="142"/>
      <c r="Q751" s="142"/>
      <c r="R751" s="142"/>
      <c r="S751" s="142"/>
      <c r="T751" s="142"/>
      <c r="U751" s="142"/>
      <c r="V751" s="142"/>
      <c r="W751" s="142"/>
      <c r="X751" s="142"/>
      <c r="Y751" s="142"/>
      <c r="Z751" s="142"/>
      <c r="AA751" s="131"/>
      <c r="AB751" s="142"/>
      <c r="AC751" s="142"/>
      <c r="AD751" s="142"/>
      <c r="AE751" s="142"/>
      <c r="AF751" s="142"/>
      <c r="AG751" s="142"/>
      <c r="AH751" s="142"/>
      <c r="AI751" s="142"/>
      <c r="AJ751" s="142"/>
      <c r="AK751" s="142"/>
      <c r="AL751" s="142"/>
      <c r="AM751" s="142"/>
      <c r="AN751" s="142"/>
      <c r="AO751" s="142"/>
      <c r="AP751" s="142"/>
    </row>
    <row r="752" ht="13.5" customHeight="1">
      <c r="A752" s="142"/>
      <c r="B752" s="142"/>
      <c r="C752" s="142"/>
      <c r="D752" s="142"/>
      <c r="E752" s="132"/>
      <c r="F752" s="131"/>
      <c r="G752" s="131"/>
      <c r="H752" s="131"/>
      <c r="I752" s="131"/>
      <c r="J752" s="131"/>
      <c r="K752" s="131"/>
      <c r="L752" s="131"/>
      <c r="M752" s="131"/>
      <c r="N752" s="131"/>
      <c r="O752" s="142"/>
      <c r="P752" s="142"/>
      <c r="Q752" s="142"/>
      <c r="R752" s="142"/>
      <c r="S752" s="142"/>
      <c r="T752" s="142"/>
      <c r="U752" s="142"/>
      <c r="V752" s="142"/>
      <c r="W752" s="142"/>
      <c r="X752" s="142"/>
      <c r="Y752" s="142"/>
      <c r="Z752" s="142"/>
      <c r="AA752" s="131"/>
      <c r="AB752" s="142"/>
      <c r="AC752" s="142"/>
      <c r="AD752" s="142"/>
      <c r="AE752" s="142"/>
      <c r="AF752" s="142"/>
      <c r="AG752" s="142"/>
      <c r="AH752" s="142"/>
      <c r="AI752" s="142"/>
      <c r="AJ752" s="142"/>
      <c r="AK752" s="142"/>
      <c r="AL752" s="142"/>
      <c r="AM752" s="142"/>
      <c r="AN752" s="142"/>
      <c r="AO752" s="142"/>
      <c r="AP752" s="142"/>
    </row>
    <row r="753" ht="13.5" customHeight="1">
      <c r="A753" s="142"/>
      <c r="B753" s="142"/>
      <c r="C753" s="142"/>
      <c r="D753" s="142"/>
      <c r="E753" s="132"/>
      <c r="F753" s="131"/>
      <c r="G753" s="131"/>
      <c r="H753" s="131"/>
      <c r="I753" s="131"/>
      <c r="J753" s="131"/>
      <c r="K753" s="131"/>
      <c r="L753" s="131"/>
      <c r="M753" s="131"/>
      <c r="N753" s="131"/>
      <c r="O753" s="142"/>
      <c r="P753" s="142"/>
      <c r="Q753" s="142"/>
      <c r="R753" s="142"/>
      <c r="S753" s="142"/>
      <c r="T753" s="142"/>
      <c r="U753" s="142"/>
      <c r="V753" s="142"/>
      <c r="W753" s="142"/>
      <c r="X753" s="142"/>
      <c r="Y753" s="142"/>
      <c r="Z753" s="142"/>
      <c r="AA753" s="131"/>
      <c r="AB753" s="142"/>
      <c r="AC753" s="142"/>
      <c r="AD753" s="142"/>
      <c r="AE753" s="142"/>
      <c r="AF753" s="142"/>
      <c r="AG753" s="142"/>
      <c r="AH753" s="142"/>
      <c r="AI753" s="142"/>
      <c r="AJ753" s="142"/>
      <c r="AK753" s="142"/>
      <c r="AL753" s="142"/>
      <c r="AM753" s="142"/>
      <c r="AN753" s="142"/>
      <c r="AO753" s="142"/>
      <c r="AP753" s="142"/>
    </row>
    <row r="754" ht="13.5" customHeight="1">
      <c r="A754" s="142"/>
      <c r="B754" s="142"/>
      <c r="C754" s="142"/>
      <c r="D754" s="142"/>
      <c r="E754" s="132"/>
      <c r="F754" s="131"/>
      <c r="G754" s="131"/>
      <c r="H754" s="131"/>
      <c r="I754" s="131"/>
      <c r="J754" s="131"/>
      <c r="K754" s="131"/>
      <c r="L754" s="131"/>
      <c r="M754" s="131"/>
      <c r="N754" s="131"/>
      <c r="O754" s="142"/>
      <c r="P754" s="142"/>
      <c r="Q754" s="142"/>
      <c r="R754" s="142"/>
      <c r="S754" s="142"/>
      <c r="T754" s="142"/>
      <c r="U754" s="142"/>
      <c r="V754" s="142"/>
      <c r="W754" s="142"/>
      <c r="X754" s="142"/>
      <c r="Y754" s="142"/>
      <c r="Z754" s="142"/>
      <c r="AA754" s="131"/>
      <c r="AB754" s="142"/>
      <c r="AC754" s="142"/>
      <c r="AD754" s="142"/>
      <c r="AE754" s="142"/>
      <c r="AF754" s="142"/>
      <c r="AG754" s="142"/>
      <c r="AH754" s="142"/>
      <c r="AI754" s="142"/>
      <c r="AJ754" s="142"/>
      <c r="AK754" s="142"/>
      <c r="AL754" s="142"/>
      <c r="AM754" s="142"/>
      <c r="AN754" s="142"/>
      <c r="AO754" s="142"/>
      <c r="AP754" s="142"/>
    </row>
    <row r="755" ht="13.5" customHeight="1">
      <c r="A755" s="142"/>
      <c r="B755" s="142"/>
      <c r="C755" s="142"/>
      <c r="D755" s="142"/>
      <c r="E755" s="132"/>
      <c r="F755" s="131"/>
      <c r="G755" s="131"/>
      <c r="H755" s="131"/>
      <c r="I755" s="131"/>
      <c r="J755" s="131"/>
      <c r="K755" s="131"/>
      <c r="L755" s="131"/>
      <c r="M755" s="131"/>
      <c r="N755" s="131"/>
      <c r="O755" s="142"/>
      <c r="P755" s="142"/>
      <c r="Q755" s="142"/>
      <c r="R755" s="142"/>
      <c r="S755" s="142"/>
      <c r="T755" s="142"/>
      <c r="U755" s="142"/>
      <c r="V755" s="142"/>
      <c r="W755" s="142"/>
      <c r="X755" s="142"/>
      <c r="Y755" s="142"/>
      <c r="Z755" s="142"/>
      <c r="AA755" s="131"/>
      <c r="AB755" s="142"/>
      <c r="AC755" s="142"/>
      <c r="AD755" s="142"/>
      <c r="AE755" s="142"/>
      <c r="AF755" s="142"/>
      <c r="AG755" s="142"/>
      <c r="AH755" s="142"/>
      <c r="AI755" s="142"/>
      <c r="AJ755" s="142"/>
      <c r="AK755" s="142"/>
      <c r="AL755" s="142"/>
      <c r="AM755" s="142"/>
      <c r="AN755" s="142"/>
      <c r="AO755" s="142"/>
      <c r="AP755" s="142"/>
    </row>
    <row r="756" ht="13.5" customHeight="1">
      <c r="A756" s="142"/>
      <c r="B756" s="142"/>
      <c r="C756" s="142"/>
      <c r="D756" s="142"/>
      <c r="E756" s="132"/>
      <c r="F756" s="131"/>
      <c r="G756" s="131"/>
      <c r="H756" s="131"/>
      <c r="I756" s="131"/>
      <c r="J756" s="131"/>
      <c r="K756" s="131"/>
      <c r="L756" s="131"/>
      <c r="M756" s="131"/>
      <c r="N756" s="131"/>
      <c r="O756" s="142"/>
      <c r="P756" s="142"/>
      <c r="Q756" s="142"/>
      <c r="R756" s="142"/>
      <c r="S756" s="142"/>
      <c r="T756" s="142"/>
      <c r="U756" s="142"/>
      <c r="V756" s="142"/>
      <c r="W756" s="142"/>
      <c r="X756" s="142"/>
      <c r="Y756" s="142"/>
      <c r="Z756" s="142"/>
      <c r="AA756" s="131"/>
      <c r="AB756" s="142"/>
      <c r="AC756" s="142"/>
      <c r="AD756" s="142"/>
      <c r="AE756" s="142"/>
      <c r="AF756" s="142"/>
      <c r="AG756" s="142"/>
      <c r="AH756" s="142"/>
      <c r="AI756" s="142"/>
      <c r="AJ756" s="142"/>
      <c r="AK756" s="142"/>
      <c r="AL756" s="142"/>
      <c r="AM756" s="142"/>
      <c r="AN756" s="142"/>
      <c r="AO756" s="142"/>
      <c r="AP756" s="142"/>
    </row>
    <row r="757" ht="13.5" customHeight="1">
      <c r="A757" s="142"/>
      <c r="B757" s="142"/>
      <c r="C757" s="142"/>
      <c r="D757" s="142"/>
      <c r="E757" s="132"/>
      <c r="F757" s="131"/>
      <c r="G757" s="131"/>
      <c r="H757" s="131"/>
      <c r="I757" s="131"/>
      <c r="J757" s="131"/>
      <c r="K757" s="131"/>
      <c r="L757" s="131"/>
      <c r="M757" s="131"/>
      <c r="N757" s="131"/>
      <c r="O757" s="142"/>
      <c r="P757" s="142"/>
      <c r="Q757" s="142"/>
      <c r="R757" s="142"/>
      <c r="S757" s="142"/>
      <c r="T757" s="142"/>
      <c r="U757" s="142"/>
      <c r="V757" s="142"/>
      <c r="W757" s="142"/>
      <c r="X757" s="142"/>
      <c r="Y757" s="142"/>
      <c r="Z757" s="142"/>
      <c r="AA757" s="131"/>
      <c r="AB757" s="142"/>
      <c r="AC757" s="142"/>
      <c r="AD757" s="142"/>
      <c r="AE757" s="142"/>
      <c r="AF757" s="142"/>
      <c r="AG757" s="142"/>
      <c r="AH757" s="142"/>
      <c r="AI757" s="142"/>
      <c r="AJ757" s="142"/>
      <c r="AK757" s="142"/>
      <c r="AL757" s="142"/>
      <c r="AM757" s="142"/>
      <c r="AN757" s="142"/>
      <c r="AO757" s="142"/>
      <c r="AP757" s="142"/>
    </row>
    <row r="758" ht="13.5" customHeight="1">
      <c r="A758" s="142"/>
      <c r="B758" s="142"/>
      <c r="C758" s="142"/>
      <c r="D758" s="142"/>
      <c r="E758" s="132"/>
      <c r="F758" s="131"/>
      <c r="G758" s="131"/>
      <c r="H758" s="131"/>
      <c r="I758" s="131"/>
      <c r="J758" s="131"/>
      <c r="K758" s="131"/>
      <c r="L758" s="131"/>
      <c r="M758" s="131"/>
      <c r="N758" s="131"/>
      <c r="O758" s="142"/>
      <c r="P758" s="142"/>
      <c r="Q758" s="142"/>
      <c r="R758" s="142"/>
      <c r="S758" s="142"/>
      <c r="T758" s="142"/>
      <c r="U758" s="142"/>
      <c r="V758" s="142"/>
      <c r="W758" s="142"/>
      <c r="X758" s="142"/>
      <c r="Y758" s="142"/>
      <c r="Z758" s="142"/>
      <c r="AA758" s="131"/>
      <c r="AB758" s="142"/>
      <c r="AC758" s="142"/>
      <c r="AD758" s="142"/>
      <c r="AE758" s="142"/>
      <c r="AF758" s="142"/>
      <c r="AG758" s="142"/>
      <c r="AH758" s="142"/>
      <c r="AI758" s="142"/>
      <c r="AJ758" s="142"/>
      <c r="AK758" s="142"/>
      <c r="AL758" s="142"/>
      <c r="AM758" s="142"/>
      <c r="AN758" s="142"/>
      <c r="AO758" s="142"/>
      <c r="AP758" s="142"/>
    </row>
    <row r="759" ht="13.5" customHeight="1">
      <c r="A759" s="142"/>
      <c r="B759" s="142"/>
      <c r="C759" s="142"/>
      <c r="D759" s="142"/>
      <c r="E759" s="132"/>
      <c r="F759" s="131"/>
      <c r="G759" s="131"/>
      <c r="H759" s="131"/>
      <c r="I759" s="131"/>
      <c r="J759" s="131"/>
      <c r="K759" s="131"/>
      <c r="L759" s="131"/>
      <c r="M759" s="131"/>
      <c r="N759" s="131"/>
      <c r="O759" s="142"/>
      <c r="P759" s="142"/>
      <c r="Q759" s="142"/>
      <c r="R759" s="142"/>
      <c r="S759" s="142"/>
      <c r="T759" s="142"/>
      <c r="U759" s="142"/>
      <c r="V759" s="142"/>
      <c r="W759" s="142"/>
      <c r="X759" s="142"/>
      <c r="Y759" s="142"/>
      <c r="Z759" s="142"/>
      <c r="AA759" s="131"/>
      <c r="AB759" s="142"/>
      <c r="AC759" s="142"/>
      <c r="AD759" s="142"/>
      <c r="AE759" s="142"/>
      <c r="AF759" s="142"/>
      <c r="AG759" s="142"/>
      <c r="AH759" s="142"/>
      <c r="AI759" s="142"/>
      <c r="AJ759" s="142"/>
      <c r="AK759" s="142"/>
      <c r="AL759" s="142"/>
      <c r="AM759" s="142"/>
      <c r="AN759" s="142"/>
      <c r="AO759" s="142"/>
      <c r="AP759" s="142"/>
    </row>
    <row r="760" ht="13.5" customHeight="1">
      <c r="A760" s="142"/>
      <c r="B760" s="142"/>
      <c r="C760" s="142"/>
      <c r="D760" s="142"/>
      <c r="E760" s="132"/>
      <c r="F760" s="131"/>
      <c r="G760" s="131"/>
      <c r="H760" s="131"/>
      <c r="I760" s="131"/>
      <c r="J760" s="131"/>
      <c r="K760" s="131"/>
      <c r="L760" s="131"/>
      <c r="M760" s="131"/>
      <c r="N760" s="131"/>
      <c r="O760" s="142"/>
      <c r="P760" s="142"/>
      <c r="Q760" s="142"/>
      <c r="R760" s="142"/>
      <c r="S760" s="142"/>
      <c r="T760" s="142"/>
      <c r="U760" s="142"/>
      <c r="V760" s="142"/>
      <c r="W760" s="142"/>
      <c r="X760" s="142"/>
      <c r="Y760" s="142"/>
      <c r="Z760" s="142"/>
      <c r="AA760" s="131"/>
      <c r="AB760" s="142"/>
      <c r="AC760" s="142"/>
      <c r="AD760" s="142"/>
      <c r="AE760" s="142"/>
      <c r="AF760" s="142"/>
      <c r="AG760" s="142"/>
      <c r="AH760" s="142"/>
      <c r="AI760" s="142"/>
      <c r="AJ760" s="142"/>
      <c r="AK760" s="142"/>
      <c r="AL760" s="142"/>
      <c r="AM760" s="142"/>
      <c r="AN760" s="142"/>
      <c r="AO760" s="142"/>
      <c r="AP760" s="142"/>
    </row>
    <row r="761" ht="13.5" customHeight="1">
      <c r="A761" s="142"/>
      <c r="B761" s="142"/>
      <c r="C761" s="142"/>
      <c r="D761" s="142"/>
      <c r="E761" s="132"/>
      <c r="F761" s="131"/>
      <c r="G761" s="131"/>
      <c r="H761" s="131"/>
      <c r="I761" s="131"/>
      <c r="J761" s="131"/>
      <c r="K761" s="131"/>
      <c r="L761" s="131"/>
      <c r="M761" s="131"/>
      <c r="N761" s="131"/>
      <c r="O761" s="142"/>
      <c r="P761" s="142"/>
      <c r="Q761" s="142"/>
      <c r="R761" s="142"/>
      <c r="S761" s="142"/>
      <c r="T761" s="142"/>
      <c r="U761" s="142"/>
      <c r="V761" s="142"/>
      <c r="W761" s="142"/>
      <c r="X761" s="142"/>
      <c r="Y761" s="142"/>
      <c r="Z761" s="142"/>
      <c r="AA761" s="131"/>
      <c r="AB761" s="142"/>
      <c r="AC761" s="142"/>
      <c r="AD761" s="142"/>
      <c r="AE761" s="142"/>
      <c r="AF761" s="142"/>
      <c r="AG761" s="142"/>
      <c r="AH761" s="142"/>
      <c r="AI761" s="142"/>
      <c r="AJ761" s="142"/>
      <c r="AK761" s="142"/>
      <c r="AL761" s="142"/>
      <c r="AM761" s="142"/>
      <c r="AN761" s="142"/>
      <c r="AO761" s="142"/>
      <c r="AP761" s="142"/>
    </row>
    <row r="762" ht="13.5" customHeight="1">
      <c r="A762" s="142"/>
      <c r="B762" s="142"/>
      <c r="C762" s="142"/>
      <c r="D762" s="142"/>
      <c r="E762" s="132"/>
      <c r="F762" s="131"/>
      <c r="G762" s="131"/>
      <c r="H762" s="131"/>
      <c r="I762" s="131"/>
      <c r="J762" s="131"/>
      <c r="K762" s="131"/>
      <c r="L762" s="131"/>
      <c r="M762" s="131"/>
      <c r="N762" s="131"/>
      <c r="O762" s="142"/>
      <c r="P762" s="142"/>
      <c r="Q762" s="142"/>
      <c r="R762" s="142"/>
      <c r="S762" s="142"/>
      <c r="T762" s="142"/>
      <c r="U762" s="142"/>
      <c r="V762" s="142"/>
      <c r="W762" s="142"/>
      <c r="X762" s="142"/>
      <c r="Y762" s="142"/>
      <c r="Z762" s="142"/>
      <c r="AA762" s="131"/>
      <c r="AB762" s="142"/>
      <c r="AC762" s="142"/>
      <c r="AD762" s="142"/>
      <c r="AE762" s="142"/>
      <c r="AF762" s="142"/>
      <c r="AG762" s="142"/>
      <c r="AH762" s="142"/>
      <c r="AI762" s="142"/>
      <c r="AJ762" s="142"/>
      <c r="AK762" s="142"/>
      <c r="AL762" s="142"/>
      <c r="AM762" s="142"/>
      <c r="AN762" s="142"/>
      <c r="AO762" s="142"/>
      <c r="AP762" s="142"/>
    </row>
    <row r="763" ht="13.5" customHeight="1">
      <c r="A763" s="142"/>
      <c r="B763" s="142"/>
      <c r="C763" s="142"/>
      <c r="D763" s="142"/>
      <c r="E763" s="132"/>
      <c r="F763" s="131"/>
      <c r="G763" s="131"/>
      <c r="H763" s="131"/>
      <c r="I763" s="131"/>
      <c r="J763" s="131"/>
      <c r="K763" s="131"/>
      <c r="L763" s="131"/>
      <c r="M763" s="131"/>
      <c r="N763" s="131"/>
      <c r="O763" s="142"/>
      <c r="P763" s="142"/>
      <c r="Q763" s="142"/>
      <c r="R763" s="142"/>
      <c r="S763" s="142"/>
      <c r="T763" s="142"/>
      <c r="U763" s="142"/>
      <c r="V763" s="142"/>
      <c r="W763" s="142"/>
      <c r="X763" s="142"/>
      <c r="Y763" s="142"/>
      <c r="Z763" s="142"/>
      <c r="AA763" s="131"/>
      <c r="AB763" s="142"/>
      <c r="AC763" s="142"/>
      <c r="AD763" s="142"/>
      <c r="AE763" s="142"/>
      <c r="AF763" s="142"/>
      <c r="AG763" s="142"/>
      <c r="AH763" s="142"/>
      <c r="AI763" s="142"/>
      <c r="AJ763" s="142"/>
      <c r="AK763" s="142"/>
      <c r="AL763" s="142"/>
      <c r="AM763" s="142"/>
      <c r="AN763" s="142"/>
      <c r="AO763" s="142"/>
      <c r="AP763" s="142"/>
    </row>
    <row r="764" ht="13.5" customHeight="1">
      <c r="A764" s="142"/>
      <c r="B764" s="142"/>
      <c r="C764" s="142"/>
      <c r="D764" s="142"/>
      <c r="E764" s="132"/>
      <c r="F764" s="131"/>
      <c r="G764" s="131"/>
      <c r="H764" s="131"/>
      <c r="I764" s="131"/>
      <c r="J764" s="131"/>
      <c r="K764" s="131"/>
      <c r="L764" s="131"/>
      <c r="M764" s="131"/>
      <c r="N764" s="131"/>
      <c r="O764" s="142"/>
      <c r="P764" s="142"/>
      <c r="Q764" s="142"/>
      <c r="R764" s="142"/>
      <c r="S764" s="142"/>
      <c r="T764" s="142"/>
      <c r="U764" s="142"/>
      <c r="V764" s="142"/>
      <c r="W764" s="142"/>
      <c r="X764" s="142"/>
      <c r="Y764" s="142"/>
      <c r="Z764" s="142"/>
      <c r="AA764" s="131"/>
      <c r="AB764" s="142"/>
      <c r="AC764" s="142"/>
      <c r="AD764" s="142"/>
      <c r="AE764" s="142"/>
      <c r="AF764" s="142"/>
      <c r="AG764" s="142"/>
      <c r="AH764" s="142"/>
      <c r="AI764" s="142"/>
      <c r="AJ764" s="142"/>
      <c r="AK764" s="142"/>
      <c r="AL764" s="142"/>
      <c r="AM764" s="142"/>
      <c r="AN764" s="142"/>
      <c r="AO764" s="142"/>
      <c r="AP764" s="142"/>
    </row>
    <row r="765" ht="13.5" customHeight="1">
      <c r="A765" s="142"/>
      <c r="B765" s="142"/>
      <c r="C765" s="142"/>
      <c r="D765" s="142"/>
      <c r="E765" s="132"/>
      <c r="F765" s="131"/>
      <c r="G765" s="131"/>
      <c r="H765" s="131"/>
      <c r="I765" s="131"/>
      <c r="J765" s="131"/>
      <c r="K765" s="131"/>
      <c r="L765" s="131"/>
      <c r="M765" s="131"/>
      <c r="N765" s="131"/>
      <c r="O765" s="142"/>
      <c r="P765" s="142"/>
      <c r="Q765" s="142"/>
      <c r="R765" s="142"/>
      <c r="S765" s="142"/>
      <c r="T765" s="142"/>
      <c r="U765" s="142"/>
      <c r="V765" s="142"/>
      <c r="W765" s="142"/>
      <c r="X765" s="142"/>
      <c r="Y765" s="142"/>
      <c r="Z765" s="142"/>
      <c r="AA765" s="131"/>
      <c r="AB765" s="142"/>
      <c r="AC765" s="142"/>
      <c r="AD765" s="142"/>
      <c r="AE765" s="142"/>
      <c r="AF765" s="142"/>
      <c r="AG765" s="142"/>
      <c r="AH765" s="142"/>
      <c r="AI765" s="142"/>
      <c r="AJ765" s="142"/>
      <c r="AK765" s="142"/>
      <c r="AL765" s="142"/>
      <c r="AM765" s="142"/>
      <c r="AN765" s="142"/>
      <c r="AO765" s="142"/>
      <c r="AP765" s="142"/>
    </row>
    <row r="766" ht="13.5" customHeight="1">
      <c r="A766" s="142"/>
      <c r="B766" s="142"/>
      <c r="C766" s="142"/>
      <c r="D766" s="142"/>
      <c r="E766" s="132"/>
      <c r="F766" s="131"/>
      <c r="G766" s="131"/>
      <c r="H766" s="131"/>
      <c r="I766" s="131"/>
      <c r="J766" s="131"/>
      <c r="K766" s="131"/>
      <c r="L766" s="131"/>
      <c r="M766" s="131"/>
      <c r="N766" s="131"/>
      <c r="O766" s="142"/>
      <c r="P766" s="142"/>
      <c r="Q766" s="142"/>
      <c r="R766" s="142"/>
      <c r="S766" s="142"/>
      <c r="T766" s="142"/>
      <c r="U766" s="142"/>
      <c r="V766" s="142"/>
      <c r="W766" s="142"/>
      <c r="X766" s="142"/>
      <c r="Y766" s="142"/>
      <c r="Z766" s="142"/>
      <c r="AA766" s="131"/>
      <c r="AB766" s="142"/>
      <c r="AC766" s="142"/>
      <c r="AD766" s="142"/>
      <c r="AE766" s="142"/>
      <c r="AF766" s="142"/>
      <c r="AG766" s="142"/>
      <c r="AH766" s="142"/>
      <c r="AI766" s="142"/>
      <c r="AJ766" s="142"/>
      <c r="AK766" s="142"/>
      <c r="AL766" s="142"/>
      <c r="AM766" s="142"/>
      <c r="AN766" s="142"/>
      <c r="AO766" s="142"/>
      <c r="AP766" s="142"/>
    </row>
    <row r="767" ht="13.5" customHeight="1">
      <c r="A767" s="142"/>
      <c r="B767" s="142"/>
      <c r="C767" s="142"/>
      <c r="D767" s="142"/>
      <c r="E767" s="132"/>
      <c r="F767" s="131"/>
      <c r="G767" s="131"/>
      <c r="H767" s="131"/>
      <c r="I767" s="131"/>
      <c r="J767" s="131"/>
      <c r="K767" s="131"/>
      <c r="L767" s="131"/>
      <c r="M767" s="131"/>
      <c r="N767" s="131"/>
      <c r="O767" s="142"/>
      <c r="P767" s="142"/>
      <c r="Q767" s="142"/>
      <c r="R767" s="142"/>
      <c r="S767" s="142"/>
      <c r="T767" s="142"/>
      <c r="U767" s="142"/>
      <c r="V767" s="142"/>
      <c r="W767" s="142"/>
      <c r="X767" s="142"/>
      <c r="Y767" s="142"/>
      <c r="Z767" s="142"/>
      <c r="AA767" s="131"/>
      <c r="AB767" s="142"/>
      <c r="AC767" s="142"/>
      <c r="AD767" s="142"/>
      <c r="AE767" s="142"/>
      <c r="AF767" s="142"/>
      <c r="AG767" s="142"/>
      <c r="AH767" s="142"/>
      <c r="AI767" s="142"/>
      <c r="AJ767" s="142"/>
      <c r="AK767" s="142"/>
      <c r="AL767" s="142"/>
      <c r="AM767" s="142"/>
      <c r="AN767" s="142"/>
      <c r="AO767" s="142"/>
      <c r="AP767" s="142"/>
    </row>
    <row r="768" ht="13.5" customHeight="1">
      <c r="A768" s="142"/>
      <c r="B768" s="142"/>
      <c r="C768" s="142"/>
      <c r="D768" s="142"/>
      <c r="E768" s="132"/>
      <c r="F768" s="131"/>
      <c r="G768" s="131"/>
      <c r="H768" s="131"/>
      <c r="I768" s="131"/>
      <c r="J768" s="131"/>
      <c r="K768" s="131"/>
      <c r="L768" s="131"/>
      <c r="M768" s="131"/>
      <c r="N768" s="131"/>
      <c r="O768" s="142"/>
      <c r="P768" s="142"/>
      <c r="Q768" s="142"/>
      <c r="R768" s="142"/>
      <c r="S768" s="142"/>
      <c r="T768" s="142"/>
      <c r="U768" s="142"/>
      <c r="V768" s="142"/>
      <c r="W768" s="142"/>
      <c r="X768" s="142"/>
      <c r="Y768" s="142"/>
      <c r="Z768" s="142"/>
      <c r="AA768" s="131"/>
      <c r="AB768" s="142"/>
      <c r="AC768" s="142"/>
      <c r="AD768" s="142"/>
      <c r="AE768" s="142"/>
      <c r="AF768" s="142"/>
      <c r="AG768" s="142"/>
      <c r="AH768" s="142"/>
      <c r="AI768" s="142"/>
      <c r="AJ768" s="142"/>
      <c r="AK768" s="142"/>
      <c r="AL768" s="142"/>
      <c r="AM768" s="142"/>
      <c r="AN768" s="142"/>
      <c r="AO768" s="142"/>
      <c r="AP768" s="142"/>
    </row>
    <row r="769" ht="13.5" customHeight="1">
      <c r="A769" s="142"/>
      <c r="B769" s="142"/>
      <c r="C769" s="142"/>
      <c r="D769" s="142"/>
      <c r="E769" s="132"/>
      <c r="F769" s="131"/>
      <c r="G769" s="131"/>
      <c r="H769" s="131"/>
      <c r="I769" s="131"/>
      <c r="J769" s="131"/>
      <c r="K769" s="131"/>
      <c r="L769" s="131"/>
      <c r="M769" s="131"/>
      <c r="N769" s="131"/>
      <c r="O769" s="142"/>
      <c r="P769" s="142"/>
      <c r="Q769" s="142"/>
      <c r="R769" s="142"/>
      <c r="S769" s="142"/>
      <c r="T769" s="142"/>
      <c r="U769" s="142"/>
      <c r="V769" s="142"/>
      <c r="W769" s="142"/>
      <c r="X769" s="142"/>
      <c r="Y769" s="142"/>
      <c r="Z769" s="142"/>
      <c r="AA769" s="131"/>
      <c r="AB769" s="142"/>
      <c r="AC769" s="142"/>
      <c r="AD769" s="142"/>
      <c r="AE769" s="142"/>
      <c r="AF769" s="142"/>
      <c r="AG769" s="142"/>
      <c r="AH769" s="142"/>
      <c r="AI769" s="142"/>
      <c r="AJ769" s="142"/>
      <c r="AK769" s="142"/>
      <c r="AL769" s="142"/>
      <c r="AM769" s="142"/>
      <c r="AN769" s="142"/>
      <c r="AO769" s="142"/>
      <c r="AP769" s="142"/>
    </row>
    <row r="770" ht="13.5" customHeight="1">
      <c r="A770" s="142"/>
      <c r="B770" s="142"/>
      <c r="C770" s="142"/>
      <c r="D770" s="142"/>
      <c r="E770" s="132"/>
      <c r="F770" s="131"/>
      <c r="G770" s="131"/>
      <c r="H770" s="131"/>
      <c r="I770" s="131"/>
      <c r="J770" s="131"/>
      <c r="K770" s="131"/>
      <c r="L770" s="131"/>
      <c r="M770" s="131"/>
      <c r="N770" s="131"/>
      <c r="O770" s="142"/>
      <c r="P770" s="142"/>
      <c r="Q770" s="142"/>
      <c r="R770" s="142"/>
      <c r="S770" s="142"/>
      <c r="T770" s="142"/>
      <c r="U770" s="142"/>
      <c r="V770" s="142"/>
      <c r="W770" s="142"/>
      <c r="X770" s="142"/>
      <c r="Y770" s="142"/>
      <c r="Z770" s="142"/>
      <c r="AA770" s="131"/>
      <c r="AB770" s="142"/>
      <c r="AC770" s="142"/>
      <c r="AD770" s="142"/>
      <c r="AE770" s="142"/>
      <c r="AF770" s="142"/>
      <c r="AG770" s="142"/>
      <c r="AH770" s="142"/>
      <c r="AI770" s="142"/>
      <c r="AJ770" s="142"/>
      <c r="AK770" s="142"/>
      <c r="AL770" s="142"/>
      <c r="AM770" s="142"/>
      <c r="AN770" s="142"/>
      <c r="AO770" s="142"/>
      <c r="AP770" s="142"/>
    </row>
    <row r="771" ht="13.5" customHeight="1">
      <c r="A771" s="142"/>
      <c r="B771" s="142"/>
      <c r="C771" s="142"/>
      <c r="D771" s="142"/>
      <c r="E771" s="132"/>
      <c r="F771" s="131"/>
      <c r="G771" s="131"/>
      <c r="H771" s="131"/>
      <c r="I771" s="131"/>
      <c r="J771" s="131"/>
      <c r="K771" s="131"/>
      <c r="L771" s="131"/>
      <c r="M771" s="131"/>
      <c r="N771" s="131"/>
      <c r="O771" s="142"/>
      <c r="P771" s="142"/>
      <c r="Q771" s="142"/>
      <c r="R771" s="142"/>
      <c r="S771" s="142"/>
      <c r="T771" s="142"/>
      <c r="U771" s="142"/>
      <c r="V771" s="142"/>
      <c r="W771" s="142"/>
      <c r="X771" s="142"/>
      <c r="Y771" s="142"/>
      <c r="Z771" s="142"/>
      <c r="AA771" s="131"/>
      <c r="AB771" s="142"/>
      <c r="AC771" s="142"/>
      <c r="AD771" s="142"/>
      <c r="AE771" s="142"/>
      <c r="AF771" s="142"/>
      <c r="AG771" s="142"/>
      <c r="AH771" s="142"/>
      <c r="AI771" s="142"/>
      <c r="AJ771" s="142"/>
      <c r="AK771" s="142"/>
      <c r="AL771" s="142"/>
      <c r="AM771" s="142"/>
      <c r="AN771" s="142"/>
      <c r="AO771" s="142"/>
      <c r="AP771" s="142"/>
    </row>
    <row r="772" ht="13.5" customHeight="1">
      <c r="A772" s="142"/>
      <c r="B772" s="142"/>
      <c r="C772" s="142"/>
      <c r="D772" s="142"/>
      <c r="E772" s="132"/>
      <c r="F772" s="131"/>
      <c r="G772" s="131"/>
      <c r="H772" s="131"/>
      <c r="I772" s="131"/>
      <c r="J772" s="131"/>
      <c r="K772" s="131"/>
      <c r="L772" s="131"/>
      <c r="M772" s="131"/>
      <c r="N772" s="131"/>
      <c r="O772" s="142"/>
      <c r="P772" s="142"/>
      <c r="Q772" s="142"/>
      <c r="R772" s="142"/>
      <c r="S772" s="142"/>
      <c r="T772" s="142"/>
      <c r="U772" s="142"/>
      <c r="V772" s="142"/>
      <c r="W772" s="142"/>
      <c r="X772" s="142"/>
      <c r="Y772" s="142"/>
      <c r="Z772" s="142"/>
      <c r="AA772" s="131"/>
      <c r="AB772" s="142"/>
      <c r="AC772" s="142"/>
      <c r="AD772" s="142"/>
      <c r="AE772" s="142"/>
      <c r="AF772" s="142"/>
      <c r="AG772" s="142"/>
      <c r="AH772" s="142"/>
      <c r="AI772" s="142"/>
      <c r="AJ772" s="142"/>
      <c r="AK772" s="142"/>
      <c r="AL772" s="142"/>
      <c r="AM772" s="142"/>
      <c r="AN772" s="142"/>
      <c r="AO772" s="142"/>
      <c r="AP772" s="142"/>
    </row>
    <row r="773" ht="13.5" customHeight="1">
      <c r="A773" s="142"/>
      <c r="B773" s="142"/>
      <c r="C773" s="142"/>
      <c r="D773" s="142"/>
      <c r="E773" s="132"/>
      <c r="F773" s="131"/>
      <c r="G773" s="131"/>
      <c r="H773" s="131"/>
      <c r="I773" s="131"/>
      <c r="J773" s="131"/>
      <c r="K773" s="131"/>
      <c r="L773" s="131"/>
      <c r="M773" s="131"/>
      <c r="N773" s="131"/>
      <c r="O773" s="142"/>
      <c r="P773" s="142"/>
      <c r="Q773" s="142"/>
      <c r="R773" s="142"/>
      <c r="S773" s="142"/>
      <c r="T773" s="142"/>
      <c r="U773" s="142"/>
      <c r="V773" s="142"/>
      <c r="W773" s="142"/>
      <c r="X773" s="142"/>
      <c r="Y773" s="142"/>
      <c r="Z773" s="142"/>
      <c r="AA773" s="131"/>
      <c r="AB773" s="142"/>
      <c r="AC773" s="142"/>
      <c r="AD773" s="142"/>
      <c r="AE773" s="142"/>
      <c r="AF773" s="142"/>
      <c r="AG773" s="142"/>
      <c r="AH773" s="142"/>
      <c r="AI773" s="142"/>
      <c r="AJ773" s="142"/>
      <c r="AK773" s="142"/>
      <c r="AL773" s="142"/>
      <c r="AM773" s="142"/>
      <c r="AN773" s="142"/>
      <c r="AO773" s="142"/>
      <c r="AP773" s="142"/>
    </row>
    <row r="774" ht="13.5" customHeight="1">
      <c r="A774" s="142"/>
      <c r="B774" s="142"/>
      <c r="C774" s="142"/>
      <c r="D774" s="142"/>
      <c r="E774" s="132"/>
      <c r="F774" s="131"/>
      <c r="G774" s="131"/>
      <c r="H774" s="131"/>
      <c r="I774" s="131"/>
      <c r="J774" s="131"/>
      <c r="K774" s="131"/>
      <c r="L774" s="131"/>
      <c r="M774" s="131"/>
      <c r="N774" s="131"/>
      <c r="O774" s="142"/>
      <c r="P774" s="142"/>
      <c r="Q774" s="142"/>
      <c r="R774" s="142"/>
      <c r="S774" s="142"/>
      <c r="T774" s="142"/>
      <c r="U774" s="142"/>
      <c r="V774" s="142"/>
      <c r="W774" s="142"/>
      <c r="X774" s="142"/>
      <c r="Y774" s="142"/>
      <c r="Z774" s="142"/>
      <c r="AA774" s="131"/>
      <c r="AB774" s="142"/>
      <c r="AC774" s="142"/>
      <c r="AD774" s="142"/>
      <c r="AE774" s="142"/>
      <c r="AF774" s="142"/>
      <c r="AG774" s="142"/>
      <c r="AH774" s="142"/>
      <c r="AI774" s="142"/>
      <c r="AJ774" s="142"/>
      <c r="AK774" s="142"/>
      <c r="AL774" s="142"/>
      <c r="AM774" s="142"/>
      <c r="AN774" s="142"/>
      <c r="AO774" s="142"/>
      <c r="AP774" s="142"/>
    </row>
    <row r="775" ht="13.5" customHeight="1">
      <c r="A775" s="142"/>
      <c r="B775" s="142"/>
      <c r="C775" s="142"/>
      <c r="D775" s="142"/>
      <c r="E775" s="132"/>
      <c r="F775" s="131"/>
      <c r="G775" s="131"/>
      <c r="H775" s="131"/>
      <c r="I775" s="131"/>
      <c r="J775" s="131"/>
      <c r="K775" s="131"/>
      <c r="L775" s="131"/>
      <c r="M775" s="131"/>
      <c r="N775" s="131"/>
      <c r="O775" s="142"/>
      <c r="P775" s="142"/>
      <c r="Q775" s="142"/>
      <c r="R775" s="142"/>
      <c r="S775" s="142"/>
      <c r="T775" s="142"/>
      <c r="U775" s="142"/>
      <c r="V775" s="142"/>
      <c r="W775" s="142"/>
      <c r="X775" s="142"/>
      <c r="Y775" s="142"/>
      <c r="Z775" s="142"/>
      <c r="AA775" s="131"/>
      <c r="AB775" s="142"/>
      <c r="AC775" s="142"/>
      <c r="AD775" s="142"/>
      <c r="AE775" s="142"/>
      <c r="AF775" s="142"/>
      <c r="AG775" s="142"/>
      <c r="AH775" s="142"/>
      <c r="AI775" s="142"/>
      <c r="AJ775" s="142"/>
      <c r="AK775" s="142"/>
      <c r="AL775" s="142"/>
      <c r="AM775" s="142"/>
      <c r="AN775" s="142"/>
      <c r="AO775" s="142"/>
      <c r="AP775" s="142"/>
    </row>
    <row r="776" ht="13.5" customHeight="1">
      <c r="A776" s="142"/>
      <c r="B776" s="142"/>
      <c r="C776" s="142"/>
      <c r="D776" s="142"/>
      <c r="E776" s="132"/>
      <c r="F776" s="131"/>
      <c r="G776" s="131"/>
      <c r="H776" s="131"/>
      <c r="I776" s="131"/>
      <c r="J776" s="131"/>
      <c r="K776" s="131"/>
      <c r="L776" s="131"/>
      <c r="M776" s="131"/>
      <c r="N776" s="131"/>
      <c r="O776" s="142"/>
      <c r="P776" s="142"/>
      <c r="Q776" s="142"/>
      <c r="R776" s="142"/>
      <c r="S776" s="142"/>
      <c r="T776" s="142"/>
      <c r="U776" s="142"/>
      <c r="V776" s="142"/>
      <c r="W776" s="142"/>
      <c r="X776" s="142"/>
      <c r="Y776" s="142"/>
      <c r="Z776" s="142"/>
      <c r="AA776" s="131"/>
      <c r="AB776" s="142"/>
      <c r="AC776" s="142"/>
      <c r="AD776" s="142"/>
      <c r="AE776" s="142"/>
      <c r="AF776" s="142"/>
      <c r="AG776" s="142"/>
      <c r="AH776" s="142"/>
      <c r="AI776" s="142"/>
      <c r="AJ776" s="142"/>
      <c r="AK776" s="142"/>
      <c r="AL776" s="142"/>
      <c r="AM776" s="142"/>
      <c r="AN776" s="142"/>
      <c r="AO776" s="142"/>
      <c r="AP776" s="142"/>
    </row>
    <row r="777" ht="13.5" customHeight="1">
      <c r="A777" s="142"/>
      <c r="B777" s="142"/>
      <c r="C777" s="142"/>
      <c r="D777" s="142"/>
      <c r="E777" s="132"/>
      <c r="F777" s="131"/>
      <c r="G777" s="131"/>
      <c r="H777" s="131"/>
      <c r="I777" s="131"/>
      <c r="J777" s="131"/>
      <c r="K777" s="131"/>
      <c r="L777" s="131"/>
      <c r="M777" s="131"/>
      <c r="N777" s="131"/>
      <c r="O777" s="142"/>
      <c r="P777" s="142"/>
      <c r="Q777" s="142"/>
      <c r="R777" s="142"/>
      <c r="S777" s="142"/>
      <c r="T777" s="142"/>
      <c r="U777" s="142"/>
      <c r="V777" s="142"/>
      <c r="W777" s="142"/>
      <c r="X777" s="142"/>
      <c r="Y777" s="142"/>
      <c r="Z777" s="142"/>
      <c r="AA777" s="131"/>
      <c r="AB777" s="142"/>
      <c r="AC777" s="142"/>
      <c r="AD777" s="142"/>
      <c r="AE777" s="142"/>
      <c r="AF777" s="142"/>
      <c r="AG777" s="142"/>
      <c r="AH777" s="142"/>
      <c r="AI777" s="142"/>
      <c r="AJ777" s="142"/>
      <c r="AK777" s="142"/>
      <c r="AL777" s="142"/>
      <c r="AM777" s="142"/>
      <c r="AN777" s="142"/>
      <c r="AO777" s="142"/>
      <c r="AP777" s="142"/>
    </row>
    <row r="778" ht="13.5" customHeight="1">
      <c r="A778" s="142"/>
      <c r="B778" s="142"/>
      <c r="C778" s="142"/>
      <c r="D778" s="142"/>
      <c r="E778" s="132"/>
      <c r="F778" s="131"/>
      <c r="G778" s="131"/>
      <c r="H778" s="131"/>
      <c r="I778" s="131"/>
      <c r="J778" s="131"/>
      <c r="K778" s="131"/>
      <c r="L778" s="131"/>
      <c r="M778" s="131"/>
      <c r="N778" s="131"/>
      <c r="O778" s="142"/>
      <c r="P778" s="142"/>
      <c r="Q778" s="142"/>
      <c r="R778" s="142"/>
      <c r="S778" s="142"/>
      <c r="T778" s="142"/>
      <c r="U778" s="142"/>
      <c r="V778" s="142"/>
      <c r="W778" s="142"/>
      <c r="X778" s="142"/>
      <c r="Y778" s="142"/>
      <c r="Z778" s="142"/>
      <c r="AA778" s="131"/>
      <c r="AB778" s="142"/>
      <c r="AC778" s="142"/>
      <c r="AD778" s="142"/>
      <c r="AE778" s="142"/>
      <c r="AF778" s="142"/>
      <c r="AG778" s="142"/>
      <c r="AH778" s="142"/>
      <c r="AI778" s="142"/>
      <c r="AJ778" s="142"/>
      <c r="AK778" s="142"/>
      <c r="AL778" s="142"/>
      <c r="AM778" s="142"/>
      <c r="AN778" s="142"/>
      <c r="AO778" s="142"/>
      <c r="AP778" s="142"/>
    </row>
    <row r="779" ht="13.5" customHeight="1">
      <c r="A779" s="142"/>
      <c r="B779" s="142"/>
      <c r="C779" s="142"/>
      <c r="D779" s="142"/>
      <c r="E779" s="132"/>
      <c r="F779" s="131"/>
      <c r="G779" s="131"/>
      <c r="H779" s="131"/>
      <c r="I779" s="131"/>
      <c r="J779" s="131"/>
      <c r="K779" s="131"/>
      <c r="L779" s="131"/>
      <c r="M779" s="131"/>
      <c r="N779" s="131"/>
      <c r="O779" s="142"/>
      <c r="P779" s="142"/>
      <c r="Q779" s="142"/>
      <c r="R779" s="142"/>
      <c r="S779" s="142"/>
      <c r="T779" s="142"/>
      <c r="U779" s="142"/>
      <c r="V779" s="142"/>
      <c r="W779" s="142"/>
      <c r="X779" s="142"/>
      <c r="Y779" s="142"/>
      <c r="Z779" s="142"/>
      <c r="AA779" s="131"/>
      <c r="AB779" s="142"/>
      <c r="AC779" s="142"/>
      <c r="AD779" s="142"/>
      <c r="AE779" s="142"/>
      <c r="AF779" s="142"/>
      <c r="AG779" s="142"/>
      <c r="AH779" s="142"/>
      <c r="AI779" s="142"/>
      <c r="AJ779" s="142"/>
      <c r="AK779" s="142"/>
      <c r="AL779" s="142"/>
      <c r="AM779" s="142"/>
      <c r="AN779" s="142"/>
      <c r="AO779" s="142"/>
      <c r="AP779" s="142"/>
    </row>
    <row r="780" ht="13.5" customHeight="1">
      <c r="A780" s="142"/>
      <c r="B780" s="142"/>
      <c r="C780" s="142"/>
      <c r="D780" s="142"/>
      <c r="E780" s="132"/>
      <c r="F780" s="131"/>
      <c r="G780" s="131"/>
      <c r="H780" s="131"/>
      <c r="I780" s="131"/>
      <c r="J780" s="131"/>
      <c r="K780" s="131"/>
      <c r="L780" s="131"/>
      <c r="M780" s="131"/>
      <c r="N780" s="131"/>
      <c r="O780" s="142"/>
      <c r="P780" s="142"/>
      <c r="Q780" s="142"/>
      <c r="R780" s="142"/>
      <c r="S780" s="142"/>
      <c r="T780" s="142"/>
      <c r="U780" s="142"/>
      <c r="V780" s="142"/>
      <c r="W780" s="142"/>
      <c r="X780" s="142"/>
      <c r="Y780" s="142"/>
      <c r="Z780" s="142"/>
      <c r="AA780" s="131"/>
      <c r="AB780" s="142"/>
      <c r="AC780" s="142"/>
      <c r="AD780" s="142"/>
      <c r="AE780" s="142"/>
      <c r="AF780" s="142"/>
      <c r="AG780" s="142"/>
      <c r="AH780" s="142"/>
      <c r="AI780" s="142"/>
      <c r="AJ780" s="142"/>
      <c r="AK780" s="142"/>
      <c r="AL780" s="142"/>
      <c r="AM780" s="142"/>
      <c r="AN780" s="142"/>
      <c r="AO780" s="142"/>
      <c r="AP780" s="142"/>
    </row>
    <row r="781" ht="13.5" customHeight="1">
      <c r="A781" s="142"/>
      <c r="B781" s="142"/>
      <c r="C781" s="142"/>
      <c r="D781" s="142"/>
      <c r="E781" s="132"/>
      <c r="F781" s="131"/>
      <c r="G781" s="131"/>
      <c r="H781" s="131"/>
      <c r="I781" s="131"/>
      <c r="J781" s="131"/>
      <c r="K781" s="131"/>
      <c r="L781" s="131"/>
      <c r="M781" s="131"/>
      <c r="N781" s="131"/>
      <c r="O781" s="142"/>
      <c r="P781" s="142"/>
      <c r="Q781" s="142"/>
      <c r="R781" s="142"/>
      <c r="S781" s="142"/>
      <c r="T781" s="142"/>
      <c r="U781" s="142"/>
      <c r="V781" s="142"/>
      <c r="W781" s="142"/>
      <c r="X781" s="142"/>
      <c r="Y781" s="142"/>
      <c r="Z781" s="142"/>
      <c r="AA781" s="131"/>
      <c r="AB781" s="142"/>
      <c r="AC781" s="142"/>
      <c r="AD781" s="142"/>
      <c r="AE781" s="142"/>
      <c r="AF781" s="142"/>
      <c r="AG781" s="142"/>
      <c r="AH781" s="142"/>
      <c r="AI781" s="142"/>
      <c r="AJ781" s="142"/>
      <c r="AK781" s="142"/>
      <c r="AL781" s="142"/>
      <c r="AM781" s="142"/>
      <c r="AN781" s="142"/>
      <c r="AO781" s="142"/>
      <c r="AP781" s="142"/>
    </row>
    <row r="782" ht="13.5" customHeight="1">
      <c r="A782" s="142"/>
      <c r="B782" s="142"/>
      <c r="C782" s="142"/>
      <c r="D782" s="142"/>
      <c r="E782" s="132"/>
      <c r="F782" s="131"/>
      <c r="G782" s="131"/>
      <c r="H782" s="131"/>
      <c r="I782" s="131"/>
      <c r="J782" s="131"/>
      <c r="K782" s="131"/>
      <c r="L782" s="131"/>
      <c r="M782" s="131"/>
      <c r="N782" s="131"/>
      <c r="O782" s="142"/>
      <c r="P782" s="142"/>
      <c r="Q782" s="142"/>
      <c r="R782" s="142"/>
      <c r="S782" s="142"/>
      <c r="T782" s="142"/>
      <c r="U782" s="142"/>
      <c r="V782" s="142"/>
      <c r="W782" s="142"/>
      <c r="X782" s="142"/>
      <c r="Y782" s="142"/>
      <c r="Z782" s="142"/>
      <c r="AA782" s="131"/>
      <c r="AB782" s="142"/>
      <c r="AC782" s="142"/>
      <c r="AD782" s="142"/>
      <c r="AE782" s="142"/>
      <c r="AF782" s="142"/>
      <c r="AG782" s="142"/>
      <c r="AH782" s="142"/>
      <c r="AI782" s="142"/>
      <c r="AJ782" s="142"/>
      <c r="AK782" s="142"/>
      <c r="AL782" s="142"/>
      <c r="AM782" s="142"/>
      <c r="AN782" s="142"/>
      <c r="AO782" s="142"/>
      <c r="AP782" s="142"/>
    </row>
    <row r="783" ht="13.5" customHeight="1">
      <c r="A783" s="142"/>
      <c r="B783" s="142"/>
      <c r="C783" s="142"/>
      <c r="D783" s="142"/>
      <c r="E783" s="132"/>
      <c r="F783" s="131"/>
      <c r="G783" s="131"/>
      <c r="H783" s="131"/>
      <c r="I783" s="131"/>
      <c r="J783" s="131"/>
      <c r="K783" s="131"/>
      <c r="L783" s="131"/>
      <c r="M783" s="131"/>
      <c r="N783" s="131"/>
      <c r="O783" s="142"/>
      <c r="P783" s="142"/>
      <c r="Q783" s="142"/>
      <c r="R783" s="142"/>
      <c r="S783" s="142"/>
      <c r="T783" s="142"/>
      <c r="U783" s="142"/>
      <c r="V783" s="142"/>
      <c r="W783" s="142"/>
      <c r="X783" s="142"/>
      <c r="Y783" s="142"/>
      <c r="Z783" s="142"/>
      <c r="AA783" s="131"/>
      <c r="AB783" s="142"/>
      <c r="AC783" s="142"/>
      <c r="AD783" s="142"/>
      <c r="AE783" s="142"/>
      <c r="AF783" s="142"/>
      <c r="AG783" s="142"/>
      <c r="AH783" s="142"/>
      <c r="AI783" s="142"/>
      <c r="AJ783" s="142"/>
      <c r="AK783" s="142"/>
      <c r="AL783" s="142"/>
      <c r="AM783" s="142"/>
      <c r="AN783" s="142"/>
      <c r="AO783" s="142"/>
      <c r="AP783" s="142"/>
    </row>
    <row r="784" ht="13.5" customHeight="1">
      <c r="A784" s="142"/>
      <c r="B784" s="142"/>
      <c r="C784" s="142"/>
      <c r="D784" s="142"/>
      <c r="E784" s="132"/>
      <c r="F784" s="131"/>
      <c r="G784" s="131"/>
      <c r="H784" s="131"/>
      <c r="I784" s="131"/>
      <c r="J784" s="131"/>
      <c r="K784" s="131"/>
      <c r="L784" s="131"/>
      <c r="M784" s="131"/>
      <c r="N784" s="131"/>
      <c r="O784" s="142"/>
      <c r="P784" s="142"/>
      <c r="Q784" s="142"/>
      <c r="R784" s="142"/>
      <c r="S784" s="142"/>
      <c r="T784" s="142"/>
      <c r="U784" s="142"/>
      <c r="V784" s="142"/>
      <c r="W784" s="142"/>
      <c r="X784" s="142"/>
      <c r="Y784" s="142"/>
      <c r="Z784" s="142"/>
      <c r="AA784" s="131"/>
      <c r="AB784" s="142"/>
      <c r="AC784" s="142"/>
      <c r="AD784" s="142"/>
      <c r="AE784" s="142"/>
      <c r="AF784" s="142"/>
      <c r="AG784" s="142"/>
      <c r="AH784" s="142"/>
      <c r="AI784" s="142"/>
      <c r="AJ784" s="142"/>
      <c r="AK784" s="142"/>
      <c r="AL784" s="142"/>
      <c r="AM784" s="142"/>
      <c r="AN784" s="142"/>
      <c r="AO784" s="142"/>
      <c r="AP784" s="142"/>
    </row>
    <row r="785" ht="13.5" customHeight="1">
      <c r="A785" s="142"/>
      <c r="B785" s="142"/>
      <c r="C785" s="142"/>
      <c r="D785" s="142"/>
      <c r="E785" s="132"/>
      <c r="F785" s="131"/>
      <c r="G785" s="131"/>
      <c r="H785" s="131"/>
      <c r="I785" s="131"/>
      <c r="J785" s="131"/>
      <c r="K785" s="131"/>
      <c r="L785" s="131"/>
      <c r="M785" s="131"/>
      <c r="N785" s="131"/>
      <c r="O785" s="142"/>
      <c r="P785" s="142"/>
      <c r="Q785" s="142"/>
      <c r="R785" s="142"/>
      <c r="S785" s="142"/>
      <c r="T785" s="142"/>
      <c r="U785" s="142"/>
      <c r="V785" s="142"/>
      <c r="W785" s="142"/>
      <c r="X785" s="142"/>
      <c r="Y785" s="142"/>
      <c r="Z785" s="142"/>
      <c r="AA785" s="131"/>
      <c r="AB785" s="142"/>
      <c r="AC785" s="142"/>
      <c r="AD785" s="142"/>
      <c r="AE785" s="142"/>
      <c r="AF785" s="142"/>
      <c r="AG785" s="142"/>
      <c r="AH785" s="142"/>
      <c r="AI785" s="142"/>
      <c r="AJ785" s="142"/>
      <c r="AK785" s="142"/>
      <c r="AL785" s="142"/>
      <c r="AM785" s="142"/>
      <c r="AN785" s="142"/>
      <c r="AO785" s="142"/>
      <c r="AP785" s="142"/>
    </row>
    <row r="786" ht="13.5" customHeight="1">
      <c r="A786" s="142"/>
      <c r="B786" s="142"/>
      <c r="C786" s="142"/>
      <c r="D786" s="142"/>
      <c r="E786" s="132"/>
      <c r="F786" s="131"/>
      <c r="G786" s="131"/>
      <c r="H786" s="131"/>
      <c r="I786" s="131"/>
      <c r="J786" s="131"/>
      <c r="K786" s="131"/>
      <c r="L786" s="131"/>
      <c r="M786" s="131"/>
      <c r="N786" s="131"/>
      <c r="O786" s="142"/>
      <c r="P786" s="142"/>
      <c r="Q786" s="142"/>
      <c r="R786" s="142"/>
      <c r="S786" s="142"/>
      <c r="T786" s="142"/>
      <c r="U786" s="142"/>
      <c r="V786" s="142"/>
      <c r="W786" s="142"/>
      <c r="X786" s="142"/>
      <c r="Y786" s="142"/>
      <c r="Z786" s="142"/>
      <c r="AA786" s="131"/>
      <c r="AB786" s="142"/>
      <c r="AC786" s="142"/>
      <c r="AD786" s="142"/>
      <c r="AE786" s="142"/>
      <c r="AF786" s="142"/>
      <c r="AG786" s="142"/>
      <c r="AH786" s="142"/>
      <c r="AI786" s="142"/>
      <c r="AJ786" s="142"/>
      <c r="AK786" s="142"/>
      <c r="AL786" s="142"/>
      <c r="AM786" s="142"/>
      <c r="AN786" s="142"/>
      <c r="AO786" s="142"/>
      <c r="AP786" s="142"/>
    </row>
    <row r="787" ht="13.5" customHeight="1">
      <c r="A787" s="142"/>
      <c r="B787" s="142"/>
      <c r="C787" s="142"/>
      <c r="D787" s="142"/>
      <c r="E787" s="132"/>
      <c r="F787" s="131"/>
      <c r="G787" s="131"/>
      <c r="H787" s="131"/>
      <c r="I787" s="131"/>
      <c r="J787" s="131"/>
      <c r="K787" s="131"/>
      <c r="L787" s="131"/>
      <c r="M787" s="131"/>
      <c r="N787" s="131"/>
      <c r="O787" s="142"/>
      <c r="P787" s="142"/>
      <c r="Q787" s="142"/>
      <c r="R787" s="142"/>
      <c r="S787" s="142"/>
      <c r="T787" s="142"/>
      <c r="U787" s="142"/>
      <c r="V787" s="142"/>
      <c r="W787" s="142"/>
      <c r="X787" s="142"/>
      <c r="Y787" s="142"/>
      <c r="Z787" s="142"/>
      <c r="AA787" s="131"/>
      <c r="AB787" s="142"/>
      <c r="AC787" s="142"/>
      <c r="AD787" s="142"/>
      <c r="AE787" s="142"/>
      <c r="AF787" s="142"/>
      <c r="AG787" s="142"/>
      <c r="AH787" s="142"/>
      <c r="AI787" s="142"/>
      <c r="AJ787" s="142"/>
      <c r="AK787" s="142"/>
      <c r="AL787" s="142"/>
      <c r="AM787" s="142"/>
      <c r="AN787" s="142"/>
      <c r="AO787" s="142"/>
      <c r="AP787" s="142"/>
    </row>
    <row r="788" ht="13.5" customHeight="1">
      <c r="A788" s="142"/>
      <c r="B788" s="142"/>
      <c r="C788" s="142"/>
      <c r="D788" s="142"/>
      <c r="E788" s="132"/>
      <c r="F788" s="131"/>
      <c r="G788" s="131"/>
      <c r="H788" s="131"/>
      <c r="I788" s="131"/>
      <c r="J788" s="131"/>
      <c r="K788" s="131"/>
      <c r="L788" s="131"/>
      <c r="M788" s="131"/>
      <c r="N788" s="131"/>
      <c r="O788" s="142"/>
      <c r="P788" s="142"/>
      <c r="Q788" s="142"/>
      <c r="R788" s="142"/>
      <c r="S788" s="142"/>
      <c r="T788" s="142"/>
      <c r="U788" s="142"/>
      <c r="V788" s="142"/>
      <c r="W788" s="142"/>
      <c r="X788" s="142"/>
      <c r="Y788" s="142"/>
      <c r="Z788" s="142"/>
      <c r="AA788" s="131"/>
      <c r="AB788" s="142"/>
      <c r="AC788" s="142"/>
      <c r="AD788" s="142"/>
      <c r="AE788" s="142"/>
      <c r="AF788" s="142"/>
      <c r="AG788" s="142"/>
      <c r="AH788" s="142"/>
      <c r="AI788" s="142"/>
      <c r="AJ788" s="142"/>
      <c r="AK788" s="142"/>
      <c r="AL788" s="142"/>
      <c r="AM788" s="142"/>
      <c r="AN788" s="142"/>
      <c r="AO788" s="142"/>
      <c r="AP788" s="142"/>
    </row>
    <row r="789" ht="13.5" customHeight="1">
      <c r="A789" s="142"/>
      <c r="B789" s="142"/>
      <c r="C789" s="142"/>
      <c r="D789" s="142"/>
      <c r="E789" s="132"/>
      <c r="F789" s="131"/>
      <c r="G789" s="131"/>
      <c r="H789" s="131"/>
      <c r="I789" s="131"/>
      <c r="J789" s="131"/>
      <c r="K789" s="131"/>
      <c r="L789" s="131"/>
      <c r="M789" s="131"/>
      <c r="N789" s="131"/>
      <c r="O789" s="142"/>
      <c r="P789" s="142"/>
      <c r="Q789" s="142"/>
      <c r="R789" s="142"/>
      <c r="S789" s="142"/>
      <c r="T789" s="142"/>
      <c r="U789" s="142"/>
      <c r="V789" s="142"/>
      <c r="W789" s="142"/>
      <c r="X789" s="142"/>
      <c r="Y789" s="142"/>
      <c r="Z789" s="142"/>
      <c r="AA789" s="131"/>
      <c r="AB789" s="142"/>
      <c r="AC789" s="142"/>
      <c r="AD789" s="142"/>
      <c r="AE789" s="142"/>
      <c r="AF789" s="142"/>
      <c r="AG789" s="142"/>
      <c r="AH789" s="142"/>
      <c r="AI789" s="142"/>
      <c r="AJ789" s="142"/>
      <c r="AK789" s="142"/>
      <c r="AL789" s="142"/>
      <c r="AM789" s="142"/>
      <c r="AN789" s="142"/>
      <c r="AO789" s="142"/>
      <c r="AP789" s="142"/>
    </row>
    <row r="790" ht="13.5" customHeight="1">
      <c r="A790" s="142"/>
      <c r="B790" s="142"/>
      <c r="C790" s="142"/>
      <c r="D790" s="142"/>
      <c r="E790" s="132"/>
      <c r="F790" s="131"/>
      <c r="G790" s="131"/>
      <c r="H790" s="131"/>
      <c r="I790" s="131"/>
      <c r="J790" s="131"/>
      <c r="K790" s="131"/>
      <c r="L790" s="131"/>
      <c r="M790" s="131"/>
      <c r="N790" s="131"/>
      <c r="O790" s="142"/>
      <c r="P790" s="142"/>
      <c r="Q790" s="142"/>
      <c r="R790" s="142"/>
      <c r="S790" s="142"/>
      <c r="T790" s="142"/>
      <c r="U790" s="142"/>
      <c r="V790" s="142"/>
      <c r="W790" s="142"/>
      <c r="X790" s="142"/>
      <c r="Y790" s="142"/>
      <c r="Z790" s="142"/>
      <c r="AA790" s="131"/>
      <c r="AB790" s="142"/>
      <c r="AC790" s="142"/>
      <c r="AD790" s="142"/>
      <c r="AE790" s="142"/>
      <c r="AF790" s="142"/>
      <c r="AG790" s="142"/>
      <c r="AH790" s="142"/>
      <c r="AI790" s="142"/>
      <c r="AJ790" s="142"/>
      <c r="AK790" s="142"/>
      <c r="AL790" s="142"/>
      <c r="AM790" s="142"/>
      <c r="AN790" s="142"/>
      <c r="AO790" s="142"/>
      <c r="AP790" s="142"/>
    </row>
    <row r="791" ht="13.5" customHeight="1">
      <c r="A791" s="142"/>
      <c r="B791" s="142"/>
      <c r="C791" s="142"/>
      <c r="D791" s="142"/>
      <c r="E791" s="132"/>
      <c r="F791" s="131"/>
      <c r="G791" s="131"/>
      <c r="H791" s="131"/>
      <c r="I791" s="131"/>
      <c r="J791" s="131"/>
      <c r="K791" s="131"/>
      <c r="L791" s="131"/>
      <c r="M791" s="131"/>
      <c r="N791" s="131"/>
      <c r="O791" s="142"/>
      <c r="P791" s="142"/>
      <c r="Q791" s="142"/>
      <c r="R791" s="142"/>
      <c r="S791" s="142"/>
      <c r="T791" s="142"/>
      <c r="U791" s="142"/>
      <c r="V791" s="142"/>
      <c r="W791" s="142"/>
      <c r="X791" s="142"/>
      <c r="Y791" s="142"/>
      <c r="Z791" s="142"/>
      <c r="AA791" s="131"/>
      <c r="AB791" s="142"/>
      <c r="AC791" s="142"/>
      <c r="AD791" s="142"/>
      <c r="AE791" s="142"/>
      <c r="AF791" s="142"/>
      <c r="AG791" s="142"/>
      <c r="AH791" s="142"/>
      <c r="AI791" s="142"/>
      <c r="AJ791" s="142"/>
      <c r="AK791" s="142"/>
      <c r="AL791" s="142"/>
      <c r="AM791" s="142"/>
      <c r="AN791" s="142"/>
      <c r="AO791" s="142"/>
      <c r="AP791" s="142"/>
    </row>
    <row r="792" ht="13.5" customHeight="1">
      <c r="A792" s="142"/>
      <c r="B792" s="142"/>
      <c r="C792" s="142"/>
      <c r="D792" s="142"/>
      <c r="E792" s="132"/>
      <c r="F792" s="131"/>
      <c r="G792" s="131"/>
      <c r="H792" s="131"/>
      <c r="I792" s="131"/>
      <c r="J792" s="131"/>
      <c r="K792" s="131"/>
      <c r="L792" s="131"/>
      <c r="M792" s="131"/>
      <c r="N792" s="131"/>
      <c r="O792" s="142"/>
      <c r="P792" s="142"/>
      <c r="Q792" s="142"/>
      <c r="R792" s="142"/>
      <c r="S792" s="142"/>
      <c r="T792" s="142"/>
      <c r="U792" s="142"/>
      <c r="V792" s="142"/>
      <c r="W792" s="142"/>
      <c r="X792" s="142"/>
      <c r="Y792" s="142"/>
      <c r="Z792" s="142"/>
      <c r="AA792" s="131"/>
      <c r="AB792" s="142"/>
      <c r="AC792" s="142"/>
      <c r="AD792" s="142"/>
      <c r="AE792" s="142"/>
      <c r="AF792" s="142"/>
      <c r="AG792" s="142"/>
      <c r="AH792" s="142"/>
      <c r="AI792" s="142"/>
      <c r="AJ792" s="142"/>
      <c r="AK792" s="142"/>
      <c r="AL792" s="142"/>
      <c r="AM792" s="142"/>
      <c r="AN792" s="142"/>
      <c r="AO792" s="142"/>
      <c r="AP792" s="142"/>
    </row>
    <row r="793" ht="13.5" customHeight="1">
      <c r="A793" s="142"/>
      <c r="B793" s="142"/>
      <c r="C793" s="142"/>
      <c r="D793" s="142"/>
      <c r="E793" s="132"/>
      <c r="F793" s="131"/>
      <c r="G793" s="131"/>
      <c r="H793" s="131"/>
      <c r="I793" s="131"/>
      <c r="J793" s="131"/>
      <c r="K793" s="131"/>
      <c r="L793" s="131"/>
      <c r="M793" s="131"/>
      <c r="N793" s="131"/>
      <c r="O793" s="142"/>
      <c r="P793" s="142"/>
      <c r="Q793" s="142"/>
      <c r="R793" s="142"/>
      <c r="S793" s="142"/>
      <c r="T793" s="142"/>
      <c r="U793" s="142"/>
      <c r="V793" s="142"/>
      <c r="W793" s="142"/>
      <c r="X793" s="142"/>
      <c r="Y793" s="142"/>
      <c r="Z793" s="142"/>
      <c r="AA793" s="131"/>
      <c r="AB793" s="142"/>
      <c r="AC793" s="142"/>
      <c r="AD793" s="142"/>
      <c r="AE793" s="142"/>
      <c r="AF793" s="142"/>
      <c r="AG793" s="142"/>
      <c r="AH793" s="142"/>
      <c r="AI793" s="142"/>
      <c r="AJ793" s="142"/>
      <c r="AK793" s="142"/>
      <c r="AL793" s="142"/>
      <c r="AM793" s="142"/>
      <c r="AN793" s="142"/>
      <c r="AO793" s="142"/>
      <c r="AP793" s="142"/>
    </row>
    <row r="794" ht="13.5" customHeight="1">
      <c r="A794" s="142"/>
      <c r="B794" s="142"/>
      <c r="C794" s="142"/>
      <c r="D794" s="142"/>
      <c r="E794" s="132"/>
      <c r="F794" s="131"/>
      <c r="G794" s="131"/>
      <c r="H794" s="131"/>
      <c r="I794" s="131"/>
      <c r="J794" s="131"/>
      <c r="K794" s="131"/>
      <c r="L794" s="131"/>
      <c r="M794" s="131"/>
      <c r="N794" s="131"/>
      <c r="O794" s="142"/>
      <c r="P794" s="142"/>
      <c r="Q794" s="142"/>
      <c r="R794" s="142"/>
      <c r="S794" s="142"/>
      <c r="T794" s="142"/>
      <c r="U794" s="142"/>
      <c r="V794" s="142"/>
      <c r="W794" s="142"/>
      <c r="X794" s="142"/>
      <c r="Y794" s="142"/>
      <c r="Z794" s="142"/>
      <c r="AA794" s="131"/>
      <c r="AB794" s="142"/>
      <c r="AC794" s="142"/>
      <c r="AD794" s="142"/>
      <c r="AE794" s="142"/>
      <c r="AF794" s="142"/>
      <c r="AG794" s="142"/>
      <c r="AH794" s="142"/>
      <c r="AI794" s="142"/>
      <c r="AJ794" s="142"/>
      <c r="AK794" s="142"/>
      <c r="AL794" s="142"/>
      <c r="AM794" s="142"/>
      <c r="AN794" s="142"/>
      <c r="AO794" s="142"/>
      <c r="AP794" s="142"/>
    </row>
    <row r="795" ht="13.5" customHeight="1">
      <c r="A795" s="142"/>
      <c r="B795" s="142"/>
      <c r="C795" s="142"/>
      <c r="D795" s="142"/>
      <c r="E795" s="132"/>
      <c r="F795" s="131"/>
      <c r="G795" s="131"/>
      <c r="H795" s="131"/>
      <c r="I795" s="131"/>
      <c r="J795" s="131"/>
      <c r="K795" s="131"/>
      <c r="L795" s="131"/>
      <c r="M795" s="131"/>
      <c r="N795" s="131"/>
      <c r="O795" s="142"/>
      <c r="P795" s="142"/>
      <c r="Q795" s="142"/>
      <c r="R795" s="142"/>
      <c r="S795" s="142"/>
      <c r="T795" s="142"/>
      <c r="U795" s="142"/>
      <c r="V795" s="142"/>
      <c r="W795" s="142"/>
      <c r="X795" s="142"/>
      <c r="Y795" s="142"/>
      <c r="Z795" s="142"/>
      <c r="AA795" s="131"/>
      <c r="AB795" s="142"/>
      <c r="AC795" s="142"/>
      <c r="AD795" s="142"/>
      <c r="AE795" s="142"/>
      <c r="AF795" s="142"/>
      <c r="AG795" s="142"/>
      <c r="AH795" s="142"/>
      <c r="AI795" s="142"/>
      <c r="AJ795" s="142"/>
      <c r="AK795" s="142"/>
      <c r="AL795" s="142"/>
      <c r="AM795" s="142"/>
      <c r="AN795" s="142"/>
      <c r="AO795" s="142"/>
      <c r="AP795" s="142"/>
    </row>
    <row r="796" ht="13.5" customHeight="1">
      <c r="A796" s="142"/>
      <c r="B796" s="142"/>
      <c r="C796" s="142"/>
      <c r="D796" s="142"/>
      <c r="E796" s="132"/>
      <c r="F796" s="131"/>
      <c r="G796" s="131"/>
      <c r="H796" s="131"/>
      <c r="I796" s="131"/>
      <c r="J796" s="131"/>
      <c r="K796" s="131"/>
      <c r="L796" s="131"/>
      <c r="M796" s="131"/>
      <c r="N796" s="131"/>
      <c r="O796" s="142"/>
      <c r="P796" s="142"/>
      <c r="Q796" s="142"/>
      <c r="R796" s="142"/>
      <c r="S796" s="142"/>
      <c r="T796" s="142"/>
      <c r="U796" s="142"/>
      <c r="V796" s="142"/>
      <c r="W796" s="142"/>
      <c r="X796" s="142"/>
      <c r="Y796" s="142"/>
      <c r="Z796" s="142"/>
      <c r="AA796" s="131"/>
      <c r="AB796" s="142"/>
      <c r="AC796" s="142"/>
      <c r="AD796" s="142"/>
      <c r="AE796" s="142"/>
      <c r="AF796" s="142"/>
      <c r="AG796" s="142"/>
      <c r="AH796" s="142"/>
      <c r="AI796" s="142"/>
      <c r="AJ796" s="142"/>
      <c r="AK796" s="142"/>
      <c r="AL796" s="142"/>
      <c r="AM796" s="142"/>
      <c r="AN796" s="142"/>
      <c r="AO796" s="142"/>
      <c r="AP796" s="142"/>
    </row>
    <row r="797" ht="13.5" customHeight="1">
      <c r="A797" s="142"/>
      <c r="B797" s="142"/>
      <c r="C797" s="142"/>
      <c r="D797" s="142"/>
      <c r="E797" s="132"/>
      <c r="F797" s="131"/>
      <c r="G797" s="131"/>
      <c r="H797" s="131"/>
      <c r="I797" s="131"/>
      <c r="J797" s="131"/>
      <c r="K797" s="131"/>
      <c r="L797" s="131"/>
      <c r="M797" s="131"/>
      <c r="N797" s="131"/>
      <c r="O797" s="142"/>
      <c r="P797" s="142"/>
      <c r="Q797" s="142"/>
      <c r="R797" s="142"/>
      <c r="S797" s="142"/>
      <c r="T797" s="142"/>
      <c r="U797" s="142"/>
      <c r="V797" s="142"/>
      <c r="W797" s="142"/>
      <c r="X797" s="142"/>
      <c r="Y797" s="142"/>
      <c r="Z797" s="142"/>
      <c r="AA797" s="131"/>
      <c r="AB797" s="142"/>
      <c r="AC797" s="142"/>
      <c r="AD797" s="142"/>
      <c r="AE797" s="142"/>
      <c r="AF797" s="142"/>
      <c r="AG797" s="142"/>
      <c r="AH797" s="142"/>
      <c r="AI797" s="142"/>
      <c r="AJ797" s="142"/>
      <c r="AK797" s="142"/>
      <c r="AL797" s="142"/>
      <c r="AM797" s="142"/>
      <c r="AN797" s="142"/>
      <c r="AO797" s="142"/>
      <c r="AP797" s="142"/>
    </row>
    <row r="798" ht="13.5" customHeight="1">
      <c r="A798" s="142"/>
      <c r="B798" s="142"/>
      <c r="C798" s="142"/>
      <c r="D798" s="142"/>
      <c r="E798" s="132"/>
      <c r="F798" s="131"/>
      <c r="G798" s="131"/>
      <c r="H798" s="131"/>
      <c r="I798" s="131"/>
      <c r="J798" s="131"/>
      <c r="K798" s="131"/>
      <c r="L798" s="131"/>
      <c r="M798" s="131"/>
      <c r="N798" s="131"/>
      <c r="O798" s="142"/>
      <c r="P798" s="142"/>
      <c r="Q798" s="142"/>
      <c r="R798" s="142"/>
      <c r="S798" s="142"/>
      <c r="T798" s="142"/>
      <c r="U798" s="142"/>
      <c r="V798" s="142"/>
      <c r="W798" s="142"/>
      <c r="X798" s="142"/>
      <c r="Y798" s="142"/>
      <c r="Z798" s="142"/>
      <c r="AA798" s="131"/>
      <c r="AB798" s="142"/>
      <c r="AC798" s="142"/>
      <c r="AD798" s="142"/>
      <c r="AE798" s="142"/>
      <c r="AF798" s="142"/>
      <c r="AG798" s="142"/>
      <c r="AH798" s="142"/>
      <c r="AI798" s="142"/>
      <c r="AJ798" s="142"/>
      <c r="AK798" s="142"/>
      <c r="AL798" s="142"/>
      <c r="AM798" s="142"/>
      <c r="AN798" s="142"/>
      <c r="AO798" s="142"/>
      <c r="AP798" s="142"/>
    </row>
    <row r="799" ht="13.5" customHeight="1">
      <c r="A799" s="142"/>
      <c r="B799" s="142"/>
      <c r="C799" s="142"/>
      <c r="D799" s="142"/>
      <c r="E799" s="132"/>
      <c r="F799" s="131"/>
      <c r="G799" s="131"/>
      <c r="H799" s="131"/>
      <c r="I799" s="131"/>
      <c r="J799" s="131"/>
      <c r="K799" s="131"/>
      <c r="L799" s="131"/>
      <c r="M799" s="131"/>
      <c r="N799" s="131"/>
      <c r="O799" s="142"/>
      <c r="P799" s="142"/>
      <c r="Q799" s="142"/>
      <c r="R799" s="142"/>
      <c r="S799" s="142"/>
      <c r="T799" s="142"/>
      <c r="U799" s="142"/>
      <c r="V799" s="142"/>
      <c r="W799" s="142"/>
      <c r="X799" s="142"/>
      <c r="Y799" s="142"/>
      <c r="Z799" s="142"/>
      <c r="AA799" s="131"/>
      <c r="AB799" s="142"/>
      <c r="AC799" s="142"/>
      <c r="AD799" s="142"/>
      <c r="AE799" s="142"/>
      <c r="AF799" s="142"/>
      <c r="AG799" s="142"/>
      <c r="AH799" s="142"/>
      <c r="AI799" s="142"/>
      <c r="AJ799" s="142"/>
      <c r="AK799" s="142"/>
      <c r="AL799" s="142"/>
      <c r="AM799" s="142"/>
      <c r="AN799" s="142"/>
      <c r="AO799" s="142"/>
      <c r="AP799" s="142"/>
    </row>
    <row r="800" ht="13.5" customHeight="1">
      <c r="A800" s="142"/>
      <c r="B800" s="142"/>
      <c r="C800" s="142"/>
      <c r="D800" s="142"/>
      <c r="E800" s="132"/>
      <c r="F800" s="131"/>
      <c r="G800" s="131"/>
      <c r="H800" s="131"/>
      <c r="I800" s="131"/>
      <c r="J800" s="131"/>
      <c r="K800" s="131"/>
      <c r="L800" s="131"/>
      <c r="M800" s="131"/>
      <c r="N800" s="131"/>
      <c r="O800" s="142"/>
      <c r="P800" s="142"/>
      <c r="Q800" s="142"/>
      <c r="R800" s="142"/>
      <c r="S800" s="142"/>
      <c r="T800" s="142"/>
      <c r="U800" s="142"/>
      <c r="V800" s="142"/>
      <c r="W800" s="142"/>
      <c r="X800" s="142"/>
      <c r="Y800" s="142"/>
      <c r="Z800" s="142"/>
      <c r="AA800" s="131"/>
      <c r="AB800" s="142"/>
      <c r="AC800" s="142"/>
      <c r="AD800" s="142"/>
      <c r="AE800" s="142"/>
      <c r="AF800" s="142"/>
      <c r="AG800" s="142"/>
      <c r="AH800" s="142"/>
      <c r="AI800" s="142"/>
      <c r="AJ800" s="142"/>
      <c r="AK800" s="142"/>
      <c r="AL800" s="142"/>
      <c r="AM800" s="142"/>
      <c r="AN800" s="142"/>
      <c r="AO800" s="142"/>
      <c r="AP800" s="142"/>
    </row>
    <row r="801" ht="13.5" customHeight="1">
      <c r="A801" s="142"/>
      <c r="B801" s="142"/>
      <c r="C801" s="142"/>
      <c r="D801" s="142"/>
      <c r="E801" s="132"/>
      <c r="F801" s="131"/>
      <c r="G801" s="131"/>
      <c r="H801" s="131"/>
      <c r="I801" s="131"/>
      <c r="J801" s="131"/>
      <c r="K801" s="131"/>
      <c r="L801" s="131"/>
      <c r="M801" s="131"/>
      <c r="N801" s="131"/>
      <c r="O801" s="142"/>
      <c r="P801" s="142"/>
      <c r="Q801" s="142"/>
      <c r="R801" s="142"/>
      <c r="S801" s="142"/>
      <c r="T801" s="142"/>
      <c r="U801" s="142"/>
      <c r="V801" s="142"/>
      <c r="W801" s="142"/>
      <c r="X801" s="142"/>
      <c r="Y801" s="142"/>
      <c r="Z801" s="142"/>
      <c r="AA801" s="131"/>
      <c r="AB801" s="142"/>
      <c r="AC801" s="142"/>
      <c r="AD801" s="142"/>
      <c r="AE801" s="142"/>
      <c r="AF801" s="142"/>
      <c r="AG801" s="142"/>
      <c r="AH801" s="142"/>
      <c r="AI801" s="142"/>
      <c r="AJ801" s="142"/>
      <c r="AK801" s="142"/>
      <c r="AL801" s="142"/>
      <c r="AM801" s="142"/>
      <c r="AN801" s="142"/>
      <c r="AO801" s="142"/>
      <c r="AP801" s="142"/>
    </row>
    <row r="802" ht="13.5" customHeight="1">
      <c r="A802" s="142"/>
      <c r="B802" s="142"/>
      <c r="C802" s="142"/>
      <c r="D802" s="142"/>
      <c r="E802" s="132"/>
      <c r="F802" s="131"/>
      <c r="G802" s="131"/>
      <c r="H802" s="131"/>
      <c r="I802" s="131"/>
      <c r="J802" s="131"/>
      <c r="K802" s="131"/>
      <c r="L802" s="131"/>
      <c r="M802" s="131"/>
      <c r="N802" s="131"/>
      <c r="O802" s="142"/>
      <c r="P802" s="142"/>
      <c r="Q802" s="142"/>
      <c r="R802" s="142"/>
      <c r="S802" s="142"/>
      <c r="T802" s="142"/>
      <c r="U802" s="142"/>
      <c r="V802" s="142"/>
      <c r="W802" s="142"/>
      <c r="X802" s="142"/>
      <c r="Y802" s="142"/>
      <c r="Z802" s="142"/>
      <c r="AA802" s="131"/>
      <c r="AB802" s="142"/>
      <c r="AC802" s="142"/>
      <c r="AD802" s="142"/>
      <c r="AE802" s="142"/>
      <c r="AF802" s="142"/>
      <c r="AG802" s="142"/>
      <c r="AH802" s="142"/>
      <c r="AI802" s="142"/>
      <c r="AJ802" s="142"/>
      <c r="AK802" s="142"/>
      <c r="AL802" s="142"/>
      <c r="AM802" s="142"/>
      <c r="AN802" s="142"/>
      <c r="AO802" s="142"/>
      <c r="AP802" s="142"/>
    </row>
    <row r="803" ht="13.5" customHeight="1">
      <c r="A803" s="142"/>
      <c r="B803" s="142"/>
      <c r="C803" s="142"/>
      <c r="D803" s="142"/>
      <c r="E803" s="132"/>
      <c r="F803" s="131"/>
      <c r="G803" s="131"/>
      <c r="H803" s="131"/>
      <c r="I803" s="131"/>
      <c r="J803" s="131"/>
      <c r="K803" s="131"/>
      <c r="L803" s="131"/>
      <c r="M803" s="131"/>
      <c r="N803" s="131"/>
      <c r="O803" s="142"/>
      <c r="P803" s="142"/>
      <c r="Q803" s="142"/>
      <c r="R803" s="142"/>
      <c r="S803" s="142"/>
      <c r="T803" s="142"/>
      <c r="U803" s="142"/>
      <c r="V803" s="142"/>
      <c r="W803" s="142"/>
      <c r="X803" s="142"/>
      <c r="Y803" s="142"/>
      <c r="Z803" s="142"/>
      <c r="AA803" s="131"/>
      <c r="AB803" s="142"/>
      <c r="AC803" s="142"/>
      <c r="AD803" s="142"/>
      <c r="AE803" s="142"/>
      <c r="AF803" s="142"/>
      <c r="AG803" s="142"/>
      <c r="AH803" s="142"/>
      <c r="AI803" s="142"/>
      <c r="AJ803" s="142"/>
      <c r="AK803" s="142"/>
      <c r="AL803" s="142"/>
      <c r="AM803" s="142"/>
      <c r="AN803" s="142"/>
      <c r="AO803" s="142"/>
      <c r="AP803" s="142"/>
    </row>
    <row r="804" ht="13.5" customHeight="1">
      <c r="A804" s="142"/>
      <c r="B804" s="142"/>
      <c r="C804" s="142"/>
      <c r="D804" s="142"/>
      <c r="E804" s="132"/>
      <c r="F804" s="131"/>
      <c r="G804" s="131"/>
      <c r="H804" s="131"/>
      <c r="I804" s="131"/>
      <c r="J804" s="131"/>
      <c r="K804" s="131"/>
      <c r="L804" s="131"/>
      <c r="M804" s="131"/>
      <c r="N804" s="131"/>
      <c r="O804" s="142"/>
      <c r="P804" s="142"/>
      <c r="Q804" s="142"/>
      <c r="R804" s="142"/>
      <c r="S804" s="142"/>
      <c r="T804" s="142"/>
      <c r="U804" s="142"/>
      <c r="V804" s="142"/>
      <c r="W804" s="142"/>
      <c r="X804" s="142"/>
      <c r="Y804" s="142"/>
      <c r="Z804" s="142"/>
      <c r="AA804" s="131"/>
      <c r="AB804" s="142"/>
      <c r="AC804" s="142"/>
      <c r="AD804" s="142"/>
      <c r="AE804" s="142"/>
      <c r="AF804" s="142"/>
      <c r="AG804" s="142"/>
      <c r="AH804" s="142"/>
      <c r="AI804" s="142"/>
      <c r="AJ804" s="142"/>
      <c r="AK804" s="142"/>
      <c r="AL804" s="142"/>
      <c r="AM804" s="142"/>
      <c r="AN804" s="142"/>
      <c r="AO804" s="142"/>
      <c r="AP804" s="142"/>
    </row>
    <row r="805" ht="13.5" customHeight="1">
      <c r="A805" s="142"/>
      <c r="B805" s="142"/>
      <c r="C805" s="142"/>
      <c r="D805" s="142"/>
      <c r="E805" s="132"/>
      <c r="F805" s="131"/>
      <c r="G805" s="131"/>
      <c r="H805" s="131"/>
      <c r="I805" s="131"/>
      <c r="J805" s="131"/>
      <c r="K805" s="131"/>
      <c r="L805" s="131"/>
      <c r="M805" s="131"/>
      <c r="N805" s="131"/>
      <c r="O805" s="142"/>
      <c r="P805" s="142"/>
      <c r="Q805" s="142"/>
      <c r="R805" s="142"/>
      <c r="S805" s="142"/>
      <c r="T805" s="142"/>
      <c r="U805" s="142"/>
      <c r="V805" s="142"/>
      <c r="W805" s="142"/>
      <c r="X805" s="142"/>
      <c r="Y805" s="142"/>
      <c r="Z805" s="142"/>
      <c r="AA805" s="131"/>
      <c r="AB805" s="142"/>
      <c r="AC805" s="142"/>
      <c r="AD805" s="142"/>
      <c r="AE805" s="142"/>
      <c r="AF805" s="142"/>
      <c r="AG805" s="142"/>
      <c r="AH805" s="142"/>
      <c r="AI805" s="142"/>
      <c r="AJ805" s="142"/>
      <c r="AK805" s="142"/>
      <c r="AL805" s="142"/>
      <c r="AM805" s="142"/>
      <c r="AN805" s="142"/>
      <c r="AO805" s="142"/>
      <c r="AP805" s="142"/>
    </row>
    <row r="806" ht="13.5" customHeight="1">
      <c r="A806" s="142"/>
      <c r="B806" s="142"/>
      <c r="C806" s="142"/>
      <c r="D806" s="142"/>
      <c r="E806" s="132"/>
      <c r="F806" s="131"/>
      <c r="G806" s="131"/>
      <c r="H806" s="131"/>
      <c r="I806" s="131"/>
      <c r="J806" s="131"/>
      <c r="K806" s="131"/>
      <c r="L806" s="131"/>
      <c r="M806" s="131"/>
      <c r="N806" s="131"/>
      <c r="O806" s="142"/>
      <c r="P806" s="142"/>
      <c r="Q806" s="142"/>
      <c r="R806" s="142"/>
      <c r="S806" s="142"/>
      <c r="T806" s="142"/>
      <c r="U806" s="142"/>
      <c r="V806" s="142"/>
      <c r="W806" s="142"/>
      <c r="X806" s="142"/>
      <c r="Y806" s="142"/>
      <c r="Z806" s="142"/>
      <c r="AA806" s="131"/>
      <c r="AB806" s="142"/>
      <c r="AC806" s="142"/>
      <c r="AD806" s="142"/>
      <c r="AE806" s="142"/>
      <c r="AF806" s="142"/>
      <c r="AG806" s="142"/>
      <c r="AH806" s="142"/>
      <c r="AI806" s="142"/>
      <c r="AJ806" s="142"/>
      <c r="AK806" s="142"/>
      <c r="AL806" s="142"/>
      <c r="AM806" s="142"/>
      <c r="AN806" s="142"/>
      <c r="AO806" s="142"/>
      <c r="AP806" s="142"/>
    </row>
    <row r="807" ht="13.5" customHeight="1">
      <c r="A807" s="142"/>
      <c r="B807" s="142"/>
      <c r="C807" s="142"/>
      <c r="D807" s="142"/>
      <c r="E807" s="132"/>
      <c r="F807" s="131"/>
      <c r="G807" s="131"/>
      <c r="H807" s="131"/>
      <c r="I807" s="131"/>
      <c r="J807" s="131"/>
      <c r="K807" s="131"/>
      <c r="L807" s="131"/>
      <c r="M807" s="131"/>
      <c r="N807" s="131"/>
      <c r="O807" s="142"/>
      <c r="P807" s="142"/>
      <c r="Q807" s="142"/>
      <c r="R807" s="142"/>
      <c r="S807" s="142"/>
      <c r="T807" s="142"/>
      <c r="U807" s="142"/>
      <c r="V807" s="142"/>
      <c r="W807" s="142"/>
      <c r="X807" s="142"/>
      <c r="Y807" s="142"/>
      <c r="Z807" s="142"/>
      <c r="AA807" s="131"/>
      <c r="AB807" s="142"/>
      <c r="AC807" s="142"/>
      <c r="AD807" s="142"/>
      <c r="AE807" s="142"/>
      <c r="AF807" s="142"/>
      <c r="AG807" s="142"/>
      <c r="AH807" s="142"/>
      <c r="AI807" s="142"/>
      <c r="AJ807" s="142"/>
      <c r="AK807" s="142"/>
      <c r="AL807" s="142"/>
      <c r="AM807" s="142"/>
      <c r="AN807" s="142"/>
      <c r="AO807" s="142"/>
      <c r="AP807" s="142"/>
    </row>
    <row r="808" ht="13.5" customHeight="1">
      <c r="A808" s="142"/>
      <c r="B808" s="142"/>
      <c r="C808" s="142"/>
      <c r="D808" s="142"/>
      <c r="E808" s="132"/>
      <c r="F808" s="131"/>
      <c r="G808" s="131"/>
      <c r="H808" s="131"/>
      <c r="I808" s="131"/>
      <c r="J808" s="131"/>
      <c r="K808" s="131"/>
      <c r="L808" s="131"/>
      <c r="M808" s="131"/>
      <c r="N808" s="131"/>
      <c r="O808" s="142"/>
      <c r="P808" s="142"/>
      <c r="Q808" s="142"/>
      <c r="R808" s="142"/>
      <c r="S808" s="142"/>
      <c r="T808" s="142"/>
      <c r="U808" s="142"/>
      <c r="V808" s="142"/>
      <c r="W808" s="142"/>
      <c r="X808" s="142"/>
      <c r="Y808" s="142"/>
      <c r="Z808" s="142"/>
      <c r="AA808" s="131"/>
      <c r="AB808" s="142"/>
      <c r="AC808" s="142"/>
      <c r="AD808" s="142"/>
      <c r="AE808" s="142"/>
      <c r="AF808" s="142"/>
      <c r="AG808" s="142"/>
      <c r="AH808" s="142"/>
      <c r="AI808" s="142"/>
      <c r="AJ808" s="142"/>
      <c r="AK808" s="142"/>
      <c r="AL808" s="142"/>
      <c r="AM808" s="142"/>
      <c r="AN808" s="142"/>
      <c r="AO808" s="142"/>
      <c r="AP808" s="142"/>
    </row>
    <row r="809" ht="13.5" customHeight="1">
      <c r="A809" s="142"/>
      <c r="B809" s="142"/>
      <c r="C809" s="142"/>
      <c r="D809" s="142"/>
      <c r="E809" s="132"/>
      <c r="F809" s="131"/>
      <c r="G809" s="131"/>
      <c r="H809" s="131"/>
      <c r="I809" s="131"/>
      <c r="J809" s="131"/>
      <c r="K809" s="131"/>
      <c r="L809" s="131"/>
      <c r="M809" s="131"/>
      <c r="N809" s="131"/>
      <c r="O809" s="142"/>
      <c r="P809" s="142"/>
      <c r="Q809" s="142"/>
      <c r="R809" s="142"/>
      <c r="S809" s="142"/>
      <c r="T809" s="142"/>
      <c r="U809" s="142"/>
      <c r="V809" s="142"/>
      <c r="W809" s="142"/>
      <c r="X809" s="142"/>
      <c r="Y809" s="142"/>
      <c r="Z809" s="142"/>
      <c r="AA809" s="131"/>
      <c r="AB809" s="142"/>
      <c r="AC809" s="142"/>
      <c r="AD809" s="142"/>
      <c r="AE809" s="142"/>
      <c r="AF809" s="142"/>
      <c r="AG809" s="142"/>
      <c r="AH809" s="142"/>
      <c r="AI809" s="142"/>
      <c r="AJ809" s="142"/>
      <c r="AK809" s="142"/>
      <c r="AL809" s="142"/>
      <c r="AM809" s="142"/>
      <c r="AN809" s="142"/>
      <c r="AO809" s="142"/>
      <c r="AP809" s="142"/>
    </row>
    <row r="810" ht="13.5" customHeight="1">
      <c r="A810" s="142"/>
      <c r="B810" s="142"/>
      <c r="C810" s="142"/>
      <c r="D810" s="142"/>
      <c r="E810" s="132"/>
      <c r="F810" s="131"/>
      <c r="G810" s="131"/>
      <c r="H810" s="131"/>
      <c r="I810" s="131"/>
      <c r="J810" s="131"/>
      <c r="K810" s="131"/>
      <c r="L810" s="131"/>
      <c r="M810" s="131"/>
      <c r="N810" s="131"/>
      <c r="O810" s="142"/>
      <c r="P810" s="142"/>
      <c r="Q810" s="142"/>
      <c r="R810" s="142"/>
      <c r="S810" s="142"/>
      <c r="T810" s="142"/>
      <c r="U810" s="142"/>
      <c r="V810" s="142"/>
      <c r="W810" s="142"/>
      <c r="X810" s="142"/>
      <c r="Y810" s="142"/>
      <c r="Z810" s="142"/>
      <c r="AA810" s="131"/>
      <c r="AB810" s="142"/>
      <c r="AC810" s="142"/>
      <c r="AD810" s="142"/>
      <c r="AE810" s="142"/>
      <c r="AF810" s="142"/>
      <c r="AG810" s="142"/>
      <c r="AH810" s="142"/>
      <c r="AI810" s="142"/>
      <c r="AJ810" s="142"/>
      <c r="AK810" s="142"/>
      <c r="AL810" s="142"/>
      <c r="AM810" s="142"/>
      <c r="AN810" s="142"/>
      <c r="AO810" s="142"/>
      <c r="AP810" s="142"/>
    </row>
    <row r="811" ht="13.5" customHeight="1">
      <c r="A811" s="142"/>
      <c r="B811" s="142"/>
      <c r="C811" s="142"/>
      <c r="D811" s="142"/>
      <c r="E811" s="132"/>
      <c r="F811" s="131"/>
      <c r="G811" s="131"/>
      <c r="H811" s="131"/>
      <c r="I811" s="131"/>
      <c r="J811" s="131"/>
      <c r="K811" s="131"/>
      <c r="L811" s="131"/>
      <c r="M811" s="131"/>
      <c r="N811" s="131"/>
      <c r="O811" s="142"/>
      <c r="P811" s="142"/>
      <c r="Q811" s="142"/>
      <c r="R811" s="142"/>
      <c r="S811" s="142"/>
      <c r="T811" s="142"/>
      <c r="U811" s="142"/>
      <c r="V811" s="142"/>
      <c r="W811" s="142"/>
      <c r="X811" s="142"/>
      <c r="Y811" s="142"/>
      <c r="Z811" s="142"/>
      <c r="AA811" s="131"/>
      <c r="AB811" s="142"/>
      <c r="AC811" s="142"/>
      <c r="AD811" s="142"/>
      <c r="AE811" s="142"/>
      <c r="AF811" s="142"/>
      <c r="AG811" s="142"/>
      <c r="AH811" s="142"/>
      <c r="AI811" s="142"/>
      <c r="AJ811" s="142"/>
      <c r="AK811" s="142"/>
      <c r="AL811" s="142"/>
      <c r="AM811" s="142"/>
      <c r="AN811" s="142"/>
      <c r="AO811" s="142"/>
      <c r="AP811" s="142"/>
    </row>
    <row r="812" ht="13.5" customHeight="1">
      <c r="A812" s="142"/>
      <c r="B812" s="142"/>
      <c r="C812" s="142"/>
      <c r="D812" s="142"/>
      <c r="E812" s="132"/>
      <c r="F812" s="131"/>
      <c r="G812" s="131"/>
      <c r="H812" s="131"/>
      <c r="I812" s="131"/>
      <c r="J812" s="131"/>
      <c r="K812" s="131"/>
      <c r="L812" s="131"/>
      <c r="M812" s="131"/>
      <c r="N812" s="131"/>
      <c r="O812" s="142"/>
      <c r="P812" s="142"/>
      <c r="Q812" s="142"/>
      <c r="R812" s="142"/>
      <c r="S812" s="142"/>
      <c r="T812" s="142"/>
      <c r="U812" s="142"/>
      <c r="V812" s="142"/>
      <c r="W812" s="142"/>
      <c r="X812" s="142"/>
      <c r="Y812" s="142"/>
      <c r="Z812" s="142"/>
      <c r="AA812" s="131"/>
      <c r="AB812" s="142"/>
      <c r="AC812" s="142"/>
      <c r="AD812" s="142"/>
      <c r="AE812" s="142"/>
      <c r="AF812" s="142"/>
      <c r="AG812" s="142"/>
      <c r="AH812" s="142"/>
      <c r="AI812" s="142"/>
      <c r="AJ812" s="142"/>
      <c r="AK812" s="142"/>
      <c r="AL812" s="142"/>
      <c r="AM812" s="142"/>
      <c r="AN812" s="142"/>
      <c r="AO812" s="142"/>
      <c r="AP812" s="142"/>
    </row>
    <row r="813" ht="13.5" customHeight="1">
      <c r="A813" s="142"/>
      <c r="B813" s="142"/>
      <c r="C813" s="142"/>
      <c r="D813" s="142"/>
      <c r="E813" s="132"/>
      <c r="F813" s="131"/>
      <c r="G813" s="131"/>
      <c r="H813" s="131"/>
      <c r="I813" s="131"/>
      <c r="J813" s="131"/>
      <c r="K813" s="131"/>
      <c r="L813" s="131"/>
      <c r="M813" s="131"/>
      <c r="N813" s="131"/>
      <c r="O813" s="142"/>
      <c r="P813" s="142"/>
      <c r="Q813" s="142"/>
      <c r="R813" s="142"/>
      <c r="S813" s="142"/>
      <c r="T813" s="142"/>
      <c r="U813" s="142"/>
      <c r="V813" s="142"/>
      <c r="W813" s="142"/>
      <c r="X813" s="142"/>
      <c r="Y813" s="142"/>
      <c r="Z813" s="142"/>
      <c r="AA813" s="131"/>
      <c r="AB813" s="142"/>
      <c r="AC813" s="142"/>
      <c r="AD813" s="142"/>
      <c r="AE813" s="142"/>
      <c r="AF813" s="142"/>
      <c r="AG813" s="142"/>
      <c r="AH813" s="142"/>
      <c r="AI813" s="142"/>
      <c r="AJ813" s="142"/>
      <c r="AK813" s="142"/>
      <c r="AL813" s="142"/>
      <c r="AM813" s="142"/>
      <c r="AN813" s="142"/>
      <c r="AO813" s="142"/>
      <c r="AP813" s="142"/>
    </row>
    <row r="814" ht="13.5" customHeight="1">
      <c r="A814" s="142"/>
      <c r="B814" s="142"/>
      <c r="C814" s="142"/>
      <c r="D814" s="142"/>
      <c r="E814" s="132"/>
      <c r="F814" s="131"/>
      <c r="G814" s="131"/>
      <c r="H814" s="131"/>
      <c r="I814" s="131"/>
      <c r="J814" s="131"/>
      <c r="K814" s="131"/>
      <c r="L814" s="131"/>
      <c r="M814" s="131"/>
      <c r="N814" s="131"/>
      <c r="O814" s="142"/>
      <c r="P814" s="142"/>
      <c r="Q814" s="142"/>
      <c r="R814" s="142"/>
      <c r="S814" s="142"/>
      <c r="T814" s="142"/>
      <c r="U814" s="142"/>
      <c r="V814" s="142"/>
      <c r="W814" s="142"/>
      <c r="X814" s="142"/>
      <c r="Y814" s="142"/>
      <c r="Z814" s="142"/>
      <c r="AA814" s="131"/>
      <c r="AB814" s="142"/>
      <c r="AC814" s="142"/>
      <c r="AD814" s="142"/>
      <c r="AE814" s="142"/>
      <c r="AF814" s="142"/>
      <c r="AG814" s="142"/>
      <c r="AH814" s="142"/>
      <c r="AI814" s="142"/>
      <c r="AJ814" s="142"/>
      <c r="AK814" s="142"/>
      <c r="AL814" s="142"/>
      <c r="AM814" s="142"/>
      <c r="AN814" s="142"/>
      <c r="AO814" s="142"/>
      <c r="AP814" s="142"/>
    </row>
    <row r="815" ht="13.5" customHeight="1">
      <c r="A815" s="142"/>
      <c r="B815" s="142"/>
      <c r="C815" s="142"/>
      <c r="D815" s="142"/>
      <c r="E815" s="132"/>
      <c r="F815" s="131"/>
      <c r="G815" s="131"/>
      <c r="H815" s="131"/>
      <c r="I815" s="131"/>
      <c r="J815" s="131"/>
      <c r="K815" s="131"/>
      <c r="L815" s="131"/>
      <c r="M815" s="131"/>
      <c r="N815" s="131"/>
      <c r="O815" s="142"/>
      <c r="P815" s="142"/>
      <c r="Q815" s="142"/>
      <c r="R815" s="142"/>
      <c r="S815" s="142"/>
      <c r="T815" s="142"/>
      <c r="U815" s="142"/>
      <c r="V815" s="142"/>
      <c r="W815" s="142"/>
      <c r="X815" s="142"/>
      <c r="Y815" s="142"/>
      <c r="Z815" s="142"/>
      <c r="AA815" s="131"/>
      <c r="AB815" s="142"/>
      <c r="AC815" s="142"/>
      <c r="AD815" s="142"/>
      <c r="AE815" s="142"/>
      <c r="AF815" s="142"/>
      <c r="AG815" s="142"/>
      <c r="AH815" s="142"/>
      <c r="AI815" s="142"/>
      <c r="AJ815" s="142"/>
      <c r="AK815" s="142"/>
      <c r="AL815" s="142"/>
      <c r="AM815" s="142"/>
      <c r="AN815" s="142"/>
      <c r="AO815" s="142"/>
      <c r="AP815" s="142"/>
    </row>
    <row r="816" ht="13.5" customHeight="1">
      <c r="A816" s="142"/>
      <c r="B816" s="142"/>
      <c r="C816" s="142"/>
      <c r="D816" s="142"/>
      <c r="E816" s="132"/>
      <c r="F816" s="131"/>
      <c r="G816" s="131"/>
      <c r="H816" s="131"/>
      <c r="I816" s="131"/>
      <c r="J816" s="131"/>
      <c r="K816" s="131"/>
      <c r="L816" s="131"/>
      <c r="M816" s="131"/>
      <c r="N816" s="131"/>
      <c r="O816" s="142"/>
      <c r="P816" s="142"/>
      <c r="Q816" s="142"/>
      <c r="R816" s="142"/>
      <c r="S816" s="142"/>
      <c r="T816" s="142"/>
      <c r="U816" s="142"/>
      <c r="V816" s="142"/>
      <c r="W816" s="142"/>
      <c r="X816" s="142"/>
      <c r="Y816" s="142"/>
      <c r="Z816" s="142"/>
      <c r="AA816" s="131"/>
      <c r="AB816" s="142"/>
      <c r="AC816" s="142"/>
      <c r="AD816" s="142"/>
      <c r="AE816" s="142"/>
      <c r="AF816" s="142"/>
      <c r="AG816" s="142"/>
      <c r="AH816" s="142"/>
      <c r="AI816" s="142"/>
      <c r="AJ816" s="142"/>
      <c r="AK816" s="142"/>
      <c r="AL816" s="142"/>
      <c r="AM816" s="142"/>
      <c r="AN816" s="142"/>
      <c r="AO816" s="142"/>
      <c r="AP816" s="142"/>
    </row>
    <row r="817" ht="13.5" customHeight="1">
      <c r="A817" s="142"/>
      <c r="B817" s="142"/>
      <c r="C817" s="142"/>
      <c r="D817" s="142"/>
      <c r="E817" s="132"/>
      <c r="F817" s="131"/>
      <c r="G817" s="131"/>
      <c r="H817" s="131"/>
      <c r="I817" s="131"/>
      <c r="J817" s="131"/>
      <c r="K817" s="131"/>
      <c r="L817" s="131"/>
      <c r="M817" s="131"/>
      <c r="N817" s="131"/>
      <c r="O817" s="142"/>
      <c r="P817" s="142"/>
      <c r="Q817" s="142"/>
      <c r="R817" s="142"/>
      <c r="S817" s="142"/>
      <c r="T817" s="142"/>
      <c r="U817" s="142"/>
      <c r="V817" s="142"/>
      <c r="W817" s="142"/>
      <c r="X817" s="142"/>
      <c r="Y817" s="142"/>
      <c r="Z817" s="142"/>
      <c r="AA817" s="131"/>
      <c r="AB817" s="142"/>
      <c r="AC817" s="142"/>
      <c r="AD817" s="142"/>
      <c r="AE817" s="142"/>
      <c r="AF817" s="142"/>
      <c r="AG817" s="142"/>
      <c r="AH817" s="142"/>
      <c r="AI817" s="142"/>
      <c r="AJ817" s="142"/>
      <c r="AK817" s="142"/>
      <c r="AL817" s="142"/>
      <c r="AM817" s="142"/>
      <c r="AN817" s="142"/>
      <c r="AO817" s="142"/>
      <c r="AP817" s="142"/>
    </row>
    <row r="818" ht="13.5" customHeight="1">
      <c r="A818" s="142"/>
      <c r="B818" s="142"/>
      <c r="C818" s="142"/>
      <c r="D818" s="142"/>
      <c r="E818" s="132"/>
      <c r="F818" s="131"/>
      <c r="G818" s="131"/>
      <c r="H818" s="131"/>
      <c r="I818" s="131"/>
      <c r="J818" s="131"/>
      <c r="K818" s="131"/>
      <c r="L818" s="131"/>
      <c r="M818" s="131"/>
      <c r="N818" s="131"/>
      <c r="O818" s="142"/>
      <c r="P818" s="142"/>
      <c r="Q818" s="142"/>
      <c r="R818" s="142"/>
      <c r="S818" s="142"/>
      <c r="T818" s="142"/>
      <c r="U818" s="142"/>
      <c r="V818" s="142"/>
      <c r="W818" s="142"/>
      <c r="X818" s="142"/>
      <c r="Y818" s="142"/>
      <c r="Z818" s="142"/>
      <c r="AA818" s="131"/>
      <c r="AB818" s="142"/>
      <c r="AC818" s="142"/>
      <c r="AD818" s="142"/>
      <c r="AE818" s="142"/>
      <c r="AF818" s="142"/>
      <c r="AG818" s="142"/>
      <c r="AH818" s="142"/>
      <c r="AI818" s="142"/>
      <c r="AJ818" s="142"/>
      <c r="AK818" s="142"/>
      <c r="AL818" s="142"/>
      <c r="AM818" s="142"/>
      <c r="AN818" s="142"/>
      <c r="AO818" s="142"/>
      <c r="AP818" s="142"/>
    </row>
    <row r="819" ht="13.5" customHeight="1">
      <c r="A819" s="142"/>
      <c r="B819" s="142"/>
      <c r="C819" s="142"/>
      <c r="D819" s="142"/>
      <c r="E819" s="132"/>
      <c r="F819" s="131"/>
      <c r="G819" s="131"/>
      <c r="H819" s="131"/>
      <c r="I819" s="131"/>
      <c r="J819" s="131"/>
      <c r="K819" s="131"/>
      <c r="L819" s="131"/>
      <c r="M819" s="131"/>
      <c r="N819" s="131"/>
      <c r="O819" s="142"/>
      <c r="P819" s="142"/>
      <c r="Q819" s="142"/>
      <c r="R819" s="142"/>
      <c r="S819" s="142"/>
      <c r="T819" s="142"/>
      <c r="U819" s="142"/>
      <c r="V819" s="142"/>
      <c r="W819" s="142"/>
      <c r="X819" s="142"/>
      <c r="Y819" s="142"/>
      <c r="Z819" s="142"/>
      <c r="AA819" s="131"/>
      <c r="AB819" s="142"/>
      <c r="AC819" s="142"/>
      <c r="AD819" s="142"/>
      <c r="AE819" s="142"/>
      <c r="AF819" s="142"/>
      <c r="AG819" s="142"/>
      <c r="AH819" s="142"/>
      <c r="AI819" s="142"/>
      <c r="AJ819" s="142"/>
      <c r="AK819" s="142"/>
      <c r="AL819" s="142"/>
      <c r="AM819" s="142"/>
      <c r="AN819" s="142"/>
      <c r="AO819" s="142"/>
      <c r="AP819" s="142"/>
    </row>
    <row r="820" ht="13.5" customHeight="1">
      <c r="A820" s="142"/>
      <c r="B820" s="142"/>
      <c r="C820" s="142"/>
      <c r="D820" s="142"/>
      <c r="E820" s="132"/>
      <c r="F820" s="131"/>
      <c r="G820" s="131"/>
      <c r="H820" s="131"/>
      <c r="I820" s="131"/>
      <c r="J820" s="131"/>
      <c r="K820" s="131"/>
      <c r="L820" s="131"/>
      <c r="M820" s="131"/>
      <c r="N820" s="131"/>
      <c r="O820" s="142"/>
      <c r="P820" s="142"/>
      <c r="Q820" s="142"/>
      <c r="R820" s="142"/>
      <c r="S820" s="142"/>
      <c r="T820" s="142"/>
      <c r="U820" s="142"/>
      <c r="V820" s="142"/>
      <c r="W820" s="142"/>
      <c r="X820" s="142"/>
      <c r="Y820" s="142"/>
      <c r="Z820" s="142"/>
      <c r="AA820" s="131"/>
      <c r="AB820" s="142"/>
      <c r="AC820" s="142"/>
      <c r="AD820" s="142"/>
      <c r="AE820" s="142"/>
      <c r="AF820" s="142"/>
      <c r="AG820" s="142"/>
      <c r="AH820" s="142"/>
      <c r="AI820" s="142"/>
      <c r="AJ820" s="142"/>
      <c r="AK820" s="142"/>
      <c r="AL820" s="142"/>
      <c r="AM820" s="142"/>
      <c r="AN820" s="142"/>
      <c r="AO820" s="142"/>
      <c r="AP820" s="142"/>
    </row>
    <row r="821" ht="13.5" customHeight="1">
      <c r="A821" s="142"/>
      <c r="B821" s="142"/>
      <c r="C821" s="142"/>
      <c r="D821" s="142"/>
      <c r="E821" s="132"/>
      <c r="F821" s="131"/>
      <c r="G821" s="131"/>
      <c r="H821" s="131"/>
      <c r="I821" s="131"/>
      <c r="J821" s="131"/>
      <c r="K821" s="131"/>
      <c r="L821" s="131"/>
      <c r="M821" s="131"/>
      <c r="N821" s="131"/>
      <c r="O821" s="142"/>
      <c r="P821" s="142"/>
      <c r="Q821" s="142"/>
      <c r="R821" s="142"/>
      <c r="S821" s="142"/>
      <c r="T821" s="142"/>
      <c r="U821" s="142"/>
      <c r="V821" s="142"/>
      <c r="W821" s="142"/>
      <c r="X821" s="142"/>
      <c r="Y821" s="142"/>
      <c r="Z821" s="142"/>
      <c r="AA821" s="131"/>
      <c r="AB821" s="142"/>
      <c r="AC821" s="142"/>
      <c r="AD821" s="142"/>
      <c r="AE821" s="142"/>
      <c r="AF821" s="142"/>
      <c r="AG821" s="142"/>
      <c r="AH821" s="142"/>
      <c r="AI821" s="142"/>
      <c r="AJ821" s="142"/>
      <c r="AK821" s="142"/>
      <c r="AL821" s="142"/>
      <c r="AM821" s="142"/>
      <c r="AN821" s="142"/>
      <c r="AO821" s="142"/>
      <c r="AP821" s="142"/>
    </row>
    <row r="822" ht="13.5" customHeight="1">
      <c r="A822" s="142"/>
      <c r="B822" s="142"/>
      <c r="C822" s="142"/>
      <c r="D822" s="142"/>
      <c r="E822" s="132"/>
      <c r="F822" s="131"/>
      <c r="G822" s="131"/>
      <c r="H822" s="131"/>
      <c r="I822" s="131"/>
      <c r="J822" s="131"/>
      <c r="K822" s="131"/>
      <c r="L822" s="131"/>
      <c r="M822" s="131"/>
      <c r="N822" s="131"/>
      <c r="O822" s="142"/>
      <c r="P822" s="142"/>
      <c r="Q822" s="142"/>
      <c r="R822" s="142"/>
      <c r="S822" s="142"/>
      <c r="T822" s="142"/>
      <c r="U822" s="142"/>
      <c r="V822" s="142"/>
      <c r="W822" s="142"/>
      <c r="X822" s="142"/>
      <c r="Y822" s="142"/>
      <c r="Z822" s="142"/>
      <c r="AA822" s="131"/>
      <c r="AB822" s="142"/>
      <c r="AC822" s="142"/>
      <c r="AD822" s="142"/>
      <c r="AE822" s="142"/>
      <c r="AF822" s="142"/>
      <c r="AG822" s="142"/>
      <c r="AH822" s="142"/>
      <c r="AI822" s="142"/>
      <c r="AJ822" s="142"/>
      <c r="AK822" s="142"/>
      <c r="AL822" s="142"/>
      <c r="AM822" s="142"/>
      <c r="AN822" s="142"/>
      <c r="AO822" s="142"/>
      <c r="AP822" s="142"/>
    </row>
    <row r="823" ht="13.5" customHeight="1">
      <c r="A823" s="142"/>
      <c r="B823" s="142"/>
      <c r="C823" s="142"/>
      <c r="D823" s="142"/>
      <c r="E823" s="132"/>
      <c r="F823" s="131"/>
      <c r="G823" s="131"/>
      <c r="H823" s="131"/>
      <c r="I823" s="131"/>
      <c r="J823" s="131"/>
      <c r="K823" s="131"/>
      <c r="L823" s="131"/>
      <c r="M823" s="131"/>
      <c r="N823" s="131"/>
      <c r="O823" s="142"/>
      <c r="P823" s="142"/>
      <c r="Q823" s="142"/>
      <c r="R823" s="142"/>
      <c r="S823" s="142"/>
      <c r="T823" s="142"/>
      <c r="U823" s="142"/>
      <c r="V823" s="142"/>
      <c r="W823" s="142"/>
      <c r="X823" s="142"/>
      <c r="Y823" s="142"/>
      <c r="Z823" s="142"/>
      <c r="AA823" s="131"/>
      <c r="AB823" s="142"/>
      <c r="AC823" s="142"/>
      <c r="AD823" s="142"/>
      <c r="AE823" s="142"/>
      <c r="AF823" s="142"/>
      <c r="AG823" s="142"/>
      <c r="AH823" s="142"/>
      <c r="AI823" s="142"/>
      <c r="AJ823" s="142"/>
      <c r="AK823" s="142"/>
      <c r="AL823" s="142"/>
      <c r="AM823" s="142"/>
      <c r="AN823" s="142"/>
      <c r="AO823" s="142"/>
      <c r="AP823" s="142"/>
    </row>
    <row r="824" ht="13.5" customHeight="1">
      <c r="A824" s="142"/>
      <c r="B824" s="142"/>
      <c r="C824" s="142"/>
      <c r="D824" s="142"/>
      <c r="E824" s="132"/>
      <c r="F824" s="131"/>
      <c r="G824" s="131"/>
      <c r="H824" s="131"/>
      <c r="I824" s="131"/>
      <c r="J824" s="131"/>
      <c r="K824" s="131"/>
      <c r="L824" s="131"/>
      <c r="M824" s="131"/>
      <c r="N824" s="131"/>
      <c r="O824" s="142"/>
      <c r="P824" s="142"/>
      <c r="Q824" s="142"/>
      <c r="R824" s="142"/>
      <c r="S824" s="142"/>
      <c r="T824" s="142"/>
      <c r="U824" s="142"/>
      <c r="V824" s="142"/>
      <c r="W824" s="142"/>
      <c r="X824" s="142"/>
      <c r="Y824" s="142"/>
      <c r="Z824" s="142"/>
      <c r="AA824" s="131"/>
      <c r="AB824" s="142"/>
      <c r="AC824" s="142"/>
      <c r="AD824" s="142"/>
      <c r="AE824" s="142"/>
      <c r="AF824" s="142"/>
      <c r="AG824" s="142"/>
      <c r="AH824" s="142"/>
      <c r="AI824" s="142"/>
      <c r="AJ824" s="142"/>
      <c r="AK824" s="142"/>
      <c r="AL824" s="142"/>
      <c r="AM824" s="142"/>
      <c r="AN824" s="142"/>
      <c r="AO824" s="142"/>
      <c r="AP824" s="142"/>
    </row>
    <row r="825" ht="13.5" customHeight="1">
      <c r="A825" s="142"/>
      <c r="B825" s="142"/>
      <c r="C825" s="142"/>
      <c r="D825" s="142"/>
      <c r="E825" s="132"/>
      <c r="F825" s="131"/>
      <c r="G825" s="131"/>
      <c r="H825" s="131"/>
      <c r="I825" s="131"/>
      <c r="J825" s="131"/>
      <c r="K825" s="131"/>
      <c r="L825" s="131"/>
      <c r="M825" s="131"/>
      <c r="N825" s="131"/>
      <c r="O825" s="142"/>
      <c r="P825" s="142"/>
      <c r="Q825" s="142"/>
      <c r="R825" s="142"/>
      <c r="S825" s="142"/>
      <c r="T825" s="142"/>
      <c r="U825" s="142"/>
      <c r="V825" s="142"/>
      <c r="W825" s="142"/>
      <c r="X825" s="142"/>
      <c r="Y825" s="142"/>
      <c r="Z825" s="142"/>
      <c r="AA825" s="131"/>
      <c r="AB825" s="142"/>
      <c r="AC825" s="142"/>
      <c r="AD825" s="142"/>
      <c r="AE825" s="142"/>
      <c r="AF825" s="142"/>
      <c r="AG825" s="142"/>
      <c r="AH825" s="142"/>
      <c r="AI825" s="142"/>
      <c r="AJ825" s="142"/>
      <c r="AK825" s="142"/>
      <c r="AL825" s="142"/>
      <c r="AM825" s="142"/>
      <c r="AN825" s="142"/>
      <c r="AO825" s="142"/>
      <c r="AP825" s="142"/>
    </row>
    <row r="826" ht="13.5" customHeight="1">
      <c r="A826" s="142"/>
      <c r="B826" s="142"/>
      <c r="C826" s="142"/>
      <c r="D826" s="142"/>
      <c r="E826" s="132"/>
      <c r="F826" s="131"/>
      <c r="G826" s="131"/>
      <c r="H826" s="131"/>
      <c r="I826" s="131"/>
      <c r="J826" s="131"/>
      <c r="K826" s="131"/>
      <c r="L826" s="131"/>
      <c r="M826" s="131"/>
      <c r="N826" s="131"/>
      <c r="O826" s="142"/>
      <c r="P826" s="142"/>
      <c r="Q826" s="142"/>
      <c r="R826" s="142"/>
      <c r="S826" s="142"/>
      <c r="T826" s="142"/>
      <c r="U826" s="142"/>
      <c r="V826" s="142"/>
      <c r="W826" s="142"/>
      <c r="X826" s="142"/>
      <c r="Y826" s="142"/>
      <c r="Z826" s="142"/>
      <c r="AA826" s="131"/>
      <c r="AB826" s="142"/>
      <c r="AC826" s="142"/>
      <c r="AD826" s="142"/>
      <c r="AE826" s="142"/>
      <c r="AF826" s="142"/>
      <c r="AG826" s="142"/>
      <c r="AH826" s="142"/>
      <c r="AI826" s="142"/>
      <c r="AJ826" s="142"/>
      <c r="AK826" s="142"/>
      <c r="AL826" s="142"/>
      <c r="AM826" s="142"/>
      <c r="AN826" s="142"/>
      <c r="AO826" s="142"/>
      <c r="AP826" s="142"/>
    </row>
    <row r="827" ht="13.5" customHeight="1">
      <c r="A827" s="142"/>
      <c r="B827" s="142"/>
      <c r="C827" s="142"/>
      <c r="D827" s="142"/>
      <c r="E827" s="132"/>
      <c r="F827" s="131"/>
      <c r="G827" s="131"/>
      <c r="H827" s="131"/>
      <c r="I827" s="131"/>
      <c r="J827" s="131"/>
      <c r="K827" s="131"/>
      <c r="L827" s="131"/>
      <c r="M827" s="131"/>
      <c r="N827" s="131"/>
      <c r="O827" s="142"/>
      <c r="P827" s="142"/>
      <c r="Q827" s="142"/>
      <c r="R827" s="142"/>
      <c r="S827" s="142"/>
      <c r="T827" s="142"/>
      <c r="U827" s="142"/>
      <c r="V827" s="142"/>
      <c r="W827" s="142"/>
      <c r="X827" s="142"/>
      <c r="Y827" s="142"/>
      <c r="Z827" s="142"/>
      <c r="AA827" s="131"/>
      <c r="AB827" s="142"/>
      <c r="AC827" s="142"/>
      <c r="AD827" s="142"/>
      <c r="AE827" s="142"/>
      <c r="AF827" s="142"/>
      <c r="AG827" s="142"/>
      <c r="AH827" s="142"/>
      <c r="AI827" s="142"/>
      <c r="AJ827" s="142"/>
      <c r="AK827" s="142"/>
      <c r="AL827" s="142"/>
      <c r="AM827" s="142"/>
      <c r="AN827" s="142"/>
      <c r="AO827" s="142"/>
      <c r="AP827" s="142"/>
    </row>
    <row r="828" ht="13.5" customHeight="1">
      <c r="A828" s="142"/>
      <c r="B828" s="142"/>
      <c r="C828" s="142"/>
      <c r="D828" s="142"/>
      <c r="E828" s="132"/>
      <c r="F828" s="131"/>
      <c r="G828" s="131"/>
      <c r="H828" s="131"/>
      <c r="I828" s="131"/>
      <c r="J828" s="131"/>
      <c r="K828" s="131"/>
      <c r="L828" s="131"/>
      <c r="M828" s="131"/>
      <c r="N828" s="131"/>
      <c r="O828" s="142"/>
      <c r="P828" s="142"/>
      <c r="Q828" s="142"/>
      <c r="R828" s="142"/>
      <c r="S828" s="142"/>
      <c r="T828" s="142"/>
      <c r="U828" s="142"/>
      <c r="V828" s="142"/>
      <c r="W828" s="142"/>
      <c r="X828" s="142"/>
      <c r="Y828" s="142"/>
      <c r="Z828" s="142"/>
      <c r="AA828" s="131"/>
      <c r="AB828" s="142"/>
      <c r="AC828" s="142"/>
      <c r="AD828" s="142"/>
      <c r="AE828" s="142"/>
      <c r="AF828" s="142"/>
      <c r="AG828" s="142"/>
      <c r="AH828" s="142"/>
      <c r="AI828" s="142"/>
      <c r="AJ828" s="142"/>
      <c r="AK828" s="142"/>
      <c r="AL828" s="142"/>
      <c r="AM828" s="142"/>
      <c r="AN828" s="142"/>
      <c r="AO828" s="142"/>
      <c r="AP828" s="142"/>
    </row>
    <row r="829" ht="13.5" customHeight="1">
      <c r="A829" s="142"/>
      <c r="B829" s="142"/>
      <c r="C829" s="142"/>
      <c r="D829" s="142"/>
      <c r="E829" s="132"/>
      <c r="F829" s="131"/>
      <c r="G829" s="131"/>
      <c r="H829" s="131"/>
      <c r="I829" s="131"/>
      <c r="J829" s="131"/>
      <c r="K829" s="131"/>
      <c r="L829" s="131"/>
      <c r="M829" s="131"/>
      <c r="N829" s="131"/>
      <c r="O829" s="142"/>
      <c r="P829" s="142"/>
      <c r="Q829" s="142"/>
      <c r="R829" s="142"/>
      <c r="S829" s="142"/>
      <c r="T829" s="142"/>
      <c r="U829" s="142"/>
      <c r="V829" s="142"/>
      <c r="W829" s="142"/>
      <c r="X829" s="142"/>
      <c r="Y829" s="142"/>
      <c r="Z829" s="142"/>
      <c r="AA829" s="131"/>
      <c r="AB829" s="142"/>
      <c r="AC829" s="142"/>
      <c r="AD829" s="142"/>
      <c r="AE829" s="142"/>
      <c r="AF829" s="142"/>
      <c r="AG829" s="142"/>
      <c r="AH829" s="142"/>
      <c r="AI829" s="142"/>
      <c r="AJ829" s="142"/>
      <c r="AK829" s="142"/>
      <c r="AL829" s="142"/>
      <c r="AM829" s="142"/>
      <c r="AN829" s="142"/>
      <c r="AO829" s="142"/>
      <c r="AP829" s="142"/>
    </row>
    <row r="830" ht="13.5" customHeight="1">
      <c r="A830" s="142"/>
      <c r="B830" s="142"/>
      <c r="C830" s="142"/>
      <c r="D830" s="142"/>
      <c r="E830" s="132"/>
      <c r="F830" s="131"/>
      <c r="G830" s="131"/>
      <c r="H830" s="131"/>
      <c r="I830" s="131"/>
      <c r="J830" s="131"/>
      <c r="K830" s="131"/>
      <c r="L830" s="131"/>
      <c r="M830" s="131"/>
      <c r="N830" s="131"/>
      <c r="O830" s="142"/>
      <c r="P830" s="142"/>
      <c r="Q830" s="142"/>
      <c r="R830" s="142"/>
      <c r="S830" s="142"/>
      <c r="T830" s="142"/>
      <c r="U830" s="142"/>
      <c r="V830" s="142"/>
      <c r="W830" s="142"/>
      <c r="X830" s="142"/>
      <c r="Y830" s="142"/>
      <c r="Z830" s="142"/>
      <c r="AA830" s="131"/>
      <c r="AB830" s="142"/>
      <c r="AC830" s="142"/>
      <c r="AD830" s="142"/>
      <c r="AE830" s="142"/>
      <c r="AF830" s="142"/>
      <c r="AG830" s="142"/>
      <c r="AH830" s="142"/>
      <c r="AI830" s="142"/>
      <c r="AJ830" s="142"/>
      <c r="AK830" s="142"/>
      <c r="AL830" s="142"/>
      <c r="AM830" s="142"/>
      <c r="AN830" s="142"/>
      <c r="AO830" s="142"/>
      <c r="AP830" s="142"/>
    </row>
    <row r="831" ht="13.5" customHeight="1">
      <c r="A831" s="142"/>
      <c r="B831" s="142"/>
      <c r="C831" s="142"/>
      <c r="D831" s="142"/>
      <c r="E831" s="132"/>
      <c r="F831" s="131"/>
      <c r="G831" s="131"/>
      <c r="H831" s="131"/>
      <c r="I831" s="131"/>
      <c r="J831" s="131"/>
      <c r="K831" s="131"/>
      <c r="L831" s="131"/>
      <c r="M831" s="131"/>
      <c r="N831" s="131"/>
      <c r="O831" s="142"/>
      <c r="P831" s="142"/>
      <c r="Q831" s="142"/>
      <c r="R831" s="142"/>
      <c r="S831" s="142"/>
      <c r="T831" s="142"/>
      <c r="U831" s="142"/>
      <c r="V831" s="142"/>
      <c r="W831" s="142"/>
      <c r="X831" s="142"/>
      <c r="Y831" s="142"/>
      <c r="Z831" s="142"/>
      <c r="AA831" s="131"/>
      <c r="AB831" s="142"/>
      <c r="AC831" s="142"/>
      <c r="AD831" s="142"/>
      <c r="AE831" s="142"/>
      <c r="AF831" s="142"/>
      <c r="AG831" s="142"/>
      <c r="AH831" s="142"/>
      <c r="AI831" s="142"/>
      <c r="AJ831" s="142"/>
      <c r="AK831" s="142"/>
      <c r="AL831" s="142"/>
      <c r="AM831" s="142"/>
      <c r="AN831" s="142"/>
      <c r="AO831" s="142"/>
      <c r="AP831" s="142"/>
    </row>
    <row r="832" ht="13.5" customHeight="1">
      <c r="A832" s="142"/>
      <c r="B832" s="142"/>
      <c r="C832" s="142"/>
      <c r="D832" s="142"/>
      <c r="E832" s="132"/>
      <c r="F832" s="131"/>
      <c r="G832" s="131"/>
      <c r="H832" s="131"/>
      <c r="I832" s="131"/>
      <c r="J832" s="131"/>
      <c r="K832" s="131"/>
      <c r="L832" s="131"/>
      <c r="M832" s="131"/>
      <c r="N832" s="131"/>
      <c r="O832" s="142"/>
      <c r="P832" s="142"/>
      <c r="Q832" s="142"/>
      <c r="R832" s="142"/>
      <c r="S832" s="142"/>
      <c r="T832" s="142"/>
      <c r="U832" s="142"/>
      <c r="V832" s="142"/>
      <c r="W832" s="142"/>
      <c r="X832" s="142"/>
      <c r="Y832" s="142"/>
      <c r="Z832" s="142"/>
      <c r="AA832" s="131"/>
      <c r="AB832" s="142"/>
      <c r="AC832" s="142"/>
      <c r="AD832" s="142"/>
      <c r="AE832" s="142"/>
      <c r="AF832" s="142"/>
      <c r="AG832" s="142"/>
      <c r="AH832" s="142"/>
      <c r="AI832" s="142"/>
      <c r="AJ832" s="142"/>
      <c r="AK832" s="142"/>
      <c r="AL832" s="142"/>
      <c r="AM832" s="142"/>
      <c r="AN832" s="142"/>
      <c r="AO832" s="142"/>
      <c r="AP832" s="142"/>
    </row>
    <row r="833" ht="13.5" customHeight="1">
      <c r="A833" s="142"/>
      <c r="B833" s="142"/>
      <c r="C833" s="142"/>
      <c r="D833" s="142"/>
      <c r="E833" s="132"/>
      <c r="F833" s="131"/>
      <c r="G833" s="131"/>
      <c r="H833" s="131"/>
      <c r="I833" s="131"/>
      <c r="J833" s="131"/>
      <c r="K833" s="131"/>
      <c r="L833" s="131"/>
      <c r="M833" s="131"/>
      <c r="N833" s="131"/>
      <c r="O833" s="142"/>
      <c r="P833" s="142"/>
      <c r="Q833" s="142"/>
      <c r="R833" s="142"/>
      <c r="S833" s="142"/>
      <c r="T833" s="142"/>
      <c r="U833" s="142"/>
      <c r="V833" s="142"/>
      <c r="W833" s="142"/>
      <c r="X833" s="142"/>
      <c r="Y833" s="142"/>
      <c r="Z833" s="142"/>
      <c r="AA833" s="131"/>
      <c r="AB833" s="142"/>
      <c r="AC833" s="142"/>
      <c r="AD833" s="142"/>
      <c r="AE833" s="142"/>
      <c r="AF833" s="142"/>
      <c r="AG833" s="142"/>
      <c r="AH833" s="142"/>
      <c r="AI833" s="142"/>
      <c r="AJ833" s="142"/>
      <c r="AK833" s="142"/>
      <c r="AL833" s="142"/>
      <c r="AM833" s="142"/>
      <c r="AN833" s="142"/>
      <c r="AO833" s="142"/>
      <c r="AP833" s="142"/>
    </row>
    <row r="834" ht="13.5" customHeight="1">
      <c r="A834" s="142"/>
      <c r="B834" s="142"/>
      <c r="C834" s="142"/>
      <c r="D834" s="142"/>
      <c r="E834" s="132"/>
      <c r="F834" s="131"/>
      <c r="G834" s="131"/>
      <c r="H834" s="131"/>
      <c r="I834" s="131"/>
      <c r="J834" s="131"/>
      <c r="K834" s="131"/>
      <c r="L834" s="131"/>
      <c r="M834" s="131"/>
      <c r="N834" s="131"/>
      <c r="O834" s="142"/>
      <c r="P834" s="142"/>
      <c r="Q834" s="142"/>
      <c r="R834" s="142"/>
      <c r="S834" s="142"/>
      <c r="T834" s="142"/>
      <c r="U834" s="142"/>
      <c r="V834" s="142"/>
      <c r="W834" s="142"/>
      <c r="X834" s="142"/>
      <c r="Y834" s="142"/>
      <c r="Z834" s="142"/>
      <c r="AA834" s="131"/>
      <c r="AB834" s="142"/>
      <c r="AC834" s="142"/>
      <c r="AD834" s="142"/>
      <c r="AE834" s="142"/>
      <c r="AF834" s="142"/>
      <c r="AG834" s="142"/>
      <c r="AH834" s="142"/>
      <c r="AI834" s="142"/>
      <c r="AJ834" s="142"/>
      <c r="AK834" s="142"/>
      <c r="AL834" s="142"/>
      <c r="AM834" s="142"/>
      <c r="AN834" s="142"/>
      <c r="AO834" s="142"/>
      <c r="AP834" s="142"/>
    </row>
    <row r="835" ht="13.5" customHeight="1">
      <c r="A835" s="142"/>
      <c r="B835" s="142"/>
      <c r="C835" s="142"/>
      <c r="D835" s="142"/>
      <c r="E835" s="132"/>
      <c r="F835" s="131"/>
      <c r="G835" s="131"/>
      <c r="H835" s="131"/>
      <c r="I835" s="131"/>
      <c r="J835" s="131"/>
      <c r="K835" s="131"/>
      <c r="L835" s="131"/>
      <c r="M835" s="131"/>
      <c r="N835" s="131"/>
      <c r="O835" s="142"/>
      <c r="P835" s="142"/>
      <c r="Q835" s="142"/>
      <c r="R835" s="142"/>
      <c r="S835" s="142"/>
      <c r="T835" s="142"/>
      <c r="U835" s="142"/>
      <c r="V835" s="142"/>
      <c r="W835" s="142"/>
      <c r="X835" s="142"/>
      <c r="Y835" s="142"/>
      <c r="Z835" s="142"/>
      <c r="AA835" s="131"/>
      <c r="AB835" s="142"/>
      <c r="AC835" s="142"/>
      <c r="AD835" s="142"/>
      <c r="AE835" s="142"/>
      <c r="AF835" s="142"/>
      <c r="AG835" s="142"/>
      <c r="AH835" s="142"/>
      <c r="AI835" s="142"/>
      <c r="AJ835" s="142"/>
      <c r="AK835" s="142"/>
      <c r="AL835" s="142"/>
      <c r="AM835" s="142"/>
      <c r="AN835" s="142"/>
      <c r="AO835" s="142"/>
      <c r="AP835" s="142"/>
    </row>
    <row r="836" ht="13.5" customHeight="1">
      <c r="A836" s="142"/>
      <c r="B836" s="142"/>
      <c r="C836" s="142"/>
      <c r="D836" s="142"/>
      <c r="E836" s="132"/>
      <c r="F836" s="131"/>
      <c r="G836" s="131"/>
      <c r="H836" s="131"/>
      <c r="I836" s="131"/>
      <c r="J836" s="131"/>
      <c r="K836" s="131"/>
      <c r="L836" s="131"/>
      <c r="M836" s="131"/>
      <c r="N836" s="131"/>
      <c r="O836" s="142"/>
      <c r="P836" s="142"/>
      <c r="Q836" s="142"/>
      <c r="R836" s="142"/>
      <c r="S836" s="142"/>
      <c r="T836" s="142"/>
      <c r="U836" s="142"/>
      <c r="V836" s="142"/>
      <c r="W836" s="142"/>
      <c r="X836" s="142"/>
      <c r="Y836" s="142"/>
      <c r="Z836" s="142"/>
      <c r="AA836" s="131"/>
      <c r="AB836" s="142"/>
      <c r="AC836" s="142"/>
      <c r="AD836" s="142"/>
      <c r="AE836" s="142"/>
      <c r="AF836" s="142"/>
      <c r="AG836" s="142"/>
      <c r="AH836" s="142"/>
      <c r="AI836" s="142"/>
      <c r="AJ836" s="142"/>
      <c r="AK836" s="142"/>
      <c r="AL836" s="142"/>
      <c r="AM836" s="142"/>
      <c r="AN836" s="142"/>
      <c r="AO836" s="142"/>
      <c r="AP836" s="142"/>
    </row>
    <row r="837" ht="13.5" customHeight="1">
      <c r="A837" s="142"/>
      <c r="B837" s="142"/>
      <c r="C837" s="142"/>
      <c r="D837" s="142"/>
      <c r="E837" s="132"/>
      <c r="F837" s="131"/>
      <c r="G837" s="131"/>
      <c r="H837" s="131"/>
      <c r="I837" s="131"/>
      <c r="J837" s="131"/>
      <c r="K837" s="131"/>
      <c r="L837" s="131"/>
      <c r="M837" s="131"/>
      <c r="N837" s="131"/>
      <c r="O837" s="142"/>
      <c r="P837" s="142"/>
      <c r="Q837" s="142"/>
      <c r="R837" s="142"/>
      <c r="S837" s="142"/>
      <c r="T837" s="142"/>
      <c r="U837" s="142"/>
      <c r="V837" s="142"/>
      <c r="W837" s="142"/>
      <c r="X837" s="142"/>
      <c r="Y837" s="142"/>
      <c r="Z837" s="142"/>
      <c r="AA837" s="131"/>
      <c r="AB837" s="142"/>
      <c r="AC837" s="142"/>
      <c r="AD837" s="142"/>
      <c r="AE837" s="142"/>
      <c r="AF837" s="142"/>
      <c r="AG837" s="142"/>
      <c r="AH837" s="142"/>
      <c r="AI837" s="142"/>
      <c r="AJ837" s="142"/>
      <c r="AK837" s="142"/>
      <c r="AL837" s="142"/>
      <c r="AM837" s="142"/>
      <c r="AN837" s="142"/>
      <c r="AO837" s="142"/>
      <c r="AP837" s="142"/>
    </row>
    <row r="838" ht="13.5" customHeight="1">
      <c r="A838" s="142"/>
      <c r="B838" s="142"/>
      <c r="C838" s="142"/>
      <c r="D838" s="142"/>
      <c r="E838" s="132"/>
      <c r="F838" s="131"/>
      <c r="G838" s="131"/>
      <c r="H838" s="131"/>
      <c r="I838" s="131"/>
      <c r="J838" s="131"/>
      <c r="K838" s="131"/>
      <c r="L838" s="131"/>
      <c r="M838" s="131"/>
      <c r="N838" s="131"/>
      <c r="O838" s="142"/>
      <c r="P838" s="142"/>
      <c r="Q838" s="142"/>
      <c r="R838" s="142"/>
      <c r="S838" s="142"/>
      <c r="T838" s="142"/>
      <c r="U838" s="142"/>
      <c r="V838" s="142"/>
      <c r="W838" s="142"/>
      <c r="X838" s="142"/>
      <c r="Y838" s="142"/>
      <c r="Z838" s="142"/>
      <c r="AA838" s="131"/>
      <c r="AB838" s="142"/>
      <c r="AC838" s="142"/>
      <c r="AD838" s="142"/>
      <c r="AE838" s="142"/>
      <c r="AF838" s="142"/>
      <c r="AG838" s="142"/>
      <c r="AH838" s="142"/>
      <c r="AI838" s="142"/>
      <c r="AJ838" s="142"/>
      <c r="AK838" s="142"/>
      <c r="AL838" s="142"/>
      <c r="AM838" s="142"/>
      <c r="AN838" s="142"/>
      <c r="AO838" s="142"/>
      <c r="AP838" s="142"/>
    </row>
    <row r="839" ht="13.5" customHeight="1">
      <c r="A839" s="142"/>
      <c r="B839" s="142"/>
      <c r="C839" s="142"/>
      <c r="D839" s="142"/>
      <c r="E839" s="132"/>
      <c r="F839" s="131"/>
      <c r="G839" s="131"/>
      <c r="H839" s="131"/>
      <c r="I839" s="131"/>
      <c r="J839" s="131"/>
      <c r="K839" s="131"/>
      <c r="L839" s="131"/>
      <c r="M839" s="131"/>
      <c r="N839" s="131"/>
      <c r="O839" s="142"/>
      <c r="P839" s="142"/>
      <c r="Q839" s="142"/>
      <c r="R839" s="142"/>
      <c r="S839" s="142"/>
      <c r="T839" s="142"/>
      <c r="U839" s="142"/>
      <c r="V839" s="142"/>
      <c r="W839" s="142"/>
      <c r="X839" s="142"/>
      <c r="Y839" s="142"/>
      <c r="Z839" s="142"/>
      <c r="AA839" s="131"/>
      <c r="AB839" s="142"/>
      <c r="AC839" s="142"/>
      <c r="AD839" s="142"/>
      <c r="AE839" s="142"/>
      <c r="AF839" s="142"/>
      <c r="AG839" s="142"/>
      <c r="AH839" s="142"/>
      <c r="AI839" s="142"/>
      <c r="AJ839" s="142"/>
      <c r="AK839" s="142"/>
      <c r="AL839" s="142"/>
      <c r="AM839" s="142"/>
      <c r="AN839" s="142"/>
      <c r="AO839" s="142"/>
      <c r="AP839" s="142"/>
    </row>
    <row r="840" ht="13.5" customHeight="1">
      <c r="A840" s="142"/>
      <c r="B840" s="142"/>
      <c r="C840" s="142"/>
      <c r="D840" s="142"/>
      <c r="E840" s="132"/>
      <c r="F840" s="131"/>
      <c r="G840" s="131"/>
      <c r="H840" s="131"/>
      <c r="I840" s="131"/>
      <c r="J840" s="131"/>
      <c r="K840" s="131"/>
      <c r="L840" s="131"/>
      <c r="M840" s="131"/>
      <c r="N840" s="131"/>
      <c r="O840" s="142"/>
      <c r="P840" s="142"/>
      <c r="Q840" s="142"/>
      <c r="R840" s="142"/>
      <c r="S840" s="142"/>
      <c r="T840" s="142"/>
      <c r="U840" s="142"/>
      <c r="V840" s="142"/>
      <c r="W840" s="142"/>
      <c r="X840" s="142"/>
      <c r="Y840" s="142"/>
      <c r="Z840" s="142"/>
      <c r="AA840" s="131"/>
      <c r="AB840" s="142"/>
      <c r="AC840" s="142"/>
      <c r="AD840" s="142"/>
      <c r="AE840" s="142"/>
      <c r="AF840" s="142"/>
      <c r="AG840" s="142"/>
      <c r="AH840" s="142"/>
      <c r="AI840" s="142"/>
      <c r="AJ840" s="142"/>
      <c r="AK840" s="142"/>
      <c r="AL840" s="142"/>
      <c r="AM840" s="142"/>
      <c r="AN840" s="142"/>
      <c r="AO840" s="142"/>
      <c r="AP840" s="142"/>
    </row>
    <row r="841" ht="13.5" customHeight="1">
      <c r="A841" s="142"/>
      <c r="B841" s="142"/>
      <c r="C841" s="142"/>
      <c r="D841" s="142"/>
      <c r="E841" s="132"/>
      <c r="F841" s="131"/>
      <c r="G841" s="131"/>
      <c r="H841" s="131"/>
      <c r="I841" s="131"/>
      <c r="J841" s="131"/>
      <c r="K841" s="131"/>
      <c r="L841" s="131"/>
      <c r="M841" s="131"/>
      <c r="N841" s="131"/>
      <c r="O841" s="142"/>
      <c r="P841" s="142"/>
      <c r="Q841" s="142"/>
      <c r="R841" s="142"/>
      <c r="S841" s="142"/>
      <c r="T841" s="142"/>
      <c r="U841" s="142"/>
      <c r="V841" s="142"/>
      <c r="W841" s="142"/>
      <c r="X841" s="142"/>
      <c r="Y841" s="142"/>
      <c r="Z841" s="142"/>
      <c r="AA841" s="131"/>
      <c r="AB841" s="142"/>
      <c r="AC841" s="142"/>
      <c r="AD841" s="142"/>
      <c r="AE841" s="142"/>
      <c r="AF841" s="142"/>
      <c r="AG841" s="142"/>
      <c r="AH841" s="142"/>
      <c r="AI841" s="142"/>
      <c r="AJ841" s="142"/>
      <c r="AK841" s="142"/>
      <c r="AL841" s="142"/>
      <c r="AM841" s="142"/>
      <c r="AN841" s="142"/>
      <c r="AO841" s="142"/>
      <c r="AP841" s="142"/>
    </row>
    <row r="842" ht="13.5" customHeight="1">
      <c r="A842" s="142"/>
      <c r="B842" s="142"/>
      <c r="C842" s="142"/>
      <c r="D842" s="142"/>
      <c r="E842" s="132"/>
      <c r="F842" s="131"/>
      <c r="G842" s="131"/>
      <c r="H842" s="131"/>
      <c r="I842" s="131"/>
      <c r="J842" s="131"/>
      <c r="K842" s="131"/>
      <c r="L842" s="131"/>
      <c r="M842" s="131"/>
      <c r="N842" s="131"/>
      <c r="O842" s="142"/>
      <c r="P842" s="142"/>
      <c r="Q842" s="142"/>
      <c r="R842" s="142"/>
      <c r="S842" s="142"/>
      <c r="T842" s="142"/>
      <c r="U842" s="142"/>
      <c r="V842" s="142"/>
      <c r="W842" s="142"/>
      <c r="X842" s="142"/>
      <c r="Y842" s="142"/>
      <c r="Z842" s="142"/>
      <c r="AA842" s="131"/>
      <c r="AB842" s="142"/>
      <c r="AC842" s="142"/>
      <c r="AD842" s="142"/>
      <c r="AE842" s="142"/>
      <c r="AF842" s="142"/>
      <c r="AG842" s="142"/>
      <c r="AH842" s="142"/>
      <c r="AI842" s="142"/>
      <c r="AJ842" s="142"/>
      <c r="AK842" s="142"/>
      <c r="AL842" s="142"/>
      <c r="AM842" s="142"/>
      <c r="AN842" s="142"/>
      <c r="AO842" s="142"/>
      <c r="AP842" s="142"/>
    </row>
    <row r="843" ht="13.5" customHeight="1">
      <c r="A843" s="142"/>
      <c r="B843" s="142"/>
      <c r="C843" s="142"/>
      <c r="D843" s="142"/>
      <c r="E843" s="132"/>
      <c r="F843" s="131"/>
      <c r="G843" s="131"/>
      <c r="H843" s="131"/>
      <c r="I843" s="131"/>
      <c r="J843" s="131"/>
      <c r="K843" s="131"/>
      <c r="L843" s="131"/>
      <c r="M843" s="131"/>
      <c r="N843" s="131"/>
      <c r="O843" s="142"/>
      <c r="P843" s="142"/>
      <c r="Q843" s="142"/>
      <c r="R843" s="142"/>
      <c r="S843" s="142"/>
      <c r="T843" s="142"/>
      <c r="U843" s="142"/>
      <c r="V843" s="142"/>
      <c r="W843" s="142"/>
      <c r="X843" s="142"/>
      <c r="Y843" s="142"/>
      <c r="Z843" s="142"/>
      <c r="AA843" s="131"/>
      <c r="AB843" s="142"/>
      <c r="AC843" s="142"/>
      <c r="AD843" s="142"/>
      <c r="AE843" s="142"/>
      <c r="AF843" s="142"/>
      <c r="AG843" s="142"/>
      <c r="AH843" s="142"/>
      <c r="AI843" s="142"/>
      <c r="AJ843" s="142"/>
      <c r="AK843" s="142"/>
      <c r="AL843" s="142"/>
      <c r="AM843" s="142"/>
      <c r="AN843" s="142"/>
      <c r="AO843" s="142"/>
      <c r="AP843" s="142"/>
    </row>
    <row r="844" ht="13.5" customHeight="1">
      <c r="A844" s="142"/>
      <c r="B844" s="142"/>
      <c r="C844" s="142"/>
      <c r="D844" s="142"/>
      <c r="E844" s="132"/>
      <c r="F844" s="131"/>
      <c r="G844" s="131"/>
      <c r="H844" s="131"/>
      <c r="I844" s="131"/>
      <c r="J844" s="131"/>
      <c r="K844" s="131"/>
      <c r="L844" s="131"/>
      <c r="M844" s="131"/>
      <c r="N844" s="131"/>
      <c r="O844" s="142"/>
      <c r="P844" s="142"/>
      <c r="Q844" s="142"/>
      <c r="R844" s="142"/>
      <c r="S844" s="142"/>
      <c r="T844" s="142"/>
      <c r="U844" s="142"/>
      <c r="V844" s="142"/>
      <c r="W844" s="142"/>
      <c r="X844" s="142"/>
      <c r="Y844" s="142"/>
      <c r="Z844" s="142"/>
      <c r="AA844" s="131"/>
      <c r="AB844" s="142"/>
      <c r="AC844" s="142"/>
      <c r="AD844" s="142"/>
      <c r="AE844" s="142"/>
      <c r="AF844" s="142"/>
      <c r="AG844" s="142"/>
      <c r="AH844" s="142"/>
      <c r="AI844" s="142"/>
      <c r="AJ844" s="142"/>
      <c r="AK844" s="142"/>
      <c r="AL844" s="142"/>
      <c r="AM844" s="142"/>
      <c r="AN844" s="142"/>
      <c r="AO844" s="142"/>
      <c r="AP844" s="142"/>
    </row>
    <row r="845" ht="13.5" customHeight="1">
      <c r="A845" s="142"/>
      <c r="B845" s="142"/>
      <c r="C845" s="142"/>
      <c r="D845" s="142"/>
      <c r="E845" s="132"/>
      <c r="F845" s="131"/>
      <c r="G845" s="131"/>
      <c r="H845" s="131"/>
      <c r="I845" s="131"/>
      <c r="J845" s="131"/>
      <c r="K845" s="131"/>
      <c r="L845" s="131"/>
      <c r="M845" s="131"/>
      <c r="N845" s="131"/>
      <c r="O845" s="142"/>
      <c r="P845" s="142"/>
      <c r="Q845" s="142"/>
      <c r="R845" s="142"/>
      <c r="S845" s="142"/>
      <c r="T845" s="142"/>
      <c r="U845" s="142"/>
      <c r="V845" s="142"/>
      <c r="W845" s="142"/>
      <c r="X845" s="142"/>
      <c r="Y845" s="142"/>
      <c r="Z845" s="142"/>
      <c r="AA845" s="131"/>
      <c r="AB845" s="142"/>
      <c r="AC845" s="142"/>
      <c r="AD845" s="142"/>
      <c r="AE845" s="142"/>
      <c r="AF845" s="142"/>
      <c r="AG845" s="142"/>
      <c r="AH845" s="142"/>
      <c r="AI845" s="142"/>
      <c r="AJ845" s="142"/>
      <c r="AK845" s="142"/>
      <c r="AL845" s="142"/>
      <c r="AM845" s="142"/>
      <c r="AN845" s="142"/>
      <c r="AO845" s="142"/>
      <c r="AP845" s="142"/>
    </row>
    <row r="846" ht="13.5" customHeight="1">
      <c r="A846" s="142"/>
      <c r="B846" s="142"/>
      <c r="C846" s="142"/>
      <c r="D846" s="142"/>
      <c r="E846" s="132"/>
      <c r="F846" s="131"/>
      <c r="G846" s="131"/>
      <c r="H846" s="131"/>
      <c r="I846" s="131"/>
      <c r="J846" s="131"/>
      <c r="K846" s="131"/>
      <c r="L846" s="131"/>
      <c r="M846" s="131"/>
      <c r="N846" s="131"/>
      <c r="O846" s="142"/>
      <c r="P846" s="142"/>
      <c r="Q846" s="142"/>
      <c r="R846" s="142"/>
      <c r="S846" s="142"/>
      <c r="T846" s="142"/>
      <c r="U846" s="142"/>
      <c r="V846" s="142"/>
      <c r="W846" s="142"/>
      <c r="X846" s="142"/>
      <c r="Y846" s="142"/>
      <c r="Z846" s="142"/>
      <c r="AA846" s="131"/>
      <c r="AB846" s="142"/>
      <c r="AC846" s="142"/>
      <c r="AD846" s="142"/>
      <c r="AE846" s="142"/>
      <c r="AF846" s="142"/>
      <c r="AG846" s="142"/>
      <c r="AH846" s="142"/>
      <c r="AI846" s="142"/>
      <c r="AJ846" s="142"/>
      <c r="AK846" s="142"/>
      <c r="AL846" s="142"/>
      <c r="AM846" s="142"/>
      <c r="AN846" s="142"/>
      <c r="AO846" s="142"/>
      <c r="AP846" s="142"/>
    </row>
    <row r="847" ht="13.5" customHeight="1">
      <c r="A847" s="142"/>
      <c r="B847" s="142"/>
      <c r="C847" s="142"/>
      <c r="D847" s="142"/>
      <c r="E847" s="132"/>
      <c r="F847" s="131"/>
      <c r="G847" s="131"/>
      <c r="H847" s="131"/>
      <c r="I847" s="131"/>
      <c r="J847" s="131"/>
      <c r="K847" s="131"/>
      <c r="L847" s="131"/>
      <c r="M847" s="131"/>
      <c r="N847" s="131"/>
      <c r="O847" s="142"/>
      <c r="P847" s="142"/>
      <c r="Q847" s="142"/>
      <c r="R847" s="142"/>
      <c r="S847" s="142"/>
      <c r="T847" s="142"/>
      <c r="U847" s="142"/>
      <c r="V847" s="142"/>
      <c r="W847" s="142"/>
      <c r="X847" s="142"/>
      <c r="Y847" s="142"/>
      <c r="Z847" s="142"/>
      <c r="AA847" s="131"/>
      <c r="AB847" s="142"/>
      <c r="AC847" s="142"/>
      <c r="AD847" s="142"/>
      <c r="AE847" s="142"/>
      <c r="AF847" s="142"/>
      <c r="AG847" s="142"/>
      <c r="AH847" s="142"/>
      <c r="AI847" s="142"/>
      <c r="AJ847" s="142"/>
      <c r="AK847" s="142"/>
      <c r="AL847" s="142"/>
      <c r="AM847" s="142"/>
      <c r="AN847" s="142"/>
      <c r="AO847" s="142"/>
      <c r="AP847" s="142"/>
    </row>
    <row r="848" ht="13.5" customHeight="1">
      <c r="A848" s="142"/>
      <c r="B848" s="142"/>
      <c r="C848" s="142"/>
      <c r="D848" s="142"/>
      <c r="E848" s="132"/>
      <c r="F848" s="131"/>
      <c r="G848" s="131"/>
      <c r="H848" s="131"/>
      <c r="I848" s="131"/>
      <c r="J848" s="131"/>
      <c r="K848" s="131"/>
      <c r="L848" s="131"/>
      <c r="M848" s="131"/>
      <c r="N848" s="131"/>
      <c r="O848" s="142"/>
      <c r="P848" s="142"/>
      <c r="Q848" s="142"/>
      <c r="R848" s="142"/>
      <c r="S848" s="142"/>
      <c r="T848" s="142"/>
      <c r="U848" s="142"/>
      <c r="V848" s="142"/>
      <c r="W848" s="142"/>
      <c r="X848" s="142"/>
      <c r="Y848" s="142"/>
      <c r="Z848" s="142"/>
      <c r="AA848" s="131"/>
      <c r="AB848" s="142"/>
      <c r="AC848" s="142"/>
      <c r="AD848" s="142"/>
      <c r="AE848" s="142"/>
      <c r="AF848" s="142"/>
      <c r="AG848" s="142"/>
      <c r="AH848" s="142"/>
      <c r="AI848" s="142"/>
      <c r="AJ848" s="142"/>
      <c r="AK848" s="142"/>
      <c r="AL848" s="142"/>
      <c r="AM848" s="142"/>
      <c r="AN848" s="142"/>
      <c r="AO848" s="142"/>
      <c r="AP848" s="142"/>
    </row>
    <row r="849" ht="13.5" customHeight="1">
      <c r="A849" s="142"/>
      <c r="B849" s="142"/>
      <c r="C849" s="142"/>
      <c r="D849" s="142"/>
      <c r="E849" s="132"/>
      <c r="F849" s="131"/>
      <c r="G849" s="131"/>
      <c r="H849" s="131"/>
      <c r="I849" s="131"/>
      <c r="J849" s="131"/>
      <c r="K849" s="131"/>
      <c r="L849" s="131"/>
      <c r="M849" s="131"/>
      <c r="N849" s="131"/>
      <c r="O849" s="142"/>
      <c r="P849" s="142"/>
      <c r="Q849" s="142"/>
      <c r="R849" s="142"/>
      <c r="S849" s="142"/>
      <c r="T849" s="142"/>
      <c r="U849" s="142"/>
      <c r="V849" s="142"/>
      <c r="W849" s="142"/>
      <c r="X849" s="142"/>
      <c r="Y849" s="142"/>
      <c r="Z849" s="142"/>
      <c r="AA849" s="131"/>
      <c r="AB849" s="142"/>
      <c r="AC849" s="142"/>
      <c r="AD849" s="142"/>
      <c r="AE849" s="142"/>
      <c r="AF849" s="142"/>
      <c r="AG849" s="142"/>
      <c r="AH849" s="142"/>
      <c r="AI849" s="142"/>
      <c r="AJ849" s="142"/>
      <c r="AK849" s="142"/>
      <c r="AL849" s="142"/>
      <c r="AM849" s="142"/>
      <c r="AN849" s="142"/>
      <c r="AO849" s="142"/>
      <c r="AP849" s="142"/>
    </row>
    <row r="850" ht="13.5" customHeight="1">
      <c r="A850" s="142"/>
      <c r="B850" s="142"/>
      <c r="C850" s="142"/>
      <c r="D850" s="142"/>
      <c r="E850" s="132"/>
      <c r="F850" s="131"/>
      <c r="G850" s="131"/>
      <c r="H850" s="131"/>
      <c r="I850" s="131"/>
      <c r="J850" s="131"/>
      <c r="K850" s="131"/>
      <c r="L850" s="131"/>
      <c r="M850" s="131"/>
      <c r="N850" s="131"/>
      <c r="O850" s="142"/>
      <c r="P850" s="142"/>
      <c r="Q850" s="142"/>
      <c r="R850" s="142"/>
      <c r="S850" s="142"/>
      <c r="T850" s="142"/>
      <c r="U850" s="142"/>
      <c r="V850" s="142"/>
      <c r="W850" s="142"/>
      <c r="X850" s="142"/>
      <c r="Y850" s="142"/>
      <c r="Z850" s="142"/>
      <c r="AA850" s="131"/>
      <c r="AB850" s="142"/>
      <c r="AC850" s="142"/>
      <c r="AD850" s="142"/>
      <c r="AE850" s="142"/>
      <c r="AF850" s="142"/>
      <c r="AG850" s="142"/>
      <c r="AH850" s="142"/>
      <c r="AI850" s="142"/>
      <c r="AJ850" s="142"/>
      <c r="AK850" s="142"/>
      <c r="AL850" s="142"/>
      <c r="AM850" s="142"/>
      <c r="AN850" s="142"/>
      <c r="AO850" s="142"/>
      <c r="AP850" s="142"/>
    </row>
    <row r="851" ht="13.5" customHeight="1">
      <c r="A851" s="142"/>
      <c r="B851" s="142"/>
      <c r="C851" s="142"/>
      <c r="D851" s="142"/>
      <c r="E851" s="132"/>
      <c r="F851" s="131"/>
      <c r="G851" s="131"/>
      <c r="H851" s="131"/>
      <c r="I851" s="131"/>
      <c r="J851" s="131"/>
      <c r="K851" s="131"/>
      <c r="L851" s="131"/>
      <c r="M851" s="131"/>
      <c r="N851" s="131"/>
      <c r="O851" s="142"/>
      <c r="P851" s="142"/>
      <c r="Q851" s="142"/>
      <c r="R851" s="142"/>
      <c r="S851" s="142"/>
      <c r="T851" s="142"/>
      <c r="U851" s="142"/>
      <c r="V851" s="142"/>
      <c r="W851" s="142"/>
      <c r="X851" s="142"/>
      <c r="Y851" s="142"/>
      <c r="Z851" s="142"/>
      <c r="AA851" s="131"/>
      <c r="AB851" s="142"/>
      <c r="AC851" s="142"/>
      <c r="AD851" s="142"/>
      <c r="AE851" s="142"/>
      <c r="AF851" s="142"/>
      <c r="AG851" s="142"/>
      <c r="AH851" s="142"/>
      <c r="AI851" s="142"/>
      <c r="AJ851" s="142"/>
      <c r="AK851" s="142"/>
      <c r="AL851" s="142"/>
      <c r="AM851" s="142"/>
      <c r="AN851" s="142"/>
      <c r="AO851" s="142"/>
      <c r="AP851" s="142"/>
    </row>
    <row r="852" ht="13.5" customHeight="1">
      <c r="A852" s="142"/>
      <c r="B852" s="142"/>
      <c r="C852" s="142"/>
      <c r="D852" s="142"/>
      <c r="E852" s="132"/>
      <c r="F852" s="131"/>
      <c r="G852" s="131"/>
      <c r="H852" s="131"/>
      <c r="I852" s="131"/>
      <c r="J852" s="131"/>
      <c r="K852" s="131"/>
      <c r="L852" s="131"/>
      <c r="M852" s="131"/>
      <c r="N852" s="131"/>
      <c r="O852" s="142"/>
      <c r="P852" s="142"/>
      <c r="Q852" s="142"/>
      <c r="R852" s="142"/>
      <c r="S852" s="142"/>
      <c r="T852" s="142"/>
      <c r="U852" s="142"/>
      <c r="V852" s="142"/>
      <c r="W852" s="142"/>
      <c r="X852" s="142"/>
      <c r="Y852" s="142"/>
      <c r="Z852" s="142"/>
      <c r="AA852" s="131"/>
      <c r="AB852" s="142"/>
      <c r="AC852" s="142"/>
      <c r="AD852" s="142"/>
      <c r="AE852" s="142"/>
      <c r="AF852" s="142"/>
      <c r="AG852" s="142"/>
      <c r="AH852" s="142"/>
      <c r="AI852" s="142"/>
      <c r="AJ852" s="142"/>
      <c r="AK852" s="142"/>
      <c r="AL852" s="142"/>
      <c r="AM852" s="142"/>
      <c r="AN852" s="142"/>
      <c r="AO852" s="142"/>
      <c r="AP852" s="142"/>
    </row>
    <row r="853" ht="13.5" customHeight="1">
      <c r="A853" s="142"/>
      <c r="B853" s="142"/>
      <c r="C853" s="142"/>
      <c r="D853" s="142"/>
      <c r="E853" s="132"/>
      <c r="F853" s="131"/>
      <c r="G853" s="131"/>
      <c r="H853" s="131"/>
      <c r="I853" s="131"/>
      <c r="J853" s="131"/>
      <c r="K853" s="131"/>
      <c r="L853" s="131"/>
      <c r="M853" s="131"/>
      <c r="N853" s="131"/>
      <c r="O853" s="142"/>
      <c r="P853" s="142"/>
      <c r="Q853" s="142"/>
      <c r="R853" s="142"/>
      <c r="S853" s="142"/>
      <c r="T853" s="142"/>
      <c r="U853" s="142"/>
      <c r="V853" s="142"/>
      <c r="W853" s="142"/>
      <c r="X853" s="142"/>
      <c r="Y853" s="142"/>
      <c r="Z853" s="142"/>
      <c r="AA853" s="131"/>
      <c r="AB853" s="142"/>
      <c r="AC853" s="142"/>
      <c r="AD853" s="142"/>
      <c r="AE853" s="142"/>
      <c r="AF853" s="142"/>
      <c r="AG853" s="142"/>
      <c r="AH853" s="142"/>
      <c r="AI853" s="142"/>
      <c r="AJ853" s="142"/>
      <c r="AK853" s="142"/>
      <c r="AL853" s="142"/>
      <c r="AM853" s="142"/>
      <c r="AN853" s="142"/>
      <c r="AO853" s="142"/>
      <c r="AP853" s="142"/>
    </row>
    <row r="854" ht="13.5" customHeight="1">
      <c r="A854" s="142"/>
      <c r="B854" s="142"/>
      <c r="C854" s="142"/>
      <c r="D854" s="142"/>
      <c r="E854" s="132"/>
      <c r="F854" s="131"/>
      <c r="G854" s="131"/>
      <c r="H854" s="131"/>
      <c r="I854" s="131"/>
      <c r="J854" s="131"/>
      <c r="K854" s="131"/>
      <c r="L854" s="131"/>
      <c r="M854" s="131"/>
      <c r="N854" s="131"/>
      <c r="O854" s="142"/>
      <c r="P854" s="142"/>
      <c r="Q854" s="142"/>
      <c r="R854" s="142"/>
      <c r="S854" s="142"/>
      <c r="T854" s="142"/>
      <c r="U854" s="142"/>
      <c r="V854" s="142"/>
      <c r="W854" s="142"/>
      <c r="X854" s="142"/>
      <c r="Y854" s="142"/>
      <c r="Z854" s="142"/>
      <c r="AA854" s="131"/>
      <c r="AB854" s="142"/>
      <c r="AC854" s="142"/>
      <c r="AD854" s="142"/>
      <c r="AE854" s="142"/>
      <c r="AF854" s="142"/>
      <c r="AG854" s="142"/>
      <c r="AH854" s="142"/>
      <c r="AI854" s="142"/>
      <c r="AJ854" s="142"/>
      <c r="AK854" s="142"/>
      <c r="AL854" s="142"/>
      <c r="AM854" s="142"/>
      <c r="AN854" s="142"/>
      <c r="AO854" s="142"/>
      <c r="AP854" s="142"/>
    </row>
    <row r="855" ht="13.5" customHeight="1">
      <c r="A855" s="142"/>
      <c r="B855" s="142"/>
      <c r="C855" s="142"/>
      <c r="D855" s="142"/>
      <c r="E855" s="132"/>
      <c r="F855" s="131"/>
      <c r="G855" s="131"/>
      <c r="H855" s="131"/>
      <c r="I855" s="131"/>
      <c r="J855" s="131"/>
      <c r="K855" s="131"/>
      <c r="L855" s="131"/>
      <c r="M855" s="131"/>
      <c r="N855" s="131"/>
      <c r="O855" s="142"/>
      <c r="P855" s="142"/>
      <c r="Q855" s="142"/>
      <c r="R855" s="142"/>
      <c r="S855" s="142"/>
      <c r="T855" s="142"/>
      <c r="U855" s="142"/>
      <c r="V855" s="142"/>
      <c r="W855" s="142"/>
      <c r="X855" s="142"/>
      <c r="Y855" s="142"/>
      <c r="Z855" s="142"/>
      <c r="AA855" s="131"/>
      <c r="AB855" s="142"/>
      <c r="AC855" s="142"/>
      <c r="AD855" s="142"/>
      <c r="AE855" s="142"/>
      <c r="AF855" s="142"/>
      <c r="AG855" s="142"/>
      <c r="AH855" s="142"/>
      <c r="AI855" s="142"/>
      <c r="AJ855" s="142"/>
      <c r="AK855" s="142"/>
      <c r="AL855" s="142"/>
      <c r="AM855" s="142"/>
      <c r="AN855" s="142"/>
      <c r="AO855" s="142"/>
      <c r="AP855" s="142"/>
    </row>
    <row r="856" ht="13.5" customHeight="1">
      <c r="A856" s="142"/>
      <c r="B856" s="142"/>
      <c r="C856" s="142"/>
      <c r="D856" s="142"/>
      <c r="E856" s="132"/>
      <c r="F856" s="131"/>
      <c r="G856" s="131"/>
      <c r="H856" s="131"/>
      <c r="I856" s="131"/>
      <c r="J856" s="131"/>
      <c r="K856" s="131"/>
      <c r="L856" s="131"/>
      <c r="M856" s="131"/>
      <c r="N856" s="131"/>
      <c r="O856" s="142"/>
      <c r="P856" s="142"/>
      <c r="Q856" s="142"/>
      <c r="R856" s="142"/>
      <c r="S856" s="142"/>
      <c r="T856" s="142"/>
      <c r="U856" s="142"/>
      <c r="V856" s="142"/>
      <c r="W856" s="142"/>
      <c r="X856" s="142"/>
      <c r="Y856" s="142"/>
      <c r="Z856" s="142"/>
      <c r="AA856" s="131"/>
      <c r="AB856" s="142"/>
      <c r="AC856" s="142"/>
      <c r="AD856" s="142"/>
      <c r="AE856" s="142"/>
      <c r="AF856" s="142"/>
      <c r="AG856" s="142"/>
      <c r="AH856" s="142"/>
      <c r="AI856" s="142"/>
      <c r="AJ856" s="142"/>
      <c r="AK856" s="142"/>
      <c r="AL856" s="142"/>
      <c r="AM856" s="142"/>
      <c r="AN856" s="142"/>
      <c r="AO856" s="142"/>
      <c r="AP856" s="142"/>
    </row>
    <row r="857" ht="13.5" customHeight="1">
      <c r="A857" s="142"/>
      <c r="B857" s="142"/>
      <c r="C857" s="142"/>
      <c r="D857" s="142"/>
      <c r="E857" s="132"/>
      <c r="F857" s="131"/>
      <c r="G857" s="131"/>
      <c r="H857" s="131"/>
      <c r="I857" s="131"/>
      <c r="J857" s="131"/>
      <c r="K857" s="131"/>
      <c r="L857" s="131"/>
      <c r="M857" s="131"/>
      <c r="N857" s="131"/>
      <c r="O857" s="142"/>
      <c r="P857" s="142"/>
      <c r="Q857" s="142"/>
      <c r="R857" s="142"/>
      <c r="S857" s="142"/>
      <c r="T857" s="142"/>
      <c r="U857" s="142"/>
      <c r="V857" s="142"/>
      <c r="W857" s="142"/>
      <c r="X857" s="142"/>
      <c r="Y857" s="142"/>
      <c r="Z857" s="142"/>
      <c r="AA857" s="131"/>
      <c r="AB857" s="142"/>
      <c r="AC857" s="142"/>
      <c r="AD857" s="142"/>
      <c r="AE857" s="142"/>
      <c r="AF857" s="142"/>
      <c r="AG857" s="142"/>
      <c r="AH857" s="142"/>
      <c r="AI857" s="142"/>
      <c r="AJ857" s="142"/>
      <c r="AK857" s="142"/>
      <c r="AL857" s="142"/>
      <c r="AM857" s="142"/>
      <c r="AN857" s="142"/>
      <c r="AO857" s="142"/>
      <c r="AP857" s="142"/>
    </row>
    <row r="858" ht="13.5" customHeight="1">
      <c r="A858" s="142"/>
      <c r="B858" s="142"/>
      <c r="C858" s="142"/>
      <c r="D858" s="142"/>
      <c r="E858" s="132"/>
      <c r="F858" s="131"/>
      <c r="G858" s="131"/>
      <c r="H858" s="131"/>
      <c r="I858" s="131"/>
      <c r="J858" s="131"/>
      <c r="K858" s="131"/>
      <c r="L858" s="131"/>
      <c r="M858" s="131"/>
      <c r="N858" s="131"/>
      <c r="O858" s="142"/>
      <c r="P858" s="142"/>
      <c r="Q858" s="142"/>
      <c r="R858" s="142"/>
      <c r="S858" s="142"/>
      <c r="T858" s="142"/>
      <c r="U858" s="142"/>
      <c r="V858" s="142"/>
      <c r="W858" s="142"/>
      <c r="X858" s="142"/>
      <c r="Y858" s="142"/>
      <c r="Z858" s="142"/>
      <c r="AA858" s="131"/>
      <c r="AB858" s="142"/>
      <c r="AC858" s="142"/>
      <c r="AD858" s="142"/>
      <c r="AE858" s="142"/>
      <c r="AF858" s="142"/>
      <c r="AG858" s="142"/>
      <c r="AH858" s="142"/>
      <c r="AI858" s="142"/>
      <c r="AJ858" s="142"/>
      <c r="AK858" s="142"/>
      <c r="AL858" s="142"/>
      <c r="AM858" s="142"/>
      <c r="AN858" s="142"/>
      <c r="AO858" s="142"/>
      <c r="AP858" s="142"/>
    </row>
    <row r="859" ht="13.5" customHeight="1">
      <c r="A859" s="142"/>
      <c r="B859" s="142"/>
      <c r="C859" s="142"/>
      <c r="D859" s="142"/>
      <c r="E859" s="132"/>
      <c r="F859" s="131"/>
      <c r="G859" s="131"/>
      <c r="H859" s="131"/>
      <c r="I859" s="131"/>
      <c r="J859" s="131"/>
      <c r="K859" s="131"/>
      <c r="L859" s="131"/>
      <c r="M859" s="131"/>
      <c r="N859" s="131"/>
      <c r="O859" s="142"/>
      <c r="P859" s="142"/>
      <c r="Q859" s="142"/>
      <c r="R859" s="142"/>
      <c r="S859" s="142"/>
      <c r="T859" s="142"/>
      <c r="U859" s="142"/>
      <c r="V859" s="142"/>
      <c r="W859" s="142"/>
      <c r="X859" s="142"/>
      <c r="Y859" s="142"/>
      <c r="Z859" s="142"/>
      <c r="AA859" s="131"/>
      <c r="AB859" s="142"/>
      <c r="AC859" s="142"/>
      <c r="AD859" s="142"/>
      <c r="AE859" s="142"/>
      <c r="AF859" s="142"/>
      <c r="AG859" s="142"/>
      <c r="AH859" s="142"/>
      <c r="AI859" s="142"/>
      <c r="AJ859" s="142"/>
      <c r="AK859" s="142"/>
      <c r="AL859" s="142"/>
      <c r="AM859" s="142"/>
      <c r="AN859" s="142"/>
      <c r="AO859" s="142"/>
      <c r="AP859" s="142"/>
    </row>
    <row r="860" ht="13.5" customHeight="1">
      <c r="A860" s="142"/>
      <c r="B860" s="142"/>
      <c r="C860" s="142"/>
      <c r="D860" s="142"/>
      <c r="E860" s="132"/>
      <c r="F860" s="131"/>
      <c r="G860" s="131"/>
      <c r="H860" s="131"/>
      <c r="I860" s="131"/>
      <c r="J860" s="131"/>
      <c r="K860" s="131"/>
      <c r="L860" s="131"/>
      <c r="M860" s="131"/>
      <c r="N860" s="131"/>
      <c r="O860" s="142"/>
      <c r="P860" s="142"/>
      <c r="Q860" s="142"/>
      <c r="R860" s="142"/>
      <c r="S860" s="142"/>
      <c r="T860" s="142"/>
      <c r="U860" s="142"/>
      <c r="V860" s="142"/>
      <c r="W860" s="142"/>
      <c r="X860" s="142"/>
      <c r="Y860" s="142"/>
      <c r="Z860" s="142"/>
      <c r="AA860" s="131"/>
      <c r="AB860" s="142"/>
      <c r="AC860" s="142"/>
      <c r="AD860" s="142"/>
      <c r="AE860" s="142"/>
      <c r="AF860" s="142"/>
      <c r="AG860" s="142"/>
      <c r="AH860" s="142"/>
      <c r="AI860" s="142"/>
      <c r="AJ860" s="142"/>
      <c r="AK860" s="142"/>
      <c r="AL860" s="142"/>
      <c r="AM860" s="142"/>
      <c r="AN860" s="142"/>
      <c r="AO860" s="142"/>
      <c r="AP860" s="142"/>
    </row>
    <row r="861" ht="13.5" customHeight="1">
      <c r="A861" s="142"/>
      <c r="B861" s="142"/>
      <c r="C861" s="142"/>
      <c r="D861" s="142"/>
      <c r="E861" s="132"/>
      <c r="F861" s="131"/>
      <c r="G861" s="131"/>
      <c r="H861" s="131"/>
      <c r="I861" s="131"/>
      <c r="J861" s="131"/>
      <c r="K861" s="131"/>
      <c r="L861" s="131"/>
      <c r="M861" s="131"/>
      <c r="N861" s="131"/>
      <c r="O861" s="142"/>
      <c r="P861" s="142"/>
      <c r="Q861" s="142"/>
      <c r="R861" s="142"/>
      <c r="S861" s="142"/>
      <c r="T861" s="142"/>
      <c r="U861" s="142"/>
      <c r="V861" s="142"/>
      <c r="W861" s="142"/>
      <c r="X861" s="142"/>
      <c r="Y861" s="142"/>
      <c r="Z861" s="142"/>
      <c r="AA861" s="131"/>
      <c r="AB861" s="142"/>
      <c r="AC861" s="142"/>
      <c r="AD861" s="142"/>
      <c r="AE861" s="142"/>
      <c r="AF861" s="142"/>
      <c r="AG861" s="142"/>
      <c r="AH861" s="142"/>
      <c r="AI861" s="142"/>
      <c r="AJ861" s="142"/>
      <c r="AK861" s="142"/>
      <c r="AL861" s="142"/>
      <c r="AM861" s="142"/>
      <c r="AN861" s="142"/>
      <c r="AO861" s="142"/>
      <c r="AP861" s="142"/>
    </row>
    <row r="862" ht="13.5" customHeight="1">
      <c r="A862" s="142"/>
      <c r="B862" s="142"/>
      <c r="C862" s="142"/>
      <c r="D862" s="142"/>
      <c r="E862" s="132"/>
      <c r="F862" s="131"/>
      <c r="G862" s="131"/>
      <c r="H862" s="131"/>
      <c r="I862" s="131"/>
      <c r="J862" s="131"/>
      <c r="K862" s="131"/>
      <c r="L862" s="131"/>
      <c r="M862" s="131"/>
      <c r="N862" s="131"/>
      <c r="O862" s="142"/>
      <c r="P862" s="142"/>
      <c r="Q862" s="142"/>
      <c r="R862" s="142"/>
      <c r="S862" s="142"/>
      <c r="T862" s="142"/>
      <c r="U862" s="142"/>
      <c r="V862" s="142"/>
      <c r="W862" s="142"/>
      <c r="X862" s="142"/>
      <c r="Y862" s="142"/>
      <c r="Z862" s="142"/>
      <c r="AA862" s="131"/>
      <c r="AB862" s="142"/>
      <c r="AC862" s="142"/>
      <c r="AD862" s="142"/>
      <c r="AE862" s="142"/>
      <c r="AF862" s="142"/>
      <c r="AG862" s="142"/>
      <c r="AH862" s="142"/>
      <c r="AI862" s="142"/>
      <c r="AJ862" s="142"/>
      <c r="AK862" s="142"/>
      <c r="AL862" s="142"/>
      <c r="AM862" s="142"/>
      <c r="AN862" s="142"/>
      <c r="AO862" s="142"/>
      <c r="AP862" s="142"/>
    </row>
    <row r="863" ht="13.5" customHeight="1">
      <c r="A863" s="142"/>
      <c r="B863" s="142"/>
      <c r="C863" s="142"/>
      <c r="D863" s="142"/>
      <c r="E863" s="132"/>
      <c r="F863" s="131"/>
      <c r="G863" s="131"/>
      <c r="H863" s="131"/>
      <c r="I863" s="131"/>
      <c r="J863" s="131"/>
      <c r="K863" s="131"/>
      <c r="L863" s="131"/>
      <c r="M863" s="131"/>
      <c r="N863" s="131"/>
      <c r="O863" s="142"/>
      <c r="P863" s="142"/>
      <c r="Q863" s="142"/>
      <c r="R863" s="142"/>
      <c r="S863" s="142"/>
      <c r="T863" s="142"/>
      <c r="U863" s="142"/>
      <c r="V863" s="142"/>
      <c r="W863" s="142"/>
      <c r="X863" s="142"/>
      <c r="Y863" s="142"/>
      <c r="Z863" s="142"/>
      <c r="AA863" s="131"/>
      <c r="AB863" s="142"/>
      <c r="AC863" s="142"/>
      <c r="AD863" s="142"/>
      <c r="AE863" s="142"/>
      <c r="AF863" s="142"/>
      <c r="AG863" s="142"/>
      <c r="AH863" s="142"/>
      <c r="AI863" s="142"/>
      <c r="AJ863" s="142"/>
      <c r="AK863" s="142"/>
      <c r="AL863" s="142"/>
      <c r="AM863" s="142"/>
      <c r="AN863" s="142"/>
      <c r="AO863" s="142"/>
      <c r="AP863" s="142"/>
    </row>
    <row r="864" ht="13.5" customHeight="1">
      <c r="A864" s="142"/>
      <c r="B864" s="142"/>
      <c r="C864" s="142"/>
      <c r="D864" s="142"/>
      <c r="E864" s="132"/>
      <c r="F864" s="131"/>
      <c r="G864" s="131"/>
      <c r="H864" s="131"/>
      <c r="I864" s="131"/>
      <c r="J864" s="131"/>
      <c r="K864" s="131"/>
      <c r="L864" s="131"/>
      <c r="M864" s="131"/>
      <c r="N864" s="131"/>
      <c r="O864" s="142"/>
      <c r="P864" s="142"/>
      <c r="Q864" s="142"/>
      <c r="R864" s="142"/>
      <c r="S864" s="142"/>
      <c r="T864" s="142"/>
      <c r="U864" s="142"/>
      <c r="V864" s="142"/>
      <c r="W864" s="142"/>
      <c r="X864" s="142"/>
      <c r="Y864" s="142"/>
      <c r="Z864" s="142"/>
      <c r="AA864" s="131"/>
      <c r="AB864" s="142"/>
      <c r="AC864" s="142"/>
      <c r="AD864" s="142"/>
      <c r="AE864" s="142"/>
      <c r="AF864" s="142"/>
      <c r="AG864" s="142"/>
      <c r="AH864" s="142"/>
      <c r="AI864" s="142"/>
      <c r="AJ864" s="142"/>
      <c r="AK864" s="142"/>
      <c r="AL864" s="142"/>
      <c r="AM864" s="142"/>
      <c r="AN864" s="142"/>
      <c r="AO864" s="142"/>
      <c r="AP864" s="142"/>
    </row>
    <row r="865" ht="13.5" customHeight="1">
      <c r="A865" s="142"/>
      <c r="B865" s="142"/>
      <c r="C865" s="142"/>
      <c r="D865" s="142"/>
      <c r="E865" s="132"/>
      <c r="F865" s="131"/>
      <c r="G865" s="131"/>
      <c r="H865" s="131"/>
      <c r="I865" s="131"/>
      <c r="J865" s="131"/>
      <c r="K865" s="131"/>
      <c r="L865" s="131"/>
      <c r="M865" s="131"/>
      <c r="N865" s="131"/>
      <c r="O865" s="142"/>
      <c r="P865" s="142"/>
      <c r="Q865" s="142"/>
      <c r="R865" s="142"/>
      <c r="S865" s="142"/>
      <c r="T865" s="142"/>
      <c r="U865" s="142"/>
      <c r="V865" s="142"/>
      <c r="W865" s="142"/>
      <c r="X865" s="142"/>
      <c r="Y865" s="142"/>
      <c r="Z865" s="142"/>
      <c r="AA865" s="131"/>
      <c r="AB865" s="142"/>
      <c r="AC865" s="142"/>
      <c r="AD865" s="142"/>
      <c r="AE865" s="142"/>
      <c r="AF865" s="142"/>
      <c r="AG865" s="142"/>
      <c r="AH865" s="142"/>
      <c r="AI865" s="142"/>
      <c r="AJ865" s="142"/>
      <c r="AK865" s="142"/>
      <c r="AL865" s="142"/>
      <c r="AM865" s="142"/>
      <c r="AN865" s="142"/>
      <c r="AO865" s="142"/>
      <c r="AP865" s="142"/>
    </row>
    <row r="866" ht="13.5" customHeight="1">
      <c r="A866" s="142"/>
      <c r="B866" s="142"/>
      <c r="C866" s="142"/>
      <c r="D866" s="142"/>
      <c r="E866" s="132"/>
      <c r="F866" s="131"/>
      <c r="G866" s="131"/>
      <c r="H866" s="131"/>
      <c r="I866" s="131"/>
      <c r="J866" s="131"/>
      <c r="K866" s="131"/>
      <c r="L866" s="131"/>
      <c r="M866" s="131"/>
      <c r="N866" s="131"/>
      <c r="O866" s="142"/>
      <c r="P866" s="142"/>
      <c r="Q866" s="142"/>
      <c r="R866" s="142"/>
      <c r="S866" s="142"/>
      <c r="T866" s="142"/>
      <c r="U866" s="142"/>
      <c r="V866" s="142"/>
      <c r="W866" s="142"/>
      <c r="X866" s="142"/>
      <c r="Y866" s="142"/>
      <c r="Z866" s="142"/>
      <c r="AA866" s="131"/>
      <c r="AB866" s="142"/>
      <c r="AC866" s="142"/>
      <c r="AD866" s="142"/>
      <c r="AE866" s="142"/>
      <c r="AF866" s="142"/>
      <c r="AG866" s="142"/>
      <c r="AH866" s="142"/>
      <c r="AI866" s="142"/>
      <c r="AJ866" s="142"/>
      <c r="AK866" s="142"/>
      <c r="AL866" s="142"/>
      <c r="AM866" s="142"/>
      <c r="AN866" s="142"/>
      <c r="AO866" s="142"/>
      <c r="AP866" s="142"/>
    </row>
    <row r="867" ht="13.5" customHeight="1">
      <c r="A867" s="142"/>
      <c r="B867" s="142"/>
      <c r="C867" s="142"/>
      <c r="D867" s="142"/>
      <c r="E867" s="132"/>
      <c r="F867" s="131"/>
      <c r="G867" s="131"/>
      <c r="H867" s="131"/>
      <c r="I867" s="131"/>
      <c r="J867" s="131"/>
      <c r="K867" s="131"/>
      <c r="L867" s="131"/>
      <c r="M867" s="131"/>
      <c r="N867" s="131"/>
      <c r="O867" s="142"/>
      <c r="P867" s="142"/>
      <c r="Q867" s="142"/>
      <c r="R867" s="142"/>
      <c r="S867" s="142"/>
      <c r="T867" s="142"/>
      <c r="U867" s="142"/>
      <c r="V867" s="142"/>
      <c r="W867" s="142"/>
      <c r="X867" s="142"/>
      <c r="Y867" s="142"/>
      <c r="Z867" s="142"/>
      <c r="AA867" s="131"/>
      <c r="AB867" s="142"/>
      <c r="AC867" s="142"/>
      <c r="AD867" s="142"/>
      <c r="AE867" s="142"/>
      <c r="AF867" s="142"/>
      <c r="AG867" s="142"/>
      <c r="AH867" s="142"/>
      <c r="AI867" s="142"/>
      <c r="AJ867" s="142"/>
      <c r="AK867" s="142"/>
      <c r="AL867" s="142"/>
      <c r="AM867" s="142"/>
      <c r="AN867" s="142"/>
      <c r="AO867" s="142"/>
      <c r="AP867" s="142"/>
    </row>
    <row r="868" ht="13.5" customHeight="1">
      <c r="A868" s="142"/>
      <c r="B868" s="142"/>
      <c r="C868" s="142"/>
      <c r="D868" s="142"/>
      <c r="E868" s="132"/>
      <c r="F868" s="131"/>
      <c r="G868" s="131"/>
      <c r="H868" s="131"/>
      <c r="I868" s="131"/>
      <c r="J868" s="131"/>
      <c r="K868" s="131"/>
      <c r="L868" s="131"/>
      <c r="M868" s="131"/>
      <c r="N868" s="131"/>
      <c r="O868" s="142"/>
      <c r="P868" s="142"/>
      <c r="Q868" s="142"/>
      <c r="R868" s="142"/>
      <c r="S868" s="142"/>
      <c r="T868" s="142"/>
      <c r="U868" s="142"/>
      <c r="V868" s="142"/>
      <c r="W868" s="142"/>
      <c r="X868" s="142"/>
      <c r="Y868" s="142"/>
      <c r="Z868" s="142"/>
      <c r="AA868" s="131"/>
      <c r="AB868" s="142"/>
      <c r="AC868" s="142"/>
      <c r="AD868" s="142"/>
      <c r="AE868" s="142"/>
      <c r="AF868" s="142"/>
      <c r="AG868" s="142"/>
      <c r="AH868" s="142"/>
      <c r="AI868" s="142"/>
      <c r="AJ868" s="142"/>
      <c r="AK868" s="142"/>
      <c r="AL868" s="142"/>
      <c r="AM868" s="142"/>
      <c r="AN868" s="142"/>
      <c r="AO868" s="142"/>
      <c r="AP868" s="142"/>
    </row>
    <row r="869" ht="13.5" customHeight="1">
      <c r="A869" s="142"/>
      <c r="B869" s="142"/>
      <c r="C869" s="142"/>
      <c r="D869" s="142"/>
      <c r="E869" s="132"/>
      <c r="F869" s="131"/>
      <c r="G869" s="131"/>
      <c r="H869" s="131"/>
      <c r="I869" s="131"/>
      <c r="J869" s="131"/>
      <c r="K869" s="131"/>
      <c r="L869" s="131"/>
      <c r="M869" s="131"/>
      <c r="N869" s="131"/>
      <c r="O869" s="142"/>
      <c r="P869" s="142"/>
      <c r="Q869" s="142"/>
      <c r="R869" s="142"/>
      <c r="S869" s="142"/>
      <c r="T869" s="142"/>
      <c r="U869" s="142"/>
      <c r="V869" s="142"/>
      <c r="W869" s="142"/>
      <c r="X869" s="142"/>
      <c r="Y869" s="142"/>
      <c r="Z869" s="142"/>
      <c r="AA869" s="131"/>
      <c r="AB869" s="142"/>
      <c r="AC869" s="142"/>
      <c r="AD869" s="142"/>
      <c r="AE869" s="142"/>
      <c r="AF869" s="142"/>
      <c r="AG869" s="142"/>
      <c r="AH869" s="142"/>
      <c r="AI869" s="142"/>
      <c r="AJ869" s="142"/>
      <c r="AK869" s="142"/>
      <c r="AL869" s="142"/>
      <c r="AM869" s="142"/>
      <c r="AN869" s="142"/>
      <c r="AO869" s="142"/>
      <c r="AP869" s="142"/>
    </row>
    <row r="870" ht="13.5" customHeight="1">
      <c r="A870" s="142"/>
      <c r="B870" s="142"/>
      <c r="C870" s="142"/>
      <c r="D870" s="142"/>
      <c r="E870" s="132"/>
      <c r="F870" s="131"/>
      <c r="G870" s="131"/>
      <c r="H870" s="131"/>
      <c r="I870" s="131"/>
      <c r="J870" s="131"/>
      <c r="K870" s="131"/>
      <c r="L870" s="131"/>
      <c r="M870" s="131"/>
      <c r="N870" s="131"/>
      <c r="O870" s="142"/>
      <c r="P870" s="142"/>
      <c r="Q870" s="142"/>
      <c r="R870" s="142"/>
      <c r="S870" s="142"/>
      <c r="T870" s="142"/>
      <c r="U870" s="142"/>
      <c r="V870" s="142"/>
      <c r="W870" s="142"/>
      <c r="X870" s="142"/>
      <c r="Y870" s="142"/>
      <c r="Z870" s="142"/>
      <c r="AA870" s="131"/>
      <c r="AB870" s="142"/>
      <c r="AC870" s="142"/>
      <c r="AD870" s="142"/>
      <c r="AE870" s="142"/>
      <c r="AF870" s="142"/>
      <c r="AG870" s="142"/>
      <c r="AH870" s="142"/>
      <c r="AI870" s="142"/>
      <c r="AJ870" s="142"/>
      <c r="AK870" s="142"/>
      <c r="AL870" s="142"/>
      <c r="AM870" s="142"/>
      <c r="AN870" s="142"/>
      <c r="AO870" s="142"/>
      <c r="AP870" s="142"/>
    </row>
    <row r="871" ht="13.5" customHeight="1">
      <c r="A871" s="142"/>
      <c r="B871" s="142"/>
      <c r="C871" s="142"/>
      <c r="D871" s="142"/>
      <c r="E871" s="132"/>
      <c r="F871" s="131"/>
      <c r="G871" s="131"/>
      <c r="H871" s="131"/>
      <c r="I871" s="131"/>
      <c r="J871" s="131"/>
      <c r="K871" s="131"/>
      <c r="L871" s="131"/>
      <c r="M871" s="131"/>
      <c r="N871" s="131"/>
      <c r="O871" s="142"/>
      <c r="P871" s="142"/>
      <c r="Q871" s="142"/>
      <c r="R871" s="142"/>
      <c r="S871" s="142"/>
      <c r="T871" s="142"/>
      <c r="U871" s="142"/>
      <c r="V871" s="142"/>
      <c r="W871" s="142"/>
      <c r="X871" s="142"/>
      <c r="Y871" s="142"/>
      <c r="Z871" s="142"/>
      <c r="AA871" s="131"/>
      <c r="AB871" s="142"/>
      <c r="AC871" s="142"/>
      <c r="AD871" s="142"/>
      <c r="AE871" s="142"/>
      <c r="AF871" s="142"/>
      <c r="AG871" s="142"/>
      <c r="AH871" s="142"/>
      <c r="AI871" s="142"/>
      <c r="AJ871" s="142"/>
      <c r="AK871" s="142"/>
      <c r="AL871" s="142"/>
      <c r="AM871" s="142"/>
      <c r="AN871" s="142"/>
      <c r="AO871" s="142"/>
      <c r="AP871" s="142"/>
    </row>
    <row r="872" ht="13.5" customHeight="1">
      <c r="A872" s="142"/>
      <c r="B872" s="142"/>
      <c r="C872" s="142"/>
      <c r="D872" s="142"/>
      <c r="E872" s="132"/>
      <c r="F872" s="131"/>
      <c r="G872" s="131"/>
      <c r="H872" s="131"/>
      <c r="I872" s="131"/>
      <c r="J872" s="131"/>
      <c r="K872" s="131"/>
      <c r="L872" s="131"/>
      <c r="M872" s="131"/>
      <c r="N872" s="131"/>
      <c r="O872" s="142"/>
      <c r="P872" s="142"/>
      <c r="Q872" s="142"/>
      <c r="R872" s="142"/>
      <c r="S872" s="142"/>
      <c r="T872" s="142"/>
      <c r="U872" s="142"/>
      <c r="V872" s="142"/>
      <c r="W872" s="142"/>
      <c r="X872" s="142"/>
      <c r="Y872" s="142"/>
      <c r="Z872" s="142"/>
      <c r="AA872" s="131"/>
      <c r="AB872" s="142"/>
      <c r="AC872" s="142"/>
      <c r="AD872" s="142"/>
      <c r="AE872" s="142"/>
      <c r="AF872" s="142"/>
      <c r="AG872" s="142"/>
      <c r="AH872" s="142"/>
      <c r="AI872" s="142"/>
      <c r="AJ872" s="142"/>
      <c r="AK872" s="142"/>
      <c r="AL872" s="142"/>
      <c r="AM872" s="142"/>
      <c r="AN872" s="142"/>
      <c r="AO872" s="142"/>
      <c r="AP872" s="142"/>
    </row>
    <row r="873" ht="13.5" customHeight="1">
      <c r="A873" s="142"/>
      <c r="B873" s="142"/>
      <c r="C873" s="142"/>
      <c r="D873" s="142"/>
      <c r="E873" s="132"/>
      <c r="F873" s="131"/>
      <c r="G873" s="131"/>
      <c r="H873" s="131"/>
      <c r="I873" s="131"/>
      <c r="J873" s="131"/>
      <c r="K873" s="131"/>
      <c r="L873" s="131"/>
      <c r="M873" s="131"/>
      <c r="N873" s="131"/>
      <c r="O873" s="142"/>
      <c r="P873" s="142"/>
      <c r="Q873" s="142"/>
      <c r="R873" s="142"/>
      <c r="S873" s="142"/>
      <c r="T873" s="142"/>
      <c r="U873" s="142"/>
      <c r="V873" s="142"/>
      <c r="W873" s="142"/>
      <c r="X873" s="142"/>
      <c r="Y873" s="142"/>
      <c r="Z873" s="142"/>
      <c r="AA873" s="131"/>
      <c r="AB873" s="142"/>
      <c r="AC873" s="142"/>
      <c r="AD873" s="142"/>
      <c r="AE873" s="142"/>
      <c r="AF873" s="142"/>
      <c r="AG873" s="142"/>
      <c r="AH873" s="142"/>
      <c r="AI873" s="142"/>
      <c r="AJ873" s="142"/>
      <c r="AK873" s="142"/>
      <c r="AL873" s="142"/>
      <c r="AM873" s="142"/>
      <c r="AN873" s="142"/>
      <c r="AO873" s="142"/>
      <c r="AP873" s="142"/>
    </row>
    <row r="874" ht="13.5" customHeight="1">
      <c r="A874" s="142"/>
      <c r="B874" s="142"/>
      <c r="C874" s="142"/>
      <c r="D874" s="142"/>
      <c r="E874" s="132"/>
      <c r="F874" s="131"/>
      <c r="G874" s="131"/>
      <c r="H874" s="131"/>
      <c r="I874" s="131"/>
      <c r="J874" s="131"/>
      <c r="K874" s="131"/>
      <c r="L874" s="131"/>
      <c r="M874" s="131"/>
      <c r="N874" s="131"/>
      <c r="O874" s="142"/>
      <c r="P874" s="142"/>
      <c r="Q874" s="142"/>
      <c r="R874" s="142"/>
      <c r="S874" s="142"/>
      <c r="T874" s="142"/>
      <c r="U874" s="142"/>
      <c r="V874" s="142"/>
      <c r="W874" s="142"/>
      <c r="X874" s="142"/>
      <c r="Y874" s="142"/>
      <c r="Z874" s="142"/>
      <c r="AA874" s="131"/>
      <c r="AB874" s="142"/>
      <c r="AC874" s="142"/>
      <c r="AD874" s="142"/>
      <c r="AE874" s="142"/>
      <c r="AF874" s="142"/>
      <c r="AG874" s="142"/>
      <c r="AH874" s="142"/>
      <c r="AI874" s="142"/>
      <c r="AJ874" s="142"/>
      <c r="AK874" s="142"/>
      <c r="AL874" s="142"/>
      <c r="AM874" s="142"/>
      <c r="AN874" s="142"/>
      <c r="AO874" s="142"/>
      <c r="AP874" s="142"/>
    </row>
    <row r="875" ht="13.5" customHeight="1">
      <c r="A875" s="142"/>
      <c r="B875" s="142"/>
      <c r="C875" s="142"/>
      <c r="D875" s="142"/>
      <c r="E875" s="132"/>
      <c r="F875" s="131"/>
      <c r="G875" s="131"/>
      <c r="H875" s="131"/>
      <c r="I875" s="131"/>
      <c r="J875" s="131"/>
      <c r="K875" s="131"/>
      <c r="L875" s="131"/>
      <c r="M875" s="131"/>
      <c r="N875" s="131"/>
      <c r="O875" s="142"/>
      <c r="P875" s="142"/>
      <c r="Q875" s="142"/>
      <c r="R875" s="142"/>
      <c r="S875" s="142"/>
      <c r="T875" s="142"/>
      <c r="U875" s="142"/>
      <c r="V875" s="142"/>
      <c r="W875" s="142"/>
      <c r="X875" s="142"/>
      <c r="Y875" s="142"/>
      <c r="Z875" s="142"/>
      <c r="AA875" s="131"/>
      <c r="AB875" s="142"/>
      <c r="AC875" s="142"/>
      <c r="AD875" s="142"/>
      <c r="AE875" s="142"/>
      <c r="AF875" s="142"/>
      <c r="AG875" s="142"/>
      <c r="AH875" s="142"/>
      <c r="AI875" s="142"/>
      <c r="AJ875" s="142"/>
      <c r="AK875" s="142"/>
      <c r="AL875" s="142"/>
      <c r="AM875" s="142"/>
      <c r="AN875" s="142"/>
      <c r="AO875" s="142"/>
      <c r="AP875" s="142"/>
    </row>
    <row r="876" ht="13.5" customHeight="1">
      <c r="A876" s="142"/>
      <c r="B876" s="142"/>
      <c r="C876" s="142"/>
      <c r="D876" s="142"/>
      <c r="E876" s="132"/>
      <c r="F876" s="131"/>
      <c r="G876" s="131"/>
      <c r="H876" s="131"/>
      <c r="I876" s="131"/>
      <c r="J876" s="131"/>
      <c r="K876" s="131"/>
      <c r="L876" s="131"/>
      <c r="M876" s="131"/>
      <c r="N876" s="131"/>
      <c r="O876" s="142"/>
      <c r="P876" s="142"/>
      <c r="Q876" s="142"/>
      <c r="R876" s="142"/>
      <c r="S876" s="142"/>
      <c r="T876" s="142"/>
      <c r="U876" s="142"/>
      <c r="V876" s="142"/>
      <c r="W876" s="142"/>
      <c r="X876" s="142"/>
      <c r="Y876" s="142"/>
      <c r="Z876" s="142"/>
      <c r="AA876" s="131"/>
      <c r="AB876" s="142"/>
      <c r="AC876" s="142"/>
      <c r="AD876" s="142"/>
      <c r="AE876" s="142"/>
      <c r="AF876" s="142"/>
      <c r="AG876" s="142"/>
      <c r="AH876" s="142"/>
      <c r="AI876" s="142"/>
      <c r="AJ876" s="142"/>
      <c r="AK876" s="142"/>
      <c r="AL876" s="142"/>
      <c r="AM876" s="142"/>
      <c r="AN876" s="142"/>
      <c r="AO876" s="142"/>
      <c r="AP876" s="142"/>
    </row>
    <row r="877" ht="13.5" customHeight="1">
      <c r="A877" s="142"/>
      <c r="B877" s="142"/>
      <c r="C877" s="142"/>
      <c r="D877" s="142"/>
      <c r="E877" s="132"/>
      <c r="F877" s="131"/>
      <c r="G877" s="131"/>
      <c r="H877" s="131"/>
      <c r="I877" s="131"/>
      <c r="J877" s="131"/>
      <c r="K877" s="131"/>
      <c r="L877" s="131"/>
      <c r="M877" s="131"/>
      <c r="N877" s="131"/>
      <c r="O877" s="142"/>
      <c r="P877" s="142"/>
      <c r="Q877" s="142"/>
      <c r="R877" s="142"/>
      <c r="S877" s="142"/>
      <c r="T877" s="142"/>
      <c r="U877" s="142"/>
      <c r="V877" s="142"/>
      <c r="W877" s="142"/>
      <c r="X877" s="142"/>
      <c r="Y877" s="142"/>
      <c r="Z877" s="142"/>
      <c r="AA877" s="131"/>
      <c r="AB877" s="142"/>
      <c r="AC877" s="142"/>
      <c r="AD877" s="142"/>
      <c r="AE877" s="142"/>
      <c r="AF877" s="142"/>
      <c r="AG877" s="142"/>
      <c r="AH877" s="142"/>
      <c r="AI877" s="142"/>
      <c r="AJ877" s="142"/>
      <c r="AK877" s="142"/>
      <c r="AL877" s="142"/>
      <c r="AM877" s="142"/>
      <c r="AN877" s="142"/>
      <c r="AO877" s="142"/>
      <c r="AP877" s="142"/>
    </row>
    <row r="878" ht="13.5" customHeight="1">
      <c r="A878" s="142"/>
      <c r="B878" s="142"/>
      <c r="C878" s="142"/>
      <c r="D878" s="142"/>
      <c r="E878" s="132"/>
      <c r="F878" s="131"/>
      <c r="G878" s="131"/>
      <c r="H878" s="131"/>
      <c r="I878" s="131"/>
      <c r="J878" s="131"/>
      <c r="K878" s="131"/>
      <c r="L878" s="131"/>
      <c r="M878" s="131"/>
      <c r="N878" s="131"/>
      <c r="O878" s="142"/>
      <c r="P878" s="142"/>
      <c r="Q878" s="142"/>
      <c r="R878" s="142"/>
      <c r="S878" s="142"/>
      <c r="T878" s="142"/>
      <c r="U878" s="142"/>
      <c r="V878" s="142"/>
      <c r="W878" s="142"/>
      <c r="X878" s="142"/>
      <c r="Y878" s="142"/>
      <c r="Z878" s="142"/>
      <c r="AA878" s="131"/>
      <c r="AB878" s="142"/>
      <c r="AC878" s="142"/>
      <c r="AD878" s="142"/>
      <c r="AE878" s="142"/>
      <c r="AF878" s="142"/>
      <c r="AG878" s="142"/>
      <c r="AH878" s="142"/>
      <c r="AI878" s="142"/>
      <c r="AJ878" s="142"/>
      <c r="AK878" s="142"/>
      <c r="AL878" s="142"/>
      <c r="AM878" s="142"/>
      <c r="AN878" s="142"/>
      <c r="AO878" s="142"/>
      <c r="AP878" s="142"/>
    </row>
    <row r="879" ht="13.5" customHeight="1">
      <c r="A879" s="142"/>
      <c r="B879" s="142"/>
      <c r="C879" s="142"/>
      <c r="D879" s="142"/>
      <c r="E879" s="132"/>
      <c r="F879" s="131"/>
      <c r="G879" s="131"/>
      <c r="H879" s="131"/>
      <c r="I879" s="131"/>
      <c r="J879" s="131"/>
      <c r="K879" s="131"/>
      <c r="L879" s="131"/>
      <c r="M879" s="131"/>
      <c r="N879" s="131"/>
      <c r="O879" s="142"/>
      <c r="P879" s="142"/>
      <c r="Q879" s="142"/>
      <c r="R879" s="142"/>
      <c r="S879" s="142"/>
      <c r="T879" s="142"/>
      <c r="U879" s="142"/>
      <c r="V879" s="142"/>
      <c r="W879" s="142"/>
      <c r="X879" s="142"/>
      <c r="Y879" s="142"/>
      <c r="Z879" s="142"/>
      <c r="AA879" s="131"/>
      <c r="AB879" s="142"/>
      <c r="AC879" s="142"/>
      <c r="AD879" s="142"/>
      <c r="AE879" s="142"/>
      <c r="AF879" s="142"/>
      <c r="AG879" s="142"/>
      <c r="AH879" s="142"/>
      <c r="AI879" s="142"/>
      <c r="AJ879" s="142"/>
      <c r="AK879" s="142"/>
      <c r="AL879" s="142"/>
      <c r="AM879" s="142"/>
      <c r="AN879" s="142"/>
      <c r="AO879" s="142"/>
      <c r="AP879" s="142"/>
    </row>
    <row r="880" ht="13.5" customHeight="1">
      <c r="A880" s="142"/>
      <c r="B880" s="142"/>
      <c r="C880" s="142"/>
      <c r="D880" s="142"/>
      <c r="E880" s="132"/>
      <c r="F880" s="131"/>
      <c r="G880" s="131"/>
      <c r="H880" s="131"/>
      <c r="I880" s="131"/>
      <c r="J880" s="131"/>
      <c r="K880" s="131"/>
      <c r="L880" s="131"/>
      <c r="M880" s="131"/>
      <c r="N880" s="131"/>
      <c r="O880" s="142"/>
      <c r="P880" s="142"/>
      <c r="Q880" s="142"/>
      <c r="R880" s="142"/>
      <c r="S880" s="142"/>
      <c r="T880" s="142"/>
      <c r="U880" s="142"/>
      <c r="V880" s="142"/>
      <c r="W880" s="142"/>
      <c r="X880" s="142"/>
      <c r="Y880" s="142"/>
      <c r="Z880" s="142"/>
      <c r="AA880" s="131"/>
      <c r="AB880" s="142"/>
      <c r="AC880" s="142"/>
      <c r="AD880" s="142"/>
      <c r="AE880" s="142"/>
      <c r="AF880" s="142"/>
      <c r="AG880" s="142"/>
      <c r="AH880" s="142"/>
      <c r="AI880" s="142"/>
      <c r="AJ880" s="142"/>
      <c r="AK880" s="142"/>
      <c r="AL880" s="142"/>
      <c r="AM880" s="142"/>
      <c r="AN880" s="142"/>
      <c r="AO880" s="142"/>
      <c r="AP880" s="142"/>
    </row>
    <row r="881" ht="13.5" customHeight="1">
      <c r="A881" s="142"/>
      <c r="B881" s="142"/>
      <c r="C881" s="142"/>
      <c r="D881" s="142"/>
      <c r="E881" s="132"/>
      <c r="F881" s="131"/>
      <c r="G881" s="131"/>
      <c r="H881" s="131"/>
      <c r="I881" s="131"/>
      <c r="J881" s="131"/>
      <c r="K881" s="131"/>
      <c r="L881" s="131"/>
      <c r="M881" s="131"/>
      <c r="N881" s="131"/>
      <c r="O881" s="142"/>
      <c r="P881" s="142"/>
      <c r="Q881" s="142"/>
      <c r="R881" s="142"/>
      <c r="S881" s="142"/>
      <c r="T881" s="142"/>
      <c r="U881" s="142"/>
      <c r="V881" s="142"/>
      <c r="W881" s="142"/>
      <c r="X881" s="142"/>
      <c r="Y881" s="142"/>
      <c r="Z881" s="142"/>
      <c r="AA881" s="131"/>
      <c r="AB881" s="142"/>
      <c r="AC881" s="142"/>
      <c r="AD881" s="142"/>
      <c r="AE881" s="142"/>
      <c r="AF881" s="142"/>
      <c r="AG881" s="142"/>
      <c r="AH881" s="142"/>
      <c r="AI881" s="142"/>
      <c r="AJ881" s="142"/>
      <c r="AK881" s="142"/>
      <c r="AL881" s="142"/>
      <c r="AM881" s="142"/>
      <c r="AN881" s="142"/>
      <c r="AO881" s="142"/>
      <c r="AP881" s="142"/>
    </row>
    <row r="882" ht="13.5" customHeight="1">
      <c r="A882" s="142"/>
      <c r="B882" s="142"/>
      <c r="C882" s="142"/>
      <c r="D882" s="142"/>
      <c r="E882" s="132"/>
      <c r="F882" s="131"/>
      <c r="G882" s="131"/>
      <c r="H882" s="131"/>
      <c r="I882" s="131"/>
      <c r="J882" s="131"/>
      <c r="K882" s="131"/>
      <c r="L882" s="131"/>
      <c r="M882" s="131"/>
      <c r="N882" s="131"/>
      <c r="O882" s="142"/>
      <c r="P882" s="142"/>
      <c r="Q882" s="142"/>
      <c r="R882" s="142"/>
      <c r="S882" s="142"/>
      <c r="T882" s="142"/>
      <c r="U882" s="142"/>
      <c r="V882" s="142"/>
      <c r="W882" s="142"/>
      <c r="X882" s="142"/>
      <c r="Y882" s="142"/>
      <c r="Z882" s="142"/>
      <c r="AA882" s="131"/>
      <c r="AB882" s="142"/>
      <c r="AC882" s="142"/>
      <c r="AD882" s="142"/>
      <c r="AE882" s="142"/>
      <c r="AF882" s="142"/>
      <c r="AG882" s="142"/>
      <c r="AH882" s="142"/>
      <c r="AI882" s="142"/>
      <c r="AJ882" s="142"/>
      <c r="AK882" s="142"/>
      <c r="AL882" s="142"/>
      <c r="AM882" s="142"/>
      <c r="AN882" s="142"/>
      <c r="AO882" s="142"/>
      <c r="AP882" s="142"/>
    </row>
    <row r="883" ht="13.5" customHeight="1">
      <c r="A883" s="142"/>
      <c r="B883" s="142"/>
      <c r="C883" s="142"/>
      <c r="D883" s="142"/>
      <c r="E883" s="132"/>
      <c r="F883" s="131"/>
      <c r="G883" s="131"/>
      <c r="H883" s="131"/>
      <c r="I883" s="131"/>
      <c r="J883" s="131"/>
      <c r="K883" s="131"/>
      <c r="L883" s="131"/>
      <c r="M883" s="131"/>
      <c r="N883" s="131"/>
      <c r="O883" s="142"/>
      <c r="P883" s="142"/>
      <c r="Q883" s="142"/>
      <c r="R883" s="142"/>
      <c r="S883" s="142"/>
      <c r="T883" s="142"/>
      <c r="U883" s="142"/>
      <c r="V883" s="142"/>
      <c r="W883" s="142"/>
      <c r="X883" s="142"/>
      <c r="Y883" s="142"/>
      <c r="Z883" s="142"/>
      <c r="AA883" s="131"/>
      <c r="AB883" s="142"/>
      <c r="AC883" s="142"/>
      <c r="AD883" s="142"/>
      <c r="AE883" s="142"/>
      <c r="AF883" s="142"/>
      <c r="AG883" s="142"/>
      <c r="AH883" s="142"/>
      <c r="AI883" s="142"/>
      <c r="AJ883" s="142"/>
      <c r="AK883" s="142"/>
      <c r="AL883" s="142"/>
      <c r="AM883" s="142"/>
      <c r="AN883" s="142"/>
      <c r="AO883" s="142"/>
      <c r="AP883" s="142"/>
    </row>
    <row r="884" ht="13.5" customHeight="1">
      <c r="A884" s="142"/>
      <c r="B884" s="142"/>
      <c r="C884" s="142"/>
      <c r="D884" s="142"/>
      <c r="E884" s="132"/>
      <c r="F884" s="131"/>
      <c r="G884" s="131"/>
      <c r="H884" s="131"/>
      <c r="I884" s="131"/>
      <c r="J884" s="131"/>
      <c r="K884" s="131"/>
      <c r="L884" s="131"/>
      <c r="M884" s="131"/>
      <c r="N884" s="131"/>
      <c r="O884" s="142"/>
      <c r="P884" s="142"/>
      <c r="Q884" s="142"/>
      <c r="R884" s="142"/>
      <c r="S884" s="142"/>
      <c r="T884" s="142"/>
      <c r="U884" s="142"/>
      <c r="V884" s="142"/>
      <c r="W884" s="142"/>
      <c r="X884" s="142"/>
      <c r="Y884" s="142"/>
      <c r="Z884" s="142"/>
      <c r="AA884" s="131"/>
      <c r="AB884" s="142"/>
      <c r="AC884" s="142"/>
      <c r="AD884" s="142"/>
      <c r="AE884" s="142"/>
      <c r="AF884" s="142"/>
      <c r="AG884" s="142"/>
      <c r="AH884" s="142"/>
      <c r="AI884" s="142"/>
      <c r="AJ884" s="142"/>
      <c r="AK884" s="142"/>
      <c r="AL884" s="142"/>
      <c r="AM884" s="142"/>
      <c r="AN884" s="142"/>
      <c r="AO884" s="142"/>
      <c r="AP884" s="142"/>
    </row>
    <row r="885" ht="13.5" customHeight="1">
      <c r="A885" s="142"/>
      <c r="B885" s="142"/>
      <c r="C885" s="142"/>
      <c r="D885" s="142"/>
      <c r="E885" s="132"/>
      <c r="F885" s="131"/>
      <c r="G885" s="131"/>
      <c r="H885" s="131"/>
      <c r="I885" s="131"/>
      <c r="J885" s="131"/>
      <c r="K885" s="131"/>
      <c r="L885" s="131"/>
      <c r="M885" s="131"/>
      <c r="N885" s="131"/>
      <c r="O885" s="142"/>
      <c r="P885" s="142"/>
      <c r="Q885" s="142"/>
      <c r="R885" s="142"/>
      <c r="S885" s="142"/>
      <c r="T885" s="142"/>
      <c r="U885" s="142"/>
      <c r="V885" s="142"/>
      <c r="W885" s="142"/>
      <c r="X885" s="142"/>
      <c r="Y885" s="142"/>
      <c r="Z885" s="142"/>
      <c r="AA885" s="131"/>
      <c r="AB885" s="142"/>
      <c r="AC885" s="142"/>
      <c r="AD885" s="142"/>
      <c r="AE885" s="142"/>
      <c r="AF885" s="142"/>
      <c r="AG885" s="142"/>
      <c r="AH885" s="142"/>
      <c r="AI885" s="142"/>
      <c r="AJ885" s="142"/>
      <c r="AK885" s="142"/>
      <c r="AL885" s="142"/>
      <c r="AM885" s="142"/>
      <c r="AN885" s="142"/>
      <c r="AO885" s="142"/>
      <c r="AP885" s="142"/>
    </row>
    <row r="886" ht="13.5" customHeight="1">
      <c r="A886" s="142"/>
      <c r="B886" s="142"/>
      <c r="C886" s="142"/>
      <c r="D886" s="142"/>
      <c r="E886" s="132"/>
      <c r="F886" s="131"/>
      <c r="G886" s="131"/>
      <c r="H886" s="131"/>
      <c r="I886" s="131"/>
      <c r="J886" s="131"/>
      <c r="K886" s="131"/>
      <c r="L886" s="131"/>
      <c r="M886" s="131"/>
      <c r="N886" s="131"/>
      <c r="O886" s="142"/>
      <c r="P886" s="142"/>
      <c r="Q886" s="142"/>
      <c r="R886" s="142"/>
      <c r="S886" s="142"/>
      <c r="T886" s="142"/>
      <c r="U886" s="142"/>
      <c r="V886" s="142"/>
      <c r="W886" s="142"/>
      <c r="X886" s="142"/>
      <c r="Y886" s="142"/>
      <c r="Z886" s="142"/>
      <c r="AA886" s="131"/>
      <c r="AB886" s="142"/>
      <c r="AC886" s="142"/>
      <c r="AD886" s="142"/>
      <c r="AE886" s="142"/>
      <c r="AF886" s="142"/>
      <c r="AG886" s="142"/>
      <c r="AH886" s="142"/>
      <c r="AI886" s="142"/>
      <c r="AJ886" s="142"/>
      <c r="AK886" s="142"/>
      <c r="AL886" s="142"/>
      <c r="AM886" s="142"/>
      <c r="AN886" s="142"/>
      <c r="AO886" s="142"/>
      <c r="AP886" s="142"/>
    </row>
    <row r="887" ht="13.5" customHeight="1">
      <c r="A887" s="142"/>
      <c r="B887" s="142"/>
      <c r="C887" s="142"/>
      <c r="D887" s="142"/>
      <c r="E887" s="132"/>
      <c r="F887" s="131"/>
      <c r="G887" s="131"/>
      <c r="H887" s="131"/>
      <c r="I887" s="131"/>
      <c r="J887" s="131"/>
      <c r="K887" s="131"/>
      <c r="L887" s="131"/>
      <c r="M887" s="131"/>
      <c r="N887" s="131"/>
      <c r="O887" s="142"/>
      <c r="P887" s="142"/>
      <c r="Q887" s="142"/>
      <c r="R887" s="142"/>
      <c r="S887" s="142"/>
      <c r="T887" s="142"/>
      <c r="U887" s="142"/>
      <c r="V887" s="142"/>
      <c r="W887" s="142"/>
      <c r="X887" s="142"/>
      <c r="Y887" s="142"/>
      <c r="Z887" s="142"/>
      <c r="AA887" s="131"/>
      <c r="AB887" s="142"/>
      <c r="AC887" s="142"/>
      <c r="AD887" s="142"/>
      <c r="AE887" s="142"/>
      <c r="AF887" s="142"/>
      <c r="AG887" s="142"/>
      <c r="AH887" s="142"/>
      <c r="AI887" s="142"/>
      <c r="AJ887" s="142"/>
      <c r="AK887" s="142"/>
      <c r="AL887" s="142"/>
      <c r="AM887" s="142"/>
      <c r="AN887" s="142"/>
      <c r="AO887" s="142"/>
      <c r="AP887" s="142"/>
    </row>
    <row r="888" ht="13.5" customHeight="1">
      <c r="A888" s="142"/>
      <c r="B888" s="142"/>
      <c r="C888" s="142"/>
      <c r="D888" s="142"/>
      <c r="E888" s="132"/>
      <c r="F888" s="131"/>
      <c r="G888" s="131"/>
      <c r="H888" s="131"/>
      <c r="I888" s="131"/>
      <c r="J888" s="131"/>
      <c r="K888" s="131"/>
      <c r="L888" s="131"/>
      <c r="M888" s="131"/>
      <c r="N888" s="131"/>
      <c r="O888" s="142"/>
      <c r="P888" s="142"/>
      <c r="Q888" s="142"/>
      <c r="R888" s="142"/>
      <c r="S888" s="142"/>
      <c r="T888" s="142"/>
      <c r="U888" s="142"/>
      <c r="V888" s="142"/>
      <c r="W888" s="142"/>
      <c r="X888" s="142"/>
      <c r="Y888" s="142"/>
      <c r="Z888" s="142"/>
      <c r="AA888" s="131"/>
      <c r="AB888" s="142"/>
      <c r="AC888" s="142"/>
      <c r="AD888" s="142"/>
      <c r="AE888" s="142"/>
      <c r="AF888" s="142"/>
      <c r="AG888" s="142"/>
      <c r="AH888" s="142"/>
      <c r="AI888" s="142"/>
      <c r="AJ888" s="142"/>
      <c r="AK888" s="142"/>
      <c r="AL888" s="142"/>
      <c r="AM888" s="142"/>
      <c r="AN888" s="142"/>
      <c r="AO888" s="142"/>
      <c r="AP888" s="142"/>
    </row>
    <row r="889" ht="13.5" customHeight="1">
      <c r="A889" s="142"/>
      <c r="B889" s="142"/>
      <c r="C889" s="142"/>
      <c r="D889" s="142"/>
      <c r="E889" s="132"/>
      <c r="F889" s="131"/>
      <c r="G889" s="131"/>
      <c r="H889" s="131"/>
      <c r="I889" s="131"/>
      <c r="J889" s="131"/>
      <c r="K889" s="131"/>
      <c r="L889" s="131"/>
      <c r="M889" s="131"/>
      <c r="N889" s="131"/>
      <c r="O889" s="142"/>
      <c r="P889" s="142"/>
      <c r="Q889" s="142"/>
      <c r="R889" s="142"/>
      <c r="S889" s="142"/>
      <c r="T889" s="142"/>
      <c r="U889" s="142"/>
      <c r="V889" s="142"/>
      <c r="W889" s="142"/>
      <c r="X889" s="142"/>
      <c r="Y889" s="142"/>
      <c r="Z889" s="142"/>
      <c r="AA889" s="131"/>
      <c r="AB889" s="142"/>
      <c r="AC889" s="142"/>
      <c r="AD889" s="142"/>
      <c r="AE889" s="142"/>
      <c r="AF889" s="142"/>
      <c r="AG889" s="142"/>
      <c r="AH889" s="142"/>
      <c r="AI889" s="142"/>
      <c r="AJ889" s="142"/>
      <c r="AK889" s="142"/>
      <c r="AL889" s="142"/>
      <c r="AM889" s="142"/>
      <c r="AN889" s="142"/>
      <c r="AO889" s="142"/>
      <c r="AP889" s="142"/>
    </row>
    <row r="890" ht="13.5" customHeight="1">
      <c r="A890" s="142"/>
      <c r="B890" s="142"/>
      <c r="C890" s="142"/>
      <c r="D890" s="142"/>
      <c r="E890" s="132"/>
      <c r="F890" s="131"/>
      <c r="G890" s="131"/>
      <c r="H890" s="131"/>
      <c r="I890" s="131"/>
      <c r="J890" s="131"/>
      <c r="K890" s="131"/>
      <c r="L890" s="131"/>
      <c r="M890" s="131"/>
      <c r="N890" s="131"/>
      <c r="O890" s="142"/>
      <c r="P890" s="142"/>
      <c r="Q890" s="142"/>
      <c r="R890" s="142"/>
      <c r="S890" s="142"/>
      <c r="T890" s="142"/>
      <c r="U890" s="142"/>
      <c r="V890" s="142"/>
      <c r="W890" s="142"/>
      <c r="X890" s="142"/>
      <c r="Y890" s="142"/>
      <c r="Z890" s="142"/>
      <c r="AA890" s="131"/>
      <c r="AB890" s="142"/>
      <c r="AC890" s="142"/>
      <c r="AD890" s="142"/>
      <c r="AE890" s="142"/>
      <c r="AF890" s="142"/>
      <c r="AG890" s="142"/>
      <c r="AH890" s="142"/>
      <c r="AI890" s="142"/>
      <c r="AJ890" s="142"/>
      <c r="AK890" s="142"/>
      <c r="AL890" s="142"/>
      <c r="AM890" s="142"/>
      <c r="AN890" s="142"/>
      <c r="AO890" s="142"/>
      <c r="AP890" s="142"/>
    </row>
    <row r="891" ht="13.5" customHeight="1">
      <c r="A891" s="142"/>
      <c r="B891" s="142"/>
      <c r="C891" s="142"/>
      <c r="D891" s="142"/>
      <c r="E891" s="132"/>
      <c r="F891" s="131"/>
      <c r="G891" s="131"/>
      <c r="H891" s="131"/>
      <c r="I891" s="131"/>
      <c r="J891" s="131"/>
      <c r="K891" s="131"/>
      <c r="L891" s="131"/>
      <c r="M891" s="131"/>
      <c r="N891" s="131"/>
      <c r="O891" s="142"/>
      <c r="P891" s="142"/>
      <c r="Q891" s="142"/>
      <c r="R891" s="142"/>
      <c r="S891" s="142"/>
      <c r="T891" s="142"/>
      <c r="U891" s="142"/>
      <c r="V891" s="142"/>
      <c r="W891" s="142"/>
      <c r="X891" s="142"/>
      <c r="Y891" s="142"/>
      <c r="Z891" s="142"/>
      <c r="AA891" s="131"/>
      <c r="AB891" s="142"/>
      <c r="AC891" s="142"/>
      <c r="AD891" s="142"/>
      <c r="AE891" s="142"/>
      <c r="AF891" s="142"/>
      <c r="AG891" s="142"/>
      <c r="AH891" s="142"/>
      <c r="AI891" s="142"/>
      <c r="AJ891" s="142"/>
      <c r="AK891" s="142"/>
      <c r="AL891" s="142"/>
      <c r="AM891" s="142"/>
      <c r="AN891" s="142"/>
      <c r="AO891" s="142"/>
      <c r="AP891" s="142"/>
    </row>
    <row r="892" ht="13.5" customHeight="1">
      <c r="A892" s="142"/>
      <c r="B892" s="142"/>
      <c r="C892" s="142"/>
      <c r="D892" s="142"/>
      <c r="E892" s="132"/>
      <c r="F892" s="131"/>
      <c r="G892" s="131"/>
      <c r="H892" s="131"/>
      <c r="I892" s="131"/>
      <c r="J892" s="131"/>
      <c r="K892" s="131"/>
      <c r="L892" s="131"/>
      <c r="M892" s="131"/>
      <c r="N892" s="131"/>
      <c r="O892" s="142"/>
      <c r="P892" s="142"/>
      <c r="Q892" s="142"/>
      <c r="R892" s="142"/>
      <c r="S892" s="142"/>
      <c r="T892" s="142"/>
      <c r="U892" s="142"/>
      <c r="V892" s="142"/>
      <c r="W892" s="142"/>
      <c r="X892" s="142"/>
      <c r="Y892" s="142"/>
      <c r="Z892" s="142"/>
      <c r="AA892" s="131"/>
      <c r="AB892" s="142"/>
      <c r="AC892" s="142"/>
      <c r="AD892" s="142"/>
      <c r="AE892" s="142"/>
      <c r="AF892" s="142"/>
      <c r="AG892" s="142"/>
      <c r="AH892" s="142"/>
      <c r="AI892" s="142"/>
      <c r="AJ892" s="142"/>
      <c r="AK892" s="142"/>
      <c r="AL892" s="142"/>
      <c r="AM892" s="142"/>
      <c r="AN892" s="142"/>
      <c r="AO892" s="142"/>
      <c r="AP892" s="142"/>
    </row>
    <row r="893" ht="13.5" customHeight="1">
      <c r="A893" s="142"/>
      <c r="B893" s="142"/>
      <c r="C893" s="142"/>
      <c r="D893" s="142"/>
      <c r="E893" s="132"/>
      <c r="F893" s="131"/>
      <c r="G893" s="131"/>
      <c r="H893" s="131"/>
      <c r="I893" s="131"/>
      <c r="J893" s="131"/>
      <c r="K893" s="131"/>
      <c r="L893" s="131"/>
      <c r="M893" s="131"/>
      <c r="N893" s="131"/>
      <c r="O893" s="142"/>
      <c r="P893" s="142"/>
      <c r="Q893" s="142"/>
      <c r="R893" s="142"/>
      <c r="S893" s="142"/>
      <c r="T893" s="142"/>
      <c r="U893" s="142"/>
      <c r="V893" s="142"/>
      <c r="W893" s="142"/>
      <c r="X893" s="142"/>
      <c r="Y893" s="142"/>
      <c r="Z893" s="142"/>
      <c r="AA893" s="131"/>
      <c r="AB893" s="142"/>
      <c r="AC893" s="142"/>
      <c r="AD893" s="142"/>
      <c r="AE893" s="142"/>
      <c r="AF893" s="142"/>
      <c r="AG893" s="142"/>
      <c r="AH893" s="142"/>
      <c r="AI893" s="142"/>
      <c r="AJ893" s="142"/>
      <c r="AK893" s="142"/>
      <c r="AL893" s="142"/>
      <c r="AM893" s="142"/>
      <c r="AN893" s="142"/>
      <c r="AO893" s="142"/>
      <c r="AP893" s="142"/>
    </row>
    <row r="894" ht="13.5" customHeight="1">
      <c r="A894" s="142"/>
      <c r="B894" s="142"/>
      <c r="C894" s="142"/>
      <c r="D894" s="142"/>
      <c r="E894" s="132"/>
      <c r="F894" s="131"/>
      <c r="G894" s="131"/>
      <c r="H894" s="131"/>
      <c r="I894" s="131"/>
      <c r="J894" s="131"/>
      <c r="K894" s="131"/>
      <c r="L894" s="131"/>
      <c r="M894" s="131"/>
      <c r="N894" s="131"/>
      <c r="O894" s="142"/>
      <c r="P894" s="142"/>
      <c r="Q894" s="142"/>
      <c r="R894" s="142"/>
      <c r="S894" s="142"/>
      <c r="T894" s="142"/>
      <c r="U894" s="142"/>
      <c r="V894" s="142"/>
      <c r="W894" s="142"/>
      <c r="X894" s="142"/>
      <c r="Y894" s="142"/>
      <c r="Z894" s="142"/>
      <c r="AA894" s="131"/>
      <c r="AB894" s="142"/>
      <c r="AC894" s="142"/>
      <c r="AD894" s="142"/>
      <c r="AE894" s="142"/>
      <c r="AF894" s="142"/>
      <c r="AG894" s="142"/>
      <c r="AH894" s="142"/>
      <c r="AI894" s="142"/>
      <c r="AJ894" s="142"/>
      <c r="AK894" s="142"/>
      <c r="AL894" s="142"/>
      <c r="AM894" s="142"/>
      <c r="AN894" s="142"/>
      <c r="AO894" s="142"/>
      <c r="AP894" s="142"/>
    </row>
    <row r="895" ht="13.5" customHeight="1">
      <c r="A895" s="142"/>
      <c r="B895" s="142"/>
      <c r="C895" s="142"/>
      <c r="D895" s="142"/>
      <c r="E895" s="132"/>
      <c r="F895" s="131"/>
      <c r="G895" s="131"/>
      <c r="H895" s="131"/>
      <c r="I895" s="131"/>
      <c r="J895" s="131"/>
      <c r="K895" s="131"/>
      <c r="L895" s="131"/>
      <c r="M895" s="131"/>
      <c r="N895" s="131"/>
      <c r="O895" s="142"/>
      <c r="P895" s="142"/>
      <c r="Q895" s="142"/>
      <c r="R895" s="142"/>
      <c r="S895" s="142"/>
      <c r="T895" s="142"/>
      <c r="U895" s="142"/>
      <c r="V895" s="142"/>
      <c r="W895" s="142"/>
      <c r="X895" s="142"/>
      <c r="Y895" s="142"/>
      <c r="Z895" s="142"/>
      <c r="AA895" s="131"/>
      <c r="AB895" s="142"/>
      <c r="AC895" s="142"/>
      <c r="AD895" s="142"/>
      <c r="AE895" s="142"/>
      <c r="AF895" s="142"/>
      <c r="AG895" s="142"/>
      <c r="AH895" s="142"/>
      <c r="AI895" s="142"/>
      <c r="AJ895" s="142"/>
      <c r="AK895" s="142"/>
      <c r="AL895" s="142"/>
      <c r="AM895" s="142"/>
      <c r="AN895" s="142"/>
      <c r="AO895" s="142"/>
      <c r="AP895" s="142"/>
    </row>
    <row r="896" ht="13.5" customHeight="1">
      <c r="A896" s="142"/>
      <c r="B896" s="142"/>
      <c r="C896" s="142"/>
      <c r="D896" s="142"/>
      <c r="E896" s="132"/>
      <c r="F896" s="131"/>
      <c r="G896" s="131"/>
      <c r="H896" s="131"/>
      <c r="I896" s="131"/>
      <c r="J896" s="131"/>
      <c r="K896" s="131"/>
      <c r="L896" s="131"/>
      <c r="M896" s="131"/>
      <c r="N896" s="131"/>
      <c r="O896" s="142"/>
      <c r="P896" s="142"/>
      <c r="Q896" s="142"/>
      <c r="R896" s="142"/>
      <c r="S896" s="142"/>
      <c r="T896" s="142"/>
      <c r="U896" s="142"/>
      <c r="V896" s="142"/>
      <c r="W896" s="142"/>
      <c r="X896" s="142"/>
      <c r="Y896" s="142"/>
      <c r="Z896" s="142"/>
      <c r="AA896" s="131"/>
      <c r="AB896" s="142"/>
      <c r="AC896" s="142"/>
      <c r="AD896" s="142"/>
      <c r="AE896" s="142"/>
      <c r="AF896" s="142"/>
      <c r="AG896" s="142"/>
      <c r="AH896" s="142"/>
      <c r="AI896" s="142"/>
      <c r="AJ896" s="142"/>
      <c r="AK896" s="142"/>
      <c r="AL896" s="142"/>
      <c r="AM896" s="142"/>
      <c r="AN896" s="142"/>
      <c r="AO896" s="142"/>
      <c r="AP896" s="142"/>
    </row>
    <row r="897" ht="13.5" customHeight="1">
      <c r="A897" s="142"/>
      <c r="B897" s="142"/>
      <c r="C897" s="142"/>
      <c r="D897" s="142"/>
      <c r="E897" s="132"/>
      <c r="F897" s="131"/>
      <c r="G897" s="131"/>
      <c r="H897" s="131"/>
      <c r="I897" s="131"/>
      <c r="J897" s="131"/>
      <c r="K897" s="131"/>
      <c r="L897" s="131"/>
      <c r="M897" s="131"/>
      <c r="N897" s="131"/>
      <c r="O897" s="142"/>
      <c r="P897" s="142"/>
      <c r="Q897" s="142"/>
      <c r="R897" s="142"/>
      <c r="S897" s="142"/>
      <c r="T897" s="142"/>
      <c r="U897" s="142"/>
      <c r="V897" s="142"/>
      <c r="W897" s="142"/>
      <c r="X897" s="142"/>
      <c r="Y897" s="142"/>
      <c r="Z897" s="142"/>
      <c r="AA897" s="131"/>
      <c r="AB897" s="142"/>
      <c r="AC897" s="142"/>
      <c r="AD897" s="142"/>
      <c r="AE897" s="142"/>
      <c r="AF897" s="142"/>
      <c r="AG897" s="142"/>
      <c r="AH897" s="142"/>
      <c r="AI897" s="142"/>
      <c r="AJ897" s="142"/>
      <c r="AK897" s="142"/>
      <c r="AL897" s="142"/>
      <c r="AM897" s="142"/>
      <c r="AN897" s="142"/>
      <c r="AO897" s="142"/>
      <c r="AP897" s="142"/>
    </row>
    <row r="898" ht="13.5" customHeight="1">
      <c r="A898" s="142"/>
      <c r="B898" s="142"/>
      <c r="C898" s="142"/>
      <c r="D898" s="142"/>
      <c r="E898" s="132"/>
      <c r="F898" s="131"/>
      <c r="G898" s="131"/>
      <c r="H898" s="131"/>
      <c r="I898" s="131"/>
      <c r="J898" s="131"/>
      <c r="K898" s="131"/>
      <c r="L898" s="131"/>
      <c r="M898" s="131"/>
      <c r="N898" s="131"/>
      <c r="O898" s="142"/>
      <c r="P898" s="142"/>
      <c r="Q898" s="142"/>
      <c r="R898" s="142"/>
      <c r="S898" s="142"/>
      <c r="T898" s="142"/>
      <c r="U898" s="142"/>
      <c r="V898" s="142"/>
      <c r="W898" s="142"/>
      <c r="X898" s="142"/>
      <c r="Y898" s="142"/>
      <c r="Z898" s="142"/>
      <c r="AA898" s="131"/>
      <c r="AB898" s="142"/>
      <c r="AC898" s="142"/>
      <c r="AD898" s="142"/>
      <c r="AE898" s="142"/>
      <c r="AF898" s="142"/>
      <c r="AG898" s="142"/>
      <c r="AH898" s="142"/>
      <c r="AI898" s="142"/>
      <c r="AJ898" s="142"/>
      <c r="AK898" s="142"/>
      <c r="AL898" s="142"/>
      <c r="AM898" s="142"/>
      <c r="AN898" s="142"/>
      <c r="AO898" s="142"/>
      <c r="AP898" s="142"/>
    </row>
    <row r="899" ht="13.5" customHeight="1">
      <c r="A899" s="142"/>
      <c r="B899" s="142"/>
      <c r="C899" s="142"/>
      <c r="D899" s="142"/>
      <c r="E899" s="132"/>
      <c r="F899" s="131"/>
      <c r="G899" s="131"/>
      <c r="H899" s="131"/>
      <c r="I899" s="131"/>
      <c r="J899" s="131"/>
      <c r="K899" s="131"/>
      <c r="L899" s="131"/>
      <c r="M899" s="131"/>
      <c r="N899" s="131"/>
      <c r="O899" s="142"/>
      <c r="P899" s="142"/>
      <c r="Q899" s="142"/>
      <c r="R899" s="142"/>
      <c r="S899" s="142"/>
      <c r="T899" s="142"/>
      <c r="U899" s="142"/>
      <c r="V899" s="142"/>
      <c r="W899" s="142"/>
      <c r="X899" s="142"/>
      <c r="Y899" s="142"/>
      <c r="Z899" s="142"/>
      <c r="AA899" s="131"/>
      <c r="AB899" s="142"/>
      <c r="AC899" s="142"/>
      <c r="AD899" s="142"/>
      <c r="AE899" s="142"/>
      <c r="AF899" s="142"/>
      <c r="AG899" s="142"/>
      <c r="AH899" s="142"/>
      <c r="AI899" s="142"/>
      <c r="AJ899" s="142"/>
      <c r="AK899" s="142"/>
      <c r="AL899" s="142"/>
      <c r="AM899" s="142"/>
      <c r="AN899" s="142"/>
      <c r="AO899" s="142"/>
      <c r="AP899" s="142"/>
    </row>
    <row r="900" ht="13.5" customHeight="1">
      <c r="A900" s="142"/>
      <c r="B900" s="142"/>
      <c r="C900" s="142"/>
      <c r="D900" s="142"/>
      <c r="E900" s="132"/>
      <c r="F900" s="131"/>
      <c r="G900" s="131"/>
      <c r="H900" s="131"/>
      <c r="I900" s="131"/>
      <c r="J900" s="131"/>
      <c r="K900" s="131"/>
      <c r="L900" s="131"/>
      <c r="M900" s="131"/>
      <c r="N900" s="131"/>
      <c r="O900" s="142"/>
      <c r="P900" s="142"/>
      <c r="Q900" s="142"/>
      <c r="R900" s="142"/>
      <c r="S900" s="142"/>
      <c r="T900" s="142"/>
      <c r="U900" s="142"/>
      <c r="V900" s="142"/>
      <c r="W900" s="142"/>
      <c r="X900" s="142"/>
      <c r="Y900" s="142"/>
      <c r="Z900" s="142"/>
      <c r="AA900" s="131"/>
      <c r="AB900" s="142"/>
      <c r="AC900" s="142"/>
      <c r="AD900" s="142"/>
      <c r="AE900" s="142"/>
      <c r="AF900" s="142"/>
      <c r="AG900" s="142"/>
      <c r="AH900" s="142"/>
      <c r="AI900" s="142"/>
      <c r="AJ900" s="142"/>
      <c r="AK900" s="142"/>
      <c r="AL900" s="142"/>
      <c r="AM900" s="142"/>
      <c r="AN900" s="142"/>
      <c r="AO900" s="142"/>
      <c r="AP900" s="142"/>
    </row>
    <row r="901" ht="13.5" customHeight="1">
      <c r="A901" s="142"/>
      <c r="B901" s="142"/>
      <c r="C901" s="142"/>
      <c r="D901" s="142"/>
      <c r="E901" s="132"/>
      <c r="F901" s="131"/>
      <c r="G901" s="131"/>
      <c r="H901" s="131"/>
      <c r="I901" s="131"/>
      <c r="J901" s="131"/>
      <c r="K901" s="131"/>
      <c r="L901" s="131"/>
      <c r="M901" s="131"/>
      <c r="N901" s="131"/>
      <c r="O901" s="142"/>
      <c r="P901" s="142"/>
      <c r="Q901" s="142"/>
      <c r="R901" s="142"/>
      <c r="S901" s="142"/>
      <c r="T901" s="142"/>
      <c r="U901" s="142"/>
      <c r="V901" s="142"/>
      <c r="W901" s="142"/>
      <c r="X901" s="142"/>
      <c r="Y901" s="142"/>
      <c r="Z901" s="142"/>
      <c r="AA901" s="131"/>
      <c r="AB901" s="142"/>
      <c r="AC901" s="142"/>
      <c r="AD901" s="142"/>
      <c r="AE901" s="142"/>
      <c r="AF901" s="142"/>
      <c r="AG901" s="142"/>
      <c r="AH901" s="142"/>
      <c r="AI901" s="142"/>
      <c r="AJ901" s="142"/>
      <c r="AK901" s="142"/>
      <c r="AL901" s="142"/>
      <c r="AM901" s="142"/>
      <c r="AN901" s="142"/>
      <c r="AO901" s="142"/>
      <c r="AP901" s="142"/>
    </row>
    <row r="902" ht="13.5" customHeight="1">
      <c r="A902" s="142"/>
      <c r="B902" s="142"/>
      <c r="C902" s="142"/>
      <c r="D902" s="142"/>
      <c r="E902" s="132"/>
      <c r="F902" s="131"/>
      <c r="G902" s="131"/>
      <c r="H902" s="131"/>
      <c r="I902" s="131"/>
      <c r="J902" s="131"/>
      <c r="K902" s="131"/>
      <c r="L902" s="131"/>
      <c r="M902" s="131"/>
      <c r="N902" s="131"/>
      <c r="O902" s="142"/>
      <c r="P902" s="142"/>
      <c r="Q902" s="142"/>
      <c r="R902" s="142"/>
      <c r="S902" s="142"/>
      <c r="T902" s="142"/>
      <c r="U902" s="142"/>
      <c r="V902" s="142"/>
      <c r="W902" s="142"/>
      <c r="X902" s="142"/>
      <c r="Y902" s="142"/>
      <c r="Z902" s="142"/>
      <c r="AA902" s="131"/>
      <c r="AB902" s="142"/>
      <c r="AC902" s="142"/>
      <c r="AD902" s="142"/>
      <c r="AE902" s="142"/>
      <c r="AF902" s="142"/>
      <c r="AG902" s="142"/>
      <c r="AH902" s="142"/>
      <c r="AI902" s="142"/>
      <c r="AJ902" s="142"/>
      <c r="AK902" s="142"/>
      <c r="AL902" s="142"/>
      <c r="AM902" s="142"/>
      <c r="AN902" s="142"/>
      <c r="AO902" s="142"/>
      <c r="AP902" s="142"/>
    </row>
    <row r="903" ht="13.5" customHeight="1">
      <c r="A903" s="142"/>
      <c r="B903" s="142"/>
      <c r="C903" s="142"/>
      <c r="D903" s="142"/>
      <c r="E903" s="132"/>
      <c r="F903" s="131"/>
      <c r="G903" s="131"/>
      <c r="H903" s="131"/>
      <c r="I903" s="131"/>
      <c r="J903" s="131"/>
      <c r="K903" s="131"/>
      <c r="L903" s="131"/>
      <c r="M903" s="131"/>
      <c r="N903" s="131"/>
      <c r="O903" s="142"/>
      <c r="P903" s="142"/>
      <c r="Q903" s="142"/>
      <c r="R903" s="142"/>
      <c r="S903" s="142"/>
      <c r="T903" s="142"/>
      <c r="U903" s="142"/>
      <c r="V903" s="142"/>
      <c r="W903" s="142"/>
      <c r="X903" s="142"/>
      <c r="Y903" s="142"/>
      <c r="Z903" s="142"/>
      <c r="AA903" s="131"/>
      <c r="AB903" s="142"/>
      <c r="AC903" s="142"/>
      <c r="AD903" s="142"/>
      <c r="AE903" s="142"/>
      <c r="AF903" s="142"/>
      <c r="AG903" s="142"/>
      <c r="AH903" s="142"/>
      <c r="AI903" s="142"/>
      <c r="AJ903" s="142"/>
      <c r="AK903" s="142"/>
      <c r="AL903" s="142"/>
      <c r="AM903" s="142"/>
      <c r="AN903" s="142"/>
      <c r="AO903" s="142"/>
      <c r="AP903" s="142"/>
    </row>
    <row r="904" ht="13.5" customHeight="1">
      <c r="A904" s="142"/>
      <c r="B904" s="142"/>
      <c r="C904" s="142"/>
      <c r="D904" s="142"/>
      <c r="E904" s="132"/>
      <c r="F904" s="131"/>
      <c r="G904" s="131"/>
      <c r="H904" s="131"/>
      <c r="I904" s="131"/>
      <c r="J904" s="131"/>
      <c r="K904" s="131"/>
      <c r="L904" s="131"/>
      <c r="M904" s="131"/>
      <c r="N904" s="131"/>
      <c r="O904" s="142"/>
      <c r="P904" s="142"/>
      <c r="Q904" s="142"/>
      <c r="R904" s="142"/>
      <c r="S904" s="142"/>
      <c r="T904" s="142"/>
      <c r="U904" s="142"/>
      <c r="V904" s="142"/>
      <c r="W904" s="142"/>
      <c r="X904" s="142"/>
      <c r="Y904" s="142"/>
      <c r="Z904" s="142"/>
      <c r="AA904" s="131"/>
      <c r="AB904" s="142"/>
      <c r="AC904" s="142"/>
      <c r="AD904" s="142"/>
      <c r="AE904" s="142"/>
      <c r="AF904" s="142"/>
      <c r="AG904" s="142"/>
      <c r="AH904" s="142"/>
      <c r="AI904" s="142"/>
      <c r="AJ904" s="142"/>
      <c r="AK904" s="142"/>
      <c r="AL904" s="142"/>
      <c r="AM904" s="142"/>
      <c r="AN904" s="142"/>
      <c r="AO904" s="142"/>
      <c r="AP904" s="142"/>
    </row>
    <row r="905" ht="13.5" customHeight="1">
      <c r="A905" s="142"/>
      <c r="B905" s="142"/>
      <c r="C905" s="142"/>
      <c r="D905" s="142"/>
      <c r="E905" s="132"/>
      <c r="F905" s="131"/>
      <c r="G905" s="131"/>
      <c r="H905" s="131"/>
      <c r="I905" s="131"/>
      <c r="J905" s="131"/>
      <c r="K905" s="131"/>
      <c r="L905" s="131"/>
      <c r="M905" s="131"/>
      <c r="N905" s="131"/>
      <c r="O905" s="142"/>
      <c r="P905" s="142"/>
      <c r="Q905" s="142"/>
      <c r="R905" s="142"/>
      <c r="S905" s="142"/>
      <c r="T905" s="142"/>
      <c r="U905" s="142"/>
      <c r="V905" s="142"/>
      <c r="W905" s="142"/>
      <c r="X905" s="142"/>
      <c r="Y905" s="142"/>
      <c r="Z905" s="142"/>
      <c r="AA905" s="131"/>
      <c r="AB905" s="142"/>
      <c r="AC905" s="142"/>
      <c r="AD905" s="142"/>
      <c r="AE905" s="142"/>
      <c r="AF905" s="142"/>
      <c r="AG905" s="142"/>
      <c r="AH905" s="142"/>
      <c r="AI905" s="142"/>
      <c r="AJ905" s="142"/>
      <c r="AK905" s="142"/>
      <c r="AL905" s="142"/>
      <c r="AM905" s="142"/>
      <c r="AN905" s="142"/>
      <c r="AO905" s="142"/>
      <c r="AP905" s="142"/>
    </row>
    <row r="906" ht="13.5" customHeight="1">
      <c r="A906" s="142"/>
      <c r="B906" s="142"/>
      <c r="C906" s="142"/>
      <c r="D906" s="142"/>
      <c r="E906" s="132"/>
      <c r="F906" s="131"/>
      <c r="G906" s="131"/>
      <c r="H906" s="131"/>
      <c r="I906" s="131"/>
      <c r="J906" s="131"/>
      <c r="K906" s="131"/>
      <c r="L906" s="131"/>
      <c r="M906" s="131"/>
      <c r="N906" s="131"/>
      <c r="O906" s="142"/>
      <c r="P906" s="142"/>
      <c r="Q906" s="142"/>
      <c r="R906" s="142"/>
      <c r="S906" s="142"/>
      <c r="T906" s="142"/>
      <c r="U906" s="142"/>
      <c r="V906" s="142"/>
      <c r="W906" s="142"/>
      <c r="X906" s="142"/>
      <c r="Y906" s="142"/>
      <c r="Z906" s="142"/>
      <c r="AA906" s="131"/>
      <c r="AB906" s="142"/>
      <c r="AC906" s="142"/>
      <c r="AD906" s="142"/>
      <c r="AE906" s="142"/>
      <c r="AF906" s="142"/>
      <c r="AG906" s="142"/>
      <c r="AH906" s="142"/>
      <c r="AI906" s="142"/>
      <c r="AJ906" s="142"/>
      <c r="AK906" s="142"/>
      <c r="AL906" s="142"/>
      <c r="AM906" s="142"/>
      <c r="AN906" s="142"/>
      <c r="AO906" s="142"/>
      <c r="AP906" s="142"/>
    </row>
    <row r="907" ht="13.5" customHeight="1">
      <c r="A907" s="142"/>
      <c r="B907" s="142"/>
      <c r="C907" s="142"/>
      <c r="D907" s="142"/>
      <c r="E907" s="132"/>
      <c r="F907" s="131"/>
      <c r="G907" s="131"/>
      <c r="H907" s="131"/>
      <c r="I907" s="131"/>
      <c r="J907" s="131"/>
      <c r="K907" s="131"/>
      <c r="L907" s="131"/>
      <c r="M907" s="131"/>
      <c r="N907" s="131"/>
      <c r="O907" s="142"/>
      <c r="P907" s="142"/>
      <c r="Q907" s="142"/>
      <c r="R907" s="142"/>
      <c r="S907" s="142"/>
      <c r="T907" s="142"/>
      <c r="U907" s="142"/>
      <c r="V907" s="142"/>
      <c r="W907" s="142"/>
      <c r="X907" s="142"/>
      <c r="Y907" s="142"/>
      <c r="Z907" s="142"/>
      <c r="AA907" s="131"/>
      <c r="AB907" s="142"/>
      <c r="AC907" s="142"/>
      <c r="AD907" s="142"/>
      <c r="AE907" s="142"/>
      <c r="AF907" s="142"/>
      <c r="AG907" s="142"/>
      <c r="AH907" s="142"/>
      <c r="AI907" s="142"/>
      <c r="AJ907" s="142"/>
      <c r="AK907" s="142"/>
      <c r="AL907" s="142"/>
      <c r="AM907" s="142"/>
      <c r="AN907" s="142"/>
      <c r="AO907" s="142"/>
      <c r="AP907" s="142"/>
    </row>
    <row r="908" ht="13.5" customHeight="1">
      <c r="A908" s="142"/>
      <c r="B908" s="142"/>
      <c r="C908" s="142"/>
      <c r="D908" s="142"/>
      <c r="E908" s="132"/>
      <c r="F908" s="131"/>
      <c r="G908" s="131"/>
      <c r="H908" s="131"/>
      <c r="I908" s="131"/>
      <c r="J908" s="131"/>
      <c r="K908" s="131"/>
      <c r="L908" s="131"/>
      <c r="M908" s="131"/>
      <c r="N908" s="131"/>
      <c r="O908" s="142"/>
      <c r="P908" s="142"/>
      <c r="Q908" s="142"/>
      <c r="R908" s="142"/>
      <c r="S908" s="142"/>
      <c r="T908" s="142"/>
      <c r="U908" s="142"/>
      <c r="V908" s="142"/>
      <c r="W908" s="142"/>
      <c r="X908" s="142"/>
      <c r="Y908" s="142"/>
      <c r="Z908" s="142"/>
      <c r="AA908" s="131"/>
      <c r="AB908" s="142"/>
      <c r="AC908" s="142"/>
      <c r="AD908" s="142"/>
      <c r="AE908" s="142"/>
      <c r="AF908" s="142"/>
      <c r="AG908" s="142"/>
      <c r="AH908" s="142"/>
      <c r="AI908" s="142"/>
      <c r="AJ908" s="142"/>
      <c r="AK908" s="142"/>
      <c r="AL908" s="142"/>
      <c r="AM908" s="142"/>
      <c r="AN908" s="142"/>
      <c r="AO908" s="142"/>
      <c r="AP908" s="142"/>
    </row>
    <row r="909" ht="13.5" customHeight="1">
      <c r="A909" s="142"/>
      <c r="B909" s="142"/>
      <c r="C909" s="142"/>
      <c r="D909" s="142"/>
      <c r="E909" s="132"/>
      <c r="F909" s="131"/>
      <c r="G909" s="131"/>
      <c r="H909" s="131"/>
      <c r="I909" s="131"/>
      <c r="J909" s="131"/>
      <c r="K909" s="131"/>
      <c r="L909" s="131"/>
      <c r="M909" s="131"/>
      <c r="N909" s="131"/>
      <c r="O909" s="142"/>
      <c r="P909" s="142"/>
      <c r="Q909" s="142"/>
      <c r="R909" s="142"/>
      <c r="S909" s="142"/>
      <c r="T909" s="142"/>
      <c r="U909" s="142"/>
      <c r="V909" s="142"/>
      <c r="W909" s="142"/>
      <c r="X909" s="142"/>
      <c r="Y909" s="142"/>
      <c r="Z909" s="142"/>
      <c r="AA909" s="131"/>
      <c r="AB909" s="142"/>
      <c r="AC909" s="142"/>
      <c r="AD909" s="142"/>
      <c r="AE909" s="142"/>
      <c r="AF909" s="142"/>
      <c r="AG909" s="142"/>
      <c r="AH909" s="142"/>
      <c r="AI909" s="142"/>
      <c r="AJ909" s="142"/>
      <c r="AK909" s="142"/>
      <c r="AL909" s="142"/>
      <c r="AM909" s="142"/>
      <c r="AN909" s="142"/>
      <c r="AO909" s="142"/>
      <c r="AP909" s="142"/>
    </row>
    <row r="910" ht="13.5" customHeight="1">
      <c r="A910" s="142"/>
      <c r="B910" s="142"/>
      <c r="C910" s="142"/>
      <c r="D910" s="142"/>
      <c r="E910" s="132"/>
      <c r="F910" s="131"/>
      <c r="G910" s="131"/>
      <c r="H910" s="131"/>
      <c r="I910" s="131"/>
      <c r="J910" s="131"/>
      <c r="K910" s="131"/>
      <c r="L910" s="131"/>
      <c r="M910" s="131"/>
      <c r="N910" s="131"/>
      <c r="O910" s="142"/>
      <c r="P910" s="142"/>
      <c r="Q910" s="142"/>
      <c r="R910" s="142"/>
      <c r="S910" s="142"/>
      <c r="T910" s="142"/>
      <c r="U910" s="142"/>
      <c r="V910" s="142"/>
      <c r="W910" s="142"/>
      <c r="X910" s="142"/>
      <c r="Y910" s="142"/>
      <c r="Z910" s="142"/>
      <c r="AA910" s="131"/>
      <c r="AB910" s="142"/>
      <c r="AC910" s="142"/>
      <c r="AD910" s="142"/>
      <c r="AE910" s="142"/>
      <c r="AF910" s="142"/>
      <c r="AG910" s="142"/>
      <c r="AH910" s="142"/>
      <c r="AI910" s="142"/>
      <c r="AJ910" s="142"/>
      <c r="AK910" s="142"/>
      <c r="AL910" s="142"/>
      <c r="AM910" s="142"/>
      <c r="AN910" s="142"/>
      <c r="AO910" s="142"/>
      <c r="AP910" s="142"/>
    </row>
    <row r="911" ht="13.5" customHeight="1">
      <c r="A911" s="142"/>
      <c r="B911" s="142"/>
      <c r="C911" s="142"/>
      <c r="D911" s="142"/>
      <c r="E911" s="132"/>
      <c r="F911" s="131"/>
      <c r="G911" s="131"/>
      <c r="H911" s="131"/>
      <c r="I911" s="131"/>
      <c r="J911" s="131"/>
      <c r="K911" s="131"/>
      <c r="L911" s="131"/>
      <c r="M911" s="131"/>
      <c r="N911" s="131"/>
      <c r="O911" s="142"/>
      <c r="P911" s="142"/>
      <c r="Q911" s="142"/>
      <c r="R911" s="142"/>
      <c r="S911" s="142"/>
      <c r="T911" s="142"/>
      <c r="U911" s="142"/>
      <c r="V911" s="142"/>
      <c r="W911" s="142"/>
      <c r="X911" s="142"/>
      <c r="Y911" s="142"/>
      <c r="Z911" s="142"/>
      <c r="AA911" s="131"/>
      <c r="AB911" s="142"/>
      <c r="AC911" s="142"/>
      <c r="AD911" s="142"/>
      <c r="AE911" s="142"/>
      <c r="AF911" s="142"/>
      <c r="AG911" s="142"/>
      <c r="AH911" s="142"/>
      <c r="AI911" s="142"/>
      <c r="AJ911" s="142"/>
      <c r="AK911" s="142"/>
      <c r="AL911" s="142"/>
      <c r="AM911" s="142"/>
      <c r="AN911" s="142"/>
      <c r="AO911" s="142"/>
      <c r="AP911" s="142"/>
    </row>
    <row r="912" ht="13.5" customHeight="1">
      <c r="A912" s="142"/>
      <c r="B912" s="142"/>
      <c r="C912" s="142"/>
      <c r="D912" s="142"/>
      <c r="E912" s="132"/>
      <c r="F912" s="131"/>
      <c r="G912" s="131"/>
      <c r="H912" s="131"/>
      <c r="I912" s="131"/>
      <c r="J912" s="131"/>
      <c r="K912" s="131"/>
      <c r="L912" s="131"/>
      <c r="M912" s="131"/>
      <c r="N912" s="131"/>
      <c r="O912" s="142"/>
      <c r="P912" s="142"/>
      <c r="Q912" s="142"/>
      <c r="R912" s="142"/>
      <c r="S912" s="142"/>
      <c r="T912" s="142"/>
      <c r="U912" s="142"/>
      <c r="V912" s="142"/>
      <c r="W912" s="142"/>
      <c r="X912" s="142"/>
      <c r="Y912" s="142"/>
      <c r="Z912" s="142"/>
      <c r="AA912" s="131"/>
      <c r="AB912" s="142"/>
      <c r="AC912" s="142"/>
      <c r="AD912" s="142"/>
      <c r="AE912" s="142"/>
      <c r="AF912" s="142"/>
      <c r="AG912" s="142"/>
      <c r="AH912" s="142"/>
      <c r="AI912" s="142"/>
      <c r="AJ912" s="142"/>
      <c r="AK912" s="142"/>
      <c r="AL912" s="142"/>
      <c r="AM912" s="142"/>
      <c r="AN912" s="142"/>
      <c r="AO912" s="142"/>
      <c r="AP912" s="142"/>
    </row>
    <row r="913" ht="13.5" customHeight="1">
      <c r="A913" s="142"/>
      <c r="B913" s="142"/>
      <c r="C913" s="142"/>
      <c r="D913" s="142"/>
      <c r="E913" s="132"/>
      <c r="F913" s="131"/>
      <c r="G913" s="131"/>
      <c r="H913" s="131"/>
      <c r="I913" s="131"/>
      <c r="J913" s="131"/>
      <c r="K913" s="131"/>
      <c r="L913" s="131"/>
      <c r="M913" s="131"/>
      <c r="N913" s="131"/>
      <c r="O913" s="142"/>
      <c r="P913" s="142"/>
      <c r="Q913" s="142"/>
      <c r="R913" s="142"/>
      <c r="S913" s="142"/>
      <c r="T913" s="142"/>
      <c r="U913" s="142"/>
      <c r="V913" s="142"/>
      <c r="W913" s="142"/>
      <c r="X913" s="142"/>
      <c r="Y913" s="142"/>
      <c r="Z913" s="142"/>
      <c r="AA913" s="131"/>
      <c r="AB913" s="142"/>
      <c r="AC913" s="142"/>
      <c r="AD913" s="142"/>
      <c r="AE913" s="142"/>
      <c r="AF913" s="142"/>
      <c r="AG913" s="142"/>
      <c r="AH913" s="142"/>
      <c r="AI913" s="142"/>
      <c r="AJ913" s="142"/>
      <c r="AK913" s="142"/>
      <c r="AL913" s="142"/>
      <c r="AM913" s="142"/>
      <c r="AN913" s="142"/>
      <c r="AO913" s="142"/>
      <c r="AP913" s="142"/>
    </row>
    <row r="914" ht="13.5" customHeight="1">
      <c r="A914" s="142"/>
      <c r="B914" s="142"/>
      <c r="C914" s="142"/>
      <c r="D914" s="142"/>
      <c r="E914" s="132"/>
      <c r="F914" s="131"/>
      <c r="G914" s="131"/>
      <c r="H914" s="131"/>
      <c r="I914" s="131"/>
      <c r="J914" s="131"/>
      <c r="K914" s="131"/>
      <c r="L914" s="131"/>
      <c r="M914" s="131"/>
      <c r="N914" s="131"/>
      <c r="O914" s="142"/>
      <c r="P914" s="142"/>
      <c r="Q914" s="142"/>
      <c r="R914" s="142"/>
      <c r="S914" s="142"/>
      <c r="T914" s="142"/>
      <c r="U914" s="142"/>
      <c r="V914" s="142"/>
      <c r="W914" s="142"/>
      <c r="X914" s="142"/>
      <c r="Y914" s="142"/>
      <c r="Z914" s="142"/>
      <c r="AA914" s="131"/>
      <c r="AB914" s="142"/>
      <c r="AC914" s="142"/>
      <c r="AD914" s="142"/>
      <c r="AE914" s="142"/>
      <c r="AF914" s="142"/>
      <c r="AG914" s="142"/>
      <c r="AH914" s="142"/>
      <c r="AI914" s="142"/>
      <c r="AJ914" s="142"/>
      <c r="AK914" s="142"/>
      <c r="AL914" s="142"/>
      <c r="AM914" s="142"/>
      <c r="AN914" s="142"/>
      <c r="AO914" s="142"/>
      <c r="AP914" s="142"/>
    </row>
    <row r="915" ht="13.5" customHeight="1">
      <c r="A915" s="142"/>
      <c r="B915" s="142"/>
      <c r="C915" s="142"/>
      <c r="D915" s="142"/>
      <c r="E915" s="132"/>
      <c r="F915" s="131"/>
      <c r="G915" s="131"/>
      <c r="H915" s="131"/>
      <c r="I915" s="131"/>
      <c r="J915" s="131"/>
      <c r="K915" s="131"/>
      <c r="L915" s="131"/>
      <c r="M915" s="131"/>
      <c r="N915" s="131"/>
      <c r="O915" s="142"/>
      <c r="P915" s="142"/>
      <c r="Q915" s="142"/>
      <c r="R915" s="142"/>
      <c r="S915" s="142"/>
      <c r="T915" s="142"/>
      <c r="U915" s="142"/>
      <c r="V915" s="142"/>
      <c r="W915" s="142"/>
      <c r="X915" s="142"/>
      <c r="Y915" s="142"/>
      <c r="Z915" s="142"/>
      <c r="AA915" s="131"/>
      <c r="AB915" s="142"/>
      <c r="AC915" s="142"/>
      <c r="AD915" s="142"/>
      <c r="AE915" s="142"/>
      <c r="AF915" s="142"/>
      <c r="AG915" s="142"/>
      <c r="AH915" s="142"/>
      <c r="AI915" s="142"/>
      <c r="AJ915" s="142"/>
      <c r="AK915" s="142"/>
      <c r="AL915" s="142"/>
      <c r="AM915" s="142"/>
      <c r="AN915" s="142"/>
      <c r="AO915" s="142"/>
      <c r="AP915" s="142"/>
    </row>
    <row r="916" ht="13.5" customHeight="1">
      <c r="A916" s="142"/>
      <c r="B916" s="142"/>
      <c r="C916" s="142"/>
      <c r="D916" s="142"/>
      <c r="E916" s="132"/>
      <c r="F916" s="131"/>
      <c r="G916" s="131"/>
      <c r="H916" s="131"/>
      <c r="I916" s="131"/>
      <c r="J916" s="131"/>
      <c r="K916" s="131"/>
      <c r="L916" s="131"/>
      <c r="M916" s="131"/>
      <c r="N916" s="131"/>
      <c r="O916" s="142"/>
      <c r="P916" s="142"/>
      <c r="Q916" s="142"/>
      <c r="R916" s="142"/>
      <c r="S916" s="142"/>
      <c r="T916" s="142"/>
      <c r="U916" s="142"/>
      <c r="V916" s="142"/>
      <c r="W916" s="142"/>
      <c r="X916" s="142"/>
      <c r="Y916" s="142"/>
      <c r="Z916" s="142"/>
      <c r="AA916" s="131"/>
      <c r="AB916" s="142"/>
      <c r="AC916" s="142"/>
      <c r="AD916" s="142"/>
      <c r="AE916" s="142"/>
      <c r="AF916" s="142"/>
      <c r="AG916" s="142"/>
      <c r="AH916" s="142"/>
      <c r="AI916" s="142"/>
      <c r="AJ916" s="142"/>
      <c r="AK916" s="142"/>
      <c r="AL916" s="142"/>
      <c r="AM916" s="142"/>
      <c r="AN916" s="142"/>
      <c r="AO916" s="142"/>
      <c r="AP916" s="142"/>
    </row>
    <row r="917" ht="13.5" customHeight="1">
      <c r="A917" s="142"/>
      <c r="B917" s="142"/>
      <c r="C917" s="142"/>
      <c r="D917" s="142"/>
      <c r="E917" s="132"/>
      <c r="F917" s="131"/>
      <c r="G917" s="131"/>
      <c r="H917" s="131"/>
      <c r="I917" s="131"/>
      <c r="J917" s="131"/>
      <c r="K917" s="131"/>
      <c r="L917" s="131"/>
      <c r="M917" s="131"/>
      <c r="N917" s="131"/>
      <c r="O917" s="142"/>
      <c r="P917" s="142"/>
      <c r="Q917" s="142"/>
      <c r="R917" s="142"/>
      <c r="S917" s="142"/>
      <c r="T917" s="142"/>
      <c r="U917" s="142"/>
      <c r="V917" s="142"/>
      <c r="W917" s="142"/>
      <c r="X917" s="142"/>
      <c r="Y917" s="142"/>
      <c r="Z917" s="142"/>
      <c r="AA917" s="131"/>
      <c r="AB917" s="142"/>
      <c r="AC917" s="142"/>
      <c r="AD917" s="142"/>
      <c r="AE917" s="142"/>
      <c r="AF917" s="142"/>
      <c r="AG917" s="142"/>
      <c r="AH917" s="142"/>
      <c r="AI917" s="142"/>
      <c r="AJ917" s="142"/>
      <c r="AK917" s="142"/>
      <c r="AL917" s="142"/>
      <c r="AM917" s="142"/>
      <c r="AN917" s="142"/>
      <c r="AO917" s="142"/>
      <c r="AP917" s="142"/>
    </row>
    <row r="918" ht="13.5" customHeight="1">
      <c r="A918" s="142"/>
      <c r="B918" s="142"/>
      <c r="C918" s="142"/>
      <c r="D918" s="142"/>
      <c r="E918" s="132"/>
      <c r="F918" s="131"/>
      <c r="G918" s="131"/>
      <c r="H918" s="131"/>
      <c r="I918" s="131"/>
      <c r="J918" s="131"/>
      <c r="K918" s="131"/>
      <c r="L918" s="131"/>
      <c r="M918" s="131"/>
      <c r="N918" s="131"/>
      <c r="O918" s="142"/>
      <c r="P918" s="142"/>
      <c r="Q918" s="142"/>
      <c r="R918" s="142"/>
      <c r="S918" s="142"/>
      <c r="T918" s="142"/>
      <c r="U918" s="142"/>
      <c r="V918" s="142"/>
      <c r="W918" s="142"/>
      <c r="X918" s="142"/>
      <c r="Y918" s="142"/>
      <c r="Z918" s="142"/>
      <c r="AA918" s="131"/>
      <c r="AB918" s="142"/>
      <c r="AC918" s="142"/>
      <c r="AD918" s="142"/>
      <c r="AE918" s="142"/>
      <c r="AF918" s="142"/>
      <c r="AG918" s="142"/>
      <c r="AH918" s="142"/>
      <c r="AI918" s="142"/>
      <c r="AJ918" s="142"/>
      <c r="AK918" s="142"/>
      <c r="AL918" s="142"/>
      <c r="AM918" s="142"/>
      <c r="AN918" s="142"/>
      <c r="AO918" s="142"/>
      <c r="AP918" s="142"/>
    </row>
    <row r="919" ht="13.5" customHeight="1">
      <c r="A919" s="142"/>
      <c r="B919" s="142"/>
      <c r="C919" s="142"/>
      <c r="D919" s="142"/>
      <c r="E919" s="132"/>
      <c r="F919" s="131"/>
      <c r="G919" s="131"/>
      <c r="H919" s="131"/>
      <c r="I919" s="131"/>
      <c r="J919" s="131"/>
      <c r="K919" s="131"/>
      <c r="L919" s="131"/>
      <c r="M919" s="131"/>
      <c r="N919" s="131"/>
      <c r="O919" s="142"/>
      <c r="P919" s="142"/>
      <c r="Q919" s="142"/>
      <c r="R919" s="142"/>
      <c r="S919" s="142"/>
      <c r="T919" s="142"/>
      <c r="U919" s="142"/>
      <c r="V919" s="142"/>
      <c r="W919" s="142"/>
      <c r="X919" s="142"/>
      <c r="Y919" s="142"/>
      <c r="Z919" s="142"/>
      <c r="AA919" s="131"/>
      <c r="AB919" s="142"/>
      <c r="AC919" s="142"/>
      <c r="AD919" s="142"/>
      <c r="AE919" s="142"/>
      <c r="AF919" s="142"/>
      <c r="AG919" s="142"/>
      <c r="AH919" s="142"/>
      <c r="AI919" s="142"/>
      <c r="AJ919" s="142"/>
      <c r="AK919" s="142"/>
      <c r="AL919" s="142"/>
      <c r="AM919" s="142"/>
      <c r="AN919" s="142"/>
      <c r="AO919" s="142"/>
      <c r="AP919" s="142"/>
    </row>
    <row r="920" ht="13.5" customHeight="1">
      <c r="A920" s="142"/>
      <c r="B920" s="142"/>
      <c r="C920" s="142"/>
      <c r="D920" s="142"/>
      <c r="E920" s="132"/>
      <c r="F920" s="131"/>
      <c r="G920" s="131"/>
      <c r="H920" s="131"/>
      <c r="I920" s="131"/>
      <c r="J920" s="131"/>
      <c r="K920" s="131"/>
      <c r="L920" s="131"/>
      <c r="M920" s="131"/>
      <c r="N920" s="131"/>
      <c r="O920" s="142"/>
      <c r="P920" s="142"/>
      <c r="Q920" s="142"/>
      <c r="R920" s="142"/>
      <c r="S920" s="142"/>
      <c r="T920" s="142"/>
      <c r="U920" s="142"/>
      <c r="V920" s="142"/>
      <c r="W920" s="142"/>
      <c r="X920" s="142"/>
      <c r="Y920" s="142"/>
      <c r="Z920" s="142"/>
      <c r="AA920" s="131"/>
      <c r="AB920" s="142"/>
      <c r="AC920" s="142"/>
      <c r="AD920" s="142"/>
      <c r="AE920" s="142"/>
      <c r="AF920" s="142"/>
      <c r="AG920" s="142"/>
      <c r="AH920" s="142"/>
      <c r="AI920" s="142"/>
      <c r="AJ920" s="142"/>
      <c r="AK920" s="142"/>
      <c r="AL920" s="142"/>
      <c r="AM920" s="142"/>
      <c r="AN920" s="142"/>
      <c r="AO920" s="142"/>
      <c r="AP920" s="142"/>
    </row>
    <row r="921" ht="13.5" customHeight="1">
      <c r="A921" s="142"/>
      <c r="B921" s="142"/>
      <c r="C921" s="142"/>
      <c r="D921" s="142"/>
      <c r="E921" s="132"/>
      <c r="F921" s="131"/>
      <c r="G921" s="131"/>
      <c r="H921" s="131"/>
      <c r="I921" s="131"/>
      <c r="J921" s="131"/>
      <c r="K921" s="131"/>
      <c r="L921" s="131"/>
      <c r="M921" s="131"/>
      <c r="N921" s="131"/>
      <c r="O921" s="142"/>
      <c r="P921" s="142"/>
      <c r="Q921" s="142"/>
      <c r="R921" s="142"/>
      <c r="S921" s="142"/>
      <c r="T921" s="142"/>
      <c r="U921" s="142"/>
      <c r="V921" s="142"/>
      <c r="W921" s="142"/>
      <c r="X921" s="142"/>
      <c r="Y921" s="142"/>
      <c r="Z921" s="142"/>
      <c r="AA921" s="131"/>
      <c r="AB921" s="142"/>
      <c r="AC921" s="142"/>
      <c r="AD921" s="142"/>
      <c r="AE921" s="142"/>
      <c r="AF921" s="142"/>
      <c r="AG921" s="142"/>
      <c r="AH921" s="142"/>
      <c r="AI921" s="142"/>
      <c r="AJ921" s="142"/>
      <c r="AK921" s="142"/>
      <c r="AL921" s="142"/>
      <c r="AM921" s="142"/>
      <c r="AN921" s="142"/>
      <c r="AO921" s="142"/>
      <c r="AP921" s="142"/>
    </row>
    <row r="922" ht="13.5" customHeight="1">
      <c r="A922" s="142"/>
      <c r="B922" s="142"/>
      <c r="C922" s="142"/>
      <c r="D922" s="142"/>
      <c r="E922" s="132"/>
      <c r="F922" s="131"/>
      <c r="G922" s="131"/>
      <c r="H922" s="131"/>
      <c r="I922" s="131"/>
      <c r="J922" s="131"/>
      <c r="K922" s="131"/>
      <c r="L922" s="131"/>
      <c r="M922" s="131"/>
      <c r="N922" s="131"/>
      <c r="O922" s="142"/>
      <c r="P922" s="142"/>
      <c r="Q922" s="142"/>
      <c r="R922" s="142"/>
      <c r="S922" s="142"/>
      <c r="T922" s="142"/>
      <c r="U922" s="142"/>
      <c r="V922" s="142"/>
      <c r="W922" s="142"/>
      <c r="X922" s="142"/>
      <c r="Y922" s="142"/>
      <c r="Z922" s="142"/>
      <c r="AA922" s="131"/>
      <c r="AB922" s="142"/>
      <c r="AC922" s="142"/>
      <c r="AD922" s="142"/>
      <c r="AE922" s="142"/>
      <c r="AF922" s="142"/>
      <c r="AG922" s="142"/>
      <c r="AH922" s="142"/>
      <c r="AI922" s="142"/>
      <c r="AJ922" s="142"/>
      <c r="AK922" s="142"/>
      <c r="AL922" s="142"/>
      <c r="AM922" s="142"/>
      <c r="AN922" s="142"/>
      <c r="AO922" s="142"/>
      <c r="AP922" s="142"/>
    </row>
    <row r="923" ht="13.5" customHeight="1">
      <c r="A923" s="142"/>
      <c r="B923" s="142"/>
      <c r="C923" s="142"/>
      <c r="D923" s="142"/>
      <c r="E923" s="132"/>
      <c r="F923" s="131"/>
      <c r="G923" s="131"/>
      <c r="H923" s="131"/>
      <c r="I923" s="131"/>
      <c r="J923" s="131"/>
      <c r="K923" s="131"/>
      <c r="L923" s="131"/>
      <c r="M923" s="131"/>
      <c r="N923" s="131"/>
      <c r="O923" s="142"/>
      <c r="P923" s="142"/>
      <c r="Q923" s="142"/>
      <c r="R923" s="142"/>
      <c r="S923" s="142"/>
      <c r="T923" s="142"/>
      <c r="U923" s="142"/>
      <c r="V923" s="142"/>
      <c r="W923" s="142"/>
      <c r="X923" s="142"/>
      <c r="Y923" s="142"/>
      <c r="Z923" s="142"/>
      <c r="AA923" s="131"/>
      <c r="AB923" s="142"/>
      <c r="AC923" s="142"/>
      <c r="AD923" s="142"/>
      <c r="AE923" s="142"/>
      <c r="AF923" s="142"/>
      <c r="AG923" s="142"/>
      <c r="AH923" s="142"/>
      <c r="AI923" s="142"/>
      <c r="AJ923" s="142"/>
      <c r="AK923" s="142"/>
      <c r="AL923" s="142"/>
      <c r="AM923" s="142"/>
      <c r="AN923" s="142"/>
      <c r="AO923" s="142"/>
      <c r="AP923" s="142"/>
    </row>
    <row r="924" ht="13.5" customHeight="1">
      <c r="A924" s="142"/>
      <c r="B924" s="142"/>
      <c r="C924" s="142"/>
      <c r="D924" s="142"/>
      <c r="E924" s="132"/>
      <c r="F924" s="131"/>
      <c r="G924" s="131"/>
      <c r="H924" s="131"/>
      <c r="I924" s="131"/>
      <c r="J924" s="131"/>
      <c r="K924" s="131"/>
      <c r="L924" s="131"/>
      <c r="M924" s="131"/>
      <c r="N924" s="131"/>
      <c r="O924" s="142"/>
      <c r="P924" s="142"/>
      <c r="Q924" s="142"/>
      <c r="R924" s="142"/>
      <c r="S924" s="142"/>
      <c r="T924" s="142"/>
      <c r="U924" s="142"/>
      <c r="V924" s="142"/>
      <c r="W924" s="142"/>
      <c r="X924" s="142"/>
      <c r="Y924" s="142"/>
      <c r="Z924" s="142"/>
      <c r="AA924" s="131"/>
      <c r="AB924" s="142"/>
      <c r="AC924" s="142"/>
      <c r="AD924" s="142"/>
      <c r="AE924" s="142"/>
      <c r="AF924" s="142"/>
      <c r="AG924" s="142"/>
      <c r="AH924" s="142"/>
      <c r="AI924" s="142"/>
      <c r="AJ924" s="142"/>
      <c r="AK924" s="142"/>
      <c r="AL924" s="142"/>
      <c r="AM924" s="142"/>
      <c r="AN924" s="142"/>
      <c r="AO924" s="142"/>
      <c r="AP924" s="142"/>
    </row>
    <row r="925" ht="13.5" customHeight="1">
      <c r="A925" s="142"/>
      <c r="B925" s="142"/>
      <c r="C925" s="142"/>
      <c r="D925" s="142"/>
      <c r="E925" s="132"/>
      <c r="F925" s="131"/>
      <c r="G925" s="131"/>
      <c r="H925" s="131"/>
      <c r="I925" s="131"/>
      <c r="J925" s="131"/>
      <c r="K925" s="131"/>
      <c r="L925" s="131"/>
      <c r="M925" s="131"/>
      <c r="N925" s="131"/>
      <c r="O925" s="142"/>
      <c r="P925" s="142"/>
      <c r="Q925" s="142"/>
      <c r="R925" s="142"/>
      <c r="S925" s="142"/>
      <c r="T925" s="142"/>
      <c r="U925" s="142"/>
      <c r="V925" s="142"/>
      <c r="W925" s="142"/>
      <c r="X925" s="142"/>
      <c r="Y925" s="142"/>
      <c r="Z925" s="142"/>
      <c r="AA925" s="131"/>
      <c r="AB925" s="142"/>
      <c r="AC925" s="142"/>
      <c r="AD925" s="142"/>
      <c r="AE925" s="142"/>
      <c r="AF925" s="142"/>
      <c r="AG925" s="142"/>
      <c r="AH925" s="142"/>
      <c r="AI925" s="142"/>
      <c r="AJ925" s="142"/>
      <c r="AK925" s="142"/>
      <c r="AL925" s="142"/>
      <c r="AM925" s="142"/>
      <c r="AN925" s="142"/>
      <c r="AO925" s="142"/>
      <c r="AP925" s="142"/>
    </row>
    <row r="926" ht="13.5" customHeight="1">
      <c r="A926" s="142"/>
      <c r="B926" s="142"/>
      <c r="C926" s="142"/>
      <c r="D926" s="142"/>
      <c r="E926" s="132"/>
      <c r="F926" s="131"/>
      <c r="G926" s="131"/>
      <c r="H926" s="131"/>
      <c r="I926" s="131"/>
      <c r="J926" s="131"/>
      <c r="K926" s="131"/>
      <c r="L926" s="131"/>
      <c r="M926" s="131"/>
      <c r="N926" s="131"/>
      <c r="O926" s="142"/>
      <c r="P926" s="142"/>
      <c r="Q926" s="142"/>
      <c r="R926" s="142"/>
      <c r="S926" s="142"/>
      <c r="T926" s="142"/>
      <c r="U926" s="142"/>
      <c r="V926" s="142"/>
      <c r="W926" s="142"/>
      <c r="X926" s="142"/>
      <c r="Y926" s="142"/>
      <c r="Z926" s="142"/>
      <c r="AA926" s="131"/>
      <c r="AB926" s="142"/>
      <c r="AC926" s="142"/>
      <c r="AD926" s="142"/>
      <c r="AE926" s="142"/>
      <c r="AF926" s="142"/>
      <c r="AG926" s="142"/>
      <c r="AH926" s="142"/>
      <c r="AI926" s="142"/>
      <c r="AJ926" s="142"/>
      <c r="AK926" s="142"/>
      <c r="AL926" s="142"/>
      <c r="AM926" s="142"/>
      <c r="AN926" s="142"/>
      <c r="AO926" s="142"/>
      <c r="AP926" s="142"/>
    </row>
    <row r="927" ht="13.5" customHeight="1">
      <c r="A927" s="142"/>
      <c r="B927" s="142"/>
      <c r="C927" s="142"/>
      <c r="D927" s="142"/>
      <c r="E927" s="132"/>
      <c r="F927" s="131"/>
      <c r="G927" s="131"/>
      <c r="H927" s="131"/>
      <c r="I927" s="131"/>
      <c r="J927" s="131"/>
      <c r="K927" s="131"/>
      <c r="L927" s="131"/>
      <c r="M927" s="131"/>
      <c r="N927" s="131"/>
      <c r="O927" s="142"/>
      <c r="P927" s="142"/>
      <c r="Q927" s="142"/>
      <c r="R927" s="142"/>
      <c r="S927" s="142"/>
      <c r="T927" s="142"/>
      <c r="U927" s="142"/>
      <c r="V927" s="142"/>
      <c r="W927" s="142"/>
      <c r="X927" s="142"/>
      <c r="Y927" s="142"/>
      <c r="Z927" s="142"/>
      <c r="AA927" s="131"/>
      <c r="AB927" s="142"/>
      <c r="AC927" s="142"/>
      <c r="AD927" s="142"/>
      <c r="AE927" s="142"/>
      <c r="AF927" s="142"/>
      <c r="AG927" s="142"/>
      <c r="AH927" s="142"/>
      <c r="AI927" s="142"/>
      <c r="AJ927" s="142"/>
      <c r="AK927" s="142"/>
      <c r="AL927" s="142"/>
      <c r="AM927" s="142"/>
      <c r="AN927" s="142"/>
      <c r="AO927" s="142"/>
      <c r="AP927" s="142"/>
    </row>
    <row r="928" ht="13.5" customHeight="1">
      <c r="A928" s="142"/>
      <c r="B928" s="142"/>
      <c r="C928" s="142"/>
      <c r="D928" s="142"/>
      <c r="E928" s="132"/>
      <c r="F928" s="131"/>
      <c r="G928" s="131"/>
      <c r="H928" s="131"/>
      <c r="I928" s="131"/>
      <c r="J928" s="131"/>
      <c r="K928" s="131"/>
      <c r="L928" s="131"/>
      <c r="M928" s="131"/>
      <c r="N928" s="131"/>
      <c r="O928" s="142"/>
      <c r="P928" s="142"/>
      <c r="Q928" s="142"/>
      <c r="R928" s="142"/>
      <c r="S928" s="142"/>
      <c r="T928" s="142"/>
      <c r="U928" s="142"/>
      <c r="V928" s="142"/>
      <c r="W928" s="142"/>
      <c r="X928" s="142"/>
      <c r="Y928" s="142"/>
      <c r="Z928" s="142"/>
      <c r="AA928" s="131"/>
      <c r="AB928" s="142"/>
      <c r="AC928" s="142"/>
      <c r="AD928" s="142"/>
      <c r="AE928" s="142"/>
      <c r="AF928" s="142"/>
      <c r="AG928" s="142"/>
      <c r="AH928" s="142"/>
      <c r="AI928" s="142"/>
      <c r="AJ928" s="142"/>
      <c r="AK928" s="142"/>
      <c r="AL928" s="142"/>
      <c r="AM928" s="142"/>
      <c r="AN928" s="142"/>
      <c r="AO928" s="142"/>
      <c r="AP928" s="142"/>
    </row>
    <row r="929" ht="13.5" customHeight="1">
      <c r="A929" s="142"/>
      <c r="B929" s="142"/>
      <c r="C929" s="142"/>
      <c r="D929" s="142"/>
      <c r="E929" s="132"/>
      <c r="F929" s="131"/>
      <c r="G929" s="131"/>
      <c r="H929" s="131"/>
      <c r="I929" s="131"/>
      <c r="J929" s="131"/>
      <c r="K929" s="131"/>
      <c r="L929" s="131"/>
      <c r="M929" s="131"/>
      <c r="N929" s="131"/>
      <c r="O929" s="142"/>
      <c r="P929" s="142"/>
      <c r="Q929" s="142"/>
      <c r="R929" s="142"/>
      <c r="S929" s="142"/>
      <c r="T929" s="142"/>
      <c r="U929" s="142"/>
      <c r="V929" s="142"/>
      <c r="W929" s="142"/>
      <c r="X929" s="142"/>
      <c r="Y929" s="142"/>
      <c r="Z929" s="142"/>
      <c r="AA929" s="131"/>
      <c r="AB929" s="142"/>
      <c r="AC929" s="142"/>
      <c r="AD929" s="142"/>
      <c r="AE929" s="142"/>
      <c r="AF929" s="142"/>
      <c r="AG929" s="142"/>
      <c r="AH929" s="142"/>
      <c r="AI929" s="142"/>
      <c r="AJ929" s="142"/>
      <c r="AK929" s="142"/>
      <c r="AL929" s="142"/>
      <c r="AM929" s="142"/>
      <c r="AN929" s="142"/>
      <c r="AO929" s="142"/>
      <c r="AP929" s="142"/>
    </row>
    <row r="930" ht="13.5" customHeight="1">
      <c r="A930" s="142"/>
      <c r="B930" s="142"/>
      <c r="C930" s="142"/>
      <c r="D930" s="142"/>
      <c r="E930" s="132"/>
      <c r="F930" s="131"/>
      <c r="G930" s="131"/>
      <c r="H930" s="131"/>
      <c r="I930" s="131"/>
      <c r="J930" s="131"/>
      <c r="K930" s="131"/>
      <c r="L930" s="131"/>
      <c r="M930" s="131"/>
      <c r="N930" s="131"/>
      <c r="O930" s="142"/>
      <c r="P930" s="142"/>
      <c r="Q930" s="142"/>
      <c r="R930" s="142"/>
      <c r="S930" s="142"/>
      <c r="T930" s="142"/>
      <c r="U930" s="142"/>
      <c r="V930" s="142"/>
      <c r="W930" s="142"/>
      <c r="X930" s="142"/>
      <c r="Y930" s="142"/>
      <c r="Z930" s="142"/>
      <c r="AA930" s="131"/>
      <c r="AB930" s="142"/>
      <c r="AC930" s="142"/>
      <c r="AD930" s="142"/>
      <c r="AE930" s="142"/>
      <c r="AF930" s="142"/>
      <c r="AG930" s="142"/>
      <c r="AH930" s="142"/>
      <c r="AI930" s="142"/>
      <c r="AJ930" s="142"/>
      <c r="AK930" s="142"/>
      <c r="AL930" s="142"/>
      <c r="AM930" s="142"/>
      <c r="AN930" s="142"/>
      <c r="AO930" s="142"/>
      <c r="AP930" s="142"/>
    </row>
    <row r="931" ht="13.5" customHeight="1">
      <c r="A931" s="142"/>
      <c r="B931" s="142"/>
      <c r="C931" s="142"/>
      <c r="D931" s="142"/>
      <c r="E931" s="132"/>
      <c r="F931" s="131"/>
      <c r="G931" s="131"/>
      <c r="H931" s="131"/>
      <c r="I931" s="131"/>
      <c r="J931" s="131"/>
      <c r="K931" s="131"/>
      <c r="L931" s="131"/>
      <c r="M931" s="131"/>
      <c r="N931" s="131"/>
      <c r="O931" s="142"/>
      <c r="P931" s="142"/>
      <c r="Q931" s="142"/>
      <c r="R931" s="142"/>
      <c r="S931" s="142"/>
      <c r="T931" s="142"/>
      <c r="U931" s="142"/>
      <c r="V931" s="142"/>
      <c r="W931" s="142"/>
      <c r="X931" s="142"/>
      <c r="Y931" s="142"/>
      <c r="Z931" s="142"/>
      <c r="AA931" s="131"/>
      <c r="AB931" s="142"/>
      <c r="AC931" s="142"/>
      <c r="AD931" s="142"/>
      <c r="AE931" s="142"/>
      <c r="AF931" s="142"/>
      <c r="AG931" s="142"/>
      <c r="AH931" s="142"/>
      <c r="AI931" s="142"/>
      <c r="AJ931" s="142"/>
      <c r="AK931" s="142"/>
      <c r="AL931" s="142"/>
      <c r="AM931" s="142"/>
      <c r="AN931" s="142"/>
      <c r="AO931" s="142"/>
      <c r="AP931" s="142"/>
    </row>
    <row r="932" ht="13.5" customHeight="1">
      <c r="A932" s="142"/>
      <c r="B932" s="142"/>
      <c r="C932" s="142"/>
      <c r="D932" s="142"/>
      <c r="E932" s="132"/>
      <c r="F932" s="131"/>
      <c r="G932" s="131"/>
      <c r="H932" s="131"/>
      <c r="I932" s="131"/>
      <c r="J932" s="131"/>
      <c r="K932" s="131"/>
      <c r="L932" s="131"/>
      <c r="M932" s="131"/>
      <c r="N932" s="131"/>
      <c r="O932" s="142"/>
      <c r="P932" s="142"/>
      <c r="Q932" s="142"/>
      <c r="R932" s="142"/>
      <c r="S932" s="142"/>
      <c r="T932" s="142"/>
      <c r="U932" s="142"/>
      <c r="V932" s="142"/>
      <c r="W932" s="142"/>
      <c r="X932" s="142"/>
      <c r="Y932" s="142"/>
      <c r="Z932" s="142"/>
      <c r="AA932" s="131"/>
      <c r="AB932" s="142"/>
      <c r="AC932" s="142"/>
      <c r="AD932" s="142"/>
      <c r="AE932" s="142"/>
      <c r="AF932" s="142"/>
      <c r="AG932" s="142"/>
      <c r="AH932" s="142"/>
      <c r="AI932" s="142"/>
      <c r="AJ932" s="142"/>
      <c r="AK932" s="142"/>
      <c r="AL932" s="142"/>
      <c r="AM932" s="142"/>
      <c r="AN932" s="142"/>
      <c r="AO932" s="142"/>
      <c r="AP932" s="142"/>
    </row>
    <row r="933" ht="13.5" customHeight="1">
      <c r="A933" s="142"/>
      <c r="B933" s="142"/>
      <c r="C933" s="142"/>
      <c r="D933" s="142"/>
      <c r="E933" s="132"/>
      <c r="F933" s="131"/>
      <c r="G933" s="131"/>
      <c r="H933" s="131"/>
      <c r="I933" s="131"/>
      <c r="J933" s="131"/>
      <c r="K933" s="131"/>
      <c r="L933" s="131"/>
      <c r="M933" s="131"/>
      <c r="N933" s="131"/>
      <c r="O933" s="142"/>
      <c r="P933" s="142"/>
      <c r="Q933" s="142"/>
      <c r="R933" s="142"/>
      <c r="S933" s="142"/>
      <c r="T933" s="142"/>
      <c r="U933" s="142"/>
      <c r="V933" s="142"/>
      <c r="W933" s="142"/>
      <c r="X933" s="142"/>
      <c r="Y933" s="142"/>
      <c r="Z933" s="142"/>
      <c r="AA933" s="131"/>
      <c r="AB933" s="142"/>
      <c r="AC933" s="142"/>
      <c r="AD933" s="142"/>
      <c r="AE933" s="142"/>
      <c r="AF933" s="142"/>
      <c r="AG933" s="142"/>
      <c r="AH933" s="142"/>
      <c r="AI933" s="142"/>
      <c r="AJ933" s="142"/>
      <c r="AK933" s="142"/>
      <c r="AL933" s="142"/>
      <c r="AM933" s="142"/>
      <c r="AN933" s="142"/>
      <c r="AO933" s="142"/>
      <c r="AP933" s="142"/>
    </row>
    <row r="934" ht="13.5" customHeight="1">
      <c r="A934" s="142"/>
      <c r="B934" s="142"/>
      <c r="C934" s="142"/>
      <c r="D934" s="142"/>
      <c r="E934" s="132"/>
      <c r="F934" s="131"/>
      <c r="G934" s="131"/>
      <c r="H934" s="131"/>
      <c r="I934" s="131"/>
      <c r="J934" s="131"/>
      <c r="K934" s="131"/>
      <c r="L934" s="131"/>
      <c r="M934" s="131"/>
      <c r="N934" s="131"/>
      <c r="O934" s="142"/>
      <c r="P934" s="142"/>
      <c r="Q934" s="142"/>
      <c r="R934" s="142"/>
      <c r="S934" s="142"/>
      <c r="T934" s="142"/>
      <c r="U934" s="142"/>
      <c r="V934" s="142"/>
      <c r="W934" s="142"/>
      <c r="X934" s="142"/>
      <c r="Y934" s="142"/>
      <c r="Z934" s="142"/>
      <c r="AA934" s="131"/>
      <c r="AB934" s="142"/>
      <c r="AC934" s="142"/>
      <c r="AD934" s="142"/>
      <c r="AE934" s="142"/>
      <c r="AF934" s="142"/>
      <c r="AG934" s="142"/>
      <c r="AH934" s="142"/>
      <c r="AI934" s="142"/>
      <c r="AJ934" s="142"/>
      <c r="AK934" s="142"/>
      <c r="AL934" s="142"/>
      <c r="AM934" s="142"/>
      <c r="AN934" s="142"/>
      <c r="AO934" s="142"/>
      <c r="AP934" s="142"/>
    </row>
    <row r="935" ht="13.5" customHeight="1">
      <c r="A935" s="142"/>
      <c r="B935" s="142"/>
      <c r="C935" s="142"/>
      <c r="D935" s="142"/>
      <c r="E935" s="132"/>
      <c r="F935" s="131"/>
      <c r="G935" s="131"/>
      <c r="H935" s="131"/>
      <c r="I935" s="131"/>
      <c r="J935" s="131"/>
      <c r="K935" s="131"/>
      <c r="L935" s="131"/>
      <c r="M935" s="131"/>
      <c r="N935" s="131"/>
      <c r="O935" s="142"/>
      <c r="P935" s="142"/>
      <c r="Q935" s="142"/>
      <c r="R935" s="142"/>
      <c r="S935" s="142"/>
      <c r="T935" s="142"/>
      <c r="U935" s="142"/>
      <c r="V935" s="142"/>
      <c r="W935" s="142"/>
      <c r="X935" s="142"/>
      <c r="Y935" s="142"/>
      <c r="Z935" s="142"/>
      <c r="AA935" s="131"/>
      <c r="AB935" s="142"/>
      <c r="AC935" s="142"/>
      <c r="AD935" s="142"/>
      <c r="AE935" s="142"/>
      <c r="AF935" s="142"/>
      <c r="AG935" s="142"/>
      <c r="AH935" s="142"/>
      <c r="AI935" s="142"/>
      <c r="AJ935" s="142"/>
      <c r="AK935" s="142"/>
      <c r="AL935" s="142"/>
      <c r="AM935" s="142"/>
      <c r="AN935" s="142"/>
      <c r="AO935" s="142"/>
      <c r="AP935" s="142"/>
    </row>
    <row r="936" ht="13.5" customHeight="1">
      <c r="A936" s="142"/>
      <c r="B936" s="142"/>
      <c r="C936" s="142"/>
      <c r="D936" s="142"/>
      <c r="E936" s="132"/>
      <c r="F936" s="131"/>
      <c r="G936" s="131"/>
      <c r="H936" s="131"/>
      <c r="I936" s="131"/>
      <c r="J936" s="131"/>
      <c r="K936" s="131"/>
      <c r="L936" s="131"/>
      <c r="M936" s="131"/>
      <c r="N936" s="131"/>
      <c r="O936" s="142"/>
      <c r="P936" s="142"/>
      <c r="Q936" s="142"/>
      <c r="R936" s="142"/>
      <c r="S936" s="142"/>
      <c r="T936" s="142"/>
      <c r="U936" s="142"/>
      <c r="V936" s="142"/>
      <c r="W936" s="142"/>
      <c r="X936" s="142"/>
      <c r="Y936" s="142"/>
      <c r="Z936" s="142"/>
      <c r="AA936" s="131"/>
      <c r="AB936" s="142"/>
      <c r="AC936" s="142"/>
      <c r="AD936" s="142"/>
      <c r="AE936" s="142"/>
      <c r="AF936" s="142"/>
      <c r="AG936" s="142"/>
      <c r="AH936" s="142"/>
      <c r="AI936" s="142"/>
      <c r="AJ936" s="142"/>
      <c r="AK936" s="142"/>
      <c r="AL936" s="142"/>
      <c r="AM936" s="142"/>
      <c r="AN936" s="142"/>
      <c r="AO936" s="142"/>
      <c r="AP936" s="142"/>
    </row>
    <row r="937" ht="13.5" customHeight="1">
      <c r="A937" s="142"/>
      <c r="B937" s="142"/>
      <c r="C937" s="142"/>
      <c r="D937" s="142"/>
      <c r="E937" s="132"/>
      <c r="F937" s="131"/>
      <c r="G937" s="131"/>
      <c r="H937" s="131"/>
      <c r="I937" s="131"/>
      <c r="J937" s="131"/>
      <c r="K937" s="131"/>
      <c r="L937" s="131"/>
      <c r="M937" s="131"/>
      <c r="N937" s="131"/>
      <c r="O937" s="142"/>
      <c r="P937" s="142"/>
      <c r="Q937" s="142"/>
      <c r="R937" s="142"/>
      <c r="S937" s="142"/>
      <c r="T937" s="142"/>
      <c r="U937" s="142"/>
      <c r="V937" s="142"/>
      <c r="W937" s="142"/>
      <c r="X937" s="142"/>
      <c r="Y937" s="142"/>
      <c r="Z937" s="142"/>
      <c r="AA937" s="131"/>
      <c r="AB937" s="142"/>
      <c r="AC937" s="142"/>
      <c r="AD937" s="142"/>
      <c r="AE937" s="142"/>
      <c r="AF937" s="142"/>
      <c r="AG937" s="142"/>
      <c r="AH937" s="142"/>
      <c r="AI937" s="142"/>
      <c r="AJ937" s="142"/>
      <c r="AK937" s="142"/>
      <c r="AL937" s="142"/>
      <c r="AM937" s="142"/>
      <c r="AN937" s="142"/>
      <c r="AO937" s="142"/>
      <c r="AP937" s="142"/>
    </row>
    <row r="938" ht="13.5" customHeight="1">
      <c r="A938" s="142"/>
      <c r="B938" s="142"/>
      <c r="C938" s="142"/>
      <c r="D938" s="142"/>
      <c r="E938" s="132"/>
      <c r="F938" s="131"/>
      <c r="G938" s="131"/>
      <c r="H938" s="131"/>
      <c r="I938" s="131"/>
      <c r="J938" s="131"/>
      <c r="K938" s="131"/>
      <c r="L938" s="131"/>
      <c r="M938" s="131"/>
      <c r="N938" s="131"/>
      <c r="O938" s="142"/>
      <c r="P938" s="142"/>
      <c r="Q938" s="142"/>
      <c r="R938" s="142"/>
      <c r="S938" s="142"/>
      <c r="T938" s="142"/>
      <c r="U938" s="142"/>
      <c r="V938" s="142"/>
      <c r="W938" s="142"/>
      <c r="X938" s="142"/>
      <c r="Y938" s="142"/>
      <c r="Z938" s="142"/>
      <c r="AA938" s="131"/>
      <c r="AB938" s="142"/>
      <c r="AC938" s="142"/>
      <c r="AD938" s="142"/>
      <c r="AE938" s="142"/>
      <c r="AF938" s="142"/>
      <c r="AG938" s="142"/>
      <c r="AH938" s="142"/>
      <c r="AI938" s="142"/>
      <c r="AJ938" s="142"/>
      <c r="AK938" s="142"/>
      <c r="AL938" s="142"/>
      <c r="AM938" s="142"/>
      <c r="AN938" s="142"/>
      <c r="AO938" s="142"/>
      <c r="AP938" s="142"/>
    </row>
    <row r="939" ht="13.5" customHeight="1">
      <c r="A939" s="142"/>
      <c r="B939" s="142"/>
      <c r="C939" s="142"/>
      <c r="D939" s="142"/>
      <c r="E939" s="132"/>
      <c r="F939" s="131"/>
      <c r="G939" s="131"/>
      <c r="H939" s="131"/>
      <c r="I939" s="131"/>
      <c r="J939" s="131"/>
      <c r="K939" s="131"/>
      <c r="L939" s="131"/>
      <c r="M939" s="131"/>
      <c r="N939" s="131"/>
      <c r="O939" s="142"/>
      <c r="P939" s="142"/>
      <c r="Q939" s="142"/>
      <c r="R939" s="142"/>
      <c r="S939" s="142"/>
      <c r="T939" s="142"/>
      <c r="U939" s="142"/>
      <c r="V939" s="142"/>
      <c r="W939" s="142"/>
      <c r="X939" s="142"/>
      <c r="Y939" s="142"/>
      <c r="Z939" s="142"/>
      <c r="AA939" s="131"/>
      <c r="AB939" s="142"/>
      <c r="AC939" s="142"/>
      <c r="AD939" s="142"/>
      <c r="AE939" s="142"/>
      <c r="AF939" s="142"/>
      <c r="AG939" s="142"/>
      <c r="AH939" s="142"/>
      <c r="AI939" s="142"/>
      <c r="AJ939" s="142"/>
      <c r="AK939" s="142"/>
      <c r="AL939" s="142"/>
      <c r="AM939" s="142"/>
      <c r="AN939" s="142"/>
      <c r="AO939" s="142"/>
      <c r="AP939" s="142"/>
    </row>
    <row r="940" ht="13.5" customHeight="1">
      <c r="A940" s="142"/>
      <c r="B940" s="142"/>
      <c r="C940" s="142"/>
      <c r="D940" s="142"/>
      <c r="E940" s="132"/>
      <c r="F940" s="131"/>
      <c r="G940" s="131"/>
      <c r="H940" s="131"/>
      <c r="I940" s="131"/>
      <c r="J940" s="131"/>
      <c r="K940" s="131"/>
      <c r="L940" s="131"/>
      <c r="M940" s="131"/>
      <c r="N940" s="131"/>
      <c r="O940" s="142"/>
      <c r="P940" s="142"/>
      <c r="Q940" s="142"/>
      <c r="R940" s="142"/>
      <c r="S940" s="142"/>
      <c r="T940" s="142"/>
      <c r="U940" s="142"/>
      <c r="V940" s="142"/>
      <c r="W940" s="142"/>
      <c r="X940" s="142"/>
      <c r="Y940" s="142"/>
      <c r="Z940" s="142"/>
      <c r="AA940" s="131"/>
      <c r="AB940" s="142"/>
      <c r="AC940" s="142"/>
      <c r="AD940" s="142"/>
      <c r="AE940" s="142"/>
      <c r="AF940" s="142"/>
      <c r="AG940" s="142"/>
      <c r="AH940" s="142"/>
      <c r="AI940" s="142"/>
      <c r="AJ940" s="142"/>
      <c r="AK940" s="142"/>
      <c r="AL940" s="142"/>
      <c r="AM940" s="142"/>
      <c r="AN940" s="142"/>
      <c r="AO940" s="142"/>
      <c r="AP940" s="142"/>
    </row>
    <row r="941" ht="13.5" customHeight="1">
      <c r="A941" s="142"/>
      <c r="B941" s="142"/>
      <c r="C941" s="142"/>
      <c r="D941" s="142"/>
      <c r="E941" s="132"/>
      <c r="F941" s="131"/>
      <c r="G941" s="131"/>
      <c r="H941" s="131"/>
      <c r="I941" s="131"/>
      <c r="J941" s="131"/>
      <c r="K941" s="131"/>
      <c r="L941" s="131"/>
      <c r="M941" s="131"/>
      <c r="N941" s="131"/>
      <c r="O941" s="142"/>
      <c r="P941" s="142"/>
      <c r="Q941" s="142"/>
      <c r="R941" s="142"/>
      <c r="S941" s="142"/>
      <c r="T941" s="142"/>
      <c r="U941" s="142"/>
      <c r="V941" s="142"/>
      <c r="W941" s="142"/>
      <c r="X941" s="142"/>
      <c r="Y941" s="142"/>
      <c r="Z941" s="142"/>
      <c r="AA941" s="131"/>
      <c r="AB941" s="142"/>
      <c r="AC941" s="142"/>
      <c r="AD941" s="142"/>
      <c r="AE941" s="142"/>
      <c r="AF941" s="142"/>
      <c r="AG941" s="142"/>
      <c r="AH941" s="142"/>
      <c r="AI941" s="142"/>
      <c r="AJ941" s="142"/>
      <c r="AK941" s="142"/>
      <c r="AL941" s="142"/>
      <c r="AM941" s="142"/>
      <c r="AN941" s="142"/>
      <c r="AO941" s="142"/>
      <c r="AP941" s="142"/>
    </row>
    <row r="942" ht="13.5" customHeight="1">
      <c r="A942" s="142"/>
      <c r="B942" s="142"/>
      <c r="C942" s="142"/>
      <c r="D942" s="142"/>
      <c r="E942" s="132"/>
      <c r="F942" s="131"/>
      <c r="G942" s="131"/>
      <c r="H942" s="131"/>
      <c r="I942" s="131"/>
      <c r="J942" s="131"/>
      <c r="K942" s="131"/>
      <c r="L942" s="131"/>
      <c r="M942" s="131"/>
      <c r="N942" s="131"/>
      <c r="O942" s="142"/>
      <c r="P942" s="142"/>
      <c r="Q942" s="142"/>
      <c r="R942" s="142"/>
      <c r="S942" s="142"/>
      <c r="T942" s="142"/>
      <c r="U942" s="142"/>
      <c r="V942" s="142"/>
      <c r="W942" s="142"/>
      <c r="X942" s="142"/>
      <c r="Y942" s="142"/>
      <c r="Z942" s="142"/>
      <c r="AA942" s="131"/>
      <c r="AB942" s="142"/>
      <c r="AC942" s="142"/>
      <c r="AD942" s="142"/>
      <c r="AE942" s="142"/>
      <c r="AF942" s="142"/>
      <c r="AG942" s="142"/>
      <c r="AH942" s="142"/>
      <c r="AI942" s="142"/>
      <c r="AJ942" s="142"/>
      <c r="AK942" s="142"/>
      <c r="AL942" s="142"/>
      <c r="AM942" s="142"/>
      <c r="AN942" s="142"/>
      <c r="AO942" s="142"/>
      <c r="AP942" s="142"/>
    </row>
    <row r="943" ht="13.5" customHeight="1">
      <c r="A943" s="142"/>
      <c r="B943" s="142"/>
      <c r="C943" s="142"/>
      <c r="D943" s="142"/>
      <c r="E943" s="132"/>
      <c r="F943" s="131"/>
      <c r="G943" s="131"/>
      <c r="H943" s="131"/>
      <c r="I943" s="131"/>
      <c r="J943" s="131"/>
      <c r="K943" s="131"/>
      <c r="L943" s="131"/>
      <c r="M943" s="131"/>
      <c r="N943" s="131"/>
      <c r="O943" s="142"/>
      <c r="P943" s="142"/>
      <c r="Q943" s="142"/>
      <c r="R943" s="142"/>
      <c r="S943" s="142"/>
      <c r="T943" s="142"/>
      <c r="U943" s="142"/>
      <c r="V943" s="142"/>
      <c r="W943" s="142"/>
      <c r="X943" s="142"/>
      <c r="Y943" s="142"/>
      <c r="Z943" s="142"/>
      <c r="AA943" s="131"/>
      <c r="AB943" s="142"/>
      <c r="AC943" s="142"/>
      <c r="AD943" s="142"/>
      <c r="AE943" s="142"/>
      <c r="AF943" s="142"/>
      <c r="AG943" s="142"/>
      <c r="AH943" s="142"/>
      <c r="AI943" s="142"/>
      <c r="AJ943" s="142"/>
      <c r="AK943" s="142"/>
      <c r="AL943" s="142"/>
      <c r="AM943" s="142"/>
      <c r="AN943" s="142"/>
      <c r="AO943" s="142"/>
      <c r="AP943" s="142"/>
    </row>
    <row r="944" ht="13.5" customHeight="1">
      <c r="A944" s="142"/>
      <c r="B944" s="142"/>
      <c r="C944" s="142"/>
      <c r="D944" s="142"/>
      <c r="E944" s="132"/>
      <c r="F944" s="131"/>
      <c r="G944" s="131"/>
      <c r="H944" s="131"/>
      <c r="I944" s="131"/>
      <c r="J944" s="131"/>
      <c r="K944" s="131"/>
      <c r="L944" s="131"/>
      <c r="M944" s="131"/>
      <c r="N944" s="131"/>
      <c r="O944" s="142"/>
      <c r="P944" s="142"/>
      <c r="Q944" s="142"/>
      <c r="R944" s="142"/>
      <c r="S944" s="142"/>
      <c r="T944" s="142"/>
      <c r="U944" s="142"/>
      <c r="V944" s="142"/>
      <c r="W944" s="142"/>
      <c r="X944" s="142"/>
      <c r="Y944" s="142"/>
      <c r="Z944" s="142"/>
      <c r="AA944" s="131"/>
      <c r="AB944" s="142"/>
      <c r="AC944" s="142"/>
      <c r="AD944" s="142"/>
      <c r="AE944" s="142"/>
      <c r="AF944" s="142"/>
      <c r="AG944" s="142"/>
      <c r="AH944" s="142"/>
      <c r="AI944" s="142"/>
      <c r="AJ944" s="142"/>
      <c r="AK944" s="142"/>
      <c r="AL944" s="142"/>
      <c r="AM944" s="142"/>
      <c r="AN944" s="142"/>
      <c r="AO944" s="142"/>
      <c r="AP944" s="142"/>
    </row>
    <row r="945" ht="13.5" customHeight="1">
      <c r="A945" s="142"/>
      <c r="B945" s="142"/>
      <c r="C945" s="142"/>
      <c r="D945" s="142"/>
      <c r="E945" s="132"/>
      <c r="F945" s="131"/>
      <c r="G945" s="131"/>
      <c r="H945" s="131"/>
      <c r="I945" s="131"/>
      <c r="J945" s="131"/>
      <c r="K945" s="131"/>
      <c r="L945" s="131"/>
      <c r="M945" s="131"/>
      <c r="N945" s="131"/>
      <c r="O945" s="142"/>
      <c r="P945" s="142"/>
      <c r="Q945" s="142"/>
      <c r="R945" s="142"/>
      <c r="S945" s="142"/>
      <c r="T945" s="142"/>
      <c r="U945" s="142"/>
      <c r="V945" s="142"/>
      <c r="W945" s="142"/>
      <c r="X945" s="142"/>
      <c r="Y945" s="142"/>
      <c r="Z945" s="142"/>
      <c r="AA945" s="131"/>
      <c r="AB945" s="142"/>
      <c r="AC945" s="142"/>
      <c r="AD945" s="142"/>
      <c r="AE945" s="142"/>
      <c r="AF945" s="142"/>
      <c r="AG945" s="142"/>
      <c r="AH945" s="142"/>
      <c r="AI945" s="142"/>
      <c r="AJ945" s="142"/>
      <c r="AK945" s="142"/>
      <c r="AL945" s="142"/>
      <c r="AM945" s="142"/>
      <c r="AN945" s="142"/>
      <c r="AO945" s="142"/>
      <c r="AP945" s="142"/>
    </row>
    <row r="946" ht="13.5" customHeight="1">
      <c r="A946" s="142"/>
      <c r="B946" s="142"/>
      <c r="C946" s="142"/>
      <c r="D946" s="142"/>
      <c r="E946" s="132"/>
      <c r="F946" s="131"/>
      <c r="G946" s="131"/>
      <c r="H946" s="131"/>
      <c r="I946" s="131"/>
      <c r="J946" s="131"/>
      <c r="K946" s="131"/>
      <c r="L946" s="131"/>
      <c r="M946" s="131"/>
      <c r="N946" s="131"/>
      <c r="O946" s="142"/>
      <c r="P946" s="142"/>
      <c r="Q946" s="142"/>
      <c r="R946" s="142"/>
      <c r="S946" s="142"/>
      <c r="T946" s="142"/>
      <c r="U946" s="142"/>
      <c r="V946" s="142"/>
      <c r="W946" s="142"/>
      <c r="X946" s="142"/>
      <c r="Y946" s="142"/>
      <c r="Z946" s="142"/>
      <c r="AA946" s="131"/>
      <c r="AB946" s="142"/>
      <c r="AC946" s="142"/>
      <c r="AD946" s="142"/>
      <c r="AE946" s="142"/>
      <c r="AF946" s="142"/>
      <c r="AG946" s="142"/>
      <c r="AH946" s="142"/>
      <c r="AI946" s="142"/>
      <c r="AJ946" s="142"/>
      <c r="AK946" s="142"/>
      <c r="AL946" s="142"/>
      <c r="AM946" s="142"/>
      <c r="AN946" s="142"/>
      <c r="AO946" s="142"/>
      <c r="AP946" s="142"/>
    </row>
    <row r="947" ht="13.5" customHeight="1">
      <c r="A947" s="142"/>
      <c r="B947" s="142"/>
      <c r="C947" s="142"/>
      <c r="D947" s="142"/>
      <c r="E947" s="132"/>
      <c r="F947" s="131"/>
      <c r="G947" s="131"/>
      <c r="H947" s="131"/>
      <c r="I947" s="131"/>
      <c r="J947" s="131"/>
      <c r="K947" s="131"/>
      <c r="L947" s="131"/>
      <c r="M947" s="131"/>
      <c r="N947" s="131"/>
      <c r="O947" s="142"/>
      <c r="P947" s="142"/>
      <c r="Q947" s="142"/>
      <c r="R947" s="142"/>
      <c r="S947" s="142"/>
      <c r="T947" s="142"/>
      <c r="U947" s="142"/>
      <c r="V947" s="142"/>
      <c r="W947" s="142"/>
      <c r="X947" s="142"/>
      <c r="Y947" s="142"/>
      <c r="Z947" s="142"/>
      <c r="AA947" s="131"/>
      <c r="AB947" s="142"/>
      <c r="AC947" s="142"/>
      <c r="AD947" s="142"/>
      <c r="AE947" s="142"/>
      <c r="AF947" s="142"/>
      <c r="AG947" s="142"/>
      <c r="AH947" s="142"/>
      <c r="AI947" s="142"/>
      <c r="AJ947" s="142"/>
      <c r="AK947" s="142"/>
      <c r="AL947" s="142"/>
      <c r="AM947" s="142"/>
      <c r="AN947" s="142"/>
      <c r="AO947" s="142"/>
      <c r="AP947" s="142"/>
    </row>
    <row r="948" ht="13.5" customHeight="1">
      <c r="A948" s="142"/>
      <c r="B948" s="142"/>
      <c r="C948" s="142"/>
      <c r="D948" s="142"/>
      <c r="E948" s="132"/>
      <c r="F948" s="131"/>
      <c r="G948" s="131"/>
      <c r="H948" s="131"/>
      <c r="I948" s="131"/>
      <c r="J948" s="131"/>
      <c r="K948" s="131"/>
      <c r="L948" s="131"/>
      <c r="M948" s="131"/>
      <c r="N948" s="131"/>
      <c r="O948" s="142"/>
      <c r="P948" s="142"/>
      <c r="Q948" s="142"/>
      <c r="R948" s="142"/>
      <c r="S948" s="142"/>
      <c r="T948" s="142"/>
      <c r="U948" s="142"/>
      <c r="V948" s="142"/>
      <c r="W948" s="142"/>
      <c r="X948" s="142"/>
      <c r="Y948" s="142"/>
      <c r="Z948" s="142"/>
      <c r="AA948" s="131"/>
      <c r="AB948" s="142"/>
      <c r="AC948" s="142"/>
      <c r="AD948" s="142"/>
      <c r="AE948" s="142"/>
      <c r="AF948" s="142"/>
      <c r="AG948" s="142"/>
      <c r="AH948" s="142"/>
      <c r="AI948" s="142"/>
      <c r="AJ948" s="142"/>
      <c r="AK948" s="142"/>
      <c r="AL948" s="142"/>
      <c r="AM948" s="142"/>
      <c r="AN948" s="142"/>
      <c r="AO948" s="142"/>
      <c r="AP948" s="142"/>
    </row>
    <row r="949" ht="13.5" customHeight="1">
      <c r="A949" s="142"/>
      <c r="B949" s="142"/>
      <c r="C949" s="142"/>
      <c r="D949" s="142"/>
      <c r="E949" s="132"/>
      <c r="F949" s="131"/>
      <c r="G949" s="131"/>
      <c r="H949" s="131"/>
      <c r="I949" s="131"/>
      <c r="J949" s="131"/>
      <c r="K949" s="131"/>
      <c r="L949" s="131"/>
      <c r="M949" s="131"/>
      <c r="N949" s="131"/>
      <c r="O949" s="142"/>
      <c r="P949" s="142"/>
      <c r="Q949" s="142"/>
      <c r="R949" s="142"/>
      <c r="S949" s="142"/>
      <c r="T949" s="142"/>
      <c r="U949" s="142"/>
      <c r="V949" s="142"/>
      <c r="W949" s="142"/>
      <c r="X949" s="142"/>
      <c r="Y949" s="142"/>
      <c r="Z949" s="142"/>
      <c r="AA949" s="131"/>
      <c r="AB949" s="142"/>
      <c r="AC949" s="142"/>
      <c r="AD949" s="142"/>
      <c r="AE949" s="142"/>
      <c r="AF949" s="142"/>
      <c r="AG949" s="142"/>
      <c r="AH949" s="142"/>
      <c r="AI949" s="142"/>
      <c r="AJ949" s="142"/>
      <c r="AK949" s="142"/>
      <c r="AL949" s="142"/>
      <c r="AM949" s="142"/>
      <c r="AN949" s="142"/>
      <c r="AO949" s="142"/>
      <c r="AP949" s="142"/>
    </row>
    <row r="950" ht="13.5" customHeight="1">
      <c r="A950" s="142"/>
      <c r="B950" s="142"/>
      <c r="C950" s="142"/>
      <c r="D950" s="142"/>
      <c r="E950" s="132"/>
      <c r="F950" s="131"/>
      <c r="G950" s="131"/>
      <c r="H950" s="131"/>
      <c r="I950" s="131"/>
      <c r="J950" s="131"/>
      <c r="K950" s="131"/>
      <c r="L950" s="131"/>
      <c r="M950" s="131"/>
      <c r="N950" s="131"/>
      <c r="O950" s="142"/>
      <c r="P950" s="142"/>
      <c r="Q950" s="142"/>
      <c r="R950" s="142"/>
      <c r="S950" s="142"/>
      <c r="T950" s="142"/>
      <c r="U950" s="142"/>
      <c r="V950" s="142"/>
      <c r="W950" s="142"/>
      <c r="X950" s="142"/>
      <c r="Y950" s="142"/>
      <c r="Z950" s="142"/>
      <c r="AA950" s="131"/>
      <c r="AB950" s="142"/>
      <c r="AC950" s="142"/>
      <c r="AD950" s="142"/>
      <c r="AE950" s="142"/>
      <c r="AF950" s="142"/>
      <c r="AG950" s="142"/>
      <c r="AH950" s="142"/>
      <c r="AI950" s="142"/>
      <c r="AJ950" s="142"/>
      <c r="AK950" s="142"/>
      <c r="AL950" s="142"/>
      <c r="AM950" s="142"/>
      <c r="AN950" s="142"/>
      <c r="AO950" s="142"/>
      <c r="AP950" s="142"/>
    </row>
    <row r="951" ht="13.5" customHeight="1">
      <c r="A951" s="142"/>
      <c r="B951" s="142"/>
      <c r="C951" s="142"/>
      <c r="D951" s="142"/>
      <c r="E951" s="132"/>
      <c r="F951" s="131"/>
      <c r="G951" s="131"/>
      <c r="H951" s="131"/>
      <c r="I951" s="131"/>
      <c r="J951" s="131"/>
      <c r="K951" s="131"/>
      <c r="L951" s="131"/>
      <c r="M951" s="131"/>
      <c r="N951" s="131"/>
      <c r="O951" s="142"/>
      <c r="P951" s="142"/>
      <c r="Q951" s="142"/>
      <c r="R951" s="142"/>
      <c r="S951" s="142"/>
      <c r="T951" s="142"/>
      <c r="U951" s="142"/>
      <c r="V951" s="142"/>
      <c r="W951" s="142"/>
      <c r="X951" s="142"/>
      <c r="Y951" s="142"/>
      <c r="Z951" s="142"/>
      <c r="AA951" s="131"/>
      <c r="AB951" s="142"/>
      <c r="AC951" s="142"/>
      <c r="AD951" s="142"/>
      <c r="AE951" s="142"/>
      <c r="AF951" s="142"/>
      <c r="AG951" s="142"/>
      <c r="AH951" s="142"/>
      <c r="AI951" s="142"/>
      <c r="AJ951" s="142"/>
      <c r="AK951" s="142"/>
      <c r="AL951" s="142"/>
      <c r="AM951" s="142"/>
      <c r="AN951" s="142"/>
      <c r="AO951" s="142"/>
      <c r="AP951" s="142"/>
    </row>
    <row r="952" ht="13.5" customHeight="1">
      <c r="A952" s="142"/>
      <c r="B952" s="142"/>
      <c r="C952" s="142"/>
      <c r="D952" s="142"/>
      <c r="E952" s="132"/>
      <c r="F952" s="131"/>
      <c r="G952" s="131"/>
      <c r="H952" s="131"/>
      <c r="I952" s="131"/>
      <c r="J952" s="131"/>
      <c r="K952" s="131"/>
      <c r="L952" s="131"/>
      <c r="M952" s="131"/>
      <c r="N952" s="131"/>
      <c r="O952" s="142"/>
      <c r="P952" s="142"/>
      <c r="Q952" s="142"/>
      <c r="R952" s="142"/>
      <c r="S952" s="142"/>
      <c r="T952" s="142"/>
      <c r="U952" s="142"/>
      <c r="V952" s="142"/>
      <c r="W952" s="142"/>
      <c r="X952" s="142"/>
      <c r="Y952" s="142"/>
      <c r="Z952" s="142"/>
      <c r="AA952" s="131"/>
      <c r="AB952" s="142"/>
      <c r="AC952" s="142"/>
      <c r="AD952" s="142"/>
      <c r="AE952" s="142"/>
      <c r="AF952" s="142"/>
      <c r="AG952" s="142"/>
      <c r="AH952" s="142"/>
      <c r="AI952" s="142"/>
      <c r="AJ952" s="142"/>
      <c r="AK952" s="142"/>
      <c r="AL952" s="142"/>
      <c r="AM952" s="142"/>
      <c r="AN952" s="142"/>
      <c r="AO952" s="142"/>
      <c r="AP952" s="142"/>
    </row>
    <row r="953" ht="13.5" customHeight="1">
      <c r="A953" s="142"/>
      <c r="B953" s="142"/>
      <c r="C953" s="142"/>
      <c r="D953" s="142"/>
      <c r="E953" s="132"/>
      <c r="F953" s="131"/>
      <c r="G953" s="131"/>
      <c r="H953" s="131"/>
      <c r="I953" s="131"/>
      <c r="J953" s="131"/>
      <c r="K953" s="131"/>
      <c r="L953" s="131"/>
      <c r="M953" s="131"/>
      <c r="N953" s="131"/>
      <c r="O953" s="142"/>
      <c r="P953" s="142"/>
      <c r="Q953" s="142"/>
      <c r="R953" s="142"/>
      <c r="S953" s="142"/>
      <c r="T953" s="142"/>
      <c r="U953" s="142"/>
      <c r="V953" s="142"/>
      <c r="W953" s="142"/>
      <c r="X953" s="142"/>
      <c r="Y953" s="142"/>
      <c r="Z953" s="142"/>
      <c r="AA953" s="131"/>
      <c r="AB953" s="142"/>
      <c r="AC953" s="142"/>
      <c r="AD953" s="142"/>
      <c r="AE953" s="142"/>
      <c r="AF953" s="142"/>
      <c r="AG953" s="142"/>
      <c r="AH953" s="142"/>
      <c r="AI953" s="142"/>
      <c r="AJ953" s="142"/>
      <c r="AK953" s="142"/>
      <c r="AL953" s="142"/>
      <c r="AM953" s="142"/>
      <c r="AN953" s="142"/>
      <c r="AO953" s="142"/>
      <c r="AP953" s="142"/>
    </row>
    <row r="954" ht="13.5" customHeight="1">
      <c r="A954" s="142"/>
      <c r="B954" s="142"/>
      <c r="C954" s="142"/>
      <c r="D954" s="142"/>
      <c r="E954" s="132"/>
      <c r="F954" s="131"/>
      <c r="G954" s="131"/>
      <c r="H954" s="131"/>
      <c r="I954" s="131"/>
      <c r="J954" s="131"/>
      <c r="K954" s="131"/>
      <c r="L954" s="131"/>
      <c r="M954" s="131"/>
      <c r="N954" s="131"/>
      <c r="O954" s="142"/>
      <c r="P954" s="142"/>
      <c r="Q954" s="142"/>
      <c r="R954" s="142"/>
      <c r="S954" s="142"/>
      <c r="T954" s="142"/>
      <c r="U954" s="142"/>
      <c r="V954" s="142"/>
      <c r="W954" s="142"/>
      <c r="X954" s="142"/>
      <c r="Y954" s="142"/>
      <c r="Z954" s="142"/>
      <c r="AA954" s="131"/>
      <c r="AB954" s="142"/>
      <c r="AC954" s="142"/>
      <c r="AD954" s="142"/>
      <c r="AE954" s="142"/>
      <c r="AF954" s="142"/>
      <c r="AG954" s="142"/>
      <c r="AH954" s="142"/>
      <c r="AI954" s="142"/>
      <c r="AJ954" s="142"/>
      <c r="AK954" s="142"/>
      <c r="AL954" s="142"/>
      <c r="AM954" s="142"/>
      <c r="AN954" s="142"/>
      <c r="AO954" s="142"/>
      <c r="AP954" s="142"/>
    </row>
    <row r="955" ht="13.5" customHeight="1">
      <c r="A955" s="142"/>
      <c r="B955" s="142"/>
      <c r="C955" s="142"/>
      <c r="D955" s="142"/>
      <c r="E955" s="132"/>
      <c r="F955" s="131"/>
      <c r="G955" s="131"/>
      <c r="H955" s="131"/>
      <c r="I955" s="131"/>
      <c r="J955" s="131"/>
      <c r="K955" s="131"/>
      <c r="L955" s="131"/>
      <c r="M955" s="131"/>
      <c r="N955" s="131"/>
      <c r="O955" s="142"/>
      <c r="P955" s="142"/>
      <c r="Q955" s="142"/>
      <c r="R955" s="142"/>
      <c r="S955" s="142"/>
      <c r="T955" s="142"/>
      <c r="U955" s="142"/>
      <c r="V955" s="142"/>
      <c r="W955" s="142"/>
      <c r="X955" s="142"/>
      <c r="Y955" s="142"/>
      <c r="Z955" s="142"/>
      <c r="AA955" s="131"/>
      <c r="AB955" s="142"/>
      <c r="AC955" s="142"/>
      <c r="AD955" s="142"/>
      <c r="AE955" s="142"/>
      <c r="AF955" s="142"/>
      <c r="AG955" s="142"/>
      <c r="AH955" s="142"/>
      <c r="AI955" s="142"/>
      <c r="AJ955" s="142"/>
      <c r="AK955" s="142"/>
      <c r="AL955" s="142"/>
      <c r="AM955" s="142"/>
      <c r="AN955" s="142"/>
      <c r="AO955" s="142"/>
      <c r="AP955" s="142"/>
    </row>
    <row r="956" ht="13.5" customHeight="1">
      <c r="A956" s="142"/>
      <c r="B956" s="142"/>
      <c r="C956" s="142"/>
      <c r="D956" s="142"/>
      <c r="E956" s="132"/>
      <c r="F956" s="131"/>
      <c r="G956" s="131"/>
      <c r="H956" s="131"/>
      <c r="I956" s="131"/>
      <c r="J956" s="131"/>
      <c r="K956" s="131"/>
      <c r="L956" s="131"/>
      <c r="M956" s="131"/>
      <c r="N956" s="131"/>
      <c r="O956" s="142"/>
      <c r="P956" s="142"/>
      <c r="Q956" s="142"/>
      <c r="R956" s="142"/>
      <c r="S956" s="142"/>
      <c r="T956" s="142"/>
      <c r="U956" s="142"/>
      <c r="V956" s="142"/>
      <c r="W956" s="142"/>
      <c r="X956" s="142"/>
      <c r="Y956" s="142"/>
      <c r="Z956" s="142"/>
      <c r="AA956" s="131"/>
      <c r="AB956" s="142"/>
      <c r="AC956" s="142"/>
      <c r="AD956" s="142"/>
      <c r="AE956" s="142"/>
      <c r="AF956" s="142"/>
      <c r="AG956" s="142"/>
      <c r="AH956" s="142"/>
      <c r="AI956" s="142"/>
      <c r="AJ956" s="142"/>
      <c r="AK956" s="142"/>
      <c r="AL956" s="142"/>
      <c r="AM956" s="142"/>
      <c r="AN956" s="142"/>
      <c r="AO956" s="142"/>
      <c r="AP956" s="142"/>
    </row>
    <row r="957" ht="13.5" customHeight="1">
      <c r="A957" s="142"/>
      <c r="B957" s="142"/>
      <c r="C957" s="142"/>
      <c r="D957" s="142"/>
      <c r="E957" s="132"/>
      <c r="F957" s="131"/>
      <c r="G957" s="131"/>
      <c r="H957" s="131"/>
      <c r="I957" s="131"/>
      <c r="J957" s="131"/>
      <c r="K957" s="131"/>
      <c r="L957" s="131"/>
      <c r="M957" s="131"/>
      <c r="N957" s="131"/>
      <c r="O957" s="142"/>
      <c r="P957" s="142"/>
      <c r="Q957" s="142"/>
      <c r="R957" s="142"/>
      <c r="S957" s="142"/>
      <c r="T957" s="142"/>
      <c r="U957" s="142"/>
      <c r="V957" s="142"/>
      <c r="W957" s="142"/>
      <c r="X957" s="142"/>
      <c r="Y957" s="142"/>
      <c r="Z957" s="142"/>
      <c r="AA957" s="131"/>
      <c r="AB957" s="142"/>
      <c r="AC957" s="142"/>
      <c r="AD957" s="142"/>
      <c r="AE957" s="142"/>
      <c r="AF957" s="142"/>
      <c r="AG957" s="142"/>
      <c r="AH957" s="142"/>
      <c r="AI957" s="142"/>
      <c r="AJ957" s="142"/>
      <c r="AK957" s="142"/>
      <c r="AL957" s="142"/>
      <c r="AM957" s="142"/>
      <c r="AN957" s="142"/>
      <c r="AO957" s="142"/>
      <c r="AP957" s="142"/>
    </row>
    <row r="958" ht="13.5" customHeight="1">
      <c r="A958" s="142"/>
      <c r="B958" s="142"/>
      <c r="C958" s="142"/>
      <c r="D958" s="142"/>
      <c r="E958" s="132"/>
      <c r="F958" s="131"/>
      <c r="G958" s="131"/>
      <c r="H958" s="131"/>
      <c r="I958" s="131"/>
      <c r="J958" s="131"/>
      <c r="K958" s="131"/>
      <c r="L958" s="131"/>
      <c r="M958" s="131"/>
      <c r="N958" s="131"/>
      <c r="O958" s="142"/>
      <c r="P958" s="142"/>
      <c r="Q958" s="142"/>
      <c r="R958" s="142"/>
      <c r="S958" s="142"/>
      <c r="T958" s="142"/>
      <c r="U958" s="142"/>
      <c r="V958" s="142"/>
      <c r="W958" s="142"/>
      <c r="X958" s="142"/>
      <c r="Y958" s="142"/>
      <c r="Z958" s="142"/>
      <c r="AA958" s="131"/>
      <c r="AB958" s="142"/>
      <c r="AC958" s="142"/>
      <c r="AD958" s="142"/>
      <c r="AE958" s="142"/>
      <c r="AF958" s="142"/>
      <c r="AG958" s="142"/>
      <c r="AH958" s="142"/>
      <c r="AI958" s="142"/>
      <c r="AJ958" s="142"/>
      <c r="AK958" s="142"/>
      <c r="AL958" s="142"/>
      <c r="AM958" s="142"/>
      <c r="AN958" s="142"/>
      <c r="AO958" s="142"/>
      <c r="AP958" s="142"/>
    </row>
    <row r="959" ht="13.5" customHeight="1">
      <c r="A959" s="142"/>
      <c r="B959" s="142"/>
      <c r="C959" s="142"/>
      <c r="D959" s="142"/>
      <c r="E959" s="132"/>
      <c r="F959" s="131"/>
      <c r="G959" s="131"/>
      <c r="H959" s="131"/>
      <c r="I959" s="131"/>
      <c r="J959" s="131"/>
      <c r="K959" s="131"/>
      <c r="L959" s="131"/>
      <c r="M959" s="131"/>
      <c r="N959" s="131"/>
      <c r="O959" s="142"/>
      <c r="P959" s="142"/>
      <c r="Q959" s="142"/>
      <c r="R959" s="142"/>
      <c r="S959" s="142"/>
      <c r="T959" s="142"/>
      <c r="U959" s="142"/>
      <c r="V959" s="142"/>
      <c r="W959" s="142"/>
      <c r="X959" s="142"/>
      <c r="Y959" s="142"/>
      <c r="Z959" s="142"/>
      <c r="AA959" s="131"/>
      <c r="AB959" s="142"/>
      <c r="AC959" s="142"/>
      <c r="AD959" s="142"/>
      <c r="AE959" s="142"/>
      <c r="AF959" s="142"/>
      <c r="AG959" s="142"/>
      <c r="AH959" s="142"/>
      <c r="AI959" s="142"/>
      <c r="AJ959" s="142"/>
      <c r="AK959" s="142"/>
      <c r="AL959" s="142"/>
      <c r="AM959" s="142"/>
      <c r="AN959" s="142"/>
      <c r="AO959" s="142"/>
      <c r="AP959" s="142"/>
    </row>
    <row r="960" ht="13.5" customHeight="1">
      <c r="A960" s="142"/>
      <c r="B960" s="142"/>
      <c r="C960" s="142"/>
      <c r="D960" s="142"/>
      <c r="E960" s="132"/>
      <c r="F960" s="131"/>
      <c r="G960" s="131"/>
      <c r="H960" s="131"/>
      <c r="I960" s="131"/>
      <c r="J960" s="131"/>
      <c r="K960" s="131"/>
      <c r="L960" s="131"/>
      <c r="M960" s="131"/>
      <c r="N960" s="131"/>
      <c r="O960" s="142"/>
      <c r="P960" s="142"/>
      <c r="Q960" s="142"/>
      <c r="R960" s="142"/>
      <c r="S960" s="142"/>
      <c r="T960" s="142"/>
      <c r="U960" s="142"/>
      <c r="V960" s="142"/>
      <c r="W960" s="142"/>
      <c r="X960" s="142"/>
      <c r="Y960" s="142"/>
      <c r="Z960" s="142"/>
      <c r="AA960" s="131"/>
      <c r="AB960" s="142"/>
      <c r="AC960" s="142"/>
      <c r="AD960" s="142"/>
      <c r="AE960" s="142"/>
      <c r="AF960" s="142"/>
      <c r="AG960" s="142"/>
      <c r="AH960" s="142"/>
      <c r="AI960" s="142"/>
      <c r="AJ960" s="142"/>
      <c r="AK960" s="142"/>
      <c r="AL960" s="142"/>
      <c r="AM960" s="142"/>
      <c r="AN960" s="142"/>
      <c r="AO960" s="142"/>
      <c r="AP960" s="142"/>
    </row>
    <row r="961" ht="13.5" customHeight="1">
      <c r="A961" s="142"/>
      <c r="B961" s="142"/>
      <c r="C961" s="142"/>
      <c r="D961" s="142"/>
      <c r="E961" s="132"/>
      <c r="F961" s="131"/>
      <c r="G961" s="131"/>
      <c r="H961" s="131"/>
      <c r="I961" s="131"/>
      <c r="J961" s="131"/>
      <c r="K961" s="131"/>
      <c r="L961" s="131"/>
      <c r="M961" s="131"/>
      <c r="N961" s="131"/>
      <c r="O961" s="142"/>
      <c r="P961" s="142"/>
      <c r="Q961" s="142"/>
      <c r="R961" s="142"/>
      <c r="S961" s="142"/>
      <c r="T961" s="142"/>
      <c r="U961" s="142"/>
      <c r="V961" s="142"/>
      <c r="W961" s="142"/>
      <c r="X961" s="142"/>
      <c r="Y961" s="142"/>
      <c r="Z961" s="142"/>
      <c r="AA961" s="131"/>
      <c r="AB961" s="142"/>
      <c r="AC961" s="142"/>
      <c r="AD961" s="142"/>
      <c r="AE961" s="142"/>
      <c r="AF961" s="142"/>
      <c r="AG961" s="142"/>
      <c r="AH961" s="142"/>
      <c r="AI961" s="142"/>
      <c r="AJ961" s="142"/>
      <c r="AK961" s="142"/>
      <c r="AL961" s="142"/>
      <c r="AM961" s="142"/>
      <c r="AN961" s="142"/>
      <c r="AO961" s="142"/>
      <c r="AP961" s="142"/>
    </row>
    <row r="962" ht="13.5" customHeight="1">
      <c r="A962" s="142"/>
      <c r="B962" s="142"/>
      <c r="C962" s="142"/>
      <c r="D962" s="142"/>
      <c r="E962" s="132"/>
      <c r="F962" s="131"/>
      <c r="G962" s="131"/>
      <c r="H962" s="131"/>
      <c r="I962" s="131"/>
      <c r="J962" s="131"/>
      <c r="K962" s="131"/>
      <c r="L962" s="131"/>
      <c r="M962" s="131"/>
      <c r="N962" s="131"/>
      <c r="O962" s="142"/>
      <c r="P962" s="142"/>
      <c r="Q962" s="142"/>
      <c r="R962" s="142"/>
      <c r="S962" s="142"/>
      <c r="T962" s="142"/>
      <c r="U962" s="142"/>
      <c r="V962" s="142"/>
      <c r="W962" s="142"/>
      <c r="X962" s="142"/>
      <c r="Y962" s="142"/>
      <c r="Z962" s="142"/>
      <c r="AA962" s="131"/>
      <c r="AB962" s="142"/>
      <c r="AC962" s="142"/>
      <c r="AD962" s="142"/>
      <c r="AE962" s="142"/>
      <c r="AF962" s="142"/>
      <c r="AG962" s="142"/>
      <c r="AH962" s="142"/>
      <c r="AI962" s="142"/>
      <c r="AJ962" s="142"/>
      <c r="AK962" s="142"/>
      <c r="AL962" s="142"/>
      <c r="AM962" s="142"/>
      <c r="AN962" s="142"/>
      <c r="AO962" s="142"/>
      <c r="AP962" s="142"/>
    </row>
    <row r="963" ht="13.5" customHeight="1">
      <c r="A963" s="142"/>
      <c r="B963" s="142"/>
      <c r="C963" s="142"/>
      <c r="D963" s="142"/>
      <c r="E963" s="132"/>
      <c r="F963" s="131"/>
      <c r="G963" s="131"/>
      <c r="H963" s="131"/>
      <c r="I963" s="131"/>
      <c r="J963" s="131"/>
      <c r="K963" s="131"/>
      <c r="L963" s="131"/>
      <c r="M963" s="131"/>
      <c r="N963" s="131"/>
      <c r="O963" s="142"/>
      <c r="P963" s="142"/>
      <c r="Q963" s="142"/>
      <c r="R963" s="142"/>
      <c r="S963" s="142"/>
      <c r="T963" s="142"/>
      <c r="U963" s="142"/>
      <c r="V963" s="142"/>
      <c r="W963" s="142"/>
      <c r="X963" s="142"/>
      <c r="Y963" s="142"/>
      <c r="Z963" s="142"/>
      <c r="AA963" s="131"/>
      <c r="AB963" s="142"/>
      <c r="AC963" s="142"/>
      <c r="AD963" s="142"/>
      <c r="AE963" s="142"/>
      <c r="AF963" s="142"/>
      <c r="AG963" s="142"/>
      <c r="AH963" s="142"/>
      <c r="AI963" s="142"/>
      <c r="AJ963" s="142"/>
      <c r="AK963" s="142"/>
      <c r="AL963" s="142"/>
      <c r="AM963" s="142"/>
      <c r="AN963" s="142"/>
      <c r="AO963" s="142"/>
      <c r="AP963" s="142"/>
    </row>
    <row r="964" ht="13.5" customHeight="1">
      <c r="A964" s="142"/>
      <c r="B964" s="142"/>
      <c r="C964" s="142"/>
      <c r="D964" s="142"/>
      <c r="E964" s="132"/>
      <c r="F964" s="131"/>
      <c r="G964" s="131"/>
      <c r="H964" s="131"/>
      <c r="I964" s="131"/>
      <c r="J964" s="131"/>
      <c r="K964" s="131"/>
      <c r="L964" s="131"/>
      <c r="M964" s="131"/>
      <c r="N964" s="131"/>
      <c r="O964" s="142"/>
      <c r="P964" s="142"/>
      <c r="Q964" s="142"/>
      <c r="R964" s="142"/>
      <c r="S964" s="142"/>
      <c r="T964" s="142"/>
      <c r="U964" s="142"/>
      <c r="V964" s="142"/>
      <c r="W964" s="142"/>
      <c r="X964" s="142"/>
      <c r="Y964" s="142"/>
      <c r="Z964" s="142"/>
      <c r="AA964" s="131"/>
      <c r="AB964" s="142"/>
      <c r="AC964" s="142"/>
      <c r="AD964" s="142"/>
      <c r="AE964" s="142"/>
      <c r="AF964" s="142"/>
      <c r="AG964" s="142"/>
      <c r="AH964" s="142"/>
      <c r="AI964" s="142"/>
      <c r="AJ964" s="142"/>
      <c r="AK964" s="142"/>
      <c r="AL964" s="142"/>
      <c r="AM964" s="142"/>
      <c r="AN964" s="142"/>
      <c r="AO964" s="142"/>
      <c r="AP964" s="142"/>
    </row>
    <row r="965" ht="13.5" customHeight="1">
      <c r="A965" s="142"/>
      <c r="B965" s="142"/>
      <c r="C965" s="142"/>
      <c r="D965" s="142"/>
      <c r="E965" s="132"/>
      <c r="F965" s="131"/>
      <c r="G965" s="131"/>
      <c r="H965" s="131"/>
      <c r="I965" s="131"/>
      <c r="J965" s="131"/>
      <c r="K965" s="131"/>
      <c r="L965" s="131"/>
      <c r="M965" s="131"/>
      <c r="N965" s="131"/>
      <c r="O965" s="142"/>
      <c r="P965" s="142"/>
      <c r="Q965" s="142"/>
      <c r="R965" s="142"/>
      <c r="S965" s="142"/>
      <c r="T965" s="142"/>
      <c r="U965" s="142"/>
      <c r="V965" s="142"/>
      <c r="W965" s="142"/>
      <c r="X965" s="142"/>
      <c r="Y965" s="142"/>
      <c r="Z965" s="142"/>
      <c r="AA965" s="131"/>
      <c r="AB965" s="142"/>
      <c r="AC965" s="142"/>
      <c r="AD965" s="142"/>
      <c r="AE965" s="142"/>
      <c r="AF965" s="142"/>
      <c r="AG965" s="142"/>
      <c r="AH965" s="142"/>
      <c r="AI965" s="142"/>
      <c r="AJ965" s="142"/>
      <c r="AK965" s="142"/>
      <c r="AL965" s="142"/>
      <c r="AM965" s="142"/>
      <c r="AN965" s="142"/>
      <c r="AO965" s="142"/>
      <c r="AP965" s="142"/>
    </row>
    <row r="966" ht="13.5" customHeight="1">
      <c r="A966" s="142"/>
      <c r="B966" s="142"/>
      <c r="C966" s="142"/>
      <c r="D966" s="142"/>
      <c r="E966" s="132"/>
      <c r="F966" s="131"/>
      <c r="G966" s="131"/>
      <c r="H966" s="131"/>
      <c r="I966" s="131"/>
      <c r="J966" s="131"/>
      <c r="K966" s="131"/>
      <c r="L966" s="131"/>
      <c r="M966" s="131"/>
      <c r="N966" s="131"/>
      <c r="O966" s="142"/>
      <c r="P966" s="142"/>
      <c r="Q966" s="142"/>
      <c r="R966" s="142"/>
      <c r="S966" s="142"/>
      <c r="T966" s="142"/>
      <c r="U966" s="142"/>
      <c r="V966" s="142"/>
      <c r="W966" s="142"/>
      <c r="X966" s="142"/>
      <c r="Y966" s="142"/>
      <c r="Z966" s="142"/>
      <c r="AA966" s="131"/>
      <c r="AB966" s="142"/>
      <c r="AC966" s="142"/>
      <c r="AD966" s="142"/>
      <c r="AE966" s="142"/>
      <c r="AF966" s="142"/>
      <c r="AG966" s="142"/>
      <c r="AH966" s="142"/>
      <c r="AI966" s="142"/>
      <c r="AJ966" s="142"/>
      <c r="AK966" s="142"/>
      <c r="AL966" s="142"/>
      <c r="AM966" s="142"/>
      <c r="AN966" s="142"/>
      <c r="AO966" s="142"/>
      <c r="AP966" s="142"/>
    </row>
    <row r="967" ht="13.5" customHeight="1">
      <c r="A967" s="142"/>
      <c r="B967" s="142"/>
      <c r="C967" s="142"/>
      <c r="D967" s="142"/>
      <c r="E967" s="132"/>
      <c r="F967" s="131"/>
      <c r="G967" s="131"/>
      <c r="H967" s="131"/>
      <c r="I967" s="131"/>
      <c r="J967" s="131"/>
      <c r="K967" s="131"/>
      <c r="L967" s="131"/>
      <c r="M967" s="131"/>
      <c r="N967" s="131"/>
      <c r="O967" s="142"/>
      <c r="P967" s="142"/>
      <c r="Q967" s="142"/>
      <c r="R967" s="142"/>
      <c r="S967" s="142"/>
      <c r="T967" s="142"/>
      <c r="U967" s="142"/>
      <c r="V967" s="142"/>
      <c r="W967" s="142"/>
      <c r="X967" s="142"/>
      <c r="Y967" s="142"/>
      <c r="Z967" s="142"/>
      <c r="AA967" s="131"/>
      <c r="AB967" s="142"/>
      <c r="AC967" s="142"/>
      <c r="AD967" s="142"/>
      <c r="AE967" s="142"/>
      <c r="AF967" s="142"/>
      <c r="AG967" s="142"/>
      <c r="AH967" s="142"/>
      <c r="AI967" s="142"/>
      <c r="AJ967" s="142"/>
      <c r="AK967" s="142"/>
      <c r="AL967" s="142"/>
      <c r="AM967" s="142"/>
      <c r="AN967" s="142"/>
      <c r="AO967" s="142"/>
      <c r="AP967" s="142"/>
    </row>
    <row r="968" ht="13.5" customHeight="1">
      <c r="A968" s="142"/>
      <c r="B968" s="142"/>
      <c r="C968" s="142"/>
      <c r="D968" s="142"/>
      <c r="E968" s="132"/>
      <c r="F968" s="131"/>
      <c r="G968" s="131"/>
      <c r="H968" s="131"/>
      <c r="I968" s="131"/>
      <c r="J968" s="131"/>
      <c r="K968" s="131"/>
      <c r="L968" s="131"/>
      <c r="M968" s="131"/>
      <c r="N968" s="131"/>
      <c r="O968" s="142"/>
      <c r="P968" s="142"/>
      <c r="Q968" s="142"/>
      <c r="R968" s="142"/>
      <c r="S968" s="142"/>
      <c r="T968" s="142"/>
      <c r="U968" s="142"/>
      <c r="V968" s="142"/>
      <c r="W968" s="142"/>
      <c r="X968" s="142"/>
      <c r="Y968" s="142"/>
      <c r="Z968" s="142"/>
      <c r="AA968" s="131"/>
      <c r="AB968" s="142"/>
      <c r="AC968" s="142"/>
      <c r="AD968" s="142"/>
      <c r="AE968" s="142"/>
      <c r="AF968" s="142"/>
      <c r="AG968" s="142"/>
      <c r="AH968" s="142"/>
      <c r="AI968" s="142"/>
      <c r="AJ968" s="142"/>
      <c r="AK968" s="142"/>
      <c r="AL968" s="142"/>
      <c r="AM968" s="142"/>
      <c r="AN968" s="142"/>
      <c r="AO968" s="142"/>
      <c r="AP968" s="142"/>
    </row>
    <row r="969" ht="13.5" customHeight="1">
      <c r="A969" s="142"/>
      <c r="B969" s="142"/>
      <c r="C969" s="142"/>
      <c r="D969" s="142"/>
      <c r="E969" s="132"/>
      <c r="F969" s="131"/>
      <c r="G969" s="131"/>
      <c r="H969" s="131"/>
      <c r="I969" s="131"/>
      <c r="J969" s="131"/>
      <c r="K969" s="131"/>
      <c r="L969" s="131"/>
      <c r="M969" s="131"/>
      <c r="N969" s="131"/>
      <c r="O969" s="142"/>
      <c r="P969" s="142"/>
      <c r="Q969" s="142"/>
      <c r="R969" s="142"/>
      <c r="S969" s="142"/>
      <c r="T969" s="142"/>
      <c r="U969" s="142"/>
      <c r="V969" s="142"/>
      <c r="W969" s="142"/>
      <c r="X969" s="142"/>
      <c r="Y969" s="142"/>
      <c r="Z969" s="142"/>
      <c r="AA969" s="131"/>
      <c r="AB969" s="142"/>
      <c r="AC969" s="142"/>
      <c r="AD969" s="142"/>
      <c r="AE969" s="142"/>
      <c r="AF969" s="142"/>
      <c r="AG969" s="142"/>
      <c r="AH969" s="142"/>
      <c r="AI969" s="142"/>
      <c r="AJ969" s="142"/>
      <c r="AK969" s="142"/>
      <c r="AL969" s="142"/>
      <c r="AM969" s="142"/>
      <c r="AN969" s="142"/>
      <c r="AO969" s="142"/>
      <c r="AP969" s="142"/>
    </row>
    <row r="970" ht="13.5" customHeight="1">
      <c r="A970" s="142"/>
      <c r="B970" s="142"/>
      <c r="C970" s="142"/>
      <c r="D970" s="142"/>
      <c r="E970" s="132"/>
      <c r="F970" s="131"/>
      <c r="G970" s="131"/>
      <c r="H970" s="131"/>
      <c r="I970" s="131"/>
      <c r="J970" s="131"/>
      <c r="K970" s="131"/>
      <c r="L970" s="131"/>
      <c r="M970" s="131"/>
      <c r="N970" s="131"/>
      <c r="O970" s="142"/>
      <c r="P970" s="142"/>
      <c r="Q970" s="142"/>
      <c r="R970" s="142"/>
      <c r="S970" s="142"/>
      <c r="T970" s="142"/>
      <c r="U970" s="142"/>
      <c r="V970" s="142"/>
      <c r="W970" s="142"/>
      <c r="X970" s="142"/>
      <c r="Y970" s="142"/>
      <c r="Z970" s="142"/>
      <c r="AA970" s="131"/>
      <c r="AB970" s="142"/>
      <c r="AC970" s="142"/>
      <c r="AD970" s="142"/>
      <c r="AE970" s="142"/>
      <c r="AF970" s="142"/>
      <c r="AG970" s="142"/>
      <c r="AH970" s="142"/>
      <c r="AI970" s="142"/>
      <c r="AJ970" s="142"/>
      <c r="AK970" s="142"/>
      <c r="AL970" s="142"/>
      <c r="AM970" s="142"/>
      <c r="AN970" s="142"/>
      <c r="AO970" s="142"/>
      <c r="AP970" s="142"/>
    </row>
    <row r="971" ht="13.5" customHeight="1">
      <c r="A971" s="142"/>
      <c r="B971" s="142"/>
      <c r="C971" s="142"/>
      <c r="D971" s="142"/>
      <c r="E971" s="132"/>
      <c r="F971" s="131"/>
      <c r="G971" s="131"/>
      <c r="H971" s="131"/>
      <c r="I971" s="131"/>
      <c r="J971" s="131"/>
      <c r="K971" s="131"/>
      <c r="L971" s="131"/>
      <c r="M971" s="131"/>
      <c r="N971" s="131"/>
      <c r="O971" s="142"/>
      <c r="P971" s="142"/>
      <c r="Q971" s="142"/>
      <c r="R971" s="142"/>
      <c r="S971" s="142"/>
      <c r="T971" s="142"/>
      <c r="U971" s="142"/>
      <c r="V971" s="142"/>
      <c r="W971" s="142"/>
      <c r="X971" s="142"/>
      <c r="Y971" s="142"/>
      <c r="Z971" s="142"/>
      <c r="AA971" s="131"/>
      <c r="AB971" s="142"/>
      <c r="AC971" s="142"/>
      <c r="AD971" s="142"/>
      <c r="AE971" s="142"/>
      <c r="AF971" s="142"/>
      <c r="AG971" s="142"/>
      <c r="AH971" s="142"/>
      <c r="AI971" s="142"/>
      <c r="AJ971" s="142"/>
      <c r="AK971" s="142"/>
      <c r="AL971" s="142"/>
      <c r="AM971" s="142"/>
      <c r="AN971" s="142"/>
      <c r="AO971" s="142"/>
      <c r="AP971" s="142"/>
    </row>
    <row r="972" ht="13.5" customHeight="1">
      <c r="A972" s="142"/>
      <c r="B972" s="142"/>
      <c r="C972" s="142"/>
      <c r="D972" s="142"/>
      <c r="E972" s="132"/>
      <c r="F972" s="131"/>
      <c r="G972" s="131"/>
      <c r="H972" s="131"/>
      <c r="I972" s="131"/>
      <c r="J972" s="131"/>
      <c r="K972" s="131"/>
      <c r="L972" s="131"/>
      <c r="M972" s="131"/>
      <c r="N972" s="131"/>
      <c r="O972" s="142"/>
      <c r="P972" s="142"/>
      <c r="Q972" s="142"/>
      <c r="R972" s="142"/>
      <c r="S972" s="142"/>
      <c r="T972" s="142"/>
      <c r="U972" s="142"/>
      <c r="V972" s="142"/>
      <c r="W972" s="142"/>
      <c r="X972" s="142"/>
      <c r="Y972" s="142"/>
      <c r="Z972" s="142"/>
      <c r="AA972" s="131"/>
      <c r="AB972" s="142"/>
      <c r="AC972" s="142"/>
      <c r="AD972" s="142"/>
      <c r="AE972" s="142"/>
      <c r="AF972" s="142"/>
      <c r="AG972" s="142"/>
      <c r="AH972" s="142"/>
      <c r="AI972" s="142"/>
      <c r="AJ972" s="142"/>
      <c r="AK972" s="142"/>
      <c r="AL972" s="142"/>
      <c r="AM972" s="142"/>
      <c r="AN972" s="142"/>
      <c r="AO972" s="142"/>
      <c r="AP972" s="142"/>
    </row>
    <row r="973" ht="13.5" customHeight="1">
      <c r="A973" s="142"/>
      <c r="B973" s="142"/>
      <c r="C973" s="142"/>
      <c r="D973" s="142"/>
      <c r="E973" s="132"/>
      <c r="F973" s="131"/>
      <c r="G973" s="131"/>
      <c r="H973" s="131"/>
      <c r="I973" s="131"/>
      <c r="J973" s="131"/>
      <c r="K973" s="131"/>
      <c r="L973" s="131"/>
      <c r="M973" s="131"/>
      <c r="N973" s="131"/>
      <c r="O973" s="142"/>
      <c r="P973" s="142"/>
      <c r="Q973" s="142"/>
      <c r="R973" s="142"/>
      <c r="S973" s="142"/>
      <c r="T973" s="142"/>
      <c r="U973" s="142"/>
      <c r="V973" s="142"/>
      <c r="W973" s="142"/>
      <c r="X973" s="142"/>
      <c r="Y973" s="142"/>
      <c r="Z973" s="142"/>
      <c r="AA973" s="131"/>
      <c r="AB973" s="142"/>
      <c r="AC973" s="142"/>
      <c r="AD973" s="142"/>
      <c r="AE973" s="142"/>
      <c r="AF973" s="142"/>
      <c r="AG973" s="142"/>
      <c r="AH973" s="142"/>
      <c r="AI973" s="142"/>
      <c r="AJ973" s="142"/>
      <c r="AK973" s="142"/>
      <c r="AL973" s="142"/>
      <c r="AM973" s="142"/>
      <c r="AN973" s="142"/>
      <c r="AO973" s="142"/>
      <c r="AP973" s="142"/>
    </row>
    <row r="974" ht="13.5" customHeight="1">
      <c r="A974" s="142"/>
      <c r="B974" s="142"/>
      <c r="C974" s="142"/>
      <c r="D974" s="142"/>
      <c r="E974" s="132"/>
      <c r="F974" s="131"/>
      <c r="G974" s="131"/>
      <c r="H974" s="131"/>
      <c r="I974" s="131"/>
      <c r="J974" s="131"/>
      <c r="K974" s="131"/>
      <c r="L974" s="131"/>
      <c r="M974" s="131"/>
      <c r="N974" s="131"/>
      <c r="O974" s="142"/>
      <c r="P974" s="142"/>
      <c r="Q974" s="142"/>
      <c r="R974" s="142"/>
      <c r="S974" s="142"/>
      <c r="T974" s="142"/>
      <c r="U974" s="142"/>
      <c r="V974" s="142"/>
      <c r="W974" s="142"/>
      <c r="X974" s="142"/>
      <c r="Y974" s="142"/>
      <c r="Z974" s="142"/>
      <c r="AA974" s="131"/>
      <c r="AB974" s="142"/>
      <c r="AC974" s="142"/>
      <c r="AD974" s="142"/>
      <c r="AE974" s="142"/>
      <c r="AF974" s="142"/>
      <c r="AG974" s="142"/>
      <c r="AH974" s="142"/>
      <c r="AI974" s="142"/>
      <c r="AJ974" s="142"/>
      <c r="AK974" s="142"/>
      <c r="AL974" s="142"/>
      <c r="AM974" s="142"/>
      <c r="AN974" s="142"/>
      <c r="AO974" s="142"/>
      <c r="AP974" s="142"/>
    </row>
    <row r="975" ht="13.5" customHeight="1">
      <c r="A975" s="142"/>
      <c r="B975" s="142"/>
      <c r="C975" s="142"/>
      <c r="D975" s="142"/>
      <c r="E975" s="132"/>
      <c r="F975" s="131"/>
      <c r="G975" s="131"/>
      <c r="H975" s="131"/>
      <c r="I975" s="131"/>
      <c r="J975" s="131"/>
      <c r="K975" s="131"/>
      <c r="L975" s="131"/>
      <c r="M975" s="131"/>
      <c r="N975" s="131"/>
      <c r="O975" s="142"/>
      <c r="P975" s="142"/>
      <c r="Q975" s="142"/>
      <c r="R975" s="142"/>
      <c r="S975" s="142"/>
      <c r="T975" s="142"/>
      <c r="U975" s="142"/>
      <c r="V975" s="142"/>
      <c r="W975" s="142"/>
      <c r="X975" s="142"/>
      <c r="Y975" s="142"/>
      <c r="Z975" s="142"/>
      <c r="AA975" s="131"/>
      <c r="AB975" s="142"/>
      <c r="AC975" s="142"/>
      <c r="AD975" s="142"/>
      <c r="AE975" s="142"/>
      <c r="AF975" s="142"/>
      <c r="AG975" s="142"/>
      <c r="AH975" s="142"/>
      <c r="AI975" s="142"/>
      <c r="AJ975" s="142"/>
      <c r="AK975" s="142"/>
      <c r="AL975" s="142"/>
      <c r="AM975" s="142"/>
      <c r="AN975" s="142"/>
      <c r="AO975" s="142"/>
      <c r="AP975" s="142"/>
    </row>
    <row r="976" ht="13.5" customHeight="1">
      <c r="A976" s="142"/>
      <c r="B976" s="142"/>
      <c r="C976" s="142"/>
      <c r="D976" s="142"/>
      <c r="E976" s="132"/>
      <c r="F976" s="131"/>
      <c r="G976" s="131"/>
      <c r="H976" s="131"/>
      <c r="I976" s="131"/>
      <c r="J976" s="131"/>
      <c r="K976" s="131"/>
      <c r="L976" s="131"/>
      <c r="M976" s="131"/>
      <c r="N976" s="131"/>
      <c r="O976" s="142"/>
      <c r="P976" s="142"/>
      <c r="Q976" s="142"/>
      <c r="R976" s="142"/>
      <c r="S976" s="142"/>
      <c r="T976" s="142"/>
      <c r="U976" s="142"/>
      <c r="V976" s="142"/>
      <c r="W976" s="142"/>
      <c r="X976" s="142"/>
      <c r="Y976" s="142"/>
      <c r="Z976" s="142"/>
      <c r="AA976" s="131"/>
      <c r="AB976" s="142"/>
      <c r="AC976" s="142"/>
      <c r="AD976" s="142"/>
      <c r="AE976" s="142"/>
      <c r="AF976" s="142"/>
      <c r="AG976" s="142"/>
      <c r="AH976" s="142"/>
      <c r="AI976" s="142"/>
      <c r="AJ976" s="142"/>
      <c r="AK976" s="142"/>
      <c r="AL976" s="142"/>
      <c r="AM976" s="142"/>
      <c r="AN976" s="142"/>
      <c r="AO976" s="142"/>
      <c r="AP976" s="142"/>
    </row>
    <row r="977" ht="13.5" customHeight="1">
      <c r="A977" s="142"/>
      <c r="B977" s="142"/>
      <c r="C977" s="142"/>
      <c r="D977" s="142"/>
      <c r="E977" s="132"/>
      <c r="F977" s="131"/>
      <c r="G977" s="131"/>
      <c r="H977" s="131"/>
      <c r="I977" s="131"/>
      <c r="J977" s="131"/>
      <c r="K977" s="131"/>
      <c r="L977" s="131"/>
      <c r="M977" s="131"/>
      <c r="N977" s="131"/>
      <c r="O977" s="142"/>
      <c r="P977" s="142"/>
      <c r="Q977" s="142"/>
      <c r="R977" s="142"/>
      <c r="S977" s="142"/>
      <c r="T977" s="142"/>
      <c r="U977" s="142"/>
      <c r="V977" s="142"/>
      <c r="W977" s="142"/>
      <c r="X977" s="142"/>
      <c r="Y977" s="142"/>
      <c r="Z977" s="142"/>
      <c r="AA977" s="131"/>
      <c r="AB977" s="142"/>
      <c r="AC977" s="142"/>
      <c r="AD977" s="142"/>
      <c r="AE977" s="142"/>
      <c r="AF977" s="142"/>
      <c r="AG977" s="142"/>
      <c r="AH977" s="142"/>
      <c r="AI977" s="142"/>
      <c r="AJ977" s="142"/>
      <c r="AK977" s="142"/>
      <c r="AL977" s="142"/>
      <c r="AM977" s="142"/>
      <c r="AN977" s="142"/>
      <c r="AO977" s="142"/>
      <c r="AP977" s="142"/>
    </row>
    <row r="978" ht="13.5" customHeight="1">
      <c r="A978" s="142"/>
      <c r="B978" s="142"/>
      <c r="C978" s="142"/>
      <c r="D978" s="142"/>
      <c r="E978" s="132"/>
      <c r="F978" s="131"/>
      <c r="G978" s="131"/>
      <c r="H978" s="131"/>
      <c r="I978" s="131"/>
      <c r="J978" s="131"/>
      <c r="K978" s="131"/>
      <c r="L978" s="131"/>
      <c r="M978" s="131"/>
      <c r="N978" s="131"/>
      <c r="O978" s="142"/>
      <c r="P978" s="142"/>
      <c r="Q978" s="142"/>
      <c r="R978" s="142"/>
      <c r="S978" s="142"/>
      <c r="T978" s="142"/>
      <c r="U978" s="142"/>
      <c r="V978" s="142"/>
      <c r="W978" s="142"/>
      <c r="X978" s="142"/>
      <c r="Y978" s="142"/>
      <c r="Z978" s="142"/>
      <c r="AA978" s="131"/>
      <c r="AB978" s="142"/>
      <c r="AC978" s="142"/>
      <c r="AD978" s="142"/>
      <c r="AE978" s="142"/>
      <c r="AF978" s="142"/>
      <c r="AG978" s="142"/>
      <c r="AH978" s="142"/>
      <c r="AI978" s="142"/>
      <c r="AJ978" s="142"/>
      <c r="AK978" s="142"/>
      <c r="AL978" s="142"/>
      <c r="AM978" s="142"/>
      <c r="AN978" s="142"/>
      <c r="AO978" s="142"/>
      <c r="AP978" s="142"/>
    </row>
    <row r="979" ht="13.5" customHeight="1">
      <c r="A979" s="142"/>
      <c r="B979" s="142"/>
      <c r="C979" s="142"/>
      <c r="D979" s="142"/>
      <c r="E979" s="132"/>
      <c r="F979" s="131"/>
      <c r="G979" s="131"/>
      <c r="H979" s="131"/>
      <c r="I979" s="131"/>
      <c r="J979" s="131"/>
      <c r="K979" s="131"/>
      <c r="L979" s="131"/>
      <c r="M979" s="131"/>
      <c r="N979" s="131"/>
      <c r="O979" s="142"/>
      <c r="P979" s="142"/>
      <c r="Q979" s="142"/>
      <c r="R979" s="142"/>
      <c r="S979" s="142"/>
      <c r="T979" s="142"/>
      <c r="U979" s="142"/>
      <c r="V979" s="142"/>
      <c r="W979" s="142"/>
      <c r="X979" s="142"/>
      <c r="Y979" s="142"/>
      <c r="Z979" s="142"/>
      <c r="AA979" s="131"/>
      <c r="AB979" s="142"/>
      <c r="AC979" s="142"/>
      <c r="AD979" s="142"/>
      <c r="AE979" s="142"/>
      <c r="AF979" s="142"/>
      <c r="AG979" s="142"/>
      <c r="AH979" s="142"/>
      <c r="AI979" s="142"/>
      <c r="AJ979" s="142"/>
      <c r="AK979" s="142"/>
      <c r="AL979" s="142"/>
      <c r="AM979" s="142"/>
      <c r="AN979" s="142"/>
      <c r="AO979" s="142"/>
      <c r="AP979" s="142"/>
    </row>
    <row r="980" ht="13.5" customHeight="1">
      <c r="A980" s="142"/>
      <c r="B980" s="142"/>
      <c r="C980" s="142"/>
      <c r="D980" s="142"/>
      <c r="E980" s="132"/>
      <c r="F980" s="131"/>
      <c r="G980" s="131"/>
      <c r="H980" s="131"/>
      <c r="I980" s="131"/>
      <c r="J980" s="131"/>
      <c r="K980" s="131"/>
      <c r="L980" s="131"/>
      <c r="M980" s="131"/>
      <c r="N980" s="131"/>
      <c r="O980" s="142"/>
      <c r="P980" s="142"/>
      <c r="Q980" s="142"/>
      <c r="R980" s="142"/>
      <c r="S980" s="142"/>
      <c r="T980" s="142"/>
      <c r="U980" s="142"/>
      <c r="V980" s="142"/>
      <c r="W980" s="142"/>
      <c r="X980" s="142"/>
      <c r="Y980" s="142"/>
      <c r="Z980" s="142"/>
      <c r="AA980" s="131"/>
      <c r="AB980" s="142"/>
      <c r="AC980" s="142"/>
      <c r="AD980" s="142"/>
      <c r="AE980" s="142"/>
      <c r="AF980" s="142"/>
      <c r="AG980" s="142"/>
      <c r="AH980" s="142"/>
      <c r="AI980" s="142"/>
      <c r="AJ980" s="142"/>
      <c r="AK980" s="142"/>
      <c r="AL980" s="142"/>
      <c r="AM980" s="142"/>
      <c r="AN980" s="142"/>
      <c r="AO980" s="142"/>
      <c r="AP980" s="142"/>
    </row>
    <row r="981" ht="13.5" customHeight="1">
      <c r="A981" s="142"/>
      <c r="B981" s="142"/>
      <c r="C981" s="142"/>
      <c r="D981" s="142"/>
      <c r="E981" s="132"/>
      <c r="F981" s="131"/>
      <c r="G981" s="131"/>
      <c r="H981" s="131"/>
      <c r="I981" s="131"/>
      <c r="J981" s="131"/>
      <c r="K981" s="131"/>
      <c r="L981" s="131"/>
      <c r="M981" s="131"/>
      <c r="N981" s="131"/>
      <c r="O981" s="142"/>
      <c r="P981" s="142"/>
      <c r="Q981" s="142"/>
      <c r="R981" s="142"/>
      <c r="S981" s="142"/>
      <c r="T981" s="142"/>
      <c r="U981" s="142"/>
      <c r="V981" s="142"/>
      <c r="W981" s="142"/>
      <c r="X981" s="142"/>
      <c r="Y981" s="142"/>
      <c r="Z981" s="142"/>
      <c r="AA981" s="131"/>
      <c r="AB981" s="142"/>
      <c r="AC981" s="142"/>
      <c r="AD981" s="142"/>
      <c r="AE981" s="142"/>
      <c r="AF981" s="142"/>
      <c r="AG981" s="142"/>
      <c r="AH981" s="142"/>
      <c r="AI981" s="142"/>
      <c r="AJ981" s="142"/>
      <c r="AK981" s="142"/>
      <c r="AL981" s="142"/>
      <c r="AM981" s="142"/>
      <c r="AN981" s="142"/>
      <c r="AO981" s="142"/>
      <c r="AP981" s="142"/>
    </row>
    <row r="982" ht="13.5" customHeight="1">
      <c r="A982" s="142"/>
      <c r="B982" s="142"/>
      <c r="C982" s="142"/>
      <c r="D982" s="142"/>
      <c r="E982" s="132"/>
      <c r="F982" s="131"/>
      <c r="G982" s="131"/>
      <c r="H982" s="131"/>
      <c r="I982" s="131"/>
      <c r="J982" s="131"/>
      <c r="K982" s="131"/>
      <c r="L982" s="131"/>
      <c r="M982" s="131"/>
      <c r="N982" s="131"/>
      <c r="O982" s="142"/>
      <c r="P982" s="142"/>
      <c r="Q982" s="142"/>
      <c r="R982" s="142"/>
      <c r="S982" s="142"/>
      <c r="T982" s="142"/>
      <c r="U982" s="142"/>
      <c r="V982" s="142"/>
      <c r="W982" s="142"/>
      <c r="X982" s="142"/>
      <c r="Y982" s="142"/>
      <c r="Z982" s="142"/>
      <c r="AA982" s="131"/>
      <c r="AB982" s="142"/>
      <c r="AC982" s="142"/>
      <c r="AD982" s="142"/>
      <c r="AE982" s="142"/>
      <c r="AF982" s="142"/>
      <c r="AG982" s="142"/>
      <c r="AH982" s="142"/>
      <c r="AI982" s="142"/>
      <c r="AJ982" s="142"/>
      <c r="AK982" s="142"/>
      <c r="AL982" s="142"/>
      <c r="AM982" s="142"/>
      <c r="AN982" s="142"/>
      <c r="AO982" s="142"/>
      <c r="AP982" s="142"/>
    </row>
    <row r="983" ht="13.5" customHeight="1">
      <c r="A983" s="142"/>
      <c r="B983" s="142"/>
      <c r="C983" s="142"/>
      <c r="D983" s="142"/>
      <c r="E983" s="132"/>
      <c r="F983" s="131"/>
      <c r="G983" s="131"/>
      <c r="H983" s="131"/>
      <c r="I983" s="131"/>
      <c r="J983" s="131"/>
      <c r="K983" s="131"/>
      <c r="L983" s="131"/>
      <c r="M983" s="131"/>
      <c r="N983" s="131"/>
      <c r="O983" s="142"/>
      <c r="P983" s="142"/>
      <c r="Q983" s="142"/>
      <c r="R983" s="142"/>
      <c r="S983" s="142"/>
      <c r="T983" s="142"/>
      <c r="U983" s="142"/>
      <c r="V983" s="142"/>
      <c r="W983" s="142"/>
      <c r="X983" s="142"/>
      <c r="Y983" s="142"/>
      <c r="Z983" s="142"/>
      <c r="AA983" s="131"/>
      <c r="AB983" s="142"/>
      <c r="AC983" s="142"/>
      <c r="AD983" s="142"/>
      <c r="AE983" s="142"/>
      <c r="AF983" s="142"/>
      <c r="AG983" s="142"/>
      <c r="AH983" s="142"/>
      <c r="AI983" s="142"/>
      <c r="AJ983" s="142"/>
      <c r="AK983" s="142"/>
      <c r="AL983" s="142"/>
      <c r="AM983" s="142"/>
      <c r="AN983" s="142"/>
      <c r="AO983" s="142"/>
      <c r="AP983" s="142"/>
    </row>
    <row r="984" ht="13.5" customHeight="1">
      <c r="A984" s="142"/>
      <c r="B984" s="142"/>
      <c r="C984" s="142"/>
      <c r="D984" s="142"/>
      <c r="E984" s="132"/>
      <c r="F984" s="131"/>
      <c r="G984" s="131"/>
      <c r="H984" s="131"/>
      <c r="I984" s="131"/>
      <c r="J984" s="131"/>
      <c r="K984" s="131"/>
      <c r="L984" s="131"/>
      <c r="M984" s="131"/>
      <c r="N984" s="131"/>
      <c r="O984" s="142"/>
      <c r="P984" s="142"/>
      <c r="Q984" s="142"/>
      <c r="R984" s="142"/>
      <c r="S984" s="142"/>
      <c r="T984" s="142"/>
      <c r="U984" s="142"/>
      <c r="V984" s="142"/>
      <c r="W984" s="142"/>
      <c r="X984" s="142"/>
      <c r="Y984" s="142"/>
      <c r="Z984" s="142"/>
      <c r="AA984" s="131"/>
      <c r="AB984" s="142"/>
      <c r="AC984" s="142"/>
      <c r="AD984" s="142"/>
      <c r="AE984" s="142"/>
      <c r="AF984" s="142"/>
      <c r="AG984" s="142"/>
      <c r="AH984" s="142"/>
      <c r="AI984" s="142"/>
      <c r="AJ984" s="142"/>
      <c r="AK984" s="142"/>
      <c r="AL984" s="142"/>
      <c r="AM984" s="142"/>
      <c r="AN984" s="142"/>
      <c r="AO984" s="142"/>
      <c r="AP984" s="142"/>
    </row>
    <row r="985" ht="13.5" customHeight="1">
      <c r="A985" s="142"/>
      <c r="B985" s="142"/>
      <c r="C985" s="142"/>
      <c r="D985" s="142"/>
      <c r="E985" s="132"/>
      <c r="F985" s="131"/>
      <c r="G985" s="131"/>
      <c r="H985" s="131"/>
      <c r="I985" s="131"/>
      <c r="J985" s="131"/>
      <c r="K985" s="131"/>
      <c r="L985" s="131"/>
      <c r="M985" s="131"/>
      <c r="N985" s="131"/>
      <c r="O985" s="142"/>
      <c r="P985" s="142"/>
      <c r="Q985" s="142"/>
      <c r="R985" s="142"/>
      <c r="S985" s="142"/>
      <c r="T985" s="142"/>
      <c r="U985" s="142"/>
      <c r="V985" s="142"/>
      <c r="W985" s="142"/>
      <c r="X985" s="142"/>
      <c r="Y985" s="142"/>
      <c r="Z985" s="142"/>
      <c r="AA985" s="131"/>
      <c r="AB985" s="142"/>
      <c r="AC985" s="142"/>
      <c r="AD985" s="142"/>
      <c r="AE985" s="142"/>
      <c r="AF985" s="142"/>
      <c r="AG985" s="142"/>
      <c r="AH985" s="142"/>
      <c r="AI985" s="142"/>
      <c r="AJ985" s="142"/>
      <c r="AK985" s="142"/>
      <c r="AL985" s="142"/>
      <c r="AM985" s="142"/>
      <c r="AN985" s="142"/>
      <c r="AO985" s="142"/>
      <c r="AP985" s="142"/>
    </row>
    <row r="986" ht="13.5" customHeight="1">
      <c r="A986" s="142"/>
      <c r="B986" s="142"/>
      <c r="C986" s="142"/>
      <c r="D986" s="142"/>
      <c r="E986" s="132"/>
      <c r="F986" s="131"/>
      <c r="G986" s="131"/>
      <c r="H986" s="131"/>
      <c r="I986" s="131"/>
      <c r="J986" s="131"/>
      <c r="K986" s="131"/>
      <c r="L986" s="131"/>
      <c r="M986" s="131"/>
      <c r="N986" s="131"/>
      <c r="O986" s="142"/>
      <c r="P986" s="142"/>
      <c r="Q986" s="142"/>
      <c r="R986" s="142"/>
      <c r="S986" s="142"/>
      <c r="T986" s="142"/>
      <c r="U986" s="142"/>
      <c r="V986" s="142"/>
      <c r="W986" s="142"/>
      <c r="X986" s="142"/>
      <c r="Y986" s="142"/>
      <c r="Z986" s="142"/>
      <c r="AA986" s="131"/>
      <c r="AB986" s="142"/>
      <c r="AC986" s="142"/>
      <c r="AD986" s="142"/>
      <c r="AE986" s="142"/>
      <c r="AF986" s="142"/>
      <c r="AG986" s="142"/>
      <c r="AH986" s="142"/>
      <c r="AI986" s="142"/>
      <c r="AJ986" s="142"/>
      <c r="AK986" s="142"/>
      <c r="AL986" s="142"/>
      <c r="AM986" s="142"/>
      <c r="AN986" s="142"/>
      <c r="AO986" s="142"/>
      <c r="AP986" s="142"/>
    </row>
    <row r="987" ht="13.5" customHeight="1">
      <c r="A987" s="142"/>
      <c r="B987" s="142"/>
      <c r="C987" s="142"/>
      <c r="D987" s="142"/>
      <c r="E987" s="132"/>
      <c r="F987" s="131"/>
      <c r="G987" s="131"/>
      <c r="H987" s="131"/>
      <c r="I987" s="131"/>
      <c r="J987" s="131"/>
      <c r="K987" s="131"/>
      <c r="L987" s="131"/>
      <c r="M987" s="131"/>
      <c r="N987" s="131"/>
      <c r="O987" s="142"/>
      <c r="P987" s="142"/>
      <c r="Q987" s="142"/>
      <c r="R987" s="142"/>
      <c r="S987" s="142"/>
      <c r="T987" s="142"/>
      <c r="U987" s="142"/>
      <c r="V987" s="142"/>
      <c r="W987" s="142"/>
      <c r="X987" s="142"/>
      <c r="Y987" s="142"/>
      <c r="Z987" s="142"/>
      <c r="AA987" s="131"/>
      <c r="AB987" s="142"/>
      <c r="AC987" s="142"/>
      <c r="AD987" s="142"/>
      <c r="AE987" s="142"/>
      <c r="AF987" s="142"/>
      <c r="AG987" s="142"/>
      <c r="AH987" s="142"/>
      <c r="AI987" s="142"/>
      <c r="AJ987" s="142"/>
      <c r="AK987" s="142"/>
      <c r="AL987" s="142"/>
      <c r="AM987" s="142"/>
      <c r="AN987" s="142"/>
      <c r="AO987" s="142"/>
      <c r="AP987" s="142"/>
    </row>
    <row r="988" ht="13.5" customHeight="1">
      <c r="A988" s="142"/>
      <c r="B988" s="142"/>
      <c r="C988" s="142"/>
      <c r="D988" s="142"/>
      <c r="E988" s="132"/>
      <c r="F988" s="131"/>
      <c r="G988" s="131"/>
      <c r="H988" s="131"/>
      <c r="I988" s="131"/>
      <c r="J988" s="131"/>
      <c r="K988" s="131"/>
      <c r="L988" s="131"/>
      <c r="M988" s="131"/>
      <c r="N988" s="131"/>
      <c r="O988" s="142"/>
      <c r="P988" s="142"/>
      <c r="Q988" s="142"/>
      <c r="R988" s="142"/>
      <c r="S988" s="142"/>
      <c r="T988" s="142"/>
      <c r="U988" s="142"/>
      <c r="V988" s="142"/>
      <c r="W988" s="142"/>
      <c r="X988" s="142"/>
      <c r="Y988" s="142"/>
      <c r="Z988" s="142"/>
      <c r="AA988" s="131"/>
      <c r="AB988" s="142"/>
      <c r="AC988" s="142"/>
      <c r="AD988" s="142"/>
      <c r="AE988" s="142"/>
      <c r="AF988" s="142"/>
      <c r="AG988" s="142"/>
      <c r="AH988" s="142"/>
      <c r="AI988" s="142"/>
      <c r="AJ988" s="142"/>
      <c r="AK988" s="142"/>
      <c r="AL988" s="142"/>
      <c r="AM988" s="142"/>
      <c r="AN988" s="142"/>
      <c r="AO988" s="142"/>
      <c r="AP988" s="142"/>
    </row>
    <row r="989" ht="13.5" customHeight="1">
      <c r="A989" s="142"/>
      <c r="B989" s="142"/>
      <c r="C989" s="142"/>
      <c r="D989" s="142"/>
      <c r="E989" s="132"/>
      <c r="F989" s="131"/>
      <c r="G989" s="131"/>
      <c r="H989" s="131"/>
      <c r="I989" s="131"/>
      <c r="J989" s="131"/>
      <c r="K989" s="131"/>
      <c r="L989" s="131"/>
      <c r="M989" s="131"/>
      <c r="N989" s="131"/>
      <c r="O989" s="142"/>
      <c r="P989" s="142"/>
      <c r="Q989" s="142"/>
      <c r="R989" s="142"/>
      <c r="S989" s="142"/>
      <c r="T989" s="142"/>
      <c r="U989" s="142"/>
      <c r="V989" s="142"/>
      <c r="W989" s="142"/>
      <c r="X989" s="142"/>
      <c r="Y989" s="142"/>
      <c r="Z989" s="142"/>
      <c r="AA989" s="131"/>
      <c r="AB989" s="142"/>
      <c r="AC989" s="142"/>
      <c r="AD989" s="142"/>
      <c r="AE989" s="142"/>
      <c r="AF989" s="142"/>
      <c r="AG989" s="142"/>
      <c r="AH989" s="142"/>
      <c r="AI989" s="142"/>
      <c r="AJ989" s="142"/>
      <c r="AK989" s="142"/>
      <c r="AL989" s="142"/>
      <c r="AM989" s="142"/>
      <c r="AN989" s="142"/>
      <c r="AO989" s="142"/>
      <c r="AP989" s="142"/>
    </row>
    <row r="990" ht="13.5" customHeight="1">
      <c r="A990" s="142"/>
      <c r="B990" s="142"/>
      <c r="C990" s="142"/>
      <c r="D990" s="142"/>
      <c r="E990" s="132"/>
      <c r="F990" s="131"/>
      <c r="G990" s="131"/>
      <c r="H990" s="131"/>
      <c r="I990" s="131"/>
      <c r="J990" s="131"/>
      <c r="K990" s="131"/>
      <c r="L990" s="131"/>
      <c r="M990" s="131"/>
      <c r="N990" s="131"/>
      <c r="O990" s="142"/>
      <c r="P990" s="142"/>
      <c r="Q990" s="142"/>
      <c r="R990" s="142"/>
      <c r="S990" s="142"/>
      <c r="T990" s="142"/>
      <c r="U990" s="142"/>
      <c r="V990" s="142"/>
      <c r="W990" s="142"/>
      <c r="X990" s="142"/>
      <c r="Y990" s="142"/>
      <c r="Z990" s="142"/>
      <c r="AA990" s="131"/>
      <c r="AB990" s="142"/>
      <c r="AC990" s="142"/>
      <c r="AD990" s="142"/>
      <c r="AE990" s="142"/>
      <c r="AF990" s="142"/>
      <c r="AG990" s="142"/>
      <c r="AH990" s="142"/>
      <c r="AI990" s="142"/>
      <c r="AJ990" s="142"/>
      <c r="AK990" s="142"/>
      <c r="AL990" s="142"/>
      <c r="AM990" s="142"/>
      <c r="AN990" s="142"/>
      <c r="AO990" s="142"/>
      <c r="AP990" s="142"/>
    </row>
    <row r="991" ht="13.5" customHeight="1">
      <c r="A991" s="142"/>
      <c r="B991" s="142"/>
      <c r="C991" s="142"/>
      <c r="D991" s="142"/>
      <c r="E991" s="132"/>
      <c r="F991" s="131"/>
      <c r="G991" s="131"/>
      <c r="H991" s="131"/>
      <c r="I991" s="131"/>
      <c r="J991" s="131"/>
      <c r="K991" s="131"/>
      <c r="L991" s="131"/>
      <c r="M991" s="131"/>
      <c r="N991" s="131"/>
      <c r="O991" s="142"/>
      <c r="P991" s="142"/>
      <c r="Q991" s="142"/>
      <c r="R991" s="142"/>
      <c r="S991" s="142"/>
      <c r="T991" s="142"/>
      <c r="U991" s="142"/>
      <c r="V991" s="142"/>
      <c r="W991" s="142"/>
      <c r="X991" s="142"/>
      <c r="Y991" s="142"/>
      <c r="Z991" s="142"/>
      <c r="AA991" s="131"/>
      <c r="AB991" s="142"/>
      <c r="AC991" s="142"/>
      <c r="AD991" s="142"/>
      <c r="AE991" s="142"/>
      <c r="AF991" s="142"/>
      <c r="AG991" s="142"/>
      <c r="AH991" s="142"/>
      <c r="AI991" s="142"/>
      <c r="AJ991" s="142"/>
      <c r="AK991" s="142"/>
      <c r="AL991" s="142"/>
      <c r="AM991" s="142"/>
      <c r="AN991" s="142"/>
      <c r="AO991" s="142"/>
      <c r="AP991" s="142"/>
    </row>
    <row r="992" ht="13.5" customHeight="1">
      <c r="A992" s="142"/>
      <c r="B992" s="142"/>
      <c r="C992" s="142"/>
      <c r="D992" s="142"/>
      <c r="E992" s="132"/>
      <c r="F992" s="131"/>
      <c r="G992" s="131"/>
      <c r="H992" s="131"/>
      <c r="I992" s="131"/>
      <c r="J992" s="131"/>
      <c r="K992" s="131"/>
      <c r="L992" s="131"/>
      <c r="M992" s="131"/>
      <c r="N992" s="131"/>
      <c r="O992" s="142"/>
      <c r="P992" s="142"/>
      <c r="Q992" s="142"/>
      <c r="R992" s="142"/>
      <c r="S992" s="142"/>
      <c r="T992" s="142"/>
      <c r="U992" s="142"/>
      <c r="V992" s="142"/>
      <c r="W992" s="142"/>
      <c r="X992" s="142"/>
      <c r="Y992" s="142"/>
      <c r="Z992" s="142"/>
      <c r="AA992" s="131"/>
      <c r="AB992" s="142"/>
      <c r="AC992" s="142"/>
      <c r="AD992" s="142"/>
      <c r="AE992" s="142"/>
      <c r="AF992" s="142"/>
      <c r="AG992" s="142"/>
      <c r="AH992" s="142"/>
      <c r="AI992" s="142"/>
      <c r="AJ992" s="142"/>
      <c r="AK992" s="142"/>
      <c r="AL992" s="142"/>
      <c r="AM992" s="142"/>
      <c r="AN992" s="142"/>
      <c r="AO992" s="142"/>
      <c r="AP992" s="142"/>
    </row>
    <row r="993" ht="13.5" customHeight="1">
      <c r="A993" s="142"/>
      <c r="B993" s="142"/>
      <c r="C993" s="142"/>
      <c r="D993" s="142"/>
      <c r="E993" s="132"/>
      <c r="F993" s="131"/>
      <c r="G993" s="131"/>
      <c r="H993" s="131"/>
      <c r="I993" s="131"/>
      <c r="J993" s="131"/>
      <c r="K993" s="131"/>
      <c r="L993" s="131"/>
      <c r="M993" s="131"/>
      <c r="N993" s="131"/>
      <c r="O993" s="142"/>
      <c r="P993" s="142"/>
      <c r="Q993" s="142"/>
      <c r="R993" s="142"/>
      <c r="S993" s="142"/>
      <c r="T993" s="142"/>
      <c r="U993" s="142"/>
      <c r="V993" s="142"/>
      <c r="W993" s="142"/>
      <c r="X993" s="142"/>
      <c r="Y993" s="142"/>
      <c r="Z993" s="142"/>
      <c r="AA993" s="131"/>
      <c r="AB993" s="142"/>
      <c r="AC993" s="142"/>
      <c r="AD993" s="142"/>
      <c r="AE993" s="142"/>
      <c r="AF993" s="142"/>
      <c r="AG993" s="142"/>
      <c r="AH993" s="142"/>
      <c r="AI993" s="142"/>
      <c r="AJ993" s="142"/>
      <c r="AK993" s="142"/>
      <c r="AL993" s="142"/>
      <c r="AM993" s="142"/>
      <c r="AN993" s="142"/>
      <c r="AO993" s="142"/>
      <c r="AP993" s="142"/>
    </row>
    <row r="994" ht="13.5" customHeight="1">
      <c r="A994" s="142"/>
      <c r="B994" s="142"/>
      <c r="C994" s="142"/>
      <c r="D994" s="142"/>
      <c r="E994" s="132"/>
      <c r="F994" s="131"/>
      <c r="G994" s="131"/>
      <c r="H994" s="131"/>
      <c r="I994" s="131"/>
      <c r="J994" s="131"/>
      <c r="K994" s="131"/>
      <c r="L994" s="131"/>
      <c r="M994" s="131"/>
      <c r="N994" s="131"/>
      <c r="O994" s="142"/>
      <c r="P994" s="142"/>
      <c r="Q994" s="142"/>
      <c r="R994" s="142"/>
      <c r="S994" s="142"/>
      <c r="T994" s="142"/>
      <c r="U994" s="142"/>
      <c r="V994" s="142"/>
      <c r="W994" s="142"/>
      <c r="X994" s="142"/>
      <c r="Y994" s="142"/>
      <c r="Z994" s="142"/>
      <c r="AA994" s="131"/>
      <c r="AB994" s="142"/>
      <c r="AC994" s="142"/>
      <c r="AD994" s="142"/>
      <c r="AE994" s="142"/>
      <c r="AF994" s="142"/>
      <c r="AG994" s="142"/>
      <c r="AH994" s="142"/>
      <c r="AI994" s="142"/>
      <c r="AJ994" s="142"/>
      <c r="AK994" s="142"/>
      <c r="AL994" s="142"/>
      <c r="AM994" s="142"/>
      <c r="AN994" s="142"/>
      <c r="AO994" s="142"/>
      <c r="AP994" s="142"/>
    </row>
    <row r="995" ht="13.5" customHeight="1">
      <c r="A995" s="142"/>
      <c r="B995" s="142"/>
      <c r="C995" s="142"/>
      <c r="D995" s="142"/>
      <c r="E995" s="132"/>
      <c r="F995" s="131"/>
      <c r="G995" s="131"/>
      <c r="H995" s="131"/>
      <c r="I995" s="131"/>
      <c r="J995" s="131"/>
      <c r="K995" s="131"/>
      <c r="L995" s="131"/>
      <c r="M995" s="131"/>
      <c r="N995" s="131"/>
      <c r="O995" s="142"/>
      <c r="P995" s="142"/>
      <c r="Q995" s="142"/>
      <c r="R995" s="142"/>
      <c r="S995" s="142"/>
      <c r="T995" s="142"/>
      <c r="U995" s="142"/>
      <c r="V995" s="142"/>
      <c r="W995" s="142"/>
      <c r="X995" s="142"/>
      <c r="Y995" s="142"/>
      <c r="Z995" s="142"/>
      <c r="AA995" s="131"/>
      <c r="AB995" s="142"/>
      <c r="AC995" s="142"/>
      <c r="AD995" s="142"/>
      <c r="AE995" s="142"/>
      <c r="AF995" s="142"/>
      <c r="AG995" s="142"/>
      <c r="AH995" s="142"/>
      <c r="AI995" s="142"/>
      <c r="AJ995" s="142"/>
      <c r="AK995" s="142"/>
      <c r="AL995" s="142"/>
      <c r="AM995" s="142"/>
      <c r="AN995" s="142"/>
      <c r="AO995" s="142"/>
      <c r="AP995" s="142"/>
    </row>
    <row r="996" ht="13.5" customHeight="1">
      <c r="A996" s="142"/>
      <c r="B996" s="142"/>
      <c r="C996" s="142"/>
      <c r="D996" s="142"/>
      <c r="E996" s="132"/>
      <c r="F996" s="131"/>
      <c r="G996" s="131"/>
      <c r="H996" s="131"/>
      <c r="I996" s="131"/>
      <c r="J996" s="131"/>
      <c r="K996" s="131"/>
      <c r="L996" s="131"/>
      <c r="M996" s="131"/>
      <c r="N996" s="131"/>
      <c r="O996" s="142"/>
      <c r="P996" s="142"/>
      <c r="Q996" s="142"/>
      <c r="R996" s="142"/>
      <c r="S996" s="142"/>
      <c r="T996" s="142"/>
      <c r="U996" s="142"/>
      <c r="V996" s="142"/>
      <c r="W996" s="142"/>
      <c r="X996" s="142"/>
      <c r="Y996" s="142"/>
      <c r="Z996" s="142"/>
      <c r="AA996" s="131"/>
      <c r="AB996" s="142"/>
      <c r="AC996" s="142"/>
      <c r="AD996" s="142"/>
      <c r="AE996" s="142"/>
      <c r="AF996" s="142"/>
      <c r="AG996" s="142"/>
      <c r="AH996" s="142"/>
      <c r="AI996" s="142"/>
      <c r="AJ996" s="142"/>
      <c r="AK996" s="142"/>
      <c r="AL996" s="142"/>
      <c r="AM996" s="142"/>
      <c r="AN996" s="142"/>
      <c r="AO996" s="142"/>
      <c r="AP996" s="142"/>
    </row>
    <row r="997" ht="13.5" customHeight="1">
      <c r="A997" s="142"/>
      <c r="B997" s="142"/>
      <c r="C997" s="142"/>
      <c r="D997" s="142"/>
      <c r="E997" s="132"/>
      <c r="F997" s="131"/>
      <c r="G997" s="131"/>
      <c r="H997" s="131"/>
      <c r="I997" s="131"/>
      <c r="J997" s="131"/>
      <c r="K997" s="131"/>
      <c r="L997" s="131"/>
      <c r="M997" s="131"/>
      <c r="N997" s="131"/>
      <c r="O997" s="142"/>
      <c r="P997" s="142"/>
      <c r="Q997" s="142"/>
      <c r="R997" s="142"/>
      <c r="S997" s="142"/>
      <c r="T997" s="142"/>
      <c r="U997" s="142"/>
      <c r="V997" s="142"/>
      <c r="W997" s="142"/>
      <c r="X997" s="142"/>
      <c r="Y997" s="142"/>
      <c r="Z997" s="142"/>
      <c r="AA997" s="131"/>
      <c r="AB997" s="142"/>
      <c r="AC997" s="142"/>
      <c r="AD997" s="142"/>
      <c r="AE997" s="142"/>
      <c r="AF997" s="142"/>
      <c r="AG997" s="142"/>
      <c r="AH997" s="142"/>
      <c r="AI997" s="142"/>
      <c r="AJ997" s="142"/>
      <c r="AK997" s="142"/>
      <c r="AL997" s="142"/>
      <c r="AM997" s="142"/>
      <c r="AN997" s="142"/>
      <c r="AO997" s="142"/>
      <c r="AP997" s="142"/>
    </row>
    <row r="998" ht="13.5" customHeight="1">
      <c r="A998" s="142"/>
      <c r="B998" s="142"/>
      <c r="C998" s="142"/>
      <c r="D998" s="142"/>
      <c r="E998" s="132"/>
      <c r="F998" s="131"/>
      <c r="G998" s="131"/>
      <c r="H998" s="131"/>
      <c r="I998" s="131"/>
      <c r="J998" s="131"/>
      <c r="K998" s="131"/>
      <c r="L998" s="131"/>
      <c r="M998" s="131"/>
      <c r="N998" s="131"/>
      <c r="O998" s="142"/>
      <c r="P998" s="142"/>
      <c r="Q998" s="142"/>
      <c r="R998" s="142"/>
      <c r="S998" s="142"/>
      <c r="T998" s="142"/>
      <c r="U998" s="142"/>
      <c r="V998" s="142"/>
      <c r="W998" s="142"/>
      <c r="X998" s="142"/>
      <c r="Y998" s="142"/>
      <c r="Z998" s="142"/>
      <c r="AA998" s="131"/>
      <c r="AB998" s="142"/>
      <c r="AC998" s="142"/>
      <c r="AD998" s="142"/>
      <c r="AE998" s="142"/>
      <c r="AF998" s="142"/>
      <c r="AG998" s="142"/>
      <c r="AH998" s="142"/>
      <c r="AI998" s="142"/>
      <c r="AJ998" s="142"/>
      <c r="AK998" s="142"/>
      <c r="AL998" s="142"/>
      <c r="AM998" s="142"/>
      <c r="AN998" s="142"/>
      <c r="AO998" s="142"/>
      <c r="AP998" s="142"/>
    </row>
    <row r="999" ht="13.5" customHeight="1">
      <c r="A999" s="142"/>
      <c r="B999" s="142"/>
      <c r="C999" s="142"/>
      <c r="D999" s="142"/>
      <c r="E999" s="132"/>
      <c r="F999" s="131"/>
      <c r="G999" s="131"/>
      <c r="H999" s="131"/>
      <c r="I999" s="131"/>
      <c r="J999" s="131"/>
      <c r="K999" s="131"/>
      <c r="L999" s="131"/>
      <c r="M999" s="131"/>
      <c r="N999" s="131"/>
      <c r="O999" s="142"/>
      <c r="P999" s="142"/>
      <c r="Q999" s="142"/>
      <c r="R999" s="142"/>
      <c r="S999" s="142"/>
      <c r="T999" s="142"/>
      <c r="U999" s="142"/>
      <c r="V999" s="142"/>
      <c r="W999" s="142"/>
      <c r="X999" s="142"/>
      <c r="Y999" s="142"/>
      <c r="Z999" s="142"/>
      <c r="AA999" s="131"/>
      <c r="AB999" s="142"/>
      <c r="AC999" s="142"/>
      <c r="AD999" s="142"/>
      <c r="AE999" s="142"/>
      <c r="AF999" s="142"/>
      <c r="AG999" s="142"/>
      <c r="AH999" s="142"/>
      <c r="AI999" s="142"/>
      <c r="AJ999" s="142"/>
      <c r="AK999" s="142"/>
      <c r="AL999" s="142"/>
      <c r="AM999" s="142"/>
      <c r="AN999" s="142"/>
      <c r="AO999" s="142"/>
      <c r="AP999" s="142"/>
    </row>
    <row r="1000" ht="13.5" customHeight="1">
      <c r="A1000" s="142"/>
      <c r="B1000" s="142"/>
      <c r="C1000" s="142"/>
      <c r="D1000" s="142"/>
      <c r="E1000" s="132"/>
      <c r="F1000" s="131"/>
      <c r="G1000" s="131"/>
      <c r="H1000" s="131"/>
      <c r="I1000" s="131"/>
      <c r="J1000" s="131"/>
      <c r="K1000" s="131"/>
      <c r="L1000" s="131"/>
      <c r="M1000" s="131"/>
      <c r="N1000" s="131"/>
      <c r="O1000" s="142"/>
      <c r="P1000" s="142"/>
      <c r="Q1000" s="142"/>
      <c r="R1000" s="142"/>
      <c r="S1000" s="142"/>
      <c r="T1000" s="142"/>
      <c r="U1000" s="142"/>
      <c r="V1000" s="142"/>
      <c r="W1000" s="142"/>
      <c r="X1000" s="142"/>
      <c r="Y1000" s="142"/>
      <c r="Z1000" s="142"/>
      <c r="AA1000" s="131"/>
      <c r="AB1000" s="142"/>
      <c r="AC1000" s="142"/>
      <c r="AD1000" s="142"/>
      <c r="AE1000" s="142"/>
      <c r="AF1000" s="142"/>
      <c r="AG1000" s="142"/>
      <c r="AH1000" s="142"/>
      <c r="AI1000" s="142"/>
      <c r="AJ1000" s="142"/>
      <c r="AK1000" s="142"/>
      <c r="AL1000" s="142"/>
      <c r="AM1000" s="142"/>
      <c r="AN1000" s="142"/>
      <c r="AO1000" s="142"/>
      <c r="AP1000" s="142"/>
    </row>
  </sheetData>
  <mergeCells count="4">
    <mergeCell ref="J1:K1"/>
    <mergeCell ref="AA2:AA62"/>
    <mergeCell ref="AH2:AH62"/>
    <mergeCell ref="L13:L14"/>
  </mergeCells>
  <conditionalFormatting sqref="J2:J62">
    <cfRule type="cellIs" dxfId="21" priority="1" operator="equal">
      <formula>"/"</formula>
    </cfRule>
  </conditionalFormatting>
  <conditionalFormatting sqref="J2:J62">
    <cfRule type="cellIs" dxfId="4" priority="2" operator="lessThan">
      <formula>0</formula>
    </cfRule>
  </conditionalFormatting>
  <conditionalFormatting sqref="J2:J62">
    <cfRule type="cellIs" dxfId="22" priority="3" operator="greaterThan">
      <formula>0</formula>
    </cfRule>
  </conditionalFormatting>
  <conditionalFormatting sqref="K2:K62">
    <cfRule type="cellIs" dxfId="21" priority="4" operator="equal">
      <formula>"/"</formula>
    </cfRule>
  </conditionalFormatting>
  <conditionalFormatting sqref="K2:K62">
    <cfRule type="cellIs" dxfId="4" priority="5" operator="lessThan">
      <formula>0</formula>
    </cfRule>
  </conditionalFormatting>
  <conditionalFormatting sqref="K2:K62">
    <cfRule type="cellIs" dxfId="22" priority="6" operator="greaterThan">
      <formula>0</formula>
    </cfRule>
  </conditionalFormatting>
  <conditionalFormatting sqref="F2:F62">
    <cfRule type="expression" dxfId="27" priority="7">
      <formula>$J$1="差距(UQ)"</formula>
    </cfRule>
  </conditionalFormatting>
  <conditionalFormatting sqref="G2:G62">
    <cfRule type="expression" dxfId="23" priority="8">
      <formula>$J$1="差距(Median)"</formula>
    </cfRule>
  </conditionalFormatting>
  <conditionalFormatting sqref="H2:H62">
    <cfRule type="expression" dxfId="23" priority="9">
      <formula>$J$1="差距(LQ)"</formula>
    </cfRule>
  </conditionalFormatting>
  <conditionalFormatting sqref="AA2 AH2 AO2:AO62">
    <cfRule type="expression" dxfId="7" priority="10">
      <formula>TRUE</formula>
    </cfRule>
  </conditionalFormatting>
  <conditionalFormatting sqref="M2:M62 U2:Z62">
    <cfRule type="cellIs" dxfId="24" priority="11" operator="equal">
      <formula>2</formula>
    </cfRule>
  </conditionalFormatting>
  <conditionalFormatting sqref="M2:M62 U2:Z62">
    <cfRule type="cellIs" dxfId="26" priority="12" operator="equal">
      <formula>1</formula>
    </cfRule>
  </conditionalFormatting>
  <conditionalFormatting sqref="M2:M62 U2:Z62">
    <cfRule type="cellIs" dxfId="25" priority="13" operator="equal">
      <formula>0</formula>
    </cfRule>
  </conditionalFormatting>
  <dataValidations>
    <dataValidation type="list" allowBlank="1" showErrorMessage="1" sqref="AA2:AB2">
      <formula1>'選單'!$I$1:$I$3</formula1>
    </dataValidation>
    <dataValidation type="list" allowBlank="1" showErrorMessage="1" sqref="J1">
      <formula1>'選單'!$J$1:$J$3</formula1>
    </dataValidation>
  </dataValidations>
  <hyperlinks>
    <hyperlink r:id="rId2" ref="A87"/>
    <hyperlink r:id="rId3" ref="A88"/>
    <hyperlink r:id="rId4" ref="A89"/>
    <hyperlink r:id="rId5" ref="A90"/>
  </hyperlinks>
  <printOptions/>
  <pageMargins bottom="0.75" footer="0.0" header="0.0" left="0.7" right="0.7" top="0.75"/>
  <pageSetup paperSize="9" orientation="portrait"/>
  <drawing r:id="rId6"/>
  <legacy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5" width="9.78"/>
    <col customWidth="1" min="6" max="8" width="7.78"/>
    <col customWidth="1" min="9" max="10" width="7.67"/>
    <col customWidth="1" min="11" max="11" width="4.89"/>
    <col customWidth="1" min="12" max="12" width="4.67"/>
    <col customWidth="1" min="13" max="13" width="9.78"/>
    <col customWidth="1" min="14" max="25" width="2.22"/>
    <col customWidth="1" min="26" max="26" width="8.89"/>
    <col customWidth="1" min="27" max="32" width="6.33"/>
    <col customWidth="1" min="33" max="33" width="8.89"/>
    <col customWidth="1" min="34" max="39" width="6.33"/>
    <col customWidth="1" min="40" max="40" width="3.11"/>
    <col customWidth="1" min="41" max="41" width="8.11"/>
  </cols>
  <sheetData>
    <row r="1" ht="18.0" customHeight="1">
      <c r="A1" s="301" t="s">
        <v>1056</v>
      </c>
      <c r="B1" s="301" t="s">
        <v>1066</v>
      </c>
      <c r="C1" s="301" t="s">
        <v>1057</v>
      </c>
      <c r="D1" s="301"/>
      <c r="E1" s="302" t="s">
        <v>44</v>
      </c>
      <c r="F1" s="303" t="s">
        <v>46</v>
      </c>
      <c r="G1" s="303" t="s">
        <v>47</v>
      </c>
      <c r="H1" s="303" t="s">
        <v>48</v>
      </c>
      <c r="I1" s="304" t="s">
        <v>157</v>
      </c>
      <c r="J1" s="185"/>
      <c r="K1" s="303" t="s">
        <v>49</v>
      </c>
      <c r="L1" s="303" t="s">
        <v>955</v>
      </c>
      <c r="M1" s="303" t="s">
        <v>1067</v>
      </c>
      <c r="N1" s="303" t="s">
        <v>1058</v>
      </c>
      <c r="O1" s="303" t="s">
        <v>1059</v>
      </c>
      <c r="P1" s="303" t="s">
        <v>1060</v>
      </c>
      <c r="Q1" s="303" t="s">
        <v>1061</v>
      </c>
      <c r="R1" s="303" t="s">
        <v>218</v>
      </c>
      <c r="S1" s="303" t="s">
        <v>219</v>
      </c>
      <c r="T1" s="303" t="s">
        <v>1058</v>
      </c>
      <c r="U1" s="303" t="s">
        <v>1059</v>
      </c>
      <c r="V1" s="303" t="s">
        <v>1060</v>
      </c>
      <c r="W1" s="303" t="s">
        <v>1061</v>
      </c>
      <c r="X1" s="303" t="s">
        <v>218</v>
      </c>
      <c r="Y1" s="303" t="s">
        <v>219</v>
      </c>
      <c r="Z1" s="303" t="s">
        <v>50</v>
      </c>
      <c r="AA1" s="303" t="s">
        <v>1068</v>
      </c>
      <c r="AB1" s="303" t="s">
        <v>39</v>
      </c>
      <c r="AC1" s="303" t="s">
        <v>1069</v>
      </c>
      <c r="AD1" s="303" t="s">
        <v>1070</v>
      </c>
      <c r="AE1" s="303" t="s">
        <v>1071</v>
      </c>
      <c r="AF1" s="303" t="s">
        <v>1072</v>
      </c>
      <c r="AG1" s="303" t="s">
        <v>1073</v>
      </c>
      <c r="AH1" s="303" t="s">
        <v>1068</v>
      </c>
      <c r="AI1" s="303" t="s">
        <v>39</v>
      </c>
      <c r="AJ1" s="303" t="s">
        <v>1069</v>
      </c>
      <c r="AK1" s="303" t="s">
        <v>1070</v>
      </c>
      <c r="AL1" s="303" t="s">
        <v>1071</v>
      </c>
      <c r="AM1" s="303" t="s">
        <v>1072</v>
      </c>
      <c r="AN1" s="301"/>
      <c r="AO1" s="303"/>
    </row>
    <row r="2" ht="18.0" customHeight="1">
      <c r="A2" s="282" t="s">
        <v>354</v>
      </c>
      <c r="B2" s="282" t="s">
        <v>1026</v>
      </c>
      <c r="C2" s="282" t="s">
        <v>594</v>
      </c>
      <c r="D2" s="282" t="s">
        <v>1469</v>
      </c>
      <c r="E2" s="305" t="s">
        <v>601</v>
      </c>
      <c r="F2" s="284">
        <v>30.0</v>
      </c>
      <c r="G2" s="284">
        <v>29.0</v>
      </c>
      <c r="H2" s="285">
        <f>'計分版'!D228</f>
        <v>0.00000000195</v>
      </c>
      <c r="I2" s="306">
        <f t="shared" ref="I2:I4" si="1">IF(I$1="差距(Median)",H2-F2,IF(I$1="差距(UQ)",H2-#REF!,IF(I$1="差距(LQ)",H2-G2)))</f>
        <v>-30</v>
      </c>
      <c r="J2" s="307">
        <f t="shared" ref="J2:J4" si="2">IF(I$1="差距(Median)",(H2-F2)/H2,IF(I$1="差距(UQ)",(H2-#REF!)/H2,IF(I$1="差距(LQ)",(H2-G2)/H2)))</f>
        <v>-15384615384</v>
      </c>
      <c r="K2" s="288">
        <v>21.0</v>
      </c>
      <c r="L2" s="289">
        <f>'入學要求'!S211</f>
        <v>0</v>
      </c>
      <c r="M2" s="295" t="s">
        <v>1166</v>
      </c>
      <c r="N2" s="283">
        <v>3.0</v>
      </c>
      <c r="O2" s="283">
        <v>3.0</v>
      </c>
      <c r="P2" s="283">
        <v>2.0</v>
      </c>
      <c r="Q2" s="283">
        <v>2.0</v>
      </c>
      <c r="R2" s="283">
        <v>3.0</v>
      </c>
      <c r="S2" s="283">
        <v>3.0</v>
      </c>
      <c r="T2" s="290">
        <f>'入學要求'!L211</f>
        <v>0</v>
      </c>
      <c r="U2" s="290">
        <f>'入學要求'!M211</f>
        <v>0</v>
      </c>
      <c r="V2" s="290">
        <f>'入學要求'!N211</f>
        <v>0</v>
      </c>
      <c r="W2" s="290">
        <f>'入學要求'!O211</f>
        <v>0</v>
      </c>
      <c r="X2" s="290">
        <f>'入學要求'!P211</f>
        <v>0</v>
      </c>
      <c r="Y2" s="290">
        <f>'入學要求'!Q211</f>
        <v>0</v>
      </c>
      <c r="Z2" s="196" t="s">
        <v>38</v>
      </c>
      <c r="AA2" s="288">
        <f>IF($Z$2="2018年",'Offer Statistics'!CF2,IF($Z$2="2019年",'Offer Statistics'!CF28,IF($Z$2="2020年",'Offer Statistics'!CF54)))</f>
        <v>23</v>
      </c>
      <c r="AB2" s="291">
        <f>IF($Z$2="2018年",'Offer Statistics'!CA2,IF($Z$2="2019年",'Offer Statistics'!CA28,IF($Z$2="2020年",'Offer Statistics'!CA54)))</f>
        <v>23</v>
      </c>
      <c r="AC2" s="291">
        <f>IF($Z$2="2018年",'Offer Statistics'!CB2,IF($Z$2="2019年",'Offer Statistics'!CB28,IF($Z$2="2020年",'Offer Statistics'!CB54)))</f>
        <v>0</v>
      </c>
      <c r="AD2" s="291">
        <f>IF($Z$2="2018年",'Offer Statistics'!CC2,IF($Z$2="2019年",'Offer Statistics'!CC28,IF($Z$2="2020年",'Offer Statistics'!CC54)))</f>
        <v>0</v>
      </c>
      <c r="AE2" s="291">
        <f>IF($Z$2="2018年",'Offer Statistics'!CD2,IF($Z$2="2019年",'Offer Statistics'!CD28,IF($Z$2="2020年",'Offer Statistics'!CD54)))</f>
        <v>0</v>
      </c>
      <c r="AF2" s="291">
        <f>IF($Z$2="2018年",'Offer Statistics'!CE2,IF($Z$2="2019年",'Offer Statistics'!CE28,IF($Z$2="2020年",'Offer Statistics'!CE54)))</f>
        <v>0</v>
      </c>
      <c r="AG2" s="196" t="str">
        <f>Z2</f>
        <v>2020年</v>
      </c>
      <c r="AH2" s="288">
        <f>IF($Z$2="2018年",'Offer Statistics'!BX2,IF($Z$2="2019年",'Offer Statistics'!BX28,IF($Z$2="2020年",'Offer Statistics'!BX54)))</f>
        <v>483</v>
      </c>
      <c r="AI2" s="291">
        <f>IF($Z$2="2018年",'Offer Statistics'!BS2,IF($Z$2="2019年",'Offer Statistics'!BS28,IF($Z$2="2020年",'Offer Statistics'!BS54)))</f>
        <v>91</v>
      </c>
      <c r="AJ2" s="291">
        <f>IF($Z$2="2018年",'Offer Statistics'!BT2,IF($Z$2="2019年",'Offer Statistics'!BT28,IF($Z$2="2020年",'Offer Statistics'!BT54)))</f>
        <v>74</v>
      </c>
      <c r="AK2" s="291">
        <f>IF($Z$2="2018年",'Offer Statistics'!BU2,IF($Z$2="2019年",'Offer Statistics'!BU28,IF($Z$2="2020年",'Offer Statistics'!BU54)))</f>
        <v>96</v>
      </c>
      <c r="AL2" s="291">
        <f>IF($Z$2="2018年",'Offer Statistics'!BV2,IF($Z$2="2019年",'Offer Statistics'!BV28,IF($Z$2="2020年",'Offer Statistics'!BV54)))</f>
        <v>96</v>
      </c>
      <c r="AM2" s="291">
        <f>IF($Z$2="2018年",'Offer Statistics'!BW2,IF($Z$2="2019年",'Offer Statistics'!BW28,IF($Z$2="2020年",'Offer Statistics'!BW54)))</f>
        <v>126</v>
      </c>
      <c r="AN2" s="282"/>
      <c r="AO2" s="283" t="str">
        <f t="shared" ref="AO2:AO26" si="3">A2</f>
        <v>JS5101</v>
      </c>
    </row>
    <row r="3" ht="18.0" customHeight="1">
      <c r="A3" s="142" t="s">
        <v>599</v>
      </c>
      <c r="B3" s="142" t="s">
        <v>1026</v>
      </c>
      <c r="C3" s="142" t="s">
        <v>600</v>
      </c>
      <c r="D3" s="142" t="s">
        <v>1470</v>
      </c>
      <c r="E3" s="308" t="s">
        <v>601</v>
      </c>
      <c r="F3" s="199">
        <v>27.5</v>
      </c>
      <c r="G3" s="199">
        <v>26.0</v>
      </c>
      <c r="H3" s="200">
        <f>'計分版'!D229</f>
        <v>0.0000000033</v>
      </c>
      <c r="I3" s="201">
        <f t="shared" si="1"/>
        <v>-27.5</v>
      </c>
      <c r="J3" s="202">
        <f t="shared" si="2"/>
        <v>-8333333332</v>
      </c>
      <c r="K3" s="196" t="s">
        <v>1471</v>
      </c>
      <c r="L3" s="309">
        <f>'入學要求'!S212</f>
        <v>0</v>
      </c>
      <c r="M3" s="131" t="s">
        <v>1077</v>
      </c>
      <c r="N3" s="163">
        <v>3.0</v>
      </c>
      <c r="O3" s="163">
        <v>3.0</v>
      </c>
      <c r="P3" s="163">
        <v>2.0</v>
      </c>
      <c r="Q3" s="163">
        <v>2.0</v>
      </c>
      <c r="R3" s="163">
        <v>3.0</v>
      </c>
      <c r="S3" s="163">
        <v>3.0</v>
      </c>
      <c r="T3" s="292">
        <f>'入學要求'!L212</f>
        <v>0</v>
      </c>
      <c r="U3" s="292">
        <f>'入學要求'!M212</f>
        <v>0</v>
      </c>
      <c r="V3" s="292">
        <f>'入學要求'!N212</f>
        <v>0</v>
      </c>
      <c r="W3" s="292">
        <f>'入學要求'!O212</f>
        <v>0</v>
      </c>
      <c r="X3" s="292">
        <f>'入學要求'!P212</f>
        <v>0</v>
      </c>
      <c r="Y3" s="292">
        <f>'入學要求'!Q212</f>
        <v>0</v>
      </c>
      <c r="Z3" s="205"/>
      <c r="AA3" s="132">
        <f>IF($Z$2="2018年",'Offer Statistics'!CF3,IF($Z$2="2019年",'Offer Statistics'!CF29,IF($Z$2="2020年",'Offer Statistics'!CF55)))</f>
        <v>191</v>
      </c>
      <c r="AB3" s="206">
        <f>IF($Z$2="2018年",'Offer Statistics'!CA3,IF($Z$2="2019年",'Offer Statistics'!CA29,IF($Z$2="2020年",'Offer Statistics'!CA55)))</f>
        <v>179</v>
      </c>
      <c r="AC3" s="206">
        <f>IF($Z$2="2018年",'Offer Statistics'!CB3,IF($Z$2="2019年",'Offer Statistics'!CB29,IF($Z$2="2020年",'Offer Statistics'!CB55)))</f>
        <v>12</v>
      </c>
      <c r="AD3" s="206">
        <f>IF($Z$2="2018年",'Offer Statistics'!CC3,IF($Z$2="2019年",'Offer Statistics'!CC29,IF($Z$2="2020年",'Offer Statistics'!CC55)))</f>
        <v>0</v>
      </c>
      <c r="AE3" s="206">
        <f>IF($Z$2="2018年",'Offer Statistics'!CD3,IF($Z$2="2019年",'Offer Statistics'!CD29,IF($Z$2="2020年",'Offer Statistics'!CD55)))</f>
        <v>0</v>
      </c>
      <c r="AF3" s="206">
        <f>IF($Z$2="2018年",'Offer Statistics'!CE3,IF($Z$2="2019年",'Offer Statistics'!CE29,IF($Z$2="2020年",'Offer Statistics'!CE55)))</f>
        <v>0</v>
      </c>
      <c r="AG3" s="205"/>
      <c r="AH3" s="132">
        <f>IF($Z$2="2018年",'Offer Statistics'!BX3,IF($Z$2="2019年",'Offer Statistics'!BX29,IF($Z$2="2020年",'Offer Statistics'!BX55)))</f>
        <v>2926</v>
      </c>
      <c r="AI3" s="206">
        <f>IF($Z$2="2018年",'Offer Statistics'!BS3,IF($Z$2="2019年",'Offer Statistics'!BS29,IF($Z$2="2020年",'Offer Statistics'!BS55)))</f>
        <v>651</v>
      </c>
      <c r="AJ3" s="206">
        <f>IF($Z$2="2018年",'Offer Statistics'!BT3,IF($Z$2="2019年",'Offer Statistics'!BT29,IF($Z$2="2020年",'Offer Statistics'!BT55)))</f>
        <v>661</v>
      </c>
      <c r="AK3" s="206">
        <f>IF($Z$2="2018年",'Offer Statistics'!BU3,IF($Z$2="2019年",'Offer Statistics'!BU29,IF($Z$2="2020年",'Offer Statistics'!BU55)))</f>
        <v>647</v>
      </c>
      <c r="AL3" s="206">
        <f>IF($Z$2="2018年",'Offer Statistics'!BV3,IF($Z$2="2019年",'Offer Statistics'!BV29,IF($Z$2="2020年",'Offer Statistics'!BV55)))</f>
        <v>558</v>
      </c>
      <c r="AM3" s="206">
        <f>IF($Z$2="2018年",'Offer Statistics'!BW3,IF($Z$2="2019年",'Offer Statistics'!BW29,IF($Z$2="2020年",'Offer Statistics'!BW55)))</f>
        <v>409</v>
      </c>
      <c r="AN3" s="142"/>
      <c r="AO3" s="131" t="str">
        <f t="shared" si="3"/>
        <v>JS5102</v>
      </c>
    </row>
    <row r="4" ht="18.0" customHeight="1">
      <c r="A4" s="282" t="s">
        <v>602</v>
      </c>
      <c r="B4" s="282" t="s">
        <v>1026</v>
      </c>
      <c r="C4" s="282" t="s">
        <v>603</v>
      </c>
      <c r="D4" s="282" t="s">
        <v>1472</v>
      </c>
      <c r="E4" s="305" t="s">
        <v>601</v>
      </c>
      <c r="F4" s="284">
        <v>30.0</v>
      </c>
      <c r="G4" s="284">
        <v>28.5</v>
      </c>
      <c r="H4" s="285">
        <f>'計分版'!D230</f>
        <v>0.00000000265</v>
      </c>
      <c r="I4" s="306">
        <f t="shared" si="1"/>
        <v>-30</v>
      </c>
      <c r="J4" s="307">
        <f t="shared" si="2"/>
        <v>-11320754716</v>
      </c>
      <c r="K4" s="205"/>
      <c r="L4" s="289">
        <f>'入學要求'!S213</f>
        <v>0</v>
      </c>
      <c r="M4" s="283" t="s">
        <v>1077</v>
      </c>
      <c r="N4" s="283">
        <v>3.0</v>
      </c>
      <c r="O4" s="283">
        <v>3.0</v>
      </c>
      <c r="P4" s="283">
        <v>2.0</v>
      </c>
      <c r="Q4" s="283">
        <v>2.0</v>
      </c>
      <c r="R4" s="283">
        <v>3.0</v>
      </c>
      <c r="S4" s="283">
        <v>3.0</v>
      </c>
      <c r="T4" s="290">
        <f>'入學要求'!L213</f>
        <v>0</v>
      </c>
      <c r="U4" s="290">
        <f>'入學要求'!M213</f>
        <v>0</v>
      </c>
      <c r="V4" s="290">
        <f>'入學要求'!N213</f>
        <v>0</v>
      </c>
      <c r="W4" s="290">
        <f>'入學要求'!O213</f>
        <v>0</v>
      </c>
      <c r="X4" s="290">
        <f>'入學要求'!P213</f>
        <v>0</v>
      </c>
      <c r="Y4" s="290">
        <f>'入學要求'!Q213</f>
        <v>0</v>
      </c>
      <c r="Z4" s="205"/>
      <c r="AA4" s="288">
        <f>IF($Z$2="2018年",'Offer Statistics'!CF4,IF($Z$2="2019年",'Offer Statistics'!CF30,IF($Z$2="2020年",'Offer Statistics'!CF56)))</f>
        <v>273</v>
      </c>
      <c r="AB4" s="291">
        <f>IF($Z$2="2018年",'Offer Statistics'!CA4,IF($Z$2="2019年",'Offer Statistics'!CA30,IF($Z$2="2020年",'Offer Statistics'!CA56)))</f>
        <v>262</v>
      </c>
      <c r="AC4" s="291">
        <f>IF($Z$2="2018年",'Offer Statistics'!CB4,IF($Z$2="2019年",'Offer Statistics'!CB30,IF($Z$2="2020年",'Offer Statistics'!CB56)))</f>
        <v>11</v>
      </c>
      <c r="AD4" s="291">
        <f>IF($Z$2="2018年",'Offer Statistics'!CC4,IF($Z$2="2019年",'Offer Statistics'!CC30,IF($Z$2="2020年",'Offer Statistics'!CC56)))</f>
        <v>0</v>
      </c>
      <c r="AE4" s="291">
        <f>IF($Z$2="2018年",'Offer Statistics'!CD4,IF($Z$2="2019年",'Offer Statistics'!CD30,IF($Z$2="2020年",'Offer Statistics'!CD56)))</f>
        <v>0</v>
      </c>
      <c r="AF4" s="291">
        <f>IF($Z$2="2018年",'Offer Statistics'!CE4,IF($Z$2="2019年",'Offer Statistics'!CE30,IF($Z$2="2020年",'Offer Statistics'!CE56)))</f>
        <v>0</v>
      </c>
      <c r="AG4" s="205"/>
      <c r="AH4" s="288">
        <f>IF($Z$2="2018年",'Offer Statistics'!BX4,IF($Z$2="2019年",'Offer Statistics'!BX30,IF($Z$2="2020年",'Offer Statistics'!BX56)))</f>
        <v>3754</v>
      </c>
      <c r="AI4" s="291">
        <f>IF($Z$2="2018年",'Offer Statistics'!BS4,IF($Z$2="2019年",'Offer Statistics'!BS30,IF($Z$2="2020年",'Offer Statistics'!BS56)))</f>
        <v>1110</v>
      </c>
      <c r="AJ4" s="291">
        <f>IF($Z$2="2018年",'Offer Statistics'!BT4,IF($Z$2="2019年",'Offer Statistics'!BT30,IF($Z$2="2020年",'Offer Statistics'!BT56)))</f>
        <v>816</v>
      </c>
      <c r="AK4" s="291">
        <f>IF($Z$2="2018年",'Offer Statistics'!BU4,IF($Z$2="2019年",'Offer Statistics'!BU30,IF($Z$2="2020年",'Offer Statistics'!BU56)))</f>
        <v>792</v>
      </c>
      <c r="AL4" s="291">
        <f>IF($Z$2="2018年",'Offer Statistics'!BV4,IF($Z$2="2019年",'Offer Statistics'!BV30,IF($Z$2="2020年",'Offer Statistics'!BV56)))</f>
        <v>606</v>
      </c>
      <c r="AM4" s="291">
        <f>IF($Z$2="2018年",'Offer Statistics'!BW4,IF($Z$2="2019年",'Offer Statistics'!BW30,IF($Z$2="2020年",'Offer Statistics'!BW56)))</f>
        <v>430</v>
      </c>
      <c r="AN4" s="282"/>
      <c r="AO4" s="283" t="str">
        <f t="shared" si="3"/>
        <v>JS5103</v>
      </c>
    </row>
    <row r="5" ht="18.0" customHeight="1">
      <c r="A5" s="142" t="s">
        <v>604</v>
      </c>
      <c r="B5" s="142" t="s">
        <v>1026</v>
      </c>
      <c r="C5" s="142" t="s">
        <v>605</v>
      </c>
      <c r="D5" s="142" t="s">
        <v>1473</v>
      </c>
      <c r="E5" s="310" t="s">
        <v>601</v>
      </c>
      <c r="F5" s="199" t="s">
        <v>541</v>
      </c>
      <c r="G5" s="199" t="s">
        <v>541</v>
      </c>
      <c r="H5" s="200">
        <f>'計分版'!D231</f>
        <v>0.0000000033</v>
      </c>
      <c r="I5" s="215" t="s">
        <v>541</v>
      </c>
      <c r="J5" s="237" t="s">
        <v>541</v>
      </c>
      <c r="K5" s="132">
        <v>40.0</v>
      </c>
      <c r="L5" s="309">
        <f>'入學要求'!S214</f>
        <v>0</v>
      </c>
      <c r="M5" s="131" t="s">
        <v>1077</v>
      </c>
      <c r="N5" s="163">
        <v>3.0</v>
      </c>
      <c r="O5" s="163">
        <v>3.0</v>
      </c>
      <c r="P5" s="163">
        <v>2.0</v>
      </c>
      <c r="Q5" s="163">
        <v>2.0</v>
      </c>
      <c r="R5" s="163">
        <v>3.0</v>
      </c>
      <c r="S5" s="163">
        <v>3.0</v>
      </c>
      <c r="T5" s="292">
        <f>'入學要求'!L214</f>
        <v>0</v>
      </c>
      <c r="U5" s="292">
        <f>'入學要求'!M214</f>
        <v>0</v>
      </c>
      <c r="V5" s="292">
        <f>'入學要求'!N214</f>
        <v>0</v>
      </c>
      <c r="W5" s="292">
        <f>'入學要求'!O214</f>
        <v>0</v>
      </c>
      <c r="X5" s="292">
        <f>'入學要求'!P214</f>
        <v>0</v>
      </c>
      <c r="Y5" s="292">
        <f>'入學要求'!Q214</f>
        <v>0</v>
      </c>
      <c r="Z5" s="205"/>
      <c r="AA5" s="132" t="str">
        <f>IF($Z$2="2018年",'Offer Statistics'!CF5,IF($Z$2="2019年",'Offer Statistics'!CF31,IF($Z$2="2020年",'Offer Statistics'!CF57)))</f>
        <v>/</v>
      </c>
      <c r="AB5" s="206" t="str">
        <f>IF($Z$2="2018年",'Offer Statistics'!CA5,IF($Z$2="2019年",'Offer Statistics'!CA31,IF($Z$2="2020年",'Offer Statistics'!CA57)))</f>
        <v>/</v>
      </c>
      <c r="AC5" s="206" t="str">
        <f>IF($Z$2="2018年",'Offer Statistics'!CB5,IF($Z$2="2019年",'Offer Statistics'!CB31,IF($Z$2="2020年",'Offer Statistics'!CB57)))</f>
        <v>/</v>
      </c>
      <c r="AD5" s="206" t="str">
        <f>IF($Z$2="2018年",'Offer Statistics'!CC5,IF($Z$2="2019年",'Offer Statistics'!CC31,IF($Z$2="2020年",'Offer Statistics'!CC57)))</f>
        <v>/</v>
      </c>
      <c r="AE5" s="206" t="str">
        <f>IF($Z$2="2018年",'Offer Statistics'!CD5,IF($Z$2="2019年",'Offer Statistics'!CD31,IF($Z$2="2020年",'Offer Statistics'!CD57)))</f>
        <v>/</v>
      </c>
      <c r="AF5" s="206" t="str">
        <f>IF($Z$2="2018年",'Offer Statistics'!CE5,IF($Z$2="2019年",'Offer Statistics'!CE31,IF($Z$2="2020年",'Offer Statistics'!CE57)))</f>
        <v>/</v>
      </c>
      <c r="AG5" s="205"/>
      <c r="AH5" s="132" t="str">
        <f>IF($Z$2="2018年",'Offer Statistics'!BX5,IF($Z$2="2019年",'Offer Statistics'!BX31,IF($Z$2="2020年",'Offer Statistics'!BX57)))</f>
        <v>/</v>
      </c>
      <c r="AI5" s="206" t="str">
        <f>IF($Z$2="2018年",'Offer Statistics'!BS5,IF($Z$2="2019年",'Offer Statistics'!BS31,IF($Z$2="2020年",'Offer Statistics'!BS57)))</f>
        <v>/</v>
      </c>
      <c r="AJ5" s="206" t="str">
        <f>IF($Z$2="2018年",'Offer Statistics'!BT5,IF($Z$2="2019年",'Offer Statistics'!BT31,IF($Z$2="2020年",'Offer Statistics'!BT57)))</f>
        <v>/</v>
      </c>
      <c r="AK5" s="206" t="str">
        <f>IF($Z$2="2018年",'Offer Statistics'!BU5,IF($Z$2="2019年",'Offer Statistics'!BU31,IF($Z$2="2020年",'Offer Statistics'!BU57)))</f>
        <v>/</v>
      </c>
      <c r="AL5" s="206" t="str">
        <f>IF($Z$2="2018年",'Offer Statistics'!BV5,IF($Z$2="2019年",'Offer Statistics'!BV31,IF($Z$2="2020年",'Offer Statistics'!BV57)))</f>
        <v>/</v>
      </c>
      <c r="AM5" s="206" t="str">
        <f>IF($Z$2="2018年",'Offer Statistics'!BW5,IF($Z$2="2019年",'Offer Statistics'!BW31,IF($Z$2="2020年",'Offer Statistics'!BW57)))</f>
        <v>/</v>
      </c>
      <c r="AN5" s="142"/>
      <c r="AO5" s="131" t="str">
        <f t="shared" si="3"/>
        <v>JS5181</v>
      </c>
    </row>
    <row r="6" ht="18.0" customHeight="1">
      <c r="A6" s="282" t="s">
        <v>359</v>
      </c>
      <c r="B6" s="282" t="s">
        <v>1147</v>
      </c>
      <c r="C6" s="282" t="s">
        <v>606</v>
      </c>
      <c r="D6" s="282" t="s">
        <v>1474</v>
      </c>
      <c r="E6" s="305" t="s">
        <v>601</v>
      </c>
      <c r="F6" s="284">
        <v>37.0</v>
      </c>
      <c r="G6" s="284">
        <v>34.5</v>
      </c>
      <c r="H6" s="285">
        <f>'計分版'!D232</f>
        <v>0.00000000285</v>
      </c>
      <c r="I6" s="306">
        <f t="shared" ref="I6:I7" si="4">IF(I$1="差距(Median)",H6-F6,IF(I$1="差距(UQ)",H6-#REF!,IF(I$1="差距(LQ)",H6-G6)))</f>
        <v>-37</v>
      </c>
      <c r="J6" s="307">
        <f t="shared" ref="J6:J7" si="5">IF(I$1="差距(Median)",(H6-F6)/H6,IF(I$1="差距(UQ)",(H6-#REF!)/H6,IF(I$1="差距(LQ)",(H6-G6)/H6)))</f>
        <v>-12982456139</v>
      </c>
      <c r="K6" s="288">
        <v>524.0</v>
      </c>
      <c r="L6" s="289">
        <f>'入學要求'!S215</f>
        <v>0</v>
      </c>
      <c r="M6" s="283" t="s">
        <v>1077</v>
      </c>
      <c r="N6" s="283">
        <v>3.0</v>
      </c>
      <c r="O6" s="283">
        <v>3.0</v>
      </c>
      <c r="P6" s="283">
        <v>2.0</v>
      </c>
      <c r="Q6" s="283">
        <v>2.0</v>
      </c>
      <c r="R6" s="283">
        <v>3.0</v>
      </c>
      <c r="S6" s="283">
        <v>3.0</v>
      </c>
      <c r="T6" s="290">
        <f>'入學要求'!L215</f>
        <v>0</v>
      </c>
      <c r="U6" s="290">
        <f>'入學要求'!M215</f>
        <v>0</v>
      </c>
      <c r="V6" s="290">
        <f>'入學要求'!N215</f>
        <v>0</v>
      </c>
      <c r="W6" s="290">
        <f>'入學要求'!O215</f>
        <v>0</v>
      </c>
      <c r="X6" s="290">
        <f>'入學要求'!P215</f>
        <v>0</v>
      </c>
      <c r="Y6" s="290">
        <f>'入學要求'!Q215</f>
        <v>0</v>
      </c>
      <c r="Z6" s="205"/>
      <c r="AA6" s="288">
        <f>IF($Z$2="2018年",'Offer Statistics'!CF6,IF($Z$2="2019年",'Offer Statistics'!CF32,IF($Z$2="2020年",'Offer Statistics'!CF58)))</f>
        <v>488</v>
      </c>
      <c r="AB6" s="291">
        <f>IF($Z$2="2018年",'Offer Statistics'!CA6,IF($Z$2="2019年",'Offer Statistics'!CA32,IF($Z$2="2020年",'Offer Statistics'!CA58)))</f>
        <v>485</v>
      </c>
      <c r="AC6" s="291">
        <f>IF($Z$2="2018年",'Offer Statistics'!CB6,IF($Z$2="2019年",'Offer Statistics'!CB32,IF($Z$2="2020年",'Offer Statistics'!CB58)))</f>
        <v>3</v>
      </c>
      <c r="AD6" s="291">
        <f>IF($Z$2="2018年",'Offer Statistics'!CC6,IF($Z$2="2019年",'Offer Statistics'!CC32,IF($Z$2="2020年",'Offer Statistics'!CC58)))</f>
        <v>0</v>
      </c>
      <c r="AE6" s="291">
        <f>IF($Z$2="2018年",'Offer Statistics'!CD6,IF($Z$2="2019年",'Offer Statistics'!CD32,IF($Z$2="2020年",'Offer Statistics'!CD58)))</f>
        <v>0</v>
      </c>
      <c r="AF6" s="291">
        <f>IF($Z$2="2018年",'Offer Statistics'!CE6,IF($Z$2="2019年",'Offer Statistics'!CE32,IF($Z$2="2020年",'Offer Statistics'!CE58)))</f>
        <v>0</v>
      </c>
      <c r="AG6" s="205"/>
      <c r="AH6" s="288">
        <f>IF($Z$2="2018年",'Offer Statistics'!BX6,IF($Z$2="2019年",'Offer Statistics'!BX32,IF($Z$2="2020年",'Offer Statistics'!BX58)))</f>
        <v>4778</v>
      </c>
      <c r="AI6" s="291">
        <f>IF($Z$2="2018年",'Offer Statistics'!BS6,IF($Z$2="2019年",'Offer Statistics'!BS32,IF($Z$2="2020年",'Offer Statistics'!BS58)))</f>
        <v>1513</v>
      </c>
      <c r="AJ6" s="291">
        <f>IF($Z$2="2018年",'Offer Statistics'!BT6,IF($Z$2="2019年",'Offer Statistics'!BT32,IF($Z$2="2020年",'Offer Statistics'!BT58)))</f>
        <v>903</v>
      </c>
      <c r="AK6" s="291">
        <f>IF($Z$2="2018年",'Offer Statistics'!BU6,IF($Z$2="2019年",'Offer Statistics'!BU32,IF($Z$2="2020年",'Offer Statistics'!BU58)))</f>
        <v>891</v>
      </c>
      <c r="AL6" s="291">
        <f>IF($Z$2="2018年",'Offer Statistics'!BV6,IF($Z$2="2019年",'Offer Statistics'!BV32,IF($Z$2="2020年",'Offer Statistics'!BV58)))</f>
        <v>835</v>
      </c>
      <c r="AM6" s="291">
        <f>IF($Z$2="2018年",'Offer Statistics'!BW6,IF($Z$2="2019年",'Offer Statistics'!BW32,IF($Z$2="2020年",'Offer Statistics'!BW58)))</f>
        <v>636</v>
      </c>
      <c r="AN6" s="282"/>
      <c r="AO6" s="283" t="str">
        <f t="shared" si="3"/>
        <v>JS5200</v>
      </c>
    </row>
    <row r="7" ht="18.0" customHeight="1">
      <c r="A7" s="142" t="s">
        <v>363</v>
      </c>
      <c r="B7" s="142" t="s">
        <v>1147</v>
      </c>
      <c r="C7" s="142" t="s">
        <v>610</v>
      </c>
      <c r="D7" s="142" t="s">
        <v>1475</v>
      </c>
      <c r="E7" s="308" t="s">
        <v>601</v>
      </c>
      <c r="F7" s="199">
        <v>39.0</v>
      </c>
      <c r="G7" s="199">
        <v>37.0</v>
      </c>
      <c r="H7" s="200">
        <f>'計分版'!D233</f>
        <v>0.0000000027</v>
      </c>
      <c r="I7" s="201">
        <f t="shared" si="4"/>
        <v>-39</v>
      </c>
      <c r="J7" s="202">
        <f t="shared" si="5"/>
        <v>-14444444443</v>
      </c>
      <c r="K7" s="132">
        <v>25.0</v>
      </c>
      <c r="L7" s="309">
        <f>'入學要求'!S216</f>
        <v>0</v>
      </c>
      <c r="M7" s="132" t="s">
        <v>1188</v>
      </c>
      <c r="N7" s="163">
        <v>3.0</v>
      </c>
      <c r="O7" s="163">
        <v>3.0</v>
      </c>
      <c r="P7" s="163">
        <v>2.0</v>
      </c>
      <c r="Q7" s="163">
        <v>2.0</v>
      </c>
      <c r="R7" s="163">
        <v>3.0</v>
      </c>
      <c r="S7" s="163">
        <v>3.0</v>
      </c>
      <c r="T7" s="292">
        <f>'入學要求'!L216</f>
        <v>0</v>
      </c>
      <c r="U7" s="292">
        <f>'入學要求'!M216</f>
        <v>0</v>
      </c>
      <c r="V7" s="292">
        <f>'入學要求'!N216</f>
        <v>0</v>
      </c>
      <c r="W7" s="292">
        <f>'入學要求'!O216</f>
        <v>0</v>
      </c>
      <c r="X7" s="292">
        <f>'入學要求'!P216</f>
        <v>0</v>
      </c>
      <c r="Y7" s="292">
        <f>'入學要求'!Q216</f>
        <v>0</v>
      </c>
      <c r="Z7" s="205"/>
      <c r="AA7" s="132">
        <f>IF($Z$2="2018年",'Offer Statistics'!CF7,IF($Z$2="2019年",'Offer Statistics'!CF33,IF($Z$2="2020年",'Offer Statistics'!CF59)))</f>
        <v>10</v>
      </c>
      <c r="AB7" s="206">
        <f>IF($Z$2="2018年",'Offer Statistics'!CA7,IF($Z$2="2019年",'Offer Statistics'!CA33,IF($Z$2="2020年",'Offer Statistics'!CA59)))</f>
        <v>10</v>
      </c>
      <c r="AC7" s="206">
        <f>IF($Z$2="2018年",'Offer Statistics'!CB7,IF($Z$2="2019年",'Offer Statistics'!CB33,IF($Z$2="2020年",'Offer Statistics'!CB59)))</f>
        <v>0</v>
      </c>
      <c r="AD7" s="206">
        <f>IF($Z$2="2018年",'Offer Statistics'!CC7,IF($Z$2="2019年",'Offer Statistics'!CC33,IF($Z$2="2020年",'Offer Statistics'!CC59)))</f>
        <v>0</v>
      </c>
      <c r="AE7" s="206">
        <f>IF($Z$2="2018年",'Offer Statistics'!CD7,IF($Z$2="2019年",'Offer Statistics'!CD33,IF($Z$2="2020年",'Offer Statistics'!CD59)))</f>
        <v>0</v>
      </c>
      <c r="AF7" s="206">
        <f>IF($Z$2="2018年",'Offer Statistics'!CE7,IF($Z$2="2019年",'Offer Statistics'!CE33,IF($Z$2="2020年",'Offer Statistics'!CE59)))</f>
        <v>0</v>
      </c>
      <c r="AG7" s="205"/>
      <c r="AH7" s="132">
        <f>IF($Z$2="2018年",'Offer Statistics'!BX7,IF($Z$2="2019年",'Offer Statistics'!BX33,IF($Z$2="2020年",'Offer Statistics'!BX59)))</f>
        <v>343</v>
      </c>
      <c r="AI7" s="206">
        <f>IF($Z$2="2018年",'Offer Statistics'!BS7,IF($Z$2="2019年",'Offer Statistics'!BS33,IF($Z$2="2020年",'Offer Statistics'!BS59)))</f>
        <v>31</v>
      </c>
      <c r="AJ7" s="206">
        <f>IF($Z$2="2018年",'Offer Statistics'!BT7,IF($Z$2="2019年",'Offer Statistics'!BT33,IF($Z$2="2020年",'Offer Statistics'!BT59)))</f>
        <v>40</v>
      </c>
      <c r="AK7" s="206">
        <f>IF($Z$2="2018年",'Offer Statistics'!BU7,IF($Z$2="2019年",'Offer Statistics'!BU33,IF($Z$2="2020年",'Offer Statistics'!BU59)))</f>
        <v>77</v>
      </c>
      <c r="AL7" s="206">
        <f>IF($Z$2="2018年",'Offer Statistics'!BV7,IF($Z$2="2019年",'Offer Statistics'!BV33,IF($Z$2="2020年",'Offer Statistics'!BV59)))</f>
        <v>105</v>
      </c>
      <c r="AM7" s="206">
        <f>IF($Z$2="2018年",'Offer Statistics'!BW7,IF($Z$2="2019年",'Offer Statistics'!BW33,IF($Z$2="2020年",'Offer Statistics'!BW59)))</f>
        <v>90</v>
      </c>
      <c r="AN7" s="142"/>
      <c r="AO7" s="131" t="str">
        <f t="shared" si="3"/>
        <v>JS5211</v>
      </c>
    </row>
    <row r="8" ht="18.0" customHeight="1">
      <c r="A8" s="282" t="s">
        <v>612</v>
      </c>
      <c r="B8" s="282" t="s">
        <v>1147</v>
      </c>
      <c r="C8" s="282" t="s">
        <v>613</v>
      </c>
      <c r="D8" s="282" t="s">
        <v>1476</v>
      </c>
      <c r="E8" s="311" t="s">
        <v>601</v>
      </c>
      <c r="F8" s="284" t="s">
        <v>541</v>
      </c>
      <c r="G8" s="284" t="s">
        <v>541</v>
      </c>
      <c r="H8" s="285">
        <f>'計分版'!D234</f>
        <v>0.00000000285</v>
      </c>
      <c r="I8" s="286" t="s">
        <v>541</v>
      </c>
      <c r="J8" s="287" t="s">
        <v>541</v>
      </c>
      <c r="K8" s="288">
        <v>150.0</v>
      </c>
      <c r="L8" s="289">
        <f>'入學要求'!S217</f>
        <v>0</v>
      </c>
      <c r="M8" s="283" t="s">
        <v>1077</v>
      </c>
      <c r="N8" s="283">
        <v>3.0</v>
      </c>
      <c r="O8" s="283">
        <v>3.0</v>
      </c>
      <c r="P8" s="283">
        <v>2.0</v>
      </c>
      <c r="Q8" s="283">
        <v>2.0</v>
      </c>
      <c r="R8" s="283">
        <v>3.0</v>
      </c>
      <c r="S8" s="283">
        <v>3.0</v>
      </c>
      <c r="T8" s="290">
        <f>'入學要求'!L217</f>
        <v>0</v>
      </c>
      <c r="U8" s="290">
        <f>'入學要求'!M217</f>
        <v>0</v>
      </c>
      <c r="V8" s="290">
        <f>'入學要求'!N217</f>
        <v>0</v>
      </c>
      <c r="W8" s="290">
        <f>'入學要求'!O217</f>
        <v>0</v>
      </c>
      <c r="X8" s="290">
        <f>'入學要求'!P217</f>
        <v>0</v>
      </c>
      <c r="Y8" s="290">
        <f>'入學要求'!Q217</f>
        <v>0</v>
      </c>
      <c r="Z8" s="205"/>
      <c r="AA8" s="288" t="str">
        <f>IF($Z$2="2018年",'Offer Statistics'!CF8,IF($Z$2="2019年",'Offer Statistics'!CF34,IF($Z$2="2020年",'Offer Statistics'!CF60)))</f>
        <v>/</v>
      </c>
      <c r="AB8" s="291" t="str">
        <f>IF($Z$2="2018年",'Offer Statistics'!CA8,IF($Z$2="2019年",'Offer Statistics'!CA34,IF($Z$2="2020年",'Offer Statistics'!CA60)))</f>
        <v>/</v>
      </c>
      <c r="AC8" s="291" t="str">
        <f>IF($Z$2="2018年",'Offer Statistics'!CB8,IF($Z$2="2019年",'Offer Statistics'!CB34,IF($Z$2="2020年",'Offer Statistics'!CB60)))</f>
        <v>/</v>
      </c>
      <c r="AD8" s="291" t="str">
        <f>IF($Z$2="2018年",'Offer Statistics'!CC8,IF($Z$2="2019年",'Offer Statistics'!CC34,IF($Z$2="2020年",'Offer Statistics'!CC60)))</f>
        <v>/</v>
      </c>
      <c r="AE8" s="291" t="str">
        <f>IF($Z$2="2018年",'Offer Statistics'!CD8,IF($Z$2="2019年",'Offer Statistics'!CD34,IF($Z$2="2020年",'Offer Statistics'!CD60)))</f>
        <v>/</v>
      </c>
      <c r="AF8" s="291" t="str">
        <f>IF($Z$2="2018年",'Offer Statistics'!CE8,IF($Z$2="2019年",'Offer Statistics'!CE34,IF($Z$2="2020年",'Offer Statistics'!CE60)))</f>
        <v>/</v>
      </c>
      <c r="AG8" s="205"/>
      <c r="AH8" s="288" t="str">
        <f>IF($Z$2="2018年",'Offer Statistics'!BX8,IF($Z$2="2019年",'Offer Statistics'!BX34,IF($Z$2="2020年",'Offer Statistics'!BX60)))</f>
        <v>/</v>
      </c>
      <c r="AI8" s="291" t="str">
        <f>IF($Z$2="2018年",'Offer Statistics'!BS8,IF($Z$2="2019年",'Offer Statistics'!BS34,IF($Z$2="2020年",'Offer Statistics'!BS60)))</f>
        <v>/</v>
      </c>
      <c r="AJ8" s="291" t="str">
        <f>IF($Z$2="2018年",'Offer Statistics'!BT8,IF($Z$2="2019年",'Offer Statistics'!BT34,IF($Z$2="2020年",'Offer Statistics'!BT60)))</f>
        <v>/</v>
      </c>
      <c r="AK8" s="291" t="str">
        <f>IF($Z$2="2018年",'Offer Statistics'!BU8,IF($Z$2="2019年",'Offer Statistics'!BU34,IF($Z$2="2020年",'Offer Statistics'!BU60)))</f>
        <v>/</v>
      </c>
      <c r="AL8" s="291" t="str">
        <f>IF($Z$2="2018年",'Offer Statistics'!BV8,IF($Z$2="2019年",'Offer Statistics'!BV34,IF($Z$2="2020年",'Offer Statistics'!BV60)))</f>
        <v>/</v>
      </c>
      <c r="AM8" s="291" t="str">
        <f>IF($Z$2="2018年",'Offer Statistics'!BW8,IF($Z$2="2019年",'Offer Statistics'!BW34,IF($Z$2="2020年",'Offer Statistics'!BW60)))</f>
        <v>/</v>
      </c>
      <c r="AN8" s="282"/>
      <c r="AO8" s="283" t="str">
        <f t="shared" si="3"/>
        <v>JS5282</v>
      </c>
    </row>
    <row r="9" ht="18.0" customHeight="1">
      <c r="A9" s="142" t="s">
        <v>615</v>
      </c>
      <c r="B9" s="142" t="s">
        <v>1051</v>
      </c>
      <c r="C9" s="142" t="s">
        <v>616</v>
      </c>
      <c r="D9" s="142" t="s">
        <v>1477</v>
      </c>
      <c r="E9" s="308" t="s">
        <v>617</v>
      </c>
      <c r="F9" s="199">
        <v>35.0</v>
      </c>
      <c r="G9" s="199">
        <v>34.0</v>
      </c>
      <c r="H9" s="200">
        <f>'計分版'!D235</f>
        <v>0.000000004</v>
      </c>
      <c r="I9" s="201">
        <f t="shared" ref="I9:I15" si="6">IF(I$1="差距(Median)",H9-F9,IF(I$1="差距(UQ)",H9-#REF!,IF(I$1="差距(LQ)",H9-G9)))</f>
        <v>-35</v>
      </c>
      <c r="J9" s="202">
        <f t="shared" ref="J9:J15" si="7">IF(I$1="差距(Median)",(H9-F9)/H9,IF(I$1="差距(UQ)",(H9-#REF!)/H9,IF(I$1="差距(LQ)",(H9-G9)/H9)))</f>
        <v>-8749999999</v>
      </c>
      <c r="K9" s="132">
        <v>385.0</v>
      </c>
      <c r="L9" s="309">
        <f>'入學要求'!S218</f>
        <v>0</v>
      </c>
      <c r="M9" s="131" t="s">
        <v>1077</v>
      </c>
      <c r="N9" s="163">
        <v>3.0</v>
      </c>
      <c r="O9" s="163">
        <v>4.0</v>
      </c>
      <c r="P9" s="163">
        <v>3.0</v>
      </c>
      <c r="Q9" s="163">
        <v>2.0</v>
      </c>
      <c r="R9" s="163">
        <v>3.0</v>
      </c>
      <c r="S9" s="163">
        <v>3.0</v>
      </c>
      <c r="T9" s="292">
        <f>'入學要求'!L218</f>
        <v>0</v>
      </c>
      <c r="U9" s="292">
        <f>'入學要求'!M218</f>
        <v>0</v>
      </c>
      <c r="V9" s="292">
        <f>'入學要求'!N218</f>
        <v>0</v>
      </c>
      <c r="W9" s="292">
        <f>'入學要求'!O218</f>
        <v>0</v>
      </c>
      <c r="X9" s="292">
        <f>'入學要求'!P218</f>
        <v>0</v>
      </c>
      <c r="Y9" s="292">
        <f>'入學要求'!Q218</f>
        <v>0</v>
      </c>
      <c r="Z9" s="205"/>
      <c r="AA9" s="132">
        <f>IF($Z$2="2018年",'Offer Statistics'!CF9,IF($Z$2="2019年",'Offer Statistics'!CF35,IF($Z$2="2020年",'Offer Statistics'!CF61)))</f>
        <v>295</v>
      </c>
      <c r="AB9" s="206">
        <f>IF($Z$2="2018年",'Offer Statistics'!CA9,IF($Z$2="2019年",'Offer Statistics'!CA35,IF($Z$2="2020年",'Offer Statistics'!CA61)))</f>
        <v>295</v>
      </c>
      <c r="AC9" s="206">
        <f>IF($Z$2="2018年",'Offer Statistics'!CB9,IF($Z$2="2019年",'Offer Statistics'!CB35,IF($Z$2="2020年",'Offer Statistics'!CB61)))</f>
        <v>0</v>
      </c>
      <c r="AD9" s="206">
        <f>IF($Z$2="2018年",'Offer Statistics'!CC9,IF($Z$2="2019年",'Offer Statistics'!CC35,IF($Z$2="2020年",'Offer Statistics'!CC61)))</f>
        <v>0</v>
      </c>
      <c r="AE9" s="206">
        <f>IF($Z$2="2018年",'Offer Statistics'!CD9,IF($Z$2="2019年",'Offer Statistics'!CD35,IF($Z$2="2020年",'Offer Statistics'!CD61)))</f>
        <v>0</v>
      </c>
      <c r="AF9" s="206">
        <f>IF($Z$2="2018年",'Offer Statistics'!CE9,IF($Z$2="2019年",'Offer Statistics'!CE35,IF($Z$2="2020年",'Offer Statistics'!CE61)))</f>
        <v>0</v>
      </c>
      <c r="AG9" s="205"/>
      <c r="AH9" s="132">
        <f>IF($Z$2="2018年",'Offer Statistics'!BX9,IF($Z$2="2019年",'Offer Statistics'!BX35,IF($Z$2="2020年",'Offer Statistics'!BX61)))</f>
        <v>3260</v>
      </c>
      <c r="AI9" s="206">
        <f>IF($Z$2="2018年",'Offer Statistics'!BS9,IF($Z$2="2019年",'Offer Statistics'!BS35,IF($Z$2="2020年",'Offer Statistics'!BS61)))</f>
        <v>1038</v>
      </c>
      <c r="AJ9" s="206">
        <f>IF($Z$2="2018年",'Offer Statistics'!BT9,IF($Z$2="2019年",'Offer Statistics'!BT35,IF($Z$2="2020年",'Offer Statistics'!BT61)))</f>
        <v>382</v>
      </c>
      <c r="AK9" s="206">
        <f>IF($Z$2="2018年",'Offer Statistics'!BU9,IF($Z$2="2019年",'Offer Statistics'!BU35,IF($Z$2="2020年",'Offer Statistics'!BU61)))</f>
        <v>517</v>
      </c>
      <c r="AL9" s="206">
        <f>IF($Z$2="2018年",'Offer Statistics'!BV9,IF($Z$2="2019年",'Offer Statistics'!BV35,IF($Z$2="2020年",'Offer Statistics'!BV61)))</f>
        <v>687</v>
      </c>
      <c r="AM9" s="206">
        <f>IF($Z$2="2018年",'Offer Statistics'!BW9,IF($Z$2="2019年",'Offer Statistics'!BW35,IF($Z$2="2020年",'Offer Statistics'!BW61)))</f>
        <v>636</v>
      </c>
      <c r="AN9" s="142"/>
      <c r="AO9" s="131" t="str">
        <f t="shared" si="3"/>
        <v>JS5300</v>
      </c>
    </row>
    <row r="10" ht="18.0" customHeight="1">
      <c r="A10" s="282" t="s">
        <v>620</v>
      </c>
      <c r="B10" s="282" t="s">
        <v>1051</v>
      </c>
      <c r="C10" s="282" t="s">
        <v>621</v>
      </c>
      <c r="D10" s="282" t="s">
        <v>1478</v>
      </c>
      <c r="E10" s="305" t="s">
        <v>617</v>
      </c>
      <c r="F10" s="284">
        <v>37.0</v>
      </c>
      <c r="G10" s="284">
        <v>35.0</v>
      </c>
      <c r="H10" s="285">
        <f>'計分版'!D236</f>
        <v>0.000000004</v>
      </c>
      <c r="I10" s="306">
        <f t="shared" si="6"/>
        <v>-37</v>
      </c>
      <c r="J10" s="307">
        <f t="shared" si="7"/>
        <v>-9249999999</v>
      </c>
      <c r="K10" s="288">
        <v>125.0</v>
      </c>
      <c r="L10" s="289">
        <f>'入學要求'!S219</f>
        <v>0</v>
      </c>
      <c r="M10" s="283" t="s">
        <v>1077</v>
      </c>
      <c r="N10" s="283">
        <v>3.0</v>
      </c>
      <c r="O10" s="283">
        <v>4.0</v>
      </c>
      <c r="P10" s="283">
        <v>3.0</v>
      </c>
      <c r="Q10" s="283">
        <v>2.0</v>
      </c>
      <c r="R10" s="283">
        <v>3.0</v>
      </c>
      <c r="S10" s="283">
        <v>3.0</v>
      </c>
      <c r="T10" s="290">
        <f>'入學要求'!L219</f>
        <v>0</v>
      </c>
      <c r="U10" s="290">
        <f>'入學要求'!M219</f>
        <v>0</v>
      </c>
      <c r="V10" s="290">
        <f>'入學要求'!N219</f>
        <v>0</v>
      </c>
      <c r="W10" s="290">
        <f>'入學要求'!O219</f>
        <v>0</v>
      </c>
      <c r="X10" s="290">
        <f>'入學要求'!P219</f>
        <v>0</v>
      </c>
      <c r="Y10" s="290">
        <f>'入學要求'!Q219</f>
        <v>0</v>
      </c>
      <c r="Z10" s="205"/>
      <c r="AA10" s="288">
        <f>IF($Z$2="2018年",'Offer Statistics'!CF10,IF($Z$2="2019年",'Offer Statistics'!CF36,IF($Z$2="2020年",'Offer Statistics'!CF62)))</f>
        <v>15</v>
      </c>
      <c r="AB10" s="291">
        <f>IF($Z$2="2018年",'Offer Statistics'!CA10,IF($Z$2="2019年",'Offer Statistics'!CA36,IF($Z$2="2020年",'Offer Statistics'!CA62)))</f>
        <v>15</v>
      </c>
      <c r="AC10" s="291">
        <f>IF($Z$2="2018年",'Offer Statistics'!CB10,IF($Z$2="2019年",'Offer Statistics'!CB36,IF($Z$2="2020年",'Offer Statistics'!CB62)))</f>
        <v>0</v>
      </c>
      <c r="AD10" s="291">
        <f>IF($Z$2="2018年",'Offer Statistics'!CC10,IF($Z$2="2019年",'Offer Statistics'!CC36,IF($Z$2="2020年",'Offer Statistics'!CC62)))</f>
        <v>0</v>
      </c>
      <c r="AE10" s="291">
        <f>IF($Z$2="2018年",'Offer Statistics'!CD10,IF($Z$2="2019年",'Offer Statistics'!CD36,IF($Z$2="2020年",'Offer Statistics'!CD62)))</f>
        <v>0</v>
      </c>
      <c r="AF10" s="291">
        <f>IF($Z$2="2018年",'Offer Statistics'!CE10,IF($Z$2="2019年",'Offer Statistics'!CE36,IF($Z$2="2020年",'Offer Statistics'!CE62)))</f>
        <v>0</v>
      </c>
      <c r="AG10" s="205"/>
      <c r="AH10" s="288">
        <f>IF($Z$2="2018年",'Offer Statistics'!BX10,IF($Z$2="2019年",'Offer Statistics'!BX36,IF($Z$2="2020年",'Offer Statistics'!BX62)))</f>
        <v>1115</v>
      </c>
      <c r="AI10" s="291">
        <f>IF($Z$2="2018年",'Offer Statistics'!BS10,IF($Z$2="2019年",'Offer Statistics'!BS36,IF($Z$2="2020年",'Offer Statistics'!BS62)))</f>
        <v>65</v>
      </c>
      <c r="AJ10" s="291">
        <f>IF($Z$2="2018年",'Offer Statistics'!BT10,IF($Z$2="2019年",'Offer Statistics'!BT36,IF($Z$2="2020年",'Offer Statistics'!BT62)))</f>
        <v>131</v>
      </c>
      <c r="AK10" s="291">
        <f>IF($Z$2="2018年",'Offer Statistics'!BU10,IF($Z$2="2019年",'Offer Statistics'!BU36,IF($Z$2="2020年",'Offer Statistics'!BU62)))</f>
        <v>244</v>
      </c>
      <c r="AL10" s="291">
        <f>IF($Z$2="2018年",'Offer Statistics'!BV10,IF($Z$2="2019年",'Offer Statistics'!BV36,IF($Z$2="2020年",'Offer Statistics'!BV62)))</f>
        <v>369</v>
      </c>
      <c r="AM10" s="291">
        <f>IF($Z$2="2018年",'Offer Statistics'!BW10,IF($Z$2="2019年",'Offer Statistics'!BW36,IF($Z$2="2020年",'Offer Statistics'!BW62)))</f>
        <v>306</v>
      </c>
      <c r="AN10" s="282"/>
      <c r="AO10" s="283" t="str">
        <f t="shared" si="3"/>
        <v>JS5311</v>
      </c>
    </row>
    <row r="11" ht="18.0" customHeight="1">
      <c r="A11" s="142" t="s">
        <v>623</v>
      </c>
      <c r="B11" s="142" t="s">
        <v>1051</v>
      </c>
      <c r="C11" s="142" t="s">
        <v>624</v>
      </c>
      <c r="D11" s="142" t="s">
        <v>1479</v>
      </c>
      <c r="E11" s="308" t="s">
        <v>617</v>
      </c>
      <c r="F11" s="199">
        <v>44.0</v>
      </c>
      <c r="G11" s="199">
        <v>43.0</v>
      </c>
      <c r="H11" s="200">
        <f>'計分版'!D237</f>
        <v>0.00000000415</v>
      </c>
      <c r="I11" s="201">
        <f t="shared" si="6"/>
        <v>-44</v>
      </c>
      <c r="J11" s="202">
        <f t="shared" si="7"/>
        <v>-10602409638</v>
      </c>
      <c r="K11" s="132">
        <v>30.0</v>
      </c>
      <c r="L11" s="309">
        <f>'入學要求'!S220</f>
        <v>0</v>
      </c>
      <c r="M11" s="131" t="s">
        <v>1077</v>
      </c>
      <c r="N11" s="163">
        <v>3.0</v>
      </c>
      <c r="O11" s="163">
        <v>4.0</v>
      </c>
      <c r="P11" s="163">
        <v>3.0</v>
      </c>
      <c r="Q11" s="163">
        <v>2.0</v>
      </c>
      <c r="R11" s="163">
        <v>3.0</v>
      </c>
      <c r="S11" s="163">
        <v>3.0</v>
      </c>
      <c r="T11" s="292">
        <f>'入學要求'!L220</f>
        <v>0</v>
      </c>
      <c r="U11" s="292">
        <f>'入學要求'!M220</f>
        <v>0</v>
      </c>
      <c r="V11" s="292">
        <f>'入學要求'!N220</f>
        <v>0</v>
      </c>
      <c r="W11" s="292">
        <f>'入學要求'!O220</f>
        <v>0</v>
      </c>
      <c r="X11" s="292">
        <f>'入學要求'!P220</f>
        <v>0</v>
      </c>
      <c r="Y11" s="292">
        <f>'入學要求'!Q220</f>
        <v>0</v>
      </c>
      <c r="Z11" s="205"/>
      <c r="AA11" s="132">
        <f>IF($Z$2="2018年",'Offer Statistics'!CF11,IF($Z$2="2019年",'Offer Statistics'!CF37,IF($Z$2="2020年",'Offer Statistics'!CF63)))</f>
        <v>45</v>
      </c>
      <c r="AB11" s="206">
        <f>IF($Z$2="2018年",'Offer Statistics'!CA11,IF($Z$2="2019年",'Offer Statistics'!CA37,IF($Z$2="2020年",'Offer Statistics'!CA63)))</f>
        <v>45</v>
      </c>
      <c r="AC11" s="206">
        <f>IF($Z$2="2018年",'Offer Statistics'!CB11,IF($Z$2="2019年",'Offer Statistics'!CB37,IF($Z$2="2020年",'Offer Statistics'!CB63)))</f>
        <v>0</v>
      </c>
      <c r="AD11" s="206">
        <f>IF($Z$2="2018年",'Offer Statistics'!CC11,IF($Z$2="2019年",'Offer Statistics'!CC37,IF($Z$2="2020年",'Offer Statistics'!CC63)))</f>
        <v>0</v>
      </c>
      <c r="AE11" s="206">
        <f>IF($Z$2="2018年",'Offer Statistics'!CD11,IF($Z$2="2019年",'Offer Statistics'!CD37,IF($Z$2="2020年",'Offer Statistics'!CD63)))</f>
        <v>0</v>
      </c>
      <c r="AF11" s="206">
        <f>IF($Z$2="2018年",'Offer Statistics'!CE11,IF($Z$2="2019年",'Offer Statistics'!CE37,IF($Z$2="2020年",'Offer Statistics'!CE63)))</f>
        <v>0</v>
      </c>
      <c r="AG11" s="205"/>
      <c r="AH11" s="132">
        <f>IF($Z$2="2018年",'Offer Statistics'!BX11,IF($Z$2="2019年",'Offer Statistics'!BX37,IF($Z$2="2020年",'Offer Statistics'!BX63)))</f>
        <v>981</v>
      </c>
      <c r="AI11" s="206">
        <f>IF($Z$2="2018年",'Offer Statistics'!BS11,IF($Z$2="2019年",'Offer Statistics'!BS37,IF($Z$2="2020年",'Offer Statistics'!BS63)))</f>
        <v>115</v>
      </c>
      <c r="AJ11" s="206">
        <f>IF($Z$2="2018年",'Offer Statistics'!BT11,IF($Z$2="2019年",'Offer Statistics'!BT37,IF($Z$2="2020年",'Offer Statistics'!BT63)))</f>
        <v>79</v>
      </c>
      <c r="AK11" s="206">
        <f>IF($Z$2="2018年",'Offer Statistics'!BU11,IF($Z$2="2019年",'Offer Statistics'!BU37,IF($Z$2="2020年",'Offer Statistics'!BU63)))</f>
        <v>209</v>
      </c>
      <c r="AL11" s="206">
        <f>IF($Z$2="2018年",'Offer Statistics'!BV11,IF($Z$2="2019年",'Offer Statistics'!BV37,IF($Z$2="2020年",'Offer Statistics'!BV63)))</f>
        <v>314</v>
      </c>
      <c r="AM11" s="206">
        <f>IF($Z$2="2018年",'Offer Statistics'!BW11,IF($Z$2="2019年",'Offer Statistics'!BW37,IF($Z$2="2020年",'Offer Statistics'!BW63)))</f>
        <v>264</v>
      </c>
      <c r="AN11" s="142"/>
      <c r="AO11" s="131" t="str">
        <f t="shared" si="3"/>
        <v>JS5312</v>
      </c>
    </row>
    <row r="12" ht="18.0" customHeight="1">
      <c r="A12" s="282" t="s">
        <v>625</v>
      </c>
      <c r="B12" s="282" t="s">
        <v>1051</v>
      </c>
      <c r="C12" s="282" t="s">
        <v>626</v>
      </c>
      <c r="D12" s="282" t="s">
        <v>1480</v>
      </c>
      <c r="E12" s="305" t="s">
        <v>617</v>
      </c>
      <c r="F12" s="284">
        <v>49.0</v>
      </c>
      <c r="G12" s="284">
        <v>47.0</v>
      </c>
      <c r="H12" s="285">
        <f>'計分版'!D238</f>
        <v>0.000000004</v>
      </c>
      <c r="I12" s="306">
        <f t="shared" si="6"/>
        <v>-49</v>
      </c>
      <c r="J12" s="307">
        <f t="shared" si="7"/>
        <v>-12249999999</v>
      </c>
      <c r="K12" s="288">
        <v>26.0</v>
      </c>
      <c r="L12" s="289">
        <f>'入學要求'!S221</f>
        <v>0</v>
      </c>
      <c r="M12" s="288" t="s">
        <v>1188</v>
      </c>
      <c r="N12" s="283">
        <v>3.0</v>
      </c>
      <c r="O12" s="283">
        <v>4.0</v>
      </c>
      <c r="P12" s="283">
        <v>3.0</v>
      </c>
      <c r="Q12" s="283">
        <v>2.0</v>
      </c>
      <c r="R12" s="283">
        <v>3.0</v>
      </c>
      <c r="S12" s="283">
        <v>3.0</v>
      </c>
      <c r="T12" s="290">
        <f>'入學要求'!L221</f>
        <v>0</v>
      </c>
      <c r="U12" s="290">
        <f>'入學要求'!M221</f>
        <v>0</v>
      </c>
      <c r="V12" s="290">
        <f>'入學要求'!N221</f>
        <v>0</v>
      </c>
      <c r="W12" s="290">
        <f>'入學要求'!O221</f>
        <v>0</v>
      </c>
      <c r="X12" s="290">
        <f>'入學要求'!P221</f>
        <v>0</v>
      </c>
      <c r="Y12" s="290">
        <f>'入學要求'!Q221</f>
        <v>0</v>
      </c>
      <c r="Z12" s="205"/>
      <c r="AA12" s="288">
        <f>IF($Z$2="2018年",'Offer Statistics'!CF12,IF($Z$2="2019年",'Offer Statistics'!CF38,IF($Z$2="2020年",'Offer Statistics'!CF64)))</f>
        <v>20</v>
      </c>
      <c r="AB12" s="291">
        <f>IF($Z$2="2018年",'Offer Statistics'!CA12,IF($Z$2="2019年",'Offer Statistics'!CA38,IF($Z$2="2020年",'Offer Statistics'!CA64)))</f>
        <v>20</v>
      </c>
      <c r="AC12" s="291">
        <f>IF($Z$2="2018年",'Offer Statistics'!CB12,IF($Z$2="2019年",'Offer Statistics'!CB38,IF($Z$2="2020年",'Offer Statistics'!CB64)))</f>
        <v>0</v>
      </c>
      <c r="AD12" s="291">
        <f>IF($Z$2="2018年",'Offer Statistics'!CC12,IF($Z$2="2019年",'Offer Statistics'!CC38,IF($Z$2="2020年",'Offer Statistics'!CC64)))</f>
        <v>0</v>
      </c>
      <c r="AE12" s="291">
        <f>IF($Z$2="2018年",'Offer Statistics'!CD12,IF($Z$2="2019年",'Offer Statistics'!CD38,IF($Z$2="2020年",'Offer Statistics'!CD64)))</f>
        <v>0</v>
      </c>
      <c r="AF12" s="291">
        <f>IF($Z$2="2018年",'Offer Statistics'!CE12,IF($Z$2="2019年",'Offer Statistics'!CE38,IF($Z$2="2020年",'Offer Statistics'!CE64)))</f>
        <v>0</v>
      </c>
      <c r="AG12" s="205"/>
      <c r="AH12" s="288">
        <f>IF($Z$2="2018年",'Offer Statistics'!BX12,IF($Z$2="2019年",'Offer Statistics'!BX38,IF($Z$2="2020年",'Offer Statistics'!BX64)))</f>
        <v>573</v>
      </c>
      <c r="AI12" s="291">
        <f>IF($Z$2="2018年",'Offer Statistics'!BS12,IF($Z$2="2019年",'Offer Statistics'!BS38,IF($Z$2="2020年",'Offer Statistics'!BS64)))</f>
        <v>73</v>
      </c>
      <c r="AJ12" s="291">
        <f>IF($Z$2="2018年",'Offer Statistics'!BT12,IF($Z$2="2019年",'Offer Statistics'!BT38,IF($Z$2="2020年",'Offer Statistics'!BT64)))</f>
        <v>57</v>
      </c>
      <c r="AK12" s="291">
        <f>IF($Z$2="2018年",'Offer Statistics'!BU12,IF($Z$2="2019年",'Offer Statistics'!BU38,IF($Z$2="2020年",'Offer Statistics'!BU64)))</f>
        <v>83</v>
      </c>
      <c r="AL12" s="291">
        <f>IF($Z$2="2018年",'Offer Statistics'!BV12,IF($Z$2="2019年",'Offer Statistics'!BV38,IF($Z$2="2020年",'Offer Statistics'!BV64)))</f>
        <v>166</v>
      </c>
      <c r="AM12" s="291">
        <f>IF($Z$2="2018年",'Offer Statistics'!BW12,IF($Z$2="2019年",'Offer Statistics'!BW38,IF($Z$2="2020年",'Offer Statistics'!BW64)))</f>
        <v>194</v>
      </c>
      <c r="AN12" s="282"/>
      <c r="AO12" s="283" t="str">
        <f t="shared" si="3"/>
        <v>JS5313</v>
      </c>
    </row>
    <row r="13" ht="18.0" customHeight="1">
      <c r="A13" s="142" t="s">
        <v>627</v>
      </c>
      <c r="B13" s="142" t="s">
        <v>1051</v>
      </c>
      <c r="C13" s="142" t="s">
        <v>628</v>
      </c>
      <c r="D13" s="142" t="s">
        <v>1101</v>
      </c>
      <c r="E13" s="308" t="s">
        <v>617</v>
      </c>
      <c r="F13" s="199">
        <v>39.0</v>
      </c>
      <c r="G13" s="199">
        <v>36.0</v>
      </c>
      <c r="H13" s="200">
        <f>'計分版'!D239</f>
        <v>0.000000004</v>
      </c>
      <c r="I13" s="201">
        <f t="shared" si="6"/>
        <v>-39</v>
      </c>
      <c r="J13" s="202">
        <f t="shared" si="7"/>
        <v>-9749999999</v>
      </c>
      <c r="K13" s="196" t="s">
        <v>1481</v>
      </c>
      <c r="L13" s="309">
        <f>'入學要求'!S222</f>
        <v>0</v>
      </c>
      <c r="M13" s="131" t="s">
        <v>1077</v>
      </c>
      <c r="N13" s="163">
        <v>3.0</v>
      </c>
      <c r="O13" s="163">
        <v>4.0</v>
      </c>
      <c r="P13" s="163">
        <v>3.0</v>
      </c>
      <c r="Q13" s="163">
        <v>2.0</v>
      </c>
      <c r="R13" s="163">
        <v>3.0</v>
      </c>
      <c r="S13" s="163">
        <v>3.0</v>
      </c>
      <c r="T13" s="292">
        <f>'入學要求'!L222</f>
        <v>0</v>
      </c>
      <c r="U13" s="292">
        <f>'入學要求'!M222</f>
        <v>0</v>
      </c>
      <c r="V13" s="292">
        <f>'入學要求'!N222</f>
        <v>0</v>
      </c>
      <c r="W13" s="292">
        <f>'入學要求'!O222</f>
        <v>0</v>
      </c>
      <c r="X13" s="292">
        <f>'入學要求'!P222</f>
        <v>0</v>
      </c>
      <c r="Y13" s="292">
        <f>'入學要求'!Q222</f>
        <v>0</v>
      </c>
      <c r="Z13" s="205"/>
      <c r="AA13" s="132">
        <f>IF($Z$2="2018年",'Offer Statistics'!CF13,IF($Z$2="2019年",'Offer Statistics'!CF39,IF($Z$2="2020年",'Offer Statistics'!CF65)))</f>
        <v>32</v>
      </c>
      <c r="AB13" s="206">
        <f>IF($Z$2="2018年",'Offer Statistics'!CA13,IF($Z$2="2019年",'Offer Statistics'!CA39,IF($Z$2="2020年",'Offer Statistics'!CA65)))</f>
        <v>32</v>
      </c>
      <c r="AC13" s="206">
        <f>IF($Z$2="2018年",'Offer Statistics'!CB13,IF($Z$2="2019年",'Offer Statistics'!CB39,IF($Z$2="2020年",'Offer Statistics'!CB65)))</f>
        <v>0</v>
      </c>
      <c r="AD13" s="206">
        <f>IF($Z$2="2018年",'Offer Statistics'!CC13,IF($Z$2="2019年",'Offer Statistics'!CC39,IF($Z$2="2020年",'Offer Statistics'!CC65)))</f>
        <v>0</v>
      </c>
      <c r="AE13" s="206">
        <f>IF($Z$2="2018年",'Offer Statistics'!CD13,IF($Z$2="2019年",'Offer Statistics'!CD39,IF($Z$2="2020年",'Offer Statistics'!CD65)))</f>
        <v>0</v>
      </c>
      <c r="AF13" s="206">
        <f>IF($Z$2="2018年",'Offer Statistics'!CE13,IF($Z$2="2019年",'Offer Statistics'!CE39,IF($Z$2="2020年",'Offer Statistics'!CE65)))</f>
        <v>0</v>
      </c>
      <c r="AG13" s="205"/>
      <c r="AH13" s="132">
        <f>IF($Z$2="2018年",'Offer Statistics'!BX13,IF($Z$2="2019年",'Offer Statistics'!BX39,IF($Z$2="2020年",'Offer Statistics'!BX65)))</f>
        <v>784</v>
      </c>
      <c r="AI13" s="206">
        <f>IF($Z$2="2018年",'Offer Statistics'!BS13,IF($Z$2="2019年",'Offer Statistics'!BS39,IF($Z$2="2020年",'Offer Statistics'!BS65)))</f>
        <v>106</v>
      </c>
      <c r="AJ13" s="206">
        <f>IF($Z$2="2018年",'Offer Statistics'!BT13,IF($Z$2="2019年",'Offer Statistics'!BT39,IF($Z$2="2020年",'Offer Statistics'!BT65)))</f>
        <v>87</v>
      </c>
      <c r="AK13" s="206">
        <f>IF($Z$2="2018年",'Offer Statistics'!BU13,IF($Z$2="2019年",'Offer Statistics'!BU39,IF($Z$2="2020年",'Offer Statistics'!BU65)))</f>
        <v>153</v>
      </c>
      <c r="AL13" s="206">
        <f>IF($Z$2="2018年",'Offer Statistics'!BV13,IF($Z$2="2019年",'Offer Statistics'!BV39,IF($Z$2="2020年",'Offer Statistics'!BV65)))</f>
        <v>226</v>
      </c>
      <c r="AM13" s="206">
        <f>IF($Z$2="2018年",'Offer Statistics'!BW13,IF($Z$2="2019年",'Offer Statistics'!BW39,IF($Z$2="2020年",'Offer Statistics'!BW65)))</f>
        <v>212</v>
      </c>
      <c r="AN13" s="142"/>
      <c r="AO13" s="131" t="str">
        <f t="shared" si="3"/>
        <v>JS5314</v>
      </c>
    </row>
    <row r="14" ht="18.0" customHeight="1">
      <c r="A14" s="282" t="s">
        <v>629</v>
      </c>
      <c r="B14" s="282" t="s">
        <v>1051</v>
      </c>
      <c r="C14" s="282" t="s">
        <v>630</v>
      </c>
      <c r="D14" s="282" t="s">
        <v>1482</v>
      </c>
      <c r="E14" s="305" t="s">
        <v>617</v>
      </c>
      <c r="F14" s="284">
        <v>37.0</v>
      </c>
      <c r="G14" s="284">
        <v>35.0</v>
      </c>
      <c r="H14" s="285">
        <f>'計分版'!D240</f>
        <v>0.000000004</v>
      </c>
      <c r="I14" s="306">
        <f t="shared" si="6"/>
        <v>-37</v>
      </c>
      <c r="J14" s="307">
        <f t="shared" si="7"/>
        <v>-9249999999</v>
      </c>
      <c r="K14" s="205"/>
      <c r="L14" s="289">
        <f>'入學要求'!S223</f>
        <v>0</v>
      </c>
      <c r="M14" s="283" t="s">
        <v>1077</v>
      </c>
      <c r="N14" s="283">
        <v>3.0</v>
      </c>
      <c r="O14" s="283">
        <v>4.0</v>
      </c>
      <c r="P14" s="283">
        <v>3.0</v>
      </c>
      <c r="Q14" s="283">
        <v>2.0</v>
      </c>
      <c r="R14" s="283">
        <v>3.0</v>
      </c>
      <c r="S14" s="283">
        <v>3.0</v>
      </c>
      <c r="T14" s="290">
        <f>'入學要求'!L223</f>
        <v>0</v>
      </c>
      <c r="U14" s="290">
        <f>'入學要求'!M223</f>
        <v>0</v>
      </c>
      <c r="V14" s="290">
        <f>'入學要求'!N223</f>
        <v>0</v>
      </c>
      <c r="W14" s="290">
        <f>'入學要求'!O223</f>
        <v>0</v>
      </c>
      <c r="X14" s="290">
        <f>'入學要求'!P223</f>
        <v>0</v>
      </c>
      <c r="Y14" s="290">
        <f>'入學要求'!Q223</f>
        <v>0</v>
      </c>
      <c r="Z14" s="205"/>
      <c r="AA14" s="288">
        <f>IF($Z$2="2018年",'Offer Statistics'!CF14,IF($Z$2="2019年",'Offer Statistics'!CF40,IF($Z$2="2020年",'Offer Statistics'!CF66)))</f>
        <v>10</v>
      </c>
      <c r="AB14" s="291">
        <f>IF($Z$2="2018年",'Offer Statistics'!CA14,IF($Z$2="2019年",'Offer Statistics'!CA40,IF($Z$2="2020年",'Offer Statistics'!CA66)))</f>
        <v>10</v>
      </c>
      <c r="AC14" s="291">
        <f>IF($Z$2="2018年",'Offer Statistics'!CB14,IF($Z$2="2019年",'Offer Statistics'!CB40,IF($Z$2="2020年",'Offer Statistics'!CB66)))</f>
        <v>0</v>
      </c>
      <c r="AD14" s="291">
        <f>IF($Z$2="2018年",'Offer Statistics'!CC14,IF($Z$2="2019年",'Offer Statistics'!CC40,IF($Z$2="2020年",'Offer Statistics'!CC66)))</f>
        <v>0</v>
      </c>
      <c r="AE14" s="291">
        <f>IF($Z$2="2018年",'Offer Statistics'!CD14,IF($Z$2="2019年",'Offer Statistics'!CD40,IF($Z$2="2020年",'Offer Statistics'!CD66)))</f>
        <v>0</v>
      </c>
      <c r="AF14" s="291">
        <f>IF($Z$2="2018年",'Offer Statistics'!CE14,IF($Z$2="2019年",'Offer Statistics'!CE40,IF($Z$2="2020年",'Offer Statistics'!CE66)))</f>
        <v>0</v>
      </c>
      <c r="AG14" s="205"/>
      <c r="AH14" s="288">
        <f>IF($Z$2="2018年",'Offer Statistics'!BX14,IF($Z$2="2019年",'Offer Statistics'!BX40,IF($Z$2="2020年",'Offer Statistics'!BX66)))</f>
        <v>1651</v>
      </c>
      <c r="AI14" s="291">
        <f>IF($Z$2="2018年",'Offer Statistics'!BS14,IF($Z$2="2019年",'Offer Statistics'!BS40,IF($Z$2="2020年",'Offer Statistics'!BS66)))</f>
        <v>82</v>
      </c>
      <c r="AJ14" s="291">
        <f>IF($Z$2="2018年",'Offer Statistics'!BT14,IF($Z$2="2019年",'Offer Statistics'!BT40,IF($Z$2="2020年",'Offer Statistics'!BT66)))</f>
        <v>187</v>
      </c>
      <c r="AK14" s="291">
        <f>IF($Z$2="2018年",'Offer Statistics'!BU14,IF($Z$2="2019年",'Offer Statistics'!BU40,IF($Z$2="2020年",'Offer Statistics'!BU66)))</f>
        <v>357</v>
      </c>
      <c r="AL14" s="291">
        <f>IF($Z$2="2018年",'Offer Statistics'!BV14,IF($Z$2="2019年",'Offer Statistics'!BV40,IF($Z$2="2020年",'Offer Statistics'!BV66)))</f>
        <v>536</v>
      </c>
      <c r="AM14" s="291">
        <f>IF($Z$2="2018年",'Offer Statistics'!BW14,IF($Z$2="2019年",'Offer Statistics'!BW40,IF($Z$2="2020年",'Offer Statistics'!BW66)))</f>
        <v>489</v>
      </c>
      <c r="AN14" s="282"/>
      <c r="AO14" s="283" t="str">
        <f t="shared" si="3"/>
        <v>JS5315</v>
      </c>
    </row>
    <row r="15" ht="18.0" customHeight="1">
      <c r="A15" s="142" t="s">
        <v>631</v>
      </c>
      <c r="B15" s="142" t="s">
        <v>1051</v>
      </c>
      <c r="C15" s="142" t="s">
        <v>632</v>
      </c>
      <c r="D15" s="142" t="s">
        <v>1483</v>
      </c>
      <c r="E15" s="308" t="s">
        <v>617</v>
      </c>
      <c r="F15" s="199">
        <v>36.0</v>
      </c>
      <c r="G15" s="199">
        <v>35.0</v>
      </c>
      <c r="H15" s="200">
        <f>'計分版'!D241</f>
        <v>0.000000004</v>
      </c>
      <c r="I15" s="201">
        <f t="shared" si="6"/>
        <v>-36</v>
      </c>
      <c r="J15" s="202">
        <f t="shared" si="7"/>
        <v>-8999999999</v>
      </c>
      <c r="K15" s="205"/>
      <c r="L15" s="309">
        <f>'入學要求'!S224</f>
        <v>0</v>
      </c>
      <c r="M15" s="131" t="s">
        <v>1077</v>
      </c>
      <c r="N15" s="163">
        <v>3.0</v>
      </c>
      <c r="O15" s="163">
        <v>4.0</v>
      </c>
      <c r="P15" s="163">
        <v>3.0</v>
      </c>
      <c r="Q15" s="163">
        <v>2.0</v>
      </c>
      <c r="R15" s="163">
        <v>3.0</v>
      </c>
      <c r="S15" s="163">
        <v>3.0</v>
      </c>
      <c r="T15" s="292">
        <f>'入學要求'!L224</f>
        <v>0</v>
      </c>
      <c r="U15" s="292">
        <f>'入學要求'!M224</f>
        <v>0</v>
      </c>
      <c r="V15" s="292">
        <f>'入學要求'!N224</f>
        <v>0</v>
      </c>
      <c r="W15" s="292">
        <f>'入學要求'!O224</f>
        <v>0</v>
      </c>
      <c r="X15" s="292">
        <f>'入學要求'!P224</f>
        <v>0</v>
      </c>
      <c r="Y15" s="292">
        <f>'入學要求'!Q224</f>
        <v>0</v>
      </c>
      <c r="Z15" s="205"/>
      <c r="AA15" s="132">
        <f>IF($Z$2="2018年",'Offer Statistics'!CF15,IF($Z$2="2019年",'Offer Statistics'!CF41,IF($Z$2="2020年",'Offer Statistics'!CF67)))</f>
        <v>17</v>
      </c>
      <c r="AB15" s="206">
        <f>IF($Z$2="2018年",'Offer Statistics'!CA15,IF($Z$2="2019年",'Offer Statistics'!CA41,IF($Z$2="2020年",'Offer Statistics'!CA67)))</f>
        <v>17</v>
      </c>
      <c r="AC15" s="206">
        <f>IF($Z$2="2018年",'Offer Statistics'!CB15,IF($Z$2="2019年",'Offer Statistics'!CB41,IF($Z$2="2020年",'Offer Statistics'!CB67)))</f>
        <v>0</v>
      </c>
      <c r="AD15" s="206">
        <f>IF($Z$2="2018年",'Offer Statistics'!CC15,IF($Z$2="2019年",'Offer Statistics'!CC41,IF($Z$2="2020年",'Offer Statistics'!CC67)))</f>
        <v>0</v>
      </c>
      <c r="AE15" s="206">
        <f>IF($Z$2="2018年",'Offer Statistics'!CD15,IF($Z$2="2019年",'Offer Statistics'!CD41,IF($Z$2="2020年",'Offer Statistics'!CD67)))</f>
        <v>0</v>
      </c>
      <c r="AF15" s="206">
        <f>IF($Z$2="2018年",'Offer Statistics'!CE15,IF($Z$2="2019年",'Offer Statistics'!CE41,IF($Z$2="2020年",'Offer Statistics'!CE67)))</f>
        <v>0</v>
      </c>
      <c r="AG15" s="205"/>
      <c r="AH15" s="132">
        <f>IF($Z$2="2018年",'Offer Statistics'!BX15,IF($Z$2="2019年",'Offer Statistics'!BX41,IF($Z$2="2020年",'Offer Statistics'!BX67)))</f>
        <v>1772</v>
      </c>
      <c r="AI15" s="206">
        <f>IF($Z$2="2018年",'Offer Statistics'!BS15,IF($Z$2="2019年",'Offer Statistics'!BS41,IF($Z$2="2020年",'Offer Statistics'!BS67)))</f>
        <v>134</v>
      </c>
      <c r="AJ15" s="206">
        <f>IF($Z$2="2018年",'Offer Statistics'!BT15,IF($Z$2="2019年",'Offer Statistics'!BT41,IF($Z$2="2020年",'Offer Statistics'!BT67)))</f>
        <v>191</v>
      </c>
      <c r="AK15" s="206">
        <f>IF($Z$2="2018年",'Offer Statistics'!BU15,IF($Z$2="2019年",'Offer Statistics'!BU41,IF($Z$2="2020年",'Offer Statistics'!BU67)))</f>
        <v>380</v>
      </c>
      <c r="AL15" s="206">
        <f>IF($Z$2="2018年",'Offer Statistics'!BV15,IF($Z$2="2019年",'Offer Statistics'!BV41,IF($Z$2="2020年",'Offer Statistics'!BV67)))</f>
        <v>548</v>
      </c>
      <c r="AM15" s="206">
        <f>IF($Z$2="2018年",'Offer Statistics'!BW15,IF($Z$2="2019年",'Offer Statistics'!BW41,IF($Z$2="2020年",'Offer Statistics'!BW67)))</f>
        <v>519</v>
      </c>
      <c r="AN15" s="142"/>
      <c r="AO15" s="131" t="str">
        <f t="shared" si="3"/>
        <v>JS5316</v>
      </c>
    </row>
    <row r="16" ht="18.0" customHeight="1">
      <c r="A16" s="282" t="s">
        <v>633</v>
      </c>
      <c r="B16" s="282" t="s">
        <v>1051</v>
      </c>
      <c r="C16" s="282" t="s">
        <v>634</v>
      </c>
      <c r="D16" s="282" t="s">
        <v>1484</v>
      </c>
      <c r="E16" s="305" t="s">
        <v>617</v>
      </c>
      <c r="F16" s="284" t="s">
        <v>541</v>
      </c>
      <c r="G16" s="284" t="s">
        <v>541</v>
      </c>
      <c r="H16" s="285">
        <f>'計分版'!D242</f>
        <v>0.000000004</v>
      </c>
      <c r="I16" s="286" t="s">
        <v>541</v>
      </c>
      <c r="J16" s="287" t="s">
        <v>541</v>
      </c>
      <c r="K16" s="205"/>
      <c r="L16" s="289">
        <f>'入學要求'!S225</f>
        <v>0</v>
      </c>
      <c r="M16" s="283" t="s">
        <v>1077</v>
      </c>
      <c r="N16" s="283">
        <v>3.0</v>
      </c>
      <c r="O16" s="283">
        <v>4.0</v>
      </c>
      <c r="P16" s="283">
        <v>3.0</v>
      </c>
      <c r="Q16" s="283">
        <v>2.0</v>
      </c>
      <c r="R16" s="283">
        <v>3.0</v>
      </c>
      <c r="S16" s="283">
        <v>3.0</v>
      </c>
      <c r="T16" s="290">
        <f>'入學要求'!L225</f>
        <v>0</v>
      </c>
      <c r="U16" s="290">
        <f>'入學要求'!M225</f>
        <v>0</v>
      </c>
      <c r="V16" s="290">
        <f>'入學要求'!N225</f>
        <v>0</v>
      </c>
      <c r="W16" s="290">
        <f>'入學要求'!O225</f>
        <v>0</v>
      </c>
      <c r="X16" s="290">
        <f>'入學要求'!P225</f>
        <v>0</v>
      </c>
      <c r="Y16" s="290">
        <f>'入學要求'!Q225</f>
        <v>0</v>
      </c>
      <c r="Z16" s="205"/>
      <c r="AA16" s="288">
        <f>IF($Z$2="2018年",'Offer Statistics'!CF16,IF($Z$2="2019年",'Offer Statistics'!CF42,IF($Z$2="2020年",'Offer Statistics'!CF68)))</f>
        <v>3</v>
      </c>
      <c r="AB16" s="291">
        <f>IF($Z$2="2018年",'Offer Statistics'!CA16,IF($Z$2="2019年",'Offer Statistics'!CA42,IF($Z$2="2020年",'Offer Statistics'!CA68)))</f>
        <v>3</v>
      </c>
      <c r="AC16" s="291">
        <f>IF($Z$2="2018年",'Offer Statistics'!CB16,IF($Z$2="2019年",'Offer Statistics'!CB42,IF($Z$2="2020年",'Offer Statistics'!CB68)))</f>
        <v>0</v>
      </c>
      <c r="AD16" s="291">
        <f>IF($Z$2="2018年",'Offer Statistics'!CC16,IF($Z$2="2019年",'Offer Statistics'!CC42,IF($Z$2="2020年",'Offer Statistics'!CC68)))</f>
        <v>0</v>
      </c>
      <c r="AE16" s="291">
        <f>IF($Z$2="2018年",'Offer Statistics'!CD16,IF($Z$2="2019年",'Offer Statistics'!CD42,IF($Z$2="2020年",'Offer Statistics'!CD68)))</f>
        <v>0</v>
      </c>
      <c r="AF16" s="291">
        <f>IF($Z$2="2018年",'Offer Statistics'!CE16,IF($Z$2="2019年",'Offer Statistics'!CE42,IF($Z$2="2020年",'Offer Statistics'!CE68)))</f>
        <v>0</v>
      </c>
      <c r="AG16" s="205"/>
      <c r="AH16" s="288">
        <f>IF($Z$2="2018年",'Offer Statistics'!BX16,IF($Z$2="2019年",'Offer Statistics'!BX42,IF($Z$2="2020年",'Offer Statistics'!BX68)))</f>
        <v>924</v>
      </c>
      <c r="AI16" s="291">
        <f>IF($Z$2="2018年",'Offer Statistics'!BS16,IF($Z$2="2019年",'Offer Statistics'!BS42,IF($Z$2="2020年",'Offer Statistics'!BS68)))</f>
        <v>45</v>
      </c>
      <c r="AJ16" s="291">
        <f>IF($Z$2="2018年",'Offer Statistics'!BT16,IF($Z$2="2019年",'Offer Statistics'!BT42,IF($Z$2="2020年",'Offer Statistics'!BT68)))</f>
        <v>91</v>
      </c>
      <c r="AK16" s="291">
        <f>IF($Z$2="2018年",'Offer Statistics'!BU16,IF($Z$2="2019年",'Offer Statistics'!BU42,IF($Z$2="2020年",'Offer Statistics'!BU68)))</f>
        <v>207</v>
      </c>
      <c r="AL16" s="291">
        <f>IF($Z$2="2018年",'Offer Statistics'!BV16,IF($Z$2="2019年",'Offer Statistics'!BV42,IF($Z$2="2020年",'Offer Statistics'!BV68)))</f>
        <v>284</v>
      </c>
      <c r="AM16" s="291">
        <f>IF($Z$2="2018年",'Offer Statistics'!BW16,IF($Z$2="2019年",'Offer Statistics'!BW42,IF($Z$2="2020年",'Offer Statistics'!BW68)))</f>
        <v>297</v>
      </c>
      <c r="AN16" s="282"/>
      <c r="AO16" s="283" t="str">
        <f t="shared" si="3"/>
        <v>JS5317</v>
      </c>
    </row>
    <row r="17" ht="18.0" customHeight="1">
      <c r="A17" s="142" t="s">
        <v>635</v>
      </c>
      <c r="B17" s="142" t="s">
        <v>1051</v>
      </c>
      <c r="C17" s="142" t="s">
        <v>636</v>
      </c>
      <c r="D17" s="142" t="s">
        <v>1485</v>
      </c>
      <c r="E17" s="308" t="s">
        <v>617</v>
      </c>
      <c r="F17" s="199">
        <v>37.0</v>
      </c>
      <c r="G17" s="199">
        <v>36.0</v>
      </c>
      <c r="H17" s="200">
        <f>'計分版'!D243</f>
        <v>0.000000004</v>
      </c>
      <c r="I17" s="201">
        <f t="shared" ref="I17:I26" si="8">IF(I$1="差距(Median)",H17-F17,IF(I$1="差距(UQ)",H17-#REF!,IF(I$1="差距(LQ)",H17-G17)))</f>
        <v>-37</v>
      </c>
      <c r="J17" s="202">
        <f t="shared" ref="J17:J26" si="9">IF(I$1="差距(Median)",(H17-F17)/H17,IF(I$1="差距(UQ)",(H17-#REF!)/H17,IF(I$1="差距(LQ)",(H17-G17)/H17)))</f>
        <v>-9249999999</v>
      </c>
      <c r="K17" s="132">
        <v>60.0</v>
      </c>
      <c r="L17" s="309">
        <f>'入學要求'!S226</f>
        <v>0</v>
      </c>
      <c r="M17" s="131" t="s">
        <v>1077</v>
      </c>
      <c r="N17" s="163">
        <v>3.0</v>
      </c>
      <c r="O17" s="163">
        <v>4.0</v>
      </c>
      <c r="P17" s="163">
        <v>3.0</v>
      </c>
      <c r="Q17" s="163">
        <v>2.0</v>
      </c>
      <c r="R17" s="163">
        <v>3.0</v>
      </c>
      <c r="S17" s="163">
        <v>3.0</v>
      </c>
      <c r="T17" s="292">
        <f>'入學要求'!L226</f>
        <v>0</v>
      </c>
      <c r="U17" s="292">
        <f>'入學要求'!M226</f>
        <v>0</v>
      </c>
      <c r="V17" s="292">
        <f>'入學要求'!N226</f>
        <v>0</v>
      </c>
      <c r="W17" s="292">
        <f>'入學要求'!O226</f>
        <v>0</v>
      </c>
      <c r="X17" s="292">
        <f>'入學要求'!P226</f>
        <v>0</v>
      </c>
      <c r="Y17" s="292">
        <f>'入學要求'!Q226</f>
        <v>0</v>
      </c>
      <c r="Z17" s="205"/>
      <c r="AA17" s="132">
        <f>IF($Z$2="2018年",'Offer Statistics'!CF17,IF($Z$2="2019年",'Offer Statistics'!CF43,IF($Z$2="2020年",'Offer Statistics'!CF69)))</f>
        <v>55</v>
      </c>
      <c r="AB17" s="206">
        <f>IF($Z$2="2018年",'Offer Statistics'!CA17,IF($Z$2="2019年",'Offer Statistics'!CA43,IF($Z$2="2020年",'Offer Statistics'!CA69)))</f>
        <v>55</v>
      </c>
      <c r="AC17" s="206">
        <f>IF($Z$2="2018年",'Offer Statistics'!CB17,IF($Z$2="2019年",'Offer Statistics'!CB43,IF($Z$2="2020年",'Offer Statistics'!CB69)))</f>
        <v>0</v>
      </c>
      <c r="AD17" s="206">
        <f>IF($Z$2="2018年",'Offer Statistics'!CC17,IF($Z$2="2019年",'Offer Statistics'!CC43,IF($Z$2="2020年",'Offer Statistics'!CC69)))</f>
        <v>0</v>
      </c>
      <c r="AE17" s="206">
        <f>IF($Z$2="2018年",'Offer Statistics'!CD17,IF($Z$2="2019年",'Offer Statistics'!CD43,IF($Z$2="2020年",'Offer Statistics'!CD69)))</f>
        <v>0</v>
      </c>
      <c r="AF17" s="206">
        <f>IF($Z$2="2018年",'Offer Statistics'!CE17,IF($Z$2="2019年",'Offer Statistics'!CE43,IF($Z$2="2020年",'Offer Statistics'!CE69)))</f>
        <v>0</v>
      </c>
      <c r="AG17" s="205"/>
      <c r="AH17" s="132">
        <f>IF($Z$2="2018年",'Offer Statistics'!BX17,IF($Z$2="2019年",'Offer Statistics'!BX43,IF($Z$2="2020年",'Offer Statistics'!BX69)))</f>
        <v>1277</v>
      </c>
      <c r="AI17" s="206">
        <f>IF($Z$2="2018年",'Offer Statistics'!BS17,IF($Z$2="2019年",'Offer Statistics'!BS43,IF($Z$2="2020年",'Offer Statistics'!BS69)))</f>
        <v>229</v>
      </c>
      <c r="AJ17" s="206">
        <f>IF($Z$2="2018年",'Offer Statistics'!BT17,IF($Z$2="2019年",'Offer Statistics'!BT43,IF($Z$2="2020年",'Offer Statistics'!BT69)))</f>
        <v>184</v>
      </c>
      <c r="AK17" s="206">
        <f>IF($Z$2="2018年",'Offer Statistics'!BU17,IF($Z$2="2019年",'Offer Statistics'!BU43,IF($Z$2="2020年",'Offer Statistics'!BU69)))</f>
        <v>242</v>
      </c>
      <c r="AL17" s="206">
        <f>IF($Z$2="2018年",'Offer Statistics'!BV17,IF($Z$2="2019年",'Offer Statistics'!BV43,IF($Z$2="2020年",'Offer Statistics'!BV69)))</f>
        <v>326</v>
      </c>
      <c r="AM17" s="206">
        <f>IF($Z$2="2018年",'Offer Statistics'!BW17,IF($Z$2="2019年",'Offer Statistics'!BW43,IF($Z$2="2020年",'Offer Statistics'!BW69)))</f>
        <v>296</v>
      </c>
      <c r="AN17" s="142"/>
      <c r="AO17" s="131" t="str">
        <f t="shared" si="3"/>
        <v>JS5318</v>
      </c>
    </row>
    <row r="18" ht="18.0" customHeight="1">
      <c r="A18" s="282" t="s">
        <v>638</v>
      </c>
      <c r="B18" s="282" t="s">
        <v>1051</v>
      </c>
      <c r="C18" s="282" t="s">
        <v>639</v>
      </c>
      <c r="D18" s="282" t="s">
        <v>1486</v>
      </c>
      <c r="E18" s="305" t="s">
        <v>617</v>
      </c>
      <c r="F18" s="284">
        <v>46.0</v>
      </c>
      <c r="G18" s="284">
        <v>45.0</v>
      </c>
      <c r="H18" s="285">
        <f>'計分版'!D244</f>
        <v>0.00000000415</v>
      </c>
      <c r="I18" s="306">
        <f t="shared" si="8"/>
        <v>-46</v>
      </c>
      <c r="J18" s="307">
        <f t="shared" si="9"/>
        <v>-11084337348</v>
      </c>
      <c r="K18" s="288">
        <v>26.0</v>
      </c>
      <c r="L18" s="289">
        <f>'入學要求'!S227</f>
        <v>0</v>
      </c>
      <c r="M18" s="288" t="s">
        <v>1188</v>
      </c>
      <c r="N18" s="283">
        <v>3.0</v>
      </c>
      <c r="O18" s="283">
        <v>4.0</v>
      </c>
      <c r="P18" s="283">
        <v>3.0</v>
      </c>
      <c r="Q18" s="283">
        <v>2.0</v>
      </c>
      <c r="R18" s="283">
        <v>3.0</v>
      </c>
      <c r="S18" s="283">
        <v>3.0</v>
      </c>
      <c r="T18" s="290">
        <f>'入學要求'!L227</f>
        <v>0</v>
      </c>
      <c r="U18" s="290">
        <f>'入學要求'!M227</f>
        <v>0</v>
      </c>
      <c r="V18" s="290">
        <f>'入學要求'!N227</f>
        <v>0</v>
      </c>
      <c r="W18" s="290">
        <f>'入學要求'!O227</f>
        <v>0</v>
      </c>
      <c r="X18" s="290">
        <f>'入學要求'!P227</f>
        <v>0</v>
      </c>
      <c r="Y18" s="290">
        <f>'入學要求'!Q227</f>
        <v>0</v>
      </c>
      <c r="Z18" s="205"/>
      <c r="AA18" s="288">
        <f>IF($Z$2="2018年",'Offer Statistics'!CF18,IF($Z$2="2019年",'Offer Statistics'!CF44,IF($Z$2="2020年",'Offer Statistics'!CF70)))</f>
        <v>27</v>
      </c>
      <c r="AB18" s="291">
        <f>IF($Z$2="2018年",'Offer Statistics'!CA18,IF($Z$2="2019年",'Offer Statistics'!CA44,IF($Z$2="2020年",'Offer Statistics'!CA70)))</f>
        <v>27</v>
      </c>
      <c r="AC18" s="291">
        <f>IF($Z$2="2018年",'Offer Statistics'!CB18,IF($Z$2="2019年",'Offer Statistics'!CB44,IF($Z$2="2020年",'Offer Statistics'!CB70)))</f>
        <v>0</v>
      </c>
      <c r="AD18" s="291">
        <f>IF($Z$2="2018年",'Offer Statistics'!CC18,IF($Z$2="2019年",'Offer Statistics'!CC44,IF($Z$2="2020年",'Offer Statistics'!CC70)))</f>
        <v>0</v>
      </c>
      <c r="AE18" s="291">
        <f>IF($Z$2="2018年",'Offer Statistics'!CD18,IF($Z$2="2019年",'Offer Statistics'!CD44,IF($Z$2="2020年",'Offer Statistics'!CD70)))</f>
        <v>0</v>
      </c>
      <c r="AF18" s="291">
        <f>IF($Z$2="2018年",'Offer Statistics'!CE18,IF($Z$2="2019年",'Offer Statistics'!CE44,IF($Z$2="2020年",'Offer Statistics'!CE70)))</f>
        <v>0</v>
      </c>
      <c r="AG18" s="205"/>
      <c r="AH18" s="288">
        <f>IF($Z$2="2018年",'Offer Statistics'!BX18,IF($Z$2="2019年",'Offer Statistics'!BX44,IF($Z$2="2020年",'Offer Statistics'!BX70)))</f>
        <v>778</v>
      </c>
      <c r="AI18" s="291">
        <f>IF($Z$2="2018年",'Offer Statistics'!BS18,IF($Z$2="2019年",'Offer Statistics'!BS44,IF($Z$2="2020年",'Offer Statistics'!BS70)))</f>
        <v>72</v>
      </c>
      <c r="AJ18" s="291">
        <f>IF($Z$2="2018年",'Offer Statistics'!BT18,IF($Z$2="2019年",'Offer Statistics'!BT44,IF($Z$2="2020年",'Offer Statistics'!BT70)))</f>
        <v>83</v>
      </c>
      <c r="AK18" s="291">
        <f>IF($Z$2="2018年",'Offer Statistics'!BU18,IF($Z$2="2019年",'Offer Statistics'!BU44,IF($Z$2="2020年",'Offer Statistics'!BU70)))</f>
        <v>186</v>
      </c>
      <c r="AL18" s="291">
        <f>IF($Z$2="2018年",'Offer Statistics'!BV18,IF($Z$2="2019年",'Offer Statistics'!BV44,IF($Z$2="2020年",'Offer Statistics'!BV70)))</f>
        <v>238</v>
      </c>
      <c r="AM18" s="291">
        <f>IF($Z$2="2018年",'Offer Statistics'!BW18,IF($Z$2="2019年",'Offer Statistics'!BW44,IF($Z$2="2020年",'Offer Statistics'!BW70)))</f>
        <v>199</v>
      </c>
      <c r="AN18" s="282"/>
      <c r="AO18" s="283" t="str">
        <f t="shared" si="3"/>
        <v>JS5331</v>
      </c>
    </row>
    <row r="19" ht="18.0" customHeight="1">
      <c r="A19" s="142" t="s">
        <v>641</v>
      </c>
      <c r="B19" s="142" t="s">
        <v>1051</v>
      </c>
      <c r="C19" s="142" t="s">
        <v>642</v>
      </c>
      <c r="D19" s="142" t="s">
        <v>1487</v>
      </c>
      <c r="E19" s="308" t="s">
        <v>617</v>
      </c>
      <c r="F19" s="199">
        <v>52.0</v>
      </c>
      <c r="G19" s="199">
        <v>51.0</v>
      </c>
      <c r="H19" s="200">
        <f>'計分版'!D245</f>
        <v>0.00000000415</v>
      </c>
      <c r="I19" s="201">
        <f t="shared" si="8"/>
        <v>-52</v>
      </c>
      <c r="J19" s="202">
        <f t="shared" si="9"/>
        <v>-12530120481</v>
      </c>
      <c r="K19" s="132">
        <v>20.0</v>
      </c>
      <c r="L19" s="309">
        <f>'入學要求'!S228</f>
        <v>0</v>
      </c>
      <c r="M19" s="132" t="s">
        <v>1188</v>
      </c>
      <c r="N19" s="163">
        <v>3.0</v>
      </c>
      <c r="O19" s="163">
        <v>4.0</v>
      </c>
      <c r="P19" s="163">
        <v>3.0</v>
      </c>
      <c r="Q19" s="163">
        <v>2.0</v>
      </c>
      <c r="R19" s="163">
        <v>3.0</v>
      </c>
      <c r="S19" s="163">
        <v>3.0</v>
      </c>
      <c r="T19" s="292">
        <f>'入學要求'!L228</f>
        <v>0</v>
      </c>
      <c r="U19" s="292">
        <f>'入學要求'!M228</f>
        <v>0</v>
      </c>
      <c r="V19" s="292">
        <f>'入學要求'!N228</f>
        <v>0</v>
      </c>
      <c r="W19" s="292">
        <f>'入學要求'!O228</f>
        <v>0</v>
      </c>
      <c r="X19" s="292">
        <f>'入學要求'!P228</f>
        <v>0</v>
      </c>
      <c r="Y19" s="292">
        <f>'入學要求'!Q228</f>
        <v>0</v>
      </c>
      <c r="Z19" s="205"/>
      <c r="AA19" s="132">
        <f>IF($Z$2="2018年",'Offer Statistics'!CF19,IF($Z$2="2019年",'Offer Statistics'!CF45,IF($Z$2="2020年",'Offer Statistics'!CF71)))</f>
        <v>20</v>
      </c>
      <c r="AB19" s="206">
        <f>IF($Z$2="2018年",'Offer Statistics'!CA19,IF($Z$2="2019年",'Offer Statistics'!CA45,IF($Z$2="2020年",'Offer Statistics'!CA71)))</f>
        <v>20</v>
      </c>
      <c r="AC19" s="206">
        <f>IF($Z$2="2018年",'Offer Statistics'!CB19,IF($Z$2="2019年",'Offer Statistics'!CB45,IF($Z$2="2020年",'Offer Statistics'!CB71)))</f>
        <v>0</v>
      </c>
      <c r="AD19" s="206">
        <f>IF($Z$2="2018年",'Offer Statistics'!CC19,IF($Z$2="2019年",'Offer Statistics'!CC45,IF($Z$2="2020年",'Offer Statistics'!CC71)))</f>
        <v>0</v>
      </c>
      <c r="AE19" s="206">
        <f>IF($Z$2="2018年",'Offer Statistics'!CD19,IF($Z$2="2019年",'Offer Statistics'!CD45,IF($Z$2="2020年",'Offer Statistics'!CD71)))</f>
        <v>0</v>
      </c>
      <c r="AF19" s="206">
        <f>IF($Z$2="2018年",'Offer Statistics'!CE19,IF($Z$2="2019年",'Offer Statistics'!CE45,IF($Z$2="2020年",'Offer Statistics'!CE71)))</f>
        <v>0</v>
      </c>
      <c r="AG19" s="205"/>
      <c r="AH19" s="132">
        <f>IF($Z$2="2018年",'Offer Statistics'!BX19,IF($Z$2="2019年",'Offer Statistics'!BX45,IF($Z$2="2020年",'Offer Statistics'!BX71)))</f>
        <v>370</v>
      </c>
      <c r="AI19" s="206">
        <f>IF($Z$2="2018年",'Offer Statistics'!BS19,IF($Z$2="2019年",'Offer Statistics'!BS45,IF($Z$2="2020年",'Offer Statistics'!BS71)))</f>
        <v>68</v>
      </c>
      <c r="AJ19" s="206">
        <f>IF($Z$2="2018年",'Offer Statistics'!BT19,IF($Z$2="2019年",'Offer Statistics'!BT45,IF($Z$2="2020年",'Offer Statistics'!BT71)))</f>
        <v>44</v>
      </c>
      <c r="AK19" s="206">
        <f>IF($Z$2="2018年",'Offer Statistics'!BU19,IF($Z$2="2019年",'Offer Statistics'!BU45,IF($Z$2="2020年",'Offer Statistics'!BU71)))</f>
        <v>68</v>
      </c>
      <c r="AL19" s="206">
        <f>IF($Z$2="2018年",'Offer Statistics'!BV19,IF($Z$2="2019年",'Offer Statistics'!BV45,IF($Z$2="2020年",'Offer Statistics'!BV71)))</f>
        <v>81</v>
      </c>
      <c r="AM19" s="206">
        <f>IF($Z$2="2018年",'Offer Statistics'!BW19,IF($Z$2="2019年",'Offer Statistics'!BW45,IF($Z$2="2020年",'Offer Statistics'!BW71)))</f>
        <v>109</v>
      </c>
      <c r="AN19" s="142"/>
      <c r="AO19" s="131" t="str">
        <f t="shared" si="3"/>
        <v>JS5332</v>
      </c>
    </row>
    <row r="20" ht="18.0" customHeight="1">
      <c r="A20" s="282" t="s">
        <v>644</v>
      </c>
      <c r="B20" s="282" t="s">
        <v>1488</v>
      </c>
      <c r="C20" s="282" t="s">
        <v>645</v>
      </c>
      <c r="D20" s="282" t="s">
        <v>1489</v>
      </c>
      <c r="E20" s="305" t="s">
        <v>646</v>
      </c>
      <c r="F20" s="284">
        <v>31.0</v>
      </c>
      <c r="G20" s="284">
        <v>30.0</v>
      </c>
      <c r="H20" s="285">
        <f>'計分版'!D246</f>
        <v>0.00000000355</v>
      </c>
      <c r="I20" s="306">
        <f t="shared" si="8"/>
        <v>-31</v>
      </c>
      <c r="J20" s="307">
        <f t="shared" si="9"/>
        <v>-8732394365</v>
      </c>
      <c r="K20" s="288">
        <v>50.0</v>
      </c>
      <c r="L20" s="289">
        <f>'入學要求'!S229</f>
        <v>0</v>
      </c>
      <c r="M20" s="283" t="s">
        <v>1077</v>
      </c>
      <c r="N20" s="283">
        <v>3.0</v>
      </c>
      <c r="O20" s="283">
        <v>3.0</v>
      </c>
      <c r="P20" s="283">
        <v>2.0</v>
      </c>
      <c r="Q20" s="283">
        <v>2.0</v>
      </c>
      <c r="R20" s="283">
        <v>3.0</v>
      </c>
      <c r="S20" s="283">
        <v>3.0</v>
      </c>
      <c r="T20" s="290">
        <f>'入學要求'!L229</f>
        <v>0</v>
      </c>
      <c r="U20" s="290">
        <f>'入學要求'!M229</f>
        <v>0</v>
      </c>
      <c r="V20" s="290">
        <f>'入學要求'!N229</f>
        <v>0</v>
      </c>
      <c r="W20" s="290">
        <f>'入學要求'!O229</f>
        <v>0</v>
      </c>
      <c r="X20" s="290">
        <f>'入學要求'!P229</f>
        <v>0</v>
      </c>
      <c r="Y20" s="290">
        <f>'入學要求'!Q229</f>
        <v>0</v>
      </c>
      <c r="Z20" s="205"/>
      <c r="AA20" s="288">
        <f>IF($Z$2="2018年",'Offer Statistics'!CF20,IF($Z$2="2019年",'Offer Statistics'!CF46,IF($Z$2="2020年",'Offer Statistics'!CF72)))</f>
        <v>42</v>
      </c>
      <c r="AB20" s="291">
        <f>IF($Z$2="2018年",'Offer Statistics'!CA20,IF($Z$2="2019年",'Offer Statistics'!CA46,IF($Z$2="2020年",'Offer Statistics'!CA72)))</f>
        <v>41</v>
      </c>
      <c r="AC20" s="291">
        <f>IF($Z$2="2018年",'Offer Statistics'!CB20,IF($Z$2="2019年",'Offer Statistics'!CB46,IF($Z$2="2020年",'Offer Statistics'!CB72)))</f>
        <v>1</v>
      </c>
      <c r="AD20" s="291">
        <f>IF($Z$2="2018年",'Offer Statistics'!CC20,IF($Z$2="2019年",'Offer Statistics'!CC46,IF($Z$2="2020年",'Offer Statistics'!CC72)))</f>
        <v>0</v>
      </c>
      <c r="AE20" s="291">
        <f>IF($Z$2="2018年",'Offer Statistics'!CD20,IF($Z$2="2019年",'Offer Statistics'!CD46,IF($Z$2="2020年",'Offer Statistics'!CD72)))</f>
        <v>0</v>
      </c>
      <c r="AF20" s="291">
        <f>IF($Z$2="2018年",'Offer Statistics'!CE20,IF($Z$2="2019年",'Offer Statistics'!CE46,IF($Z$2="2020年",'Offer Statistics'!CE72)))</f>
        <v>0</v>
      </c>
      <c r="AG20" s="205"/>
      <c r="AH20" s="288">
        <f>IF($Z$2="2018年",'Offer Statistics'!BX20,IF($Z$2="2019年",'Offer Statistics'!BX46,IF($Z$2="2020年",'Offer Statistics'!BX72)))</f>
        <v>644</v>
      </c>
      <c r="AI20" s="291">
        <f>IF($Z$2="2018年",'Offer Statistics'!BS20,IF($Z$2="2019年",'Offer Statistics'!BS46,IF($Z$2="2020年",'Offer Statistics'!BS72)))</f>
        <v>107</v>
      </c>
      <c r="AJ20" s="291">
        <f>IF($Z$2="2018年",'Offer Statistics'!BT20,IF($Z$2="2019年",'Offer Statistics'!BT46,IF($Z$2="2020年",'Offer Statistics'!BT72)))</f>
        <v>109</v>
      </c>
      <c r="AK20" s="291">
        <f>IF($Z$2="2018年",'Offer Statistics'!BU20,IF($Z$2="2019年",'Offer Statistics'!BU46,IF($Z$2="2020年",'Offer Statistics'!BU72)))</f>
        <v>115</v>
      </c>
      <c r="AL20" s="291">
        <f>IF($Z$2="2018年",'Offer Statistics'!BV20,IF($Z$2="2019年",'Offer Statistics'!BV46,IF($Z$2="2020年",'Offer Statistics'!BV72)))</f>
        <v>165</v>
      </c>
      <c r="AM20" s="291">
        <f>IF($Z$2="2018年",'Offer Statistics'!BW20,IF($Z$2="2019年",'Offer Statistics'!BW46,IF($Z$2="2020年",'Offer Statistics'!BW72)))</f>
        <v>148</v>
      </c>
      <c r="AN20" s="282"/>
      <c r="AO20" s="283" t="str">
        <f t="shared" si="3"/>
        <v>JS5411</v>
      </c>
    </row>
    <row r="21" ht="18.0" customHeight="1">
      <c r="A21" s="142" t="s">
        <v>647</v>
      </c>
      <c r="B21" s="142" t="s">
        <v>1488</v>
      </c>
      <c r="C21" s="142" t="s">
        <v>648</v>
      </c>
      <c r="D21" s="142" t="s">
        <v>1490</v>
      </c>
      <c r="E21" s="308" t="s">
        <v>617</v>
      </c>
      <c r="F21" s="199">
        <v>35.0</v>
      </c>
      <c r="G21" s="199">
        <v>34.0</v>
      </c>
      <c r="H21" s="200">
        <f>'計分版'!D247</f>
        <v>0.00000000415</v>
      </c>
      <c r="I21" s="201">
        <f t="shared" si="8"/>
        <v>-35</v>
      </c>
      <c r="J21" s="202">
        <f t="shared" si="9"/>
        <v>-8433734939</v>
      </c>
      <c r="K21" s="132">
        <v>28.0</v>
      </c>
      <c r="L21" s="309">
        <f>'入學要求'!S230</f>
        <v>0</v>
      </c>
      <c r="M21" s="131" t="s">
        <v>1077</v>
      </c>
      <c r="N21" s="163">
        <v>3.0</v>
      </c>
      <c r="O21" s="163">
        <v>3.0</v>
      </c>
      <c r="P21" s="163">
        <v>3.0</v>
      </c>
      <c r="Q21" s="163">
        <v>2.0</v>
      </c>
      <c r="R21" s="163">
        <v>3.0</v>
      </c>
      <c r="S21" s="163">
        <v>3.0</v>
      </c>
      <c r="T21" s="292">
        <f>'入學要求'!L230</f>
        <v>0</v>
      </c>
      <c r="U21" s="292">
        <f>'入學要求'!M230</f>
        <v>0</v>
      </c>
      <c r="V21" s="292">
        <f>'入學要求'!N230</f>
        <v>0</v>
      </c>
      <c r="W21" s="292">
        <f>'入學要求'!O230</f>
        <v>0</v>
      </c>
      <c r="X21" s="292">
        <f>'入學要求'!P230</f>
        <v>0</v>
      </c>
      <c r="Y21" s="292">
        <f>'入學要求'!Q230</f>
        <v>0</v>
      </c>
      <c r="Z21" s="205"/>
      <c r="AA21" s="132">
        <f>IF($Z$2="2018年",'Offer Statistics'!CF21,IF($Z$2="2019年",'Offer Statistics'!CF47,IF($Z$2="2020年",'Offer Statistics'!CF73)))</f>
        <v>18</v>
      </c>
      <c r="AB21" s="206">
        <f>IF($Z$2="2018年",'Offer Statistics'!CA21,IF($Z$2="2019年",'Offer Statistics'!CA47,IF($Z$2="2020年",'Offer Statistics'!CA73)))</f>
        <v>17</v>
      </c>
      <c r="AC21" s="206">
        <f>IF($Z$2="2018年",'Offer Statistics'!CB21,IF($Z$2="2019年",'Offer Statistics'!CB47,IF($Z$2="2020年",'Offer Statistics'!CB73)))</f>
        <v>1</v>
      </c>
      <c r="AD21" s="206">
        <f>IF($Z$2="2018年",'Offer Statistics'!CC21,IF($Z$2="2019年",'Offer Statistics'!CC47,IF($Z$2="2020年",'Offer Statistics'!CC73)))</f>
        <v>0</v>
      </c>
      <c r="AE21" s="206">
        <f>IF($Z$2="2018年",'Offer Statistics'!CD21,IF($Z$2="2019年",'Offer Statistics'!CD47,IF($Z$2="2020年",'Offer Statistics'!CD73)))</f>
        <v>0</v>
      </c>
      <c r="AF21" s="206">
        <f>IF($Z$2="2018年",'Offer Statistics'!CE21,IF($Z$2="2019年",'Offer Statistics'!CE47,IF($Z$2="2020年",'Offer Statistics'!CE73)))</f>
        <v>0</v>
      </c>
      <c r="AG21" s="205"/>
      <c r="AH21" s="132">
        <f>IF($Z$2="2018年",'Offer Statistics'!BX21,IF($Z$2="2019年",'Offer Statistics'!BX47,IF($Z$2="2020年",'Offer Statistics'!BX73)))</f>
        <v>544</v>
      </c>
      <c r="AI21" s="206">
        <f>IF($Z$2="2018年",'Offer Statistics'!BS21,IF($Z$2="2019年",'Offer Statistics'!BS47,IF($Z$2="2020年",'Offer Statistics'!BS73)))</f>
        <v>55</v>
      </c>
      <c r="AJ21" s="206">
        <f>IF($Z$2="2018年",'Offer Statistics'!BT21,IF($Z$2="2019年",'Offer Statistics'!BT47,IF($Z$2="2020年",'Offer Statistics'!BT73)))</f>
        <v>71</v>
      </c>
      <c r="AK21" s="206">
        <f>IF($Z$2="2018年",'Offer Statistics'!BU21,IF($Z$2="2019年",'Offer Statistics'!BU47,IF($Z$2="2020年",'Offer Statistics'!BU73)))</f>
        <v>112</v>
      </c>
      <c r="AL21" s="206">
        <f>IF($Z$2="2018年",'Offer Statistics'!BV21,IF($Z$2="2019年",'Offer Statistics'!BV47,IF($Z$2="2020年",'Offer Statistics'!BV73)))</f>
        <v>157</v>
      </c>
      <c r="AM21" s="206">
        <f>IF($Z$2="2018年",'Offer Statistics'!BW21,IF($Z$2="2019年",'Offer Statistics'!BW47,IF($Z$2="2020年",'Offer Statistics'!BW73)))</f>
        <v>149</v>
      </c>
      <c r="AN21" s="142"/>
      <c r="AO21" s="131" t="str">
        <f t="shared" si="3"/>
        <v>JS5412</v>
      </c>
    </row>
    <row r="22" ht="18.0" customHeight="1">
      <c r="A22" s="282" t="s">
        <v>650</v>
      </c>
      <c r="B22" s="282" t="s">
        <v>1491</v>
      </c>
      <c r="C22" s="282" t="s">
        <v>651</v>
      </c>
      <c r="D22" s="282" t="s">
        <v>1492</v>
      </c>
      <c r="E22" s="305" t="s">
        <v>617</v>
      </c>
      <c r="F22" s="284">
        <v>42.5</v>
      </c>
      <c r="G22" s="284">
        <v>41.5</v>
      </c>
      <c r="H22" s="285">
        <f>'計分版'!D248</f>
        <v>0.000000002</v>
      </c>
      <c r="I22" s="306">
        <f t="shared" si="8"/>
        <v>-42.5</v>
      </c>
      <c r="J22" s="307">
        <f t="shared" si="9"/>
        <v>-21249999999</v>
      </c>
      <c r="K22" s="288">
        <v>26.0</v>
      </c>
      <c r="L22" s="289">
        <f>'入學要求'!S231</f>
        <v>0</v>
      </c>
      <c r="M22" s="283" t="s">
        <v>1077</v>
      </c>
      <c r="N22" s="283">
        <v>3.0</v>
      </c>
      <c r="O22" s="283">
        <v>4.0</v>
      </c>
      <c r="P22" s="283">
        <v>3.0</v>
      </c>
      <c r="Q22" s="283">
        <v>2.0</v>
      </c>
      <c r="R22" s="283">
        <v>3.0</v>
      </c>
      <c r="S22" s="283">
        <v>3.0</v>
      </c>
      <c r="T22" s="290">
        <f>'入學要求'!L231</f>
        <v>0</v>
      </c>
      <c r="U22" s="290">
        <f>'入學要求'!M231</f>
        <v>0</v>
      </c>
      <c r="V22" s="290">
        <f>'入學要求'!N231</f>
        <v>0</v>
      </c>
      <c r="W22" s="290">
        <f>'入學要求'!O231</f>
        <v>0</v>
      </c>
      <c r="X22" s="290">
        <f>'入學要求'!P231</f>
        <v>0</v>
      </c>
      <c r="Y22" s="290">
        <f>'入學要求'!Q231</f>
        <v>0</v>
      </c>
      <c r="Z22" s="205"/>
      <c r="AA22" s="288">
        <f>IF($Z$2="2018年",'Offer Statistics'!CF22,IF($Z$2="2019年",'Offer Statistics'!CF48,IF($Z$2="2020年",'Offer Statistics'!CF74)))</f>
        <v>19</v>
      </c>
      <c r="AB22" s="291">
        <f>IF($Z$2="2018年",'Offer Statistics'!CA22,IF($Z$2="2019年",'Offer Statistics'!CA48,IF($Z$2="2020年",'Offer Statistics'!CA74)))</f>
        <v>19</v>
      </c>
      <c r="AC22" s="291">
        <f>IF($Z$2="2018年",'Offer Statistics'!CB22,IF($Z$2="2019年",'Offer Statistics'!CB48,IF($Z$2="2020年",'Offer Statistics'!CB74)))</f>
        <v>0</v>
      </c>
      <c r="AD22" s="291">
        <f>IF($Z$2="2018年",'Offer Statistics'!CC22,IF($Z$2="2019年",'Offer Statistics'!CC48,IF($Z$2="2020年",'Offer Statistics'!CC74)))</f>
        <v>0</v>
      </c>
      <c r="AE22" s="291">
        <f>IF($Z$2="2018年",'Offer Statistics'!CD22,IF($Z$2="2019年",'Offer Statistics'!CD48,IF($Z$2="2020年",'Offer Statistics'!CD74)))</f>
        <v>0</v>
      </c>
      <c r="AF22" s="291">
        <f>IF($Z$2="2018年",'Offer Statistics'!CE22,IF($Z$2="2019年",'Offer Statistics'!CE48,IF($Z$2="2020年",'Offer Statistics'!CE74)))</f>
        <v>0</v>
      </c>
      <c r="AG22" s="205"/>
      <c r="AH22" s="288">
        <f>IF($Z$2="2018年",'Offer Statistics'!BX22,IF($Z$2="2019年",'Offer Statistics'!BX48,IF($Z$2="2020年",'Offer Statistics'!BX74)))</f>
        <v>805</v>
      </c>
      <c r="AI22" s="291">
        <f>IF($Z$2="2018年",'Offer Statistics'!BS22,IF($Z$2="2019年",'Offer Statistics'!BS48,IF($Z$2="2020年",'Offer Statistics'!BS74)))</f>
        <v>64</v>
      </c>
      <c r="AJ22" s="291">
        <f>IF($Z$2="2018年",'Offer Statistics'!BT22,IF($Z$2="2019年",'Offer Statistics'!BT48,IF($Z$2="2020年",'Offer Statistics'!BT74)))</f>
        <v>68</v>
      </c>
      <c r="AK22" s="291">
        <f>IF($Z$2="2018年",'Offer Statistics'!BU22,IF($Z$2="2019年",'Offer Statistics'!BU48,IF($Z$2="2020年",'Offer Statistics'!BU74)))</f>
        <v>172</v>
      </c>
      <c r="AL22" s="291">
        <f>IF($Z$2="2018年",'Offer Statistics'!BV22,IF($Z$2="2019年",'Offer Statistics'!BV48,IF($Z$2="2020年",'Offer Statistics'!BV74)))</f>
        <v>269</v>
      </c>
      <c r="AM22" s="291">
        <f>IF($Z$2="2018年",'Offer Statistics'!BW22,IF($Z$2="2019年",'Offer Statistics'!BW48,IF($Z$2="2020年",'Offer Statistics'!BW74)))</f>
        <v>232</v>
      </c>
      <c r="AN22" s="282"/>
      <c r="AO22" s="283" t="str">
        <f t="shared" si="3"/>
        <v>JS5811</v>
      </c>
    </row>
    <row r="23" ht="18.0" customHeight="1">
      <c r="A23" s="142" t="s">
        <v>653</v>
      </c>
      <c r="B23" s="142" t="s">
        <v>1491</v>
      </c>
      <c r="C23" s="142" t="s">
        <v>654</v>
      </c>
      <c r="D23" s="142" t="s">
        <v>1493</v>
      </c>
      <c r="E23" s="308" t="s">
        <v>617</v>
      </c>
      <c r="F23" s="199">
        <v>36.0</v>
      </c>
      <c r="G23" s="199">
        <v>35.0</v>
      </c>
      <c r="H23" s="200">
        <f>'計分版'!D249</f>
        <v>0.000000004</v>
      </c>
      <c r="I23" s="201">
        <f t="shared" si="8"/>
        <v>-36</v>
      </c>
      <c r="J23" s="202">
        <f t="shared" si="9"/>
        <v>-8999999999</v>
      </c>
      <c r="K23" s="132">
        <v>15.0</v>
      </c>
      <c r="L23" s="309">
        <f>'入學要求'!S232</f>
        <v>0</v>
      </c>
      <c r="M23" s="131" t="s">
        <v>1188</v>
      </c>
      <c r="N23" s="163">
        <v>3.0</v>
      </c>
      <c r="O23" s="163">
        <v>4.0</v>
      </c>
      <c r="P23" s="163">
        <v>3.0</v>
      </c>
      <c r="Q23" s="163">
        <v>2.0</v>
      </c>
      <c r="R23" s="163">
        <v>3.0</v>
      </c>
      <c r="S23" s="163">
        <v>3.0</v>
      </c>
      <c r="T23" s="292">
        <f>'入學要求'!L232</f>
        <v>0</v>
      </c>
      <c r="U23" s="292">
        <f>'入學要求'!M232</f>
        <v>0</v>
      </c>
      <c r="V23" s="292">
        <f>'入學要求'!N232</f>
        <v>0</v>
      </c>
      <c r="W23" s="292">
        <f>'入學要求'!O232</f>
        <v>0</v>
      </c>
      <c r="X23" s="292">
        <f>'入學要求'!P232</f>
        <v>0</v>
      </c>
      <c r="Y23" s="292">
        <f>'入學要求'!Q232</f>
        <v>0</v>
      </c>
      <c r="Z23" s="205"/>
      <c r="AA23" s="132">
        <f>IF($Z$2="2018年",'Offer Statistics'!CF23,IF($Z$2="2019年",'Offer Statistics'!CF49,IF($Z$2="2020年",'Offer Statistics'!CF75)))</f>
        <v>13</v>
      </c>
      <c r="AB23" s="206">
        <f>IF($Z$2="2018年",'Offer Statistics'!CA23,IF($Z$2="2019年",'Offer Statistics'!CA49,IF($Z$2="2020年",'Offer Statistics'!CA75)))</f>
        <v>13</v>
      </c>
      <c r="AC23" s="206">
        <f>IF($Z$2="2018年",'Offer Statistics'!CB23,IF($Z$2="2019年",'Offer Statistics'!CB49,IF($Z$2="2020年",'Offer Statistics'!CB75)))</f>
        <v>0</v>
      </c>
      <c r="AD23" s="206">
        <f>IF($Z$2="2018年",'Offer Statistics'!CC23,IF($Z$2="2019年",'Offer Statistics'!CC49,IF($Z$2="2020年",'Offer Statistics'!CC75)))</f>
        <v>0</v>
      </c>
      <c r="AE23" s="206">
        <f>IF($Z$2="2018年",'Offer Statistics'!CD23,IF($Z$2="2019年",'Offer Statistics'!CD49,IF($Z$2="2020年",'Offer Statistics'!CD75)))</f>
        <v>0</v>
      </c>
      <c r="AF23" s="206">
        <f>IF($Z$2="2018年",'Offer Statistics'!CE23,IF($Z$2="2019年",'Offer Statistics'!CE49,IF($Z$2="2020年",'Offer Statistics'!CE75)))</f>
        <v>0</v>
      </c>
      <c r="AG23" s="205"/>
      <c r="AH23" s="132">
        <f>IF($Z$2="2018年",'Offer Statistics'!BX23,IF($Z$2="2019年",'Offer Statistics'!BX49,IF($Z$2="2020年",'Offer Statistics'!BX75)))</f>
        <v>648</v>
      </c>
      <c r="AI23" s="206">
        <f>IF($Z$2="2018年",'Offer Statistics'!BS23,IF($Z$2="2019年",'Offer Statistics'!BS49,IF($Z$2="2020年",'Offer Statistics'!BS75)))</f>
        <v>47</v>
      </c>
      <c r="AJ23" s="206">
        <f>IF($Z$2="2018年",'Offer Statistics'!BT23,IF($Z$2="2019年",'Offer Statistics'!BT49,IF($Z$2="2020年",'Offer Statistics'!BT75)))</f>
        <v>58</v>
      </c>
      <c r="AK23" s="206">
        <f>IF($Z$2="2018年",'Offer Statistics'!BU23,IF($Z$2="2019年",'Offer Statistics'!BU49,IF($Z$2="2020年",'Offer Statistics'!BU75)))</f>
        <v>147</v>
      </c>
      <c r="AL23" s="206">
        <f>IF($Z$2="2018年",'Offer Statistics'!BV23,IF($Z$2="2019年",'Offer Statistics'!BV49,IF($Z$2="2020年",'Offer Statistics'!BV75)))</f>
        <v>198</v>
      </c>
      <c r="AM23" s="206">
        <f>IF($Z$2="2018年",'Offer Statistics'!BW23,IF($Z$2="2019年",'Offer Statistics'!BW49,IF($Z$2="2020年",'Offer Statistics'!BW75)))</f>
        <v>198</v>
      </c>
      <c r="AN23" s="142"/>
      <c r="AO23" s="131" t="str">
        <f t="shared" si="3"/>
        <v>JS5812</v>
      </c>
    </row>
    <row r="24" ht="18.0" customHeight="1">
      <c r="A24" s="282" t="s">
        <v>656</v>
      </c>
      <c r="B24" s="282" t="s">
        <v>1491</v>
      </c>
      <c r="C24" s="282" t="s">
        <v>657</v>
      </c>
      <c r="D24" s="282" t="s">
        <v>1494</v>
      </c>
      <c r="E24" s="305" t="s">
        <v>617</v>
      </c>
      <c r="F24" s="284">
        <v>45.0</v>
      </c>
      <c r="G24" s="284">
        <v>44.0</v>
      </c>
      <c r="H24" s="285">
        <f>'計分版'!D250</f>
        <v>0.0000000044</v>
      </c>
      <c r="I24" s="306">
        <f t="shared" si="8"/>
        <v>-45</v>
      </c>
      <c r="J24" s="307">
        <f t="shared" si="9"/>
        <v>-10227272726</v>
      </c>
      <c r="K24" s="288">
        <v>15.0</v>
      </c>
      <c r="L24" s="289">
        <f>'入學要求'!S233</f>
        <v>0</v>
      </c>
      <c r="M24" s="283" t="s">
        <v>1077</v>
      </c>
      <c r="N24" s="283">
        <v>3.0</v>
      </c>
      <c r="O24" s="283">
        <v>4.0</v>
      </c>
      <c r="P24" s="283">
        <v>3.0</v>
      </c>
      <c r="Q24" s="283">
        <v>2.0</v>
      </c>
      <c r="R24" s="283">
        <v>3.0</v>
      </c>
      <c r="S24" s="283">
        <v>3.0</v>
      </c>
      <c r="T24" s="290">
        <f>'入學要求'!L233</f>
        <v>0</v>
      </c>
      <c r="U24" s="290">
        <f>'入學要求'!M233</f>
        <v>0</v>
      </c>
      <c r="V24" s="290">
        <f>'入學要求'!N233</f>
        <v>0</v>
      </c>
      <c r="W24" s="290">
        <f>'入學要求'!O233</f>
        <v>0</v>
      </c>
      <c r="X24" s="290">
        <f>'入學要求'!P233</f>
        <v>0</v>
      </c>
      <c r="Y24" s="290">
        <f>'入學要求'!Q233</f>
        <v>0</v>
      </c>
      <c r="Z24" s="205"/>
      <c r="AA24" s="288">
        <f>IF($Z$2="2018年",'Offer Statistics'!CF24,IF($Z$2="2019年",'Offer Statistics'!CF50,IF($Z$2="2020年",'Offer Statistics'!CF76)))</f>
        <v>15</v>
      </c>
      <c r="AB24" s="291">
        <f>IF($Z$2="2018年",'Offer Statistics'!CA24,IF($Z$2="2019年",'Offer Statistics'!CA50,IF($Z$2="2020年",'Offer Statistics'!CA76)))</f>
        <v>15</v>
      </c>
      <c r="AC24" s="291">
        <f>IF($Z$2="2018年",'Offer Statistics'!CB24,IF($Z$2="2019年",'Offer Statistics'!CB50,IF($Z$2="2020年",'Offer Statistics'!CB76)))</f>
        <v>0</v>
      </c>
      <c r="AD24" s="291">
        <f>IF($Z$2="2018年",'Offer Statistics'!CC24,IF($Z$2="2019年",'Offer Statistics'!CC50,IF($Z$2="2020年",'Offer Statistics'!CC76)))</f>
        <v>0</v>
      </c>
      <c r="AE24" s="291">
        <f>IF($Z$2="2018年",'Offer Statistics'!CD24,IF($Z$2="2019年",'Offer Statistics'!CD50,IF($Z$2="2020年",'Offer Statistics'!CD76)))</f>
        <v>0</v>
      </c>
      <c r="AF24" s="291">
        <f>IF($Z$2="2018年",'Offer Statistics'!CE24,IF($Z$2="2019年",'Offer Statistics'!CE50,IF($Z$2="2020年",'Offer Statistics'!CE76)))</f>
        <v>0</v>
      </c>
      <c r="AG24" s="205"/>
      <c r="AH24" s="288">
        <f>IF($Z$2="2018年",'Offer Statistics'!BX24,IF($Z$2="2019年",'Offer Statistics'!BX50,IF($Z$2="2020年",'Offer Statistics'!BX76)))</f>
        <v>634</v>
      </c>
      <c r="AI24" s="291">
        <f>IF($Z$2="2018年",'Offer Statistics'!BS24,IF($Z$2="2019年",'Offer Statistics'!BS50,IF($Z$2="2020年",'Offer Statistics'!BS76)))</f>
        <v>62</v>
      </c>
      <c r="AJ24" s="291">
        <f>IF($Z$2="2018年",'Offer Statistics'!BT24,IF($Z$2="2019年",'Offer Statistics'!BT50,IF($Z$2="2020年",'Offer Statistics'!BT76)))</f>
        <v>86</v>
      </c>
      <c r="AK24" s="291">
        <f>IF($Z$2="2018年",'Offer Statistics'!BU24,IF($Z$2="2019年",'Offer Statistics'!BU50,IF($Z$2="2020年",'Offer Statistics'!BU76)))</f>
        <v>142</v>
      </c>
      <c r="AL24" s="291">
        <f>IF($Z$2="2018年",'Offer Statistics'!BV24,IF($Z$2="2019年",'Offer Statistics'!BV50,IF($Z$2="2020年",'Offer Statistics'!BV76)))</f>
        <v>170</v>
      </c>
      <c r="AM24" s="291">
        <f>IF($Z$2="2018年",'Offer Statistics'!BW24,IF($Z$2="2019年",'Offer Statistics'!BW50,IF($Z$2="2020年",'Offer Statistics'!BW76)))</f>
        <v>174</v>
      </c>
      <c r="AN24" s="282"/>
      <c r="AO24" s="283" t="str">
        <f t="shared" si="3"/>
        <v>JS5813</v>
      </c>
    </row>
    <row r="25" ht="18.0" customHeight="1">
      <c r="A25" s="142" t="s">
        <v>658</v>
      </c>
      <c r="B25" s="142" t="s">
        <v>1491</v>
      </c>
      <c r="C25" s="142" t="s">
        <v>659</v>
      </c>
      <c r="D25" s="142" t="s">
        <v>1495</v>
      </c>
      <c r="E25" s="308" t="s">
        <v>617</v>
      </c>
      <c r="F25" s="131">
        <v>45.0</v>
      </c>
      <c r="G25" s="199">
        <v>44.0</v>
      </c>
      <c r="H25" s="200">
        <f>'計分版'!D251</f>
        <v>0.00000000415</v>
      </c>
      <c r="I25" s="201">
        <f t="shared" si="8"/>
        <v>-45</v>
      </c>
      <c r="J25" s="202">
        <f t="shared" si="9"/>
        <v>-10843373493</v>
      </c>
      <c r="K25" s="132">
        <v>23.0</v>
      </c>
      <c r="L25" s="309">
        <f>'入學要求'!S234</f>
        <v>0</v>
      </c>
      <c r="M25" s="132" t="s">
        <v>1188</v>
      </c>
      <c r="N25" s="163">
        <v>3.0</v>
      </c>
      <c r="O25" s="163">
        <v>4.0</v>
      </c>
      <c r="P25" s="163">
        <v>3.0</v>
      </c>
      <c r="Q25" s="163">
        <v>2.0</v>
      </c>
      <c r="R25" s="163">
        <v>3.0</v>
      </c>
      <c r="S25" s="163">
        <v>3.0</v>
      </c>
      <c r="T25" s="292">
        <f>'入學要求'!L234</f>
        <v>0</v>
      </c>
      <c r="U25" s="292">
        <f>'入學要求'!M234</f>
        <v>0</v>
      </c>
      <c r="V25" s="292">
        <f>'入學要求'!N234</f>
        <v>0</v>
      </c>
      <c r="W25" s="292">
        <f>'入學要求'!O234</f>
        <v>0</v>
      </c>
      <c r="X25" s="292">
        <f>'入學要求'!P234</f>
        <v>0</v>
      </c>
      <c r="Y25" s="292">
        <f>'入學要求'!Q234</f>
        <v>0</v>
      </c>
      <c r="Z25" s="205"/>
      <c r="AA25" s="132">
        <f>IF($Z$2="2018年",'Offer Statistics'!CF25,IF($Z$2="2019年",'Offer Statistics'!CF51,IF($Z$2="2020年",'Offer Statistics'!CF77)))</f>
        <v>22</v>
      </c>
      <c r="AB25" s="206">
        <f>IF($Z$2="2018年",'Offer Statistics'!CA25,IF($Z$2="2019年",'Offer Statistics'!CA51,IF($Z$2="2020年",'Offer Statistics'!CA77)))</f>
        <v>22</v>
      </c>
      <c r="AC25" s="206">
        <f>IF($Z$2="2018年",'Offer Statistics'!CB25,IF($Z$2="2019年",'Offer Statistics'!CB51,IF($Z$2="2020年",'Offer Statistics'!CB77)))</f>
        <v>0</v>
      </c>
      <c r="AD25" s="206">
        <f>IF($Z$2="2018年",'Offer Statistics'!CC25,IF($Z$2="2019年",'Offer Statistics'!CC51,IF($Z$2="2020年",'Offer Statistics'!CC77)))</f>
        <v>0</v>
      </c>
      <c r="AE25" s="206">
        <f>IF($Z$2="2018年",'Offer Statistics'!CD25,IF($Z$2="2019年",'Offer Statistics'!CD51,IF($Z$2="2020年",'Offer Statistics'!CD77)))</f>
        <v>0</v>
      </c>
      <c r="AF25" s="206">
        <f>IF($Z$2="2018年",'Offer Statistics'!CE25,IF($Z$2="2019年",'Offer Statistics'!CE51,IF($Z$2="2020年",'Offer Statistics'!CE77)))</f>
        <v>0</v>
      </c>
      <c r="AG25" s="205"/>
      <c r="AH25" s="132">
        <f>IF($Z$2="2018年",'Offer Statistics'!BX25,IF($Z$2="2019年",'Offer Statistics'!BX51,IF($Z$2="2020年",'Offer Statistics'!BX77)))</f>
        <v>584</v>
      </c>
      <c r="AI25" s="206">
        <f>IF($Z$2="2018年",'Offer Statistics'!BS25,IF($Z$2="2019年",'Offer Statistics'!BS51,IF($Z$2="2020年",'Offer Statistics'!BS77)))</f>
        <v>63</v>
      </c>
      <c r="AJ25" s="206">
        <f>IF($Z$2="2018年",'Offer Statistics'!BT25,IF($Z$2="2019年",'Offer Statistics'!BT51,IF($Z$2="2020年",'Offer Statistics'!BT77)))</f>
        <v>63</v>
      </c>
      <c r="AK25" s="206">
        <f>IF($Z$2="2018年",'Offer Statistics'!BU25,IF($Z$2="2019年",'Offer Statistics'!BU51,IF($Z$2="2020年",'Offer Statistics'!BU77)))</f>
        <v>106</v>
      </c>
      <c r="AL25" s="206">
        <f>IF($Z$2="2018年",'Offer Statistics'!BV25,IF($Z$2="2019年",'Offer Statistics'!BV51,IF($Z$2="2020年",'Offer Statistics'!BV77)))</f>
        <v>185</v>
      </c>
      <c r="AM25" s="206">
        <f>IF($Z$2="2018年",'Offer Statistics'!BW25,IF($Z$2="2019年",'Offer Statistics'!BW51,IF($Z$2="2020年",'Offer Statistics'!BW77)))</f>
        <v>167</v>
      </c>
      <c r="AN25" s="142"/>
      <c r="AO25" s="131" t="str">
        <f t="shared" si="3"/>
        <v>JS5814</v>
      </c>
    </row>
    <row r="26" ht="18.0" customHeight="1">
      <c r="A26" s="282" t="s">
        <v>661</v>
      </c>
      <c r="B26" s="282" t="s">
        <v>1491</v>
      </c>
      <c r="C26" s="282" t="s">
        <v>662</v>
      </c>
      <c r="D26" s="282" t="s">
        <v>1496</v>
      </c>
      <c r="E26" s="305" t="s">
        <v>617</v>
      </c>
      <c r="F26" s="284">
        <v>57.0</v>
      </c>
      <c r="G26" s="284">
        <v>54.5</v>
      </c>
      <c r="H26" s="285">
        <f>'計分版'!D252</f>
        <v>0.00000000345</v>
      </c>
      <c r="I26" s="306">
        <f t="shared" si="8"/>
        <v>-57</v>
      </c>
      <c r="J26" s="307">
        <f t="shared" si="9"/>
        <v>-16521739129</v>
      </c>
      <c r="K26" s="288">
        <v>21.0</v>
      </c>
      <c r="L26" s="289">
        <f>'入學要求'!S235</f>
        <v>0</v>
      </c>
      <c r="M26" s="288" t="s">
        <v>1188</v>
      </c>
      <c r="N26" s="283">
        <v>3.0</v>
      </c>
      <c r="O26" s="283">
        <v>4.0</v>
      </c>
      <c r="P26" s="283">
        <v>3.0</v>
      </c>
      <c r="Q26" s="283">
        <v>2.0</v>
      </c>
      <c r="R26" s="283">
        <v>3.0</v>
      </c>
      <c r="S26" s="283">
        <v>3.0</v>
      </c>
      <c r="T26" s="290">
        <f>'入學要求'!L235</f>
        <v>0</v>
      </c>
      <c r="U26" s="290">
        <f>'入學要求'!M235</f>
        <v>0</v>
      </c>
      <c r="V26" s="290">
        <f>'入學要求'!N235</f>
        <v>0</v>
      </c>
      <c r="W26" s="290">
        <f>'入學要求'!O235</f>
        <v>0</v>
      </c>
      <c r="X26" s="290">
        <f>'入學要求'!P235</f>
        <v>0</v>
      </c>
      <c r="Y26" s="290">
        <f>'入學要求'!Q235</f>
        <v>0</v>
      </c>
      <c r="Z26" s="205"/>
      <c r="AA26" s="288">
        <f>IF($Z$2="2018年",'Offer Statistics'!CF26,IF($Z$2="2019年",'Offer Statistics'!CF52,IF($Z$2="2020年",'Offer Statistics'!CF78)))</f>
        <v>20</v>
      </c>
      <c r="AB26" s="291">
        <f>IF($Z$2="2018年",'Offer Statistics'!CA26,IF($Z$2="2019年",'Offer Statistics'!CA52,IF($Z$2="2020年",'Offer Statistics'!CA78)))</f>
        <v>20</v>
      </c>
      <c r="AC26" s="291">
        <f>IF($Z$2="2018年",'Offer Statistics'!CB26,IF($Z$2="2019年",'Offer Statistics'!CB52,IF($Z$2="2020年",'Offer Statistics'!CB78)))</f>
        <v>0</v>
      </c>
      <c r="AD26" s="291">
        <f>IF($Z$2="2018年",'Offer Statistics'!CC26,IF($Z$2="2019年",'Offer Statistics'!CC52,IF($Z$2="2020年",'Offer Statistics'!CC78)))</f>
        <v>0</v>
      </c>
      <c r="AE26" s="291">
        <f>IF($Z$2="2018年",'Offer Statistics'!CD26,IF($Z$2="2019年",'Offer Statistics'!CD52,IF($Z$2="2020年",'Offer Statistics'!CD78)))</f>
        <v>0</v>
      </c>
      <c r="AF26" s="291">
        <f>IF($Z$2="2018年",'Offer Statistics'!CE26,IF($Z$2="2019年",'Offer Statistics'!CE52,IF($Z$2="2020年",'Offer Statistics'!CE78)))</f>
        <v>0</v>
      </c>
      <c r="AG26" s="205"/>
      <c r="AH26" s="288">
        <f>IF($Z$2="2018年",'Offer Statistics'!BX26,IF($Z$2="2019年",'Offer Statistics'!BX52,IF($Z$2="2020年",'Offer Statistics'!BX78)))</f>
        <v>455</v>
      </c>
      <c r="AI26" s="291">
        <f>IF($Z$2="2018年",'Offer Statistics'!BS26,IF($Z$2="2019年",'Offer Statistics'!BS52,IF($Z$2="2020年",'Offer Statistics'!BS78)))</f>
        <v>64</v>
      </c>
      <c r="AJ26" s="291">
        <f>IF($Z$2="2018年",'Offer Statistics'!BT26,IF($Z$2="2019年",'Offer Statistics'!BT52,IF($Z$2="2020年",'Offer Statistics'!BT78)))</f>
        <v>45</v>
      </c>
      <c r="AK26" s="291">
        <f>IF($Z$2="2018年",'Offer Statistics'!BU26,IF($Z$2="2019年",'Offer Statistics'!BU52,IF($Z$2="2020年",'Offer Statistics'!BU78)))</f>
        <v>91</v>
      </c>
      <c r="AL26" s="291">
        <f>IF($Z$2="2018年",'Offer Statistics'!BV26,IF($Z$2="2019年",'Offer Statistics'!BV52,IF($Z$2="2020年",'Offer Statistics'!BV78)))</f>
        <v>125</v>
      </c>
      <c r="AM26" s="291">
        <f>IF($Z$2="2018年",'Offer Statistics'!BW26,IF($Z$2="2019年",'Offer Statistics'!BW52,IF($Z$2="2020年",'Offer Statistics'!BW78)))</f>
        <v>130</v>
      </c>
      <c r="AN26" s="282"/>
      <c r="AO26" s="283" t="str">
        <f t="shared" si="3"/>
        <v>JS5901</v>
      </c>
    </row>
    <row r="27" ht="18.0" customHeight="1">
      <c r="A27" s="142"/>
      <c r="B27" s="142"/>
      <c r="C27" s="142"/>
      <c r="D27" s="142"/>
      <c r="E27" s="308"/>
      <c r="F27" s="131"/>
      <c r="G27" s="131"/>
      <c r="H27" s="131"/>
      <c r="I27" s="219"/>
      <c r="J27" s="198"/>
      <c r="K27" s="131"/>
      <c r="L27" s="131"/>
      <c r="M27" s="131"/>
      <c r="N27" s="131"/>
      <c r="O27" s="131"/>
      <c r="P27" s="131"/>
      <c r="Q27" s="131"/>
      <c r="R27" s="131"/>
      <c r="S27" s="131"/>
      <c r="T27" s="131"/>
      <c r="U27" s="131"/>
      <c r="V27" s="131"/>
      <c r="W27" s="131"/>
      <c r="X27" s="131"/>
      <c r="Y27" s="131"/>
      <c r="Z27" s="142"/>
      <c r="AA27" s="142"/>
      <c r="AB27" s="142"/>
      <c r="AC27" s="142"/>
      <c r="AD27" s="142"/>
      <c r="AE27" s="142"/>
      <c r="AF27" s="142"/>
      <c r="AG27" s="142"/>
      <c r="AH27" s="142"/>
      <c r="AI27" s="142"/>
      <c r="AJ27" s="142"/>
      <c r="AK27" s="142"/>
      <c r="AL27" s="142"/>
      <c r="AM27" s="142"/>
      <c r="AN27" s="142"/>
      <c r="AO27" s="131"/>
    </row>
    <row r="28" ht="18.0" customHeight="1">
      <c r="A28" s="220" t="s">
        <v>1497</v>
      </c>
      <c r="B28" s="142"/>
      <c r="C28" s="142"/>
      <c r="D28" s="142"/>
      <c r="E28" s="308"/>
      <c r="F28" s="131"/>
      <c r="G28" s="131"/>
      <c r="H28" s="131"/>
      <c r="I28" s="219"/>
      <c r="J28" s="198"/>
      <c r="K28" s="131"/>
      <c r="L28" s="131"/>
      <c r="M28" s="131"/>
      <c r="N28" s="131"/>
      <c r="O28" s="131"/>
      <c r="P28" s="131"/>
      <c r="Q28" s="131"/>
      <c r="R28" s="131"/>
      <c r="S28" s="131"/>
      <c r="T28" s="131"/>
      <c r="U28" s="131"/>
      <c r="V28" s="131"/>
      <c r="W28" s="131"/>
      <c r="X28" s="131"/>
      <c r="Y28" s="131"/>
      <c r="Z28" s="142"/>
      <c r="AA28" s="142"/>
      <c r="AB28" s="142"/>
      <c r="AC28" s="142"/>
      <c r="AD28" s="142"/>
      <c r="AE28" s="142"/>
      <c r="AF28" s="142"/>
      <c r="AG28" s="142"/>
      <c r="AH28" s="142"/>
      <c r="AI28" s="142"/>
      <c r="AJ28" s="142"/>
      <c r="AK28" s="142"/>
      <c r="AL28" s="142"/>
      <c r="AM28" s="142"/>
      <c r="AN28" s="142"/>
      <c r="AO28" s="131"/>
    </row>
    <row r="29" ht="18.0" customHeight="1">
      <c r="A29" s="142" t="s">
        <v>1498</v>
      </c>
      <c r="B29" s="142"/>
      <c r="C29" s="142"/>
      <c r="D29" s="142"/>
      <c r="E29" s="308"/>
      <c r="F29" s="131"/>
      <c r="G29" s="131"/>
      <c r="H29" s="131"/>
      <c r="I29" s="219"/>
      <c r="J29" s="198"/>
      <c r="K29" s="131"/>
      <c r="L29" s="131"/>
      <c r="M29" s="131"/>
      <c r="N29" s="131"/>
      <c r="O29" s="131"/>
      <c r="P29" s="131"/>
      <c r="Q29" s="131"/>
      <c r="R29" s="131"/>
      <c r="S29" s="131"/>
      <c r="T29" s="131"/>
      <c r="U29" s="131"/>
      <c r="V29" s="131"/>
      <c r="W29" s="131"/>
      <c r="X29" s="131"/>
      <c r="Y29" s="131"/>
      <c r="Z29" s="142"/>
      <c r="AA29" s="142"/>
      <c r="AB29" s="142"/>
      <c r="AC29" s="142"/>
      <c r="AD29" s="142"/>
      <c r="AE29" s="142"/>
      <c r="AF29" s="142"/>
      <c r="AG29" s="142"/>
      <c r="AH29" s="142"/>
      <c r="AI29" s="142"/>
      <c r="AJ29" s="142"/>
      <c r="AK29" s="142"/>
      <c r="AL29" s="142"/>
      <c r="AM29" s="142"/>
      <c r="AN29" s="142"/>
      <c r="AO29" s="131"/>
    </row>
    <row r="30" ht="18.0" customHeight="1">
      <c r="A30" s="142"/>
      <c r="B30" s="142"/>
      <c r="C30" s="198"/>
      <c r="D30" s="142"/>
      <c r="E30" s="131"/>
      <c r="F30" s="142"/>
      <c r="G30" s="142"/>
      <c r="H30" s="131"/>
      <c r="I30" s="142"/>
      <c r="J30" s="142"/>
      <c r="K30" s="132"/>
      <c r="L30" s="131"/>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row>
    <row r="31" ht="18.0" customHeight="1">
      <c r="A31" s="142" t="s">
        <v>1229</v>
      </c>
      <c r="B31" s="142"/>
      <c r="C31" s="142"/>
      <c r="D31" s="142"/>
      <c r="E31" s="132"/>
      <c r="F31" s="131"/>
      <c r="G31" s="131"/>
      <c r="H31" s="131"/>
      <c r="I31" s="131"/>
      <c r="J31" s="219"/>
      <c r="K31" s="198"/>
      <c r="L31" s="131"/>
      <c r="M31" s="142"/>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42"/>
    </row>
    <row r="32" ht="18.0" customHeight="1">
      <c r="A32" s="142"/>
      <c r="B32" s="142"/>
      <c r="C32" s="142"/>
      <c r="D32" s="142"/>
      <c r="E32" s="308"/>
      <c r="F32" s="131"/>
      <c r="G32" s="131"/>
      <c r="H32" s="131"/>
      <c r="I32" s="219"/>
      <c r="J32" s="198"/>
      <c r="K32" s="131"/>
      <c r="L32" s="131"/>
      <c r="M32" s="131"/>
      <c r="N32" s="131"/>
      <c r="O32" s="131"/>
      <c r="P32" s="131"/>
      <c r="Q32" s="131"/>
      <c r="R32" s="131"/>
      <c r="S32" s="131"/>
      <c r="T32" s="131"/>
      <c r="U32" s="131"/>
      <c r="V32" s="131"/>
      <c r="W32" s="131"/>
      <c r="X32" s="131"/>
      <c r="Y32" s="131"/>
      <c r="Z32" s="142"/>
      <c r="AA32" s="142"/>
      <c r="AB32" s="142"/>
      <c r="AC32" s="142"/>
      <c r="AD32" s="142"/>
      <c r="AE32" s="142"/>
      <c r="AF32" s="142"/>
      <c r="AG32" s="142"/>
      <c r="AH32" s="142"/>
      <c r="AI32" s="142"/>
      <c r="AJ32" s="142"/>
      <c r="AK32" s="142"/>
      <c r="AL32" s="142"/>
      <c r="AM32" s="142"/>
      <c r="AN32" s="142"/>
      <c r="AO32" s="131"/>
    </row>
    <row r="33" ht="18.0" customHeight="1">
      <c r="A33" s="220" t="s">
        <v>1230</v>
      </c>
      <c r="B33" s="142"/>
      <c r="C33" s="142"/>
      <c r="D33" s="142"/>
      <c r="E33" s="308"/>
      <c r="F33" s="131"/>
      <c r="G33" s="131"/>
      <c r="H33" s="131"/>
      <c r="I33" s="219"/>
      <c r="J33" s="198"/>
      <c r="K33" s="131"/>
      <c r="L33" s="131"/>
      <c r="M33" s="131"/>
      <c r="N33" s="131"/>
      <c r="O33" s="131"/>
      <c r="P33" s="131"/>
      <c r="Q33" s="131"/>
      <c r="R33" s="131"/>
      <c r="S33" s="131"/>
      <c r="T33" s="131"/>
      <c r="U33" s="131"/>
      <c r="V33" s="131"/>
      <c r="W33" s="131"/>
      <c r="X33" s="131"/>
      <c r="Y33" s="131"/>
      <c r="Z33" s="142"/>
      <c r="AA33" s="142"/>
      <c r="AB33" s="142"/>
      <c r="AC33" s="142"/>
      <c r="AD33" s="142"/>
      <c r="AE33" s="142"/>
      <c r="AF33" s="142"/>
      <c r="AG33" s="142"/>
      <c r="AH33" s="142"/>
      <c r="AI33" s="142"/>
      <c r="AJ33" s="142"/>
      <c r="AK33" s="142"/>
      <c r="AL33" s="142"/>
      <c r="AM33" s="142"/>
      <c r="AN33" s="142"/>
      <c r="AO33" s="131"/>
    </row>
    <row r="34" ht="18.0" customHeight="1">
      <c r="A34" s="142" t="s">
        <v>1499</v>
      </c>
      <c r="B34" s="142"/>
      <c r="C34" s="142"/>
      <c r="D34" s="142"/>
      <c r="E34" s="308"/>
      <c r="F34" s="131"/>
      <c r="G34" s="131"/>
      <c r="H34" s="131"/>
      <c r="I34" s="219"/>
      <c r="J34" s="198"/>
      <c r="K34" s="131"/>
      <c r="L34" s="131"/>
      <c r="M34" s="131"/>
      <c r="N34" s="131"/>
      <c r="O34" s="131"/>
      <c r="P34" s="131"/>
      <c r="Q34" s="131"/>
      <c r="R34" s="131"/>
      <c r="S34" s="131"/>
      <c r="T34" s="131"/>
      <c r="U34" s="131"/>
      <c r="V34" s="131"/>
      <c r="W34" s="131"/>
      <c r="X34" s="131"/>
      <c r="Y34" s="131"/>
      <c r="Z34" s="142"/>
      <c r="AA34" s="142"/>
      <c r="AB34" s="142"/>
      <c r="AC34" s="142"/>
      <c r="AD34" s="142"/>
      <c r="AE34" s="142"/>
      <c r="AF34" s="142"/>
      <c r="AG34" s="142"/>
      <c r="AH34" s="142"/>
      <c r="AI34" s="142"/>
      <c r="AJ34" s="142"/>
      <c r="AK34" s="142"/>
      <c r="AL34" s="142"/>
      <c r="AM34" s="142"/>
      <c r="AN34" s="142"/>
      <c r="AO34" s="131"/>
    </row>
    <row r="35" ht="18.0" customHeight="1">
      <c r="A35" s="142"/>
      <c r="B35" s="142"/>
      <c r="C35" s="142"/>
      <c r="D35" s="142"/>
      <c r="E35" s="308"/>
      <c r="F35" s="131"/>
      <c r="G35" s="131"/>
      <c r="H35" s="131"/>
      <c r="I35" s="219"/>
      <c r="J35" s="198"/>
      <c r="K35" s="131"/>
      <c r="L35" s="131"/>
      <c r="M35" s="131"/>
      <c r="N35" s="131"/>
      <c r="O35" s="131"/>
      <c r="P35" s="131"/>
      <c r="Q35" s="131"/>
      <c r="R35" s="131"/>
      <c r="S35" s="131"/>
      <c r="T35" s="131"/>
      <c r="U35" s="131"/>
      <c r="V35" s="131"/>
      <c r="W35" s="131"/>
      <c r="X35" s="131"/>
      <c r="Y35" s="131"/>
      <c r="Z35" s="142"/>
      <c r="AA35" s="142"/>
      <c r="AB35" s="142"/>
      <c r="AC35" s="142"/>
      <c r="AD35" s="142"/>
      <c r="AE35" s="142"/>
      <c r="AF35" s="142"/>
      <c r="AG35" s="142"/>
      <c r="AH35" s="142"/>
      <c r="AI35" s="142"/>
      <c r="AJ35" s="142"/>
      <c r="AK35" s="142"/>
      <c r="AL35" s="142"/>
      <c r="AM35" s="142"/>
      <c r="AN35" s="142"/>
      <c r="AO35" s="131"/>
    </row>
    <row r="36" ht="18.0" customHeight="1">
      <c r="A36" s="220" t="s">
        <v>1232</v>
      </c>
      <c r="B36" s="142"/>
      <c r="C36" s="142"/>
      <c r="D36" s="142"/>
      <c r="E36" s="308"/>
      <c r="F36" s="131"/>
      <c r="G36" s="131"/>
      <c r="H36" s="131"/>
      <c r="I36" s="219"/>
      <c r="J36" s="198"/>
      <c r="K36" s="131"/>
      <c r="L36" s="131"/>
      <c r="M36" s="131"/>
      <c r="N36" s="131"/>
      <c r="O36" s="131"/>
      <c r="P36" s="131"/>
      <c r="Q36" s="131"/>
      <c r="R36" s="131"/>
      <c r="S36" s="131"/>
      <c r="T36" s="131"/>
      <c r="U36" s="131"/>
      <c r="V36" s="131"/>
      <c r="W36" s="131"/>
      <c r="X36" s="131"/>
      <c r="Y36" s="131"/>
      <c r="Z36" s="142"/>
      <c r="AA36" s="142"/>
      <c r="AB36" s="142"/>
      <c r="AC36" s="142"/>
      <c r="AD36" s="142"/>
      <c r="AE36" s="142"/>
      <c r="AF36" s="142"/>
      <c r="AG36" s="142"/>
      <c r="AH36" s="142"/>
      <c r="AI36" s="142"/>
      <c r="AJ36" s="142"/>
      <c r="AK36" s="142"/>
      <c r="AL36" s="142"/>
      <c r="AM36" s="142"/>
      <c r="AN36" s="142"/>
      <c r="AO36" s="131"/>
    </row>
    <row r="37" ht="18.0" customHeight="1">
      <c r="A37" s="242" t="s">
        <v>1500</v>
      </c>
      <c r="B37" s="142"/>
      <c r="C37" s="142"/>
      <c r="D37" s="142"/>
      <c r="E37" s="308"/>
      <c r="F37" s="131"/>
      <c r="G37" s="131"/>
      <c r="H37" s="131"/>
      <c r="I37" s="219"/>
      <c r="J37" s="198"/>
      <c r="K37" s="131"/>
      <c r="L37" s="131"/>
      <c r="M37" s="131"/>
      <c r="N37" s="131"/>
      <c r="O37" s="131"/>
      <c r="P37" s="131"/>
      <c r="Q37" s="131"/>
      <c r="R37" s="131"/>
      <c r="S37" s="131"/>
      <c r="T37" s="131"/>
      <c r="U37" s="131"/>
      <c r="V37" s="131"/>
      <c r="W37" s="131"/>
      <c r="X37" s="131"/>
      <c r="Y37" s="131"/>
      <c r="Z37" s="142"/>
      <c r="AA37" s="142"/>
      <c r="AB37" s="142"/>
      <c r="AC37" s="142"/>
      <c r="AD37" s="142"/>
      <c r="AE37" s="142"/>
      <c r="AF37" s="142"/>
      <c r="AG37" s="142"/>
      <c r="AH37" s="142"/>
      <c r="AI37" s="142"/>
      <c r="AJ37" s="142"/>
      <c r="AK37" s="142"/>
      <c r="AL37" s="142"/>
      <c r="AM37" s="142"/>
      <c r="AN37" s="142"/>
      <c r="AO37" s="131"/>
    </row>
    <row r="38" ht="18.0" customHeight="1">
      <c r="A38" s="221" t="s">
        <v>1501</v>
      </c>
      <c r="B38" s="142"/>
      <c r="C38" s="142"/>
      <c r="D38" s="142"/>
      <c r="E38" s="308"/>
      <c r="F38" s="131"/>
      <c r="G38" s="131"/>
      <c r="H38" s="220"/>
      <c r="I38" s="219"/>
      <c r="J38" s="198"/>
      <c r="K38" s="131"/>
      <c r="L38" s="131"/>
      <c r="M38" s="131"/>
      <c r="N38" s="131"/>
      <c r="O38" s="131"/>
      <c r="P38" s="131"/>
      <c r="Q38" s="131"/>
      <c r="R38" s="131"/>
      <c r="S38" s="131"/>
      <c r="T38" s="131"/>
      <c r="U38" s="131"/>
      <c r="V38" s="131"/>
      <c r="W38" s="131"/>
      <c r="X38" s="131"/>
      <c r="Y38" s="131"/>
      <c r="Z38" s="142"/>
      <c r="AA38" s="142"/>
      <c r="AB38" s="142"/>
      <c r="AC38" s="142"/>
      <c r="AD38" s="142"/>
      <c r="AE38" s="142"/>
      <c r="AF38" s="142"/>
      <c r="AG38" s="142"/>
      <c r="AH38" s="142"/>
      <c r="AI38" s="142"/>
      <c r="AJ38" s="142"/>
      <c r="AK38" s="142"/>
      <c r="AL38" s="142"/>
      <c r="AM38" s="142"/>
      <c r="AN38" s="142"/>
      <c r="AO38" s="131"/>
    </row>
    <row r="39" ht="18.0" customHeight="1">
      <c r="A39" s="242" t="s">
        <v>1502</v>
      </c>
      <c r="B39" s="142"/>
      <c r="C39" s="142"/>
      <c r="D39" s="142"/>
      <c r="E39" s="308"/>
      <c r="F39" s="131"/>
      <c r="G39" s="131"/>
      <c r="H39" s="142"/>
      <c r="I39" s="219"/>
      <c r="J39" s="198"/>
      <c r="K39" s="131"/>
      <c r="L39" s="131"/>
      <c r="M39" s="131"/>
      <c r="N39" s="131"/>
      <c r="O39" s="131"/>
      <c r="P39" s="131"/>
      <c r="Q39" s="131"/>
      <c r="R39" s="131"/>
      <c r="S39" s="131"/>
      <c r="T39" s="131"/>
      <c r="U39" s="131"/>
      <c r="V39" s="131"/>
      <c r="W39" s="131"/>
      <c r="X39" s="131"/>
      <c r="Y39" s="131"/>
      <c r="Z39" s="142"/>
      <c r="AA39" s="142"/>
      <c r="AB39" s="142"/>
      <c r="AC39" s="142"/>
      <c r="AD39" s="142"/>
      <c r="AE39" s="142"/>
      <c r="AF39" s="142"/>
      <c r="AG39" s="142"/>
      <c r="AH39" s="142"/>
      <c r="AI39" s="142"/>
      <c r="AJ39" s="142"/>
      <c r="AK39" s="142"/>
      <c r="AL39" s="142"/>
      <c r="AM39" s="142"/>
      <c r="AN39" s="142"/>
      <c r="AO39" s="131"/>
    </row>
    <row r="40" ht="18.0" customHeight="1">
      <c r="A40" s="142"/>
      <c r="B40" s="142"/>
      <c r="C40" s="142"/>
      <c r="D40" s="142"/>
      <c r="E40" s="308"/>
      <c r="F40" s="131"/>
      <c r="G40" s="131"/>
      <c r="H40" s="131"/>
      <c r="I40" s="219"/>
      <c r="J40" s="198"/>
      <c r="K40" s="131"/>
      <c r="L40" s="131"/>
      <c r="M40" s="131"/>
      <c r="N40" s="131"/>
      <c r="O40" s="131"/>
      <c r="P40" s="131"/>
      <c r="Q40" s="131"/>
      <c r="R40" s="131"/>
      <c r="S40" s="131"/>
      <c r="T40" s="131"/>
      <c r="U40" s="131"/>
      <c r="V40" s="131"/>
      <c r="W40" s="131"/>
      <c r="X40" s="131"/>
      <c r="Y40" s="131"/>
      <c r="Z40" s="142"/>
      <c r="AA40" s="142"/>
      <c r="AB40" s="142"/>
      <c r="AC40" s="142"/>
      <c r="AD40" s="142"/>
      <c r="AE40" s="142"/>
      <c r="AF40" s="142"/>
      <c r="AG40" s="142"/>
      <c r="AH40" s="142"/>
      <c r="AI40" s="142"/>
      <c r="AJ40" s="142"/>
      <c r="AK40" s="142"/>
      <c r="AL40" s="142"/>
      <c r="AM40" s="142"/>
      <c r="AN40" s="142"/>
      <c r="AO40" s="131"/>
    </row>
    <row r="41" ht="13.5" customHeight="1">
      <c r="A41" s="142"/>
      <c r="B41" s="142"/>
      <c r="C41" s="142"/>
      <c r="D41" s="142"/>
      <c r="E41" s="308"/>
      <c r="F41" s="131"/>
      <c r="G41" s="131"/>
      <c r="H41" s="131"/>
      <c r="I41" s="219"/>
      <c r="J41" s="198"/>
      <c r="K41" s="131"/>
      <c r="L41" s="131"/>
      <c r="M41" s="131"/>
      <c r="N41" s="131"/>
      <c r="O41" s="131"/>
      <c r="P41" s="131"/>
      <c r="Q41" s="131"/>
      <c r="R41" s="131"/>
      <c r="S41" s="131"/>
      <c r="T41" s="131"/>
      <c r="U41" s="131"/>
      <c r="V41" s="131"/>
      <c r="W41" s="131"/>
      <c r="X41" s="131"/>
      <c r="Y41" s="131"/>
      <c r="Z41" s="142"/>
      <c r="AA41" s="142"/>
      <c r="AB41" s="142"/>
      <c r="AC41" s="142"/>
      <c r="AD41" s="142"/>
      <c r="AE41" s="142"/>
      <c r="AF41" s="142"/>
      <c r="AG41" s="142"/>
      <c r="AH41" s="142"/>
      <c r="AI41" s="142"/>
      <c r="AJ41" s="142"/>
      <c r="AK41" s="142"/>
      <c r="AL41" s="142"/>
      <c r="AM41" s="142"/>
      <c r="AN41" s="142"/>
      <c r="AO41" s="131"/>
    </row>
    <row r="42" ht="13.5" customHeight="1">
      <c r="A42" s="142"/>
      <c r="B42" s="142"/>
      <c r="C42" s="142"/>
      <c r="D42" s="142"/>
      <c r="E42" s="308"/>
      <c r="F42" s="131"/>
      <c r="G42" s="131"/>
      <c r="H42" s="131"/>
      <c r="I42" s="219"/>
      <c r="J42" s="198"/>
      <c r="K42" s="131"/>
      <c r="L42" s="131"/>
      <c r="M42" s="131"/>
      <c r="N42" s="131"/>
      <c r="O42" s="131"/>
      <c r="P42" s="131"/>
      <c r="Q42" s="131"/>
      <c r="R42" s="131"/>
      <c r="S42" s="131"/>
      <c r="T42" s="131"/>
      <c r="U42" s="131"/>
      <c r="V42" s="131"/>
      <c r="W42" s="131"/>
      <c r="X42" s="131"/>
      <c r="Y42" s="131"/>
      <c r="Z42" s="142"/>
      <c r="AA42" s="142"/>
      <c r="AB42" s="142"/>
      <c r="AC42" s="142"/>
      <c r="AD42" s="142"/>
      <c r="AE42" s="142"/>
      <c r="AF42" s="142"/>
      <c r="AG42" s="142"/>
      <c r="AH42" s="142"/>
      <c r="AI42" s="142"/>
      <c r="AJ42" s="142"/>
      <c r="AK42" s="142"/>
      <c r="AL42" s="142"/>
      <c r="AM42" s="142"/>
      <c r="AN42" s="142"/>
      <c r="AO42" s="131"/>
    </row>
    <row r="43" ht="13.5" customHeight="1">
      <c r="A43" s="142"/>
      <c r="B43" s="142"/>
      <c r="C43" s="142"/>
      <c r="D43" s="142"/>
      <c r="E43" s="308"/>
      <c r="F43" s="131"/>
      <c r="G43" s="131"/>
      <c r="H43" s="131"/>
      <c r="I43" s="219"/>
      <c r="J43" s="198"/>
      <c r="K43" s="131"/>
      <c r="L43" s="131"/>
      <c r="M43" s="131"/>
      <c r="N43" s="131"/>
      <c r="O43" s="131"/>
      <c r="P43" s="131"/>
      <c r="Q43" s="131"/>
      <c r="R43" s="131"/>
      <c r="S43" s="131"/>
      <c r="T43" s="131"/>
      <c r="U43" s="131"/>
      <c r="V43" s="131"/>
      <c r="W43" s="131"/>
      <c r="X43" s="131"/>
      <c r="Y43" s="131"/>
      <c r="Z43" s="142"/>
      <c r="AA43" s="142"/>
      <c r="AB43" s="142"/>
      <c r="AC43" s="142"/>
      <c r="AD43" s="142"/>
      <c r="AE43" s="142"/>
      <c r="AF43" s="142"/>
      <c r="AG43" s="142"/>
      <c r="AH43" s="142"/>
      <c r="AI43" s="142"/>
      <c r="AJ43" s="142"/>
      <c r="AK43" s="142"/>
      <c r="AL43" s="142"/>
      <c r="AM43" s="142"/>
      <c r="AN43" s="142"/>
      <c r="AO43" s="131"/>
    </row>
    <row r="44" ht="13.5" customHeight="1">
      <c r="A44" s="142"/>
      <c r="B44" s="142"/>
      <c r="C44" s="142"/>
      <c r="D44" s="142"/>
      <c r="E44" s="308"/>
      <c r="F44" s="131"/>
      <c r="G44" s="131"/>
      <c r="H44" s="131"/>
      <c r="I44" s="219"/>
      <c r="J44" s="198"/>
      <c r="K44" s="131"/>
      <c r="L44" s="131"/>
      <c r="M44" s="131"/>
      <c r="N44" s="131"/>
      <c r="O44" s="131"/>
      <c r="P44" s="131"/>
      <c r="Q44" s="131"/>
      <c r="R44" s="131"/>
      <c r="S44" s="131"/>
      <c r="T44" s="131"/>
      <c r="U44" s="131"/>
      <c r="V44" s="131"/>
      <c r="W44" s="131"/>
      <c r="X44" s="131"/>
      <c r="Y44" s="131"/>
      <c r="Z44" s="142"/>
      <c r="AA44" s="142"/>
      <c r="AB44" s="142"/>
      <c r="AC44" s="142"/>
      <c r="AD44" s="142"/>
      <c r="AE44" s="142"/>
      <c r="AF44" s="142"/>
      <c r="AG44" s="142"/>
      <c r="AH44" s="142"/>
      <c r="AI44" s="142"/>
      <c r="AJ44" s="142"/>
      <c r="AK44" s="142"/>
      <c r="AL44" s="142"/>
      <c r="AM44" s="142"/>
      <c r="AN44" s="142"/>
      <c r="AO44" s="131"/>
    </row>
    <row r="45" ht="13.5" customHeight="1">
      <c r="A45" s="142"/>
      <c r="B45" s="142"/>
      <c r="C45" s="142"/>
      <c r="D45" s="142"/>
      <c r="E45" s="308"/>
      <c r="F45" s="131"/>
      <c r="G45" s="131"/>
      <c r="H45" s="131"/>
      <c r="I45" s="219"/>
      <c r="J45" s="198"/>
      <c r="K45" s="131"/>
      <c r="L45" s="131"/>
      <c r="M45" s="131"/>
      <c r="N45" s="131"/>
      <c r="O45" s="131"/>
      <c r="P45" s="131"/>
      <c r="Q45" s="131"/>
      <c r="R45" s="131"/>
      <c r="S45" s="131"/>
      <c r="T45" s="131"/>
      <c r="U45" s="131"/>
      <c r="V45" s="131"/>
      <c r="W45" s="131"/>
      <c r="X45" s="131"/>
      <c r="Y45" s="131"/>
      <c r="Z45" s="142"/>
      <c r="AA45" s="142"/>
      <c r="AB45" s="142"/>
      <c r="AC45" s="142"/>
      <c r="AD45" s="142"/>
      <c r="AE45" s="142"/>
      <c r="AF45" s="142"/>
      <c r="AG45" s="142"/>
      <c r="AH45" s="142"/>
      <c r="AI45" s="142"/>
      <c r="AJ45" s="142"/>
      <c r="AK45" s="142"/>
      <c r="AL45" s="142"/>
      <c r="AM45" s="142"/>
      <c r="AN45" s="142"/>
      <c r="AO45" s="131"/>
    </row>
    <row r="46" ht="13.5" customHeight="1">
      <c r="A46" s="142"/>
      <c r="B46" s="142"/>
      <c r="C46" s="142"/>
      <c r="D46" s="142"/>
      <c r="E46" s="308"/>
      <c r="F46" s="131"/>
      <c r="G46" s="131"/>
      <c r="H46" s="131"/>
      <c r="I46" s="219"/>
      <c r="J46" s="198"/>
      <c r="K46" s="131"/>
      <c r="L46" s="131"/>
      <c r="M46" s="131"/>
      <c r="N46" s="131"/>
      <c r="O46" s="131"/>
      <c r="P46" s="131"/>
      <c r="Q46" s="131"/>
      <c r="R46" s="131"/>
      <c r="S46" s="131"/>
      <c r="T46" s="131"/>
      <c r="U46" s="131"/>
      <c r="V46" s="131"/>
      <c r="W46" s="131"/>
      <c r="X46" s="131"/>
      <c r="Y46" s="131"/>
      <c r="Z46" s="142"/>
      <c r="AA46" s="142"/>
      <c r="AB46" s="142"/>
      <c r="AC46" s="142"/>
      <c r="AD46" s="142"/>
      <c r="AE46" s="142"/>
      <c r="AF46" s="142"/>
      <c r="AG46" s="142"/>
      <c r="AH46" s="142"/>
      <c r="AI46" s="142"/>
      <c r="AJ46" s="142"/>
      <c r="AK46" s="142"/>
      <c r="AL46" s="142"/>
      <c r="AM46" s="142"/>
      <c r="AN46" s="142"/>
      <c r="AO46" s="131"/>
    </row>
    <row r="47" ht="13.5" customHeight="1">
      <c r="A47" s="142"/>
      <c r="B47" s="142"/>
      <c r="C47" s="142"/>
      <c r="D47" s="142"/>
      <c r="E47" s="308"/>
      <c r="F47" s="131"/>
      <c r="G47" s="131"/>
      <c r="H47" s="131"/>
      <c r="I47" s="219"/>
      <c r="J47" s="198"/>
      <c r="K47" s="131"/>
      <c r="L47" s="131"/>
      <c r="M47" s="131"/>
      <c r="N47" s="131"/>
      <c r="O47" s="131"/>
      <c r="P47" s="131"/>
      <c r="Q47" s="131"/>
      <c r="R47" s="131"/>
      <c r="S47" s="131"/>
      <c r="T47" s="131"/>
      <c r="U47" s="131"/>
      <c r="V47" s="131"/>
      <c r="W47" s="131"/>
      <c r="X47" s="131"/>
      <c r="Y47" s="131"/>
      <c r="Z47" s="142"/>
      <c r="AA47" s="142"/>
      <c r="AB47" s="142"/>
      <c r="AC47" s="142"/>
      <c r="AD47" s="142"/>
      <c r="AE47" s="142"/>
      <c r="AF47" s="142"/>
      <c r="AG47" s="142"/>
      <c r="AH47" s="142"/>
      <c r="AI47" s="142"/>
      <c r="AJ47" s="142"/>
      <c r="AK47" s="142"/>
      <c r="AL47" s="142"/>
      <c r="AM47" s="142"/>
      <c r="AN47" s="142"/>
      <c r="AO47" s="131"/>
    </row>
    <row r="48" ht="13.5" customHeight="1">
      <c r="A48" s="142"/>
      <c r="B48" s="142"/>
      <c r="C48" s="142"/>
      <c r="D48" s="142"/>
      <c r="E48" s="308"/>
      <c r="F48" s="131"/>
      <c r="G48" s="131"/>
      <c r="H48" s="131"/>
      <c r="I48" s="219"/>
      <c r="J48" s="198"/>
      <c r="K48" s="131"/>
      <c r="L48" s="131"/>
      <c r="M48" s="131"/>
      <c r="N48" s="131"/>
      <c r="O48" s="131"/>
      <c r="P48" s="131"/>
      <c r="Q48" s="131"/>
      <c r="R48" s="131"/>
      <c r="S48" s="131"/>
      <c r="T48" s="131"/>
      <c r="U48" s="131"/>
      <c r="V48" s="131"/>
      <c r="W48" s="131"/>
      <c r="X48" s="131"/>
      <c r="Y48" s="131"/>
      <c r="Z48" s="142"/>
      <c r="AA48" s="142"/>
      <c r="AB48" s="142"/>
      <c r="AC48" s="142"/>
      <c r="AD48" s="142"/>
      <c r="AE48" s="142"/>
      <c r="AF48" s="142"/>
      <c r="AG48" s="142"/>
      <c r="AH48" s="142"/>
      <c r="AI48" s="142"/>
      <c r="AJ48" s="142"/>
      <c r="AK48" s="142"/>
      <c r="AL48" s="142"/>
      <c r="AM48" s="142"/>
      <c r="AN48" s="142"/>
      <c r="AO48" s="131"/>
    </row>
    <row r="49" ht="13.5" customHeight="1">
      <c r="A49" s="142"/>
      <c r="B49" s="142"/>
      <c r="C49" s="142"/>
      <c r="D49" s="142"/>
      <c r="E49" s="308"/>
      <c r="F49" s="131"/>
      <c r="G49" s="131"/>
      <c r="H49" s="131"/>
      <c r="I49" s="219"/>
      <c r="J49" s="198"/>
      <c r="K49" s="131"/>
      <c r="L49" s="131"/>
      <c r="M49" s="131"/>
      <c r="N49" s="131"/>
      <c r="O49" s="131"/>
      <c r="P49" s="131"/>
      <c r="Q49" s="131"/>
      <c r="R49" s="131"/>
      <c r="S49" s="131"/>
      <c r="T49" s="131"/>
      <c r="U49" s="131"/>
      <c r="V49" s="131"/>
      <c r="W49" s="131"/>
      <c r="X49" s="131"/>
      <c r="Y49" s="131"/>
      <c r="Z49" s="142"/>
      <c r="AA49" s="142"/>
      <c r="AB49" s="142"/>
      <c r="AC49" s="142"/>
      <c r="AD49" s="142"/>
      <c r="AE49" s="142"/>
      <c r="AF49" s="142"/>
      <c r="AG49" s="142"/>
      <c r="AH49" s="142"/>
      <c r="AI49" s="142"/>
      <c r="AJ49" s="142"/>
      <c r="AK49" s="142"/>
      <c r="AL49" s="142"/>
      <c r="AM49" s="142"/>
      <c r="AN49" s="142"/>
      <c r="AO49" s="131"/>
    </row>
    <row r="50" ht="13.5" customHeight="1">
      <c r="A50" s="142"/>
      <c r="B50" s="142"/>
      <c r="C50" s="142"/>
      <c r="D50" s="142"/>
      <c r="E50" s="308"/>
      <c r="F50" s="131"/>
      <c r="G50" s="131"/>
      <c r="H50" s="131"/>
      <c r="I50" s="219"/>
      <c r="J50" s="198"/>
      <c r="K50" s="131"/>
      <c r="L50" s="131"/>
      <c r="M50" s="131"/>
      <c r="N50" s="131"/>
      <c r="O50" s="131"/>
      <c r="P50" s="131"/>
      <c r="Q50" s="131"/>
      <c r="R50" s="131"/>
      <c r="S50" s="131"/>
      <c r="T50" s="131"/>
      <c r="U50" s="131"/>
      <c r="V50" s="131"/>
      <c r="W50" s="131"/>
      <c r="X50" s="131"/>
      <c r="Y50" s="131"/>
      <c r="Z50" s="142"/>
      <c r="AA50" s="142"/>
      <c r="AB50" s="142"/>
      <c r="AC50" s="142"/>
      <c r="AD50" s="142"/>
      <c r="AE50" s="142"/>
      <c r="AF50" s="142"/>
      <c r="AG50" s="142"/>
      <c r="AH50" s="142"/>
      <c r="AI50" s="142"/>
      <c r="AJ50" s="142"/>
      <c r="AK50" s="142"/>
      <c r="AL50" s="142"/>
      <c r="AM50" s="142"/>
      <c r="AN50" s="142"/>
      <c r="AO50" s="131"/>
    </row>
    <row r="51" ht="13.5" customHeight="1">
      <c r="A51" s="142"/>
      <c r="B51" s="142"/>
      <c r="C51" s="142"/>
      <c r="D51" s="142"/>
      <c r="E51" s="308"/>
      <c r="F51" s="131"/>
      <c r="G51" s="131"/>
      <c r="H51" s="131"/>
      <c r="I51" s="219"/>
      <c r="J51" s="198"/>
      <c r="K51" s="131"/>
      <c r="L51" s="131"/>
      <c r="M51" s="131"/>
      <c r="N51" s="131"/>
      <c r="O51" s="131"/>
      <c r="P51" s="131"/>
      <c r="Q51" s="131"/>
      <c r="R51" s="131"/>
      <c r="S51" s="131"/>
      <c r="T51" s="131"/>
      <c r="U51" s="131"/>
      <c r="V51" s="131"/>
      <c r="W51" s="131"/>
      <c r="X51" s="131"/>
      <c r="Y51" s="131"/>
      <c r="Z51" s="142"/>
      <c r="AA51" s="142"/>
      <c r="AB51" s="142"/>
      <c r="AC51" s="142"/>
      <c r="AD51" s="142"/>
      <c r="AE51" s="142"/>
      <c r="AF51" s="142"/>
      <c r="AG51" s="142"/>
      <c r="AH51" s="142"/>
      <c r="AI51" s="142"/>
      <c r="AJ51" s="142"/>
      <c r="AK51" s="142"/>
      <c r="AL51" s="142"/>
      <c r="AM51" s="142"/>
      <c r="AN51" s="142"/>
      <c r="AO51" s="131"/>
    </row>
    <row r="52" ht="13.5" customHeight="1">
      <c r="A52" s="142"/>
      <c r="B52" s="142"/>
      <c r="C52" s="142"/>
      <c r="D52" s="142"/>
      <c r="E52" s="308"/>
      <c r="F52" s="131"/>
      <c r="G52" s="131"/>
      <c r="H52" s="131"/>
      <c r="I52" s="219"/>
      <c r="J52" s="198"/>
      <c r="K52" s="131"/>
      <c r="L52" s="131"/>
      <c r="M52" s="131"/>
      <c r="N52" s="131"/>
      <c r="O52" s="131"/>
      <c r="P52" s="131"/>
      <c r="Q52" s="131"/>
      <c r="R52" s="131"/>
      <c r="S52" s="131"/>
      <c r="T52" s="131"/>
      <c r="U52" s="131"/>
      <c r="V52" s="131"/>
      <c r="W52" s="131"/>
      <c r="X52" s="131"/>
      <c r="Y52" s="131"/>
      <c r="Z52" s="142"/>
      <c r="AA52" s="142"/>
      <c r="AB52" s="142"/>
      <c r="AC52" s="142"/>
      <c r="AD52" s="142"/>
      <c r="AE52" s="142"/>
      <c r="AF52" s="142"/>
      <c r="AG52" s="142"/>
      <c r="AH52" s="142"/>
      <c r="AI52" s="142"/>
      <c r="AJ52" s="142"/>
      <c r="AK52" s="142"/>
      <c r="AL52" s="142"/>
      <c r="AM52" s="142"/>
      <c r="AN52" s="142"/>
      <c r="AO52" s="131"/>
    </row>
    <row r="53" ht="13.5" customHeight="1">
      <c r="A53" s="142"/>
      <c r="B53" s="142"/>
      <c r="C53" s="142"/>
      <c r="D53" s="142"/>
      <c r="E53" s="308"/>
      <c r="F53" s="131"/>
      <c r="G53" s="131"/>
      <c r="H53" s="131"/>
      <c r="I53" s="219"/>
      <c r="J53" s="198"/>
      <c r="K53" s="131"/>
      <c r="L53" s="131"/>
      <c r="M53" s="131"/>
      <c r="N53" s="131"/>
      <c r="O53" s="131"/>
      <c r="P53" s="131"/>
      <c r="Q53" s="131"/>
      <c r="R53" s="131"/>
      <c r="S53" s="131"/>
      <c r="T53" s="131"/>
      <c r="U53" s="131"/>
      <c r="V53" s="131"/>
      <c r="W53" s="131"/>
      <c r="X53" s="131"/>
      <c r="Y53" s="131"/>
      <c r="Z53" s="142"/>
      <c r="AA53" s="142"/>
      <c r="AB53" s="142"/>
      <c r="AC53" s="142"/>
      <c r="AD53" s="142"/>
      <c r="AE53" s="142"/>
      <c r="AF53" s="142"/>
      <c r="AG53" s="142"/>
      <c r="AH53" s="142"/>
      <c r="AI53" s="142"/>
      <c r="AJ53" s="142"/>
      <c r="AK53" s="142"/>
      <c r="AL53" s="142"/>
      <c r="AM53" s="142"/>
      <c r="AN53" s="142"/>
      <c r="AO53" s="131"/>
    </row>
    <row r="54" ht="13.5" customHeight="1">
      <c r="A54" s="142"/>
      <c r="B54" s="142"/>
      <c r="C54" s="142"/>
      <c r="D54" s="142"/>
      <c r="E54" s="308"/>
      <c r="F54" s="131"/>
      <c r="G54" s="131"/>
      <c r="H54" s="131"/>
      <c r="I54" s="219"/>
      <c r="J54" s="198"/>
      <c r="K54" s="131"/>
      <c r="L54" s="131"/>
      <c r="M54" s="131"/>
      <c r="N54" s="131"/>
      <c r="O54" s="131"/>
      <c r="P54" s="131"/>
      <c r="Q54" s="131"/>
      <c r="R54" s="131"/>
      <c r="S54" s="131"/>
      <c r="T54" s="131"/>
      <c r="U54" s="131"/>
      <c r="V54" s="131"/>
      <c r="W54" s="131"/>
      <c r="X54" s="131"/>
      <c r="Y54" s="131"/>
      <c r="Z54" s="142"/>
      <c r="AA54" s="142"/>
      <c r="AB54" s="142"/>
      <c r="AC54" s="142"/>
      <c r="AD54" s="142"/>
      <c r="AE54" s="142"/>
      <c r="AF54" s="142"/>
      <c r="AG54" s="142"/>
      <c r="AH54" s="142"/>
      <c r="AI54" s="142"/>
      <c r="AJ54" s="142"/>
      <c r="AK54" s="142"/>
      <c r="AL54" s="142"/>
      <c r="AM54" s="142"/>
      <c r="AN54" s="142"/>
      <c r="AO54" s="131"/>
    </row>
    <row r="55" ht="13.5" customHeight="1">
      <c r="A55" s="142"/>
      <c r="B55" s="142"/>
      <c r="C55" s="142"/>
      <c r="D55" s="142"/>
      <c r="E55" s="308"/>
      <c r="F55" s="131"/>
      <c r="G55" s="131"/>
      <c r="H55" s="131"/>
      <c r="I55" s="219"/>
      <c r="J55" s="198"/>
      <c r="K55" s="131"/>
      <c r="L55" s="131"/>
      <c r="M55" s="131"/>
      <c r="N55" s="131"/>
      <c r="O55" s="131"/>
      <c r="P55" s="131"/>
      <c r="Q55" s="131"/>
      <c r="R55" s="131"/>
      <c r="S55" s="131"/>
      <c r="T55" s="131"/>
      <c r="U55" s="131"/>
      <c r="V55" s="131"/>
      <c r="W55" s="131"/>
      <c r="X55" s="131"/>
      <c r="Y55" s="131"/>
      <c r="Z55" s="142"/>
      <c r="AA55" s="142"/>
      <c r="AB55" s="142"/>
      <c r="AC55" s="142"/>
      <c r="AD55" s="142"/>
      <c r="AE55" s="142"/>
      <c r="AF55" s="142"/>
      <c r="AG55" s="142"/>
      <c r="AH55" s="142"/>
      <c r="AI55" s="142"/>
      <c r="AJ55" s="142"/>
      <c r="AK55" s="142"/>
      <c r="AL55" s="142"/>
      <c r="AM55" s="142"/>
      <c r="AN55" s="142"/>
      <c r="AO55" s="131"/>
    </row>
    <row r="56" ht="13.5" customHeight="1">
      <c r="A56" s="142"/>
      <c r="B56" s="142"/>
      <c r="C56" s="142"/>
      <c r="D56" s="142"/>
      <c r="E56" s="308"/>
      <c r="F56" s="131"/>
      <c r="G56" s="131"/>
      <c r="H56" s="131"/>
      <c r="I56" s="219"/>
      <c r="J56" s="198"/>
      <c r="K56" s="131"/>
      <c r="L56" s="131"/>
      <c r="M56" s="131"/>
      <c r="N56" s="131"/>
      <c r="O56" s="131"/>
      <c r="P56" s="131"/>
      <c r="Q56" s="131"/>
      <c r="R56" s="131"/>
      <c r="S56" s="131"/>
      <c r="T56" s="131"/>
      <c r="U56" s="131"/>
      <c r="V56" s="131"/>
      <c r="W56" s="131"/>
      <c r="X56" s="131"/>
      <c r="Y56" s="131"/>
      <c r="Z56" s="142"/>
      <c r="AA56" s="142"/>
      <c r="AB56" s="142"/>
      <c r="AC56" s="142"/>
      <c r="AD56" s="142"/>
      <c r="AE56" s="142"/>
      <c r="AF56" s="142"/>
      <c r="AG56" s="142"/>
      <c r="AH56" s="142"/>
      <c r="AI56" s="142"/>
      <c r="AJ56" s="142"/>
      <c r="AK56" s="142"/>
      <c r="AL56" s="142"/>
      <c r="AM56" s="142"/>
      <c r="AN56" s="142"/>
      <c r="AO56" s="131"/>
    </row>
    <row r="57" ht="13.5" customHeight="1">
      <c r="A57" s="142"/>
      <c r="B57" s="142"/>
      <c r="C57" s="142"/>
      <c r="D57" s="142"/>
      <c r="E57" s="308"/>
      <c r="F57" s="131"/>
      <c r="G57" s="131"/>
      <c r="H57" s="131"/>
      <c r="I57" s="219"/>
      <c r="J57" s="198"/>
      <c r="K57" s="131"/>
      <c r="L57" s="131"/>
      <c r="M57" s="131"/>
      <c r="N57" s="131"/>
      <c r="O57" s="131"/>
      <c r="P57" s="131"/>
      <c r="Q57" s="131"/>
      <c r="R57" s="131"/>
      <c r="S57" s="131"/>
      <c r="T57" s="131"/>
      <c r="U57" s="131"/>
      <c r="V57" s="131"/>
      <c r="W57" s="131"/>
      <c r="X57" s="131"/>
      <c r="Y57" s="131"/>
      <c r="Z57" s="142"/>
      <c r="AA57" s="142"/>
      <c r="AB57" s="142"/>
      <c r="AC57" s="142"/>
      <c r="AD57" s="142"/>
      <c r="AE57" s="142"/>
      <c r="AF57" s="142"/>
      <c r="AG57" s="142"/>
      <c r="AH57" s="142"/>
      <c r="AI57" s="142"/>
      <c r="AJ57" s="142"/>
      <c r="AK57" s="142"/>
      <c r="AL57" s="142"/>
      <c r="AM57" s="142"/>
      <c r="AN57" s="142"/>
      <c r="AO57" s="131"/>
    </row>
    <row r="58" ht="13.5" customHeight="1">
      <c r="A58" s="142"/>
      <c r="B58" s="142"/>
      <c r="C58" s="142"/>
      <c r="D58" s="142"/>
      <c r="E58" s="308"/>
      <c r="F58" s="131"/>
      <c r="G58" s="131"/>
      <c r="H58" s="131"/>
      <c r="I58" s="219"/>
      <c r="J58" s="198"/>
      <c r="K58" s="131"/>
      <c r="L58" s="131"/>
      <c r="M58" s="131"/>
      <c r="N58" s="131"/>
      <c r="O58" s="131"/>
      <c r="P58" s="131"/>
      <c r="Q58" s="131"/>
      <c r="R58" s="131"/>
      <c r="S58" s="131"/>
      <c r="T58" s="131"/>
      <c r="U58" s="131"/>
      <c r="V58" s="131"/>
      <c r="W58" s="131"/>
      <c r="X58" s="131"/>
      <c r="Y58" s="131"/>
      <c r="Z58" s="142"/>
      <c r="AA58" s="142"/>
      <c r="AB58" s="142"/>
      <c r="AC58" s="142"/>
      <c r="AD58" s="142"/>
      <c r="AE58" s="142"/>
      <c r="AF58" s="142"/>
      <c r="AG58" s="142"/>
      <c r="AH58" s="142"/>
      <c r="AI58" s="142"/>
      <c r="AJ58" s="142"/>
      <c r="AK58" s="142"/>
      <c r="AL58" s="142"/>
      <c r="AM58" s="142"/>
      <c r="AN58" s="142"/>
      <c r="AO58" s="131"/>
    </row>
    <row r="59" ht="13.5" customHeight="1">
      <c r="A59" s="142"/>
      <c r="B59" s="142"/>
      <c r="C59" s="142"/>
      <c r="D59" s="142"/>
      <c r="E59" s="308"/>
      <c r="F59" s="131"/>
      <c r="G59" s="131"/>
      <c r="H59" s="131"/>
      <c r="I59" s="219"/>
      <c r="J59" s="198"/>
      <c r="K59" s="131"/>
      <c r="L59" s="131"/>
      <c r="M59" s="131"/>
      <c r="N59" s="131"/>
      <c r="O59" s="131"/>
      <c r="P59" s="131"/>
      <c r="Q59" s="131"/>
      <c r="R59" s="131"/>
      <c r="S59" s="131"/>
      <c r="T59" s="131"/>
      <c r="U59" s="131"/>
      <c r="V59" s="131"/>
      <c r="W59" s="131"/>
      <c r="X59" s="131"/>
      <c r="Y59" s="131"/>
      <c r="Z59" s="142"/>
      <c r="AA59" s="142"/>
      <c r="AB59" s="142"/>
      <c r="AC59" s="142"/>
      <c r="AD59" s="142"/>
      <c r="AE59" s="142"/>
      <c r="AF59" s="142"/>
      <c r="AG59" s="142"/>
      <c r="AH59" s="142"/>
      <c r="AI59" s="142"/>
      <c r="AJ59" s="142"/>
      <c r="AK59" s="142"/>
      <c r="AL59" s="142"/>
      <c r="AM59" s="142"/>
      <c r="AN59" s="142"/>
      <c r="AO59" s="131"/>
    </row>
    <row r="60" ht="13.5" customHeight="1">
      <c r="A60" s="142"/>
      <c r="B60" s="142"/>
      <c r="C60" s="142"/>
      <c r="D60" s="142"/>
      <c r="E60" s="308"/>
      <c r="F60" s="131"/>
      <c r="G60" s="131"/>
      <c r="H60" s="131"/>
      <c r="I60" s="219"/>
      <c r="J60" s="198"/>
      <c r="K60" s="131"/>
      <c r="L60" s="131"/>
      <c r="M60" s="131"/>
      <c r="N60" s="131"/>
      <c r="O60" s="131"/>
      <c r="P60" s="131"/>
      <c r="Q60" s="131"/>
      <c r="R60" s="131"/>
      <c r="S60" s="131"/>
      <c r="T60" s="131"/>
      <c r="U60" s="131"/>
      <c r="V60" s="131"/>
      <c r="W60" s="131"/>
      <c r="X60" s="131"/>
      <c r="Y60" s="131"/>
      <c r="Z60" s="142"/>
      <c r="AA60" s="142"/>
      <c r="AB60" s="142"/>
      <c r="AC60" s="142"/>
      <c r="AD60" s="142"/>
      <c r="AE60" s="142"/>
      <c r="AF60" s="142"/>
      <c r="AG60" s="142"/>
      <c r="AH60" s="142"/>
      <c r="AI60" s="142"/>
      <c r="AJ60" s="142"/>
      <c r="AK60" s="142"/>
      <c r="AL60" s="142"/>
      <c r="AM60" s="142"/>
      <c r="AN60" s="142"/>
      <c r="AO60" s="131"/>
    </row>
    <row r="61" ht="13.5" customHeight="1">
      <c r="A61" s="142"/>
      <c r="B61" s="142"/>
      <c r="C61" s="142"/>
      <c r="D61" s="142"/>
      <c r="E61" s="308"/>
      <c r="F61" s="131"/>
      <c r="G61" s="131"/>
      <c r="H61" s="131"/>
      <c r="I61" s="219"/>
      <c r="J61" s="198"/>
      <c r="K61" s="131"/>
      <c r="L61" s="131"/>
      <c r="M61" s="131"/>
      <c r="N61" s="131"/>
      <c r="O61" s="131"/>
      <c r="P61" s="131"/>
      <c r="Q61" s="131"/>
      <c r="R61" s="131"/>
      <c r="S61" s="131"/>
      <c r="T61" s="131"/>
      <c r="U61" s="131"/>
      <c r="V61" s="131"/>
      <c r="W61" s="131"/>
      <c r="X61" s="131"/>
      <c r="Y61" s="131"/>
      <c r="Z61" s="142"/>
      <c r="AA61" s="142"/>
      <c r="AB61" s="142"/>
      <c r="AC61" s="142"/>
      <c r="AD61" s="142"/>
      <c r="AE61" s="142"/>
      <c r="AF61" s="142"/>
      <c r="AG61" s="142"/>
      <c r="AH61" s="142"/>
      <c r="AI61" s="142"/>
      <c r="AJ61" s="142"/>
      <c r="AK61" s="142"/>
      <c r="AL61" s="142"/>
      <c r="AM61" s="142"/>
      <c r="AN61" s="142"/>
      <c r="AO61" s="131"/>
    </row>
    <row r="62" ht="13.5" customHeight="1">
      <c r="A62" s="142"/>
      <c r="B62" s="142"/>
      <c r="C62" s="142"/>
      <c r="D62" s="142"/>
      <c r="E62" s="308"/>
      <c r="F62" s="131"/>
      <c r="G62" s="131"/>
      <c r="H62" s="131"/>
      <c r="I62" s="219"/>
      <c r="J62" s="198"/>
      <c r="K62" s="131"/>
      <c r="L62" s="131"/>
      <c r="M62" s="131"/>
      <c r="N62" s="131"/>
      <c r="O62" s="131"/>
      <c r="P62" s="131"/>
      <c r="Q62" s="131"/>
      <c r="R62" s="131"/>
      <c r="S62" s="131"/>
      <c r="T62" s="131"/>
      <c r="U62" s="131"/>
      <c r="V62" s="131"/>
      <c r="W62" s="131"/>
      <c r="X62" s="131"/>
      <c r="Y62" s="131"/>
      <c r="Z62" s="142"/>
      <c r="AA62" s="142"/>
      <c r="AB62" s="142"/>
      <c r="AC62" s="142"/>
      <c r="AD62" s="142"/>
      <c r="AE62" s="142"/>
      <c r="AF62" s="142"/>
      <c r="AG62" s="142"/>
      <c r="AH62" s="142"/>
      <c r="AI62" s="142"/>
      <c r="AJ62" s="142"/>
      <c r="AK62" s="142"/>
      <c r="AL62" s="142"/>
      <c r="AM62" s="142"/>
      <c r="AN62" s="142"/>
      <c r="AO62" s="131"/>
    </row>
    <row r="63" ht="13.5" customHeight="1">
      <c r="A63" s="142"/>
      <c r="B63" s="142"/>
      <c r="C63" s="142"/>
      <c r="D63" s="142"/>
      <c r="E63" s="308"/>
      <c r="F63" s="131"/>
      <c r="G63" s="131"/>
      <c r="H63" s="131"/>
      <c r="I63" s="219"/>
      <c r="J63" s="198"/>
      <c r="K63" s="131"/>
      <c r="L63" s="131"/>
      <c r="M63" s="131"/>
      <c r="N63" s="131"/>
      <c r="O63" s="131"/>
      <c r="P63" s="131"/>
      <c r="Q63" s="131"/>
      <c r="R63" s="131"/>
      <c r="S63" s="131"/>
      <c r="T63" s="131"/>
      <c r="U63" s="131"/>
      <c r="V63" s="131"/>
      <c r="W63" s="131"/>
      <c r="X63" s="131"/>
      <c r="Y63" s="131"/>
      <c r="Z63" s="142"/>
      <c r="AA63" s="142"/>
      <c r="AB63" s="142"/>
      <c r="AC63" s="142"/>
      <c r="AD63" s="142"/>
      <c r="AE63" s="142"/>
      <c r="AF63" s="142"/>
      <c r="AG63" s="142"/>
      <c r="AH63" s="142"/>
      <c r="AI63" s="142"/>
      <c r="AJ63" s="142"/>
      <c r="AK63" s="142"/>
      <c r="AL63" s="142"/>
      <c r="AM63" s="142"/>
      <c r="AN63" s="142"/>
      <c r="AO63" s="131"/>
    </row>
    <row r="64" ht="13.5" customHeight="1">
      <c r="A64" s="142"/>
      <c r="B64" s="142"/>
      <c r="C64" s="142"/>
      <c r="D64" s="142"/>
      <c r="E64" s="308"/>
      <c r="F64" s="131"/>
      <c r="G64" s="131"/>
      <c r="H64" s="131"/>
      <c r="I64" s="219"/>
      <c r="J64" s="198"/>
      <c r="K64" s="131"/>
      <c r="L64" s="131"/>
      <c r="M64" s="131"/>
      <c r="N64" s="131"/>
      <c r="O64" s="131"/>
      <c r="P64" s="131"/>
      <c r="Q64" s="131"/>
      <c r="R64" s="131"/>
      <c r="S64" s="131"/>
      <c r="T64" s="131"/>
      <c r="U64" s="131"/>
      <c r="V64" s="131"/>
      <c r="W64" s="131"/>
      <c r="X64" s="131"/>
      <c r="Y64" s="131"/>
      <c r="Z64" s="142"/>
      <c r="AA64" s="142"/>
      <c r="AB64" s="142"/>
      <c r="AC64" s="142"/>
      <c r="AD64" s="142"/>
      <c r="AE64" s="142"/>
      <c r="AF64" s="142"/>
      <c r="AG64" s="142"/>
      <c r="AH64" s="142"/>
      <c r="AI64" s="142"/>
      <c r="AJ64" s="142"/>
      <c r="AK64" s="142"/>
      <c r="AL64" s="142"/>
      <c r="AM64" s="142"/>
      <c r="AN64" s="142"/>
      <c r="AO64" s="131"/>
    </row>
    <row r="65" ht="13.5" customHeight="1">
      <c r="A65" s="142"/>
      <c r="B65" s="142"/>
      <c r="C65" s="142"/>
      <c r="D65" s="142"/>
      <c r="E65" s="308"/>
      <c r="F65" s="131"/>
      <c r="G65" s="131"/>
      <c r="H65" s="131"/>
      <c r="I65" s="219"/>
      <c r="J65" s="198"/>
      <c r="K65" s="131"/>
      <c r="L65" s="131"/>
      <c r="M65" s="131"/>
      <c r="N65" s="131"/>
      <c r="O65" s="131"/>
      <c r="P65" s="131"/>
      <c r="Q65" s="131"/>
      <c r="R65" s="131"/>
      <c r="S65" s="131"/>
      <c r="T65" s="131"/>
      <c r="U65" s="131"/>
      <c r="V65" s="131"/>
      <c r="W65" s="131"/>
      <c r="X65" s="131"/>
      <c r="Y65" s="131"/>
      <c r="Z65" s="142"/>
      <c r="AA65" s="142"/>
      <c r="AB65" s="142"/>
      <c r="AC65" s="142"/>
      <c r="AD65" s="142"/>
      <c r="AE65" s="142"/>
      <c r="AF65" s="142"/>
      <c r="AG65" s="142"/>
      <c r="AH65" s="142"/>
      <c r="AI65" s="142"/>
      <c r="AJ65" s="142"/>
      <c r="AK65" s="142"/>
      <c r="AL65" s="142"/>
      <c r="AM65" s="142"/>
      <c r="AN65" s="142"/>
      <c r="AO65" s="131"/>
    </row>
    <row r="66" ht="13.5" customHeight="1">
      <c r="A66" s="142"/>
      <c r="B66" s="142"/>
      <c r="C66" s="142"/>
      <c r="D66" s="142"/>
      <c r="E66" s="308"/>
      <c r="F66" s="131"/>
      <c r="G66" s="131"/>
      <c r="H66" s="131"/>
      <c r="I66" s="219"/>
      <c r="J66" s="198"/>
      <c r="K66" s="131"/>
      <c r="L66" s="131"/>
      <c r="M66" s="131"/>
      <c r="N66" s="131"/>
      <c r="O66" s="131"/>
      <c r="P66" s="131"/>
      <c r="Q66" s="131"/>
      <c r="R66" s="131"/>
      <c r="S66" s="131"/>
      <c r="T66" s="131"/>
      <c r="U66" s="131"/>
      <c r="V66" s="131"/>
      <c r="W66" s="131"/>
      <c r="X66" s="131"/>
      <c r="Y66" s="131"/>
      <c r="Z66" s="142"/>
      <c r="AA66" s="142"/>
      <c r="AB66" s="142"/>
      <c r="AC66" s="142"/>
      <c r="AD66" s="142"/>
      <c r="AE66" s="142"/>
      <c r="AF66" s="142"/>
      <c r="AG66" s="142"/>
      <c r="AH66" s="142"/>
      <c r="AI66" s="142"/>
      <c r="AJ66" s="142"/>
      <c r="AK66" s="142"/>
      <c r="AL66" s="142"/>
      <c r="AM66" s="142"/>
      <c r="AN66" s="142"/>
      <c r="AO66" s="131"/>
    </row>
    <row r="67" ht="13.5" customHeight="1">
      <c r="A67" s="142"/>
      <c r="B67" s="142"/>
      <c r="C67" s="142"/>
      <c r="D67" s="142"/>
      <c r="E67" s="308"/>
      <c r="F67" s="131"/>
      <c r="G67" s="131"/>
      <c r="H67" s="131"/>
      <c r="I67" s="219"/>
      <c r="J67" s="198"/>
      <c r="K67" s="131"/>
      <c r="L67" s="131"/>
      <c r="M67" s="131"/>
      <c r="N67" s="131"/>
      <c r="O67" s="131"/>
      <c r="P67" s="131"/>
      <c r="Q67" s="131"/>
      <c r="R67" s="131"/>
      <c r="S67" s="131"/>
      <c r="T67" s="131"/>
      <c r="U67" s="131"/>
      <c r="V67" s="131"/>
      <c r="W67" s="131"/>
      <c r="X67" s="131"/>
      <c r="Y67" s="131"/>
      <c r="Z67" s="142"/>
      <c r="AA67" s="142"/>
      <c r="AB67" s="142"/>
      <c r="AC67" s="142"/>
      <c r="AD67" s="142"/>
      <c r="AE67" s="142"/>
      <c r="AF67" s="142"/>
      <c r="AG67" s="142"/>
      <c r="AH67" s="142"/>
      <c r="AI67" s="142"/>
      <c r="AJ67" s="142"/>
      <c r="AK67" s="142"/>
      <c r="AL67" s="142"/>
      <c r="AM67" s="142"/>
      <c r="AN67" s="142"/>
      <c r="AO67" s="131"/>
    </row>
    <row r="68" ht="13.5" customHeight="1">
      <c r="A68" s="142"/>
      <c r="B68" s="142"/>
      <c r="C68" s="142"/>
      <c r="D68" s="142"/>
      <c r="E68" s="308"/>
      <c r="F68" s="131"/>
      <c r="G68" s="131"/>
      <c r="H68" s="131"/>
      <c r="I68" s="219"/>
      <c r="J68" s="198"/>
      <c r="K68" s="131"/>
      <c r="L68" s="131"/>
      <c r="M68" s="131"/>
      <c r="N68" s="131"/>
      <c r="O68" s="131"/>
      <c r="P68" s="131"/>
      <c r="Q68" s="131"/>
      <c r="R68" s="131"/>
      <c r="S68" s="131"/>
      <c r="T68" s="131"/>
      <c r="U68" s="131"/>
      <c r="V68" s="131"/>
      <c r="W68" s="131"/>
      <c r="X68" s="131"/>
      <c r="Y68" s="131"/>
      <c r="Z68" s="142"/>
      <c r="AA68" s="142"/>
      <c r="AB68" s="142"/>
      <c r="AC68" s="142"/>
      <c r="AD68" s="142"/>
      <c r="AE68" s="142"/>
      <c r="AF68" s="142"/>
      <c r="AG68" s="142"/>
      <c r="AH68" s="142"/>
      <c r="AI68" s="142"/>
      <c r="AJ68" s="142"/>
      <c r="AK68" s="142"/>
      <c r="AL68" s="142"/>
      <c r="AM68" s="142"/>
      <c r="AN68" s="142"/>
      <c r="AO68" s="131"/>
    </row>
    <row r="69" ht="13.5" customHeight="1">
      <c r="A69" s="142"/>
      <c r="B69" s="142"/>
      <c r="C69" s="142"/>
      <c r="D69" s="142"/>
      <c r="E69" s="308"/>
      <c r="F69" s="131"/>
      <c r="G69" s="131"/>
      <c r="H69" s="131"/>
      <c r="I69" s="219"/>
      <c r="J69" s="198"/>
      <c r="K69" s="131"/>
      <c r="L69" s="131"/>
      <c r="M69" s="131"/>
      <c r="N69" s="131"/>
      <c r="O69" s="131"/>
      <c r="P69" s="131"/>
      <c r="Q69" s="131"/>
      <c r="R69" s="131"/>
      <c r="S69" s="131"/>
      <c r="T69" s="131"/>
      <c r="U69" s="131"/>
      <c r="V69" s="131"/>
      <c r="W69" s="131"/>
      <c r="X69" s="131"/>
      <c r="Y69" s="131"/>
      <c r="Z69" s="142"/>
      <c r="AA69" s="142"/>
      <c r="AB69" s="142"/>
      <c r="AC69" s="142"/>
      <c r="AD69" s="142"/>
      <c r="AE69" s="142"/>
      <c r="AF69" s="142"/>
      <c r="AG69" s="142"/>
      <c r="AH69" s="142"/>
      <c r="AI69" s="142"/>
      <c r="AJ69" s="142"/>
      <c r="AK69" s="142"/>
      <c r="AL69" s="142"/>
      <c r="AM69" s="142"/>
      <c r="AN69" s="142"/>
      <c r="AO69" s="131"/>
    </row>
    <row r="70" ht="13.5" customHeight="1">
      <c r="A70" s="142"/>
      <c r="B70" s="142"/>
      <c r="C70" s="142"/>
      <c r="D70" s="142"/>
      <c r="E70" s="308"/>
      <c r="F70" s="131"/>
      <c r="G70" s="131"/>
      <c r="H70" s="131"/>
      <c r="I70" s="219"/>
      <c r="J70" s="198"/>
      <c r="K70" s="131"/>
      <c r="L70" s="131"/>
      <c r="M70" s="131"/>
      <c r="N70" s="131"/>
      <c r="O70" s="131"/>
      <c r="P70" s="131"/>
      <c r="Q70" s="131"/>
      <c r="R70" s="131"/>
      <c r="S70" s="131"/>
      <c r="T70" s="131"/>
      <c r="U70" s="131"/>
      <c r="V70" s="131"/>
      <c r="W70" s="131"/>
      <c r="X70" s="131"/>
      <c r="Y70" s="131"/>
      <c r="Z70" s="142"/>
      <c r="AA70" s="142"/>
      <c r="AB70" s="142"/>
      <c r="AC70" s="142"/>
      <c r="AD70" s="142"/>
      <c r="AE70" s="142"/>
      <c r="AF70" s="142"/>
      <c r="AG70" s="142"/>
      <c r="AH70" s="142"/>
      <c r="AI70" s="142"/>
      <c r="AJ70" s="142"/>
      <c r="AK70" s="142"/>
      <c r="AL70" s="142"/>
      <c r="AM70" s="142"/>
      <c r="AN70" s="142"/>
      <c r="AO70" s="131"/>
    </row>
    <row r="71" ht="13.5" customHeight="1">
      <c r="A71" s="142"/>
      <c r="B71" s="142"/>
      <c r="C71" s="142"/>
      <c r="D71" s="142"/>
      <c r="E71" s="308"/>
      <c r="F71" s="131"/>
      <c r="G71" s="131"/>
      <c r="H71" s="131"/>
      <c r="I71" s="219"/>
      <c r="J71" s="198"/>
      <c r="K71" s="131"/>
      <c r="L71" s="131"/>
      <c r="M71" s="131"/>
      <c r="N71" s="131"/>
      <c r="O71" s="131"/>
      <c r="P71" s="131"/>
      <c r="Q71" s="131"/>
      <c r="R71" s="131"/>
      <c r="S71" s="131"/>
      <c r="T71" s="131"/>
      <c r="U71" s="131"/>
      <c r="V71" s="131"/>
      <c r="W71" s="131"/>
      <c r="X71" s="131"/>
      <c r="Y71" s="131"/>
      <c r="Z71" s="142"/>
      <c r="AA71" s="142"/>
      <c r="AB71" s="142"/>
      <c r="AC71" s="142"/>
      <c r="AD71" s="142"/>
      <c r="AE71" s="142"/>
      <c r="AF71" s="142"/>
      <c r="AG71" s="142"/>
      <c r="AH71" s="142"/>
      <c r="AI71" s="142"/>
      <c r="AJ71" s="142"/>
      <c r="AK71" s="142"/>
      <c r="AL71" s="142"/>
      <c r="AM71" s="142"/>
      <c r="AN71" s="142"/>
      <c r="AO71" s="131"/>
    </row>
    <row r="72" ht="13.5" customHeight="1">
      <c r="A72" s="142"/>
      <c r="B72" s="142"/>
      <c r="C72" s="142"/>
      <c r="D72" s="142"/>
      <c r="E72" s="308"/>
      <c r="F72" s="131"/>
      <c r="G72" s="131"/>
      <c r="H72" s="131"/>
      <c r="I72" s="219"/>
      <c r="J72" s="198"/>
      <c r="K72" s="131"/>
      <c r="L72" s="131"/>
      <c r="M72" s="131"/>
      <c r="N72" s="131"/>
      <c r="O72" s="131"/>
      <c r="P72" s="131"/>
      <c r="Q72" s="131"/>
      <c r="R72" s="131"/>
      <c r="S72" s="131"/>
      <c r="T72" s="131"/>
      <c r="U72" s="131"/>
      <c r="V72" s="131"/>
      <c r="W72" s="131"/>
      <c r="X72" s="131"/>
      <c r="Y72" s="131"/>
      <c r="Z72" s="142"/>
      <c r="AA72" s="142"/>
      <c r="AB72" s="142"/>
      <c r="AC72" s="142"/>
      <c r="AD72" s="142"/>
      <c r="AE72" s="142"/>
      <c r="AF72" s="142"/>
      <c r="AG72" s="142"/>
      <c r="AH72" s="142"/>
      <c r="AI72" s="142"/>
      <c r="AJ72" s="142"/>
      <c r="AK72" s="142"/>
      <c r="AL72" s="142"/>
      <c r="AM72" s="142"/>
      <c r="AN72" s="142"/>
      <c r="AO72" s="131"/>
    </row>
    <row r="73" ht="13.5" customHeight="1">
      <c r="A73" s="142"/>
      <c r="B73" s="142"/>
      <c r="C73" s="142"/>
      <c r="D73" s="142"/>
      <c r="E73" s="308"/>
      <c r="F73" s="131"/>
      <c r="G73" s="131"/>
      <c r="H73" s="131"/>
      <c r="I73" s="219"/>
      <c r="J73" s="198"/>
      <c r="K73" s="131"/>
      <c r="L73" s="131"/>
      <c r="M73" s="131"/>
      <c r="N73" s="131"/>
      <c r="O73" s="131"/>
      <c r="P73" s="131"/>
      <c r="Q73" s="131"/>
      <c r="R73" s="131"/>
      <c r="S73" s="131"/>
      <c r="T73" s="131"/>
      <c r="U73" s="131"/>
      <c r="V73" s="131"/>
      <c r="W73" s="131"/>
      <c r="X73" s="131"/>
      <c r="Y73" s="131"/>
      <c r="Z73" s="142"/>
      <c r="AA73" s="142"/>
      <c r="AB73" s="142"/>
      <c r="AC73" s="142"/>
      <c r="AD73" s="142"/>
      <c r="AE73" s="142"/>
      <c r="AF73" s="142"/>
      <c r="AG73" s="142"/>
      <c r="AH73" s="142"/>
      <c r="AI73" s="142"/>
      <c r="AJ73" s="142"/>
      <c r="AK73" s="142"/>
      <c r="AL73" s="142"/>
      <c r="AM73" s="142"/>
      <c r="AN73" s="142"/>
      <c r="AO73" s="131"/>
    </row>
    <row r="74" ht="13.5" customHeight="1">
      <c r="A74" s="142"/>
      <c r="B74" s="142"/>
      <c r="C74" s="142"/>
      <c r="D74" s="142"/>
      <c r="E74" s="308"/>
      <c r="F74" s="131"/>
      <c r="G74" s="131"/>
      <c r="H74" s="131"/>
      <c r="I74" s="219"/>
      <c r="J74" s="198"/>
      <c r="K74" s="131"/>
      <c r="L74" s="131"/>
      <c r="M74" s="131"/>
      <c r="N74" s="131"/>
      <c r="O74" s="131"/>
      <c r="P74" s="131"/>
      <c r="Q74" s="131"/>
      <c r="R74" s="131"/>
      <c r="S74" s="131"/>
      <c r="T74" s="131"/>
      <c r="U74" s="131"/>
      <c r="V74" s="131"/>
      <c r="W74" s="131"/>
      <c r="X74" s="131"/>
      <c r="Y74" s="131"/>
      <c r="Z74" s="142"/>
      <c r="AA74" s="142"/>
      <c r="AB74" s="142"/>
      <c r="AC74" s="142"/>
      <c r="AD74" s="142"/>
      <c r="AE74" s="142"/>
      <c r="AF74" s="142"/>
      <c r="AG74" s="142"/>
      <c r="AH74" s="142"/>
      <c r="AI74" s="142"/>
      <c r="AJ74" s="142"/>
      <c r="AK74" s="142"/>
      <c r="AL74" s="142"/>
      <c r="AM74" s="142"/>
      <c r="AN74" s="142"/>
      <c r="AO74" s="131"/>
    </row>
    <row r="75" ht="13.5" customHeight="1">
      <c r="A75" s="142"/>
      <c r="B75" s="142"/>
      <c r="C75" s="142"/>
      <c r="D75" s="142"/>
      <c r="E75" s="308"/>
      <c r="F75" s="131"/>
      <c r="G75" s="131"/>
      <c r="H75" s="131"/>
      <c r="I75" s="219"/>
      <c r="J75" s="198"/>
      <c r="K75" s="131"/>
      <c r="L75" s="131"/>
      <c r="M75" s="131"/>
      <c r="N75" s="131"/>
      <c r="O75" s="131"/>
      <c r="P75" s="131"/>
      <c r="Q75" s="131"/>
      <c r="R75" s="131"/>
      <c r="S75" s="131"/>
      <c r="T75" s="131"/>
      <c r="U75" s="131"/>
      <c r="V75" s="131"/>
      <c r="W75" s="131"/>
      <c r="X75" s="131"/>
      <c r="Y75" s="131"/>
      <c r="Z75" s="142"/>
      <c r="AA75" s="142"/>
      <c r="AB75" s="142"/>
      <c r="AC75" s="142"/>
      <c r="AD75" s="142"/>
      <c r="AE75" s="142"/>
      <c r="AF75" s="142"/>
      <c r="AG75" s="142"/>
      <c r="AH75" s="142"/>
      <c r="AI75" s="142"/>
      <c r="AJ75" s="142"/>
      <c r="AK75" s="142"/>
      <c r="AL75" s="142"/>
      <c r="AM75" s="142"/>
      <c r="AN75" s="142"/>
      <c r="AO75" s="131"/>
    </row>
    <row r="76" ht="13.5" customHeight="1">
      <c r="A76" s="142"/>
      <c r="B76" s="142"/>
      <c r="C76" s="142"/>
      <c r="D76" s="142"/>
      <c r="E76" s="308"/>
      <c r="F76" s="131"/>
      <c r="G76" s="131"/>
      <c r="H76" s="131"/>
      <c r="I76" s="219"/>
      <c r="J76" s="198"/>
      <c r="K76" s="131"/>
      <c r="L76" s="131"/>
      <c r="M76" s="131"/>
      <c r="N76" s="131"/>
      <c r="O76" s="131"/>
      <c r="P76" s="131"/>
      <c r="Q76" s="131"/>
      <c r="R76" s="131"/>
      <c r="S76" s="131"/>
      <c r="T76" s="131"/>
      <c r="U76" s="131"/>
      <c r="V76" s="131"/>
      <c r="W76" s="131"/>
      <c r="X76" s="131"/>
      <c r="Y76" s="131"/>
      <c r="Z76" s="142"/>
      <c r="AA76" s="142"/>
      <c r="AB76" s="142"/>
      <c r="AC76" s="142"/>
      <c r="AD76" s="142"/>
      <c r="AE76" s="142"/>
      <c r="AF76" s="142"/>
      <c r="AG76" s="142"/>
      <c r="AH76" s="142"/>
      <c r="AI76" s="142"/>
      <c r="AJ76" s="142"/>
      <c r="AK76" s="142"/>
      <c r="AL76" s="142"/>
      <c r="AM76" s="142"/>
      <c r="AN76" s="142"/>
      <c r="AO76" s="131"/>
    </row>
    <row r="77" ht="13.5" customHeight="1">
      <c r="A77" s="142"/>
      <c r="B77" s="142"/>
      <c r="C77" s="142"/>
      <c r="D77" s="142"/>
      <c r="E77" s="308"/>
      <c r="F77" s="131"/>
      <c r="G77" s="131"/>
      <c r="H77" s="131"/>
      <c r="I77" s="219"/>
      <c r="J77" s="198"/>
      <c r="K77" s="131"/>
      <c r="L77" s="131"/>
      <c r="M77" s="131"/>
      <c r="N77" s="131"/>
      <c r="O77" s="131"/>
      <c r="P77" s="131"/>
      <c r="Q77" s="131"/>
      <c r="R77" s="131"/>
      <c r="S77" s="131"/>
      <c r="T77" s="131"/>
      <c r="U77" s="131"/>
      <c r="V77" s="131"/>
      <c r="W77" s="131"/>
      <c r="X77" s="131"/>
      <c r="Y77" s="131"/>
      <c r="Z77" s="142"/>
      <c r="AA77" s="142"/>
      <c r="AB77" s="142"/>
      <c r="AC77" s="142"/>
      <c r="AD77" s="142"/>
      <c r="AE77" s="142"/>
      <c r="AF77" s="142"/>
      <c r="AG77" s="142"/>
      <c r="AH77" s="142"/>
      <c r="AI77" s="142"/>
      <c r="AJ77" s="142"/>
      <c r="AK77" s="142"/>
      <c r="AL77" s="142"/>
      <c r="AM77" s="142"/>
      <c r="AN77" s="142"/>
      <c r="AO77" s="131"/>
    </row>
    <row r="78" ht="13.5" customHeight="1">
      <c r="A78" s="142"/>
      <c r="B78" s="142"/>
      <c r="C78" s="142"/>
      <c r="D78" s="142"/>
      <c r="E78" s="308"/>
      <c r="F78" s="131"/>
      <c r="G78" s="131"/>
      <c r="H78" s="131"/>
      <c r="I78" s="219"/>
      <c r="J78" s="198"/>
      <c r="K78" s="131"/>
      <c r="L78" s="131"/>
      <c r="M78" s="131"/>
      <c r="N78" s="131"/>
      <c r="O78" s="131"/>
      <c r="P78" s="131"/>
      <c r="Q78" s="131"/>
      <c r="R78" s="131"/>
      <c r="S78" s="131"/>
      <c r="T78" s="131"/>
      <c r="U78" s="131"/>
      <c r="V78" s="131"/>
      <c r="W78" s="131"/>
      <c r="X78" s="131"/>
      <c r="Y78" s="131"/>
      <c r="Z78" s="142"/>
      <c r="AA78" s="142"/>
      <c r="AB78" s="142"/>
      <c r="AC78" s="142"/>
      <c r="AD78" s="142"/>
      <c r="AE78" s="142"/>
      <c r="AF78" s="142"/>
      <c r="AG78" s="142"/>
      <c r="AH78" s="142"/>
      <c r="AI78" s="142"/>
      <c r="AJ78" s="142"/>
      <c r="AK78" s="142"/>
      <c r="AL78" s="142"/>
      <c r="AM78" s="142"/>
      <c r="AN78" s="142"/>
      <c r="AO78" s="131"/>
    </row>
    <row r="79" ht="13.5" customHeight="1">
      <c r="A79" s="142"/>
      <c r="B79" s="142"/>
      <c r="C79" s="142"/>
      <c r="D79" s="142"/>
      <c r="E79" s="308"/>
      <c r="F79" s="131"/>
      <c r="G79" s="131"/>
      <c r="H79" s="131"/>
      <c r="I79" s="219"/>
      <c r="J79" s="198"/>
      <c r="K79" s="131"/>
      <c r="L79" s="131"/>
      <c r="M79" s="131"/>
      <c r="N79" s="131"/>
      <c r="O79" s="131"/>
      <c r="P79" s="131"/>
      <c r="Q79" s="131"/>
      <c r="R79" s="131"/>
      <c r="S79" s="131"/>
      <c r="T79" s="131"/>
      <c r="U79" s="131"/>
      <c r="V79" s="131"/>
      <c r="W79" s="131"/>
      <c r="X79" s="131"/>
      <c r="Y79" s="131"/>
      <c r="Z79" s="142"/>
      <c r="AA79" s="142"/>
      <c r="AB79" s="142"/>
      <c r="AC79" s="142"/>
      <c r="AD79" s="142"/>
      <c r="AE79" s="142"/>
      <c r="AF79" s="142"/>
      <c r="AG79" s="142"/>
      <c r="AH79" s="142"/>
      <c r="AI79" s="142"/>
      <c r="AJ79" s="142"/>
      <c r="AK79" s="142"/>
      <c r="AL79" s="142"/>
      <c r="AM79" s="142"/>
      <c r="AN79" s="142"/>
      <c r="AO79" s="131"/>
    </row>
    <row r="80" ht="13.5" customHeight="1">
      <c r="A80" s="142"/>
      <c r="B80" s="142"/>
      <c r="C80" s="142"/>
      <c r="D80" s="142"/>
      <c r="E80" s="308"/>
      <c r="F80" s="131"/>
      <c r="G80" s="131"/>
      <c r="H80" s="131"/>
      <c r="I80" s="219"/>
      <c r="J80" s="198"/>
      <c r="K80" s="131"/>
      <c r="L80" s="131"/>
      <c r="M80" s="131"/>
      <c r="N80" s="131"/>
      <c r="O80" s="131"/>
      <c r="P80" s="131"/>
      <c r="Q80" s="131"/>
      <c r="R80" s="131"/>
      <c r="S80" s="131"/>
      <c r="T80" s="131"/>
      <c r="U80" s="131"/>
      <c r="V80" s="131"/>
      <c r="W80" s="131"/>
      <c r="X80" s="131"/>
      <c r="Y80" s="131"/>
      <c r="Z80" s="142"/>
      <c r="AA80" s="142"/>
      <c r="AB80" s="142"/>
      <c r="AC80" s="142"/>
      <c r="AD80" s="142"/>
      <c r="AE80" s="142"/>
      <c r="AF80" s="142"/>
      <c r="AG80" s="142"/>
      <c r="AH80" s="142"/>
      <c r="AI80" s="142"/>
      <c r="AJ80" s="142"/>
      <c r="AK80" s="142"/>
      <c r="AL80" s="142"/>
      <c r="AM80" s="142"/>
      <c r="AN80" s="142"/>
      <c r="AO80" s="131"/>
    </row>
    <row r="81" ht="13.5" customHeight="1">
      <c r="A81" s="142"/>
      <c r="B81" s="142"/>
      <c r="C81" s="142"/>
      <c r="D81" s="142"/>
      <c r="E81" s="308"/>
      <c r="F81" s="131"/>
      <c r="G81" s="131"/>
      <c r="H81" s="131"/>
      <c r="I81" s="219"/>
      <c r="J81" s="198"/>
      <c r="K81" s="131"/>
      <c r="L81" s="131"/>
      <c r="M81" s="131"/>
      <c r="N81" s="131"/>
      <c r="O81" s="131"/>
      <c r="P81" s="131"/>
      <c r="Q81" s="131"/>
      <c r="R81" s="131"/>
      <c r="S81" s="131"/>
      <c r="T81" s="131"/>
      <c r="U81" s="131"/>
      <c r="V81" s="131"/>
      <c r="W81" s="131"/>
      <c r="X81" s="131"/>
      <c r="Y81" s="131"/>
      <c r="Z81" s="142"/>
      <c r="AA81" s="142"/>
      <c r="AB81" s="142"/>
      <c r="AC81" s="142"/>
      <c r="AD81" s="142"/>
      <c r="AE81" s="142"/>
      <c r="AF81" s="142"/>
      <c r="AG81" s="142"/>
      <c r="AH81" s="142"/>
      <c r="AI81" s="142"/>
      <c r="AJ81" s="142"/>
      <c r="AK81" s="142"/>
      <c r="AL81" s="142"/>
      <c r="AM81" s="142"/>
      <c r="AN81" s="142"/>
      <c r="AO81" s="131"/>
    </row>
    <row r="82" ht="13.5" customHeight="1">
      <c r="A82" s="142"/>
      <c r="B82" s="142"/>
      <c r="C82" s="142"/>
      <c r="D82" s="142"/>
      <c r="E82" s="308"/>
      <c r="F82" s="131"/>
      <c r="G82" s="131"/>
      <c r="H82" s="131"/>
      <c r="I82" s="219"/>
      <c r="J82" s="198"/>
      <c r="K82" s="131"/>
      <c r="L82" s="131"/>
      <c r="M82" s="131"/>
      <c r="N82" s="131"/>
      <c r="O82" s="131"/>
      <c r="P82" s="131"/>
      <c r="Q82" s="131"/>
      <c r="R82" s="131"/>
      <c r="S82" s="131"/>
      <c r="T82" s="131"/>
      <c r="U82" s="131"/>
      <c r="V82" s="131"/>
      <c r="W82" s="131"/>
      <c r="X82" s="131"/>
      <c r="Y82" s="131"/>
      <c r="Z82" s="142"/>
      <c r="AA82" s="142"/>
      <c r="AB82" s="142"/>
      <c r="AC82" s="142"/>
      <c r="AD82" s="142"/>
      <c r="AE82" s="142"/>
      <c r="AF82" s="142"/>
      <c r="AG82" s="142"/>
      <c r="AH82" s="142"/>
      <c r="AI82" s="142"/>
      <c r="AJ82" s="142"/>
      <c r="AK82" s="142"/>
      <c r="AL82" s="142"/>
      <c r="AM82" s="142"/>
      <c r="AN82" s="142"/>
      <c r="AO82" s="131"/>
    </row>
    <row r="83" ht="13.5" customHeight="1">
      <c r="A83" s="142"/>
      <c r="B83" s="142"/>
      <c r="C83" s="142"/>
      <c r="D83" s="142"/>
      <c r="E83" s="308"/>
      <c r="F83" s="131"/>
      <c r="G83" s="131"/>
      <c r="H83" s="131"/>
      <c r="I83" s="219"/>
      <c r="J83" s="198"/>
      <c r="K83" s="131"/>
      <c r="L83" s="131"/>
      <c r="M83" s="131"/>
      <c r="N83" s="131"/>
      <c r="O83" s="131"/>
      <c r="P83" s="131"/>
      <c r="Q83" s="131"/>
      <c r="R83" s="131"/>
      <c r="S83" s="131"/>
      <c r="T83" s="131"/>
      <c r="U83" s="131"/>
      <c r="V83" s="131"/>
      <c r="W83" s="131"/>
      <c r="X83" s="131"/>
      <c r="Y83" s="131"/>
      <c r="Z83" s="142"/>
      <c r="AA83" s="142"/>
      <c r="AB83" s="142"/>
      <c r="AC83" s="142"/>
      <c r="AD83" s="142"/>
      <c r="AE83" s="142"/>
      <c r="AF83" s="142"/>
      <c r="AG83" s="142"/>
      <c r="AH83" s="142"/>
      <c r="AI83" s="142"/>
      <c r="AJ83" s="142"/>
      <c r="AK83" s="142"/>
      <c r="AL83" s="142"/>
      <c r="AM83" s="142"/>
      <c r="AN83" s="142"/>
      <c r="AO83" s="131"/>
    </row>
    <row r="84" ht="13.5" customHeight="1">
      <c r="A84" s="142"/>
      <c r="B84" s="142"/>
      <c r="C84" s="142"/>
      <c r="D84" s="142"/>
      <c r="E84" s="308"/>
      <c r="F84" s="131"/>
      <c r="G84" s="131"/>
      <c r="H84" s="131"/>
      <c r="I84" s="219"/>
      <c r="J84" s="198"/>
      <c r="K84" s="131"/>
      <c r="L84" s="131"/>
      <c r="M84" s="131"/>
      <c r="N84" s="131"/>
      <c r="O84" s="131"/>
      <c r="P84" s="131"/>
      <c r="Q84" s="131"/>
      <c r="R84" s="131"/>
      <c r="S84" s="131"/>
      <c r="T84" s="131"/>
      <c r="U84" s="131"/>
      <c r="V84" s="131"/>
      <c r="W84" s="131"/>
      <c r="X84" s="131"/>
      <c r="Y84" s="131"/>
      <c r="Z84" s="142"/>
      <c r="AA84" s="142"/>
      <c r="AB84" s="142"/>
      <c r="AC84" s="142"/>
      <c r="AD84" s="142"/>
      <c r="AE84" s="142"/>
      <c r="AF84" s="142"/>
      <c r="AG84" s="142"/>
      <c r="AH84" s="142"/>
      <c r="AI84" s="142"/>
      <c r="AJ84" s="142"/>
      <c r="AK84" s="142"/>
      <c r="AL84" s="142"/>
      <c r="AM84" s="142"/>
      <c r="AN84" s="142"/>
      <c r="AO84" s="131"/>
    </row>
    <row r="85" ht="13.5" customHeight="1">
      <c r="A85" s="142"/>
      <c r="B85" s="142"/>
      <c r="C85" s="142"/>
      <c r="D85" s="142"/>
      <c r="E85" s="308"/>
      <c r="F85" s="131"/>
      <c r="G85" s="131"/>
      <c r="H85" s="131"/>
      <c r="I85" s="219"/>
      <c r="J85" s="198"/>
      <c r="K85" s="131"/>
      <c r="L85" s="131"/>
      <c r="M85" s="131"/>
      <c r="N85" s="131"/>
      <c r="O85" s="131"/>
      <c r="P85" s="131"/>
      <c r="Q85" s="131"/>
      <c r="R85" s="131"/>
      <c r="S85" s="131"/>
      <c r="T85" s="131"/>
      <c r="U85" s="131"/>
      <c r="V85" s="131"/>
      <c r="W85" s="131"/>
      <c r="X85" s="131"/>
      <c r="Y85" s="131"/>
      <c r="Z85" s="142"/>
      <c r="AA85" s="142"/>
      <c r="AB85" s="142"/>
      <c r="AC85" s="142"/>
      <c r="AD85" s="142"/>
      <c r="AE85" s="142"/>
      <c r="AF85" s="142"/>
      <c r="AG85" s="142"/>
      <c r="AH85" s="142"/>
      <c r="AI85" s="142"/>
      <c r="AJ85" s="142"/>
      <c r="AK85" s="142"/>
      <c r="AL85" s="142"/>
      <c r="AM85" s="142"/>
      <c r="AN85" s="142"/>
      <c r="AO85" s="131"/>
    </row>
    <row r="86" ht="13.5" customHeight="1">
      <c r="A86" s="142"/>
      <c r="B86" s="142"/>
      <c r="C86" s="142"/>
      <c r="D86" s="142"/>
      <c r="E86" s="308"/>
      <c r="F86" s="131"/>
      <c r="G86" s="131"/>
      <c r="H86" s="131"/>
      <c r="I86" s="219"/>
      <c r="J86" s="198"/>
      <c r="K86" s="131"/>
      <c r="L86" s="131"/>
      <c r="M86" s="131"/>
      <c r="N86" s="131"/>
      <c r="O86" s="131"/>
      <c r="P86" s="131"/>
      <c r="Q86" s="131"/>
      <c r="R86" s="131"/>
      <c r="S86" s="131"/>
      <c r="T86" s="131"/>
      <c r="U86" s="131"/>
      <c r="V86" s="131"/>
      <c r="W86" s="131"/>
      <c r="X86" s="131"/>
      <c r="Y86" s="131"/>
      <c r="Z86" s="142"/>
      <c r="AA86" s="142"/>
      <c r="AB86" s="142"/>
      <c r="AC86" s="142"/>
      <c r="AD86" s="142"/>
      <c r="AE86" s="142"/>
      <c r="AF86" s="142"/>
      <c r="AG86" s="142"/>
      <c r="AH86" s="142"/>
      <c r="AI86" s="142"/>
      <c r="AJ86" s="142"/>
      <c r="AK86" s="142"/>
      <c r="AL86" s="142"/>
      <c r="AM86" s="142"/>
      <c r="AN86" s="142"/>
      <c r="AO86" s="131"/>
    </row>
    <row r="87" ht="13.5" customHeight="1">
      <c r="A87" s="142"/>
      <c r="B87" s="142"/>
      <c r="C87" s="142"/>
      <c r="D87" s="142"/>
      <c r="E87" s="308"/>
      <c r="F87" s="131"/>
      <c r="G87" s="131"/>
      <c r="H87" s="131"/>
      <c r="I87" s="219"/>
      <c r="J87" s="198"/>
      <c r="K87" s="131"/>
      <c r="L87" s="131"/>
      <c r="M87" s="131"/>
      <c r="N87" s="131"/>
      <c r="O87" s="131"/>
      <c r="P87" s="131"/>
      <c r="Q87" s="131"/>
      <c r="R87" s="131"/>
      <c r="S87" s="131"/>
      <c r="T87" s="131"/>
      <c r="U87" s="131"/>
      <c r="V87" s="131"/>
      <c r="W87" s="131"/>
      <c r="X87" s="131"/>
      <c r="Y87" s="131"/>
      <c r="Z87" s="142"/>
      <c r="AA87" s="142"/>
      <c r="AB87" s="142"/>
      <c r="AC87" s="142"/>
      <c r="AD87" s="142"/>
      <c r="AE87" s="142"/>
      <c r="AF87" s="142"/>
      <c r="AG87" s="142"/>
      <c r="AH87" s="142"/>
      <c r="AI87" s="142"/>
      <c r="AJ87" s="142"/>
      <c r="AK87" s="142"/>
      <c r="AL87" s="142"/>
      <c r="AM87" s="142"/>
      <c r="AN87" s="142"/>
      <c r="AO87" s="131"/>
    </row>
    <row r="88" ht="13.5" customHeight="1">
      <c r="A88" s="142"/>
      <c r="B88" s="142"/>
      <c r="C88" s="142"/>
      <c r="D88" s="142"/>
      <c r="E88" s="308"/>
      <c r="F88" s="131"/>
      <c r="G88" s="131"/>
      <c r="H88" s="131"/>
      <c r="I88" s="219"/>
      <c r="J88" s="198"/>
      <c r="K88" s="131"/>
      <c r="L88" s="131"/>
      <c r="M88" s="131"/>
      <c r="N88" s="131"/>
      <c r="O88" s="131"/>
      <c r="P88" s="131"/>
      <c r="Q88" s="131"/>
      <c r="R88" s="131"/>
      <c r="S88" s="131"/>
      <c r="T88" s="131"/>
      <c r="U88" s="131"/>
      <c r="V88" s="131"/>
      <c r="W88" s="131"/>
      <c r="X88" s="131"/>
      <c r="Y88" s="131"/>
      <c r="Z88" s="142"/>
      <c r="AA88" s="142"/>
      <c r="AB88" s="142"/>
      <c r="AC88" s="142"/>
      <c r="AD88" s="142"/>
      <c r="AE88" s="142"/>
      <c r="AF88" s="142"/>
      <c r="AG88" s="142"/>
      <c r="AH88" s="142"/>
      <c r="AI88" s="142"/>
      <c r="AJ88" s="142"/>
      <c r="AK88" s="142"/>
      <c r="AL88" s="142"/>
      <c r="AM88" s="142"/>
      <c r="AN88" s="142"/>
      <c r="AO88" s="131"/>
    </row>
    <row r="89" ht="13.5" customHeight="1">
      <c r="A89" s="142"/>
      <c r="B89" s="142"/>
      <c r="C89" s="142"/>
      <c r="D89" s="142"/>
      <c r="E89" s="308"/>
      <c r="F89" s="131"/>
      <c r="G89" s="131"/>
      <c r="H89" s="131"/>
      <c r="I89" s="219"/>
      <c r="J89" s="198"/>
      <c r="K89" s="131"/>
      <c r="L89" s="131"/>
      <c r="M89" s="131"/>
      <c r="N89" s="131"/>
      <c r="O89" s="131"/>
      <c r="P89" s="131"/>
      <c r="Q89" s="131"/>
      <c r="R89" s="131"/>
      <c r="S89" s="131"/>
      <c r="T89" s="131"/>
      <c r="U89" s="131"/>
      <c r="V89" s="131"/>
      <c r="W89" s="131"/>
      <c r="X89" s="131"/>
      <c r="Y89" s="131"/>
      <c r="Z89" s="142"/>
      <c r="AA89" s="142"/>
      <c r="AB89" s="142"/>
      <c r="AC89" s="142"/>
      <c r="AD89" s="142"/>
      <c r="AE89" s="142"/>
      <c r="AF89" s="142"/>
      <c r="AG89" s="142"/>
      <c r="AH89" s="142"/>
      <c r="AI89" s="142"/>
      <c r="AJ89" s="142"/>
      <c r="AK89" s="142"/>
      <c r="AL89" s="142"/>
      <c r="AM89" s="142"/>
      <c r="AN89" s="142"/>
      <c r="AO89" s="131"/>
    </row>
    <row r="90" ht="13.5" customHeight="1">
      <c r="A90" s="142"/>
      <c r="B90" s="142"/>
      <c r="C90" s="142"/>
      <c r="D90" s="142"/>
      <c r="E90" s="308"/>
      <c r="F90" s="131"/>
      <c r="G90" s="131"/>
      <c r="H90" s="131"/>
      <c r="I90" s="219"/>
      <c r="J90" s="198"/>
      <c r="K90" s="131"/>
      <c r="L90" s="131"/>
      <c r="M90" s="131"/>
      <c r="N90" s="131"/>
      <c r="O90" s="131"/>
      <c r="P90" s="131"/>
      <c r="Q90" s="131"/>
      <c r="R90" s="131"/>
      <c r="S90" s="131"/>
      <c r="T90" s="131"/>
      <c r="U90" s="131"/>
      <c r="V90" s="131"/>
      <c r="W90" s="131"/>
      <c r="X90" s="131"/>
      <c r="Y90" s="131"/>
      <c r="Z90" s="142"/>
      <c r="AA90" s="142"/>
      <c r="AB90" s="142"/>
      <c r="AC90" s="142"/>
      <c r="AD90" s="142"/>
      <c r="AE90" s="142"/>
      <c r="AF90" s="142"/>
      <c r="AG90" s="142"/>
      <c r="AH90" s="142"/>
      <c r="AI90" s="142"/>
      <c r="AJ90" s="142"/>
      <c r="AK90" s="142"/>
      <c r="AL90" s="142"/>
      <c r="AM90" s="142"/>
      <c r="AN90" s="142"/>
      <c r="AO90" s="131"/>
    </row>
    <row r="91" ht="13.5" customHeight="1">
      <c r="A91" s="142"/>
      <c r="B91" s="142"/>
      <c r="C91" s="142"/>
      <c r="D91" s="142"/>
      <c r="E91" s="308"/>
      <c r="F91" s="131"/>
      <c r="G91" s="131"/>
      <c r="H91" s="131"/>
      <c r="I91" s="219"/>
      <c r="J91" s="198"/>
      <c r="K91" s="131"/>
      <c r="L91" s="131"/>
      <c r="M91" s="131"/>
      <c r="N91" s="131"/>
      <c r="O91" s="131"/>
      <c r="P91" s="131"/>
      <c r="Q91" s="131"/>
      <c r="R91" s="131"/>
      <c r="S91" s="131"/>
      <c r="T91" s="131"/>
      <c r="U91" s="131"/>
      <c r="V91" s="131"/>
      <c r="W91" s="131"/>
      <c r="X91" s="131"/>
      <c r="Y91" s="131"/>
      <c r="Z91" s="142"/>
      <c r="AA91" s="142"/>
      <c r="AB91" s="142"/>
      <c r="AC91" s="142"/>
      <c r="AD91" s="142"/>
      <c r="AE91" s="142"/>
      <c r="AF91" s="142"/>
      <c r="AG91" s="142"/>
      <c r="AH91" s="142"/>
      <c r="AI91" s="142"/>
      <c r="AJ91" s="142"/>
      <c r="AK91" s="142"/>
      <c r="AL91" s="142"/>
      <c r="AM91" s="142"/>
      <c r="AN91" s="142"/>
      <c r="AO91" s="131"/>
    </row>
    <row r="92" ht="13.5" customHeight="1">
      <c r="A92" s="142"/>
      <c r="B92" s="142"/>
      <c r="C92" s="142"/>
      <c r="D92" s="142"/>
      <c r="E92" s="308"/>
      <c r="F92" s="131"/>
      <c r="G92" s="131"/>
      <c r="H92" s="131"/>
      <c r="I92" s="219"/>
      <c r="J92" s="198"/>
      <c r="K92" s="131"/>
      <c r="L92" s="131"/>
      <c r="M92" s="131"/>
      <c r="N92" s="131"/>
      <c r="O92" s="131"/>
      <c r="P92" s="131"/>
      <c r="Q92" s="131"/>
      <c r="R92" s="131"/>
      <c r="S92" s="131"/>
      <c r="T92" s="131"/>
      <c r="U92" s="131"/>
      <c r="V92" s="131"/>
      <c r="W92" s="131"/>
      <c r="X92" s="131"/>
      <c r="Y92" s="131"/>
      <c r="Z92" s="142"/>
      <c r="AA92" s="142"/>
      <c r="AB92" s="142"/>
      <c r="AC92" s="142"/>
      <c r="AD92" s="142"/>
      <c r="AE92" s="142"/>
      <c r="AF92" s="142"/>
      <c r="AG92" s="142"/>
      <c r="AH92" s="142"/>
      <c r="AI92" s="142"/>
      <c r="AJ92" s="142"/>
      <c r="AK92" s="142"/>
      <c r="AL92" s="142"/>
      <c r="AM92" s="142"/>
      <c r="AN92" s="142"/>
      <c r="AO92" s="131"/>
    </row>
    <row r="93" ht="13.5" customHeight="1">
      <c r="A93" s="142"/>
      <c r="B93" s="142"/>
      <c r="C93" s="142"/>
      <c r="D93" s="142"/>
      <c r="E93" s="308"/>
      <c r="F93" s="131"/>
      <c r="G93" s="131"/>
      <c r="H93" s="131"/>
      <c r="I93" s="219"/>
      <c r="J93" s="198"/>
      <c r="K93" s="131"/>
      <c r="L93" s="131"/>
      <c r="M93" s="131"/>
      <c r="N93" s="131"/>
      <c r="O93" s="131"/>
      <c r="P93" s="131"/>
      <c r="Q93" s="131"/>
      <c r="R93" s="131"/>
      <c r="S93" s="131"/>
      <c r="T93" s="131"/>
      <c r="U93" s="131"/>
      <c r="V93" s="131"/>
      <c r="W93" s="131"/>
      <c r="X93" s="131"/>
      <c r="Y93" s="131"/>
      <c r="Z93" s="142"/>
      <c r="AA93" s="142"/>
      <c r="AB93" s="142"/>
      <c r="AC93" s="142"/>
      <c r="AD93" s="142"/>
      <c r="AE93" s="142"/>
      <c r="AF93" s="142"/>
      <c r="AG93" s="142"/>
      <c r="AH93" s="142"/>
      <c r="AI93" s="142"/>
      <c r="AJ93" s="142"/>
      <c r="AK93" s="142"/>
      <c r="AL93" s="142"/>
      <c r="AM93" s="142"/>
      <c r="AN93" s="142"/>
      <c r="AO93" s="131"/>
    </row>
    <row r="94" ht="13.5" customHeight="1">
      <c r="A94" s="142"/>
      <c r="B94" s="142"/>
      <c r="C94" s="142"/>
      <c r="D94" s="142"/>
      <c r="E94" s="308"/>
      <c r="F94" s="131"/>
      <c r="G94" s="131"/>
      <c r="H94" s="131"/>
      <c r="I94" s="219"/>
      <c r="J94" s="198"/>
      <c r="K94" s="131"/>
      <c r="L94" s="131"/>
      <c r="M94" s="131"/>
      <c r="N94" s="131"/>
      <c r="O94" s="131"/>
      <c r="P94" s="131"/>
      <c r="Q94" s="131"/>
      <c r="R94" s="131"/>
      <c r="S94" s="131"/>
      <c r="T94" s="131"/>
      <c r="U94" s="131"/>
      <c r="V94" s="131"/>
      <c r="W94" s="131"/>
      <c r="X94" s="131"/>
      <c r="Y94" s="131"/>
      <c r="Z94" s="142"/>
      <c r="AA94" s="142"/>
      <c r="AB94" s="142"/>
      <c r="AC94" s="142"/>
      <c r="AD94" s="142"/>
      <c r="AE94" s="142"/>
      <c r="AF94" s="142"/>
      <c r="AG94" s="142"/>
      <c r="AH94" s="142"/>
      <c r="AI94" s="142"/>
      <c r="AJ94" s="142"/>
      <c r="AK94" s="142"/>
      <c r="AL94" s="142"/>
      <c r="AM94" s="142"/>
      <c r="AN94" s="142"/>
      <c r="AO94" s="131"/>
    </row>
    <row r="95" ht="13.5" customHeight="1">
      <c r="A95" s="142"/>
      <c r="B95" s="142"/>
      <c r="C95" s="142"/>
      <c r="D95" s="142"/>
      <c r="E95" s="308"/>
      <c r="F95" s="131"/>
      <c r="G95" s="131"/>
      <c r="H95" s="131"/>
      <c r="I95" s="219"/>
      <c r="J95" s="198"/>
      <c r="K95" s="131"/>
      <c r="L95" s="131"/>
      <c r="M95" s="131"/>
      <c r="N95" s="131"/>
      <c r="O95" s="131"/>
      <c r="P95" s="131"/>
      <c r="Q95" s="131"/>
      <c r="R95" s="131"/>
      <c r="S95" s="131"/>
      <c r="T95" s="131"/>
      <c r="U95" s="131"/>
      <c r="V95" s="131"/>
      <c r="W95" s="131"/>
      <c r="X95" s="131"/>
      <c r="Y95" s="131"/>
      <c r="Z95" s="142"/>
      <c r="AA95" s="142"/>
      <c r="AB95" s="142"/>
      <c r="AC95" s="142"/>
      <c r="AD95" s="142"/>
      <c r="AE95" s="142"/>
      <c r="AF95" s="142"/>
      <c r="AG95" s="142"/>
      <c r="AH95" s="142"/>
      <c r="AI95" s="142"/>
      <c r="AJ95" s="142"/>
      <c r="AK95" s="142"/>
      <c r="AL95" s="142"/>
      <c r="AM95" s="142"/>
      <c r="AN95" s="142"/>
      <c r="AO95" s="131"/>
    </row>
    <row r="96" ht="13.5" customHeight="1">
      <c r="A96" s="142"/>
      <c r="B96" s="142"/>
      <c r="C96" s="142"/>
      <c r="D96" s="142"/>
      <c r="E96" s="308"/>
      <c r="F96" s="131"/>
      <c r="G96" s="131"/>
      <c r="H96" s="131"/>
      <c r="I96" s="219"/>
      <c r="J96" s="198"/>
      <c r="K96" s="131"/>
      <c r="L96" s="131"/>
      <c r="M96" s="131"/>
      <c r="N96" s="131"/>
      <c r="O96" s="131"/>
      <c r="P96" s="131"/>
      <c r="Q96" s="131"/>
      <c r="R96" s="131"/>
      <c r="S96" s="131"/>
      <c r="T96" s="131"/>
      <c r="U96" s="131"/>
      <c r="V96" s="131"/>
      <c r="W96" s="131"/>
      <c r="X96" s="131"/>
      <c r="Y96" s="131"/>
      <c r="Z96" s="142"/>
      <c r="AA96" s="142"/>
      <c r="AB96" s="142"/>
      <c r="AC96" s="142"/>
      <c r="AD96" s="142"/>
      <c r="AE96" s="142"/>
      <c r="AF96" s="142"/>
      <c r="AG96" s="142"/>
      <c r="AH96" s="142"/>
      <c r="AI96" s="142"/>
      <c r="AJ96" s="142"/>
      <c r="AK96" s="142"/>
      <c r="AL96" s="142"/>
      <c r="AM96" s="142"/>
      <c r="AN96" s="142"/>
      <c r="AO96" s="131"/>
    </row>
    <row r="97" ht="13.5" customHeight="1">
      <c r="A97" s="142"/>
      <c r="B97" s="142"/>
      <c r="C97" s="142"/>
      <c r="D97" s="142"/>
      <c r="E97" s="308"/>
      <c r="F97" s="131"/>
      <c r="G97" s="131"/>
      <c r="H97" s="131"/>
      <c r="I97" s="219"/>
      <c r="J97" s="198"/>
      <c r="K97" s="131"/>
      <c r="L97" s="131"/>
      <c r="M97" s="131"/>
      <c r="N97" s="131"/>
      <c r="O97" s="131"/>
      <c r="P97" s="131"/>
      <c r="Q97" s="131"/>
      <c r="R97" s="131"/>
      <c r="S97" s="131"/>
      <c r="T97" s="131"/>
      <c r="U97" s="131"/>
      <c r="V97" s="131"/>
      <c r="W97" s="131"/>
      <c r="X97" s="131"/>
      <c r="Y97" s="131"/>
      <c r="Z97" s="142"/>
      <c r="AA97" s="142"/>
      <c r="AB97" s="142"/>
      <c r="AC97" s="142"/>
      <c r="AD97" s="142"/>
      <c r="AE97" s="142"/>
      <c r="AF97" s="142"/>
      <c r="AG97" s="142"/>
      <c r="AH97" s="142"/>
      <c r="AI97" s="142"/>
      <c r="AJ97" s="142"/>
      <c r="AK97" s="142"/>
      <c r="AL97" s="142"/>
      <c r="AM97" s="142"/>
      <c r="AN97" s="142"/>
      <c r="AO97" s="131"/>
    </row>
    <row r="98" ht="13.5" customHeight="1">
      <c r="A98" s="142"/>
      <c r="B98" s="142"/>
      <c r="C98" s="142"/>
      <c r="D98" s="142"/>
      <c r="E98" s="308"/>
      <c r="F98" s="131"/>
      <c r="G98" s="131"/>
      <c r="H98" s="131"/>
      <c r="I98" s="219"/>
      <c r="J98" s="198"/>
      <c r="K98" s="131"/>
      <c r="L98" s="131"/>
      <c r="M98" s="131"/>
      <c r="N98" s="131"/>
      <c r="O98" s="131"/>
      <c r="P98" s="131"/>
      <c r="Q98" s="131"/>
      <c r="R98" s="131"/>
      <c r="S98" s="131"/>
      <c r="T98" s="131"/>
      <c r="U98" s="131"/>
      <c r="V98" s="131"/>
      <c r="W98" s="131"/>
      <c r="X98" s="131"/>
      <c r="Y98" s="131"/>
      <c r="Z98" s="142"/>
      <c r="AA98" s="142"/>
      <c r="AB98" s="142"/>
      <c r="AC98" s="142"/>
      <c r="AD98" s="142"/>
      <c r="AE98" s="142"/>
      <c r="AF98" s="142"/>
      <c r="AG98" s="142"/>
      <c r="AH98" s="142"/>
      <c r="AI98" s="142"/>
      <c r="AJ98" s="142"/>
      <c r="AK98" s="142"/>
      <c r="AL98" s="142"/>
      <c r="AM98" s="142"/>
      <c r="AN98" s="142"/>
      <c r="AO98" s="131"/>
    </row>
    <row r="99" ht="13.5" customHeight="1">
      <c r="A99" s="142"/>
      <c r="B99" s="142"/>
      <c r="C99" s="142"/>
      <c r="D99" s="142"/>
      <c r="E99" s="308"/>
      <c r="F99" s="131"/>
      <c r="G99" s="131"/>
      <c r="H99" s="131"/>
      <c r="I99" s="219"/>
      <c r="J99" s="198"/>
      <c r="K99" s="131"/>
      <c r="L99" s="131"/>
      <c r="M99" s="131"/>
      <c r="N99" s="131"/>
      <c r="O99" s="131"/>
      <c r="P99" s="131"/>
      <c r="Q99" s="131"/>
      <c r="R99" s="131"/>
      <c r="S99" s="131"/>
      <c r="T99" s="131"/>
      <c r="U99" s="131"/>
      <c r="V99" s="131"/>
      <c r="W99" s="131"/>
      <c r="X99" s="131"/>
      <c r="Y99" s="131"/>
      <c r="Z99" s="142"/>
      <c r="AA99" s="142"/>
      <c r="AB99" s="142"/>
      <c r="AC99" s="142"/>
      <c r="AD99" s="142"/>
      <c r="AE99" s="142"/>
      <c r="AF99" s="142"/>
      <c r="AG99" s="142"/>
      <c r="AH99" s="142"/>
      <c r="AI99" s="142"/>
      <c r="AJ99" s="142"/>
      <c r="AK99" s="142"/>
      <c r="AL99" s="142"/>
      <c r="AM99" s="142"/>
      <c r="AN99" s="142"/>
      <c r="AO99" s="131"/>
    </row>
    <row r="100" ht="13.5" customHeight="1">
      <c r="A100" s="142"/>
      <c r="B100" s="142"/>
      <c r="C100" s="142"/>
      <c r="D100" s="142"/>
      <c r="E100" s="308"/>
      <c r="F100" s="131"/>
      <c r="G100" s="131"/>
      <c r="H100" s="131"/>
      <c r="I100" s="219"/>
      <c r="J100" s="198"/>
      <c r="K100" s="131"/>
      <c r="L100" s="131"/>
      <c r="M100" s="131"/>
      <c r="N100" s="131"/>
      <c r="O100" s="131"/>
      <c r="P100" s="131"/>
      <c r="Q100" s="131"/>
      <c r="R100" s="131"/>
      <c r="S100" s="131"/>
      <c r="T100" s="131"/>
      <c r="U100" s="131"/>
      <c r="V100" s="131"/>
      <c r="W100" s="131"/>
      <c r="X100" s="131"/>
      <c r="Y100" s="131"/>
      <c r="Z100" s="142"/>
      <c r="AA100" s="142"/>
      <c r="AB100" s="142"/>
      <c r="AC100" s="142"/>
      <c r="AD100" s="142"/>
      <c r="AE100" s="142"/>
      <c r="AF100" s="142"/>
      <c r="AG100" s="142"/>
      <c r="AH100" s="142"/>
      <c r="AI100" s="142"/>
      <c r="AJ100" s="142"/>
      <c r="AK100" s="142"/>
      <c r="AL100" s="142"/>
      <c r="AM100" s="142"/>
      <c r="AN100" s="142"/>
      <c r="AO100" s="131"/>
    </row>
    <row r="101" ht="13.5" customHeight="1">
      <c r="A101" s="142"/>
      <c r="B101" s="142"/>
      <c r="C101" s="142"/>
      <c r="D101" s="142"/>
      <c r="E101" s="308"/>
      <c r="F101" s="131"/>
      <c r="G101" s="131"/>
      <c r="H101" s="131"/>
      <c r="I101" s="219"/>
      <c r="J101" s="198"/>
      <c r="K101" s="131"/>
      <c r="L101" s="131"/>
      <c r="M101" s="131"/>
      <c r="N101" s="131"/>
      <c r="O101" s="131"/>
      <c r="P101" s="131"/>
      <c r="Q101" s="131"/>
      <c r="R101" s="131"/>
      <c r="S101" s="131"/>
      <c r="T101" s="131"/>
      <c r="U101" s="131"/>
      <c r="V101" s="131"/>
      <c r="W101" s="131"/>
      <c r="X101" s="131"/>
      <c r="Y101" s="131"/>
      <c r="Z101" s="142"/>
      <c r="AA101" s="142"/>
      <c r="AB101" s="142"/>
      <c r="AC101" s="142"/>
      <c r="AD101" s="142"/>
      <c r="AE101" s="142"/>
      <c r="AF101" s="142"/>
      <c r="AG101" s="142"/>
      <c r="AH101" s="142"/>
      <c r="AI101" s="142"/>
      <c r="AJ101" s="142"/>
      <c r="AK101" s="142"/>
      <c r="AL101" s="142"/>
      <c r="AM101" s="142"/>
      <c r="AN101" s="142"/>
      <c r="AO101" s="131"/>
    </row>
    <row r="102" ht="13.5" customHeight="1">
      <c r="A102" s="142"/>
      <c r="B102" s="142"/>
      <c r="C102" s="142"/>
      <c r="D102" s="142"/>
      <c r="E102" s="308"/>
      <c r="F102" s="131"/>
      <c r="G102" s="131"/>
      <c r="H102" s="131"/>
      <c r="I102" s="219"/>
      <c r="J102" s="198"/>
      <c r="K102" s="131"/>
      <c r="L102" s="131"/>
      <c r="M102" s="131"/>
      <c r="N102" s="131"/>
      <c r="O102" s="131"/>
      <c r="P102" s="131"/>
      <c r="Q102" s="131"/>
      <c r="R102" s="131"/>
      <c r="S102" s="131"/>
      <c r="T102" s="131"/>
      <c r="U102" s="131"/>
      <c r="V102" s="131"/>
      <c r="W102" s="131"/>
      <c r="X102" s="131"/>
      <c r="Y102" s="131"/>
      <c r="Z102" s="142"/>
      <c r="AA102" s="142"/>
      <c r="AB102" s="142"/>
      <c r="AC102" s="142"/>
      <c r="AD102" s="142"/>
      <c r="AE102" s="142"/>
      <c r="AF102" s="142"/>
      <c r="AG102" s="142"/>
      <c r="AH102" s="142"/>
      <c r="AI102" s="142"/>
      <c r="AJ102" s="142"/>
      <c r="AK102" s="142"/>
      <c r="AL102" s="142"/>
      <c r="AM102" s="142"/>
      <c r="AN102" s="142"/>
      <c r="AO102" s="131"/>
    </row>
    <row r="103" ht="13.5" customHeight="1">
      <c r="A103" s="142"/>
      <c r="B103" s="142"/>
      <c r="C103" s="142"/>
      <c r="D103" s="142"/>
      <c r="E103" s="308"/>
      <c r="F103" s="131"/>
      <c r="G103" s="131"/>
      <c r="H103" s="131"/>
      <c r="I103" s="219"/>
      <c r="J103" s="198"/>
      <c r="K103" s="131"/>
      <c r="L103" s="131"/>
      <c r="M103" s="131"/>
      <c r="N103" s="131"/>
      <c r="O103" s="131"/>
      <c r="P103" s="131"/>
      <c r="Q103" s="131"/>
      <c r="R103" s="131"/>
      <c r="S103" s="131"/>
      <c r="T103" s="131"/>
      <c r="U103" s="131"/>
      <c r="V103" s="131"/>
      <c r="W103" s="131"/>
      <c r="X103" s="131"/>
      <c r="Y103" s="131"/>
      <c r="Z103" s="142"/>
      <c r="AA103" s="142"/>
      <c r="AB103" s="142"/>
      <c r="AC103" s="142"/>
      <c r="AD103" s="142"/>
      <c r="AE103" s="142"/>
      <c r="AF103" s="142"/>
      <c r="AG103" s="142"/>
      <c r="AH103" s="142"/>
      <c r="AI103" s="142"/>
      <c r="AJ103" s="142"/>
      <c r="AK103" s="142"/>
      <c r="AL103" s="142"/>
      <c r="AM103" s="142"/>
      <c r="AN103" s="142"/>
      <c r="AO103" s="131"/>
    </row>
    <row r="104" ht="13.5" customHeight="1">
      <c r="A104" s="142"/>
      <c r="B104" s="142"/>
      <c r="C104" s="142"/>
      <c r="D104" s="142"/>
      <c r="E104" s="308"/>
      <c r="F104" s="131"/>
      <c r="G104" s="131"/>
      <c r="H104" s="131"/>
      <c r="I104" s="219"/>
      <c r="J104" s="198"/>
      <c r="K104" s="131"/>
      <c r="L104" s="131"/>
      <c r="M104" s="131"/>
      <c r="N104" s="131"/>
      <c r="O104" s="131"/>
      <c r="P104" s="131"/>
      <c r="Q104" s="131"/>
      <c r="R104" s="131"/>
      <c r="S104" s="131"/>
      <c r="T104" s="131"/>
      <c r="U104" s="131"/>
      <c r="V104" s="131"/>
      <c r="W104" s="131"/>
      <c r="X104" s="131"/>
      <c r="Y104" s="131"/>
      <c r="Z104" s="142"/>
      <c r="AA104" s="142"/>
      <c r="AB104" s="142"/>
      <c r="AC104" s="142"/>
      <c r="AD104" s="142"/>
      <c r="AE104" s="142"/>
      <c r="AF104" s="142"/>
      <c r="AG104" s="142"/>
      <c r="AH104" s="142"/>
      <c r="AI104" s="142"/>
      <c r="AJ104" s="142"/>
      <c r="AK104" s="142"/>
      <c r="AL104" s="142"/>
      <c r="AM104" s="142"/>
      <c r="AN104" s="142"/>
      <c r="AO104" s="131"/>
    </row>
    <row r="105" ht="13.5" customHeight="1">
      <c r="A105" s="142"/>
      <c r="B105" s="142"/>
      <c r="C105" s="142"/>
      <c r="D105" s="142"/>
      <c r="E105" s="308"/>
      <c r="F105" s="131"/>
      <c r="G105" s="131"/>
      <c r="H105" s="131"/>
      <c r="I105" s="219"/>
      <c r="J105" s="198"/>
      <c r="K105" s="131"/>
      <c r="L105" s="131"/>
      <c r="M105" s="131"/>
      <c r="N105" s="131"/>
      <c r="O105" s="131"/>
      <c r="P105" s="131"/>
      <c r="Q105" s="131"/>
      <c r="R105" s="131"/>
      <c r="S105" s="131"/>
      <c r="T105" s="131"/>
      <c r="U105" s="131"/>
      <c r="V105" s="131"/>
      <c r="W105" s="131"/>
      <c r="X105" s="131"/>
      <c r="Y105" s="131"/>
      <c r="Z105" s="142"/>
      <c r="AA105" s="142"/>
      <c r="AB105" s="142"/>
      <c r="AC105" s="142"/>
      <c r="AD105" s="142"/>
      <c r="AE105" s="142"/>
      <c r="AF105" s="142"/>
      <c r="AG105" s="142"/>
      <c r="AH105" s="142"/>
      <c r="AI105" s="142"/>
      <c r="AJ105" s="142"/>
      <c r="AK105" s="142"/>
      <c r="AL105" s="142"/>
      <c r="AM105" s="142"/>
      <c r="AN105" s="142"/>
      <c r="AO105" s="131"/>
    </row>
    <row r="106" ht="13.5" customHeight="1">
      <c r="A106" s="142"/>
      <c r="B106" s="142"/>
      <c r="C106" s="142"/>
      <c r="D106" s="142"/>
      <c r="E106" s="308"/>
      <c r="F106" s="131"/>
      <c r="G106" s="131"/>
      <c r="H106" s="131"/>
      <c r="I106" s="219"/>
      <c r="J106" s="198"/>
      <c r="K106" s="131"/>
      <c r="L106" s="131"/>
      <c r="M106" s="131"/>
      <c r="N106" s="131"/>
      <c r="O106" s="131"/>
      <c r="P106" s="131"/>
      <c r="Q106" s="131"/>
      <c r="R106" s="131"/>
      <c r="S106" s="131"/>
      <c r="T106" s="131"/>
      <c r="U106" s="131"/>
      <c r="V106" s="131"/>
      <c r="W106" s="131"/>
      <c r="X106" s="131"/>
      <c r="Y106" s="131"/>
      <c r="Z106" s="142"/>
      <c r="AA106" s="142"/>
      <c r="AB106" s="142"/>
      <c r="AC106" s="142"/>
      <c r="AD106" s="142"/>
      <c r="AE106" s="142"/>
      <c r="AF106" s="142"/>
      <c r="AG106" s="142"/>
      <c r="AH106" s="142"/>
      <c r="AI106" s="142"/>
      <c r="AJ106" s="142"/>
      <c r="AK106" s="142"/>
      <c r="AL106" s="142"/>
      <c r="AM106" s="142"/>
      <c r="AN106" s="142"/>
      <c r="AO106" s="131"/>
    </row>
    <row r="107" ht="13.5" customHeight="1">
      <c r="A107" s="142"/>
      <c r="B107" s="142"/>
      <c r="C107" s="142"/>
      <c r="D107" s="142"/>
      <c r="E107" s="308"/>
      <c r="F107" s="131"/>
      <c r="G107" s="131"/>
      <c r="H107" s="131"/>
      <c r="I107" s="219"/>
      <c r="J107" s="198"/>
      <c r="K107" s="131"/>
      <c r="L107" s="131"/>
      <c r="M107" s="131"/>
      <c r="N107" s="131"/>
      <c r="O107" s="131"/>
      <c r="P107" s="131"/>
      <c r="Q107" s="131"/>
      <c r="R107" s="131"/>
      <c r="S107" s="131"/>
      <c r="T107" s="131"/>
      <c r="U107" s="131"/>
      <c r="V107" s="131"/>
      <c r="W107" s="131"/>
      <c r="X107" s="131"/>
      <c r="Y107" s="131"/>
      <c r="Z107" s="142"/>
      <c r="AA107" s="142"/>
      <c r="AB107" s="142"/>
      <c r="AC107" s="142"/>
      <c r="AD107" s="142"/>
      <c r="AE107" s="142"/>
      <c r="AF107" s="142"/>
      <c r="AG107" s="142"/>
      <c r="AH107" s="142"/>
      <c r="AI107" s="142"/>
      <c r="AJ107" s="142"/>
      <c r="AK107" s="142"/>
      <c r="AL107" s="142"/>
      <c r="AM107" s="142"/>
      <c r="AN107" s="142"/>
      <c r="AO107" s="131"/>
    </row>
    <row r="108" ht="13.5" customHeight="1">
      <c r="A108" s="142"/>
      <c r="B108" s="142"/>
      <c r="C108" s="142"/>
      <c r="D108" s="142"/>
      <c r="E108" s="308"/>
      <c r="F108" s="131"/>
      <c r="G108" s="131"/>
      <c r="H108" s="131"/>
      <c r="I108" s="219"/>
      <c r="J108" s="198"/>
      <c r="K108" s="131"/>
      <c r="L108" s="131"/>
      <c r="M108" s="131"/>
      <c r="N108" s="131"/>
      <c r="O108" s="131"/>
      <c r="P108" s="131"/>
      <c r="Q108" s="131"/>
      <c r="R108" s="131"/>
      <c r="S108" s="131"/>
      <c r="T108" s="131"/>
      <c r="U108" s="131"/>
      <c r="V108" s="131"/>
      <c r="W108" s="131"/>
      <c r="X108" s="131"/>
      <c r="Y108" s="131"/>
      <c r="Z108" s="142"/>
      <c r="AA108" s="142"/>
      <c r="AB108" s="142"/>
      <c r="AC108" s="142"/>
      <c r="AD108" s="142"/>
      <c r="AE108" s="142"/>
      <c r="AF108" s="142"/>
      <c r="AG108" s="142"/>
      <c r="AH108" s="142"/>
      <c r="AI108" s="142"/>
      <c r="AJ108" s="142"/>
      <c r="AK108" s="142"/>
      <c r="AL108" s="142"/>
      <c r="AM108" s="142"/>
      <c r="AN108" s="142"/>
      <c r="AO108" s="131"/>
    </row>
    <row r="109" ht="13.5" customHeight="1">
      <c r="A109" s="142"/>
      <c r="B109" s="142"/>
      <c r="C109" s="142"/>
      <c r="D109" s="142"/>
      <c r="E109" s="308"/>
      <c r="F109" s="131"/>
      <c r="G109" s="131"/>
      <c r="H109" s="131"/>
      <c r="I109" s="219"/>
      <c r="J109" s="198"/>
      <c r="K109" s="131"/>
      <c r="L109" s="131"/>
      <c r="M109" s="131"/>
      <c r="N109" s="131"/>
      <c r="O109" s="131"/>
      <c r="P109" s="131"/>
      <c r="Q109" s="131"/>
      <c r="R109" s="131"/>
      <c r="S109" s="131"/>
      <c r="T109" s="131"/>
      <c r="U109" s="131"/>
      <c r="V109" s="131"/>
      <c r="W109" s="131"/>
      <c r="X109" s="131"/>
      <c r="Y109" s="131"/>
      <c r="Z109" s="142"/>
      <c r="AA109" s="142"/>
      <c r="AB109" s="142"/>
      <c r="AC109" s="142"/>
      <c r="AD109" s="142"/>
      <c r="AE109" s="142"/>
      <c r="AF109" s="142"/>
      <c r="AG109" s="142"/>
      <c r="AH109" s="142"/>
      <c r="AI109" s="142"/>
      <c r="AJ109" s="142"/>
      <c r="AK109" s="142"/>
      <c r="AL109" s="142"/>
      <c r="AM109" s="142"/>
      <c r="AN109" s="142"/>
      <c r="AO109" s="131"/>
    </row>
    <row r="110" ht="13.5" customHeight="1">
      <c r="A110" s="142"/>
      <c r="B110" s="142"/>
      <c r="C110" s="142"/>
      <c r="D110" s="142"/>
      <c r="E110" s="308"/>
      <c r="F110" s="131"/>
      <c r="G110" s="131"/>
      <c r="H110" s="131"/>
      <c r="I110" s="219"/>
      <c r="J110" s="198"/>
      <c r="K110" s="131"/>
      <c r="L110" s="131"/>
      <c r="M110" s="131"/>
      <c r="N110" s="131"/>
      <c r="O110" s="131"/>
      <c r="P110" s="131"/>
      <c r="Q110" s="131"/>
      <c r="R110" s="131"/>
      <c r="S110" s="131"/>
      <c r="T110" s="131"/>
      <c r="U110" s="131"/>
      <c r="V110" s="131"/>
      <c r="W110" s="131"/>
      <c r="X110" s="131"/>
      <c r="Y110" s="131"/>
      <c r="Z110" s="142"/>
      <c r="AA110" s="142"/>
      <c r="AB110" s="142"/>
      <c r="AC110" s="142"/>
      <c r="AD110" s="142"/>
      <c r="AE110" s="142"/>
      <c r="AF110" s="142"/>
      <c r="AG110" s="142"/>
      <c r="AH110" s="142"/>
      <c r="AI110" s="142"/>
      <c r="AJ110" s="142"/>
      <c r="AK110" s="142"/>
      <c r="AL110" s="142"/>
      <c r="AM110" s="142"/>
      <c r="AN110" s="142"/>
      <c r="AO110" s="131"/>
    </row>
    <row r="111" ht="13.5" customHeight="1">
      <c r="A111" s="142"/>
      <c r="B111" s="142"/>
      <c r="C111" s="142"/>
      <c r="D111" s="142"/>
      <c r="E111" s="308"/>
      <c r="F111" s="131"/>
      <c r="G111" s="131"/>
      <c r="H111" s="131"/>
      <c r="I111" s="219"/>
      <c r="J111" s="198"/>
      <c r="K111" s="131"/>
      <c r="L111" s="131"/>
      <c r="M111" s="131"/>
      <c r="N111" s="131"/>
      <c r="O111" s="131"/>
      <c r="P111" s="131"/>
      <c r="Q111" s="131"/>
      <c r="R111" s="131"/>
      <c r="S111" s="131"/>
      <c r="T111" s="131"/>
      <c r="U111" s="131"/>
      <c r="V111" s="131"/>
      <c r="W111" s="131"/>
      <c r="X111" s="131"/>
      <c r="Y111" s="131"/>
      <c r="Z111" s="142"/>
      <c r="AA111" s="142"/>
      <c r="AB111" s="142"/>
      <c r="AC111" s="142"/>
      <c r="AD111" s="142"/>
      <c r="AE111" s="142"/>
      <c r="AF111" s="142"/>
      <c r="AG111" s="142"/>
      <c r="AH111" s="142"/>
      <c r="AI111" s="142"/>
      <c r="AJ111" s="142"/>
      <c r="AK111" s="142"/>
      <c r="AL111" s="142"/>
      <c r="AM111" s="142"/>
      <c r="AN111" s="142"/>
      <c r="AO111" s="131"/>
    </row>
    <row r="112" ht="13.5" customHeight="1">
      <c r="A112" s="142"/>
      <c r="B112" s="142"/>
      <c r="C112" s="142"/>
      <c r="D112" s="142"/>
      <c r="E112" s="308"/>
      <c r="F112" s="131"/>
      <c r="G112" s="131"/>
      <c r="H112" s="131"/>
      <c r="I112" s="219"/>
      <c r="J112" s="198"/>
      <c r="K112" s="131"/>
      <c r="L112" s="131"/>
      <c r="M112" s="131"/>
      <c r="N112" s="131"/>
      <c r="O112" s="131"/>
      <c r="P112" s="131"/>
      <c r="Q112" s="131"/>
      <c r="R112" s="131"/>
      <c r="S112" s="131"/>
      <c r="T112" s="131"/>
      <c r="U112" s="131"/>
      <c r="V112" s="131"/>
      <c r="W112" s="131"/>
      <c r="X112" s="131"/>
      <c r="Y112" s="131"/>
      <c r="Z112" s="142"/>
      <c r="AA112" s="142"/>
      <c r="AB112" s="142"/>
      <c r="AC112" s="142"/>
      <c r="AD112" s="142"/>
      <c r="AE112" s="142"/>
      <c r="AF112" s="142"/>
      <c r="AG112" s="142"/>
      <c r="AH112" s="142"/>
      <c r="AI112" s="142"/>
      <c r="AJ112" s="142"/>
      <c r="AK112" s="142"/>
      <c r="AL112" s="142"/>
      <c r="AM112" s="142"/>
      <c r="AN112" s="142"/>
      <c r="AO112" s="131"/>
    </row>
    <row r="113" ht="13.5" customHeight="1">
      <c r="A113" s="142"/>
      <c r="B113" s="142"/>
      <c r="C113" s="142"/>
      <c r="D113" s="142"/>
      <c r="E113" s="308"/>
      <c r="F113" s="131"/>
      <c r="G113" s="131"/>
      <c r="H113" s="131"/>
      <c r="I113" s="219"/>
      <c r="J113" s="198"/>
      <c r="K113" s="131"/>
      <c r="L113" s="131"/>
      <c r="M113" s="131"/>
      <c r="N113" s="131"/>
      <c r="O113" s="131"/>
      <c r="P113" s="131"/>
      <c r="Q113" s="131"/>
      <c r="R113" s="131"/>
      <c r="S113" s="131"/>
      <c r="T113" s="131"/>
      <c r="U113" s="131"/>
      <c r="V113" s="131"/>
      <c r="W113" s="131"/>
      <c r="X113" s="131"/>
      <c r="Y113" s="131"/>
      <c r="Z113" s="142"/>
      <c r="AA113" s="142"/>
      <c r="AB113" s="142"/>
      <c r="AC113" s="142"/>
      <c r="AD113" s="142"/>
      <c r="AE113" s="142"/>
      <c r="AF113" s="142"/>
      <c r="AG113" s="142"/>
      <c r="AH113" s="142"/>
      <c r="AI113" s="142"/>
      <c r="AJ113" s="142"/>
      <c r="AK113" s="142"/>
      <c r="AL113" s="142"/>
      <c r="AM113" s="142"/>
      <c r="AN113" s="142"/>
      <c r="AO113" s="131"/>
    </row>
    <row r="114" ht="13.5" customHeight="1">
      <c r="A114" s="142"/>
      <c r="B114" s="142"/>
      <c r="C114" s="142"/>
      <c r="D114" s="142"/>
      <c r="E114" s="308"/>
      <c r="F114" s="131"/>
      <c r="G114" s="131"/>
      <c r="H114" s="131"/>
      <c r="I114" s="219"/>
      <c r="J114" s="198"/>
      <c r="K114" s="131"/>
      <c r="L114" s="131"/>
      <c r="M114" s="131"/>
      <c r="N114" s="131"/>
      <c r="O114" s="131"/>
      <c r="P114" s="131"/>
      <c r="Q114" s="131"/>
      <c r="R114" s="131"/>
      <c r="S114" s="131"/>
      <c r="T114" s="131"/>
      <c r="U114" s="131"/>
      <c r="V114" s="131"/>
      <c r="W114" s="131"/>
      <c r="X114" s="131"/>
      <c r="Y114" s="131"/>
      <c r="Z114" s="142"/>
      <c r="AA114" s="142"/>
      <c r="AB114" s="142"/>
      <c r="AC114" s="142"/>
      <c r="AD114" s="142"/>
      <c r="AE114" s="142"/>
      <c r="AF114" s="142"/>
      <c r="AG114" s="142"/>
      <c r="AH114" s="142"/>
      <c r="AI114" s="142"/>
      <c r="AJ114" s="142"/>
      <c r="AK114" s="142"/>
      <c r="AL114" s="142"/>
      <c r="AM114" s="142"/>
      <c r="AN114" s="142"/>
      <c r="AO114" s="131"/>
    </row>
    <row r="115" ht="13.5" customHeight="1">
      <c r="A115" s="142"/>
      <c r="B115" s="142"/>
      <c r="C115" s="142"/>
      <c r="D115" s="142"/>
      <c r="E115" s="308"/>
      <c r="F115" s="131"/>
      <c r="G115" s="131"/>
      <c r="H115" s="131"/>
      <c r="I115" s="219"/>
      <c r="J115" s="198"/>
      <c r="K115" s="131"/>
      <c r="L115" s="131"/>
      <c r="M115" s="131"/>
      <c r="N115" s="131"/>
      <c r="O115" s="131"/>
      <c r="P115" s="131"/>
      <c r="Q115" s="131"/>
      <c r="R115" s="131"/>
      <c r="S115" s="131"/>
      <c r="T115" s="131"/>
      <c r="U115" s="131"/>
      <c r="V115" s="131"/>
      <c r="W115" s="131"/>
      <c r="X115" s="131"/>
      <c r="Y115" s="131"/>
      <c r="Z115" s="142"/>
      <c r="AA115" s="142"/>
      <c r="AB115" s="142"/>
      <c r="AC115" s="142"/>
      <c r="AD115" s="142"/>
      <c r="AE115" s="142"/>
      <c r="AF115" s="142"/>
      <c r="AG115" s="142"/>
      <c r="AH115" s="142"/>
      <c r="AI115" s="142"/>
      <c r="AJ115" s="142"/>
      <c r="AK115" s="142"/>
      <c r="AL115" s="142"/>
      <c r="AM115" s="142"/>
      <c r="AN115" s="142"/>
      <c r="AO115" s="131"/>
    </row>
    <row r="116" ht="13.5" customHeight="1">
      <c r="A116" s="142"/>
      <c r="B116" s="142"/>
      <c r="C116" s="142"/>
      <c r="D116" s="142"/>
      <c r="E116" s="308"/>
      <c r="F116" s="131"/>
      <c r="G116" s="131"/>
      <c r="H116" s="131"/>
      <c r="I116" s="219"/>
      <c r="J116" s="198"/>
      <c r="K116" s="131"/>
      <c r="L116" s="131"/>
      <c r="M116" s="131"/>
      <c r="N116" s="131"/>
      <c r="O116" s="131"/>
      <c r="P116" s="131"/>
      <c r="Q116" s="131"/>
      <c r="R116" s="131"/>
      <c r="S116" s="131"/>
      <c r="T116" s="131"/>
      <c r="U116" s="131"/>
      <c r="V116" s="131"/>
      <c r="W116" s="131"/>
      <c r="X116" s="131"/>
      <c r="Y116" s="131"/>
      <c r="Z116" s="142"/>
      <c r="AA116" s="142"/>
      <c r="AB116" s="142"/>
      <c r="AC116" s="142"/>
      <c r="AD116" s="142"/>
      <c r="AE116" s="142"/>
      <c r="AF116" s="142"/>
      <c r="AG116" s="142"/>
      <c r="AH116" s="142"/>
      <c r="AI116" s="142"/>
      <c r="AJ116" s="142"/>
      <c r="AK116" s="142"/>
      <c r="AL116" s="142"/>
      <c r="AM116" s="142"/>
      <c r="AN116" s="142"/>
      <c r="AO116" s="131"/>
    </row>
    <row r="117" ht="13.5" customHeight="1">
      <c r="A117" s="142"/>
      <c r="B117" s="142"/>
      <c r="C117" s="142"/>
      <c r="D117" s="142"/>
      <c r="E117" s="308"/>
      <c r="F117" s="131"/>
      <c r="G117" s="131"/>
      <c r="H117" s="131"/>
      <c r="I117" s="219"/>
      <c r="J117" s="198"/>
      <c r="K117" s="131"/>
      <c r="L117" s="131"/>
      <c r="M117" s="131"/>
      <c r="N117" s="131"/>
      <c r="O117" s="131"/>
      <c r="P117" s="131"/>
      <c r="Q117" s="131"/>
      <c r="R117" s="131"/>
      <c r="S117" s="131"/>
      <c r="T117" s="131"/>
      <c r="U117" s="131"/>
      <c r="V117" s="131"/>
      <c r="W117" s="131"/>
      <c r="X117" s="131"/>
      <c r="Y117" s="131"/>
      <c r="Z117" s="142"/>
      <c r="AA117" s="142"/>
      <c r="AB117" s="142"/>
      <c r="AC117" s="142"/>
      <c r="AD117" s="142"/>
      <c r="AE117" s="142"/>
      <c r="AF117" s="142"/>
      <c r="AG117" s="142"/>
      <c r="AH117" s="142"/>
      <c r="AI117" s="142"/>
      <c r="AJ117" s="142"/>
      <c r="AK117" s="142"/>
      <c r="AL117" s="142"/>
      <c r="AM117" s="142"/>
      <c r="AN117" s="142"/>
      <c r="AO117" s="131"/>
    </row>
    <row r="118" ht="13.5" customHeight="1">
      <c r="A118" s="142"/>
      <c r="B118" s="142"/>
      <c r="C118" s="142"/>
      <c r="D118" s="142"/>
      <c r="E118" s="308"/>
      <c r="F118" s="131"/>
      <c r="G118" s="131"/>
      <c r="H118" s="131"/>
      <c r="I118" s="219"/>
      <c r="J118" s="198"/>
      <c r="K118" s="131"/>
      <c r="L118" s="131"/>
      <c r="M118" s="131"/>
      <c r="N118" s="131"/>
      <c r="O118" s="131"/>
      <c r="P118" s="131"/>
      <c r="Q118" s="131"/>
      <c r="R118" s="131"/>
      <c r="S118" s="131"/>
      <c r="T118" s="131"/>
      <c r="U118" s="131"/>
      <c r="V118" s="131"/>
      <c r="W118" s="131"/>
      <c r="X118" s="131"/>
      <c r="Y118" s="131"/>
      <c r="Z118" s="142"/>
      <c r="AA118" s="142"/>
      <c r="AB118" s="142"/>
      <c r="AC118" s="142"/>
      <c r="AD118" s="142"/>
      <c r="AE118" s="142"/>
      <c r="AF118" s="142"/>
      <c r="AG118" s="142"/>
      <c r="AH118" s="142"/>
      <c r="AI118" s="142"/>
      <c r="AJ118" s="142"/>
      <c r="AK118" s="142"/>
      <c r="AL118" s="142"/>
      <c r="AM118" s="142"/>
      <c r="AN118" s="142"/>
      <c r="AO118" s="131"/>
    </row>
    <row r="119" ht="13.5" customHeight="1">
      <c r="A119" s="142"/>
      <c r="B119" s="142"/>
      <c r="C119" s="142"/>
      <c r="D119" s="142"/>
      <c r="E119" s="308"/>
      <c r="F119" s="131"/>
      <c r="G119" s="131"/>
      <c r="H119" s="131"/>
      <c r="I119" s="219"/>
      <c r="J119" s="198"/>
      <c r="K119" s="131"/>
      <c r="L119" s="131"/>
      <c r="M119" s="131"/>
      <c r="N119" s="131"/>
      <c r="O119" s="131"/>
      <c r="P119" s="131"/>
      <c r="Q119" s="131"/>
      <c r="R119" s="131"/>
      <c r="S119" s="131"/>
      <c r="T119" s="131"/>
      <c r="U119" s="131"/>
      <c r="V119" s="131"/>
      <c r="W119" s="131"/>
      <c r="X119" s="131"/>
      <c r="Y119" s="131"/>
      <c r="Z119" s="142"/>
      <c r="AA119" s="142"/>
      <c r="AB119" s="142"/>
      <c r="AC119" s="142"/>
      <c r="AD119" s="142"/>
      <c r="AE119" s="142"/>
      <c r="AF119" s="142"/>
      <c r="AG119" s="142"/>
      <c r="AH119" s="142"/>
      <c r="AI119" s="142"/>
      <c r="AJ119" s="142"/>
      <c r="AK119" s="142"/>
      <c r="AL119" s="142"/>
      <c r="AM119" s="142"/>
      <c r="AN119" s="142"/>
      <c r="AO119" s="131"/>
    </row>
    <row r="120" ht="13.5" customHeight="1">
      <c r="A120" s="142"/>
      <c r="B120" s="142"/>
      <c r="C120" s="142"/>
      <c r="D120" s="142"/>
      <c r="E120" s="308"/>
      <c r="F120" s="131"/>
      <c r="G120" s="131"/>
      <c r="H120" s="131"/>
      <c r="I120" s="219"/>
      <c r="J120" s="198"/>
      <c r="K120" s="131"/>
      <c r="L120" s="131"/>
      <c r="M120" s="131"/>
      <c r="N120" s="131"/>
      <c r="O120" s="131"/>
      <c r="P120" s="131"/>
      <c r="Q120" s="131"/>
      <c r="R120" s="131"/>
      <c r="S120" s="131"/>
      <c r="T120" s="131"/>
      <c r="U120" s="131"/>
      <c r="V120" s="131"/>
      <c r="W120" s="131"/>
      <c r="X120" s="131"/>
      <c r="Y120" s="131"/>
      <c r="Z120" s="142"/>
      <c r="AA120" s="142"/>
      <c r="AB120" s="142"/>
      <c r="AC120" s="142"/>
      <c r="AD120" s="142"/>
      <c r="AE120" s="142"/>
      <c r="AF120" s="142"/>
      <c r="AG120" s="142"/>
      <c r="AH120" s="142"/>
      <c r="AI120" s="142"/>
      <c r="AJ120" s="142"/>
      <c r="AK120" s="142"/>
      <c r="AL120" s="142"/>
      <c r="AM120" s="142"/>
      <c r="AN120" s="142"/>
      <c r="AO120" s="131"/>
    </row>
    <row r="121" ht="13.5" customHeight="1">
      <c r="A121" s="142"/>
      <c r="B121" s="142"/>
      <c r="C121" s="142"/>
      <c r="D121" s="142"/>
      <c r="E121" s="308"/>
      <c r="F121" s="131"/>
      <c r="G121" s="131"/>
      <c r="H121" s="131"/>
      <c r="I121" s="219"/>
      <c r="J121" s="198"/>
      <c r="K121" s="131"/>
      <c r="L121" s="131"/>
      <c r="M121" s="131"/>
      <c r="N121" s="131"/>
      <c r="O121" s="131"/>
      <c r="P121" s="131"/>
      <c r="Q121" s="131"/>
      <c r="R121" s="131"/>
      <c r="S121" s="131"/>
      <c r="T121" s="131"/>
      <c r="U121" s="131"/>
      <c r="V121" s="131"/>
      <c r="W121" s="131"/>
      <c r="X121" s="131"/>
      <c r="Y121" s="131"/>
      <c r="Z121" s="142"/>
      <c r="AA121" s="142"/>
      <c r="AB121" s="142"/>
      <c r="AC121" s="142"/>
      <c r="AD121" s="142"/>
      <c r="AE121" s="142"/>
      <c r="AF121" s="142"/>
      <c r="AG121" s="142"/>
      <c r="AH121" s="142"/>
      <c r="AI121" s="142"/>
      <c r="AJ121" s="142"/>
      <c r="AK121" s="142"/>
      <c r="AL121" s="142"/>
      <c r="AM121" s="142"/>
      <c r="AN121" s="142"/>
      <c r="AO121" s="131"/>
    </row>
    <row r="122" ht="13.5" customHeight="1">
      <c r="A122" s="142"/>
      <c r="B122" s="142"/>
      <c r="C122" s="142"/>
      <c r="D122" s="142"/>
      <c r="E122" s="308"/>
      <c r="F122" s="131"/>
      <c r="G122" s="131"/>
      <c r="H122" s="131"/>
      <c r="I122" s="219"/>
      <c r="J122" s="198"/>
      <c r="K122" s="131"/>
      <c r="L122" s="131"/>
      <c r="M122" s="131"/>
      <c r="N122" s="131"/>
      <c r="O122" s="131"/>
      <c r="P122" s="131"/>
      <c r="Q122" s="131"/>
      <c r="R122" s="131"/>
      <c r="S122" s="131"/>
      <c r="T122" s="131"/>
      <c r="U122" s="131"/>
      <c r="V122" s="131"/>
      <c r="W122" s="131"/>
      <c r="X122" s="131"/>
      <c r="Y122" s="131"/>
      <c r="Z122" s="142"/>
      <c r="AA122" s="142"/>
      <c r="AB122" s="142"/>
      <c r="AC122" s="142"/>
      <c r="AD122" s="142"/>
      <c r="AE122" s="142"/>
      <c r="AF122" s="142"/>
      <c r="AG122" s="142"/>
      <c r="AH122" s="142"/>
      <c r="AI122" s="142"/>
      <c r="AJ122" s="142"/>
      <c r="AK122" s="142"/>
      <c r="AL122" s="142"/>
      <c r="AM122" s="142"/>
      <c r="AN122" s="142"/>
      <c r="AO122" s="131"/>
    </row>
    <row r="123" ht="13.5" customHeight="1">
      <c r="A123" s="142"/>
      <c r="B123" s="142"/>
      <c r="C123" s="142"/>
      <c r="D123" s="142"/>
      <c r="E123" s="308"/>
      <c r="F123" s="131"/>
      <c r="G123" s="131"/>
      <c r="H123" s="131"/>
      <c r="I123" s="219"/>
      <c r="J123" s="198"/>
      <c r="K123" s="131"/>
      <c r="L123" s="131"/>
      <c r="M123" s="131"/>
      <c r="N123" s="131"/>
      <c r="O123" s="131"/>
      <c r="P123" s="131"/>
      <c r="Q123" s="131"/>
      <c r="R123" s="131"/>
      <c r="S123" s="131"/>
      <c r="T123" s="131"/>
      <c r="U123" s="131"/>
      <c r="V123" s="131"/>
      <c r="W123" s="131"/>
      <c r="X123" s="131"/>
      <c r="Y123" s="131"/>
      <c r="Z123" s="142"/>
      <c r="AA123" s="142"/>
      <c r="AB123" s="142"/>
      <c r="AC123" s="142"/>
      <c r="AD123" s="142"/>
      <c r="AE123" s="142"/>
      <c r="AF123" s="142"/>
      <c r="AG123" s="142"/>
      <c r="AH123" s="142"/>
      <c r="AI123" s="142"/>
      <c r="AJ123" s="142"/>
      <c r="AK123" s="142"/>
      <c r="AL123" s="142"/>
      <c r="AM123" s="142"/>
      <c r="AN123" s="142"/>
      <c r="AO123" s="131"/>
    </row>
    <row r="124" ht="13.5" customHeight="1">
      <c r="A124" s="142"/>
      <c r="B124" s="142"/>
      <c r="C124" s="142"/>
      <c r="D124" s="142"/>
      <c r="E124" s="308"/>
      <c r="F124" s="131"/>
      <c r="G124" s="131"/>
      <c r="H124" s="131"/>
      <c r="I124" s="219"/>
      <c r="J124" s="198"/>
      <c r="K124" s="131"/>
      <c r="L124" s="131"/>
      <c r="M124" s="131"/>
      <c r="N124" s="131"/>
      <c r="O124" s="131"/>
      <c r="P124" s="131"/>
      <c r="Q124" s="131"/>
      <c r="R124" s="131"/>
      <c r="S124" s="131"/>
      <c r="T124" s="131"/>
      <c r="U124" s="131"/>
      <c r="V124" s="131"/>
      <c r="W124" s="131"/>
      <c r="X124" s="131"/>
      <c r="Y124" s="131"/>
      <c r="Z124" s="142"/>
      <c r="AA124" s="142"/>
      <c r="AB124" s="142"/>
      <c r="AC124" s="142"/>
      <c r="AD124" s="142"/>
      <c r="AE124" s="142"/>
      <c r="AF124" s="142"/>
      <c r="AG124" s="142"/>
      <c r="AH124" s="142"/>
      <c r="AI124" s="142"/>
      <c r="AJ124" s="142"/>
      <c r="AK124" s="142"/>
      <c r="AL124" s="142"/>
      <c r="AM124" s="142"/>
      <c r="AN124" s="142"/>
      <c r="AO124" s="131"/>
    </row>
    <row r="125" ht="13.5" customHeight="1">
      <c r="A125" s="142"/>
      <c r="B125" s="142"/>
      <c r="C125" s="142"/>
      <c r="D125" s="142"/>
      <c r="E125" s="308"/>
      <c r="F125" s="131"/>
      <c r="G125" s="131"/>
      <c r="H125" s="131"/>
      <c r="I125" s="219"/>
      <c r="J125" s="198"/>
      <c r="K125" s="131"/>
      <c r="L125" s="131"/>
      <c r="M125" s="131"/>
      <c r="N125" s="131"/>
      <c r="O125" s="131"/>
      <c r="P125" s="131"/>
      <c r="Q125" s="131"/>
      <c r="R125" s="131"/>
      <c r="S125" s="131"/>
      <c r="T125" s="131"/>
      <c r="U125" s="131"/>
      <c r="V125" s="131"/>
      <c r="W125" s="131"/>
      <c r="X125" s="131"/>
      <c r="Y125" s="131"/>
      <c r="Z125" s="142"/>
      <c r="AA125" s="142"/>
      <c r="AB125" s="142"/>
      <c r="AC125" s="142"/>
      <c r="AD125" s="142"/>
      <c r="AE125" s="142"/>
      <c r="AF125" s="142"/>
      <c r="AG125" s="142"/>
      <c r="AH125" s="142"/>
      <c r="AI125" s="142"/>
      <c r="AJ125" s="142"/>
      <c r="AK125" s="142"/>
      <c r="AL125" s="142"/>
      <c r="AM125" s="142"/>
      <c r="AN125" s="142"/>
      <c r="AO125" s="131"/>
    </row>
    <row r="126" ht="13.5" customHeight="1">
      <c r="A126" s="142"/>
      <c r="B126" s="142"/>
      <c r="C126" s="142"/>
      <c r="D126" s="142"/>
      <c r="E126" s="308"/>
      <c r="F126" s="131"/>
      <c r="G126" s="131"/>
      <c r="H126" s="131"/>
      <c r="I126" s="219"/>
      <c r="J126" s="198"/>
      <c r="K126" s="131"/>
      <c r="L126" s="131"/>
      <c r="M126" s="131"/>
      <c r="N126" s="131"/>
      <c r="O126" s="131"/>
      <c r="P126" s="131"/>
      <c r="Q126" s="131"/>
      <c r="R126" s="131"/>
      <c r="S126" s="131"/>
      <c r="T126" s="131"/>
      <c r="U126" s="131"/>
      <c r="V126" s="131"/>
      <c r="W126" s="131"/>
      <c r="X126" s="131"/>
      <c r="Y126" s="131"/>
      <c r="Z126" s="142"/>
      <c r="AA126" s="142"/>
      <c r="AB126" s="142"/>
      <c r="AC126" s="142"/>
      <c r="AD126" s="142"/>
      <c r="AE126" s="142"/>
      <c r="AF126" s="142"/>
      <c r="AG126" s="142"/>
      <c r="AH126" s="142"/>
      <c r="AI126" s="142"/>
      <c r="AJ126" s="142"/>
      <c r="AK126" s="142"/>
      <c r="AL126" s="142"/>
      <c r="AM126" s="142"/>
      <c r="AN126" s="142"/>
      <c r="AO126" s="131"/>
    </row>
    <row r="127" ht="13.5" customHeight="1">
      <c r="A127" s="142"/>
      <c r="B127" s="142"/>
      <c r="C127" s="142"/>
      <c r="D127" s="142"/>
      <c r="E127" s="308"/>
      <c r="F127" s="131"/>
      <c r="G127" s="131"/>
      <c r="H127" s="131"/>
      <c r="I127" s="219"/>
      <c r="J127" s="198"/>
      <c r="K127" s="131"/>
      <c r="L127" s="131"/>
      <c r="M127" s="131"/>
      <c r="N127" s="131"/>
      <c r="O127" s="131"/>
      <c r="P127" s="131"/>
      <c r="Q127" s="131"/>
      <c r="R127" s="131"/>
      <c r="S127" s="131"/>
      <c r="T127" s="131"/>
      <c r="U127" s="131"/>
      <c r="V127" s="131"/>
      <c r="W127" s="131"/>
      <c r="X127" s="131"/>
      <c r="Y127" s="131"/>
      <c r="Z127" s="142"/>
      <c r="AA127" s="142"/>
      <c r="AB127" s="142"/>
      <c r="AC127" s="142"/>
      <c r="AD127" s="142"/>
      <c r="AE127" s="142"/>
      <c r="AF127" s="142"/>
      <c r="AG127" s="142"/>
      <c r="AH127" s="142"/>
      <c r="AI127" s="142"/>
      <c r="AJ127" s="142"/>
      <c r="AK127" s="142"/>
      <c r="AL127" s="142"/>
      <c r="AM127" s="142"/>
      <c r="AN127" s="142"/>
      <c r="AO127" s="131"/>
    </row>
    <row r="128" ht="13.5" customHeight="1">
      <c r="A128" s="142"/>
      <c r="B128" s="142"/>
      <c r="C128" s="142"/>
      <c r="D128" s="142"/>
      <c r="E128" s="308"/>
      <c r="F128" s="131"/>
      <c r="G128" s="131"/>
      <c r="H128" s="131"/>
      <c r="I128" s="219"/>
      <c r="J128" s="198"/>
      <c r="K128" s="131"/>
      <c r="L128" s="131"/>
      <c r="M128" s="131"/>
      <c r="N128" s="131"/>
      <c r="O128" s="131"/>
      <c r="P128" s="131"/>
      <c r="Q128" s="131"/>
      <c r="R128" s="131"/>
      <c r="S128" s="131"/>
      <c r="T128" s="131"/>
      <c r="U128" s="131"/>
      <c r="V128" s="131"/>
      <c r="W128" s="131"/>
      <c r="X128" s="131"/>
      <c r="Y128" s="131"/>
      <c r="Z128" s="142"/>
      <c r="AA128" s="142"/>
      <c r="AB128" s="142"/>
      <c r="AC128" s="142"/>
      <c r="AD128" s="142"/>
      <c r="AE128" s="142"/>
      <c r="AF128" s="142"/>
      <c r="AG128" s="142"/>
      <c r="AH128" s="142"/>
      <c r="AI128" s="142"/>
      <c r="AJ128" s="142"/>
      <c r="AK128" s="142"/>
      <c r="AL128" s="142"/>
      <c r="AM128" s="142"/>
      <c r="AN128" s="142"/>
      <c r="AO128" s="131"/>
    </row>
    <row r="129" ht="13.5" customHeight="1">
      <c r="A129" s="142"/>
      <c r="B129" s="142"/>
      <c r="C129" s="142"/>
      <c r="D129" s="142"/>
      <c r="E129" s="308"/>
      <c r="F129" s="131"/>
      <c r="G129" s="131"/>
      <c r="H129" s="131"/>
      <c r="I129" s="219"/>
      <c r="J129" s="198"/>
      <c r="K129" s="131"/>
      <c r="L129" s="131"/>
      <c r="M129" s="131"/>
      <c r="N129" s="131"/>
      <c r="O129" s="131"/>
      <c r="P129" s="131"/>
      <c r="Q129" s="131"/>
      <c r="R129" s="131"/>
      <c r="S129" s="131"/>
      <c r="T129" s="131"/>
      <c r="U129" s="131"/>
      <c r="V129" s="131"/>
      <c r="W129" s="131"/>
      <c r="X129" s="131"/>
      <c r="Y129" s="131"/>
      <c r="Z129" s="142"/>
      <c r="AA129" s="142"/>
      <c r="AB129" s="142"/>
      <c r="AC129" s="142"/>
      <c r="AD129" s="142"/>
      <c r="AE129" s="142"/>
      <c r="AF129" s="142"/>
      <c r="AG129" s="142"/>
      <c r="AH129" s="142"/>
      <c r="AI129" s="142"/>
      <c r="AJ129" s="142"/>
      <c r="AK129" s="142"/>
      <c r="AL129" s="142"/>
      <c r="AM129" s="142"/>
      <c r="AN129" s="142"/>
      <c r="AO129" s="131"/>
    </row>
    <row r="130" ht="13.5" customHeight="1">
      <c r="A130" s="142"/>
      <c r="B130" s="142"/>
      <c r="C130" s="142"/>
      <c r="D130" s="142"/>
      <c r="E130" s="308"/>
      <c r="F130" s="131"/>
      <c r="G130" s="131"/>
      <c r="H130" s="131"/>
      <c r="I130" s="219"/>
      <c r="J130" s="198"/>
      <c r="K130" s="131"/>
      <c r="L130" s="131"/>
      <c r="M130" s="131"/>
      <c r="N130" s="131"/>
      <c r="O130" s="131"/>
      <c r="P130" s="131"/>
      <c r="Q130" s="131"/>
      <c r="R130" s="131"/>
      <c r="S130" s="131"/>
      <c r="T130" s="131"/>
      <c r="U130" s="131"/>
      <c r="V130" s="131"/>
      <c r="W130" s="131"/>
      <c r="X130" s="131"/>
      <c r="Y130" s="131"/>
      <c r="Z130" s="142"/>
      <c r="AA130" s="142"/>
      <c r="AB130" s="142"/>
      <c r="AC130" s="142"/>
      <c r="AD130" s="142"/>
      <c r="AE130" s="142"/>
      <c r="AF130" s="142"/>
      <c r="AG130" s="142"/>
      <c r="AH130" s="142"/>
      <c r="AI130" s="142"/>
      <c r="AJ130" s="142"/>
      <c r="AK130" s="142"/>
      <c r="AL130" s="142"/>
      <c r="AM130" s="142"/>
      <c r="AN130" s="142"/>
      <c r="AO130" s="131"/>
    </row>
    <row r="131" ht="13.5" customHeight="1">
      <c r="A131" s="142"/>
      <c r="B131" s="142"/>
      <c r="C131" s="142"/>
      <c r="D131" s="142"/>
      <c r="E131" s="308"/>
      <c r="F131" s="131"/>
      <c r="G131" s="131"/>
      <c r="H131" s="131"/>
      <c r="I131" s="219"/>
      <c r="J131" s="198"/>
      <c r="K131" s="131"/>
      <c r="L131" s="131"/>
      <c r="M131" s="131"/>
      <c r="N131" s="131"/>
      <c r="O131" s="131"/>
      <c r="P131" s="131"/>
      <c r="Q131" s="131"/>
      <c r="R131" s="131"/>
      <c r="S131" s="131"/>
      <c r="T131" s="131"/>
      <c r="U131" s="131"/>
      <c r="V131" s="131"/>
      <c r="W131" s="131"/>
      <c r="X131" s="131"/>
      <c r="Y131" s="131"/>
      <c r="Z131" s="142"/>
      <c r="AA131" s="142"/>
      <c r="AB131" s="142"/>
      <c r="AC131" s="142"/>
      <c r="AD131" s="142"/>
      <c r="AE131" s="142"/>
      <c r="AF131" s="142"/>
      <c r="AG131" s="142"/>
      <c r="AH131" s="142"/>
      <c r="AI131" s="142"/>
      <c r="AJ131" s="142"/>
      <c r="AK131" s="142"/>
      <c r="AL131" s="142"/>
      <c r="AM131" s="142"/>
      <c r="AN131" s="142"/>
      <c r="AO131" s="131"/>
    </row>
    <row r="132" ht="13.5" customHeight="1">
      <c r="A132" s="142"/>
      <c r="B132" s="142"/>
      <c r="C132" s="142"/>
      <c r="D132" s="142"/>
      <c r="E132" s="308"/>
      <c r="F132" s="131"/>
      <c r="G132" s="131"/>
      <c r="H132" s="131"/>
      <c r="I132" s="219"/>
      <c r="J132" s="198"/>
      <c r="K132" s="131"/>
      <c r="L132" s="131"/>
      <c r="M132" s="131"/>
      <c r="N132" s="131"/>
      <c r="O132" s="131"/>
      <c r="P132" s="131"/>
      <c r="Q132" s="131"/>
      <c r="R132" s="131"/>
      <c r="S132" s="131"/>
      <c r="T132" s="131"/>
      <c r="U132" s="131"/>
      <c r="V132" s="131"/>
      <c r="W132" s="131"/>
      <c r="X132" s="131"/>
      <c r="Y132" s="131"/>
      <c r="Z132" s="142"/>
      <c r="AA132" s="142"/>
      <c r="AB132" s="142"/>
      <c r="AC132" s="142"/>
      <c r="AD132" s="142"/>
      <c r="AE132" s="142"/>
      <c r="AF132" s="142"/>
      <c r="AG132" s="142"/>
      <c r="AH132" s="142"/>
      <c r="AI132" s="142"/>
      <c r="AJ132" s="142"/>
      <c r="AK132" s="142"/>
      <c r="AL132" s="142"/>
      <c r="AM132" s="142"/>
      <c r="AN132" s="142"/>
      <c r="AO132" s="131"/>
    </row>
    <row r="133" ht="13.5" customHeight="1">
      <c r="A133" s="142"/>
      <c r="B133" s="142"/>
      <c r="C133" s="142"/>
      <c r="D133" s="142"/>
      <c r="E133" s="308"/>
      <c r="F133" s="131"/>
      <c r="G133" s="131"/>
      <c r="H133" s="131"/>
      <c r="I133" s="219"/>
      <c r="J133" s="198"/>
      <c r="K133" s="131"/>
      <c r="L133" s="131"/>
      <c r="M133" s="131"/>
      <c r="N133" s="131"/>
      <c r="O133" s="131"/>
      <c r="P133" s="131"/>
      <c r="Q133" s="131"/>
      <c r="R133" s="131"/>
      <c r="S133" s="131"/>
      <c r="T133" s="131"/>
      <c r="U133" s="131"/>
      <c r="V133" s="131"/>
      <c r="W133" s="131"/>
      <c r="X133" s="131"/>
      <c r="Y133" s="131"/>
      <c r="Z133" s="142"/>
      <c r="AA133" s="142"/>
      <c r="AB133" s="142"/>
      <c r="AC133" s="142"/>
      <c r="AD133" s="142"/>
      <c r="AE133" s="142"/>
      <c r="AF133" s="142"/>
      <c r="AG133" s="142"/>
      <c r="AH133" s="142"/>
      <c r="AI133" s="142"/>
      <c r="AJ133" s="142"/>
      <c r="AK133" s="142"/>
      <c r="AL133" s="142"/>
      <c r="AM133" s="142"/>
      <c r="AN133" s="142"/>
      <c r="AO133" s="131"/>
    </row>
    <row r="134" ht="13.5" customHeight="1">
      <c r="A134" s="142"/>
      <c r="B134" s="142"/>
      <c r="C134" s="142"/>
      <c r="D134" s="142"/>
      <c r="E134" s="308"/>
      <c r="F134" s="131"/>
      <c r="G134" s="131"/>
      <c r="H134" s="131"/>
      <c r="I134" s="219"/>
      <c r="J134" s="198"/>
      <c r="K134" s="131"/>
      <c r="L134" s="131"/>
      <c r="M134" s="131"/>
      <c r="N134" s="131"/>
      <c r="O134" s="131"/>
      <c r="P134" s="131"/>
      <c r="Q134" s="131"/>
      <c r="R134" s="131"/>
      <c r="S134" s="131"/>
      <c r="T134" s="131"/>
      <c r="U134" s="131"/>
      <c r="V134" s="131"/>
      <c r="W134" s="131"/>
      <c r="X134" s="131"/>
      <c r="Y134" s="131"/>
      <c r="Z134" s="142"/>
      <c r="AA134" s="142"/>
      <c r="AB134" s="142"/>
      <c r="AC134" s="142"/>
      <c r="AD134" s="142"/>
      <c r="AE134" s="142"/>
      <c r="AF134" s="142"/>
      <c r="AG134" s="142"/>
      <c r="AH134" s="142"/>
      <c r="AI134" s="142"/>
      <c r="AJ134" s="142"/>
      <c r="AK134" s="142"/>
      <c r="AL134" s="142"/>
      <c r="AM134" s="142"/>
      <c r="AN134" s="142"/>
      <c r="AO134" s="131"/>
    </row>
    <row r="135" ht="13.5" customHeight="1">
      <c r="A135" s="142"/>
      <c r="B135" s="142"/>
      <c r="C135" s="142"/>
      <c r="D135" s="142"/>
      <c r="E135" s="308"/>
      <c r="F135" s="131"/>
      <c r="G135" s="131"/>
      <c r="H135" s="131"/>
      <c r="I135" s="219"/>
      <c r="J135" s="198"/>
      <c r="K135" s="131"/>
      <c r="L135" s="131"/>
      <c r="M135" s="131"/>
      <c r="N135" s="131"/>
      <c r="O135" s="131"/>
      <c r="P135" s="131"/>
      <c r="Q135" s="131"/>
      <c r="R135" s="131"/>
      <c r="S135" s="131"/>
      <c r="T135" s="131"/>
      <c r="U135" s="131"/>
      <c r="V135" s="131"/>
      <c r="W135" s="131"/>
      <c r="X135" s="131"/>
      <c r="Y135" s="131"/>
      <c r="Z135" s="142"/>
      <c r="AA135" s="142"/>
      <c r="AB135" s="142"/>
      <c r="AC135" s="142"/>
      <c r="AD135" s="142"/>
      <c r="AE135" s="142"/>
      <c r="AF135" s="142"/>
      <c r="AG135" s="142"/>
      <c r="AH135" s="142"/>
      <c r="AI135" s="142"/>
      <c r="AJ135" s="142"/>
      <c r="AK135" s="142"/>
      <c r="AL135" s="142"/>
      <c r="AM135" s="142"/>
      <c r="AN135" s="142"/>
      <c r="AO135" s="131"/>
    </row>
    <row r="136" ht="13.5" customHeight="1">
      <c r="A136" s="142"/>
      <c r="B136" s="142"/>
      <c r="C136" s="142"/>
      <c r="D136" s="142"/>
      <c r="E136" s="308"/>
      <c r="F136" s="131"/>
      <c r="G136" s="131"/>
      <c r="H136" s="131"/>
      <c r="I136" s="219"/>
      <c r="J136" s="198"/>
      <c r="K136" s="131"/>
      <c r="L136" s="131"/>
      <c r="M136" s="131"/>
      <c r="N136" s="131"/>
      <c r="O136" s="131"/>
      <c r="P136" s="131"/>
      <c r="Q136" s="131"/>
      <c r="R136" s="131"/>
      <c r="S136" s="131"/>
      <c r="T136" s="131"/>
      <c r="U136" s="131"/>
      <c r="V136" s="131"/>
      <c r="W136" s="131"/>
      <c r="X136" s="131"/>
      <c r="Y136" s="131"/>
      <c r="Z136" s="142"/>
      <c r="AA136" s="142"/>
      <c r="AB136" s="142"/>
      <c r="AC136" s="142"/>
      <c r="AD136" s="142"/>
      <c r="AE136" s="142"/>
      <c r="AF136" s="142"/>
      <c r="AG136" s="142"/>
      <c r="AH136" s="142"/>
      <c r="AI136" s="142"/>
      <c r="AJ136" s="142"/>
      <c r="AK136" s="142"/>
      <c r="AL136" s="142"/>
      <c r="AM136" s="142"/>
      <c r="AN136" s="142"/>
      <c r="AO136" s="131"/>
    </row>
    <row r="137" ht="13.5" customHeight="1">
      <c r="A137" s="142"/>
      <c r="B137" s="142"/>
      <c r="C137" s="142"/>
      <c r="D137" s="142"/>
      <c r="E137" s="308"/>
      <c r="F137" s="131"/>
      <c r="G137" s="131"/>
      <c r="H137" s="131"/>
      <c r="I137" s="219"/>
      <c r="J137" s="198"/>
      <c r="K137" s="131"/>
      <c r="L137" s="131"/>
      <c r="M137" s="131"/>
      <c r="N137" s="131"/>
      <c r="O137" s="131"/>
      <c r="P137" s="131"/>
      <c r="Q137" s="131"/>
      <c r="R137" s="131"/>
      <c r="S137" s="131"/>
      <c r="T137" s="131"/>
      <c r="U137" s="131"/>
      <c r="V137" s="131"/>
      <c r="W137" s="131"/>
      <c r="X137" s="131"/>
      <c r="Y137" s="131"/>
      <c r="Z137" s="142"/>
      <c r="AA137" s="142"/>
      <c r="AB137" s="142"/>
      <c r="AC137" s="142"/>
      <c r="AD137" s="142"/>
      <c r="AE137" s="142"/>
      <c r="AF137" s="142"/>
      <c r="AG137" s="142"/>
      <c r="AH137" s="142"/>
      <c r="AI137" s="142"/>
      <c r="AJ137" s="142"/>
      <c r="AK137" s="142"/>
      <c r="AL137" s="142"/>
      <c r="AM137" s="142"/>
      <c r="AN137" s="142"/>
      <c r="AO137" s="131"/>
    </row>
    <row r="138" ht="13.5" customHeight="1">
      <c r="A138" s="142"/>
      <c r="B138" s="142"/>
      <c r="C138" s="142"/>
      <c r="D138" s="142"/>
      <c r="E138" s="308"/>
      <c r="F138" s="131"/>
      <c r="G138" s="131"/>
      <c r="H138" s="131"/>
      <c r="I138" s="219"/>
      <c r="J138" s="198"/>
      <c r="K138" s="131"/>
      <c r="L138" s="131"/>
      <c r="M138" s="131"/>
      <c r="N138" s="131"/>
      <c r="O138" s="131"/>
      <c r="P138" s="131"/>
      <c r="Q138" s="131"/>
      <c r="R138" s="131"/>
      <c r="S138" s="131"/>
      <c r="T138" s="131"/>
      <c r="U138" s="131"/>
      <c r="V138" s="131"/>
      <c r="W138" s="131"/>
      <c r="X138" s="131"/>
      <c r="Y138" s="131"/>
      <c r="Z138" s="142"/>
      <c r="AA138" s="142"/>
      <c r="AB138" s="142"/>
      <c r="AC138" s="142"/>
      <c r="AD138" s="142"/>
      <c r="AE138" s="142"/>
      <c r="AF138" s="142"/>
      <c r="AG138" s="142"/>
      <c r="AH138" s="142"/>
      <c r="AI138" s="142"/>
      <c r="AJ138" s="142"/>
      <c r="AK138" s="142"/>
      <c r="AL138" s="142"/>
      <c r="AM138" s="142"/>
      <c r="AN138" s="142"/>
      <c r="AO138" s="131"/>
    </row>
    <row r="139" ht="13.5" customHeight="1">
      <c r="A139" s="142"/>
      <c r="B139" s="142"/>
      <c r="C139" s="142"/>
      <c r="D139" s="142"/>
      <c r="E139" s="308"/>
      <c r="F139" s="131"/>
      <c r="G139" s="131"/>
      <c r="H139" s="131"/>
      <c r="I139" s="219"/>
      <c r="J139" s="198"/>
      <c r="K139" s="131"/>
      <c r="L139" s="131"/>
      <c r="M139" s="131"/>
      <c r="N139" s="131"/>
      <c r="O139" s="131"/>
      <c r="P139" s="131"/>
      <c r="Q139" s="131"/>
      <c r="R139" s="131"/>
      <c r="S139" s="131"/>
      <c r="T139" s="131"/>
      <c r="U139" s="131"/>
      <c r="V139" s="131"/>
      <c r="W139" s="131"/>
      <c r="X139" s="131"/>
      <c r="Y139" s="131"/>
      <c r="Z139" s="142"/>
      <c r="AA139" s="142"/>
      <c r="AB139" s="142"/>
      <c r="AC139" s="142"/>
      <c r="AD139" s="142"/>
      <c r="AE139" s="142"/>
      <c r="AF139" s="142"/>
      <c r="AG139" s="142"/>
      <c r="AH139" s="142"/>
      <c r="AI139" s="142"/>
      <c r="AJ139" s="142"/>
      <c r="AK139" s="142"/>
      <c r="AL139" s="142"/>
      <c r="AM139" s="142"/>
      <c r="AN139" s="142"/>
      <c r="AO139" s="131"/>
    </row>
    <row r="140" ht="13.5" customHeight="1">
      <c r="A140" s="142"/>
      <c r="B140" s="142"/>
      <c r="C140" s="142"/>
      <c r="D140" s="142"/>
      <c r="E140" s="308"/>
      <c r="F140" s="131"/>
      <c r="G140" s="131"/>
      <c r="H140" s="131"/>
      <c r="I140" s="219"/>
      <c r="J140" s="198"/>
      <c r="K140" s="131"/>
      <c r="L140" s="131"/>
      <c r="M140" s="131"/>
      <c r="N140" s="131"/>
      <c r="O140" s="131"/>
      <c r="P140" s="131"/>
      <c r="Q140" s="131"/>
      <c r="R140" s="131"/>
      <c r="S140" s="131"/>
      <c r="T140" s="131"/>
      <c r="U140" s="131"/>
      <c r="V140" s="131"/>
      <c r="W140" s="131"/>
      <c r="X140" s="131"/>
      <c r="Y140" s="131"/>
      <c r="Z140" s="142"/>
      <c r="AA140" s="142"/>
      <c r="AB140" s="142"/>
      <c r="AC140" s="142"/>
      <c r="AD140" s="142"/>
      <c r="AE140" s="142"/>
      <c r="AF140" s="142"/>
      <c r="AG140" s="142"/>
      <c r="AH140" s="142"/>
      <c r="AI140" s="142"/>
      <c r="AJ140" s="142"/>
      <c r="AK140" s="142"/>
      <c r="AL140" s="142"/>
      <c r="AM140" s="142"/>
      <c r="AN140" s="142"/>
      <c r="AO140" s="131"/>
    </row>
    <row r="141" ht="13.5" customHeight="1">
      <c r="A141" s="142"/>
      <c r="B141" s="142"/>
      <c r="C141" s="142"/>
      <c r="D141" s="142"/>
      <c r="E141" s="308"/>
      <c r="F141" s="131"/>
      <c r="G141" s="131"/>
      <c r="H141" s="131"/>
      <c r="I141" s="219"/>
      <c r="J141" s="198"/>
      <c r="K141" s="131"/>
      <c r="L141" s="131"/>
      <c r="M141" s="131"/>
      <c r="N141" s="131"/>
      <c r="O141" s="131"/>
      <c r="P141" s="131"/>
      <c r="Q141" s="131"/>
      <c r="R141" s="131"/>
      <c r="S141" s="131"/>
      <c r="T141" s="131"/>
      <c r="U141" s="131"/>
      <c r="V141" s="131"/>
      <c r="W141" s="131"/>
      <c r="X141" s="131"/>
      <c r="Y141" s="131"/>
      <c r="Z141" s="142"/>
      <c r="AA141" s="142"/>
      <c r="AB141" s="142"/>
      <c r="AC141" s="142"/>
      <c r="AD141" s="142"/>
      <c r="AE141" s="142"/>
      <c r="AF141" s="142"/>
      <c r="AG141" s="142"/>
      <c r="AH141" s="142"/>
      <c r="AI141" s="142"/>
      <c r="AJ141" s="142"/>
      <c r="AK141" s="142"/>
      <c r="AL141" s="142"/>
      <c r="AM141" s="142"/>
      <c r="AN141" s="142"/>
      <c r="AO141" s="131"/>
    </row>
    <row r="142" ht="13.5" customHeight="1">
      <c r="A142" s="142"/>
      <c r="B142" s="142"/>
      <c r="C142" s="142"/>
      <c r="D142" s="142"/>
      <c r="E142" s="308"/>
      <c r="F142" s="131"/>
      <c r="G142" s="131"/>
      <c r="H142" s="131"/>
      <c r="I142" s="219"/>
      <c r="J142" s="198"/>
      <c r="K142" s="131"/>
      <c r="L142" s="131"/>
      <c r="M142" s="131"/>
      <c r="N142" s="131"/>
      <c r="O142" s="131"/>
      <c r="P142" s="131"/>
      <c r="Q142" s="131"/>
      <c r="R142" s="131"/>
      <c r="S142" s="131"/>
      <c r="T142" s="131"/>
      <c r="U142" s="131"/>
      <c r="V142" s="131"/>
      <c r="W142" s="131"/>
      <c r="X142" s="131"/>
      <c r="Y142" s="131"/>
      <c r="Z142" s="142"/>
      <c r="AA142" s="142"/>
      <c r="AB142" s="142"/>
      <c r="AC142" s="142"/>
      <c r="AD142" s="142"/>
      <c r="AE142" s="142"/>
      <c r="AF142" s="142"/>
      <c r="AG142" s="142"/>
      <c r="AH142" s="142"/>
      <c r="AI142" s="142"/>
      <c r="AJ142" s="142"/>
      <c r="AK142" s="142"/>
      <c r="AL142" s="142"/>
      <c r="AM142" s="142"/>
      <c r="AN142" s="142"/>
      <c r="AO142" s="131"/>
    </row>
    <row r="143" ht="13.5" customHeight="1">
      <c r="A143" s="142"/>
      <c r="B143" s="142"/>
      <c r="C143" s="142"/>
      <c r="D143" s="142"/>
      <c r="E143" s="308"/>
      <c r="F143" s="131"/>
      <c r="G143" s="131"/>
      <c r="H143" s="131"/>
      <c r="I143" s="219"/>
      <c r="J143" s="198"/>
      <c r="K143" s="131"/>
      <c r="L143" s="131"/>
      <c r="M143" s="131"/>
      <c r="N143" s="131"/>
      <c r="O143" s="131"/>
      <c r="P143" s="131"/>
      <c r="Q143" s="131"/>
      <c r="R143" s="131"/>
      <c r="S143" s="131"/>
      <c r="T143" s="131"/>
      <c r="U143" s="131"/>
      <c r="V143" s="131"/>
      <c r="W143" s="131"/>
      <c r="X143" s="131"/>
      <c r="Y143" s="131"/>
      <c r="Z143" s="142"/>
      <c r="AA143" s="142"/>
      <c r="AB143" s="142"/>
      <c r="AC143" s="142"/>
      <c r="AD143" s="142"/>
      <c r="AE143" s="142"/>
      <c r="AF143" s="142"/>
      <c r="AG143" s="142"/>
      <c r="AH143" s="142"/>
      <c r="AI143" s="142"/>
      <c r="AJ143" s="142"/>
      <c r="AK143" s="142"/>
      <c r="AL143" s="142"/>
      <c r="AM143" s="142"/>
      <c r="AN143" s="142"/>
      <c r="AO143" s="131"/>
    </row>
    <row r="144" ht="13.5" customHeight="1">
      <c r="A144" s="142"/>
      <c r="B144" s="142"/>
      <c r="C144" s="142"/>
      <c r="D144" s="142"/>
      <c r="E144" s="308"/>
      <c r="F144" s="131"/>
      <c r="G144" s="131"/>
      <c r="H144" s="131"/>
      <c r="I144" s="219"/>
      <c r="J144" s="198"/>
      <c r="K144" s="131"/>
      <c r="L144" s="131"/>
      <c r="M144" s="131"/>
      <c r="N144" s="131"/>
      <c r="O144" s="131"/>
      <c r="P144" s="131"/>
      <c r="Q144" s="131"/>
      <c r="R144" s="131"/>
      <c r="S144" s="131"/>
      <c r="T144" s="131"/>
      <c r="U144" s="131"/>
      <c r="V144" s="131"/>
      <c r="W144" s="131"/>
      <c r="X144" s="131"/>
      <c r="Y144" s="131"/>
      <c r="Z144" s="142"/>
      <c r="AA144" s="142"/>
      <c r="AB144" s="142"/>
      <c r="AC144" s="142"/>
      <c r="AD144" s="142"/>
      <c r="AE144" s="142"/>
      <c r="AF144" s="142"/>
      <c r="AG144" s="142"/>
      <c r="AH144" s="142"/>
      <c r="AI144" s="142"/>
      <c r="AJ144" s="142"/>
      <c r="AK144" s="142"/>
      <c r="AL144" s="142"/>
      <c r="AM144" s="142"/>
      <c r="AN144" s="142"/>
      <c r="AO144" s="131"/>
    </row>
    <row r="145" ht="13.5" customHeight="1">
      <c r="A145" s="142"/>
      <c r="B145" s="142"/>
      <c r="C145" s="142"/>
      <c r="D145" s="142"/>
      <c r="E145" s="308"/>
      <c r="F145" s="131"/>
      <c r="G145" s="131"/>
      <c r="H145" s="131"/>
      <c r="I145" s="219"/>
      <c r="J145" s="198"/>
      <c r="K145" s="131"/>
      <c r="L145" s="131"/>
      <c r="M145" s="131"/>
      <c r="N145" s="131"/>
      <c r="O145" s="131"/>
      <c r="P145" s="131"/>
      <c r="Q145" s="131"/>
      <c r="R145" s="131"/>
      <c r="S145" s="131"/>
      <c r="T145" s="131"/>
      <c r="U145" s="131"/>
      <c r="V145" s="131"/>
      <c r="W145" s="131"/>
      <c r="X145" s="131"/>
      <c r="Y145" s="131"/>
      <c r="Z145" s="142"/>
      <c r="AA145" s="142"/>
      <c r="AB145" s="142"/>
      <c r="AC145" s="142"/>
      <c r="AD145" s="142"/>
      <c r="AE145" s="142"/>
      <c r="AF145" s="142"/>
      <c r="AG145" s="142"/>
      <c r="AH145" s="142"/>
      <c r="AI145" s="142"/>
      <c r="AJ145" s="142"/>
      <c r="AK145" s="142"/>
      <c r="AL145" s="142"/>
      <c r="AM145" s="142"/>
      <c r="AN145" s="142"/>
      <c r="AO145" s="131"/>
    </row>
    <row r="146" ht="13.5" customHeight="1">
      <c r="A146" s="142"/>
      <c r="B146" s="142"/>
      <c r="C146" s="142"/>
      <c r="D146" s="142"/>
      <c r="E146" s="308"/>
      <c r="F146" s="131"/>
      <c r="G146" s="131"/>
      <c r="H146" s="131"/>
      <c r="I146" s="219"/>
      <c r="J146" s="198"/>
      <c r="K146" s="131"/>
      <c r="L146" s="131"/>
      <c r="M146" s="131"/>
      <c r="N146" s="131"/>
      <c r="O146" s="131"/>
      <c r="P146" s="131"/>
      <c r="Q146" s="131"/>
      <c r="R146" s="131"/>
      <c r="S146" s="131"/>
      <c r="T146" s="131"/>
      <c r="U146" s="131"/>
      <c r="V146" s="131"/>
      <c r="W146" s="131"/>
      <c r="X146" s="131"/>
      <c r="Y146" s="131"/>
      <c r="Z146" s="142"/>
      <c r="AA146" s="142"/>
      <c r="AB146" s="142"/>
      <c r="AC146" s="142"/>
      <c r="AD146" s="142"/>
      <c r="AE146" s="142"/>
      <c r="AF146" s="142"/>
      <c r="AG146" s="142"/>
      <c r="AH146" s="142"/>
      <c r="AI146" s="142"/>
      <c r="AJ146" s="142"/>
      <c r="AK146" s="142"/>
      <c r="AL146" s="142"/>
      <c r="AM146" s="142"/>
      <c r="AN146" s="142"/>
      <c r="AO146" s="131"/>
    </row>
    <row r="147" ht="13.5" customHeight="1">
      <c r="A147" s="142"/>
      <c r="B147" s="142"/>
      <c r="C147" s="142"/>
      <c r="D147" s="142"/>
      <c r="E147" s="308"/>
      <c r="F147" s="131"/>
      <c r="G147" s="131"/>
      <c r="H147" s="131"/>
      <c r="I147" s="219"/>
      <c r="J147" s="198"/>
      <c r="K147" s="131"/>
      <c r="L147" s="131"/>
      <c r="M147" s="131"/>
      <c r="N147" s="131"/>
      <c r="O147" s="131"/>
      <c r="P147" s="131"/>
      <c r="Q147" s="131"/>
      <c r="R147" s="131"/>
      <c r="S147" s="131"/>
      <c r="T147" s="131"/>
      <c r="U147" s="131"/>
      <c r="V147" s="131"/>
      <c r="W147" s="131"/>
      <c r="X147" s="131"/>
      <c r="Y147" s="131"/>
      <c r="Z147" s="142"/>
      <c r="AA147" s="142"/>
      <c r="AB147" s="142"/>
      <c r="AC147" s="142"/>
      <c r="AD147" s="142"/>
      <c r="AE147" s="142"/>
      <c r="AF147" s="142"/>
      <c r="AG147" s="142"/>
      <c r="AH147" s="142"/>
      <c r="AI147" s="142"/>
      <c r="AJ147" s="142"/>
      <c r="AK147" s="142"/>
      <c r="AL147" s="142"/>
      <c r="AM147" s="142"/>
      <c r="AN147" s="142"/>
      <c r="AO147" s="131"/>
    </row>
    <row r="148" ht="13.5" customHeight="1">
      <c r="A148" s="142"/>
      <c r="B148" s="142"/>
      <c r="C148" s="142"/>
      <c r="D148" s="142"/>
      <c r="E148" s="308"/>
      <c r="F148" s="131"/>
      <c r="G148" s="131"/>
      <c r="H148" s="131"/>
      <c r="I148" s="219"/>
      <c r="J148" s="198"/>
      <c r="K148" s="131"/>
      <c r="L148" s="131"/>
      <c r="M148" s="131"/>
      <c r="N148" s="131"/>
      <c r="O148" s="131"/>
      <c r="P148" s="131"/>
      <c r="Q148" s="131"/>
      <c r="R148" s="131"/>
      <c r="S148" s="131"/>
      <c r="T148" s="131"/>
      <c r="U148" s="131"/>
      <c r="V148" s="131"/>
      <c r="W148" s="131"/>
      <c r="X148" s="131"/>
      <c r="Y148" s="131"/>
      <c r="Z148" s="142"/>
      <c r="AA148" s="142"/>
      <c r="AB148" s="142"/>
      <c r="AC148" s="142"/>
      <c r="AD148" s="142"/>
      <c r="AE148" s="142"/>
      <c r="AF148" s="142"/>
      <c r="AG148" s="142"/>
      <c r="AH148" s="142"/>
      <c r="AI148" s="142"/>
      <c r="AJ148" s="142"/>
      <c r="AK148" s="142"/>
      <c r="AL148" s="142"/>
      <c r="AM148" s="142"/>
      <c r="AN148" s="142"/>
      <c r="AO148" s="131"/>
    </row>
    <row r="149" ht="13.5" customHeight="1">
      <c r="A149" s="142"/>
      <c r="B149" s="142"/>
      <c r="C149" s="142"/>
      <c r="D149" s="142"/>
      <c r="E149" s="308"/>
      <c r="F149" s="131"/>
      <c r="G149" s="131"/>
      <c r="H149" s="131"/>
      <c r="I149" s="219"/>
      <c r="J149" s="198"/>
      <c r="K149" s="131"/>
      <c r="L149" s="131"/>
      <c r="M149" s="131"/>
      <c r="N149" s="131"/>
      <c r="O149" s="131"/>
      <c r="P149" s="131"/>
      <c r="Q149" s="131"/>
      <c r="R149" s="131"/>
      <c r="S149" s="131"/>
      <c r="T149" s="131"/>
      <c r="U149" s="131"/>
      <c r="V149" s="131"/>
      <c r="W149" s="131"/>
      <c r="X149" s="131"/>
      <c r="Y149" s="131"/>
      <c r="Z149" s="142"/>
      <c r="AA149" s="142"/>
      <c r="AB149" s="142"/>
      <c r="AC149" s="142"/>
      <c r="AD149" s="142"/>
      <c r="AE149" s="142"/>
      <c r="AF149" s="142"/>
      <c r="AG149" s="142"/>
      <c r="AH149" s="142"/>
      <c r="AI149" s="142"/>
      <c r="AJ149" s="142"/>
      <c r="AK149" s="142"/>
      <c r="AL149" s="142"/>
      <c r="AM149" s="142"/>
      <c r="AN149" s="142"/>
      <c r="AO149" s="131"/>
    </row>
    <row r="150" ht="13.5" customHeight="1">
      <c r="A150" s="142"/>
      <c r="B150" s="142"/>
      <c r="C150" s="142"/>
      <c r="D150" s="142"/>
      <c r="E150" s="308"/>
      <c r="F150" s="131"/>
      <c r="G150" s="131"/>
      <c r="H150" s="131"/>
      <c r="I150" s="219"/>
      <c r="J150" s="198"/>
      <c r="K150" s="131"/>
      <c r="L150" s="131"/>
      <c r="M150" s="131"/>
      <c r="N150" s="131"/>
      <c r="O150" s="131"/>
      <c r="P150" s="131"/>
      <c r="Q150" s="131"/>
      <c r="R150" s="131"/>
      <c r="S150" s="131"/>
      <c r="T150" s="131"/>
      <c r="U150" s="131"/>
      <c r="V150" s="131"/>
      <c r="W150" s="131"/>
      <c r="X150" s="131"/>
      <c r="Y150" s="131"/>
      <c r="Z150" s="142"/>
      <c r="AA150" s="142"/>
      <c r="AB150" s="142"/>
      <c r="AC150" s="142"/>
      <c r="AD150" s="142"/>
      <c r="AE150" s="142"/>
      <c r="AF150" s="142"/>
      <c r="AG150" s="142"/>
      <c r="AH150" s="142"/>
      <c r="AI150" s="142"/>
      <c r="AJ150" s="142"/>
      <c r="AK150" s="142"/>
      <c r="AL150" s="142"/>
      <c r="AM150" s="142"/>
      <c r="AN150" s="142"/>
      <c r="AO150" s="131"/>
    </row>
    <row r="151" ht="13.5" customHeight="1">
      <c r="A151" s="142"/>
      <c r="B151" s="142"/>
      <c r="C151" s="142"/>
      <c r="D151" s="142"/>
      <c r="E151" s="308"/>
      <c r="F151" s="131"/>
      <c r="G151" s="131"/>
      <c r="H151" s="131"/>
      <c r="I151" s="219"/>
      <c r="J151" s="198"/>
      <c r="K151" s="131"/>
      <c r="L151" s="131"/>
      <c r="M151" s="131"/>
      <c r="N151" s="131"/>
      <c r="O151" s="131"/>
      <c r="P151" s="131"/>
      <c r="Q151" s="131"/>
      <c r="R151" s="131"/>
      <c r="S151" s="131"/>
      <c r="T151" s="131"/>
      <c r="U151" s="131"/>
      <c r="V151" s="131"/>
      <c r="W151" s="131"/>
      <c r="X151" s="131"/>
      <c r="Y151" s="131"/>
      <c r="Z151" s="142"/>
      <c r="AA151" s="142"/>
      <c r="AB151" s="142"/>
      <c r="AC151" s="142"/>
      <c r="AD151" s="142"/>
      <c r="AE151" s="142"/>
      <c r="AF151" s="142"/>
      <c r="AG151" s="142"/>
      <c r="AH151" s="142"/>
      <c r="AI151" s="142"/>
      <c r="AJ151" s="142"/>
      <c r="AK151" s="142"/>
      <c r="AL151" s="142"/>
      <c r="AM151" s="142"/>
      <c r="AN151" s="142"/>
      <c r="AO151" s="131"/>
    </row>
    <row r="152" ht="13.5" customHeight="1">
      <c r="A152" s="142"/>
      <c r="B152" s="142"/>
      <c r="C152" s="142"/>
      <c r="D152" s="142"/>
      <c r="E152" s="308"/>
      <c r="F152" s="131"/>
      <c r="G152" s="131"/>
      <c r="H152" s="131"/>
      <c r="I152" s="219"/>
      <c r="J152" s="198"/>
      <c r="K152" s="131"/>
      <c r="L152" s="131"/>
      <c r="M152" s="131"/>
      <c r="N152" s="131"/>
      <c r="O152" s="131"/>
      <c r="P152" s="131"/>
      <c r="Q152" s="131"/>
      <c r="R152" s="131"/>
      <c r="S152" s="131"/>
      <c r="T152" s="131"/>
      <c r="U152" s="131"/>
      <c r="V152" s="131"/>
      <c r="W152" s="131"/>
      <c r="X152" s="131"/>
      <c r="Y152" s="131"/>
      <c r="Z152" s="142"/>
      <c r="AA152" s="142"/>
      <c r="AB152" s="142"/>
      <c r="AC152" s="142"/>
      <c r="AD152" s="142"/>
      <c r="AE152" s="142"/>
      <c r="AF152" s="142"/>
      <c r="AG152" s="142"/>
      <c r="AH152" s="142"/>
      <c r="AI152" s="142"/>
      <c r="AJ152" s="142"/>
      <c r="AK152" s="142"/>
      <c r="AL152" s="142"/>
      <c r="AM152" s="142"/>
      <c r="AN152" s="142"/>
      <c r="AO152" s="131"/>
    </row>
    <row r="153" ht="13.5" customHeight="1">
      <c r="A153" s="142"/>
      <c r="B153" s="142"/>
      <c r="C153" s="142"/>
      <c r="D153" s="142"/>
      <c r="E153" s="308"/>
      <c r="F153" s="131"/>
      <c r="G153" s="131"/>
      <c r="H153" s="131"/>
      <c r="I153" s="219"/>
      <c r="J153" s="198"/>
      <c r="K153" s="131"/>
      <c r="L153" s="131"/>
      <c r="M153" s="131"/>
      <c r="N153" s="131"/>
      <c r="O153" s="131"/>
      <c r="P153" s="131"/>
      <c r="Q153" s="131"/>
      <c r="R153" s="131"/>
      <c r="S153" s="131"/>
      <c r="T153" s="131"/>
      <c r="U153" s="131"/>
      <c r="V153" s="131"/>
      <c r="W153" s="131"/>
      <c r="X153" s="131"/>
      <c r="Y153" s="131"/>
      <c r="Z153" s="142"/>
      <c r="AA153" s="142"/>
      <c r="AB153" s="142"/>
      <c r="AC153" s="142"/>
      <c r="AD153" s="142"/>
      <c r="AE153" s="142"/>
      <c r="AF153" s="142"/>
      <c r="AG153" s="142"/>
      <c r="AH153" s="142"/>
      <c r="AI153" s="142"/>
      <c r="AJ153" s="142"/>
      <c r="AK153" s="142"/>
      <c r="AL153" s="142"/>
      <c r="AM153" s="142"/>
      <c r="AN153" s="142"/>
      <c r="AO153" s="131"/>
    </row>
    <row r="154" ht="13.5" customHeight="1">
      <c r="A154" s="142"/>
      <c r="B154" s="142"/>
      <c r="C154" s="142"/>
      <c r="D154" s="142"/>
      <c r="E154" s="308"/>
      <c r="F154" s="131"/>
      <c r="G154" s="131"/>
      <c r="H154" s="131"/>
      <c r="I154" s="219"/>
      <c r="J154" s="198"/>
      <c r="K154" s="131"/>
      <c r="L154" s="131"/>
      <c r="M154" s="131"/>
      <c r="N154" s="131"/>
      <c r="O154" s="131"/>
      <c r="P154" s="131"/>
      <c r="Q154" s="131"/>
      <c r="R154" s="131"/>
      <c r="S154" s="131"/>
      <c r="T154" s="131"/>
      <c r="U154" s="131"/>
      <c r="V154" s="131"/>
      <c r="W154" s="131"/>
      <c r="X154" s="131"/>
      <c r="Y154" s="131"/>
      <c r="Z154" s="142"/>
      <c r="AA154" s="142"/>
      <c r="AB154" s="142"/>
      <c r="AC154" s="142"/>
      <c r="AD154" s="142"/>
      <c r="AE154" s="142"/>
      <c r="AF154" s="142"/>
      <c r="AG154" s="142"/>
      <c r="AH154" s="142"/>
      <c r="AI154" s="142"/>
      <c r="AJ154" s="142"/>
      <c r="AK154" s="142"/>
      <c r="AL154" s="142"/>
      <c r="AM154" s="142"/>
      <c r="AN154" s="142"/>
      <c r="AO154" s="131"/>
    </row>
    <row r="155" ht="13.5" customHeight="1">
      <c r="A155" s="142"/>
      <c r="B155" s="142"/>
      <c r="C155" s="142"/>
      <c r="D155" s="142"/>
      <c r="E155" s="308"/>
      <c r="F155" s="131"/>
      <c r="G155" s="131"/>
      <c r="H155" s="131"/>
      <c r="I155" s="219"/>
      <c r="J155" s="198"/>
      <c r="K155" s="131"/>
      <c r="L155" s="131"/>
      <c r="M155" s="131"/>
      <c r="N155" s="131"/>
      <c r="O155" s="131"/>
      <c r="P155" s="131"/>
      <c r="Q155" s="131"/>
      <c r="R155" s="131"/>
      <c r="S155" s="131"/>
      <c r="T155" s="131"/>
      <c r="U155" s="131"/>
      <c r="V155" s="131"/>
      <c r="W155" s="131"/>
      <c r="X155" s="131"/>
      <c r="Y155" s="131"/>
      <c r="Z155" s="142"/>
      <c r="AA155" s="142"/>
      <c r="AB155" s="142"/>
      <c r="AC155" s="142"/>
      <c r="AD155" s="142"/>
      <c r="AE155" s="142"/>
      <c r="AF155" s="142"/>
      <c r="AG155" s="142"/>
      <c r="AH155" s="142"/>
      <c r="AI155" s="142"/>
      <c r="AJ155" s="142"/>
      <c r="AK155" s="142"/>
      <c r="AL155" s="142"/>
      <c r="AM155" s="142"/>
      <c r="AN155" s="142"/>
      <c r="AO155" s="131"/>
    </row>
    <row r="156" ht="13.5" customHeight="1">
      <c r="A156" s="142"/>
      <c r="B156" s="142"/>
      <c r="C156" s="142"/>
      <c r="D156" s="142"/>
      <c r="E156" s="308"/>
      <c r="F156" s="131"/>
      <c r="G156" s="131"/>
      <c r="H156" s="131"/>
      <c r="I156" s="219"/>
      <c r="J156" s="198"/>
      <c r="K156" s="131"/>
      <c r="L156" s="131"/>
      <c r="M156" s="131"/>
      <c r="N156" s="131"/>
      <c r="O156" s="131"/>
      <c r="P156" s="131"/>
      <c r="Q156" s="131"/>
      <c r="R156" s="131"/>
      <c r="S156" s="131"/>
      <c r="T156" s="131"/>
      <c r="U156" s="131"/>
      <c r="V156" s="131"/>
      <c r="W156" s="131"/>
      <c r="X156" s="131"/>
      <c r="Y156" s="131"/>
      <c r="Z156" s="142"/>
      <c r="AA156" s="142"/>
      <c r="AB156" s="142"/>
      <c r="AC156" s="142"/>
      <c r="AD156" s="142"/>
      <c r="AE156" s="142"/>
      <c r="AF156" s="142"/>
      <c r="AG156" s="142"/>
      <c r="AH156" s="142"/>
      <c r="AI156" s="142"/>
      <c r="AJ156" s="142"/>
      <c r="AK156" s="142"/>
      <c r="AL156" s="142"/>
      <c r="AM156" s="142"/>
      <c r="AN156" s="142"/>
      <c r="AO156" s="131"/>
    </row>
    <row r="157" ht="13.5" customHeight="1">
      <c r="A157" s="142"/>
      <c r="B157" s="142"/>
      <c r="C157" s="142"/>
      <c r="D157" s="142"/>
      <c r="E157" s="308"/>
      <c r="F157" s="131"/>
      <c r="G157" s="131"/>
      <c r="H157" s="131"/>
      <c r="I157" s="219"/>
      <c r="J157" s="198"/>
      <c r="K157" s="131"/>
      <c r="L157" s="131"/>
      <c r="M157" s="131"/>
      <c r="N157" s="131"/>
      <c r="O157" s="131"/>
      <c r="P157" s="131"/>
      <c r="Q157" s="131"/>
      <c r="R157" s="131"/>
      <c r="S157" s="131"/>
      <c r="T157" s="131"/>
      <c r="U157" s="131"/>
      <c r="V157" s="131"/>
      <c r="W157" s="131"/>
      <c r="X157" s="131"/>
      <c r="Y157" s="131"/>
      <c r="Z157" s="142"/>
      <c r="AA157" s="142"/>
      <c r="AB157" s="142"/>
      <c r="AC157" s="142"/>
      <c r="AD157" s="142"/>
      <c r="AE157" s="142"/>
      <c r="AF157" s="142"/>
      <c r="AG157" s="142"/>
      <c r="AH157" s="142"/>
      <c r="AI157" s="142"/>
      <c r="AJ157" s="142"/>
      <c r="AK157" s="142"/>
      <c r="AL157" s="142"/>
      <c r="AM157" s="142"/>
      <c r="AN157" s="142"/>
      <c r="AO157" s="131"/>
    </row>
    <row r="158" ht="13.5" customHeight="1">
      <c r="A158" s="142"/>
      <c r="B158" s="142"/>
      <c r="C158" s="142"/>
      <c r="D158" s="142"/>
      <c r="E158" s="308"/>
      <c r="F158" s="131"/>
      <c r="G158" s="131"/>
      <c r="H158" s="131"/>
      <c r="I158" s="219"/>
      <c r="J158" s="198"/>
      <c r="K158" s="131"/>
      <c r="L158" s="131"/>
      <c r="M158" s="131"/>
      <c r="N158" s="131"/>
      <c r="O158" s="131"/>
      <c r="P158" s="131"/>
      <c r="Q158" s="131"/>
      <c r="R158" s="131"/>
      <c r="S158" s="131"/>
      <c r="T158" s="131"/>
      <c r="U158" s="131"/>
      <c r="V158" s="131"/>
      <c r="W158" s="131"/>
      <c r="X158" s="131"/>
      <c r="Y158" s="131"/>
      <c r="Z158" s="142"/>
      <c r="AA158" s="142"/>
      <c r="AB158" s="142"/>
      <c r="AC158" s="142"/>
      <c r="AD158" s="142"/>
      <c r="AE158" s="142"/>
      <c r="AF158" s="142"/>
      <c r="AG158" s="142"/>
      <c r="AH158" s="142"/>
      <c r="AI158" s="142"/>
      <c r="AJ158" s="142"/>
      <c r="AK158" s="142"/>
      <c r="AL158" s="142"/>
      <c r="AM158" s="142"/>
      <c r="AN158" s="142"/>
      <c r="AO158" s="131"/>
    </row>
    <row r="159" ht="13.5" customHeight="1">
      <c r="A159" s="142"/>
      <c r="B159" s="142"/>
      <c r="C159" s="142"/>
      <c r="D159" s="142"/>
      <c r="E159" s="308"/>
      <c r="F159" s="131"/>
      <c r="G159" s="131"/>
      <c r="H159" s="131"/>
      <c r="I159" s="219"/>
      <c r="J159" s="198"/>
      <c r="K159" s="131"/>
      <c r="L159" s="131"/>
      <c r="M159" s="131"/>
      <c r="N159" s="131"/>
      <c r="O159" s="131"/>
      <c r="P159" s="131"/>
      <c r="Q159" s="131"/>
      <c r="R159" s="131"/>
      <c r="S159" s="131"/>
      <c r="T159" s="131"/>
      <c r="U159" s="131"/>
      <c r="V159" s="131"/>
      <c r="W159" s="131"/>
      <c r="X159" s="131"/>
      <c r="Y159" s="131"/>
      <c r="Z159" s="142"/>
      <c r="AA159" s="142"/>
      <c r="AB159" s="142"/>
      <c r="AC159" s="142"/>
      <c r="AD159" s="142"/>
      <c r="AE159" s="142"/>
      <c r="AF159" s="142"/>
      <c r="AG159" s="142"/>
      <c r="AH159" s="142"/>
      <c r="AI159" s="142"/>
      <c r="AJ159" s="142"/>
      <c r="AK159" s="142"/>
      <c r="AL159" s="142"/>
      <c r="AM159" s="142"/>
      <c r="AN159" s="142"/>
      <c r="AO159" s="131"/>
    </row>
    <row r="160" ht="13.5" customHeight="1">
      <c r="A160" s="142"/>
      <c r="B160" s="142"/>
      <c r="C160" s="142"/>
      <c r="D160" s="142"/>
      <c r="E160" s="308"/>
      <c r="F160" s="131"/>
      <c r="G160" s="131"/>
      <c r="H160" s="131"/>
      <c r="I160" s="219"/>
      <c r="J160" s="198"/>
      <c r="K160" s="131"/>
      <c r="L160" s="131"/>
      <c r="M160" s="131"/>
      <c r="N160" s="131"/>
      <c r="O160" s="131"/>
      <c r="P160" s="131"/>
      <c r="Q160" s="131"/>
      <c r="R160" s="131"/>
      <c r="S160" s="131"/>
      <c r="T160" s="131"/>
      <c r="U160" s="131"/>
      <c r="V160" s="131"/>
      <c r="W160" s="131"/>
      <c r="X160" s="131"/>
      <c r="Y160" s="131"/>
      <c r="Z160" s="142"/>
      <c r="AA160" s="142"/>
      <c r="AB160" s="142"/>
      <c r="AC160" s="142"/>
      <c r="AD160" s="142"/>
      <c r="AE160" s="142"/>
      <c r="AF160" s="142"/>
      <c r="AG160" s="142"/>
      <c r="AH160" s="142"/>
      <c r="AI160" s="142"/>
      <c r="AJ160" s="142"/>
      <c r="AK160" s="142"/>
      <c r="AL160" s="142"/>
      <c r="AM160" s="142"/>
      <c r="AN160" s="142"/>
      <c r="AO160" s="131"/>
    </row>
    <row r="161" ht="13.5" customHeight="1">
      <c r="A161" s="142"/>
      <c r="B161" s="142"/>
      <c r="C161" s="142"/>
      <c r="D161" s="142"/>
      <c r="E161" s="308"/>
      <c r="F161" s="131"/>
      <c r="G161" s="131"/>
      <c r="H161" s="131"/>
      <c r="I161" s="219"/>
      <c r="J161" s="198"/>
      <c r="K161" s="131"/>
      <c r="L161" s="131"/>
      <c r="M161" s="131"/>
      <c r="N161" s="131"/>
      <c r="O161" s="131"/>
      <c r="P161" s="131"/>
      <c r="Q161" s="131"/>
      <c r="R161" s="131"/>
      <c r="S161" s="131"/>
      <c r="T161" s="131"/>
      <c r="U161" s="131"/>
      <c r="V161" s="131"/>
      <c r="W161" s="131"/>
      <c r="X161" s="131"/>
      <c r="Y161" s="131"/>
      <c r="Z161" s="142"/>
      <c r="AA161" s="142"/>
      <c r="AB161" s="142"/>
      <c r="AC161" s="142"/>
      <c r="AD161" s="142"/>
      <c r="AE161" s="142"/>
      <c r="AF161" s="142"/>
      <c r="AG161" s="142"/>
      <c r="AH161" s="142"/>
      <c r="AI161" s="142"/>
      <c r="AJ161" s="142"/>
      <c r="AK161" s="142"/>
      <c r="AL161" s="142"/>
      <c r="AM161" s="142"/>
      <c r="AN161" s="142"/>
      <c r="AO161" s="131"/>
    </row>
    <row r="162" ht="13.5" customHeight="1">
      <c r="A162" s="142"/>
      <c r="B162" s="142"/>
      <c r="C162" s="142"/>
      <c r="D162" s="142"/>
      <c r="E162" s="308"/>
      <c r="F162" s="131"/>
      <c r="G162" s="131"/>
      <c r="H162" s="131"/>
      <c r="I162" s="219"/>
      <c r="J162" s="198"/>
      <c r="K162" s="131"/>
      <c r="L162" s="131"/>
      <c r="M162" s="131"/>
      <c r="N162" s="131"/>
      <c r="O162" s="131"/>
      <c r="P162" s="131"/>
      <c r="Q162" s="131"/>
      <c r="R162" s="131"/>
      <c r="S162" s="131"/>
      <c r="T162" s="131"/>
      <c r="U162" s="131"/>
      <c r="V162" s="131"/>
      <c r="W162" s="131"/>
      <c r="X162" s="131"/>
      <c r="Y162" s="131"/>
      <c r="Z162" s="142"/>
      <c r="AA162" s="142"/>
      <c r="AB162" s="142"/>
      <c r="AC162" s="142"/>
      <c r="AD162" s="142"/>
      <c r="AE162" s="142"/>
      <c r="AF162" s="142"/>
      <c r="AG162" s="142"/>
      <c r="AH162" s="142"/>
      <c r="AI162" s="142"/>
      <c r="AJ162" s="142"/>
      <c r="AK162" s="142"/>
      <c r="AL162" s="142"/>
      <c r="AM162" s="142"/>
      <c r="AN162" s="142"/>
      <c r="AO162" s="131"/>
    </row>
    <row r="163" ht="13.5" customHeight="1">
      <c r="A163" s="142"/>
      <c r="B163" s="142"/>
      <c r="C163" s="142"/>
      <c r="D163" s="142"/>
      <c r="E163" s="308"/>
      <c r="F163" s="131"/>
      <c r="G163" s="131"/>
      <c r="H163" s="131"/>
      <c r="I163" s="219"/>
      <c r="J163" s="198"/>
      <c r="K163" s="131"/>
      <c r="L163" s="131"/>
      <c r="M163" s="131"/>
      <c r="N163" s="131"/>
      <c r="O163" s="131"/>
      <c r="P163" s="131"/>
      <c r="Q163" s="131"/>
      <c r="R163" s="131"/>
      <c r="S163" s="131"/>
      <c r="T163" s="131"/>
      <c r="U163" s="131"/>
      <c r="V163" s="131"/>
      <c r="W163" s="131"/>
      <c r="X163" s="131"/>
      <c r="Y163" s="131"/>
      <c r="Z163" s="142"/>
      <c r="AA163" s="142"/>
      <c r="AB163" s="142"/>
      <c r="AC163" s="142"/>
      <c r="AD163" s="142"/>
      <c r="AE163" s="142"/>
      <c r="AF163" s="142"/>
      <c r="AG163" s="142"/>
      <c r="AH163" s="142"/>
      <c r="AI163" s="142"/>
      <c r="AJ163" s="142"/>
      <c r="AK163" s="142"/>
      <c r="AL163" s="142"/>
      <c r="AM163" s="142"/>
      <c r="AN163" s="142"/>
      <c r="AO163" s="131"/>
    </row>
    <row r="164" ht="13.5" customHeight="1">
      <c r="A164" s="142"/>
      <c r="B164" s="142"/>
      <c r="C164" s="142"/>
      <c r="D164" s="142"/>
      <c r="E164" s="308"/>
      <c r="F164" s="131"/>
      <c r="G164" s="131"/>
      <c r="H164" s="131"/>
      <c r="I164" s="219"/>
      <c r="J164" s="198"/>
      <c r="K164" s="131"/>
      <c r="L164" s="131"/>
      <c r="M164" s="131"/>
      <c r="N164" s="131"/>
      <c r="O164" s="131"/>
      <c r="P164" s="131"/>
      <c r="Q164" s="131"/>
      <c r="R164" s="131"/>
      <c r="S164" s="131"/>
      <c r="T164" s="131"/>
      <c r="U164" s="131"/>
      <c r="V164" s="131"/>
      <c r="W164" s="131"/>
      <c r="X164" s="131"/>
      <c r="Y164" s="131"/>
      <c r="Z164" s="142"/>
      <c r="AA164" s="142"/>
      <c r="AB164" s="142"/>
      <c r="AC164" s="142"/>
      <c r="AD164" s="142"/>
      <c r="AE164" s="142"/>
      <c r="AF164" s="142"/>
      <c r="AG164" s="142"/>
      <c r="AH164" s="142"/>
      <c r="AI164" s="142"/>
      <c r="AJ164" s="142"/>
      <c r="AK164" s="142"/>
      <c r="AL164" s="142"/>
      <c r="AM164" s="142"/>
      <c r="AN164" s="142"/>
      <c r="AO164" s="131"/>
    </row>
    <row r="165" ht="13.5" customHeight="1">
      <c r="A165" s="142"/>
      <c r="B165" s="142"/>
      <c r="C165" s="142"/>
      <c r="D165" s="142"/>
      <c r="E165" s="308"/>
      <c r="F165" s="131"/>
      <c r="G165" s="131"/>
      <c r="H165" s="131"/>
      <c r="I165" s="219"/>
      <c r="J165" s="198"/>
      <c r="K165" s="131"/>
      <c r="L165" s="131"/>
      <c r="M165" s="131"/>
      <c r="N165" s="131"/>
      <c r="O165" s="131"/>
      <c r="P165" s="131"/>
      <c r="Q165" s="131"/>
      <c r="R165" s="131"/>
      <c r="S165" s="131"/>
      <c r="T165" s="131"/>
      <c r="U165" s="131"/>
      <c r="V165" s="131"/>
      <c r="W165" s="131"/>
      <c r="X165" s="131"/>
      <c r="Y165" s="131"/>
      <c r="Z165" s="142"/>
      <c r="AA165" s="142"/>
      <c r="AB165" s="142"/>
      <c r="AC165" s="142"/>
      <c r="AD165" s="142"/>
      <c r="AE165" s="142"/>
      <c r="AF165" s="142"/>
      <c r="AG165" s="142"/>
      <c r="AH165" s="142"/>
      <c r="AI165" s="142"/>
      <c r="AJ165" s="142"/>
      <c r="AK165" s="142"/>
      <c r="AL165" s="142"/>
      <c r="AM165" s="142"/>
      <c r="AN165" s="142"/>
      <c r="AO165" s="131"/>
    </row>
    <row r="166" ht="13.5" customHeight="1">
      <c r="A166" s="142"/>
      <c r="B166" s="142"/>
      <c r="C166" s="142"/>
      <c r="D166" s="142"/>
      <c r="E166" s="308"/>
      <c r="F166" s="131"/>
      <c r="G166" s="131"/>
      <c r="H166" s="131"/>
      <c r="I166" s="219"/>
      <c r="J166" s="198"/>
      <c r="K166" s="131"/>
      <c r="L166" s="131"/>
      <c r="M166" s="131"/>
      <c r="N166" s="131"/>
      <c r="O166" s="131"/>
      <c r="P166" s="131"/>
      <c r="Q166" s="131"/>
      <c r="R166" s="131"/>
      <c r="S166" s="131"/>
      <c r="T166" s="131"/>
      <c r="U166" s="131"/>
      <c r="V166" s="131"/>
      <c r="W166" s="131"/>
      <c r="X166" s="131"/>
      <c r="Y166" s="131"/>
      <c r="Z166" s="142"/>
      <c r="AA166" s="142"/>
      <c r="AB166" s="142"/>
      <c r="AC166" s="142"/>
      <c r="AD166" s="142"/>
      <c r="AE166" s="142"/>
      <c r="AF166" s="142"/>
      <c r="AG166" s="142"/>
      <c r="AH166" s="142"/>
      <c r="AI166" s="142"/>
      <c r="AJ166" s="142"/>
      <c r="AK166" s="142"/>
      <c r="AL166" s="142"/>
      <c r="AM166" s="142"/>
      <c r="AN166" s="142"/>
      <c r="AO166" s="131"/>
    </row>
    <row r="167" ht="13.5" customHeight="1">
      <c r="A167" s="142"/>
      <c r="B167" s="142"/>
      <c r="C167" s="142"/>
      <c r="D167" s="142"/>
      <c r="E167" s="308"/>
      <c r="F167" s="131"/>
      <c r="G167" s="131"/>
      <c r="H167" s="131"/>
      <c r="I167" s="219"/>
      <c r="J167" s="198"/>
      <c r="K167" s="131"/>
      <c r="L167" s="131"/>
      <c r="M167" s="131"/>
      <c r="N167" s="131"/>
      <c r="O167" s="131"/>
      <c r="P167" s="131"/>
      <c r="Q167" s="131"/>
      <c r="R167" s="131"/>
      <c r="S167" s="131"/>
      <c r="T167" s="131"/>
      <c r="U167" s="131"/>
      <c r="V167" s="131"/>
      <c r="W167" s="131"/>
      <c r="X167" s="131"/>
      <c r="Y167" s="131"/>
      <c r="Z167" s="142"/>
      <c r="AA167" s="142"/>
      <c r="AB167" s="142"/>
      <c r="AC167" s="142"/>
      <c r="AD167" s="142"/>
      <c r="AE167" s="142"/>
      <c r="AF167" s="142"/>
      <c r="AG167" s="142"/>
      <c r="AH167" s="142"/>
      <c r="AI167" s="142"/>
      <c r="AJ167" s="142"/>
      <c r="AK167" s="142"/>
      <c r="AL167" s="142"/>
      <c r="AM167" s="142"/>
      <c r="AN167" s="142"/>
      <c r="AO167" s="131"/>
    </row>
    <row r="168" ht="13.5" customHeight="1">
      <c r="A168" s="142"/>
      <c r="B168" s="142"/>
      <c r="C168" s="142"/>
      <c r="D168" s="142"/>
      <c r="E168" s="308"/>
      <c r="F168" s="131"/>
      <c r="G168" s="131"/>
      <c r="H168" s="131"/>
      <c r="I168" s="219"/>
      <c r="J168" s="198"/>
      <c r="K168" s="131"/>
      <c r="L168" s="131"/>
      <c r="M168" s="131"/>
      <c r="N168" s="131"/>
      <c r="O168" s="131"/>
      <c r="P168" s="131"/>
      <c r="Q168" s="131"/>
      <c r="R168" s="131"/>
      <c r="S168" s="131"/>
      <c r="T168" s="131"/>
      <c r="U168" s="131"/>
      <c r="V168" s="131"/>
      <c r="W168" s="131"/>
      <c r="X168" s="131"/>
      <c r="Y168" s="131"/>
      <c r="Z168" s="142"/>
      <c r="AA168" s="142"/>
      <c r="AB168" s="142"/>
      <c r="AC168" s="142"/>
      <c r="AD168" s="142"/>
      <c r="AE168" s="142"/>
      <c r="AF168" s="142"/>
      <c r="AG168" s="142"/>
      <c r="AH168" s="142"/>
      <c r="AI168" s="142"/>
      <c r="AJ168" s="142"/>
      <c r="AK168" s="142"/>
      <c r="AL168" s="142"/>
      <c r="AM168" s="142"/>
      <c r="AN168" s="142"/>
      <c r="AO168" s="131"/>
    </row>
    <row r="169" ht="13.5" customHeight="1">
      <c r="A169" s="142"/>
      <c r="B169" s="142"/>
      <c r="C169" s="142"/>
      <c r="D169" s="142"/>
      <c r="E169" s="308"/>
      <c r="F169" s="131"/>
      <c r="G169" s="131"/>
      <c r="H169" s="131"/>
      <c r="I169" s="219"/>
      <c r="J169" s="198"/>
      <c r="K169" s="131"/>
      <c r="L169" s="131"/>
      <c r="M169" s="131"/>
      <c r="N169" s="131"/>
      <c r="O169" s="131"/>
      <c r="P169" s="131"/>
      <c r="Q169" s="131"/>
      <c r="R169" s="131"/>
      <c r="S169" s="131"/>
      <c r="T169" s="131"/>
      <c r="U169" s="131"/>
      <c r="V169" s="131"/>
      <c r="W169" s="131"/>
      <c r="X169" s="131"/>
      <c r="Y169" s="131"/>
      <c r="Z169" s="142"/>
      <c r="AA169" s="142"/>
      <c r="AB169" s="142"/>
      <c r="AC169" s="142"/>
      <c r="AD169" s="142"/>
      <c r="AE169" s="142"/>
      <c r="AF169" s="142"/>
      <c r="AG169" s="142"/>
      <c r="AH169" s="142"/>
      <c r="AI169" s="142"/>
      <c r="AJ169" s="142"/>
      <c r="AK169" s="142"/>
      <c r="AL169" s="142"/>
      <c r="AM169" s="142"/>
      <c r="AN169" s="142"/>
      <c r="AO169" s="131"/>
    </row>
    <row r="170" ht="13.5" customHeight="1">
      <c r="A170" s="142"/>
      <c r="B170" s="142"/>
      <c r="C170" s="142"/>
      <c r="D170" s="142"/>
      <c r="E170" s="308"/>
      <c r="F170" s="131"/>
      <c r="G170" s="131"/>
      <c r="H170" s="131"/>
      <c r="I170" s="219"/>
      <c r="J170" s="198"/>
      <c r="K170" s="131"/>
      <c r="L170" s="131"/>
      <c r="M170" s="131"/>
      <c r="N170" s="131"/>
      <c r="O170" s="131"/>
      <c r="P170" s="131"/>
      <c r="Q170" s="131"/>
      <c r="R170" s="131"/>
      <c r="S170" s="131"/>
      <c r="T170" s="131"/>
      <c r="U170" s="131"/>
      <c r="V170" s="131"/>
      <c r="W170" s="131"/>
      <c r="X170" s="131"/>
      <c r="Y170" s="131"/>
      <c r="Z170" s="142"/>
      <c r="AA170" s="142"/>
      <c r="AB170" s="142"/>
      <c r="AC170" s="142"/>
      <c r="AD170" s="142"/>
      <c r="AE170" s="142"/>
      <c r="AF170" s="142"/>
      <c r="AG170" s="142"/>
      <c r="AH170" s="142"/>
      <c r="AI170" s="142"/>
      <c r="AJ170" s="142"/>
      <c r="AK170" s="142"/>
      <c r="AL170" s="142"/>
      <c r="AM170" s="142"/>
      <c r="AN170" s="142"/>
      <c r="AO170" s="131"/>
    </row>
    <row r="171" ht="13.5" customHeight="1">
      <c r="A171" s="142"/>
      <c r="B171" s="142"/>
      <c r="C171" s="142"/>
      <c r="D171" s="142"/>
      <c r="E171" s="308"/>
      <c r="F171" s="131"/>
      <c r="G171" s="131"/>
      <c r="H171" s="131"/>
      <c r="I171" s="219"/>
      <c r="J171" s="198"/>
      <c r="K171" s="131"/>
      <c r="L171" s="131"/>
      <c r="M171" s="131"/>
      <c r="N171" s="131"/>
      <c r="O171" s="131"/>
      <c r="P171" s="131"/>
      <c r="Q171" s="131"/>
      <c r="R171" s="131"/>
      <c r="S171" s="131"/>
      <c r="T171" s="131"/>
      <c r="U171" s="131"/>
      <c r="V171" s="131"/>
      <c r="W171" s="131"/>
      <c r="X171" s="131"/>
      <c r="Y171" s="131"/>
      <c r="Z171" s="142"/>
      <c r="AA171" s="142"/>
      <c r="AB171" s="142"/>
      <c r="AC171" s="142"/>
      <c r="AD171" s="142"/>
      <c r="AE171" s="142"/>
      <c r="AF171" s="142"/>
      <c r="AG171" s="142"/>
      <c r="AH171" s="142"/>
      <c r="AI171" s="142"/>
      <c r="AJ171" s="142"/>
      <c r="AK171" s="142"/>
      <c r="AL171" s="142"/>
      <c r="AM171" s="142"/>
      <c r="AN171" s="142"/>
      <c r="AO171" s="131"/>
    </row>
    <row r="172" ht="13.5" customHeight="1">
      <c r="A172" s="142"/>
      <c r="B172" s="142"/>
      <c r="C172" s="142"/>
      <c r="D172" s="142"/>
      <c r="E172" s="308"/>
      <c r="F172" s="131"/>
      <c r="G172" s="131"/>
      <c r="H172" s="131"/>
      <c r="I172" s="219"/>
      <c r="J172" s="198"/>
      <c r="K172" s="131"/>
      <c r="L172" s="131"/>
      <c r="M172" s="131"/>
      <c r="N172" s="131"/>
      <c r="O172" s="131"/>
      <c r="P172" s="131"/>
      <c r="Q172" s="131"/>
      <c r="R172" s="131"/>
      <c r="S172" s="131"/>
      <c r="T172" s="131"/>
      <c r="U172" s="131"/>
      <c r="V172" s="131"/>
      <c r="W172" s="131"/>
      <c r="X172" s="131"/>
      <c r="Y172" s="131"/>
      <c r="Z172" s="142"/>
      <c r="AA172" s="142"/>
      <c r="AB172" s="142"/>
      <c r="AC172" s="142"/>
      <c r="AD172" s="142"/>
      <c r="AE172" s="142"/>
      <c r="AF172" s="142"/>
      <c r="AG172" s="142"/>
      <c r="AH172" s="142"/>
      <c r="AI172" s="142"/>
      <c r="AJ172" s="142"/>
      <c r="AK172" s="142"/>
      <c r="AL172" s="142"/>
      <c r="AM172" s="142"/>
      <c r="AN172" s="142"/>
      <c r="AO172" s="131"/>
    </row>
    <row r="173" ht="13.5" customHeight="1">
      <c r="A173" s="142"/>
      <c r="B173" s="142"/>
      <c r="C173" s="142"/>
      <c r="D173" s="142"/>
      <c r="E173" s="308"/>
      <c r="F173" s="131"/>
      <c r="G173" s="131"/>
      <c r="H173" s="131"/>
      <c r="I173" s="219"/>
      <c r="J173" s="198"/>
      <c r="K173" s="131"/>
      <c r="L173" s="131"/>
      <c r="M173" s="131"/>
      <c r="N173" s="131"/>
      <c r="O173" s="131"/>
      <c r="P173" s="131"/>
      <c r="Q173" s="131"/>
      <c r="R173" s="131"/>
      <c r="S173" s="131"/>
      <c r="T173" s="131"/>
      <c r="U173" s="131"/>
      <c r="V173" s="131"/>
      <c r="W173" s="131"/>
      <c r="X173" s="131"/>
      <c r="Y173" s="131"/>
      <c r="Z173" s="142"/>
      <c r="AA173" s="142"/>
      <c r="AB173" s="142"/>
      <c r="AC173" s="142"/>
      <c r="AD173" s="142"/>
      <c r="AE173" s="142"/>
      <c r="AF173" s="142"/>
      <c r="AG173" s="142"/>
      <c r="AH173" s="142"/>
      <c r="AI173" s="142"/>
      <c r="AJ173" s="142"/>
      <c r="AK173" s="142"/>
      <c r="AL173" s="142"/>
      <c r="AM173" s="142"/>
      <c r="AN173" s="142"/>
      <c r="AO173" s="131"/>
    </row>
    <row r="174" ht="13.5" customHeight="1">
      <c r="A174" s="142"/>
      <c r="B174" s="142"/>
      <c r="C174" s="142"/>
      <c r="D174" s="142"/>
      <c r="E174" s="308"/>
      <c r="F174" s="131"/>
      <c r="G174" s="131"/>
      <c r="H174" s="131"/>
      <c r="I174" s="219"/>
      <c r="J174" s="198"/>
      <c r="K174" s="131"/>
      <c r="L174" s="131"/>
      <c r="M174" s="131"/>
      <c r="N174" s="131"/>
      <c r="O174" s="131"/>
      <c r="P174" s="131"/>
      <c r="Q174" s="131"/>
      <c r="R174" s="131"/>
      <c r="S174" s="131"/>
      <c r="T174" s="131"/>
      <c r="U174" s="131"/>
      <c r="V174" s="131"/>
      <c r="W174" s="131"/>
      <c r="X174" s="131"/>
      <c r="Y174" s="131"/>
      <c r="Z174" s="142"/>
      <c r="AA174" s="142"/>
      <c r="AB174" s="142"/>
      <c r="AC174" s="142"/>
      <c r="AD174" s="142"/>
      <c r="AE174" s="142"/>
      <c r="AF174" s="142"/>
      <c r="AG174" s="142"/>
      <c r="AH174" s="142"/>
      <c r="AI174" s="142"/>
      <c r="AJ174" s="142"/>
      <c r="AK174" s="142"/>
      <c r="AL174" s="142"/>
      <c r="AM174" s="142"/>
      <c r="AN174" s="142"/>
      <c r="AO174" s="131"/>
    </row>
    <row r="175" ht="13.5" customHeight="1">
      <c r="A175" s="142"/>
      <c r="B175" s="142"/>
      <c r="C175" s="142"/>
      <c r="D175" s="142"/>
      <c r="E175" s="308"/>
      <c r="F175" s="131"/>
      <c r="G175" s="131"/>
      <c r="H175" s="131"/>
      <c r="I175" s="219"/>
      <c r="J175" s="198"/>
      <c r="K175" s="131"/>
      <c r="L175" s="131"/>
      <c r="M175" s="131"/>
      <c r="N175" s="131"/>
      <c r="O175" s="131"/>
      <c r="P175" s="131"/>
      <c r="Q175" s="131"/>
      <c r="R175" s="131"/>
      <c r="S175" s="131"/>
      <c r="T175" s="131"/>
      <c r="U175" s="131"/>
      <c r="V175" s="131"/>
      <c r="W175" s="131"/>
      <c r="X175" s="131"/>
      <c r="Y175" s="131"/>
      <c r="Z175" s="142"/>
      <c r="AA175" s="142"/>
      <c r="AB175" s="142"/>
      <c r="AC175" s="142"/>
      <c r="AD175" s="142"/>
      <c r="AE175" s="142"/>
      <c r="AF175" s="142"/>
      <c r="AG175" s="142"/>
      <c r="AH175" s="142"/>
      <c r="AI175" s="142"/>
      <c r="AJ175" s="142"/>
      <c r="AK175" s="142"/>
      <c r="AL175" s="142"/>
      <c r="AM175" s="142"/>
      <c r="AN175" s="142"/>
      <c r="AO175" s="131"/>
    </row>
    <row r="176" ht="13.5" customHeight="1">
      <c r="A176" s="142"/>
      <c r="B176" s="142"/>
      <c r="C176" s="142"/>
      <c r="D176" s="142"/>
      <c r="E176" s="308"/>
      <c r="F176" s="131"/>
      <c r="G176" s="131"/>
      <c r="H176" s="131"/>
      <c r="I176" s="219"/>
      <c r="J176" s="198"/>
      <c r="K176" s="131"/>
      <c r="L176" s="131"/>
      <c r="M176" s="131"/>
      <c r="N176" s="131"/>
      <c r="O176" s="131"/>
      <c r="P176" s="131"/>
      <c r="Q176" s="131"/>
      <c r="R176" s="131"/>
      <c r="S176" s="131"/>
      <c r="T176" s="131"/>
      <c r="U176" s="131"/>
      <c r="V176" s="131"/>
      <c r="W176" s="131"/>
      <c r="X176" s="131"/>
      <c r="Y176" s="131"/>
      <c r="Z176" s="142"/>
      <c r="AA176" s="142"/>
      <c r="AB176" s="142"/>
      <c r="AC176" s="142"/>
      <c r="AD176" s="142"/>
      <c r="AE176" s="142"/>
      <c r="AF176" s="142"/>
      <c r="AG176" s="142"/>
      <c r="AH176" s="142"/>
      <c r="AI176" s="142"/>
      <c r="AJ176" s="142"/>
      <c r="AK176" s="142"/>
      <c r="AL176" s="142"/>
      <c r="AM176" s="142"/>
      <c r="AN176" s="142"/>
      <c r="AO176" s="131"/>
    </row>
    <row r="177" ht="13.5" customHeight="1">
      <c r="A177" s="142"/>
      <c r="B177" s="142"/>
      <c r="C177" s="142"/>
      <c r="D177" s="142"/>
      <c r="E177" s="308"/>
      <c r="F177" s="131"/>
      <c r="G177" s="131"/>
      <c r="H177" s="131"/>
      <c r="I177" s="219"/>
      <c r="J177" s="198"/>
      <c r="K177" s="131"/>
      <c r="L177" s="131"/>
      <c r="M177" s="131"/>
      <c r="N177" s="131"/>
      <c r="O177" s="131"/>
      <c r="P177" s="131"/>
      <c r="Q177" s="131"/>
      <c r="R177" s="131"/>
      <c r="S177" s="131"/>
      <c r="T177" s="131"/>
      <c r="U177" s="131"/>
      <c r="V177" s="131"/>
      <c r="W177" s="131"/>
      <c r="X177" s="131"/>
      <c r="Y177" s="131"/>
      <c r="Z177" s="142"/>
      <c r="AA177" s="142"/>
      <c r="AB177" s="142"/>
      <c r="AC177" s="142"/>
      <c r="AD177" s="142"/>
      <c r="AE177" s="142"/>
      <c r="AF177" s="142"/>
      <c r="AG177" s="142"/>
      <c r="AH177" s="142"/>
      <c r="AI177" s="142"/>
      <c r="AJ177" s="142"/>
      <c r="AK177" s="142"/>
      <c r="AL177" s="142"/>
      <c r="AM177" s="142"/>
      <c r="AN177" s="142"/>
      <c r="AO177" s="131"/>
    </row>
    <row r="178" ht="13.5" customHeight="1">
      <c r="A178" s="142"/>
      <c r="B178" s="142"/>
      <c r="C178" s="142"/>
      <c r="D178" s="142"/>
      <c r="E178" s="308"/>
      <c r="F178" s="131"/>
      <c r="G178" s="131"/>
      <c r="H178" s="131"/>
      <c r="I178" s="219"/>
      <c r="J178" s="198"/>
      <c r="K178" s="131"/>
      <c r="L178" s="131"/>
      <c r="M178" s="131"/>
      <c r="N178" s="131"/>
      <c r="O178" s="131"/>
      <c r="P178" s="131"/>
      <c r="Q178" s="131"/>
      <c r="R178" s="131"/>
      <c r="S178" s="131"/>
      <c r="T178" s="131"/>
      <c r="U178" s="131"/>
      <c r="V178" s="131"/>
      <c r="W178" s="131"/>
      <c r="X178" s="131"/>
      <c r="Y178" s="131"/>
      <c r="Z178" s="142"/>
      <c r="AA178" s="142"/>
      <c r="AB178" s="142"/>
      <c r="AC178" s="142"/>
      <c r="AD178" s="142"/>
      <c r="AE178" s="142"/>
      <c r="AF178" s="142"/>
      <c r="AG178" s="142"/>
      <c r="AH178" s="142"/>
      <c r="AI178" s="142"/>
      <c r="AJ178" s="142"/>
      <c r="AK178" s="142"/>
      <c r="AL178" s="142"/>
      <c r="AM178" s="142"/>
      <c r="AN178" s="142"/>
      <c r="AO178" s="131"/>
    </row>
    <row r="179" ht="13.5" customHeight="1">
      <c r="A179" s="142"/>
      <c r="B179" s="142"/>
      <c r="C179" s="142"/>
      <c r="D179" s="142"/>
      <c r="E179" s="308"/>
      <c r="F179" s="131"/>
      <c r="G179" s="131"/>
      <c r="H179" s="131"/>
      <c r="I179" s="219"/>
      <c r="J179" s="198"/>
      <c r="K179" s="131"/>
      <c r="L179" s="131"/>
      <c r="M179" s="131"/>
      <c r="N179" s="131"/>
      <c r="O179" s="131"/>
      <c r="P179" s="131"/>
      <c r="Q179" s="131"/>
      <c r="R179" s="131"/>
      <c r="S179" s="131"/>
      <c r="T179" s="131"/>
      <c r="U179" s="131"/>
      <c r="V179" s="131"/>
      <c r="W179" s="131"/>
      <c r="X179" s="131"/>
      <c r="Y179" s="131"/>
      <c r="Z179" s="142"/>
      <c r="AA179" s="142"/>
      <c r="AB179" s="142"/>
      <c r="AC179" s="142"/>
      <c r="AD179" s="142"/>
      <c r="AE179" s="142"/>
      <c r="AF179" s="142"/>
      <c r="AG179" s="142"/>
      <c r="AH179" s="142"/>
      <c r="AI179" s="142"/>
      <c r="AJ179" s="142"/>
      <c r="AK179" s="142"/>
      <c r="AL179" s="142"/>
      <c r="AM179" s="142"/>
      <c r="AN179" s="142"/>
      <c r="AO179" s="131"/>
    </row>
    <row r="180" ht="13.5" customHeight="1">
      <c r="A180" s="142"/>
      <c r="B180" s="142"/>
      <c r="C180" s="142"/>
      <c r="D180" s="142"/>
      <c r="E180" s="308"/>
      <c r="F180" s="131"/>
      <c r="G180" s="131"/>
      <c r="H180" s="131"/>
      <c r="I180" s="219"/>
      <c r="J180" s="198"/>
      <c r="K180" s="131"/>
      <c r="L180" s="131"/>
      <c r="M180" s="131"/>
      <c r="N180" s="131"/>
      <c r="O180" s="131"/>
      <c r="P180" s="131"/>
      <c r="Q180" s="131"/>
      <c r="R180" s="131"/>
      <c r="S180" s="131"/>
      <c r="T180" s="131"/>
      <c r="U180" s="131"/>
      <c r="V180" s="131"/>
      <c r="W180" s="131"/>
      <c r="X180" s="131"/>
      <c r="Y180" s="131"/>
      <c r="Z180" s="142"/>
      <c r="AA180" s="142"/>
      <c r="AB180" s="142"/>
      <c r="AC180" s="142"/>
      <c r="AD180" s="142"/>
      <c r="AE180" s="142"/>
      <c r="AF180" s="142"/>
      <c r="AG180" s="142"/>
      <c r="AH180" s="142"/>
      <c r="AI180" s="142"/>
      <c r="AJ180" s="142"/>
      <c r="AK180" s="142"/>
      <c r="AL180" s="142"/>
      <c r="AM180" s="142"/>
      <c r="AN180" s="142"/>
      <c r="AO180" s="131"/>
    </row>
    <row r="181" ht="13.5" customHeight="1">
      <c r="A181" s="142"/>
      <c r="B181" s="142"/>
      <c r="C181" s="142"/>
      <c r="D181" s="142"/>
      <c r="E181" s="308"/>
      <c r="F181" s="131"/>
      <c r="G181" s="131"/>
      <c r="H181" s="131"/>
      <c r="I181" s="219"/>
      <c r="J181" s="198"/>
      <c r="K181" s="131"/>
      <c r="L181" s="131"/>
      <c r="M181" s="131"/>
      <c r="N181" s="131"/>
      <c r="O181" s="131"/>
      <c r="P181" s="131"/>
      <c r="Q181" s="131"/>
      <c r="R181" s="131"/>
      <c r="S181" s="131"/>
      <c r="T181" s="131"/>
      <c r="U181" s="131"/>
      <c r="V181" s="131"/>
      <c r="W181" s="131"/>
      <c r="X181" s="131"/>
      <c r="Y181" s="131"/>
      <c r="Z181" s="142"/>
      <c r="AA181" s="142"/>
      <c r="AB181" s="142"/>
      <c r="AC181" s="142"/>
      <c r="AD181" s="142"/>
      <c r="AE181" s="142"/>
      <c r="AF181" s="142"/>
      <c r="AG181" s="142"/>
      <c r="AH181" s="142"/>
      <c r="AI181" s="142"/>
      <c r="AJ181" s="142"/>
      <c r="AK181" s="142"/>
      <c r="AL181" s="142"/>
      <c r="AM181" s="142"/>
      <c r="AN181" s="142"/>
      <c r="AO181" s="131"/>
    </row>
    <row r="182" ht="13.5" customHeight="1">
      <c r="A182" s="142"/>
      <c r="B182" s="142"/>
      <c r="C182" s="142"/>
      <c r="D182" s="142"/>
      <c r="E182" s="308"/>
      <c r="F182" s="131"/>
      <c r="G182" s="131"/>
      <c r="H182" s="131"/>
      <c r="I182" s="219"/>
      <c r="J182" s="198"/>
      <c r="K182" s="131"/>
      <c r="L182" s="131"/>
      <c r="M182" s="131"/>
      <c r="N182" s="131"/>
      <c r="O182" s="131"/>
      <c r="P182" s="131"/>
      <c r="Q182" s="131"/>
      <c r="R182" s="131"/>
      <c r="S182" s="131"/>
      <c r="T182" s="131"/>
      <c r="U182" s="131"/>
      <c r="V182" s="131"/>
      <c r="W182" s="131"/>
      <c r="X182" s="131"/>
      <c r="Y182" s="131"/>
      <c r="Z182" s="142"/>
      <c r="AA182" s="142"/>
      <c r="AB182" s="142"/>
      <c r="AC182" s="142"/>
      <c r="AD182" s="142"/>
      <c r="AE182" s="142"/>
      <c r="AF182" s="142"/>
      <c r="AG182" s="142"/>
      <c r="AH182" s="142"/>
      <c r="AI182" s="142"/>
      <c r="AJ182" s="142"/>
      <c r="AK182" s="142"/>
      <c r="AL182" s="142"/>
      <c r="AM182" s="142"/>
      <c r="AN182" s="142"/>
      <c r="AO182" s="131"/>
    </row>
    <row r="183" ht="13.5" customHeight="1">
      <c r="A183" s="142"/>
      <c r="B183" s="142"/>
      <c r="C183" s="142"/>
      <c r="D183" s="142"/>
      <c r="E183" s="308"/>
      <c r="F183" s="131"/>
      <c r="G183" s="131"/>
      <c r="H183" s="131"/>
      <c r="I183" s="219"/>
      <c r="J183" s="198"/>
      <c r="K183" s="131"/>
      <c r="L183" s="131"/>
      <c r="M183" s="131"/>
      <c r="N183" s="131"/>
      <c r="O183" s="131"/>
      <c r="P183" s="131"/>
      <c r="Q183" s="131"/>
      <c r="R183" s="131"/>
      <c r="S183" s="131"/>
      <c r="T183" s="131"/>
      <c r="U183" s="131"/>
      <c r="V183" s="131"/>
      <c r="W183" s="131"/>
      <c r="X183" s="131"/>
      <c r="Y183" s="131"/>
      <c r="Z183" s="142"/>
      <c r="AA183" s="142"/>
      <c r="AB183" s="142"/>
      <c r="AC183" s="142"/>
      <c r="AD183" s="142"/>
      <c r="AE183" s="142"/>
      <c r="AF183" s="142"/>
      <c r="AG183" s="142"/>
      <c r="AH183" s="142"/>
      <c r="AI183" s="142"/>
      <c r="AJ183" s="142"/>
      <c r="AK183" s="142"/>
      <c r="AL183" s="142"/>
      <c r="AM183" s="142"/>
      <c r="AN183" s="142"/>
      <c r="AO183" s="131"/>
    </row>
    <row r="184" ht="13.5" customHeight="1">
      <c r="A184" s="142"/>
      <c r="B184" s="142"/>
      <c r="C184" s="142"/>
      <c r="D184" s="142"/>
      <c r="E184" s="308"/>
      <c r="F184" s="131"/>
      <c r="G184" s="131"/>
      <c r="H184" s="131"/>
      <c r="I184" s="219"/>
      <c r="J184" s="198"/>
      <c r="K184" s="131"/>
      <c r="L184" s="131"/>
      <c r="M184" s="131"/>
      <c r="N184" s="131"/>
      <c r="O184" s="131"/>
      <c r="P184" s="131"/>
      <c r="Q184" s="131"/>
      <c r="R184" s="131"/>
      <c r="S184" s="131"/>
      <c r="T184" s="131"/>
      <c r="U184" s="131"/>
      <c r="V184" s="131"/>
      <c r="W184" s="131"/>
      <c r="X184" s="131"/>
      <c r="Y184" s="131"/>
      <c r="Z184" s="142"/>
      <c r="AA184" s="142"/>
      <c r="AB184" s="142"/>
      <c r="AC184" s="142"/>
      <c r="AD184" s="142"/>
      <c r="AE184" s="142"/>
      <c r="AF184" s="142"/>
      <c r="AG184" s="142"/>
      <c r="AH184" s="142"/>
      <c r="AI184" s="142"/>
      <c r="AJ184" s="142"/>
      <c r="AK184" s="142"/>
      <c r="AL184" s="142"/>
      <c r="AM184" s="142"/>
      <c r="AN184" s="142"/>
      <c r="AO184" s="131"/>
    </row>
    <row r="185" ht="13.5" customHeight="1">
      <c r="A185" s="142"/>
      <c r="B185" s="142"/>
      <c r="C185" s="142"/>
      <c r="D185" s="142"/>
      <c r="E185" s="308"/>
      <c r="F185" s="131"/>
      <c r="G185" s="131"/>
      <c r="H185" s="131"/>
      <c r="I185" s="219"/>
      <c r="J185" s="198"/>
      <c r="K185" s="131"/>
      <c r="L185" s="131"/>
      <c r="M185" s="131"/>
      <c r="N185" s="131"/>
      <c r="O185" s="131"/>
      <c r="P185" s="131"/>
      <c r="Q185" s="131"/>
      <c r="R185" s="131"/>
      <c r="S185" s="131"/>
      <c r="T185" s="131"/>
      <c r="U185" s="131"/>
      <c r="V185" s="131"/>
      <c r="W185" s="131"/>
      <c r="X185" s="131"/>
      <c r="Y185" s="131"/>
      <c r="Z185" s="142"/>
      <c r="AA185" s="142"/>
      <c r="AB185" s="142"/>
      <c r="AC185" s="142"/>
      <c r="AD185" s="142"/>
      <c r="AE185" s="142"/>
      <c r="AF185" s="142"/>
      <c r="AG185" s="142"/>
      <c r="AH185" s="142"/>
      <c r="AI185" s="142"/>
      <c r="AJ185" s="142"/>
      <c r="AK185" s="142"/>
      <c r="AL185" s="142"/>
      <c r="AM185" s="142"/>
      <c r="AN185" s="142"/>
      <c r="AO185" s="131"/>
    </row>
    <row r="186" ht="13.5" customHeight="1">
      <c r="A186" s="142"/>
      <c r="B186" s="142"/>
      <c r="C186" s="142"/>
      <c r="D186" s="142"/>
      <c r="E186" s="308"/>
      <c r="F186" s="131"/>
      <c r="G186" s="131"/>
      <c r="H186" s="131"/>
      <c r="I186" s="219"/>
      <c r="J186" s="198"/>
      <c r="K186" s="131"/>
      <c r="L186" s="131"/>
      <c r="M186" s="131"/>
      <c r="N186" s="131"/>
      <c r="O186" s="131"/>
      <c r="P186" s="131"/>
      <c r="Q186" s="131"/>
      <c r="R186" s="131"/>
      <c r="S186" s="131"/>
      <c r="T186" s="131"/>
      <c r="U186" s="131"/>
      <c r="V186" s="131"/>
      <c r="W186" s="131"/>
      <c r="X186" s="131"/>
      <c r="Y186" s="131"/>
      <c r="Z186" s="142"/>
      <c r="AA186" s="142"/>
      <c r="AB186" s="142"/>
      <c r="AC186" s="142"/>
      <c r="AD186" s="142"/>
      <c r="AE186" s="142"/>
      <c r="AF186" s="142"/>
      <c r="AG186" s="142"/>
      <c r="AH186" s="142"/>
      <c r="AI186" s="142"/>
      <c r="AJ186" s="142"/>
      <c r="AK186" s="142"/>
      <c r="AL186" s="142"/>
      <c r="AM186" s="142"/>
      <c r="AN186" s="142"/>
      <c r="AO186" s="131"/>
    </row>
    <row r="187" ht="13.5" customHeight="1">
      <c r="A187" s="142"/>
      <c r="B187" s="142"/>
      <c r="C187" s="142"/>
      <c r="D187" s="142"/>
      <c r="E187" s="308"/>
      <c r="F187" s="131"/>
      <c r="G187" s="131"/>
      <c r="H187" s="131"/>
      <c r="I187" s="219"/>
      <c r="J187" s="198"/>
      <c r="K187" s="131"/>
      <c r="L187" s="131"/>
      <c r="M187" s="131"/>
      <c r="N187" s="131"/>
      <c r="O187" s="131"/>
      <c r="P187" s="131"/>
      <c r="Q187" s="131"/>
      <c r="R187" s="131"/>
      <c r="S187" s="131"/>
      <c r="T187" s="131"/>
      <c r="U187" s="131"/>
      <c r="V187" s="131"/>
      <c r="W187" s="131"/>
      <c r="X187" s="131"/>
      <c r="Y187" s="131"/>
      <c r="Z187" s="142"/>
      <c r="AA187" s="142"/>
      <c r="AB187" s="142"/>
      <c r="AC187" s="142"/>
      <c r="AD187" s="142"/>
      <c r="AE187" s="142"/>
      <c r="AF187" s="142"/>
      <c r="AG187" s="142"/>
      <c r="AH187" s="142"/>
      <c r="AI187" s="142"/>
      <c r="AJ187" s="142"/>
      <c r="AK187" s="142"/>
      <c r="AL187" s="142"/>
      <c r="AM187" s="142"/>
      <c r="AN187" s="142"/>
      <c r="AO187" s="131"/>
    </row>
    <row r="188" ht="13.5" customHeight="1">
      <c r="A188" s="142"/>
      <c r="B188" s="142"/>
      <c r="C188" s="142"/>
      <c r="D188" s="142"/>
      <c r="E188" s="308"/>
      <c r="F188" s="131"/>
      <c r="G188" s="131"/>
      <c r="H188" s="131"/>
      <c r="I188" s="219"/>
      <c r="J188" s="198"/>
      <c r="K188" s="131"/>
      <c r="L188" s="131"/>
      <c r="M188" s="131"/>
      <c r="N188" s="131"/>
      <c r="O188" s="131"/>
      <c r="P188" s="131"/>
      <c r="Q188" s="131"/>
      <c r="R188" s="131"/>
      <c r="S188" s="131"/>
      <c r="T188" s="131"/>
      <c r="U188" s="131"/>
      <c r="V188" s="131"/>
      <c r="W188" s="131"/>
      <c r="X188" s="131"/>
      <c r="Y188" s="131"/>
      <c r="Z188" s="142"/>
      <c r="AA188" s="142"/>
      <c r="AB188" s="142"/>
      <c r="AC188" s="142"/>
      <c r="AD188" s="142"/>
      <c r="AE188" s="142"/>
      <c r="AF188" s="142"/>
      <c r="AG188" s="142"/>
      <c r="AH188" s="142"/>
      <c r="AI188" s="142"/>
      <c r="AJ188" s="142"/>
      <c r="AK188" s="142"/>
      <c r="AL188" s="142"/>
      <c r="AM188" s="142"/>
      <c r="AN188" s="142"/>
      <c r="AO188" s="131"/>
    </row>
    <row r="189" ht="13.5" customHeight="1">
      <c r="A189" s="142"/>
      <c r="B189" s="142"/>
      <c r="C189" s="142"/>
      <c r="D189" s="142"/>
      <c r="E189" s="308"/>
      <c r="F189" s="131"/>
      <c r="G189" s="131"/>
      <c r="H189" s="131"/>
      <c r="I189" s="219"/>
      <c r="J189" s="198"/>
      <c r="K189" s="131"/>
      <c r="L189" s="131"/>
      <c r="M189" s="131"/>
      <c r="N189" s="131"/>
      <c r="O189" s="131"/>
      <c r="P189" s="131"/>
      <c r="Q189" s="131"/>
      <c r="R189" s="131"/>
      <c r="S189" s="131"/>
      <c r="T189" s="131"/>
      <c r="U189" s="131"/>
      <c r="V189" s="131"/>
      <c r="W189" s="131"/>
      <c r="X189" s="131"/>
      <c r="Y189" s="131"/>
      <c r="Z189" s="142"/>
      <c r="AA189" s="142"/>
      <c r="AB189" s="142"/>
      <c r="AC189" s="142"/>
      <c r="AD189" s="142"/>
      <c r="AE189" s="142"/>
      <c r="AF189" s="142"/>
      <c r="AG189" s="142"/>
      <c r="AH189" s="142"/>
      <c r="AI189" s="142"/>
      <c r="AJ189" s="142"/>
      <c r="AK189" s="142"/>
      <c r="AL189" s="142"/>
      <c r="AM189" s="142"/>
      <c r="AN189" s="142"/>
      <c r="AO189" s="131"/>
    </row>
    <row r="190" ht="13.5" customHeight="1">
      <c r="A190" s="142"/>
      <c r="B190" s="142"/>
      <c r="C190" s="142"/>
      <c r="D190" s="142"/>
      <c r="E190" s="308"/>
      <c r="F190" s="131"/>
      <c r="G190" s="131"/>
      <c r="H190" s="131"/>
      <c r="I190" s="219"/>
      <c r="J190" s="198"/>
      <c r="K190" s="131"/>
      <c r="L190" s="131"/>
      <c r="M190" s="131"/>
      <c r="N190" s="131"/>
      <c r="O190" s="131"/>
      <c r="P190" s="131"/>
      <c r="Q190" s="131"/>
      <c r="R190" s="131"/>
      <c r="S190" s="131"/>
      <c r="T190" s="131"/>
      <c r="U190" s="131"/>
      <c r="V190" s="131"/>
      <c r="W190" s="131"/>
      <c r="X190" s="131"/>
      <c r="Y190" s="131"/>
      <c r="Z190" s="142"/>
      <c r="AA190" s="142"/>
      <c r="AB190" s="142"/>
      <c r="AC190" s="142"/>
      <c r="AD190" s="142"/>
      <c r="AE190" s="142"/>
      <c r="AF190" s="142"/>
      <c r="AG190" s="142"/>
      <c r="AH190" s="142"/>
      <c r="AI190" s="142"/>
      <c r="AJ190" s="142"/>
      <c r="AK190" s="142"/>
      <c r="AL190" s="142"/>
      <c r="AM190" s="142"/>
      <c r="AN190" s="142"/>
      <c r="AO190" s="131"/>
    </row>
    <row r="191" ht="13.5" customHeight="1">
      <c r="A191" s="142"/>
      <c r="B191" s="142"/>
      <c r="C191" s="142"/>
      <c r="D191" s="142"/>
      <c r="E191" s="308"/>
      <c r="F191" s="131"/>
      <c r="G191" s="131"/>
      <c r="H191" s="131"/>
      <c r="I191" s="219"/>
      <c r="J191" s="198"/>
      <c r="K191" s="131"/>
      <c r="L191" s="131"/>
      <c r="M191" s="131"/>
      <c r="N191" s="131"/>
      <c r="O191" s="131"/>
      <c r="P191" s="131"/>
      <c r="Q191" s="131"/>
      <c r="R191" s="131"/>
      <c r="S191" s="131"/>
      <c r="T191" s="131"/>
      <c r="U191" s="131"/>
      <c r="V191" s="131"/>
      <c r="W191" s="131"/>
      <c r="X191" s="131"/>
      <c r="Y191" s="131"/>
      <c r="Z191" s="142"/>
      <c r="AA191" s="142"/>
      <c r="AB191" s="142"/>
      <c r="AC191" s="142"/>
      <c r="AD191" s="142"/>
      <c r="AE191" s="142"/>
      <c r="AF191" s="142"/>
      <c r="AG191" s="142"/>
      <c r="AH191" s="142"/>
      <c r="AI191" s="142"/>
      <c r="AJ191" s="142"/>
      <c r="AK191" s="142"/>
      <c r="AL191" s="142"/>
      <c r="AM191" s="142"/>
      <c r="AN191" s="142"/>
      <c r="AO191" s="131"/>
    </row>
    <row r="192" ht="13.5" customHeight="1">
      <c r="A192" s="142"/>
      <c r="B192" s="142"/>
      <c r="C192" s="142"/>
      <c r="D192" s="142"/>
      <c r="E192" s="308"/>
      <c r="F192" s="131"/>
      <c r="G192" s="131"/>
      <c r="H192" s="131"/>
      <c r="I192" s="219"/>
      <c r="J192" s="198"/>
      <c r="K192" s="131"/>
      <c r="L192" s="131"/>
      <c r="M192" s="131"/>
      <c r="N192" s="131"/>
      <c r="O192" s="131"/>
      <c r="P192" s="131"/>
      <c r="Q192" s="131"/>
      <c r="R192" s="131"/>
      <c r="S192" s="131"/>
      <c r="T192" s="131"/>
      <c r="U192" s="131"/>
      <c r="V192" s="131"/>
      <c r="W192" s="131"/>
      <c r="X192" s="131"/>
      <c r="Y192" s="131"/>
      <c r="Z192" s="142"/>
      <c r="AA192" s="142"/>
      <c r="AB192" s="142"/>
      <c r="AC192" s="142"/>
      <c r="AD192" s="142"/>
      <c r="AE192" s="142"/>
      <c r="AF192" s="142"/>
      <c r="AG192" s="142"/>
      <c r="AH192" s="142"/>
      <c r="AI192" s="142"/>
      <c r="AJ192" s="142"/>
      <c r="AK192" s="142"/>
      <c r="AL192" s="142"/>
      <c r="AM192" s="142"/>
      <c r="AN192" s="142"/>
      <c r="AO192" s="131"/>
    </row>
    <row r="193" ht="13.5" customHeight="1">
      <c r="A193" s="142"/>
      <c r="B193" s="142"/>
      <c r="C193" s="142"/>
      <c r="D193" s="142"/>
      <c r="E193" s="308"/>
      <c r="F193" s="131"/>
      <c r="G193" s="131"/>
      <c r="H193" s="131"/>
      <c r="I193" s="219"/>
      <c r="J193" s="198"/>
      <c r="K193" s="131"/>
      <c r="L193" s="131"/>
      <c r="M193" s="131"/>
      <c r="N193" s="131"/>
      <c r="O193" s="131"/>
      <c r="P193" s="131"/>
      <c r="Q193" s="131"/>
      <c r="R193" s="131"/>
      <c r="S193" s="131"/>
      <c r="T193" s="131"/>
      <c r="U193" s="131"/>
      <c r="V193" s="131"/>
      <c r="W193" s="131"/>
      <c r="X193" s="131"/>
      <c r="Y193" s="131"/>
      <c r="Z193" s="142"/>
      <c r="AA193" s="142"/>
      <c r="AB193" s="142"/>
      <c r="AC193" s="142"/>
      <c r="AD193" s="142"/>
      <c r="AE193" s="142"/>
      <c r="AF193" s="142"/>
      <c r="AG193" s="142"/>
      <c r="AH193" s="142"/>
      <c r="AI193" s="142"/>
      <c r="AJ193" s="142"/>
      <c r="AK193" s="142"/>
      <c r="AL193" s="142"/>
      <c r="AM193" s="142"/>
      <c r="AN193" s="142"/>
      <c r="AO193" s="131"/>
    </row>
    <row r="194" ht="13.5" customHeight="1">
      <c r="A194" s="142"/>
      <c r="B194" s="142"/>
      <c r="C194" s="142"/>
      <c r="D194" s="142"/>
      <c r="E194" s="308"/>
      <c r="F194" s="131"/>
      <c r="G194" s="131"/>
      <c r="H194" s="131"/>
      <c r="I194" s="219"/>
      <c r="J194" s="198"/>
      <c r="K194" s="131"/>
      <c r="L194" s="131"/>
      <c r="M194" s="131"/>
      <c r="N194" s="131"/>
      <c r="O194" s="131"/>
      <c r="P194" s="131"/>
      <c r="Q194" s="131"/>
      <c r="R194" s="131"/>
      <c r="S194" s="131"/>
      <c r="T194" s="131"/>
      <c r="U194" s="131"/>
      <c r="V194" s="131"/>
      <c r="W194" s="131"/>
      <c r="X194" s="131"/>
      <c r="Y194" s="131"/>
      <c r="Z194" s="142"/>
      <c r="AA194" s="142"/>
      <c r="AB194" s="142"/>
      <c r="AC194" s="142"/>
      <c r="AD194" s="142"/>
      <c r="AE194" s="142"/>
      <c r="AF194" s="142"/>
      <c r="AG194" s="142"/>
      <c r="AH194" s="142"/>
      <c r="AI194" s="142"/>
      <c r="AJ194" s="142"/>
      <c r="AK194" s="142"/>
      <c r="AL194" s="142"/>
      <c r="AM194" s="142"/>
      <c r="AN194" s="142"/>
      <c r="AO194" s="131"/>
    </row>
    <row r="195" ht="13.5" customHeight="1">
      <c r="A195" s="142"/>
      <c r="B195" s="142"/>
      <c r="C195" s="142"/>
      <c r="D195" s="142"/>
      <c r="E195" s="308"/>
      <c r="F195" s="131"/>
      <c r="G195" s="131"/>
      <c r="H195" s="131"/>
      <c r="I195" s="219"/>
      <c r="J195" s="198"/>
      <c r="K195" s="131"/>
      <c r="L195" s="131"/>
      <c r="M195" s="131"/>
      <c r="N195" s="131"/>
      <c r="O195" s="131"/>
      <c r="P195" s="131"/>
      <c r="Q195" s="131"/>
      <c r="R195" s="131"/>
      <c r="S195" s="131"/>
      <c r="T195" s="131"/>
      <c r="U195" s="131"/>
      <c r="V195" s="131"/>
      <c r="W195" s="131"/>
      <c r="X195" s="131"/>
      <c r="Y195" s="131"/>
      <c r="Z195" s="142"/>
      <c r="AA195" s="142"/>
      <c r="AB195" s="142"/>
      <c r="AC195" s="142"/>
      <c r="AD195" s="142"/>
      <c r="AE195" s="142"/>
      <c r="AF195" s="142"/>
      <c r="AG195" s="142"/>
      <c r="AH195" s="142"/>
      <c r="AI195" s="142"/>
      <c r="AJ195" s="142"/>
      <c r="AK195" s="142"/>
      <c r="AL195" s="142"/>
      <c r="AM195" s="142"/>
      <c r="AN195" s="142"/>
      <c r="AO195" s="131"/>
    </row>
    <row r="196" ht="13.5" customHeight="1">
      <c r="A196" s="142"/>
      <c r="B196" s="142"/>
      <c r="C196" s="142"/>
      <c r="D196" s="142"/>
      <c r="E196" s="308"/>
      <c r="F196" s="131"/>
      <c r="G196" s="131"/>
      <c r="H196" s="131"/>
      <c r="I196" s="219"/>
      <c r="J196" s="198"/>
      <c r="K196" s="131"/>
      <c r="L196" s="131"/>
      <c r="M196" s="131"/>
      <c r="N196" s="131"/>
      <c r="O196" s="131"/>
      <c r="P196" s="131"/>
      <c r="Q196" s="131"/>
      <c r="R196" s="131"/>
      <c r="S196" s="131"/>
      <c r="T196" s="131"/>
      <c r="U196" s="131"/>
      <c r="V196" s="131"/>
      <c r="W196" s="131"/>
      <c r="X196" s="131"/>
      <c r="Y196" s="131"/>
      <c r="Z196" s="142"/>
      <c r="AA196" s="142"/>
      <c r="AB196" s="142"/>
      <c r="AC196" s="142"/>
      <c r="AD196" s="142"/>
      <c r="AE196" s="142"/>
      <c r="AF196" s="142"/>
      <c r="AG196" s="142"/>
      <c r="AH196" s="142"/>
      <c r="AI196" s="142"/>
      <c r="AJ196" s="142"/>
      <c r="AK196" s="142"/>
      <c r="AL196" s="142"/>
      <c r="AM196" s="142"/>
      <c r="AN196" s="142"/>
      <c r="AO196" s="131"/>
    </row>
    <row r="197" ht="13.5" customHeight="1">
      <c r="A197" s="142"/>
      <c r="B197" s="142"/>
      <c r="C197" s="142"/>
      <c r="D197" s="142"/>
      <c r="E197" s="308"/>
      <c r="F197" s="131"/>
      <c r="G197" s="131"/>
      <c r="H197" s="131"/>
      <c r="I197" s="219"/>
      <c r="J197" s="198"/>
      <c r="K197" s="131"/>
      <c r="L197" s="131"/>
      <c r="M197" s="131"/>
      <c r="N197" s="131"/>
      <c r="O197" s="131"/>
      <c r="P197" s="131"/>
      <c r="Q197" s="131"/>
      <c r="R197" s="131"/>
      <c r="S197" s="131"/>
      <c r="T197" s="131"/>
      <c r="U197" s="131"/>
      <c r="V197" s="131"/>
      <c r="W197" s="131"/>
      <c r="X197" s="131"/>
      <c r="Y197" s="131"/>
      <c r="Z197" s="142"/>
      <c r="AA197" s="142"/>
      <c r="AB197" s="142"/>
      <c r="AC197" s="142"/>
      <c r="AD197" s="142"/>
      <c r="AE197" s="142"/>
      <c r="AF197" s="142"/>
      <c r="AG197" s="142"/>
      <c r="AH197" s="142"/>
      <c r="AI197" s="142"/>
      <c r="AJ197" s="142"/>
      <c r="AK197" s="142"/>
      <c r="AL197" s="142"/>
      <c r="AM197" s="142"/>
      <c r="AN197" s="142"/>
      <c r="AO197" s="131"/>
    </row>
    <row r="198" ht="13.5" customHeight="1">
      <c r="A198" s="142"/>
      <c r="B198" s="142"/>
      <c r="C198" s="142"/>
      <c r="D198" s="142"/>
      <c r="E198" s="308"/>
      <c r="F198" s="131"/>
      <c r="G198" s="131"/>
      <c r="H198" s="131"/>
      <c r="I198" s="219"/>
      <c r="J198" s="198"/>
      <c r="K198" s="131"/>
      <c r="L198" s="131"/>
      <c r="M198" s="131"/>
      <c r="N198" s="131"/>
      <c r="O198" s="131"/>
      <c r="P198" s="131"/>
      <c r="Q198" s="131"/>
      <c r="R198" s="131"/>
      <c r="S198" s="131"/>
      <c r="T198" s="131"/>
      <c r="U198" s="131"/>
      <c r="V198" s="131"/>
      <c r="W198" s="131"/>
      <c r="X198" s="131"/>
      <c r="Y198" s="131"/>
      <c r="Z198" s="142"/>
      <c r="AA198" s="142"/>
      <c r="AB198" s="142"/>
      <c r="AC198" s="142"/>
      <c r="AD198" s="142"/>
      <c r="AE198" s="142"/>
      <c r="AF198" s="142"/>
      <c r="AG198" s="142"/>
      <c r="AH198" s="142"/>
      <c r="AI198" s="142"/>
      <c r="AJ198" s="142"/>
      <c r="AK198" s="142"/>
      <c r="AL198" s="142"/>
      <c r="AM198" s="142"/>
      <c r="AN198" s="142"/>
      <c r="AO198" s="131"/>
    </row>
    <row r="199" ht="13.5" customHeight="1">
      <c r="A199" s="142"/>
      <c r="B199" s="142"/>
      <c r="C199" s="142"/>
      <c r="D199" s="142"/>
      <c r="E199" s="308"/>
      <c r="F199" s="131"/>
      <c r="G199" s="131"/>
      <c r="H199" s="131"/>
      <c r="I199" s="219"/>
      <c r="J199" s="198"/>
      <c r="K199" s="131"/>
      <c r="L199" s="131"/>
      <c r="M199" s="131"/>
      <c r="N199" s="131"/>
      <c r="O199" s="131"/>
      <c r="P199" s="131"/>
      <c r="Q199" s="131"/>
      <c r="R199" s="131"/>
      <c r="S199" s="131"/>
      <c r="T199" s="131"/>
      <c r="U199" s="131"/>
      <c r="V199" s="131"/>
      <c r="W199" s="131"/>
      <c r="X199" s="131"/>
      <c r="Y199" s="131"/>
      <c r="Z199" s="142"/>
      <c r="AA199" s="142"/>
      <c r="AB199" s="142"/>
      <c r="AC199" s="142"/>
      <c r="AD199" s="142"/>
      <c r="AE199" s="142"/>
      <c r="AF199" s="142"/>
      <c r="AG199" s="142"/>
      <c r="AH199" s="142"/>
      <c r="AI199" s="142"/>
      <c r="AJ199" s="142"/>
      <c r="AK199" s="142"/>
      <c r="AL199" s="142"/>
      <c r="AM199" s="142"/>
      <c r="AN199" s="142"/>
      <c r="AO199" s="131"/>
    </row>
    <row r="200" ht="13.5" customHeight="1">
      <c r="A200" s="142"/>
      <c r="B200" s="142"/>
      <c r="C200" s="142"/>
      <c r="D200" s="142"/>
      <c r="E200" s="308"/>
      <c r="F200" s="131"/>
      <c r="G200" s="131"/>
      <c r="H200" s="131"/>
      <c r="I200" s="219"/>
      <c r="J200" s="198"/>
      <c r="K200" s="131"/>
      <c r="L200" s="131"/>
      <c r="M200" s="131"/>
      <c r="N200" s="131"/>
      <c r="O200" s="131"/>
      <c r="P200" s="131"/>
      <c r="Q200" s="131"/>
      <c r="R200" s="131"/>
      <c r="S200" s="131"/>
      <c r="T200" s="131"/>
      <c r="U200" s="131"/>
      <c r="V200" s="131"/>
      <c r="W200" s="131"/>
      <c r="X200" s="131"/>
      <c r="Y200" s="131"/>
      <c r="Z200" s="142"/>
      <c r="AA200" s="142"/>
      <c r="AB200" s="142"/>
      <c r="AC200" s="142"/>
      <c r="AD200" s="142"/>
      <c r="AE200" s="142"/>
      <c r="AF200" s="142"/>
      <c r="AG200" s="142"/>
      <c r="AH200" s="142"/>
      <c r="AI200" s="142"/>
      <c r="AJ200" s="142"/>
      <c r="AK200" s="142"/>
      <c r="AL200" s="142"/>
      <c r="AM200" s="142"/>
      <c r="AN200" s="142"/>
      <c r="AO200" s="131"/>
    </row>
    <row r="201" ht="13.5" customHeight="1">
      <c r="A201" s="142"/>
      <c r="B201" s="142"/>
      <c r="C201" s="142"/>
      <c r="D201" s="142"/>
      <c r="E201" s="308"/>
      <c r="F201" s="131"/>
      <c r="G201" s="131"/>
      <c r="H201" s="131"/>
      <c r="I201" s="219"/>
      <c r="J201" s="198"/>
      <c r="K201" s="131"/>
      <c r="L201" s="131"/>
      <c r="M201" s="131"/>
      <c r="N201" s="131"/>
      <c r="O201" s="131"/>
      <c r="P201" s="131"/>
      <c r="Q201" s="131"/>
      <c r="R201" s="131"/>
      <c r="S201" s="131"/>
      <c r="T201" s="131"/>
      <c r="U201" s="131"/>
      <c r="V201" s="131"/>
      <c r="W201" s="131"/>
      <c r="X201" s="131"/>
      <c r="Y201" s="131"/>
      <c r="Z201" s="142"/>
      <c r="AA201" s="142"/>
      <c r="AB201" s="142"/>
      <c r="AC201" s="142"/>
      <c r="AD201" s="142"/>
      <c r="AE201" s="142"/>
      <c r="AF201" s="142"/>
      <c r="AG201" s="142"/>
      <c r="AH201" s="142"/>
      <c r="AI201" s="142"/>
      <c r="AJ201" s="142"/>
      <c r="AK201" s="142"/>
      <c r="AL201" s="142"/>
      <c r="AM201" s="142"/>
      <c r="AN201" s="142"/>
      <c r="AO201" s="131"/>
    </row>
    <row r="202" ht="13.5" customHeight="1">
      <c r="A202" s="142"/>
      <c r="B202" s="142"/>
      <c r="C202" s="142"/>
      <c r="D202" s="142"/>
      <c r="E202" s="308"/>
      <c r="F202" s="131"/>
      <c r="G202" s="131"/>
      <c r="H202" s="131"/>
      <c r="I202" s="219"/>
      <c r="J202" s="198"/>
      <c r="K202" s="131"/>
      <c r="L202" s="131"/>
      <c r="M202" s="131"/>
      <c r="N202" s="131"/>
      <c r="O202" s="131"/>
      <c r="P202" s="131"/>
      <c r="Q202" s="131"/>
      <c r="R202" s="131"/>
      <c r="S202" s="131"/>
      <c r="T202" s="131"/>
      <c r="U202" s="131"/>
      <c r="V202" s="131"/>
      <c r="W202" s="131"/>
      <c r="X202" s="131"/>
      <c r="Y202" s="131"/>
      <c r="Z202" s="142"/>
      <c r="AA202" s="142"/>
      <c r="AB202" s="142"/>
      <c r="AC202" s="142"/>
      <c r="AD202" s="142"/>
      <c r="AE202" s="142"/>
      <c r="AF202" s="142"/>
      <c r="AG202" s="142"/>
      <c r="AH202" s="142"/>
      <c r="AI202" s="142"/>
      <c r="AJ202" s="142"/>
      <c r="AK202" s="142"/>
      <c r="AL202" s="142"/>
      <c r="AM202" s="142"/>
      <c r="AN202" s="142"/>
      <c r="AO202" s="131"/>
    </row>
    <row r="203" ht="13.5" customHeight="1">
      <c r="A203" s="142"/>
      <c r="B203" s="142"/>
      <c r="C203" s="142"/>
      <c r="D203" s="142"/>
      <c r="E203" s="308"/>
      <c r="F203" s="131"/>
      <c r="G203" s="131"/>
      <c r="H203" s="131"/>
      <c r="I203" s="219"/>
      <c r="J203" s="198"/>
      <c r="K203" s="131"/>
      <c r="L203" s="131"/>
      <c r="M203" s="131"/>
      <c r="N203" s="131"/>
      <c r="O203" s="131"/>
      <c r="P203" s="131"/>
      <c r="Q203" s="131"/>
      <c r="R203" s="131"/>
      <c r="S203" s="131"/>
      <c r="T203" s="131"/>
      <c r="U203" s="131"/>
      <c r="V203" s="131"/>
      <c r="W203" s="131"/>
      <c r="X203" s="131"/>
      <c r="Y203" s="131"/>
      <c r="Z203" s="142"/>
      <c r="AA203" s="142"/>
      <c r="AB203" s="142"/>
      <c r="AC203" s="142"/>
      <c r="AD203" s="142"/>
      <c r="AE203" s="142"/>
      <c r="AF203" s="142"/>
      <c r="AG203" s="142"/>
      <c r="AH203" s="142"/>
      <c r="AI203" s="142"/>
      <c r="AJ203" s="142"/>
      <c r="AK203" s="142"/>
      <c r="AL203" s="142"/>
      <c r="AM203" s="142"/>
      <c r="AN203" s="142"/>
      <c r="AO203" s="131"/>
    </row>
    <row r="204" ht="13.5" customHeight="1">
      <c r="A204" s="142"/>
      <c r="B204" s="142"/>
      <c r="C204" s="142"/>
      <c r="D204" s="142"/>
      <c r="E204" s="308"/>
      <c r="F204" s="131"/>
      <c r="G204" s="131"/>
      <c r="H204" s="131"/>
      <c r="I204" s="219"/>
      <c r="J204" s="198"/>
      <c r="K204" s="131"/>
      <c r="L204" s="131"/>
      <c r="M204" s="131"/>
      <c r="N204" s="131"/>
      <c r="O204" s="131"/>
      <c r="P204" s="131"/>
      <c r="Q204" s="131"/>
      <c r="R204" s="131"/>
      <c r="S204" s="131"/>
      <c r="T204" s="131"/>
      <c r="U204" s="131"/>
      <c r="V204" s="131"/>
      <c r="W204" s="131"/>
      <c r="X204" s="131"/>
      <c r="Y204" s="131"/>
      <c r="Z204" s="142"/>
      <c r="AA204" s="142"/>
      <c r="AB204" s="142"/>
      <c r="AC204" s="142"/>
      <c r="AD204" s="142"/>
      <c r="AE204" s="142"/>
      <c r="AF204" s="142"/>
      <c r="AG204" s="142"/>
      <c r="AH204" s="142"/>
      <c r="AI204" s="142"/>
      <c r="AJ204" s="142"/>
      <c r="AK204" s="142"/>
      <c r="AL204" s="142"/>
      <c r="AM204" s="142"/>
      <c r="AN204" s="142"/>
      <c r="AO204" s="131"/>
    </row>
    <row r="205" ht="13.5" customHeight="1">
      <c r="A205" s="142"/>
      <c r="B205" s="142"/>
      <c r="C205" s="142"/>
      <c r="D205" s="142"/>
      <c r="E205" s="308"/>
      <c r="F205" s="131"/>
      <c r="G205" s="131"/>
      <c r="H205" s="131"/>
      <c r="I205" s="219"/>
      <c r="J205" s="198"/>
      <c r="K205" s="131"/>
      <c r="L205" s="131"/>
      <c r="M205" s="131"/>
      <c r="N205" s="131"/>
      <c r="O205" s="131"/>
      <c r="P205" s="131"/>
      <c r="Q205" s="131"/>
      <c r="R205" s="131"/>
      <c r="S205" s="131"/>
      <c r="T205" s="131"/>
      <c r="U205" s="131"/>
      <c r="V205" s="131"/>
      <c r="W205" s="131"/>
      <c r="X205" s="131"/>
      <c r="Y205" s="131"/>
      <c r="Z205" s="142"/>
      <c r="AA205" s="142"/>
      <c r="AB205" s="142"/>
      <c r="AC205" s="142"/>
      <c r="AD205" s="142"/>
      <c r="AE205" s="142"/>
      <c r="AF205" s="142"/>
      <c r="AG205" s="142"/>
      <c r="AH205" s="142"/>
      <c r="AI205" s="142"/>
      <c r="AJ205" s="142"/>
      <c r="AK205" s="142"/>
      <c r="AL205" s="142"/>
      <c r="AM205" s="142"/>
      <c r="AN205" s="142"/>
      <c r="AO205" s="131"/>
    </row>
    <row r="206" ht="13.5" customHeight="1">
      <c r="A206" s="142"/>
      <c r="B206" s="142"/>
      <c r="C206" s="142"/>
      <c r="D206" s="142"/>
      <c r="E206" s="308"/>
      <c r="F206" s="131"/>
      <c r="G206" s="131"/>
      <c r="H206" s="131"/>
      <c r="I206" s="219"/>
      <c r="J206" s="198"/>
      <c r="K206" s="131"/>
      <c r="L206" s="131"/>
      <c r="M206" s="131"/>
      <c r="N206" s="131"/>
      <c r="O206" s="131"/>
      <c r="P206" s="131"/>
      <c r="Q206" s="131"/>
      <c r="R206" s="131"/>
      <c r="S206" s="131"/>
      <c r="T206" s="131"/>
      <c r="U206" s="131"/>
      <c r="V206" s="131"/>
      <c r="W206" s="131"/>
      <c r="X206" s="131"/>
      <c r="Y206" s="131"/>
      <c r="Z206" s="142"/>
      <c r="AA206" s="142"/>
      <c r="AB206" s="142"/>
      <c r="AC206" s="142"/>
      <c r="AD206" s="142"/>
      <c r="AE206" s="142"/>
      <c r="AF206" s="142"/>
      <c r="AG206" s="142"/>
      <c r="AH206" s="142"/>
      <c r="AI206" s="142"/>
      <c r="AJ206" s="142"/>
      <c r="AK206" s="142"/>
      <c r="AL206" s="142"/>
      <c r="AM206" s="142"/>
      <c r="AN206" s="142"/>
      <c r="AO206" s="131"/>
    </row>
    <row r="207" ht="13.5" customHeight="1">
      <c r="A207" s="142"/>
      <c r="B207" s="142"/>
      <c r="C207" s="142"/>
      <c r="D207" s="142"/>
      <c r="E207" s="308"/>
      <c r="F207" s="131"/>
      <c r="G207" s="131"/>
      <c r="H207" s="131"/>
      <c r="I207" s="219"/>
      <c r="J207" s="198"/>
      <c r="K207" s="131"/>
      <c r="L207" s="131"/>
      <c r="M207" s="131"/>
      <c r="N207" s="131"/>
      <c r="O207" s="131"/>
      <c r="P207" s="131"/>
      <c r="Q207" s="131"/>
      <c r="R207" s="131"/>
      <c r="S207" s="131"/>
      <c r="T207" s="131"/>
      <c r="U207" s="131"/>
      <c r="V207" s="131"/>
      <c r="W207" s="131"/>
      <c r="X207" s="131"/>
      <c r="Y207" s="131"/>
      <c r="Z207" s="142"/>
      <c r="AA207" s="142"/>
      <c r="AB207" s="142"/>
      <c r="AC207" s="142"/>
      <c r="AD207" s="142"/>
      <c r="AE207" s="142"/>
      <c r="AF207" s="142"/>
      <c r="AG207" s="142"/>
      <c r="AH207" s="142"/>
      <c r="AI207" s="142"/>
      <c r="AJ207" s="142"/>
      <c r="AK207" s="142"/>
      <c r="AL207" s="142"/>
      <c r="AM207" s="142"/>
      <c r="AN207" s="142"/>
      <c r="AO207" s="131"/>
    </row>
    <row r="208" ht="13.5" customHeight="1">
      <c r="A208" s="142"/>
      <c r="B208" s="142"/>
      <c r="C208" s="142"/>
      <c r="D208" s="142"/>
      <c r="E208" s="308"/>
      <c r="F208" s="131"/>
      <c r="G208" s="131"/>
      <c r="H208" s="131"/>
      <c r="I208" s="219"/>
      <c r="J208" s="198"/>
      <c r="K208" s="131"/>
      <c r="L208" s="131"/>
      <c r="M208" s="131"/>
      <c r="N208" s="131"/>
      <c r="O208" s="131"/>
      <c r="P208" s="131"/>
      <c r="Q208" s="131"/>
      <c r="R208" s="131"/>
      <c r="S208" s="131"/>
      <c r="T208" s="131"/>
      <c r="U208" s="131"/>
      <c r="V208" s="131"/>
      <c r="W208" s="131"/>
      <c r="X208" s="131"/>
      <c r="Y208" s="131"/>
      <c r="Z208" s="142"/>
      <c r="AA208" s="142"/>
      <c r="AB208" s="142"/>
      <c r="AC208" s="142"/>
      <c r="AD208" s="142"/>
      <c r="AE208" s="142"/>
      <c r="AF208" s="142"/>
      <c r="AG208" s="142"/>
      <c r="AH208" s="142"/>
      <c r="AI208" s="142"/>
      <c r="AJ208" s="142"/>
      <c r="AK208" s="142"/>
      <c r="AL208" s="142"/>
      <c r="AM208" s="142"/>
      <c r="AN208" s="142"/>
      <c r="AO208" s="131"/>
    </row>
    <row r="209" ht="13.5" customHeight="1">
      <c r="A209" s="142"/>
      <c r="B209" s="142"/>
      <c r="C209" s="142"/>
      <c r="D209" s="142"/>
      <c r="E209" s="308"/>
      <c r="F209" s="131"/>
      <c r="G209" s="131"/>
      <c r="H209" s="131"/>
      <c r="I209" s="219"/>
      <c r="J209" s="198"/>
      <c r="K209" s="131"/>
      <c r="L209" s="131"/>
      <c r="M209" s="131"/>
      <c r="N209" s="131"/>
      <c r="O209" s="131"/>
      <c r="P209" s="131"/>
      <c r="Q209" s="131"/>
      <c r="R209" s="131"/>
      <c r="S209" s="131"/>
      <c r="T209" s="131"/>
      <c r="U209" s="131"/>
      <c r="V209" s="131"/>
      <c r="W209" s="131"/>
      <c r="X209" s="131"/>
      <c r="Y209" s="131"/>
      <c r="Z209" s="142"/>
      <c r="AA209" s="142"/>
      <c r="AB209" s="142"/>
      <c r="AC209" s="142"/>
      <c r="AD209" s="142"/>
      <c r="AE209" s="142"/>
      <c r="AF209" s="142"/>
      <c r="AG209" s="142"/>
      <c r="AH209" s="142"/>
      <c r="AI209" s="142"/>
      <c r="AJ209" s="142"/>
      <c r="AK209" s="142"/>
      <c r="AL209" s="142"/>
      <c r="AM209" s="142"/>
      <c r="AN209" s="142"/>
      <c r="AO209" s="131"/>
    </row>
    <row r="210" ht="13.5" customHeight="1">
      <c r="A210" s="142"/>
      <c r="B210" s="142"/>
      <c r="C210" s="142"/>
      <c r="D210" s="142"/>
      <c r="E210" s="308"/>
      <c r="F210" s="131"/>
      <c r="G210" s="131"/>
      <c r="H210" s="131"/>
      <c r="I210" s="219"/>
      <c r="J210" s="198"/>
      <c r="K210" s="131"/>
      <c r="L210" s="131"/>
      <c r="M210" s="131"/>
      <c r="N210" s="131"/>
      <c r="O210" s="131"/>
      <c r="P210" s="131"/>
      <c r="Q210" s="131"/>
      <c r="R210" s="131"/>
      <c r="S210" s="131"/>
      <c r="T210" s="131"/>
      <c r="U210" s="131"/>
      <c r="V210" s="131"/>
      <c r="W210" s="131"/>
      <c r="X210" s="131"/>
      <c r="Y210" s="131"/>
      <c r="Z210" s="142"/>
      <c r="AA210" s="142"/>
      <c r="AB210" s="142"/>
      <c r="AC210" s="142"/>
      <c r="AD210" s="142"/>
      <c r="AE210" s="142"/>
      <c r="AF210" s="142"/>
      <c r="AG210" s="142"/>
      <c r="AH210" s="142"/>
      <c r="AI210" s="142"/>
      <c r="AJ210" s="142"/>
      <c r="AK210" s="142"/>
      <c r="AL210" s="142"/>
      <c r="AM210" s="142"/>
      <c r="AN210" s="142"/>
      <c r="AO210" s="131"/>
    </row>
    <row r="211" ht="13.5" customHeight="1">
      <c r="A211" s="142"/>
      <c r="B211" s="142"/>
      <c r="C211" s="142"/>
      <c r="D211" s="142"/>
      <c r="E211" s="308"/>
      <c r="F211" s="131"/>
      <c r="G211" s="131"/>
      <c r="H211" s="131"/>
      <c r="I211" s="219"/>
      <c r="J211" s="198"/>
      <c r="K211" s="131"/>
      <c r="L211" s="131"/>
      <c r="M211" s="131"/>
      <c r="N211" s="131"/>
      <c r="O211" s="131"/>
      <c r="P211" s="131"/>
      <c r="Q211" s="131"/>
      <c r="R211" s="131"/>
      <c r="S211" s="131"/>
      <c r="T211" s="131"/>
      <c r="U211" s="131"/>
      <c r="V211" s="131"/>
      <c r="W211" s="131"/>
      <c r="X211" s="131"/>
      <c r="Y211" s="131"/>
      <c r="Z211" s="142"/>
      <c r="AA211" s="142"/>
      <c r="AB211" s="142"/>
      <c r="AC211" s="142"/>
      <c r="AD211" s="142"/>
      <c r="AE211" s="142"/>
      <c r="AF211" s="142"/>
      <c r="AG211" s="142"/>
      <c r="AH211" s="142"/>
      <c r="AI211" s="142"/>
      <c r="AJ211" s="142"/>
      <c r="AK211" s="142"/>
      <c r="AL211" s="142"/>
      <c r="AM211" s="142"/>
      <c r="AN211" s="142"/>
      <c r="AO211" s="131"/>
    </row>
    <row r="212" ht="13.5" customHeight="1">
      <c r="A212" s="142"/>
      <c r="B212" s="142"/>
      <c r="C212" s="142"/>
      <c r="D212" s="142"/>
      <c r="E212" s="308"/>
      <c r="F212" s="131"/>
      <c r="G212" s="131"/>
      <c r="H212" s="131"/>
      <c r="I212" s="219"/>
      <c r="J212" s="198"/>
      <c r="K212" s="131"/>
      <c r="L212" s="131"/>
      <c r="M212" s="131"/>
      <c r="N212" s="131"/>
      <c r="O212" s="131"/>
      <c r="P212" s="131"/>
      <c r="Q212" s="131"/>
      <c r="R212" s="131"/>
      <c r="S212" s="131"/>
      <c r="T212" s="131"/>
      <c r="U212" s="131"/>
      <c r="V212" s="131"/>
      <c r="W212" s="131"/>
      <c r="X212" s="131"/>
      <c r="Y212" s="131"/>
      <c r="Z212" s="142"/>
      <c r="AA212" s="142"/>
      <c r="AB212" s="142"/>
      <c r="AC212" s="142"/>
      <c r="AD212" s="142"/>
      <c r="AE212" s="142"/>
      <c r="AF212" s="142"/>
      <c r="AG212" s="142"/>
      <c r="AH212" s="142"/>
      <c r="AI212" s="142"/>
      <c r="AJ212" s="142"/>
      <c r="AK212" s="142"/>
      <c r="AL212" s="142"/>
      <c r="AM212" s="142"/>
      <c r="AN212" s="142"/>
      <c r="AO212" s="131"/>
    </row>
    <row r="213" ht="13.5" customHeight="1">
      <c r="A213" s="142"/>
      <c r="B213" s="142"/>
      <c r="C213" s="142"/>
      <c r="D213" s="142"/>
      <c r="E213" s="308"/>
      <c r="F213" s="131"/>
      <c r="G213" s="131"/>
      <c r="H213" s="131"/>
      <c r="I213" s="219"/>
      <c r="J213" s="198"/>
      <c r="K213" s="131"/>
      <c r="L213" s="131"/>
      <c r="M213" s="131"/>
      <c r="N213" s="131"/>
      <c r="O213" s="131"/>
      <c r="P213" s="131"/>
      <c r="Q213" s="131"/>
      <c r="R213" s="131"/>
      <c r="S213" s="131"/>
      <c r="T213" s="131"/>
      <c r="U213" s="131"/>
      <c r="V213" s="131"/>
      <c r="W213" s="131"/>
      <c r="X213" s="131"/>
      <c r="Y213" s="131"/>
      <c r="Z213" s="142"/>
      <c r="AA213" s="142"/>
      <c r="AB213" s="142"/>
      <c r="AC213" s="142"/>
      <c r="AD213" s="142"/>
      <c r="AE213" s="142"/>
      <c r="AF213" s="142"/>
      <c r="AG213" s="142"/>
      <c r="AH213" s="142"/>
      <c r="AI213" s="142"/>
      <c r="AJ213" s="142"/>
      <c r="AK213" s="142"/>
      <c r="AL213" s="142"/>
      <c r="AM213" s="142"/>
      <c r="AN213" s="142"/>
      <c r="AO213" s="131"/>
    </row>
    <row r="214" ht="13.5" customHeight="1">
      <c r="A214" s="142"/>
      <c r="B214" s="142"/>
      <c r="C214" s="142"/>
      <c r="D214" s="142"/>
      <c r="E214" s="308"/>
      <c r="F214" s="131"/>
      <c r="G214" s="131"/>
      <c r="H214" s="131"/>
      <c r="I214" s="219"/>
      <c r="J214" s="198"/>
      <c r="K214" s="131"/>
      <c r="L214" s="131"/>
      <c r="M214" s="131"/>
      <c r="N214" s="131"/>
      <c r="O214" s="131"/>
      <c r="P214" s="131"/>
      <c r="Q214" s="131"/>
      <c r="R214" s="131"/>
      <c r="S214" s="131"/>
      <c r="T214" s="131"/>
      <c r="U214" s="131"/>
      <c r="V214" s="131"/>
      <c r="W214" s="131"/>
      <c r="X214" s="131"/>
      <c r="Y214" s="131"/>
      <c r="Z214" s="142"/>
      <c r="AA214" s="142"/>
      <c r="AB214" s="142"/>
      <c r="AC214" s="142"/>
      <c r="AD214" s="142"/>
      <c r="AE214" s="142"/>
      <c r="AF214" s="142"/>
      <c r="AG214" s="142"/>
      <c r="AH214" s="142"/>
      <c r="AI214" s="142"/>
      <c r="AJ214" s="142"/>
      <c r="AK214" s="142"/>
      <c r="AL214" s="142"/>
      <c r="AM214" s="142"/>
      <c r="AN214" s="142"/>
      <c r="AO214" s="131"/>
    </row>
    <row r="215" ht="13.5" customHeight="1">
      <c r="A215" s="142"/>
      <c r="B215" s="142"/>
      <c r="C215" s="142"/>
      <c r="D215" s="142"/>
      <c r="E215" s="308"/>
      <c r="F215" s="131"/>
      <c r="G215" s="131"/>
      <c r="H215" s="131"/>
      <c r="I215" s="219"/>
      <c r="J215" s="198"/>
      <c r="K215" s="131"/>
      <c r="L215" s="131"/>
      <c r="M215" s="131"/>
      <c r="N215" s="131"/>
      <c r="O215" s="131"/>
      <c r="P215" s="131"/>
      <c r="Q215" s="131"/>
      <c r="R215" s="131"/>
      <c r="S215" s="131"/>
      <c r="T215" s="131"/>
      <c r="U215" s="131"/>
      <c r="V215" s="131"/>
      <c r="W215" s="131"/>
      <c r="X215" s="131"/>
      <c r="Y215" s="131"/>
      <c r="Z215" s="142"/>
      <c r="AA215" s="142"/>
      <c r="AB215" s="142"/>
      <c r="AC215" s="142"/>
      <c r="AD215" s="142"/>
      <c r="AE215" s="142"/>
      <c r="AF215" s="142"/>
      <c r="AG215" s="142"/>
      <c r="AH215" s="142"/>
      <c r="AI215" s="142"/>
      <c r="AJ215" s="142"/>
      <c r="AK215" s="142"/>
      <c r="AL215" s="142"/>
      <c r="AM215" s="142"/>
      <c r="AN215" s="142"/>
      <c r="AO215" s="131"/>
    </row>
    <row r="216" ht="13.5" customHeight="1">
      <c r="A216" s="142"/>
      <c r="B216" s="142"/>
      <c r="C216" s="142"/>
      <c r="D216" s="142"/>
      <c r="E216" s="308"/>
      <c r="F216" s="131"/>
      <c r="G216" s="131"/>
      <c r="H216" s="131"/>
      <c r="I216" s="219"/>
      <c r="J216" s="198"/>
      <c r="K216" s="131"/>
      <c r="L216" s="131"/>
      <c r="M216" s="131"/>
      <c r="N216" s="131"/>
      <c r="O216" s="131"/>
      <c r="P216" s="131"/>
      <c r="Q216" s="131"/>
      <c r="R216" s="131"/>
      <c r="S216" s="131"/>
      <c r="T216" s="131"/>
      <c r="U216" s="131"/>
      <c r="V216" s="131"/>
      <c r="W216" s="131"/>
      <c r="X216" s="131"/>
      <c r="Y216" s="131"/>
      <c r="Z216" s="142"/>
      <c r="AA216" s="142"/>
      <c r="AB216" s="142"/>
      <c r="AC216" s="142"/>
      <c r="AD216" s="142"/>
      <c r="AE216" s="142"/>
      <c r="AF216" s="142"/>
      <c r="AG216" s="142"/>
      <c r="AH216" s="142"/>
      <c r="AI216" s="142"/>
      <c r="AJ216" s="142"/>
      <c r="AK216" s="142"/>
      <c r="AL216" s="142"/>
      <c r="AM216" s="142"/>
      <c r="AN216" s="142"/>
      <c r="AO216" s="131"/>
    </row>
    <row r="217" ht="13.5" customHeight="1">
      <c r="A217" s="142"/>
      <c r="B217" s="142"/>
      <c r="C217" s="142"/>
      <c r="D217" s="142"/>
      <c r="E217" s="308"/>
      <c r="F217" s="131"/>
      <c r="G217" s="131"/>
      <c r="H217" s="131"/>
      <c r="I217" s="219"/>
      <c r="J217" s="198"/>
      <c r="K217" s="131"/>
      <c r="L217" s="131"/>
      <c r="M217" s="131"/>
      <c r="N217" s="131"/>
      <c r="O217" s="131"/>
      <c r="P217" s="131"/>
      <c r="Q217" s="131"/>
      <c r="R217" s="131"/>
      <c r="S217" s="131"/>
      <c r="T217" s="131"/>
      <c r="U217" s="131"/>
      <c r="V217" s="131"/>
      <c r="W217" s="131"/>
      <c r="X217" s="131"/>
      <c r="Y217" s="131"/>
      <c r="Z217" s="142"/>
      <c r="AA217" s="142"/>
      <c r="AB217" s="142"/>
      <c r="AC217" s="142"/>
      <c r="AD217" s="142"/>
      <c r="AE217" s="142"/>
      <c r="AF217" s="142"/>
      <c r="AG217" s="142"/>
      <c r="AH217" s="142"/>
      <c r="AI217" s="142"/>
      <c r="AJ217" s="142"/>
      <c r="AK217" s="142"/>
      <c r="AL217" s="142"/>
      <c r="AM217" s="142"/>
      <c r="AN217" s="142"/>
      <c r="AO217" s="131"/>
    </row>
    <row r="218" ht="13.5" customHeight="1">
      <c r="A218" s="142"/>
      <c r="B218" s="142"/>
      <c r="C218" s="142"/>
      <c r="D218" s="142"/>
      <c r="E218" s="308"/>
      <c r="F218" s="131"/>
      <c r="G218" s="131"/>
      <c r="H218" s="131"/>
      <c r="I218" s="219"/>
      <c r="J218" s="198"/>
      <c r="K218" s="131"/>
      <c r="L218" s="131"/>
      <c r="M218" s="131"/>
      <c r="N218" s="131"/>
      <c r="O218" s="131"/>
      <c r="P218" s="131"/>
      <c r="Q218" s="131"/>
      <c r="R218" s="131"/>
      <c r="S218" s="131"/>
      <c r="T218" s="131"/>
      <c r="U218" s="131"/>
      <c r="V218" s="131"/>
      <c r="W218" s="131"/>
      <c r="X218" s="131"/>
      <c r="Y218" s="131"/>
      <c r="Z218" s="142"/>
      <c r="AA218" s="142"/>
      <c r="AB218" s="142"/>
      <c r="AC218" s="142"/>
      <c r="AD218" s="142"/>
      <c r="AE218" s="142"/>
      <c r="AF218" s="142"/>
      <c r="AG218" s="142"/>
      <c r="AH218" s="142"/>
      <c r="AI218" s="142"/>
      <c r="AJ218" s="142"/>
      <c r="AK218" s="142"/>
      <c r="AL218" s="142"/>
      <c r="AM218" s="142"/>
      <c r="AN218" s="142"/>
      <c r="AO218" s="131"/>
    </row>
    <row r="219" ht="13.5" customHeight="1">
      <c r="A219" s="142"/>
      <c r="B219" s="142"/>
      <c r="C219" s="142"/>
      <c r="D219" s="142"/>
      <c r="E219" s="308"/>
      <c r="F219" s="131"/>
      <c r="G219" s="131"/>
      <c r="H219" s="131"/>
      <c r="I219" s="219"/>
      <c r="J219" s="198"/>
      <c r="K219" s="131"/>
      <c r="L219" s="131"/>
      <c r="M219" s="131"/>
      <c r="N219" s="131"/>
      <c r="O219" s="131"/>
      <c r="P219" s="131"/>
      <c r="Q219" s="131"/>
      <c r="R219" s="131"/>
      <c r="S219" s="131"/>
      <c r="T219" s="131"/>
      <c r="U219" s="131"/>
      <c r="V219" s="131"/>
      <c r="W219" s="131"/>
      <c r="X219" s="131"/>
      <c r="Y219" s="131"/>
      <c r="Z219" s="142"/>
      <c r="AA219" s="142"/>
      <c r="AB219" s="142"/>
      <c r="AC219" s="142"/>
      <c r="AD219" s="142"/>
      <c r="AE219" s="142"/>
      <c r="AF219" s="142"/>
      <c r="AG219" s="142"/>
      <c r="AH219" s="142"/>
      <c r="AI219" s="142"/>
      <c r="AJ219" s="142"/>
      <c r="AK219" s="142"/>
      <c r="AL219" s="142"/>
      <c r="AM219" s="142"/>
      <c r="AN219" s="142"/>
      <c r="AO219" s="131"/>
    </row>
    <row r="220" ht="13.5" customHeight="1">
      <c r="A220" s="142"/>
      <c r="B220" s="142"/>
      <c r="C220" s="142"/>
      <c r="D220" s="142"/>
      <c r="E220" s="308"/>
      <c r="F220" s="131"/>
      <c r="G220" s="131"/>
      <c r="H220" s="131"/>
      <c r="I220" s="219"/>
      <c r="J220" s="198"/>
      <c r="K220" s="131"/>
      <c r="L220" s="131"/>
      <c r="M220" s="131"/>
      <c r="N220" s="131"/>
      <c r="O220" s="131"/>
      <c r="P220" s="131"/>
      <c r="Q220" s="131"/>
      <c r="R220" s="131"/>
      <c r="S220" s="131"/>
      <c r="T220" s="131"/>
      <c r="U220" s="131"/>
      <c r="V220" s="131"/>
      <c r="W220" s="131"/>
      <c r="X220" s="131"/>
      <c r="Y220" s="131"/>
      <c r="Z220" s="142"/>
      <c r="AA220" s="142"/>
      <c r="AB220" s="142"/>
      <c r="AC220" s="142"/>
      <c r="AD220" s="142"/>
      <c r="AE220" s="142"/>
      <c r="AF220" s="142"/>
      <c r="AG220" s="142"/>
      <c r="AH220" s="142"/>
      <c r="AI220" s="142"/>
      <c r="AJ220" s="142"/>
      <c r="AK220" s="142"/>
      <c r="AL220" s="142"/>
      <c r="AM220" s="142"/>
      <c r="AN220" s="142"/>
      <c r="AO220" s="131"/>
    </row>
    <row r="221" ht="13.5" customHeight="1">
      <c r="A221" s="142"/>
      <c r="B221" s="142"/>
      <c r="C221" s="142"/>
      <c r="D221" s="142"/>
      <c r="E221" s="308"/>
      <c r="F221" s="131"/>
      <c r="G221" s="131"/>
      <c r="H221" s="131"/>
      <c r="I221" s="219"/>
      <c r="J221" s="198"/>
      <c r="K221" s="131"/>
      <c r="L221" s="131"/>
      <c r="M221" s="131"/>
      <c r="N221" s="131"/>
      <c r="O221" s="131"/>
      <c r="P221" s="131"/>
      <c r="Q221" s="131"/>
      <c r="R221" s="131"/>
      <c r="S221" s="131"/>
      <c r="T221" s="131"/>
      <c r="U221" s="131"/>
      <c r="V221" s="131"/>
      <c r="W221" s="131"/>
      <c r="X221" s="131"/>
      <c r="Y221" s="131"/>
      <c r="Z221" s="142"/>
      <c r="AA221" s="142"/>
      <c r="AB221" s="142"/>
      <c r="AC221" s="142"/>
      <c r="AD221" s="142"/>
      <c r="AE221" s="142"/>
      <c r="AF221" s="142"/>
      <c r="AG221" s="142"/>
      <c r="AH221" s="142"/>
      <c r="AI221" s="142"/>
      <c r="AJ221" s="142"/>
      <c r="AK221" s="142"/>
      <c r="AL221" s="142"/>
      <c r="AM221" s="142"/>
      <c r="AN221" s="142"/>
      <c r="AO221" s="131"/>
    </row>
    <row r="222" ht="13.5" customHeight="1">
      <c r="A222" s="142"/>
      <c r="B222" s="142"/>
      <c r="C222" s="142"/>
      <c r="D222" s="142"/>
      <c r="E222" s="308"/>
      <c r="F222" s="131"/>
      <c r="G222" s="131"/>
      <c r="H222" s="131"/>
      <c r="I222" s="219"/>
      <c r="J222" s="198"/>
      <c r="K222" s="131"/>
      <c r="L222" s="131"/>
      <c r="M222" s="131"/>
      <c r="N222" s="131"/>
      <c r="O222" s="131"/>
      <c r="P222" s="131"/>
      <c r="Q222" s="131"/>
      <c r="R222" s="131"/>
      <c r="S222" s="131"/>
      <c r="T222" s="131"/>
      <c r="U222" s="131"/>
      <c r="V222" s="131"/>
      <c r="W222" s="131"/>
      <c r="X222" s="131"/>
      <c r="Y222" s="131"/>
      <c r="Z222" s="142"/>
      <c r="AA222" s="142"/>
      <c r="AB222" s="142"/>
      <c r="AC222" s="142"/>
      <c r="AD222" s="142"/>
      <c r="AE222" s="142"/>
      <c r="AF222" s="142"/>
      <c r="AG222" s="142"/>
      <c r="AH222" s="142"/>
      <c r="AI222" s="142"/>
      <c r="AJ222" s="142"/>
      <c r="AK222" s="142"/>
      <c r="AL222" s="142"/>
      <c r="AM222" s="142"/>
      <c r="AN222" s="142"/>
      <c r="AO222" s="131"/>
    </row>
    <row r="223" ht="13.5" customHeight="1">
      <c r="A223" s="142"/>
      <c r="B223" s="142"/>
      <c r="C223" s="142"/>
      <c r="D223" s="142"/>
      <c r="E223" s="308"/>
      <c r="F223" s="131"/>
      <c r="G223" s="131"/>
      <c r="H223" s="131"/>
      <c r="I223" s="219"/>
      <c r="J223" s="198"/>
      <c r="K223" s="131"/>
      <c r="L223" s="131"/>
      <c r="M223" s="131"/>
      <c r="N223" s="131"/>
      <c r="O223" s="131"/>
      <c r="P223" s="131"/>
      <c r="Q223" s="131"/>
      <c r="R223" s="131"/>
      <c r="S223" s="131"/>
      <c r="T223" s="131"/>
      <c r="U223" s="131"/>
      <c r="V223" s="131"/>
      <c r="W223" s="131"/>
      <c r="X223" s="131"/>
      <c r="Y223" s="131"/>
      <c r="Z223" s="142"/>
      <c r="AA223" s="142"/>
      <c r="AB223" s="142"/>
      <c r="AC223" s="142"/>
      <c r="AD223" s="142"/>
      <c r="AE223" s="142"/>
      <c r="AF223" s="142"/>
      <c r="AG223" s="142"/>
      <c r="AH223" s="142"/>
      <c r="AI223" s="142"/>
      <c r="AJ223" s="142"/>
      <c r="AK223" s="142"/>
      <c r="AL223" s="142"/>
      <c r="AM223" s="142"/>
      <c r="AN223" s="142"/>
      <c r="AO223" s="131"/>
    </row>
    <row r="224" ht="13.5" customHeight="1">
      <c r="A224" s="142"/>
      <c r="B224" s="142"/>
      <c r="C224" s="142"/>
      <c r="D224" s="142"/>
      <c r="E224" s="308"/>
      <c r="F224" s="131"/>
      <c r="G224" s="131"/>
      <c r="H224" s="131"/>
      <c r="I224" s="219"/>
      <c r="J224" s="198"/>
      <c r="K224" s="131"/>
      <c r="L224" s="131"/>
      <c r="M224" s="131"/>
      <c r="N224" s="131"/>
      <c r="O224" s="131"/>
      <c r="P224" s="131"/>
      <c r="Q224" s="131"/>
      <c r="R224" s="131"/>
      <c r="S224" s="131"/>
      <c r="T224" s="131"/>
      <c r="U224" s="131"/>
      <c r="V224" s="131"/>
      <c r="W224" s="131"/>
      <c r="X224" s="131"/>
      <c r="Y224" s="131"/>
      <c r="Z224" s="142"/>
      <c r="AA224" s="142"/>
      <c r="AB224" s="142"/>
      <c r="AC224" s="142"/>
      <c r="AD224" s="142"/>
      <c r="AE224" s="142"/>
      <c r="AF224" s="142"/>
      <c r="AG224" s="142"/>
      <c r="AH224" s="142"/>
      <c r="AI224" s="142"/>
      <c r="AJ224" s="142"/>
      <c r="AK224" s="142"/>
      <c r="AL224" s="142"/>
      <c r="AM224" s="142"/>
      <c r="AN224" s="142"/>
      <c r="AO224" s="131"/>
    </row>
    <row r="225" ht="13.5" customHeight="1">
      <c r="A225" s="142"/>
      <c r="B225" s="142"/>
      <c r="C225" s="142"/>
      <c r="D225" s="142"/>
      <c r="E225" s="308"/>
      <c r="F225" s="131"/>
      <c r="G225" s="131"/>
      <c r="H225" s="131"/>
      <c r="I225" s="219"/>
      <c r="J225" s="198"/>
      <c r="K225" s="131"/>
      <c r="L225" s="131"/>
      <c r="M225" s="131"/>
      <c r="N225" s="131"/>
      <c r="O225" s="131"/>
      <c r="P225" s="131"/>
      <c r="Q225" s="131"/>
      <c r="R225" s="131"/>
      <c r="S225" s="131"/>
      <c r="T225" s="131"/>
      <c r="U225" s="131"/>
      <c r="V225" s="131"/>
      <c r="W225" s="131"/>
      <c r="X225" s="131"/>
      <c r="Y225" s="131"/>
      <c r="Z225" s="142"/>
      <c r="AA225" s="142"/>
      <c r="AB225" s="142"/>
      <c r="AC225" s="142"/>
      <c r="AD225" s="142"/>
      <c r="AE225" s="142"/>
      <c r="AF225" s="142"/>
      <c r="AG225" s="142"/>
      <c r="AH225" s="142"/>
      <c r="AI225" s="142"/>
      <c r="AJ225" s="142"/>
      <c r="AK225" s="142"/>
      <c r="AL225" s="142"/>
      <c r="AM225" s="142"/>
      <c r="AN225" s="142"/>
      <c r="AO225" s="131"/>
    </row>
    <row r="226" ht="13.5" customHeight="1">
      <c r="A226" s="142"/>
      <c r="B226" s="142"/>
      <c r="C226" s="142"/>
      <c r="D226" s="142"/>
      <c r="E226" s="308"/>
      <c r="F226" s="131"/>
      <c r="G226" s="131"/>
      <c r="H226" s="131"/>
      <c r="I226" s="219"/>
      <c r="J226" s="198"/>
      <c r="K226" s="131"/>
      <c r="L226" s="131"/>
      <c r="M226" s="131"/>
      <c r="N226" s="131"/>
      <c r="O226" s="131"/>
      <c r="P226" s="131"/>
      <c r="Q226" s="131"/>
      <c r="R226" s="131"/>
      <c r="S226" s="131"/>
      <c r="T226" s="131"/>
      <c r="U226" s="131"/>
      <c r="V226" s="131"/>
      <c r="W226" s="131"/>
      <c r="X226" s="131"/>
      <c r="Y226" s="131"/>
      <c r="Z226" s="142"/>
      <c r="AA226" s="142"/>
      <c r="AB226" s="142"/>
      <c r="AC226" s="142"/>
      <c r="AD226" s="142"/>
      <c r="AE226" s="142"/>
      <c r="AF226" s="142"/>
      <c r="AG226" s="142"/>
      <c r="AH226" s="142"/>
      <c r="AI226" s="142"/>
      <c r="AJ226" s="142"/>
      <c r="AK226" s="142"/>
      <c r="AL226" s="142"/>
      <c r="AM226" s="142"/>
      <c r="AN226" s="142"/>
      <c r="AO226" s="131"/>
    </row>
    <row r="227" ht="13.5" customHeight="1">
      <c r="A227" s="142"/>
      <c r="B227" s="142"/>
      <c r="C227" s="142"/>
      <c r="D227" s="142"/>
      <c r="E227" s="308"/>
      <c r="F227" s="131"/>
      <c r="G227" s="131"/>
      <c r="H227" s="131"/>
      <c r="I227" s="219"/>
      <c r="J227" s="198"/>
      <c r="K227" s="131"/>
      <c r="L227" s="131"/>
      <c r="M227" s="131"/>
      <c r="N227" s="131"/>
      <c r="O227" s="131"/>
      <c r="P227" s="131"/>
      <c r="Q227" s="131"/>
      <c r="R227" s="131"/>
      <c r="S227" s="131"/>
      <c r="T227" s="131"/>
      <c r="U227" s="131"/>
      <c r="V227" s="131"/>
      <c r="W227" s="131"/>
      <c r="X227" s="131"/>
      <c r="Y227" s="131"/>
      <c r="Z227" s="142"/>
      <c r="AA227" s="142"/>
      <c r="AB227" s="142"/>
      <c r="AC227" s="142"/>
      <c r="AD227" s="142"/>
      <c r="AE227" s="142"/>
      <c r="AF227" s="142"/>
      <c r="AG227" s="142"/>
      <c r="AH227" s="142"/>
      <c r="AI227" s="142"/>
      <c r="AJ227" s="142"/>
      <c r="AK227" s="142"/>
      <c r="AL227" s="142"/>
      <c r="AM227" s="142"/>
      <c r="AN227" s="142"/>
      <c r="AO227" s="131"/>
    </row>
    <row r="228" ht="13.5" customHeight="1">
      <c r="A228" s="142"/>
      <c r="B228" s="142"/>
      <c r="C228" s="142"/>
      <c r="D228" s="142"/>
      <c r="E228" s="308"/>
      <c r="F228" s="131"/>
      <c r="G228" s="131"/>
      <c r="H228" s="131"/>
      <c r="I228" s="219"/>
      <c r="J228" s="198"/>
      <c r="K228" s="131"/>
      <c r="L228" s="131"/>
      <c r="M228" s="131"/>
      <c r="N228" s="131"/>
      <c r="O228" s="131"/>
      <c r="P228" s="131"/>
      <c r="Q228" s="131"/>
      <c r="R228" s="131"/>
      <c r="S228" s="131"/>
      <c r="T228" s="131"/>
      <c r="U228" s="131"/>
      <c r="V228" s="131"/>
      <c r="W228" s="131"/>
      <c r="X228" s="131"/>
      <c r="Y228" s="131"/>
      <c r="Z228" s="142"/>
      <c r="AA228" s="142"/>
      <c r="AB228" s="142"/>
      <c r="AC228" s="142"/>
      <c r="AD228" s="142"/>
      <c r="AE228" s="142"/>
      <c r="AF228" s="142"/>
      <c r="AG228" s="142"/>
      <c r="AH228" s="142"/>
      <c r="AI228" s="142"/>
      <c r="AJ228" s="142"/>
      <c r="AK228" s="142"/>
      <c r="AL228" s="142"/>
      <c r="AM228" s="142"/>
      <c r="AN228" s="142"/>
      <c r="AO228" s="131"/>
    </row>
    <row r="229" ht="13.5" customHeight="1">
      <c r="A229" s="142"/>
      <c r="B229" s="142"/>
      <c r="C229" s="142"/>
      <c r="D229" s="142"/>
      <c r="E229" s="308"/>
      <c r="F229" s="131"/>
      <c r="G229" s="131"/>
      <c r="H229" s="131"/>
      <c r="I229" s="219"/>
      <c r="J229" s="198"/>
      <c r="K229" s="131"/>
      <c r="L229" s="131"/>
      <c r="M229" s="131"/>
      <c r="N229" s="131"/>
      <c r="O229" s="131"/>
      <c r="P229" s="131"/>
      <c r="Q229" s="131"/>
      <c r="R229" s="131"/>
      <c r="S229" s="131"/>
      <c r="T229" s="131"/>
      <c r="U229" s="131"/>
      <c r="V229" s="131"/>
      <c r="W229" s="131"/>
      <c r="X229" s="131"/>
      <c r="Y229" s="131"/>
      <c r="Z229" s="142"/>
      <c r="AA229" s="142"/>
      <c r="AB229" s="142"/>
      <c r="AC229" s="142"/>
      <c r="AD229" s="142"/>
      <c r="AE229" s="142"/>
      <c r="AF229" s="142"/>
      <c r="AG229" s="142"/>
      <c r="AH229" s="142"/>
      <c r="AI229" s="142"/>
      <c r="AJ229" s="142"/>
      <c r="AK229" s="142"/>
      <c r="AL229" s="142"/>
      <c r="AM229" s="142"/>
      <c r="AN229" s="142"/>
      <c r="AO229" s="131"/>
    </row>
    <row r="230" ht="13.5" customHeight="1">
      <c r="A230" s="142"/>
      <c r="B230" s="142"/>
      <c r="C230" s="142"/>
      <c r="D230" s="142"/>
      <c r="E230" s="308"/>
      <c r="F230" s="131"/>
      <c r="G230" s="131"/>
      <c r="H230" s="131"/>
      <c r="I230" s="219"/>
      <c r="J230" s="198"/>
      <c r="K230" s="131"/>
      <c r="L230" s="131"/>
      <c r="M230" s="131"/>
      <c r="N230" s="131"/>
      <c r="O230" s="131"/>
      <c r="P230" s="131"/>
      <c r="Q230" s="131"/>
      <c r="R230" s="131"/>
      <c r="S230" s="131"/>
      <c r="T230" s="131"/>
      <c r="U230" s="131"/>
      <c r="V230" s="131"/>
      <c r="W230" s="131"/>
      <c r="X230" s="131"/>
      <c r="Y230" s="131"/>
      <c r="Z230" s="142"/>
      <c r="AA230" s="142"/>
      <c r="AB230" s="142"/>
      <c r="AC230" s="142"/>
      <c r="AD230" s="142"/>
      <c r="AE230" s="142"/>
      <c r="AF230" s="142"/>
      <c r="AG230" s="142"/>
      <c r="AH230" s="142"/>
      <c r="AI230" s="142"/>
      <c r="AJ230" s="142"/>
      <c r="AK230" s="142"/>
      <c r="AL230" s="142"/>
      <c r="AM230" s="142"/>
      <c r="AN230" s="142"/>
      <c r="AO230" s="131"/>
    </row>
    <row r="231" ht="13.5" customHeight="1">
      <c r="A231" s="142"/>
      <c r="B231" s="142"/>
      <c r="C231" s="142"/>
      <c r="D231" s="142"/>
      <c r="E231" s="308"/>
      <c r="F231" s="131"/>
      <c r="G231" s="131"/>
      <c r="H231" s="131"/>
      <c r="I231" s="219"/>
      <c r="J231" s="198"/>
      <c r="K231" s="131"/>
      <c r="L231" s="131"/>
      <c r="M231" s="131"/>
      <c r="N231" s="131"/>
      <c r="O231" s="131"/>
      <c r="P231" s="131"/>
      <c r="Q231" s="131"/>
      <c r="R231" s="131"/>
      <c r="S231" s="131"/>
      <c r="T231" s="131"/>
      <c r="U231" s="131"/>
      <c r="V231" s="131"/>
      <c r="W231" s="131"/>
      <c r="X231" s="131"/>
      <c r="Y231" s="131"/>
      <c r="Z231" s="142"/>
      <c r="AA231" s="142"/>
      <c r="AB231" s="142"/>
      <c r="AC231" s="142"/>
      <c r="AD231" s="142"/>
      <c r="AE231" s="142"/>
      <c r="AF231" s="142"/>
      <c r="AG231" s="142"/>
      <c r="AH231" s="142"/>
      <c r="AI231" s="142"/>
      <c r="AJ231" s="142"/>
      <c r="AK231" s="142"/>
      <c r="AL231" s="142"/>
      <c r="AM231" s="142"/>
      <c r="AN231" s="142"/>
      <c r="AO231" s="131"/>
    </row>
    <row r="232" ht="13.5" customHeight="1">
      <c r="A232" s="142"/>
      <c r="B232" s="142"/>
      <c r="C232" s="142"/>
      <c r="D232" s="142"/>
      <c r="E232" s="308"/>
      <c r="F232" s="131"/>
      <c r="G232" s="131"/>
      <c r="H232" s="131"/>
      <c r="I232" s="219"/>
      <c r="J232" s="198"/>
      <c r="K232" s="131"/>
      <c r="L232" s="131"/>
      <c r="M232" s="131"/>
      <c r="N232" s="131"/>
      <c r="O232" s="131"/>
      <c r="P232" s="131"/>
      <c r="Q232" s="131"/>
      <c r="R232" s="131"/>
      <c r="S232" s="131"/>
      <c r="T232" s="131"/>
      <c r="U232" s="131"/>
      <c r="V232" s="131"/>
      <c r="W232" s="131"/>
      <c r="X232" s="131"/>
      <c r="Y232" s="131"/>
      <c r="Z232" s="142"/>
      <c r="AA232" s="142"/>
      <c r="AB232" s="142"/>
      <c r="AC232" s="142"/>
      <c r="AD232" s="142"/>
      <c r="AE232" s="142"/>
      <c r="AF232" s="142"/>
      <c r="AG232" s="142"/>
      <c r="AH232" s="142"/>
      <c r="AI232" s="142"/>
      <c r="AJ232" s="142"/>
      <c r="AK232" s="142"/>
      <c r="AL232" s="142"/>
      <c r="AM232" s="142"/>
      <c r="AN232" s="142"/>
      <c r="AO232" s="131"/>
    </row>
    <row r="233" ht="13.5" customHeight="1">
      <c r="A233" s="142"/>
      <c r="B233" s="142"/>
      <c r="C233" s="142"/>
      <c r="D233" s="142"/>
      <c r="E233" s="308"/>
      <c r="F233" s="131"/>
      <c r="G233" s="131"/>
      <c r="H233" s="131"/>
      <c r="I233" s="219"/>
      <c r="J233" s="198"/>
      <c r="K233" s="131"/>
      <c r="L233" s="131"/>
      <c r="M233" s="131"/>
      <c r="N233" s="131"/>
      <c r="O233" s="131"/>
      <c r="P233" s="131"/>
      <c r="Q233" s="131"/>
      <c r="R233" s="131"/>
      <c r="S233" s="131"/>
      <c r="T233" s="131"/>
      <c r="U233" s="131"/>
      <c r="V233" s="131"/>
      <c r="W233" s="131"/>
      <c r="X233" s="131"/>
      <c r="Y233" s="131"/>
      <c r="Z233" s="142"/>
      <c r="AA233" s="142"/>
      <c r="AB233" s="142"/>
      <c r="AC233" s="142"/>
      <c r="AD233" s="142"/>
      <c r="AE233" s="142"/>
      <c r="AF233" s="142"/>
      <c r="AG233" s="142"/>
      <c r="AH233" s="142"/>
      <c r="AI233" s="142"/>
      <c r="AJ233" s="142"/>
      <c r="AK233" s="142"/>
      <c r="AL233" s="142"/>
      <c r="AM233" s="142"/>
      <c r="AN233" s="142"/>
      <c r="AO233" s="131"/>
    </row>
    <row r="234" ht="13.5" customHeight="1">
      <c r="A234" s="142"/>
      <c r="B234" s="142"/>
      <c r="C234" s="142"/>
      <c r="D234" s="142"/>
      <c r="E234" s="308"/>
      <c r="F234" s="131"/>
      <c r="G234" s="131"/>
      <c r="H234" s="131"/>
      <c r="I234" s="219"/>
      <c r="J234" s="198"/>
      <c r="K234" s="131"/>
      <c r="L234" s="131"/>
      <c r="M234" s="131"/>
      <c r="N234" s="131"/>
      <c r="O234" s="131"/>
      <c r="P234" s="131"/>
      <c r="Q234" s="131"/>
      <c r="R234" s="131"/>
      <c r="S234" s="131"/>
      <c r="T234" s="131"/>
      <c r="U234" s="131"/>
      <c r="V234" s="131"/>
      <c r="W234" s="131"/>
      <c r="X234" s="131"/>
      <c r="Y234" s="131"/>
      <c r="Z234" s="142"/>
      <c r="AA234" s="142"/>
      <c r="AB234" s="142"/>
      <c r="AC234" s="142"/>
      <c r="AD234" s="142"/>
      <c r="AE234" s="142"/>
      <c r="AF234" s="142"/>
      <c r="AG234" s="142"/>
      <c r="AH234" s="142"/>
      <c r="AI234" s="142"/>
      <c r="AJ234" s="142"/>
      <c r="AK234" s="142"/>
      <c r="AL234" s="142"/>
      <c r="AM234" s="142"/>
      <c r="AN234" s="142"/>
      <c r="AO234" s="131"/>
    </row>
    <row r="235" ht="13.5" customHeight="1">
      <c r="A235" s="142"/>
      <c r="B235" s="142"/>
      <c r="C235" s="142"/>
      <c r="D235" s="142"/>
      <c r="E235" s="308"/>
      <c r="F235" s="131"/>
      <c r="G235" s="131"/>
      <c r="H235" s="131"/>
      <c r="I235" s="219"/>
      <c r="J235" s="198"/>
      <c r="K235" s="131"/>
      <c r="L235" s="131"/>
      <c r="M235" s="131"/>
      <c r="N235" s="131"/>
      <c r="O235" s="131"/>
      <c r="P235" s="131"/>
      <c r="Q235" s="131"/>
      <c r="R235" s="131"/>
      <c r="S235" s="131"/>
      <c r="T235" s="131"/>
      <c r="U235" s="131"/>
      <c r="V235" s="131"/>
      <c r="W235" s="131"/>
      <c r="X235" s="131"/>
      <c r="Y235" s="131"/>
      <c r="Z235" s="142"/>
      <c r="AA235" s="142"/>
      <c r="AB235" s="142"/>
      <c r="AC235" s="142"/>
      <c r="AD235" s="142"/>
      <c r="AE235" s="142"/>
      <c r="AF235" s="142"/>
      <c r="AG235" s="142"/>
      <c r="AH235" s="142"/>
      <c r="AI235" s="142"/>
      <c r="AJ235" s="142"/>
      <c r="AK235" s="142"/>
      <c r="AL235" s="142"/>
      <c r="AM235" s="142"/>
      <c r="AN235" s="142"/>
      <c r="AO235" s="131"/>
    </row>
    <row r="236" ht="13.5" customHeight="1">
      <c r="A236" s="142"/>
      <c r="B236" s="142"/>
      <c r="C236" s="142"/>
      <c r="D236" s="142"/>
      <c r="E236" s="308"/>
      <c r="F236" s="131"/>
      <c r="G236" s="131"/>
      <c r="H236" s="131"/>
      <c r="I236" s="219"/>
      <c r="J236" s="198"/>
      <c r="K236" s="131"/>
      <c r="L236" s="131"/>
      <c r="M236" s="131"/>
      <c r="N236" s="131"/>
      <c r="O236" s="131"/>
      <c r="P236" s="131"/>
      <c r="Q236" s="131"/>
      <c r="R236" s="131"/>
      <c r="S236" s="131"/>
      <c r="T236" s="131"/>
      <c r="U236" s="131"/>
      <c r="V236" s="131"/>
      <c r="W236" s="131"/>
      <c r="X236" s="131"/>
      <c r="Y236" s="131"/>
      <c r="Z236" s="142"/>
      <c r="AA236" s="142"/>
      <c r="AB236" s="142"/>
      <c r="AC236" s="142"/>
      <c r="AD236" s="142"/>
      <c r="AE236" s="142"/>
      <c r="AF236" s="142"/>
      <c r="AG236" s="142"/>
      <c r="AH236" s="142"/>
      <c r="AI236" s="142"/>
      <c r="AJ236" s="142"/>
      <c r="AK236" s="142"/>
      <c r="AL236" s="142"/>
      <c r="AM236" s="142"/>
      <c r="AN236" s="142"/>
      <c r="AO236" s="131"/>
    </row>
    <row r="237" ht="13.5" customHeight="1">
      <c r="A237" s="142"/>
      <c r="B237" s="142"/>
      <c r="C237" s="142"/>
      <c r="D237" s="142"/>
      <c r="E237" s="308"/>
      <c r="F237" s="131"/>
      <c r="G237" s="131"/>
      <c r="H237" s="131"/>
      <c r="I237" s="219"/>
      <c r="J237" s="198"/>
      <c r="K237" s="131"/>
      <c r="L237" s="131"/>
      <c r="M237" s="131"/>
      <c r="N237" s="131"/>
      <c r="O237" s="131"/>
      <c r="P237" s="131"/>
      <c r="Q237" s="131"/>
      <c r="R237" s="131"/>
      <c r="S237" s="131"/>
      <c r="T237" s="131"/>
      <c r="U237" s="131"/>
      <c r="V237" s="131"/>
      <c r="W237" s="131"/>
      <c r="X237" s="131"/>
      <c r="Y237" s="131"/>
      <c r="Z237" s="142"/>
      <c r="AA237" s="142"/>
      <c r="AB237" s="142"/>
      <c r="AC237" s="142"/>
      <c r="AD237" s="142"/>
      <c r="AE237" s="142"/>
      <c r="AF237" s="142"/>
      <c r="AG237" s="142"/>
      <c r="AH237" s="142"/>
      <c r="AI237" s="142"/>
      <c r="AJ237" s="142"/>
      <c r="AK237" s="142"/>
      <c r="AL237" s="142"/>
      <c r="AM237" s="142"/>
      <c r="AN237" s="142"/>
      <c r="AO237" s="131"/>
    </row>
    <row r="238" ht="13.5" customHeight="1">
      <c r="A238" s="142"/>
      <c r="B238" s="142"/>
      <c r="C238" s="142"/>
      <c r="D238" s="142"/>
      <c r="E238" s="308"/>
      <c r="F238" s="131"/>
      <c r="G238" s="131"/>
      <c r="H238" s="131"/>
      <c r="I238" s="219"/>
      <c r="J238" s="198"/>
      <c r="K238" s="131"/>
      <c r="L238" s="131"/>
      <c r="M238" s="131"/>
      <c r="N238" s="131"/>
      <c r="O238" s="131"/>
      <c r="P238" s="131"/>
      <c r="Q238" s="131"/>
      <c r="R238" s="131"/>
      <c r="S238" s="131"/>
      <c r="T238" s="131"/>
      <c r="U238" s="131"/>
      <c r="V238" s="131"/>
      <c r="W238" s="131"/>
      <c r="X238" s="131"/>
      <c r="Y238" s="131"/>
      <c r="Z238" s="142"/>
      <c r="AA238" s="142"/>
      <c r="AB238" s="142"/>
      <c r="AC238" s="142"/>
      <c r="AD238" s="142"/>
      <c r="AE238" s="142"/>
      <c r="AF238" s="142"/>
      <c r="AG238" s="142"/>
      <c r="AH238" s="142"/>
      <c r="AI238" s="142"/>
      <c r="AJ238" s="142"/>
      <c r="AK238" s="142"/>
      <c r="AL238" s="142"/>
      <c r="AM238" s="142"/>
      <c r="AN238" s="142"/>
      <c r="AO238" s="131"/>
    </row>
    <row r="239" ht="13.5" customHeight="1">
      <c r="A239" s="142"/>
      <c r="B239" s="142"/>
      <c r="C239" s="142"/>
      <c r="D239" s="142"/>
      <c r="E239" s="308"/>
      <c r="F239" s="131"/>
      <c r="G239" s="131"/>
      <c r="H239" s="131"/>
      <c r="I239" s="219"/>
      <c r="J239" s="198"/>
      <c r="K239" s="131"/>
      <c r="L239" s="131"/>
      <c r="M239" s="131"/>
      <c r="N239" s="131"/>
      <c r="O239" s="131"/>
      <c r="P239" s="131"/>
      <c r="Q239" s="131"/>
      <c r="R239" s="131"/>
      <c r="S239" s="131"/>
      <c r="T239" s="131"/>
      <c r="U239" s="131"/>
      <c r="V239" s="131"/>
      <c r="W239" s="131"/>
      <c r="X239" s="131"/>
      <c r="Y239" s="131"/>
      <c r="Z239" s="142"/>
      <c r="AA239" s="142"/>
      <c r="AB239" s="142"/>
      <c r="AC239" s="142"/>
      <c r="AD239" s="142"/>
      <c r="AE239" s="142"/>
      <c r="AF239" s="142"/>
      <c r="AG239" s="142"/>
      <c r="AH239" s="142"/>
      <c r="AI239" s="142"/>
      <c r="AJ239" s="142"/>
      <c r="AK239" s="142"/>
      <c r="AL239" s="142"/>
      <c r="AM239" s="142"/>
      <c r="AN239" s="142"/>
      <c r="AO239" s="131"/>
    </row>
    <row r="240" ht="13.5" customHeight="1">
      <c r="A240" s="142"/>
      <c r="B240" s="142"/>
      <c r="C240" s="142"/>
      <c r="D240" s="142"/>
      <c r="E240" s="308"/>
      <c r="F240" s="131"/>
      <c r="G240" s="131"/>
      <c r="H240" s="131"/>
      <c r="I240" s="219"/>
      <c r="J240" s="198"/>
      <c r="K240" s="131"/>
      <c r="L240" s="131"/>
      <c r="M240" s="131"/>
      <c r="N240" s="131"/>
      <c r="O240" s="131"/>
      <c r="P240" s="131"/>
      <c r="Q240" s="131"/>
      <c r="R240" s="131"/>
      <c r="S240" s="131"/>
      <c r="T240" s="131"/>
      <c r="U240" s="131"/>
      <c r="V240" s="131"/>
      <c r="W240" s="131"/>
      <c r="X240" s="131"/>
      <c r="Y240" s="131"/>
      <c r="Z240" s="142"/>
      <c r="AA240" s="142"/>
      <c r="AB240" s="142"/>
      <c r="AC240" s="142"/>
      <c r="AD240" s="142"/>
      <c r="AE240" s="142"/>
      <c r="AF240" s="142"/>
      <c r="AG240" s="142"/>
      <c r="AH240" s="142"/>
      <c r="AI240" s="142"/>
      <c r="AJ240" s="142"/>
      <c r="AK240" s="142"/>
      <c r="AL240" s="142"/>
      <c r="AM240" s="142"/>
      <c r="AN240" s="142"/>
      <c r="AO240" s="131"/>
    </row>
    <row r="241" ht="13.5" customHeight="1">
      <c r="A241" s="142"/>
      <c r="B241" s="142"/>
      <c r="C241" s="142"/>
      <c r="D241" s="142"/>
      <c r="E241" s="308"/>
      <c r="F241" s="131"/>
      <c r="G241" s="131"/>
      <c r="H241" s="131"/>
      <c r="I241" s="219"/>
      <c r="J241" s="198"/>
      <c r="K241" s="131"/>
      <c r="L241" s="131"/>
      <c r="M241" s="131"/>
      <c r="N241" s="131"/>
      <c r="O241" s="131"/>
      <c r="P241" s="131"/>
      <c r="Q241" s="131"/>
      <c r="R241" s="131"/>
      <c r="S241" s="131"/>
      <c r="T241" s="131"/>
      <c r="U241" s="131"/>
      <c r="V241" s="131"/>
      <c r="W241" s="131"/>
      <c r="X241" s="131"/>
      <c r="Y241" s="131"/>
      <c r="Z241" s="142"/>
      <c r="AA241" s="142"/>
      <c r="AB241" s="142"/>
      <c r="AC241" s="142"/>
      <c r="AD241" s="142"/>
      <c r="AE241" s="142"/>
      <c r="AF241" s="142"/>
      <c r="AG241" s="142"/>
      <c r="AH241" s="142"/>
      <c r="AI241" s="142"/>
      <c r="AJ241" s="142"/>
      <c r="AK241" s="142"/>
      <c r="AL241" s="142"/>
      <c r="AM241" s="142"/>
      <c r="AN241" s="142"/>
      <c r="AO241" s="131"/>
    </row>
    <row r="242" ht="13.5" customHeight="1">
      <c r="A242" s="142"/>
      <c r="B242" s="142"/>
      <c r="C242" s="142"/>
      <c r="D242" s="142"/>
      <c r="E242" s="308"/>
      <c r="F242" s="131"/>
      <c r="G242" s="131"/>
      <c r="H242" s="131"/>
      <c r="I242" s="219"/>
      <c r="J242" s="198"/>
      <c r="K242" s="131"/>
      <c r="L242" s="131"/>
      <c r="M242" s="131"/>
      <c r="N242" s="131"/>
      <c r="O242" s="131"/>
      <c r="P242" s="131"/>
      <c r="Q242" s="131"/>
      <c r="R242" s="131"/>
      <c r="S242" s="131"/>
      <c r="T242" s="131"/>
      <c r="U242" s="131"/>
      <c r="V242" s="131"/>
      <c r="W242" s="131"/>
      <c r="X242" s="131"/>
      <c r="Y242" s="131"/>
      <c r="Z242" s="142"/>
      <c r="AA242" s="142"/>
      <c r="AB242" s="142"/>
      <c r="AC242" s="142"/>
      <c r="AD242" s="142"/>
      <c r="AE242" s="142"/>
      <c r="AF242" s="142"/>
      <c r="AG242" s="142"/>
      <c r="AH242" s="142"/>
      <c r="AI242" s="142"/>
      <c r="AJ242" s="142"/>
      <c r="AK242" s="142"/>
      <c r="AL242" s="142"/>
      <c r="AM242" s="142"/>
      <c r="AN242" s="142"/>
      <c r="AO242" s="131"/>
    </row>
    <row r="243" ht="13.5" customHeight="1">
      <c r="A243" s="142"/>
      <c r="B243" s="142"/>
      <c r="C243" s="142"/>
      <c r="D243" s="142"/>
      <c r="E243" s="308"/>
      <c r="F243" s="131"/>
      <c r="G243" s="131"/>
      <c r="H243" s="131"/>
      <c r="I243" s="219"/>
      <c r="J243" s="198"/>
      <c r="K243" s="131"/>
      <c r="L243" s="131"/>
      <c r="M243" s="131"/>
      <c r="N243" s="131"/>
      <c r="O243" s="131"/>
      <c r="P243" s="131"/>
      <c r="Q243" s="131"/>
      <c r="R243" s="131"/>
      <c r="S243" s="131"/>
      <c r="T243" s="131"/>
      <c r="U243" s="131"/>
      <c r="V243" s="131"/>
      <c r="W243" s="131"/>
      <c r="X243" s="131"/>
      <c r="Y243" s="131"/>
      <c r="Z243" s="142"/>
      <c r="AA243" s="142"/>
      <c r="AB243" s="142"/>
      <c r="AC243" s="142"/>
      <c r="AD243" s="142"/>
      <c r="AE243" s="142"/>
      <c r="AF243" s="142"/>
      <c r="AG243" s="142"/>
      <c r="AH243" s="142"/>
      <c r="AI243" s="142"/>
      <c r="AJ243" s="142"/>
      <c r="AK243" s="142"/>
      <c r="AL243" s="142"/>
      <c r="AM243" s="142"/>
      <c r="AN243" s="142"/>
      <c r="AO243" s="131"/>
    </row>
    <row r="244" ht="13.5" customHeight="1">
      <c r="A244" s="142"/>
      <c r="B244" s="142"/>
      <c r="C244" s="142"/>
      <c r="D244" s="142"/>
      <c r="E244" s="308"/>
      <c r="F244" s="131"/>
      <c r="G244" s="131"/>
      <c r="H244" s="131"/>
      <c r="I244" s="219"/>
      <c r="J244" s="198"/>
      <c r="K244" s="131"/>
      <c r="L244" s="131"/>
      <c r="M244" s="131"/>
      <c r="N244" s="131"/>
      <c r="O244" s="131"/>
      <c r="P244" s="131"/>
      <c r="Q244" s="131"/>
      <c r="R244" s="131"/>
      <c r="S244" s="131"/>
      <c r="T244" s="131"/>
      <c r="U244" s="131"/>
      <c r="V244" s="131"/>
      <c r="W244" s="131"/>
      <c r="X244" s="131"/>
      <c r="Y244" s="131"/>
      <c r="Z244" s="142"/>
      <c r="AA244" s="142"/>
      <c r="AB244" s="142"/>
      <c r="AC244" s="142"/>
      <c r="AD244" s="142"/>
      <c r="AE244" s="142"/>
      <c r="AF244" s="142"/>
      <c r="AG244" s="142"/>
      <c r="AH244" s="142"/>
      <c r="AI244" s="142"/>
      <c r="AJ244" s="142"/>
      <c r="AK244" s="142"/>
      <c r="AL244" s="142"/>
      <c r="AM244" s="142"/>
      <c r="AN244" s="142"/>
      <c r="AO244" s="131"/>
    </row>
    <row r="245" ht="13.5" customHeight="1">
      <c r="A245" s="142"/>
      <c r="B245" s="142"/>
      <c r="C245" s="142"/>
      <c r="D245" s="142"/>
      <c r="E245" s="308"/>
      <c r="F245" s="131"/>
      <c r="G245" s="131"/>
      <c r="H245" s="131"/>
      <c r="I245" s="219"/>
      <c r="J245" s="198"/>
      <c r="K245" s="131"/>
      <c r="L245" s="131"/>
      <c r="M245" s="131"/>
      <c r="N245" s="131"/>
      <c r="O245" s="131"/>
      <c r="P245" s="131"/>
      <c r="Q245" s="131"/>
      <c r="R245" s="131"/>
      <c r="S245" s="131"/>
      <c r="T245" s="131"/>
      <c r="U245" s="131"/>
      <c r="V245" s="131"/>
      <c r="W245" s="131"/>
      <c r="X245" s="131"/>
      <c r="Y245" s="131"/>
      <c r="Z245" s="142"/>
      <c r="AA245" s="142"/>
      <c r="AB245" s="142"/>
      <c r="AC245" s="142"/>
      <c r="AD245" s="142"/>
      <c r="AE245" s="142"/>
      <c r="AF245" s="142"/>
      <c r="AG245" s="142"/>
      <c r="AH245" s="142"/>
      <c r="AI245" s="142"/>
      <c r="AJ245" s="142"/>
      <c r="AK245" s="142"/>
      <c r="AL245" s="142"/>
      <c r="AM245" s="142"/>
      <c r="AN245" s="142"/>
      <c r="AO245" s="131"/>
    </row>
    <row r="246" ht="13.5" customHeight="1">
      <c r="A246" s="142"/>
      <c r="B246" s="142"/>
      <c r="C246" s="142"/>
      <c r="D246" s="142"/>
      <c r="E246" s="308"/>
      <c r="F246" s="131"/>
      <c r="G246" s="131"/>
      <c r="H246" s="131"/>
      <c r="I246" s="219"/>
      <c r="J246" s="198"/>
      <c r="K246" s="131"/>
      <c r="L246" s="131"/>
      <c r="M246" s="131"/>
      <c r="N246" s="131"/>
      <c r="O246" s="131"/>
      <c r="P246" s="131"/>
      <c r="Q246" s="131"/>
      <c r="R246" s="131"/>
      <c r="S246" s="131"/>
      <c r="T246" s="131"/>
      <c r="U246" s="131"/>
      <c r="V246" s="131"/>
      <c r="W246" s="131"/>
      <c r="X246" s="131"/>
      <c r="Y246" s="131"/>
      <c r="Z246" s="142"/>
      <c r="AA246" s="142"/>
      <c r="AB246" s="142"/>
      <c r="AC246" s="142"/>
      <c r="AD246" s="142"/>
      <c r="AE246" s="142"/>
      <c r="AF246" s="142"/>
      <c r="AG246" s="142"/>
      <c r="AH246" s="142"/>
      <c r="AI246" s="142"/>
      <c r="AJ246" s="142"/>
      <c r="AK246" s="142"/>
      <c r="AL246" s="142"/>
      <c r="AM246" s="142"/>
      <c r="AN246" s="142"/>
      <c r="AO246" s="131"/>
    </row>
    <row r="247" ht="13.5" customHeight="1">
      <c r="A247" s="142"/>
      <c r="B247" s="142"/>
      <c r="C247" s="142"/>
      <c r="D247" s="142"/>
      <c r="E247" s="308"/>
      <c r="F247" s="131"/>
      <c r="G247" s="131"/>
      <c r="H247" s="131"/>
      <c r="I247" s="219"/>
      <c r="J247" s="198"/>
      <c r="K247" s="131"/>
      <c r="L247" s="131"/>
      <c r="M247" s="131"/>
      <c r="N247" s="131"/>
      <c r="O247" s="131"/>
      <c r="P247" s="131"/>
      <c r="Q247" s="131"/>
      <c r="R247" s="131"/>
      <c r="S247" s="131"/>
      <c r="T247" s="131"/>
      <c r="U247" s="131"/>
      <c r="V247" s="131"/>
      <c r="W247" s="131"/>
      <c r="X247" s="131"/>
      <c r="Y247" s="131"/>
      <c r="Z247" s="142"/>
      <c r="AA247" s="142"/>
      <c r="AB247" s="142"/>
      <c r="AC247" s="142"/>
      <c r="AD247" s="142"/>
      <c r="AE247" s="142"/>
      <c r="AF247" s="142"/>
      <c r="AG247" s="142"/>
      <c r="AH247" s="142"/>
      <c r="AI247" s="142"/>
      <c r="AJ247" s="142"/>
      <c r="AK247" s="142"/>
      <c r="AL247" s="142"/>
      <c r="AM247" s="142"/>
      <c r="AN247" s="142"/>
      <c r="AO247" s="131"/>
    </row>
    <row r="248" ht="13.5" customHeight="1">
      <c r="A248" s="142"/>
      <c r="B248" s="142"/>
      <c r="C248" s="142"/>
      <c r="D248" s="142"/>
      <c r="E248" s="308"/>
      <c r="F248" s="131"/>
      <c r="G248" s="131"/>
      <c r="H248" s="131"/>
      <c r="I248" s="219"/>
      <c r="J248" s="198"/>
      <c r="K248" s="131"/>
      <c r="L248" s="131"/>
      <c r="M248" s="131"/>
      <c r="N248" s="131"/>
      <c r="O248" s="131"/>
      <c r="P248" s="131"/>
      <c r="Q248" s="131"/>
      <c r="R248" s="131"/>
      <c r="S248" s="131"/>
      <c r="T248" s="131"/>
      <c r="U248" s="131"/>
      <c r="V248" s="131"/>
      <c r="W248" s="131"/>
      <c r="X248" s="131"/>
      <c r="Y248" s="131"/>
      <c r="Z248" s="142"/>
      <c r="AA248" s="142"/>
      <c r="AB248" s="142"/>
      <c r="AC248" s="142"/>
      <c r="AD248" s="142"/>
      <c r="AE248" s="142"/>
      <c r="AF248" s="142"/>
      <c r="AG248" s="142"/>
      <c r="AH248" s="142"/>
      <c r="AI248" s="142"/>
      <c r="AJ248" s="142"/>
      <c r="AK248" s="142"/>
      <c r="AL248" s="142"/>
      <c r="AM248" s="142"/>
      <c r="AN248" s="142"/>
      <c r="AO248" s="131"/>
    </row>
    <row r="249" ht="13.5" customHeight="1">
      <c r="A249" s="142"/>
      <c r="B249" s="142"/>
      <c r="C249" s="142"/>
      <c r="D249" s="142"/>
      <c r="E249" s="308"/>
      <c r="F249" s="131"/>
      <c r="G249" s="131"/>
      <c r="H249" s="131"/>
      <c r="I249" s="219"/>
      <c r="J249" s="198"/>
      <c r="K249" s="131"/>
      <c r="L249" s="131"/>
      <c r="M249" s="131"/>
      <c r="N249" s="131"/>
      <c r="O249" s="131"/>
      <c r="P249" s="131"/>
      <c r="Q249" s="131"/>
      <c r="R249" s="131"/>
      <c r="S249" s="131"/>
      <c r="T249" s="131"/>
      <c r="U249" s="131"/>
      <c r="V249" s="131"/>
      <c r="W249" s="131"/>
      <c r="X249" s="131"/>
      <c r="Y249" s="131"/>
      <c r="Z249" s="142"/>
      <c r="AA249" s="142"/>
      <c r="AB249" s="142"/>
      <c r="AC249" s="142"/>
      <c r="AD249" s="142"/>
      <c r="AE249" s="142"/>
      <c r="AF249" s="142"/>
      <c r="AG249" s="142"/>
      <c r="AH249" s="142"/>
      <c r="AI249" s="142"/>
      <c r="AJ249" s="142"/>
      <c r="AK249" s="142"/>
      <c r="AL249" s="142"/>
      <c r="AM249" s="142"/>
      <c r="AN249" s="142"/>
      <c r="AO249" s="131"/>
    </row>
    <row r="250" ht="13.5" customHeight="1">
      <c r="A250" s="142"/>
      <c r="B250" s="142"/>
      <c r="C250" s="142"/>
      <c r="D250" s="142"/>
      <c r="E250" s="308"/>
      <c r="F250" s="131"/>
      <c r="G250" s="131"/>
      <c r="H250" s="131"/>
      <c r="I250" s="219"/>
      <c r="J250" s="198"/>
      <c r="K250" s="131"/>
      <c r="L250" s="131"/>
      <c r="M250" s="131"/>
      <c r="N250" s="131"/>
      <c r="O250" s="131"/>
      <c r="P250" s="131"/>
      <c r="Q250" s="131"/>
      <c r="R250" s="131"/>
      <c r="S250" s="131"/>
      <c r="T250" s="131"/>
      <c r="U250" s="131"/>
      <c r="V250" s="131"/>
      <c r="W250" s="131"/>
      <c r="X250" s="131"/>
      <c r="Y250" s="131"/>
      <c r="Z250" s="142"/>
      <c r="AA250" s="142"/>
      <c r="AB250" s="142"/>
      <c r="AC250" s="142"/>
      <c r="AD250" s="142"/>
      <c r="AE250" s="142"/>
      <c r="AF250" s="142"/>
      <c r="AG250" s="142"/>
      <c r="AH250" s="142"/>
      <c r="AI250" s="142"/>
      <c r="AJ250" s="142"/>
      <c r="AK250" s="142"/>
      <c r="AL250" s="142"/>
      <c r="AM250" s="142"/>
      <c r="AN250" s="142"/>
      <c r="AO250" s="131"/>
    </row>
    <row r="251" ht="13.5" customHeight="1">
      <c r="A251" s="142"/>
      <c r="B251" s="142"/>
      <c r="C251" s="142"/>
      <c r="D251" s="142"/>
      <c r="E251" s="308"/>
      <c r="F251" s="131"/>
      <c r="G251" s="131"/>
      <c r="H251" s="131"/>
      <c r="I251" s="219"/>
      <c r="J251" s="198"/>
      <c r="K251" s="131"/>
      <c r="L251" s="131"/>
      <c r="M251" s="131"/>
      <c r="N251" s="131"/>
      <c r="O251" s="131"/>
      <c r="P251" s="131"/>
      <c r="Q251" s="131"/>
      <c r="R251" s="131"/>
      <c r="S251" s="131"/>
      <c r="T251" s="131"/>
      <c r="U251" s="131"/>
      <c r="V251" s="131"/>
      <c r="W251" s="131"/>
      <c r="X251" s="131"/>
      <c r="Y251" s="131"/>
      <c r="Z251" s="142"/>
      <c r="AA251" s="142"/>
      <c r="AB251" s="142"/>
      <c r="AC251" s="142"/>
      <c r="AD251" s="142"/>
      <c r="AE251" s="142"/>
      <c r="AF251" s="142"/>
      <c r="AG251" s="142"/>
      <c r="AH251" s="142"/>
      <c r="AI251" s="142"/>
      <c r="AJ251" s="142"/>
      <c r="AK251" s="142"/>
      <c r="AL251" s="142"/>
      <c r="AM251" s="142"/>
      <c r="AN251" s="142"/>
      <c r="AO251" s="131"/>
    </row>
    <row r="252" ht="13.5" customHeight="1">
      <c r="A252" s="142"/>
      <c r="B252" s="142"/>
      <c r="C252" s="142"/>
      <c r="D252" s="142"/>
      <c r="E252" s="308"/>
      <c r="F252" s="131"/>
      <c r="G252" s="131"/>
      <c r="H252" s="131"/>
      <c r="I252" s="219"/>
      <c r="J252" s="198"/>
      <c r="K252" s="131"/>
      <c r="L252" s="131"/>
      <c r="M252" s="131"/>
      <c r="N252" s="131"/>
      <c r="O252" s="131"/>
      <c r="P252" s="131"/>
      <c r="Q252" s="131"/>
      <c r="R252" s="131"/>
      <c r="S252" s="131"/>
      <c r="T252" s="131"/>
      <c r="U252" s="131"/>
      <c r="V252" s="131"/>
      <c r="W252" s="131"/>
      <c r="X252" s="131"/>
      <c r="Y252" s="131"/>
      <c r="Z252" s="142"/>
      <c r="AA252" s="142"/>
      <c r="AB252" s="142"/>
      <c r="AC252" s="142"/>
      <c r="AD252" s="142"/>
      <c r="AE252" s="142"/>
      <c r="AF252" s="142"/>
      <c r="AG252" s="142"/>
      <c r="AH252" s="142"/>
      <c r="AI252" s="142"/>
      <c r="AJ252" s="142"/>
      <c r="AK252" s="142"/>
      <c r="AL252" s="142"/>
      <c r="AM252" s="142"/>
      <c r="AN252" s="142"/>
      <c r="AO252" s="131"/>
    </row>
    <row r="253" ht="13.5" customHeight="1">
      <c r="A253" s="142"/>
      <c r="B253" s="142"/>
      <c r="C253" s="142"/>
      <c r="D253" s="142"/>
      <c r="E253" s="308"/>
      <c r="F253" s="131"/>
      <c r="G253" s="131"/>
      <c r="H253" s="131"/>
      <c r="I253" s="219"/>
      <c r="J253" s="198"/>
      <c r="K253" s="131"/>
      <c r="L253" s="131"/>
      <c r="M253" s="131"/>
      <c r="N253" s="131"/>
      <c r="O253" s="131"/>
      <c r="P253" s="131"/>
      <c r="Q253" s="131"/>
      <c r="R253" s="131"/>
      <c r="S253" s="131"/>
      <c r="T253" s="131"/>
      <c r="U253" s="131"/>
      <c r="V253" s="131"/>
      <c r="W253" s="131"/>
      <c r="X253" s="131"/>
      <c r="Y253" s="131"/>
      <c r="Z253" s="142"/>
      <c r="AA253" s="142"/>
      <c r="AB253" s="142"/>
      <c r="AC253" s="142"/>
      <c r="AD253" s="142"/>
      <c r="AE253" s="142"/>
      <c r="AF253" s="142"/>
      <c r="AG253" s="142"/>
      <c r="AH253" s="142"/>
      <c r="AI253" s="142"/>
      <c r="AJ253" s="142"/>
      <c r="AK253" s="142"/>
      <c r="AL253" s="142"/>
      <c r="AM253" s="142"/>
      <c r="AN253" s="142"/>
      <c r="AO253" s="131"/>
    </row>
    <row r="254" ht="13.5" customHeight="1">
      <c r="A254" s="142"/>
      <c r="B254" s="142"/>
      <c r="C254" s="142"/>
      <c r="D254" s="142"/>
      <c r="E254" s="308"/>
      <c r="F254" s="131"/>
      <c r="G254" s="131"/>
      <c r="H254" s="131"/>
      <c r="I254" s="219"/>
      <c r="J254" s="198"/>
      <c r="K254" s="131"/>
      <c r="L254" s="131"/>
      <c r="M254" s="131"/>
      <c r="N254" s="131"/>
      <c r="O254" s="131"/>
      <c r="P254" s="131"/>
      <c r="Q254" s="131"/>
      <c r="R254" s="131"/>
      <c r="S254" s="131"/>
      <c r="T254" s="131"/>
      <c r="U254" s="131"/>
      <c r="V254" s="131"/>
      <c r="W254" s="131"/>
      <c r="X254" s="131"/>
      <c r="Y254" s="131"/>
      <c r="Z254" s="142"/>
      <c r="AA254" s="142"/>
      <c r="AB254" s="142"/>
      <c r="AC254" s="142"/>
      <c r="AD254" s="142"/>
      <c r="AE254" s="142"/>
      <c r="AF254" s="142"/>
      <c r="AG254" s="142"/>
      <c r="AH254" s="142"/>
      <c r="AI254" s="142"/>
      <c r="AJ254" s="142"/>
      <c r="AK254" s="142"/>
      <c r="AL254" s="142"/>
      <c r="AM254" s="142"/>
      <c r="AN254" s="142"/>
      <c r="AO254" s="131"/>
    </row>
    <row r="255" ht="13.5" customHeight="1">
      <c r="A255" s="142"/>
      <c r="B255" s="142"/>
      <c r="C255" s="142"/>
      <c r="D255" s="142"/>
      <c r="E255" s="308"/>
      <c r="F255" s="131"/>
      <c r="G255" s="131"/>
      <c r="H255" s="131"/>
      <c r="I255" s="219"/>
      <c r="J255" s="198"/>
      <c r="K255" s="131"/>
      <c r="L255" s="131"/>
      <c r="M255" s="131"/>
      <c r="N255" s="131"/>
      <c r="O255" s="131"/>
      <c r="P255" s="131"/>
      <c r="Q255" s="131"/>
      <c r="R255" s="131"/>
      <c r="S255" s="131"/>
      <c r="T255" s="131"/>
      <c r="U255" s="131"/>
      <c r="V255" s="131"/>
      <c r="W255" s="131"/>
      <c r="X255" s="131"/>
      <c r="Y255" s="131"/>
      <c r="Z255" s="142"/>
      <c r="AA255" s="142"/>
      <c r="AB255" s="142"/>
      <c r="AC255" s="142"/>
      <c r="AD255" s="142"/>
      <c r="AE255" s="142"/>
      <c r="AF255" s="142"/>
      <c r="AG255" s="142"/>
      <c r="AH255" s="142"/>
      <c r="AI255" s="142"/>
      <c r="AJ255" s="142"/>
      <c r="AK255" s="142"/>
      <c r="AL255" s="142"/>
      <c r="AM255" s="142"/>
      <c r="AN255" s="142"/>
      <c r="AO255" s="131"/>
    </row>
    <row r="256" ht="13.5" customHeight="1">
      <c r="A256" s="142"/>
      <c r="B256" s="142"/>
      <c r="C256" s="142"/>
      <c r="D256" s="142"/>
      <c r="E256" s="308"/>
      <c r="F256" s="131"/>
      <c r="G256" s="131"/>
      <c r="H256" s="131"/>
      <c r="I256" s="219"/>
      <c r="J256" s="198"/>
      <c r="K256" s="131"/>
      <c r="L256" s="131"/>
      <c r="M256" s="131"/>
      <c r="N256" s="131"/>
      <c r="O256" s="131"/>
      <c r="P256" s="131"/>
      <c r="Q256" s="131"/>
      <c r="R256" s="131"/>
      <c r="S256" s="131"/>
      <c r="T256" s="131"/>
      <c r="U256" s="131"/>
      <c r="V256" s="131"/>
      <c r="W256" s="131"/>
      <c r="X256" s="131"/>
      <c r="Y256" s="131"/>
      <c r="Z256" s="142"/>
      <c r="AA256" s="142"/>
      <c r="AB256" s="142"/>
      <c r="AC256" s="142"/>
      <c r="AD256" s="142"/>
      <c r="AE256" s="142"/>
      <c r="AF256" s="142"/>
      <c r="AG256" s="142"/>
      <c r="AH256" s="142"/>
      <c r="AI256" s="142"/>
      <c r="AJ256" s="142"/>
      <c r="AK256" s="142"/>
      <c r="AL256" s="142"/>
      <c r="AM256" s="142"/>
      <c r="AN256" s="142"/>
      <c r="AO256" s="131"/>
    </row>
    <row r="257" ht="13.5" customHeight="1">
      <c r="A257" s="142"/>
      <c r="B257" s="142"/>
      <c r="C257" s="142"/>
      <c r="D257" s="142"/>
      <c r="E257" s="308"/>
      <c r="F257" s="131"/>
      <c r="G257" s="131"/>
      <c r="H257" s="131"/>
      <c r="I257" s="219"/>
      <c r="J257" s="198"/>
      <c r="K257" s="131"/>
      <c r="L257" s="131"/>
      <c r="M257" s="131"/>
      <c r="N257" s="131"/>
      <c r="O257" s="131"/>
      <c r="P257" s="131"/>
      <c r="Q257" s="131"/>
      <c r="R257" s="131"/>
      <c r="S257" s="131"/>
      <c r="T257" s="131"/>
      <c r="U257" s="131"/>
      <c r="V257" s="131"/>
      <c r="W257" s="131"/>
      <c r="X257" s="131"/>
      <c r="Y257" s="131"/>
      <c r="Z257" s="142"/>
      <c r="AA257" s="142"/>
      <c r="AB257" s="142"/>
      <c r="AC257" s="142"/>
      <c r="AD257" s="142"/>
      <c r="AE257" s="142"/>
      <c r="AF257" s="142"/>
      <c r="AG257" s="142"/>
      <c r="AH257" s="142"/>
      <c r="AI257" s="142"/>
      <c r="AJ257" s="142"/>
      <c r="AK257" s="142"/>
      <c r="AL257" s="142"/>
      <c r="AM257" s="142"/>
      <c r="AN257" s="142"/>
      <c r="AO257" s="131"/>
    </row>
    <row r="258" ht="13.5" customHeight="1">
      <c r="A258" s="142"/>
      <c r="B258" s="142"/>
      <c r="C258" s="142"/>
      <c r="D258" s="142"/>
      <c r="E258" s="308"/>
      <c r="F258" s="131"/>
      <c r="G258" s="131"/>
      <c r="H258" s="131"/>
      <c r="I258" s="219"/>
      <c r="J258" s="198"/>
      <c r="K258" s="131"/>
      <c r="L258" s="131"/>
      <c r="M258" s="131"/>
      <c r="N258" s="131"/>
      <c r="O258" s="131"/>
      <c r="P258" s="131"/>
      <c r="Q258" s="131"/>
      <c r="R258" s="131"/>
      <c r="S258" s="131"/>
      <c r="T258" s="131"/>
      <c r="U258" s="131"/>
      <c r="V258" s="131"/>
      <c r="W258" s="131"/>
      <c r="X258" s="131"/>
      <c r="Y258" s="131"/>
      <c r="Z258" s="142"/>
      <c r="AA258" s="142"/>
      <c r="AB258" s="142"/>
      <c r="AC258" s="142"/>
      <c r="AD258" s="142"/>
      <c r="AE258" s="142"/>
      <c r="AF258" s="142"/>
      <c r="AG258" s="142"/>
      <c r="AH258" s="142"/>
      <c r="AI258" s="142"/>
      <c r="AJ258" s="142"/>
      <c r="AK258" s="142"/>
      <c r="AL258" s="142"/>
      <c r="AM258" s="142"/>
      <c r="AN258" s="142"/>
      <c r="AO258" s="131"/>
    </row>
    <row r="259" ht="13.5" customHeight="1">
      <c r="A259" s="142"/>
      <c r="B259" s="142"/>
      <c r="C259" s="142"/>
      <c r="D259" s="142"/>
      <c r="E259" s="308"/>
      <c r="F259" s="131"/>
      <c r="G259" s="131"/>
      <c r="H259" s="131"/>
      <c r="I259" s="219"/>
      <c r="J259" s="198"/>
      <c r="K259" s="131"/>
      <c r="L259" s="131"/>
      <c r="M259" s="131"/>
      <c r="N259" s="131"/>
      <c r="O259" s="131"/>
      <c r="P259" s="131"/>
      <c r="Q259" s="131"/>
      <c r="R259" s="131"/>
      <c r="S259" s="131"/>
      <c r="T259" s="131"/>
      <c r="U259" s="131"/>
      <c r="V259" s="131"/>
      <c r="W259" s="131"/>
      <c r="X259" s="131"/>
      <c r="Y259" s="131"/>
      <c r="Z259" s="142"/>
      <c r="AA259" s="142"/>
      <c r="AB259" s="142"/>
      <c r="AC259" s="142"/>
      <c r="AD259" s="142"/>
      <c r="AE259" s="142"/>
      <c r="AF259" s="142"/>
      <c r="AG259" s="142"/>
      <c r="AH259" s="142"/>
      <c r="AI259" s="142"/>
      <c r="AJ259" s="142"/>
      <c r="AK259" s="142"/>
      <c r="AL259" s="142"/>
      <c r="AM259" s="142"/>
      <c r="AN259" s="142"/>
      <c r="AO259" s="131"/>
    </row>
    <row r="260" ht="13.5" customHeight="1">
      <c r="A260" s="142"/>
      <c r="B260" s="142"/>
      <c r="C260" s="142"/>
      <c r="D260" s="142"/>
      <c r="E260" s="308"/>
      <c r="F260" s="131"/>
      <c r="G260" s="131"/>
      <c r="H260" s="131"/>
      <c r="I260" s="219"/>
      <c r="J260" s="198"/>
      <c r="K260" s="131"/>
      <c r="L260" s="131"/>
      <c r="M260" s="131"/>
      <c r="N260" s="131"/>
      <c r="O260" s="131"/>
      <c r="P260" s="131"/>
      <c r="Q260" s="131"/>
      <c r="R260" s="131"/>
      <c r="S260" s="131"/>
      <c r="T260" s="131"/>
      <c r="U260" s="131"/>
      <c r="V260" s="131"/>
      <c r="W260" s="131"/>
      <c r="X260" s="131"/>
      <c r="Y260" s="131"/>
      <c r="Z260" s="142"/>
      <c r="AA260" s="142"/>
      <c r="AB260" s="142"/>
      <c r="AC260" s="142"/>
      <c r="AD260" s="142"/>
      <c r="AE260" s="142"/>
      <c r="AF260" s="142"/>
      <c r="AG260" s="142"/>
      <c r="AH260" s="142"/>
      <c r="AI260" s="142"/>
      <c r="AJ260" s="142"/>
      <c r="AK260" s="142"/>
      <c r="AL260" s="142"/>
      <c r="AM260" s="142"/>
      <c r="AN260" s="142"/>
      <c r="AO260" s="131"/>
    </row>
    <row r="261" ht="13.5" customHeight="1">
      <c r="A261" s="142"/>
      <c r="B261" s="142"/>
      <c r="C261" s="142"/>
      <c r="D261" s="142"/>
      <c r="E261" s="308"/>
      <c r="F261" s="131"/>
      <c r="G261" s="131"/>
      <c r="H261" s="131"/>
      <c r="I261" s="219"/>
      <c r="J261" s="198"/>
      <c r="K261" s="131"/>
      <c r="L261" s="131"/>
      <c r="M261" s="131"/>
      <c r="N261" s="131"/>
      <c r="O261" s="131"/>
      <c r="P261" s="131"/>
      <c r="Q261" s="131"/>
      <c r="R261" s="131"/>
      <c r="S261" s="131"/>
      <c r="T261" s="131"/>
      <c r="U261" s="131"/>
      <c r="V261" s="131"/>
      <c r="W261" s="131"/>
      <c r="X261" s="131"/>
      <c r="Y261" s="131"/>
      <c r="Z261" s="142"/>
      <c r="AA261" s="142"/>
      <c r="AB261" s="142"/>
      <c r="AC261" s="142"/>
      <c r="AD261" s="142"/>
      <c r="AE261" s="142"/>
      <c r="AF261" s="142"/>
      <c r="AG261" s="142"/>
      <c r="AH261" s="142"/>
      <c r="AI261" s="142"/>
      <c r="AJ261" s="142"/>
      <c r="AK261" s="142"/>
      <c r="AL261" s="142"/>
      <c r="AM261" s="142"/>
      <c r="AN261" s="142"/>
      <c r="AO261" s="131"/>
    </row>
    <row r="262" ht="13.5" customHeight="1">
      <c r="A262" s="142"/>
      <c r="B262" s="142"/>
      <c r="C262" s="142"/>
      <c r="D262" s="142"/>
      <c r="E262" s="308"/>
      <c r="F262" s="131"/>
      <c r="G262" s="131"/>
      <c r="H262" s="131"/>
      <c r="I262" s="219"/>
      <c r="J262" s="198"/>
      <c r="K262" s="131"/>
      <c r="L262" s="131"/>
      <c r="M262" s="131"/>
      <c r="N262" s="131"/>
      <c r="O262" s="131"/>
      <c r="P262" s="131"/>
      <c r="Q262" s="131"/>
      <c r="R262" s="131"/>
      <c r="S262" s="131"/>
      <c r="T262" s="131"/>
      <c r="U262" s="131"/>
      <c r="V262" s="131"/>
      <c r="W262" s="131"/>
      <c r="X262" s="131"/>
      <c r="Y262" s="131"/>
      <c r="Z262" s="142"/>
      <c r="AA262" s="142"/>
      <c r="AB262" s="142"/>
      <c r="AC262" s="142"/>
      <c r="AD262" s="142"/>
      <c r="AE262" s="142"/>
      <c r="AF262" s="142"/>
      <c r="AG262" s="142"/>
      <c r="AH262" s="142"/>
      <c r="AI262" s="142"/>
      <c r="AJ262" s="142"/>
      <c r="AK262" s="142"/>
      <c r="AL262" s="142"/>
      <c r="AM262" s="142"/>
      <c r="AN262" s="142"/>
      <c r="AO262" s="131"/>
    </row>
    <row r="263" ht="13.5" customHeight="1">
      <c r="A263" s="142"/>
      <c r="B263" s="142"/>
      <c r="C263" s="142"/>
      <c r="D263" s="142"/>
      <c r="E263" s="308"/>
      <c r="F263" s="131"/>
      <c r="G263" s="131"/>
      <c r="H263" s="131"/>
      <c r="I263" s="219"/>
      <c r="J263" s="198"/>
      <c r="K263" s="131"/>
      <c r="L263" s="131"/>
      <c r="M263" s="131"/>
      <c r="N263" s="131"/>
      <c r="O263" s="131"/>
      <c r="P263" s="131"/>
      <c r="Q263" s="131"/>
      <c r="R263" s="131"/>
      <c r="S263" s="131"/>
      <c r="T263" s="131"/>
      <c r="U263" s="131"/>
      <c r="V263" s="131"/>
      <c r="W263" s="131"/>
      <c r="X263" s="131"/>
      <c r="Y263" s="131"/>
      <c r="Z263" s="142"/>
      <c r="AA263" s="142"/>
      <c r="AB263" s="142"/>
      <c r="AC263" s="142"/>
      <c r="AD263" s="142"/>
      <c r="AE263" s="142"/>
      <c r="AF263" s="142"/>
      <c r="AG263" s="142"/>
      <c r="AH263" s="142"/>
      <c r="AI263" s="142"/>
      <c r="AJ263" s="142"/>
      <c r="AK263" s="142"/>
      <c r="AL263" s="142"/>
      <c r="AM263" s="142"/>
      <c r="AN263" s="142"/>
      <c r="AO263" s="131"/>
    </row>
    <row r="264" ht="13.5" customHeight="1">
      <c r="A264" s="142"/>
      <c r="B264" s="142"/>
      <c r="C264" s="142"/>
      <c r="D264" s="142"/>
      <c r="E264" s="308"/>
      <c r="F264" s="131"/>
      <c r="G264" s="131"/>
      <c r="H264" s="131"/>
      <c r="I264" s="219"/>
      <c r="J264" s="198"/>
      <c r="K264" s="131"/>
      <c r="L264" s="131"/>
      <c r="M264" s="131"/>
      <c r="N264" s="131"/>
      <c r="O264" s="131"/>
      <c r="P264" s="131"/>
      <c r="Q264" s="131"/>
      <c r="R264" s="131"/>
      <c r="S264" s="131"/>
      <c r="T264" s="131"/>
      <c r="U264" s="131"/>
      <c r="V264" s="131"/>
      <c r="W264" s="131"/>
      <c r="X264" s="131"/>
      <c r="Y264" s="131"/>
      <c r="Z264" s="142"/>
      <c r="AA264" s="142"/>
      <c r="AB264" s="142"/>
      <c r="AC264" s="142"/>
      <c r="AD264" s="142"/>
      <c r="AE264" s="142"/>
      <c r="AF264" s="142"/>
      <c r="AG264" s="142"/>
      <c r="AH264" s="142"/>
      <c r="AI264" s="142"/>
      <c r="AJ264" s="142"/>
      <c r="AK264" s="142"/>
      <c r="AL264" s="142"/>
      <c r="AM264" s="142"/>
      <c r="AN264" s="142"/>
      <c r="AO264" s="131"/>
    </row>
    <row r="265" ht="13.5" customHeight="1">
      <c r="A265" s="142"/>
      <c r="B265" s="142"/>
      <c r="C265" s="142"/>
      <c r="D265" s="142"/>
      <c r="E265" s="308"/>
      <c r="F265" s="131"/>
      <c r="G265" s="131"/>
      <c r="H265" s="131"/>
      <c r="I265" s="219"/>
      <c r="J265" s="198"/>
      <c r="K265" s="131"/>
      <c r="L265" s="131"/>
      <c r="M265" s="131"/>
      <c r="N265" s="131"/>
      <c r="O265" s="131"/>
      <c r="P265" s="131"/>
      <c r="Q265" s="131"/>
      <c r="R265" s="131"/>
      <c r="S265" s="131"/>
      <c r="T265" s="131"/>
      <c r="U265" s="131"/>
      <c r="V265" s="131"/>
      <c r="W265" s="131"/>
      <c r="X265" s="131"/>
      <c r="Y265" s="131"/>
      <c r="Z265" s="142"/>
      <c r="AA265" s="142"/>
      <c r="AB265" s="142"/>
      <c r="AC265" s="142"/>
      <c r="AD265" s="142"/>
      <c r="AE265" s="142"/>
      <c r="AF265" s="142"/>
      <c r="AG265" s="142"/>
      <c r="AH265" s="142"/>
      <c r="AI265" s="142"/>
      <c r="AJ265" s="142"/>
      <c r="AK265" s="142"/>
      <c r="AL265" s="142"/>
      <c r="AM265" s="142"/>
      <c r="AN265" s="142"/>
      <c r="AO265" s="131"/>
    </row>
    <row r="266" ht="13.5" customHeight="1">
      <c r="A266" s="142"/>
      <c r="B266" s="142"/>
      <c r="C266" s="142"/>
      <c r="D266" s="142"/>
      <c r="E266" s="308"/>
      <c r="F266" s="131"/>
      <c r="G266" s="131"/>
      <c r="H266" s="131"/>
      <c r="I266" s="219"/>
      <c r="J266" s="198"/>
      <c r="K266" s="131"/>
      <c r="L266" s="131"/>
      <c r="M266" s="131"/>
      <c r="N266" s="131"/>
      <c r="O266" s="131"/>
      <c r="P266" s="131"/>
      <c r="Q266" s="131"/>
      <c r="R266" s="131"/>
      <c r="S266" s="131"/>
      <c r="T266" s="131"/>
      <c r="U266" s="131"/>
      <c r="V266" s="131"/>
      <c r="W266" s="131"/>
      <c r="X266" s="131"/>
      <c r="Y266" s="131"/>
      <c r="Z266" s="142"/>
      <c r="AA266" s="142"/>
      <c r="AB266" s="142"/>
      <c r="AC266" s="142"/>
      <c r="AD266" s="142"/>
      <c r="AE266" s="142"/>
      <c r="AF266" s="142"/>
      <c r="AG266" s="142"/>
      <c r="AH266" s="142"/>
      <c r="AI266" s="142"/>
      <c r="AJ266" s="142"/>
      <c r="AK266" s="142"/>
      <c r="AL266" s="142"/>
      <c r="AM266" s="142"/>
      <c r="AN266" s="142"/>
      <c r="AO266" s="131"/>
    </row>
    <row r="267" ht="13.5" customHeight="1">
      <c r="A267" s="142"/>
      <c r="B267" s="142"/>
      <c r="C267" s="142"/>
      <c r="D267" s="142"/>
      <c r="E267" s="308"/>
      <c r="F267" s="131"/>
      <c r="G267" s="131"/>
      <c r="H267" s="131"/>
      <c r="I267" s="219"/>
      <c r="J267" s="198"/>
      <c r="K267" s="131"/>
      <c r="L267" s="131"/>
      <c r="M267" s="131"/>
      <c r="N267" s="131"/>
      <c r="O267" s="131"/>
      <c r="P267" s="131"/>
      <c r="Q267" s="131"/>
      <c r="R267" s="131"/>
      <c r="S267" s="131"/>
      <c r="T267" s="131"/>
      <c r="U267" s="131"/>
      <c r="V267" s="131"/>
      <c r="W267" s="131"/>
      <c r="X267" s="131"/>
      <c r="Y267" s="131"/>
      <c r="Z267" s="142"/>
      <c r="AA267" s="142"/>
      <c r="AB267" s="142"/>
      <c r="AC267" s="142"/>
      <c r="AD267" s="142"/>
      <c r="AE267" s="142"/>
      <c r="AF267" s="142"/>
      <c r="AG267" s="142"/>
      <c r="AH267" s="142"/>
      <c r="AI267" s="142"/>
      <c r="AJ267" s="142"/>
      <c r="AK267" s="142"/>
      <c r="AL267" s="142"/>
      <c r="AM267" s="142"/>
      <c r="AN267" s="142"/>
      <c r="AO267" s="131"/>
    </row>
    <row r="268" ht="13.5" customHeight="1">
      <c r="A268" s="142"/>
      <c r="B268" s="142"/>
      <c r="C268" s="142"/>
      <c r="D268" s="142"/>
      <c r="E268" s="308"/>
      <c r="F268" s="131"/>
      <c r="G268" s="131"/>
      <c r="H268" s="131"/>
      <c r="I268" s="219"/>
      <c r="J268" s="198"/>
      <c r="K268" s="131"/>
      <c r="L268" s="131"/>
      <c r="M268" s="131"/>
      <c r="N268" s="131"/>
      <c r="O268" s="131"/>
      <c r="P268" s="131"/>
      <c r="Q268" s="131"/>
      <c r="R268" s="131"/>
      <c r="S268" s="131"/>
      <c r="T268" s="131"/>
      <c r="U268" s="131"/>
      <c r="V268" s="131"/>
      <c r="W268" s="131"/>
      <c r="X268" s="131"/>
      <c r="Y268" s="131"/>
      <c r="Z268" s="142"/>
      <c r="AA268" s="142"/>
      <c r="AB268" s="142"/>
      <c r="AC268" s="142"/>
      <c r="AD268" s="142"/>
      <c r="AE268" s="142"/>
      <c r="AF268" s="142"/>
      <c r="AG268" s="142"/>
      <c r="AH268" s="142"/>
      <c r="AI268" s="142"/>
      <c r="AJ268" s="142"/>
      <c r="AK268" s="142"/>
      <c r="AL268" s="142"/>
      <c r="AM268" s="142"/>
      <c r="AN268" s="142"/>
      <c r="AO268" s="131"/>
    </row>
    <row r="269" ht="13.5" customHeight="1">
      <c r="A269" s="142"/>
      <c r="B269" s="142"/>
      <c r="C269" s="142"/>
      <c r="D269" s="142"/>
      <c r="E269" s="308"/>
      <c r="F269" s="131"/>
      <c r="G269" s="131"/>
      <c r="H269" s="131"/>
      <c r="I269" s="219"/>
      <c r="J269" s="198"/>
      <c r="K269" s="131"/>
      <c r="L269" s="131"/>
      <c r="M269" s="131"/>
      <c r="N269" s="131"/>
      <c r="O269" s="131"/>
      <c r="P269" s="131"/>
      <c r="Q269" s="131"/>
      <c r="R269" s="131"/>
      <c r="S269" s="131"/>
      <c r="T269" s="131"/>
      <c r="U269" s="131"/>
      <c r="V269" s="131"/>
      <c r="W269" s="131"/>
      <c r="X269" s="131"/>
      <c r="Y269" s="131"/>
      <c r="Z269" s="142"/>
      <c r="AA269" s="142"/>
      <c r="AB269" s="142"/>
      <c r="AC269" s="142"/>
      <c r="AD269" s="142"/>
      <c r="AE269" s="142"/>
      <c r="AF269" s="142"/>
      <c r="AG269" s="142"/>
      <c r="AH269" s="142"/>
      <c r="AI269" s="142"/>
      <c r="AJ269" s="142"/>
      <c r="AK269" s="142"/>
      <c r="AL269" s="142"/>
      <c r="AM269" s="142"/>
      <c r="AN269" s="142"/>
      <c r="AO269" s="131"/>
    </row>
    <row r="270" ht="13.5" customHeight="1">
      <c r="A270" s="142"/>
      <c r="B270" s="142"/>
      <c r="C270" s="142"/>
      <c r="D270" s="142"/>
      <c r="E270" s="308"/>
      <c r="F270" s="131"/>
      <c r="G270" s="131"/>
      <c r="H270" s="131"/>
      <c r="I270" s="219"/>
      <c r="J270" s="198"/>
      <c r="K270" s="131"/>
      <c r="L270" s="131"/>
      <c r="M270" s="131"/>
      <c r="N270" s="131"/>
      <c r="O270" s="131"/>
      <c r="P270" s="131"/>
      <c r="Q270" s="131"/>
      <c r="R270" s="131"/>
      <c r="S270" s="131"/>
      <c r="T270" s="131"/>
      <c r="U270" s="131"/>
      <c r="V270" s="131"/>
      <c r="W270" s="131"/>
      <c r="X270" s="131"/>
      <c r="Y270" s="131"/>
      <c r="Z270" s="142"/>
      <c r="AA270" s="142"/>
      <c r="AB270" s="142"/>
      <c r="AC270" s="142"/>
      <c r="AD270" s="142"/>
      <c r="AE270" s="142"/>
      <c r="AF270" s="142"/>
      <c r="AG270" s="142"/>
      <c r="AH270" s="142"/>
      <c r="AI270" s="142"/>
      <c r="AJ270" s="142"/>
      <c r="AK270" s="142"/>
      <c r="AL270" s="142"/>
      <c r="AM270" s="142"/>
      <c r="AN270" s="142"/>
      <c r="AO270" s="131"/>
    </row>
    <row r="271" ht="13.5" customHeight="1">
      <c r="A271" s="142"/>
      <c r="B271" s="142"/>
      <c r="C271" s="142"/>
      <c r="D271" s="142"/>
      <c r="E271" s="308"/>
      <c r="F271" s="131"/>
      <c r="G271" s="131"/>
      <c r="H271" s="131"/>
      <c r="I271" s="219"/>
      <c r="J271" s="198"/>
      <c r="K271" s="131"/>
      <c r="L271" s="131"/>
      <c r="M271" s="131"/>
      <c r="N271" s="131"/>
      <c r="O271" s="131"/>
      <c r="P271" s="131"/>
      <c r="Q271" s="131"/>
      <c r="R271" s="131"/>
      <c r="S271" s="131"/>
      <c r="T271" s="131"/>
      <c r="U271" s="131"/>
      <c r="V271" s="131"/>
      <c r="W271" s="131"/>
      <c r="X271" s="131"/>
      <c r="Y271" s="131"/>
      <c r="Z271" s="142"/>
      <c r="AA271" s="142"/>
      <c r="AB271" s="142"/>
      <c r="AC271" s="142"/>
      <c r="AD271" s="142"/>
      <c r="AE271" s="142"/>
      <c r="AF271" s="142"/>
      <c r="AG271" s="142"/>
      <c r="AH271" s="142"/>
      <c r="AI271" s="142"/>
      <c r="AJ271" s="142"/>
      <c r="AK271" s="142"/>
      <c r="AL271" s="142"/>
      <c r="AM271" s="142"/>
      <c r="AN271" s="142"/>
      <c r="AO271" s="131"/>
    </row>
    <row r="272" ht="13.5" customHeight="1">
      <c r="A272" s="142"/>
      <c r="B272" s="142"/>
      <c r="C272" s="142"/>
      <c r="D272" s="142"/>
      <c r="E272" s="308"/>
      <c r="F272" s="131"/>
      <c r="G272" s="131"/>
      <c r="H272" s="131"/>
      <c r="I272" s="219"/>
      <c r="J272" s="198"/>
      <c r="K272" s="131"/>
      <c r="L272" s="131"/>
      <c r="M272" s="131"/>
      <c r="N272" s="131"/>
      <c r="O272" s="131"/>
      <c r="P272" s="131"/>
      <c r="Q272" s="131"/>
      <c r="R272" s="131"/>
      <c r="S272" s="131"/>
      <c r="T272" s="131"/>
      <c r="U272" s="131"/>
      <c r="V272" s="131"/>
      <c r="W272" s="131"/>
      <c r="X272" s="131"/>
      <c r="Y272" s="131"/>
      <c r="Z272" s="142"/>
      <c r="AA272" s="142"/>
      <c r="AB272" s="142"/>
      <c r="AC272" s="142"/>
      <c r="AD272" s="142"/>
      <c r="AE272" s="142"/>
      <c r="AF272" s="142"/>
      <c r="AG272" s="142"/>
      <c r="AH272" s="142"/>
      <c r="AI272" s="142"/>
      <c r="AJ272" s="142"/>
      <c r="AK272" s="142"/>
      <c r="AL272" s="142"/>
      <c r="AM272" s="142"/>
      <c r="AN272" s="142"/>
      <c r="AO272" s="131"/>
    </row>
    <row r="273" ht="13.5" customHeight="1">
      <c r="A273" s="142"/>
      <c r="B273" s="142"/>
      <c r="C273" s="142"/>
      <c r="D273" s="142"/>
      <c r="E273" s="308"/>
      <c r="F273" s="131"/>
      <c r="G273" s="131"/>
      <c r="H273" s="131"/>
      <c r="I273" s="219"/>
      <c r="J273" s="198"/>
      <c r="K273" s="131"/>
      <c r="L273" s="131"/>
      <c r="M273" s="131"/>
      <c r="N273" s="131"/>
      <c r="O273" s="131"/>
      <c r="P273" s="131"/>
      <c r="Q273" s="131"/>
      <c r="R273" s="131"/>
      <c r="S273" s="131"/>
      <c r="T273" s="131"/>
      <c r="U273" s="131"/>
      <c r="V273" s="131"/>
      <c r="W273" s="131"/>
      <c r="X273" s="131"/>
      <c r="Y273" s="131"/>
      <c r="Z273" s="142"/>
      <c r="AA273" s="142"/>
      <c r="AB273" s="142"/>
      <c r="AC273" s="142"/>
      <c r="AD273" s="142"/>
      <c r="AE273" s="142"/>
      <c r="AF273" s="142"/>
      <c r="AG273" s="142"/>
      <c r="AH273" s="142"/>
      <c r="AI273" s="142"/>
      <c r="AJ273" s="142"/>
      <c r="AK273" s="142"/>
      <c r="AL273" s="142"/>
      <c r="AM273" s="142"/>
      <c r="AN273" s="142"/>
      <c r="AO273" s="131"/>
    </row>
    <row r="274" ht="13.5" customHeight="1">
      <c r="A274" s="142"/>
      <c r="B274" s="142"/>
      <c r="C274" s="142"/>
      <c r="D274" s="142"/>
      <c r="E274" s="308"/>
      <c r="F274" s="131"/>
      <c r="G274" s="131"/>
      <c r="H274" s="131"/>
      <c r="I274" s="219"/>
      <c r="J274" s="198"/>
      <c r="K274" s="131"/>
      <c r="L274" s="131"/>
      <c r="M274" s="131"/>
      <c r="N274" s="131"/>
      <c r="O274" s="131"/>
      <c r="P274" s="131"/>
      <c r="Q274" s="131"/>
      <c r="R274" s="131"/>
      <c r="S274" s="131"/>
      <c r="T274" s="131"/>
      <c r="U274" s="131"/>
      <c r="V274" s="131"/>
      <c r="W274" s="131"/>
      <c r="X274" s="131"/>
      <c r="Y274" s="131"/>
      <c r="Z274" s="142"/>
      <c r="AA274" s="142"/>
      <c r="AB274" s="142"/>
      <c r="AC274" s="142"/>
      <c r="AD274" s="142"/>
      <c r="AE274" s="142"/>
      <c r="AF274" s="142"/>
      <c r="AG274" s="142"/>
      <c r="AH274" s="142"/>
      <c r="AI274" s="142"/>
      <c r="AJ274" s="142"/>
      <c r="AK274" s="142"/>
      <c r="AL274" s="142"/>
      <c r="AM274" s="142"/>
      <c r="AN274" s="142"/>
      <c r="AO274" s="131"/>
    </row>
    <row r="275" ht="13.5" customHeight="1">
      <c r="A275" s="142"/>
      <c r="B275" s="142"/>
      <c r="C275" s="142"/>
      <c r="D275" s="142"/>
      <c r="E275" s="308"/>
      <c r="F275" s="131"/>
      <c r="G275" s="131"/>
      <c r="H275" s="131"/>
      <c r="I275" s="219"/>
      <c r="J275" s="198"/>
      <c r="K275" s="131"/>
      <c r="L275" s="131"/>
      <c r="M275" s="131"/>
      <c r="N275" s="131"/>
      <c r="O275" s="131"/>
      <c r="P275" s="131"/>
      <c r="Q275" s="131"/>
      <c r="R275" s="131"/>
      <c r="S275" s="131"/>
      <c r="T275" s="131"/>
      <c r="U275" s="131"/>
      <c r="V275" s="131"/>
      <c r="W275" s="131"/>
      <c r="X275" s="131"/>
      <c r="Y275" s="131"/>
      <c r="Z275" s="142"/>
      <c r="AA275" s="142"/>
      <c r="AB275" s="142"/>
      <c r="AC275" s="142"/>
      <c r="AD275" s="142"/>
      <c r="AE275" s="142"/>
      <c r="AF275" s="142"/>
      <c r="AG275" s="142"/>
      <c r="AH275" s="142"/>
      <c r="AI275" s="142"/>
      <c r="AJ275" s="142"/>
      <c r="AK275" s="142"/>
      <c r="AL275" s="142"/>
      <c r="AM275" s="142"/>
      <c r="AN275" s="142"/>
      <c r="AO275" s="131"/>
    </row>
    <row r="276" ht="13.5" customHeight="1">
      <c r="A276" s="142"/>
      <c r="B276" s="142"/>
      <c r="C276" s="142"/>
      <c r="D276" s="142"/>
      <c r="E276" s="308"/>
      <c r="F276" s="131"/>
      <c r="G276" s="131"/>
      <c r="H276" s="131"/>
      <c r="I276" s="219"/>
      <c r="J276" s="198"/>
      <c r="K276" s="131"/>
      <c r="L276" s="131"/>
      <c r="M276" s="131"/>
      <c r="N276" s="131"/>
      <c r="O276" s="131"/>
      <c r="P276" s="131"/>
      <c r="Q276" s="131"/>
      <c r="R276" s="131"/>
      <c r="S276" s="131"/>
      <c r="T276" s="131"/>
      <c r="U276" s="131"/>
      <c r="V276" s="131"/>
      <c r="W276" s="131"/>
      <c r="X276" s="131"/>
      <c r="Y276" s="131"/>
      <c r="Z276" s="142"/>
      <c r="AA276" s="142"/>
      <c r="AB276" s="142"/>
      <c r="AC276" s="142"/>
      <c r="AD276" s="142"/>
      <c r="AE276" s="142"/>
      <c r="AF276" s="142"/>
      <c r="AG276" s="142"/>
      <c r="AH276" s="142"/>
      <c r="AI276" s="142"/>
      <c r="AJ276" s="142"/>
      <c r="AK276" s="142"/>
      <c r="AL276" s="142"/>
      <c r="AM276" s="142"/>
      <c r="AN276" s="142"/>
      <c r="AO276" s="131"/>
    </row>
    <row r="277" ht="13.5" customHeight="1">
      <c r="A277" s="142"/>
      <c r="B277" s="142"/>
      <c r="C277" s="142"/>
      <c r="D277" s="142"/>
      <c r="E277" s="308"/>
      <c r="F277" s="131"/>
      <c r="G277" s="131"/>
      <c r="H277" s="131"/>
      <c r="I277" s="219"/>
      <c r="J277" s="198"/>
      <c r="K277" s="131"/>
      <c r="L277" s="131"/>
      <c r="M277" s="131"/>
      <c r="N277" s="131"/>
      <c r="O277" s="131"/>
      <c r="P277" s="131"/>
      <c r="Q277" s="131"/>
      <c r="R277" s="131"/>
      <c r="S277" s="131"/>
      <c r="T277" s="131"/>
      <c r="U277" s="131"/>
      <c r="V277" s="131"/>
      <c r="W277" s="131"/>
      <c r="X277" s="131"/>
      <c r="Y277" s="131"/>
      <c r="Z277" s="142"/>
      <c r="AA277" s="142"/>
      <c r="AB277" s="142"/>
      <c r="AC277" s="142"/>
      <c r="AD277" s="142"/>
      <c r="AE277" s="142"/>
      <c r="AF277" s="142"/>
      <c r="AG277" s="142"/>
      <c r="AH277" s="142"/>
      <c r="AI277" s="142"/>
      <c r="AJ277" s="142"/>
      <c r="AK277" s="142"/>
      <c r="AL277" s="142"/>
      <c r="AM277" s="142"/>
      <c r="AN277" s="142"/>
      <c r="AO277" s="131"/>
    </row>
    <row r="278" ht="13.5" customHeight="1">
      <c r="A278" s="142"/>
      <c r="B278" s="142"/>
      <c r="C278" s="142"/>
      <c r="D278" s="142"/>
      <c r="E278" s="308"/>
      <c r="F278" s="131"/>
      <c r="G278" s="131"/>
      <c r="H278" s="131"/>
      <c r="I278" s="219"/>
      <c r="J278" s="198"/>
      <c r="K278" s="131"/>
      <c r="L278" s="131"/>
      <c r="M278" s="131"/>
      <c r="N278" s="131"/>
      <c r="O278" s="131"/>
      <c r="P278" s="131"/>
      <c r="Q278" s="131"/>
      <c r="R278" s="131"/>
      <c r="S278" s="131"/>
      <c r="T278" s="131"/>
      <c r="U278" s="131"/>
      <c r="V278" s="131"/>
      <c r="W278" s="131"/>
      <c r="X278" s="131"/>
      <c r="Y278" s="131"/>
      <c r="Z278" s="142"/>
      <c r="AA278" s="142"/>
      <c r="AB278" s="142"/>
      <c r="AC278" s="142"/>
      <c r="AD278" s="142"/>
      <c r="AE278" s="142"/>
      <c r="AF278" s="142"/>
      <c r="AG278" s="142"/>
      <c r="AH278" s="142"/>
      <c r="AI278" s="142"/>
      <c r="AJ278" s="142"/>
      <c r="AK278" s="142"/>
      <c r="AL278" s="142"/>
      <c r="AM278" s="142"/>
      <c r="AN278" s="142"/>
      <c r="AO278" s="131"/>
    </row>
    <row r="279" ht="13.5" customHeight="1">
      <c r="A279" s="142"/>
      <c r="B279" s="142"/>
      <c r="C279" s="142"/>
      <c r="D279" s="142"/>
      <c r="E279" s="308"/>
      <c r="F279" s="131"/>
      <c r="G279" s="131"/>
      <c r="H279" s="131"/>
      <c r="I279" s="219"/>
      <c r="J279" s="198"/>
      <c r="K279" s="131"/>
      <c r="L279" s="131"/>
      <c r="M279" s="131"/>
      <c r="N279" s="131"/>
      <c r="O279" s="131"/>
      <c r="P279" s="131"/>
      <c r="Q279" s="131"/>
      <c r="R279" s="131"/>
      <c r="S279" s="131"/>
      <c r="T279" s="131"/>
      <c r="U279" s="131"/>
      <c r="V279" s="131"/>
      <c r="W279" s="131"/>
      <c r="X279" s="131"/>
      <c r="Y279" s="131"/>
      <c r="Z279" s="142"/>
      <c r="AA279" s="142"/>
      <c r="AB279" s="142"/>
      <c r="AC279" s="142"/>
      <c r="AD279" s="142"/>
      <c r="AE279" s="142"/>
      <c r="AF279" s="142"/>
      <c r="AG279" s="142"/>
      <c r="AH279" s="142"/>
      <c r="AI279" s="142"/>
      <c r="AJ279" s="142"/>
      <c r="AK279" s="142"/>
      <c r="AL279" s="142"/>
      <c r="AM279" s="142"/>
      <c r="AN279" s="142"/>
      <c r="AO279" s="131"/>
    </row>
    <row r="280" ht="13.5" customHeight="1">
      <c r="A280" s="142"/>
      <c r="B280" s="142"/>
      <c r="C280" s="142"/>
      <c r="D280" s="142"/>
      <c r="E280" s="308"/>
      <c r="F280" s="131"/>
      <c r="G280" s="131"/>
      <c r="H280" s="131"/>
      <c r="I280" s="219"/>
      <c r="J280" s="198"/>
      <c r="K280" s="131"/>
      <c r="L280" s="131"/>
      <c r="M280" s="131"/>
      <c r="N280" s="131"/>
      <c r="O280" s="131"/>
      <c r="P280" s="131"/>
      <c r="Q280" s="131"/>
      <c r="R280" s="131"/>
      <c r="S280" s="131"/>
      <c r="T280" s="131"/>
      <c r="U280" s="131"/>
      <c r="V280" s="131"/>
      <c r="W280" s="131"/>
      <c r="X280" s="131"/>
      <c r="Y280" s="131"/>
      <c r="Z280" s="142"/>
      <c r="AA280" s="142"/>
      <c r="AB280" s="142"/>
      <c r="AC280" s="142"/>
      <c r="AD280" s="142"/>
      <c r="AE280" s="142"/>
      <c r="AF280" s="142"/>
      <c r="AG280" s="142"/>
      <c r="AH280" s="142"/>
      <c r="AI280" s="142"/>
      <c r="AJ280" s="142"/>
      <c r="AK280" s="142"/>
      <c r="AL280" s="142"/>
      <c r="AM280" s="142"/>
      <c r="AN280" s="142"/>
      <c r="AO280" s="131"/>
    </row>
    <row r="281" ht="13.5" customHeight="1">
      <c r="A281" s="142"/>
      <c r="B281" s="142"/>
      <c r="C281" s="142"/>
      <c r="D281" s="142"/>
      <c r="E281" s="308"/>
      <c r="F281" s="131"/>
      <c r="G281" s="131"/>
      <c r="H281" s="131"/>
      <c r="I281" s="219"/>
      <c r="J281" s="198"/>
      <c r="K281" s="131"/>
      <c r="L281" s="131"/>
      <c r="M281" s="131"/>
      <c r="N281" s="131"/>
      <c r="O281" s="131"/>
      <c r="P281" s="131"/>
      <c r="Q281" s="131"/>
      <c r="R281" s="131"/>
      <c r="S281" s="131"/>
      <c r="T281" s="131"/>
      <c r="U281" s="131"/>
      <c r="V281" s="131"/>
      <c r="W281" s="131"/>
      <c r="X281" s="131"/>
      <c r="Y281" s="131"/>
      <c r="Z281" s="142"/>
      <c r="AA281" s="142"/>
      <c r="AB281" s="142"/>
      <c r="AC281" s="142"/>
      <c r="AD281" s="142"/>
      <c r="AE281" s="142"/>
      <c r="AF281" s="142"/>
      <c r="AG281" s="142"/>
      <c r="AH281" s="142"/>
      <c r="AI281" s="142"/>
      <c r="AJ281" s="142"/>
      <c r="AK281" s="142"/>
      <c r="AL281" s="142"/>
      <c r="AM281" s="142"/>
      <c r="AN281" s="142"/>
      <c r="AO281" s="131"/>
    </row>
    <row r="282" ht="13.5" customHeight="1">
      <c r="A282" s="142"/>
      <c r="B282" s="142"/>
      <c r="C282" s="142"/>
      <c r="D282" s="142"/>
      <c r="E282" s="308"/>
      <c r="F282" s="131"/>
      <c r="G282" s="131"/>
      <c r="H282" s="131"/>
      <c r="I282" s="219"/>
      <c r="J282" s="198"/>
      <c r="K282" s="131"/>
      <c r="L282" s="131"/>
      <c r="M282" s="131"/>
      <c r="N282" s="131"/>
      <c r="O282" s="131"/>
      <c r="P282" s="131"/>
      <c r="Q282" s="131"/>
      <c r="R282" s="131"/>
      <c r="S282" s="131"/>
      <c r="T282" s="131"/>
      <c r="U282" s="131"/>
      <c r="V282" s="131"/>
      <c r="W282" s="131"/>
      <c r="X282" s="131"/>
      <c r="Y282" s="131"/>
      <c r="Z282" s="142"/>
      <c r="AA282" s="142"/>
      <c r="AB282" s="142"/>
      <c r="AC282" s="142"/>
      <c r="AD282" s="142"/>
      <c r="AE282" s="142"/>
      <c r="AF282" s="142"/>
      <c r="AG282" s="142"/>
      <c r="AH282" s="142"/>
      <c r="AI282" s="142"/>
      <c r="AJ282" s="142"/>
      <c r="AK282" s="142"/>
      <c r="AL282" s="142"/>
      <c r="AM282" s="142"/>
      <c r="AN282" s="142"/>
      <c r="AO282" s="131"/>
    </row>
    <row r="283" ht="13.5" customHeight="1">
      <c r="A283" s="142"/>
      <c r="B283" s="142"/>
      <c r="C283" s="142"/>
      <c r="D283" s="142"/>
      <c r="E283" s="308"/>
      <c r="F283" s="131"/>
      <c r="G283" s="131"/>
      <c r="H283" s="131"/>
      <c r="I283" s="219"/>
      <c r="J283" s="198"/>
      <c r="K283" s="131"/>
      <c r="L283" s="131"/>
      <c r="M283" s="131"/>
      <c r="N283" s="131"/>
      <c r="O283" s="131"/>
      <c r="P283" s="131"/>
      <c r="Q283" s="131"/>
      <c r="R283" s="131"/>
      <c r="S283" s="131"/>
      <c r="T283" s="131"/>
      <c r="U283" s="131"/>
      <c r="V283" s="131"/>
      <c r="W283" s="131"/>
      <c r="X283" s="131"/>
      <c r="Y283" s="131"/>
      <c r="Z283" s="142"/>
      <c r="AA283" s="142"/>
      <c r="AB283" s="142"/>
      <c r="AC283" s="142"/>
      <c r="AD283" s="142"/>
      <c r="AE283" s="142"/>
      <c r="AF283" s="142"/>
      <c r="AG283" s="142"/>
      <c r="AH283" s="142"/>
      <c r="AI283" s="142"/>
      <c r="AJ283" s="142"/>
      <c r="AK283" s="142"/>
      <c r="AL283" s="142"/>
      <c r="AM283" s="142"/>
      <c r="AN283" s="142"/>
      <c r="AO283" s="131"/>
    </row>
    <row r="284" ht="13.5" customHeight="1">
      <c r="A284" s="142"/>
      <c r="B284" s="142"/>
      <c r="C284" s="142"/>
      <c r="D284" s="142"/>
      <c r="E284" s="308"/>
      <c r="F284" s="131"/>
      <c r="G284" s="131"/>
      <c r="H284" s="131"/>
      <c r="I284" s="219"/>
      <c r="J284" s="198"/>
      <c r="K284" s="131"/>
      <c r="L284" s="131"/>
      <c r="M284" s="131"/>
      <c r="N284" s="131"/>
      <c r="O284" s="131"/>
      <c r="P284" s="131"/>
      <c r="Q284" s="131"/>
      <c r="R284" s="131"/>
      <c r="S284" s="131"/>
      <c r="T284" s="131"/>
      <c r="U284" s="131"/>
      <c r="V284" s="131"/>
      <c r="W284" s="131"/>
      <c r="X284" s="131"/>
      <c r="Y284" s="131"/>
      <c r="Z284" s="142"/>
      <c r="AA284" s="142"/>
      <c r="AB284" s="142"/>
      <c r="AC284" s="142"/>
      <c r="AD284" s="142"/>
      <c r="AE284" s="142"/>
      <c r="AF284" s="142"/>
      <c r="AG284" s="142"/>
      <c r="AH284" s="142"/>
      <c r="AI284" s="142"/>
      <c r="AJ284" s="142"/>
      <c r="AK284" s="142"/>
      <c r="AL284" s="142"/>
      <c r="AM284" s="142"/>
      <c r="AN284" s="142"/>
      <c r="AO284" s="131"/>
    </row>
    <row r="285" ht="13.5" customHeight="1">
      <c r="A285" s="142"/>
      <c r="B285" s="142"/>
      <c r="C285" s="142"/>
      <c r="D285" s="142"/>
      <c r="E285" s="308"/>
      <c r="F285" s="131"/>
      <c r="G285" s="131"/>
      <c r="H285" s="131"/>
      <c r="I285" s="219"/>
      <c r="J285" s="198"/>
      <c r="K285" s="131"/>
      <c r="L285" s="131"/>
      <c r="M285" s="131"/>
      <c r="N285" s="131"/>
      <c r="O285" s="131"/>
      <c r="P285" s="131"/>
      <c r="Q285" s="131"/>
      <c r="R285" s="131"/>
      <c r="S285" s="131"/>
      <c r="T285" s="131"/>
      <c r="U285" s="131"/>
      <c r="V285" s="131"/>
      <c r="W285" s="131"/>
      <c r="X285" s="131"/>
      <c r="Y285" s="131"/>
      <c r="Z285" s="142"/>
      <c r="AA285" s="142"/>
      <c r="AB285" s="142"/>
      <c r="AC285" s="142"/>
      <c r="AD285" s="142"/>
      <c r="AE285" s="142"/>
      <c r="AF285" s="142"/>
      <c r="AG285" s="142"/>
      <c r="AH285" s="142"/>
      <c r="AI285" s="142"/>
      <c r="AJ285" s="142"/>
      <c r="AK285" s="142"/>
      <c r="AL285" s="142"/>
      <c r="AM285" s="142"/>
      <c r="AN285" s="142"/>
      <c r="AO285" s="131"/>
    </row>
    <row r="286" ht="13.5" customHeight="1">
      <c r="A286" s="142"/>
      <c r="B286" s="142"/>
      <c r="C286" s="142"/>
      <c r="D286" s="142"/>
      <c r="E286" s="308"/>
      <c r="F286" s="131"/>
      <c r="G286" s="131"/>
      <c r="H286" s="131"/>
      <c r="I286" s="219"/>
      <c r="J286" s="198"/>
      <c r="K286" s="131"/>
      <c r="L286" s="131"/>
      <c r="M286" s="131"/>
      <c r="N286" s="131"/>
      <c r="O286" s="131"/>
      <c r="P286" s="131"/>
      <c r="Q286" s="131"/>
      <c r="R286" s="131"/>
      <c r="S286" s="131"/>
      <c r="T286" s="131"/>
      <c r="U286" s="131"/>
      <c r="V286" s="131"/>
      <c r="W286" s="131"/>
      <c r="X286" s="131"/>
      <c r="Y286" s="131"/>
      <c r="Z286" s="142"/>
      <c r="AA286" s="142"/>
      <c r="AB286" s="142"/>
      <c r="AC286" s="142"/>
      <c r="AD286" s="142"/>
      <c r="AE286" s="142"/>
      <c r="AF286" s="142"/>
      <c r="AG286" s="142"/>
      <c r="AH286" s="142"/>
      <c r="AI286" s="142"/>
      <c r="AJ286" s="142"/>
      <c r="AK286" s="142"/>
      <c r="AL286" s="142"/>
      <c r="AM286" s="142"/>
      <c r="AN286" s="142"/>
      <c r="AO286" s="131"/>
    </row>
    <row r="287" ht="13.5" customHeight="1">
      <c r="A287" s="142"/>
      <c r="B287" s="142"/>
      <c r="C287" s="142"/>
      <c r="D287" s="142"/>
      <c r="E287" s="308"/>
      <c r="F287" s="131"/>
      <c r="G287" s="131"/>
      <c r="H287" s="131"/>
      <c r="I287" s="219"/>
      <c r="J287" s="198"/>
      <c r="K287" s="131"/>
      <c r="L287" s="131"/>
      <c r="M287" s="131"/>
      <c r="N287" s="131"/>
      <c r="O287" s="131"/>
      <c r="P287" s="131"/>
      <c r="Q287" s="131"/>
      <c r="R287" s="131"/>
      <c r="S287" s="131"/>
      <c r="T287" s="131"/>
      <c r="U287" s="131"/>
      <c r="V287" s="131"/>
      <c r="W287" s="131"/>
      <c r="X287" s="131"/>
      <c r="Y287" s="131"/>
      <c r="Z287" s="142"/>
      <c r="AA287" s="142"/>
      <c r="AB287" s="142"/>
      <c r="AC287" s="142"/>
      <c r="AD287" s="142"/>
      <c r="AE287" s="142"/>
      <c r="AF287" s="142"/>
      <c r="AG287" s="142"/>
      <c r="AH287" s="142"/>
      <c r="AI287" s="142"/>
      <c r="AJ287" s="142"/>
      <c r="AK287" s="142"/>
      <c r="AL287" s="142"/>
      <c r="AM287" s="142"/>
      <c r="AN287" s="142"/>
      <c r="AO287" s="131"/>
    </row>
    <row r="288" ht="13.5" customHeight="1">
      <c r="A288" s="142"/>
      <c r="B288" s="142"/>
      <c r="C288" s="142"/>
      <c r="D288" s="142"/>
      <c r="E288" s="308"/>
      <c r="F288" s="131"/>
      <c r="G288" s="131"/>
      <c r="H288" s="131"/>
      <c r="I288" s="219"/>
      <c r="J288" s="198"/>
      <c r="K288" s="131"/>
      <c r="L288" s="131"/>
      <c r="M288" s="131"/>
      <c r="N288" s="131"/>
      <c r="O288" s="131"/>
      <c r="P288" s="131"/>
      <c r="Q288" s="131"/>
      <c r="R288" s="131"/>
      <c r="S288" s="131"/>
      <c r="T288" s="131"/>
      <c r="U288" s="131"/>
      <c r="V288" s="131"/>
      <c r="W288" s="131"/>
      <c r="X288" s="131"/>
      <c r="Y288" s="131"/>
      <c r="Z288" s="142"/>
      <c r="AA288" s="142"/>
      <c r="AB288" s="142"/>
      <c r="AC288" s="142"/>
      <c r="AD288" s="142"/>
      <c r="AE288" s="142"/>
      <c r="AF288" s="142"/>
      <c r="AG288" s="142"/>
      <c r="AH288" s="142"/>
      <c r="AI288" s="142"/>
      <c r="AJ288" s="142"/>
      <c r="AK288" s="142"/>
      <c r="AL288" s="142"/>
      <c r="AM288" s="142"/>
      <c r="AN288" s="142"/>
      <c r="AO288" s="131"/>
    </row>
    <row r="289" ht="13.5" customHeight="1">
      <c r="A289" s="142"/>
      <c r="B289" s="142"/>
      <c r="C289" s="142"/>
      <c r="D289" s="142"/>
      <c r="E289" s="308"/>
      <c r="F289" s="131"/>
      <c r="G289" s="131"/>
      <c r="H289" s="131"/>
      <c r="I289" s="219"/>
      <c r="J289" s="198"/>
      <c r="K289" s="131"/>
      <c r="L289" s="131"/>
      <c r="M289" s="131"/>
      <c r="N289" s="131"/>
      <c r="O289" s="131"/>
      <c r="P289" s="131"/>
      <c r="Q289" s="131"/>
      <c r="R289" s="131"/>
      <c r="S289" s="131"/>
      <c r="T289" s="131"/>
      <c r="U289" s="131"/>
      <c r="V289" s="131"/>
      <c r="W289" s="131"/>
      <c r="X289" s="131"/>
      <c r="Y289" s="131"/>
      <c r="Z289" s="142"/>
      <c r="AA289" s="142"/>
      <c r="AB289" s="142"/>
      <c r="AC289" s="142"/>
      <c r="AD289" s="142"/>
      <c r="AE289" s="142"/>
      <c r="AF289" s="142"/>
      <c r="AG289" s="142"/>
      <c r="AH289" s="142"/>
      <c r="AI289" s="142"/>
      <c r="AJ289" s="142"/>
      <c r="AK289" s="142"/>
      <c r="AL289" s="142"/>
      <c r="AM289" s="142"/>
      <c r="AN289" s="142"/>
      <c r="AO289" s="131"/>
    </row>
    <row r="290" ht="13.5" customHeight="1">
      <c r="A290" s="142"/>
      <c r="B290" s="142"/>
      <c r="C290" s="142"/>
      <c r="D290" s="142"/>
      <c r="E290" s="308"/>
      <c r="F290" s="131"/>
      <c r="G290" s="131"/>
      <c r="H290" s="131"/>
      <c r="I290" s="219"/>
      <c r="J290" s="198"/>
      <c r="K290" s="131"/>
      <c r="L290" s="131"/>
      <c r="M290" s="131"/>
      <c r="N290" s="131"/>
      <c r="O290" s="131"/>
      <c r="P290" s="131"/>
      <c r="Q290" s="131"/>
      <c r="R290" s="131"/>
      <c r="S290" s="131"/>
      <c r="T290" s="131"/>
      <c r="U290" s="131"/>
      <c r="V290" s="131"/>
      <c r="W290" s="131"/>
      <c r="X290" s="131"/>
      <c r="Y290" s="131"/>
      <c r="Z290" s="142"/>
      <c r="AA290" s="142"/>
      <c r="AB290" s="142"/>
      <c r="AC290" s="142"/>
      <c r="AD290" s="142"/>
      <c r="AE290" s="142"/>
      <c r="AF290" s="142"/>
      <c r="AG290" s="142"/>
      <c r="AH290" s="142"/>
      <c r="AI290" s="142"/>
      <c r="AJ290" s="142"/>
      <c r="AK290" s="142"/>
      <c r="AL290" s="142"/>
      <c r="AM290" s="142"/>
      <c r="AN290" s="142"/>
      <c r="AO290" s="131"/>
    </row>
    <row r="291" ht="13.5" customHeight="1">
      <c r="A291" s="142"/>
      <c r="B291" s="142"/>
      <c r="C291" s="142"/>
      <c r="D291" s="142"/>
      <c r="E291" s="308"/>
      <c r="F291" s="131"/>
      <c r="G291" s="131"/>
      <c r="H291" s="131"/>
      <c r="I291" s="219"/>
      <c r="J291" s="198"/>
      <c r="K291" s="131"/>
      <c r="L291" s="131"/>
      <c r="M291" s="131"/>
      <c r="N291" s="131"/>
      <c r="O291" s="131"/>
      <c r="P291" s="131"/>
      <c r="Q291" s="131"/>
      <c r="R291" s="131"/>
      <c r="S291" s="131"/>
      <c r="T291" s="131"/>
      <c r="U291" s="131"/>
      <c r="V291" s="131"/>
      <c r="W291" s="131"/>
      <c r="X291" s="131"/>
      <c r="Y291" s="131"/>
      <c r="Z291" s="142"/>
      <c r="AA291" s="142"/>
      <c r="AB291" s="142"/>
      <c r="AC291" s="142"/>
      <c r="AD291" s="142"/>
      <c r="AE291" s="142"/>
      <c r="AF291" s="142"/>
      <c r="AG291" s="142"/>
      <c r="AH291" s="142"/>
      <c r="AI291" s="142"/>
      <c r="AJ291" s="142"/>
      <c r="AK291" s="142"/>
      <c r="AL291" s="142"/>
      <c r="AM291" s="142"/>
      <c r="AN291" s="142"/>
      <c r="AO291" s="131"/>
    </row>
    <row r="292" ht="13.5" customHeight="1">
      <c r="A292" s="142"/>
      <c r="B292" s="142"/>
      <c r="C292" s="142"/>
      <c r="D292" s="142"/>
      <c r="E292" s="308"/>
      <c r="F292" s="131"/>
      <c r="G292" s="131"/>
      <c r="H292" s="131"/>
      <c r="I292" s="219"/>
      <c r="J292" s="198"/>
      <c r="K292" s="131"/>
      <c r="L292" s="131"/>
      <c r="M292" s="131"/>
      <c r="N292" s="131"/>
      <c r="O292" s="131"/>
      <c r="P292" s="131"/>
      <c r="Q292" s="131"/>
      <c r="R292" s="131"/>
      <c r="S292" s="131"/>
      <c r="T292" s="131"/>
      <c r="U292" s="131"/>
      <c r="V292" s="131"/>
      <c r="W292" s="131"/>
      <c r="X292" s="131"/>
      <c r="Y292" s="131"/>
      <c r="Z292" s="142"/>
      <c r="AA292" s="142"/>
      <c r="AB292" s="142"/>
      <c r="AC292" s="142"/>
      <c r="AD292" s="142"/>
      <c r="AE292" s="142"/>
      <c r="AF292" s="142"/>
      <c r="AG292" s="142"/>
      <c r="AH292" s="142"/>
      <c r="AI292" s="142"/>
      <c r="AJ292" s="142"/>
      <c r="AK292" s="142"/>
      <c r="AL292" s="142"/>
      <c r="AM292" s="142"/>
      <c r="AN292" s="142"/>
      <c r="AO292" s="131"/>
    </row>
    <row r="293" ht="13.5" customHeight="1">
      <c r="A293" s="142"/>
      <c r="B293" s="142"/>
      <c r="C293" s="142"/>
      <c r="D293" s="142"/>
      <c r="E293" s="308"/>
      <c r="F293" s="131"/>
      <c r="G293" s="131"/>
      <c r="H293" s="131"/>
      <c r="I293" s="219"/>
      <c r="J293" s="198"/>
      <c r="K293" s="131"/>
      <c r="L293" s="131"/>
      <c r="M293" s="131"/>
      <c r="N293" s="131"/>
      <c r="O293" s="131"/>
      <c r="P293" s="131"/>
      <c r="Q293" s="131"/>
      <c r="R293" s="131"/>
      <c r="S293" s="131"/>
      <c r="T293" s="131"/>
      <c r="U293" s="131"/>
      <c r="V293" s="131"/>
      <c r="W293" s="131"/>
      <c r="X293" s="131"/>
      <c r="Y293" s="131"/>
      <c r="Z293" s="142"/>
      <c r="AA293" s="142"/>
      <c r="AB293" s="142"/>
      <c r="AC293" s="142"/>
      <c r="AD293" s="142"/>
      <c r="AE293" s="142"/>
      <c r="AF293" s="142"/>
      <c r="AG293" s="142"/>
      <c r="AH293" s="142"/>
      <c r="AI293" s="142"/>
      <c r="AJ293" s="142"/>
      <c r="AK293" s="142"/>
      <c r="AL293" s="142"/>
      <c r="AM293" s="142"/>
      <c r="AN293" s="142"/>
      <c r="AO293" s="131"/>
    </row>
    <row r="294" ht="13.5" customHeight="1">
      <c r="A294" s="142"/>
      <c r="B294" s="142"/>
      <c r="C294" s="142"/>
      <c r="D294" s="142"/>
      <c r="E294" s="308"/>
      <c r="F294" s="131"/>
      <c r="G294" s="131"/>
      <c r="H294" s="131"/>
      <c r="I294" s="219"/>
      <c r="J294" s="198"/>
      <c r="K294" s="131"/>
      <c r="L294" s="131"/>
      <c r="M294" s="131"/>
      <c r="N294" s="131"/>
      <c r="O294" s="131"/>
      <c r="P294" s="131"/>
      <c r="Q294" s="131"/>
      <c r="R294" s="131"/>
      <c r="S294" s="131"/>
      <c r="T294" s="131"/>
      <c r="U294" s="131"/>
      <c r="V294" s="131"/>
      <c r="W294" s="131"/>
      <c r="X294" s="131"/>
      <c r="Y294" s="131"/>
      <c r="Z294" s="142"/>
      <c r="AA294" s="142"/>
      <c r="AB294" s="142"/>
      <c r="AC294" s="142"/>
      <c r="AD294" s="142"/>
      <c r="AE294" s="142"/>
      <c r="AF294" s="142"/>
      <c r="AG294" s="142"/>
      <c r="AH294" s="142"/>
      <c r="AI294" s="142"/>
      <c r="AJ294" s="142"/>
      <c r="AK294" s="142"/>
      <c r="AL294" s="142"/>
      <c r="AM294" s="142"/>
      <c r="AN294" s="142"/>
      <c r="AO294" s="131"/>
    </row>
    <row r="295" ht="13.5" customHeight="1">
      <c r="A295" s="142"/>
      <c r="B295" s="142"/>
      <c r="C295" s="142"/>
      <c r="D295" s="142"/>
      <c r="E295" s="308"/>
      <c r="F295" s="131"/>
      <c r="G295" s="131"/>
      <c r="H295" s="131"/>
      <c r="I295" s="219"/>
      <c r="J295" s="198"/>
      <c r="K295" s="131"/>
      <c r="L295" s="131"/>
      <c r="M295" s="131"/>
      <c r="N295" s="131"/>
      <c r="O295" s="131"/>
      <c r="P295" s="131"/>
      <c r="Q295" s="131"/>
      <c r="R295" s="131"/>
      <c r="S295" s="131"/>
      <c r="T295" s="131"/>
      <c r="U295" s="131"/>
      <c r="V295" s="131"/>
      <c r="W295" s="131"/>
      <c r="X295" s="131"/>
      <c r="Y295" s="131"/>
      <c r="Z295" s="142"/>
      <c r="AA295" s="142"/>
      <c r="AB295" s="142"/>
      <c r="AC295" s="142"/>
      <c r="AD295" s="142"/>
      <c r="AE295" s="142"/>
      <c r="AF295" s="142"/>
      <c r="AG295" s="142"/>
      <c r="AH295" s="142"/>
      <c r="AI295" s="142"/>
      <c r="AJ295" s="142"/>
      <c r="AK295" s="142"/>
      <c r="AL295" s="142"/>
      <c r="AM295" s="142"/>
      <c r="AN295" s="142"/>
      <c r="AO295" s="131"/>
    </row>
    <row r="296" ht="13.5" customHeight="1">
      <c r="A296" s="142"/>
      <c r="B296" s="142"/>
      <c r="C296" s="142"/>
      <c r="D296" s="142"/>
      <c r="E296" s="308"/>
      <c r="F296" s="131"/>
      <c r="G296" s="131"/>
      <c r="H296" s="131"/>
      <c r="I296" s="219"/>
      <c r="J296" s="198"/>
      <c r="K296" s="131"/>
      <c r="L296" s="131"/>
      <c r="M296" s="131"/>
      <c r="N296" s="131"/>
      <c r="O296" s="131"/>
      <c r="P296" s="131"/>
      <c r="Q296" s="131"/>
      <c r="R296" s="131"/>
      <c r="S296" s="131"/>
      <c r="T296" s="131"/>
      <c r="U296" s="131"/>
      <c r="V296" s="131"/>
      <c r="W296" s="131"/>
      <c r="X296" s="131"/>
      <c r="Y296" s="131"/>
      <c r="Z296" s="142"/>
      <c r="AA296" s="142"/>
      <c r="AB296" s="142"/>
      <c r="AC296" s="142"/>
      <c r="AD296" s="142"/>
      <c r="AE296" s="142"/>
      <c r="AF296" s="142"/>
      <c r="AG296" s="142"/>
      <c r="AH296" s="142"/>
      <c r="AI296" s="142"/>
      <c r="AJ296" s="142"/>
      <c r="AK296" s="142"/>
      <c r="AL296" s="142"/>
      <c r="AM296" s="142"/>
      <c r="AN296" s="142"/>
      <c r="AO296" s="131"/>
    </row>
    <row r="297" ht="13.5" customHeight="1">
      <c r="A297" s="142"/>
      <c r="B297" s="142"/>
      <c r="C297" s="142"/>
      <c r="D297" s="142"/>
      <c r="E297" s="308"/>
      <c r="F297" s="131"/>
      <c r="G297" s="131"/>
      <c r="H297" s="131"/>
      <c r="I297" s="219"/>
      <c r="J297" s="198"/>
      <c r="K297" s="131"/>
      <c r="L297" s="131"/>
      <c r="M297" s="131"/>
      <c r="N297" s="131"/>
      <c r="O297" s="131"/>
      <c r="P297" s="131"/>
      <c r="Q297" s="131"/>
      <c r="R297" s="131"/>
      <c r="S297" s="131"/>
      <c r="T297" s="131"/>
      <c r="U297" s="131"/>
      <c r="V297" s="131"/>
      <c r="W297" s="131"/>
      <c r="X297" s="131"/>
      <c r="Y297" s="131"/>
      <c r="Z297" s="142"/>
      <c r="AA297" s="142"/>
      <c r="AB297" s="142"/>
      <c r="AC297" s="142"/>
      <c r="AD297" s="142"/>
      <c r="AE297" s="142"/>
      <c r="AF297" s="142"/>
      <c r="AG297" s="142"/>
      <c r="AH297" s="142"/>
      <c r="AI297" s="142"/>
      <c r="AJ297" s="142"/>
      <c r="AK297" s="142"/>
      <c r="AL297" s="142"/>
      <c r="AM297" s="142"/>
      <c r="AN297" s="142"/>
      <c r="AO297" s="131"/>
    </row>
    <row r="298" ht="13.5" customHeight="1">
      <c r="A298" s="142"/>
      <c r="B298" s="142"/>
      <c r="C298" s="142"/>
      <c r="D298" s="142"/>
      <c r="E298" s="308"/>
      <c r="F298" s="131"/>
      <c r="G298" s="131"/>
      <c r="H298" s="131"/>
      <c r="I298" s="219"/>
      <c r="J298" s="198"/>
      <c r="K298" s="131"/>
      <c r="L298" s="131"/>
      <c r="M298" s="131"/>
      <c r="N298" s="131"/>
      <c r="O298" s="131"/>
      <c r="P298" s="131"/>
      <c r="Q298" s="131"/>
      <c r="R298" s="131"/>
      <c r="S298" s="131"/>
      <c r="T298" s="131"/>
      <c r="U298" s="131"/>
      <c r="V298" s="131"/>
      <c r="W298" s="131"/>
      <c r="X298" s="131"/>
      <c r="Y298" s="131"/>
      <c r="Z298" s="142"/>
      <c r="AA298" s="142"/>
      <c r="AB298" s="142"/>
      <c r="AC298" s="142"/>
      <c r="AD298" s="142"/>
      <c r="AE298" s="142"/>
      <c r="AF298" s="142"/>
      <c r="AG298" s="142"/>
      <c r="AH298" s="142"/>
      <c r="AI298" s="142"/>
      <c r="AJ298" s="142"/>
      <c r="AK298" s="142"/>
      <c r="AL298" s="142"/>
      <c r="AM298" s="142"/>
      <c r="AN298" s="142"/>
      <c r="AO298" s="131"/>
    </row>
    <row r="299" ht="13.5" customHeight="1">
      <c r="A299" s="142"/>
      <c r="B299" s="142"/>
      <c r="C299" s="142"/>
      <c r="D299" s="142"/>
      <c r="E299" s="308"/>
      <c r="F299" s="131"/>
      <c r="G299" s="131"/>
      <c r="H299" s="131"/>
      <c r="I299" s="219"/>
      <c r="J299" s="198"/>
      <c r="K299" s="131"/>
      <c r="L299" s="131"/>
      <c r="M299" s="131"/>
      <c r="N299" s="131"/>
      <c r="O299" s="131"/>
      <c r="P299" s="131"/>
      <c r="Q299" s="131"/>
      <c r="R299" s="131"/>
      <c r="S299" s="131"/>
      <c r="T299" s="131"/>
      <c r="U299" s="131"/>
      <c r="V299" s="131"/>
      <c r="W299" s="131"/>
      <c r="X299" s="131"/>
      <c r="Y299" s="131"/>
      <c r="Z299" s="142"/>
      <c r="AA299" s="142"/>
      <c r="AB299" s="142"/>
      <c r="AC299" s="142"/>
      <c r="AD299" s="142"/>
      <c r="AE299" s="142"/>
      <c r="AF299" s="142"/>
      <c r="AG299" s="142"/>
      <c r="AH299" s="142"/>
      <c r="AI299" s="142"/>
      <c r="AJ299" s="142"/>
      <c r="AK299" s="142"/>
      <c r="AL299" s="142"/>
      <c r="AM299" s="142"/>
      <c r="AN299" s="142"/>
      <c r="AO299" s="131"/>
    </row>
    <row r="300" ht="13.5" customHeight="1">
      <c r="A300" s="142"/>
      <c r="B300" s="142"/>
      <c r="C300" s="142"/>
      <c r="D300" s="142"/>
      <c r="E300" s="308"/>
      <c r="F300" s="131"/>
      <c r="G300" s="131"/>
      <c r="H300" s="131"/>
      <c r="I300" s="219"/>
      <c r="J300" s="198"/>
      <c r="K300" s="131"/>
      <c r="L300" s="131"/>
      <c r="M300" s="131"/>
      <c r="N300" s="131"/>
      <c r="O300" s="131"/>
      <c r="P300" s="131"/>
      <c r="Q300" s="131"/>
      <c r="R300" s="131"/>
      <c r="S300" s="131"/>
      <c r="T300" s="131"/>
      <c r="U300" s="131"/>
      <c r="V300" s="131"/>
      <c r="W300" s="131"/>
      <c r="X300" s="131"/>
      <c r="Y300" s="131"/>
      <c r="Z300" s="142"/>
      <c r="AA300" s="142"/>
      <c r="AB300" s="142"/>
      <c r="AC300" s="142"/>
      <c r="AD300" s="142"/>
      <c r="AE300" s="142"/>
      <c r="AF300" s="142"/>
      <c r="AG300" s="142"/>
      <c r="AH300" s="142"/>
      <c r="AI300" s="142"/>
      <c r="AJ300" s="142"/>
      <c r="AK300" s="142"/>
      <c r="AL300" s="142"/>
      <c r="AM300" s="142"/>
      <c r="AN300" s="142"/>
      <c r="AO300" s="131"/>
    </row>
    <row r="301" ht="13.5" customHeight="1">
      <c r="A301" s="142"/>
      <c r="B301" s="142"/>
      <c r="C301" s="142"/>
      <c r="D301" s="142"/>
      <c r="E301" s="308"/>
      <c r="F301" s="131"/>
      <c r="G301" s="131"/>
      <c r="H301" s="131"/>
      <c r="I301" s="219"/>
      <c r="J301" s="198"/>
      <c r="K301" s="131"/>
      <c r="L301" s="131"/>
      <c r="M301" s="131"/>
      <c r="N301" s="131"/>
      <c r="O301" s="131"/>
      <c r="P301" s="131"/>
      <c r="Q301" s="131"/>
      <c r="R301" s="131"/>
      <c r="S301" s="131"/>
      <c r="T301" s="131"/>
      <c r="U301" s="131"/>
      <c r="V301" s="131"/>
      <c r="W301" s="131"/>
      <c r="X301" s="131"/>
      <c r="Y301" s="131"/>
      <c r="Z301" s="142"/>
      <c r="AA301" s="142"/>
      <c r="AB301" s="142"/>
      <c r="AC301" s="142"/>
      <c r="AD301" s="142"/>
      <c r="AE301" s="142"/>
      <c r="AF301" s="142"/>
      <c r="AG301" s="142"/>
      <c r="AH301" s="142"/>
      <c r="AI301" s="142"/>
      <c r="AJ301" s="142"/>
      <c r="AK301" s="142"/>
      <c r="AL301" s="142"/>
      <c r="AM301" s="142"/>
      <c r="AN301" s="142"/>
      <c r="AO301" s="131"/>
    </row>
    <row r="302" ht="13.5" customHeight="1">
      <c r="A302" s="142"/>
      <c r="B302" s="142"/>
      <c r="C302" s="142"/>
      <c r="D302" s="142"/>
      <c r="E302" s="308"/>
      <c r="F302" s="131"/>
      <c r="G302" s="131"/>
      <c r="H302" s="131"/>
      <c r="I302" s="219"/>
      <c r="J302" s="198"/>
      <c r="K302" s="131"/>
      <c r="L302" s="131"/>
      <c r="M302" s="131"/>
      <c r="N302" s="131"/>
      <c r="O302" s="131"/>
      <c r="P302" s="131"/>
      <c r="Q302" s="131"/>
      <c r="R302" s="131"/>
      <c r="S302" s="131"/>
      <c r="T302" s="131"/>
      <c r="U302" s="131"/>
      <c r="V302" s="131"/>
      <c r="W302" s="131"/>
      <c r="X302" s="131"/>
      <c r="Y302" s="131"/>
      <c r="Z302" s="142"/>
      <c r="AA302" s="142"/>
      <c r="AB302" s="142"/>
      <c r="AC302" s="142"/>
      <c r="AD302" s="142"/>
      <c r="AE302" s="142"/>
      <c r="AF302" s="142"/>
      <c r="AG302" s="142"/>
      <c r="AH302" s="142"/>
      <c r="AI302" s="142"/>
      <c r="AJ302" s="142"/>
      <c r="AK302" s="142"/>
      <c r="AL302" s="142"/>
      <c r="AM302" s="142"/>
      <c r="AN302" s="142"/>
      <c r="AO302" s="131"/>
    </row>
    <row r="303" ht="13.5" customHeight="1">
      <c r="A303" s="142"/>
      <c r="B303" s="142"/>
      <c r="C303" s="142"/>
      <c r="D303" s="142"/>
      <c r="E303" s="308"/>
      <c r="F303" s="131"/>
      <c r="G303" s="131"/>
      <c r="H303" s="131"/>
      <c r="I303" s="219"/>
      <c r="J303" s="198"/>
      <c r="K303" s="131"/>
      <c r="L303" s="131"/>
      <c r="M303" s="131"/>
      <c r="N303" s="131"/>
      <c r="O303" s="131"/>
      <c r="P303" s="131"/>
      <c r="Q303" s="131"/>
      <c r="R303" s="131"/>
      <c r="S303" s="131"/>
      <c r="T303" s="131"/>
      <c r="U303" s="131"/>
      <c r="V303" s="131"/>
      <c r="W303" s="131"/>
      <c r="X303" s="131"/>
      <c r="Y303" s="131"/>
      <c r="Z303" s="142"/>
      <c r="AA303" s="142"/>
      <c r="AB303" s="142"/>
      <c r="AC303" s="142"/>
      <c r="AD303" s="142"/>
      <c r="AE303" s="142"/>
      <c r="AF303" s="142"/>
      <c r="AG303" s="142"/>
      <c r="AH303" s="142"/>
      <c r="AI303" s="142"/>
      <c r="AJ303" s="142"/>
      <c r="AK303" s="142"/>
      <c r="AL303" s="142"/>
      <c r="AM303" s="142"/>
      <c r="AN303" s="142"/>
      <c r="AO303" s="131"/>
    </row>
    <row r="304" ht="13.5" customHeight="1">
      <c r="A304" s="142"/>
      <c r="B304" s="142"/>
      <c r="C304" s="142"/>
      <c r="D304" s="142"/>
      <c r="E304" s="308"/>
      <c r="F304" s="131"/>
      <c r="G304" s="131"/>
      <c r="H304" s="131"/>
      <c r="I304" s="219"/>
      <c r="J304" s="198"/>
      <c r="K304" s="131"/>
      <c r="L304" s="131"/>
      <c r="M304" s="131"/>
      <c r="N304" s="131"/>
      <c r="O304" s="131"/>
      <c r="P304" s="131"/>
      <c r="Q304" s="131"/>
      <c r="R304" s="131"/>
      <c r="S304" s="131"/>
      <c r="T304" s="131"/>
      <c r="U304" s="131"/>
      <c r="V304" s="131"/>
      <c r="W304" s="131"/>
      <c r="X304" s="131"/>
      <c r="Y304" s="131"/>
      <c r="Z304" s="142"/>
      <c r="AA304" s="142"/>
      <c r="AB304" s="142"/>
      <c r="AC304" s="142"/>
      <c r="AD304" s="142"/>
      <c r="AE304" s="142"/>
      <c r="AF304" s="142"/>
      <c r="AG304" s="142"/>
      <c r="AH304" s="142"/>
      <c r="AI304" s="142"/>
      <c r="AJ304" s="142"/>
      <c r="AK304" s="142"/>
      <c r="AL304" s="142"/>
      <c r="AM304" s="142"/>
      <c r="AN304" s="142"/>
      <c r="AO304" s="131"/>
    </row>
    <row r="305" ht="13.5" customHeight="1">
      <c r="A305" s="142"/>
      <c r="B305" s="142"/>
      <c r="C305" s="142"/>
      <c r="D305" s="142"/>
      <c r="E305" s="308"/>
      <c r="F305" s="131"/>
      <c r="G305" s="131"/>
      <c r="H305" s="131"/>
      <c r="I305" s="219"/>
      <c r="J305" s="198"/>
      <c r="K305" s="131"/>
      <c r="L305" s="131"/>
      <c r="M305" s="131"/>
      <c r="N305" s="131"/>
      <c r="O305" s="131"/>
      <c r="P305" s="131"/>
      <c r="Q305" s="131"/>
      <c r="R305" s="131"/>
      <c r="S305" s="131"/>
      <c r="T305" s="131"/>
      <c r="U305" s="131"/>
      <c r="V305" s="131"/>
      <c r="W305" s="131"/>
      <c r="X305" s="131"/>
      <c r="Y305" s="131"/>
      <c r="Z305" s="142"/>
      <c r="AA305" s="142"/>
      <c r="AB305" s="142"/>
      <c r="AC305" s="142"/>
      <c r="AD305" s="142"/>
      <c r="AE305" s="142"/>
      <c r="AF305" s="142"/>
      <c r="AG305" s="142"/>
      <c r="AH305" s="142"/>
      <c r="AI305" s="142"/>
      <c r="AJ305" s="142"/>
      <c r="AK305" s="142"/>
      <c r="AL305" s="142"/>
      <c r="AM305" s="142"/>
      <c r="AN305" s="142"/>
      <c r="AO305" s="131"/>
    </row>
    <row r="306" ht="13.5" customHeight="1">
      <c r="A306" s="142"/>
      <c r="B306" s="142"/>
      <c r="C306" s="142"/>
      <c r="D306" s="142"/>
      <c r="E306" s="308"/>
      <c r="F306" s="131"/>
      <c r="G306" s="131"/>
      <c r="H306" s="131"/>
      <c r="I306" s="219"/>
      <c r="J306" s="198"/>
      <c r="K306" s="131"/>
      <c r="L306" s="131"/>
      <c r="M306" s="131"/>
      <c r="N306" s="131"/>
      <c r="O306" s="131"/>
      <c r="P306" s="131"/>
      <c r="Q306" s="131"/>
      <c r="R306" s="131"/>
      <c r="S306" s="131"/>
      <c r="T306" s="131"/>
      <c r="U306" s="131"/>
      <c r="V306" s="131"/>
      <c r="W306" s="131"/>
      <c r="X306" s="131"/>
      <c r="Y306" s="131"/>
      <c r="Z306" s="142"/>
      <c r="AA306" s="142"/>
      <c r="AB306" s="142"/>
      <c r="AC306" s="142"/>
      <c r="AD306" s="142"/>
      <c r="AE306" s="142"/>
      <c r="AF306" s="142"/>
      <c r="AG306" s="142"/>
      <c r="AH306" s="142"/>
      <c r="AI306" s="142"/>
      <c r="AJ306" s="142"/>
      <c r="AK306" s="142"/>
      <c r="AL306" s="142"/>
      <c r="AM306" s="142"/>
      <c r="AN306" s="142"/>
      <c r="AO306" s="131"/>
    </row>
    <row r="307" ht="13.5" customHeight="1">
      <c r="A307" s="142"/>
      <c r="B307" s="142"/>
      <c r="C307" s="142"/>
      <c r="D307" s="142"/>
      <c r="E307" s="308"/>
      <c r="F307" s="131"/>
      <c r="G307" s="131"/>
      <c r="H307" s="131"/>
      <c r="I307" s="219"/>
      <c r="J307" s="198"/>
      <c r="K307" s="131"/>
      <c r="L307" s="131"/>
      <c r="M307" s="131"/>
      <c r="N307" s="131"/>
      <c r="O307" s="131"/>
      <c r="P307" s="131"/>
      <c r="Q307" s="131"/>
      <c r="R307" s="131"/>
      <c r="S307" s="131"/>
      <c r="T307" s="131"/>
      <c r="U307" s="131"/>
      <c r="V307" s="131"/>
      <c r="W307" s="131"/>
      <c r="X307" s="131"/>
      <c r="Y307" s="131"/>
      <c r="Z307" s="142"/>
      <c r="AA307" s="142"/>
      <c r="AB307" s="142"/>
      <c r="AC307" s="142"/>
      <c r="AD307" s="142"/>
      <c r="AE307" s="142"/>
      <c r="AF307" s="142"/>
      <c r="AG307" s="142"/>
      <c r="AH307" s="142"/>
      <c r="AI307" s="142"/>
      <c r="AJ307" s="142"/>
      <c r="AK307" s="142"/>
      <c r="AL307" s="142"/>
      <c r="AM307" s="142"/>
      <c r="AN307" s="142"/>
      <c r="AO307" s="131"/>
    </row>
    <row r="308" ht="13.5" customHeight="1">
      <c r="A308" s="142"/>
      <c r="B308" s="142"/>
      <c r="C308" s="142"/>
      <c r="D308" s="142"/>
      <c r="E308" s="308"/>
      <c r="F308" s="131"/>
      <c r="G308" s="131"/>
      <c r="H308" s="131"/>
      <c r="I308" s="219"/>
      <c r="J308" s="198"/>
      <c r="K308" s="131"/>
      <c r="L308" s="131"/>
      <c r="M308" s="131"/>
      <c r="N308" s="131"/>
      <c r="O308" s="131"/>
      <c r="P308" s="131"/>
      <c r="Q308" s="131"/>
      <c r="R308" s="131"/>
      <c r="S308" s="131"/>
      <c r="T308" s="131"/>
      <c r="U308" s="131"/>
      <c r="V308" s="131"/>
      <c r="W308" s="131"/>
      <c r="X308" s="131"/>
      <c r="Y308" s="131"/>
      <c r="Z308" s="142"/>
      <c r="AA308" s="142"/>
      <c r="AB308" s="142"/>
      <c r="AC308" s="142"/>
      <c r="AD308" s="142"/>
      <c r="AE308" s="142"/>
      <c r="AF308" s="142"/>
      <c r="AG308" s="142"/>
      <c r="AH308" s="142"/>
      <c r="AI308" s="142"/>
      <c r="AJ308" s="142"/>
      <c r="AK308" s="142"/>
      <c r="AL308" s="142"/>
      <c r="AM308" s="142"/>
      <c r="AN308" s="142"/>
      <c r="AO308" s="131"/>
    </row>
    <row r="309" ht="13.5" customHeight="1">
      <c r="A309" s="142"/>
      <c r="B309" s="142"/>
      <c r="C309" s="142"/>
      <c r="D309" s="142"/>
      <c r="E309" s="308"/>
      <c r="F309" s="131"/>
      <c r="G309" s="131"/>
      <c r="H309" s="131"/>
      <c r="I309" s="219"/>
      <c r="J309" s="198"/>
      <c r="K309" s="131"/>
      <c r="L309" s="131"/>
      <c r="M309" s="131"/>
      <c r="N309" s="131"/>
      <c r="O309" s="131"/>
      <c r="P309" s="131"/>
      <c r="Q309" s="131"/>
      <c r="R309" s="131"/>
      <c r="S309" s="131"/>
      <c r="T309" s="131"/>
      <c r="U309" s="131"/>
      <c r="V309" s="131"/>
      <c r="W309" s="131"/>
      <c r="X309" s="131"/>
      <c r="Y309" s="131"/>
      <c r="Z309" s="142"/>
      <c r="AA309" s="142"/>
      <c r="AB309" s="142"/>
      <c r="AC309" s="142"/>
      <c r="AD309" s="142"/>
      <c r="AE309" s="142"/>
      <c r="AF309" s="142"/>
      <c r="AG309" s="142"/>
      <c r="AH309" s="142"/>
      <c r="AI309" s="142"/>
      <c r="AJ309" s="142"/>
      <c r="AK309" s="142"/>
      <c r="AL309" s="142"/>
      <c r="AM309" s="142"/>
      <c r="AN309" s="142"/>
      <c r="AO309" s="131"/>
    </row>
    <row r="310" ht="13.5" customHeight="1">
      <c r="A310" s="142"/>
      <c r="B310" s="142"/>
      <c r="C310" s="142"/>
      <c r="D310" s="142"/>
      <c r="E310" s="308"/>
      <c r="F310" s="131"/>
      <c r="G310" s="131"/>
      <c r="H310" s="131"/>
      <c r="I310" s="219"/>
      <c r="J310" s="198"/>
      <c r="K310" s="131"/>
      <c r="L310" s="131"/>
      <c r="M310" s="131"/>
      <c r="N310" s="131"/>
      <c r="O310" s="131"/>
      <c r="P310" s="131"/>
      <c r="Q310" s="131"/>
      <c r="R310" s="131"/>
      <c r="S310" s="131"/>
      <c r="T310" s="131"/>
      <c r="U310" s="131"/>
      <c r="V310" s="131"/>
      <c r="W310" s="131"/>
      <c r="X310" s="131"/>
      <c r="Y310" s="131"/>
      <c r="Z310" s="142"/>
      <c r="AA310" s="142"/>
      <c r="AB310" s="142"/>
      <c r="AC310" s="142"/>
      <c r="AD310" s="142"/>
      <c r="AE310" s="142"/>
      <c r="AF310" s="142"/>
      <c r="AG310" s="142"/>
      <c r="AH310" s="142"/>
      <c r="AI310" s="142"/>
      <c r="AJ310" s="142"/>
      <c r="AK310" s="142"/>
      <c r="AL310" s="142"/>
      <c r="AM310" s="142"/>
      <c r="AN310" s="142"/>
      <c r="AO310" s="131"/>
    </row>
    <row r="311" ht="13.5" customHeight="1">
      <c r="A311" s="142"/>
      <c r="B311" s="142"/>
      <c r="C311" s="142"/>
      <c r="D311" s="142"/>
      <c r="E311" s="308"/>
      <c r="F311" s="131"/>
      <c r="G311" s="131"/>
      <c r="H311" s="131"/>
      <c r="I311" s="219"/>
      <c r="J311" s="198"/>
      <c r="K311" s="131"/>
      <c r="L311" s="131"/>
      <c r="M311" s="131"/>
      <c r="N311" s="131"/>
      <c r="O311" s="131"/>
      <c r="P311" s="131"/>
      <c r="Q311" s="131"/>
      <c r="R311" s="131"/>
      <c r="S311" s="131"/>
      <c r="T311" s="131"/>
      <c r="U311" s="131"/>
      <c r="V311" s="131"/>
      <c r="W311" s="131"/>
      <c r="X311" s="131"/>
      <c r="Y311" s="131"/>
      <c r="Z311" s="142"/>
      <c r="AA311" s="142"/>
      <c r="AB311" s="142"/>
      <c r="AC311" s="142"/>
      <c r="AD311" s="142"/>
      <c r="AE311" s="142"/>
      <c r="AF311" s="142"/>
      <c r="AG311" s="142"/>
      <c r="AH311" s="142"/>
      <c r="AI311" s="142"/>
      <c r="AJ311" s="142"/>
      <c r="AK311" s="142"/>
      <c r="AL311" s="142"/>
      <c r="AM311" s="142"/>
      <c r="AN311" s="142"/>
      <c r="AO311" s="131"/>
    </row>
    <row r="312" ht="13.5" customHeight="1">
      <c r="A312" s="142"/>
      <c r="B312" s="142"/>
      <c r="C312" s="142"/>
      <c r="D312" s="142"/>
      <c r="E312" s="308"/>
      <c r="F312" s="131"/>
      <c r="G312" s="131"/>
      <c r="H312" s="131"/>
      <c r="I312" s="219"/>
      <c r="J312" s="198"/>
      <c r="K312" s="131"/>
      <c r="L312" s="131"/>
      <c r="M312" s="131"/>
      <c r="N312" s="131"/>
      <c r="O312" s="131"/>
      <c r="P312" s="131"/>
      <c r="Q312" s="131"/>
      <c r="R312" s="131"/>
      <c r="S312" s="131"/>
      <c r="T312" s="131"/>
      <c r="U312" s="131"/>
      <c r="V312" s="131"/>
      <c r="W312" s="131"/>
      <c r="X312" s="131"/>
      <c r="Y312" s="131"/>
      <c r="Z312" s="142"/>
      <c r="AA312" s="142"/>
      <c r="AB312" s="142"/>
      <c r="AC312" s="142"/>
      <c r="AD312" s="142"/>
      <c r="AE312" s="142"/>
      <c r="AF312" s="142"/>
      <c r="AG312" s="142"/>
      <c r="AH312" s="142"/>
      <c r="AI312" s="142"/>
      <c r="AJ312" s="142"/>
      <c r="AK312" s="142"/>
      <c r="AL312" s="142"/>
      <c r="AM312" s="142"/>
      <c r="AN312" s="142"/>
      <c r="AO312" s="131"/>
    </row>
    <row r="313" ht="13.5" customHeight="1">
      <c r="A313" s="142"/>
      <c r="B313" s="142"/>
      <c r="C313" s="142"/>
      <c r="D313" s="142"/>
      <c r="E313" s="308"/>
      <c r="F313" s="131"/>
      <c r="G313" s="131"/>
      <c r="H313" s="131"/>
      <c r="I313" s="219"/>
      <c r="J313" s="198"/>
      <c r="K313" s="131"/>
      <c r="L313" s="131"/>
      <c r="M313" s="131"/>
      <c r="N313" s="131"/>
      <c r="O313" s="131"/>
      <c r="P313" s="131"/>
      <c r="Q313" s="131"/>
      <c r="R313" s="131"/>
      <c r="S313" s="131"/>
      <c r="T313" s="131"/>
      <c r="U313" s="131"/>
      <c r="V313" s="131"/>
      <c r="W313" s="131"/>
      <c r="X313" s="131"/>
      <c r="Y313" s="131"/>
      <c r="Z313" s="142"/>
      <c r="AA313" s="142"/>
      <c r="AB313" s="142"/>
      <c r="AC313" s="142"/>
      <c r="AD313" s="142"/>
      <c r="AE313" s="142"/>
      <c r="AF313" s="142"/>
      <c r="AG313" s="142"/>
      <c r="AH313" s="142"/>
      <c r="AI313" s="142"/>
      <c r="AJ313" s="142"/>
      <c r="AK313" s="142"/>
      <c r="AL313" s="142"/>
      <c r="AM313" s="142"/>
      <c r="AN313" s="142"/>
      <c r="AO313" s="131"/>
    </row>
    <row r="314" ht="13.5" customHeight="1">
      <c r="A314" s="142"/>
      <c r="B314" s="142"/>
      <c r="C314" s="142"/>
      <c r="D314" s="142"/>
      <c r="E314" s="308"/>
      <c r="F314" s="131"/>
      <c r="G314" s="131"/>
      <c r="H314" s="131"/>
      <c r="I314" s="219"/>
      <c r="J314" s="198"/>
      <c r="K314" s="131"/>
      <c r="L314" s="131"/>
      <c r="M314" s="131"/>
      <c r="N314" s="131"/>
      <c r="O314" s="131"/>
      <c r="P314" s="131"/>
      <c r="Q314" s="131"/>
      <c r="R314" s="131"/>
      <c r="S314" s="131"/>
      <c r="T314" s="131"/>
      <c r="U314" s="131"/>
      <c r="V314" s="131"/>
      <c r="W314" s="131"/>
      <c r="X314" s="131"/>
      <c r="Y314" s="131"/>
      <c r="Z314" s="142"/>
      <c r="AA314" s="142"/>
      <c r="AB314" s="142"/>
      <c r="AC314" s="142"/>
      <c r="AD314" s="142"/>
      <c r="AE314" s="142"/>
      <c r="AF314" s="142"/>
      <c r="AG314" s="142"/>
      <c r="AH314" s="142"/>
      <c r="AI314" s="142"/>
      <c r="AJ314" s="142"/>
      <c r="AK314" s="142"/>
      <c r="AL314" s="142"/>
      <c r="AM314" s="142"/>
      <c r="AN314" s="142"/>
      <c r="AO314" s="131"/>
    </row>
    <row r="315" ht="13.5" customHeight="1">
      <c r="A315" s="142"/>
      <c r="B315" s="142"/>
      <c r="C315" s="142"/>
      <c r="D315" s="142"/>
      <c r="E315" s="308"/>
      <c r="F315" s="131"/>
      <c r="G315" s="131"/>
      <c r="H315" s="131"/>
      <c r="I315" s="219"/>
      <c r="J315" s="198"/>
      <c r="K315" s="131"/>
      <c r="L315" s="131"/>
      <c r="M315" s="131"/>
      <c r="N315" s="131"/>
      <c r="O315" s="131"/>
      <c r="P315" s="131"/>
      <c r="Q315" s="131"/>
      <c r="R315" s="131"/>
      <c r="S315" s="131"/>
      <c r="T315" s="131"/>
      <c r="U315" s="131"/>
      <c r="V315" s="131"/>
      <c r="W315" s="131"/>
      <c r="X315" s="131"/>
      <c r="Y315" s="131"/>
      <c r="Z315" s="142"/>
      <c r="AA315" s="142"/>
      <c r="AB315" s="142"/>
      <c r="AC315" s="142"/>
      <c r="AD315" s="142"/>
      <c r="AE315" s="142"/>
      <c r="AF315" s="142"/>
      <c r="AG315" s="142"/>
      <c r="AH315" s="142"/>
      <c r="AI315" s="142"/>
      <c r="AJ315" s="142"/>
      <c r="AK315" s="142"/>
      <c r="AL315" s="142"/>
      <c r="AM315" s="142"/>
      <c r="AN315" s="142"/>
      <c r="AO315" s="131"/>
    </row>
    <row r="316" ht="13.5" customHeight="1">
      <c r="A316" s="142"/>
      <c r="B316" s="142"/>
      <c r="C316" s="142"/>
      <c r="D316" s="142"/>
      <c r="E316" s="308"/>
      <c r="F316" s="131"/>
      <c r="G316" s="131"/>
      <c r="H316" s="131"/>
      <c r="I316" s="219"/>
      <c r="J316" s="198"/>
      <c r="K316" s="131"/>
      <c r="L316" s="131"/>
      <c r="M316" s="131"/>
      <c r="N316" s="131"/>
      <c r="O316" s="131"/>
      <c r="P316" s="131"/>
      <c r="Q316" s="131"/>
      <c r="R316" s="131"/>
      <c r="S316" s="131"/>
      <c r="T316" s="131"/>
      <c r="U316" s="131"/>
      <c r="V316" s="131"/>
      <c r="W316" s="131"/>
      <c r="X316" s="131"/>
      <c r="Y316" s="131"/>
      <c r="Z316" s="142"/>
      <c r="AA316" s="142"/>
      <c r="AB316" s="142"/>
      <c r="AC316" s="142"/>
      <c r="AD316" s="142"/>
      <c r="AE316" s="142"/>
      <c r="AF316" s="142"/>
      <c r="AG316" s="142"/>
      <c r="AH316" s="142"/>
      <c r="AI316" s="142"/>
      <c r="AJ316" s="142"/>
      <c r="AK316" s="142"/>
      <c r="AL316" s="142"/>
      <c r="AM316" s="142"/>
      <c r="AN316" s="142"/>
      <c r="AO316" s="131"/>
    </row>
    <row r="317" ht="13.5" customHeight="1">
      <c r="A317" s="142"/>
      <c r="B317" s="142"/>
      <c r="C317" s="142"/>
      <c r="D317" s="142"/>
      <c r="E317" s="308"/>
      <c r="F317" s="131"/>
      <c r="G317" s="131"/>
      <c r="H317" s="131"/>
      <c r="I317" s="219"/>
      <c r="J317" s="198"/>
      <c r="K317" s="131"/>
      <c r="L317" s="131"/>
      <c r="M317" s="131"/>
      <c r="N317" s="131"/>
      <c r="O317" s="131"/>
      <c r="P317" s="131"/>
      <c r="Q317" s="131"/>
      <c r="R317" s="131"/>
      <c r="S317" s="131"/>
      <c r="T317" s="131"/>
      <c r="U317" s="131"/>
      <c r="V317" s="131"/>
      <c r="W317" s="131"/>
      <c r="X317" s="131"/>
      <c r="Y317" s="131"/>
      <c r="Z317" s="142"/>
      <c r="AA317" s="142"/>
      <c r="AB317" s="142"/>
      <c r="AC317" s="142"/>
      <c r="AD317" s="142"/>
      <c r="AE317" s="142"/>
      <c r="AF317" s="142"/>
      <c r="AG317" s="142"/>
      <c r="AH317" s="142"/>
      <c r="AI317" s="142"/>
      <c r="AJ317" s="142"/>
      <c r="AK317" s="142"/>
      <c r="AL317" s="142"/>
      <c r="AM317" s="142"/>
      <c r="AN317" s="142"/>
      <c r="AO317" s="131"/>
    </row>
    <row r="318" ht="13.5" customHeight="1">
      <c r="A318" s="142"/>
      <c r="B318" s="142"/>
      <c r="C318" s="142"/>
      <c r="D318" s="142"/>
      <c r="E318" s="308"/>
      <c r="F318" s="131"/>
      <c r="G318" s="131"/>
      <c r="H318" s="131"/>
      <c r="I318" s="219"/>
      <c r="J318" s="198"/>
      <c r="K318" s="131"/>
      <c r="L318" s="131"/>
      <c r="M318" s="131"/>
      <c r="N318" s="131"/>
      <c r="O318" s="131"/>
      <c r="P318" s="131"/>
      <c r="Q318" s="131"/>
      <c r="R318" s="131"/>
      <c r="S318" s="131"/>
      <c r="T318" s="131"/>
      <c r="U318" s="131"/>
      <c r="V318" s="131"/>
      <c r="W318" s="131"/>
      <c r="X318" s="131"/>
      <c r="Y318" s="131"/>
      <c r="Z318" s="142"/>
      <c r="AA318" s="142"/>
      <c r="AB318" s="142"/>
      <c r="AC318" s="142"/>
      <c r="AD318" s="142"/>
      <c r="AE318" s="142"/>
      <c r="AF318" s="142"/>
      <c r="AG318" s="142"/>
      <c r="AH318" s="142"/>
      <c r="AI318" s="142"/>
      <c r="AJ318" s="142"/>
      <c r="AK318" s="142"/>
      <c r="AL318" s="142"/>
      <c r="AM318" s="142"/>
      <c r="AN318" s="142"/>
      <c r="AO318" s="131"/>
    </row>
    <row r="319" ht="13.5" customHeight="1">
      <c r="A319" s="142"/>
      <c r="B319" s="142"/>
      <c r="C319" s="142"/>
      <c r="D319" s="142"/>
      <c r="E319" s="308"/>
      <c r="F319" s="131"/>
      <c r="G319" s="131"/>
      <c r="H319" s="131"/>
      <c r="I319" s="219"/>
      <c r="J319" s="198"/>
      <c r="K319" s="131"/>
      <c r="L319" s="131"/>
      <c r="M319" s="131"/>
      <c r="N319" s="131"/>
      <c r="O319" s="131"/>
      <c r="P319" s="131"/>
      <c r="Q319" s="131"/>
      <c r="R319" s="131"/>
      <c r="S319" s="131"/>
      <c r="T319" s="131"/>
      <c r="U319" s="131"/>
      <c r="V319" s="131"/>
      <c r="W319" s="131"/>
      <c r="X319" s="131"/>
      <c r="Y319" s="131"/>
      <c r="Z319" s="142"/>
      <c r="AA319" s="142"/>
      <c r="AB319" s="142"/>
      <c r="AC319" s="142"/>
      <c r="AD319" s="142"/>
      <c r="AE319" s="142"/>
      <c r="AF319" s="142"/>
      <c r="AG319" s="142"/>
      <c r="AH319" s="142"/>
      <c r="AI319" s="142"/>
      <c r="AJ319" s="142"/>
      <c r="AK319" s="142"/>
      <c r="AL319" s="142"/>
      <c r="AM319" s="142"/>
      <c r="AN319" s="142"/>
      <c r="AO319" s="131"/>
    </row>
    <row r="320" ht="13.5" customHeight="1">
      <c r="A320" s="142"/>
      <c r="B320" s="142"/>
      <c r="C320" s="142"/>
      <c r="D320" s="142"/>
      <c r="E320" s="308"/>
      <c r="F320" s="131"/>
      <c r="G320" s="131"/>
      <c r="H320" s="131"/>
      <c r="I320" s="219"/>
      <c r="J320" s="198"/>
      <c r="K320" s="131"/>
      <c r="L320" s="131"/>
      <c r="M320" s="131"/>
      <c r="N320" s="131"/>
      <c r="O320" s="131"/>
      <c r="P320" s="131"/>
      <c r="Q320" s="131"/>
      <c r="R320" s="131"/>
      <c r="S320" s="131"/>
      <c r="T320" s="131"/>
      <c r="U320" s="131"/>
      <c r="V320" s="131"/>
      <c r="W320" s="131"/>
      <c r="X320" s="131"/>
      <c r="Y320" s="131"/>
      <c r="Z320" s="142"/>
      <c r="AA320" s="142"/>
      <c r="AB320" s="142"/>
      <c r="AC320" s="142"/>
      <c r="AD320" s="142"/>
      <c r="AE320" s="142"/>
      <c r="AF320" s="142"/>
      <c r="AG320" s="142"/>
      <c r="AH320" s="142"/>
      <c r="AI320" s="142"/>
      <c r="AJ320" s="142"/>
      <c r="AK320" s="142"/>
      <c r="AL320" s="142"/>
      <c r="AM320" s="142"/>
      <c r="AN320" s="142"/>
      <c r="AO320" s="131"/>
    </row>
    <row r="321" ht="13.5" customHeight="1">
      <c r="A321" s="142"/>
      <c r="B321" s="142"/>
      <c r="C321" s="142"/>
      <c r="D321" s="142"/>
      <c r="E321" s="308"/>
      <c r="F321" s="131"/>
      <c r="G321" s="131"/>
      <c r="H321" s="131"/>
      <c r="I321" s="219"/>
      <c r="J321" s="198"/>
      <c r="K321" s="131"/>
      <c r="L321" s="131"/>
      <c r="M321" s="131"/>
      <c r="N321" s="131"/>
      <c r="O321" s="131"/>
      <c r="P321" s="131"/>
      <c r="Q321" s="131"/>
      <c r="R321" s="131"/>
      <c r="S321" s="131"/>
      <c r="T321" s="131"/>
      <c r="U321" s="131"/>
      <c r="V321" s="131"/>
      <c r="W321" s="131"/>
      <c r="X321" s="131"/>
      <c r="Y321" s="131"/>
      <c r="Z321" s="142"/>
      <c r="AA321" s="142"/>
      <c r="AB321" s="142"/>
      <c r="AC321" s="142"/>
      <c r="AD321" s="142"/>
      <c r="AE321" s="142"/>
      <c r="AF321" s="142"/>
      <c r="AG321" s="142"/>
      <c r="AH321" s="142"/>
      <c r="AI321" s="142"/>
      <c r="AJ321" s="142"/>
      <c r="AK321" s="142"/>
      <c r="AL321" s="142"/>
      <c r="AM321" s="142"/>
      <c r="AN321" s="142"/>
      <c r="AO321" s="131"/>
    </row>
    <row r="322" ht="13.5" customHeight="1">
      <c r="A322" s="142"/>
      <c r="B322" s="142"/>
      <c r="C322" s="142"/>
      <c r="D322" s="142"/>
      <c r="E322" s="308"/>
      <c r="F322" s="131"/>
      <c r="G322" s="131"/>
      <c r="H322" s="131"/>
      <c r="I322" s="219"/>
      <c r="J322" s="198"/>
      <c r="K322" s="131"/>
      <c r="L322" s="131"/>
      <c r="M322" s="131"/>
      <c r="N322" s="131"/>
      <c r="O322" s="131"/>
      <c r="P322" s="131"/>
      <c r="Q322" s="131"/>
      <c r="R322" s="131"/>
      <c r="S322" s="131"/>
      <c r="T322" s="131"/>
      <c r="U322" s="131"/>
      <c r="V322" s="131"/>
      <c r="W322" s="131"/>
      <c r="X322" s="131"/>
      <c r="Y322" s="131"/>
      <c r="Z322" s="142"/>
      <c r="AA322" s="142"/>
      <c r="AB322" s="142"/>
      <c r="AC322" s="142"/>
      <c r="AD322" s="142"/>
      <c r="AE322" s="142"/>
      <c r="AF322" s="142"/>
      <c r="AG322" s="142"/>
      <c r="AH322" s="142"/>
      <c r="AI322" s="142"/>
      <c r="AJ322" s="142"/>
      <c r="AK322" s="142"/>
      <c r="AL322" s="142"/>
      <c r="AM322" s="142"/>
      <c r="AN322" s="142"/>
      <c r="AO322" s="131"/>
    </row>
    <row r="323" ht="13.5" customHeight="1">
      <c r="A323" s="142"/>
      <c r="B323" s="142"/>
      <c r="C323" s="142"/>
      <c r="D323" s="142"/>
      <c r="E323" s="308"/>
      <c r="F323" s="131"/>
      <c r="G323" s="131"/>
      <c r="H323" s="131"/>
      <c r="I323" s="219"/>
      <c r="J323" s="198"/>
      <c r="K323" s="131"/>
      <c r="L323" s="131"/>
      <c r="M323" s="131"/>
      <c r="N323" s="131"/>
      <c r="O323" s="131"/>
      <c r="P323" s="131"/>
      <c r="Q323" s="131"/>
      <c r="R323" s="131"/>
      <c r="S323" s="131"/>
      <c r="T323" s="131"/>
      <c r="U323" s="131"/>
      <c r="V323" s="131"/>
      <c r="W323" s="131"/>
      <c r="X323" s="131"/>
      <c r="Y323" s="131"/>
      <c r="Z323" s="142"/>
      <c r="AA323" s="142"/>
      <c r="AB323" s="142"/>
      <c r="AC323" s="142"/>
      <c r="AD323" s="142"/>
      <c r="AE323" s="142"/>
      <c r="AF323" s="142"/>
      <c r="AG323" s="142"/>
      <c r="AH323" s="142"/>
      <c r="AI323" s="142"/>
      <c r="AJ323" s="142"/>
      <c r="AK323" s="142"/>
      <c r="AL323" s="142"/>
      <c r="AM323" s="142"/>
      <c r="AN323" s="142"/>
      <c r="AO323" s="131"/>
    </row>
    <row r="324" ht="13.5" customHeight="1">
      <c r="A324" s="142"/>
      <c r="B324" s="142"/>
      <c r="C324" s="142"/>
      <c r="D324" s="142"/>
      <c r="E324" s="308"/>
      <c r="F324" s="131"/>
      <c r="G324" s="131"/>
      <c r="H324" s="131"/>
      <c r="I324" s="219"/>
      <c r="J324" s="198"/>
      <c r="K324" s="131"/>
      <c r="L324" s="131"/>
      <c r="M324" s="131"/>
      <c r="N324" s="131"/>
      <c r="O324" s="131"/>
      <c r="P324" s="131"/>
      <c r="Q324" s="131"/>
      <c r="R324" s="131"/>
      <c r="S324" s="131"/>
      <c r="T324" s="131"/>
      <c r="U324" s="131"/>
      <c r="V324" s="131"/>
      <c r="W324" s="131"/>
      <c r="X324" s="131"/>
      <c r="Y324" s="131"/>
      <c r="Z324" s="142"/>
      <c r="AA324" s="142"/>
      <c r="AB324" s="142"/>
      <c r="AC324" s="142"/>
      <c r="AD324" s="142"/>
      <c r="AE324" s="142"/>
      <c r="AF324" s="142"/>
      <c r="AG324" s="142"/>
      <c r="AH324" s="142"/>
      <c r="AI324" s="142"/>
      <c r="AJ324" s="142"/>
      <c r="AK324" s="142"/>
      <c r="AL324" s="142"/>
      <c r="AM324" s="142"/>
      <c r="AN324" s="142"/>
      <c r="AO324" s="131"/>
    </row>
    <row r="325" ht="13.5" customHeight="1">
      <c r="A325" s="142"/>
      <c r="B325" s="142"/>
      <c r="C325" s="142"/>
      <c r="D325" s="142"/>
      <c r="E325" s="308"/>
      <c r="F325" s="131"/>
      <c r="G325" s="131"/>
      <c r="H325" s="131"/>
      <c r="I325" s="219"/>
      <c r="J325" s="198"/>
      <c r="K325" s="131"/>
      <c r="L325" s="131"/>
      <c r="M325" s="131"/>
      <c r="N325" s="131"/>
      <c r="O325" s="131"/>
      <c r="P325" s="131"/>
      <c r="Q325" s="131"/>
      <c r="R325" s="131"/>
      <c r="S325" s="131"/>
      <c r="T325" s="131"/>
      <c r="U325" s="131"/>
      <c r="V325" s="131"/>
      <c r="W325" s="131"/>
      <c r="X325" s="131"/>
      <c r="Y325" s="131"/>
      <c r="Z325" s="142"/>
      <c r="AA325" s="142"/>
      <c r="AB325" s="142"/>
      <c r="AC325" s="142"/>
      <c r="AD325" s="142"/>
      <c r="AE325" s="142"/>
      <c r="AF325" s="142"/>
      <c r="AG325" s="142"/>
      <c r="AH325" s="142"/>
      <c r="AI325" s="142"/>
      <c r="AJ325" s="142"/>
      <c r="AK325" s="142"/>
      <c r="AL325" s="142"/>
      <c r="AM325" s="142"/>
      <c r="AN325" s="142"/>
      <c r="AO325" s="131"/>
    </row>
    <row r="326" ht="13.5" customHeight="1">
      <c r="A326" s="142"/>
      <c r="B326" s="142"/>
      <c r="C326" s="142"/>
      <c r="D326" s="142"/>
      <c r="E326" s="308"/>
      <c r="F326" s="131"/>
      <c r="G326" s="131"/>
      <c r="H326" s="131"/>
      <c r="I326" s="219"/>
      <c r="J326" s="198"/>
      <c r="K326" s="131"/>
      <c r="L326" s="131"/>
      <c r="M326" s="131"/>
      <c r="N326" s="131"/>
      <c r="O326" s="131"/>
      <c r="P326" s="131"/>
      <c r="Q326" s="131"/>
      <c r="R326" s="131"/>
      <c r="S326" s="131"/>
      <c r="T326" s="131"/>
      <c r="U326" s="131"/>
      <c r="V326" s="131"/>
      <c r="W326" s="131"/>
      <c r="X326" s="131"/>
      <c r="Y326" s="131"/>
      <c r="Z326" s="142"/>
      <c r="AA326" s="142"/>
      <c r="AB326" s="142"/>
      <c r="AC326" s="142"/>
      <c r="AD326" s="142"/>
      <c r="AE326" s="142"/>
      <c r="AF326" s="142"/>
      <c r="AG326" s="142"/>
      <c r="AH326" s="142"/>
      <c r="AI326" s="142"/>
      <c r="AJ326" s="142"/>
      <c r="AK326" s="142"/>
      <c r="AL326" s="142"/>
      <c r="AM326" s="142"/>
      <c r="AN326" s="142"/>
      <c r="AO326" s="131"/>
    </row>
    <row r="327" ht="13.5" customHeight="1">
      <c r="A327" s="142"/>
      <c r="B327" s="142"/>
      <c r="C327" s="142"/>
      <c r="D327" s="142"/>
      <c r="E327" s="308"/>
      <c r="F327" s="131"/>
      <c r="G327" s="131"/>
      <c r="H327" s="131"/>
      <c r="I327" s="219"/>
      <c r="J327" s="198"/>
      <c r="K327" s="131"/>
      <c r="L327" s="131"/>
      <c r="M327" s="131"/>
      <c r="N327" s="131"/>
      <c r="O327" s="131"/>
      <c r="P327" s="131"/>
      <c r="Q327" s="131"/>
      <c r="R327" s="131"/>
      <c r="S327" s="131"/>
      <c r="T327" s="131"/>
      <c r="U327" s="131"/>
      <c r="V327" s="131"/>
      <c r="W327" s="131"/>
      <c r="X327" s="131"/>
      <c r="Y327" s="131"/>
      <c r="Z327" s="142"/>
      <c r="AA327" s="142"/>
      <c r="AB327" s="142"/>
      <c r="AC327" s="142"/>
      <c r="AD327" s="142"/>
      <c r="AE327" s="142"/>
      <c r="AF327" s="142"/>
      <c r="AG327" s="142"/>
      <c r="AH327" s="142"/>
      <c r="AI327" s="142"/>
      <c r="AJ327" s="142"/>
      <c r="AK327" s="142"/>
      <c r="AL327" s="142"/>
      <c r="AM327" s="142"/>
      <c r="AN327" s="142"/>
      <c r="AO327" s="131"/>
    </row>
    <row r="328" ht="13.5" customHeight="1">
      <c r="A328" s="142"/>
      <c r="B328" s="142"/>
      <c r="C328" s="142"/>
      <c r="D328" s="142"/>
      <c r="E328" s="308"/>
      <c r="F328" s="131"/>
      <c r="G328" s="131"/>
      <c r="H328" s="131"/>
      <c r="I328" s="219"/>
      <c r="J328" s="198"/>
      <c r="K328" s="131"/>
      <c r="L328" s="131"/>
      <c r="M328" s="131"/>
      <c r="N328" s="131"/>
      <c r="O328" s="131"/>
      <c r="P328" s="131"/>
      <c r="Q328" s="131"/>
      <c r="R328" s="131"/>
      <c r="S328" s="131"/>
      <c r="T328" s="131"/>
      <c r="U328" s="131"/>
      <c r="V328" s="131"/>
      <c r="W328" s="131"/>
      <c r="X328" s="131"/>
      <c r="Y328" s="131"/>
      <c r="Z328" s="142"/>
      <c r="AA328" s="142"/>
      <c r="AB328" s="142"/>
      <c r="AC328" s="142"/>
      <c r="AD328" s="142"/>
      <c r="AE328" s="142"/>
      <c r="AF328" s="142"/>
      <c r="AG328" s="142"/>
      <c r="AH328" s="142"/>
      <c r="AI328" s="142"/>
      <c r="AJ328" s="142"/>
      <c r="AK328" s="142"/>
      <c r="AL328" s="142"/>
      <c r="AM328" s="142"/>
      <c r="AN328" s="142"/>
      <c r="AO328" s="131"/>
    </row>
    <row r="329" ht="13.5" customHeight="1">
      <c r="A329" s="142"/>
      <c r="B329" s="142"/>
      <c r="C329" s="142"/>
      <c r="D329" s="142"/>
      <c r="E329" s="308"/>
      <c r="F329" s="131"/>
      <c r="G329" s="131"/>
      <c r="H329" s="131"/>
      <c r="I329" s="219"/>
      <c r="J329" s="198"/>
      <c r="K329" s="131"/>
      <c r="L329" s="131"/>
      <c r="M329" s="131"/>
      <c r="N329" s="131"/>
      <c r="O329" s="131"/>
      <c r="P329" s="131"/>
      <c r="Q329" s="131"/>
      <c r="R329" s="131"/>
      <c r="S329" s="131"/>
      <c r="T329" s="131"/>
      <c r="U329" s="131"/>
      <c r="V329" s="131"/>
      <c r="W329" s="131"/>
      <c r="X329" s="131"/>
      <c r="Y329" s="131"/>
      <c r="Z329" s="142"/>
      <c r="AA329" s="142"/>
      <c r="AB329" s="142"/>
      <c r="AC329" s="142"/>
      <c r="AD329" s="142"/>
      <c r="AE329" s="142"/>
      <c r="AF329" s="142"/>
      <c r="AG329" s="142"/>
      <c r="AH329" s="142"/>
      <c r="AI329" s="142"/>
      <c r="AJ329" s="142"/>
      <c r="AK329" s="142"/>
      <c r="AL329" s="142"/>
      <c r="AM329" s="142"/>
      <c r="AN329" s="142"/>
      <c r="AO329" s="131"/>
    </row>
    <row r="330" ht="13.5" customHeight="1">
      <c r="A330" s="142"/>
      <c r="B330" s="142"/>
      <c r="C330" s="142"/>
      <c r="D330" s="142"/>
      <c r="E330" s="308"/>
      <c r="F330" s="131"/>
      <c r="G330" s="131"/>
      <c r="H330" s="131"/>
      <c r="I330" s="219"/>
      <c r="J330" s="198"/>
      <c r="K330" s="131"/>
      <c r="L330" s="131"/>
      <c r="M330" s="131"/>
      <c r="N330" s="131"/>
      <c r="O330" s="131"/>
      <c r="P330" s="131"/>
      <c r="Q330" s="131"/>
      <c r="R330" s="131"/>
      <c r="S330" s="131"/>
      <c r="T330" s="131"/>
      <c r="U330" s="131"/>
      <c r="V330" s="131"/>
      <c r="W330" s="131"/>
      <c r="X330" s="131"/>
      <c r="Y330" s="131"/>
      <c r="Z330" s="142"/>
      <c r="AA330" s="142"/>
      <c r="AB330" s="142"/>
      <c r="AC330" s="142"/>
      <c r="AD330" s="142"/>
      <c r="AE330" s="142"/>
      <c r="AF330" s="142"/>
      <c r="AG330" s="142"/>
      <c r="AH330" s="142"/>
      <c r="AI330" s="142"/>
      <c r="AJ330" s="142"/>
      <c r="AK330" s="142"/>
      <c r="AL330" s="142"/>
      <c r="AM330" s="142"/>
      <c r="AN330" s="142"/>
      <c r="AO330" s="131"/>
    </row>
    <row r="331" ht="13.5" customHeight="1">
      <c r="A331" s="142"/>
      <c r="B331" s="142"/>
      <c r="C331" s="142"/>
      <c r="D331" s="142"/>
      <c r="E331" s="308"/>
      <c r="F331" s="131"/>
      <c r="G331" s="131"/>
      <c r="H331" s="131"/>
      <c r="I331" s="219"/>
      <c r="J331" s="198"/>
      <c r="K331" s="131"/>
      <c r="L331" s="131"/>
      <c r="M331" s="131"/>
      <c r="N331" s="131"/>
      <c r="O331" s="131"/>
      <c r="P331" s="131"/>
      <c r="Q331" s="131"/>
      <c r="R331" s="131"/>
      <c r="S331" s="131"/>
      <c r="T331" s="131"/>
      <c r="U331" s="131"/>
      <c r="V331" s="131"/>
      <c r="W331" s="131"/>
      <c r="X331" s="131"/>
      <c r="Y331" s="131"/>
      <c r="Z331" s="142"/>
      <c r="AA331" s="142"/>
      <c r="AB331" s="142"/>
      <c r="AC331" s="142"/>
      <c r="AD331" s="142"/>
      <c r="AE331" s="142"/>
      <c r="AF331" s="142"/>
      <c r="AG331" s="142"/>
      <c r="AH331" s="142"/>
      <c r="AI331" s="142"/>
      <c r="AJ331" s="142"/>
      <c r="AK331" s="142"/>
      <c r="AL331" s="142"/>
      <c r="AM331" s="142"/>
      <c r="AN331" s="142"/>
      <c r="AO331" s="131"/>
    </row>
    <row r="332" ht="13.5" customHeight="1">
      <c r="A332" s="142"/>
      <c r="B332" s="142"/>
      <c r="C332" s="142"/>
      <c r="D332" s="142"/>
      <c r="E332" s="308"/>
      <c r="F332" s="131"/>
      <c r="G332" s="131"/>
      <c r="H332" s="131"/>
      <c r="I332" s="219"/>
      <c r="J332" s="198"/>
      <c r="K332" s="131"/>
      <c r="L332" s="131"/>
      <c r="M332" s="131"/>
      <c r="N332" s="131"/>
      <c r="O332" s="131"/>
      <c r="P332" s="131"/>
      <c r="Q332" s="131"/>
      <c r="R332" s="131"/>
      <c r="S332" s="131"/>
      <c r="T332" s="131"/>
      <c r="U332" s="131"/>
      <c r="V332" s="131"/>
      <c r="W332" s="131"/>
      <c r="X332" s="131"/>
      <c r="Y332" s="131"/>
      <c r="Z332" s="142"/>
      <c r="AA332" s="142"/>
      <c r="AB332" s="142"/>
      <c r="AC332" s="142"/>
      <c r="AD332" s="142"/>
      <c r="AE332" s="142"/>
      <c r="AF332" s="142"/>
      <c r="AG332" s="142"/>
      <c r="AH332" s="142"/>
      <c r="AI332" s="142"/>
      <c r="AJ332" s="142"/>
      <c r="AK332" s="142"/>
      <c r="AL332" s="142"/>
      <c r="AM332" s="142"/>
      <c r="AN332" s="142"/>
      <c r="AO332" s="131"/>
    </row>
    <row r="333" ht="13.5" customHeight="1">
      <c r="A333" s="142"/>
      <c r="B333" s="142"/>
      <c r="C333" s="142"/>
      <c r="D333" s="142"/>
      <c r="E333" s="308"/>
      <c r="F333" s="131"/>
      <c r="G333" s="131"/>
      <c r="H333" s="131"/>
      <c r="I333" s="219"/>
      <c r="J333" s="198"/>
      <c r="K333" s="131"/>
      <c r="L333" s="131"/>
      <c r="M333" s="131"/>
      <c r="N333" s="131"/>
      <c r="O333" s="131"/>
      <c r="P333" s="131"/>
      <c r="Q333" s="131"/>
      <c r="R333" s="131"/>
      <c r="S333" s="131"/>
      <c r="T333" s="131"/>
      <c r="U333" s="131"/>
      <c r="V333" s="131"/>
      <c r="W333" s="131"/>
      <c r="X333" s="131"/>
      <c r="Y333" s="131"/>
      <c r="Z333" s="142"/>
      <c r="AA333" s="142"/>
      <c r="AB333" s="142"/>
      <c r="AC333" s="142"/>
      <c r="AD333" s="142"/>
      <c r="AE333" s="142"/>
      <c r="AF333" s="142"/>
      <c r="AG333" s="142"/>
      <c r="AH333" s="142"/>
      <c r="AI333" s="142"/>
      <c r="AJ333" s="142"/>
      <c r="AK333" s="142"/>
      <c r="AL333" s="142"/>
      <c r="AM333" s="142"/>
      <c r="AN333" s="142"/>
      <c r="AO333" s="131"/>
    </row>
    <row r="334" ht="13.5" customHeight="1">
      <c r="A334" s="142"/>
      <c r="B334" s="142"/>
      <c r="C334" s="142"/>
      <c r="D334" s="142"/>
      <c r="E334" s="308"/>
      <c r="F334" s="131"/>
      <c r="G334" s="131"/>
      <c r="H334" s="131"/>
      <c r="I334" s="219"/>
      <c r="J334" s="198"/>
      <c r="K334" s="131"/>
      <c r="L334" s="131"/>
      <c r="M334" s="131"/>
      <c r="N334" s="131"/>
      <c r="O334" s="131"/>
      <c r="P334" s="131"/>
      <c r="Q334" s="131"/>
      <c r="R334" s="131"/>
      <c r="S334" s="131"/>
      <c r="T334" s="131"/>
      <c r="U334" s="131"/>
      <c r="V334" s="131"/>
      <c r="W334" s="131"/>
      <c r="X334" s="131"/>
      <c r="Y334" s="131"/>
      <c r="Z334" s="142"/>
      <c r="AA334" s="142"/>
      <c r="AB334" s="142"/>
      <c r="AC334" s="142"/>
      <c r="AD334" s="142"/>
      <c r="AE334" s="142"/>
      <c r="AF334" s="142"/>
      <c r="AG334" s="142"/>
      <c r="AH334" s="142"/>
      <c r="AI334" s="142"/>
      <c r="AJ334" s="142"/>
      <c r="AK334" s="142"/>
      <c r="AL334" s="142"/>
      <c r="AM334" s="142"/>
      <c r="AN334" s="142"/>
      <c r="AO334" s="131"/>
    </row>
    <row r="335" ht="13.5" customHeight="1">
      <c r="A335" s="142"/>
      <c r="B335" s="142"/>
      <c r="C335" s="142"/>
      <c r="D335" s="142"/>
      <c r="E335" s="308"/>
      <c r="F335" s="131"/>
      <c r="G335" s="131"/>
      <c r="H335" s="131"/>
      <c r="I335" s="219"/>
      <c r="J335" s="198"/>
      <c r="K335" s="131"/>
      <c r="L335" s="131"/>
      <c r="M335" s="131"/>
      <c r="N335" s="131"/>
      <c r="O335" s="131"/>
      <c r="P335" s="131"/>
      <c r="Q335" s="131"/>
      <c r="R335" s="131"/>
      <c r="S335" s="131"/>
      <c r="T335" s="131"/>
      <c r="U335" s="131"/>
      <c r="V335" s="131"/>
      <c r="W335" s="131"/>
      <c r="X335" s="131"/>
      <c r="Y335" s="131"/>
      <c r="Z335" s="142"/>
      <c r="AA335" s="142"/>
      <c r="AB335" s="142"/>
      <c r="AC335" s="142"/>
      <c r="AD335" s="142"/>
      <c r="AE335" s="142"/>
      <c r="AF335" s="142"/>
      <c r="AG335" s="142"/>
      <c r="AH335" s="142"/>
      <c r="AI335" s="142"/>
      <c r="AJ335" s="142"/>
      <c r="AK335" s="142"/>
      <c r="AL335" s="142"/>
      <c r="AM335" s="142"/>
      <c r="AN335" s="142"/>
      <c r="AO335" s="131"/>
    </row>
    <row r="336" ht="13.5" customHeight="1">
      <c r="A336" s="142"/>
      <c r="B336" s="142"/>
      <c r="C336" s="142"/>
      <c r="D336" s="142"/>
      <c r="E336" s="308"/>
      <c r="F336" s="131"/>
      <c r="G336" s="131"/>
      <c r="H336" s="131"/>
      <c r="I336" s="219"/>
      <c r="J336" s="198"/>
      <c r="K336" s="131"/>
      <c r="L336" s="131"/>
      <c r="M336" s="131"/>
      <c r="N336" s="131"/>
      <c r="O336" s="131"/>
      <c r="P336" s="131"/>
      <c r="Q336" s="131"/>
      <c r="R336" s="131"/>
      <c r="S336" s="131"/>
      <c r="T336" s="131"/>
      <c r="U336" s="131"/>
      <c r="V336" s="131"/>
      <c r="W336" s="131"/>
      <c r="X336" s="131"/>
      <c r="Y336" s="131"/>
      <c r="Z336" s="142"/>
      <c r="AA336" s="142"/>
      <c r="AB336" s="142"/>
      <c r="AC336" s="142"/>
      <c r="AD336" s="142"/>
      <c r="AE336" s="142"/>
      <c r="AF336" s="142"/>
      <c r="AG336" s="142"/>
      <c r="AH336" s="142"/>
      <c r="AI336" s="142"/>
      <c r="AJ336" s="142"/>
      <c r="AK336" s="142"/>
      <c r="AL336" s="142"/>
      <c r="AM336" s="142"/>
      <c r="AN336" s="142"/>
      <c r="AO336" s="131"/>
    </row>
    <row r="337" ht="13.5" customHeight="1">
      <c r="A337" s="142"/>
      <c r="B337" s="142"/>
      <c r="C337" s="142"/>
      <c r="D337" s="142"/>
      <c r="E337" s="308"/>
      <c r="F337" s="131"/>
      <c r="G337" s="131"/>
      <c r="H337" s="131"/>
      <c r="I337" s="219"/>
      <c r="J337" s="198"/>
      <c r="K337" s="131"/>
      <c r="L337" s="131"/>
      <c r="M337" s="131"/>
      <c r="N337" s="131"/>
      <c r="O337" s="131"/>
      <c r="P337" s="131"/>
      <c r="Q337" s="131"/>
      <c r="R337" s="131"/>
      <c r="S337" s="131"/>
      <c r="T337" s="131"/>
      <c r="U337" s="131"/>
      <c r="V337" s="131"/>
      <c r="W337" s="131"/>
      <c r="X337" s="131"/>
      <c r="Y337" s="131"/>
      <c r="Z337" s="142"/>
      <c r="AA337" s="142"/>
      <c r="AB337" s="142"/>
      <c r="AC337" s="142"/>
      <c r="AD337" s="142"/>
      <c r="AE337" s="142"/>
      <c r="AF337" s="142"/>
      <c r="AG337" s="142"/>
      <c r="AH337" s="142"/>
      <c r="AI337" s="142"/>
      <c r="AJ337" s="142"/>
      <c r="AK337" s="142"/>
      <c r="AL337" s="142"/>
      <c r="AM337" s="142"/>
      <c r="AN337" s="142"/>
      <c r="AO337" s="131"/>
    </row>
    <row r="338" ht="13.5" customHeight="1">
      <c r="A338" s="142"/>
      <c r="B338" s="142"/>
      <c r="C338" s="142"/>
      <c r="D338" s="142"/>
      <c r="E338" s="308"/>
      <c r="F338" s="131"/>
      <c r="G338" s="131"/>
      <c r="H338" s="131"/>
      <c r="I338" s="219"/>
      <c r="J338" s="198"/>
      <c r="K338" s="131"/>
      <c r="L338" s="131"/>
      <c r="M338" s="131"/>
      <c r="N338" s="131"/>
      <c r="O338" s="131"/>
      <c r="P338" s="131"/>
      <c r="Q338" s="131"/>
      <c r="R338" s="131"/>
      <c r="S338" s="131"/>
      <c r="T338" s="131"/>
      <c r="U338" s="131"/>
      <c r="V338" s="131"/>
      <c r="W338" s="131"/>
      <c r="X338" s="131"/>
      <c r="Y338" s="131"/>
      <c r="Z338" s="142"/>
      <c r="AA338" s="142"/>
      <c r="AB338" s="142"/>
      <c r="AC338" s="142"/>
      <c r="AD338" s="142"/>
      <c r="AE338" s="142"/>
      <c r="AF338" s="142"/>
      <c r="AG338" s="142"/>
      <c r="AH338" s="142"/>
      <c r="AI338" s="142"/>
      <c r="AJ338" s="142"/>
      <c r="AK338" s="142"/>
      <c r="AL338" s="142"/>
      <c r="AM338" s="142"/>
      <c r="AN338" s="142"/>
      <c r="AO338" s="131"/>
    </row>
    <row r="339" ht="13.5" customHeight="1">
      <c r="A339" s="142"/>
      <c r="B339" s="142"/>
      <c r="C339" s="142"/>
      <c r="D339" s="142"/>
      <c r="E339" s="308"/>
      <c r="F339" s="131"/>
      <c r="G339" s="131"/>
      <c r="H339" s="131"/>
      <c r="I339" s="219"/>
      <c r="J339" s="198"/>
      <c r="K339" s="131"/>
      <c r="L339" s="131"/>
      <c r="M339" s="131"/>
      <c r="N339" s="131"/>
      <c r="O339" s="131"/>
      <c r="P339" s="131"/>
      <c r="Q339" s="131"/>
      <c r="R339" s="131"/>
      <c r="S339" s="131"/>
      <c r="T339" s="131"/>
      <c r="U339" s="131"/>
      <c r="V339" s="131"/>
      <c r="W339" s="131"/>
      <c r="X339" s="131"/>
      <c r="Y339" s="131"/>
      <c r="Z339" s="142"/>
      <c r="AA339" s="142"/>
      <c r="AB339" s="142"/>
      <c r="AC339" s="142"/>
      <c r="AD339" s="142"/>
      <c r="AE339" s="142"/>
      <c r="AF339" s="142"/>
      <c r="AG339" s="142"/>
      <c r="AH339" s="142"/>
      <c r="AI339" s="142"/>
      <c r="AJ339" s="142"/>
      <c r="AK339" s="142"/>
      <c r="AL339" s="142"/>
      <c r="AM339" s="142"/>
      <c r="AN339" s="142"/>
      <c r="AO339" s="131"/>
    </row>
    <row r="340" ht="13.5" customHeight="1">
      <c r="A340" s="142"/>
      <c r="B340" s="142"/>
      <c r="C340" s="142"/>
      <c r="D340" s="142"/>
      <c r="E340" s="308"/>
      <c r="F340" s="131"/>
      <c r="G340" s="131"/>
      <c r="H340" s="131"/>
      <c r="I340" s="219"/>
      <c r="J340" s="198"/>
      <c r="K340" s="131"/>
      <c r="L340" s="131"/>
      <c r="M340" s="131"/>
      <c r="N340" s="131"/>
      <c r="O340" s="131"/>
      <c r="P340" s="131"/>
      <c r="Q340" s="131"/>
      <c r="R340" s="131"/>
      <c r="S340" s="131"/>
      <c r="T340" s="131"/>
      <c r="U340" s="131"/>
      <c r="V340" s="131"/>
      <c r="W340" s="131"/>
      <c r="X340" s="131"/>
      <c r="Y340" s="131"/>
      <c r="Z340" s="142"/>
      <c r="AA340" s="142"/>
      <c r="AB340" s="142"/>
      <c r="AC340" s="142"/>
      <c r="AD340" s="142"/>
      <c r="AE340" s="142"/>
      <c r="AF340" s="142"/>
      <c r="AG340" s="142"/>
      <c r="AH340" s="142"/>
      <c r="AI340" s="142"/>
      <c r="AJ340" s="142"/>
      <c r="AK340" s="142"/>
      <c r="AL340" s="142"/>
      <c r="AM340" s="142"/>
      <c r="AN340" s="142"/>
      <c r="AO340" s="131"/>
    </row>
    <row r="341" ht="13.5" customHeight="1">
      <c r="A341" s="142"/>
      <c r="B341" s="142"/>
      <c r="C341" s="142"/>
      <c r="D341" s="142"/>
      <c r="E341" s="308"/>
      <c r="F341" s="131"/>
      <c r="G341" s="131"/>
      <c r="H341" s="131"/>
      <c r="I341" s="219"/>
      <c r="J341" s="198"/>
      <c r="K341" s="131"/>
      <c r="L341" s="131"/>
      <c r="M341" s="131"/>
      <c r="N341" s="131"/>
      <c r="O341" s="131"/>
      <c r="P341" s="131"/>
      <c r="Q341" s="131"/>
      <c r="R341" s="131"/>
      <c r="S341" s="131"/>
      <c r="T341" s="131"/>
      <c r="U341" s="131"/>
      <c r="V341" s="131"/>
      <c r="W341" s="131"/>
      <c r="X341" s="131"/>
      <c r="Y341" s="131"/>
      <c r="Z341" s="142"/>
      <c r="AA341" s="142"/>
      <c r="AB341" s="142"/>
      <c r="AC341" s="142"/>
      <c r="AD341" s="142"/>
      <c r="AE341" s="142"/>
      <c r="AF341" s="142"/>
      <c r="AG341" s="142"/>
      <c r="AH341" s="142"/>
      <c r="AI341" s="142"/>
      <c r="AJ341" s="142"/>
      <c r="AK341" s="142"/>
      <c r="AL341" s="142"/>
      <c r="AM341" s="142"/>
      <c r="AN341" s="142"/>
      <c r="AO341" s="131"/>
    </row>
    <row r="342" ht="13.5" customHeight="1">
      <c r="A342" s="142"/>
      <c r="B342" s="142"/>
      <c r="C342" s="142"/>
      <c r="D342" s="142"/>
      <c r="E342" s="308"/>
      <c r="F342" s="131"/>
      <c r="G342" s="131"/>
      <c r="H342" s="131"/>
      <c r="I342" s="219"/>
      <c r="J342" s="198"/>
      <c r="K342" s="131"/>
      <c r="L342" s="131"/>
      <c r="M342" s="131"/>
      <c r="N342" s="131"/>
      <c r="O342" s="131"/>
      <c r="P342" s="131"/>
      <c r="Q342" s="131"/>
      <c r="R342" s="131"/>
      <c r="S342" s="131"/>
      <c r="T342" s="131"/>
      <c r="U342" s="131"/>
      <c r="V342" s="131"/>
      <c r="W342" s="131"/>
      <c r="X342" s="131"/>
      <c r="Y342" s="131"/>
      <c r="Z342" s="142"/>
      <c r="AA342" s="142"/>
      <c r="AB342" s="142"/>
      <c r="AC342" s="142"/>
      <c r="AD342" s="142"/>
      <c r="AE342" s="142"/>
      <c r="AF342" s="142"/>
      <c r="AG342" s="142"/>
      <c r="AH342" s="142"/>
      <c r="AI342" s="142"/>
      <c r="AJ342" s="142"/>
      <c r="AK342" s="142"/>
      <c r="AL342" s="142"/>
      <c r="AM342" s="142"/>
      <c r="AN342" s="142"/>
      <c r="AO342" s="131"/>
    </row>
    <row r="343" ht="13.5" customHeight="1">
      <c r="A343" s="142"/>
      <c r="B343" s="142"/>
      <c r="C343" s="142"/>
      <c r="D343" s="142"/>
      <c r="E343" s="308"/>
      <c r="F343" s="131"/>
      <c r="G343" s="131"/>
      <c r="H343" s="131"/>
      <c r="I343" s="219"/>
      <c r="J343" s="198"/>
      <c r="K343" s="131"/>
      <c r="L343" s="131"/>
      <c r="M343" s="131"/>
      <c r="N343" s="131"/>
      <c r="O343" s="131"/>
      <c r="P343" s="131"/>
      <c r="Q343" s="131"/>
      <c r="R343" s="131"/>
      <c r="S343" s="131"/>
      <c r="T343" s="131"/>
      <c r="U343" s="131"/>
      <c r="V343" s="131"/>
      <c r="W343" s="131"/>
      <c r="X343" s="131"/>
      <c r="Y343" s="131"/>
      <c r="Z343" s="142"/>
      <c r="AA343" s="142"/>
      <c r="AB343" s="142"/>
      <c r="AC343" s="142"/>
      <c r="AD343" s="142"/>
      <c r="AE343" s="142"/>
      <c r="AF343" s="142"/>
      <c r="AG343" s="142"/>
      <c r="AH343" s="142"/>
      <c r="AI343" s="142"/>
      <c r="AJ343" s="142"/>
      <c r="AK343" s="142"/>
      <c r="AL343" s="142"/>
      <c r="AM343" s="142"/>
      <c r="AN343" s="142"/>
      <c r="AO343" s="131"/>
    </row>
    <row r="344" ht="13.5" customHeight="1">
      <c r="A344" s="142"/>
      <c r="B344" s="142"/>
      <c r="C344" s="142"/>
      <c r="D344" s="142"/>
      <c r="E344" s="308"/>
      <c r="F344" s="131"/>
      <c r="G344" s="131"/>
      <c r="H344" s="131"/>
      <c r="I344" s="219"/>
      <c r="J344" s="198"/>
      <c r="K344" s="131"/>
      <c r="L344" s="131"/>
      <c r="M344" s="131"/>
      <c r="N344" s="131"/>
      <c r="O344" s="131"/>
      <c r="P344" s="131"/>
      <c r="Q344" s="131"/>
      <c r="R344" s="131"/>
      <c r="S344" s="131"/>
      <c r="T344" s="131"/>
      <c r="U344" s="131"/>
      <c r="V344" s="131"/>
      <c r="W344" s="131"/>
      <c r="X344" s="131"/>
      <c r="Y344" s="131"/>
      <c r="Z344" s="142"/>
      <c r="AA344" s="142"/>
      <c r="AB344" s="142"/>
      <c r="AC344" s="142"/>
      <c r="AD344" s="142"/>
      <c r="AE344" s="142"/>
      <c r="AF344" s="142"/>
      <c r="AG344" s="142"/>
      <c r="AH344" s="142"/>
      <c r="AI344" s="142"/>
      <c r="AJ344" s="142"/>
      <c r="AK344" s="142"/>
      <c r="AL344" s="142"/>
      <c r="AM344" s="142"/>
      <c r="AN344" s="142"/>
      <c r="AO344" s="131"/>
    </row>
    <row r="345" ht="13.5" customHeight="1">
      <c r="A345" s="142"/>
      <c r="B345" s="142"/>
      <c r="C345" s="142"/>
      <c r="D345" s="142"/>
      <c r="E345" s="308"/>
      <c r="F345" s="131"/>
      <c r="G345" s="131"/>
      <c r="H345" s="131"/>
      <c r="I345" s="219"/>
      <c r="J345" s="198"/>
      <c r="K345" s="131"/>
      <c r="L345" s="131"/>
      <c r="M345" s="131"/>
      <c r="N345" s="131"/>
      <c r="O345" s="131"/>
      <c r="P345" s="131"/>
      <c r="Q345" s="131"/>
      <c r="R345" s="131"/>
      <c r="S345" s="131"/>
      <c r="T345" s="131"/>
      <c r="U345" s="131"/>
      <c r="V345" s="131"/>
      <c r="W345" s="131"/>
      <c r="X345" s="131"/>
      <c r="Y345" s="131"/>
      <c r="Z345" s="142"/>
      <c r="AA345" s="142"/>
      <c r="AB345" s="142"/>
      <c r="AC345" s="142"/>
      <c r="AD345" s="142"/>
      <c r="AE345" s="142"/>
      <c r="AF345" s="142"/>
      <c r="AG345" s="142"/>
      <c r="AH345" s="142"/>
      <c r="AI345" s="142"/>
      <c r="AJ345" s="142"/>
      <c r="AK345" s="142"/>
      <c r="AL345" s="142"/>
      <c r="AM345" s="142"/>
      <c r="AN345" s="142"/>
      <c r="AO345" s="131"/>
    </row>
    <row r="346" ht="13.5" customHeight="1">
      <c r="A346" s="142"/>
      <c r="B346" s="142"/>
      <c r="C346" s="142"/>
      <c r="D346" s="142"/>
      <c r="E346" s="308"/>
      <c r="F346" s="131"/>
      <c r="G346" s="131"/>
      <c r="H346" s="131"/>
      <c r="I346" s="219"/>
      <c r="J346" s="198"/>
      <c r="K346" s="131"/>
      <c r="L346" s="131"/>
      <c r="M346" s="131"/>
      <c r="N346" s="131"/>
      <c r="O346" s="131"/>
      <c r="P346" s="131"/>
      <c r="Q346" s="131"/>
      <c r="R346" s="131"/>
      <c r="S346" s="131"/>
      <c r="T346" s="131"/>
      <c r="U346" s="131"/>
      <c r="V346" s="131"/>
      <c r="W346" s="131"/>
      <c r="X346" s="131"/>
      <c r="Y346" s="131"/>
      <c r="Z346" s="142"/>
      <c r="AA346" s="142"/>
      <c r="AB346" s="142"/>
      <c r="AC346" s="142"/>
      <c r="AD346" s="142"/>
      <c r="AE346" s="142"/>
      <c r="AF346" s="142"/>
      <c r="AG346" s="142"/>
      <c r="AH346" s="142"/>
      <c r="AI346" s="142"/>
      <c r="AJ346" s="142"/>
      <c r="AK346" s="142"/>
      <c r="AL346" s="142"/>
      <c r="AM346" s="142"/>
      <c r="AN346" s="142"/>
      <c r="AO346" s="131"/>
    </row>
    <row r="347" ht="13.5" customHeight="1">
      <c r="A347" s="142"/>
      <c r="B347" s="142"/>
      <c r="C347" s="142"/>
      <c r="D347" s="142"/>
      <c r="E347" s="308"/>
      <c r="F347" s="131"/>
      <c r="G347" s="131"/>
      <c r="H347" s="131"/>
      <c r="I347" s="219"/>
      <c r="J347" s="198"/>
      <c r="K347" s="131"/>
      <c r="L347" s="131"/>
      <c r="M347" s="131"/>
      <c r="N347" s="131"/>
      <c r="O347" s="131"/>
      <c r="P347" s="131"/>
      <c r="Q347" s="131"/>
      <c r="R347" s="131"/>
      <c r="S347" s="131"/>
      <c r="T347" s="131"/>
      <c r="U347" s="131"/>
      <c r="V347" s="131"/>
      <c r="W347" s="131"/>
      <c r="X347" s="131"/>
      <c r="Y347" s="131"/>
      <c r="Z347" s="142"/>
      <c r="AA347" s="142"/>
      <c r="AB347" s="142"/>
      <c r="AC347" s="142"/>
      <c r="AD347" s="142"/>
      <c r="AE347" s="142"/>
      <c r="AF347" s="142"/>
      <c r="AG347" s="142"/>
      <c r="AH347" s="142"/>
      <c r="AI347" s="142"/>
      <c r="AJ347" s="142"/>
      <c r="AK347" s="142"/>
      <c r="AL347" s="142"/>
      <c r="AM347" s="142"/>
      <c r="AN347" s="142"/>
      <c r="AO347" s="131"/>
    </row>
    <row r="348" ht="13.5" customHeight="1">
      <c r="A348" s="142"/>
      <c r="B348" s="142"/>
      <c r="C348" s="142"/>
      <c r="D348" s="142"/>
      <c r="E348" s="308"/>
      <c r="F348" s="131"/>
      <c r="G348" s="131"/>
      <c r="H348" s="131"/>
      <c r="I348" s="219"/>
      <c r="J348" s="198"/>
      <c r="K348" s="131"/>
      <c r="L348" s="131"/>
      <c r="M348" s="131"/>
      <c r="N348" s="131"/>
      <c r="O348" s="131"/>
      <c r="P348" s="131"/>
      <c r="Q348" s="131"/>
      <c r="R348" s="131"/>
      <c r="S348" s="131"/>
      <c r="T348" s="131"/>
      <c r="U348" s="131"/>
      <c r="V348" s="131"/>
      <c r="W348" s="131"/>
      <c r="X348" s="131"/>
      <c r="Y348" s="131"/>
      <c r="Z348" s="142"/>
      <c r="AA348" s="142"/>
      <c r="AB348" s="142"/>
      <c r="AC348" s="142"/>
      <c r="AD348" s="142"/>
      <c r="AE348" s="142"/>
      <c r="AF348" s="142"/>
      <c r="AG348" s="142"/>
      <c r="AH348" s="142"/>
      <c r="AI348" s="142"/>
      <c r="AJ348" s="142"/>
      <c r="AK348" s="142"/>
      <c r="AL348" s="142"/>
      <c r="AM348" s="142"/>
      <c r="AN348" s="142"/>
      <c r="AO348" s="131"/>
    </row>
    <row r="349" ht="13.5" customHeight="1">
      <c r="A349" s="142"/>
      <c r="B349" s="142"/>
      <c r="C349" s="142"/>
      <c r="D349" s="142"/>
      <c r="E349" s="308"/>
      <c r="F349" s="131"/>
      <c r="G349" s="131"/>
      <c r="H349" s="131"/>
      <c r="I349" s="219"/>
      <c r="J349" s="198"/>
      <c r="K349" s="131"/>
      <c r="L349" s="131"/>
      <c r="M349" s="131"/>
      <c r="N349" s="131"/>
      <c r="O349" s="131"/>
      <c r="P349" s="131"/>
      <c r="Q349" s="131"/>
      <c r="R349" s="131"/>
      <c r="S349" s="131"/>
      <c r="T349" s="131"/>
      <c r="U349" s="131"/>
      <c r="V349" s="131"/>
      <c r="W349" s="131"/>
      <c r="X349" s="131"/>
      <c r="Y349" s="131"/>
      <c r="Z349" s="142"/>
      <c r="AA349" s="142"/>
      <c r="AB349" s="142"/>
      <c r="AC349" s="142"/>
      <c r="AD349" s="142"/>
      <c r="AE349" s="142"/>
      <c r="AF349" s="142"/>
      <c r="AG349" s="142"/>
      <c r="AH349" s="142"/>
      <c r="AI349" s="142"/>
      <c r="AJ349" s="142"/>
      <c r="AK349" s="142"/>
      <c r="AL349" s="142"/>
      <c r="AM349" s="142"/>
      <c r="AN349" s="142"/>
      <c r="AO349" s="131"/>
    </row>
    <row r="350" ht="13.5" customHeight="1">
      <c r="A350" s="142"/>
      <c r="B350" s="142"/>
      <c r="C350" s="142"/>
      <c r="D350" s="142"/>
      <c r="E350" s="308"/>
      <c r="F350" s="131"/>
      <c r="G350" s="131"/>
      <c r="H350" s="131"/>
      <c r="I350" s="219"/>
      <c r="J350" s="198"/>
      <c r="K350" s="131"/>
      <c r="L350" s="131"/>
      <c r="M350" s="131"/>
      <c r="N350" s="131"/>
      <c r="O350" s="131"/>
      <c r="P350" s="131"/>
      <c r="Q350" s="131"/>
      <c r="R350" s="131"/>
      <c r="S350" s="131"/>
      <c r="T350" s="131"/>
      <c r="U350" s="131"/>
      <c r="V350" s="131"/>
      <c r="W350" s="131"/>
      <c r="X350" s="131"/>
      <c r="Y350" s="131"/>
      <c r="Z350" s="142"/>
      <c r="AA350" s="142"/>
      <c r="AB350" s="142"/>
      <c r="AC350" s="142"/>
      <c r="AD350" s="142"/>
      <c r="AE350" s="142"/>
      <c r="AF350" s="142"/>
      <c r="AG350" s="142"/>
      <c r="AH350" s="142"/>
      <c r="AI350" s="142"/>
      <c r="AJ350" s="142"/>
      <c r="AK350" s="142"/>
      <c r="AL350" s="142"/>
      <c r="AM350" s="142"/>
      <c r="AN350" s="142"/>
      <c r="AO350" s="131"/>
    </row>
    <row r="351" ht="13.5" customHeight="1">
      <c r="A351" s="142"/>
      <c r="B351" s="142"/>
      <c r="C351" s="142"/>
      <c r="D351" s="142"/>
      <c r="E351" s="308"/>
      <c r="F351" s="131"/>
      <c r="G351" s="131"/>
      <c r="H351" s="131"/>
      <c r="I351" s="219"/>
      <c r="J351" s="198"/>
      <c r="K351" s="131"/>
      <c r="L351" s="131"/>
      <c r="M351" s="131"/>
      <c r="N351" s="131"/>
      <c r="O351" s="131"/>
      <c r="P351" s="131"/>
      <c r="Q351" s="131"/>
      <c r="R351" s="131"/>
      <c r="S351" s="131"/>
      <c r="T351" s="131"/>
      <c r="U351" s="131"/>
      <c r="V351" s="131"/>
      <c r="W351" s="131"/>
      <c r="X351" s="131"/>
      <c r="Y351" s="131"/>
      <c r="Z351" s="142"/>
      <c r="AA351" s="142"/>
      <c r="AB351" s="142"/>
      <c r="AC351" s="142"/>
      <c r="AD351" s="142"/>
      <c r="AE351" s="142"/>
      <c r="AF351" s="142"/>
      <c r="AG351" s="142"/>
      <c r="AH351" s="142"/>
      <c r="AI351" s="142"/>
      <c r="AJ351" s="142"/>
      <c r="AK351" s="142"/>
      <c r="AL351" s="142"/>
      <c r="AM351" s="142"/>
      <c r="AN351" s="142"/>
      <c r="AO351" s="131"/>
    </row>
    <row r="352" ht="13.5" customHeight="1">
      <c r="A352" s="142"/>
      <c r="B352" s="142"/>
      <c r="C352" s="142"/>
      <c r="D352" s="142"/>
      <c r="E352" s="308"/>
      <c r="F352" s="131"/>
      <c r="G352" s="131"/>
      <c r="H352" s="131"/>
      <c r="I352" s="219"/>
      <c r="J352" s="198"/>
      <c r="K352" s="131"/>
      <c r="L352" s="131"/>
      <c r="M352" s="131"/>
      <c r="N352" s="131"/>
      <c r="O352" s="131"/>
      <c r="P352" s="131"/>
      <c r="Q352" s="131"/>
      <c r="R352" s="131"/>
      <c r="S352" s="131"/>
      <c r="T352" s="131"/>
      <c r="U352" s="131"/>
      <c r="V352" s="131"/>
      <c r="W352" s="131"/>
      <c r="X352" s="131"/>
      <c r="Y352" s="131"/>
      <c r="Z352" s="142"/>
      <c r="AA352" s="142"/>
      <c r="AB352" s="142"/>
      <c r="AC352" s="142"/>
      <c r="AD352" s="142"/>
      <c r="AE352" s="142"/>
      <c r="AF352" s="142"/>
      <c r="AG352" s="142"/>
      <c r="AH352" s="142"/>
      <c r="AI352" s="142"/>
      <c r="AJ352" s="142"/>
      <c r="AK352" s="142"/>
      <c r="AL352" s="142"/>
      <c r="AM352" s="142"/>
      <c r="AN352" s="142"/>
      <c r="AO352" s="131"/>
    </row>
    <row r="353" ht="13.5" customHeight="1">
      <c r="A353" s="142"/>
      <c r="B353" s="142"/>
      <c r="C353" s="142"/>
      <c r="D353" s="142"/>
      <c r="E353" s="308"/>
      <c r="F353" s="131"/>
      <c r="G353" s="131"/>
      <c r="H353" s="131"/>
      <c r="I353" s="219"/>
      <c r="J353" s="198"/>
      <c r="K353" s="131"/>
      <c r="L353" s="131"/>
      <c r="M353" s="131"/>
      <c r="N353" s="131"/>
      <c r="O353" s="131"/>
      <c r="P353" s="131"/>
      <c r="Q353" s="131"/>
      <c r="R353" s="131"/>
      <c r="S353" s="131"/>
      <c r="T353" s="131"/>
      <c r="U353" s="131"/>
      <c r="V353" s="131"/>
      <c r="W353" s="131"/>
      <c r="X353" s="131"/>
      <c r="Y353" s="131"/>
      <c r="Z353" s="142"/>
      <c r="AA353" s="142"/>
      <c r="AB353" s="142"/>
      <c r="AC353" s="142"/>
      <c r="AD353" s="142"/>
      <c r="AE353" s="142"/>
      <c r="AF353" s="142"/>
      <c r="AG353" s="142"/>
      <c r="AH353" s="142"/>
      <c r="AI353" s="142"/>
      <c r="AJ353" s="142"/>
      <c r="AK353" s="142"/>
      <c r="AL353" s="142"/>
      <c r="AM353" s="142"/>
      <c r="AN353" s="142"/>
      <c r="AO353" s="131"/>
    </row>
    <row r="354" ht="13.5" customHeight="1">
      <c r="A354" s="142"/>
      <c r="B354" s="142"/>
      <c r="C354" s="142"/>
      <c r="D354" s="142"/>
      <c r="E354" s="308"/>
      <c r="F354" s="131"/>
      <c r="G354" s="131"/>
      <c r="H354" s="131"/>
      <c r="I354" s="219"/>
      <c r="J354" s="198"/>
      <c r="K354" s="131"/>
      <c r="L354" s="131"/>
      <c r="M354" s="131"/>
      <c r="N354" s="131"/>
      <c r="O354" s="131"/>
      <c r="P354" s="131"/>
      <c r="Q354" s="131"/>
      <c r="R354" s="131"/>
      <c r="S354" s="131"/>
      <c r="T354" s="131"/>
      <c r="U354" s="131"/>
      <c r="V354" s="131"/>
      <c r="W354" s="131"/>
      <c r="X354" s="131"/>
      <c r="Y354" s="131"/>
      <c r="Z354" s="142"/>
      <c r="AA354" s="142"/>
      <c r="AB354" s="142"/>
      <c r="AC354" s="142"/>
      <c r="AD354" s="142"/>
      <c r="AE354" s="142"/>
      <c r="AF354" s="142"/>
      <c r="AG354" s="142"/>
      <c r="AH354" s="142"/>
      <c r="AI354" s="142"/>
      <c r="AJ354" s="142"/>
      <c r="AK354" s="142"/>
      <c r="AL354" s="142"/>
      <c r="AM354" s="142"/>
      <c r="AN354" s="142"/>
      <c r="AO354" s="131"/>
    </row>
    <row r="355" ht="13.5" customHeight="1">
      <c r="A355" s="142"/>
      <c r="B355" s="142"/>
      <c r="C355" s="142"/>
      <c r="D355" s="142"/>
      <c r="E355" s="308"/>
      <c r="F355" s="131"/>
      <c r="G355" s="131"/>
      <c r="H355" s="131"/>
      <c r="I355" s="219"/>
      <c r="J355" s="198"/>
      <c r="K355" s="131"/>
      <c r="L355" s="131"/>
      <c r="M355" s="131"/>
      <c r="N355" s="131"/>
      <c r="O355" s="131"/>
      <c r="P355" s="131"/>
      <c r="Q355" s="131"/>
      <c r="R355" s="131"/>
      <c r="S355" s="131"/>
      <c r="T355" s="131"/>
      <c r="U355" s="131"/>
      <c r="V355" s="131"/>
      <c r="W355" s="131"/>
      <c r="X355" s="131"/>
      <c r="Y355" s="131"/>
      <c r="Z355" s="142"/>
      <c r="AA355" s="142"/>
      <c r="AB355" s="142"/>
      <c r="AC355" s="142"/>
      <c r="AD355" s="142"/>
      <c r="AE355" s="142"/>
      <c r="AF355" s="142"/>
      <c r="AG355" s="142"/>
      <c r="AH355" s="142"/>
      <c r="AI355" s="142"/>
      <c r="AJ355" s="142"/>
      <c r="AK355" s="142"/>
      <c r="AL355" s="142"/>
      <c r="AM355" s="142"/>
      <c r="AN355" s="142"/>
      <c r="AO355" s="131"/>
    </row>
    <row r="356" ht="13.5" customHeight="1">
      <c r="A356" s="142"/>
      <c r="B356" s="142"/>
      <c r="C356" s="142"/>
      <c r="D356" s="142"/>
      <c r="E356" s="308"/>
      <c r="F356" s="131"/>
      <c r="G356" s="131"/>
      <c r="H356" s="131"/>
      <c r="I356" s="219"/>
      <c r="J356" s="198"/>
      <c r="K356" s="131"/>
      <c r="L356" s="131"/>
      <c r="M356" s="131"/>
      <c r="N356" s="131"/>
      <c r="O356" s="131"/>
      <c r="P356" s="131"/>
      <c r="Q356" s="131"/>
      <c r="R356" s="131"/>
      <c r="S356" s="131"/>
      <c r="T356" s="131"/>
      <c r="U356" s="131"/>
      <c r="V356" s="131"/>
      <c r="W356" s="131"/>
      <c r="X356" s="131"/>
      <c r="Y356" s="131"/>
      <c r="Z356" s="142"/>
      <c r="AA356" s="142"/>
      <c r="AB356" s="142"/>
      <c r="AC356" s="142"/>
      <c r="AD356" s="142"/>
      <c r="AE356" s="142"/>
      <c r="AF356" s="142"/>
      <c r="AG356" s="142"/>
      <c r="AH356" s="142"/>
      <c r="AI356" s="142"/>
      <c r="AJ356" s="142"/>
      <c r="AK356" s="142"/>
      <c r="AL356" s="142"/>
      <c r="AM356" s="142"/>
      <c r="AN356" s="142"/>
      <c r="AO356" s="131"/>
    </row>
    <row r="357" ht="13.5" customHeight="1">
      <c r="A357" s="142"/>
      <c r="B357" s="142"/>
      <c r="C357" s="142"/>
      <c r="D357" s="142"/>
      <c r="E357" s="308"/>
      <c r="F357" s="131"/>
      <c r="G357" s="131"/>
      <c r="H357" s="131"/>
      <c r="I357" s="219"/>
      <c r="J357" s="198"/>
      <c r="K357" s="131"/>
      <c r="L357" s="131"/>
      <c r="M357" s="131"/>
      <c r="N357" s="131"/>
      <c r="O357" s="131"/>
      <c r="P357" s="131"/>
      <c r="Q357" s="131"/>
      <c r="R357" s="131"/>
      <c r="S357" s="131"/>
      <c r="T357" s="131"/>
      <c r="U357" s="131"/>
      <c r="V357" s="131"/>
      <c r="W357" s="131"/>
      <c r="X357" s="131"/>
      <c r="Y357" s="131"/>
      <c r="Z357" s="142"/>
      <c r="AA357" s="142"/>
      <c r="AB357" s="142"/>
      <c r="AC357" s="142"/>
      <c r="AD357" s="142"/>
      <c r="AE357" s="142"/>
      <c r="AF357" s="142"/>
      <c r="AG357" s="142"/>
      <c r="AH357" s="142"/>
      <c r="AI357" s="142"/>
      <c r="AJ357" s="142"/>
      <c r="AK357" s="142"/>
      <c r="AL357" s="142"/>
      <c r="AM357" s="142"/>
      <c r="AN357" s="142"/>
      <c r="AO357" s="131"/>
    </row>
    <row r="358" ht="13.5" customHeight="1">
      <c r="A358" s="142"/>
      <c r="B358" s="142"/>
      <c r="C358" s="142"/>
      <c r="D358" s="142"/>
      <c r="E358" s="308"/>
      <c r="F358" s="131"/>
      <c r="G358" s="131"/>
      <c r="H358" s="131"/>
      <c r="I358" s="219"/>
      <c r="J358" s="198"/>
      <c r="K358" s="131"/>
      <c r="L358" s="131"/>
      <c r="M358" s="131"/>
      <c r="N358" s="131"/>
      <c r="O358" s="131"/>
      <c r="P358" s="131"/>
      <c r="Q358" s="131"/>
      <c r="R358" s="131"/>
      <c r="S358" s="131"/>
      <c r="T358" s="131"/>
      <c r="U358" s="131"/>
      <c r="V358" s="131"/>
      <c r="W358" s="131"/>
      <c r="X358" s="131"/>
      <c r="Y358" s="131"/>
      <c r="Z358" s="142"/>
      <c r="AA358" s="142"/>
      <c r="AB358" s="142"/>
      <c r="AC358" s="142"/>
      <c r="AD358" s="142"/>
      <c r="AE358" s="142"/>
      <c r="AF358" s="142"/>
      <c r="AG358" s="142"/>
      <c r="AH358" s="142"/>
      <c r="AI358" s="142"/>
      <c r="AJ358" s="142"/>
      <c r="AK358" s="142"/>
      <c r="AL358" s="142"/>
      <c r="AM358" s="142"/>
      <c r="AN358" s="142"/>
      <c r="AO358" s="131"/>
    </row>
    <row r="359" ht="13.5" customHeight="1">
      <c r="A359" s="142"/>
      <c r="B359" s="142"/>
      <c r="C359" s="142"/>
      <c r="D359" s="142"/>
      <c r="E359" s="308"/>
      <c r="F359" s="131"/>
      <c r="G359" s="131"/>
      <c r="H359" s="131"/>
      <c r="I359" s="219"/>
      <c r="J359" s="198"/>
      <c r="K359" s="131"/>
      <c r="L359" s="131"/>
      <c r="M359" s="131"/>
      <c r="N359" s="131"/>
      <c r="O359" s="131"/>
      <c r="P359" s="131"/>
      <c r="Q359" s="131"/>
      <c r="R359" s="131"/>
      <c r="S359" s="131"/>
      <c r="T359" s="131"/>
      <c r="U359" s="131"/>
      <c r="V359" s="131"/>
      <c r="W359" s="131"/>
      <c r="X359" s="131"/>
      <c r="Y359" s="131"/>
      <c r="Z359" s="142"/>
      <c r="AA359" s="142"/>
      <c r="AB359" s="142"/>
      <c r="AC359" s="142"/>
      <c r="AD359" s="142"/>
      <c r="AE359" s="142"/>
      <c r="AF359" s="142"/>
      <c r="AG359" s="142"/>
      <c r="AH359" s="142"/>
      <c r="AI359" s="142"/>
      <c r="AJ359" s="142"/>
      <c r="AK359" s="142"/>
      <c r="AL359" s="142"/>
      <c r="AM359" s="142"/>
      <c r="AN359" s="142"/>
      <c r="AO359" s="131"/>
    </row>
    <row r="360" ht="13.5" customHeight="1">
      <c r="A360" s="142"/>
      <c r="B360" s="142"/>
      <c r="C360" s="142"/>
      <c r="D360" s="142"/>
      <c r="E360" s="308"/>
      <c r="F360" s="131"/>
      <c r="G360" s="131"/>
      <c r="H360" s="131"/>
      <c r="I360" s="219"/>
      <c r="J360" s="198"/>
      <c r="K360" s="131"/>
      <c r="L360" s="131"/>
      <c r="M360" s="131"/>
      <c r="N360" s="131"/>
      <c r="O360" s="131"/>
      <c r="P360" s="131"/>
      <c r="Q360" s="131"/>
      <c r="R360" s="131"/>
      <c r="S360" s="131"/>
      <c r="T360" s="131"/>
      <c r="U360" s="131"/>
      <c r="V360" s="131"/>
      <c r="W360" s="131"/>
      <c r="X360" s="131"/>
      <c r="Y360" s="131"/>
      <c r="Z360" s="142"/>
      <c r="AA360" s="142"/>
      <c r="AB360" s="142"/>
      <c r="AC360" s="142"/>
      <c r="AD360" s="142"/>
      <c r="AE360" s="142"/>
      <c r="AF360" s="142"/>
      <c r="AG360" s="142"/>
      <c r="AH360" s="142"/>
      <c r="AI360" s="142"/>
      <c r="AJ360" s="142"/>
      <c r="AK360" s="142"/>
      <c r="AL360" s="142"/>
      <c r="AM360" s="142"/>
      <c r="AN360" s="142"/>
      <c r="AO360" s="131"/>
    </row>
    <row r="361" ht="13.5" customHeight="1">
      <c r="A361" s="142"/>
      <c r="B361" s="142"/>
      <c r="C361" s="142"/>
      <c r="D361" s="142"/>
      <c r="E361" s="308"/>
      <c r="F361" s="131"/>
      <c r="G361" s="131"/>
      <c r="H361" s="131"/>
      <c r="I361" s="219"/>
      <c r="J361" s="198"/>
      <c r="K361" s="131"/>
      <c r="L361" s="131"/>
      <c r="M361" s="131"/>
      <c r="N361" s="131"/>
      <c r="O361" s="131"/>
      <c r="P361" s="131"/>
      <c r="Q361" s="131"/>
      <c r="R361" s="131"/>
      <c r="S361" s="131"/>
      <c r="T361" s="131"/>
      <c r="U361" s="131"/>
      <c r="V361" s="131"/>
      <c r="W361" s="131"/>
      <c r="X361" s="131"/>
      <c r="Y361" s="131"/>
      <c r="Z361" s="142"/>
      <c r="AA361" s="142"/>
      <c r="AB361" s="142"/>
      <c r="AC361" s="142"/>
      <c r="AD361" s="142"/>
      <c r="AE361" s="142"/>
      <c r="AF361" s="142"/>
      <c r="AG361" s="142"/>
      <c r="AH361" s="142"/>
      <c r="AI361" s="142"/>
      <c r="AJ361" s="142"/>
      <c r="AK361" s="142"/>
      <c r="AL361" s="142"/>
      <c r="AM361" s="142"/>
      <c r="AN361" s="142"/>
      <c r="AO361" s="131"/>
    </row>
    <row r="362" ht="13.5" customHeight="1">
      <c r="A362" s="142"/>
      <c r="B362" s="142"/>
      <c r="C362" s="142"/>
      <c r="D362" s="142"/>
      <c r="E362" s="308"/>
      <c r="F362" s="131"/>
      <c r="G362" s="131"/>
      <c r="H362" s="131"/>
      <c r="I362" s="219"/>
      <c r="J362" s="198"/>
      <c r="K362" s="131"/>
      <c r="L362" s="131"/>
      <c r="M362" s="131"/>
      <c r="N362" s="131"/>
      <c r="O362" s="131"/>
      <c r="P362" s="131"/>
      <c r="Q362" s="131"/>
      <c r="R362" s="131"/>
      <c r="S362" s="131"/>
      <c r="T362" s="131"/>
      <c r="U362" s="131"/>
      <c r="V362" s="131"/>
      <c r="W362" s="131"/>
      <c r="X362" s="131"/>
      <c r="Y362" s="131"/>
      <c r="Z362" s="142"/>
      <c r="AA362" s="142"/>
      <c r="AB362" s="142"/>
      <c r="AC362" s="142"/>
      <c r="AD362" s="142"/>
      <c r="AE362" s="142"/>
      <c r="AF362" s="142"/>
      <c r="AG362" s="142"/>
      <c r="AH362" s="142"/>
      <c r="AI362" s="142"/>
      <c r="AJ362" s="142"/>
      <c r="AK362" s="142"/>
      <c r="AL362" s="142"/>
      <c r="AM362" s="142"/>
      <c r="AN362" s="142"/>
      <c r="AO362" s="131"/>
    </row>
    <row r="363" ht="13.5" customHeight="1">
      <c r="A363" s="142"/>
      <c r="B363" s="142"/>
      <c r="C363" s="142"/>
      <c r="D363" s="142"/>
      <c r="E363" s="308"/>
      <c r="F363" s="131"/>
      <c r="G363" s="131"/>
      <c r="H363" s="131"/>
      <c r="I363" s="219"/>
      <c r="J363" s="198"/>
      <c r="K363" s="131"/>
      <c r="L363" s="131"/>
      <c r="M363" s="131"/>
      <c r="N363" s="131"/>
      <c r="O363" s="131"/>
      <c r="P363" s="131"/>
      <c r="Q363" s="131"/>
      <c r="R363" s="131"/>
      <c r="S363" s="131"/>
      <c r="T363" s="131"/>
      <c r="U363" s="131"/>
      <c r="V363" s="131"/>
      <c r="W363" s="131"/>
      <c r="X363" s="131"/>
      <c r="Y363" s="131"/>
      <c r="Z363" s="142"/>
      <c r="AA363" s="142"/>
      <c r="AB363" s="142"/>
      <c r="AC363" s="142"/>
      <c r="AD363" s="142"/>
      <c r="AE363" s="142"/>
      <c r="AF363" s="142"/>
      <c r="AG363" s="142"/>
      <c r="AH363" s="142"/>
      <c r="AI363" s="142"/>
      <c r="AJ363" s="142"/>
      <c r="AK363" s="142"/>
      <c r="AL363" s="142"/>
      <c r="AM363" s="142"/>
      <c r="AN363" s="142"/>
      <c r="AO363" s="131"/>
    </row>
    <row r="364" ht="13.5" customHeight="1">
      <c r="A364" s="142"/>
      <c r="B364" s="142"/>
      <c r="C364" s="142"/>
      <c r="D364" s="142"/>
      <c r="E364" s="308"/>
      <c r="F364" s="131"/>
      <c r="G364" s="131"/>
      <c r="H364" s="131"/>
      <c r="I364" s="219"/>
      <c r="J364" s="198"/>
      <c r="K364" s="131"/>
      <c r="L364" s="131"/>
      <c r="M364" s="131"/>
      <c r="N364" s="131"/>
      <c r="O364" s="131"/>
      <c r="P364" s="131"/>
      <c r="Q364" s="131"/>
      <c r="R364" s="131"/>
      <c r="S364" s="131"/>
      <c r="T364" s="131"/>
      <c r="U364" s="131"/>
      <c r="V364" s="131"/>
      <c r="W364" s="131"/>
      <c r="X364" s="131"/>
      <c r="Y364" s="131"/>
      <c r="Z364" s="142"/>
      <c r="AA364" s="142"/>
      <c r="AB364" s="142"/>
      <c r="AC364" s="142"/>
      <c r="AD364" s="142"/>
      <c r="AE364" s="142"/>
      <c r="AF364" s="142"/>
      <c r="AG364" s="142"/>
      <c r="AH364" s="142"/>
      <c r="AI364" s="142"/>
      <c r="AJ364" s="142"/>
      <c r="AK364" s="142"/>
      <c r="AL364" s="142"/>
      <c r="AM364" s="142"/>
      <c r="AN364" s="142"/>
      <c r="AO364" s="131"/>
    </row>
    <row r="365" ht="13.5" customHeight="1">
      <c r="A365" s="142"/>
      <c r="B365" s="142"/>
      <c r="C365" s="142"/>
      <c r="D365" s="142"/>
      <c r="E365" s="308"/>
      <c r="F365" s="131"/>
      <c r="G365" s="131"/>
      <c r="H365" s="131"/>
      <c r="I365" s="219"/>
      <c r="J365" s="198"/>
      <c r="K365" s="131"/>
      <c r="L365" s="131"/>
      <c r="M365" s="131"/>
      <c r="N365" s="131"/>
      <c r="O365" s="131"/>
      <c r="P365" s="131"/>
      <c r="Q365" s="131"/>
      <c r="R365" s="131"/>
      <c r="S365" s="131"/>
      <c r="T365" s="131"/>
      <c r="U365" s="131"/>
      <c r="V365" s="131"/>
      <c r="W365" s="131"/>
      <c r="X365" s="131"/>
      <c r="Y365" s="131"/>
      <c r="Z365" s="142"/>
      <c r="AA365" s="142"/>
      <c r="AB365" s="142"/>
      <c r="AC365" s="142"/>
      <c r="AD365" s="142"/>
      <c r="AE365" s="142"/>
      <c r="AF365" s="142"/>
      <c r="AG365" s="142"/>
      <c r="AH365" s="142"/>
      <c r="AI365" s="142"/>
      <c r="AJ365" s="142"/>
      <c r="AK365" s="142"/>
      <c r="AL365" s="142"/>
      <c r="AM365" s="142"/>
      <c r="AN365" s="142"/>
      <c r="AO365" s="131"/>
    </row>
    <row r="366" ht="13.5" customHeight="1">
      <c r="A366" s="142"/>
      <c r="B366" s="142"/>
      <c r="C366" s="142"/>
      <c r="D366" s="142"/>
      <c r="E366" s="308"/>
      <c r="F366" s="131"/>
      <c r="G366" s="131"/>
      <c r="H366" s="131"/>
      <c r="I366" s="219"/>
      <c r="J366" s="198"/>
      <c r="K366" s="131"/>
      <c r="L366" s="131"/>
      <c r="M366" s="131"/>
      <c r="N366" s="131"/>
      <c r="O366" s="131"/>
      <c r="P366" s="131"/>
      <c r="Q366" s="131"/>
      <c r="R366" s="131"/>
      <c r="S366" s="131"/>
      <c r="T366" s="131"/>
      <c r="U366" s="131"/>
      <c r="V366" s="131"/>
      <c r="W366" s="131"/>
      <c r="X366" s="131"/>
      <c r="Y366" s="131"/>
      <c r="Z366" s="142"/>
      <c r="AA366" s="142"/>
      <c r="AB366" s="142"/>
      <c r="AC366" s="142"/>
      <c r="AD366" s="142"/>
      <c r="AE366" s="142"/>
      <c r="AF366" s="142"/>
      <c r="AG366" s="142"/>
      <c r="AH366" s="142"/>
      <c r="AI366" s="142"/>
      <c r="AJ366" s="142"/>
      <c r="AK366" s="142"/>
      <c r="AL366" s="142"/>
      <c r="AM366" s="142"/>
      <c r="AN366" s="142"/>
      <c r="AO366" s="131"/>
    </row>
    <row r="367" ht="13.5" customHeight="1">
      <c r="A367" s="142"/>
      <c r="B367" s="142"/>
      <c r="C367" s="142"/>
      <c r="D367" s="142"/>
      <c r="E367" s="308"/>
      <c r="F367" s="131"/>
      <c r="G367" s="131"/>
      <c r="H367" s="131"/>
      <c r="I367" s="219"/>
      <c r="J367" s="198"/>
      <c r="K367" s="131"/>
      <c r="L367" s="131"/>
      <c r="M367" s="131"/>
      <c r="N367" s="131"/>
      <c r="O367" s="131"/>
      <c r="P367" s="131"/>
      <c r="Q367" s="131"/>
      <c r="R367" s="131"/>
      <c r="S367" s="131"/>
      <c r="T367" s="131"/>
      <c r="U367" s="131"/>
      <c r="V367" s="131"/>
      <c r="W367" s="131"/>
      <c r="X367" s="131"/>
      <c r="Y367" s="131"/>
      <c r="Z367" s="142"/>
      <c r="AA367" s="142"/>
      <c r="AB367" s="142"/>
      <c r="AC367" s="142"/>
      <c r="AD367" s="142"/>
      <c r="AE367" s="142"/>
      <c r="AF367" s="142"/>
      <c r="AG367" s="142"/>
      <c r="AH367" s="142"/>
      <c r="AI367" s="142"/>
      <c r="AJ367" s="142"/>
      <c r="AK367" s="142"/>
      <c r="AL367" s="142"/>
      <c r="AM367" s="142"/>
      <c r="AN367" s="142"/>
      <c r="AO367" s="131"/>
    </row>
    <row r="368" ht="13.5" customHeight="1">
      <c r="A368" s="142"/>
      <c r="B368" s="142"/>
      <c r="C368" s="142"/>
      <c r="D368" s="142"/>
      <c r="E368" s="308"/>
      <c r="F368" s="131"/>
      <c r="G368" s="131"/>
      <c r="H368" s="131"/>
      <c r="I368" s="219"/>
      <c r="J368" s="198"/>
      <c r="K368" s="131"/>
      <c r="L368" s="131"/>
      <c r="M368" s="131"/>
      <c r="N368" s="131"/>
      <c r="O368" s="131"/>
      <c r="P368" s="131"/>
      <c r="Q368" s="131"/>
      <c r="R368" s="131"/>
      <c r="S368" s="131"/>
      <c r="T368" s="131"/>
      <c r="U368" s="131"/>
      <c r="V368" s="131"/>
      <c r="W368" s="131"/>
      <c r="X368" s="131"/>
      <c r="Y368" s="131"/>
      <c r="Z368" s="142"/>
      <c r="AA368" s="142"/>
      <c r="AB368" s="142"/>
      <c r="AC368" s="142"/>
      <c r="AD368" s="142"/>
      <c r="AE368" s="142"/>
      <c r="AF368" s="142"/>
      <c r="AG368" s="142"/>
      <c r="AH368" s="142"/>
      <c r="AI368" s="142"/>
      <c r="AJ368" s="142"/>
      <c r="AK368" s="142"/>
      <c r="AL368" s="142"/>
      <c r="AM368" s="142"/>
      <c r="AN368" s="142"/>
      <c r="AO368" s="131"/>
    </row>
    <row r="369" ht="13.5" customHeight="1">
      <c r="A369" s="142"/>
      <c r="B369" s="142"/>
      <c r="C369" s="142"/>
      <c r="D369" s="142"/>
      <c r="E369" s="308"/>
      <c r="F369" s="131"/>
      <c r="G369" s="131"/>
      <c r="H369" s="131"/>
      <c r="I369" s="219"/>
      <c r="J369" s="198"/>
      <c r="K369" s="131"/>
      <c r="L369" s="131"/>
      <c r="M369" s="131"/>
      <c r="N369" s="131"/>
      <c r="O369" s="131"/>
      <c r="P369" s="131"/>
      <c r="Q369" s="131"/>
      <c r="R369" s="131"/>
      <c r="S369" s="131"/>
      <c r="T369" s="131"/>
      <c r="U369" s="131"/>
      <c r="V369" s="131"/>
      <c r="W369" s="131"/>
      <c r="X369" s="131"/>
      <c r="Y369" s="131"/>
      <c r="Z369" s="142"/>
      <c r="AA369" s="142"/>
      <c r="AB369" s="142"/>
      <c r="AC369" s="142"/>
      <c r="AD369" s="142"/>
      <c r="AE369" s="142"/>
      <c r="AF369" s="142"/>
      <c r="AG369" s="142"/>
      <c r="AH369" s="142"/>
      <c r="AI369" s="142"/>
      <c r="AJ369" s="142"/>
      <c r="AK369" s="142"/>
      <c r="AL369" s="142"/>
      <c r="AM369" s="142"/>
      <c r="AN369" s="142"/>
      <c r="AO369" s="131"/>
    </row>
    <row r="370" ht="13.5" customHeight="1">
      <c r="A370" s="142"/>
      <c r="B370" s="142"/>
      <c r="C370" s="142"/>
      <c r="D370" s="142"/>
      <c r="E370" s="308"/>
      <c r="F370" s="131"/>
      <c r="G370" s="131"/>
      <c r="H370" s="131"/>
      <c r="I370" s="219"/>
      <c r="J370" s="198"/>
      <c r="K370" s="131"/>
      <c r="L370" s="131"/>
      <c r="M370" s="131"/>
      <c r="N370" s="131"/>
      <c r="O370" s="131"/>
      <c r="P370" s="131"/>
      <c r="Q370" s="131"/>
      <c r="R370" s="131"/>
      <c r="S370" s="131"/>
      <c r="T370" s="131"/>
      <c r="U370" s="131"/>
      <c r="V370" s="131"/>
      <c r="W370" s="131"/>
      <c r="X370" s="131"/>
      <c r="Y370" s="131"/>
      <c r="Z370" s="142"/>
      <c r="AA370" s="142"/>
      <c r="AB370" s="142"/>
      <c r="AC370" s="142"/>
      <c r="AD370" s="142"/>
      <c r="AE370" s="142"/>
      <c r="AF370" s="142"/>
      <c r="AG370" s="142"/>
      <c r="AH370" s="142"/>
      <c r="AI370" s="142"/>
      <c r="AJ370" s="142"/>
      <c r="AK370" s="142"/>
      <c r="AL370" s="142"/>
      <c r="AM370" s="142"/>
      <c r="AN370" s="142"/>
      <c r="AO370" s="131"/>
    </row>
    <row r="371" ht="13.5" customHeight="1">
      <c r="A371" s="142"/>
      <c r="B371" s="142"/>
      <c r="C371" s="142"/>
      <c r="D371" s="142"/>
      <c r="E371" s="308"/>
      <c r="F371" s="131"/>
      <c r="G371" s="131"/>
      <c r="H371" s="131"/>
      <c r="I371" s="219"/>
      <c r="J371" s="198"/>
      <c r="K371" s="131"/>
      <c r="L371" s="131"/>
      <c r="M371" s="131"/>
      <c r="N371" s="131"/>
      <c r="O371" s="131"/>
      <c r="P371" s="131"/>
      <c r="Q371" s="131"/>
      <c r="R371" s="131"/>
      <c r="S371" s="131"/>
      <c r="T371" s="131"/>
      <c r="U371" s="131"/>
      <c r="V371" s="131"/>
      <c r="W371" s="131"/>
      <c r="X371" s="131"/>
      <c r="Y371" s="131"/>
      <c r="Z371" s="142"/>
      <c r="AA371" s="142"/>
      <c r="AB371" s="142"/>
      <c r="AC371" s="142"/>
      <c r="AD371" s="142"/>
      <c r="AE371" s="142"/>
      <c r="AF371" s="142"/>
      <c r="AG371" s="142"/>
      <c r="AH371" s="142"/>
      <c r="AI371" s="142"/>
      <c r="AJ371" s="142"/>
      <c r="AK371" s="142"/>
      <c r="AL371" s="142"/>
      <c r="AM371" s="142"/>
      <c r="AN371" s="142"/>
      <c r="AO371" s="131"/>
    </row>
    <row r="372" ht="13.5" customHeight="1">
      <c r="A372" s="142"/>
      <c r="B372" s="142"/>
      <c r="C372" s="142"/>
      <c r="D372" s="142"/>
      <c r="E372" s="308"/>
      <c r="F372" s="131"/>
      <c r="G372" s="131"/>
      <c r="H372" s="131"/>
      <c r="I372" s="219"/>
      <c r="J372" s="198"/>
      <c r="K372" s="131"/>
      <c r="L372" s="131"/>
      <c r="M372" s="131"/>
      <c r="N372" s="131"/>
      <c r="O372" s="131"/>
      <c r="P372" s="131"/>
      <c r="Q372" s="131"/>
      <c r="R372" s="131"/>
      <c r="S372" s="131"/>
      <c r="T372" s="131"/>
      <c r="U372" s="131"/>
      <c r="V372" s="131"/>
      <c r="W372" s="131"/>
      <c r="X372" s="131"/>
      <c r="Y372" s="131"/>
      <c r="Z372" s="142"/>
      <c r="AA372" s="142"/>
      <c r="AB372" s="142"/>
      <c r="AC372" s="142"/>
      <c r="AD372" s="142"/>
      <c r="AE372" s="142"/>
      <c r="AF372" s="142"/>
      <c r="AG372" s="142"/>
      <c r="AH372" s="142"/>
      <c r="AI372" s="142"/>
      <c r="AJ372" s="142"/>
      <c r="AK372" s="142"/>
      <c r="AL372" s="142"/>
      <c r="AM372" s="142"/>
      <c r="AN372" s="142"/>
      <c r="AO372" s="131"/>
    </row>
    <row r="373" ht="13.5" customHeight="1">
      <c r="A373" s="142"/>
      <c r="B373" s="142"/>
      <c r="C373" s="142"/>
      <c r="D373" s="142"/>
      <c r="E373" s="308"/>
      <c r="F373" s="131"/>
      <c r="G373" s="131"/>
      <c r="H373" s="131"/>
      <c r="I373" s="219"/>
      <c r="J373" s="198"/>
      <c r="K373" s="131"/>
      <c r="L373" s="131"/>
      <c r="M373" s="131"/>
      <c r="N373" s="131"/>
      <c r="O373" s="131"/>
      <c r="P373" s="131"/>
      <c r="Q373" s="131"/>
      <c r="R373" s="131"/>
      <c r="S373" s="131"/>
      <c r="T373" s="131"/>
      <c r="U373" s="131"/>
      <c r="V373" s="131"/>
      <c r="W373" s="131"/>
      <c r="X373" s="131"/>
      <c r="Y373" s="131"/>
      <c r="Z373" s="142"/>
      <c r="AA373" s="142"/>
      <c r="AB373" s="142"/>
      <c r="AC373" s="142"/>
      <c r="AD373" s="142"/>
      <c r="AE373" s="142"/>
      <c r="AF373" s="142"/>
      <c r="AG373" s="142"/>
      <c r="AH373" s="142"/>
      <c r="AI373" s="142"/>
      <c r="AJ373" s="142"/>
      <c r="AK373" s="142"/>
      <c r="AL373" s="142"/>
      <c r="AM373" s="142"/>
      <c r="AN373" s="142"/>
      <c r="AO373" s="131"/>
    </row>
    <row r="374" ht="13.5" customHeight="1">
      <c r="A374" s="142"/>
      <c r="B374" s="142"/>
      <c r="C374" s="142"/>
      <c r="D374" s="142"/>
      <c r="E374" s="308"/>
      <c r="F374" s="131"/>
      <c r="G374" s="131"/>
      <c r="H374" s="131"/>
      <c r="I374" s="219"/>
      <c r="J374" s="198"/>
      <c r="K374" s="131"/>
      <c r="L374" s="131"/>
      <c r="M374" s="131"/>
      <c r="N374" s="131"/>
      <c r="O374" s="131"/>
      <c r="P374" s="131"/>
      <c r="Q374" s="131"/>
      <c r="R374" s="131"/>
      <c r="S374" s="131"/>
      <c r="T374" s="131"/>
      <c r="U374" s="131"/>
      <c r="V374" s="131"/>
      <c r="W374" s="131"/>
      <c r="X374" s="131"/>
      <c r="Y374" s="131"/>
      <c r="Z374" s="142"/>
      <c r="AA374" s="142"/>
      <c r="AB374" s="142"/>
      <c r="AC374" s="142"/>
      <c r="AD374" s="142"/>
      <c r="AE374" s="142"/>
      <c r="AF374" s="142"/>
      <c r="AG374" s="142"/>
      <c r="AH374" s="142"/>
      <c r="AI374" s="142"/>
      <c r="AJ374" s="142"/>
      <c r="AK374" s="142"/>
      <c r="AL374" s="142"/>
      <c r="AM374" s="142"/>
      <c r="AN374" s="142"/>
      <c r="AO374" s="131"/>
    </row>
    <row r="375" ht="13.5" customHeight="1">
      <c r="A375" s="142"/>
      <c r="B375" s="142"/>
      <c r="C375" s="142"/>
      <c r="D375" s="142"/>
      <c r="E375" s="308"/>
      <c r="F375" s="131"/>
      <c r="G375" s="131"/>
      <c r="H375" s="131"/>
      <c r="I375" s="219"/>
      <c r="J375" s="198"/>
      <c r="K375" s="131"/>
      <c r="L375" s="131"/>
      <c r="M375" s="131"/>
      <c r="N375" s="131"/>
      <c r="O375" s="131"/>
      <c r="P375" s="131"/>
      <c r="Q375" s="131"/>
      <c r="R375" s="131"/>
      <c r="S375" s="131"/>
      <c r="T375" s="131"/>
      <c r="U375" s="131"/>
      <c r="V375" s="131"/>
      <c r="W375" s="131"/>
      <c r="X375" s="131"/>
      <c r="Y375" s="131"/>
      <c r="Z375" s="142"/>
      <c r="AA375" s="142"/>
      <c r="AB375" s="142"/>
      <c r="AC375" s="142"/>
      <c r="AD375" s="142"/>
      <c r="AE375" s="142"/>
      <c r="AF375" s="142"/>
      <c r="AG375" s="142"/>
      <c r="AH375" s="142"/>
      <c r="AI375" s="142"/>
      <c r="AJ375" s="142"/>
      <c r="AK375" s="142"/>
      <c r="AL375" s="142"/>
      <c r="AM375" s="142"/>
      <c r="AN375" s="142"/>
      <c r="AO375" s="131"/>
    </row>
    <row r="376" ht="13.5" customHeight="1">
      <c r="A376" s="142"/>
      <c r="B376" s="142"/>
      <c r="C376" s="142"/>
      <c r="D376" s="142"/>
      <c r="E376" s="308"/>
      <c r="F376" s="131"/>
      <c r="G376" s="131"/>
      <c r="H376" s="131"/>
      <c r="I376" s="219"/>
      <c r="J376" s="198"/>
      <c r="K376" s="131"/>
      <c r="L376" s="131"/>
      <c r="M376" s="131"/>
      <c r="N376" s="131"/>
      <c r="O376" s="131"/>
      <c r="P376" s="131"/>
      <c r="Q376" s="131"/>
      <c r="R376" s="131"/>
      <c r="S376" s="131"/>
      <c r="T376" s="131"/>
      <c r="U376" s="131"/>
      <c r="V376" s="131"/>
      <c r="W376" s="131"/>
      <c r="X376" s="131"/>
      <c r="Y376" s="131"/>
      <c r="Z376" s="142"/>
      <c r="AA376" s="142"/>
      <c r="AB376" s="142"/>
      <c r="AC376" s="142"/>
      <c r="AD376" s="142"/>
      <c r="AE376" s="142"/>
      <c r="AF376" s="142"/>
      <c r="AG376" s="142"/>
      <c r="AH376" s="142"/>
      <c r="AI376" s="142"/>
      <c r="AJ376" s="142"/>
      <c r="AK376" s="142"/>
      <c r="AL376" s="142"/>
      <c r="AM376" s="142"/>
      <c r="AN376" s="142"/>
      <c r="AO376" s="131"/>
    </row>
    <row r="377" ht="13.5" customHeight="1">
      <c r="A377" s="142"/>
      <c r="B377" s="142"/>
      <c r="C377" s="142"/>
      <c r="D377" s="142"/>
      <c r="E377" s="308"/>
      <c r="F377" s="131"/>
      <c r="G377" s="131"/>
      <c r="H377" s="131"/>
      <c r="I377" s="219"/>
      <c r="J377" s="198"/>
      <c r="K377" s="131"/>
      <c r="L377" s="131"/>
      <c r="M377" s="131"/>
      <c r="N377" s="131"/>
      <c r="O377" s="131"/>
      <c r="P377" s="131"/>
      <c r="Q377" s="131"/>
      <c r="R377" s="131"/>
      <c r="S377" s="131"/>
      <c r="T377" s="131"/>
      <c r="U377" s="131"/>
      <c r="V377" s="131"/>
      <c r="W377" s="131"/>
      <c r="X377" s="131"/>
      <c r="Y377" s="131"/>
      <c r="Z377" s="142"/>
      <c r="AA377" s="142"/>
      <c r="AB377" s="142"/>
      <c r="AC377" s="142"/>
      <c r="AD377" s="142"/>
      <c r="AE377" s="142"/>
      <c r="AF377" s="142"/>
      <c r="AG377" s="142"/>
      <c r="AH377" s="142"/>
      <c r="AI377" s="142"/>
      <c r="AJ377" s="142"/>
      <c r="AK377" s="142"/>
      <c r="AL377" s="142"/>
      <c r="AM377" s="142"/>
      <c r="AN377" s="142"/>
      <c r="AO377" s="131"/>
    </row>
    <row r="378" ht="13.5" customHeight="1">
      <c r="A378" s="142"/>
      <c r="B378" s="142"/>
      <c r="C378" s="142"/>
      <c r="D378" s="142"/>
      <c r="E378" s="308"/>
      <c r="F378" s="131"/>
      <c r="G378" s="131"/>
      <c r="H378" s="131"/>
      <c r="I378" s="219"/>
      <c r="J378" s="198"/>
      <c r="K378" s="131"/>
      <c r="L378" s="131"/>
      <c r="M378" s="131"/>
      <c r="N378" s="131"/>
      <c r="O378" s="131"/>
      <c r="P378" s="131"/>
      <c r="Q378" s="131"/>
      <c r="R378" s="131"/>
      <c r="S378" s="131"/>
      <c r="T378" s="131"/>
      <c r="U378" s="131"/>
      <c r="V378" s="131"/>
      <c r="W378" s="131"/>
      <c r="X378" s="131"/>
      <c r="Y378" s="131"/>
      <c r="Z378" s="142"/>
      <c r="AA378" s="142"/>
      <c r="AB378" s="142"/>
      <c r="AC378" s="142"/>
      <c r="AD378" s="142"/>
      <c r="AE378" s="142"/>
      <c r="AF378" s="142"/>
      <c r="AG378" s="142"/>
      <c r="AH378" s="142"/>
      <c r="AI378" s="142"/>
      <c r="AJ378" s="142"/>
      <c r="AK378" s="142"/>
      <c r="AL378" s="142"/>
      <c r="AM378" s="142"/>
      <c r="AN378" s="142"/>
      <c r="AO378" s="131"/>
    </row>
    <row r="379" ht="13.5" customHeight="1">
      <c r="A379" s="142"/>
      <c r="B379" s="142"/>
      <c r="C379" s="142"/>
      <c r="D379" s="142"/>
      <c r="E379" s="308"/>
      <c r="F379" s="131"/>
      <c r="G379" s="131"/>
      <c r="H379" s="131"/>
      <c r="I379" s="219"/>
      <c r="J379" s="198"/>
      <c r="K379" s="131"/>
      <c r="L379" s="131"/>
      <c r="M379" s="131"/>
      <c r="N379" s="131"/>
      <c r="O379" s="131"/>
      <c r="P379" s="131"/>
      <c r="Q379" s="131"/>
      <c r="R379" s="131"/>
      <c r="S379" s="131"/>
      <c r="T379" s="131"/>
      <c r="U379" s="131"/>
      <c r="V379" s="131"/>
      <c r="W379" s="131"/>
      <c r="X379" s="131"/>
      <c r="Y379" s="131"/>
      <c r="Z379" s="142"/>
      <c r="AA379" s="142"/>
      <c r="AB379" s="142"/>
      <c r="AC379" s="142"/>
      <c r="AD379" s="142"/>
      <c r="AE379" s="142"/>
      <c r="AF379" s="142"/>
      <c r="AG379" s="142"/>
      <c r="AH379" s="142"/>
      <c r="AI379" s="142"/>
      <c r="AJ379" s="142"/>
      <c r="AK379" s="142"/>
      <c r="AL379" s="142"/>
      <c r="AM379" s="142"/>
      <c r="AN379" s="142"/>
      <c r="AO379" s="131"/>
    </row>
    <row r="380" ht="13.5" customHeight="1">
      <c r="A380" s="142"/>
      <c r="B380" s="142"/>
      <c r="C380" s="142"/>
      <c r="D380" s="142"/>
      <c r="E380" s="308"/>
      <c r="F380" s="131"/>
      <c r="G380" s="131"/>
      <c r="H380" s="131"/>
      <c r="I380" s="219"/>
      <c r="J380" s="198"/>
      <c r="K380" s="131"/>
      <c r="L380" s="131"/>
      <c r="M380" s="131"/>
      <c r="N380" s="131"/>
      <c r="O380" s="131"/>
      <c r="P380" s="131"/>
      <c r="Q380" s="131"/>
      <c r="R380" s="131"/>
      <c r="S380" s="131"/>
      <c r="T380" s="131"/>
      <c r="U380" s="131"/>
      <c r="V380" s="131"/>
      <c r="W380" s="131"/>
      <c r="X380" s="131"/>
      <c r="Y380" s="131"/>
      <c r="Z380" s="142"/>
      <c r="AA380" s="142"/>
      <c r="AB380" s="142"/>
      <c r="AC380" s="142"/>
      <c r="AD380" s="142"/>
      <c r="AE380" s="142"/>
      <c r="AF380" s="142"/>
      <c r="AG380" s="142"/>
      <c r="AH380" s="142"/>
      <c r="AI380" s="142"/>
      <c r="AJ380" s="142"/>
      <c r="AK380" s="142"/>
      <c r="AL380" s="142"/>
      <c r="AM380" s="142"/>
      <c r="AN380" s="142"/>
      <c r="AO380" s="131"/>
    </row>
    <row r="381" ht="13.5" customHeight="1">
      <c r="A381" s="142"/>
      <c r="B381" s="142"/>
      <c r="C381" s="142"/>
      <c r="D381" s="142"/>
      <c r="E381" s="308"/>
      <c r="F381" s="131"/>
      <c r="G381" s="131"/>
      <c r="H381" s="131"/>
      <c r="I381" s="219"/>
      <c r="J381" s="198"/>
      <c r="K381" s="131"/>
      <c r="L381" s="131"/>
      <c r="M381" s="131"/>
      <c r="N381" s="131"/>
      <c r="O381" s="131"/>
      <c r="P381" s="131"/>
      <c r="Q381" s="131"/>
      <c r="R381" s="131"/>
      <c r="S381" s="131"/>
      <c r="T381" s="131"/>
      <c r="U381" s="131"/>
      <c r="V381" s="131"/>
      <c r="W381" s="131"/>
      <c r="X381" s="131"/>
      <c r="Y381" s="131"/>
      <c r="Z381" s="142"/>
      <c r="AA381" s="142"/>
      <c r="AB381" s="142"/>
      <c r="AC381" s="142"/>
      <c r="AD381" s="142"/>
      <c r="AE381" s="142"/>
      <c r="AF381" s="142"/>
      <c r="AG381" s="142"/>
      <c r="AH381" s="142"/>
      <c r="AI381" s="142"/>
      <c r="AJ381" s="142"/>
      <c r="AK381" s="142"/>
      <c r="AL381" s="142"/>
      <c r="AM381" s="142"/>
      <c r="AN381" s="142"/>
      <c r="AO381" s="131"/>
    </row>
    <row r="382" ht="13.5" customHeight="1">
      <c r="A382" s="142"/>
      <c r="B382" s="142"/>
      <c r="C382" s="142"/>
      <c r="D382" s="142"/>
      <c r="E382" s="308"/>
      <c r="F382" s="131"/>
      <c r="G382" s="131"/>
      <c r="H382" s="131"/>
      <c r="I382" s="219"/>
      <c r="J382" s="198"/>
      <c r="K382" s="131"/>
      <c r="L382" s="131"/>
      <c r="M382" s="131"/>
      <c r="N382" s="131"/>
      <c r="O382" s="131"/>
      <c r="P382" s="131"/>
      <c r="Q382" s="131"/>
      <c r="R382" s="131"/>
      <c r="S382" s="131"/>
      <c r="T382" s="131"/>
      <c r="U382" s="131"/>
      <c r="V382" s="131"/>
      <c r="W382" s="131"/>
      <c r="X382" s="131"/>
      <c r="Y382" s="131"/>
      <c r="Z382" s="142"/>
      <c r="AA382" s="142"/>
      <c r="AB382" s="142"/>
      <c r="AC382" s="142"/>
      <c r="AD382" s="142"/>
      <c r="AE382" s="142"/>
      <c r="AF382" s="142"/>
      <c r="AG382" s="142"/>
      <c r="AH382" s="142"/>
      <c r="AI382" s="142"/>
      <c r="AJ382" s="142"/>
      <c r="AK382" s="142"/>
      <c r="AL382" s="142"/>
      <c r="AM382" s="142"/>
      <c r="AN382" s="142"/>
      <c r="AO382" s="131"/>
    </row>
    <row r="383" ht="13.5" customHeight="1">
      <c r="A383" s="142"/>
      <c r="B383" s="142"/>
      <c r="C383" s="142"/>
      <c r="D383" s="142"/>
      <c r="E383" s="308"/>
      <c r="F383" s="131"/>
      <c r="G383" s="131"/>
      <c r="H383" s="131"/>
      <c r="I383" s="219"/>
      <c r="J383" s="198"/>
      <c r="K383" s="131"/>
      <c r="L383" s="131"/>
      <c r="M383" s="131"/>
      <c r="N383" s="131"/>
      <c r="O383" s="131"/>
      <c r="P383" s="131"/>
      <c r="Q383" s="131"/>
      <c r="R383" s="131"/>
      <c r="S383" s="131"/>
      <c r="T383" s="131"/>
      <c r="U383" s="131"/>
      <c r="V383" s="131"/>
      <c r="W383" s="131"/>
      <c r="X383" s="131"/>
      <c r="Y383" s="131"/>
      <c r="Z383" s="142"/>
      <c r="AA383" s="142"/>
      <c r="AB383" s="142"/>
      <c r="AC383" s="142"/>
      <c r="AD383" s="142"/>
      <c r="AE383" s="142"/>
      <c r="AF383" s="142"/>
      <c r="AG383" s="142"/>
      <c r="AH383" s="142"/>
      <c r="AI383" s="142"/>
      <c r="AJ383" s="142"/>
      <c r="AK383" s="142"/>
      <c r="AL383" s="142"/>
      <c r="AM383" s="142"/>
      <c r="AN383" s="142"/>
      <c r="AO383" s="131"/>
    </row>
    <row r="384" ht="13.5" customHeight="1">
      <c r="A384" s="142"/>
      <c r="B384" s="142"/>
      <c r="C384" s="142"/>
      <c r="D384" s="142"/>
      <c r="E384" s="308"/>
      <c r="F384" s="131"/>
      <c r="G384" s="131"/>
      <c r="H384" s="131"/>
      <c r="I384" s="219"/>
      <c r="J384" s="198"/>
      <c r="K384" s="131"/>
      <c r="L384" s="131"/>
      <c r="M384" s="131"/>
      <c r="N384" s="131"/>
      <c r="O384" s="131"/>
      <c r="P384" s="131"/>
      <c r="Q384" s="131"/>
      <c r="R384" s="131"/>
      <c r="S384" s="131"/>
      <c r="T384" s="131"/>
      <c r="U384" s="131"/>
      <c r="V384" s="131"/>
      <c r="W384" s="131"/>
      <c r="X384" s="131"/>
      <c r="Y384" s="131"/>
      <c r="Z384" s="142"/>
      <c r="AA384" s="142"/>
      <c r="AB384" s="142"/>
      <c r="AC384" s="142"/>
      <c r="AD384" s="142"/>
      <c r="AE384" s="142"/>
      <c r="AF384" s="142"/>
      <c r="AG384" s="142"/>
      <c r="AH384" s="142"/>
      <c r="AI384" s="142"/>
      <c r="AJ384" s="142"/>
      <c r="AK384" s="142"/>
      <c r="AL384" s="142"/>
      <c r="AM384" s="142"/>
      <c r="AN384" s="142"/>
      <c r="AO384" s="131"/>
    </row>
    <row r="385" ht="13.5" customHeight="1">
      <c r="A385" s="142"/>
      <c r="B385" s="142"/>
      <c r="C385" s="142"/>
      <c r="D385" s="142"/>
      <c r="E385" s="308"/>
      <c r="F385" s="131"/>
      <c r="G385" s="131"/>
      <c r="H385" s="131"/>
      <c r="I385" s="219"/>
      <c r="J385" s="198"/>
      <c r="K385" s="131"/>
      <c r="L385" s="131"/>
      <c r="M385" s="131"/>
      <c r="N385" s="131"/>
      <c r="O385" s="131"/>
      <c r="P385" s="131"/>
      <c r="Q385" s="131"/>
      <c r="R385" s="131"/>
      <c r="S385" s="131"/>
      <c r="T385" s="131"/>
      <c r="U385" s="131"/>
      <c r="V385" s="131"/>
      <c r="W385" s="131"/>
      <c r="X385" s="131"/>
      <c r="Y385" s="131"/>
      <c r="Z385" s="142"/>
      <c r="AA385" s="142"/>
      <c r="AB385" s="142"/>
      <c r="AC385" s="142"/>
      <c r="AD385" s="142"/>
      <c r="AE385" s="142"/>
      <c r="AF385" s="142"/>
      <c r="AG385" s="142"/>
      <c r="AH385" s="142"/>
      <c r="AI385" s="142"/>
      <c r="AJ385" s="142"/>
      <c r="AK385" s="142"/>
      <c r="AL385" s="142"/>
      <c r="AM385" s="142"/>
      <c r="AN385" s="142"/>
      <c r="AO385" s="131"/>
    </row>
    <row r="386" ht="13.5" customHeight="1">
      <c r="A386" s="142"/>
      <c r="B386" s="142"/>
      <c r="C386" s="142"/>
      <c r="D386" s="142"/>
      <c r="E386" s="308"/>
      <c r="F386" s="131"/>
      <c r="G386" s="131"/>
      <c r="H386" s="131"/>
      <c r="I386" s="219"/>
      <c r="J386" s="198"/>
      <c r="K386" s="131"/>
      <c r="L386" s="131"/>
      <c r="M386" s="131"/>
      <c r="N386" s="131"/>
      <c r="O386" s="131"/>
      <c r="P386" s="131"/>
      <c r="Q386" s="131"/>
      <c r="R386" s="131"/>
      <c r="S386" s="131"/>
      <c r="T386" s="131"/>
      <c r="U386" s="131"/>
      <c r="V386" s="131"/>
      <c r="W386" s="131"/>
      <c r="X386" s="131"/>
      <c r="Y386" s="131"/>
      <c r="Z386" s="142"/>
      <c r="AA386" s="142"/>
      <c r="AB386" s="142"/>
      <c r="AC386" s="142"/>
      <c r="AD386" s="142"/>
      <c r="AE386" s="142"/>
      <c r="AF386" s="142"/>
      <c r="AG386" s="142"/>
      <c r="AH386" s="142"/>
      <c r="AI386" s="142"/>
      <c r="AJ386" s="142"/>
      <c r="AK386" s="142"/>
      <c r="AL386" s="142"/>
      <c r="AM386" s="142"/>
      <c r="AN386" s="142"/>
      <c r="AO386" s="131"/>
    </row>
    <row r="387" ht="13.5" customHeight="1">
      <c r="A387" s="142"/>
      <c r="B387" s="142"/>
      <c r="C387" s="142"/>
      <c r="D387" s="142"/>
      <c r="E387" s="308"/>
      <c r="F387" s="131"/>
      <c r="G387" s="131"/>
      <c r="H387" s="131"/>
      <c r="I387" s="219"/>
      <c r="J387" s="198"/>
      <c r="K387" s="131"/>
      <c r="L387" s="131"/>
      <c r="M387" s="131"/>
      <c r="N387" s="131"/>
      <c r="O387" s="131"/>
      <c r="P387" s="131"/>
      <c r="Q387" s="131"/>
      <c r="R387" s="131"/>
      <c r="S387" s="131"/>
      <c r="T387" s="131"/>
      <c r="U387" s="131"/>
      <c r="V387" s="131"/>
      <c r="W387" s="131"/>
      <c r="X387" s="131"/>
      <c r="Y387" s="131"/>
      <c r="Z387" s="142"/>
      <c r="AA387" s="142"/>
      <c r="AB387" s="142"/>
      <c r="AC387" s="142"/>
      <c r="AD387" s="142"/>
      <c r="AE387" s="142"/>
      <c r="AF387" s="142"/>
      <c r="AG387" s="142"/>
      <c r="AH387" s="142"/>
      <c r="AI387" s="142"/>
      <c r="AJ387" s="142"/>
      <c r="AK387" s="142"/>
      <c r="AL387" s="142"/>
      <c r="AM387" s="142"/>
      <c r="AN387" s="142"/>
      <c r="AO387" s="131"/>
    </row>
    <row r="388" ht="13.5" customHeight="1">
      <c r="A388" s="142"/>
      <c r="B388" s="142"/>
      <c r="C388" s="142"/>
      <c r="D388" s="142"/>
      <c r="E388" s="308"/>
      <c r="F388" s="131"/>
      <c r="G388" s="131"/>
      <c r="H388" s="131"/>
      <c r="I388" s="219"/>
      <c r="J388" s="198"/>
      <c r="K388" s="131"/>
      <c r="L388" s="131"/>
      <c r="M388" s="131"/>
      <c r="N388" s="131"/>
      <c r="O388" s="131"/>
      <c r="P388" s="131"/>
      <c r="Q388" s="131"/>
      <c r="R388" s="131"/>
      <c r="S388" s="131"/>
      <c r="T388" s="131"/>
      <c r="U388" s="131"/>
      <c r="V388" s="131"/>
      <c r="W388" s="131"/>
      <c r="X388" s="131"/>
      <c r="Y388" s="131"/>
      <c r="Z388" s="142"/>
      <c r="AA388" s="142"/>
      <c r="AB388" s="142"/>
      <c r="AC388" s="142"/>
      <c r="AD388" s="142"/>
      <c r="AE388" s="142"/>
      <c r="AF388" s="142"/>
      <c r="AG388" s="142"/>
      <c r="AH388" s="142"/>
      <c r="AI388" s="142"/>
      <c r="AJ388" s="142"/>
      <c r="AK388" s="142"/>
      <c r="AL388" s="142"/>
      <c r="AM388" s="142"/>
      <c r="AN388" s="142"/>
      <c r="AO388" s="131"/>
    </row>
    <row r="389" ht="13.5" customHeight="1">
      <c r="A389" s="142"/>
      <c r="B389" s="142"/>
      <c r="C389" s="142"/>
      <c r="D389" s="142"/>
      <c r="E389" s="308"/>
      <c r="F389" s="131"/>
      <c r="G389" s="131"/>
      <c r="H389" s="131"/>
      <c r="I389" s="219"/>
      <c r="J389" s="198"/>
      <c r="K389" s="131"/>
      <c r="L389" s="131"/>
      <c r="M389" s="131"/>
      <c r="N389" s="131"/>
      <c r="O389" s="131"/>
      <c r="P389" s="131"/>
      <c r="Q389" s="131"/>
      <c r="R389" s="131"/>
      <c r="S389" s="131"/>
      <c r="T389" s="131"/>
      <c r="U389" s="131"/>
      <c r="V389" s="131"/>
      <c r="W389" s="131"/>
      <c r="X389" s="131"/>
      <c r="Y389" s="131"/>
      <c r="Z389" s="142"/>
      <c r="AA389" s="142"/>
      <c r="AB389" s="142"/>
      <c r="AC389" s="142"/>
      <c r="AD389" s="142"/>
      <c r="AE389" s="142"/>
      <c r="AF389" s="142"/>
      <c r="AG389" s="142"/>
      <c r="AH389" s="142"/>
      <c r="AI389" s="142"/>
      <c r="AJ389" s="142"/>
      <c r="AK389" s="142"/>
      <c r="AL389" s="142"/>
      <c r="AM389" s="142"/>
      <c r="AN389" s="142"/>
      <c r="AO389" s="131"/>
    </row>
    <row r="390" ht="13.5" customHeight="1">
      <c r="A390" s="142"/>
      <c r="B390" s="142"/>
      <c r="C390" s="142"/>
      <c r="D390" s="142"/>
      <c r="E390" s="308"/>
      <c r="F390" s="131"/>
      <c r="G390" s="131"/>
      <c r="H390" s="131"/>
      <c r="I390" s="219"/>
      <c r="J390" s="198"/>
      <c r="K390" s="131"/>
      <c r="L390" s="131"/>
      <c r="M390" s="131"/>
      <c r="N390" s="131"/>
      <c r="O390" s="131"/>
      <c r="P390" s="131"/>
      <c r="Q390" s="131"/>
      <c r="R390" s="131"/>
      <c r="S390" s="131"/>
      <c r="T390" s="131"/>
      <c r="U390" s="131"/>
      <c r="V390" s="131"/>
      <c r="W390" s="131"/>
      <c r="X390" s="131"/>
      <c r="Y390" s="131"/>
      <c r="Z390" s="142"/>
      <c r="AA390" s="142"/>
      <c r="AB390" s="142"/>
      <c r="AC390" s="142"/>
      <c r="AD390" s="142"/>
      <c r="AE390" s="142"/>
      <c r="AF390" s="142"/>
      <c r="AG390" s="142"/>
      <c r="AH390" s="142"/>
      <c r="AI390" s="142"/>
      <c r="AJ390" s="142"/>
      <c r="AK390" s="142"/>
      <c r="AL390" s="142"/>
      <c r="AM390" s="142"/>
      <c r="AN390" s="142"/>
      <c r="AO390" s="131"/>
    </row>
    <row r="391" ht="13.5" customHeight="1">
      <c r="A391" s="142"/>
      <c r="B391" s="142"/>
      <c r="C391" s="142"/>
      <c r="D391" s="142"/>
      <c r="E391" s="308"/>
      <c r="F391" s="131"/>
      <c r="G391" s="131"/>
      <c r="H391" s="131"/>
      <c r="I391" s="219"/>
      <c r="J391" s="198"/>
      <c r="K391" s="131"/>
      <c r="L391" s="131"/>
      <c r="M391" s="131"/>
      <c r="N391" s="131"/>
      <c r="O391" s="131"/>
      <c r="P391" s="131"/>
      <c r="Q391" s="131"/>
      <c r="R391" s="131"/>
      <c r="S391" s="131"/>
      <c r="T391" s="131"/>
      <c r="U391" s="131"/>
      <c r="V391" s="131"/>
      <c r="W391" s="131"/>
      <c r="X391" s="131"/>
      <c r="Y391" s="131"/>
      <c r="Z391" s="142"/>
      <c r="AA391" s="142"/>
      <c r="AB391" s="142"/>
      <c r="AC391" s="142"/>
      <c r="AD391" s="142"/>
      <c r="AE391" s="142"/>
      <c r="AF391" s="142"/>
      <c r="AG391" s="142"/>
      <c r="AH391" s="142"/>
      <c r="AI391" s="142"/>
      <c r="AJ391" s="142"/>
      <c r="AK391" s="142"/>
      <c r="AL391" s="142"/>
      <c r="AM391" s="142"/>
      <c r="AN391" s="142"/>
      <c r="AO391" s="131"/>
    </row>
    <row r="392" ht="13.5" customHeight="1">
      <c r="A392" s="142"/>
      <c r="B392" s="142"/>
      <c r="C392" s="142"/>
      <c r="D392" s="142"/>
      <c r="E392" s="308"/>
      <c r="F392" s="131"/>
      <c r="G392" s="131"/>
      <c r="H392" s="131"/>
      <c r="I392" s="219"/>
      <c r="J392" s="198"/>
      <c r="K392" s="131"/>
      <c r="L392" s="131"/>
      <c r="M392" s="131"/>
      <c r="N392" s="131"/>
      <c r="O392" s="131"/>
      <c r="P392" s="131"/>
      <c r="Q392" s="131"/>
      <c r="R392" s="131"/>
      <c r="S392" s="131"/>
      <c r="T392" s="131"/>
      <c r="U392" s="131"/>
      <c r="V392" s="131"/>
      <c r="W392" s="131"/>
      <c r="X392" s="131"/>
      <c r="Y392" s="131"/>
      <c r="Z392" s="142"/>
      <c r="AA392" s="142"/>
      <c r="AB392" s="142"/>
      <c r="AC392" s="142"/>
      <c r="AD392" s="142"/>
      <c r="AE392" s="142"/>
      <c r="AF392" s="142"/>
      <c r="AG392" s="142"/>
      <c r="AH392" s="142"/>
      <c r="AI392" s="142"/>
      <c r="AJ392" s="142"/>
      <c r="AK392" s="142"/>
      <c r="AL392" s="142"/>
      <c r="AM392" s="142"/>
      <c r="AN392" s="142"/>
      <c r="AO392" s="131"/>
    </row>
    <row r="393" ht="13.5" customHeight="1">
      <c r="A393" s="142"/>
      <c r="B393" s="142"/>
      <c r="C393" s="142"/>
      <c r="D393" s="142"/>
      <c r="E393" s="308"/>
      <c r="F393" s="131"/>
      <c r="G393" s="131"/>
      <c r="H393" s="131"/>
      <c r="I393" s="219"/>
      <c r="J393" s="198"/>
      <c r="K393" s="131"/>
      <c r="L393" s="131"/>
      <c r="M393" s="131"/>
      <c r="N393" s="131"/>
      <c r="O393" s="131"/>
      <c r="P393" s="131"/>
      <c r="Q393" s="131"/>
      <c r="R393" s="131"/>
      <c r="S393" s="131"/>
      <c r="T393" s="131"/>
      <c r="U393" s="131"/>
      <c r="V393" s="131"/>
      <c r="W393" s="131"/>
      <c r="X393" s="131"/>
      <c r="Y393" s="131"/>
      <c r="Z393" s="142"/>
      <c r="AA393" s="142"/>
      <c r="AB393" s="142"/>
      <c r="AC393" s="142"/>
      <c r="AD393" s="142"/>
      <c r="AE393" s="142"/>
      <c r="AF393" s="142"/>
      <c r="AG393" s="142"/>
      <c r="AH393" s="142"/>
      <c r="AI393" s="142"/>
      <c r="AJ393" s="142"/>
      <c r="AK393" s="142"/>
      <c r="AL393" s="142"/>
      <c r="AM393" s="142"/>
      <c r="AN393" s="142"/>
      <c r="AO393" s="131"/>
    </row>
    <row r="394" ht="13.5" customHeight="1">
      <c r="A394" s="142"/>
      <c r="B394" s="142"/>
      <c r="C394" s="142"/>
      <c r="D394" s="142"/>
      <c r="E394" s="308"/>
      <c r="F394" s="131"/>
      <c r="G394" s="131"/>
      <c r="H394" s="131"/>
      <c r="I394" s="219"/>
      <c r="J394" s="198"/>
      <c r="K394" s="131"/>
      <c r="L394" s="131"/>
      <c r="M394" s="131"/>
      <c r="N394" s="131"/>
      <c r="O394" s="131"/>
      <c r="P394" s="131"/>
      <c r="Q394" s="131"/>
      <c r="R394" s="131"/>
      <c r="S394" s="131"/>
      <c r="T394" s="131"/>
      <c r="U394" s="131"/>
      <c r="V394" s="131"/>
      <c r="W394" s="131"/>
      <c r="X394" s="131"/>
      <c r="Y394" s="131"/>
      <c r="Z394" s="142"/>
      <c r="AA394" s="142"/>
      <c r="AB394" s="142"/>
      <c r="AC394" s="142"/>
      <c r="AD394" s="142"/>
      <c r="AE394" s="142"/>
      <c r="AF394" s="142"/>
      <c r="AG394" s="142"/>
      <c r="AH394" s="142"/>
      <c r="AI394" s="142"/>
      <c r="AJ394" s="142"/>
      <c r="AK394" s="142"/>
      <c r="AL394" s="142"/>
      <c r="AM394" s="142"/>
      <c r="AN394" s="142"/>
      <c r="AO394" s="131"/>
    </row>
    <row r="395" ht="13.5" customHeight="1">
      <c r="A395" s="142"/>
      <c r="B395" s="142"/>
      <c r="C395" s="142"/>
      <c r="D395" s="142"/>
      <c r="E395" s="308"/>
      <c r="F395" s="131"/>
      <c r="G395" s="131"/>
      <c r="H395" s="131"/>
      <c r="I395" s="219"/>
      <c r="J395" s="198"/>
      <c r="K395" s="131"/>
      <c r="L395" s="131"/>
      <c r="M395" s="131"/>
      <c r="N395" s="131"/>
      <c r="O395" s="131"/>
      <c r="P395" s="131"/>
      <c r="Q395" s="131"/>
      <c r="R395" s="131"/>
      <c r="S395" s="131"/>
      <c r="T395" s="131"/>
      <c r="U395" s="131"/>
      <c r="V395" s="131"/>
      <c r="W395" s="131"/>
      <c r="X395" s="131"/>
      <c r="Y395" s="131"/>
      <c r="Z395" s="142"/>
      <c r="AA395" s="142"/>
      <c r="AB395" s="142"/>
      <c r="AC395" s="142"/>
      <c r="AD395" s="142"/>
      <c r="AE395" s="142"/>
      <c r="AF395" s="142"/>
      <c r="AG395" s="142"/>
      <c r="AH395" s="142"/>
      <c r="AI395" s="142"/>
      <c r="AJ395" s="142"/>
      <c r="AK395" s="142"/>
      <c r="AL395" s="142"/>
      <c r="AM395" s="142"/>
      <c r="AN395" s="142"/>
      <c r="AO395" s="131"/>
    </row>
    <row r="396" ht="13.5" customHeight="1">
      <c r="A396" s="142"/>
      <c r="B396" s="142"/>
      <c r="C396" s="142"/>
      <c r="D396" s="142"/>
      <c r="E396" s="308"/>
      <c r="F396" s="131"/>
      <c r="G396" s="131"/>
      <c r="H396" s="131"/>
      <c r="I396" s="219"/>
      <c r="J396" s="198"/>
      <c r="K396" s="131"/>
      <c r="L396" s="131"/>
      <c r="M396" s="131"/>
      <c r="N396" s="131"/>
      <c r="O396" s="131"/>
      <c r="P396" s="131"/>
      <c r="Q396" s="131"/>
      <c r="R396" s="131"/>
      <c r="S396" s="131"/>
      <c r="T396" s="131"/>
      <c r="U396" s="131"/>
      <c r="V396" s="131"/>
      <c r="W396" s="131"/>
      <c r="X396" s="131"/>
      <c r="Y396" s="131"/>
      <c r="Z396" s="142"/>
      <c r="AA396" s="142"/>
      <c r="AB396" s="142"/>
      <c r="AC396" s="142"/>
      <c r="AD396" s="142"/>
      <c r="AE396" s="142"/>
      <c r="AF396" s="142"/>
      <c r="AG396" s="142"/>
      <c r="AH396" s="142"/>
      <c r="AI396" s="142"/>
      <c r="AJ396" s="142"/>
      <c r="AK396" s="142"/>
      <c r="AL396" s="142"/>
      <c r="AM396" s="142"/>
      <c r="AN396" s="142"/>
      <c r="AO396" s="131"/>
    </row>
    <row r="397" ht="13.5" customHeight="1">
      <c r="A397" s="142"/>
      <c r="B397" s="142"/>
      <c r="C397" s="142"/>
      <c r="D397" s="142"/>
      <c r="E397" s="308"/>
      <c r="F397" s="131"/>
      <c r="G397" s="131"/>
      <c r="H397" s="131"/>
      <c r="I397" s="219"/>
      <c r="J397" s="198"/>
      <c r="K397" s="131"/>
      <c r="L397" s="131"/>
      <c r="M397" s="131"/>
      <c r="N397" s="131"/>
      <c r="O397" s="131"/>
      <c r="P397" s="131"/>
      <c r="Q397" s="131"/>
      <c r="R397" s="131"/>
      <c r="S397" s="131"/>
      <c r="T397" s="131"/>
      <c r="U397" s="131"/>
      <c r="V397" s="131"/>
      <c r="W397" s="131"/>
      <c r="X397" s="131"/>
      <c r="Y397" s="131"/>
      <c r="Z397" s="142"/>
      <c r="AA397" s="142"/>
      <c r="AB397" s="142"/>
      <c r="AC397" s="142"/>
      <c r="AD397" s="142"/>
      <c r="AE397" s="142"/>
      <c r="AF397" s="142"/>
      <c r="AG397" s="142"/>
      <c r="AH397" s="142"/>
      <c r="AI397" s="142"/>
      <c r="AJ397" s="142"/>
      <c r="AK397" s="142"/>
      <c r="AL397" s="142"/>
      <c r="AM397" s="142"/>
      <c r="AN397" s="142"/>
      <c r="AO397" s="131"/>
    </row>
    <row r="398" ht="13.5" customHeight="1">
      <c r="A398" s="142"/>
      <c r="B398" s="142"/>
      <c r="C398" s="142"/>
      <c r="D398" s="142"/>
      <c r="E398" s="308"/>
      <c r="F398" s="131"/>
      <c r="G398" s="131"/>
      <c r="H398" s="131"/>
      <c r="I398" s="219"/>
      <c r="J398" s="198"/>
      <c r="K398" s="131"/>
      <c r="L398" s="131"/>
      <c r="M398" s="131"/>
      <c r="N398" s="131"/>
      <c r="O398" s="131"/>
      <c r="P398" s="131"/>
      <c r="Q398" s="131"/>
      <c r="R398" s="131"/>
      <c r="S398" s="131"/>
      <c r="T398" s="131"/>
      <c r="U398" s="131"/>
      <c r="V398" s="131"/>
      <c r="W398" s="131"/>
      <c r="X398" s="131"/>
      <c r="Y398" s="131"/>
      <c r="Z398" s="142"/>
      <c r="AA398" s="142"/>
      <c r="AB398" s="142"/>
      <c r="AC398" s="142"/>
      <c r="AD398" s="142"/>
      <c r="AE398" s="142"/>
      <c r="AF398" s="142"/>
      <c r="AG398" s="142"/>
      <c r="AH398" s="142"/>
      <c r="AI398" s="142"/>
      <c r="AJ398" s="142"/>
      <c r="AK398" s="142"/>
      <c r="AL398" s="142"/>
      <c r="AM398" s="142"/>
      <c r="AN398" s="142"/>
      <c r="AO398" s="131"/>
    </row>
    <row r="399" ht="13.5" customHeight="1">
      <c r="A399" s="142"/>
      <c r="B399" s="142"/>
      <c r="C399" s="142"/>
      <c r="D399" s="142"/>
      <c r="E399" s="308"/>
      <c r="F399" s="131"/>
      <c r="G399" s="131"/>
      <c r="H399" s="131"/>
      <c r="I399" s="219"/>
      <c r="J399" s="198"/>
      <c r="K399" s="131"/>
      <c r="L399" s="131"/>
      <c r="M399" s="131"/>
      <c r="N399" s="131"/>
      <c r="O399" s="131"/>
      <c r="P399" s="131"/>
      <c r="Q399" s="131"/>
      <c r="R399" s="131"/>
      <c r="S399" s="131"/>
      <c r="T399" s="131"/>
      <c r="U399" s="131"/>
      <c r="V399" s="131"/>
      <c r="W399" s="131"/>
      <c r="X399" s="131"/>
      <c r="Y399" s="131"/>
      <c r="Z399" s="142"/>
      <c r="AA399" s="142"/>
      <c r="AB399" s="142"/>
      <c r="AC399" s="142"/>
      <c r="AD399" s="142"/>
      <c r="AE399" s="142"/>
      <c r="AF399" s="142"/>
      <c r="AG399" s="142"/>
      <c r="AH399" s="142"/>
      <c r="AI399" s="142"/>
      <c r="AJ399" s="142"/>
      <c r="AK399" s="142"/>
      <c r="AL399" s="142"/>
      <c r="AM399" s="142"/>
      <c r="AN399" s="142"/>
      <c r="AO399" s="131"/>
    </row>
    <row r="400" ht="13.5" customHeight="1">
      <c r="A400" s="142"/>
      <c r="B400" s="142"/>
      <c r="C400" s="142"/>
      <c r="D400" s="142"/>
      <c r="E400" s="308"/>
      <c r="F400" s="131"/>
      <c r="G400" s="131"/>
      <c r="H400" s="131"/>
      <c r="I400" s="219"/>
      <c r="J400" s="198"/>
      <c r="K400" s="131"/>
      <c r="L400" s="131"/>
      <c r="M400" s="131"/>
      <c r="N400" s="131"/>
      <c r="O400" s="131"/>
      <c r="P400" s="131"/>
      <c r="Q400" s="131"/>
      <c r="R400" s="131"/>
      <c r="S400" s="131"/>
      <c r="T400" s="131"/>
      <c r="U400" s="131"/>
      <c r="V400" s="131"/>
      <c r="W400" s="131"/>
      <c r="X400" s="131"/>
      <c r="Y400" s="131"/>
      <c r="Z400" s="142"/>
      <c r="AA400" s="142"/>
      <c r="AB400" s="142"/>
      <c r="AC400" s="142"/>
      <c r="AD400" s="142"/>
      <c r="AE400" s="142"/>
      <c r="AF400" s="142"/>
      <c r="AG400" s="142"/>
      <c r="AH400" s="142"/>
      <c r="AI400" s="142"/>
      <c r="AJ400" s="142"/>
      <c r="AK400" s="142"/>
      <c r="AL400" s="142"/>
      <c r="AM400" s="142"/>
      <c r="AN400" s="142"/>
      <c r="AO400" s="131"/>
    </row>
    <row r="401" ht="13.5" customHeight="1">
      <c r="A401" s="142"/>
      <c r="B401" s="142"/>
      <c r="C401" s="142"/>
      <c r="D401" s="142"/>
      <c r="E401" s="308"/>
      <c r="F401" s="131"/>
      <c r="G401" s="131"/>
      <c r="H401" s="131"/>
      <c r="I401" s="219"/>
      <c r="J401" s="198"/>
      <c r="K401" s="131"/>
      <c r="L401" s="131"/>
      <c r="M401" s="131"/>
      <c r="N401" s="131"/>
      <c r="O401" s="131"/>
      <c r="P401" s="131"/>
      <c r="Q401" s="131"/>
      <c r="R401" s="131"/>
      <c r="S401" s="131"/>
      <c r="T401" s="131"/>
      <c r="U401" s="131"/>
      <c r="V401" s="131"/>
      <c r="W401" s="131"/>
      <c r="X401" s="131"/>
      <c r="Y401" s="131"/>
      <c r="Z401" s="142"/>
      <c r="AA401" s="142"/>
      <c r="AB401" s="142"/>
      <c r="AC401" s="142"/>
      <c r="AD401" s="142"/>
      <c r="AE401" s="142"/>
      <c r="AF401" s="142"/>
      <c r="AG401" s="142"/>
      <c r="AH401" s="142"/>
      <c r="AI401" s="142"/>
      <c r="AJ401" s="142"/>
      <c r="AK401" s="142"/>
      <c r="AL401" s="142"/>
      <c r="AM401" s="142"/>
      <c r="AN401" s="142"/>
      <c r="AO401" s="131"/>
    </row>
    <row r="402" ht="13.5" customHeight="1">
      <c r="A402" s="142"/>
      <c r="B402" s="142"/>
      <c r="C402" s="142"/>
      <c r="D402" s="142"/>
      <c r="E402" s="308"/>
      <c r="F402" s="131"/>
      <c r="G402" s="131"/>
      <c r="H402" s="131"/>
      <c r="I402" s="219"/>
      <c r="J402" s="198"/>
      <c r="K402" s="131"/>
      <c r="L402" s="131"/>
      <c r="M402" s="131"/>
      <c r="N402" s="131"/>
      <c r="O402" s="131"/>
      <c r="P402" s="131"/>
      <c r="Q402" s="131"/>
      <c r="R402" s="131"/>
      <c r="S402" s="131"/>
      <c r="T402" s="131"/>
      <c r="U402" s="131"/>
      <c r="V402" s="131"/>
      <c r="W402" s="131"/>
      <c r="X402" s="131"/>
      <c r="Y402" s="131"/>
      <c r="Z402" s="142"/>
      <c r="AA402" s="142"/>
      <c r="AB402" s="142"/>
      <c r="AC402" s="142"/>
      <c r="AD402" s="142"/>
      <c r="AE402" s="142"/>
      <c r="AF402" s="142"/>
      <c r="AG402" s="142"/>
      <c r="AH402" s="142"/>
      <c r="AI402" s="142"/>
      <c r="AJ402" s="142"/>
      <c r="AK402" s="142"/>
      <c r="AL402" s="142"/>
      <c r="AM402" s="142"/>
      <c r="AN402" s="142"/>
      <c r="AO402" s="131"/>
    </row>
    <row r="403" ht="13.5" customHeight="1">
      <c r="A403" s="142"/>
      <c r="B403" s="142"/>
      <c r="C403" s="142"/>
      <c r="D403" s="142"/>
      <c r="E403" s="308"/>
      <c r="F403" s="131"/>
      <c r="G403" s="131"/>
      <c r="H403" s="131"/>
      <c r="I403" s="219"/>
      <c r="J403" s="198"/>
      <c r="K403" s="131"/>
      <c r="L403" s="131"/>
      <c r="M403" s="131"/>
      <c r="N403" s="131"/>
      <c r="O403" s="131"/>
      <c r="P403" s="131"/>
      <c r="Q403" s="131"/>
      <c r="R403" s="131"/>
      <c r="S403" s="131"/>
      <c r="T403" s="131"/>
      <c r="U403" s="131"/>
      <c r="V403" s="131"/>
      <c r="W403" s="131"/>
      <c r="X403" s="131"/>
      <c r="Y403" s="131"/>
      <c r="Z403" s="142"/>
      <c r="AA403" s="142"/>
      <c r="AB403" s="142"/>
      <c r="AC403" s="142"/>
      <c r="AD403" s="142"/>
      <c r="AE403" s="142"/>
      <c r="AF403" s="142"/>
      <c r="AG403" s="142"/>
      <c r="AH403" s="142"/>
      <c r="AI403" s="142"/>
      <c r="AJ403" s="142"/>
      <c r="AK403" s="142"/>
      <c r="AL403" s="142"/>
      <c r="AM403" s="142"/>
      <c r="AN403" s="142"/>
      <c r="AO403" s="131"/>
    </row>
    <row r="404" ht="13.5" customHeight="1">
      <c r="A404" s="142"/>
      <c r="B404" s="142"/>
      <c r="C404" s="142"/>
      <c r="D404" s="142"/>
      <c r="E404" s="308"/>
      <c r="F404" s="131"/>
      <c r="G404" s="131"/>
      <c r="H404" s="131"/>
      <c r="I404" s="219"/>
      <c r="J404" s="198"/>
      <c r="K404" s="131"/>
      <c r="L404" s="131"/>
      <c r="M404" s="131"/>
      <c r="N404" s="131"/>
      <c r="O404" s="131"/>
      <c r="P404" s="131"/>
      <c r="Q404" s="131"/>
      <c r="R404" s="131"/>
      <c r="S404" s="131"/>
      <c r="T404" s="131"/>
      <c r="U404" s="131"/>
      <c r="V404" s="131"/>
      <c r="W404" s="131"/>
      <c r="X404" s="131"/>
      <c r="Y404" s="131"/>
      <c r="Z404" s="142"/>
      <c r="AA404" s="142"/>
      <c r="AB404" s="142"/>
      <c r="AC404" s="142"/>
      <c r="AD404" s="142"/>
      <c r="AE404" s="142"/>
      <c r="AF404" s="142"/>
      <c r="AG404" s="142"/>
      <c r="AH404" s="142"/>
      <c r="AI404" s="142"/>
      <c r="AJ404" s="142"/>
      <c r="AK404" s="142"/>
      <c r="AL404" s="142"/>
      <c r="AM404" s="142"/>
      <c r="AN404" s="142"/>
      <c r="AO404" s="131"/>
    </row>
    <row r="405" ht="13.5" customHeight="1">
      <c r="A405" s="142"/>
      <c r="B405" s="142"/>
      <c r="C405" s="142"/>
      <c r="D405" s="142"/>
      <c r="E405" s="308"/>
      <c r="F405" s="131"/>
      <c r="G405" s="131"/>
      <c r="H405" s="131"/>
      <c r="I405" s="219"/>
      <c r="J405" s="198"/>
      <c r="K405" s="131"/>
      <c r="L405" s="131"/>
      <c r="M405" s="131"/>
      <c r="N405" s="131"/>
      <c r="O405" s="131"/>
      <c r="P405" s="131"/>
      <c r="Q405" s="131"/>
      <c r="R405" s="131"/>
      <c r="S405" s="131"/>
      <c r="T405" s="131"/>
      <c r="U405" s="131"/>
      <c r="V405" s="131"/>
      <c r="W405" s="131"/>
      <c r="X405" s="131"/>
      <c r="Y405" s="131"/>
      <c r="Z405" s="142"/>
      <c r="AA405" s="142"/>
      <c r="AB405" s="142"/>
      <c r="AC405" s="142"/>
      <c r="AD405" s="142"/>
      <c r="AE405" s="142"/>
      <c r="AF405" s="142"/>
      <c r="AG405" s="142"/>
      <c r="AH405" s="142"/>
      <c r="AI405" s="142"/>
      <c r="AJ405" s="142"/>
      <c r="AK405" s="142"/>
      <c r="AL405" s="142"/>
      <c r="AM405" s="142"/>
      <c r="AN405" s="142"/>
      <c r="AO405" s="131"/>
    </row>
    <row r="406" ht="13.5" customHeight="1">
      <c r="A406" s="142"/>
      <c r="B406" s="142"/>
      <c r="C406" s="142"/>
      <c r="D406" s="142"/>
      <c r="E406" s="308"/>
      <c r="F406" s="131"/>
      <c r="G406" s="131"/>
      <c r="H406" s="131"/>
      <c r="I406" s="219"/>
      <c r="J406" s="198"/>
      <c r="K406" s="131"/>
      <c r="L406" s="131"/>
      <c r="M406" s="131"/>
      <c r="N406" s="131"/>
      <c r="O406" s="131"/>
      <c r="P406" s="131"/>
      <c r="Q406" s="131"/>
      <c r="R406" s="131"/>
      <c r="S406" s="131"/>
      <c r="T406" s="131"/>
      <c r="U406" s="131"/>
      <c r="V406" s="131"/>
      <c r="W406" s="131"/>
      <c r="X406" s="131"/>
      <c r="Y406" s="131"/>
      <c r="Z406" s="142"/>
      <c r="AA406" s="142"/>
      <c r="AB406" s="142"/>
      <c r="AC406" s="142"/>
      <c r="AD406" s="142"/>
      <c r="AE406" s="142"/>
      <c r="AF406" s="142"/>
      <c r="AG406" s="142"/>
      <c r="AH406" s="142"/>
      <c r="AI406" s="142"/>
      <c r="AJ406" s="142"/>
      <c r="AK406" s="142"/>
      <c r="AL406" s="142"/>
      <c r="AM406" s="142"/>
      <c r="AN406" s="142"/>
      <c r="AO406" s="131"/>
    </row>
    <row r="407" ht="13.5" customHeight="1">
      <c r="A407" s="142"/>
      <c r="B407" s="142"/>
      <c r="C407" s="142"/>
      <c r="D407" s="142"/>
      <c r="E407" s="308"/>
      <c r="F407" s="131"/>
      <c r="G407" s="131"/>
      <c r="H407" s="131"/>
      <c r="I407" s="219"/>
      <c r="J407" s="198"/>
      <c r="K407" s="131"/>
      <c r="L407" s="131"/>
      <c r="M407" s="131"/>
      <c r="N407" s="131"/>
      <c r="O407" s="131"/>
      <c r="P407" s="131"/>
      <c r="Q407" s="131"/>
      <c r="R407" s="131"/>
      <c r="S407" s="131"/>
      <c r="T407" s="131"/>
      <c r="U407" s="131"/>
      <c r="V407" s="131"/>
      <c r="W407" s="131"/>
      <c r="X407" s="131"/>
      <c r="Y407" s="131"/>
      <c r="Z407" s="142"/>
      <c r="AA407" s="142"/>
      <c r="AB407" s="142"/>
      <c r="AC407" s="142"/>
      <c r="AD407" s="142"/>
      <c r="AE407" s="142"/>
      <c r="AF407" s="142"/>
      <c r="AG407" s="142"/>
      <c r="AH407" s="142"/>
      <c r="AI407" s="142"/>
      <c r="AJ407" s="142"/>
      <c r="AK407" s="142"/>
      <c r="AL407" s="142"/>
      <c r="AM407" s="142"/>
      <c r="AN407" s="142"/>
      <c r="AO407" s="131"/>
    </row>
    <row r="408" ht="13.5" customHeight="1">
      <c r="A408" s="142"/>
      <c r="B408" s="142"/>
      <c r="C408" s="142"/>
      <c r="D408" s="142"/>
      <c r="E408" s="308"/>
      <c r="F408" s="131"/>
      <c r="G408" s="131"/>
      <c r="H408" s="131"/>
      <c r="I408" s="219"/>
      <c r="J408" s="198"/>
      <c r="K408" s="131"/>
      <c r="L408" s="131"/>
      <c r="M408" s="131"/>
      <c r="N408" s="131"/>
      <c r="O408" s="131"/>
      <c r="P408" s="131"/>
      <c r="Q408" s="131"/>
      <c r="R408" s="131"/>
      <c r="S408" s="131"/>
      <c r="T408" s="131"/>
      <c r="U408" s="131"/>
      <c r="V408" s="131"/>
      <c r="W408" s="131"/>
      <c r="X408" s="131"/>
      <c r="Y408" s="131"/>
      <c r="Z408" s="142"/>
      <c r="AA408" s="142"/>
      <c r="AB408" s="142"/>
      <c r="AC408" s="142"/>
      <c r="AD408" s="142"/>
      <c r="AE408" s="142"/>
      <c r="AF408" s="142"/>
      <c r="AG408" s="142"/>
      <c r="AH408" s="142"/>
      <c r="AI408" s="142"/>
      <c r="AJ408" s="142"/>
      <c r="AK408" s="142"/>
      <c r="AL408" s="142"/>
      <c r="AM408" s="142"/>
      <c r="AN408" s="142"/>
      <c r="AO408" s="131"/>
    </row>
    <row r="409" ht="13.5" customHeight="1">
      <c r="A409" s="142"/>
      <c r="B409" s="142"/>
      <c r="C409" s="142"/>
      <c r="D409" s="142"/>
      <c r="E409" s="308"/>
      <c r="F409" s="131"/>
      <c r="G409" s="131"/>
      <c r="H409" s="131"/>
      <c r="I409" s="219"/>
      <c r="J409" s="198"/>
      <c r="K409" s="131"/>
      <c r="L409" s="131"/>
      <c r="M409" s="131"/>
      <c r="N409" s="131"/>
      <c r="O409" s="131"/>
      <c r="P409" s="131"/>
      <c r="Q409" s="131"/>
      <c r="R409" s="131"/>
      <c r="S409" s="131"/>
      <c r="T409" s="131"/>
      <c r="U409" s="131"/>
      <c r="V409" s="131"/>
      <c r="W409" s="131"/>
      <c r="X409" s="131"/>
      <c r="Y409" s="131"/>
      <c r="Z409" s="142"/>
      <c r="AA409" s="142"/>
      <c r="AB409" s="142"/>
      <c r="AC409" s="142"/>
      <c r="AD409" s="142"/>
      <c r="AE409" s="142"/>
      <c r="AF409" s="142"/>
      <c r="AG409" s="142"/>
      <c r="AH409" s="142"/>
      <c r="AI409" s="142"/>
      <c r="AJ409" s="142"/>
      <c r="AK409" s="142"/>
      <c r="AL409" s="142"/>
      <c r="AM409" s="142"/>
      <c r="AN409" s="142"/>
      <c r="AO409" s="131"/>
    </row>
    <row r="410" ht="13.5" customHeight="1">
      <c r="A410" s="142"/>
      <c r="B410" s="142"/>
      <c r="C410" s="142"/>
      <c r="D410" s="142"/>
      <c r="E410" s="308"/>
      <c r="F410" s="131"/>
      <c r="G410" s="131"/>
      <c r="H410" s="131"/>
      <c r="I410" s="219"/>
      <c r="J410" s="198"/>
      <c r="K410" s="131"/>
      <c r="L410" s="131"/>
      <c r="M410" s="131"/>
      <c r="N410" s="131"/>
      <c r="O410" s="131"/>
      <c r="P410" s="131"/>
      <c r="Q410" s="131"/>
      <c r="R410" s="131"/>
      <c r="S410" s="131"/>
      <c r="T410" s="131"/>
      <c r="U410" s="131"/>
      <c r="V410" s="131"/>
      <c r="W410" s="131"/>
      <c r="X410" s="131"/>
      <c r="Y410" s="131"/>
      <c r="Z410" s="142"/>
      <c r="AA410" s="142"/>
      <c r="AB410" s="142"/>
      <c r="AC410" s="142"/>
      <c r="AD410" s="142"/>
      <c r="AE410" s="142"/>
      <c r="AF410" s="142"/>
      <c r="AG410" s="142"/>
      <c r="AH410" s="142"/>
      <c r="AI410" s="142"/>
      <c r="AJ410" s="142"/>
      <c r="AK410" s="142"/>
      <c r="AL410" s="142"/>
      <c r="AM410" s="142"/>
      <c r="AN410" s="142"/>
      <c r="AO410" s="131"/>
    </row>
    <row r="411" ht="13.5" customHeight="1">
      <c r="A411" s="142"/>
      <c r="B411" s="142"/>
      <c r="C411" s="142"/>
      <c r="D411" s="142"/>
      <c r="E411" s="308"/>
      <c r="F411" s="131"/>
      <c r="G411" s="131"/>
      <c r="H411" s="131"/>
      <c r="I411" s="219"/>
      <c r="J411" s="198"/>
      <c r="K411" s="131"/>
      <c r="L411" s="131"/>
      <c r="M411" s="131"/>
      <c r="N411" s="131"/>
      <c r="O411" s="131"/>
      <c r="P411" s="131"/>
      <c r="Q411" s="131"/>
      <c r="R411" s="131"/>
      <c r="S411" s="131"/>
      <c r="T411" s="131"/>
      <c r="U411" s="131"/>
      <c r="V411" s="131"/>
      <c r="W411" s="131"/>
      <c r="X411" s="131"/>
      <c r="Y411" s="131"/>
      <c r="Z411" s="142"/>
      <c r="AA411" s="142"/>
      <c r="AB411" s="142"/>
      <c r="AC411" s="142"/>
      <c r="AD411" s="142"/>
      <c r="AE411" s="142"/>
      <c r="AF411" s="142"/>
      <c r="AG411" s="142"/>
      <c r="AH411" s="142"/>
      <c r="AI411" s="142"/>
      <c r="AJ411" s="142"/>
      <c r="AK411" s="142"/>
      <c r="AL411" s="142"/>
      <c r="AM411" s="142"/>
      <c r="AN411" s="142"/>
      <c r="AO411" s="131"/>
    </row>
    <row r="412" ht="13.5" customHeight="1">
      <c r="A412" s="142"/>
      <c r="B412" s="142"/>
      <c r="C412" s="142"/>
      <c r="D412" s="142"/>
      <c r="E412" s="308"/>
      <c r="F412" s="131"/>
      <c r="G412" s="131"/>
      <c r="H412" s="131"/>
      <c r="I412" s="219"/>
      <c r="J412" s="198"/>
      <c r="K412" s="131"/>
      <c r="L412" s="131"/>
      <c r="M412" s="131"/>
      <c r="N412" s="131"/>
      <c r="O412" s="131"/>
      <c r="P412" s="131"/>
      <c r="Q412" s="131"/>
      <c r="R412" s="131"/>
      <c r="S412" s="131"/>
      <c r="T412" s="131"/>
      <c r="U412" s="131"/>
      <c r="V412" s="131"/>
      <c r="W412" s="131"/>
      <c r="X412" s="131"/>
      <c r="Y412" s="131"/>
      <c r="Z412" s="142"/>
      <c r="AA412" s="142"/>
      <c r="AB412" s="142"/>
      <c r="AC412" s="142"/>
      <c r="AD412" s="142"/>
      <c r="AE412" s="142"/>
      <c r="AF412" s="142"/>
      <c r="AG412" s="142"/>
      <c r="AH412" s="142"/>
      <c r="AI412" s="142"/>
      <c r="AJ412" s="142"/>
      <c r="AK412" s="142"/>
      <c r="AL412" s="142"/>
      <c r="AM412" s="142"/>
      <c r="AN412" s="142"/>
      <c r="AO412" s="131"/>
    </row>
    <row r="413" ht="13.5" customHeight="1">
      <c r="A413" s="142"/>
      <c r="B413" s="142"/>
      <c r="C413" s="142"/>
      <c r="D413" s="142"/>
      <c r="E413" s="308"/>
      <c r="F413" s="131"/>
      <c r="G413" s="131"/>
      <c r="H413" s="131"/>
      <c r="I413" s="219"/>
      <c r="J413" s="198"/>
      <c r="K413" s="131"/>
      <c r="L413" s="131"/>
      <c r="M413" s="131"/>
      <c r="N413" s="131"/>
      <c r="O413" s="131"/>
      <c r="P413" s="131"/>
      <c r="Q413" s="131"/>
      <c r="R413" s="131"/>
      <c r="S413" s="131"/>
      <c r="T413" s="131"/>
      <c r="U413" s="131"/>
      <c r="V413" s="131"/>
      <c r="W413" s="131"/>
      <c r="X413" s="131"/>
      <c r="Y413" s="131"/>
      <c r="Z413" s="142"/>
      <c r="AA413" s="142"/>
      <c r="AB413" s="142"/>
      <c r="AC413" s="142"/>
      <c r="AD413" s="142"/>
      <c r="AE413" s="142"/>
      <c r="AF413" s="142"/>
      <c r="AG413" s="142"/>
      <c r="AH413" s="142"/>
      <c r="AI413" s="142"/>
      <c r="AJ413" s="142"/>
      <c r="AK413" s="142"/>
      <c r="AL413" s="142"/>
      <c r="AM413" s="142"/>
      <c r="AN413" s="142"/>
      <c r="AO413" s="131"/>
    </row>
    <row r="414" ht="13.5" customHeight="1">
      <c r="A414" s="142"/>
      <c r="B414" s="142"/>
      <c r="C414" s="142"/>
      <c r="D414" s="142"/>
      <c r="E414" s="308"/>
      <c r="F414" s="131"/>
      <c r="G414" s="131"/>
      <c r="H414" s="131"/>
      <c r="I414" s="219"/>
      <c r="J414" s="198"/>
      <c r="K414" s="131"/>
      <c r="L414" s="131"/>
      <c r="M414" s="131"/>
      <c r="N414" s="131"/>
      <c r="O414" s="131"/>
      <c r="P414" s="131"/>
      <c r="Q414" s="131"/>
      <c r="R414" s="131"/>
      <c r="S414" s="131"/>
      <c r="T414" s="131"/>
      <c r="U414" s="131"/>
      <c r="V414" s="131"/>
      <c r="W414" s="131"/>
      <c r="X414" s="131"/>
      <c r="Y414" s="131"/>
      <c r="Z414" s="142"/>
      <c r="AA414" s="142"/>
      <c r="AB414" s="142"/>
      <c r="AC414" s="142"/>
      <c r="AD414" s="142"/>
      <c r="AE414" s="142"/>
      <c r="AF414" s="142"/>
      <c r="AG414" s="142"/>
      <c r="AH414" s="142"/>
      <c r="AI414" s="142"/>
      <c r="AJ414" s="142"/>
      <c r="AK414" s="142"/>
      <c r="AL414" s="142"/>
      <c r="AM414" s="142"/>
      <c r="AN414" s="142"/>
      <c r="AO414" s="131"/>
    </row>
    <row r="415" ht="13.5" customHeight="1">
      <c r="A415" s="142"/>
      <c r="B415" s="142"/>
      <c r="C415" s="142"/>
      <c r="D415" s="142"/>
      <c r="E415" s="308"/>
      <c r="F415" s="131"/>
      <c r="G415" s="131"/>
      <c r="H415" s="131"/>
      <c r="I415" s="219"/>
      <c r="J415" s="198"/>
      <c r="K415" s="131"/>
      <c r="L415" s="131"/>
      <c r="M415" s="131"/>
      <c r="N415" s="131"/>
      <c r="O415" s="131"/>
      <c r="P415" s="131"/>
      <c r="Q415" s="131"/>
      <c r="R415" s="131"/>
      <c r="S415" s="131"/>
      <c r="T415" s="131"/>
      <c r="U415" s="131"/>
      <c r="V415" s="131"/>
      <c r="W415" s="131"/>
      <c r="X415" s="131"/>
      <c r="Y415" s="131"/>
      <c r="Z415" s="142"/>
      <c r="AA415" s="142"/>
      <c r="AB415" s="142"/>
      <c r="AC415" s="142"/>
      <c r="AD415" s="142"/>
      <c r="AE415" s="142"/>
      <c r="AF415" s="142"/>
      <c r="AG415" s="142"/>
      <c r="AH415" s="142"/>
      <c r="AI415" s="142"/>
      <c r="AJ415" s="142"/>
      <c r="AK415" s="142"/>
      <c r="AL415" s="142"/>
      <c r="AM415" s="142"/>
      <c r="AN415" s="142"/>
      <c r="AO415" s="131"/>
    </row>
    <row r="416" ht="13.5" customHeight="1">
      <c r="A416" s="142"/>
      <c r="B416" s="142"/>
      <c r="C416" s="142"/>
      <c r="D416" s="142"/>
      <c r="E416" s="308"/>
      <c r="F416" s="131"/>
      <c r="G416" s="131"/>
      <c r="H416" s="131"/>
      <c r="I416" s="219"/>
      <c r="J416" s="198"/>
      <c r="K416" s="131"/>
      <c r="L416" s="131"/>
      <c r="M416" s="131"/>
      <c r="N416" s="131"/>
      <c r="O416" s="131"/>
      <c r="P416" s="131"/>
      <c r="Q416" s="131"/>
      <c r="R416" s="131"/>
      <c r="S416" s="131"/>
      <c r="T416" s="131"/>
      <c r="U416" s="131"/>
      <c r="V416" s="131"/>
      <c r="W416" s="131"/>
      <c r="X416" s="131"/>
      <c r="Y416" s="131"/>
      <c r="Z416" s="142"/>
      <c r="AA416" s="142"/>
      <c r="AB416" s="142"/>
      <c r="AC416" s="142"/>
      <c r="AD416" s="142"/>
      <c r="AE416" s="142"/>
      <c r="AF416" s="142"/>
      <c r="AG416" s="142"/>
      <c r="AH416" s="142"/>
      <c r="AI416" s="142"/>
      <c r="AJ416" s="142"/>
      <c r="AK416" s="142"/>
      <c r="AL416" s="142"/>
      <c r="AM416" s="142"/>
      <c r="AN416" s="142"/>
      <c r="AO416" s="131"/>
    </row>
    <row r="417" ht="13.5" customHeight="1">
      <c r="A417" s="142"/>
      <c r="B417" s="142"/>
      <c r="C417" s="142"/>
      <c r="D417" s="142"/>
      <c r="E417" s="308"/>
      <c r="F417" s="131"/>
      <c r="G417" s="131"/>
      <c r="H417" s="131"/>
      <c r="I417" s="219"/>
      <c r="J417" s="198"/>
      <c r="K417" s="131"/>
      <c r="L417" s="131"/>
      <c r="M417" s="131"/>
      <c r="N417" s="131"/>
      <c r="O417" s="131"/>
      <c r="P417" s="131"/>
      <c r="Q417" s="131"/>
      <c r="R417" s="131"/>
      <c r="S417" s="131"/>
      <c r="T417" s="131"/>
      <c r="U417" s="131"/>
      <c r="V417" s="131"/>
      <c r="W417" s="131"/>
      <c r="X417" s="131"/>
      <c r="Y417" s="131"/>
      <c r="Z417" s="142"/>
      <c r="AA417" s="142"/>
      <c r="AB417" s="142"/>
      <c r="AC417" s="142"/>
      <c r="AD417" s="142"/>
      <c r="AE417" s="142"/>
      <c r="AF417" s="142"/>
      <c r="AG417" s="142"/>
      <c r="AH417" s="142"/>
      <c r="AI417" s="142"/>
      <c r="AJ417" s="142"/>
      <c r="AK417" s="142"/>
      <c r="AL417" s="142"/>
      <c r="AM417" s="142"/>
      <c r="AN417" s="142"/>
      <c r="AO417" s="131"/>
    </row>
    <row r="418" ht="13.5" customHeight="1">
      <c r="A418" s="142"/>
      <c r="B418" s="142"/>
      <c r="C418" s="142"/>
      <c r="D418" s="142"/>
      <c r="E418" s="308"/>
      <c r="F418" s="131"/>
      <c r="G418" s="131"/>
      <c r="H418" s="131"/>
      <c r="I418" s="219"/>
      <c r="J418" s="198"/>
      <c r="K418" s="131"/>
      <c r="L418" s="131"/>
      <c r="M418" s="131"/>
      <c r="N418" s="131"/>
      <c r="O418" s="131"/>
      <c r="P418" s="131"/>
      <c r="Q418" s="131"/>
      <c r="R418" s="131"/>
      <c r="S418" s="131"/>
      <c r="T418" s="131"/>
      <c r="U418" s="131"/>
      <c r="V418" s="131"/>
      <c r="W418" s="131"/>
      <c r="X418" s="131"/>
      <c r="Y418" s="131"/>
      <c r="Z418" s="142"/>
      <c r="AA418" s="142"/>
      <c r="AB418" s="142"/>
      <c r="AC418" s="142"/>
      <c r="AD418" s="142"/>
      <c r="AE418" s="142"/>
      <c r="AF418" s="142"/>
      <c r="AG418" s="142"/>
      <c r="AH418" s="142"/>
      <c r="AI418" s="142"/>
      <c r="AJ418" s="142"/>
      <c r="AK418" s="142"/>
      <c r="AL418" s="142"/>
      <c r="AM418" s="142"/>
      <c r="AN418" s="142"/>
      <c r="AO418" s="131"/>
    </row>
    <row r="419" ht="13.5" customHeight="1">
      <c r="A419" s="142"/>
      <c r="B419" s="142"/>
      <c r="C419" s="142"/>
      <c r="D419" s="142"/>
      <c r="E419" s="308"/>
      <c r="F419" s="131"/>
      <c r="G419" s="131"/>
      <c r="H419" s="131"/>
      <c r="I419" s="219"/>
      <c r="J419" s="198"/>
      <c r="K419" s="131"/>
      <c r="L419" s="131"/>
      <c r="M419" s="131"/>
      <c r="N419" s="131"/>
      <c r="O419" s="131"/>
      <c r="P419" s="131"/>
      <c r="Q419" s="131"/>
      <c r="R419" s="131"/>
      <c r="S419" s="131"/>
      <c r="T419" s="131"/>
      <c r="U419" s="131"/>
      <c r="V419" s="131"/>
      <c r="W419" s="131"/>
      <c r="X419" s="131"/>
      <c r="Y419" s="131"/>
      <c r="Z419" s="142"/>
      <c r="AA419" s="142"/>
      <c r="AB419" s="142"/>
      <c r="AC419" s="142"/>
      <c r="AD419" s="142"/>
      <c r="AE419" s="142"/>
      <c r="AF419" s="142"/>
      <c r="AG419" s="142"/>
      <c r="AH419" s="142"/>
      <c r="AI419" s="142"/>
      <c r="AJ419" s="142"/>
      <c r="AK419" s="142"/>
      <c r="AL419" s="142"/>
      <c r="AM419" s="142"/>
      <c r="AN419" s="142"/>
      <c r="AO419" s="131"/>
    </row>
    <row r="420" ht="13.5" customHeight="1">
      <c r="A420" s="142"/>
      <c r="B420" s="142"/>
      <c r="C420" s="142"/>
      <c r="D420" s="142"/>
      <c r="E420" s="308"/>
      <c r="F420" s="131"/>
      <c r="G420" s="131"/>
      <c r="H420" s="131"/>
      <c r="I420" s="219"/>
      <c r="J420" s="198"/>
      <c r="K420" s="131"/>
      <c r="L420" s="131"/>
      <c r="M420" s="131"/>
      <c r="N420" s="131"/>
      <c r="O420" s="131"/>
      <c r="P420" s="131"/>
      <c r="Q420" s="131"/>
      <c r="R420" s="131"/>
      <c r="S420" s="131"/>
      <c r="T420" s="131"/>
      <c r="U420" s="131"/>
      <c r="V420" s="131"/>
      <c r="W420" s="131"/>
      <c r="X420" s="131"/>
      <c r="Y420" s="131"/>
      <c r="Z420" s="142"/>
      <c r="AA420" s="142"/>
      <c r="AB420" s="142"/>
      <c r="AC420" s="142"/>
      <c r="AD420" s="142"/>
      <c r="AE420" s="142"/>
      <c r="AF420" s="142"/>
      <c r="AG420" s="142"/>
      <c r="AH420" s="142"/>
      <c r="AI420" s="142"/>
      <c r="AJ420" s="142"/>
      <c r="AK420" s="142"/>
      <c r="AL420" s="142"/>
      <c r="AM420" s="142"/>
      <c r="AN420" s="142"/>
      <c r="AO420" s="131"/>
    </row>
    <row r="421" ht="13.5" customHeight="1">
      <c r="A421" s="142"/>
      <c r="B421" s="142"/>
      <c r="C421" s="142"/>
      <c r="D421" s="142"/>
      <c r="E421" s="308"/>
      <c r="F421" s="131"/>
      <c r="G421" s="131"/>
      <c r="H421" s="131"/>
      <c r="I421" s="219"/>
      <c r="J421" s="198"/>
      <c r="K421" s="131"/>
      <c r="L421" s="131"/>
      <c r="M421" s="131"/>
      <c r="N421" s="131"/>
      <c r="O421" s="131"/>
      <c r="P421" s="131"/>
      <c r="Q421" s="131"/>
      <c r="R421" s="131"/>
      <c r="S421" s="131"/>
      <c r="T421" s="131"/>
      <c r="U421" s="131"/>
      <c r="V421" s="131"/>
      <c r="W421" s="131"/>
      <c r="X421" s="131"/>
      <c r="Y421" s="131"/>
      <c r="Z421" s="142"/>
      <c r="AA421" s="142"/>
      <c r="AB421" s="142"/>
      <c r="AC421" s="142"/>
      <c r="AD421" s="142"/>
      <c r="AE421" s="142"/>
      <c r="AF421" s="142"/>
      <c r="AG421" s="142"/>
      <c r="AH421" s="142"/>
      <c r="AI421" s="142"/>
      <c r="AJ421" s="142"/>
      <c r="AK421" s="142"/>
      <c r="AL421" s="142"/>
      <c r="AM421" s="142"/>
      <c r="AN421" s="142"/>
      <c r="AO421" s="131"/>
    </row>
    <row r="422" ht="13.5" customHeight="1">
      <c r="A422" s="142"/>
      <c r="B422" s="142"/>
      <c r="C422" s="142"/>
      <c r="D422" s="142"/>
      <c r="E422" s="308"/>
      <c r="F422" s="131"/>
      <c r="G422" s="131"/>
      <c r="H422" s="131"/>
      <c r="I422" s="219"/>
      <c r="J422" s="198"/>
      <c r="K422" s="131"/>
      <c r="L422" s="131"/>
      <c r="M422" s="131"/>
      <c r="N422" s="131"/>
      <c r="O422" s="131"/>
      <c r="P422" s="131"/>
      <c r="Q422" s="131"/>
      <c r="R422" s="131"/>
      <c r="S422" s="131"/>
      <c r="T422" s="131"/>
      <c r="U422" s="131"/>
      <c r="V422" s="131"/>
      <c r="W422" s="131"/>
      <c r="X422" s="131"/>
      <c r="Y422" s="131"/>
      <c r="Z422" s="142"/>
      <c r="AA422" s="142"/>
      <c r="AB422" s="142"/>
      <c r="AC422" s="142"/>
      <c r="AD422" s="142"/>
      <c r="AE422" s="142"/>
      <c r="AF422" s="142"/>
      <c r="AG422" s="142"/>
      <c r="AH422" s="142"/>
      <c r="AI422" s="142"/>
      <c r="AJ422" s="142"/>
      <c r="AK422" s="142"/>
      <c r="AL422" s="142"/>
      <c r="AM422" s="142"/>
      <c r="AN422" s="142"/>
      <c r="AO422" s="131"/>
    </row>
    <row r="423" ht="13.5" customHeight="1">
      <c r="A423" s="142"/>
      <c r="B423" s="142"/>
      <c r="C423" s="142"/>
      <c r="D423" s="142"/>
      <c r="E423" s="308"/>
      <c r="F423" s="131"/>
      <c r="G423" s="131"/>
      <c r="H423" s="131"/>
      <c r="I423" s="219"/>
      <c r="J423" s="198"/>
      <c r="K423" s="131"/>
      <c r="L423" s="131"/>
      <c r="M423" s="131"/>
      <c r="N423" s="131"/>
      <c r="O423" s="131"/>
      <c r="P423" s="131"/>
      <c r="Q423" s="131"/>
      <c r="R423" s="131"/>
      <c r="S423" s="131"/>
      <c r="T423" s="131"/>
      <c r="U423" s="131"/>
      <c r="V423" s="131"/>
      <c r="W423" s="131"/>
      <c r="X423" s="131"/>
      <c r="Y423" s="131"/>
      <c r="Z423" s="142"/>
      <c r="AA423" s="142"/>
      <c r="AB423" s="142"/>
      <c r="AC423" s="142"/>
      <c r="AD423" s="142"/>
      <c r="AE423" s="142"/>
      <c r="AF423" s="142"/>
      <c r="AG423" s="142"/>
      <c r="AH423" s="142"/>
      <c r="AI423" s="142"/>
      <c r="AJ423" s="142"/>
      <c r="AK423" s="142"/>
      <c r="AL423" s="142"/>
      <c r="AM423" s="142"/>
      <c r="AN423" s="142"/>
      <c r="AO423" s="131"/>
    </row>
    <row r="424" ht="13.5" customHeight="1">
      <c r="A424" s="142"/>
      <c r="B424" s="142"/>
      <c r="C424" s="142"/>
      <c r="D424" s="142"/>
      <c r="E424" s="308"/>
      <c r="F424" s="131"/>
      <c r="G424" s="131"/>
      <c r="H424" s="131"/>
      <c r="I424" s="219"/>
      <c r="J424" s="198"/>
      <c r="K424" s="131"/>
      <c r="L424" s="131"/>
      <c r="M424" s="131"/>
      <c r="N424" s="131"/>
      <c r="O424" s="131"/>
      <c r="P424" s="131"/>
      <c r="Q424" s="131"/>
      <c r="R424" s="131"/>
      <c r="S424" s="131"/>
      <c r="T424" s="131"/>
      <c r="U424" s="131"/>
      <c r="V424" s="131"/>
      <c r="W424" s="131"/>
      <c r="X424" s="131"/>
      <c r="Y424" s="131"/>
      <c r="Z424" s="142"/>
      <c r="AA424" s="142"/>
      <c r="AB424" s="142"/>
      <c r="AC424" s="142"/>
      <c r="AD424" s="142"/>
      <c r="AE424" s="142"/>
      <c r="AF424" s="142"/>
      <c r="AG424" s="142"/>
      <c r="AH424" s="142"/>
      <c r="AI424" s="142"/>
      <c r="AJ424" s="142"/>
      <c r="AK424" s="142"/>
      <c r="AL424" s="142"/>
      <c r="AM424" s="142"/>
      <c r="AN424" s="142"/>
      <c r="AO424" s="131"/>
    </row>
    <row r="425" ht="13.5" customHeight="1">
      <c r="A425" s="142"/>
      <c r="B425" s="142"/>
      <c r="C425" s="142"/>
      <c r="D425" s="142"/>
      <c r="E425" s="308"/>
      <c r="F425" s="131"/>
      <c r="G425" s="131"/>
      <c r="H425" s="131"/>
      <c r="I425" s="219"/>
      <c r="J425" s="198"/>
      <c r="K425" s="131"/>
      <c r="L425" s="131"/>
      <c r="M425" s="131"/>
      <c r="N425" s="131"/>
      <c r="O425" s="131"/>
      <c r="P425" s="131"/>
      <c r="Q425" s="131"/>
      <c r="R425" s="131"/>
      <c r="S425" s="131"/>
      <c r="T425" s="131"/>
      <c r="U425" s="131"/>
      <c r="V425" s="131"/>
      <c r="W425" s="131"/>
      <c r="X425" s="131"/>
      <c r="Y425" s="131"/>
      <c r="Z425" s="142"/>
      <c r="AA425" s="142"/>
      <c r="AB425" s="142"/>
      <c r="AC425" s="142"/>
      <c r="AD425" s="142"/>
      <c r="AE425" s="142"/>
      <c r="AF425" s="142"/>
      <c r="AG425" s="142"/>
      <c r="AH425" s="142"/>
      <c r="AI425" s="142"/>
      <c r="AJ425" s="142"/>
      <c r="AK425" s="142"/>
      <c r="AL425" s="142"/>
      <c r="AM425" s="142"/>
      <c r="AN425" s="142"/>
      <c r="AO425" s="131"/>
    </row>
    <row r="426" ht="13.5" customHeight="1">
      <c r="A426" s="142"/>
      <c r="B426" s="142"/>
      <c r="C426" s="142"/>
      <c r="D426" s="142"/>
      <c r="E426" s="308"/>
      <c r="F426" s="131"/>
      <c r="G426" s="131"/>
      <c r="H426" s="131"/>
      <c r="I426" s="219"/>
      <c r="J426" s="198"/>
      <c r="K426" s="131"/>
      <c r="L426" s="131"/>
      <c r="M426" s="131"/>
      <c r="N426" s="131"/>
      <c r="O426" s="131"/>
      <c r="P426" s="131"/>
      <c r="Q426" s="131"/>
      <c r="R426" s="131"/>
      <c r="S426" s="131"/>
      <c r="T426" s="131"/>
      <c r="U426" s="131"/>
      <c r="V426" s="131"/>
      <c r="W426" s="131"/>
      <c r="X426" s="131"/>
      <c r="Y426" s="131"/>
      <c r="Z426" s="142"/>
      <c r="AA426" s="142"/>
      <c r="AB426" s="142"/>
      <c r="AC426" s="142"/>
      <c r="AD426" s="142"/>
      <c r="AE426" s="142"/>
      <c r="AF426" s="142"/>
      <c r="AG426" s="142"/>
      <c r="AH426" s="142"/>
      <c r="AI426" s="142"/>
      <c r="AJ426" s="142"/>
      <c r="AK426" s="142"/>
      <c r="AL426" s="142"/>
      <c r="AM426" s="142"/>
      <c r="AN426" s="142"/>
      <c r="AO426" s="131"/>
    </row>
    <row r="427" ht="13.5" customHeight="1">
      <c r="A427" s="142"/>
      <c r="B427" s="142"/>
      <c r="C427" s="142"/>
      <c r="D427" s="142"/>
      <c r="E427" s="308"/>
      <c r="F427" s="131"/>
      <c r="G427" s="131"/>
      <c r="H427" s="131"/>
      <c r="I427" s="219"/>
      <c r="J427" s="198"/>
      <c r="K427" s="131"/>
      <c r="L427" s="131"/>
      <c r="M427" s="131"/>
      <c r="N427" s="131"/>
      <c r="O427" s="131"/>
      <c r="P427" s="131"/>
      <c r="Q427" s="131"/>
      <c r="R427" s="131"/>
      <c r="S427" s="131"/>
      <c r="T427" s="131"/>
      <c r="U427" s="131"/>
      <c r="V427" s="131"/>
      <c r="W427" s="131"/>
      <c r="X427" s="131"/>
      <c r="Y427" s="131"/>
      <c r="Z427" s="142"/>
      <c r="AA427" s="142"/>
      <c r="AB427" s="142"/>
      <c r="AC427" s="142"/>
      <c r="AD427" s="142"/>
      <c r="AE427" s="142"/>
      <c r="AF427" s="142"/>
      <c r="AG427" s="142"/>
      <c r="AH427" s="142"/>
      <c r="AI427" s="142"/>
      <c r="AJ427" s="142"/>
      <c r="AK427" s="142"/>
      <c r="AL427" s="142"/>
      <c r="AM427" s="142"/>
      <c r="AN427" s="142"/>
      <c r="AO427" s="131"/>
    </row>
    <row r="428" ht="13.5" customHeight="1">
      <c r="A428" s="142"/>
      <c r="B428" s="142"/>
      <c r="C428" s="142"/>
      <c r="D428" s="142"/>
      <c r="E428" s="308"/>
      <c r="F428" s="131"/>
      <c r="G428" s="131"/>
      <c r="H428" s="131"/>
      <c r="I428" s="219"/>
      <c r="J428" s="198"/>
      <c r="K428" s="131"/>
      <c r="L428" s="131"/>
      <c r="M428" s="131"/>
      <c r="N428" s="131"/>
      <c r="O428" s="131"/>
      <c r="P428" s="131"/>
      <c r="Q428" s="131"/>
      <c r="R428" s="131"/>
      <c r="S428" s="131"/>
      <c r="T428" s="131"/>
      <c r="U428" s="131"/>
      <c r="V428" s="131"/>
      <c r="W428" s="131"/>
      <c r="X428" s="131"/>
      <c r="Y428" s="131"/>
      <c r="Z428" s="142"/>
      <c r="AA428" s="142"/>
      <c r="AB428" s="142"/>
      <c r="AC428" s="142"/>
      <c r="AD428" s="142"/>
      <c r="AE428" s="142"/>
      <c r="AF428" s="142"/>
      <c r="AG428" s="142"/>
      <c r="AH428" s="142"/>
      <c r="AI428" s="142"/>
      <c r="AJ428" s="142"/>
      <c r="AK428" s="142"/>
      <c r="AL428" s="142"/>
      <c r="AM428" s="142"/>
      <c r="AN428" s="142"/>
      <c r="AO428" s="131"/>
    </row>
    <row r="429" ht="13.5" customHeight="1">
      <c r="A429" s="142"/>
      <c r="B429" s="142"/>
      <c r="C429" s="142"/>
      <c r="D429" s="142"/>
      <c r="E429" s="308"/>
      <c r="F429" s="131"/>
      <c r="G429" s="131"/>
      <c r="H429" s="131"/>
      <c r="I429" s="219"/>
      <c r="J429" s="198"/>
      <c r="K429" s="131"/>
      <c r="L429" s="131"/>
      <c r="M429" s="131"/>
      <c r="N429" s="131"/>
      <c r="O429" s="131"/>
      <c r="P429" s="131"/>
      <c r="Q429" s="131"/>
      <c r="R429" s="131"/>
      <c r="S429" s="131"/>
      <c r="T429" s="131"/>
      <c r="U429" s="131"/>
      <c r="V429" s="131"/>
      <c r="W429" s="131"/>
      <c r="X429" s="131"/>
      <c r="Y429" s="131"/>
      <c r="Z429" s="142"/>
      <c r="AA429" s="142"/>
      <c r="AB429" s="142"/>
      <c r="AC429" s="142"/>
      <c r="AD429" s="142"/>
      <c r="AE429" s="142"/>
      <c r="AF429" s="142"/>
      <c r="AG429" s="142"/>
      <c r="AH429" s="142"/>
      <c r="AI429" s="142"/>
      <c r="AJ429" s="142"/>
      <c r="AK429" s="142"/>
      <c r="AL429" s="142"/>
      <c r="AM429" s="142"/>
      <c r="AN429" s="142"/>
      <c r="AO429" s="131"/>
    </row>
    <row r="430" ht="13.5" customHeight="1">
      <c r="A430" s="142"/>
      <c r="B430" s="142"/>
      <c r="C430" s="142"/>
      <c r="D430" s="142"/>
      <c r="E430" s="308"/>
      <c r="F430" s="131"/>
      <c r="G430" s="131"/>
      <c r="H430" s="131"/>
      <c r="I430" s="219"/>
      <c r="J430" s="198"/>
      <c r="K430" s="131"/>
      <c r="L430" s="131"/>
      <c r="M430" s="131"/>
      <c r="N430" s="131"/>
      <c r="O430" s="131"/>
      <c r="P430" s="131"/>
      <c r="Q430" s="131"/>
      <c r="R430" s="131"/>
      <c r="S430" s="131"/>
      <c r="T430" s="131"/>
      <c r="U430" s="131"/>
      <c r="V430" s="131"/>
      <c r="W430" s="131"/>
      <c r="X430" s="131"/>
      <c r="Y430" s="131"/>
      <c r="Z430" s="142"/>
      <c r="AA430" s="142"/>
      <c r="AB430" s="142"/>
      <c r="AC430" s="142"/>
      <c r="AD430" s="142"/>
      <c r="AE430" s="142"/>
      <c r="AF430" s="142"/>
      <c r="AG430" s="142"/>
      <c r="AH430" s="142"/>
      <c r="AI430" s="142"/>
      <c r="AJ430" s="142"/>
      <c r="AK430" s="142"/>
      <c r="AL430" s="142"/>
      <c r="AM430" s="142"/>
      <c r="AN430" s="142"/>
      <c r="AO430" s="131"/>
    </row>
    <row r="431" ht="13.5" customHeight="1">
      <c r="A431" s="142"/>
      <c r="B431" s="142"/>
      <c r="C431" s="142"/>
      <c r="D431" s="142"/>
      <c r="E431" s="308"/>
      <c r="F431" s="131"/>
      <c r="G431" s="131"/>
      <c r="H431" s="131"/>
      <c r="I431" s="219"/>
      <c r="J431" s="198"/>
      <c r="K431" s="131"/>
      <c r="L431" s="131"/>
      <c r="M431" s="131"/>
      <c r="N431" s="131"/>
      <c r="O431" s="131"/>
      <c r="P431" s="131"/>
      <c r="Q431" s="131"/>
      <c r="R431" s="131"/>
      <c r="S431" s="131"/>
      <c r="T431" s="131"/>
      <c r="U431" s="131"/>
      <c r="V431" s="131"/>
      <c r="W431" s="131"/>
      <c r="X431" s="131"/>
      <c r="Y431" s="131"/>
      <c r="Z431" s="142"/>
      <c r="AA431" s="142"/>
      <c r="AB431" s="142"/>
      <c r="AC431" s="142"/>
      <c r="AD431" s="142"/>
      <c r="AE431" s="142"/>
      <c r="AF431" s="142"/>
      <c r="AG431" s="142"/>
      <c r="AH431" s="142"/>
      <c r="AI431" s="142"/>
      <c r="AJ431" s="142"/>
      <c r="AK431" s="142"/>
      <c r="AL431" s="142"/>
      <c r="AM431" s="142"/>
      <c r="AN431" s="142"/>
      <c r="AO431" s="131"/>
    </row>
    <row r="432" ht="13.5" customHeight="1">
      <c r="A432" s="142"/>
      <c r="B432" s="142"/>
      <c r="C432" s="142"/>
      <c r="D432" s="142"/>
      <c r="E432" s="308"/>
      <c r="F432" s="131"/>
      <c r="G432" s="131"/>
      <c r="H432" s="131"/>
      <c r="I432" s="219"/>
      <c r="J432" s="198"/>
      <c r="K432" s="131"/>
      <c r="L432" s="131"/>
      <c r="M432" s="131"/>
      <c r="N432" s="131"/>
      <c r="O432" s="131"/>
      <c r="P432" s="131"/>
      <c r="Q432" s="131"/>
      <c r="R432" s="131"/>
      <c r="S432" s="131"/>
      <c r="T432" s="131"/>
      <c r="U432" s="131"/>
      <c r="V432" s="131"/>
      <c r="W432" s="131"/>
      <c r="X432" s="131"/>
      <c r="Y432" s="131"/>
      <c r="Z432" s="142"/>
      <c r="AA432" s="142"/>
      <c r="AB432" s="142"/>
      <c r="AC432" s="142"/>
      <c r="AD432" s="142"/>
      <c r="AE432" s="142"/>
      <c r="AF432" s="142"/>
      <c r="AG432" s="142"/>
      <c r="AH432" s="142"/>
      <c r="AI432" s="142"/>
      <c r="AJ432" s="142"/>
      <c r="AK432" s="142"/>
      <c r="AL432" s="142"/>
      <c r="AM432" s="142"/>
      <c r="AN432" s="142"/>
      <c r="AO432" s="131"/>
    </row>
    <row r="433" ht="13.5" customHeight="1">
      <c r="A433" s="142"/>
      <c r="B433" s="142"/>
      <c r="C433" s="142"/>
      <c r="D433" s="142"/>
      <c r="E433" s="308"/>
      <c r="F433" s="131"/>
      <c r="G433" s="131"/>
      <c r="H433" s="131"/>
      <c r="I433" s="219"/>
      <c r="J433" s="198"/>
      <c r="K433" s="131"/>
      <c r="L433" s="131"/>
      <c r="M433" s="131"/>
      <c r="N433" s="131"/>
      <c r="O433" s="131"/>
      <c r="P433" s="131"/>
      <c r="Q433" s="131"/>
      <c r="R433" s="131"/>
      <c r="S433" s="131"/>
      <c r="T433" s="131"/>
      <c r="U433" s="131"/>
      <c r="V433" s="131"/>
      <c r="W433" s="131"/>
      <c r="X433" s="131"/>
      <c r="Y433" s="131"/>
      <c r="Z433" s="142"/>
      <c r="AA433" s="142"/>
      <c r="AB433" s="142"/>
      <c r="AC433" s="142"/>
      <c r="AD433" s="142"/>
      <c r="AE433" s="142"/>
      <c r="AF433" s="142"/>
      <c r="AG433" s="142"/>
      <c r="AH433" s="142"/>
      <c r="AI433" s="142"/>
      <c r="AJ433" s="142"/>
      <c r="AK433" s="142"/>
      <c r="AL433" s="142"/>
      <c r="AM433" s="142"/>
      <c r="AN433" s="142"/>
      <c r="AO433" s="131"/>
    </row>
    <row r="434" ht="13.5" customHeight="1">
      <c r="A434" s="142"/>
      <c r="B434" s="142"/>
      <c r="C434" s="142"/>
      <c r="D434" s="142"/>
      <c r="E434" s="308"/>
      <c r="F434" s="131"/>
      <c r="G434" s="131"/>
      <c r="H434" s="131"/>
      <c r="I434" s="219"/>
      <c r="J434" s="198"/>
      <c r="K434" s="131"/>
      <c r="L434" s="131"/>
      <c r="M434" s="131"/>
      <c r="N434" s="131"/>
      <c r="O434" s="131"/>
      <c r="P434" s="131"/>
      <c r="Q434" s="131"/>
      <c r="R434" s="131"/>
      <c r="S434" s="131"/>
      <c r="T434" s="131"/>
      <c r="U434" s="131"/>
      <c r="V434" s="131"/>
      <c r="W434" s="131"/>
      <c r="X434" s="131"/>
      <c r="Y434" s="131"/>
      <c r="Z434" s="142"/>
      <c r="AA434" s="142"/>
      <c r="AB434" s="142"/>
      <c r="AC434" s="142"/>
      <c r="AD434" s="142"/>
      <c r="AE434" s="142"/>
      <c r="AF434" s="142"/>
      <c r="AG434" s="142"/>
      <c r="AH434" s="142"/>
      <c r="AI434" s="142"/>
      <c r="AJ434" s="142"/>
      <c r="AK434" s="142"/>
      <c r="AL434" s="142"/>
      <c r="AM434" s="142"/>
      <c r="AN434" s="142"/>
      <c r="AO434" s="131"/>
    </row>
    <row r="435" ht="13.5" customHeight="1">
      <c r="A435" s="142"/>
      <c r="B435" s="142"/>
      <c r="C435" s="142"/>
      <c r="D435" s="142"/>
      <c r="E435" s="308"/>
      <c r="F435" s="131"/>
      <c r="G435" s="131"/>
      <c r="H435" s="131"/>
      <c r="I435" s="219"/>
      <c r="J435" s="198"/>
      <c r="K435" s="131"/>
      <c r="L435" s="131"/>
      <c r="M435" s="131"/>
      <c r="N435" s="131"/>
      <c r="O435" s="131"/>
      <c r="P435" s="131"/>
      <c r="Q435" s="131"/>
      <c r="R435" s="131"/>
      <c r="S435" s="131"/>
      <c r="T435" s="131"/>
      <c r="U435" s="131"/>
      <c r="V435" s="131"/>
      <c r="W435" s="131"/>
      <c r="X435" s="131"/>
      <c r="Y435" s="131"/>
      <c r="Z435" s="142"/>
      <c r="AA435" s="142"/>
      <c r="AB435" s="142"/>
      <c r="AC435" s="142"/>
      <c r="AD435" s="142"/>
      <c r="AE435" s="142"/>
      <c r="AF435" s="142"/>
      <c r="AG435" s="142"/>
      <c r="AH435" s="142"/>
      <c r="AI435" s="142"/>
      <c r="AJ435" s="142"/>
      <c r="AK435" s="142"/>
      <c r="AL435" s="142"/>
      <c r="AM435" s="142"/>
      <c r="AN435" s="142"/>
      <c r="AO435" s="131"/>
    </row>
    <row r="436" ht="13.5" customHeight="1">
      <c r="A436" s="142"/>
      <c r="B436" s="142"/>
      <c r="C436" s="142"/>
      <c r="D436" s="142"/>
      <c r="E436" s="308"/>
      <c r="F436" s="131"/>
      <c r="G436" s="131"/>
      <c r="H436" s="131"/>
      <c r="I436" s="219"/>
      <c r="J436" s="198"/>
      <c r="K436" s="131"/>
      <c r="L436" s="131"/>
      <c r="M436" s="131"/>
      <c r="N436" s="131"/>
      <c r="O436" s="131"/>
      <c r="P436" s="131"/>
      <c r="Q436" s="131"/>
      <c r="R436" s="131"/>
      <c r="S436" s="131"/>
      <c r="T436" s="131"/>
      <c r="U436" s="131"/>
      <c r="V436" s="131"/>
      <c r="W436" s="131"/>
      <c r="X436" s="131"/>
      <c r="Y436" s="131"/>
      <c r="Z436" s="142"/>
      <c r="AA436" s="142"/>
      <c r="AB436" s="142"/>
      <c r="AC436" s="142"/>
      <c r="AD436" s="142"/>
      <c r="AE436" s="142"/>
      <c r="AF436" s="142"/>
      <c r="AG436" s="142"/>
      <c r="AH436" s="142"/>
      <c r="AI436" s="142"/>
      <c r="AJ436" s="142"/>
      <c r="AK436" s="142"/>
      <c r="AL436" s="142"/>
      <c r="AM436" s="142"/>
      <c r="AN436" s="142"/>
      <c r="AO436" s="131"/>
    </row>
    <row r="437" ht="13.5" customHeight="1">
      <c r="A437" s="142"/>
      <c r="B437" s="142"/>
      <c r="C437" s="142"/>
      <c r="D437" s="142"/>
      <c r="E437" s="308"/>
      <c r="F437" s="131"/>
      <c r="G437" s="131"/>
      <c r="H437" s="131"/>
      <c r="I437" s="219"/>
      <c r="J437" s="198"/>
      <c r="K437" s="131"/>
      <c r="L437" s="131"/>
      <c r="M437" s="131"/>
      <c r="N437" s="131"/>
      <c r="O437" s="131"/>
      <c r="P437" s="131"/>
      <c r="Q437" s="131"/>
      <c r="R437" s="131"/>
      <c r="S437" s="131"/>
      <c r="T437" s="131"/>
      <c r="U437" s="131"/>
      <c r="V437" s="131"/>
      <c r="W437" s="131"/>
      <c r="X437" s="131"/>
      <c r="Y437" s="131"/>
      <c r="Z437" s="142"/>
      <c r="AA437" s="142"/>
      <c r="AB437" s="142"/>
      <c r="AC437" s="142"/>
      <c r="AD437" s="142"/>
      <c r="AE437" s="142"/>
      <c r="AF437" s="142"/>
      <c r="AG437" s="142"/>
      <c r="AH437" s="142"/>
      <c r="AI437" s="142"/>
      <c r="AJ437" s="142"/>
      <c r="AK437" s="142"/>
      <c r="AL437" s="142"/>
      <c r="AM437" s="142"/>
      <c r="AN437" s="142"/>
      <c r="AO437" s="131"/>
    </row>
    <row r="438" ht="13.5" customHeight="1">
      <c r="A438" s="142"/>
      <c r="B438" s="142"/>
      <c r="C438" s="142"/>
      <c r="D438" s="142"/>
      <c r="E438" s="308"/>
      <c r="F438" s="131"/>
      <c r="G438" s="131"/>
      <c r="H438" s="131"/>
      <c r="I438" s="219"/>
      <c r="J438" s="198"/>
      <c r="K438" s="131"/>
      <c r="L438" s="131"/>
      <c r="M438" s="131"/>
      <c r="N438" s="131"/>
      <c r="O438" s="131"/>
      <c r="P438" s="131"/>
      <c r="Q438" s="131"/>
      <c r="R438" s="131"/>
      <c r="S438" s="131"/>
      <c r="T438" s="131"/>
      <c r="U438" s="131"/>
      <c r="V438" s="131"/>
      <c r="W438" s="131"/>
      <c r="X438" s="131"/>
      <c r="Y438" s="131"/>
      <c r="Z438" s="142"/>
      <c r="AA438" s="142"/>
      <c r="AB438" s="142"/>
      <c r="AC438" s="142"/>
      <c r="AD438" s="142"/>
      <c r="AE438" s="142"/>
      <c r="AF438" s="142"/>
      <c r="AG438" s="142"/>
      <c r="AH438" s="142"/>
      <c r="AI438" s="142"/>
      <c r="AJ438" s="142"/>
      <c r="AK438" s="142"/>
      <c r="AL438" s="142"/>
      <c r="AM438" s="142"/>
      <c r="AN438" s="142"/>
      <c r="AO438" s="131"/>
    </row>
    <row r="439" ht="13.5" customHeight="1">
      <c r="A439" s="142"/>
      <c r="B439" s="142"/>
      <c r="C439" s="142"/>
      <c r="D439" s="142"/>
      <c r="E439" s="308"/>
      <c r="F439" s="131"/>
      <c r="G439" s="131"/>
      <c r="H439" s="131"/>
      <c r="I439" s="219"/>
      <c r="J439" s="198"/>
      <c r="K439" s="131"/>
      <c r="L439" s="131"/>
      <c r="M439" s="131"/>
      <c r="N439" s="131"/>
      <c r="O439" s="131"/>
      <c r="P439" s="131"/>
      <c r="Q439" s="131"/>
      <c r="R439" s="131"/>
      <c r="S439" s="131"/>
      <c r="T439" s="131"/>
      <c r="U439" s="131"/>
      <c r="V439" s="131"/>
      <c r="W439" s="131"/>
      <c r="X439" s="131"/>
      <c r="Y439" s="131"/>
      <c r="Z439" s="142"/>
      <c r="AA439" s="142"/>
      <c r="AB439" s="142"/>
      <c r="AC439" s="142"/>
      <c r="AD439" s="142"/>
      <c r="AE439" s="142"/>
      <c r="AF439" s="142"/>
      <c r="AG439" s="142"/>
      <c r="AH439" s="142"/>
      <c r="AI439" s="142"/>
      <c r="AJ439" s="142"/>
      <c r="AK439" s="142"/>
      <c r="AL439" s="142"/>
      <c r="AM439" s="142"/>
      <c r="AN439" s="142"/>
      <c r="AO439" s="131"/>
    </row>
    <row r="440" ht="13.5" customHeight="1">
      <c r="A440" s="142"/>
      <c r="B440" s="142"/>
      <c r="C440" s="142"/>
      <c r="D440" s="142"/>
      <c r="E440" s="308"/>
      <c r="F440" s="131"/>
      <c r="G440" s="131"/>
      <c r="H440" s="131"/>
      <c r="I440" s="219"/>
      <c r="J440" s="198"/>
      <c r="K440" s="131"/>
      <c r="L440" s="131"/>
      <c r="M440" s="131"/>
      <c r="N440" s="131"/>
      <c r="O440" s="131"/>
      <c r="P440" s="131"/>
      <c r="Q440" s="131"/>
      <c r="R440" s="131"/>
      <c r="S440" s="131"/>
      <c r="T440" s="131"/>
      <c r="U440" s="131"/>
      <c r="V440" s="131"/>
      <c r="W440" s="131"/>
      <c r="X440" s="131"/>
      <c r="Y440" s="131"/>
      <c r="Z440" s="142"/>
      <c r="AA440" s="142"/>
      <c r="AB440" s="142"/>
      <c r="AC440" s="142"/>
      <c r="AD440" s="142"/>
      <c r="AE440" s="142"/>
      <c r="AF440" s="142"/>
      <c r="AG440" s="142"/>
      <c r="AH440" s="142"/>
      <c r="AI440" s="142"/>
      <c r="AJ440" s="142"/>
      <c r="AK440" s="142"/>
      <c r="AL440" s="142"/>
      <c r="AM440" s="142"/>
      <c r="AN440" s="142"/>
      <c r="AO440" s="131"/>
    </row>
    <row r="441" ht="13.5" customHeight="1">
      <c r="A441" s="142"/>
      <c r="B441" s="142"/>
      <c r="C441" s="142"/>
      <c r="D441" s="142"/>
      <c r="E441" s="308"/>
      <c r="F441" s="131"/>
      <c r="G441" s="131"/>
      <c r="H441" s="131"/>
      <c r="I441" s="219"/>
      <c r="J441" s="198"/>
      <c r="K441" s="131"/>
      <c r="L441" s="131"/>
      <c r="M441" s="131"/>
      <c r="N441" s="131"/>
      <c r="O441" s="131"/>
      <c r="P441" s="131"/>
      <c r="Q441" s="131"/>
      <c r="R441" s="131"/>
      <c r="S441" s="131"/>
      <c r="T441" s="131"/>
      <c r="U441" s="131"/>
      <c r="V441" s="131"/>
      <c r="W441" s="131"/>
      <c r="X441" s="131"/>
      <c r="Y441" s="131"/>
      <c r="Z441" s="142"/>
      <c r="AA441" s="142"/>
      <c r="AB441" s="142"/>
      <c r="AC441" s="142"/>
      <c r="AD441" s="142"/>
      <c r="AE441" s="142"/>
      <c r="AF441" s="142"/>
      <c r="AG441" s="142"/>
      <c r="AH441" s="142"/>
      <c r="AI441" s="142"/>
      <c r="AJ441" s="142"/>
      <c r="AK441" s="142"/>
      <c r="AL441" s="142"/>
      <c r="AM441" s="142"/>
      <c r="AN441" s="142"/>
      <c r="AO441" s="131"/>
    </row>
    <row r="442" ht="13.5" customHeight="1">
      <c r="A442" s="142"/>
      <c r="B442" s="142"/>
      <c r="C442" s="142"/>
      <c r="D442" s="142"/>
      <c r="E442" s="308"/>
      <c r="F442" s="131"/>
      <c r="G442" s="131"/>
      <c r="H442" s="131"/>
      <c r="I442" s="219"/>
      <c r="J442" s="198"/>
      <c r="K442" s="131"/>
      <c r="L442" s="131"/>
      <c r="M442" s="131"/>
      <c r="N442" s="131"/>
      <c r="O442" s="131"/>
      <c r="P442" s="131"/>
      <c r="Q442" s="131"/>
      <c r="R442" s="131"/>
      <c r="S442" s="131"/>
      <c r="T442" s="131"/>
      <c r="U442" s="131"/>
      <c r="V442" s="131"/>
      <c r="W442" s="131"/>
      <c r="X442" s="131"/>
      <c r="Y442" s="131"/>
      <c r="Z442" s="142"/>
      <c r="AA442" s="142"/>
      <c r="AB442" s="142"/>
      <c r="AC442" s="142"/>
      <c r="AD442" s="142"/>
      <c r="AE442" s="142"/>
      <c r="AF442" s="142"/>
      <c r="AG442" s="142"/>
      <c r="AH442" s="142"/>
      <c r="AI442" s="142"/>
      <c r="AJ442" s="142"/>
      <c r="AK442" s="142"/>
      <c r="AL442" s="142"/>
      <c r="AM442" s="142"/>
      <c r="AN442" s="142"/>
      <c r="AO442" s="131"/>
    </row>
    <row r="443" ht="13.5" customHeight="1">
      <c r="A443" s="142"/>
      <c r="B443" s="142"/>
      <c r="C443" s="142"/>
      <c r="D443" s="142"/>
      <c r="E443" s="308"/>
      <c r="F443" s="131"/>
      <c r="G443" s="131"/>
      <c r="H443" s="131"/>
      <c r="I443" s="219"/>
      <c r="J443" s="198"/>
      <c r="K443" s="131"/>
      <c r="L443" s="131"/>
      <c r="M443" s="131"/>
      <c r="N443" s="131"/>
      <c r="O443" s="131"/>
      <c r="P443" s="131"/>
      <c r="Q443" s="131"/>
      <c r="R443" s="131"/>
      <c r="S443" s="131"/>
      <c r="T443" s="131"/>
      <c r="U443" s="131"/>
      <c r="V443" s="131"/>
      <c r="W443" s="131"/>
      <c r="X443" s="131"/>
      <c r="Y443" s="131"/>
      <c r="Z443" s="142"/>
      <c r="AA443" s="142"/>
      <c r="AB443" s="142"/>
      <c r="AC443" s="142"/>
      <c r="AD443" s="142"/>
      <c r="AE443" s="142"/>
      <c r="AF443" s="142"/>
      <c r="AG443" s="142"/>
      <c r="AH443" s="142"/>
      <c r="AI443" s="142"/>
      <c r="AJ443" s="142"/>
      <c r="AK443" s="142"/>
      <c r="AL443" s="142"/>
      <c r="AM443" s="142"/>
      <c r="AN443" s="142"/>
      <c r="AO443" s="131"/>
    </row>
    <row r="444" ht="13.5" customHeight="1">
      <c r="A444" s="142"/>
      <c r="B444" s="142"/>
      <c r="C444" s="142"/>
      <c r="D444" s="142"/>
      <c r="E444" s="308"/>
      <c r="F444" s="131"/>
      <c r="G444" s="131"/>
      <c r="H444" s="131"/>
      <c r="I444" s="219"/>
      <c r="J444" s="198"/>
      <c r="K444" s="131"/>
      <c r="L444" s="131"/>
      <c r="M444" s="131"/>
      <c r="N444" s="131"/>
      <c r="O444" s="131"/>
      <c r="P444" s="131"/>
      <c r="Q444" s="131"/>
      <c r="R444" s="131"/>
      <c r="S444" s="131"/>
      <c r="T444" s="131"/>
      <c r="U444" s="131"/>
      <c r="V444" s="131"/>
      <c r="W444" s="131"/>
      <c r="X444" s="131"/>
      <c r="Y444" s="131"/>
      <c r="Z444" s="142"/>
      <c r="AA444" s="142"/>
      <c r="AB444" s="142"/>
      <c r="AC444" s="142"/>
      <c r="AD444" s="142"/>
      <c r="AE444" s="142"/>
      <c r="AF444" s="142"/>
      <c r="AG444" s="142"/>
      <c r="AH444" s="142"/>
      <c r="AI444" s="142"/>
      <c r="AJ444" s="142"/>
      <c r="AK444" s="142"/>
      <c r="AL444" s="142"/>
      <c r="AM444" s="142"/>
      <c r="AN444" s="142"/>
      <c r="AO444" s="131"/>
    </row>
    <row r="445" ht="13.5" customHeight="1">
      <c r="A445" s="142"/>
      <c r="B445" s="142"/>
      <c r="C445" s="142"/>
      <c r="D445" s="142"/>
      <c r="E445" s="308"/>
      <c r="F445" s="131"/>
      <c r="G445" s="131"/>
      <c r="H445" s="131"/>
      <c r="I445" s="219"/>
      <c r="J445" s="198"/>
      <c r="K445" s="131"/>
      <c r="L445" s="131"/>
      <c r="M445" s="131"/>
      <c r="N445" s="131"/>
      <c r="O445" s="131"/>
      <c r="P445" s="131"/>
      <c r="Q445" s="131"/>
      <c r="R445" s="131"/>
      <c r="S445" s="131"/>
      <c r="T445" s="131"/>
      <c r="U445" s="131"/>
      <c r="V445" s="131"/>
      <c r="W445" s="131"/>
      <c r="X445" s="131"/>
      <c r="Y445" s="131"/>
      <c r="Z445" s="142"/>
      <c r="AA445" s="142"/>
      <c r="AB445" s="142"/>
      <c r="AC445" s="142"/>
      <c r="AD445" s="142"/>
      <c r="AE445" s="142"/>
      <c r="AF445" s="142"/>
      <c r="AG445" s="142"/>
      <c r="AH445" s="142"/>
      <c r="AI445" s="142"/>
      <c r="AJ445" s="142"/>
      <c r="AK445" s="142"/>
      <c r="AL445" s="142"/>
      <c r="AM445" s="142"/>
      <c r="AN445" s="142"/>
      <c r="AO445" s="131"/>
    </row>
    <row r="446" ht="13.5" customHeight="1">
      <c r="A446" s="142"/>
      <c r="B446" s="142"/>
      <c r="C446" s="142"/>
      <c r="D446" s="142"/>
      <c r="E446" s="308"/>
      <c r="F446" s="131"/>
      <c r="G446" s="131"/>
      <c r="H446" s="131"/>
      <c r="I446" s="219"/>
      <c r="J446" s="198"/>
      <c r="K446" s="131"/>
      <c r="L446" s="131"/>
      <c r="M446" s="131"/>
      <c r="N446" s="131"/>
      <c r="O446" s="131"/>
      <c r="P446" s="131"/>
      <c r="Q446" s="131"/>
      <c r="R446" s="131"/>
      <c r="S446" s="131"/>
      <c r="T446" s="131"/>
      <c r="U446" s="131"/>
      <c r="V446" s="131"/>
      <c r="W446" s="131"/>
      <c r="X446" s="131"/>
      <c r="Y446" s="131"/>
      <c r="Z446" s="142"/>
      <c r="AA446" s="142"/>
      <c r="AB446" s="142"/>
      <c r="AC446" s="142"/>
      <c r="AD446" s="142"/>
      <c r="AE446" s="142"/>
      <c r="AF446" s="142"/>
      <c r="AG446" s="142"/>
      <c r="AH446" s="142"/>
      <c r="AI446" s="142"/>
      <c r="AJ446" s="142"/>
      <c r="AK446" s="142"/>
      <c r="AL446" s="142"/>
      <c r="AM446" s="142"/>
      <c r="AN446" s="142"/>
      <c r="AO446" s="131"/>
    </row>
    <row r="447" ht="13.5" customHeight="1">
      <c r="A447" s="142"/>
      <c r="B447" s="142"/>
      <c r="C447" s="142"/>
      <c r="D447" s="142"/>
      <c r="E447" s="308"/>
      <c r="F447" s="131"/>
      <c r="G447" s="131"/>
      <c r="H447" s="131"/>
      <c r="I447" s="219"/>
      <c r="J447" s="198"/>
      <c r="K447" s="131"/>
      <c r="L447" s="131"/>
      <c r="M447" s="131"/>
      <c r="N447" s="131"/>
      <c r="O447" s="131"/>
      <c r="P447" s="131"/>
      <c r="Q447" s="131"/>
      <c r="R447" s="131"/>
      <c r="S447" s="131"/>
      <c r="T447" s="131"/>
      <c r="U447" s="131"/>
      <c r="V447" s="131"/>
      <c r="W447" s="131"/>
      <c r="X447" s="131"/>
      <c r="Y447" s="131"/>
      <c r="Z447" s="142"/>
      <c r="AA447" s="142"/>
      <c r="AB447" s="142"/>
      <c r="AC447" s="142"/>
      <c r="AD447" s="142"/>
      <c r="AE447" s="142"/>
      <c r="AF447" s="142"/>
      <c r="AG447" s="142"/>
      <c r="AH447" s="142"/>
      <c r="AI447" s="142"/>
      <c r="AJ447" s="142"/>
      <c r="AK447" s="142"/>
      <c r="AL447" s="142"/>
      <c r="AM447" s="142"/>
      <c r="AN447" s="142"/>
      <c r="AO447" s="131"/>
    </row>
    <row r="448" ht="13.5" customHeight="1">
      <c r="A448" s="142"/>
      <c r="B448" s="142"/>
      <c r="C448" s="142"/>
      <c r="D448" s="142"/>
      <c r="E448" s="308"/>
      <c r="F448" s="131"/>
      <c r="G448" s="131"/>
      <c r="H448" s="131"/>
      <c r="I448" s="219"/>
      <c r="J448" s="198"/>
      <c r="K448" s="131"/>
      <c r="L448" s="131"/>
      <c r="M448" s="131"/>
      <c r="N448" s="131"/>
      <c r="O448" s="131"/>
      <c r="P448" s="131"/>
      <c r="Q448" s="131"/>
      <c r="R448" s="131"/>
      <c r="S448" s="131"/>
      <c r="T448" s="131"/>
      <c r="U448" s="131"/>
      <c r="V448" s="131"/>
      <c r="W448" s="131"/>
      <c r="X448" s="131"/>
      <c r="Y448" s="131"/>
      <c r="Z448" s="142"/>
      <c r="AA448" s="142"/>
      <c r="AB448" s="142"/>
      <c r="AC448" s="142"/>
      <c r="AD448" s="142"/>
      <c r="AE448" s="142"/>
      <c r="AF448" s="142"/>
      <c r="AG448" s="142"/>
      <c r="AH448" s="142"/>
      <c r="AI448" s="142"/>
      <c r="AJ448" s="142"/>
      <c r="AK448" s="142"/>
      <c r="AL448" s="142"/>
      <c r="AM448" s="142"/>
      <c r="AN448" s="142"/>
      <c r="AO448" s="131"/>
    </row>
    <row r="449" ht="13.5" customHeight="1">
      <c r="A449" s="142"/>
      <c r="B449" s="142"/>
      <c r="C449" s="142"/>
      <c r="D449" s="142"/>
      <c r="E449" s="308"/>
      <c r="F449" s="131"/>
      <c r="G449" s="131"/>
      <c r="H449" s="131"/>
      <c r="I449" s="219"/>
      <c r="J449" s="198"/>
      <c r="K449" s="131"/>
      <c r="L449" s="131"/>
      <c r="M449" s="131"/>
      <c r="N449" s="131"/>
      <c r="O449" s="131"/>
      <c r="P449" s="131"/>
      <c r="Q449" s="131"/>
      <c r="R449" s="131"/>
      <c r="S449" s="131"/>
      <c r="T449" s="131"/>
      <c r="U449" s="131"/>
      <c r="V449" s="131"/>
      <c r="W449" s="131"/>
      <c r="X449" s="131"/>
      <c r="Y449" s="131"/>
      <c r="Z449" s="142"/>
      <c r="AA449" s="142"/>
      <c r="AB449" s="142"/>
      <c r="AC449" s="142"/>
      <c r="AD449" s="142"/>
      <c r="AE449" s="142"/>
      <c r="AF449" s="142"/>
      <c r="AG449" s="142"/>
      <c r="AH449" s="142"/>
      <c r="AI449" s="142"/>
      <c r="AJ449" s="142"/>
      <c r="AK449" s="142"/>
      <c r="AL449" s="142"/>
      <c r="AM449" s="142"/>
      <c r="AN449" s="142"/>
      <c r="AO449" s="131"/>
    </row>
    <row r="450" ht="13.5" customHeight="1">
      <c r="A450" s="142"/>
      <c r="B450" s="142"/>
      <c r="C450" s="142"/>
      <c r="D450" s="142"/>
      <c r="E450" s="308"/>
      <c r="F450" s="131"/>
      <c r="G450" s="131"/>
      <c r="H450" s="131"/>
      <c r="I450" s="219"/>
      <c r="J450" s="198"/>
      <c r="K450" s="131"/>
      <c r="L450" s="131"/>
      <c r="M450" s="131"/>
      <c r="N450" s="131"/>
      <c r="O450" s="131"/>
      <c r="P450" s="131"/>
      <c r="Q450" s="131"/>
      <c r="R450" s="131"/>
      <c r="S450" s="131"/>
      <c r="T450" s="131"/>
      <c r="U450" s="131"/>
      <c r="V450" s="131"/>
      <c r="W450" s="131"/>
      <c r="X450" s="131"/>
      <c r="Y450" s="131"/>
      <c r="Z450" s="142"/>
      <c r="AA450" s="142"/>
      <c r="AB450" s="142"/>
      <c r="AC450" s="142"/>
      <c r="AD450" s="142"/>
      <c r="AE450" s="142"/>
      <c r="AF450" s="142"/>
      <c r="AG450" s="142"/>
      <c r="AH450" s="142"/>
      <c r="AI450" s="142"/>
      <c r="AJ450" s="142"/>
      <c r="AK450" s="142"/>
      <c r="AL450" s="142"/>
      <c r="AM450" s="142"/>
      <c r="AN450" s="142"/>
      <c r="AO450" s="131"/>
    </row>
    <row r="451" ht="13.5" customHeight="1">
      <c r="A451" s="142"/>
      <c r="B451" s="142"/>
      <c r="C451" s="142"/>
      <c r="D451" s="142"/>
      <c r="E451" s="308"/>
      <c r="F451" s="131"/>
      <c r="G451" s="131"/>
      <c r="H451" s="131"/>
      <c r="I451" s="219"/>
      <c r="J451" s="198"/>
      <c r="K451" s="131"/>
      <c r="L451" s="131"/>
      <c r="M451" s="131"/>
      <c r="N451" s="131"/>
      <c r="O451" s="131"/>
      <c r="P451" s="131"/>
      <c r="Q451" s="131"/>
      <c r="R451" s="131"/>
      <c r="S451" s="131"/>
      <c r="T451" s="131"/>
      <c r="U451" s="131"/>
      <c r="V451" s="131"/>
      <c r="W451" s="131"/>
      <c r="X451" s="131"/>
      <c r="Y451" s="131"/>
      <c r="Z451" s="142"/>
      <c r="AA451" s="142"/>
      <c r="AB451" s="142"/>
      <c r="AC451" s="142"/>
      <c r="AD451" s="142"/>
      <c r="AE451" s="142"/>
      <c r="AF451" s="142"/>
      <c r="AG451" s="142"/>
      <c r="AH451" s="142"/>
      <c r="AI451" s="142"/>
      <c r="AJ451" s="142"/>
      <c r="AK451" s="142"/>
      <c r="AL451" s="142"/>
      <c r="AM451" s="142"/>
      <c r="AN451" s="142"/>
      <c r="AO451" s="131"/>
    </row>
    <row r="452" ht="13.5" customHeight="1">
      <c r="A452" s="142"/>
      <c r="B452" s="142"/>
      <c r="C452" s="142"/>
      <c r="D452" s="142"/>
      <c r="E452" s="308"/>
      <c r="F452" s="131"/>
      <c r="G452" s="131"/>
      <c r="H452" s="131"/>
      <c r="I452" s="219"/>
      <c r="J452" s="198"/>
      <c r="K452" s="131"/>
      <c r="L452" s="131"/>
      <c r="M452" s="131"/>
      <c r="N452" s="131"/>
      <c r="O452" s="131"/>
      <c r="P452" s="131"/>
      <c r="Q452" s="131"/>
      <c r="R452" s="131"/>
      <c r="S452" s="131"/>
      <c r="T452" s="131"/>
      <c r="U452" s="131"/>
      <c r="V452" s="131"/>
      <c r="W452" s="131"/>
      <c r="X452" s="131"/>
      <c r="Y452" s="131"/>
      <c r="Z452" s="142"/>
      <c r="AA452" s="142"/>
      <c r="AB452" s="142"/>
      <c r="AC452" s="142"/>
      <c r="AD452" s="142"/>
      <c r="AE452" s="142"/>
      <c r="AF452" s="142"/>
      <c r="AG452" s="142"/>
      <c r="AH452" s="142"/>
      <c r="AI452" s="142"/>
      <c r="AJ452" s="142"/>
      <c r="AK452" s="142"/>
      <c r="AL452" s="142"/>
      <c r="AM452" s="142"/>
      <c r="AN452" s="142"/>
      <c r="AO452" s="131"/>
    </row>
    <row r="453" ht="13.5" customHeight="1">
      <c r="A453" s="142"/>
      <c r="B453" s="142"/>
      <c r="C453" s="142"/>
      <c r="D453" s="142"/>
      <c r="E453" s="308"/>
      <c r="F453" s="131"/>
      <c r="G453" s="131"/>
      <c r="H453" s="131"/>
      <c r="I453" s="219"/>
      <c r="J453" s="198"/>
      <c r="K453" s="131"/>
      <c r="L453" s="131"/>
      <c r="M453" s="131"/>
      <c r="N453" s="131"/>
      <c r="O453" s="131"/>
      <c r="P453" s="131"/>
      <c r="Q453" s="131"/>
      <c r="R453" s="131"/>
      <c r="S453" s="131"/>
      <c r="T453" s="131"/>
      <c r="U453" s="131"/>
      <c r="V453" s="131"/>
      <c r="W453" s="131"/>
      <c r="X453" s="131"/>
      <c r="Y453" s="131"/>
      <c r="Z453" s="142"/>
      <c r="AA453" s="142"/>
      <c r="AB453" s="142"/>
      <c r="AC453" s="142"/>
      <c r="AD453" s="142"/>
      <c r="AE453" s="142"/>
      <c r="AF453" s="142"/>
      <c r="AG453" s="142"/>
      <c r="AH453" s="142"/>
      <c r="AI453" s="142"/>
      <c r="AJ453" s="142"/>
      <c r="AK453" s="142"/>
      <c r="AL453" s="142"/>
      <c r="AM453" s="142"/>
      <c r="AN453" s="142"/>
      <c r="AO453" s="131"/>
    </row>
    <row r="454" ht="13.5" customHeight="1">
      <c r="A454" s="142"/>
      <c r="B454" s="142"/>
      <c r="C454" s="142"/>
      <c r="D454" s="142"/>
      <c r="E454" s="308"/>
      <c r="F454" s="131"/>
      <c r="G454" s="131"/>
      <c r="H454" s="131"/>
      <c r="I454" s="219"/>
      <c r="J454" s="198"/>
      <c r="K454" s="131"/>
      <c r="L454" s="131"/>
      <c r="M454" s="131"/>
      <c r="N454" s="131"/>
      <c r="O454" s="131"/>
      <c r="P454" s="131"/>
      <c r="Q454" s="131"/>
      <c r="R454" s="131"/>
      <c r="S454" s="131"/>
      <c r="T454" s="131"/>
      <c r="U454" s="131"/>
      <c r="V454" s="131"/>
      <c r="W454" s="131"/>
      <c r="X454" s="131"/>
      <c r="Y454" s="131"/>
      <c r="Z454" s="142"/>
      <c r="AA454" s="142"/>
      <c r="AB454" s="142"/>
      <c r="AC454" s="142"/>
      <c r="AD454" s="142"/>
      <c r="AE454" s="142"/>
      <c r="AF454" s="142"/>
      <c r="AG454" s="142"/>
      <c r="AH454" s="142"/>
      <c r="AI454" s="142"/>
      <c r="AJ454" s="142"/>
      <c r="AK454" s="142"/>
      <c r="AL454" s="142"/>
      <c r="AM454" s="142"/>
      <c r="AN454" s="142"/>
      <c r="AO454" s="131"/>
    </row>
    <row r="455" ht="13.5" customHeight="1">
      <c r="A455" s="142"/>
      <c r="B455" s="142"/>
      <c r="C455" s="142"/>
      <c r="D455" s="142"/>
      <c r="E455" s="308"/>
      <c r="F455" s="131"/>
      <c r="G455" s="131"/>
      <c r="H455" s="131"/>
      <c r="I455" s="219"/>
      <c r="J455" s="198"/>
      <c r="K455" s="131"/>
      <c r="L455" s="131"/>
      <c r="M455" s="131"/>
      <c r="N455" s="131"/>
      <c r="O455" s="131"/>
      <c r="P455" s="131"/>
      <c r="Q455" s="131"/>
      <c r="R455" s="131"/>
      <c r="S455" s="131"/>
      <c r="T455" s="131"/>
      <c r="U455" s="131"/>
      <c r="V455" s="131"/>
      <c r="W455" s="131"/>
      <c r="X455" s="131"/>
      <c r="Y455" s="131"/>
      <c r="Z455" s="142"/>
      <c r="AA455" s="142"/>
      <c r="AB455" s="142"/>
      <c r="AC455" s="142"/>
      <c r="AD455" s="142"/>
      <c r="AE455" s="142"/>
      <c r="AF455" s="142"/>
      <c r="AG455" s="142"/>
      <c r="AH455" s="142"/>
      <c r="AI455" s="142"/>
      <c r="AJ455" s="142"/>
      <c r="AK455" s="142"/>
      <c r="AL455" s="142"/>
      <c r="AM455" s="142"/>
      <c r="AN455" s="142"/>
      <c r="AO455" s="131"/>
    </row>
    <row r="456" ht="13.5" customHeight="1">
      <c r="A456" s="142"/>
      <c r="B456" s="142"/>
      <c r="C456" s="142"/>
      <c r="D456" s="142"/>
      <c r="E456" s="308"/>
      <c r="F456" s="131"/>
      <c r="G456" s="131"/>
      <c r="H456" s="131"/>
      <c r="I456" s="219"/>
      <c r="J456" s="198"/>
      <c r="K456" s="131"/>
      <c r="L456" s="131"/>
      <c r="M456" s="131"/>
      <c r="N456" s="131"/>
      <c r="O456" s="131"/>
      <c r="P456" s="131"/>
      <c r="Q456" s="131"/>
      <c r="R456" s="131"/>
      <c r="S456" s="131"/>
      <c r="T456" s="131"/>
      <c r="U456" s="131"/>
      <c r="V456" s="131"/>
      <c r="W456" s="131"/>
      <c r="X456" s="131"/>
      <c r="Y456" s="131"/>
      <c r="Z456" s="142"/>
      <c r="AA456" s="142"/>
      <c r="AB456" s="142"/>
      <c r="AC456" s="142"/>
      <c r="AD456" s="142"/>
      <c r="AE456" s="142"/>
      <c r="AF456" s="142"/>
      <c r="AG456" s="142"/>
      <c r="AH456" s="142"/>
      <c r="AI456" s="142"/>
      <c r="AJ456" s="142"/>
      <c r="AK456" s="142"/>
      <c r="AL456" s="142"/>
      <c r="AM456" s="142"/>
      <c r="AN456" s="142"/>
      <c r="AO456" s="131"/>
    </row>
    <row r="457" ht="13.5" customHeight="1">
      <c r="A457" s="142"/>
      <c r="B457" s="142"/>
      <c r="C457" s="142"/>
      <c r="D457" s="142"/>
      <c r="E457" s="308"/>
      <c r="F457" s="131"/>
      <c r="G457" s="131"/>
      <c r="H457" s="131"/>
      <c r="I457" s="219"/>
      <c r="J457" s="198"/>
      <c r="K457" s="131"/>
      <c r="L457" s="131"/>
      <c r="M457" s="131"/>
      <c r="N457" s="131"/>
      <c r="O457" s="131"/>
      <c r="P457" s="131"/>
      <c r="Q457" s="131"/>
      <c r="R457" s="131"/>
      <c r="S457" s="131"/>
      <c r="T457" s="131"/>
      <c r="U457" s="131"/>
      <c r="V457" s="131"/>
      <c r="W457" s="131"/>
      <c r="X457" s="131"/>
      <c r="Y457" s="131"/>
      <c r="Z457" s="142"/>
      <c r="AA457" s="142"/>
      <c r="AB457" s="142"/>
      <c r="AC457" s="142"/>
      <c r="AD457" s="142"/>
      <c r="AE457" s="142"/>
      <c r="AF457" s="142"/>
      <c r="AG457" s="142"/>
      <c r="AH457" s="142"/>
      <c r="AI457" s="142"/>
      <c r="AJ457" s="142"/>
      <c r="AK457" s="142"/>
      <c r="AL457" s="142"/>
      <c r="AM457" s="142"/>
      <c r="AN457" s="142"/>
      <c r="AO457" s="131"/>
    </row>
    <row r="458" ht="13.5" customHeight="1">
      <c r="A458" s="142"/>
      <c r="B458" s="142"/>
      <c r="C458" s="142"/>
      <c r="D458" s="142"/>
      <c r="E458" s="308"/>
      <c r="F458" s="131"/>
      <c r="G458" s="131"/>
      <c r="H458" s="131"/>
      <c r="I458" s="219"/>
      <c r="J458" s="198"/>
      <c r="K458" s="131"/>
      <c r="L458" s="131"/>
      <c r="M458" s="131"/>
      <c r="N458" s="131"/>
      <c r="O458" s="131"/>
      <c r="P458" s="131"/>
      <c r="Q458" s="131"/>
      <c r="R458" s="131"/>
      <c r="S458" s="131"/>
      <c r="T458" s="131"/>
      <c r="U458" s="131"/>
      <c r="V458" s="131"/>
      <c r="W458" s="131"/>
      <c r="X458" s="131"/>
      <c r="Y458" s="131"/>
      <c r="Z458" s="142"/>
      <c r="AA458" s="142"/>
      <c r="AB458" s="142"/>
      <c r="AC458" s="142"/>
      <c r="AD458" s="142"/>
      <c r="AE458" s="142"/>
      <c r="AF458" s="142"/>
      <c r="AG458" s="142"/>
      <c r="AH458" s="142"/>
      <c r="AI458" s="142"/>
      <c r="AJ458" s="142"/>
      <c r="AK458" s="142"/>
      <c r="AL458" s="142"/>
      <c r="AM458" s="142"/>
      <c r="AN458" s="142"/>
      <c r="AO458" s="131"/>
    </row>
    <row r="459" ht="13.5" customHeight="1">
      <c r="A459" s="142"/>
      <c r="B459" s="142"/>
      <c r="C459" s="142"/>
      <c r="D459" s="142"/>
      <c r="E459" s="308"/>
      <c r="F459" s="131"/>
      <c r="G459" s="131"/>
      <c r="H459" s="131"/>
      <c r="I459" s="219"/>
      <c r="J459" s="198"/>
      <c r="K459" s="131"/>
      <c r="L459" s="131"/>
      <c r="M459" s="131"/>
      <c r="N459" s="131"/>
      <c r="O459" s="131"/>
      <c r="P459" s="131"/>
      <c r="Q459" s="131"/>
      <c r="R459" s="131"/>
      <c r="S459" s="131"/>
      <c r="T459" s="131"/>
      <c r="U459" s="131"/>
      <c r="V459" s="131"/>
      <c r="W459" s="131"/>
      <c r="X459" s="131"/>
      <c r="Y459" s="131"/>
      <c r="Z459" s="142"/>
      <c r="AA459" s="142"/>
      <c r="AB459" s="142"/>
      <c r="AC459" s="142"/>
      <c r="AD459" s="142"/>
      <c r="AE459" s="142"/>
      <c r="AF459" s="142"/>
      <c r="AG459" s="142"/>
      <c r="AH459" s="142"/>
      <c r="AI459" s="142"/>
      <c r="AJ459" s="142"/>
      <c r="AK459" s="142"/>
      <c r="AL459" s="142"/>
      <c r="AM459" s="142"/>
      <c r="AN459" s="142"/>
      <c r="AO459" s="131"/>
    </row>
    <row r="460" ht="13.5" customHeight="1">
      <c r="A460" s="142"/>
      <c r="B460" s="142"/>
      <c r="C460" s="142"/>
      <c r="D460" s="142"/>
      <c r="E460" s="308"/>
      <c r="F460" s="131"/>
      <c r="G460" s="131"/>
      <c r="H460" s="131"/>
      <c r="I460" s="219"/>
      <c r="J460" s="198"/>
      <c r="K460" s="131"/>
      <c r="L460" s="131"/>
      <c r="M460" s="131"/>
      <c r="N460" s="131"/>
      <c r="O460" s="131"/>
      <c r="P460" s="131"/>
      <c r="Q460" s="131"/>
      <c r="R460" s="131"/>
      <c r="S460" s="131"/>
      <c r="T460" s="131"/>
      <c r="U460" s="131"/>
      <c r="V460" s="131"/>
      <c r="W460" s="131"/>
      <c r="X460" s="131"/>
      <c r="Y460" s="131"/>
      <c r="Z460" s="142"/>
      <c r="AA460" s="142"/>
      <c r="AB460" s="142"/>
      <c r="AC460" s="142"/>
      <c r="AD460" s="142"/>
      <c r="AE460" s="142"/>
      <c r="AF460" s="142"/>
      <c r="AG460" s="142"/>
      <c r="AH460" s="142"/>
      <c r="AI460" s="142"/>
      <c r="AJ460" s="142"/>
      <c r="AK460" s="142"/>
      <c r="AL460" s="142"/>
      <c r="AM460" s="142"/>
      <c r="AN460" s="142"/>
      <c r="AO460" s="131"/>
    </row>
    <row r="461" ht="13.5" customHeight="1">
      <c r="A461" s="142"/>
      <c r="B461" s="142"/>
      <c r="C461" s="142"/>
      <c r="D461" s="142"/>
      <c r="E461" s="308"/>
      <c r="F461" s="131"/>
      <c r="G461" s="131"/>
      <c r="H461" s="131"/>
      <c r="I461" s="219"/>
      <c r="J461" s="198"/>
      <c r="K461" s="131"/>
      <c r="L461" s="131"/>
      <c r="M461" s="131"/>
      <c r="N461" s="131"/>
      <c r="O461" s="131"/>
      <c r="P461" s="131"/>
      <c r="Q461" s="131"/>
      <c r="R461" s="131"/>
      <c r="S461" s="131"/>
      <c r="T461" s="131"/>
      <c r="U461" s="131"/>
      <c r="V461" s="131"/>
      <c r="W461" s="131"/>
      <c r="X461" s="131"/>
      <c r="Y461" s="131"/>
      <c r="Z461" s="142"/>
      <c r="AA461" s="142"/>
      <c r="AB461" s="142"/>
      <c r="AC461" s="142"/>
      <c r="AD461" s="142"/>
      <c r="AE461" s="142"/>
      <c r="AF461" s="142"/>
      <c r="AG461" s="142"/>
      <c r="AH461" s="142"/>
      <c r="AI461" s="142"/>
      <c r="AJ461" s="142"/>
      <c r="AK461" s="142"/>
      <c r="AL461" s="142"/>
      <c r="AM461" s="142"/>
      <c r="AN461" s="142"/>
      <c r="AO461" s="131"/>
    </row>
    <row r="462" ht="13.5" customHeight="1">
      <c r="A462" s="142"/>
      <c r="B462" s="142"/>
      <c r="C462" s="142"/>
      <c r="D462" s="142"/>
      <c r="E462" s="308"/>
      <c r="F462" s="131"/>
      <c r="G462" s="131"/>
      <c r="H462" s="131"/>
      <c r="I462" s="219"/>
      <c r="J462" s="198"/>
      <c r="K462" s="131"/>
      <c r="L462" s="131"/>
      <c r="M462" s="131"/>
      <c r="N462" s="131"/>
      <c r="O462" s="131"/>
      <c r="P462" s="131"/>
      <c r="Q462" s="131"/>
      <c r="R462" s="131"/>
      <c r="S462" s="131"/>
      <c r="T462" s="131"/>
      <c r="U462" s="131"/>
      <c r="V462" s="131"/>
      <c r="W462" s="131"/>
      <c r="X462" s="131"/>
      <c r="Y462" s="131"/>
      <c r="Z462" s="142"/>
      <c r="AA462" s="142"/>
      <c r="AB462" s="142"/>
      <c r="AC462" s="142"/>
      <c r="AD462" s="142"/>
      <c r="AE462" s="142"/>
      <c r="AF462" s="142"/>
      <c r="AG462" s="142"/>
      <c r="AH462" s="142"/>
      <c r="AI462" s="142"/>
      <c r="AJ462" s="142"/>
      <c r="AK462" s="142"/>
      <c r="AL462" s="142"/>
      <c r="AM462" s="142"/>
      <c r="AN462" s="142"/>
      <c r="AO462" s="131"/>
    </row>
    <row r="463" ht="13.5" customHeight="1">
      <c r="A463" s="142"/>
      <c r="B463" s="142"/>
      <c r="C463" s="142"/>
      <c r="D463" s="142"/>
      <c r="E463" s="308"/>
      <c r="F463" s="131"/>
      <c r="G463" s="131"/>
      <c r="H463" s="131"/>
      <c r="I463" s="219"/>
      <c r="J463" s="198"/>
      <c r="K463" s="131"/>
      <c r="L463" s="131"/>
      <c r="M463" s="131"/>
      <c r="N463" s="131"/>
      <c r="O463" s="131"/>
      <c r="P463" s="131"/>
      <c r="Q463" s="131"/>
      <c r="R463" s="131"/>
      <c r="S463" s="131"/>
      <c r="T463" s="131"/>
      <c r="U463" s="131"/>
      <c r="V463" s="131"/>
      <c r="W463" s="131"/>
      <c r="X463" s="131"/>
      <c r="Y463" s="131"/>
      <c r="Z463" s="142"/>
      <c r="AA463" s="142"/>
      <c r="AB463" s="142"/>
      <c r="AC463" s="142"/>
      <c r="AD463" s="142"/>
      <c r="AE463" s="142"/>
      <c r="AF463" s="142"/>
      <c r="AG463" s="142"/>
      <c r="AH463" s="142"/>
      <c r="AI463" s="142"/>
      <c r="AJ463" s="142"/>
      <c r="AK463" s="142"/>
      <c r="AL463" s="142"/>
      <c r="AM463" s="142"/>
      <c r="AN463" s="142"/>
      <c r="AO463" s="131"/>
    </row>
    <row r="464" ht="13.5" customHeight="1">
      <c r="A464" s="142"/>
      <c r="B464" s="142"/>
      <c r="C464" s="142"/>
      <c r="D464" s="142"/>
      <c r="E464" s="308"/>
      <c r="F464" s="131"/>
      <c r="G464" s="131"/>
      <c r="H464" s="131"/>
      <c r="I464" s="219"/>
      <c r="J464" s="198"/>
      <c r="K464" s="131"/>
      <c r="L464" s="131"/>
      <c r="M464" s="131"/>
      <c r="N464" s="131"/>
      <c r="O464" s="131"/>
      <c r="P464" s="131"/>
      <c r="Q464" s="131"/>
      <c r="R464" s="131"/>
      <c r="S464" s="131"/>
      <c r="T464" s="131"/>
      <c r="U464" s="131"/>
      <c r="V464" s="131"/>
      <c r="W464" s="131"/>
      <c r="X464" s="131"/>
      <c r="Y464" s="131"/>
      <c r="Z464" s="142"/>
      <c r="AA464" s="142"/>
      <c r="AB464" s="142"/>
      <c r="AC464" s="142"/>
      <c r="AD464" s="142"/>
      <c r="AE464" s="142"/>
      <c r="AF464" s="142"/>
      <c r="AG464" s="142"/>
      <c r="AH464" s="142"/>
      <c r="AI464" s="142"/>
      <c r="AJ464" s="142"/>
      <c r="AK464" s="142"/>
      <c r="AL464" s="142"/>
      <c r="AM464" s="142"/>
      <c r="AN464" s="142"/>
      <c r="AO464" s="131"/>
    </row>
    <row r="465" ht="13.5" customHeight="1">
      <c r="A465" s="142"/>
      <c r="B465" s="142"/>
      <c r="C465" s="142"/>
      <c r="D465" s="142"/>
      <c r="E465" s="308"/>
      <c r="F465" s="131"/>
      <c r="G465" s="131"/>
      <c r="H465" s="131"/>
      <c r="I465" s="219"/>
      <c r="J465" s="198"/>
      <c r="K465" s="131"/>
      <c r="L465" s="131"/>
      <c r="M465" s="131"/>
      <c r="N465" s="131"/>
      <c r="O465" s="131"/>
      <c r="P465" s="131"/>
      <c r="Q465" s="131"/>
      <c r="R465" s="131"/>
      <c r="S465" s="131"/>
      <c r="T465" s="131"/>
      <c r="U465" s="131"/>
      <c r="V465" s="131"/>
      <c r="W465" s="131"/>
      <c r="X465" s="131"/>
      <c r="Y465" s="131"/>
      <c r="Z465" s="142"/>
      <c r="AA465" s="142"/>
      <c r="AB465" s="142"/>
      <c r="AC465" s="142"/>
      <c r="AD465" s="142"/>
      <c r="AE465" s="142"/>
      <c r="AF465" s="142"/>
      <c r="AG465" s="142"/>
      <c r="AH465" s="142"/>
      <c r="AI465" s="142"/>
      <c r="AJ465" s="142"/>
      <c r="AK465" s="142"/>
      <c r="AL465" s="142"/>
      <c r="AM465" s="142"/>
      <c r="AN465" s="142"/>
      <c r="AO465" s="131"/>
    </row>
    <row r="466" ht="13.5" customHeight="1">
      <c r="A466" s="142"/>
      <c r="B466" s="142"/>
      <c r="C466" s="142"/>
      <c r="D466" s="142"/>
      <c r="E466" s="308"/>
      <c r="F466" s="131"/>
      <c r="G466" s="131"/>
      <c r="H466" s="131"/>
      <c r="I466" s="219"/>
      <c r="J466" s="198"/>
      <c r="K466" s="131"/>
      <c r="L466" s="131"/>
      <c r="M466" s="131"/>
      <c r="N466" s="131"/>
      <c r="O466" s="131"/>
      <c r="P466" s="131"/>
      <c r="Q466" s="131"/>
      <c r="R466" s="131"/>
      <c r="S466" s="131"/>
      <c r="T466" s="131"/>
      <c r="U466" s="131"/>
      <c r="V466" s="131"/>
      <c r="W466" s="131"/>
      <c r="X466" s="131"/>
      <c r="Y466" s="131"/>
      <c r="Z466" s="142"/>
      <c r="AA466" s="142"/>
      <c r="AB466" s="142"/>
      <c r="AC466" s="142"/>
      <c r="AD466" s="142"/>
      <c r="AE466" s="142"/>
      <c r="AF466" s="142"/>
      <c r="AG466" s="142"/>
      <c r="AH466" s="142"/>
      <c r="AI466" s="142"/>
      <c r="AJ466" s="142"/>
      <c r="AK466" s="142"/>
      <c r="AL466" s="142"/>
      <c r="AM466" s="142"/>
      <c r="AN466" s="142"/>
      <c r="AO466" s="131"/>
    </row>
    <row r="467" ht="13.5" customHeight="1">
      <c r="A467" s="142"/>
      <c r="B467" s="142"/>
      <c r="C467" s="142"/>
      <c r="D467" s="142"/>
      <c r="E467" s="308"/>
      <c r="F467" s="131"/>
      <c r="G467" s="131"/>
      <c r="H467" s="131"/>
      <c r="I467" s="219"/>
      <c r="J467" s="198"/>
      <c r="K467" s="131"/>
      <c r="L467" s="131"/>
      <c r="M467" s="131"/>
      <c r="N467" s="131"/>
      <c r="O467" s="131"/>
      <c r="P467" s="131"/>
      <c r="Q467" s="131"/>
      <c r="R467" s="131"/>
      <c r="S467" s="131"/>
      <c r="T467" s="131"/>
      <c r="U467" s="131"/>
      <c r="V467" s="131"/>
      <c r="W467" s="131"/>
      <c r="X467" s="131"/>
      <c r="Y467" s="131"/>
      <c r="Z467" s="142"/>
      <c r="AA467" s="142"/>
      <c r="AB467" s="142"/>
      <c r="AC467" s="142"/>
      <c r="AD467" s="142"/>
      <c r="AE467" s="142"/>
      <c r="AF467" s="142"/>
      <c r="AG467" s="142"/>
      <c r="AH467" s="142"/>
      <c r="AI467" s="142"/>
      <c r="AJ467" s="142"/>
      <c r="AK467" s="142"/>
      <c r="AL467" s="142"/>
      <c r="AM467" s="142"/>
      <c r="AN467" s="142"/>
      <c r="AO467" s="131"/>
    </row>
    <row r="468" ht="13.5" customHeight="1">
      <c r="A468" s="142"/>
      <c r="B468" s="142"/>
      <c r="C468" s="142"/>
      <c r="D468" s="142"/>
      <c r="E468" s="308"/>
      <c r="F468" s="131"/>
      <c r="G468" s="131"/>
      <c r="H468" s="131"/>
      <c r="I468" s="219"/>
      <c r="J468" s="198"/>
      <c r="K468" s="131"/>
      <c r="L468" s="131"/>
      <c r="M468" s="131"/>
      <c r="N468" s="131"/>
      <c r="O468" s="131"/>
      <c r="P468" s="131"/>
      <c r="Q468" s="131"/>
      <c r="R468" s="131"/>
      <c r="S468" s="131"/>
      <c r="T468" s="131"/>
      <c r="U468" s="131"/>
      <c r="V468" s="131"/>
      <c r="W468" s="131"/>
      <c r="X468" s="131"/>
      <c r="Y468" s="131"/>
      <c r="Z468" s="142"/>
      <c r="AA468" s="142"/>
      <c r="AB468" s="142"/>
      <c r="AC468" s="142"/>
      <c r="AD468" s="142"/>
      <c r="AE468" s="142"/>
      <c r="AF468" s="142"/>
      <c r="AG468" s="142"/>
      <c r="AH468" s="142"/>
      <c r="AI468" s="142"/>
      <c r="AJ468" s="142"/>
      <c r="AK468" s="142"/>
      <c r="AL468" s="142"/>
      <c r="AM468" s="142"/>
      <c r="AN468" s="142"/>
      <c r="AO468" s="131"/>
    </row>
    <row r="469" ht="13.5" customHeight="1">
      <c r="A469" s="142"/>
      <c r="B469" s="142"/>
      <c r="C469" s="142"/>
      <c r="D469" s="142"/>
      <c r="E469" s="308"/>
      <c r="F469" s="131"/>
      <c r="G469" s="131"/>
      <c r="H469" s="131"/>
      <c r="I469" s="219"/>
      <c r="J469" s="198"/>
      <c r="K469" s="131"/>
      <c r="L469" s="131"/>
      <c r="M469" s="131"/>
      <c r="N469" s="131"/>
      <c r="O469" s="131"/>
      <c r="P469" s="131"/>
      <c r="Q469" s="131"/>
      <c r="R469" s="131"/>
      <c r="S469" s="131"/>
      <c r="T469" s="131"/>
      <c r="U469" s="131"/>
      <c r="V469" s="131"/>
      <c r="W469" s="131"/>
      <c r="X469" s="131"/>
      <c r="Y469" s="131"/>
      <c r="Z469" s="142"/>
      <c r="AA469" s="142"/>
      <c r="AB469" s="142"/>
      <c r="AC469" s="142"/>
      <c r="AD469" s="142"/>
      <c r="AE469" s="142"/>
      <c r="AF469" s="142"/>
      <c r="AG469" s="142"/>
      <c r="AH469" s="142"/>
      <c r="AI469" s="142"/>
      <c r="AJ469" s="142"/>
      <c r="AK469" s="142"/>
      <c r="AL469" s="142"/>
      <c r="AM469" s="142"/>
      <c r="AN469" s="142"/>
      <c r="AO469" s="131"/>
    </row>
    <row r="470" ht="13.5" customHeight="1">
      <c r="A470" s="142"/>
      <c r="B470" s="142"/>
      <c r="C470" s="142"/>
      <c r="D470" s="142"/>
      <c r="E470" s="308"/>
      <c r="F470" s="131"/>
      <c r="G470" s="131"/>
      <c r="H470" s="131"/>
      <c r="I470" s="219"/>
      <c r="J470" s="198"/>
      <c r="K470" s="131"/>
      <c r="L470" s="131"/>
      <c r="M470" s="131"/>
      <c r="N470" s="131"/>
      <c r="O470" s="131"/>
      <c r="P470" s="131"/>
      <c r="Q470" s="131"/>
      <c r="R470" s="131"/>
      <c r="S470" s="131"/>
      <c r="T470" s="131"/>
      <c r="U470" s="131"/>
      <c r="V470" s="131"/>
      <c r="W470" s="131"/>
      <c r="X470" s="131"/>
      <c r="Y470" s="131"/>
      <c r="Z470" s="142"/>
      <c r="AA470" s="142"/>
      <c r="AB470" s="142"/>
      <c r="AC470" s="142"/>
      <c r="AD470" s="142"/>
      <c r="AE470" s="142"/>
      <c r="AF470" s="142"/>
      <c r="AG470" s="142"/>
      <c r="AH470" s="142"/>
      <c r="AI470" s="142"/>
      <c r="AJ470" s="142"/>
      <c r="AK470" s="142"/>
      <c r="AL470" s="142"/>
      <c r="AM470" s="142"/>
      <c r="AN470" s="142"/>
      <c r="AO470" s="131"/>
    </row>
    <row r="471" ht="13.5" customHeight="1">
      <c r="A471" s="142"/>
      <c r="B471" s="142"/>
      <c r="C471" s="142"/>
      <c r="D471" s="142"/>
      <c r="E471" s="308"/>
      <c r="F471" s="131"/>
      <c r="G471" s="131"/>
      <c r="H471" s="131"/>
      <c r="I471" s="219"/>
      <c r="J471" s="198"/>
      <c r="K471" s="131"/>
      <c r="L471" s="131"/>
      <c r="M471" s="131"/>
      <c r="N471" s="131"/>
      <c r="O471" s="131"/>
      <c r="P471" s="131"/>
      <c r="Q471" s="131"/>
      <c r="R471" s="131"/>
      <c r="S471" s="131"/>
      <c r="T471" s="131"/>
      <c r="U471" s="131"/>
      <c r="V471" s="131"/>
      <c r="W471" s="131"/>
      <c r="X471" s="131"/>
      <c r="Y471" s="131"/>
      <c r="Z471" s="142"/>
      <c r="AA471" s="142"/>
      <c r="AB471" s="142"/>
      <c r="AC471" s="142"/>
      <c r="AD471" s="142"/>
      <c r="AE471" s="142"/>
      <c r="AF471" s="142"/>
      <c r="AG471" s="142"/>
      <c r="AH471" s="142"/>
      <c r="AI471" s="142"/>
      <c r="AJ471" s="142"/>
      <c r="AK471" s="142"/>
      <c r="AL471" s="142"/>
      <c r="AM471" s="142"/>
      <c r="AN471" s="142"/>
      <c r="AO471" s="131"/>
    </row>
    <row r="472" ht="13.5" customHeight="1">
      <c r="A472" s="142"/>
      <c r="B472" s="142"/>
      <c r="C472" s="142"/>
      <c r="D472" s="142"/>
      <c r="E472" s="308"/>
      <c r="F472" s="131"/>
      <c r="G472" s="131"/>
      <c r="H472" s="131"/>
      <c r="I472" s="219"/>
      <c r="J472" s="198"/>
      <c r="K472" s="131"/>
      <c r="L472" s="131"/>
      <c r="M472" s="131"/>
      <c r="N472" s="131"/>
      <c r="O472" s="131"/>
      <c r="P472" s="131"/>
      <c r="Q472" s="131"/>
      <c r="R472" s="131"/>
      <c r="S472" s="131"/>
      <c r="T472" s="131"/>
      <c r="U472" s="131"/>
      <c r="V472" s="131"/>
      <c r="W472" s="131"/>
      <c r="X472" s="131"/>
      <c r="Y472" s="131"/>
      <c r="Z472" s="142"/>
      <c r="AA472" s="142"/>
      <c r="AB472" s="142"/>
      <c r="AC472" s="142"/>
      <c r="AD472" s="142"/>
      <c r="AE472" s="142"/>
      <c r="AF472" s="142"/>
      <c r="AG472" s="142"/>
      <c r="AH472" s="142"/>
      <c r="AI472" s="142"/>
      <c r="AJ472" s="142"/>
      <c r="AK472" s="142"/>
      <c r="AL472" s="142"/>
      <c r="AM472" s="142"/>
      <c r="AN472" s="142"/>
      <c r="AO472" s="131"/>
    </row>
    <row r="473" ht="13.5" customHeight="1">
      <c r="A473" s="142"/>
      <c r="B473" s="142"/>
      <c r="C473" s="142"/>
      <c r="D473" s="142"/>
      <c r="E473" s="308"/>
      <c r="F473" s="131"/>
      <c r="G473" s="131"/>
      <c r="H473" s="131"/>
      <c r="I473" s="219"/>
      <c r="J473" s="198"/>
      <c r="K473" s="131"/>
      <c r="L473" s="131"/>
      <c r="M473" s="131"/>
      <c r="N473" s="131"/>
      <c r="O473" s="131"/>
      <c r="P473" s="131"/>
      <c r="Q473" s="131"/>
      <c r="R473" s="131"/>
      <c r="S473" s="131"/>
      <c r="T473" s="131"/>
      <c r="U473" s="131"/>
      <c r="V473" s="131"/>
      <c r="W473" s="131"/>
      <c r="X473" s="131"/>
      <c r="Y473" s="131"/>
      <c r="Z473" s="142"/>
      <c r="AA473" s="142"/>
      <c r="AB473" s="142"/>
      <c r="AC473" s="142"/>
      <c r="AD473" s="142"/>
      <c r="AE473" s="142"/>
      <c r="AF473" s="142"/>
      <c r="AG473" s="142"/>
      <c r="AH473" s="142"/>
      <c r="AI473" s="142"/>
      <c r="AJ473" s="142"/>
      <c r="AK473" s="142"/>
      <c r="AL473" s="142"/>
      <c r="AM473" s="142"/>
      <c r="AN473" s="142"/>
      <c r="AO473" s="131"/>
    </row>
    <row r="474" ht="13.5" customHeight="1">
      <c r="A474" s="142"/>
      <c r="B474" s="142"/>
      <c r="C474" s="142"/>
      <c r="D474" s="142"/>
      <c r="E474" s="308"/>
      <c r="F474" s="131"/>
      <c r="G474" s="131"/>
      <c r="H474" s="131"/>
      <c r="I474" s="219"/>
      <c r="J474" s="198"/>
      <c r="K474" s="131"/>
      <c r="L474" s="131"/>
      <c r="M474" s="131"/>
      <c r="N474" s="131"/>
      <c r="O474" s="131"/>
      <c r="P474" s="131"/>
      <c r="Q474" s="131"/>
      <c r="R474" s="131"/>
      <c r="S474" s="131"/>
      <c r="T474" s="131"/>
      <c r="U474" s="131"/>
      <c r="V474" s="131"/>
      <c r="W474" s="131"/>
      <c r="X474" s="131"/>
      <c r="Y474" s="131"/>
      <c r="Z474" s="142"/>
      <c r="AA474" s="142"/>
      <c r="AB474" s="142"/>
      <c r="AC474" s="142"/>
      <c r="AD474" s="142"/>
      <c r="AE474" s="142"/>
      <c r="AF474" s="142"/>
      <c r="AG474" s="142"/>
      <c r="AH474" s="142"/>
      <c r="AI474" s="142"/>
      <c r="AJ474" s="142"/>
      <c r="AK474" s="142"/>
      <c r="AL474" s="142"/>
      <c r="AM474" s="142"/>
      <c r="AN474" s="142"/>
      <c r="AO474" s="131"/>
    </row>
    <row r="475" ht="13.5" customHeight="1">
      <c r="A475" s="142"/>
      <c r="B475" s="142"/>
      <c r="C475" s="142"/>
      <c r="D475" s="142"/>
      <c r="E475" s="308"/>
      <c r="F475" s="131"/>
      <c r="G475" s="131"/>
      <c r="H475" s="131"/>
      <c r="I475" s="219"/>
      <c r="J475" s="198"/>
      <c r="K475" s="131"/>
      <c r="L475" s="131"/>
      <c r="M475" s="131"/>
      <c r="N475" s="131"/>
      <c r="O475" s="131"/>
      <c r="P475" s="131"/>
      <c r="Q475" s="131"/>
      <c r="R475" s="131"/>
      <c r="S475" s="131"/>
      <c r="T475" s="131"/>
      <c r="U475" s="131"/>
      <c r="V475" s="131"/>
      <c r="W475" s="131"/>
      <c r="X475" s="131"/>
      <c r="Y475" s="131"/>
      <c r="Z475" s="142"/>
      <c r="AA475" s="142"/>
      <c r="AB475" s="142"/>
      <c r="AC475" s="142"/>
      <c r="AD475" s="142"/>
      <c r="AE475" s="142"/>
      <c r="AF475" s="142"/>
      <c r="AG475" s="142"/>
      <c r="AH475" s="142"/>
      <c r="AI475" s="142"/>
      <c r="AJ475" s="142"/>
      <c r="AK475" s="142"/>
      <c r="AL475" s="142"/>
      <c r="AM475" s="142"/>
      <c r="AN475" s="142"/>
      <c r="AO475" s="131"/>
    </row>
    <row r="476" ht="13.5" customHeight="1">
      <c r="A476" s="142"/>
      <c r="B476" s="142"/>
      <c r="C476" s="142"/>
      <c r="D476" s="142"/>
      <c r="E476" s="308"/>
      <c r="F476" s="131"/>
      <c r="G476" s="131"/>
      <c r="H476" s="131"/>
      <c r="I476" s="219"/>
      <c r="J476" s="198"/>
      <c r="K476" s="131"/>
      <c r="L476" s="131"/>
      <c r="M476" s="131"/>
      <c r="N476" s="131"/>
      <c r="O476" s="131"/>
      <c r="P476" s="131"/>
      <c r="Q476" s="131"/>
      <c r="R476" s="131"/>
      <c r="S476" s="131"/>
      <c r="T476" s="131"/>
      <c r="U476" s="131"/>
      <c r="V476" s="131"/>
      <c r="W476" s="131"/>
      <c r="X476" s="131"/>
      <c r="Y476" s="131"/>
      <c r="Z476" s="142"/>
      <c r="AA476" s="142"/>
      <c r="AB476" s="142"/>
      <c r="AC476" s="142"/>
      <c r="AD476" s="142"/>
      <c r="AE476" s="142"/>
      <c r="AF476" s="142"/>
      <c r="AG476" s="142"/>
      <c r="AH476" s="142"/>
      <c r="AI476" s="142"/>
      <c r="AJ476" s="142"/>
      <c r="AK476" s="142"/>
      <c r="AL476" s="142"/>
      <c r="AM476" s="142"/>
      <c r="AN476" s="142"/>
      <c r="AO476" s="131"/>
    </row>
    <row r="477" ht="13.5" customHeight="1">
      <c r="A477" s="142"/>
      <c r="B477" s="142"/>
      <c r="C477" s="142"/>
      <c r="D477" s="142"/>
      <c r="E477" s="308"/>
      <c r="F477" s="131"/>
      <c r="G477" s="131"/>
      <c r="H477" s="131"/>
      <c r="I477" s="219"/>
      <c r="J477" s="198"/>
      <c r="K477" s="131"/>
      <c r="L477" s="131"/>
      <c r="M477" s="131"/>
      <c r="N477" s="131"/>
      <c r="O477" s="131"/>
      <c r="P477" s="131"/>
      <c r="Q477" s="131"/>
      <c r="R477" s="131"/>
      <c r="S477" s="131"/>
      <c r="T477" s="131"/>
      <c r="U477" s="131"/>
      <c r="V477" s="131"/>
      <c r="W477" s="131"/>
      <c r="X477" s="131"/>
      <c r="Y477" s="131"/>
      <c r="Z477" s="142"/>
      <c r="AA477" s="142"/>
      <c r="AB477" s="142"/>
      <c r="AC477" s="142"/>
      <c r="AD477" s="142"/>
      <c r="AE477" s="142"/>
      <c r="AF477" s="142"/>
      <c r="AG477" s="142"/>
      <c r="AH477" s="142"/>
      <c r="AI477" s="142"/>
      <c r="AJ477" s="142"/>
      <c r="AK477" s="142"/>
      <c r="AL477" s="142"/>
      <c r="AM477" s="142"/>
      <c r="AN477" s="142"/>
      <c r="AO477" s="131"/>
    </row>
    <row r="478" ht="13.5" customHeight="1">
      <c r="A478" s="142"/>
      <c r="B478" s="142"/>
      <c r="C478" s="142"/>
      <c r="D478" s="142"/>
      <c r="E478" s="308"/>
      <c r="F478" s="131"/>
      <c r="G478" s="131"/>
      <c r="H478" s="131"/>
      <c r="I478" s="219"/>
      <c r="J478" s="198"/>
      <c r="K478" s="131"/>
      <c r="L478" s="131"/>
      <c r="M478" s="131"/>
      <c r="N478" s="131"/>
      <c r="O478" s="131"/>
      <c r="P478" s="131"/>
      <c r="Q478" s="131"/>
      <c r="R478" s="131"/>
      <c r="S478" s="131"/>
      <c r="T478" s="131"/>
      <c r="U478" s="131"/>
      <c r="V478" s="131"/>
      <c r="W478" s="131"/>
      <c r="X478" s="131"/>
      <c r="Y478" s="131"/>
      <c r="Z478" s="142"/>
      <c r="AA478" s="142"/>
      <c r="AB478" s="142"/>
      <c r="AC478" s="142"/>
      <c r="AD478" s="142"/>
      <c r="AE478" s="142"/>
      <c r="AF478" s="142"/>
      <c r="AG478" s="142"/>
      <c r="AH478" s="142"/>
      <c r="AI478" s="142"/>
      <c r="AJ478" s="142"/>
      <c r="AK478" s="142"/>
      <c r="AL478" s="142"/>
      <c r="AM478" s="142"/>
      <c r="AN478" s="142"/>
      <c r="AO478" s="131"/>
    </row>
    <row r="479" ht="13.5" customHeight="1">
      <c r="A479" s="142"/>
      <c r="B479" s="142"/>
      <c r="C479" s="142"/>
      <c r="D479" s="142"/>
      <c r="E479" s="308"/>
      <c r="F479" s="131"/>
      <c r="G479" s="131"/>
      <c r="H479" s="131"/>
      <c r="I479" s="219"/>
      <c r="J479" s="198"/>
      <c r="K479" s="131"/>
      <c r="L479" s="131"/>
      <c r="M479" s="131"/>
      <c r="N479" s="131"/>
      <c r="O479" s="131"/>
      <c r="P479" s="131"/>
      <c r="Q479" s="131"/>
      <c r="R479" s="131"/>
      <c r="S479" s="131"/>
      <c r="T479" s="131"/>
      <c r="U479" s="131"/>
      <c r="V479" s="131"/>
      <c r="W479" s="131"/>
      <c r="X479" s="131"/>
      <c r="Y479" s="131"/>
      <c r="Z479" s="142"/>
      <c r="AA479" s="142"/>
      <c r="AB479" s="142"/>
      <c r="AC479" s="142"/>
      <c r="AD479" s="142"/>
      <c r="AE479" s="142"/>
      <c r="AF479" s="142"/>
      <c r="AG479" s="142"/>
      <c r="AH479" s="142"/>
      <c r="AI479" s="142"/>
      <c r="AJ479" s="142"/>
      <c r="AK479" s="142"/>
      <c r="AL479" s="142"/>
      <c r="AM479" s="142"/>
      <c r="AN479" s="142"/>
      <c r="AO479" s="131"/>
    </row>
    <row r="480" ht="13.5" customHeight="1">
      <c r="A480" s="142"/>
      <c r="B480" s="142"/>
      <c r="C480" s="142"/>
      <c r="D480" s="142"/>
      <c r="E480" s="308"/>
      <c r="F480" s="131"/>
      <c r="G480" s="131"/>
      <c r="H480" s="131"/>
      <c r="I480" s="219"/>
      <c r="J480" s="198"/>
      <c r="K480" s="131"/>
      <c r="L480" s="131"/>
      <c r="M480" s="131"/>
      <c r="N480" s="131"/>
      <c r="O480" s="131"/>
      <c r="P480" s="131"/>
      <c r="Q480" s="131"/>
      <c r="R480" s="131"/>
      <c r="S480" s="131"/>
      <c r="T480" s="131"/>
      <c r="U480" s="131"/>
      <c r="V480" s="131"/>
      <c r="W480" s="131"/>
      <c r="X480" s="131"/>
      <c r="Y480" s="131"/>
      <c r="Z480" s="142"/>
      <c r="AA480" s="142"/>
      <c r="AB480" s="142"/>
      <c r="AC480" s="142"/>
      <c r="AD480" s="142"/>
      <c r="AE480" s="142"/>
      <c r="AF480" s="142"/>
      <c r="AG480" s="142"/>
      <c r="AH480" s="142"/>
      <c r="AI480" s="142"/>
      <c r="AJ480" s="142"/>
      <c r="AK480" s="142"/>
      <c r="AL480" s="142"/>
      <c r="AM480" s="142"/>
      <c r="AN480" s="142"/>
      <c r="AO480" s="131"/>
    </row>
    <row r="481" ht="13.5" customHeight="1">
      <c r="A481" s="142"/>
      <c r="B481" s="142"/>
      <c r="C481" s="142"/>
      <c r="D481" s="142"/>
      <c r="E481" s="308"/>
      <c r="F481" s="131"/>
      <c r="G481" s="131"/>
      <c r="H481" s="131"/>
      <c r="I481" s="219"/>
      <c r="J481" s="198"/>
      <c r="K481" s="131"/>
      <c r="L481" s="131"/>
      <c r="M481" s="131"/>
      <c r="N481" s="131"/>
      <c r="O481" s="131"/>
      <c r="P481" s="131"/>
      <c r="Q481" s="131"/>
      <c r="R481" s="131"/>
      <c r="S481" s="131"/>
      <c r="T481" s="131"/>
      <c r="U481" s="131"/>
      <c r="V481" s="131"/>
      <c r="W481" s="131"/>
      <c r="X481" s="131"/>
      <c r="Y481" s="131"/>
      <c r="Z481" s="142"/>
      <c r="AA481" s="142"/>
      <c r="AB481" s="142"/>
      <c r="AC481" s="142"/>
      <c r="AD481" s="142"/>
      <c r="AE481" s="142"/>
      <c r="AF481" s="142"/>
      <c r="AG481" s="142"/>
      <c r="AH481" s="142"/>
      <c r="AI481" s="142"/>
      <c r="AJ481" s="142"/>
      <c r="AK481" s="142"/>
      <c r="AL481" s="142"/>
      <c r="AM481" s="142"/>
      <c r="AN481" s="142"/>
      <c r="AO481" s="131"/>
    </row>
    <row r="482" ht="13.5" customHeight="1">
      <c r="A482" s="142"/>
      <c r="B482" s="142"/>
      <c r="C482" s="142"/>
      <c r="D482" s="142"/>
      <c r="E482" s="308"/>
      <c r="F482" s="131"/>
      <c r="G482" s="131"/>
      <c r="H482" s="131"/>
      <c r="I482" s="219"/>
      <c r="J482" s="198"/>
      <c r="K482" s="131"/>
      <c r="L482" s="131"/>
      <c r="M482" s="131"/>
      <c r="N482" s="131"/>
      <c r="O482" s="131"/>
      <c r="P482" s="131"/>
      <c r="Q482" s="131"/>
      <c r="R482" s="131"/>
      <c r="S482" s="131"/>
      <c r="T482" s="131"/>
      <c r="U482" s="131"/>
      <c r="V482" s="131"/>
      <c r="W482" s="131"/>
      <c r="X482" s="131"/>
      <c r="Y482" s="131"/>
      <c r="Z482" s="142"/>
      <c r="AA482" s="142"/>
      <c r="AB482" s="142"/>
      <c r="AC482" s="142"/>
      <c r="AD482" s="142"/>
      <c r="AE482" s="142"/>
      <c r="AF482" s="142"/>
      <c r="AG482" s="142"/>
      <c r="AH482" s="142"/>
      <c r="AI482" s="142"/>
      <c r="AJ482" s="142"/>
      <c r="AK482" s="142"/>
      <c r="AL482" s="142"/>
      <c r="AM482" s="142"/>
      <c r="AN482" s="142"/>
      <c r="AO482" s="131"/>
    </row>
    <row r="483" ht="13.5" customHeight="1">
      <c r="A483" s="142"/>
      <c r="B483" s="142"/>
      <c r="C483" s="142"/>
      <c r="D483" s="142"/>
      <c r="E483" s="308"/>
      <c r="F483" s="131"/>
      <c r="G483" s="131"/>
      <c r="H483" s="131"/>
      <c r="I483" s="219"/>
      <c r="J483" s="198"/>
      <c r="K483" s="131"/>
      <c r="L483" s="131"/>
      <c r="M483" s="131"/>
      <c r="N483" s="131"/>
      <c r="O483" s="131"/>
      <c r="P483" s="131"/>
      <c r="Q483" s="131"/>
      <c r="R483" s="131"/>
      <c r="S483" s="131"/>
      <c r="T483" s="131"/>
      <c r="U483" s="131"/>
      <c r="V483" s="131"/>
      <c r="W483" s="131"/>
      <c r="X483" s="131"/>
      <c r="Y483" s="131"/>
      <c r="Z483" s="142"/>
      <c r="AA483" s="142"/>
      <c r="AB483" s="142"/>
      <c r="AC483" s="142"/>
      <c r="AD483" s="142"/>
      <c r="AE483" s="142"/>
      <c r="AF483" s="142"/>
      <c r="AG483" s="142"/>
      <c r="AH483" s="142"/>
      <c r="AI483" s="142"/>
      <c r="AJ483" s="142"/>
      <c r="AK483" s="142"/>
      <c r="AL483" s="142"/>
      <c r="AM483" s="142"/>
      <c r="AN483" s="142"/>
      <c r="AO483" s="131"/>
    </row>
    <row r="484" ht="13.5" customHeight="1">
      <c r="A484" s="142"/>
      <c r="B484" s="142"/>
      <c r="C484" s="142"/>
      <c r="D484" s="142"/>
      <c r="E484" s="308"/>
      <c r="F484" s="131"/>
      <c r="G484" s="131"/>
      <c r="H484" s="131"/>
      <c r="I484" s="219"/>
      <c r="J484" s="198"/>
      <c r="K484" s="131"/>
      <c r="L484" s="131"/>
      <c r="M484" s="131"/>
      <c r="N484" s="131"/>
      <c r="O484" s="131"/>
      <c r="P484" s="131"/>
      <c r="Q484" s="131"/>
      <c r="R484" s="131"/>
      <c r="S484" s="131"/>
      <c r="T484" s="131"/>
      <c r="U484" s="131"/>
      <c r="V484" s="131"/>
      <c r="W484" s="131"/>
      <c r="X484" s="131"/>
      <c r="Y484" s="131"/>
      <c r="Z484" s="142"/>
      <c r="AA484" s="142"/>
      <c r="AB484" s="142"/>
      <c r="AC484" s="142"/>
      <c r="AD484" s="142"/>
      <c r="AE484" s="142"/>
      <c r="AF484" s="142"/>
      <c r="AG484" s="142"/>
      <c r="AH484" s="142"/>
      <c r="AI484" s="142"/>
      <c r="AJ484" s="142"/>
      <c r="AK484" s="142"/>
      <c r="AL484" s="142"/>
      <c r="AM484" s="142"/>
      <c r="AN484" s="142"/>
      <c r="AO484" s="131"/>
    </row>
    <row r="485" ht="13.5" customHeight="1">
      <c r="A485" s="142"/>
      <c r="B485" s="142"/>
      <c r="C485" s="142"/>
      <c r="D485" s="142"/>
      <c r="E485" s="308"/>
      <c r="F485" s="131"/>
      <c r="G485" s="131"/>
      <c r="H485" s="131"/>
      <c r="I485" s="219"/>
      <c r="J485" s="198"/>
      <c r="K485" s="131"/>
      <c r="L485" s="131"/>
      <c r="M485" s="131"/>
      <c r="N485" s="131"/>
      <c r="O485" s="131"/>
      <c r="P485" s="131"/>
      <c r="Q485" s="131"/>
      <c r="R485" s="131"/>
      <c r="S485" s="131"/>
      <c r="T485" s="131"/>
      <c r="U485" s="131"/>
      <c r="V485" s="131"/>
      <c r="W485" s="131"/>
      <c r="X485" s="131"/>
      <c r="Y485" s="131"/>
      <c r="Z485" s="142"/>
      <c r="AA485" s="142"/>
      <c r="AB485" s="142"/>
      <c r="AC485" s="142"/>
      <c r="AD485" s="142"/>
      <c r="AE485" s="142"/>
      <c r="AF485" s="142"/>
      <c r="AG485" s="142"/>
      <c r="AH485" s="142"/>
      <c r="AI485" s="142"/>
      <c r="AJ485" s="142"/>
      <c r="AK485" s="142"/>
      <c r="AL485" s="142"/>
      <c r="AM485" s="142"/>
      <c r="AN485" s="142"/>
      <c r="AO485" s="131"/>
    </row>
    <row r="486" ht="13.5" customHeight="1">
      <c r="A486" s="142"/>
      <c r="B486" s="142"/>
      <c r="C486" s="142"/>
      <c r="D486" s="142"/>
      <c r="E486" s="308"/>
      <c r="F486" s="131"/>
      <c r="G486" s="131"/>
      <c r="H486" s="131"/>
      <c r="I486" s="219"/>
      <c r="J486" s="198"/>
      <c r="K486" s="131"/>
      <c r="L486" s="131"/>
      <c r="M486" s="131"/>
      <c r="N486" s="131"/>
      <c r="O486" s="131"/>
      <c r="P486" s="131"/>
      <c r="Q486" s="131"/>
      <c r="R486" s="131"/>
      <c r="S486" s="131"/>
      <c r="T486" s="131"/>
      <c r="U486" s="131"/>
      <c r="V486" s="131"/>
      <c r="W486" s="131"/>
      <c r="X486" s="131"/>
      <c r="Y486" s="131"/>
      <c r="Z486" s="142"/>
      <c r="AA486" s="142"/>
      <c r="AB486" s="142"/>
      <c r="AC486" s="142"/>
      <c r="AD486" s="142"/>
      <c r="AE486" s="142"/>
      <c r="AF486" s="142"/>
      <c r="AG486" s="142"/>
      <c r="AH486" s="142"/>
      <c r="AI486" s="142"/>
      <c r="AJ486" s="142"/>
      <c r="AK486" s="142"/>
      <c r="AL486" s="142"/>
      <c r="AM486" s="142"/>
      <c r="AN486" s="142"/>
      <c r="AO486" s="131"/>
    </row>
    <row r="487" ht="13.5" customHeight="1">
      <c r="A487" s="142"/>
      <c r="B487" s="142"/>
      <c r="C487" s="142"/>
      <c r="D487" s="142"/>
      <c r="E487" s="308"/>
      <c r="F487" s="131"/>
      <c r="G487" s="131"/>
      <c r="H487" s="131"/>
      <c r="I487" s="219"/>
      <c r="J487" s="198"/>
      <c r="K487" s="131"/>
      <c r="L487" s="131"/>
      <c r="M487" s="131"/>
      <c r="N487" s="131"/>
      <c r="O487" s="131"/>
      <c r="P487" s="131"/>
      <c r="Q487" s="131"/>
      <c r="R487" s="131"/>
      <c r="S487" s="131"/>
      <c r="T487" s="131"/>
      <c r="U487" s="131"/>
      <c r="V487" s="131"/>
      <c r="W487" s="131"/>
      <c r="X487" s="131"/>
      <c r="Y487" s="131"/>
      <c r="Z487" s="142"/>
      <c r="AA487" s="142"/>
      <c r="AB487" s="142"/>
      <c r="AC487" s="142"/>
      <c r="AD487" s="142"/>
      <c r="AE487" s="142"/>
      <c r="AF487" s="142"/>
      <c r="AG487" s="142"/>
      <c r="AH487" s="142"/>
      <c r="AI487" s="142"/>
      <c r="AJ487" s="142"/>
      <c r="AK487" s="142"/>
      <c r="AL487" s="142"/>
      <c r="AM487" s="142"/>
      <c r="AN487" s="142"/>
      <c r="AO487" s="131"/>
    </row>
    <row r="488" ht="13.5" customHeight="1">
      <c r="A488" s="142"/>
      <c r="B488" s="142"/>
      <c r="C488" s="142"/>
      <c r="D488" s="142"/>
      <c r="E488" s="308"/>
      <c r="F488" s="131"/>
      <c r="G488" s="131"/>
      <c r="H488" s="131"/>
      <c r="I488" s="219"/>
      <c r="J488" s="198"/>
      <c r="K488" s="131"/>
      <c r="L488" s="131"/>
      <c r="M488" s="131"/>
      <c r="N488" s="131"/>
      <c r="O488" s="131"/>
      <c r="P488" s="131"/>
      <c r="Q488" s="131"/>
      <c r="R488" s="131"/>
      <c r="S488" s="131"/>
      <c r="T488" s="131"/>
      <c r="U488" s="131"/>
      <c r="V488" s="131"/>
      <c r="W488" s="131"/>
      <c r="X488" s="131"/>
      <c r="Y488" s="131"/>
      <c r="Z488" s="142"/>
      <c r="AA488" s="142"/>
      <c r="AB488" s="142"/>
      <c r="AC488" s="142"/>
      <c r="AD488" s="142"/>
      <c r="AE488" s="142"/>
      <c r="AF488" s="142"/>
      <c r="AG488" s="142"/>
      <c r="AH488" s="142"/>
      <c r="AI488" s="142"/>
      <c r="AJ488" s="142"/>
      <c r="AK488" s="142"/>
      <c r="AL488" s="142"/>
      <c r="AM488" s="142"/>
      <c r="AN488" s="142"/>
      <c r="AO488" s="131"/>
    </row>
    <row r="489" ht="13.5" customHeight="1">
      <c r="A489" s="142"/>
      <c r="B489" s="142"/>
      <c r="C489" s="142"/>
      <c r="D489" s="142"/>
      <c r="E489" s="308"/>
      <c r="F489" s="131"/>
      <c r="G489" s="131"/>
      <c r="H489" s="131"/>
      <c r="I489" s="219"/>
      <c r="J489" s="198"/>
      <c r="K489" s="131"/>
      <c r="L489" s="131"/>
      <c r="M489" s="131"/>
      <c r="N489" s="131"/>
      <c r="O489" s="131"/>
      <c r="P489" s="131"/>
      <c r="Q489" s="131"/>
      <c r="R489" s="131"/>
      <c r="S489" s="131"/>
      <c r="T489" s="131"/>
      <c r="U489" s="131"/>
      <c r="V489" s="131"/>
      <c r="W489" s="131"/>
      <c r="X489" s="131"/>
      <c r="Y489" s="131"/>
      <c r="Z489" s="142"/>
      <c r="AA489" s="142"/>
      <c r="AB489" s="142"/>
      <c r="AC489" s="142"/>
      <c r="AD489" s="142"/>
      <c r="AE489" s="142"/>
      <c r="AF489" s="142"/>
      <c r="AG489" s="142"/>
      <c r="AH489" s="142"/>
      <c r="AI489" s="142"/>
      <c r="AJ489" s="142"/>
      <c r="AK489" s="142"/>
      <c r="AL489" s="142"/>
      <c r="AM489" s="142"/>
      <c r="AN489" s="142"/>
      <c r="AO489" s="131"/>
    </row>
    <row r="490" ht="13.5" customHeight="1">
      <c r="A490" s="142"/>
      <c r="B490" s="142"/>
      <c r="C490" s="142"/>
      <c r="D490" s="142"/>
      <c r="E490" s="308"/>
      <c r="F490" s="131"/>
      <c r="G490" s="131"/>
      <c r="H490" s="131"/>
      <c r="I490" s="219"/>
      <c r="J490" s="198"/>
      <c r="K490" s="131"/>
      <c r="L490" s="131"/>
      <c r="M490" s="131"/>
      <c r="N490" s="131"/>
      <c r="O490" s="131"/>
      <c r="P490" s="131"/>
      <c r="Q490" s="131"/>
      <c r="R490" s="131"/>
      <c r="S490" s="131"/>
      <c r="T490" s="131"/>
      <c r="U490" s="131"/>
      <c r="V490" s="131"/>
      <c r="W490" s="131"/>
      <c r="X490" s="131"/>
      <c r="Y490" s="131"/>
      <c r="Z490" s="142"/>
      <c r="AA490" s="142"/>
      <c r="AB490" s="142"/>
      <c r="AC490" s="142"/>
      <c r="AD490" s="142"/>
      <c r="AE490" s="142"/>
      <c r="AF490" s="142"/>
      <c r="AG490" s="142"/>
      <c r="AH490" s="142"/>
      <c r="AI490" s="142"/>
      <c r="AJ490" s="142"/>
      <c r="AK490" s="142"/>
      <c r="AL490" s="142"/>
      <c r="AM490" s="142"/>
      <c r="AN490" s="142"/>
      <c r="AO490" s="131"/>
    </row>
    <row r="491" ht="13.5" customHeight="1">
      <c r="A491" s="142"/>
      <c r="B491" s="142"/>
      <c r="C491" s="142"/>
      <c r="D491" s="142"/>
      <c r="E491" s="308"/>
      <c r="F491" s="131"/>
      <c r="G491" s="131"/>
      <c r="H491" s="131"/>
      <c r="I491" s="219"/>
      <c r="J491" s="198"/>
      <c r="K491" s="131"/>
      <c r="L491" s="131"/>
      <c r="M491" s="131"/>
      <c r="N491" s="131"/>
      <c r="O491" s="131"/>
      <c r="P491" s="131"/>
      <c r="Q491" s="131"/>
      <c r="R491" s="131"/>
      <c r="S491" s="131"/>
      <c r="T491" s="131"/>
      <c r="U491" s="131"/>
      <c r="V491" s="131"/>
      <c r="W491" s="131"/>
      <c r="X491" s="131"/>
      <c r="Y491" s="131"/>
      <c r="Z491" s="142"/>
      <c r="AA491" s="142"/>
      <c r="AB491" s="142"/>
      <c r="AC491" s="142"/>
      <c r="AD491" s="142"/>
      <c r="AE491" s="142"/>
      <c r="AF491" s="142"/>
      <c r="AG491" s="142"/>
      <c r="AH491" s="142"/>
      <c r="AI491" s="142"/>
      <c r="AJ491" s="142"/>
      <c r="AK491" s="142"/>
      <c r="AL491" s="142"/>
      <c r="AM491" s="142"/>
      <c r="AN491" s="142"/>
      <c r="AO491" s="131"/>
    </row>
    <row r="492" ht="13.5" customHeight="1">
      <c r="A492" s="142"/>
      <c r="B492" s="142"/>
      <c r="C492" s="142"/>
      <c r="D492" s="142"/>
      <c r="E492" s="308"/>
      <c r="F492" s="131"/>
      <c r="G492" s="131"/>
      <c r="H492" s="131"/>
      <c r="I492" s="219"/>
      <c r="J492" s="198"/>
      <c r="K492" s="131"/>
      <c r="L492" s="131"/>
      <c r="M492" s="131"/>
      <c r="N492" s="131"/>
      <c r="O492" s="131"/>
      <c r="P492" s="131"/>
      <c r="Q492" s="131"/>
      <c r="R492" s="131"/>
      <c r="S492" s="131"/>
      <c r="T492" s="131"/>
      <c r="U492" s="131"/>
      <c r="V492" s="131"/>
      <c r="W492" s="131"/>
      <c r="X492" s="131"/>
      <c r="Y492" s="131"/>
      <c r="Z492" s="142"/>
      <c r="AA492" s="142"/>
      <c r="AB492" s="142"/>
      <c r="AC492" s="142"/>
      <c r="AD492" s="142"/>
      <c r="AE492" s="142"/>
      <c r="AF492" s="142"/>
      <c r="AG492" s="142"/>
      <c r="AH492" s="142"/>
      <c r="AI492" s="142"/>
      <c r="AJ492" s="142"/>
      <c r="AK492" s="142"/>
      <c r="AL492" s="142"/>
      <c r="AM492" s="142"/>
      <c r="AN492" s="142"/>
      <c r="AO492" s="131"/>
    </row>
    <row r="493" ht="13.5" customHeight="1">
      <c r="A493" s="142"/>
      <c r="B493" s="142"/>
      <c r="C493" s="142"/>
      <c r="D493" s="142"/>
      <c r="E493" s="308"/>
      <c r="F493" s="131"/>
      <c r="G493" s="131"/>
      <c r="H493" s="131"/>
      <c r="I493" s="219"/>
      <c r="J493" s="198"/>
      <c r="K493" s="131"/>
      <c r="L493" s="131"/>
      <c r="M493" s="131"/>
      <c r="N493" s="131"/>
      <c r="O493" s="131"/>
      <c r="P493" s="131"/>
      <c r="Q493" s="131"/>
      <c r="R493" s="131"/>
      <c r="S493" s="131"/>
      <c r="T493" s="131"/>
      <c r="U493" s="131"/>
      <c r="V493" s="131"/>
      <c r="W493" s="131"/>
      <c r="X493" s="131"/>
      <c r="Y493" s="131"/>
      <c r="Z493" s="142"/>
      <c r="AA493" s="142"/>
      <c r="AB493" s="142"/>
      <c r="AC493" s="142"/>
      <c r="AD493" s="142"/>
      <c r="AE493" s="142"/>
      <c r="AF493" s="142"/>
      <c r="AG493" s="142"/>
      <c r="AH493" s="142"/>
      <c r="AI493" s="142"/>
      <c r="AJ493" s="142"/>
      <c r="AK493" s="142"/>
      <c r="AL493" s="142"/>
      <c r="AM493" s="142"/>
      <c r="AN493" s="142"/>
      <c r="AO493" s="131"/>
    </row>
    <row r="494" ht="13.5" customHeight="1">
      <c r="A494" s="142"/>
      <c r="B494" s="142"/>
      <c r="C494" s="142"/>
      <c r="D494" s="142"/>
      <c r="E494" s="308"/>
      <c r="F494" s="131"/>
      <c r="G494" s="131"/>
      <c r="H494" s="131"/>
      <c r="I494" s="219"/>
      <c r="J494" s="198"/>
      <c r="K494" s="131"/>
      <c r="L494" s="131"/>
      <c r="M494" s="131"/>
      <c r="N494" s="131"/>
      <c r="O494" s="131"/>
      <c r="P494" s="131"/>
      <c r="Q494" s="131"/>
      <c r="R494" s="131"/>
      <c r="S494" s="131"/>
      <c r="T494" s="131"/>
      <c r="U494" s="131"/>
      <c r="V494" s="131"/>
      <c r="W494" s="131"/>
      <c r="X494" s="131"/>
      <c r="Y494" s="131"/>
      <c r="Z494" s="142"/>
      <c r="AA494" s="142"/>
      <c r="AB494" s="142"/>
      <c r="AC494" s="142"/>
      <c r="AD494" s="142"/>
      <c r="AE494" s="142"/>
      <c r="AF494" s="142"/>
      <c r="AG494" s="142"/>
      <c r="AH494" s="142"/>
      <c r="AI494" s="142"/>
      <c r="AJ494" s="142"/>
      <c r="AK494" s="142"/>
      <c r="AL494" s="142"/>
      <c r="AM494" s="142"/>
      <c r="AN494" s="142"/>
      <c r="AO494" s="131"/>
    </row>
    <row r="495" ht="13.5" customHeight="1">
      <c r="A495" s="142"/>
      <c r="B495" s="142"/>
      <c r="C495" s="142"/>
      <c r="D495" s="142"/>
      <c r="E495" s="308"/>
      <c r="F495" s="131"/>
      <c r="G495" s="131"/>
      <c r="H495" s="131"/>
      <c r="I495" s="219"/>
      <c r="J495" s="198"/>
      <c r="K495" s="131"/>
      <c r="L495" s="131"/>
      <c r="M495" s="131"/>
      <c r="N495" s="131"/>
      <c r="O495" s="131"/>
      <c r="P495" s="131"/>
      <c r="Q495" s="131"/>
      <c r="R495" s="131"/>
      <c r="S495" s="131"/>
      <c r="T495" s="131"/>
      <c r="U495" s="131"/>
      <c r="V495" s="131"/>
      <c r="W495" s="131"/>
      <c r="X495" s="131"/>
      <c r="Y495" s="131"/>
      <c r="Z495" s="142"/>
      <c r="AA495" s="142"/>
      <c r="AB495" s="142"/>
      <c r="AC495" s="142"/>
      <c r="AD495" s="142"/>
      <c r="AE495" s="142"/>
      <c r="AF495" s="142"/>
      <c r="AG495" s="142"/>
      <c r="AH495" s="142"/>
      <c r="AI495" s="142"/>
      <c r="AJ495" s="142"/>
      <c r="AK495" s="142"/>
      <c r="AL495" s="142"/>
      <c r="AM495" s="142"/>
      <c r="AN495" s="142"/>
      <c r="AO495" s="131"/>
    </row>
    <row r="496" ht="13.5" customHeight="1">
      <c r="A496" s="142"/>
      <c r="B496" s="142"/>
      <c r="C496" s="142"/>
      <c r="D496" s="142"/>
      <c r="E496" s="308"/>
      <c r="F496" s="131"/>
      <c r="G496" s="131"/>
      <c r="H496" s="131"/>
      <c r="I496" s="219"/>
      <c r="J496" s="198"/>
      <c r="K496" s="131"/>
      <c r="L496" s="131"/>
      <c r="M496" s="131"/>
      <c r="N496" s="131"/>
      <c r="O496" s="131"/>
      <c r="P496" s="131"/>
      <c r="Q496" s="131"/>
      <c r="R496" s="131"/>
      <c r="S496" s="131"/>
      <c r="T496" s="131"/>
      <c r="U496" s="131"/>
      <c r="V496" s="131"/>
      <c r="W496" s="131"/>
      <c r="X496" s="131"/>
      <c r="Y496" s="131"/>
      <c r="Z496" s="142"/>
      <c r="AA496" s="142"/>
      <c r="AB496" s="142"/>
      <c r="AC496" s="142"/>
      <c r="AD496" s="142"/>
      <c r="AE496" s="142"/>
      <c r="AF496" s="142"/>
      <c r="AG496" s="142"/>
      <c r="AH496" s="142"/>
      <c r="AI496" s="142"/>
      <c r="AJ496" s="142"/>
      <c r="AK496" s="142"/>
      <c r="AL496" s="142"/>
      <c r="AM496" s="142"/>
      <c r="AN496" s="142"/>
      <c r="AO496" s="131"/>
    </row>
    <row r="497" ht="13.5" customHeight="1">
      <c r="A497" s="142"/>
      <c r="B497" s="142"/>
      <c r="C497" s="142"/>
      <c r="D497" s="142"/>
      <c r="E497" s="308"/>
      <c r="F497" s="131"/>
      <c r="G497" s="131"/>
      <c r="H497" s="131"/>
      <c r="I497" s="219"/>
      <c r="J497" s="198"/>
      <c r="K497" s="131"/>
      <c r="L497" s="131"/>
      <c r="M497" s="131"/>
      <c r="N497" s="131"/>
      <c r="O497" s="131"/>
      <c r="P497" s="131"/>
      <c r="Q497" s="131"/>
      <c r="R497" s="131"/>
      <c r="S497" s="131"/>
      <c r="T497" s="131"/>
      <c r="U497" s="131"/>
      <c r="V497" s="131"/>
      <c r="W497" s="131"/>
      <c r="X497" s="131"/>
      <c r="Y497" s="131"/>
      <c r="Z497" s="142"/>
      <c r="AA497" s="142"/>
      <c r="AB497" s="142"/>
      <c r="AC497" s="142"/>
      <c r="AD497" s="142"/>
      <c r="AE497" s="142"/>
      <c r="AF497" s="142"/>
      <c r="AG497" s="142"/>
      <c r="AH497" s="142"/>
      <c r="AI497" s="142"/>
      <c r="AJ497" s="142"/>
      <c r="AK497" s="142"/>
      <c r="AL497" s="142"/>
      <c r="AM497" s="142"/>
      <c r="AN497" s="142"/>
      <c r="AO497" s="131"/>
    </row>
    <row r="498" ht="13.5" customHeight="1">
      <c r="A498" s="142"/>
      <c r="B498" s="142"/>
      <c r="C498" s="142"/>
      <c r="D498" s="142"/>
      <c r="E498" s="308"/>
      <c r="F498" s="131"/>
      <c r="G498" s="131"/>
      <c r="H498" s="131"/>
      <c r="I498" s="219"/>
      <c r="J498" s="198"/>
      <c r="K498" s="131"/>
      <c r="L498" s="131"/>
      <c r="M498" s="131"/>
      <c r="N498" s="131"/>
      <c r="O498" s="131"/>
      <c r="P498" s="131"/>
      <c r="Q498" s="131"/>
      <c r="R498" s="131"/>
      <c r="S498" s="131"/>
      <c r="T498" s="131"/>
      <c r="U498" s="131"/>
      <c r="V498" s="131"/>
      <c r="W498" s="131"/>
      <c r="X498" s="131"/>
      <c r="Y498" s="131"/>
      <c r="Z498" s="142"/>
      <c r="AA498" s="142"/>
      <c r="AB498" s="142"/>
      <c r="AC498" s="142"/>
      <c r="AD498" s="142"/>
      <c r="AE498" s="142"/>
      <c r="AF498" s="142"/>
      <c r="AG498" s="142"/>
      <c r="AH498" s="142"/>
      <c r="AI498" s="142"/>
      <c r="AJ498" s="142"/>
      <c r="AK498" s="142"/>
      <c r="AL498" s="142"/>
      <c r="AM498" s="142"/>
      <c r="AN498" s="142"/>
      <c r="AO498" s="131"/>
    </row>
    <row r="499" ht="13.5" customHeight="1">
      <c r="A499" s="142"/>
      <c r="B499" s="142"/>
      <c r="C499" s="142"/>
      <c r="D499" s="142"/>
      <c r="E499" s="308"/>
      <c r="F499" s="131"/>
      <c r="G499" s="131"/>
      <c r="H499" s="131"/>
      <c r="I499" s="219"/>
      <c r="J499" s="198"/>
      <c r="K499" s="131"/>
      <c r="L499" s="131"/>
      <c r="M499" s="131"/>
      <c r="N499" s="131"/>
      <c r="O499" s="131"/>
      <c r="P499" s="131"/>
      <c r="Q499" s="131"/>
      <c r="R499" s="131"/>
      <c r="S499" s="131"/>
      <c r="T499" s="131"/>
      <c r="U499" s="131"/>
      <c r="V499" s="131"/>
      <c r="W499" s="131"/>
      <c r="X499" s="131"/>
      <c r="Y499" s="131"/>
      <c r="Z499" s="142"/>
      <c r="AA499" s="142"/>
      <c r="AB499" s="142"/>
      <c r="AC499" s="142"/>
      <c r="AD499" s="142"/>
      <c r="AE499" s="142"/>
      <c r="AF499" s="142"/>
      <c r="AG499" s="142"/>
      <c r="AH499" s="142"/>
      <c r="AI499" s="142"/>
      <c r="AJ499" s="142"/>
      <c r="AK499" s="142"/>
      <c r="AL499" s="142"/>
      <c r="AM499" s="142"/>
      <c r="AN499" s="142"/>
      <c r="AO499" s="131"/>
    </row>
    <row r="500" ht="13.5" customHeight="1">
      <c r="A500" s="142"/>
      <c r="B500" s="142"/>
      <c r="C500" s="142"/>
      <c r="D500" s="142"/>
      <c r="E500" s="308"/>
      <c r="F500" s="131"/>
      <c r="G500" s="131"/>
      <c r="H500" s="131"/>
      <c r="I500" s="219"/>
      <c r="J500" s="198"/>
      <c r="K500" s="131"/>
      <c r="L500" s="131"/>
      <c r="M500" s="131"/>
      <c r="N500" s="131"/>
      <c r="O500" s="131"/>
      <c r="P500" s="131"/>
      <c r="Q500" s="131"/>
      <c r="R500" s="131"/>
      <c r="S500" s="131"/>
      <c r="T500" s="131"/>
      <c r="U500" s="131"/>
      <c r="V500" s="131"/>
      <c r="W500" s="131"/>
      <c r="X500" s="131"/>
      <c r="Y500" s="131"/>
      <c r="Z500" s="142"/>
      <c r="AA500" s="142"/>
      <c r="AB500" s="142"/>
      <c r="AC500" s="142"/>
      <c r="AD500" s="142"/>
      <c r="AE500" s="142"/>
      <c r="AF500" s="142"/>
      <c r="AG500" s="142"/>
      <c r="AH500" s="142"/>
      <c r="AI500" s="142"/>
      <c r="AJ500" s="142"/>
      <c r="AK500" s="142"/>
      <c r="AL500" s="142"/>
      <c r="AM500" s="142"/>
      <c r="AN500" s="142"/>
      <c r="AO500" s="131"/>
    </row>
    <row r="501" ht="13.5" customHeight="1">
      <c r="A501" s="142"/>
      <c r="B501" s="142"/>
      <c r="C501" s="142"/>
      <c r="D501" s="142"/>
      <c r="E501" s="308"/>
      <c r="F501" s="131"/>
      <c r="G501" s="131"/>
      <c r="H501" s="131"/>
      <c r="I501" s="219"/>
      <c r="J501" s="198"/>
      <c r="K501" s="131"/>
      <c r="L501" s="131"/>
      <c r="M501" s="131"/>
      <c r="N501" s="131"/>
      <c r="O501" s="131"/>
      <c r="P501" s="131"/>
      <c r="Q501" s="131"/>
      <c r="R501" s="131"/>
      <c r="S501" s="131"/>
      <c r="T501" s="131"/>
      <c r="U501" s="131"/>
      <c r="V501" s="131"/>
      <c r="W501" s="131"/>
      <c r="X501" s="131"/>
      <c r="Y501" s="131"/>
      <c r="Z501" s="142"/>
      <c r="AA501" s="142"/>
      <c r="AB501" s="142"/>
      <c r="AC501" s="142"/>
      <c r="AD501" s="142"/>
      <c r="AE501" s="142"/>
      <c r="AF501" s="142"/>
      <c r="AG501" s="142"/>
      <c r="AH501" s="142"/>
      <c r="AI501" s="142"/>
      <c r="AJ501" s="142"/>
      <c r="AK501" s="142"/>
      <c r="AL501" s="142"/>
      <c r="AM501" s="142"/>
      <c r="AN501" s="142"/>
      <c r="AO501" s="131"/>
    </row>
    <row r="502" ht="13.5" customHeight="1">
      <c r="A502" s="142"/>
      <c r="B502" s="142"/>
      <c r="C502" s="142"/>
      <c r="D502" s="142"/>
      <c r="E502" s="308"/>
      <c r="F502" s="131"/>
      <c r="G502" s="131"/>
      <c r="H502" s="131"/>
      <c r="I502" s="219"/>
      <c r="J502" s="198"/>
      <c r="K502" s="131"/>
      <c r="L502" s="131"/>
      <c r="M502" s="131"/>
      <c r="N502" s="131"/>
      <c r="O502" s="131"/>
      <c r="P502" s="131"/>
      <c r="Q502" s="131"/>
      <c r="R502" s="131"/>
      <c r="S502" s="131"/>
      <c r="T502" s="131"/>
      <c r="U502" s="131"/>
      <c r="V502" s="131"/>
      <c r="W502" s="131"/>
      <c r="X502" s="131"/>
      <c r="Y502" s="131"/>
      <c r="Z502" s="142"/>
      <c r="AA502" s="142"/>
      <c r="AB502" s="142"/>
      <c r="AC502" s="142"/>
      <c r="AD502" s="142"/>
      <c r="AE502" s="142"/>
      <c r="AF502" s="142"/>
      <c r="AG502" s="142"/>
      <c r="AH502" s="142"/>
      <c r="AI502" s="142"/>
      <c r="AJ502" s="142"/>
      <c r="AK502" s="142"/>
      <c r="AL502" s="142"/>
      <c r="AM502" s="142"/>
      <c r="AN502" s="142"/>
      <c r="AO502" s="131"/>
    </row>
    <row r="503" ht="13.5" customHeight="1">
      <c r="A503" s="142"/>
      <c r="B503" s="142"/>
      <c r="C503" s="142"/>
      <c r="D503" s="142"/>
      <c r="E503" s="308"/>
      <c r="F503" s="131"/>
      <c r="G503" s="131"/>
      <c r="H503" s="131"/>
      <c r="I503" s="219"/>
      <c r="J503" s="198"/>
      <c r="K503" s="131"/>
      <c r="L503" s="131"/>
      <c r="M503" s="131"/>
      <c r="N503" s="131"/>
      <c r="O503" s="131"/>
      <c r="P503" s="131"/>
      <c r="Q503" s="131"/>
      <c r="R503" s="131"/>
      <c r="S503" s="131"/>
      <c r="T503" s="131"/>
      <c r="U503" s="131"/>
      <c r="V503" s="131"/>
      <c r="W503" s="131"/>
      <c r="X503" s="131"/>
      <c r="Y503" s="131"/>
      <c r="Z503" s="142"/>
      <c r="AA503" s="142"/>
      <c r="AB503" s="142"/>
      <c r="AC503" s="142"/>
      <c r="AD503" s="142"/>
      <c r="AE503" s="142"/>
      <c r="AF503" s="142"/>
      <c r="AG503" s="142"/>
      <c r="AH503" s="142"/>
      <c r="AI503" s="142"/>
      <c r="AJ503" s="142"/>
      <c r="AK503" s="142"/>
      <c r="AL503" s="142"/>
      <c r="AM503" s="142"/>
      <c r="AN503" s="142"/>
      <c r="AO503" s="131"/>
    </row>
    <row r="504" ht="13.5" customHeight="1">
      <c r="A504" s="142"/>
      <c r="B504" s="142"/>
      <c r="C504" s="142"/>
      <c r="D504" s="142"/>
      <c r="E504" s="308"/>
      <c r="F504" s="131"/>
      <c r="G504" s="131"/>
      <c r="H504" s="131"/>
      <c r="I504" s="219"/>
      <c r="J504" s="198"/>
      <c r="K504" s="131"/>
      <c r="L504" s="131"/>
      <c r="M504" s="131"/>
      <c r="N504" s="131"/>
      <c r="O504" s="131"/>
      <c r="P504" s="131"/>
      <c r="Q504" s="131"/>
      <c r="R504" s="131"/>
      <c r="S504" s="131"/>
      <c r="T504" s="131"/>
      <c r="U504" s="131"/>
      <c r="V504" s="131"/>
      <c r="W504" s="131"/>
      <c r="X504" s="131"/>
      <c r="Y504" s="131"/>
      <c r="Z504" s="142"/>
      <c r="AA504" s="142"/>
      <c r="AB504" s="142"/>
      <c r="AC504" s="142"/>
      <c r="AD504" s="142"/>
      <c r="AE504" s="142"/>
      <c r="AF504" s="142"/>
      <c r="AG504" s="142"/>
      <c r="AH504" s="142"/>
      <c r="AI504" s="142"/>
      <c r="AJ504" s="142"/>
      <c r="AK504" s="142"/>
      <c r="AL504" s="142"/>
      <c r="AM504" s="142"/>
      <c r="AN504" s="142"/>
      <c r="AO504" s="131"/>
    </row>
    <row r="505" ht="13.5" customHeight="1">
      <c r="A505" s="142"/>
      <c r="B505" s="142"/>
      <c r="C505" s="142"/>
      <c r="D505" s="142"/>
      <c r="E505" s="308"/>
      <c r="F505" s="131"/>
      <c r="G505" s="131"/>
      <c r="H505" s="131"/>
      <c r="I505" s="219"/>
      <c r="J505" s="198"/>
      <c r="K505" s="131"/>
      <c r="L505" s="131"/>
      <c r="M505" s="131"/>
      <c r="N505" s="131"/>
      <c r="O505" s="131"/>
      <c r="P505" s="131"/>
      <c r="Q505" s="131"/>
      <c r="R505" s="131"/>
      <c r="S505" s="131"/>
      <c r="T505" s="131"/>
      <c r="U505" s="131"/>
      <c r="V505" s="131"/>
      <c r="W505" s="131"/>
      <c r="X505" s="131"/>
      <c r="Y505" s="131"/>
      <c r="Z505" s="142"/>
      <c r="AA505" s="142"/>
      <c r="AB505" s="142"/>
      <c r="AC505" s="142"/>
      <c r="AD505" s="142"/>
      <c r="AE505" s="142"/>
      <c r="AF505" s="142"/>
      <c r="AG505" s="142"/>
      <c r="AH505" s="142"/>
      <c r="AI505" s="142"/>
      <c r="AJ505" s="142"/>
      <c r="AK505" s="142"/>
      <c r="AL505" s="142"/>
      <c r="AM505" s="142"/>
      <c r="AN505" s="142"/>
      <c r="AO505" s="131"/>
    </row>
    <row r="506" ht="13.5" customHeight="1">
      <c r="A506" s="142"/>
      <c r="B506" s="142"/>
      <c r="C506" s="142"/>
      <c r="D506" s="142"/>
      <c r="E506" s="308"/>
      <c r="F506" s="131"/>
      <c r="G506" s="131"/>
      <c r="H506" s="131"/>
      <c r="I506" s="219"/>
      <c r="J506" s="198"/>
      <c r="K506" s="131"/>
      <c r="L506" s="131"/>
      <c r="M506" s="131"/>
      <c r="N506" s="131"/>
      <c r="O506" s="131"/>
      <c r="P506" s="131"/>
      <c r="Q506" s="131"/>
      <c r="R506" s="131"/>
      <c r="S506" s="131"/>
      <c r="T506" s="131"/>
      <c r="U506" s="131"/>
      <c r="V506" s="131"/>
      <c r="W506" s="131"/>
      <c r="X506" s="131"/>
      <c r="Y506" s="131"/>
      <c r="Z506" s="142"/>
      <c r="AA506" s="142"/>
      <c r="AB506" s="142"/>
      <c r="AC506" s="142"/>
      <c r="AD506" s="142"/>
      <c r="AE506" s="142"/>
      <c r="AF506" s="142"/>
      <c r="AG506" s="142"/>
      <c r="AH506" s="142"/>
      <c r="AI506" s="142"/>
      <c r="AJ506" s="142"/>
      <c r="AK506" s="142"/>
      <c r="AL506" s="142"/>
      <c r="AM506" s="142"/>
      <c r="AN506" s="142"/>
      <c r="AO506" s="131"/>
    </row>
    <row r="507" ht="13.5" customHeight="1">
      <c r="A507" s="142"/>
      <c r="B507" s="142"/>
      <c r="C507" s="142"/>
      <c r="D507" s="142"/>
      <c r="E507" s="308"/>
      <c r="F507" s="131"/>
      <c r="G507" s="131"/>
      <c r="H507" s="131"/>
      <c r="I507" s="219"/>
      <c r="J507" s="198"/>
      <c r="K507" s="131"/>
      <c r="L507" s="131"/>
      <c r="M507" s="131"/>
      <c r="N507" s="131"/>
      <c r="O507" s="131"/>
      <c r="P507" s="131"/>
      <c r="Q507" s="131"/>
      <c r="R507" s="131"/>
      <c r="S507" s="131"/>
      <c r="T507" s="131"/>
      <c r="U507" s="131"/>
      <c r="V507" s="131"/>
      <c r="W507" s="131"/>
      <c r="X507" s="131"/>
      <c r="Y507" s="131"/>
      <c r="Z507" s="142"/>
      <c r="AA507" s="142"/>
      <c r="AB507" s="142"/>
      <c r="AC507" s="142"/>
      <c r="AD507" s="142"/>
      <c r="AE507" s="142"/>
      <c r="AF507" s="142"/>
      <c r="AG507" s="142"/>
      <c r="AH507" s="142"/>
      <c r="AI507" s="142"/>
      <c r="AJ507" s="142"/>
      <c r="AK507" s="142"/>
      <c r="AL507" s="142"/>
      <c r="AM507" s="142"/>
      <c r="AN507" s="142"/>
      <c r="AO507" s="131"/>
    </row>
    <row r="508" ht="13.5" customHeight="1">
      <c r="A508" s="142"/>
      <c r="B508" s="142"/>
      <c r="C508" s="142"/>
      <c r="D508" s="142"/>
      <c r="E508" s="308"/>
      <c r="F508" s="131"/>
      <c r="G508" s="131"/>
      <c r="H508" s="131"/>
      <c r="I508" s="219"/>
      <c r="J508" s="198"/>
      <c r="K508" s="131"/>
      <c r="L508" s="131"/>
      <c r="M508" s="131"/>
      <c r="N508" s="131"/>
      <c r="O508" s="131"/>
      <c r="P508" s="131"/>
      <c r="Q508" s="131"/>
      <c r="R508" s="131"/>
      <c r="S508" s="131"/>
      <c r="T508" s="131"/>
      <c r="U508" s="131"/>
      <c r="V508" s="131"/>
      <c r="W508" s="131"/>
      <c r="X508" s="131"/>
      <c r="Y508" s="131"/>
      <c r="Z508" s="142"/>
      <c r="AA508" s="142"/>
      <c r="AB508" s="142"/>
      <c r="AC508" s="142"/>
      <c r="AD508" s="142"/>
      <c r="AE508" s="142"/>
      <c r="AF508" s="142"/>
      <c r="AG508" s="142"/>
      <c r="AH508" s="142"/>
      <c r="AI508" s="142"/>
      <c r="AJ508" s="142"/>
      <c r="AK508" s="142"/>
      <c r="AL508" s="142"/>
      <c r="AM508" s="142"/>
      <c r="AN508" s="142"/>
      <c r="AO508" s="131"/>
    </row>
    <row r="509" ht="13.5" customHeight="1">
      <c r="A509" s="142"/>
      <c r="B509" s="142"/>
      <c r="C509" s="142"/>
      <c r="D509" s="142"/>
      <c r="E509" s="308"/>
      <c r="F509" s="131"/>
      <c r="G509" s="131"/>
      <c r="H509" s="131"/>
      <c r="I509" s="219"/>
      <c r="J509" s="198"/>
      <c r="K509" s="131"/>
      <c r="L509" s="131"/>
      <c r="M509" s="131"/>
      <c r="N509" s="131"/>
      <c r="O509" s="131"/>
      <c r="P509" s="131"/>
      <c r="Q509" s="131"/>
      <c r="R509" s="131"/>
      <c r="S509" s="131"/>
      <c r="T509" s="131"/>
      <c r="U509" s="131"/>
      <c r="V509" s="131"/>
      <c r="W509" s="131"/>
      <c r="X509" s="131"/>
      <c r="Y509" s="131"/>
      <c r="Z509" s="142"/>
      <c r="AA509" s="142"/>
      <c r="AB509" s="142"/>
      <c r="AC509" s="142"/>
      <c r="AD509" s="142"/>
      <c r="AE509" s="142"/>
      <c r="AF509" s="142"/>
      <c r="AG509" s="142"/>
      <c r="AH509" s="142"/>
      <c r="AI509" s="142"/>
      <c r="AJ509" s="142"/>
      <c r="AK509" s="142"/>
      <c r="AL509" s="142"/>
      <c r="AM509" s="142"/>
      <c r="AN509" s="142"/>
      <c r="AO509" s="131"/>
    </row>
    <row r="510" ht="13.5" customHeight="1">
      <c r="A510" s="142"/>
      <c r="B510" s="142"/>
      <c r="C510" s="142"/>
      <c r="D510" s="142"/>
      <c r="E510" s="308"/>
      <c r="F510" s="131"/>
      <c r="G510" s="131"/>
      <c r="H510" s="131"/>
      <c r="I510" s="219"/>
      <c r="J510" s="198"/>
      <c r="K510" s="131"/>
      <c r="L510" s="131"/>
      <c r="M510" s="131"/>
      <c r="N510" s="131"/>
      <c r="O510" s="131"/>
      <c r="P510" s="131"/>
      <c r="Q510" s="131"/>
      <c r="R510" s="131"/>
      <c r="S510" s="131"/>
      <c r="T510" s="131"/>
      <c r="U510" s="131"/>
      <c r="V510" s="131"/>
      <c r="W510" s="131"/>
      <c r="X510" s="131"/>
      <c r="Y510" s="131"/>
      <c r="Z510" s="142"/>
      <c r="AA510" s="142"/>
      <c r="AB510" s="142"/>
      <c r="AC510" s="142"/>
      <c r="AD510" s="142"/>
      <c r="AE510" s="142"/>
      <c r="AF510" s="142"/>
      <c r="AG510" s="142"/>
      <c r="AH510" s="142"/>
      <c r="AI510" s="142"/>
      <c r="AJ510" s="142"/>
      <c r="AK510" s="142"/>
      <c r="AL510" s="142"/>
      <c r="AM510" s="142"/>
      <c r="AN510" s="142"/>
      <c r="AO510" s="131"/>
    </row>
    <row r="511" ht="13.5" customHeight="1">
      <c r="A511" s="142"/>
      <c r="B511" s="142"/>
      <c r="C511" s="142"/>
      <c r="D511" s="142"/>
      <c r="E511" s="308"/>
      <c r="F511" s="131"/>
      <c r="G511" s="131"/>
      <c r="H511" s="131"/>
      <c r="I511" s="219"/>
      <c r="J511" s="198"/>
      <c r="K511" s="131"/>
      <c r="L511" s="131"/>
      <c r="M511" s="131"/>
      <c r="N511" s="131"/>
      <c r="O511" s="131"/>
      <c r="P511" s="131"/>
      <c r="Q511" s="131"/>
      <c r="R511" s="131"/>
      <c r="S511" s="131"/>
      <c r="T511" s="131"/>
      <c r="U511" s="131"/>
      <c r="V511" s="131"/>
      <c r="W511" s="131"/>
      <c r="X511" s="131"/>
      <c r="Y511" s="131"/>
      <c r="Z511" s="142"/>
      <c r="AA511" s="142"/>
      <c r="AB511" s="142"/>
      <c r="AC511" s="142"/>
      <c r="AD511" s="142"/>
      <c r="AE511" s="142"/>
      <c r="AF511" s="142"/>
      <c r="AG511" s="142"/>
      <c r="AH511" s="142"/>
      <c r="AI511" s="142"/>
      <c r="AJ511" s="142"/>
      <c r="AK511" s="142"/>
      <c r="AL511" s="142"/>
      <c r="AM511" s="142"/>
      <c r="AN511" s="142"/>
      <c r="AO511" s="131"/>
    </row>
    <row r="512" ht="13.5" customHeight="1">
      <c r="A512" s="142"/>
      <c r="B512" s="142"/>
      <c r="C512" s="142"/>
      <c r="D512" s="142"/>
      <c r="E512" s="308"/>
      <c r="F512" s="131"/>
      <c r="G512" s="131"/>
      <c r="H512" s="131"/>
      <c r="I512" s="219"/>
      <c r="J512" s="198"/>
      <c r="K512" s="131"/>
      <c r="L512" s="131"/>
      <c r="M512" s="131"/>
      <c r="N512" s="131"/>
      <c r="O512" s="131"/>
      <c r="P512" s="131"/>
      <c r="Q512" s="131"/>
      <c r="R512" s="131"/>
      <c r="S512" s="131"/>
      <c r="T512" s="131"/>
      <c r="U512" s="131"/>
      <c r="V512" s="131"/>
      <c r="W512" s="131"/>
      <c r="X512" s="131"/>
      <c r="Y512" s="131"/>
      <c r="Z512" s="142"/>
      <c r="AA512" s="142"/>
      <c r="AB512" s="142"/>
      <c r="AC512" s="142"/>
      <c r="AD512" s="142"/>
      <c r="AE512" s="142"/>
      <c r="AF512" s="142"/>
      <c r="AG512" s="142"/>
      <c r="AH512" s="142"/>
      <c r="AI512" s="142"/>
      <c r="AJ512" s="142"/>
      <c r="AK512" s="142"/>
      <c r="AL512" s="142"/>
      <c r="AM512" s="142"/>
      <c r="AN512" s="142"/>
      <c r="AO512" s="131"/>
    </row>
    <row r="513" ht="13.5" customHeight="1">
      <c r="A513" s="142"/>
      <c r="B513" s="142"/>
      <c r="C513" s="142"/>
      <c r="D513" s="142"/>
      <c r="E513" s="308"/>
      <c r="F513" s="131"/>
      <c r="G513" s="131"/>
      <c r="H513" s="131"/>
      <c r="I513" s="219"/>
      <c r="J513" s="198"/>
      <c r="K513" s="131"/>
      <c r="L513" s="131"/>
      <c r="M513" s="131"/>
      <c r="N513" s="131"/>
      <c r="O513" s="131"/>
      <c r="P513" s="131"/>
      <c r="Q513" s="131"/>
      <c r="R513" s="131"/>
      <c r="S513" s="131"/>
      <c r="T513" s="131"/>
      <c r="U513" s="131"/>
      <c r="V513" s="131"/>
      <c r="W513" s="131"/>
      <c r="X513" s="131"/>
      <c r="Y513" s="131"/>
      <c r="Z513" s="142"/>
      <c r="AA513" s="142"/>
      <c r="AB513" s="142"/>
      <c r="AC513" s="142"/>
      <c r="AD513" s="142"/>
      <c r="AE513" s="142"/>
      <c r="AF513" s="142"/>
      <c r="AG513" s="142"/>
      <c r="AH513" s="142"/>
      <c r="AI513" s="142"/>
      <c r="AJ513" s="142"/>
      <c r="AK513" s="142"/>
      <c r="AL513" s="142"/>
      <c r="AM513" s="142"/>
      <c r="AN513" s="142"/>
      <c r="AO513" s="131"/>
    </row>
    <row r="514" ht="13.5" customHeight="1">
      <c r="A514" s="142"/>
      <c r="B514" s="142"/>
      <c r="C514" s="142"/>
      <c r="D514" s="142"/>
      <c r="E514" s="308"/>
      <c r="F514" s="131"/>
      <c r="G514" s="131"/>
      <c r="H514" s="131"/>
      <c r="I514" s="219"/>
      <c r="J514" s="198"/>
      <c r="K514" s="131"/>
      <c r="L514" s="131"/>
      <c r="M514" s="131"/>
      <c r="N514" s="131"/>
      <c r="O514" s="131"/>
      <c r="P514" s="131"/>
      <c r="Q514" s="131"/>
      <c r="R514" s="131"/>
      <c r="S514" s="131"/>
      <c r="T514" s="131"/>
      <c r="U514" s="131"/>
      <c r="V514" s="131"/>
      <c r="W514" s="131"/>
      <c r="X514" s="131"/>
      <c r="Y514" s="131"/>
      <c r="Z514" s="142"/>
      <c r="AA514" s="142"/>
      <c r="AB514" s="142"/>
      <c r="AC514" s="142"/>
      <c r="AD514" s="142"/>
      <c r="AE514" s="142"/>
      <c r="AF514" s="142"/>
      <c r="AG514" s="142"/>
      <c r="AH514" s="142"/>
      <c r="AI514" s="142"/>
      <c r="AJ514" s="142"/>
      <c r="AK514" s="142"/>
      <c r="AL514" s="142"/>
      <c r="AM514" s="142"/>
      <c r="AN514" s="142"/>
      <c r="AO514" s="131"/>
    </row>
    <row r="515" ht="13.5" customHeight="1">
      <c r="A515" s="142"/>
      <c r="B515" s="142"/>
      <c r="C515" s="142"/>
      <c r="D515" s="142"/>
      <c r="E515" s="308"/>
      <c r="F515" s="131"/>
      <c r="G515" s="131"/>
      <c r="H515" s="131"/>
      <c r="I515" s="219"/>
      <c r="J515" s="198"/>
      <c r="K515" s="131"/>
      <c r="L515" s="131"/>
      <c r="M515" s="131"/>
      <c r="N515" s="131"/>
      <c r="O515" s="131"/>
      <c r="P515" s="131"/>
      <c r="Q515" s="131"/>
      <c r="R515" s="131"/>
      <c r="S515" s="131"/>
      <c r="T515" s="131"/>
      <c r="U515" s="131"/>
      <c r="V515" s="131"/>
      <c r="W515" s="131"/>
      <c r="X515" s="131"/>
      <c r="Y515" s="131"/>
      <c r="Z515" s="142"/>
      <c r="AA515" s="142"/>
      <c r="AB515" s="142"/>
      <c r="AC515" s="142"/>
      <c r="AD515" s="142"/>
      <c r="AE515" s="142"/>
      <c r="AF515" s="142"/>
      <c r="AG515" s="142"/>
      <c r="AH515" s="142"/>
      <c r="AI515" s="142"/>
      <c r="AJ515" s="142"/>
      <c r="AK515" s="142"/>
      <c r="AL515" s="142"/>
      <c r="AM515" s="142"/>
      <c r="AN515" s="142"/>
      <c r="AO515" s="131"/>
    </row>
    <row r="516" ht="13.5" customHeight="1">
      <c r="A516" s="142"/>
      <c r="B516" s="142"/>
      <c r="C516" s="142"/>
      <c r="D516" s="142"/>
      <c r="E516" s="308"/>
      <c r="F516" s="131"/>
      <c r="G516" s="131"/>
      <c r="H516" s="131"/>
      <c r="I516" s="219"/>
      <c r="J516" s="198"/>
      <c r="K516" s="131"/>
      <c r="L516" s="131"/>
      <c r="M516" s="131"/>
      <c r="N516" s="131"/>
      <c r="O516" s="131"/>
      <c r="P516" s="131"/>
      <c r="Q516" s="131"/>
      <c r="R516" s="131"/>
      <c r="S516" s="131"/>
      <c r="T516" s="131"/>
      <c r="U516" s="131"/>
      <c r="V516" s="131"/>
      <c r="W516" s="131"/>
      <c r="X516" s="131"/>
      <c r="Y516" s="131"/>
      <c r="Z516" s="142"/>
      <c r="AA516" s="142"/>
      <c r="AB516" s="142"/>
      <c r="AC516" s="142"/>
      <c r="AD516" s="142"/>
      <c r="AE516" s="142"/>
      <c r="AF516" s="142"/>
      <c r="AG516" s="142"/>
      <c r="AH516" s="142"/>
      <c r="AI516" s="142"/>
      <c r="AJ516" s="142"/>
      <c r="AK516" s="142"/>
      <c r="AL516" s="142"/>
      <c r="AM516" s="142"/>
      <c r="AN516" s="142"/>
      <c r="AO516" s="131"/>
    </row>
    <row r="517" ht="13.5" customHeight="1">
      <c r="A517" s="142"/>
      <c r="B517" s="142"/>
      <c r="C517" s="142"/>
      <c r="D517" s="142"/>
      <c r="E517" s="308"/>
      <c r="F517" s="131"/>
      <c r="G517" s="131"/>
      <c r="H517" s="131"/>
      <c r="I517" s="219"/>
      <c r="J517" s="198"/>
      <c r="K517" s="131"/>
      <c r="L517" s="131"/>
      <c r="M517" s="131"/>
      <c r="N517" s="131"/>
      <c r="O517" s="131"/>
      <c r="P517" s="131"/>
      <c r="Q517" s="131"/>
      <c r="R517" s="131"/>
      <c r="S517" s="131"/>
      <c r="T517" s="131"/>
      <c r="U517" s="131"/>
      <c r="V517" s="131"/>
      <c r="W517" s="131"/>
      <c r="X517" s="131"/>
      <c r="Y517" s="131"/>
      <c r="Z517" s="142"/>
      <c r="AA517" s="142"/>
      <c r="AB517" s="142"/>
      <c r="AC517" s="142"/>
      <c r="AD517" s="142"/>
      <c r="AE517" s="142"/>
      <c r="AF517" s="142"/>
      <c r="AG517" s="142"/>
      <c r="AH517" s="142"/>
      <c r="AI517" s="142"/>
      <c r="AJ517" s="142"/>
      <c r="AK517" s="142"/>
      <c r="AL517" s="142"/>
      <c r="AM517" s="142"/>
      <c r="AN517" s="142"/>
      <c r="AO517" s="131"/>
    </row>
    <row r="518" ht="13.5" customHeight="1">
      <c r="A518" s="142"/>
      <c r="B518" s="142"/>
      <c r="C518" s="142"/>
      <c r="D518" s="142"/>
      <c r="E518" s="308"/>
      <c r="F518" s="131"/>
      <c r="G518" s="131"/>
      <c r="H518" s="131"/>
      <c r="I518" s="219"/>
      <c r="J518" s="198"/>
      <c r="K518" s="131"/>
      <c r="L518" s="131"/>
      <c r="M518" s="131"/>
      <c r="N518" s="131"/>
      <c r="O518" s="131"/>
      <c r="P518" s="131"/>
      <c r="Q518" s="131"/>
      <c r="R518" s="131"/>
      <c r="S518" s="131"/>
      <c r="T518" s="131"/>
      <c r="U518" s="131"/>
      <c r="V518" s="131"/>
      <c r="W518" s="131"/>
      <c r="X518" s="131"/>
      <c r="Y518" s="131"/>
      <c r="Z518" s="142"/>
      <c r="AA518" s="142"/>
      <c r="AB518" s="142"/>
      <c r="AC518" s="142"/>
      <c r="AD518" s="142"/>
      <c r="AE518" s="142"/>
      <c r="AF518" s="142"/>
      <c r="AG518" s="142"/>
      <c r="AH518" s="142"/>
      <c r="AI518" s="142"/>
      <c r="AJ518" s="142"/>
      <c r="AK518" s="142"/>
      <c r="AL518" s="142"/>
      <c r="AM518" s="142"/>
      <c r="AN518" s="142"/>
      <c r="AO518" s="131"/>
    </row>
    <row r="519" ht="13.5" customHeight="1">
      <c r="A519" s="142"/>
      <c r="B519" s="142"/>
      <c r="C519" s="142"/>
      <c r="D519" s="142"/>
      <c r="E519" s="308"/>
      <c r="F519" s="131"/>
      <c r="G519" s="131"/>
      <c r="H519" s="131"/>
      <c r="I519" s="219"/>
      <c r="J519" s="198"/>
      <c r="K519" s="131"/>
      <c r="L519" s="131"/>
      <c r="M519" s="131"/>
      <c r="N519" s="131"/>
      <c r="O519" s="131"/>
      <c r="P519" s="131"/>
      <c r="Q519" s="131"/>
      <c r="R519" s="131"/>
      <c r="S519" s="131"/>
      <c r="T519" s="131"/>
      <c r="U519" s="131"/>
      <c r="V519" s="131"/>
      <c r="W519" s="131"/>
      <c r="X519" s="131"/>
      <c r="Y519" s="131"/>
      <c r="Z519" s="142"/>
      <c r="AA519" s="142"/>
      <c r="AB519" s="142"/>
      <c r="AC519" s="142"/>
      <c r="AD519" s="142"/>
      <c r="AE519" s="142"/>
      <c r="AF519" s="142"/>
      <c r="AG519" s="142"/>
      <c r="AH519" s="142"/>
      <c r="AI519" s="142"/>
      <c r="AJ519" s="142"/>
      <c r="AK519" s="142"/>
      <c r="AL519" s="142"/>
      <c r="AM519" s="142"/>
      <c r="AN519" s="142"/>
      <c r="AO519" s="131"/>
    </row>
    <row r="520" ht="13.5" customHeight="1">
      <c r="A520" s="142"/>
      <c r="B520" s="142"/>
      <c r="C520" s="142"/>
      <c r="D520" s="142"/>
      <c r="E520" s="308"/>
      <c r="F520" s="131"/>
      <c r="G520" s="131"/>
      <c r="H520" s="131"/>
      <c r="I520" s="219"/>
      <c r="J520" s="198"/>
      <c r="K520" s="131"/>
      <c r="L520" s="131"/>
      <c r="M520" s="131"/>
      <c r="N520" s="131"/>
      <c r="O520" s="131"/>
      <c r="P520" s="131"/>
      <c r="Q520" s="131"/>
      <c r="R520" s="131"/>
      <c r="S520" s="131"/>
      <c r="T520" s="131"/>
      <c r="U520" s="131"/>
      <c r="V520" s="131"/>
      <c r="W520" s="131"/>
      <c r="X520" s="131"/>
      <c r="Y520" s="131"/>
      <c r="Z520" s="142"/>
      <c r="AA520" s="142"/>
      <c r="AB520" s="142"/>
      <c r="AC520" s="142"/>
      <c r="AD520" s="142"/>
      <c r="AE520" s="142"/>
      <c r="AF520" s="142"/>
      <c r="AG520" s="142"/>
      <c r="AH520" s="142"/>
      <c r="AI520" s="142"/>
      <c r="AJ520" s="142"/>
      <c r="AK520" s="142"/>
      <c r="AL520" s="142"/>
      <c r="AM520" s="142"/>
      <c r="AN520" s="142"/>
      <c r="AO520" s="131"/>
    </row>
    <row r="521" ht="13.5" customHeight="1">
      <c r="A521" s="142"/>
      <c r="B521" s="142"/>
      <c r="C521" s="142"/>
      <c r="D521" s="142"/>
      <c r="E521" s="308"/>
      <c r="F521" s="131"/>
      <c r="G521" s="131"/>
      <c r="H521" s="131"/>
      <c r="I521" s="219"/>
      <c r="J521" s="198"/>
      <c r="K521" s="131"/>
      <c r="L521" s="131"/>
      <c r="M521" s="131"/>
      <c r="N521" s="131"/>
      <c r="O521" s="131"/>
      <c r="P521" s="131"/>
      <c r="Q521" s="131"/>
      <c r="R521" s="131"/>
      <c r="S521" s="131"/>
      <c r="T521" s="131"/>
      <c r="U521" s="131"/>
      <c r="V521" s="131"/>
      <c r="W521" s="131"/>
      <c r="X521" s="131"/>
      <c r="Y521" s="131"/>
      <c r="Z521" s="142"/>
      <c r="AA521" s="142"/>
      <c r="AB521" s="142"/>
      <c r="AC521" s="142"/>
      <c r="AD521" s="142"/>
      <c r="AE521" s="142"/>
      <c r="AF521" s="142"/>
      <c r="AG521" s="142"/>
      <c r="AH521" s="142"/>
      <c r="AI521" s="142"/>
      <c r="AJ521" s="142"/>
      <c r="AK521" s="142"/>
      <c r="AL521" s="142"/>
      <c r="AM521" s="142"/>
      <c r="AN521" s="142"/>
      <c r="AO521" s="131"/>
    </row>
    <row r="522" ht="13.5" customHeight="1">
      <c r="A522" s="142"/>
      <c r="B522" s="142"/>
      <c r="C522" s="142"/>
      <c r="D522" s="142"/>
      <c r="E522" s="308"/>
      <c r="F522" s="131"/>
      <c r="G522" s="131"/>
      <c r="H522" s="131"/>
      <c r="I522" s="219"/>
      <c r="J522" s="198"/>
      <c r="K522" s="131"/>
      <c r="L522" s="131"/>
      <c r="M522" s="131"/>
      <c r="N522" s="131"/>
      <c r="O522" s="131"/>
      <c r="P522" s="131"/>
      <c r="Q522" s="131"/>
      <c r="R522" s="131"/>
      <c r="S522" s="131"/>
      <c r="T522" s="131"/>
      <c r="U522" s="131"/>
      <c r="V522" s="131"/>
      <c r="W522" s="131"/>
      <c r="X522" s="131"/>
      <c r="Y522" s="131"/>
      <c r="Z522" s="142"/>
      <c r="AA522" s="142"/>
      <c r="AB522" s="142"/>
      <c r="AC522" s="142"/>
      <c r="AD522" s="142"/>
      <c r="AE522" s="142"/>
      <c r="AF522" s="142"/>
      <c r="AG522" s="142"/>
      <c r="AH522" s="142"/>
      <c r="AI522" s="142"/>
      <c r="AJ522" s="142"/>
      <c r="AK522" s="142"/>
      <c r="AL522" s="142"/>
      <c r="AM522" s="142"/>
      <c r="AN522" s="142"/>
      <c r="AO522" s="131"/>
    </row>
    <row r="523" ht="13.5" customHeight="1">
      <c r="A523" s="142"/>
      <c r="B523" s="142"/>
      <c r="C523" s="142"/>
      <c r="D523" s="142"/>
      <c r="E523" s="308"/>
      <c r="F523" s="131"/>
      <c r="G523" s="131"/>
      <c r="H523" s="131"/>
      <c r="I523" s="219"/>
      <c r="J523" s="198"/>
      <c r="K523" s="131"/>
      <c r="L523" s="131"/>
      <c r="M523" s="131"/>
      <c r="N523" s="131"/>
      <c r="O523" s="131"/>
      <c r="P523" s="131"/>
      <c r="Q523" s="131"/>
      <c r="R523" s="131"/>
      <c r="S523" s="131"/>
      <c r="T523" s="131"/>
      <c r="U523" s="131"/>
      <c r="V523" s="131"/>
      <c r="W523" s="131"/>
      <c r="X523" s="131"/>
      <c r="Y523" s="131"/>
      <c r="Z523" s="142"/>
      <c r="AA523" s="142"/>
      <c r="AB523" s="142"/>
      <c r="AC523" s="142"/>
      <c r="AD523" s="142"/>
      <c r="AE523" s="142"/>
      <c r="AF523" s="142"/>
      <c r="AG523" s="142"/>
      <c r="AH523" s="142"/>
      <c r="AI523" s="142"/>
      <c r="AJ523" s="142"/>
      <c r="AK523" s="142"/>
      <c r="AL523" s="142"/>
      <c r="AM523" s="142"/>
      <c r="AN523" s="142"/>
      <c r="AO523" s="131"/>
    </row>
    <row r="524" ht="13.5" customHeight="1">
      <c r="A524" s="142"/>
      <c r="B524" s="142"/>
      <c r="C524" s="142"/>
      <c r="D524" s="142"/>
      <c r="E524" s="308"/>
      <c r="F524" s="131"/>
      <c r="G524" s="131"/>
      <c r="H524" s="131"/>
      <c r="I524" s="219"/>
      <c r="J524" s="198"/>
      <c r="K524" s="131"/>
      <c r="L524" s="131"/>
      <c r="M524" s="131"/>
      <c r="N524" s="131"/>
      <c r="O524" s="131"/>
      <c r="P524" s="131"/>
      <c r="Q524" s="131"/>
      <c r="R524" s="131"/>
      <c r="S524" s="131"/>
      <c r="T524" s="131"/>
      <c r="U524" s="131"/>
      <c r="V524" s="131"/>
      <c r="W524" s="131"/>
      <c r="X524" s="131"/>
      <c r="Y524" s="131"/>
      <c r="Z524" s="142"/>
      <c r="AA524" s="142"/>
      <c r="AB524" s="142"/>
      <c r="AC524" s="142"/>
      <c r="AD524" s="142"/>
      <c r="AE524" s="142"/>
      <c r="AF524" s="142"/>
      <c r="AG524" s="142"/>
      <c r="AH524" s="142"/>
      <c r="AI524" s="142"/>
      <c r="AJ524" s="142"/>
      <c r="AK524" s="142"/>
      <c r="AL524" s="142"/>
      <c r="AM524" s="142"/>
      <c r="AN524" s="142"/>
      <c r="AO524" s="131"/>
    </row>
    <row r="525" ht="13.5" customHeight="1">
      <c r="A525" s="142"/>
      <c r="B525" s="142"/>
      <c r="C525" s="142"/>
      <c r="D525" s="142"/>
      <c r="E525" s="308"/>
      <c r="F525" s="131"/>
      <c r="G525" s="131"/>
      <c r="H525" s="131"/>
      <c r="I525" s="219"/>
      <c r="J525" s="198"/>
      <c r="K525" s="131"/>
      <c r="L525" s="131"/>
      <c r="M525" s="131"/>
      <c r="N525" s="131"/>
      <c r="O525" s="131"/>
      <c r="P525" s="131"/>
      <c r="Q525" s="131"/>
      <c r="R525" s="131"/>
      <c r="S525" s="131"/>
      <c r="T525" s="131"/>
      <c r="U525" s="131"/>
      <c r="V525" s="131"/>
      <c r="W525" s="131"/>
      <c r="X525" s="131"/>
      <c r="Y525" s="131"/>
      <c r="Z525" s="142"/>
      <c r="AA525" s="142"/>
      <c r="AB525" s="142"/>
      <c r="AC525" s="142"/>
      <c r="AD525" s="142"/>
      <c r="AE525" s="142"/>
      <c r="AF525" s="142"/>
      <c r="AG525" s="142"/>
      <c r="AH525" s="142"/>
      <c r="AI525" s="142"/>
      <c r="AJ525" s="142"/>
      <c r="AK525" s="142"/>
      <c r="AL525" s="142"/>
      <c r="AM525" s="142"/>
      <c r="AN525" s="142"/>
      <c r="AO525" s="131"/>
    </row>
    <row r="526" ht="13.5" customHeight="1">
      <c r="A526" s="142"/>
      <c r="B526" s="142"/>
      <c r="C526" s="142"/>
      <c r="D526" s="142"/>
      <c r="E526" s="308"/>
      <c r="F526" s="131"/>
      <c r="G526" s="131"/>
      <c r="H526" s="131"/>
      <c r="I526" s="219"/>
      <c r="J526" s="198"/>
      <c r="K526" s="131"/>
      <c r="L526" s="131"/>
      <c r="M526" s="131"/>
      <c r="N526" s="131"/>
      <c r="O526" s="131"/>
      <c r="P526" s="131"/>
      <c r="Q526" s="131"/>
      <c r="R526" s="131"/>
      <c r="S526" s="131"/>
      <c r="T526" s="131"/>
      <c r="U526" s="131"/>
      <c r="V526" s="131"/>
      <c r="W526" s="131"/>
      <c r="X526" s="131"/>
      <c r="Y526" s="131"/>
      <c r="Z526" s="142"/>
      <c r="AA526" s="142"/>
      <c r="AB526" s="142"/>
      <c r="AC526" s="142"/>
      <c r="AD526" s="142"/>
      <c r="AE526" s="142"/>
      <c r="AF526" s="142"/>
      <c r="AG526" s="142"/>
      <c r="AH526" s="142"/>
      <c r="AI526" s="142"/>
      <c r="AJ526" s="142"/>
      <c r="AK526" s="142"/>
      <c r="AL526" s="142"/>
      <c r="AM526" s="142"/>
      <c r="AN526" s="142"/>
      <c r="AO526" s="131"/>
    </row>
    <row r="527" ht="13.5" customHeight="1">
      <c r="A527" s="142"/>
      <c r="B527" s="142"/>
      <c r="C527" s="142"/>
      <c r="D527" s="142"/>
      <c r="E527" s="308"/>
      <c r="F527" s="131"/>
      <c r="G527" s="131"/>
      <c r="H527" s="131"/>
      <c r="I527" s="219"/>
      <c r="J527" s="198"/>
      <c r="K527" s="131"/>
      <c r="L527" s="131"/>
      <c r="M527" s="131"/>
      <c r="N527" s="131"/>
      <c r="O527" s="131"/>
      <c r="P527" s="131"/>
      <c r="Q527" s="131"/>
      <c r="R527" s="131"/>
      <c r="S527" s="131"/>
      <c r="T527" s="131"/>
      <c r="U527" s="131"/>
      <c r="V527" s="131"/>
      <c r="W527" s="131"/>
      <c r="X527" s="131"/>
      <c r="Y527" s="131"/>
      <c r="Z527" s="142"/>
      <c r="AA527" s="142"/>
      <c r="AB527" s="142"/>
      <c r="AC527" s="142"/>
      <c r="AD527" s="142"/>
      <c r="AE527" s="142"/>
      <c r="AF527" s="142"/>
      <c r="AG527" s="142"/>
      <c r="AH527" s="142"/>
      <c r="AI527" s="142"/>
      <c r="AJ527" s="142"/>
      <c r="AK527" s="142"/>
      <c r="AL527" s="142"/>
      <c r="AM527" s="142"/>
      <c r="AN527" s="142"/>
      <c r="AO527" s="131"/>
    </row>
    <row r="528" ht="13.5" customHeight="1">
      <c r="A528" s="142"/>
      <c r="B528" s="142"/>
      <c r="C528" s="142"/>
      <c r="D528" s="142"/>
      <c r="E528" s="308"/>
      <c r="F528" s="131"/>
      <c r="G528" s="131"/>
      <c r="H528" s="131"/>
      <c r="I528" s="219"/>
      <c r="J528" s="198"/>
      <c r="K528" s="131"/>
      <c r="L528" s="131"/>
      <c r="M528" s="131"/>
      <c r="N528" s="131"/>
      <c r="O528" s="131"/>
      <c r="P528" s="131"/>
      <c r="Q528" s="131"/>
      <c r="R528" s="131"/>
      <c r="S528" s="131"/>
      <c r="T528" s="131"/>
      <c r="U528" s="131"/>
      <c r="V528" s="131"/>
      <c r="W528" s="131"/>
      <c r="X528" s="131"/>
      <c r="Y528" s="131"/>
      <c r="Z528" s="142"/>
      <c r="AA528" s="142"/>
      <c r="AB528" s="142"/>
      <c r="AC528" s="142"/>
      <c r="AD528" s="142"/>
      <c r="AE528" s="142"/>
      <c r="AF528" s="142"/>
      <c r="AG528" s="142"/>
      <c r="AH528" s="142"/>
      <c r="AI528" s="142"/>
      <c r="AJ528" s="142"/>
      <c r="AK528" s="142"/>
      <c r="AL528" s="142"/>
      <c r="AM528" s="142"/>
      <c r="AN528" s="142"/>
      <c r="AO528" s="131"/>
    </row>
    <row r="529" ht="13.5" customHeight="1">
      <c r="A529" s="142"/>
      <c r="B529" s="142"/>
      <c r="C529" s="142"/>
      <c r="D529" s="142"/>
      <c r="E529" s="308"/>
      <c r="F529" s="131"/>
      <c r="G529" s="131"/>
      <c r="H529" s="131"/>
      <c r="I529" s="219"/>
      <c r="J529" s="198"/>
      <c r="K529" s="131"/>
      <c r="L529" s="131"/>
      <c r="M529" s="131"/>
      <c r="N529" s="131"/>
      <c r="O529" s="131"/>
      <c r="P529" s="131"/>
      <c r="Q529" s="131"/>
      <c r="R529" s="131"/>
      <c r="S529" s="131"/>
      <c r="T529" s="131"/>
      <c r="U529" s="131"/>
      <c r="V529" s="131"/>
      <c r="W529" s="131"/>
      <c r="X529" s="131"/>
      <c r="Y529" s="131"/>
      <c r="Z529" s="142"/>
      <c r="AA529" s="142"/>
      <c r="AB529" s="142"/>
      <c r="AC529" s="142"/>
      <c r="AD529" s="142"/>
      <c r="AE529" s="142"/>
      <c r="AF529" s="142"/>
      <c r="AG529" s="142"/>
      <c r="AH529" s="142"/>
      <c r="AI529" s="142"/>
      <c r="AJ529" s="142"/>
      <c r="AK529" s="142"/>
      <c r="AL529" s="142"/>
      <c r="AM529" s="142"/>
      <c r="AN529" s="142"/>
      <c r="AO529" s="131"/>
    </row>
    <row r="530" ht="13.5" customHeight="1">
      <c r="A530" s="142"/>
      <c r="B530" s="142"/>
      <c r="C530" s="142"/>
      <c r="D530" s="142"/>
      <c r="E530" s="308"/>
      <c r="F530" s="131"/>
      <c r="G530" s="131"/>
      <c r="H530" s="131"/>
      <c r="I530" s="219"/>
      <c r="J530" s="198"/>
      <c r="K530" s="131"/>
      <c r="L530" s="131"/>
      <c r="M530" s="131"/>
      <c r="N530" s="131"/>
      <c r="O530" s="131"/>
      <c r="P530" s="131"/>
      <c r="Q530" s="131"/>
      <c r="R530" s="131"/>
      <c r="S530" s="131"/>
      <c r="T530" s="131"/>
      <c r="U530" s="131"/>
      <c r="V530" s="131"/>
      <c r="W530" s="131"/>
      <c r="X530" s="131"/>
      <c r="Y530" s="131"/>
      <c r="Z530" s="142"/>
      <c r="AA530" s="142"/>
      <c r="AB530" s="142"/>
      <c r="AC530" s="142"/>
      <c r="AD530" s="142"/>
      <c r="AE530" s="142"/>
      <c r="AF530" s="142"/>
      <c r="AG530" s="142"/>
      <c r="AH530" s="142"/>
      <c r="AI530" s="142"/>
      <c r="AJ530" s="142"/>
      <c r="AK530" s="142"/>
      <c r="AL530" s="142"/>
      <c r="AM530" s="142"/>
      <c r="AN530" s="142"/>
      <c r="AO530" s="131"/>
    </row>
    <row r="531" ht="13.5" customHeight="1">
      <c r="A531" s="142"/>
      <c r="B531" s="142"/>
      <c r="C531" s="142"/>
      <c r="D531" s="142"/>
      <c r="E531" s="308"/>
      <c r="F531" s="131"/>
      <c r="G531" s="131"/>
      <c r="H531" s="131"/>
      <c r="I531" s="219"/>
      <c r="J531" s="198"/>
      <c r="K531" s="131"/>
      <c r="L531" s="131"/>
      <c r="M531" s="131"/>
      <c r="N531" s="131"/>
      <c r="O531" s="131"/>
      <c r="P531" s="131"/>
      <c r="Q531" s="131"/>
      <c r="R531" s="131"/>
      <c r="S531" s="131"/>
      <c r="T531" s="131"/>
      <c r="U531" s="131"/>
      <c r="V531" s="131"/>
      <c r="W531" s="131"/>
      <c r="X531" s="131"/>
      <c r="Y531" s="131"/>
      <c r="Z531" s="142"/>
      <c r="AA531" s="142"/>
      <c r="AB531" s="142"/>
      <c r="AC531" s="142"/>
      <c r="AD531" s="142"/>
      <c r="AE531" s="142"/>
      <c r="AF531" s="142"/>
      <c r="AG531" s="142"/>
      <c r="AH531" s="142"/>
      <c r="AI531" s="142"/>
      <c r="AJ531" s="142"/>
      <c r="AK531" s="142"/>
      <c r="AL531" s="142"/>
      <c r="AM531" s="142"/>
      <c r="AN531" s="142"/>
      <c r="AO531" s="131"/>
    </row>
    <row r="532" ht="13.5" customHeight="1">
      <c r="A532" s="142"/>
      <c r="B532" s="142"/>
      <c r="C532" s="142"/>
      <c r="D532" s="142"/>
      <c r="E532" s="308"/>
      <c r="F532" s="131"/>
      <c r="G532" s="131"/>
      <c r="H532" s="131"/>
      <c r="I532" s="219"/>
      <c r="J532" s="198"/>
      <c r="K532" s="131"/>
      <c r="L532" s="131"/>
      <c r="M532" s="131"/>
      <c r="N532" s="131"/>
      <c r="O532" s="131"/>
      <c r="P532" s="131"/>
      <c r="Q532" s="131"/>
      <c r="R532" s="131"/>
      <c r="S532" s="131"/>
      <c r="T532" s="131"/>
      <c r="U532" s="131"/>
      <c r="V532" s="131"/>
      <c r="W532" s="131"/>
      <c r="X532" s="131"/>
      <c r="Y532" s="131"/>
      <c r="Z532" s="142"/>
      <c r="AA532" s="142"/>
      <c r="AB532" s="142"/>
      <c r="AC532" s="142"/>
      <c r="AD532" s="142"/>
      <c r="AE532" s="142"/>
      <c r="AF532" s="142"/>
      <c r="AG532" s="142"/>
      <c r="AH532" s="142"/>
      <c r="AI532" s="142"/>
      <c r="AJ532" s="142"/>
      <c r="AK532" s="142"/>
      <c r="AL532" s="142"/>
      <c r="AM532" s="142"/>
      <c r="AN532" s="142"/>
      <c r="AO532" s="131"/>
    </row>
    <row r="533" ht="13.5" customHeight="1">
      <c r="A533" s="142"/>
      <c r="B533" s="142"/>
      <c r="C533" s="142"/>
      <c r="D533" s="142"/>
      <c r="E533" s="308"/>
      <c r="F533" s="131"/>
      <c r="G533" s="131"/>
      <c r="H533" s="131"/>
      <c r="I533" s="219"/>
      <c r="J533" s="198"/>
      <c r="K533" s="131"/>
      <c r="L533" s="131"/>
      <c r="M533" s="131"/>
      <c r="N533" s="131"/>
      <c r="O533" s="131"/>
      <c r="P533" s="131"/>
      <c r="Q533" s="131"/>
      <c r="R533" s="131"/>
      <c r="S533" s="131"/>
      <c r="T533" s="131"/>
      <c r="U533" s="131"/>
      <c r="V533" s="131"/>
      <c r="W533" s="131"/>
      <c r="X533" s="131"/>
      <c r="Y533" s="131"/>
      <c r="Z533" s="142"/>
      <c r="AA533" s="142"/>
      <c r="AB533" s="142"/>
      <c r="AC533" s="142"/>
      <c r="AD533" s="142"/>
      <c r="AE533" s="142"/>
      <c r="AF533" s="142"/>
      <c r="AG533" s="142"/>
      <c r="AH533" s="142"/>
      <c r="AI533" s="142"/>
      <c r="AJ533" s="142"/>
      <c r="AK533" s="142"/>
      <c r="AL533" s="142"/>
      <c r="AM533" s="142"/>
      <c r="AN533" s="142"/>
      <c r="AO533" s="131"/>
    </row>
    <row r="534" ht="13.5" customHeight="1">
      <c r="A534" s="142"/>
      <c r="B534" s="142"/>
      <c r="C534" s="142"/>
      <c r="D534" s="142"/>
      <c r="E534" s="308"/>
      <c r="F534" s="131"/>
      <c r="G534" s="131"/>
      <c r="H534" s="131"/>
      <c r="I534" s="219"/>
      <c r="J534" s="198"/>
      <c r="K534" s="131"/>
      <c r="L534" s="131"/>
      <c r="M534" s="131"/>
      <c r="N534" s="131"/>
      <c r="O534" s="131"/>
      <c r="P534" s="131"/>
      <c r="Q534" s="131"/>
      <c r="R534" s="131"/>
      <c r="S534" s="131"/>
      <c r="T534" s="131"/>
      <c r="U534" s="131"/>
      <c r="V534" s="131"/>
      <c r="W534" s="131"/>
      <c r="X534" s="131"/>
      <c r="Y534" s="131"/>
      <c r="Z534" s="142"/>
      <c r="AA534" s="142"/>
      <c r="AB534" s="142"/>
      <c r="AC534" s="142"/>
      <c r="AD534" s="142"/>
      <c r="AE534" s="142"/>
      <c r="AF534" s="142"/>
      <c r="AG534" s="142"/>
      <c r="AH534" s="142"/>
      <c r="AI534" s="142"/>
      <c r="AJ534" s="142"/>
      <c r="AK534" s="142"/>
      <c r="AL534" s="142"/>
      <c r="AM534" s="142"/>
      <c r="AN534" s="142"/>
      <c r="AO534" s="131"/>
    </row>
    <row r="535" ht="13.5" customHeight="1">
      <c r="A535" s="142"/>
      <c r="B535" s="142"/>
      <c r="C535" s="142"/>
      <c r="D535" s="142"/>
      <c r="E535" s="308"/>
      <c r="F535" s="131"/>
      <c r="G535" s="131"/>
      <c r="H535" s="131"/>
      <c r="I535" s="219"/>
      <c r="J535" s="198"/>
      <c r="K535" s="131"/>
      <c r="L535" s="131"/>
      <c r="M535" s="131"/>
      <c r="N535" s="131"/>
      <c r="O535" s="131"/>
      <c r="P535" s="131"/>
      <c r="Q535" s="131"/>
      <c r="R535" s="131"/>
      <c r="S535" s="131"/>
      <c r="T535" s="131"/>
      <c r="U535" s="131"/>
      <c r="V535" s="131"/>
      <c r="W535" s="131"/>
      <c r="X535" s="131"/>
      <c r="Y535" s="131"/>
      <c r="Z535" s="142"/>
      <c r="AA535" s="142"/>
      <c r="AB535" s="142"/>
      <c r="AC535" s="142"/>
      <c r="AD535" s="142"/>
      <c r="AE535" s="142"/>
      <c r="AF535" s="142"/>
      <c r="AG535" s="142"/>
      <c r="AH535" s="142"/>
      <c r="AI535" s="142"/>
      <c r="AJ535" s="142"/>
      <c r="AK535" s="142"/>
      <c r="AL535" s="142"/>
      <c r="AM535" s="142"/>
      <c r="AN535" s="142"/>
      <c r="AO535" s="131"/>
    </row>
    <row r="536" ht="13.5" customHeight="1">
      <c r="A536" s="142"/>
      <c r="B536" s="142"/>
      <c r="C536" s="142"/>
      <c r="D536" s="142"/>
      <c r="E536" s="308"/>
      <c r="F536" s="131"/>
      <c r="G536" s="131"/>
      <c r="H536" s="131"/>
      <c r="I536" s="219"/>
      <c r="J536" s="198"/>
      <c r="K536" s="131"/>
      <c r="L536" s="131"/>
      <c r="M536" s="131"/>
      <c r="N536" s="131"/>
      <c r="O536" s="131"/>
      <c r="P536" s="131"/>
      <c r="Q536" s="131"/>
      <c r="R536" s="131"/>
      <c r="S536" s="131"/>
      <c r="T536" s="131"/>
      <c r="U536" s="131"/>
      <c r="V536" s="131"/>
      <c r="W536" s="131"/>
      <c r="X536" s="131"/>
      <c r="Y536" s="131"/>
      <c r="Z536" s="142"/>
      <c r="AA536" s="142"/>
      <c r="AB536" s="142"/>
      <c r="AC536" s="142"/>
      <c r="AD536" s="142"/>
      <c r="AE536" s="142"/>
      <c r="AF536" s="142"/>
      <c r="AG536" s="142"/>
      <c r="AH536" s="142"/>
      <c r="AI536" s="142"/>
      <c r="AJ536" s="142"/>
      <c r="AK536" s="142"/>
      <c r="AL536" s="142"/>
      <c r="AM536" s="142"/>
      <c r="AN536" s="142"/>
      <c r="AO536" s="131"/>
    </row>
    <row r="537" ht="13.5" customHeight="1">
      <c r="A537" s="142"/>
      <c r="B537" s="142"/>
      <c r="C537" s="142"/>
      <c r="D537" s="142"/>
      <c r="E537" s="308"/>
      <c r="F537" s="131"/>
      <c r="G537" s="131"/>
      <c r="H537" s="131"/>
      <c r="I537" s="219"/>
      <c r="J537" s="198"/>
      <c r="K537" s="131"/>
      <c r="L537" s="131"/>
      <c r="M537" s="131"/>
      <c r="N537" s="131"/>
      <c r="O537" s="131"/>
      <c r="P537" s="131"/>
      <c r="Q537" s="131"/>
      <c r="R537" s="131"/>
      <c r="S537" s="131"/>
      <c r="T537" s="131"/>
      <c r="U537" s="131"/>
      <c r="V537" s="131"/>
      <c r="W537" s="131"/>
      <c r="X537" s="131"/>
      <c r="Y537" s="131"/>
      <c r="Z537" s="142"/>
      <c r="AA537" s="142"/>
      <c r="AB537" s="142"/>
      <c r="AC537" s="142"/>
      <c r="AD537" s="142"/>
      <c r="AE537" s="142"/>
      <c r="AF537" s="142"/>
      <c r="AG537" s="142"/>
      <c r="AH537" s="142"/>
      <c r="AI537" s="142"/>
      <c r="AJ537" s="142"/>
      <c r="AK537" s="142"/>
      <c r="AL537" s="142"/>
      <c r="AM537" s="142"/>
      <c r="AN537" s="142"/>
      <c r="AO537" s="131"/>
    </row>
    <row r="538" ht="13.5" customHeight="1">
      <c r="A538" s="142"/>
      <c r="B538" s="142"/>
      <c r="C538" s="142"/>
      <c r="D538" s="142"/>
      <c r="E538" s="308"/>
      <c r="F538" s="131"/>
      <c r="G538" s="131"/>
      <c r="H538" s="131"/>
      <c r="I538" s="219"/>
      <c r="J538" s="198"/>
      <c r="K538" s="131"/>
      <c r="L538" s="131"/>
      <c r="M538" s="131"/>
      <c r="N538" s="131"/>
      <c r="O538" s="131"/>
      <c r="P538" s="131"/>
      <c r="Q538" s="131"/>
      <c r="R538" s="131"/>
      <c r="S538" s="131"/>
      <c r="T538" s="131"/>
      <c r="U538" s="131"/>
      <c r="V538" s="131"/>
      <c r="W538" s="131"/>
      <c r="X538" s="131"/>
      <c r="Y538" s="131"/>
      <c r="Z538" s="142"/>
      <c r="AA538" s="142"/>
      <c r="AB538" s="142"/>
      <c r="AC538" s="142"/>
      <c r="AD538" s="142"/>
      <c r="AE538" s="142"/>
      <c r="AF538" s="142"/>
      <c r="AG538" s="142"/>
      <c r="AH538" s="142"/>
      <c r="AI538" s="142"/>
      <c r="AJ538" s="142"/>
      <c r="AK538" s="142"/>
      <c r="AL538" s="142"/>
      <c r="AM538" s="142"/>
      <c r="AN538" s="142"/>
      <c r="AO538" s="131"/>
    </row>
    <row r="539" ht="13.5" customHeight="1">
      <c r="A539" s="142"/>
      <c r="B539" s="142"/>
      <c r="C539" s="142"/>
      <c r="D539" s="142"/>
      <c r="E539" s="308"/>
      <c r="F539" s="131"/>
      <c r="G539" s="131"/>
      <c r="H539" s="131"/>
      <c r="I539" s="219"/>
      <c r="J539" s="198"/>
      <c r="K539" s="131"/>
      <c r="L539" s="131"/>
      <c r="M539" s="131"/>
      <c r="N539" s="131"/>
      <c r="O539" s="131"/>
      <c r="P539" s="131"/>
      <c r="Q539" s="131"/>
      <c r="R539" s="131"/>
      <c r="S539" s="131"/>
      <c r="T539" s="131"/>
      <c r="U539" s="131"/>
      <c r="V539" s="131"/>
      <c r="W539" s="131"/>
      <c r="X539" s="131"/>
      <c r="Y539" s="131"/>
      <c r="Z539" s="142"/>
      <c r="AA539" s="142"/>
      <c r="AB539" s="142"/>
      <c r="AC539" s="142"/>
      <c r="AD539" s="142"/>
      <c r="AE539" s="142"/>
      <c r="AF539" s="142"/>
      <c r="AG539" s="142"/>
      <c r="AH539" s="142"/>
      <c r="AI539" s="142"/>
      <c r="AJ539" s="142"/>
      <c r="AK539" s="142"/>
      <c r="AL539" s="142"/>
      <c r="AM539" s="142"/>
      <c r="AN539" s="142"/>
      <c r="AO539" s="131"/>
    </row>
    <row r="540" ht="13.5" customHeight="1">
      <c r="A540" s="142"/>
      <c r="B540" s="142"/>
      <c r="C540" s="142"/>
      <c r="D540" s="142"/>
      <c r="E540" s="308"/>
      <c r="F540" s="131"/>
      <c r="G540" s="131"/>
      <c r="H540" s="131"/>
      <c r="I540" s="219"/>
      <c r="J540" s="198"/>
      <c r="K540" s="131"/>
      <c r="L540" s="131"/>
      <c r="M540" s="131"/>
      <c r="N540" s="131"/>
      <c r="O540" s="131"/>
      <c r="P540" s="131"/>
      <c r="Q540" s="131"/>
      <c r="R540" s="131"/>
      <c r="S540" s="131"/>
      <c r="T540" s="131"/>
      <c r="U540" s="131"/>
      <c r="V540" s="131"/>
      <c r="W540" s="131"/>
      <c r="X540" s="131"/>
      <c r="Y540" s="131"/>
      <c r="Z540" s="142"/>
      <c r="AA540" s="142"/>
      <c r="AB540" s="142"/>
      <c r="AC540" s="142"/>
      <c r="AD540" s="142"/>
      <c r="AE540" s="142"/>
      <c r="AF540" s="142"/>
      <c r="AG540" s="142"/>
      <c r="AH540" s="142"/>
      <c r="AI540" s="142"/>
      <c r="AJ540" s="142"/>
      <c r="AK540" s="142"/>
      <c r="AL540" s="142"/>
      <c r="AM540" s="142"/>
      <c r="AN540" s="142"/>
      <c r="AO540" s="131"/>
    </row>
    <row r="541" ht="13.5" customHeight="1">
      <c r="A541" s="142"/>
      <c r="B541" s="142"/>
      <c r="C541" s="142"/>
      <c r="D541" s="142"/>
      <c r="E541" s="308"/>
      <c r="F541" s="131"/>
      <c r="G541" s="131"/>
      <c r="H541" s="131"/>
      <c r="I541" s="219"/>
      <c r="J541" s="198"/>
      <c r="K541" s="131"/>
      <c r="L541" s="131"/>
      <c r="M541" s="131"/>
      <c r="N541" s="131"/>
      <c r="O541" s="131"/>
      <c r="P541" s="131"/>
      <c r="Q541" s="131"/>
      <c r="R541" s="131"/>
      <c r="S541" s="131"/>
      <c r="T541" s="131"/>
      <c r="U541" s="131"/>
      <c r="V541" s="131"/>
      <c r="W541" s="131"/>
      <c r="X541" s="131"/>
      <c r="Y541" s="131"/>
      <c r="Z541" s="142"/>
      <c r="AA541" s="142"/>
      <c r="AB541" s="142"/>
      <c r="AC541" s="142"/>
      <c r="AD541" s="142"/>
      <c r="AE541" s="142"/>
      <c r="AF541" s="142"/>
      <c r="AG541" s="142"/>
      <c r="AH541" s="142"/>
      <c r="AI541" s="142"/>
      <c r="AJ541" s="142"/>
      <c r="AK541" s="142"/>
      <c r="AL541" s="142"/>
      <c r="AM541" s="142"/>
      <c r="AN541" s="142"/>
      <c r="AO541" s="131"/>
    </row>
    <row r="542" ht="13.5" customHeight="1">
      <c r="A542" s="142"/>
      <c r="B542" s="142"/>
      <c r="C542" s="142"/>
      <c r="D542" s="142"/>
      <c r="E542" s="308"/>
      <c r="F542" s="131"/>
      <c r="G542" s="131"/>
      <c r="H542" s="131"/>
      <c r="I542" s="219"/>
      <c r="J542" s="198"/>
      <c r="K542" s="131"/>
      <c r="L542" s="131"/>
      <c r="M542" s="131"/>
      <c r="N542" s="131"/>
      <c r="O542" s="131"/>
      <c r="P542" s="131"/>
      <c r="Q542" s="131"/>
      <c r="R542" s="131"/>
      <c r="S542" s="131"/>
      <c r="T542" s="131"/>
      <c r="U542" s="131"/>
      <c r="V542" s="131"/>
      <c r="W542" s="131"/>
      <c r="X542" s="131"/>
      <c r="Y542" s="131"/>
      <c r="Z542" s="142"/>
      <c r="AA542" s="142"/>
      <c r="AB542" s="142"/>
      <c r="AC542" s="142"/>
      <c r="AD542" s="142"/>
      <c r="AE542" s="142"/>
      <c r="AF542" s="142"/>
      <c r="AG542" s="142"/>
      <c r="AH542" s="142"/>
      <c r="AI542" s="142"/>
      <c r="AJ542" s="142"/>
      <c r="AK542" s="142"/>
      <c r="AL542" s="142"/>
      <c r="AM542" s="142"/>
      <c r="AN542" s="142"/>
      <c r="AO542" s="131"/>
    </row>
    <row r="543" ht="13.5" customHeight="1">
      <c r="A543" s="142"/>
      <c r="B543" s="142"/>
      <c r="C543" s="142"/>
      <c r="D543" s="142"/>
      <c r="E543" s="308"/>
      <c r="F543" s="131"/>
      <c r="G543" s="131"/>
      <c r="H543" s="131"/>
      <c r="I543" s="219"/>
      <c r="J543" s="198"/>
      <c r="K543" s="131"/>
      <c r="L543" s="131"/>
      <c r="M543" s="131"/>
      <c r="N543" s="131"/>
      <c r="O543" s="131"/>
      <c r="P543" s="131"/>
      <c r="Q543" s="131"/>
      <c r="R543" s="131"/>
      <c r="S543" s="131"/>
      <c r="T543" s="131"/>
      <c r="U543" s="131"/>
      <c r="V543" s="131"/>
      <c r="W543" s="131"/>
      <c r="X543" s="131"/>
      <c r="Y543" s="131"/>
      <c r="Z543" s="142"/>
      <c r="AA543" s="142"/>
      <c r="AB543" s="142"/>
      <c r="AC543" s="142"/>
      <c r="AD543" s="142"/>
      <c r="AE543" s="142"/>
      <c r="AF543" s="142"/>
      <c r="AG543" s="142"/>
      <c r="AH543" s="142"/>
      <c r="AI543" s="142"/>
      <c r="AJ543" s="142"/>
      <c r="AK543" s="142"/>
      <c r="AL543" s="142"/>
      <c r="AM543" s="142"/>
      <c r="AN543" s="142"/>
      <c r="AO543" s="131"/>
    </row>
    <row r="544" ht="13.5" customHeight="1">
      <c r="A544" s="142"/>
      <c r="B544" s="142"/>
      <c r="C544" s="142"/>
      <c r="D544" s="142"/>
      <c r="E544" s="308"/>
      <c r="F544" s="131"/>
      <c r="G544" s="131"/>
      <c r="H544" s="131"/>
      <c r="I544" s="219"/>
      <c r="J544" s="198"/>
      <c r="K544" s="131"/>
      <c r="L544" s="131"/>
      <c r="M544" s="131"/>
      <c r="N544" s="131"/>
      <c r="O544" s="131"/>
      <c r="P544" s="131"/>
      <c r="Q544" s="131"/>
      <c r="R544" s="131"/>
      <c r="S544" s="131"/>
      <c r="T544" s="131"/>
      <c r="U544" s="131"/>
      <c r="V544" s="131"/>
      <c r="W544" s="131"/>
      <c r="X544" s="131"/>
      <c r="Y544" s="131"/>
      <c r="Z544" s="142"/>
      <c r="AA544" s="142"/>
      <c r="AB544" s="142"/>
      <c r="AC544" s="142"/>
      <c r="AD544" s="142"/>
      <c r="AE544" s="142"/>
      <c r="AF544" s="142"/>
      <c r="AG544" s="142"/>
      <c r="AH544" s="142"/>
      <c r="AI544" s="142"/>
      <c r="AJ544" s="142"/>
      <c r="AK544" s="142"/>
      <c r="AL544" s="142"/>
      <c r="AM544" s="142"/>
      <c r="AN544" s="142"/>
      <c r="AO544" s="131"/>
    </row>
    <row r="545" ht="13.5" customHeight="1">
      <c r="A545" s="142"/>
      <c r="B545" s="142"/>
      <c r="C545" s="142"/>
      <c r="D545" s="142"/>
      <c r="E545" s="308"/>
      <c r="F545" s="131"/>
      <c r="G545" s="131"/>
      <c r="H545" s="131"/>
      <c r="I545" s="219"/>
      <c r="J545" s="198"/>
      <c r="K545" s="131"/>
      <c r="L545" s="131"/>
      <c r="M545" s="131"/>
      <c r="N545" s="131"/>
      <c r="O545" s="131"/>
      <c r="P545" s="131"/>
      <c r="Q545" s="131"/>
      <c r="R545" s="131"/>
      <c r="S545" s="131"/>
      <c r="T545" s="131"/>
      <c r="U545" s="131"/>
      <c r="V545" s="131"/>
      <c r="W545" s="131"/>
      <c r="X545" s="131"/>
      <c r="Y545" s="131"/>
      <c r="Z545" s="142"/>
      <c r="AA545" s="142"/>
      <c r="AB545" s="142"/>
      <c r="AC545" s="142"/>
      <c r="AD545" s="142"/>
      <c r="AE545" s="142"/>
      <c r="AF545" s="142"/>
      <c r="AG545" s="142"/>
      <c r="AH545" s="142"/>
      <c r="AI545" s="142"/>
      <c r="AJ545" s="142"/>
      <c r="AK545" s="142"/>
      <c r="AL545" s="142"/>
      <c r="AM545" s="142"/>
      <c r="AN545" s="142"/>
      <c r="AO545" s="131"/>
    </row>
    <row r="546" ht="13.5" customHeight="1">
      <c r="A546" s="142"/>
      <c r="B546" s="142"/>
      <c r="C546" s="142"/>
      <c r="D546" s="142"/>
      <c r="E546" s="308"/>
      <c r="F546" s="131"/>
      <c r="G546" s="131"/>
      <c r="H546" s="131"/>
      <c r="I546" s="219"/>
      <c r="J546" s="198"/>
      <c r="K546" s="131"/>
      <c r="L546" s="131"/>
      <c r="M546" s="131"/>
      <c r="N546" s="131"/>
      <c r="O546" s="131"/>
      <c r="P546" s="131"/>
      <c r="Q546" s="131"/>
      <c r="R546" s="131"/>
      <c r="S546" s="131"/>
      <c r="T546" s="131"/>
      <c r="U546" s="131"/>
      <c r="V546" s="131"/>
      <c r="W546" s="131"/>
      <c r="X546" s="131"/>
      <c r="Y546" s="131"/>
      <c r="Z546" s="142"/>
      <c r="AA546" s="142"/>
      <c r="AB546" s="142"/>
      <c r="AC546" s="142"/>
      <c r="AD546" s="142"/>
      <c r="AE546" s="142"/>
      <c r="AF546" s="142"/>
      <c r="AG546" s="142"/>
      <c r="AH546" s="142"/>
      <c r="AI546" s="142"/>
      <c r="AJ546" s="142"/>
      <c r="AK546" s="142"/>
      <c r="AL546" s="142"/>
      <c r="AM546" s="142"/>
      <c r="AN546" s="142"/>
      <c r="AO546" s="131"/>
    </row>
    <row r="547" ht="13.5" customHeight="1">
      <c r="A547" s="142"/>
      <c r="B547" s="142"/>
      <c r="C547" s="142"/>
      <c r="D547" s="142"/>
      <c r="E547" s="308"/>
      <c r="F547" s="131"/>
      <c r="G547" s="131"/>
      <c r="H547" s="131"/>
      <c r="I547" s="219"/>
      <c r="J547" s="198"/>
      <c r="K547" s="131"/>
      <c r="L547" s="131"/>
      <c r="M547" s="131"/>
      <c r="N547" s="131"/>
      <c r="O547" s="131"/>
      <c r="P547" s="131"/>
      <c r="Q547" s="131"/>
      <c r="R547" s="131"/>
      <c r="S547" s="131"/>
      <c r="T547" s="131"/>
      <c r="U547" s="131"/>
      <c r="V547" s="131"/>
      <c r="W547" s="131"/>
      <c r="X547" s="131"/>
      <c r="Y547" s="131"/>
      <c r="Z547" s="142"/>
      <c r="AA547" s="142"/>
      <c r="AB547" s="142"/>
      <c r="AC547" s="142"/>
      <c r="AD547" s="142"/>
      <c r="AE547" s="142"/>
      <c r="AF547" s="142"/>
      <c r="AG547" s="142"/>
      <c r="AH547" s="142"/>
      <c r="AI547" s="142"/>
      <c r="AJ547" s="142"/>
      <c r="AK547" s="142"/>
      <c r="AL547" s="142"/>
      <c r="AM547" s="142"/>
      <c r="AN547" s="142"/>
      <c r="AO547" s="131"/>
    </row>
    <row r="548" ht="13.5" customHeight="1">
      <c r="A548" s="142"/>
      <c r="B548" s="142"/>
      <c r="C548" s="142"/>
      <c r="D548" s="142"/>
      <c r="E548" s="308"/>
      <c r="F548" s="131"/>
      <c r="G548" s="131"/>
      <c r="H548" s="131"/>
      <c r="I548" s="219"/>
      <c r="J548" s="198"/>
      <c r="K548" s="131"/>
      <c r="L548" s="131"/>
      <c r="M548" s="131"/>
      <c r="N548" s="131"/>
      <c r="O548" s="131"/>
      <c r="P548" s="131"/>
      <c r="Q548" s="131"/>
      <c r="R548" s="131"/>
      <c r="S548" s="131"/>
      <c r="T548" s="131"/>
      <c r="U548" s="131"/>
      <c r="V548" s="131"/>
      <c r="W548" s="131"/>
      <c r="X548" s="131"/>
      <c r="Y548" s="131"/>
      <c r="Z548" s="142"/>
      <c r="AA548" s="142"/>
      <c r="AB548" s="142"/>
      <c r="AC548" s="142"/>
      <c r="AD548" s="142"/>
      <c r="AE548" s="142"/>
      <c r="AF548" s="142"/>
      <c r="AG548" s="142"/>
      <c r="AH548" s="142"/>
      <c r="AI548" s="142"/>
      <c r="AJ548" s="142"/>
      <c r="AK548" s="142"/>
      <c r="AL548" s="142"/>
      <c r="AM548" s="142"/>
      <c r="AN548" s="142"/>
      <c r="AO548" s="131"/>
    </row>
    <row r="549" ht="13.5" customHeight="1">
      <c r="A549" s="142"/>
      <c r="B549" s="142"/>
      <c r="C549" s="142"/>
      <c r="D549" s="142"/>
      <c r="E549" s="308"/>
      <c r="F549" s="131"/>
      <c r="G549" s="131"/>
      <c r="H549" s="131"/>
      <c r="I549" s="219"/>
      <c r="J549" s="198"/>
      <c r="K549" s="131"/>
      <c r="L549" s="131"/>
      <c r="M549" s="131"/>
      <c r="N549" s="131"/>
      <c r="O549" s="131"/>
      <c r="P549" s="131"/>
      <c r="Q549" s="131"/>
      <c r="R549" s="131"/>
      <c r="S549" s="131"/>
      <c r="T549" s="131"/>
      <c r="U549" s="131"/>
      <c r="V549" s="131"/>
      <c r="W549" s="131"/>
      <c r="X549" s="131"/>
      <c r="Y549" s="131"/>
      <c r="Z549" s="142"/>
      <c r="AA549" s="142"/>
      <c r="AB549" s="142"/>
      <c r="AC549" s="142"/>
      <c r="AD549" s="142"/>
      <c r="AE549" s="142"/>
      <c r="AF549" s="142"/>
      <c r="AG549" s="142"/>
      <c r="AH549" s="142"/>
      <c r="AI549" s="142"/>
      <c r="AJ549" s="142"/>
      <c r="AK549" s="142"/>
      <c r="AL549" s="142"/>
      <c r="AM549" s="142"/>
      <c r="AN549" s="142"/>
      <c r="AO549" s="131"/>
    </row>
    <row r="550" ht="13.5" customHeight="1">
      <c r="A550" s="142"/>
      <c r="B550" s="142"/>
      <c r="C550" s="142"/>
      <c r="D550" s="142"/>
      <c r="E550" s="308"/>
      <c r="F550" s="131"/>
      <c r="G550" s="131"/>
      <c r="H550" s="131"/>
      <c r="I550" s="219"/>
      <c r="J550" s="198"/>
      <c r="K550" s="131"/>
      <c r="L550" s="131"/>
      <c r="M550" s="131"/>
      <c r="N550" s="131"/>
      <c r="O550" s="131"/>
      <c r="P550" s="131"/>
      <c r="Q550" s="131"/>
      <c r="R550" s="131"/>
      <c r="S550" s="131"/>
      <c r="T550" s="131"/>
      <c r="U550" s="131"/>
      <c r="V550" s="131"/>
      <c r="W550" s="131"/>
      <c r="X550" s="131"/>
      <c r="Y550" s="131"/>
      <c r="Z550" s="142"/>
      <c r="AA550" s="142"/>
      <c r="AB550" s="142"/>
      <c r="AC550" s="142"/>
      <c r="AD550" s="142"/>
      <c r="AE550" s="142"/>
      <c r="AF550" s="142"/>
      <c r="AG550" s="142"/>
      <c r="AH550" s="142"/>
      <c r="AI550" s="142"/>
      <c r="AJ550" s="142"/>
      <c r="AK550" s="142"/>
      <c r="AL550" s="142"/>
      <c r="AM550" s="142"/>
      <c r="AN550" s="142"/>
      <c r="AO550" s="131"/>
    </row>
    <row r="551" ht="13.5" customHeight="1">
      <c r="A551" s="142"/>
      <c r="B551" s="142"/>
      <c r="C551" s="142"/>
      <c r="D551" s="142"/>
      <c r="E551" s="308"/>
      <c r="F551" s="131"/>
      <c r="G551" s="131"/>
      <c r="H551" s="131"/>
      <c r="I551" s="219"/>
      <c r="J551" s="198"/>
      <c r="K551" s="131"/>
      <c r="L551" s="131"/>
      <c r="M551" s="131"/>
      <c r="N551" s="131"/>
      <c r="O551" s="131"/>
      <c r="P551" s="131"/>
      <c r="Q551" s="131"/>
      <c r="R551" s="131"/>
      <c r="S551" s="131"/>
      <c r="T551" s="131"/>
      <c r="U551" s="131"/>
      <c r="V551" s="131"/>
      <c r="W551" s="131"/>
      <c r="X551" s="131"/>
      <c r="Y551" s="131"/>
      <c r="Z551" s="142"/>
      <c r="AA551" s="142"/>
      <c r="AB551" s="142"/>
      <c r="AC551" s="142"/>
      <c r="AD551" s="142"/>
      <c r="AE551" s="142"/>
      <c r="AF551" s="142"/>
      <c r="AG551" s="142"/>
      <c r="AH551" s="142"/>
      <c r="AI551" s="142"/>
      <c r="AJ551" s="142"/>
      <c r="AK551" s="142"/>
      <c r="AL551" s="142"/>
      <c r="AM551" s="142"/>
      <c r="AN551" s="142"/>
      <c r="AO551" s="131"/>
    </row>
    <row r="552" ht="13.5" customHeight="1">
      <c r="A552" s="142"/>
      <c r="B552" s="142"/>
      <c r="C552" s="142"/>
      <c r="D552" s="142"/>
      <c r="E552" s="308"/>
      <c r="F552" s="131"/>
      <c r="G552" s="131"/>
      <c r="H552" s="131"/>
      <c r="I552" s="219"/>
      <c r="J552" s="198"/>
      <c r="K552" s="131"/>
      <c r="L552" s="131"/>
      <c r="M552" s="131"/>
      <c r="N552" s="131"/>
      <c r="O552" s="131"/>
      <c r="P552" s="131"/>
      <c r="Q552" s="131"/>
      <c r="R552" s="131"/>
      <c r="S552" s="131"/>
      <c r="T552" s="131"/>
      <c r="U552" s="131"/>
      <c r="V552" s="131"/>
      <c r="W552" s="131"/>
      <c r="X552" s="131"/>
      <c r="Y552" s="131"/>
      <c r="Z552" s="142"/>
      <c r="AA552" s="142"/>
      <c r="AB552" s="142"/>
      <c r="AC552" s="142"/>
      <c r="AD552" s="142"/>
      <c r="AE552" s="142"/>
      <c r="AF552" s="142"/>
      <c r="AG552" s="142"/>
      <c r="AH552" s="142"/>
      <c r="AI552" s="142"/>
      <c r="AJ552" s="142"/>
      <c r="AK552" s="142"/>
      <c r="AL552" s="142"/>
      <c r="AM552" s="142"/>
      <c r="AN552" s="142"/>
      <c r="AO552" s="131"/>
    </row>
    <row r="553" ht="13.5" customHeight="1">
      <c r="A553" s="142"/>
      <c r="B553" s="142"/>
      <c r="C553" s="142"/>
      <c r="D553" s="142"/>
      <c r="E553" s="308"/>
      <c r="F553" s="131"/>
      <c r="G553" s="131"/>
      <c r="H553" s="131"/>
      <c r="I553" s="219"/>
      <c r="J553" s="198"/>
      <c r="K553" s="131"/>
      <c r="L553" s="131"/>
      <c r="M553" s="131"/>
      <c r="N553" s="131"/>
      <c r="O553" s="131"/>
      <c r="P553" s="131"/>
      <c r="Q553" s="131"/>
      <c r="R553" s="131"/>
      <c r="S553" s="131"/>
      <c r="T553" s="131"/>
      <c r="U553" s="131"/>
      <c r="V553" s="131"/>
      <c r="W553" s="131"/>
      <c r="X553" s="131"/>
      <c r="Y553" s="131"/>
      <c r="Z553" s="142"/>
      <c r="AA553" s="142"/>
      <c r="AB553" s="142"/>
      <c r="AC553" s="142"/>
      <c r="AD553" s="142"/>
      <c r="AE553" s="142"/>
      <c r="AF553" s="142"/>
      <c r="AG553" s="142"/>
      <c r="AH553" s="142"/>
      <c r="AI553" s="142"/>
      <c r="AJ553" s="142"/>
      <c r="AK553" s="142"/>
      <c r="AL553" s="142"/>
      <c r="AM553" s="142"/>
      <c r="AN553" s="142"/>
      <c r="AO553" s="131"/>
    </row>
    <row r="554" ht="13.5" customHeight="1">
      <c r="A554" s="142"/>
      <c r="B554" s="142"/>
      <c r="C554" s="142"/>
      <c r="D554" s="142"/>
      <c r="E554" s="308"/>
      <c r="F554" s="131"/>
      <c r="G554" s="131"/>
      <c r="H554" s="131"/>
      <c r="I554" s="219"/>
      <c r="J554" s="198"/>
      <c r="K554" s="131"/>
      <c r="L554" s="131"/>
      <c r="M554" s="131"/>
      <c r="N554" s="131"/>
      <c r="O554" s="131"/>
      <c r="P554" s="131"/>
      <c r="Q554" s="131"/>
      <c r="R554" s="131"/>
      <c r="S554" s="131"/>
      <c r="T554" s="131"/>
      <c r="U554" s="131"/>
      <c r="V554" s="131"/>
      <c r="W554" s="131"/>
      <c r="X554" s="131"/>
      <c r="Y554" s="131"/>
      <c r="Z554" s="142"/>
      <c r="AA554" s="142"/>
      <c r="AB554" s="142"/>
      <c r="AC554" s="142"/>
      <c r="AD554" s="142"/>
      <c r="AE554" s="142"/>
      <c r="AF554" s="142"/>
      <c r="AG554" s="142"/>
      <c r="AH554" s="142"/>
      <c r="AI554" s="142"/>
      <c r="AJ554" s="142"/>
      <c r="AK554" s="142"/>
      <c r="AL554" s="142"/>
      <c r="AM554" s="142"/>
      <c r="AN554" s="142"/>
      <c r="AO554" s="131"/>
    </row>
    <row r="555" ht="13.5" customHeight="1">
      <c r="A555" s="142"/>
      <c r="B555" s="142"/>
      <c r="C555" s="142"/>
      <c r="D555" s="142"/>
      <c r="E555" s="308"/>
      <c r="F555" s="131"/>
      <c r="G555" s="131"/>
      <c r="H555" s="131"/>
      <c r="I555" s="219"/>
      <c r="J555" s="198"/>
      <c r="K555" s="131"/>
      <c r="L555" s="131"/>
      <c r="M555" s="131"/>
      <c r="N555" s="131"/>
      <c r="O555" s="131"/>
      <c r="P555" s="131"/>
      <c r="Q555" s="131"/>
      <c r="R555" s="131"/>
      <c r="S555" s="131"/>
      <c r="T555" s="131"/>
      <c r="U555" s="131"/>
      <c r="V555" s="131"/>
      <c r="W555" s="131"/>
      <c r="X555" s="131"/>
      <c r="Y555" s="131"/>
      <c r="Z555" s="142"/>
      <c r="AA555" s="142"/>
      <c r="AB555" s="142"/>
      <c r="AC555" s="142"/>
      <c r="AD555" s="142"/>
      <c r="AE555" s="142"/>
      <c r="AF555" s="142"/>
      <c r="AG555" s="142"/>
      <c r="AH555" s="142"/>
      <c r="AI555" s="142"/>
      <c r="AJ555" s="142"/>
      <c r="AK555" s="142"/>
      <c r="AL555" s="142"/>
      <c r="AM555" s="142"/>
      <c r="AN555" s="142"/>
      <c r="AO555" s="131"/>
    </row>
    <row r="556" ht="13.5" customHeight="1">
      <c r="A556" s="142"/>
      <c r="B556" s="142"/>
      <c r="C556" s="142"/>
      <c r="D556" s="142"/>
      <c r="E556" s="308"/>
      <c r="F556" s="131"/>
      <c r="G556" s="131"/>
      <c r="H556" s="131"/>
      <c r="I556" s="219"/>
      <c r="J556" s="198"/>
      <c r="K556" s="131"/>
      <c r="L556" s="131"/>
      <c r="M556" s="131"/>
      <c r="N556" s="131"/>
      <c r="O556" s="131"/>
      <c r="P556" s="131"/>
      <c r="Q556" s="131"/>
      <c r="R556" s="131"/>
      <c r="S556" s="131"/>
      <c r="T556" s="131"/>
      <c r="U556" s="131"/>
      <c r="V556" s="131"/>
      <c r="W556" s="131"/>
      <c r="X556" s="131"/>
      <c r="Y556" s="131"/>
      <c r="Z556" s="142"/>
      <c r="AA556" s="142"/>
      <c r="AB556" s="142"/>
      <c r="AC556" s="142"/>
      <c r="AD556" s="142"/>
      <c r="AE556" s="142"/>
      <c r="AF556" s="142"/>
      <c r="AG556" s="142"/>
      <c r="AH556" s="142"/>
      <c r="AI556" s="142"/>
      <c r="AJ556" s="142"/>
      <c r="AK556" s="142"/>
      <c r="AL556" s="142"/>
      <c r="AM556" s="142"/>
      <c r="AN556" s="142"/>
      <c r="AO556" s="131"/>
    </row>
    <row r="557" ht="13.5" customHeight="1">
      <c r="A557" s="142"/>
      <c r="B557" s="142"/>
      <c r="C557" s="142"/>
      <c r="D557" s="142"/>
      <c r="E557" s="308"/>
      <c r="F557" s="131"/>
      <c r="G557" s="131"/>
      <c r="H557" s="131"/>
      <c r="I557" s="219"/>
      <c r="J557" s="198"/>
      <c r="K557" s="131"/>
      <c r="L557" s="131"/>
      <c r="M557" s="131"/>
      <c r="N557" s="131"/>
      <c r="O557" s="131"/>
      <c r="P557" s="131"/>
      <c r="Q557" s="131"/>
      <c r="R557" s="131"/>
      <c r="S557" s="131"/>
      <c r="T557" s="131"/>
      <c r="U557" s="131"/>
      <c r="V557" s="131"/>
      <c r="W557" s="131"/>
      <c r="X557" s="131"/>
      <c r="Y557" s="131"/>
      <c r="Z557" s="142"/>
      <c r="AA557" s="142"/>
      <c r="AB557" s="142"/>
      <c r="AC557" s="142"/>
      <c r="AD557" s="142"/>
      <c r="AE557" s="142"/>
      <c r="AF557" s="142"/>
      <c r="AG557" s="142"/>
      <c r="AH557" s="142"/>
      <c r="AI557" s="142"/>
      <c r="AJ557" s="142"/>
      <c r="AK557" s="142"/>
      <c r="AL557" s="142"/>
      <c r="AM557" s="142"/>
      <c r="AN557" s="142"/>
      <c r="AO557" s="131"/>
    </row>
    <row r="558" ht="13.5" customHeight="1">
      <c r="A558" s="142"/>
      <c r="B558" s="142"/>
      <c r="C558" s="142"/>
      <c r="D558" s="142"/>
      <c r="E558" s="308"/>
      <c r="F558" s="131"/>
      <c r="G558" s="131"/>
      <c r="H558" s="131"/>
      <c r="I558" s="219"/>
      <c r="J558" s="198"/>
      <c r="K558" s="131"/>
      <c r="L558" s="131"/>
      <c r="M558" s="131"/>
      <c r="N558" s="131"/>
      <c r="O558" s="131"/>
      <c r="P558" s="131"/>
      <c r="Q558" s="131"/>
      <c r="R558" s="131"/>
      <c r="S558" s="131"/>
      <c r="T558" s="131"/>
      <c r="U558" s="131"/>
      <c r="V558" s="131"/>
      <c r="W558" s="131"/>
      <c r="X558" s="131"/>
      <c r="Y558" s="131"/>
      <c r="Z558" s="142"/>
      <c r="AA558" s="142"/>
      <c r="AB558" s="142"/>
      <c r="AC558" s="142"/>
      <c r="AD558" s="142"/>
      <c r="AE558" s="142"/>
      <c r="AF558" s="142"/>
      <c r="AG558" s="142"/>
      <c r="AH558" s="142"/>
      <c r="AI558" s="142"/>
      <c r="AJ558" s="142"/>
      <c r="AK558" s="142"/>
      <c r="AL558" s="142"/>
      <c r="AM558" s="142"/>
      <c r="AN558" s="142"/>
      <c r="AO558" s="131"/>
    </row>
    <row r="559" ht="13.5" customHeight="1">
      <c r="A559" s="142"/>
      <c r="B559" s="142"/>
      <c r="C559" s="142"/>
      <c r="D559" s="142"/>
      <c r="E559" s="308"/>
      <c r="F559" s="131"/>
      <c r="G559" s="131"/>
      <c r="H559" s="131"/>
      <c r="I559" s="219"/>
      <c r="J559" s="198"/>
      <c r="K559" s="131"/>
      <c r="L559" s="131"/>
      <c r="M559" s="131"/>
      <c r="N559" s="131"/>
      <c r="O559" s="131"/>
      <c r="P559" s="131"/>
      <c r="Q559" s="131"/>
      <c r="R559" s="131"/>
      <c r="S559" s="131"/>
      <c r="T559" s="131"/>
      <c r="U559" s="131"/>
      <c r="V559" s="131"/>
      <c r="W559" s="131"/>
      <c r="X559" s="131"/>
      <c r="Y559" s="131"/>
      <c r="Z559" s="142"/>
      <c r="AA559" s="142"/>
      <c r="AB559" s="142"/>
      <c r="AC559" s="142"/>
      <c r="AD559" s="142"/>
      <c r="AE559" s="142"/>
      <c r="AF559" s="142"/>
      <c r="AG559" s="142"/>
      <c r="AH559" s="142"/>
      <c r="AI559" s="142"/>
      <c r="AJ559" s="142"/>
      <c r="AK559" s="142"/>
      <c r="AL559" s="142"/>
      <c r="AM559" s="142"/>
      <c r="AN559" s="142"/>
      <c r="AO559" s="131"/>
    </row>
    <row r="560" ht="13.5" customHeight="1">
      <c r="A560" s="142"/>
      <c r="B560" s="142"/>
      <c r="C560" s="142"/>
      <c r="D560" s="142"/>
      <c r="E560" s="308"/>
      <c r="F560" s="131"/>
      <c r="G560" s="131"/>
      <c r="H560" s="131"/>
      <c r="I560" s="219"/>
      <c r="J560" s="198"/>
      <c r="K560" s="131"/>
      <c r="L560" s="131"/>
      <c r="M560" s="131"/>
      <c r="N560" s="131"/>
      <c r="O560" s="131"/>
      <c r="P560" s="131"/>
      <c r="Q560" s="131"/>
      <c r="R560" s="131"/>
      <c r="S560" s="131"/>
      <c r="T560" s="131"/>
      <c r="U560" s="131"/>
      <c r="V560" s="131"/>
      <c r="W560" s="131"/>
      <c r="X560" s="131"/>
      <c r="Y560" s="131"/>
      <c r="Z560" s="142"/>
      <c r="AA560" s="142"/>
      <c r="AB560" s="142"/>
      <c r="AC560" s="142"/>
      <c r="AD560" s="142"/>
      <c r="AE560" s="142"/>
      <c r="AF560" s="142"/>
      <c r="AG560" s="142"/>
      <c r="AH560" s="142"/>
      <c r="AI560" s="142"/>
      <c r="AJ560" s="142"/>
      <c r="AK560" s="142"/>
      <c r="AL560" s="142"/>
      <c r="AM560" s="142"/>
      <c r="AN560" s="142"/>
      <c r="AO560" s="131"/>
    </row>
    <row r="561" ht="13.5" customHeight="1">
      <c r="A561" s="142"/>
      <c r="B561" s="142"/>
      <c r="C561" s="142"/>
      <c r="D561" s="142"/>
      <c r="E561" s="308"/>
      <c r="F561" s="131"/>
      <c r="G561" s="131"/>
      <c r="H561" s="131"/>
      <c r="I561" s="219"/>
      <c r="J561" s="198"/>
      <c r="K561" s="131"/>
      <c r="L561" s="131"/>
      <c r="M561" s="131"/>
      <c r="N561" s="131"/>
      <c r="O561" s="131"/>
      <c r="P561" s="131"/>
      <c r="Q561" s="131"/>
      <c r="R561" s="131"/>
      <c r="S561" s="131"/>
      <c r="T561" s="131"/>
      <c r="U561" s="131"/>
      <c r="V561" s="131"/>
      <c r="W561" s="131"/>
      <c r="X561" s="131"/>
      <c r="Y561" s="131"/>
      <c r="Z561" s="142"/>
      <c r="AA561" s="142"/>
      <c r="AB561" s="142"/>
      <c r="AC561" s="142"/>
      <c r="AD561" s="142"/>
      <c r="AE561" s="142"/>
      <c r="AF561" s="142"/>
      <c r="AG561" s="142"/>
      <c r="AH561" s="142"/>
      <c r="AI561" s="142"/>
      <c r="AJ561" s="142"/>
      <c r="AK561" s="142"/>
      <c r="AL561" s="142"/>
      <c r="AM561" s="142"/>
      <c r="AN561" s="142"/>
      <c r="AO561" s="131"/>
    </row>
    <row r="562" ht="13.5" customHeight="1">
      <c r="A562" s="142"/>
      <c r="B562" s="142"/>
      <c r="C562" s="142"/>
      <c r="D562" s="142"/>
      <c r="E562" s="308"/>
      <c r="F562" s="131"/>
      <c r="G562" s="131"/>
      <c r="H562" s="131"/>
      <c r="I562" s="219"/>
      <c r="J562" s="198"/>
      <c r="K562" s="131"/>
      <c r="L562" s="131"/>
      <c r="M562" s="131"/>
      <c r="N562" s="131"/>
      <c r="O562" s="131"/>
      <c r="P562" s="131"/>
      <c r="Q562" s="131"/>
      <c r="R562" s="131"/>
      <c r="S562" s="131"/>
      <c r="T562" s="131"/>
      <c r="U562" s="131"/>
      <c r="V562" s="131"/>
      <c r="W562" s="131"/>
      <c r="X562" s="131"/>
      <c r="Y562" s="131"/>
      <c r="Z562" s="142"/>
      <c r="AA562" s="142"/>
      <c r="AB562" s="142"/>
      <c r="AC562" s="142"/>
      <c r="AD562" s="142"/>
      <c r="AE562" s="142"/>
      <c r="AF562" s="142"/>
      <c r="AG562" s="142"/>
      <c r="AH562" s="142"/>
      <c r="AI562" s="142"/>
      <c r="AJ562" s="142"/>
      <c r="AK562" s="142"/>
      <c r="AL562" s="142"/>
      <c r="AM562" s="142"/>
      <c r="AN562" s="142"/>
      <c r="AO562" s="131"/>
    </row>
    <row r="563" ht="13.5" customHeight="1">
      <c r="A563" s="142"/>
      <c r="B563" s="142"/>
      <c r="C563" s="142"/>
      <c r="D563" s="142"/>
      <c r="E563" s="308"/>
      <c r="F563" s="131"/>
      <c r="G563" s="131"/>
      <c r="H563" s="131"/>
      <c r="I563" s="219"/>
      <c r="J563" s="198"/>
      <c r="K563" s="131"/>
      <c r="L563" s="131"/>
      <c r="M563" s="131"/>
      <c r="N563" s="131"/>
      <c r="O563" s="131"/>
      <c r="P563" s="131"/>
      <c r="Q563" s="131"/>
      <c r="R563" s="131"/>
      <c r="S563" s="131"/>
      <c r="T563" s="131"/>
      <c r="U563" s="131"/>
      <c r="V563" s="131"/>
      <c r="W563" s="131"/>
      <c r="X563" s="131"/>
      <c r="Y563" s="131"/>
      <c r="Z563" s="142"/>
      <c r="AA563" s="142"/>
      <c r="AB563" s="142"/>
      <c r="AC563" s="142"/>
      <c r="AD563" s="142"/>
      <c r="AE563" s="142"/>
      <c r="AF563" s="142"/>
      <c r="AG563" s="142"/>
      <c r="AH563" s="142"/>
      <c r="AI563" s="142"/>
      <c r="AJ563" s="142"/>
      <c r="AK563" s="142"/>
      <c r="AL563" s="142"/>
      <c r="AM563" s="142"/>
      <c r="AN563" s="142"/>
      <c r="AO563" s="131"/>
    </row>
    <row r="564" ht="13.5" customHeight="1">
      <c r="A564" s="142"/>
      <c r="B564" s="142"/>
      <c r="C564" s="142"/>
      <c r="D564" s="142"/>
      <c r="E564" s="308"/>
      <c r="F564" s="131"/>
      <c r="G564" s="131"/>
      <c r="H564" s="131"/>
      <c r="I564" s="219"/>
      <c r="J564" s="198"/>
      <c r="K564" s="131"/>
      <c r="L564" s="131"/>
      <c r="M564" s="131"/>
      <c r="N564" s="131"/>
      <c r="O564" s="131"/>
      <c r="P564" s="131"/>
      <c r="Q564" s="131"/>
      <c r="R564" s="131"/>
      <c r="S564" s="131"/>
      <c r="T564" s="131"/>
      <c r="U564" s="131"/>
      <c r="V564" s="131"/>
      <c r="W564" s="131"/>
      <c r="X564" s="131"/>
      <c r="Y564" s="131"/>
      <c r="Z564" s="142"/>
      <c r="AA564" s="142"/>
      <c r="AB564" s="142"/>
      <c r="AC564" s="142"/>
      <c r="AD564" s="142"/>
      <c r="AE564" s="142"/>
      <c r="AF564" s="142"/>
      <c r="AG564" s="142"/>
      <c r="AH564" s="142"/>
      <c r="AI564" s="142"/>
      <c r="AJ564" s="142"/>
      <c r="AK564" s="142"/>
      <c r="AL564" s="142"/>
      <c r="AM564" s="142"/>
      <c r="AN564" s="142"/>
      <c r="AO564" s="131"/>
    </row>
    <row r="565" ht="13.5" customHeight="1">
      <c r="A565" s="142"/>
      <c r="B565" s="142"/>
      <c r="C565" s="142"/>
      <c r="D565" s="142"/>
      <c r="E565" s="308"/>
      <c r="F565" s="131"/>
      <c r="G565" s="131"/>
      <c r="H565" s="131"/>
      <c r="I565" s="219"/>
      <c r="J565" s="198"/>
      <c r="K565" s="131"/>
      <c r="L565" s="131"/>
      <c r="M565" s="131"/>
      <c r="N565" s="131"/>
      <c r="O565" s="131"/>
      <c r="P565" s="131"/>
      <c r="Q565" s="131"/>
      <c r="R565" s="131"/>
      <c r="S565" s="131"/>
      <c r="T565" s="131"/>
      <c r="U565" s="131"/>
      <c r="V565" s="131"/>
      <c r="W565" s="131"/>
      <c r="X565" s="131"/>
      <c r="Y565" s="131"/>
      <c r="Z565" s="142"/>
      <c r="AA565" s="142"/>
      <c r="AB565" s="142"/>
      <c r="AC565" s="142"/>
      <c r="AD565" s="142"/>
      <c r="AE565" s="142"/>
      <c r="AF565" s="142"/>
      <c r="AG565" s="142"/>
      <c r="AH565" s="142"/>
      <c r="AI565" s="142"/>
      <c r="AJ565" s="142"/>
      <c r="AK565" s="142"/>
      <c r="AL565" s="142"/>
      <c r="AM565" s="142"/>
      <c r="AN565" s="142"/>
      <c r="AO565" s="131"/>
    </row>
    <row r="566" ht="13.5" customHeight="1">
      <c r="A566" s="142"/>
      <c r="B566" s="142"/>
      <c r="C566" s="142"/>
      <c r="D566" s="142"/>
      <c r="E566" s="308"/>
      <c r="F566" s="131"/>
      <c r="G566" s="131"/>
      <c r="H566" s="131"/>
      <c r="I566" s="219"/>
      <c r="J566" s="198"/>
      <c r="K566" s="131"/>
      <c r="L566" s="131"/>
      <c r="M566" s="131"/>
      <c r="N566" s="131"/>
      <c r="O566" s="131"/>
      <c r="P566" s="131"/>
      <c r="Q566" s="131"/>
      <c r="R566" s="131"/>
      <c r="S566" s="131"/>
      <c r="T566" s="131"/>
      <c r="U566" s="131"/>
      <c r="V566" s="131"/>
      <c r="W566" s="131"/>
      <c r="X566" s="131"/>
      <c r="Y566" s="131"/>
      <c r="Z566" s="142"/>
      <c r="AA566" s="142"/>
      <c r="AB566" s="142"/>
      <c r="AC566" s="142"/>
      <c r="AD566" s="142"/>
      <c r="AE566" s="142"/>
      <c r="AF566" s="142"/>
      <c r="AG566" s="142"/>
      <c r="AH566" s="142"/>
      <c r="AI566" s="142"/>
      <c r="AJ566" s="142"/>
      <c r="AK566" s="142"/>
      <c r="AL566" s="142"/>
      <c r="AM566" s="142"/>
      <c r="AN566" s="142"/>
      <c r="AO566" s="131"/>
    </row>
    <row r="567" ht="13.5" customHeight="1">
      <c r="A567" s="142"/>
      <c r="B567" s="142"/>
      <c r="C567" s="142"/>
      <c r="D567" s="142"/>
      <c r="E567" s="308"/>
      <c r="F567" s="131"/>
      <c r="G567" s="131"/>
      <c r="H567" s="131"/>
      <c r="I567" s="219"/>
      <c r="J567" s="198"/>
      <c r="K567" s="131"/>
      <c r="L567" s="131"/>
      <c r="M567" s="131"/>
      <c r="N567" s="131"/>
      <c r="O567" s="131"/>
      <c r="P567" s="131"/>
      <c r="Q567" s="131"/>
      <c r="R567" s="131"/>
      <c r="S567" s="131"/>
      <c r="T567" s="131"/>
      <c r="U567" s="131"/>
      <c r="V567" s="131"/>
      <c r="W567" s="131"/>
      <c r="X567" s="131"/>
      <c r="Y567" s="131"/>
      <c r="Z567" s="142"/>
      <c r="AA567" s="142"/>
      <c r="AB567" s="142"/>
      <c r="AC567" s="142"/>
      <c r="AD567" s="142"/>
      <c r="AE567" s="142"/>
      <c r="AF567" s="142"/>
      <c r="AG567" s="142"/>
      <c r="AH567" s="142"/>
      <c r="AI567" s="142"/>
      <c r="AJ567" s="142"/>
      <c r="AK567" s="142"/>
      <c r="AL567" s="142"/>
      <c r="AM567" s="142"/>
      <c r="AN567" s="142"/>
      <c r="AO567" s="131"/>
    </row>
    <row r="568" ht="13.5" customHeight="1">
      <c r="A568" s="142"/>
      <c r="B568" s="142"/>
      <c r="C568" s="142"/>
      <c r="D568" s="142"/>
      <c r="E568" s="308"/>
      <c r="F568" s="131"/>
      <c r="G568" s="131"/>
      <c r="H568" s="131"/>
      <c r="I568" s="219"/>
      <c r="J568" s="198"/>
      <c r="K568" s="131"/>
      <c r="L568" s="131"/>
      <c r="M568" s="131"/>
      <c r="N568" s="131"/>
      <c r="O568" s="131"/>
      <c r="P568" s="131"/>
      <c r="Q568" s="131"/>
      <c r="R568" s="131"/>
      <c r="S568" s="131"/>
      <c r="T568" s="131"/>
      <c r="U568" s="131"/>
      <c r="V568" s="131"/>
      <c r="W568" s="131"/>
      <c r="X568" s="131"/>
      <c r="Y568" s="131"/>
      <c r="Z568" s="142"/>
      <c r="AA568" s="142"/>
      <c r="AB568" s="142"/>
      <c r="AC568" s="142"/>
      <c r="AD568" s="142"/>
      <c r="AE568" s="142"/>
      <c r="AF568" s="142"/>
      <c r="AG568" s="142"/>
      <c r="AH568" s="142"/>
      <c r="AI568" s="142"/>
      <c r="AJ568" s="142"/>
      <c r="AK568" s="142"/>
      <c r="AL568" s="142"/>
      <c r="AM568" s="142"/>
      <c r="AN568" s="142"/>
      <c r="AO568" s="131"/>
    </row>
    <row r="569" ht="13.5" customHeight="1">
      <c r="A569" s="142"/>
      <c r="B569" s="142"/>
      <c r="C569" s="142"/>
      <c r="D569" s="142"/>
      <c r="E569" s="308"/>
      <c r="F569" s="131"/>
      <c r="G569" s="131"/>
      <c r="H569" s="131"/>
      <c r="I569" s="219"/>
      <c r="J569" s="198"/>
      <c r="K569" s="131"/>
      <c r="L569" s="131"/>
      <c r="M569" s="131"/>
      <c r="N569" s="131"/>
      <c r="O569" s="131"/>
      <c r="P569" s="131"/>
      <c r="Q569" s="131"/>
      <c r="R569" s="131"/>
      <c r="S569" s="131"/>
      <c r="T569" s="131"/>
      <c r="U569" s="131"/>
      <c r="V569" s="131"/>
      <c r="W569" s="131"/>
      <c r="X569" s="131"/>
      <c r="Y569" s="131"/>
      <c r="Z569" s="142"/>
      <c r="AA569" s="142"/>
      <c r="AB569" s="142"/>
      <c r="AC569" s="142"/>
      <c r="AD569" s="142"/>
      <c r="AE569" s="142"/>
      <c r="AF569" s="142"/>
      <c r="AG569" s="142"/>
      <c r="AH569" s="142"/>
      <c r="AI569" s="142"/>
      <c r="AJ569" s="142"/>
      <c r="AK569" s="142"/>
      <c r="AL569" s="142"/>
      <c r="AM569" s="142"/>
      <c r="AN569" s="142"/>
      <c r="AO569" s="131"/>
    </row>
    <row r="570" ht="13.5" customHeight="1">
      <c r="A570" s="142"/>
      <c r="B570" s="142"/>
      <c r="C570" s="142"/>
      <c r="D570" s="142"/>
      <c r="E570" s="308"/>
      <c r="F570" s="131"/>
      <c r="G570" s="131"/>
      <c r="H570" s="131"/>
      <c r="I570" s="219"/>
      <c r="J570" s="198"/>
      <c r="K570" s="131"/>
      <c r="L570" s="131"/>
      <c r="M570" s="131"/>
      <c r="N570" s="131"/>
      <c r="O570" s="131"/>
      <c r="P570" s="131"/>
      <c r="Q570" s="131"/>
      <c r="R570" s="131"/>
      <c r="S570" s="131"/>
      <c r="T570" s="131"/>
      <c r="U570" s="131"/>
      <c r="V570" s="131"/>
      <c r="W570" s="131"/>
      <c r="X570" s="131"/>
      <c r="Y570" s="131"/>
      <c r="Z570" s="142"/>
      <c r="AA570" s="142"/>
      <c r="AB570" s="142"/>
      <c r="AC570" s="142"/>
      <c r="AD570" s="142"/>
      <c r="AE570" s="142"/>
      <c r="AF570" s="142"/>
      <c r="AG570" s="142"/>
      <c r="AH570" s="142"/>
      <c r="AI570" s="142"/>
      <c r="AJ570" s="142"/>
      <c r="AK570" s="142"/>
      <c r="AL570" s="142"/>
      <c r="AM570" s="142"/>
      <c r="AN570" s="142"/>
      <c r="AO570" s="131"/>
    </row>
    <row r="571" ht="13.5" customHeight="1">
      <c r="A571" s="142"/>
      <c r="B571" s="142"/>
      <c r="C571" s="142"/>
      <c r="D571" s="142"/>
      <c r="E571" s="308"/>
      <c r="F571" s="131"/>
      <c r="G571" s="131"/>
      <c r="H571" s="131"/>
      <c r="I571" s="219"/>
      <c r="J571" s="198"/>
      <c r="K571" s="131"/>
      <c r="L571" s="131"/>
      <c r="M571" s="131"/>
      <c r="N571" s="131"/>
      <c r="O571" s="131"/>
      <c r="P571" s="131"/>
      <c r="Q571" s="131"/>
      <c r="R571" s="131"/>
      <c r="S571" s="131"/>
      <c r="T571" s="131"/>
      <c r="U571" s="131"/>
      <c r="V571" s="131"/>
      <c r="W571" s="131"/>
      <c r="X571" s="131"/>
      <c r="Y571" s="131"/>
      <c r="Z571" s="142"/>
      <c r="AA571" s="142"/>
      <c r="AB571" s="142"/>
      <c r="AC571" s="142"/>
      <c r="AD571" s="142"/>
      <c r="AE571" s="142"/>
      <c r="AF571" s="142"/>
      <c r="AG571" s="142"/>
      <c r="AH571" s="142"/>
      <c r="AI571" s="142"/>
      <c r="AJ571" s="142"/>
      <c r="AK571" s="142"/>
      <c r="AL571" s="142"/>
      <c r="AM571" s="142"/>
      <c r="AN571" s="142"/>
      <c r="AO571" s="131"/>
    </row>
    <row r="572" ht="13.5" customHeight="1">
      <c r="A572" s="142"/>
      <c r="B572" s="142"/>
      <c r="C572" s="142"/>
      <c r="D572" s="142"/>
      <c r="E572" s="308"/>
      <c r="F572" s="131"/>
      <c r="G572" s="131"/>
      <c r="H572" s="131"/>
      <c r="I572" s="219"/>
      <c r="J572" s="198"/>
      <c r="K572" s="131"/>
      <c r="L572" s="131"/>
      <c r="M572" s="131"/>
      <c r="N572" s="131"/>
      <c r="O572" s="131"/>
      <c r="P572" s="131"/>
      <c r="Q572" s="131"/>
      <c r="R572" s="131"/>
      <c r="S572" s="131"/>
      <c r="T572" s="131"/>
      <c r="U572" s="131"/>
      <c r="V572" s="131"/>
      <c r="W572" s="131"/>
      <c r="X572" s="131"/>
      <c r="Y572" s="131"/>
      <c r="Z572" s="142"/>
      <c r="AA572" s="142"/>
      <c r="AB572" s="142"/>
      <c r="AC572" s="142"/>
      <c r="AD572" s="142"/>
      <c r="AE572" s="142"/>
      <c r="AF572" s="142"/>
      <c r="AG572" s="142"/>
      <c r="AH572" s="142"/>
      <c r="AI572" s="142"/>
      <c r="AJ572" s="142"/>
      <c r="AK572" s="142"/>
      <c r="AL572" s="142"/>
      <c r="AM572" s="142"/>
      <c r="AN572" s="142"/>
      <c r="AO572" s="131"/>
    </row>
    <row r="573" ht="13.5" customHeight="1">
      <c r="A573" s="142"/>
      <c r="B573" s="142"/>
      <c r="C573" s="142"/>
      <c r="D573" s="142"/>
      <c r="E573" s="308"/>
      <c r="F573" s="131"/>
      <c r="G573" s="131"/>
      <c r="H573" s="131"/>
      <c r="I573" s="219"/>
      <c r="J573" s="198"/>
      <c r="K573" s="131"/>
      <c r="L573" s="131"/>
      <c r="M573" s="131"/>
      <c r="N573" s="131"/>
      <c r="O573" s="131"/>
      <c r="P573" s="131"/>
      <c r="Q573" s="131"/>
      <c r="R573" s="131"/>
      <c r="S573" s="131"/>
      <c r="T573" s="131"/>
      <c r="U573" s="131"/>
      <c r="V573" s="131"/>
      <c r="W573" s="131"/>
      <c r="X573" s="131"/>
      <c r="Y573" s="131"/>
      <c r="Z573" s="142"/>
      <c r="AA573" s="142"/>
      <c r="AB573" s="142"/>
      <c r="AC573" s="142"/>
      <c r="AD573" s="142"/>
      <c r="AE573" s="142"/>
      <c r="AF573" s="142"/>
      <c r="AG573" s="142"/>
      <c r="AH573" s="142"/>
      <c r="AI573" s="142"/>
      <c r="AJ573" s="142"/>
      <c r="AK573" s="142"/>
      <c r="AL573" s="142"/>
      <c r="AM573" s="142"/>
      <c r="AN573" s="142"/>
      <c r="AO573" s="131"/>
    </row>
    <row r="574" ht="13.5" customHeight="1">
      <c r="A574" s="142"/>
      <c r="B574" s="142"/>
      <c r="C574" s="142"/>
      <c r="D574" s="142"/>
      <c r="E574" s="308"/>
      <c r="F574" s="131"/>
      <c r="G574" s="131"/>
      <c r="H574" s="131"/>
      <c r="I574" s="219"/>
      <c r="J574" s="198"/>
      <c r="K574" s="131"/>
      <c r="L574" s="131"/>
      <c r="M574" s="131"/>
      <c r="N574" s="131"/>
      <c r="O574" s="131"/>
      <c r="P574" s="131"/>
      <c r="Q574" s="131"/>
      <c r="R574" s="131"/>
      <c r="S574" s="131"/>
      <c r="T574" s="131"/>
      <c r="U574" s="131"/>
      <c r="V574" s="131"/>
      <c r="W574" s="131"/>
      <c r="X574" s="131"/>
      <c r="Y574" s="131"/>
      <c r="Z574" s="142"/>
      <c r="AA574" s="142"/>
      <c r="AB574" s="142"/>
      <c r="AC574" s="142"/>
      <c r="AD574" s="142"/>
      <c r="AE574" s="142"/>
      <c r="AF574" s="142"/>
      <c r="AG574" s="142"/>
      <c r="AH574" s="142"/>
      <c r="AI574" s="142"/>
      <c r="AJ574" s="142"/>
      <c r="AK574" s="142"/>
      <c r="AL574" s="142"/>
      <c r="AM574" s="142"/>
      <c r="AN574" s="142"/>
      <c r="AO574" s="131"/>
    </row>
    <row r="575" ht="13.5" customHeight="1">
      <c r="A575" s="142"/>
      <c r="B575" s="142"/>
      <c r="C575" s="142"/>
      <c r="D575" s="142"/>
      <c r="E575" s="308"/>
      <c r="F575" s="131"/>
      <c r="G575" s="131"/>
      <c r="H575" s="131"/>
      <c r="I575" s="219"/>
      <c r="J575" s="198"/>
      <c r="K575" s="131"/>
      <c r="L575" s="131"/>
      <c r="M575" s="131"/>
      <c r="N575" s="131"/>
      <c r="O575" s="131"/>
      <c r="P575" s="131"/>
      <c r="Q575" s="131"/>
      <c r="R575" s="131"/>
      <c r="S575" s="131"/>
      <c r="T575" s="131"/>
      <c r="U575" s="131"/>
      <c r="V575" s="131"/>
      <c r="W575" s="131"/>
      <c r="X575" s="131"/>
      <c r="Y575" s="131"/>
      <c r="Z575" s="142"/>
      <c r="AA575" s="142"/>
      <c r="AB575" s="142"/>
      <c r="AC575" s="142"/>
      <c r="AD575" s="142"/>
      <c r="AE575" s="142"/>
      <c r="AF575" s="142"/>
      <c r="AG575" s="142"/>
      <c r="AH575" s="142"/>
      <c r="AI575" s="142"/>
      <c r="AJ575" s="142"/>
      <c r="AK575" s="142"/>
      <c r="AL575" s="142"/>
      <c r="AM575" s="142"/>
      <c r="AN575" s="142"/>
      <c r="AO575" s="131"/>
    </row>
    <row r="576" ht="13.5" customHeight="1">
      <c r="A576" s="142"/>
      <c r="B576" s="142"/>
      <c r="C576" s="142"/>
      <c r="D576" s="142"/>
      <c r="E576" s="308"/>
      <c r="F576" s="131"/>
      <c r="G576" s="131"/>
      <c r="H576" s="131"/>
      <c r="I576" s="219"/>
      <c r="J576" s="198"/>
      <c r="K576" s="131"/>
      <c r="L576" s="131"/>
      <c r="M576" s="131"/>
      <c r="N576" s="131"/>
      <c r="O576" s="131"/>
      <c r="P576" s="131"/>
      <c r="Q576" s="131"/>
      <c r="R576" s="131"/>
      <c r="S576" s="131"/>
      <c r="T576" s="131"/>
      <c r="U576" s="131"/>
      <c r="V576" s="131"/>
      <c r="W576" s="131"/>
      <c r="X576" s="131"/>
      <c r="Y576" s="131"/>
      <c r="Z576" s="142"/>
      <c r="AA576" s="142"/>
      <c r="AB576" s="142"/>
      <c r="AC576" s="142"/>
      <c r="AD576" s="142"/>
      <c r="AE576" s="142"/>
      <c r="AF576" s="142"/>
      <c r="AG576" s="142"/>
      <c r="AH576" s="142"/>
      <c r="AI576" s="142"/>
      <c r="AJ576" s="142"/>
      <c r="AK576" s="142"/>
      <c r="AL576" s="142"/>
      <c r="AM576" s="142"/>
      <c r="AN576" s="142"/>
      <c r="AO576" s="131"/>
    </row>
    <row r="577" ht="13.5" customHeight="1">
      <c r="A577" s="142"/>
      <c r="B577" s="142"/>
      <c r="C577" s="142"/>
      <c r="D577" s="142"/>
      <c r="E577" s="308"/>
      <c r="F577" s="131"/>
      <c r="G577" s="131"/>
      <c r="H577" s="131"/>
      <c r="I577" s="219"/>
      <c r="J577" s="198"/>
      <c r="K577" s="131"/>
      <c r="L577" s="131"/>
      <c r="M577" s="131"/>
      <c r="N577" s="131"/>
      <c r="O577" s="131"/>
      <c r="P577" s="131"/>
      <c r="Q577" s="131"/>
      <c r="R577" s="131"/>
      <c r="S577" s="131"/>
      <c r="T577" s="131"/>
      <c r="U577" s="131"/>
      <c r="V577" s="131"/>
      <c r="W577" s="131"/>
      <c r="X577" s="131"/>
      <c r="Y577" s="131"/>
      <c r="Z577" s="142"/>
      <c r="AA577" s="142"/>
      <c r="AB577" s="142"/>
      <c r="AC577" s="142"/>
      <c r="AD577" s="142"/>
      <c r="AE577" s="142"/>
      <c r="AF577" s="142"/>
      <c r="AG577" s="142"/>
      <c r="AH577" s="142"/>
      <c r="AI577" s="142"/>
      <c r="AJ577" s="142"/>
      <c r="AK577" s="142"/>
      <c r="AL577" s="142"/>
      <c r="AM577" s="142"/>
      <c r="AN577" s="142"/>
      <c r="AO577" s="131"/>
    </row>
    <row r="578" ht="13.5" customHeight="1">
      <c r="A578" s="142"/>
      <c r="B578" s="142"/>
      <c r="C578" s="142"/>
      <c r="D578" s="142"/>
      <c r="E578" s="308"/>
      <c r="F578" s="131"/>
      <c r="G578" s="131"/>
      <c r="H578" s="131"/>
      <c r="I578" s="219"/>
      <c r="J578" s="198"/>
      <c r="K578" s="131"/>
      <c r="L578" s="131"/>
      <c r="M578" s="131"/>
      <c r="N578" s="131"/>
      <c r="O578" s="131"/>
      <c r="P578" s="131"/>
      <c r="Q578" s="131"/>
      <c r="R578" s="131"/>
      <c r="S578" s="131"/>
      <c r="T578" s="131"/>
      <c r="U578" s="131"/>
      <c r="V578" s="131"/>
      <c r="W578" s="131"/>
      <c r="X578" s="131"/>
      <c r="Y578" s="131"/>
      <c r="Z578" s="142"/>
      <c r="AA578" s="142"/>
      <c r="AB578" s="142"/>
      <c r="AC578" s="142"/>
      <c r="AD578" s="142"/>
      <c r="AE578" s="142"/>
      <c r="AF578" s="142"/>
      <c r="AG578" s="142"/>
      <c r="AH578" s="142"/>
      <c r="AI578" s="142"/>
      <c r="AJ578" s="142"/>
      <c r="AK578" s="142"/>
      <c r="AL578" s="142"/>
      <c r="AM578" s="142"/>
      <c r="AN578" s="142"/>
      <c r="AO578" s="131"/>
    </row>
    <row r="579" ht="13.5" customHeight="1">
      <c r="A579" s="142"/>
      <c r="B579" s="142"/>
      <c r="C579" s="142"/>
      <c r="D579" s="142"/>
      <c r="E579" s="308"/>
      <c r="F579" s="131"/>
      <c r="G579" s="131"/>
      <c r="H579" s="131"/>
      <c r="I579" s="219"/>
      <c r="J579" s="198"/>
      <c r="K579" s="131"/>
      <c r="L579" s="131"/>
      <c r="M579" s="131"/>
      <c r="N579" s="131"/>
      <c r="O579" s="131"/>
      <c r="P579" s="131"/>
      <c r="Q579" s="131"/>
      <c r="R579" s="131"/>
      <c r="S579" s="131"/>
      <c r="T579" s="131"/>
      <c r="U579" s="131"/>
      <c r="V579" s="131"/>
      <c r="W579" s="131"/>
      <c r="X579" s="131"/>
      <c r="Y579" s="131"/>
      <c r="Z579" s="142"/>
      <c r="AA579" s="142"/>
      <c r="AB579" s="142"/>
      <c r="AC579" s="142"/>
      <c r="AD579" s="142"/>
      <c r="AE579" s="142"/>
      <c r="AF579" s="142"/>
      <c r="AG579" s="142"/>
      <c r="AH579" s="142"/>
      <c r="AI579" s="142"/>
      <c r="AJ579" s="142"/>
      <c r="AK579" s="142"/>
      <c r="AL579" s="142"/>
      <c r="AM579" s="142"/>
      <c r="AN579" s="142"/>
      <c r="AO579" s="131"/>
    </row>
    <row r="580" ht="13.5" customHeight="1">
      <c r="A580" s="142"/>
      <c r="B580" s="142"/>
      <c r="C580" s="142"/>
      <c r="D580" s="142"/>
      <c r="E580" s="308"/>
      <c r="F580" s="131"/>
      <c r="G580" s="131"/>
      <c r="H580" s="131"/>
      <c r="I580" s="219"/>
      <c r="J580" s="198"/>
      <c r="K580" s="131"/>
      <c r="L580" s="131"/>
      <c r="M580" s="131"/>
      <c r="N580" s="131"/>
      <c r="O580" s="131"/>
      <c r="P580" s="131"/>
      <c r="Q580" s="131"/>
      <c r="R580" s="131"/>
      <c r="S580" s="131"/>
      <c r="T580" s="131"/>
      <c r="U580" s="131"/>
      <c r="V580" s="131"/>
      <c r="W580" s="131"/>
      <c r="X580" s="131"/>
      <c r="Y580" s="131"/>
      <c r="Z580" s="142"/>
      <c r="AA580" s="142"/>
      <c r="AB580" s="142"/>
      <c r="AC580" s="142"/>
      <c r="AD580" s="142"/>
      <c r="AE580" s="142"/>
      <c r="AF580" s="142"/>
      <c r="AG580" s="142"/>
      <c r="AH580" s="142"/>
      <c r="AI580" s="142"/>
      <c r="AJ580" s="142"/>
      <c r="AK580" s="142"/>
      <c r="AL580" s="142"/>
      <c r="AM580" s="142"/>
      <c r="AN580" s="142"/>
      <c r="AO580" s="131"/>
    </row>
    <row r="581" ht="13.5" customHeight="1">
      <c r="A581" s="142"/>
      <c r="B581" s="142"/>
      <c r="C581" s="142"/>
      <c r="D581" s="142"/>
      <c r="E581" s="308"/>
      <c r="F581" s="131"/>
      <c r="G581" s="131"/>
      <c r="H581" s="131"/>
      <c r="I581" s="219"/>
      <c r="J581" s="198"/>
      <c r="K581" s="131"/>
      <c r="L581" s="131"/>
      <c r="M581" s="131"/>
      <c r="N581" s="131"/>
      <c r="O581" s="131"/>
      <c r="P581" s="131"/>
      <c r="Q581" s="131"/>
      <c r="R581" s="131"/>
      <c r="S581" s="131"/>
      <c r="T581" s="131"/>
      <c r="U581" s="131"/>
      <c r="V581" s="131"/>
      <c r="W581" s="131"/>
      <c r="X581" s="131"/>
      <c r="Y581" s="131"/>
      <c r="Z581" s="142"/>
      <c r="AA581" s="142"/>
      <c r="AB581" s="142"/>
      <c r="AC581" s="142"/>
      <c r="AD581" s="142"/>
      <c r="AE581" s="142"/>
      <c r="AF581" s="142"/>
      <c r="AG581" s="142"/>
      <c r="AH581" s="142"/>
      <c r="AI581" s="142"/>
      <c r="AJ581" s="142"/>
      <c r="AK581" s="142"/>
      <c r="AL581" s="142"/>
      <c r="AM581" s="142"/>
      <c r="AN581" s="142"/>
      <c r="AO581" s="131"/>
    </row>
    <row r="582" ht="13.5" customHeight="1">
      <c r="A582" s="142"/>
      <c r="B582" s="142"/>
      <c r="C582" s="142"/>
      <c r="D582" s="142"/>
      <c r="E582" s="308"/>
      <c r="F582" s="131"/>
      <c r="G582" s="131"/>
      <c r="H582" s="131"/>
      <c r="I582" s="219"/>
      <c r="J582" s="198"/>
      <c r="K582" s="131"/>
      <c r="L582" s="131"/>
      <c r="M582" s="131"/>
      <c r="N582" s="131"/>
      <c r="O582" s="131"/>
      <c r="P582" s="131"/>
      <c r="Q582" s="131"/>
      <c r="R582" s="131"/>
      <c r="S582" s="131"/>
      <c r="T582" s="131"/>
      <c r="U582" s="131"/>
      <c r="V582" s="131"/>
      <c r="W582" s="131"/>
      <c r="X582" s="131"/>
      <c r="Y582" s="131"/>
      <c r="Z582" s="142"/>
      <c r="AA582" s="142"/>
      <c r="AB582" s="142"/>
      <c r="AC582" s="142"/>
      <c r="AD582" s="142"/>
      <c r="AE582" s="142"/>
      <c r="AF582" s="142"/>
      <c r="AG582" s="142"/>
      <c r="AH582" s="142"/>
      <c r="AI582" s="142"/>
      <c r="AJ582" s="142"/>
      <c r="AK582" s="142"/>
      <c r="AL582" s="142"/>
      <c r="AM582" s="142"/>
      <c r="AN582" s="142"/>
      <c r="AO582" s="131"/>
    </row>
    <row r="583" ht="13.5" customHeight="1">
      <c r="A583" s="142"/>
      <c r="B583" s="142"/>
      <c r="C583" s="142"/>
      <c r="D583" s="142"/>
      <c r="E583" s="308"/>
      <c r="F583" s="131"/>
      <c r="G583" s="131"/>
      <c r="H583" s="131"/>
      <c r="I583" s="219"/>
      <c r="J583" s="198"/>
      <c r="K583" s="131"/>
      <c r="L583" s="131"/>
      <c r="M583" s="131"/>
      <c r="N583" s="131"/>
      <c r="O583" s="131"/>
      <c r="P583" s="131"/>
      <c r="Q583" s="131"/>
      <c r="R583" s="131"/>
      <c r="S583" s="131"/>
      <c r="T583" s="131"/>
      <c r="U583" s="131"/>
      <c r="V583" s="131"/>
      <c r="W583" s="131"/>
      <c r="X583" s="131"/>
      <c r="Y583" s="131"/>
      <c r="Z583" s="142"/>
      <c r="AA583" s="142"/>
      <c r="AB583" s="142"/>
      <c r="AC583" s="142"/>
      <c r="AD583" s="142"/>
      <c r="AE583" s="142"/>
      <c r="AF583" s="142"/>
      <c r="AG583" s="142"/>
      <c r="AH583" s="142"/>
      <c r="AI583" s="142"/>
      <c r="AJ583" s="142"/>
      <c r="AK583" s="142"/>
      <c r="AL583" s="142"/>
      <c r="AM583" s="142"/>
      <c r="AN583" s="142"/>
      <c r="AO583" s="131"/>
    </row>
    <row r="584" ht="13.5" customHeight="1">
      <c r="A584" s="142"/>
      <c r="B584" s="142"/>
      <c r="C584" s="142"/>
      <c r="D584" s="142"/>
      <c r="E584" s="308"/>
      <c r="F584" s="131"/>
      <c r="G584" s="131"/>
      <c r="H584" s="131"/>
      <c r="I584" s="219"/>
      <c r="J584" s="198"/>
      <c r="K584" s="131"/>
      <c r="L584" s="131"/>
      <c r="M584" s="131"/>
      <c r="N584" s="131"/>
      <c r="O584" s="131"/>
      <c r="P584" s="131"/>
      <c r="Q584" s="131"/>
      <c r="R584" s="131"/>
      <c r="S584" s="131"/>
      <c r="T584" s="131"/>
      <c r="U584" s="131"/>
      <c r="V584" s="131"/>
      <c r="W584" s="131"/>
      <c r="X584" s="131"/>
      <c r="Y584" s="131"/>
      <c r="Z584" s="142"/>
      <c r="AA584" s="142"/>
      <c r="AB584" s="142"/>
      <c r="AC584" s="142"/>
      <c r="AD584" s="142"/>
      <c r="AE584" s="142"/>
      <c r="AF584" s="142"/>
      <c r="AG584" s="142"/>
      <c r="AH584" s="142"/>
      <c r="AI584" s="142"/>
      <c r="AJ584" s="142"/>
      <c r="AK584" s="142"/>
      <c r="AL584" s="142"/>
      <c r="AM584" s="142"/>
      <c r="AN584" s="142"/>
      <c r="AO584" s="131"/>
    </row>
    <row r="585" ht="13.5" customHeight="1">
      <c r="A585" s="142"/>
      <c r="B585" s="142"/>
      <c r="C585" s="142"/>
      <c r="D585" s="142"/>
      <c r="E585" s="308"/>
      <c r="F585" s="131"/>
      <c r="G585" s="131"/>
      <c r="H585" s="131"/>
      <c r="I585" s="219"/>
      <c r="J585" s="198"/>
      <c r="K585" s="131"/>
      <c r="L585" s="131"/>
      <c r="M585" s="131"/>
      <c r="N585" s="131"/>
      <c r="O585" s="131"/>
      <c r="P585" s="131"/>
      <c r="Q585" s="131"/>
      <c r="R585" s="131"/>
      <c r="S585" s="131"/>
      <c r="T585" s="131"/>
      <c r="U585" s="131"/>
      <c r="V585" s="131"/>
      <c r="W585" s="131"/>
      <c r="X585" s="131"/>
      <c r="Y585" s="131"/>
      <c r="Z585" s="142"/>
      <c r="AA585" s="142"/>
      <c r="AB585" s="142"/>
      <c r="AC585" s="142"/>
      <c r="AD585" s="142"/>
      <c r="AE585" s="142"/>
      <c r="AF585" s="142"/>
      <c r="AG585" s="142"/>
      <c r="AH585" s="142"/>
      <c r="AI585" s="142"/>
      <c r="AJ585" s="142"/>
      <c r="AK585" s="142"/>
      <c r="AL585" s="142"/>
      <c r="AM585" s="142"/>
      <c r="AN585" s="142"/>
      <c r="AO585" s="131"/>
    </row>
    <row r="586" ht="13.5" customHeight="1">
      <c r="A586" s="142"/>
      <c r="B586" s="142"/>
      <c r="C586" s="142"/>
      <c r="D586" s="142"/>
      <c r="E586" s="308"/>
      <c r="F586" s="131"/>
      <c r="G586" s="131"/>
      <c r="H586" s="131"/>
      <c r="I586" s="219"/>
      <c r="J586" s="198"/>
      <c r="K586" s="131"/>
      <c r="L586" s="131"/>
      <c r="M586" s="131"/>
      <c r="N586" s="131"/>
      <c r="O586" s="131"/>
      <c r="P586" s="131"/>
      <c r="Q586" s="131"/>
      <c r="R586" s="131"/>
      <c r="S586" s="131"/>
      <c r="T586" s="131"/>
      <c r="U586" s="131"/>
      <c r="V586" s="131"/>
      <c r="W586" s="131"/>
      <c r="X586" s="131"/>
      <c r="Y586" s="131"/>
      <c r="Z586" s="142"/>
      <c r="AA586" s="142"/>
      <c r="AB586" s="142"/>
      <c r="AC586" s="142"/>
      <c r="AD586" s="142"/>
      <c r="AE586" s="142"/>
      <c r="AF586" s="142"/>
      <c r="AG586" s="142"/>
      <c r="AH586" s="142"/>
      <c r="AI586" s="142"/>
      <c r="AJ586" s="142"/>
      <c r="AK586" s="142"/>
      <c r="AL586" s="142"/>
      <c r="AM586" s="142"/>
      <c r="AN586" s="142"/>
      <c r="AO586" s="131"/>
    </row>
    <row r="587" ht="13.5" customHeight="1">
      <c r="A587" s="142"/>
      <c r="B587" s="142"/>
      <c r="C587" s="142"/>
      <c r="D587" s="142"/>
      <c r="E587" s="308"/>
      <c r="F587" s="131"/>
      <c r="G587" s="131"/>
      <c r="H587" s="131"/>
      <c r="I587" s="219"/>
      <c r="J587" s="198"/>
      <c r="K587" s="131"/>
      <c r="L587" s="131"/>
      <c r="M587" s="131"/>
      <c r="N587" s="131"/>
      <c r="O587" s="131"/>
      <c r="P587" s="131"/>
      <c r="Q587" s="131"/>
      <c r="R587" s="131"/>
      <c r="S587" s="131"/>
      <c r="T587" s="131"/>
      <c r="U587" s="131"/>
      <c r="V587" s="131"/>
      <c r="W587" s="131"/>
      <c r="X587" s="131"/>
      <c r="Y587" s="131"/>
      <c r="Z587" s="142"/>
      <c r="AA587" s="142"/>
      <c r="AB587" s="142"/>
      <c r="AC587" s="142"/>
      <c r="AD587" s="142"/>
      <c r="AE587" s="142"/>
      <c r="AF587" s="142"/>
      <c r="AG587" s="142"/>
      <c r="AH587" s="142"/>
      <c r="AI587" s="142"/>
      <c r="AJ587" s="142"/>
      <c r="AK587" s="142"/>
      <c r="AL587" s="142"/>
      <c r="AM587" s="142"/>
      <c r="AN587" s="142"/>
      <c r="AO587" s="131"/>
    </row>
    <row r="588" ht="13.5" customHeight="1">
      <c r="A588" s="142"/>
      <c r="B588" s="142"/>
      <c r="C588" s="142"/>
      <c r="D588" s="142"/>
      <c r="E588" s="308"/>
      <c r="F588" s="131"/>
      <c r="G588" s="131"/>
      <c r="H588" s="131"/>
      <c r="I588" s="219"/>
      <c r="J588" s="198"/>
      <c r="K588" s="131"/>
      <c r="L588" s="131"/>
      <c r="M588" s="131"/>
      <c r="N588" s="131"/>
      <c r="O588" s="131"/>
      <c r="P588" s="131"/>
      <c r="Q588" s="131"/>
      <c r="R588" s="131"/>
      <c r="S588" s="131"/>
      <c r="T588" s="131"/>
      <c r="U588" s="131"/>
      <c r="V588" s="131"/>
      <c r="W588" s="131"/>
      <c r="X588" s="131"/>
      <c r="Y588" s="131"/>
      <c r="Z588" s="142"/>
      <c r="AA588" s="142"/>
      <c r="AB588" s="142"/>
      <c r="AC588" s="142"/>
      <c r="AD588" s="142"/>
      <c r="AE588" s="142"/>
      <c r="AF588" s="142"/>
      <c r="AG588" s="142"/>
      <c r="AH588" s="142"/>
      <c r="AI588" s="142"/>
      <c r="AJ588" s="142"/>
      <c r="AK588" s="142"/>
      <c r="AL588" s="142"/>
      <c r="AM588" s="142"/>
      <c r="AN588" s="142"/>
      <c r="AO588" s="131"/>
    </row>
    <row r="589" ht="13.5" customHeight="1">
      <c r="A589" s="142"/>
      <c r="B589" s="142"/>
      <c r="C589" s="142"/>
      <c r="D589" s="142"/>
      <c r="E589" s="308"/>
      <c r="F589" s="131"/>
      <c r="G589" s="131"/>
      <c r="H589" s="131"/>
      <c r="I589" s="219"/>
      <c r="J589" s="198"/>
      <c r="K589" s="131"/>
      <c r="L589" s="131"/>
      <c r="M589" s="131"/>
      <c r="N589" s="131"/>
      <c r="O589" s="131"/>
      <c r="P589" s="131"/>
      <c r="Q589" s="131"/>
      <c r="R589" s="131"/>
      <c r="S589" s="131"/>
      <c r="T589" s="131"/>
      <c r="U589" s="131"/>
      <c r="V589" s="131"/>
      <c r="W589" s="131"/>
      <c r="X589" s="131"/>
      <c r="Y589" s="131"/>
      <c r="Z589" s="142"/>
      <c r="AA589" s="142"/>
      <c r="AB589" s="142"/>
      <c r="AC589" s="142"/>
      <c r="AD589" s="142"/>
      <c r="AE589" s="142"/>
      <c r="AF589" s="142"/>
      <c r="AG589" s="142"/>
      <c r="AH589" s="142"/>
      <c r="AI589" s="142"/>
      <c r="AJ589" s="142"/>
      <c r="AK589" s="142"/>
      <c r="AL589" s="142"/>
      <c r="AM589" s="142"/>
      <c r="AN589" s="142"/>
      <c r="AO589" s="131"/>
    </row>
    <row r="590" ht="13.5" customHeight="1">
      <c r="A590" s="142"/>
      <c r="B590" s="142"/>
      <c r="C590" s="142"/>
      <c r="D590" s="142"/>
      <c r="E590" s="308"/>
      <c r="F590" s="131"/>
      <c r="G590" s="131"/>
      <c r="H590" s="131"/>
      <c r="I590" s="219"/>
      <c r="J590" s="198"/>
      <c r="K590" s="131"/>
      <c r="L590" s="131"/>
      <c r="M590" s="131"/>
      <c r="N590" s="131"/>
      <c r="O590" s="131"/>
      <c r="P590" s="131"/>
      <c r="Q590" s="131"/>
      <c r="R590" s="131"/>
      <c r="S590" s="131"/>
      <c r="T590" s="131"/>
      <c r="U590" s="131"/>
      <c r="V590" s="131"/>
      <c r="W590" s="131"/>
      <c r="X590" s="131"/>
      <c r="Y590" s="131"/>
      <c r="Z590" s="142"/>
      <c r="AA590" s="142"/>
      <c r="AB590" s="142"/>
      <c r="AC590" s="142"/>
      <c r="AD590" s="142"/>
      <c r="AE590" s="142"/>
      <c r="AF590" s="142"/>
      <c r="AG590" s="142"/>
      <c r="AH590" s="142"/>
      <c r="AI590" s="142"/>
      <c r="AJ590" s="142"/>
      <c r="AK590" s="142"/>
      <c r="AL590" s="142"/>
      <c r="AM590" s="142"/>
      <c r="AN590" s="142"/>
      <c r="AO590" s="131"/>
    </row>
    <row r="591" ht="13.5" customHeight="1">
      <c r="A591" s="142"/>
      <c r="B591" s="142"/>
      <c r="C591" s="142"/>
      <c r="D591" s="142"/>
      <c r="E591" s="308"/>
      <c r="F591" s="131"/>
      <c r="G591" s="131"/>
      <c r="H591" s="131"/>
      <c r="I591" s="219"/>
      <c r="J591" s="198"/>
      <c r="K591" s="131"/>
      <c r="L591" s="131"/>
      <c r="M591" s="131"/>
      <c r="N591" s="131"/>
      <c r="O591" s="131"/>
      <c r="P591" s="131"/>
      <c r="Q591" s="131"/>
      <c r="R591" s="131"/>
      <c r="S591" s="131"/>
      <c r="T591" s="131"/>
      <c r="U591" s="131"/>
      <c r="V591" s="131"/>
      <c r="W591" s="131"/>
      <c r="X591" s="131"/>
      <c r="Y591" s="131"/>
      <c r="Z591" s="142"/>
      <c r="AA591" s="142"/>
      <c r="AB591" s="142"/>
      <c r="AC591" s="142"/>
      <c r="AD591" s="142"/>
      <c r="AE591" s="142"/>
      <c r="AF591" s="142"/>
      <c r="AG591" s="142"/>
      <c r="AH591" s="142"/>
      <c r="AI591" s="142"/>
      <c r="AJ591" s="142"/>
      <c r="AK591" s="142"/>
      <c r="AL591" s="142"/>
      <c r="AM591" s="142"/>
      <c r="AN591" s="142"/>
      <c r="AO591" s="131"/>
    </row>
    <row r="592" ht="13.5" customHeight="1">
      <c r="A592" s="142"/>
      <c r="B592" s="142"/>
      <c r="C592" s="142"/>
      <c r="D592" s="142"/>
      <c r="E592" s="308"/>
      <c r="F592" s="131"/>
      <c r="G592" s="131"/>
      <c r="H592" s="131"/>
      <c r="I592" s="219"/>
      <c r="J592" s="198"/>
      <c r="K592" s="131"/>
      <c r="L592" s="131"/>
      <c r="M592" s="131"/>
      <c r="N592" s="131"/>
      <c r="O592" s="131"/>
      <c r="P592" s="131"/>
      <c r="Q592" s="131"/>
      <c r="R592" s="131"/>
      <c r="S592" s="131"/>
      <c r="T592" s="131"/>
      <c r="U592" s="131"/>
      <c r="V592" s="131"/>
      <c r="W592" s="131"/>
      <c r="X592" s="131"/>
      <c r="Y592" s="131"/>
      <c r="Z592" s="142"/>
      <c r="AA592" s="142"/>
      <c r="AB592" s="142"/>
      <c r="AC592" s="142"/>
      <c r="AD592" s="142"/>
      <c r="AE592" s="142"/>
      <c r="AF592" s="142"/>
      <c r="AG592" s="142"/>
      <c r="AH592" s="142"/>
      <c r="AI592" s="142"/>
      <c r="AJ592" s="142"/>
      <c r="AK592" s="142"/>
      <c r="AL592" s="142"/>
      <c r="AM592" s="142"/>
      <c r="AN592" s="142"/>
      <c r="AO592" s="131"/>
    </row>
    <row r="593" ht="13.5" customHeight="1">
      <c r="A593" s="142"/>
      <c r="B593" s="142"/>
      <c r="C593" s="142"/>
      <c r="D593" s="142"/>
      <c r="E593" s="308"/>
      <c r="F593" s="131"/>
      <c r="G593" s="131"/>
      <c r="H593" s="131"/>
      <c r="I593" s="219"/>
      <c r="J593" s="198"/>
      <c r="K593" s="131"/>
      <c r="L593" s="131"/>
      <c r="M593" s="131"/>
      <c r="N593" s="131"/>
      <c r="O593" s="131"/>
      <c r="P593" s="131"/>
      <c r="Q593" s="131"/>
      <c r="R593" s="131"/>
      <c r="S593" s="131"/>
      <c r="T593" s="131"/>
      <c r="U593" s="131"/>
      <c r="V593" s="131"/>
      <c r="W593" s="131"/>
      <c r="X593" s="131"/>
      <c r="Y593" s="131"/>
      <c r="Z593" s="142"/>
      <c r="AA593" s="142"/>
      <c r="AB593" s="142"/>
      <c r="AC593" s="142"/>
      <c r="AD593" s="142"/>
      <c r="AE593" s="142"/>
      <c r="AF593" s="142"/>
      <c r="AG593" s="142"/>
      <c r="AH593" s="142"/>
      <c r="AI593" s="142"/>
      <c r="AJ593" s="142"/>
      <c r="AK593" s="142"/>
      <c r="AL593" s="142"/>
      <c r="AM593" s="142"/>
      <c r="AN593" s="142"/>
      <c r="AO593" s="131"/>
    </row>
    <row r="594" ht="13.5" customHeight="1">
      <c r="A594" s="142"/>
      <c r="B594" s="142"/>
      <c r="C594" s="142"/>
      <c r="D594" s="142"/>
      <c r="E594" s="308"/>
      <c r="F594" s="131"/>
      <c r="G594" s="131"/>
      <c r="H594" s="131"/>
      <c r="I594" s="219"/>
      <c r="J594" s="198"/>
      <c r="K594" s="131"/>
      <c r="L594" s="131"/>
      <c r="M594" s="131"/>
      <c r="N594" s="131"/>
      <c r="O594" s="131"/>
      <c r="P594" s="131"/>
      <c r="Q594" s="131"/>
      <c r="R594" s="131"/>
      <c r="S594" s="131"/>
      <c r="T594" s="131"/>
      <c r="U594" s="131"/>
      <c r="V594" s="131"/>
      <c r="W594" s="131"/>
      <c r="X594" s="131"/>
      <c r="Y594" s="131"/>
      <c r="Z594" s="142"/>
      <c r="AA594" s="142"/>
      <c r="AB594" s="142"/>
      <c r="AC594" s="142"/>
      <c r="AD594" s="142"/>
      <c r="AE594" s="142"/>
      <c r="AF594" s="142"/>
      <c r="AG594" s="142"/>
      <c r="AH594" s="142"/>
      <c r="AI594" s="142"/>
      <c r="AJ594" s="142"/>
      <c r="AK594" s="142"/>
      <c r="AL594" s="142"/>
      <c r="AM594" s="142"/>
      <c r="AN594" s="142"/>
      <c r="AO594" s="131"/>
    </row>
    <row r="595" ht="13.5" customHeight="1">
      <c r="A595" s="142"/>
      <c r="B595" s="142"/>
      <c r="C595" s="142"/>
      <c r="D595" s="142"/>
      <c r="E595" s="308"/>
      <c r="F595" s="131"/>
      <c r="G595" s="131"/>
      <c r="H595" s="131"/>
      <c r="I595" s="219"/>
      <c r="J595" s="198"/>
      <c r="K595" s="131"/>
      <c r="L595" s="131"/>
      <c r="M595" s="131"/>
      <c r="N595" s="131"/>
      <c r="O595" s="131"/>
      <c r="P595" s="131"/>
      <c r="Q595" s="131"/>
      <c r="R595" s="131"/>
      <c r="S595" s="131"/>
      <c r="T595" s="131"/>
      <c r="U595" s="131"/>
      <c r="V595" s="131"/>
      <c r="W595" s="131"/>
      <c r="X595" s="131"/>
      <c r="Y595" s="131"/>
      <c r="Z595" s="142"/>
      <c r="AA595" s="142"/>
      <c r="AB595" s="142"/>
      <c r="AC595" s="142"/>
      <c r="AD595" s="142"/>
      <c r="AE595" s="142"/>
      <c r="AF595" s="142"/>
      <c r="AG595" s="142"/>
      <c r="AH595" s="142"/>
      <c r="AI595" s="142"/>
      <c r="AJ595" s="142"/>
      <c r="AK595" s="142"/>
      <c r="AL595" s="142"/>
      <c r="AM595" s="142"/>
      <c r="AN595" s="142"/>
      <c r="AO595" s="131"/>
    </row>
    <row r="596" ht="13.5" customHeight="1">
      <c r="A596" s="142"/>
      <c r="B596" s="142"/>
      <c r="C596" s="142"/>
      <c r="D596" s="142"/>
      <c r="E596" s="308"/>
      <c r="F596" s="131"/>
      <c r="G596" s="131"/>
      <c r="H596" s="131"/>
      <c r="I596" s="219"/>
      <c r="J596" s="198"/>
      <c r="K596" s="131"/>
      <c r="L596" s="131"/>
      <c r="M596" s="131"/>
      <c r="N596" s="131"/>
      <c r="O596" s="131"/>
      <c r="P596" s="131"/>
      <c r="Q596" s="131"/>
      <c r="R596" s="131"/>
      <c r="S596" s="131"/>
      <c r="T596" s="131"/>
      <c r="U596" s="131"/>
      <c r="V596" s="131"/>
      <c r="W596" s="131"/>
      <c r="X596" s="131"/>
      <c r="Y596" s="131"/>
      <c r="Z596" s="142"/>
      <c r="AA596" s="142"/>
      <c r="AB596" s="142"/>
      <c r="AC596" s="142"/>
      <c r="AD596" s="142"/>
      <c r="AE596" s="142"/>
      <c r="AF596" s="142"/>
      <c r="AG596" s="142"/>
      <c r="AH596" s="142"/>
      <c r="AI596" s="142"/>
      <c r="AJ596" s="142"/>
      <c r="AK596" s="142"/>
      <c r="AL596" s="142"/>
      <c r="AM596" s="142"/>
      <c r="AN596" s="142"/>
      <c r="AO596" s="131"/>
    </row>
    <row r="597" ht="13.5" customHeight="1">
      <c r="A597" s="142"/>
      <c r="B597" s="142"/>
      <c r="C597" s="142"/>
      <c r="D597" s="142"/>
      <c r="E597" s="308"/>
      <c r="F597" s="131"/>
      <c r="G597" s="131"/>
      <c r="H597" s="131"/>
      <c r="I597" s="219"/>
      <c r="J597" s="198"/>
      <c r="K597" s="131"/>
      <c r="L597" s="131"/>
      <c r="M597" s="131"/>
      <c r="N597" s="131"/>
      <c r="O597" s="131"/>
      <c r="P597" s="131"/>
      <c r="Q597" s="131"/>
      <c r="R597" s="131"/>
      <c r="S597" s="131"/>
      <c r="T597" s="131"/>
      <c r="U597" s="131"/>
      <c r="V597" s="131"/>
      <c r="W597" s="131"/>
      <c r="X597" s="131"/>
      <c r="Y597" s="131"/>
      <c r="Z597" s="142"/>
      <c r="AA597" s="142"/>
      <c r="AB597" s="142"/>
      <c r="AC597" s="142"/>
      <c r="AD597" s="142"/>
      <c r="AE597" s="142"/>
      <c r="AF597" s="142"/>
      <c r="AG597" s="142"/>
      <c r="AH597" s="142"/>
      <c r="AI597" s="142"/>
      <c r="AJ597" s="142"/>
      <c r="AK597" s="142"/>
      <c r="AL597" s="142"/>
      <c r="AM597" s="142"/>
      <c r="AN597" s="142"/>
      <c r="AO597" s="131"/>
    </row>
    <row r="598" ht="13.5" customHeight="1">
      <c r="A598" s="142"/>
      <c r="B598" s="142"/>
      <c r="C598" s="142"/>
      <c r="D598" s="142"/>
      <c r="E598" s="308"/>
      <c r="F598" s="131"/>
      <c r="G598" s="131"/>
      <c r="H598" s="131"/>
      <c r="I598" s="219"/>
      <c r="J598" s="198"/>
      <c r="K598" s="131"/>
      <c r="L598" s="131"/>
      <c r="M598" s="131"/>
      <c r="N598" s="131"/>
      <c r="O598" s="131"/>
      <c r="P598" s="131"/>
      <c r="Q598" s="131"/>
      <c r="R598" s="131"/>
      <c r="S598" s="131"/>
      <c r="T598" s="131"/>
      <c r="U598" s="131"/>
      <c r="V598" s="131"/>
      <c r="W598" s="131"/>
      <c r="X598" s="131"/>
      <c r="Y598" s="131"/>
      <c r="Z598" s="142"/>
      <c r="AA598" s="142"/>
      <c r="AB598" s="142"/>
      <c r="AC598" s="142"/>
      <c r="AD598" s="142"/>
      <c r="AE598" s="142"/>
      <c r="AF598" s="142"/>
      <c r="AG598" s="142"/>
      <c r="AH598" s="142"/>
      <c r="AI598" s="142"/>
      <c r="AJ598" s="142"/>
      <c r="AK598" s="142"/>
      <c r="AL598" s="142"/>
      <c r="AM598" s="142"/>
      <c r="AN598" s="142"/>
      <c r="AO598" s="131"/>
    </row>
    <row r="599" ht="13.5" customHeight="1">
      <c r="A599" s="142"/>
      <c r="B599" s="142"/>
      <c r="C599" s="142"/>
      <c r="D599" s="142"/>
      <c r="E599" s="308"/>
      <c r="F599" s="131"/>
      <c r="G599" s="131"/>
      <c r="H599" s="131"/>
      <c r="I599" s="219"/>
      <c r="J599" s="198"/>
      <c r="K599" s="131"/>
      <c r="L599" s="131"/>
      <c r="M599" s="131"/>
      <c r="N599" s="131"/>
      <c r="O599" s="131"/>
      <c r="P599" s="131"/>
      <c r="Q599" s="131"/>
      <c r="R599" s="131"/>
      <c r="S599" s="131"/>
      <c r="T599" s="131"/>
      <c r="U599" s="131"/>
      <c r="V599" s="131"/>
      <c r="W599" s="131"/>
      <c r="X599" s="131"/>
      <c r="Y599" s="131"/>
      <c r="Z599" s="142"/>
      <c r="AA599" s="142"/>
      <c r="AB599" s="142"/>
      <c r="AC599" s="142"/>
      <c r="AD599" s="142"/>
      <c r="AE599" s="142"/>
      <c r="AF599" s="142"/>
      <c r="AG599" s="142"/>
      <c r="AH599" s="142"/>
      <c r="AI599" s="142"/>
      <c r="AJ599" s="142"/>
      <c r="AK599" s="142"/>
      <c r="AL599" s="142"/>
      <c r="AM599" s="142"/>
      <c r="AN599" s="142"/>
      <c r="AO599" s="131"/>
    </row>
    <row r="600" ht="13.5" customHeight="1">
      <c r="A600" s="142"/>
      <c r="B600" s="142"/>
      <c r="C600" s="142"/>
      <c r="D600" s="142"/>
      <c r="E600" s="308"/>
      <c r="F600" s="131"/>
      <c r="G600" s="131"/>
      <c r="H600" s="131"/>
      <c r="I600" s="219"/>
      <c r="J600" s="198"/>
      <c r="K600" s="131"/>
      <c r="L600" s="131"/>
      <c r="M600" s="131"/>
      <c r="N600" s="131"/>
      <c r="O600" s="131"/>
      <c r="P600" s="131"/>
      <c r="Q600" s="131"/>
      <c r="R600" s="131"/>
      <c r="S600" s="131"/>
      <c r="T600" s="131"/>
      <c r="U600" s="131"/>
      <c r="V600" s="131"/>
      <c r="W600" s="131"/>
      <c r="X600" s="131"/>
      <c r="Y600" s="131"/>
      <c r="Z600" s="142"/>
      <c r="AA600" s="142"/>
      <c r="AB600" s="142"/>
      <c r="AC600" s="142"/>
      <c r="AD600" s="142"/>
      <c r="AE600" s="142"/>
      <c r="AF600" s="142"/>
      <c r="AG600" s="142"/>
      <c r="AH600" s="142"/>
      <c r="AI600" s="142"/>
      <c r="AJ600" s="142"/>
      <c r="AK600" s="142"/>
      <c r="AL600" s="142"/>
      <c r="AM600" s="142"/>
      <c r="AN600" s="142"/>
      <c r="AO600" s="131"/>
    </row>
    <row r="601" ht="13.5" customHeight="1">
      <c r="A601" s="142"/>
      <c r="B601" s="142"/>
      <c r="C601" s="142"/>
      <c r="D601" s="142"/>
      <c r="E601" s="308"/>
      <c r="F601" s="131"/>
      <c r="G601" s="131"/>
      <c r="H601" s="131"/>
      <c r="I601" s="219"/>
      <c r="J601" s="198"/>
      <c r="K601" s="131"/>
      <c r="L601" s="131"/>
      <c r="M601" s="131"/>
      <c r="N601" s="131"/>
      <c r="O601" s="131"/>
      <c r="P601" s="131"/>
      <c r="Q601" s="131"/>
      <c r="R601" s="131"/>
      <c r="S601" s="131"/>
      <c r="T601" s="131"/>
      <c r="U601" s="131"/>
      <c r="V601" s="131"/>
      <c r="W601" s="131"/>
      <c r="X601" s="131"/>
      <c r="Y601" s="131"/>
      <c r="Z601" s="142"/>
      <c r="AA601" s="142"/>
      <c r="AB601" s="142"/>
      <c r="AC601" s="142"/>
      <c r="AD601" s="142"/>
      <c r="AE601" s="142"/>
      <c r="AF601" s="142"/>
      <c r="AG601" s="142"/>
      <c r="AH601" s="142"/>
      <c r="AI601" s="142"/>
      <c r="AJ601" s="142"/>
      <c r="AK601" s="142"/>
      <c r="AL601" s="142"/>
      <c r="AM601" s="142"/>
      <c r="AN601" s="142"/>
      <c r="AO601" s="131"/>
    </row>
    <row r="602" ht="13.5" customHeight="1">
      <c r="A602" s="142"/>
      <c r="B602" s="142"/>
      <c r="C602" s="142"/>
      <c r="D602" s="142"/>
      <c r="E602" s="308"/>
      <c r="F602" s="131"/>
      <c r="G602" s="131"/>
      <c r="H602" s="131"/>
      <c r="I602" s="219"/>
      <c r="J602" s="198"/>
      <c r="K602" s="131"/>
      <c r="L602" s="131"/>
      <c r="M602" s="131"/>
      <c r="N602" s="131"/>
      <c r="O602" s="131"/>
      <c r="P602" s="131"/>
      <c r="Q602" s="131"/>
      <c r="R602" s="131"/>
      <c r="S602" s="131"/>
      <c r="T602" s="131"/>
      <c r="U602" s="131"/>
      <c r="V602" s="131"/>
      <c r="W602" s="131"/>
      <c r="X602" s="131"/>
      <c r="Y602" s="131"/>
      <c r="Z602" s="142"/>
      <c r="AA602" s="142"/>
      <c r="AB602" s="142"/>
      <c r="AC602" s="142"/>
      <c r="AD602" s="142"/>
      <c r="AE602" s="142"/>
      <c r="AF602" s="142"/>
      <c r="AG602" s="142"/>
      <c r="AH602" s="142"/>
      <c r="AI602" s="142"/>
      <c r="AJ602" s="142"/>
      <c r="AK602" s="142"/>
      <c r="AL602" s="142"/>
      <c r="AM602" s="142"/>
      <c r="AN602" s="142"/>
      <c r="AO602" s="131"/>
    </row>
    <row r="603" ht="13.5" customHeight="1">
      <c r="A603" s="142"/>
      <c r="B603" s="142"/>
      <c r="C603" s="142"/>
      <c r="D603" s="142"/>
      <c r="E603" s="308"/>
      <c r="F603" s="131"/>
      <c r="G603" s="131"/>
      <c r="H603" s="131"/>
      <c r="I603" s="219"/>
      <c r="J603" s="198"/>
      <c r="K603" s="131"/>
      <c r="L603" s="131"/>
      <c r="M603" s="131"/>
      <c r="N603" s="131"/>
      <c r="O603" s="131"/>
      <c r="P603" s="131"/>
      <c r="Q603" s="131"/>
      <c r="R603" s="131"/>
      <c r="S603" s="131"/>
      <c r="T603" s="131"/>
      <c r="U603" s="131"/>
      <c r="V603" s="131"/>
      <c r="W603" s="131"/>
      <c r="X603" s="131"/>
      <c r="Y603" s="131"/>
      <c r="Z603" s="142"/>
      <c r="AA603" s="142"/>
      <c r="AB603" s="142"/>
      <c r="AC603" s="142"/>
      <c r="AD603" s="142"/>
      <c r="AE603" s="142"/>
      <c r="AF603" s="142"/>
      <c r="AG603" s="142"/>
      <c r="AH603" s="142"/>
      <c r="AI603" s="142"/>
      <c r="AJ603" s="142"/>
      <c r="AK603" s="142"/>
      <c r="AL603" s="142"/>
      <c r="AM603" s="142"/>
      <c r="AN603" s="142"/>
      <c r="AO603" s="131"/>
    </row>
    <row r="604" ht="13.5" customHeight="1">
      <c r="A604" s="142"/>
      <c r="B604" s="142"/>
      <c r="C604" s="142"/>
      <c r="D604" s="142"/>
      <c r="E604" s="308"/>
      <c r="F604" s="131"/>
      <c r="G604" s="131"/>
      <c r="H604" s="131"/>
      <c r="I604" s="219"/>
      <c r="J604" s="198"/>
      <c r="K604" s="131"/>
      <c r="L604" s="131"/>
      <c r="M604" s="131"/>
      <c r="N604" s="131"/>
      <c r="O604" s="131"/>
      <c r="P604" s="131"/>
      <c r="Q604" s="131"/>
      <c r="R604" s="131"/>
      <c r="S604" s="131"/>
      <c r="T604" s="131"/>
      <c r="U604" s="131"/>
      <c r="V604" s="131"/>
      <c r="W604" s="131"/>
      <c r="X604" s="131"/>
      <c r="Y604" s="131"/>
      <c r="Z604" s="142"/>
      <c r="AA604" s="142"/>
      <c r="AB604" s="142"/>
      <c r="AC604" s="142"/>
      <c r="AD604" s="142"/>
      <c r="AE604" s="142"/>
      <c r="AF604" s="142"/>
      <c r="AG604" s="142"/>
      <c r="AH604" s="142"/>
      <c r="AI604" s="142"/>
      <c r="AJ604" s="142"/>
      <c r="AK604" s="142"/>
      <c r="AL604" s="142"/>
      <c r="AM604" s="142"/>
      <c r="AN604" s="142"/>
      <c r="AO604" s="131"/>
    </row>
    <row r="605" ht="13.5" customHeight="1">
      <c r="A605" s="142"/>
      <c r="B605" s="142"/>
      <c r="C605" s="142"/>
      <c r="D605" s="142"/>
      <c r="E605" s="308"/>
      <c r="F605" s="131"/>
      <c r="G605" s="131"/>
      <c r="H605" s="131"/>
      <c r="I605" s="219"/>
      <c r="J605" s="198"/>
      <c r="K605" s="131"/>
      <c r="L605" s="131"/>
      <c r="M605" s="131"/>
      <c r="N605" s="131"/>
      <c r="O605" s="131"/>
      <c r="P605" s="131"/>
      <c r="Q605" s="131"/>
      <c r="R605" s="131"/>
      <c r="S605" s="131"/>
      <c r="T605" s="131"/>
      <c r="U605" s="131"/>
      <c r="V605" s="131"/>
      <c r="W605" s="131"/>
      <c r="X605" s="131"/>
      <c r="Y605" s="131"/>
      <c r="Z605" s="142"/>
      <c r="AA605" s="142"/>
      <c r="AB605" s="142"/>
      <c r="AC605" s="142"/>
      <c r="AD605" s="142"/>
      <c r="AE605" s="142"/>
      <c r="AF605" s="142"/>
      <c r="AG605" s="142"/>
      <c r="AH605" s="142"/>
      <c r="AI605" s="142"/>
      <c r="AJ605" s="142"/>
      <c r="AK605" s="142"/>
      <c r="AL605" s="142"/>
      <c r="AM605" s="142"/>
      <c r="AN605" s="142"/>
      <c r="AO605" s="131"/>
    </row>
    <row r="606" ht="13.5" customHeight="1">
      <c r="A606" s="142"/>
      <c r="B606" s="142"/>
      <c r="C606" s="142"/>
      <c r="D606" s="142"/>
      <c r="E606" s="308"/>
      <c r="F606" s="131"/>
      <c r="G606" s="131"/>
      <c r="H606" s="131"/>
      <c r="I606" s="219"/>
      <c r="J606" s="198"/>
      <c r="K606" s="131"/>
      <c r="L606" s="131"/>
      <c r="M606" s="131"/>
      <c r="N606" s="131"/>
      <c r="O606" s="131"/>
      <c r="P606" s="131"/>
      <c r="Q606" s="131"/>
      <c r="R606" s="131"/>
      <c r="S606" s="131"/>
      <c r="T606" s="131"/>
      <c r="U606" s="131"/>
      <c r="V606" s="131"/>
      <c r="W606" s="131"/>
      <c r="X606" s="131"/>
      <c r="Y606" s="131"/>
      <c r="Z606" s="142"/>
      <c r="AA606" s="142"/>
      <c r="AB606" s="142"/>
      <c r="AC606" s="142"/>
      <c r="AD606" s="142"/>
      <c r="AE606" s="142"/>
      <c r="AF606" s="142"/>
      <c r="AG606" s="142"/>
      <c r="AH606" s="142"/>
      <c r="AI606" s="142"/>
      <c r="AJ606" s="142"/>
      <c r="AK606" s="142"/>
      <c r="AL606" s="142"/>
      <c r="AM606" s="142"/>
      <c r="AN606" s="142"/>
      <c r="AO606" s="131"/>
    </row>
    <row r="607" ht="13.5" customHeight="1">
      <c r="A607" s="142"/>
      <c r="B607" s="142"/>
      <c r="C607" s="142"/>
      <c r="D607" s="142"/>
      <c r="E607" s="308"/>
      <c r="F607" s="131"/>
      <c r="G607" s="131"/>
      <c r="H607" s="131"/>
      <c r="I607" s="219"/>
      <c r="J607" s="198"/>
      <c r="K607" s="131"/>
      <c r="L607" s="131"/>
      <c r="M607" s="131"/>
      <c r="N607" s="131"/>
      <c r="O607" s="131"/>
      <c r="P607" s="131"/>
      <c r="Q607" s="131"/>
      <c r="R607" s="131"/>
      <c r="S607" s="131"/>
      <c r="T607" s="131"/>
      <c r="U607" s="131"/>
      <c r="V607" s="131"/>
      <c r="W607" s="131"/>
      <c r="X607" s="131"/>
      <c r="Y607" s="131"/>
      <c r="Z607" s="142"/>
      <c r="AA607" s="142"/>
      <c r="AB607" s="142"/>
      <c r="AC607" s="142"/>
      <c r="AD607" s="142"/>
      <c r="AE607" s="142"/>
      <c r="AF607" s="142"/>
      <c r="AG607" s="142"/>
      <c r="AH607" s="142"/>
      <c r="AI607" s="142"/>
      <c r="AJ607" s="142"/>
      <c r="AK607" s="142"/>
      <c r="AL607" s="142"/>
      <c r="AM607" s="142"/>
      <c r="AN607" s="142"/>
      <c r="AO607" s="131"/>
    </row>
    <row r="608" ht="13.5" customHeight="1">
      <c r="A608" s="142"/>
      <c r="B608" s="142"/>
      <c r="C608" s="142"/>
      <c r="D608" s="142"/>
      <c r="E608" s="308"/>
      <c r="F608" s="131"/>
      <c r="G608" s="131"/>
      <c r="H608" s="131"/>
      <c r="I608" s="219"/>
      <c r="J608" s="198"/>
      <c r="K608" s="131"/>
      <c r="L608" s="131"/>
      <c r="M608" s="131"/>
      <c r="N608" s="131"/>
      <c r="O608" s="131"/>
      <c r="P608" s="131"/>
      <c r="Q608" s="131"/>
      <c r="R608" s="131"/>
      <c r="S608" s="131"/>
      <c r="T608" s="131"/>
      <c r="U608" s="131"/>
      <c r="V608" s="131"/>
      <c r="W608" s="131"/>
      <c r="X608" s="131"/>
      <c r="Y608" s="131"/>
      <c r="Z608" s="142"/>
      <c r="AA608" s="142"/>
      <c r="AB608" s="142"/>
      <c r="AC608" s="142"/>
      <c r="AD608" s="142"/>
      <c r="AE608" s="142"/>
      <c r="AF608" s="142"/>
      <c r="AG608" s="142"/>
      <c r="AH608" s="142"/>
      <c r="AI608" s="142"/>
      <c r="AJ608" s="142"/>
      <c r="AK608" s="142"/>
      <c r="AL608" s="142"/>
      <c r="AM608" s="142"/>
      <c r="AN608" s="142"/>
      <c r="AO608" s="131"/>
    </row>
    <row r="609" ht="13.5" customHeight="1">
      <c r="A609" s="142"/>
      <c r="B609" s="142"/>
      <c r="C609" s="142"/>
      <c r="D609" s="142"/>
      <c r="E609" s="308"/>
      <c r="F609" s="131"/>
      <c r="G609" s="131"/>
      <c r="H609" s="131"/>
      <c r="I609" s="219"/>
      <c r="J609" s="198"/>
      <c r="K609" s="131"/>
      <c r="L609" s="131"/>
      <c r="M609" s="131"/>
      <c r="N609" s="131"/>
      <c r="O609" s="131"/>
      <c r="P609" s="131"/>
      <c r="Q609" s="131"/>
      <c r="R609" s="131"/>
      <c r="S609" s="131"/>
      <c r="T609" s="131"/>
      <c r="U609" s="131"/>
      <c r="V609" s="131"/>
      <c r="W609" s="131"/>
      <c r="X609" s="131"/>
      <c r="Y609" s="131"/>
      <c r="Z609" s="142"/>
      <c r="AA609" s="142"/>
      <c r="AB609" s="142"/>
      <c r="AC609" s="142"/>
      <c r="AD609" s="142"/>
      <c r="AE609" s="142"/>
      <c r="AF609" s="142"/>
      <c r="AG609" s="142"/>
      <c r="AH609" s="142"/>
      <c r="AI609" s="142"/>
      <c r="AJ609" s="142"/>
      <c r="AK609" s="142"/>
      <c r="AL609" s="142"/>
      <c r="AM609" s="142"/>
      <c r="AN609" s="142"/>
      <c r="AO609" s="131"/>
    </row>
    <row r="610" ht="13.5" customHeight="1">
      <c r="A610" s="142"/>
      <c r="B610" s="142"/>
      <c r="C610" s="142"/>
      <c r="D610" s="142"/>
      <c r="E610" s="308"/>
      <c r="F610" s="131"/>
      <c r="G610" s="131"/>
      <c r="H610" s="131"/>
      <c r="I610" s="219"/>
      <c r="J610" s="198"/>
      <c r="K610" s="131"/>
      <c r="L610" s="131"/>
      <c r="M610" s="131"/>
      <c r="N610" s="131"/>
      <c r="O610" s="131"/>
      <c r="P610" s="131"/>
      <c r="Q610" s="131"/>
      <c r="R610" s="131"/>
      <c r="S610" s="131"/>
      <c r="T610" s="131"/>
      <c r="U610" s="131"/>
      <c r="V610" s="131"/>
      <c r="W610" s="131"/>
      <c r="X610" s="131"/>
      <c r="Y610" s="131"/>
      <c r="Z610" s="142"/>
      <c r="AA610" s="142"/>
      <c r="AB610" s="142"/>
      <c r="AC610" s="142"/>
      <c r="AD610" s="142"/>
      <c r="AE610" s="142"/>
      <c r="AF610" s="142"/>
      <c r="AG610" s="142"/>
      <c r="AH610" s="142"/>
      <c r="AI610" s="142"/>
      <c r="AJ610" s="142"/>
      <c r="AK610" s="142"/>
      <c r="AL610" s="142"/>
      <c r="AM610" s="142"/>
      <c r="AN610" s="142"/>
      <c r="AO610" s="131"/>
    </row>
    <row r="611" ht="13.5" customHeight="1">
      <c r="A611" s="142"/>
      <c r="B611" s="142"/>
      <c r="C611" s="142"/>
      <c r="D611" s="142"/>
      <c r="E611" s="308"/>
      <c r="F611" s="131"/>
      <c r="G611" s="131"/>
      <c r="H611" s="131"/>
      <c r="I611" s="219"/>
      <c r="J611" s="198"/>
      <c r="K611" s="131"/>
      <c r="L611" s="131"/>
      <c r="M611" s="131"/>
      <c r="N611" s="131"/>
      <c r="O611" s="131"/>
      <c r="P611" s="131"/>
      <c r="Q611" s="131"/>
      <c r="R611" s="131"/>
      <c r="S611" s="131"/>
      <c r="T611" s="131"/>
      <c r="U611" s="131"/>
      <c r="V611" s="131"/>
      <c r="W611" s="131"/>
      <c r="X611" s="131"/>
      <c r="Y611" s="131"/>
      <c r="Z611" s="142"/>
      <c r="AA611" s="142"/>
      <c r="AB611" s="142"/>
      <c r="AC611" s="142"/>
      <c r="AD611" s="142"/>
      <c r="AE611" s="142"/>
      <c r="AF611" s="142"/>
      <c r="AG611" s="142"/>
      <c r="AH611" s="142"/>
      <c r="AI611" s="142"/>
      <c r="AJ611" s="142"/>
      <c r="AK611" s="142"/>
      <c r="AL611" s="142"/>
      <c r="AM611" s="142"/>
      <c r="AN611" s="142"/>
      <c r="AO611" s="131"/>
    </row>
    <row r="612" ht="13.5" customHeight="1">
      <c r="A612" s="142"/>
      <c r="B612" s="142"/>
      <c r="C612" s="142"/>
      <c r="D612" s="142"/>
      <c r="E612" s="308"/>
      <c r="F612" s="131"/>
      <c r="G612" s="131"/>
      <c r="H612" s="131"/>
      <c r="I612" s="219"/>
      <c r="J612" s="198"/>
      <c r="K612" s="131"/>
      <c r="L612" s="131"/>
      <c r="M612" s="131"/>
      <c r="N612" s="131"/>
      <c r="O612" s="131"/>
      <c r="P612" s="131"/>
      <c r="Q612" s="131"/>
      <c r="R612" s="131"/>
      <c r="S612" s="131"/>
      <c r="T612" s="131"/>
      <c r="U612" s="131"/>
      <c r="V612" s="131"/>
      <c r="W612" s="131"/>
      <c r="X612" s="131"/>
      <c r="Y612" s="131"/>
      <c r="Z612" s="142"/>
      <c r="AA612" s="142"/>
      <c r="AB612" s="142"/>
      <c r="AC612" s="142"/>
      <c r="AD612" s="142"/>
      <c r="AE612" s="142"/>
      <c r="AF612" s="142"/>
      <c r="AG612" s="142"/>
      <c r="AH612" s="142"/>
      <c r="AI612" s="142"/>
      <c r="AJ612" s="142"/>
      <c r="AK612" s="142"/>
      <c r="AL612" s="142"/>
      <c r="AM612" s="142"/>
      <c r="AN612" s="142"/>
      <c r="AO612" s="131"/>
    </row>
    <row r="613" ht="13.5" customHeight="1">
      <c r="A613" s="142"/>
      <c r="B613" s="142"/>
      <c r="C613" s="142"/>
      <c r="D613" s="142"/>
      <c r="E613" s="308"/>
      <c r="F613" s="131"/>
      <c r="G613" s="131"/>
      <c r="H613" s="131"/>
      <c r="I613" s="219"/>
      <c r="J613" s="198"/>
      <c r="K613" s="131"/>
      <c r="L613" s="131"/>
      <c r="M613" s="131"/>
      <c r="N613" s="131"/>
      <c r="O613" s="131"/>
      <c r="P613" s="131"/>
      <c r="Q613" s="131"/>
      <c r="R613" s="131"/>
      <c r="S613" s="131"/>
      <c r="T613" s="131"/>
      <c r="U613" s="131"/>
      <c r="V613" s="131"/>
      <c r="W613" s="131"/>
      <c r="X613" s="131"/>
      <c r="Y613" s="131"/>
      <c r="Z613" s="142"/>
      <c r="AA613" s="142"/>
      <c r="AB613" s="142"/>
      <c r="AC613" s="142"/>
      <c r="AD613" s="142"/>
      <c r="AE613" s="142"/>
      <c r="AF613" s="142"/>
      <c r="AG613" s="142"/>
      <c r="AH613" s="142"/>
      <c r="AI613" s="142"/>
      <c r="AJ613" s="142"/>
      <c r="AK613" s="142"/>
      <c r="AL613" s="142"/>
      <c r="AM613" s="142"/>
      <c r="AN613" s="142"/>
      <c r="AO613" s="131"/>
    </row>
    <row r="614" ht="13.5" customHeight="1">
      <c r="A614" s="142"/>
      <c r="B614" s="142"/>
      <c r="C614" s="142"/>
      <c r="D614" s="142"/>
      <c r="E614" s="308"/>
      <c r="F614" s="131"/>
      <c r="G614" s="131"/>
      <c r="H614" s="131"/>
      <c r="I614" s="219"/>
      <c r="J614" s="198"/>
      <c r="K614" s="131"/>
      <c r="L614" s="131"/>
      <c r="M614" s="131"/>
      <c r="N614" s="131"/>
      <c r="O614" s="131"/>
      <c r="P614" s="131"/>
      <c r="Q614" s="131"/>
      <c r="R614" s="131"/>
      <c r="S614" s="131"/>
      <c r="T614" s="131"/>
      <c r="U614" s="131"/>
      <c r="V614" s="131"/>
      <c r="W614" s="131"/>
      <c r="X614" s="131"/>
      <c r="Y614" s="131"/>
      <c r="Z614" s="142"/>
      <c r="AA614" s="142"/>
      <c r="AB614" s="142"/>
      <c r="AC614" s="142"/>
      <c r="AD614" s="142"/>
      <c r="AE614" s="142"/>
      <c r="AF614" s="142"/>
      <c r="AG614" s="142"/>
      <c r="AH614" s="142"/>
      <c r="AI614" s="142"/>
      <c r="AJ614" s="142"/>
      <c r="AK614" s="142"/>
      <c r="AL614" s="142"/>
      <c r="AM614" s="142"/>
      <c r="AN614" s="142"/>
      <c r="AO614" s="131"/>
    </row>
    <row r="615" ht="13.5" customHeight="1">
      <c r="A615" s="142"/>
      <c r="B615" s="142"/>
      <c r="C615" s="142"/>
      <c r="D615" s="142"/>
      <c r="E615" s="308"/>
      <c r="F615" s="131"/>
      <c r="G615" s="131"/>
      <c r="H615" s="131"/>
      <c r="I615" s="219"/>
      <c r="J615" s="198"/>
      <c r="K615" s="131"/>
      <c r="L615" s="131"/>
      <c r="M615" s="131"/>
      <c r="N615" s="131"/>
      <c r="O615" s="131"/>
      <c r="P615" s="131"/>
      <c r="Q615" s="131"/>
      <c r="R615" s="131"/>
      <c r="S615" s="131"/>
      <c r="T615" s="131"/>
      <c r="U615" s="131"/>
      <c r="V615" s="131"/>
      <c r="W615" s="131"/>
      <c r="X615" s="131"/>
      <c r="Y615" s="131"/>
      <c r="Z615" s="142"/>
      <c r="AA615" s="142"/>
      <c r="AB615" s="142"/>
      <c r="AC615" s="142"/>
      <c r="AD615" s="142"/>
      <c r="AE615" s="142"/>
      <c r="AF615" s="142"/>
      <c r="AG615" s="142"/>
      <c r="AH615" s="142"/>
      <c r="AI615" s="142"/>
      <c r="AJ615" s="142"/>
      <c r="AK615" s="142"/>
      <c r="AL615" s="142"/>
      <c r="AM615" s="142"/>
      <c r="AN615" s="142"/>
      <c r="AO615" s="131"/>
    </row>
    <row r="616" ht="13.5" customHeight="1">
      <c r="A616" s="142"/>
      <c r="B616" s="142"/>
      <c r="C616" s="142"/>
      <c r="D616" s="142"/>
      <c r="E616" s="308"/>
      <c r="F616" s="131"/>
      <c r="G616" s="131"/>
      <c r="H616" s="131"/>
      <c r="I616" s="219"/>
      <c r="J616" s="198"/>
      <c r="K616" s="131"/>
      <c r="L616" s="131"/>
      <c r="M616" s="131"/>
      <c r="N616" s="131"/>
      <c r="O616" s="131"/>
      <c r="P616" s="131"/>
      <c r="Q616" s="131"/>
      <c r="R616" s="131"/>
      <c r="S616" s="131"/>
      <c r="T616" s="131"/>
      <c r="U616" s="131"/>
      <c r="V616" s="131"/>
      <c r="W616" s="131"/>
      <c r="X616" s="131"/>
      <c r="Y616" s="131"/>
      <c r="Z616" s="142"/>
      <c r="AA616" s="142"/>
      <c r="AB616" s="142"/>
      <c r="AC616" s="142"/>
      <c r="AD616" s="142"/>
      <c r="AE616" s="142"/>
      <c r="AF616" s="142"/>
      <c r="AG616" s="142"/>
      <c r="AH616" s="142"/>
      <c r="AI616" s="142"/>
      <c r="AJ616" s="142"/>
      <c r="AK616" s="142"/>
      <c r="AL616" s="142"/>
      <c r="AM616" s="142"/>
      <c r="AN616" s="142"/>
      <c r="AO616" s="131"/>
    </row>
    <row r="617" ht="13.5" customHeight="1">
      <c r="A617" s="142"/>
      <c r="B617" s="142"/>
      <c r="C617" s="142"/>
      <c r="D617" s="142"/>
      <c r="E617" s="308"/>
      <c r="F617" s="131"/>
      <c r="G617" s="131"/>
      <c r="H617" s="131"/>
      <c r="I617" s="219"/>
      <c r="J617" s="198"/>
      <c r="K617" s="131"/>
      <c r="L617" s="131"/>
      <c r="M617" s="131"/>
      <c r="N617" s="131"/>
      <c r="O617" s="131"/>
      <c r="P617" s="131"/>
      <c r="Q617" s="131"/>
      <c r="R617" s="131"/>
      <c r="S617" s="131"/>
      <c r="T617" s="131"/>
      <c r="U617" s="131"/>
      <c r="V617" s="131"/>
      <c r="W617" s="131"/>
      <c r="X617" s="131"/>
      <c r="Y617" s="131"/>
      <c r="Z617" s="142"/>
      <c r="AA617" s="142"/>
      <c r="AB617" s="142"/>
      <c r="AC617" s="142"/>
      <c r="AD617" s="142"/>
      <c r="AE617" s="142"/>
      <c r="AF617" s="142"/>
      <c r="AG617" s="142"/>
      <c r="AH617" s="142"/>
      <c r="AI617" s="142"/>
      <c r="AJ617" s="142"/>
      <c r="AK617" s="142"/>
      <c r="AL617" s="142"/>
      <c r="AM617" s="142"/>
      <c r="AN617" s="142"/>
      <c r="AO617" s="131"/>
    </row>
    <row r="618" ht="13.5" customHeight="1">
      <c r="A618" s="142"/>
      <c r="B618" s="142"/>
      <c r="C618" s="142"/>
      <c r="D618" s="142"/>
      <c r="E618" s="308"/>
      <c r="F618" s="131"/>
      <c r="G618" s="131"/>
      <c r="H618" s="131"/>
      <c r="I618" s="219"/>
      <c r="J618" s="198"/>
      <c r="K618" s="131"/>
      <c r="L618" s="131"/>
      <c r="M618" s="131"/>
      <c r="N618" s="131"/>
      <c r="O618" s="131"/>
      <c r="P618" s="131"/>
      <c r="Q618" s="131"/>
      <c r="R618" s="131"/>
      <c r="S618" s="131"/>
      <c r="T618" s="131"/>
      <c r="U618" s="131"/>
      <c r="V618" s="131"/>
      <c r="W618" s="131"/>
      <c r="X618" s="131"/>
      <c r="Y618" s="131"/>
      <c r="Z618" s="142"/>
      <c r="AA618" s="142"/>
      <c r="AB618" s="142"/>
      <c r="AC618" s="142"/>
      <c r="AD618" s="142"/>
      <c r="AE618" s="142"/>
      <c r="AF618" s="142"/>
      <c r="AG618" s="142"/>
      <c r="AH618" s="142"/>
      <c r="AI618" s="142"/>
      <c r="AJ618" s="142"/>
      <c r="AK618" s="142"/>
      <c r="AL618" s="142"/>
      <c r="AM618" s="142"/>
      <c r="AN618" s="142"/>
      <c r="AO618" s="131"/>
    </row>
    <row r="619" ht="13.5" customHeight="1">
      <c r="A619" s="142"/>
      <c r="B619" s="142"/>
      <c r="C619" s="142"/>
      <c r="D619" s="142"/>
      <c r="E619" s="308"/>
      <c r="F619" s="131"/>
      <c r="G619" s="131"/>
      <c r="H619" s="131"/>
      <c r="I619" s="219"/>
      <c r="J619" s="198"/>
      <c r="K619" s="131"/>
      <c r="L619" s="131"/>
      <c r="M619" s="131"/>
      <c r="N619" s="131"/>
      <c r="O619" s="131"/>
      <c r="P619" s="131"/>
      <c r="Q619" s="131"/>
      <c r="R619" s="131"/>
      <c r="S619" s="131"/>
      <c r="T619" s="131"/>
      <c r="U619" s="131"/>
      <c r="V619" s="131"/>
      <c r="W619" s="131"/>
      <c r="X619" s="131"/>
      <c r="Y619" s="131"/>
      <c r="Z619" s="142"/>
      <c r="AA619" s="142"/>
      <c r="AB619" s="142"/>
      <c r="AC619" s="142"/>
      <c r="AD619" s="142"/>
      <c r="AE619" s="142"/>
      <c r="AF619" s="142"/>
      <c r="AG619" s="142"/>
      <c r="AH619" s="142"/>
      <c r="AI619" s="142"/>
      <c r="AJ619" s="142"/>
      <c r="AK619" s="142"/>
      <c r="AL619" s="142"/>
      <c r="AM619" s="142"/>
      <c r="AN619" s="142"/>
      <c r="AO619" s="131"/>
    </row>
    <row r="620" ht="13.5" customHeight="1">
      <c r="A620" s="142"/>
      <c r="B620" s="142"/>
      <c r="C620" s="142"/>
      <c r="D620" s="142"/>
      <c r="E620" s="308"/>
      <c r="F620" s="131"/>
      <c r="G620" s="131"/>
      <c r="H620" s="131"/>
      <c r="I620" s="219"/>
      <c r="J620" s="198"/>
      <c r="K620" s="131"/>
      <c r="L620" s="131"/>
      <c r="M620" s="131"/>
      <c r="N620" s="131"/>
      <c r="O620" s="131"/>
      <c r="P620" s="131"/>
      <c r="Q620" s="131"/>
      <c r="R620" s="131"/>
      <c r="S620" s="131"/>
      <c r="T620" s="131"/>
      <c r="U620" s="131"/>
      <c r="V620" s="131"/>
      <c r="W620" s="131"/>
      <c r="X620" s="131"/>
      <c r="Y620" s="131"/>
      <c r="Z620" s="142"/>
      <c r="AA620" s="142"/>
      <c r="AB620" s="142"/>
      <c r="AC620" s="142"/>
      <c r="AD620" s="142"/>
      <c r="AE620" s="142"/>
      <c r="AF620" s="142"/>
      <c r="AG620" s="142"/>
      <c r="AH620" s="142"/>
      <c r="AI620" s="142"/>
      <c r="AJ620" s="142"/>
      <c r="AK620" s="142"/>
      <c r="AL620" s="142"/>
      <c r="AM620" s="142"/>
      <c r="AN620" s="142"/>
      <c r="AO620" s="131"/>
    </row>
    <row r="621" ht="13.5" customHeight="1">
      <c r="A621" s="142"/>
      <c r="B621" s="142"/>
      <c r="C621" s="142"/>
      <c r="D621" s="142"/>
      <c r="E621" s="308"/>
      <c r="F621" s="131"/>
      <c r="G621" s="131"/>
      <c r="H621" s="131"/>
      <c r="I621" s="219"/>
      <c r="J621" s="198"/>
      <c r="K621" s="131"/>
      <c r="L621" s="131"/>
      <c r="M621" s="131"/>
      <c r="N621" s="131"/>
      <c r="O621" s="131"/>
      <c r="P621" s="131"/>
      <c r="Q621" s="131"/>
      <c r="R621" s="131"/>
      <c r="S621" s="131"/>
      <c r="T621" s="131"/>
      <c r="U621" s="131"/>
      <c r="V621" s="131"/>
      <c r="W621" s="131"/>
      <c r="X621" s="131"/>
      <c r="Y621" s="131"/>
      <c r="Z621" s="142"/>
      <c r="AA621" s="142"/>
      <c r="AB621" s="142"/>
      <c r="AC621" s="142"/>
      <c r="AD621" s="142"/>
      <c r="AE621" s="142"/>
      <c r="AF621" s="142"/>
      <c r="AG621" s="142"/>
      <c r="AH621" s="142"/>
      <c r="AI621" s="142"/>
      <c r="AJ621" s="142"/>
      <c r="AK621" s="142"/>
      <c r="AL621" s="142"/>
      <c r="AM621" s="142"/>
      <c r="AN621" s="142"/>
      <c r="AO621" s="131"/>
    </row>
    <row r="622" ht="13.5" customHeight="1">
      <c r="A622" s="142"/>
      <c r="B622" s="142"/>
      <c r="C622" s="142"/>
      <c r="D622" s="142"/>
      <c r="E622" s="308"/>
      <c r="F622" s="131"/>
      <c r="G622" s="131"/>
      <c r="H622" s="131"/>
      <c r="I622" s="219"/>
      <c r="J622" s="198"/>
      <c r="K622" s="131"/>
      <c r="L622" s="131"/>
      <c r="M622" s="131"/>
      <c r="N622" s="131"/>
      <c r="O622" s="131"/>
      <c r="P622" s="131"/>
      <c r="Q622" s="131"/>
      <c r="R622" s="131"/>
      <c r="S622" s="131"/>
      <c r="T622" s="131"/>
      <c r="U622" s="131"/>
      <c r="V622" s="131"/>
      <c r="W622" s="131"/>
      <c r="X622" s="131"/>
      <c r="Y622" s="131"/>
      <c r="Z622" s="142"/>
      <c r="AA622" s="142"/>
      <c r="AB622" s="142"/>
      <c r="AC622" s="142"/>
      <c r="AD622" s="142"/>
      <c r="AE622" s="142"/>
      <c r="AF622" s="142"/>
      <c r="AG622" s="142"/>
      <c r="AH622" s="142"/>
      <c r="AI622" s="142"/>
      <c r="AJ622" s="142"/>
      <c r="AK622" s="142"/>
      <c r="AL622" s="142"/>
      <c r="AM622" s="142"/>
      <c r="AN622" s="142"/>
      <c r="AO622" s="131"/>
    </row>
    <row r="623" ht="13.5" customHeight="1">
      <c r="A623" s="142"/>
      <c r="B623" s="142"/>
      <c r="C623" s="142"/>
      <c r="D623" s="142"/>
      <c r="E623" s="308"/>
      <c r="F623" s="131"/>
      <c r="G623" s="131"/>
      <c r="H623" s="131"/>
      <c r="I623" s="219"/>
      <c r="J623" s="198"/>
      <c r="K623" s="131"/>
      <c r="L623" s="131"/>
      <c r="M623" s="131"/>
      <c r="N623" s="131"/>
      <c r="O623" s="131"/>
      <c r="P623" s="131"/>
      <c r="Q623" s="131"/>
      <c r="R623" s="131"/>
      <c r="S623" s="131"/>
      <c r="T623" s="131"/>
      <c r="U623" s="131"/>
      <c r="V623" s="131"/>
      <c r="W623" s="131"/>
      <c r="X623" s="131"/>
      <c r="Y623" s="131"/>
      <c r="Z623" s="142"/>
      <c r="AA623" s="142"/>
      <c r="AB623" s="142"/>
      <c r="AC623" s="142"/>
      <c r="AD623" s="142"/>
      <c r="AE623" s="142"/>
      <c r="AF623" s="142"/>
      <c r="AG623" s="142"/>
      <c r="AH623" s="142"/>
      <c r="AI623" s="142"/>
      <c r="AJ623" s="142"/>
      <c r="AK623" s="142"/>
      <c r="AL623" s="142"/>
      <c r="AM623" s="142"/>
      <c r="AN623" s="142"/>
      <c r="AO623" s="131"/>
    </row>
    <row r="624" ht="13.5" customHeight="1">
      <c r="A624" s="142"/>
      <c r="B624" s="142"/>
      <c r="C624" s="142"/>
      <c r="D624" s="142"/>
      <c r="E624" s="308"/>
      <c r="F624" s="131"/>
      <c r="G624" s="131"/>
      <c r="H624" s="131"/>
      <c r="I624" s="219"/>
      <c r="J624" s="198"/>
      <c r="K624" s="131"/>
      <c r="L624" s="131"/>
      <c r="M624" s="131"/>
      <c r="N624" s="131"/>
      <c r="O624" s="131"/>
      <c r="P624" s="131"/>
      <c r="Q624" s="131"/>
      <c r="R624" s="131"/>
      <c r="S624" s="131"/>
      <c r="T624" s="131"/>
      <c r="U624" s="131"/>
      <c r="V624" s="131"/>
      <c r="W624" s="131"/>
      <c r="X624" s="131"/>
      <c r="Y624" s="131"/>
      <c r="Z624" s="142"/>
      <c r="AA624" s="142"/>
      <c r="AB624" s="142"/>
      <c r="AC624" s="142"/>
      <c r="AD624" s="142"/>
      <c r="AE624" s="142"/>
      <c r="AF624" s="142"/>
      <c r="AG624" s="142"/>
      <c r="AH624" s="142"/>
      <c r="AI624" s="142"/>
      <c r="AJ624" s="142"/>
      <c r="AK624" s="142"/>
      <c r="AL624" s="142"/>
      <c r="AM624" s="142"/>
      <c r="AN624" s="142"/>
      <c r="AO624" s="131"/>
    </row>
    <row r="625" ht="13.5" customHeight="1">
      <c r="A625" s="142"/>
      <c r="B625" s="142"/>
      <c r="C625" s="142"/>
      <c r="D625" s="142"/>
      <c r="E625" s="308"/>
      <c r="F625" s="131"/>
      <c r="G625" s="131"/>
      <c r="H625" s="131"/>
      <c r="I625" s="219"/>
      <c r="J625" s="198"/>
      <c r="K625" s="131"/>
      <c r="L625" s="131"/>
      <c r="M625" s="131"/>
      <c r="N625" s="131"/>
      <c r="O625" s="131"/>
      <c r="P625" s="131"/>
      <c r="Q625" s="131"/>
      <c r="R625" s="131"/>
      <c r="S625" s="131"/>
      <c r="T625" s="131"/>
      <c r="U625" s="131"/>
      <c r="V625" s="131"/>
      <c r="W625" s="131"/>
      <c r="X625" s="131"/>
      <c r="Y625" s="131"/>
      <c r="Z625" s="142"/>
      <c r="AA625" s="142"/>
      <c r="AB625" s="142"/>
      <c r="AC625" s="142"/>
      <c r="AD625" s="142"/>
      <c r="AE625" s="142"/>
      <c r="AF625" s="142"/>
      <c r="AG625" s="142"/>
      <c r="AH625" s="142"/>
      <c r="AI625" s="142"/>
      <c r="AJ625" s="142"/>
      <c r="AK625" s="142"/>
      <c r="AL625" s="142"/>
      <c r="AM625" s="142"/>
      <c r="AN625" s="142"/>
      <c r="AO625" s="131"/>
    </row>
    <row r="626" ht="13.5" customHeight="1">
      <c r="A626" s="142"/>
      <c r="B626" s="142"/>
      <c r="C626" s="142"/>
      <c r="D626" s="142"/>
      <c r="E626" s="308"/>
      <c r="F626" s="131"/>
      <c r="G626" s="131"/>
      <c r="H626" s="131"/>
      <c r="I626" s="219"/>
      <c r="J626" s="198"/>
      <c r="K626" s="131"/>
      <c r="L626" s="131"/>
      <c r="M626" s="131"/>
      <c r="N626" s="131"/>
      <c r="O626" s="131"/>
      <c r="P626" s="131"/>
      <c r="Q626" s="131"/>
      <c r="R626" s="131"/>
      <c r="S626" s="131"/>
      <c r="T626" s="131"/>
      <c r="U626" s="131"/>
      <c r="V626" s="131"/>
      <c r="W626" s="131"/>
      <c r="X626" s="131"/>
      <c r="Y626" s="131"/>
      <c r="Z626" s="142"/>
      <c r="AA626" s="142"/>
      <c r="AB626" s="142"/>
      <c r="AC626" s="142"/>
      <c r="AD626" s="142"/>
      <c r="AE626" s="142"/>
      <c r="AF626" s="142"/>
      <c r="AG626" s="142"/>
      <c r="AH626" s="142"/>
      <c r="AI626" s="142"/>
      <c r="AJ626" s="142"/>
      <c r="AK626" s="142"/>
      <c r="AL626" s="142"/>
      <c r="AM626" s="142"/>
      <c r="AN626" s="142"/>
      <c r="AO626" s="131"/>
    </row>
    <row r="627" ht="13.5" customHeight="1">
      <c r="A627" s="142"/>
      <c r="B627" s="142"/>
      <c r="C627" s="142"/>
      <c r="D627" s="142"/>
      <c r="E627" s="308"/>
      <c r="F627" s="131"/>
      <c r="G627" s="131"/>
      <c r="H627" s="131"/>
      <c r="I627" s="219"/>
      <c r="J627" s="198"/>
      <c r="K627" s="131"/>
      <c r="L627" s="131"/>
      <c r="M627" s="131"/>
      <c r="N627" s="131"/>
      <c r="O627" s="131"/>
      <c r="P627" s="131"/>
      <c r="Q627" s="131"/>
      <c r="R627" s="131"/>
      <c r="S627" s="131"/>
      <c r="T627" s="131"/>
      <c r="U627" s="131"/>
      <c r="V627" s="131"/>
      <c r="W627" s="131"/>
      <c r="X627" s="131"/>
      <c r="Y627" s="131"/>
      <c r="Z627" s="142"/>
      <c r="AA627" s="142"/>
      <c r="AB627" s="142"/>
      <c r="AC627" s="142"/>
      <c r="AD627" s="142"/>
      <c r="AE627" s="142"/>
      <c r="AF627" s="142"/>
      <c r="AG627" s="142"/>
      <c r="AH627" s="142"/>
      <c r="AI627" s="142"/>
      <c r="AJ627" s="142"/>
      <c r="AK627" s="142"/>
      <c r="AL627" s="142"/>
      <c r="AM627" s="142"/>
      <c r="AN627" s="142"/>
      <c r="AO627" s="131"/>
    </row>
    <row r="628" ht="13.5" customHeight="1">
      <c r="A628" s="142"/>
      <c r="B628" s="142"/>
      <c r="C628" s="142"/>
      <c r="D628" s="142"/>
      <c r="E628" s="308"/>
      <c r="F628" s="131"/>
      <c r="G628" s="131"/>
      <c r="H628" s="131"/>
      <c r="I628" s="219"/>
      <c r="J628" s="198"/>
      <c r="K628" s="131"/>
      <c r="L628" s="131"/>
      <c r="M628" s="131"/>
      <c r="N628" s="131"/>
      <c r="O628" s="131"/>
      <c r="P628" s="131"/>
      <c r="Q628" s="131"/>
      <c r="R628" s="131"/>
      <c r="S628" s="131"/>
      <c r="T628" s="131"/>
      <c r="U628" s="131"/>
      <c r="V628" s="131"/>
      <c r="W628" s="131"/>
      <c r="X628" s="131"/>
      <c r="Y628" s="131"/>
      <c r="Z628" s="142"/>
      <c r="AA628" s="142"/>
      <c r="AB628" s="142"/>
      <c r="AC628" s="142"/>
      <c r="AD628" s="142"/>
      <c r="AE628" s="142"/>
      <c r="AF628" s="142"/>
      <c r="AG628" s="142"/>
      <c r="AH628" s="142"/>
      <c r="AI628" s="142"/>
      <c r="AJ628" s="142"/>
      <c r="AK628" s="142"/>
      <c r="AL628" s="142"/>
      <c r="AM628" s="142"/>
      <c r="AN628" s="142"/>
      <c r="AO628" s="131"/>
    </row>
    <row r="629" ht="13.5" customHeight="1">
      <c r="A629" s="142"/>
      <c r="B629" s="142"/>
      <c r="C629" s="142"/>
      <c r="D629" s="142"/>
      <c r="E629" s="308"/>
      <c r="F629" s="131"/>
      <c r="G629" s="131"/>
      <c r="H629" s="131"/>
      <c r="I629" s="219"/>
      <c r="J629" s="198"/>
      <c r="K629" s="131"/>
      <c r="L629" s="131"/>
      <c r="M629" s="131"/>
      <c r="N629" s="131"/>
      <c r="O629" s="131"/>
      <c r="P629" s="131"/>
      <c r="Q629" s="131"/>
      <c r="R629" s="131"/>
      <c r="S629" s="131"/>
      <c r="T629" s="131"/>
      <c r="U629" s="131"/>
      <c r="V629" s="131"/>
      <c r="W629" s="131"/>
      <c r="X629" s="131"/>
      <c r="Y629" s="131"/>
      <c r="Z629" s="142"/>
      <c r="AA629" s="142"/>
      <c r="AB629" s="142"/>
      <c r="AC629" s="142"/>
      <c r="AD629" s="142"/>
      <c r="AE629" s="142"/>
      <c r="AF629" s="142"/>
      <c r="AG629" s="142"/>
      <c r="AH629" s="142"/>
      <c r="AI629" s="142"/>
      <c r="AJ629" s="142"/>
      <c r="AK629" s="142"/>
      <c r="AL629" s="142"/>
      <c r="AM629" s="142"/>
      <c r="AN629" s="142"/>
      <c r="AO629" s="131"/>
    </row>
    <row r="630" ht="13.5" customHeight="1">
      <c r="A630" s="142"/>
      <c r="B630" s="142"/>
      <c r="C630" s="142"/>
      <c r="D630" s="142"/>
      <c r="E630" s="308"/>
      <c r="F630" s="131"/>
      <c r="G630" s="131"/>
      <c r="H630" s="131"/>
      <c r="I630" s="219"/>
      <c r="J630" s="198"/>
      <c r="K630" s="131"/>
      <c r="L630" s="131"/>
      <c r="M630" s="131"/>
      <c r="N630" s="131"/>
      <c r="O630" s="131"/>
      <c r="P630" s="131"/>
      <c r="Q630" s="131"/>
      <c r="R630" s="131"/>
      <c r="S630" s="131"/>
      <c r="T630" s="131"/>
      <c r="U630" s="131"/>
      <c r="V630" s="131"/>
      <c r="W630" s="131"/>
      <c r="X630" s="131"/>
      <c r="Y630" s="131"/>
      <c r="Z630" s="142"/>
      <c r="AA630" s="142"/>
      <c r="AB630" s="142"/>
      <c r="AC630" s="142"/>
      <c r="AD630" s="142"/>
      <c r="AE630" s="142"/>
      <c r="AF630" s="142"/>
      <c r="AG630" s="142"/>
      <c r="AH630" s="142"/>
      <c r="AI630" s="142"/>
      <c r="AJ630" s="142"/>
      <c r="AK630" s="142"/>
      <c r="AL630" s="142"/>
      <c r="AM630" s="142"/>
      <c r="AN630" s="142"/>
      <c r="AO630" s="131"/>
    </row>
    <row r="631" ht="13.5" customHeight="1">
      <c r="A631" s="142"/>
      <c r="B631" s="142"/>
      <c r="C631" s="142"/>
      <c r="D631" s="142"/>
      <c r="E631" s="308"/>
      <c r="F631" s="131"/>
      <c r="G631" s="131"/>
      <c r="H631" s="131"/>
      <c r="I631" s="219"/>
      <c r="J631" s="198"/>
      <c r="K631" s="131"/>
      <c r="L631" s="131"/>
      <c r="M631" s="131"/>
      <c r="N631" s="131"/>
      <c r="O631" s="131"/>
      <c r="P631" s="131"/>
      <c r="Q631" s="131"/>
      <c r="R631" s="131"/>
      <c r="S631" s="131"/>
      <c r="T631" s="131"/>
      <c r="U631" s="131"/>
      <c r="V631" s="131"/>
      <c r="W631" s="131"/>
      <c r="X631" s="131"/>
      <c r="Y631" s="131"/>
      <c r="Z631" s="142"/>
      <c r="AA631" s="142"/>
      <c r="AB631" s="142"/>
      <c r="AC631" s="142"/>
      <c r="AD631" s="142"/>
      <c r="AE631" s="142"/>
      <c r="AF631" s="142"/>
      <c r="AG631" s="142"/>
      <c r="AH631" s="142"/>
      <c r="AI631" s="142"/>
      <c r="AJ631" s="142"/>
      <c r="AK631" s="142"/>
      <c r="AL631" s="142"/>
      <c r="AM631" s="142"/>
      <c r="AN631" s="142"/>
      <c r="AO631" s="131"/>
    </row>
    <row r="632" ht="13.5" customHeight="1">
      <c r="A632" s="142"/>
      <c r="B632" s="142"/>
      <c r="C632" s="142"/>
      <c r="D632" s="142"/>
      <c r="E632" s="308"/>
      <c r="F632" s="131"/>
      <c r="G632" s="131"/>
      <c r="H632" s="131"/>
      <c r="I632" s="219"/>
      <c r="J632" s="198"/>
      <c r="K632" s="131"/>
      <c r="L632" s="131"/>
      <c r="M632" s="131"/>
      <c r="N632" s="131"/>
      <c r="O632" s="131"/>
      <c r="P632" s="131"/>
      <c r="Q632" s="131"/>
      <c r="R632" s="131"/>
      <c r="S632" s="131"/>
      <c r="T632" s="131"/>
      <c r="U632" s="131"/>
      <c r="V632" s="131"/>
      <c r="W632" s="131"/>
      <c r="X632" s="131"/>
      <c r="Y632" s="131"/>
      <c r="Z632" s="142"/>
      <c r="AA632" s="142"/>
      <c r="AB632" s="142"/>
      <c r="AC632" s="142"/>
      <c r="AD632" s="142"/>
      <c r="AE632" s="142"/>
      <c r="AF632" s="142"/>
      <c r="AG632" s="142"/>
      <c r="AH632" s="142"/>
      <c r="AI632" s="142"/>
      <c r="AJ632" s="142"/>
      <c r="AK632" s="142"/>
      <c r="AL632" s="142"/>
      <c r="AM632" s="142"/>
      <c r="AN632" s="142"/>
      <c r="AO632" s="131"/>
    </row>
    <row r="633" ht="13.5" customHeight="1">
      <c r="A633" s="142"/>
      <c r="B633" s="142"/>
      <c r="C633" s="142"/>
      <c r="D633" s="142"/>
      <c r="E633" s="308"/>
      <c r="F633" s="131"/>
      <c r="G633" s="131"/>
      <c r="H633" s="131"/>
      <c r="I633" s="219"/>
      <c r="J633" s="198"/>
      <c r="K633" s="131"/>
      <c r="L633" s="131"/>
      <c r="M633" s="131"/>
      <c r="N633" s="131"/>
      <c r="O633" s="131"/>
      <c r="P633" s="131"/>
      <c r="Q633" s="131"/>
      <c r="R633" s="131"/>
      <c r="S633" s="131"/>
      <c r="T633" s="131"/>
      <c r="U633" s="131"/>
      <c r="V633" s="131"/>
      <c r="W633" s="131"/>
      <c r="X633" s="131"/>
      <c r="Y633" s="131"/>
      <c r="Z633" s="142"/>
      <c r="AA633" s="142"/>
      <c r="AB633" s="142"/>
      <c r="AC633" s="142"/>
      <c r="AD633" s="142"/>
      <c r="AE633" s="142"/>
      <c r="AF633" s="142"/>
      <c r="AG633" s="142"/>
      <c r="AH633" s="142"/>
      <c r="AI633" s="142"/>
      <c r="AJ633" s="142"/>
      <c r="AK633" s="142"/>
      <c r="AL633" s="142"/>
      <c r="AM633" s="142"/>
      <c r="AN633" s="142"/>
      <c r="AO633" s="131"/>
    </row>
    <row r="634" ht="13.5" customHeight="1">
      <c r="A634" s="142"/>
      <c r="B634" s="142"/>
      <c r="C634" s="142"/>
      <c r="D634" s="142"/>
      <c r="E634" s="308"/>
      <c r="F634" s="131"/>
      <c r="G634" s="131"/>
      <c r="H634" s="131"/>
      <c r="I634" s="219"/>
      <c r="J634" s="198"/>
      <c r="K634" s="131"/>
      <c r="L634" s="131"/>
      <c r="M634" s="131"/>
      <c r="N634" s="131"/>
      <c r="O634" s="131"/>
      <c r="P634" s="131"/>
      <c r="Q634" s="131"/>
      <c r="R634" s="131"/>
      <c r="S634" s="131"/>
      <c r="T634" s="131"/>
      <c r="U634" s="131"/>
      <c r="V634" s="131"/>
      <c r="W634" s="131"/>
      <c r="X634" s="131"/>
      <c r="Y634" s="131"/>
      <c r="Z634" s="142"/>
      <c r="AA634" s="142"/>
      <c r="AB634" s="142"/>
      <c r="AC634" s="142"/>
      <c r="AD634" s="142"/>
      <c r="AE634" s="142"/>
      <c r="AF634" s="142"/>
      <c r="AG634" s="142"/>
      <c r="AH634" s="142"/>
      <c r="AI634" s="142"/>
      <c r="AJ634" s="142"/>
      <c r="AK634" s="142"/>
      <c r="AL634" s="142"/>
      <c r="AM634" s="142"/>
      <c r="AN634" s="142"/>
      <c r="AO634" s="131"/>
    </row>
    <row r="635" ht="13.5" customHeight="1">
      <c r="A635" s="142"/>
      <c r="B635" s="142"/>
      <c r="C635" s="142"/>
      <c r="D635" s="142"/>
      <c r="E635" s="308"/>
      <c r="F635" s="131"/>
      <c r="G635" s="131"/>
      <c r="H635" s="131"/>
      <c r="I635" s="219"/>
      <c r="J635" s="198"/>
      <c r="K635" s="131"/>
      <c r="L635" s="131"/>
      <c r="M635" s="131"/>
      <c r="N635" s="131"/>
      <c r="O635" s="131"/>
      <c r="P635" s="131"/>
      <c r="Q635" s="131"/>
      <c r="R635" s="131"/>
      <c r="S635" s="131"/>
      <c r="T635" s="131"/>
      <c r="U635" s="131"/>
      <c r="V635" s="131"/>
      <c r="W635" s="131"/>
      <c r="X635" s="131"/>
      <c r="Y635" s="131"/>
      <c r="Z635" s="142"/>
      <c r="AA635" s="142"/>
      <c r="AB635" s="142"/>
      <c r="AC635" s="142"/>
      <c r="AD635" s="142"/>
      <c r="AE635" s="142"/>
      <c r="AF635" s="142"/>
      <c r="AG635" s="142"/>
      <c r="AH635" s="142"/>
      <c r="AI635" s="142"/>
      <c r="AJ635" s="142"/>
      <c r="AK635" s="142"/>
      <c r="AL635" s="142"/>
      <c r="AM635" s="142"/>
      <c r="AN635" s="142"/>
      <c r="AO635" s="131"/>
    </row>
    <row r="636" ht="13.5" customHeight="1">
      <c r="A636" s="142"/>
      <c r="B636" s="142"/>
      <c r="C636" s="142"/>
      <c r="D636" s="142"/>
      <c r="E636" s="308"/>
      <c r="F636" s="131"/>
      <c r="G636" s="131"/>
      <c r="H636" s="131"/>
      <c r="I636" s="219"/>
      <c r="J636" s="198"/>
      <c r="K636" s="131"/>
      <c r="L636" s="131"/>
      <c r="M636" s="131"/>
      <c r="N636" s="131"/>
      <c r="O636" s="131"/>
      <c r="P636" s="131"/>
      <c r="Q636" s="131"/>
      <c r="R636" s="131"/>
      <c r="S636" s="131"/>
      <c r="T636" s="131"/>
      <c r="U636" s="131"/>
      <c r="V636" s="131"/>
      <c r="W636" s="131"/>
      <c r="X636" s="131"/>
      <c r="Y636" s="131"/>
      <c r="Z636" s="142"/>
      <c r="AA636" s="142"/>
      <c r="AB636" s="142"/>
      <c r="AC636" s="142"/>
      <c r="AD636" s="142"/>
      <c r="AE636" s="142"/>
      <c r="AF636" s="142"/>
      <c r="AG636" s="142"/>
      <c r="AH636" s="142"/>
      <c r="AI636" s="142"/>
      <c r="AJ636" s="142"/>
      <c r="AK636" s="142"/>
      <c r="AL636" s="142"/>
      <c r="AM636" s="142"/>
      <c r="AN636" s="142"/>
      <c r="AO636" s="131"/>
    </row>
    <row r="637" ht="13.5" customHeight="1">
      <c r="A637" s="142"/>
      <c r="B637" s="142"/>
      <c r="C637" s="142"/>
      <c r="D637" s="142"/>
      <c r="E637" s="308"/>
      <c r="F637" s="131"/>
      <c r="G637" s="131"/>
      <c r="H637" s="131"/>
      <c r="I637" s="219"/>
      <c r="J637" s="198"/>
      <c r="K637" s="131"/>
      <c r="L637" s="131"/>
      <c r="M637" s="131"/>
      <c r="N637" s="131"/>
      <c r="O637" s="131"/>
      <c r="P637" s="131"/>
      <c r="Q637" s="131"/>
      <c r="R637" s="131"/>
      <c r="S637" s="131"/>
      <c r="T637" s="131"/>
      <c r="U637" s="131"/>
      <c r="V637" s="131"/>
      <c r="W637" s="131"/>
      <c r="X637" s="131"/>
      <c r="Y637" s="131"/>
      <c r="Z637" s="142"/>
      <c r="AA637" s="142"/>
      <c r="AB637" s="142"/>
      <c r="AC637" s="142"/>
      <c r="AD637" s="142"/>
      <c r="AE637" s="142"/>
      <c r="AF637" s="142"/>
      <c r="AG637" s="142"/>
      <c r="AH637" s="142"/>
      <c r="AI637" s="142"/>
      <c r="AJ637" s="142"/>
      <c r="AK637" s="142"/>
      <c r="AL637" s="142"/>
      <c r="AM637" s="142"/>
      <c r="AN637" s="142"/>
      <c r="AO637" s="131"/>
    </row>
    <row r="638" ht="13.5" customHeight="1">
      <c r="A638" s="142"/>
      <c r="B638" s="142"/>
      <c r="C638" s="142"/>
      <c r="D638" s="142"/>
      <c r="E638" s="308"/>
      <c r="F638" s="131"/>
      <c r="G638" s="131"/>
      <c r="H638" s="131"/>
      <c r="I638" s="219"/>
      <c r="J638" s="198"/>
      <c r="K638" s="131"/>
      <c r="L638" s="131"/>
      <c r="M638" s="131"/>
      <c r="N638" s="131"/>
      <c r="O638" s="131"/>
      <c r="P638" s="131"/>
      <c r="Q638" s="131"/>
      <c r="R638" s="131"/>
      <c r="S638" s="131"/>
      <c r="T638" s="131"/>
      <c r="U638" s="131"/>
      <c r="V638" s="131"/>
      <c r="W638" s="131"/>
      <c r="X638" s="131"/>
      <c r="Y638" s="131"/>
      <c r="Z638" s="142"/>
      <c r="AA638" s="142"/>
      <c r="AB638" s="142"/>
      <c r="AC638" s="142"/>
      <c r="AD638" s="142"/>
      <c r="AE638" s="142"/>
      <c r="AF638" s="142"/>
      <c r="AG638" s="142"/>
      <c r="AH638" s="142"/>
      <c r="AI638" s="142"/>
      <c r="AJ638" s="142"/>
      <c r="AK638" s="142"/>
      <c r="AL638" s="142"/>
      <c r="AM638" s="142"/>
      <c r="AN638" s="142"/>
      <c r="AO638" s="131"/>
    </row>
    <row r="639" ht="13.5" customHeight="1">
      <c r="A639" s="142"/>
      <c r="B639" s="142"/>
      <c r="C639" s="142"/>
      <c r="D639" s="142"/>
      <c r="E639" s="308"/>
      <c r="F639" s="131"/>
      <c r="G639" s="131"/>
      <c r="H639" s="131"/>
      <c r="I639" s="219"/>
      <c r="J639" s="198"/>
      <c r="K639" s="131"/>
      <c r="L639" s="131"/>
      <c r="M639" s="131"/>
      <c r="N639" s="131"/>
      <c r="O639" s="131"/>
      <c r="P639" s="131"/>
      <c r="Q639" s="131"/>
      <c r="R639" s="131"/>
      <c r="S639" s="131"/>
      <c r="T639" s="131"/>
      <c r="U639" s="131"/>
      <c r="V639" s="131"/>
      <c r="W639" s="131"/>
      <c r="X639" s="131"/>
      <c r="Y639" s="131"/>
      <c r="Z639" s="142"/>
      <c r="AA639" s="142"/>
      <c r="AB639" s="142"/>
      <c r="AC639" s="142"/>
      <c r="AD639" s="142"/>
      <c r="AE639" s="142"/>
      <c r="AF639" s="142"/>
      <c r="AG639" s="142"/>
      <c r="AH639" s="142"/>
      <c r="AI639" s="142"/>
      <c r="AJ639" s="142"/>
      <c r="AK639" s="142"/>
      <c r="AL639" s="142"/>
      <c r="AM639" s="142"/>
      <c r="AN639" s="142"/>
      <c r="AO639" s="131"/>
    </row>
    <row r="640" ht="13.5" customHeight="1">
      <c r="A640" s="142"/>
      <c r="B640" s="142"/>
      <c r="C640" s="142"/>
      <c r="D640" s="142"/>
      <c r="E640" s="308"/>
      <c r="F640" s="131"/>
      <c r="G640" s="131"/>
      <c r="H640" s="131"/>
      <c r="I640" s="219"/>
      <c r="J640" s="198"/>
      <c r="K640" s="131"/>
      <c r="L640" s="131"/>
      <c r="M640" s="131"/>
      <c r="N640" s="131"/>
      <c r="O640" s="131"/>
      <c r="P640" s="131"/>
      <c r="Q640" s="131"/>
      <c r="R640" s="131"/>
      <c r="S640" s="131"/>
      <c r="T640" s="131"/>
      <c r="U640" s="131"/>
      <c r="V640" s="131"/>
      <c r="W640" s="131"/>
      <c r="X640" s="131"/>
      <c r="Y640" s="131"/>
      <c r="Z640" s="142"/>
      <c r="AA640" s="142"/>
      <c r="AB640" s="142"/>
      <c r="AC640" s="142"/>
      <c r="AD640" s="142"/>
      <c r="AE640" s="142"/>
      <c r="AF640" s="142"/>
      <c r="AG640" s="142"/>
      <c r="AH640" s="142"/>
      <c r="AI640" s="142"/>
      <c r="AJ640" s="142"/>
      <c r="AK640" s="142"/>
      <c r="AL640" s="142"/>
      <c r="AM640" s="142"/>
      <c r="AN640" s="142"/>
      <c r="AO640" s="131"/>
    </row>
    <row r="641" ht="13.5" customHeight="1">
      <c r="A641" s="142"/>
      <c r="B641" s="142"/>
      <c r="C641" s="142"/>
      <c r="D641" s="142"/>
      <c r="E641" s="308"/>
      <c r="F641" s="131"/>
      <c r="G641" s="131"/>
      <c r="H641" s="131"/>
      <c r="I641" s="219"/>
      <c r="J641" s="198"/>
      <c r="K641" s="131"/>
      <c r="L641" s="131"/>
      <c r="M641" s="131"/>
      <c r="N641" s="131"/>
      <c r="O641" s="131"/>
      <c r="P641" s="131"/>
      <c r="Q641" s="131"/>
      <c r="R641" s="131"/>
      <c r="S641" s="131"/>
      <c r="T641" s="131"/>
      <c r="U641" s="131"/>
      <c r="V641" s="131"/>
      <c r="W641" s="131"/>
      <c r="X641" s="131"/>
      <c r="Y641" s="131"/>
      <c r="Z641" s="142"/>
      <c r="AA641" s="142"/>
      <c r="AB641" s="142"/>
      <c r="AC641" s="142"/>
      <c r="AD641" s="142"/>
      <c r="AE641" s="142"/>
      <c r="AF641" s="142"/>
      <c r="AG641" s="142"/>
      <c r="AH641" s="142"/>
      <c r="AI641" s="142"/>
      <c r="AJ641" s="142"/>
      <c r="AK641" s="142"/>
      <c r="AL641" s="142"/>
      <c r="AM641" s="142"/>
      <c r="AN641" s="142"/>
      <c r="AO641" s="131"/>
    </row>
    <row r="642" ht="13.5" customHeight="1">
      <c r="A642" s="142"/>
      <c r="B642" s="142"/>
      <c r="C642" s="142"/>
      <c r="D642" s="142"/>
      <c r="E642" s="308"/>
      <c r="F642" s="131"/>
      <c r="G642" s="131"/>
      <c r="H642" s="131"/>
      <c r="I642" s="219"/>
      <c r="J642" s="198"/>
      <c r="K642" s="131"/>
      <c r="L642" s="131"/>
      <c r="M642" s="131"/>
      <c r="N642" s="131"/>
      <c r="O642" s="131"/>
      <c r="P642" s="131"/>
      <c r="Q642" s="131"/>
      <c r="R642" s="131"/>
      <c r="S642" s="131"/>
      <c r="T642" s="131"/>
      <c r="U642" s="131"/>
      <c r="V642" s="131"/>
      <c r="W642" s="131"/>
      <c r="X642" s="131"/>
      <c r="Y642" s="131"/>
      <c r="Z642" s="142"/>
      <c r="AA642" s="142"/>
      <c r="AB642" s="142"/>
      <c r="AC642" s="142"/>
      <c r="AD642" s="142"/>
      <c r="AE642" s="142"/>
      <c r="AF642" s="142"/>
      <c r="AG642" s="142"/>
      <c r="AH642" s="142"/>
      <c r="AI642" s="142"/>
      <c r="AJ642" s="142"/>
      <c r="AK642" s="142"/>
      <c r="AL642" s="142"/>
      <c r="AM642" s="142"/>
      <c r="AN642" s="142"/>
      <c r="AO642" s="131"/>
    </row>
    <row r="643" ht="13.5" customHeight="1">
      <c r="A643" s="142"/>
      <c r="B643" s="142"/>
      <c r="C643" s="142"/>
      <c r="D643" s="142"/>
      <c r="E643" s="308"/>
      <c r="F643" s="131"/>
      <c r="G643" s="131"/>
      <c r="H643" s="131"/>
      <c r="I643" s="219"/>
      <c r="J643" s="198"/>
      <c r="K643" s="131"/>
      <c r="L643" s="131"/>
      <c r="M643" s="131"/>
      <c r="N643" s="131"/>
      <c r="O643" s="131"/>
      <c r="P643" s="131"/>
      <c r="Q643" s="131"/>
      <c r="R643" s="131"/>
      <c r="S643" s="131"/>
      <c r="T643" s="131"/>
      <c r="U643" s="131"/>
      <c r="V643" s="131"/>
      <c r="W643" s="131"/>
      <c r="X643" s="131"/>
      <c r="Y643" s="131"/>
      <c r="Z643" s="142"/>
      <c r="AA643" s="142"/>
      <c r="AB643" s="142"/>
      <c r="AC643" s="142"/>
      <c r="AD643" s="142"/>
      <c r="AE643" s="142"/>
      <c r="AF643" s="142"/>
      <c r="AG643" s="142"/>
      <c r="AH643" s="142"/>
      <c r="AI643" s="142"/>
      <c r="AJ643" s="142"/>
      <c r="AK643" s="142"/>
      <c r="AL643" s="142"/>
      <c r="AM643" s="142"/>
      <c r="AN643" s="142"/>
      <c r="AO643" s="131"/>
    </row>
    <row r="644" ht="13.5" customHeight="1">
      <c r="A644" s="142"/>
      <c r="B644" s="142"/>
      <c r="C644" s="142"/>
      <c r="D644" s="142"/>
      <c r="E644" s="308"/>
      <c r="F644" s="131"/>
      <c r="G644" s="131"/>
      <c r="H644" s="131"/>
      <c r="I644" s="219"/>
      <c r="J644" s="198"/>
      <c r="K644" s="131"/>
      <c r="L644" s="131"/>
      <c r="M644" s="131"/>
      <c r="N644" s="131"/>
      <c r="O644" s="131"/>
      <c r="P644" s="131"/>
      <c r="Q644" s="131"/>
      <c r="R644" s="131"/>
      <c r="S644" s="131"/>
      <c r="T644" s="131"/>
      <c r="U644" s="131"/>
      <c r="V644" s="131"/>
      <c r="W644" s="131"/>
      <c r="X644" s="131"/>
      <c r="Y644" s="131"/>
      <c r="Z644" s="142"/>
      <c r="AA644" s="142"/>
      <c r="AB644" s="142"/>
      <c r="AC644" s="142"/>
      <c r="AD644" s="142"/>
      <c r="AE644" s="142"/>
      <c r="AF644" s="142"/>
      <c r="AG644" s="142"/>
      <c r="AH644" s="142"/>
      <c r="AI644" s="142"/>
      <c r="AJ644" s="142"/>
      <c r="AK644" s="142"/>
      <c r="AL644" s="142"/>
      <c r="AM644" s="142"/>
      <c r="AN644" s="142"/>
      <c r="AO644" s="131"/>
    </row>
    <row r="645" ht="13.5" customHeight="1">
      <c r="A645" s="142"/>
      <c r="B645" s="142"/>
      <c r="C645" s="142"/>
      <c r="D645" s="142"/>
      <c r="E645" s="308"/>
      <c r="F645" s="131"/>
      <c r="G645" s="131"/>
      <c r="H645" s="131"/>
      <c r="I645" s="219"/>
      <c r="J645" s="198"/>
      <c r="K645" s="131"/>
      <c r="L645" s="131"/>
      <c r="M645" s="131"/>
      <c r="N645" s="131"/>
      <c r="O645" s="131"/>
      <c r="P645" s="131"/>
      <c r="Q645" s="131"/>
      <c r="R645" s="131"/>
      <c r="S645" s="131"/>
      <c r="T645" s="131"/>
      <c r="U645" s="131"/>
      <c r="V645" s="131"/>
      <c r="W645" s="131"/>
      <c r="X645" s="131"/>
      <c r="Y645" s="131"/>
      <c r="Z645" s="142"/>
      <c r="AA645" s="142"/>
      <c r="AB645" s="142"/>
      <c r="AC645" s="142"/>
      <c r="AD645" s="142"/>
      <c r="AE645" s="142"/>
      <c r="AF645" s="142"/>
      <c r="AG645" s="142"/>
      <c r="AH645" s="142"/>
      <c r="AI645" s="142"/>
      <c r="AJ645" s="142"/>
      <c r="AK645" s="142"/>
      <c r="AL645" s="142"/>
      <c r="AM645" s="142"/>
      <c r="AN645" s="142"/>
      <c r="AO645" s="131"/>
    </row>
    <row r="646" ht="13.5" customHeight="1">
      <c r="A646" s="142"/>
      <c r="B646" s="142"/>
      <c r="C646" s="142"/>
      <c r="D646" s="142"/>
      <c r="E646" s="308"/>
      <c r="F646" s="131"/>
      <c r="G646" s="131"/>
      <c r="H646" s="131"/>
      <c r="I646" s="219"/>
      <c r="J646" s="198"/>
      <c r="K646" s="131"/>
      <c r="L646" s="131"/>
      <c r="M646" s="131"/>
      <c r="N646" s="131"/>
      <c r="O646" s="131"/>
      <c r="P646" s="131"/>
      <c r="Q646" s="131"/>
      <c r="R646" s="131"/>
      <c r="S646" s="131"/>
      <c r="T646" s="131"/>
      <c r="U646" s="131"/>
      <c r="V646" s="131"/>
      <c r="W646" s="131"/>
      <c r="X646" s="131"/>
      <c r="Y646" s="131"/>
      <c r="Z646" s="142"/>
      <c r="AA646" s="142"/>
      <c r="AB646" s="142"/>
      <c r="AC646" s="142"/>
      <c r="AD646" s="142"/>
      <c r="AE646" s="142"/>
      <c r="AF646" s="142"/>
      <c r="AG646" s="142"/>
      <c r="AH646" s="142"/>
      <c r="AI646" s="142"/>
      <c r="AJ646" s="142"/>
      <c r="AK646" s="142"/>
      <c r="AL646" s="142"/>
      <c r="AM646" s="142"/>
      <c r="AN646" s="142"/>
      <c r="AO646" s="131"/>
    </row>
    <row r="647" ht="13.5" customHeight="1">
      <c r="A647" s="142"/>
      <c r="B647" s="142"/>
      <c r="C647" s="142"/>
      <c r="D647" s="142"/>
      <c r="E647" s="308"/>
      <c r="F647" s="131"/>
      <c r="G647" s="131"/>
      <c r="H647" s="131"/>
      <c r="I647" s="219"/>
      <c r="J647" s="198"/>
      <c r="K647" s="131"/>
      <c r="L647" s="131"/>
      <c r="M647" s="131"/>
      <c r="N647" s="131"/>
      <c r="O647" s="131"/>
      <c r="P647" s="131"/>
      <c r="Q647" s="131"/>
      <c r="R647" s="131"/>
      <c r="S647" s="131"/>
      <c r="T647" s="131"/>
      <c r="U647" s="131"/>
      <c r="V647" s="131"/>
      <c r="W647" s="131"/>
      <c r="X647" s="131"/>
      <c r="Y647" s="131"/>
      <c r="Z647" s="142"/>
      <c r="AA647" s="142"/>
      <c r="AB647" s="142"/>
      <c r="AC647" s="142"/>
      <c r="AD647" s="142"/>
      <c r="AE647" s="142"/>
      <c r="AF647" s="142"/>
      <c r="AG647" s="142"/>
      <c r="AH647" s="142"/>
      <c r="AI647" s="142"/>
      <c r="AJ647" s="142"/>
      <c r="AK647" s="142"/>
      <c r="AL647" s="142"/>
      <c r="AM647" s="142"/>
      <c r="AN647" s="142"/>
      <c r="AO647" s="131"/>
    </row>
    <row r="648" ht="13.5" customHeight="1">
      <c r="A648" s="142"/>
      <c r="B648" s="142"/>
      <c r="C648" s="142"/>
      <c r="D648" s="142"/>
      <c r="E648" s="308"/>
      <c r="F648" s="131"/>
      <c r="G648" s="131"/>
      <c r="H648" s="131"/>
      <c r="I648" s="219"/>
      <c r="J648" s="198"/>
      <c r="K648" s="131"/>
      <c r="L648" s="131"/>
      <c r="M648" s="131"/>
      <c r="N648" s="131"/>
      <c r="O648" s="131"/>
      <c r="P648" s="131"/>
      <c r="Q648" s="131"/>
      <c r="R648" s="131"/>
      <c r="S648" s="131"/>
      <c r="T648" s="131"/>
      <c r="U648" s="131"/>
      <c r="V648" s="131"/>
      <c r="W648" s="131"/>
      <c r="X648" s="131"/>
      <c r="Y648" s="131"/>
      <c r="Z648" s="142"/>
      <c r="AA648" s="142"/>
      <c r="AB648" s="142"/>
      <c r="AC648" s="142"/>
      <c r="AD648" s="142"/>
      <c r="AE648" s="142"/>
      <c r="AF648" s="142"/>
      <c r="AG648" s="142"/>
      <c r="AH648" s="142"/>
      <c r="AI648" s="142"/>
      <c r="AJ648" s="142"/>
      <c r="AK648" s="142"/>
      <c r="AL648" s="142"/>
      <c r="AM648" s="142"/>
      <c r="AN648" s="142"/>
      <c r="AO648" s="131"/>
    </row>
    <row r="649" ht="13.5" customHeight="1">
      <c r="A649" s="142"/>
      <c r="B649" s="142"/>
      <c r="C649" s="142"/>
      <c r="D649" s="142"/>
      <c r="E649" s="308"/>
      <c r="F649" s="131"/>
      <c r="G649" s="131"/>
      <c r="H649" s="131"/>
      <c r="I649" s="219"/>
      <c r="J649" s="198"/>
      <c r="K649" s="131"/>
      <c r="L649" s="131"/>
      <c r="M649" s="131"/>
      <c r="N649" s="131"/>
      <c r="O649" s="131"/>
      <c r="P649" s="131"/>
      <c r="Q649" s="131"/>
      <c r="R649" s="131"/>
      <c r="S649" s="131"/>
      <c r="T649" s="131"/>
      <c r="U649" s="131"/>
      <c r="V649" s="131"/>
      <c r="W649" s="131"/>
      <c r="X649" s="131"/>
      <c r="Y649" s="131"/>
      <c r="Z649" s="142"/>
      <c r="AA649" s="142"/>
      <c r="AB649" s="142"/>
      <c r="AC649" s="142"/>
      <c r="AD649" s="142"/>
      <c r="AE649" s="142"/>
      <c r="AF649" s="142"/>
      <c r="AG649" s="142"/>
      <c r="AH649" s="142"/>
      <c r="AI649" s="142"/>
      <c r="AJ649" s="142"/>
      <c r="AK649" s="142"/>
      <c r="AL649" s="142"/>
      <c r="AM649" s="142"/>
      <c r="AN649" s="142"/>
      <c r="AO649" s="131"/>
    </row>
    <row r="650" ht="13.5" customHeight="1">
      <c r="A650" s="142"/>
      <c r="B650" s="142"/>
      <c r="C650" s="142"/>
      <c r="D650" s="142"/>
      <c r="E650" s="308"/>
      <c r="F650" s="131"/>
      <c r="G650" s="131"/>
      <c r="H650" s="131"/>
      <c r="I650" s="219"/>
      <c r="J650" s="198"/>
      <c r="K650" s="131"/>
      <c r="L650" s="131"/>
      <c r="M650" s="131"/>
      <c r="N650" s="131"/>
      <c r="O650" s="131"/>
      <c r="P650" s="131"/>
      <c r="Q650" s="131"/>
      <c r="R650" s="131"/>
      <c r="S650" s="131"/>
      <c r="T650" s="131"/>
      <c r="U650" s="131"/>
      <c r="V650" s="131"/>
      <c r="W650" s="131"/>
      <c r="X650" s="131"/>
      <c r="Y650" s="131"/>
      <c r="Z650" s="142"/>
      <c r="AA650" s="142"/>
      <c r="AB650" s="142"/>
      <c r="AC650" s="142"/>
      <c r="AD650" s="142"/>
      <c r="AE650" s="142"/>
      <c r="AF650" s="142"/>
      <c r="AG650" s="142"/>
      <c r="AH650" s="142"/>
      <c r="AI650" s="142"/>
      <c r="AJ650" s="142"/>
      <c r="AK650" s="142"/>
      <c r="AL650" s="142"/>
      <c r="AM650" s="142"/>
      <c r="AN650" s="142"/>
      <c r="AO650" s="131"/>
    </row>
    <row r="651" ht="13.5" customHeight="1">
      <c r="A651" s="142"/>
      <c r="B651" s="142"/>
      <c r="C651" s="142"/>
      <c r="D651" s="142"/>
      <c r="E651" s="308"/>
      <c r="F651" s="131"/>
      <c r="G651" s="131"/>
      <c r="H651" s="131"/>
      <c r="I651" s="219"/>
      <c r="J651" s="198"/>
      <c r="K651" s="131"/>
      <c r="L651" s="131"/>
      <c r="M651" s="131"/>
      <c r="N651" s="131"/>
      <c r="O651" s="131"/>
      <c r="P651" s="131"/>
      <c r="Q651" s="131"/>
      <c r="R651" s="131"/>
      <c r="S651" s="131"/>
      <c r="T651" s="131"/>
      <c r="U651" s="131"/>
      <c r="V651" s="131"/>
      <c r="W651" s="131"/>
      <c r="X651" s="131"/>
      <c r="Y651" s="131"/>
      <c r="Z651" s="142"/>
      <c r="AA651" s="142"/>
      <c r="AB651" s="142"/>
      <c r="AC651" s="142"/>
      <c r="AD651" s="142"/>
      <c r="AE651" s="142"/>
      <c r="AF651" s="142"/>
      <c r="AG651" s="142"/>
      <c r="AH651" s="142"/>
      <c r="AI651" s="142"/>
      <c r="AJ651" s="142"/>
      <c r="AK651" s="142"/>
      <c r="AL651" s="142"/>
      <c r="AM651" s="142"/>
      <c r="AN651" s="142"/>
      <c r="AO651" s="131"/>
    </row>
    <row r="652" ht="13.5" customHeight="1">
      <c r="A652" s="142"/>
      <c r="B652" s="142"/>
      <c r="C652" s="142"/>
      <c r="D652" s="142"/>
      <c r="E652" s="308"/>
      <c r="F652" s="131"/>
      <c r="G652" s="131"/>
      <c r="H652" s="131"/>
      <c r="I652" s="219"/>
      <c r="J652" s="198"/>
      <c r="K652" s="131"/>
      <c r="L652" s="131"/>
      <c r="M652" s="131"/>
      <c r="N652" s="131"/>
      <c r="O652" s="131"/>
      <c r="P652" s="131"/>
      <c r="Q652" s="131"/>
      <c r="R652" s="131"/>
      <c r="S652" s="131"/>
      <c r="T652" s="131"/>
      <c r="U652" s="131"/>
      <c r="V652" s="131"/>
      <c r="W652" s="131"/>
      <c r="X652" s="131"/>
      <c r="Y652" s="131"/>
      <c r="Z652" s="142"/>
      <c r="AA652" s="142"/>
      <c r="AB652" s="142"/>
      <c r="AC652" s="142"/>
      <c r="AD652" s="142"/>
      <c r="AE652" s="142"/>
      <c r="AF652" s="142"/>
      <c r="AG652" s="142"/>
      <c r="AH652" s="142"/>
      <c r="AI652" s="142"/>
      <c r="AJ652" s="142"/>
      <c r="AK652" s="142"/>
      <c r="AL652" s="142"/>
      <c r="AM652" s="142"/>
      <c r="AN652" s="142"/>
      <c r="AO652" s="131"/>
    </row>
    <row r="653" ht="13.5" customHeight="1">
      <c r="A653" s="142"/>
      <c r="B653" s="142"/>
      <c r="C653" s="142"/>
      <c r="D653" s="142"/>
      <c r="E653" s="308"/>
      <c r="F653" s="131"/>
      <c r="G653" s="131"/>
      <c r="H653" s="131"/>
      <c r="I653" s="219"/>
      <c r="J653" s="198"/>
      <c r="K653" s="131"/>
      <c r="L653" s="131"/>
      <c r="M653" s="131"/>
      <c r="N653" s="131"/>
      <c r="O653" s="131"/>
      <c r="P653" s="131"/>
      <c r="Q653" s="131"/>
      <c r="R653" s="131"/>
      <c r="S653" s="131"/>
      <c r="T653" s="131"/>
      <c r="U653" s="131"/>
      <c r="V653" s="131"/>
      <c r="W653" s="131"/>
      <c r="X653" s="131"/>
      <c r="Y653" s="131"/>
      <c r="Z653" s="142"/>
      <c r="AA653" s="142"/>
      <c r="AB653" s="142"/>
      <c r="AC653" s="142"/>
      <c r="AD653" s="142"/>
      <c r="AE653" s="142"/>
      <c r="AF653" s="142"/>
      <c r="AG653" s="142"/>
      <c r="AH653" s="142"/>
      <c r="AI653" s="142"/>
      <c r="AJ653" s="142"/>
      <c r="AK653" s="142"/>
      <c r="AL653" s="142"/>
      <c r="AM653" s="142"/>
      <c r="AN653" s="142"/>
      <c r="AO653" s="131"/>
    </row>
    <row r="654" ht="13.5" customHeight="1">
      <c r="A654" s="142"/>
      <c r="B654" s="142"/>
      <c r="C654" s="142"/>
      <c r="D654" s="142"/>
      <c r="E654" s="308"/>
      <c r="F654" s="131"/>
      <c r="G654" s="131"/>
      <c r="H654" s="131"/>
      <c r="I654" s="219"/>
      <c r="J654" s="198"/>
      <c r="K654" s="131"/>
      <c r="L654" s="131"/>
      <c r="M654" s="131"/>
      <c r="N654" s="131"/>
      <c r="O654" s="131"/>
      <c r="P654" s="131"/>
      <c r="Q654" s="131"/>
      <c r="R654" s="131"/>
      <c r="S654" s="131"/>
      <c r="T654" s="131"/>
      <c r="U654" s="131"/>
      <c r="V654" s="131"/>
      <c r="W654" s="131"/>
      <c r="X654" s="131"/>
      <c r="Y654" s="131"/>
      <c r="Z654" s="142"/>
      <c r="AA654" s="142"/>
      <c r="AB654" s="142"/>
      <c r="AC654" s="142"/>
      <c r="AD654" s="142"/>
      <c r="AE654" s="142"/>
      <c r="AF654" s="142"/>
      <c r="AG654" s="142"/>
      <c r="AH654" s="142"/>
      <c r="AI654" s="142"/>
      <c r="AJ654" s="142"/>
      <c r="AK654" s="142"/>
      <c r="AL654" s="142"/>
      <c r="AM654" s="142"/>
      <c r="AN654" s="142"/>
      <c r="AO654" s="131"/>
    </row>
    <row r="655" ht="13.5" customHeight="1">
      <c r="A655" s="142"/>
      <c r="B655" s="142"/>
      <c r="C655" s="142"/>
      <c r="D655" s="142"/>
      <c r="E655" s="308"/>
      <c r="F655" s="131"/>
      <c r="G655" s="131"/>
      <c r="H655" s="131"/>
      <c r="I655" s="219"/>
      <c r="J655" s="198"/>
      <c r="K655" s="131"/>
      <c r="L655" s="131"/>
      <c r="M655" s="131"/>
      <c r="N655" s="131"/>
      <c r="O655" s="131"/>
      <c r="P655" s="131"/>
      <c r="Q655" s="131"/>
      <c r="R655" s="131"/>
      <c r="S655" s="131"/>
      <c r="T655" s="131"/>
      <c r="U655" s="131"/>
      <c r="V655" s="131"/>
      <c r="W655" s="131"/>
      <c r="X655" s="131"/>
      <c r="Y655" s="131"/>
      <c r="Z655" s="142"/>
      <c r="AA655" s="142"/>
      <c r="AB655" s="142"/>
      <c r="AC655" s="142"/>
      <c r="AD655" s="142"/>
      <c r="AE655" s="142"/>
      <c r="AF655" s="142"/>
      <c r="AG655" s="142"/>
      <c r="AH655" s="142"/>
      <c r="AI655" s="142"/>
      <c r="AJ655" s="142"/>
      <c r="AK655" s="142"/>
      <c r="AL655" s="142"/>
      <c r="AM655" s="142"/>
      <c r="AN655" s="142"/>
      <c r="AO655" s="131"/>
    </row>
    <row r="656" ht="13.5" customHeight="1">
      <c r="A656" s="142"/>
      <c r="B656" s="142"/>
      <c r="C656" s="142"/>
      <c r="D656" s="142"/>
      <c r="E656" s="308"/>
      <c r="F656" s="131"/>
      <c r="G656" s="131"/>
      <c r="H656" s="131"/>
      <c r="I656" s="219"/>
      <c r="J656" s="198"/>
      <c r="K656" s="131"/>
      <c r="L656" s="131"/>
      <c r="M656" s="131"/>
      <c r="N656" s="131"/>
      <c r="O656" s="131"/>
      <c r="P656" s="131"/>
      <c r="Q656" s="131"/>
      <c r="R656" s="131"/>
      <c r="S656" s="131"/>
      <c r="T656" s="131"/>
      <c r="U656" s="131"/>
      <c r="V656" s="131"/>
      <c r="W656" s="131"/>
      <c r="X656" s="131"/>
      <c r="Y656" s="131"/>
      <c r="Z656" s="142"/>
      <c r="AA656" s="142"/>
      <c r="AB656" s="142"/>
      <c r="AC656" s="142"/>
      <c r="AD656" s="142"/>
      <c r="AE656" s="142"/>
      <c r="AF656" s="142"/>
      <c r="AG656" s="142"/>
      <c r="AH656" s="142"/>
      <c r="AI656" s="142"/>
      <c r="AJ656" s="142"/>
      <c r="AK656" s="142"/>
      <c r="AL656" s="142"/>
      <c r="AM656" s="142"/>
      <c r="AN656" s="142"/>
      <c r="AO656" s="131"/>
    </row>
    <row r="657" ht="13.5" customHeight="1">
      <c r="A657" s="142"/>
      <c r="B657" s="142"/>
      <c r="C657" s="142"/>
      <c r="D657" s="142"/>
      <c r="E657" s="308"/>
      <c r="F657" s="131"/>
      <c r="G657" s="131"/>
      <c r="H657" s="131"/>
      <c r="I657" s="219"/>
      <c r="J657" s="198"/>
      <c r="K657" s="131"/>
      <c r="L657" s="131"/>
      <c r="M657" s="131"/>
      <c r="N657" s="131"/>
      <c r="O657" s="131"/>
      <c r="P657" s="131"/>
      <c r="Q657" s="131"/>
      <c r="R657" s="131"/>
      <c r="S657" s="131"/>
      <c r="T657" s="131"/>
      <c r="U657" s="131"/>
      <c r="V657" s="131"/>
      <c r="W657" s="131"/>
      <c r="X657" s="131"/>
      <c r="Y657" s="131"/>
      <c r="Z657" s="142"/>
      <c r="AA657" s="142"/>
      <c r="AB657" s="142"/>
      <c r="AC657" s="142"/>
      <c r="AD657" s="142"/>
      <c r="AE657" s="142"/>
      <c r="AF657" s="142"/>
      <c r="AG657" s="142"/>
      <c r="AH657" s="142"/>
      <c r="AI657" s="142"/>
      <c r="AJ657" s="142"/>
      <c r="AK657" s="142"/>
      <c r="AL657" s="142"/>
      <c r="AM657" s="142"/>
      <c r="AN657" s="142"/>
      <c r="AO657" s="131"/>
    </row>
    <row r="658" ht="13.5" customHeight="1">
      <c r="A658" s="142"/>
      <c r="B658" s="142"/>
      <c r="C658" s="142"/>
      <c r="D658" s="142"/>
      <c r="E658" s="308"/>
      <c r="F658" s="131"/>
      <c r="G658" s="131"/>
      <c r="H658" s="131"/>
      <c r="I658" s="219"/>
      <c r="J658" s="198"/>
      <c r="K658" s="131"/>
      <c r="L658" s="131"/>
      <c r="M658" s="131"/>
      <c r="N658" s="131"/>
      <c r="O658" s="131"/>
      <c r="P658" s="131"/>
      <c r="Q658" s="131"/>
      <c r="R658" s="131"/>
      <c r="S658" s="131"/>
      <c r="T658" s="131"/>
      <c r="U658" s="131"/>
      <c r="V658" s="131"/>
      <c r="W658" s="131"/>
      <c r="X658" s="131"/>
      <c r="Y658" s="131"/>
      <c r="Z658" s="142"/>
      <c r="AA658" s="142"/>
      <c r="AB658" s="142"/>
      <c r="AC658" s="142"/>
      <c r="AD658" s="142"/>
      <c r="AE658" s="142"/>
      <c r="AF658" s="142"/>
      <c r="AG658" s="142"/>
      <c r="AH658" s="142"/>
      <c r="AI658" s="142"/>
      <c r="AJ658" s="142"/>
      <c r="AK658" s="142"/>
      <c r="AL658" s="142"/>
      <c r="AM658" s="142"/>
      <c r="AN658" s="142"/>
      <c r="AO658" s="131"/>
    </row>
    <row r="659" ht="13.5" customHeight="1">
      <c r="A659" s="142"/>
      <c r="B659" s="142"/>
      <c r="C659" s="142"/>
      <c r="D659" s="142"/>
      <c r="E659" s="308"/>
      <c r="F659" s="131"/>
      <c r="G659" s="131"/>
      <c r="H659" s="131"/>
      <c r="I659" s="219"/>
      <c r="J659" s="198"/>
      <c r="K659" s="131"/>
      <c r="L659" s="131"/>
      <c r="M659" s="131"/>
      <c r="N659" s="131"/>
      <c r="O659" s="131"/>
      <c r="P659" s="131"/>
      <c r="Q659" s="131"/>
      <c r="R659" s="131"/>
      <c r="S659" s="131"/>
      <c r="T659" s="131"/>
      <c r="U659" s="131"/>
      <c r="V659" s="131"/>
      <c r="W659" s="131"/>
      <c r="X659" s="131"/>
      <c r="Y659" s="131"/>
      <c r="Z659" s="142"/>
      <c r="AA659" s="142"/>
      <c r="AB659" s="142"/>
      <c r="AC659" s="142"/>
      <c r="AD659" s="142"/>
      <c r="AE659" s="142"/>
      <c r="AF659" s="142"/>
      <c r="AG659" s="142"/>
      <c r="AH659" s="142"/>
      <c r="AI659" s="142"/>
      <c r="AJ659" s="142"/>
      <c r="AK659" s="142"/>
      <c r="AL659" s="142"/>
      <c r="AM659" s="142"/>
      <c r="AN659" s="142"/>
      <c r="AO659" s="131"/>
    </row>
    <row r="660" ht="13.5" customHeight="1">
      <c r="A660" s="142"/>
      <c r="B660" s="142"/>
      <c r="C660" s="142"/>
      <c r="D660" s="142"/>
      <c r="E660" s="308"/>
      <c r="F660" s="131"/>
      <c r="G660" s="131"/>
      <c r="H660" s="131"/>
      <c r="I660" s="219"/>
      <c r="J660" s="198"/>
      <c r="K660" s="131"/>
      <c r="L660" s="131"/>
      <c r="M660" s="131"/>
      <c r="N660" s="131"/>
      <c r="O660" s="131"/>
      <c r="P660" s="131"/>
      <c r="Q660" s="131"/>
      <c r="R660" s="131"/>
      <c r="S660" s="131"/>
      <c r="T660" s="131"/>
      <c r="U660" s="131"/>
      <c r="V660" s="131"/>
      <c r="W660" s="131"/>
      <c r="X660" s="131"/>
      <c r="Y660" s="131"/>
      <c r="Z660" s="142"/>
      <c r="AA660" s="142"/>
      <c r="AB660" s="142"/>
      <c r="AC660" s="142"/>
      <c r="AD660" s="142"/>
      <c r="AE660" s="142"/>
      <c r="AF660" s="142"/>
      <c r="AG660" s="142"/>
      <c r="AH660" s="142"/>
      <c r="AI660" s="142"/>
      <c r="AJ660" s="142"/>
      <c r="AK660" s="142"/>
      <c r="AL660" s="142"/>
      <c r="AM660" s="142"/>
      <c r="AN660" s="142"/>
      <c r="AO660" s="131"/>
    </row>
    <row r="661" ht="13.5" customHeight="1">
      <c r="A661" s="142"/>
      <c r="B661" s="142"/>
      <c r="C661" s="142"/>
      <c r="D661" s="142"/>
      <c r="E661" s="308"/>
      <c r="F661" s="131"/>
      <c r="G661" s="131"/>
      <c r="H661" s="131"/>
      <c r="I661" s="219"/>
      <c r="J661" s="198"/>
      <c r="K661" s="131"/>
      <c r="L661" s="131"/>
      <c r="M661" s="131"/>
      <c r="N661" s="131"/>
      <c r="O661" s="131"/>
      <c r="P661" s="131"/>
      <c r="Q661" s="131"/>
      <c r="R661" s="131"/>
      <c r="S661" s="131"/>
      <c r="T661" s="131"/>
      <c r="U661" s="131"/>
      <c r="V661" s="131"/>
      <c r="W661" s="131"/>
      <c r="X661" s="131"/>
      <c r="Y661" s="131"/>
      <c r="Z661" s="142"/>
      <c r="AA661" s="142"/>
      <c r="AB661" s="142"/>
      <c r="AC661" s="142"/>
      <c r="AD661" s="142"/>
      <c r="AE661" s="142"/>
      <c r="AF661" s="142"/>
      <c r="AG661" s="142"/>
      <c r="AH661" s="142"/>
      <c r="AI661" s="142"/>
      <c r="AJ661" s="142"/>
      <c r="AK661" s="142"/>
      <c r="AL661" s="142"/>
      <c r="AM661" s="142"/>
      <c r="AN661" s="142"/>
      <c r="AO661" s="131"/>
    </row>
    <row r="662" ht="13.5" customHeight="1">
      <c r="A662" s="142"/>
      <c r="B662" s="142"/>
      <c r="C662" s="142"/>
      <c r="D662" s="142"/>
      <c r="E662" s="308"/>
      <c r="F662" s="131"/>
      <c r="G662" s="131"/>
      <c r="H662" s="131"/>
      <c r="I662" s="219"/>
      <c r="J662" s="198"/>
      <c r="K662" s="131"/>
      <c r="L662" s="131"/>
      <c r="M662" s="131"/>
      <c r="N662" s="131"/>
      <c r="O662" s="131"/>
      <c r="P662" s="131"/>
      <c r="Q662" s="131"/>
      <c r="R662" s="131"/>
      <c r="S662" s="131"/>
      <c r="T662" s="131"/>
      <c r="U662" s="131"/>
      <c r="V662" s="131"/>
      <c r="W662" s="131"/>
      <c r="X662" s="131"/>
      <c r="Y662" s="131"/>
      <c r="Z662" s="142"/>
      <c r="AA662" s="142"/>
      <c r="AB662" s="142"/>
      <c r="AC662" s="142"/>
      <c r="AD662" s="142"/>
      <c r="AE662" s="142"/>
      <c r="AF662" s="142"/>
      <c r="AG662" s="142"/>
      <c r="AH662" s="142"/>
      <c r="AI662" s="142"/>
      <c r="AJ662" s="142"/>
      <c r="AK662" s="142"/>
      <c r="AL662" s="142"/>
      <c r="AM662" s="142"/>
      <c r="AN662" s="142"/>
      <c r="AO662" s="131"/>
    </row>
    <row r="663" ht="13.5" customHeight="1">
      <c r="A663" s="142"/>
      <c r="B663" s="142"/>
      <c r="C663" s="142"/>
      <c r="D663" s="142"/>
      <c r="E663" s="308"/>
      <c r="F663" s="131"/>
      <c r="G663" s="131"/>
      <c r="H663" s="131"/>
      <c r="I663" s="219"/>
      <c r="J663" s="198"/>
      <c r="K663" s="131"/>
      <c r="L663" s="131"/>
      <c r="M663" s="131"/>
      <c r="N663" s="131"/>
      <c r="O663" s="131"/>
      <c r="P663" s="131"/>
      <c r="Q663" s="131"/>
      <c r="R663" s="131"/>
      <c r="S663" s="131"/>
      <c r="T663" s="131"/>
      <c r="U663" s="131"/>
      <c r="V663" s="131"/>
      <c r="W663" s="131"/>
      <c r="X663" s="131"/>
      <c r="Y663" s="131"/>
      <c r="Z663" s="142"/>
      <c r="AA663" s="142"/>
      <c r="AB663" s="142"/>
      <c r="AC663" s="142"/>
      <c r="AD663" s="142"/>
      <c r="AE663" s="142"/>
      <c r="AF663" s="142"/>
      <c r="AG663" s="142"/>
      <c r="AH663" s="142"/>
      <c r="AI663" s="142"/>
      <c r="AJ663" s="142"/>
      <c r="AK663" s="142"/>
      <c r="AL663" s="142"/>
      <c r="AM663" s="142"/>
      <c r="AN663" s="142"/>
      <c r="AO663" s="131"/>
    </row>
    <row r="664" ht="13.5" customHeight="1">
      <c r="A664" s="142"/>
      <c r="B664" s="142"/>
      <c r="C664" s="142"/>
      <c r="D664" s="142"/>
      <c r="E664" s="308"/>
      <c r="F664" s="131"/>
      <c r="G664" s="131"/>
      <c r="H664" s="131"/>
      <c r="I664" s="219"/>
      <c r="J664" s="198"/>
      <c r="K664" s="131"/>
      <c r="L664" s="131"/>
      <c r="M664" s="131"/>
      <c r="N664" s="131"/>
      <c r="O664" s="131"/>
      <c r="P664" s="131"/>
      <c r="Q664" s="131"/>
      <c r="R664" s="131"/>
      <c r="S664" s="131"/>
      <c r="T664" s="131"/>
      <c r="U664" s="131"/>
      <c r="V664" s="131"/>
      <c r="W664" s="131"/>
      <c r="X664" s="131"/>
      <c r="Y664" s="131"/>
      <c r="Z664" s="142"/>
      <c r="AA664" s="142"/>
      <c r="AB664" s="142"/>
      <c r="AC664" s="142"/>
      <c r="AD664" s="142"/>
      <c r="AE664" s="142"/>
      <c r="AF664" s="142"/>
      <c r="AG664" s="142"/>
      <c r="AH664" s="142"/>
      <c r="AI664" s="142"/>
      <c r="AJ664" s="142"/>
      <c r="AK664" s="142"/>
      <c r="AL664" s="142"/>
      <c r="AM664" s="142"/>
      <c r="AN664" s="142"/>
      <c r="AO664" s="131"/>
    </row>
    <row r="665" ht="13.5" customHeight="1">
      <c r="A665" s="142"/>
      <c r="B665" s="142"/>
      <c r="C665" s="142"/>
      <c r="D665" s="142"/>
      <c r="E665" s="308"/>
      <c r="F665" s="131"/>
      <c r="G665" s="131"/>
      <c r="H665" s="131"/>
      <c r="I665" s="219"/>
      <c r="J665" s="198"/>
      <c r="K665" s="131"/>
      <c r="L665" s="131"/>
      <c r="M665" s="131"/>
      <c r="N665" s="131"/>
      <c r="O665" s="131"/>
      <c r="P665" s="131"/>
      <c r="Q665" s="131"/>
      <c r="R665" s="131"/>
      <c r="S665" s="131"/>
      <c r="T665" s="131"/>
      <c r="U665" s="131"/>
      <c r="V665" s="131"/>
      <c r="W665" s="131"/>
      <c r="X665" s="131"/>
      <c r="Y665" s="131"/>
      <c r="Z665" s="142"/>
      <c r="AA665" s="142"/>
      <c r="AB665" s="142"/>
      <c r="AC665" s="142"/>
      <c r="AD665" s="142"/>
      <c r="AE665" s="142"/>
      <c r="AF665" s="142"/>
      <c r="AG665" s="142"/>
      <c r="AH665" s="142"/>
      <c r="AI665" s="142"/>
      <c r="AJ665" s="142"/>
      <c r="AK665" s="142"/>
      <c r="AL665" s="142"/>
      <c r="AM665" s="142"/>
      <c r="AN665" s="142"/>
      <c r="AO665" s="131"/>
    </row>
    <row r="666" ht="13.5" customHeight="1">
      <c r="A666" s="142"/>
      <c r="B666" s="142"/>
      <c r="C666" s="142"/>
      <c r="D666" s="142"/>
      <c r="E666" s="308"/>
      <c r="F666" s="131"/>
      <c r="G666" s="131"/>
      <c r="H666" s="131"/>
      <c r="I666" s="219"/>
      <c r="J666" s="198"/>
      <c r="K666" s="131"/>
      <c r="L666" s="131"/>
      <c r="M666" s="131"/>
      <c r="N666" s="131"/>
      <c r="O666" s="131"/>
      <c r="P666" s="131"/>
      <c r="Q666" s="131"/>
      <c r="R666" s="131"/>
      <c r="S666" s="131"/>
      <c r="T666" s="131"/>
      <c r="U666" s="131"/>
      <c r="V666" s="131"/>
      <c r="W666" s="131"/>
      <c r="X666" s="131"/>
      <c r="Y666" s="131"/>
      <c r="Z666" s="142"/>
      <c r="AA666" s="142"/>
      <c r="AB666" s="142"/>
      <c r="AC666" s="142"/>
      <c r="AD666" s="142"/>
      <c r="AE666" s="142"/>
      <c r="AF666" s="142"/>
      <c r="AG666" s="142"/>
      <c r="AH666" s="142"/>
      <c r="AI666" s="142"/>
      <c r="AJ666" s="142"/>
      <c r="AK666" s="142"/>
      <c r="AL666" s="142"/>
      <c r="AM666" s="142"/>
      <c r="AN666" s="142"/>
      <c r="AO666" s="131"/>
    </row>
    <row r="667" ht="13.5" customHeight="1">
      <c r="A667" s="142"/>
      <c r="B667" s="142"/>
      <c r="C667" s="142"/>
      <c r="D667" s="142"/>
      <c r="E667" s="308"/>
      <c r="F667" s="131"/>
      <c r="G667" s="131"/>
      <c r="H667" s="131"/>
      <c r="I667" s="219"/>
      <c r="J667" s="198"/>
      <c r="K667" s="131"/>
      <c r="L667" s="131"/>
      <c r="M667" s="131"/>
      <c r="N667" s="131"/>
      <c r="O667" s="131"/>
      <c r="P667" s="131"/>
      <c r="Q667" s="131"/>
      <c r="R667" s="131"/>
      <c r="S667" s="131"/>
      <c r="T667" s="131"/>
      <c r="U667" s="131"/>
      <c r="V667" s="131"/>
      <c r="W667" s="131"/>
      <c r="X667" s="131"/>
      <c r="Y667" s="131"/>
      <c r="Z667" s="142"/>
      <c r="AA667" s="142"/>
      <c r="AB667" s="142"/>
      <c r="AC667" s="142"/>
      <c r="AD667" s="142"/>
      <c r="AE667" s="142"/>
      <c r="AF667" s="142"/>
      <c r="AG667" s="142"/>
      <c r="AH667" s="142"/>
      <c r="AI667" s="142"/>
      <c r="AJ667" s="142"/>
      <c r="AK667" s="142"/>
      <c r="AL667" s="142"/>
      <c r="AM667" s="142"/>
      <c r="AN667" s="142"/>
      <c r="AO667" s="131"/>
    </row>
    <row r="668" ht="13.5" customHeight="1">
      <c r="A668" s="142"/>
      <c r="B668" s="142"/>
      <c r="C668" s="142"/>
      <c r="D668" s="142"/>
      <c r="E668" s="308"/>
      <c r="F668" s="131"/>
      <c r="G668" s="131"/>
      <c r="H668" s="131"/>
      <c r="I668" s="219"/>
      <c r="J668" s="198"/>
      <c r="K668" s="131"/>
      <c r="L668" s="131"/>
      <c r="M668" s="131"/>
      <c r="N668" s="131"/>
      <c r="O668" s="131"/>
      <c r="P668" s="131"/>
      <c r="Q668" s="131"/>
      <c r="R668" s="131"/>
      <c r="S668" s="131"/>
      <c r="T668" s="131"/>
      <c r="U668" s="131"/>
      <c r="V668" s="131"/>
      <c r="W668" s="131"/>
      <c r="X668" s="131"/>
      <c r="Y668" s="131"/>
      <c r="Z668" s="142"/>
      <c r="AA668" s="142"/>
      <c r="AB668" s="142"/>
      <c r="AC668" s="142"/>
      <c r="AD668" s="142"/>
      <c r="AE668" s="142"/>
      <c r="AF668" s="142"/>
      <c r="AG668" s="142"/>
      <c r="AH668" s="142"/>
      <c r="AI668" s="142"/>
      <c r="AJ668" s="142"/>
      <c r="AK668" s="142"/>
      <c r="AL668" s="142"/>
      <c r="AM668" s="142"/>
      <c r="AN668" s="142"/>
      <c r="AO668" s="131"/>
    </row>
    <row r="669" ht="13.5" customHeight="1">
      <c r="A669" s="142"/>
      <c r="B669" s="142"/>
      <c r="C669" s="142"/>
      <c r="D669" s="142"/>
      <c r="E669" s="308"/>
      <c r="F669" s="131"/>
      <c r="G669" s="131"/>
      <c r="H669" s="131"/>
      <c r="I669" s="219"/>
      <c r="J669" s="198"/>
      <c r="K669" s="131"/>
      <c r="L669" s="131"/>
      <c r="M669" s="131"/>
      <c r="N669" s="131"/>
      <c r="O669" s="131"/>
      <c r="P669" s="131"/>
      <c r="Q669" s="131"/>
      <c r="R669" s="131"/>
      <c r="S669" s="131"/>
      <c r="T669" s="131"/>
      <c r="U669" s="131"/>
      <c r="V669" s="131"/>
      <c r="W669" s="131"/>
      <c r="X669" s="131"/>
      <c r="Y669" s="131"/>
      <c r="Z669" s="142"/>
      <c r="AA669" s="142"/>
      <c r="AB669" s="142"/>
      <c r="AC669" s="142"/>
      <c r="AD669" s="142"/>
      <c r="AE669" s="142"/>
      <c r="AF669" s="142"/>
      <c r="AG669" s="142"/>
      <c r="AH669" s="142"/>
      <c r="AI669" s="142"/>
      <c r="AJ669" s="142"/>
      <c r="AK669" s="142"/>
      <c r="AL669" s="142"/>
      <c r="AM669" s="142"/>
      <c r="AN669" s="142"/>
      <c r="AO669" s="131"/>
    </row>
    <row r="670" ht="13.5" customHeight="1">
      <c r="A670" s="142"/>
      <c r="B670" s="142"/>
      <c r="C670" s="142"/>
      <c r="D670" s="142"/>
      <c r="E670" s="308"/>
      <c r="F670" s="131"/>
      <c r="G670" s="131"/>
      <c r="H670" s="131"/>
      <c r="I670" s="219"/>
      <c r="J670" s="198"/>
      <c r="K670" s="131"/>
      <c r="L670" s="131"/>
      <c r="M670" s="131"/>
      <c r="N670" s="131"/>
      <c r="O670" s="131"/>
      <c r="P670" s="131"/>
      <c r="Q670" s="131"/>
      <c r="R670" s="131"/>
      <c r="S670" s="131"/>
      <c r="T670" s="131"/>
      <c r="U670" s="131"/>
      <c r="V670" s="131"/>
      <c r="W670" s="131"/>
      <c r="X670" s="131"/>
      <c r="Y670" s="131"/>
      <c r="Z670" s="142"/>
      <c r="AA670" s="142"/>
      <c r="AB670" s="142"/>
      <c r="AC670" s="142"/>
      <c r="AD670" s="142"/>
      <c r="AE670" s="142"/>
      <c r="AF670" s="142"/>
      <c r="AG670" s="142"/>
      <c r="AH670" s="142"/>
      <c r="AI670" s="142"/>
      <c r="AJ670" s="142"/>
      <c r="AK670" s="142"/>
      <c r="AL670" s="142"/>
      <c r="AM670" s="142"/>
      <c r="AN670" s="142"/>
      <c r="AO670" s="131"/>
    </row>
    <row r="671" ht="13.5" customHeight="1">
      <c r="A671" s="142"/>
      <c r="B671" s="142"/>
      <c r="C671" s="142"/>
      <c r="D671" s="142"/>
      <c r="E671" s="308"/>
      <c r="F671" s="131"/>
      <c r="G671" s="131"/>
      <c r="H671" s="131"/>
      <c r="I671" s="219"/>
      <c r="J671" s="198"/>
      <c r="K671" s="131"/>
      <c r="L671" s="131"/>
      <c r="M671" s="131"/>
      <c r="N671" s="131"/>
      <c r="O671" s="131"/>
      <c r="P671" s="131"/>
      <c r="Q671" s="131"/>
      <c r="R671" s="131"/>
      <c r="S671" s="131"/>
      <c r="T671" s="131"/>
      <c r="U671" s="131"/>
      <c r="V671" s="131"/>
      <c r="W671" s="131"/>
      <c r="X671" s="131"/>
      <c r="Y671" s="131"/>
      <c r="Z671" s="142"/>
      <c r="AA671" s="142"/>
      <c r="AB671" s="142"/>
      <c r="AC671" s="142"/>
      <c r="AD671" s="142"/>
      <c r="AE671" s="142"/>
      <c r="AF671" s="142"/>
      <c r="AG671" s="142"/>
      <c r="AH671" s="142"/>
      <c r="AI671" s="142"/>
      <c r="AJ671" s="142"/>
      <c r="AK671" s="142"/>
      <c r="AL671" s="142"/>
      <c r="AM671" s="142"/>
      <c r="AN671" s="142"/>
      <c r="AO671" s="131"/>
    </row>
    <row r="672" ht="13.5" customHeight="1">
      <c r="A672" s="142"/>
      <c r="B672" s="142"/>
      <c r="C672" s="142"/>
      <c r="D672" s="142"/>
      <c r="E672" s="308"/>
      <c r="F672" s="131"/>
      <c r="G672" s="131"/>
      <c r="H672" s="131"/>
      <c r="I672" s="219"/>
      <c r="J672" s="198"/>
      <c r="K672" s="131"/>
      <c r="L672" s="131"/>
      <c r="M672" s="131"/>
      <c r="N672" s="131"/>
      <c r="O672" s="131"/>
      <c r="P672" s="131"/>
      <c r="Q672" s="131"/>
      <c r="R672" s="131"/>
      <c r="S672" s="131"/>
      <c r="T672" s="131"/>
      <c r="U672" s="131"/>
      <c r="V672" s="131"/>
      <c r="W672" s="131"/>
      <c r="X672" s="131"/>
      <c r="Y672" s="131"/>
      <c r="Z672" s="142"/>
      <c r="AA672" s="142"/>
      <c r="AB672" s="142"/>
      <c r="AC672" s="142"/>
      <c r="AD672" s="142"/>
      <c r="AE672" s="142"/>
      <c r="AF672" s="142"/>
      <c r="AG672" s="142"/>
      <c r="AH672" s="142"/>
      <c r="AI672" s="142"/>
      <c r="AJ672" s="142"/>
      <c r="AK672" s="142"/>
      <c r="AL672" s="142"/>
      <c r="AM672" s="142"/>
      <c r="AN672" s="142"/>
      <c r="AO672" s="131"/>
    </row>
    <row r="673" ht="13.5" customHeight="1">
      <c r="A673" s="142"/>
      <c r="B673" s="142"/>
      <c r="C673" s="142"/>
      <c r="D673" s="142"/>
      <c r="E673" s="308"/>
      <c r="F673" s="131"/>
      <c r="G673" s="131"/>
      <c r="H673" s="131"/>
      <c r="I673" s="219"/>
      <c r="J673" s="198"/>
      <c r="K673" s="131"/>
      <c r="L673" s="131"/>
      <c r="M673" s="131"/>
      <c r="N673" s="131"/>
      <c r="O673" s="131"/>
      <c r="P673" s="131"/>
      <c r="Q673" s="131"/>
      <c r="R673" s="131"/>
      <c r="S673" s="131"/>
      <c r="T673" s="131"/>
      <c r="U673" s="131"/>
      <c r="V673" s="131"/>
      <c r="W673" s="131"/>
      <c r="X673" s="131"/>
      <c r="Y673" s="131"/>
      <c r="Z673" s="142"/>
      <c r="AA673" s="142"/>
      <c r="AB673" s="142"/>
      <c r="AC673" s="142"/>
      <c r="AD673" s="142"/>
      <c r="AE673" s="142"/>
      <c r="AF673" s="142"/>
      <c r="AG673" s="142"/>
      <c r="AH673" s="142"/>
      <c r="AI673" s="142"/>
      <c r="AJ673" s="142"/>
      <c r="AK673" s="142"/>
      <c r="AL673" s="142"/>
      <c r="AM673" s="142"/>
      <c r="AN673" s="142"/>
      <c r="AO673" s="131"/>
    </row>
    <row r="674" ht="13.5" customHeight="1">
      <c r="A674" s="142"/>
      <c r="B674" s="142"/>
      <c r="C674" s="142"/>
      <c r="D674" s="142"/>
      <c r="E674" s="308"/>
      <c r="F674" s="131"/>
      <c r="G674" s="131"/>
      <c r="H674" s="131"/>
      <c r="I674" s="219"/>
      <c r="J674" s="198"/>
      <c r="K674" s="131"/>
      <c r="L674" s="131"/>
      <c r="M674" s="131"/>
      <c r="N674" s="131"/>
      <c r="O674" s="131"/>
      <c r="P674" s="131"/>
      <c r="Q674" s="131"/>
      <c r="R674" s="131"/>
      <c r="S674" s="131"/>
      <c r="T674" s="131"/>
      <c r="U674" s="131"/>
      <c r="V674" s="131"/>
      <c r="W674" s="131"/>
      <c r="X674" s="131"/>
      <c r="Y674" s="131"/>
      <c r="Z674" s="142"/>
      <c r="AA674" s="142"/>
      <c r="AB674" s="142"/>
      <c r="AC674" s="142"/>
      <c r="AD674" s="142"/>
      <c r="AE674" s="142"/>
      <c r="AF674" s="142"/>
      <c r="AG674" s="142"/>
      <c r="AH674" s="142"/>
      <c r="AI674" s="142"/>
      <c r="AJ674" s="142"/>
      <c r="AK674" s="142"/>
      <c r="AL674" s="142"/>
      <c r="AM674" s="142"/>
      <c r="AN674" s="142"/>
      <c r="AO674" s="131"/>
    </row>
    <row r="675" ht="13.5" customHeight="1">
      <c r="A675" s="142"/>
      <c r="B675" s="142"/>
      <c r="C675" s="142"/>
      <c r="D675" s="142"/>
      <c r="E675" s="308"/>
      <c r="F675" s="131"/>
      <c r="G675" s="131"/>
      <c r="H675" s="131"/>
      <c r="I675" s="219"/>
      <c r="J675" s="198"/>
      <c r="K675" s="131"/>
      <c r="L675" s="131"/>
      <c r="M675" s="131"/>
      <c r="N675" s="131"/>
      <c r="O675" s="131"/>
      <c r="P675" s="131"/>
      <c r="Q675" s="131"/>
      <c r="R675" s="131"/>
      <c r="S675" s="131"/>
      <c r="T675" s="131"/>
      <c r="U675" s="131"/>
      <c r="V675" s="131"/>
      <c r="W675" s="131"/>
      <c r="X675" s="131"/>
      <c r="Y675" s="131"/>
      <c r="Z675" s="142"/>
      <c r="AA675" s="142"/>
      <c r="AB675" s="142"/>
      <c r="AC675" s="142"/>
      <c r="AD675" s="142"/>
      <c r="AE675" s="142"/>
      <c r="AF675" s="142"/>
      <c r="AG675" s="142"/>
      <c r="AH675" s="142"/>
      <c r="AI675" s="142"/>
      <c r="AJ675" s="142"/>
      <c r="AK675" s="142"/>
      <c r="AL675" s="142"/>
      <c r="AM675" s="142"/>
      <c r="AN675" s="142"/>
      <c r="AO675" s="131"/>
    </row>
    <row r="676" ht="13.5" customHeight="1">
      <c r="A676" s="142"/>
      <c r="B676" s="142"/>
      <c r="C676" s="142"/>
      <c r="D676" s="142"/>
      <c r="E676" s="308"/>
      <c r="F676" s="131"/>
      <c r="G676" s="131"/>
      <c r="H676" s="131"/>
      <c r="I676" s="219"/>
      <c r="J676" s="198"/>
      <c r="K676" s="131"/>
      <c r="L676" s="131"/>
      <c r="M676" s="131"/>
      <c r="N676" s="131"/>
      <c r="O676" s="131"/>
      <c r="P676" s="131"/>
      <c r="Q676" s="131"/>
      <c r="R676" s="131"/>
      <c r="S676" s="131"/>
      <c r="T676" s="131"/>
      <c r="U676" s="131"/>
      <c r="V676" s="131"/>
      <c r="W676" s="131"/>
      <c r="X676" s="131"/>
      <c r="Y676" s="131"/>
      <c r="Z676" s="142"/>
      <c r="AA676" s="142"/>
      <c r="AB676" s="142"/>
      <c r="AC676" s="142"/>
      <c r="AD676" s="142"/>
      <c r="AE676" s="142"/>
      <c r="AF676" s="142"/>
      <c r="AG676" s="142"/>
      <c r="AH676" s="142"/>
      <c r="AI676" s="142"/>
      <c r="AJ676" s="142"/>
      <c r="AK676" s="142"/>
      <c r="AL676" s="142"/>
      <c r="AM676" s="142"/>
      <c r="AN676" s="142"/>
      <c r="AO676" s="131"/>
    </row>
    <row r="677" ht="13.5" customHeight="1">
      <c r="A677" s="142"/>
      <c r="B677" s="142"/>
      <c r="C677" s="142"/>
      <c r="D677" s="142"/>
      <c r="E677" s="308"/>
      <c r="F677" s="131"/>
      <c r="G677" s="131"/>
      <c r="H677" s="131"/>
      <c r="I677" s="219"/>
      <c r="J677" s="198"/>
      <c r="K677" s="131"/>
      <c r="L677" s="131"/>
      <c r="M677" s="131"/>
      <c r="N677" s="131"/>
      <c r="O677" s="131"/>
      <c r="P677" s="131"/>
      <c r="Q677" s="131"/>
      <c r="R677" s="131"/>
      <c r="S677" s="131"/>
      <c r="T677" s="131"/>
      <c r="U677" s="131"/>
      <c r="V677" s="131"/>
      <c r="W677" s="131"/>
      <c r="X677" s="131"/>
      <c r="Y677" s="131"/>
      <c r="Z677" s="142"/>
      <c r="AA677" s="142"/>
      <c r="AB677" s="142"/>
      <c r="AC677" s="142"/>
      <c r="AD677" s="142"/>
      <c r="AE677" s="142"/>
      <c r="AF677" s="142"/>
      <c r="AG677" s="142"/>
      <c r="AH677" s="142"/>
      <c r="AI677" s="142"/>
      <c r="AJ677" s="142"/>
      <c r="AK677" s="142"/>
      <c r="AL677" s="142"/>
      <c r="AM677" s="142"/>
      <c r="AN677" s="142"/>
      <c r="AO677" s="131"/>
    </row>
    <row r="678" ht="13.5" customHeight="1">
      <c r="A678" s="142"/>
      <c r="B678" s="142"/>
      <c r="C678" s="142"/>
      <c r="D678" s="142"/>
      <c r="E678" s="308"/>
      <c r="F678" s="131"/>
      <c r="G678" s="131"/>
      <c r="H678" s="131"/>
      <c r="I678" s="219"/>
      <c r="J678" s="198"/>
      <c r="K678" s="131"/>
      <c r="L678" s="131"/>
      <c r="M678" s="131"/>
      <c r="N678" s="131"/>
      <c r="O678" s="131"/>
      <c r="P678" s="131"/>
      <c r="Q678" s="131"/>
      <c r="R678" s="131"/>
      <c r="S678" s="131"/>
      <c r="T678" s="131"/>
      <c r="U678" s="131"/>
      <c r="V678" s="131"/>
      <c r="W678" s="131"/>
      <c r="X678" s="131"/>
      <c r="Y678" s="131"/>
      <c r="Z678" s="142"/>
      <c r="AA678" s="142"/>
      <c r="AB678" s="142"/>
      <c r="AC678" s="142"/>
      <c r="AD678" s="142"/>
      <c r="AE678" s="142"/>
      <c r="AF678" s="142"/>
      <c r="AG678" s="142"/>
      <c r="AH678" s="142"/>
      <c r="AI678" s="142"/>
      <c r="AJ678" s="142"/>
      <c r="AK678" s="142"/>
      <c r="AL678" s="142"/>
      <c r="AM678" s="142"/>
      <c r="AN678" s="142"/>
      <c r="AO678" s="131"/>
    </row>
    <row r="679" ht="13.5" customHeight="1">
      <c r="A679" s="142"/>
      <c r="B679" s="142"/>
      <c r="C679" s="142"/>
      <c r="D679" s="142"/>
      <c r="E679" s="308"/>
      <c r="F679" s="131"/>
      <c r="G679" s="131"/>
      <c r="H679" s="131"/>
      <c r="I679" s="219"/>
      <c r="J679" s="198"/>
      <c r="K679" s="131"/>
      <c r="L679" s="131"/>
      <c r="M679" s="131"/>
      <c r="N679" s="131"/>
      <c r="O679" s="131"/>
      <c r="P679" s="131"/>
      <c r="Q679" s="131"/>
      <c r="R679" s="131"/>
      <c r="S679" s="131"/>
      <c r="T679" s="131"/>
      <c r="U679" s="131"/>
      <c r="V679" s="131"/>
      <c r="W679" s="131"/>
      <c r="X679" s="131"/>
      <c r="Y679" s="131"/>
      <c r="Z679" s="142"/>
      <c r="AA679" s="142"/>
      <c r="AB679" s="142"/>
      <c r="AC679" s="142"/>
      <c r="AD679" s="142"/>
      <c r="AE679" s="142"/>
      <c r="AF679" s="142"/>
      <c r="AG679" s="142"/>
      <c r="AH679" s="142"/>
      <c r="AI679" s="142"/>
      <c r="AJ679" s="142"/>
      <c r="AK679" s="142"/>
      <c r="AL679" s="142"/>
      <c r="AM679" s="142"/>
      <c r="AN679" s="142"/>
      <c r="AO679" s="131"/>
    </row>
    <row r="680" ht="13.5" customHeight="1">
      <c r="A680" s="142"/>
      <c r="B680" s="142"/>
      <c r="C680" s="142"/>
      <c r="D680" s="142"/>
      <c r="E680" s="308"/>
      <c r="F680" s="131"/>
      <c r="G680" s="131"/>
      <c r="H680" s="131"/>
      <c r="I680" s="219"/>
      <c r="J680" s="198"/>
      <c r="K680" s="131"/>
      <c r="L680" s="131"/>
      <c r="M680" s="131"/>
      <c r="N680" s="131"/>
      <c r="O680" s="131"/>
      <c r="P680" s="131"/>
      <c r="Q680" s="131"/>
      <c r="R680" s="131"/>
      <c r="S680" s="131"/>
      <c r="T680" s="131"/>
      <c r="U680" s="131"/>
      <c r="V680" s="131"/>
      <c r="W680" s="131"/>
      <c r="X680" s="131"/>
      <c r="Y680" s="131"/>
      <c r="Z680" s="142"/>
      <c r="AA680" s="142"/>
      <c r="AB680" s="142"/>
      <c r="AC680" s="142"/>
      <c r="AD680" s="142"/>
      <c r="AE680" s="142"/>
      <c r="AF680" s="142"/>
      <c r="AG680" s="142"/>
      <c r="AH680" s="142"/>
      <c r="AI680" s="142"/>
      <c r="AJ680" s="142"/>
      <c r="AK680" s="142"/>
      <c r="AL680" s="142"/>
      <c r="AM680" s="142"/>
      <c r="AN680" s="142"/>
      <c r="AO680" s="131"/>
    </row>
    <row r="681" ht="13.5" customHeight="1">
      <c r="A681" s="142"/>
      <c r="B681" s="142"/>
      <c r="C681" s="142"/>
      <c r="D681" s="142"/>
      <c r="E681" s="308"/>
      <c r="F681" s="131"/>
      <c r="G681" s="131"/>
      <c r="H681" s="131"/>
      <c r="I681" s="219"/>
      <c r="J681" s="198"/>
      <c r="K681" s="131"/>
      <c r="L681" s="131"/>
      <c r="M681" s="131"/>
      <c r="N681" s="131"/>
      <c r="O681" s="131"/>
      <c r="P681" s="131"/>
      <c r="Q681" s="131"/>
      <c r="R681" s="131"/>
      <c r="S681" s="131"/>
      <c r="T681" s="131"/>
      <c r="U681" s="131"/>
      <c r="V681" s="131"/>
      <c r="W681" s="131"/>
      <c r="X681" s="131"/>
      <c r="Y681" s="131"/>
      <c r="Z681" s="142"/>
      <c r="AA681" s="142"/>
      <c r="AB681" s="142"/>
      <c r="AC681" s="142"/>
      <c r="AD681" s="142"/>
      <c r="AE681" s="142"/>
      <c r="AF681" s="142"/>
      <c r="AG681" s="142"/>
      <c r="AH681" s="142"/>
      <c r="AI681" s="142"/>
      <c r="AJ681" s="142"/>
      <c r="AK681" s="142"/>
      <c r="AL681" s="142"/>
      <c r="AM681" s="142"/>
      <c r="AN681" s="142"/>
      <c r="AO681" s="131"/>
    </row>
    <row r="682" ht="13.5" customHeight="1">
      <c r="A682" s="142"/>
      <c r="B682" s="142"/>
      <c r="C682" s="142"/>
      <c r="D682" s="142"/>
      <c r="E682" s="308"/>
      <c r="F682" s="131"/>
      <c r="G682" s="131"/>
      <c r="H682" s="131"/>
      <c r="I682" s="219"/>
      <c r="J682" s="198"/>
      <c r="K682" s="131"/>
      <c r="L682" s="131"/>
      <c r="M682" s="131"/>
      <c r="N682" s="131"/>
      <c r="O682" s="131"/>
      <c r="P682" s="131"/>
      <c r="Q682" s="131"/>
      <c r="R682" s="131"/>
      <c r="S682" s="131"/>
      <c r="T682" s="131"/>
      <c r="U682" s="131"/>
      <c r="V682" s="131"/>
      <c r="W682" s="131"/>
      <c r="X682" s="131"/>
      <c r="Y682" s="131"/>
      <c r="Z682" s="142"/>
      <c r="AA682" s="142"/>
      <c r="AB682" s="142"/>
      <c r="AC682" s="142"/>
      <c r="AD682" s="142"/>
      <c r="AE682" s="142"/>
      <c r="AF682" s="142"/>
      <c r="AG682" s="142"/>
      <c r="AH682" s="142"/>
      <c r="AI682" s="142"/>
      <c r="AJ682" s="142"/>
      <c r="AK682" s="142"/>
      <c r="AL682" s="142"/>
      <c r="AM682" s="142"/>
      <c r="AN682" s="142"/>
      <c r="AO682" s="131"/>
    </row>
    <row r="683" ht="13.5" customHeight="1">
      <c r="A683" s="142"/>
      <c r="B683" s="142"/>
      <c r="C683" s="142"/>
      <c r="D683" s="142"/>
      <c r="E683" s="308"/>
      <c r="F683" s="131"/>
      <c r="G683" s="131"/>
      <c r="H683" s="131"/>
      <c r="I683" s="219"/>
      <c r="J683" s="198"/>
      <c r="K683" s="131"/>
      <c r="L683" s="131"/>
      <c r="M683" s="131"/>
      <c r="N683" s="131"/>
      <c r="O683" s="131"/>
      <c r="P683" s="131"/>
      <c r="Q683" s="131"/>
      <c r="R683" s="131"/>
      <c r="S683" s="131"/>
      <c r="T683" s="131"/>
      <c r="U683" s="131"/>
      <c r="V683" s="131"/>
      <c r="W683" s="131"/>
      <c r="X683" s="131"/>
      <c r="Y683" s="131"/>
      <c r="Z683" s="142"/>
      <c r="AA683" s="142"/>
      <c r="AB683" s="142"/>
      <c r="AC683" s="142"/>
      <c r="AD683" s="142"/>
      <c r="AE683" s="142"/>
      <c r="AF683" s="142"/>
      <c r="AG683" s="142"/>
      <c r="AH683" s="142"/>
      <c r="AI683" s="142"/>
      <c r="AJ683" s="142"/>
      <c r="AK683" s="142"/>
      <c r="AL683" s="142"/>
      <c r="AM683" s="142"/>
      <c r="AN683" s="142"/>
      <c r="AO683" s="131"/>
    </row>
    <row r="684" ht="13.5" customHeight="1">
      <c r="A684" s="142"/>
      <c r="B684" s="142"/>
      <c r="C684" s="142"/>
      <c r="D684" s="142"/>
      <c r="E684" s="308"/>
      <c r="F684" s="131"/>
      <c r="G684" s="131"/>
      <c r="H684" s="131"/>
      <c r="I684" s="219"/>
      <c r="J684" s="198"/>
      <c r="K684" s="131"/>
      <c r="L684" s="131"/>
      <c r="M684" s="131"/>
      <c r="N684" s="131"/>
      <c r="O684" s="131"/>
      <c r="P684" s="131"/>
      <c r="Q684" s="131"/>
      <c r="R684" s="131"/>
      <c r="S684" s="131"/>
      <c r="T684" s="131"/>
      <c r="U684" s="131"/>
      <c r="V684" s="131"/>
      <c r="W684" s="131"/>
      <c r="X684" s="131"/>
      <c r="Y684" s="131"/>
      <c r="Z684" s="142"/>
      <c r="AA684" s="142"/>
      <c r="AB684" s="142"/>
      <c r="AC684" s="142"/>
      <c r="AD684" s="142"/>
      <c r="AE684" s="142"/>
      <c r="AF684" s="142"/>
      <c r="AG684" s="142"/>
      <c r="AH684" s="142"/>
      <c r="AI684" s="142"/>
      <c r="AJ684" s="142"/>
      <c r="AK684" s="142"/>
      <c r="AL684" s="142"/>
      <c r="AM684" s="142"/>
      <c r="AN684" s="142"/>
      <c r="AO684" s="131"/>
    </row>
    <row r="685" ht="13.5" customHeight="1">
      <c r="A685" s="142"/>
      <c r="B685" s="142"/>
      <c r="C685" s="142"/>
      <c r="D685" s="142"/>
      <c r="E685" s="308"/>
      <c r="F685" s="131"/>
      <c r="G685" s="131"/>
      <c r="H685" s="131"/>
      <c r="I685" s="219"/>
      <c r="J685" s="198"/>
      <c r="K685" s="131"/>
      <c r="L685" s="131"/>
      <c r="M685" s="131"/>
      <c r="N685" s="131"/>
      <c r="O685" s="131"/>
      <c r="P685" s="131"/>
      <c r="Q685" s="131"/>
      <c r="R685" s="131"/>
      <c r="S685" s="131"/>
      <c r="T685" s="131"/>
      <c r="U685" s="131"/>
      <c r="V685" s="131"/>
      <c r="W685" s="131"/>
      <c r="X685" s="131"/>
      <c r="Y685" s="131"/>
      <c r="Z685" s="142"/>
      <c r="AA685" s="142"/>
      <c r="AB685" s="142"/>
      <c r="AC685" s="142"/>
      <c r="AD685" s="142"/>
      <c r="AE685" s="142"/>
      <c r="AF685" s="142"/>
      <c r="AG685" s="142"/>
      <c r="AH685" s="142"/>
      <c r="AI685" s="142"/>
      <c r="AJ685" s="142"/>
      <c r="AK685" s="142"/>
      <c r="AL685" s="142"/>
      <c r="AM685" s="142"/>
      <c r="AN685" s="142"/>
      <c r="AO685" s="131"/>
    </row>
    <row r="686" ht="13.5" customHeight="1">
      <c r="A686" s="142"/>
      <c r="B686" s="142"/>
      <c r="C686" s="142"/>
      <c r="D686" s="142"/>
      <c r="E686" s="308"/>
      <c r="F686" s="131"/>
      <c r="G686" s="131"/>
      <c r="H686" s="131"/>
      <c r="I686" s="219"/>
      <c r="J686" s="198"/>
      <c r="K686" s="131"/>
      <c r="L686" s="131"/>
      <c r="M686" s="131"/>
      <c r="N686" s="131"/>
      <c r="O686" s="131"/>
      <c r="P686" s="131"/>
      <c r="Q686" s="131"/>
      <c r="R686" s="131"/>
      <c r="S686" s="131"/>
      <c r="T686" s="131"/>
      <c r="U686" s="131"/>
      <c r="V686" s="131"/>
      <c r="W686" s="131"/>
      <c r="X686" s="131"/>
      <c r="Y686" s="131"/>
      <c r="Z686" s="142"/>
      <c r="AA686" s="142"/>
      <c r="AB686" s="142"/>
      <c r="AC686" s="142"/>
      <c r="AD686" s="142"/>
      <c r="AE686" s="142"/>
      <c r="AF686" s="142"/>
      <c r="AG686" s="142"/>
      <c r="AH686" s="142"/>
      <c r="AI686" s="142"/>
      <c r="AJ686" s="142"/>
      <c r="AK686" s="142"/>
      <c r="AL686" s="142"/>
      <c r="AM686" s="142"/>
      <c r="AN686" s="142"/>
      <c r="AO686" s="131"/>
    </row>
    <row r="687" ht="13.5" customHeight="1">
      <c r="A687" s="142"/>
      <c r="B687" s="142"/>
      <c r="C687" s="142"/>
      <c r="D687" s="142"/>
      <c r="E687" s="308"/>
      <c r="F687" s="131"/>
      <c r="G687" s="131"/>
      <c r="H687" s="131"/>
      <c r="I687" s="219"/>
      <c r="J687" s="198"/>
      <c r="K687" s="131"/>
      <c r="L687" s="131"/>
      <c r="M687" s="131"/>
      <c r="N687" s="131"/>
      <c r="O687" s="131"/>
      <c r="P687" s="131"/>
      <c r="Q687" s="131"/>
      <c r="R687" s="131"/>
      <c r="S687" s="131"/>
      <c r="T687" s="131"/>
      <c r="U687" s="131"/>
      <c r="V687" s="131"/>
      <c r="W687" s="131"/>
      <c r="X687" s="131"/>
      <c r="Y687" s="131"/>
      <c r="Z687" s="142"/>
      <c r="AA687" s="142"/>
      <c r="AB687" s="142"/>
      <c r="AC687" s="142"/>
      <c r="AD687" s="142"/>
      <c r="AE687" s="142"/>
      <c r="AF687" s="142"/>
      <c r="AG687" s="142"/>
      <c r="AH687" s="142"/>
      <c r="AI687" s="142"/>
      <c r="AJ687" s="142"/>
      <c r="AK687" s="142"/>
      <c r="AL687" s="142"/>
      <c r="AM687" s="142"/>
      <c r="AN687" s="142"/>
      <c r="AO687" s="131"/>
    </row>
    <row r="688" ht="13.5" customHeight="1">
      <c r="A688" s="142"/>
      <c r="B688" s="142"/>
      <c r="C688" s="142"/>
      <c r="D688" s="142"/>
      <c r="E688" s="308"/>
      <c r="F688" s="131"/>
      <c r="G688" s="131"/>
      <c r="H688" s="131"/>
      <c r="I688" s="219"/>
      <c r="J688" s="198"/>
      <c r="K688" s="131"/>
      <c r="L688" s="131"/>
      <c r="M688" s="131"/>
      <c r="N688" s="131"/>
      <c r="O688" s="131"/>
      <c r="P688" s="131"/>
      <c r="Q688" s="131"/>
      <c r="R688" s="131"/>
      <c r="S688" s="131"/>
      <c r="T688" s="131"/>
      <c r="U688" s="131"/>
      <c r="V688" s="131"/>
      <c r="W688" s="131"/>
      <c r="X688" s="131"/>
      <c r="Y688" s="131"/>
      <c r="Z688" s="142"/>
      <c r="AA688" s="142"/>
      <c r="AB688" s="142"/>
      <c r="AC688" s="142"/>
      <c r="AD688" s="142"/>
      <c r="AE688" s="142"/>
      <c r="AF688" s="142"/>
      <c r="AG688" s="142"/>
      <c r="AH688" s="142"/>
      <c r="AI688" s="142"/>
      <c r="AJ688" s="142"/>
      <c r="AK688" s="142"/>
      <c r="AL688" s="142"/>
      <c r="AM688" s="142"/>
      <c r="AN688" s="142"/>
      <c r="AO688" s="131"/>
    </row>
    <row r="689" ht="13.5" customHeight="1">
      <c r="A689" s="142"/>
      <c r="B689" s="142"/>
      <c r="C689" s="142"/>
      <c r="D689" s="142"/>
      <c r="E689" s="308"/>
      <c r="F689" s="131"/>
      <c r="G689" s="131"/>
      <c r="H689" s="131"/>
      <c r="I689" s="219"/>
      <c r="J689" s="198"/>
      <c r="K689" s="131"/>
      <c r="L689" s="131"/>
      <c r="M689" s="131"/>
      <c r="N689" s="131"/>
      <c r="O689" s="131"/>
      <c r="P689" s="131"/>
      <c r="Q689" s="131"/>
      <c r="R689" s="131"/>
      <c r="S689" s="131"/>
      <c r="T689" s="131"/>
      <c r="U689" s="131"/>
      <c r="V689" s="131"/>
      <c r="W689" s="131"/>
      <c r="X689" s="131"/>
      <c r="Y689" s="131"/>
      <c r="Z689" s="142"/>
      <c r="AA689" s="142"/>
      <c r="AB689" s="142"/>
      <c r="AC689" s="142"/>
      <c r="AD689" s="142"/>
      <c r="AE689" s="142"/>
      <c r="AF689" s="142"/>
      <c r="AG689" s="142"/>
      <c r="AH689" s="142"/>
      <c r="AI689" s="142"/>
      <c r="AJ689" s="142"/>
      <c r="AK689" s="142"/>
      <c r="AL689" s="142"/>
      <c r="AM689" s="142"/>
      <c r="AN689" s="142"/>
      <c r="AO689" s="131"/>
    </row>
    <row r="690" ht="13.5" customHeight="1">
      <c r="A690" s="142"/>
      <c r="B690" s="142"/>
      <c r="C690" s="142"/>
      <c r="D690" s="142"/>
      <c r="E690" s="308"/>
      <c r="F690" s="131"/>
      <c r="G690" s="131"/>
      <c r="H690" s="131"/>
      <c r="I690" s="219"/>
      <c r="J690" s="198"/>
      <c r="K690" s="131"/>
      <c r="L690" s="131"/>
      <c r="M690" s="131"/>
      <c r="N690" s="131"/>
      <c r="O690" s="131"/>
      <c r="P690" s="131"/>
      <c r="Q690" s="131"/>
      <c r="R690" s="131"/>
      <c r="S690" s="131"/>
      <c r="T690" s="131"/>
      <c r="U690" s="131"/>
      <c r="V690" s="131"/>
      <c r="W690" s="131"/>
      <c r="X690" s="131"/>
      <c r="Y690" s="131"/>
      <c r="Z690" s="142"/>
      <c r="AA690" s="142"/>
      <c r="AB690" s="142"/>
      <c r="AC690" s="142"/>
      <c r="AD690" s="142"/>
      <c r="AE690" s="142"/>
      <c r="AF690" s="142"/>
      <c r="AG690" s="142"/>
      <c r="AH690" s="142"/>
      <c r="AI690" s="142"/>
      <c r="AJ690" s="142"/>
      <c r="AK690" s="142"/>
      <c r="AL690" s="142"/>
      <c r="AM690" s="142"/>
      <c r="AN690" s="142"/>
      <c r="AO690" s="131"/>
    </row>
    <row r="691" ht="13.5" customHeight="1">
      <c r="A691" s="142"/>
      <c r="B691" s="142"/>
      <c r="C691" s="142"/>
      <c r="D691" s="142"/>
      <c r="E691" s="308"/>
      <c r="F691" s="131"/>
      <c r="G691" s="131"/>
      <c r="H691" s="131"/>
      <c r="I691" s="219"/>
      <c r="J691" s="198"/>
      <c r="K691" s="131"/>
      <c r="L691" s="131"/>
      <c r="M691" s="131"/>
      <c r="N691" s="131"/>
      <c r="O691" s="131"/>
      <c r="P691" s="131"/>
      <c r="Q691" s="131"/>
      <c r="R691" s="131"/>
      <c r="S691" s="131"/>
      <c r="T691" s="131"/>
      <c r="U691" s="131"/>
      <c r="V691" s="131"/>
      <c r="W691" s="131"/>
      <c r="X691" s="131"/>
      <c r="Y691" s="131"/>
      <c r="Z691" s="142"/>
      <c r="AA691" s="142"/>
      <c r="AB691" s="142"/>
      <c r="AC691" s="142"/>
      <c r="AD691" s="142"/>
      <c r="AE691" s="142"/>
      <c r="AF691" s="142"/>
      <c r="AG691" s="142"/>
      <c r="AH691" s="142"/>
      <c r="AI691" s="142"/>
      <c r="AJ691" s="142"/>
      <c r="AK691" s="142"/>
      <c r="AL691" s="142"/>
      <c r="AM691" s="142"/>
      <c r="AN691" s="142"/>
      <c r="AO691" s="131"/>
    </row>
    <row r="692" ht="13.5" customHeight="1">
      <c r="A692" s="142"/>
      <c r="B692" s="142"/>
      <c r="C692" s="142"/>
      <c r="D692" s="142"/>
      <c r="E692" s="308"/>
      <c r="F692" s="131"/>
      <c r="G692" s="131"/>
      <c r="H692" s="131"/>
      <c r="I692" s="219"/>
      <c r="J692" s="198"/>
      <c r="K692" s="131"/>
      <c r="L692" s="131"/>
      <c r="M692" s="131"/>
      <c r="N692" s="131"/>
      <c r="O692" s="131"/>
      <c r="P692" s="131"/>
      <c r="Q692" s="131"/>
      <c r="R692" s="131"/>
      <c r="S692" s="131"/>
      <c r="T692" s="131"/>
      <c r="U692" s="131"/>
      <c r="V692" s="131"/>
      <c r="W692" s="131"/>
      <c r="X692" s="131"/>
      <c r="Y692" s="131"/>
      <c r="Z692" s="142"/>
      <c r="AA692" s="142"/>
      <c r="AB692" s="142"/>
      <c r="AC692" s="142"/>
      <c r="AD692" s="142"/>
      <c r="AE692" s="142"/>
      <c r="AF692" s="142"/>
      <c r="AG692" s="142"/>
      <c r="AH692" s="142"/>
      <c r="AI692" s="142"/>
      <c r="AJ692" s="142"/>
      <c r="AK692" s="142"/>
      <c r="AL692" s="142"/>
      <c r="AM692" s="142"/>
      <c r="AN692" s="142"/>
      <c r="AO692" s="131"/>
    </row>
    <row r="693" ht="13.5" customHeight="1">
      <c r="A693" s="142"/>
      <c r="B693" s="142"/>
      <c r="C693" s="142"/>
      <c r="D693" s="142"/>
      <c r="E693" s="308"/>
      <c r="F693" s="131"/>
      <c r="G693" s="131"/>
      <c r="H693" s="131"/>
      <c r="I693" s="219"/>
      <c r="J693" s="198"/>
      <c r="K693" s="131"/>
      <c r="L693" s="131"/>
      <c r="M693" s="131"/>
      <c r="N693" s="131"/>
      <c r="O693" s="131"/>
      <c r="P693" s="131"/>
      <c r="Q693" s="131"/>
      <c r="R693" s="131"/>
      <c r="S693" s="131"/>
      <c r="T693" s="131"/>
      <c r="U693" s="131"/>
      <c r="V693" s="131"/>
      <c r="W693" s="131"/>
      <c r="X693" s="131"/>
      <c r="Y693" s="131"/>
      <c r="Z693" s="142"/>
      <c r="AA693" s="142"/>
      <c r="AB693" s="142"/>
      <c r="AC693" s="142"/>
      <c r="AD693" s="142"/>
      <c r="AE693" s="142"/>
      <c r="AF693" s="142"/>
      <c r="AG693" s="142"/>
      <c r="AH693" s="142"/>
      <c r="AI693" s="142"/>
      <c r="AJ693" s="142"/>
      <c r="AK693" s="142"/>
      <c r="AL693" s="142"/>
      <c r="AM693" s="142"/>
      <c r="AN693" s="142"/>
      <c r="AO693" s="131"/>
    </row>
    <row r="694" ht="13.5" customHeight="1">
      <c r="A694" s="142"/>
      <c r="B694" s="142"/>
      <c r="C694" s="142"/>
      <c r="D694" s="142"/>
      <c r="E694" s="308"/>
      <c r="F694" s="131"/>
      <c r="G694" s="131"/>
      <c r="H694" s="131"/>
      <c r="I694" s="219"/>
      <c r="J694" s="198"/>
      <c r="K694" s="131"/>
      <c r="L694" s="131"/>
      <c r="M694" s="131"/>
      <c r="N694" s="131"/>
      <c r="O694" s="131"/>
      <c r="P694" s="131"/>
      <c r="Q694" s="131"/>
      <c r="R694" s="131"/>
      <c r="S694" s="131"/>
      <c r="T694" s="131"/>
      <c r="U694" s="131"/>
      <c r="V694" s="131"/>
      <c r="W694" s="131"/>
      <c r="X694" s="131"/>
      <c r="Y694" s="131"/>
      <c r="Z694" s="142"/>
      <c r="AA694" s="142"/>
      <c r="AB694" s="142"/>
      <c r="AC694" s="142"/>
      <c r="AD694" s="142"/>
      <c r="AE694" s="142"/>
      <c r="AF694" s="142"/>
      <c r="AG694" s="142"/>
      <c r="AH694" s="142"/>
      <c r="AI694" s="142"/>
      <c r="AJ694" s="142"/>
      <c r="AK694" s="142"/>
      <c r="AL694" s="142"/>
      <c r="AM694" s="142"/>
      <c r="AN694" s="142"/>
      <c r="AO694" s="131"/>
    </row>
    <row r="695" ht="13.5" customHeight="1">
      <c r="A695" s="142"/>
      <c r="B695" s="142"/>
      <c r="C695" s="142"/>
      <c r="D695" s="142"/>
      <c r="E695" s="308"/>
      <c r="F695" s="131"/>
      <c r="G695" s="131"/>
      <c r="H695" s="131"/>
      <c r="I695" s="219"/>
      <c r="J695" s="198"/>
      <c r="K695" s="131"/>
      <c r="L695" s="131"/>
      <c r="M695" s="131"/>
      <c r="N695" s="131"/>
      <c r="O695" s="131"/>
      <c r="P695" s="131"/>
      <c r="Q695" s="131"/>
      <c r="R695" s="131"/>
      <c r="S695" s="131"/>
      <c r="T695" s="131"/>
      <c r="U695" s="131"/>
      <c r="V695" s="131"/>
      <c r="W695" s="131"/>
      <c r="X695" s="131"/>
      <c r="Y695" s="131"/>
      <c r="Z695" s="142"/>
      <c r="AA695" s="142"/>
      <c r="AB695" s="142"/>
      <c r="AC695" s="142"/>
      <c r="AD695" s="142"/>
      <c r="AE695" s="142"/>
      <c r="AF695" s="142"/>
      <c r="AG695" s="142"/>
      <c r="AH695" s="142"/>
      <c r="AI695" s="142"/>
      <c r="AJ695" s="142"/>
      <c r="AK695" s="142"/>
      <c r="AL695" s="142"/>
      <c r="AM695" s="142"/>
      <c r="AN695" s="142"/>
      <c r="AO695" s="131"/>
    </row>
    <row r="696" ht="13.5" customHeight="1">
      <c r="A696" s="142"/>
      <c r="B696" s="142"/>
      <c r="C696" s="142"/>
      <c r="D696" s="142"/>
      <c r="E696" s="308"/>
      <c r="F696" s="131"/>
      <c r="G696" s="131"/>
      <c r="H696" s="131"/>
      <c r="I696" s="219"/>
      <c r="J696" s="198"/>
      <c r="K696" s="131"/>
      <c r="L696" s="131"/>
      <c r="M696" s="131"/>
      <c r="N696" s="131"/>
      <c r="O696" s="131"/>
      <c r="P696" s="131"/>
      <c r="Q696" s="131"/>
      <c r="R696" s="131"/>
      <c r="S696" s="131"/>
      <c r="T696" s="131"/>
      <c r="U696" s="131"/>
      <c r="V696" s="131"/>
      <c r="W696" s="131"/>
      <c r="X696" s="131"/>
      <c r="Y696" s="131"/>
      <c r="Z696" s="142"/>
      <c r="AA696" s="142"/>
      <c r="AB696" s="142"/>
      <c r="AC696" s="142"/>
      <c r="AD696" s="142"/>
      <c r="AE696" s="142"/>
      <c r="AF696" s="142"/>
      <c r="AG696" s="142"/>
      <c r="AH696" s="142"/>
      <c r="AI696" s="142"/>
      <c r="AJ696" s="142"/>
      <c r="AK696" s="142"/>
      <c r="AL696" s="142"/>
      <c r="AM696" s="142"/>
      <c r="AN696" s="142"/>
      <c r="AO696" s="131"/>
    </row>
    <row r="697" ht="13.5" customHeight="1">
      <c r="A697" s="142"/>
      <c r="B697" s="142"/>
      <c r="C697" s="142"/>
      <c r="D697" s="142"/>
      <c r="E697" s="308"/>
      <c r="F697" s="131"/>
      <c r="G697" s="131"/>
      <c r="H697" s="131"/>
      <c r="I697" s="219"/>
      <c r="J697" s="198"/>
      <c r="K697" s="131"/>
      <c r="L697" s="131"/>
      <c r="M697" s="131"/>
      <c r="N697" s="131"/>
      <c r="O697" s="131"/>
      <c r="P697" s="131"/>
      <c r="Q697" s="131"/>
      <c r="R697" s="131"/>
      <c r="S697" s="131"/>
      <c r="T697" s="131"/>
      <c r="U697" s="131"/>
      <c r="V697" s="131"/>
      <c r="W697" s="131"/>
      <c r="X697" s="131"/>
      <c r="Y697" s="131"/>
      <c r="Z697" s="142"/>
      <c r="AA697" s="142"/>
      <c r="AB697" s="142"/>
      <c r="AC697" s="142"/>
      <c r="AD697" s="142"/>
      <c r="AE697" s="142"/>
      <c r="AF697" s="142"/>
      <c r="AG697" s="142"/>
      <c r="AH697" s="142"/>
      <c r="AI697" s="142"/>
      <c r="AJ697" s="142"/>
      <c r="AK697" s="142"/>
      <c r="AL697" s="142"/>
      <c r="AM697" s="142"/>
      <c r="AN697" s="142"/>
      <c r="AO697" s="131"/>
    </row>
    <row r="698" ht="13.5" customHeight="1">
      <c r="A698" s="142"/>
      <c r="B698" s="142"/>
      <c r="C698" s="142"/>
      <c r="D698" s="142"/>
      <c r="E698" s="308"/>
      <c r="F698" s="131"/>
      <c r="G698" s="131"/>
      <c r="H698" s="131"/>
      <c r="I698" s="219"/>
      <c r="J698" s="198"/>
      <c r="K698" s="131"/>
      <c r="L698" s="131"/>
      <c r="M698" s="131"/>
      <c r="N698" s="131"/>
      <c r="O698" s="131"/>
      <c r="P698" s="131"/>
      <c r="Q698" s="131"/>
      <c r="R698" s="131"/>
      <c r="S698" s="131"/>
      <c r="T698" s="131"/>
      <c r="U698" s="131"/>
      <c r="V698" s="131"/>
      <c r="W698" s="131"/>
      <c r="X698" s="131"/>
      <c r="Y698" s="131"/>
      <c r="Z698" s="142"/>
      <c r="AA698" s="142"/>
      <c r="AB698" s="142"/>
      <c r="AC698" s="142"/>
      <c r="AD698" s="142"/>
      <c r="AE698" s="142"/>
      <c r="AF698" s="142"/>
      <c r="AG698" s="142"/>
      <c r="AH698" s="142"/>
      <c r="AI698" s="142"/>
      <c r="AJ698" s="142"/>
      <c r="AK698" s="142"/>
      <c r="AL698" s="142"/>
      <c r="AM698" s="142"/>
      <c r="AN698" s="142"/>
      <c r="AO698" s="131"/>
    </row>
    <row r="699" ht="13.5" customHeight="1">
      <c r="A699" s="142"/>
      <c r="B699" s="142"/>
      <c r="C699" s="142"/>
      <c r="D699" s="142"/>
      <c r="E699" s="308"/>
      <c r="F699" s="131"/>
      <c r="G699" s="131"/>
      <c r="H699" s="131"/>
      <c r="I699" s="219"/>
      <c r="J699" s="198"/>
      <c r="K699" s="131"/>
      <c r="L699" s="131"/>
      <c r="M699" s="131"/>
      <c r="N699" s="131"/>
      <c r="O699" s="131"/>
      <c r="P699" s="131"/>
      <c r="Q699" s="131"/>
      <c r="R699" s="131"/>
      <c r="S699" s="131"/>
      <c r="T699" s="131"/>
      <c r="U699" s="131"/>
      <c r="V699" s="131"/>
      <c r="W699" s="131"/>
      <c r="X699" s="131"/>
      <c r="Y699" s="131"/>
      <c r="Z699" s="142"/>
      <c r="AA699" s="142"/>
      <c r="AB699" s="142"/>
      <c r="AC699" s="142"/>
      <c r="AD699" s="142"/>
      <c r="AE699" s="142"/>
      <c r="AF699" s="142"/>
      <c r="AG699" s="142"/>
      <c r="AH699" s="142"/>
      <c r="AI699" s="142"/>
      <c r="AJ699" s="142"/>
      <c r="AK699" s="142"/>
      <c r="AL699" s="142"/>
      <c r="AM699" s="142"/>
      <c r="AN699" s="142"/>
      <c r="AO699" s="131"/>
    </row>
    <row r="700" ht="13.5" customHeight="1">
      <c r="A700" s="142"/>
      <c r="B700" s="142"/>
      <c r="C700" s="142"/>
      <c r="D700" s="142"/>
      <c r="E700" s="308"/>
      <c r="F700" s="131"/>
      <c r="G700" s="131"/>
      <c r="H700" s="131"/>
      <c r="I700" s="219"/>
      <c r="J700" s="198"/>
      <c r="K700" s="131"/>
      <c r="L700" s="131"/>
      <c r="M700" s="131"/>
      <c r="N700" s="131"/>
      <c r="O700" s="131"/>
      <c r="P700" s="131"/>
      <c r="Q700" s="131"/>
      <c r="R700" s="131"/>
      <c r="S700" s="131"/>
      <c r="T700" s="131"/>
      <c r="U700" s="131"/>
      <c r="V700" s="131"/>
      <c r="W700" s="131"/>
      <c r="X700" s="131"/>
      <c r="Y700" s="131"/>
      <c r="Z700" s="142"/>
      <c r="AA700" s="142"/>
      <c r="AB700" s="142"/>
      <c r="AC700" s="142"/>
      <c r="AD700" s="142"/>
      <c r="AE700" s="142"/>
      <c r="AF700" s="142"/>
      <c r="AG700" s="142"/>
      <c r="AH700" s="142"/>
      <c r="AI700" s="142"/>
      <c r="AJ700" s="142"/>
      <c r="AK700" s="142"/>
      <c r="AL700" s="142"/>
      <c r="AM700" s="142"/>
      <c r="AN700" s="142"/>
      <c r="AO700" s="131"/>
    </row>
    <row r="701" ht="13.5" customHeight="1">
      <c r="A701" s="142"/>
      <c r="B701" s="142"/>
      <c r="C701" s="142"/>
      <c r="D701" s="142"/>
      <c r="E701" s="308"/>
      <c r="F701" s="131"/>
      <c r="G701" s="131"/>
      <c r="H701" s="131"/>
      <c r="I701" s="219"/>
      <c r="J701" s="198"/>
      <c r="K701" s="131"/>
      <c r="L701" s="131"/>
      <c r="M701" s="131"/>
      <c r="N701" s="131"/>
      <c r="O701" s="131"/>
      <c r="P701" s="131"/>
      <c r="Q701" s="131"/>
      <c r="R701" s="131"/>
      <c r="S701" s="131"/>
      <c r="T701" s="131"/>
      <c r="U701" s="131"/>
      <c r="V701" s="131"/>
      <c r="W701" s="131"/>
      <c r="X701" s="131"/>
      <c r="Y701" s="131"/>
      <c r="Z701" s="142"/>
      <c r="AA701" s="142"/>
      <c r="AB701" s="142"/>
      <c r="AC701" s="142"/>
      <c r="AD701" s="142"/>
      <c r="AE701" s="142"/>
      <c r="AF701" s="142"/>
      <c r="AG701" s="142"/>
      <c r="AH701" s="142"/>
      <c r="AI701" s="142"/>
      <c r="AJ701" s="142"/>
      <c r="AK701" s="142"/>
      <c r="AL701" s="142"/>
      <c r="AM701" s="142"/>
      <c r="AN701" s="142"/>
      <c r="AO701" s="131"/>
    </row>
    <row r="702" ht="13.5" customHeight="1">
      <c r="A702" s="142"/>
      <c r="B702" s="142"/>
      <c r="C702" s="142"/>
      <c r="D702" s="142"/>
      <c r="E702" s="308"/>
      <c r="F702" s="131"/>
      <c r="G702" s="131"/>
      <c r="H702" s="131"/>
      <c r="I702" s="219"/>
      <c r="J702" s="198"/>
      <c r="K702" s="131"/>
      <c r="L702" s="131"/>
      <c r="M702" s="131"/>
      <c r="N702" s="131"/>
      <c r="O702" s="131"/>
      <c r="P702" s="131"/>
      <c r="Q702" s="131"/>
      <c r="R702" s="131"/>
      <c r="S702" s="131"/>
      <c r="T702" s="131"/>
      <c r="U702" s="131"/>
      <c r="V702" s="131"/>
      <c r="W702" s="131"/>
      <c r="X702" s="131"/>
      <c r="Y702" s="131"/>
      <c r="Z702" s="142"/>
      <c r="AA702" s="142"/>
      <c r="AB702" s="142"/>
      <c r="AC702" s="142"/>
      <c r="AD702" s="142"/>
      <c r="AE702" s="142"/>
      <c r="AF702" s="142"/>
      <c r="AG702" s="142"/>
      <c r="AH702" s="142"/>
      <c r="AI702" s="142"/>
      <c r="AJ702" s="142"/>
      <c r="AK702" s="142"/>
      <c r="AL702" s="142"/>
      <c r="AM702" s="142"/>
      <c r="AN702" s="142"/>
      <c r="AO702" s="131"/>
    </row>
    <row r="703" ht="13.5" customHeight="1">
      <c r="A703" s="142"/>
      <c r="B703" s="142"/>
      <c r="C703" s="142"/>
      <c r="D703" s="142"/>
      <c r="E703" s="308"/>
      <c r="F703" s="131"/>
      <c r="G703" s="131"/>
      <c r="H703" s="131"/>
      <c r="I703" s="219"/>
      <c r="J703" s="198"/>
      <c r="K703" s="131"/>
      <c r="L703" s="131"/>
      <c r="M703" s="131"/>
      <c r="N703" s="131"/>
      <c r="O703" s="131"/>
      <c r="P703" s="131"/>
      <c r="Q703" s="131"/>
      <c r="R703" s="131"/>
      <c r="S703" s="131"/>
      <c r="T703" s="131"/>
      <c r="U703" s="131"/>
      <c r="V703" s="131"/>
      <c r="W703" s="131"/>
      <c r="X703" s="131"/>
      <c r="Y703" s="131"/>
      <c r="Z703" s="142"/>
      <c r="AA703" s="142"/>
      <c r="AB703" s="142"/>
      <c r="AC703" s="142"/>
      <c r="AD703" s="142"/>
      <c r="AE703" s="142"/>
      <c r="AF703" s="142"/>
      <c r="AG703" s="142"/>
      <c r="AH703" s="142"/>
      <c r="AI703" s="142"/>
      <c r="AJ703" s="142"/>
      <c r="AK703" s="142"/>
      <c r="AL703" s="142"/>
      <c r="AM703" s="142"/>
      <c r="AN703" s="142"/>
      <c r="AO703" s="131"/>
    </row>
    <row r="704" ht="13.5" customHeight="1">
      <c r="A704" s="142"/>
      <c r="B704" s="142"/>
      <c r="C704" s="142"/>
      <c r="D704" s="142"/>
      <c r="E704" s="308"/>
      <c r="F704" s="131"/>
      <c r="G704" s="131"/>
      <c r="H704" s="131"/>
      <c r="I704" s="219"/>
      <c r="J704" s="198"/>
      <c r="K704" s="131"/>
      <c r="L704" s="131"/>
      <c r="M704" s="131"/>
      <c r="N704" s="131"/>
      <c r="O704" s="131"/>
      <c r="P704" s="131"/>
      <c r="Q704" s="131"/>
      <c r="R704" s="131"/>
      <c r="S704" s="131"/>
      <c r="T704" s="131"/>
      <c r="U704" s="131"/>
      <c r="V704" s="131"/>
      <c r="W704" s="131"/>
      <c r="X704" s="131"/>
      <c r="Y704" s="131"/>
      <c r="Z704" s="142"/>
      <c r="AA704" s="142"/>
      <c r="AB704" s="142"/>
      <c r="AC704" s="142"/>
      <c r="AD704" s="142"/>
      <c r="AE704" s="142"/>
      <c r="AF704" s="142"/>
      <c r="AG704" s="142"/>
      <c r="AH704" s="142"/>
      <c r="AI704" s="142"/>
      <c r="AJ704" s="142"/>
      <c r="AK704" s="142"/>
      <c r="AL704" s="142"/>
      <c r="AM704" s="142"/>
      <c r="AN704" s="142"/>
      <c r="AO704" s="131"/>
    </row>
    <row r="705" ht="13.5" customHeight="1">
      <c r="A705" s="142"/>
      <c r="B705" s="142"/>
      <c r="C705" s="142"/>
      <c r="D705" s="142"/>
      <c r="E705" s="308"/>
      <c r="F705" s="131"/>
      <c r="G705" s="131"/>
      <c r="H705" s="131"/>
      <c r="I705" s="219"/>
      <c r="J705" s="198"/>
      <c r="K705" s="131"/>
      <c r="L705" s="131"/>
      <c r="M705" s="131"/>
      <c r="N705" s="131"/>
      <c r="O705" s="131"/>
      <c r="P705" s="131"/>
      <c r="Q705" s="131"/>
      <c r="R705" s="131"/>
      <c r="S705" s="131"/>
      <c r="T705" s="131"/>
      <c r="U705" s="131"/>
      <c r="V705" s="131"/>
      <c r="W705" s="131"/>
      <c r="X705" s="131"/>
      <c r="Y705" s="131"/>
      <c r="Z705" s="142"/>
      <c r="AA705" s="142"/>
      <c r="AB705" s="142"/>
      <c r="AC705" s="142"/>
      <c r="AD705" s="142"/>
      <c r="AE705" s="142"/>
      <c r="AF705" s="142"/>
      <c r="AG705" s="142"/>
      <c r="AH705" s="142"/>
      <c r="AI705" s="142"/>
      <c r="AJ705" s="142"/>
      <c r="AK705" s="142"/>
      <c r="AL705" s="142"/>
      <c r="AM705" s="142"/>
      <c r="AN705" s="142"/>
      <c r="AO705" s="131"/>
    </row>
    <row r="706" ht="13.5" customHeight="1">
      <c r="A706" s="142"/>
      <c r="B706" s="142"/>
      <c r="C706" s="142"/>
      <c r="D706" s="142"/>
      <c r="E706" s="308"/>
      <c r="F706" s="131"/>
      <c r="G706" s="131"/>
      <c r="H706" s="131"/>
      <c r="I706" s="219"/>
      <c r="J706" s="198"/>
      <c r="K706" s="131"/>
      <c r="L706" s="131"/>
      <c r="M706" s="131"/>
      <c r="N706" s="131"/>
      <c r="O706" s="131"/>
      <c r="P706" s="131"/>
      <c r="Q706" s="131"/>
      <c r="R706" s="131"/>
      <c r="S706" s="131"/>
      <c r="T706" s="131"/>
      <c r="U706" s="131"/>
      <c r="V706" s="131"/>
      <c r="W706" s="131"/>
      <c r="X706" s="131"/>
      <c r="Y706" s="131"/>
      <c r="Z706" s="142"/>
      <c r="AA706" s="142"/>
      <c r="AB706" s="142"/>
      <c r="AC706" s="142"/>
      <c r="AD706" s="142"/>
      <c r="AE706" s="142"/>
      <c r="AF706" s="142"/>
      <c r="AG706" s="142"/>
      <c r="AH706" s="142"/>
      <c r="AI706" s="142"/>
      <c r="AJ706" s="142"/>
      <c r="AK706" s="142"/>
      <c r="AL706" s="142"/>
      <c r="AM706" s="142"/>
      <c r="AN706" s="142"/>
      <c r="AO706" s="131"/>
    </row>
    <row r="707" ht="13.5" customHeight="1">
      <c r="A707" s="142"/>
      <c r="B707" s="142"/>
      <c r="C707" s="142"/>
      <c r="D707" s="142"/>
      <c r="E707" s="308"/>
      <c r="F707" s="131"/>
      <c r="G707" s="131"/>
      <c r="H707" s="131"/>
      <c r="I707" s="219"/>
      <c r="J707" s="198"/>
      <c r="K707" s="131"/>
      <c r="L707" s="131"/>
      <c r="M707" s="131"/>
      <c r="N707" s="131"/>
      <c r="O707" s="131"/>
      <c r="P707" s="131"/>
      <c r="Q707" s="131"/>
      <c r="R707" s="131"/>
      <c r="S707" s="131"/>
      <c r="T707" s="131"/>
      <c r="U707" s="131"/>
      <c r="V707" s="131"/>
      <c r="W707" s="131"/>
      <c r="X707" s="131"/>
      <c r="Y707" s="131"/>
      <c r="Z707" s="142"/>
      <c r="AA707" s="142"/>
      <c r="AB707" s="142"/>
      <c r="AC707" s="142"/>
      <c r="AD707" s="142"/>
      <c r="AE707" s="142"/>
      <c r="AF707" s="142"/>
      <c r="AG707" s="142"/>
      <c r="AH707" s="142"/>
      <c r="AI707" s="142"/>
      <c r="AJ707" s="142"/>
      <c r="AK707" s="142"/>
      <c r="AL707" s="142"/>
      <c r="AM707" s="142"/>
      <c r="AN707" s="142"/>
      <c r="AO707" s="131"/>
    </row>
    <row r="708" ht="13.5" customHeight="1">
      <c r="A708" s="142"/>
      <c r="B708" s="142"/>
      <c r="C708" s="142"/>
      <c r="D708" s="142"/>
      <c r="E708" s="308"/>
      <c r="F708" s="131"/>
      <c r="G708" s="131"/>
      <c r="H708" s="131"/>
      <c r="I708" s="219"/>
      <c r="J708" s="198"/>
      <c r="K708" s="131"/>
      <c r="L708" s="131"/>
      <c r="M708" s="131"/>
      <c r="N708" s="131"/>
      <c r="O708" s="131"/>
      <c r="P708" s="131"/>
      <c r="Q708" s="131"/>
      <c r="R708" s="131"/>
      <c r="S708" s="131"/>
      <c r="T708" s="131"/>
      <c r="U708" s="131"/>
      <c r="V708" s="131"/>
      <c r="W708" s="131"/>
      <c r="X708" s="131"/>
      <c r="Y708" s="131"/>
      <c r="Z708" s="142"/>
      <c r="AA708" s="142"/>
      <c r="AB708" s="142"/>
      <c r="AC708" s="142"/>
      <c r="AD708" s="142"/>
      <c r="AE708" s="142"/>
      <c r="AF708" s="142"/>
      <c r="AG708" s="142"/>
      <c r="AH708" s="142"/>
      <c r="AI708" s="142"/>
      <c r="AJ708" s="142"/>
      <c r="AK708" s="142"/>
      <c r="AL708" s="142"/>
      <c r="AM708" s="142"/>
      <c r="AN708" s="142"/>
      <c r="AO708" s="131"/>
    </row>
    <row r="709" ht="13.5" customHeight="1">
      <c r="A709" s="142"/>
      <c r="B709" s="142"/>
      <c r="C709" s="142"/>
      <c r="D709" s="142"/>
      <c r="E709" s="308"/>
      <c r="F709" s="131"/>
      <c r="G709" s="131"/>
      <c r="H709" s="131"/>
      <c r="I709" s="219"/>
      <c r="J709" s="198"/>
      <c r="K709" s="131"/>
      <c r="L709" s="131"/>
      <c r="M709" s="131"/>
      <c r="N709" s="131"/>
      <c r="O709" s="131"/>
      <c r="P709" s="131"/>
      <c r="Q709" s="131"/>
      <c r="R709" s="131"/>
      <c r="S709" s="131"/>
      <c r="T709" s="131"/>
      <c r="U709" s="131"/>
      <c r="V709" s="131"/>
      <c r="W709" s="131"/>
      <c r="X709" s="131"/>
      <c r="Y709" s="131"/>
      <c r="Z709" s="142"/>
      <c r="AA709" s="142"/>
      <c r="AB709" s="142"/>
      <c r="AC709" s="142"/>
      <c r="AD709" s="142"/>
      <c r="AE709" s="142"/>
      <c r="AF709" s="142"/>
      <c r="AG709" s="142"/>
      <c r="AH709" s="142"/>
      <c r="AI709" s="142"/>
      <c r="AJ709" s="142"/>
      <c r="AK709" s="142"/>
      <c r="AL709" s="142"/>
      <c r="AM709" s="142"/>
      <c r="AN709" s="142"/>
      <c r="AO709" s="131"/>
    </row>
    <row r="710" ht="13.5" customHeight="1">
      <c r="A710" s="142"/>
      <c r="B710" s="142"/>
      <c r="C710" s="142"/>
      <c r="D710" s="142"/>
      <c r="E710" s="308"/>
      <c r="F710" s="131"/>
      <c r="G710" s="131"/>
      <c r="H710" s="131"/>
      <c r="I710" s="219"/>
      <c r="J710" s="198"/>
      <c r="K710" s="131"/>
      <c r="L710" s="131"/>
      <c r="M710" s="131"/>
      <c r="N710" s="131"/>
      <c r="O710" s="131"/>
      <c r="P710" s="131"/>
      <c r="Q710" s="131"/>
      <c r="R710" s="131"/>
      <c r="S710" s="131"/>
      <c r="T710" s="131"/>
      <c r="U710" s="131"/>
      <c r="V710" s="131"/>
      <c r="W710" s="131"/>
      <c r="X710" s="131"/>
      <c r="Y710" s="131"/>
      <c r="Z710" s="142"/>
      <c r="AA710" s="142"/>
      <c r="AB710" s="142"/>
      <c r="AC710" s="142"/>
      <c r="AD710" s="142"/>
      <c r="AE710" s="142"/>
      <c r="AF710" s="142"/>
      <c r="AG710" s="142"/>
      <c r="AH710" s="142"/>
      <c r="AI710" s="142"/>
      <c r="AJ710" s="142"/>
      <c r="AK710" s="142"/>
      <c r="AL710" s="142"/>
      <c r="AM710" s="142"/>
      <c r="AN710" s="142"/>
      <c r="AO710" s="131"/>
    </row>
    <row r="711" ht="13.5" customHeight="1">
      <c r="A711" s="142"/>
      <c r="B711" s="142"/>
      <c r="C711" s="142"/>
      <c r="D711" s="142"/>
      <c r="E711" s="308"/>
      <c r="F711" s="131"/>
      <c r="G711" s="131"/>
      <c r="H711" s="131"/>
      <c r="I711" s="219"/>
      <c r="J711" s="198"/>
      <c r="K711" s="131"/>
      <c r="L711" s="131"/>
      <c r="M711" s="131"/>
      <c r="N711" s="131"/>
      <c r="O711" s="131"/>
      <c r="P711" s="131"/>
      <c r="Q711" s="131"/>
      <c r="R711" s="131"/>
      <c r="S711" s="131"/>
      <c r="T711" s="131"/>
      <c r="U711" s="131"/>
      <c r="V711" s="131"/>
      <c r="W711" s="131"/>
      <c r="X711" s="131"/>
      <c r="Y711" s="131"/>
      <c r="Z711" s="142"/>
      <c r="AA711" s="142"/>
      <c r="AB711" s="142"/>
      <c r="AC711" s="142"/>
      <c r="AD711" s="142"/>
      <c r="AE711" s="142"/>
      <c r="AF711" s="142"/>
      <c r="AG711" s="142"/>
      <c r="AH711" s="142"/>
      <c r="AI711" s="142"/>
      <c r="AJ711" s="142"/>
      <c r="AK711" s="142"/>
      <c r="AL711" s="142"/>
      <c r="AM711" s="142"/>
      <c r="AN711" s="142"/>
      <c r="AO711" s="131"/>
    </row>
    <row r="712" ht="13.5" customHeight="1">
      <c r="A712" s="142"/>
      <c r="B712" s="142"/>
      <c r="C712" s="142"/>
      <c r="D712" s="142"/>
      <c r="E712" s="308"/>
      <c r="F712" s="131"/>
      <c r="G712" s="131"/>
      <c r="H712" s="131"/>
      <c r="I712" s="219"/>
      <c r="J712" s="198"/>
      <c r="K712" s="131"/>
      <c r="L712" s="131"/>
      <c r="M712" s="131"/>
      <c r="N712" s="131"/>
      <c r="O712" s="131"/>
      <c r="P712" s="131"/>
      <c r="Q712" s="131"/>
      <c r="R712" s="131"/>
      <c r="S712" s="131"/>
      <c r="T712" s="131"/>
      <c r="U712" s="131"/>
      <c r="V712" s="131"/>
      <c r="W712" s="131"/>
      <c r="X712" s="131"/>
      <c r="Y712" s="131"/>
      <c r="Z712" s="142"/>
      <c r="AA712" s="142"/>
      <c r="AB712" s="142"/>
      <c r="AC712" s="142"/>
      <c r="AD712" s="142"/>
      <c r="AE712" s="142"/>
      <c r="AF712" s="142"/>
      <c r="AG712" s="142"/>
      <c r="AH712" s="142"/>
      <c r="AI712" s="142"/>
      <c r="AJ712" s="142"/>
      <c r="AK712" s="142"/>
      <c r="AL712" s="142"/>
      <c r="AM712" s="142"/>
      <c r="AN712" s="142"/>
      <c r="AO712" s="131"/>
    </row>
    <row r="713" ht="13.5" customHeight="1">
      <c r="A713" s="142"/>
      <c r="B713" s="142"/>
      <c r="C713" s="142"/>
      <c r="D713" s="142"/>
      <c r="E713" s="308"/>
      <c r="F713" s="131"/>
      <c r="G713" s="131"/>
      <c r="H713" s="131"/>
      <c r="I713" s="219"/>
      <c r="J713" s="198"/>
      <c r="K713" s="131"/>
      <c r="L713" s="131"/>
      <c r="M713" s="131"/>
      <c r="N713" s="131"/>
      <c r="O713" s="131"/>
      <c r="P713" s="131"/>
      <c r="Q713" s="131"/>
      <c r="R713" s="131"/>
      <c r="S713" s="131"/>
      <c r="T713" s="131"/>
      <c r="U713" s="131"/>
      <c r="V713" s="131"/>
      <c r="W713" s="131"/>
      <c r="X713" s="131"/>
      <c r="Y713" s="131"/>
      <c r="Z713" s="142"/>
      <c r="AA713" s="142"/>
      <c r="AB713" s="142"/>
      <c r="AC713" s="142"/>
      <c r="AD713" s="142"/>
      <c r="AE713" s="142"/>
      <c r="AF713" s="142"/>
      <c r="AG713" s="142"/>
      <c r="AH713" s="142"/>
      <c r="AI713" s="142"/>
      <c r="AJ713" s="142"/>
      <c r="AK713" s="142"/>
      <c r="AL713" s="142"/>
      <c r="AM713" s="142"/>
      <c r="AN713" s="142"/>
      <c r="AO713" s="131"/>
    </row>
    <row r="714" ht="13.5" customHeight="1">
      <c r="A714" s="142"/>
      <c r="B714" s="142"/>
      <c r="C714" s="142"/>
      <c r="D714" s="142"/>
      <c r="E714" s="308"/>
      <c r="F714" s="131"/>
      <c r="G714" s="131"/>
      <c r="H714" s="131"/>
      <c r="I714" s="219"/>
      <c r="J714" s="198"/>
      <c r="K714" s="131"/>
      <c r="L714" s="131"/>
      <c r="M714" s="131"/>
      <c r="N714" s="131"/>
      <c r="O714" s="131"/>
      <c r="P714" s="131"/>
      <c r="Q714" s="131"/>
      <c r="R714" s="131"/>
      <c r="S714" s="131"/>
      <c r="T714" s="131"/>
      <c r="U714" s="131"/>
      <c r="V714" s="131"/>
      <c r="W714" s="131"/>
      <c r="X714" s="131"/>
      <c r="Y714" s="131"/>
      <c r="Z714" s="142"/>
      <c r="AA714" s="142"/>
      <c r="AB714" s="142"/>
      <c r="AC714" s="142"/>
      <c r="AD714" s="142"/>
      <c r="AE714" s="142"/>
      <c r="AF714" s="142"/>
      <c r="AG714" s="142"/>
      <c r="AH714" s="142"/>
      <c r="AI714" s="142"/>
      <c r="AJ714" s="142"/>
      <c r="AK714" s="142"/>
      <c r="AL714" s="142"/>
      <c r="AM714" s="142"/>
      <c r="AN714" s="142"/>
      <c r="AO714" s="131"/>
    </row>
    <row r="715" ht="13.5" customHeight="1">
      <c r="A715" s="142"/>
      <c r="B715" s="142"/>
      <c r="C715" s="142"/>
      <c r="D715" s="142"/>
      <c r="E715" s="308"/>
      <c r="F715" s="131"/>
      <c r="G715" s="131"/>
      <c r="H715" s="131"/>
      <c r="I715" s="219"/>
      <c r="J715" s="198"/>
      <c r="K715" s="131"/>
      <c r="L715" s="131"/>
      <c r="M715" s="131"/>
      <c r="N715" s="131"/>
      <c r="O715" s="131"/>
      <c r="P715" s="131"/>
      <c r="Q715" s="131"/>
      <c r="R715" s="131"/>
      <c r="S715" s="131"/>
      <c r="T715" s="131"/>
      <c r="U715" s="131"/>
      <c r="V715" s="131"/>
      <c r="W715" s="131"/>
      <c r="X715" s="131"/>
      <c r="Y715" s="131"/>
      <c r="Z715" s="142"/>
      <c r="AA715" s="142"/>
      <c r="AB715" s="142"/>
      <c r="AC715" s="142"/>
      <c r="AD715" s="142"/>
      <c r="AE715" s="142"/>
      <c r="AF715" s="142"/>
      <c r="AG715" s="142"/>
      <c r="AH715" s="142"/>
      <c r="AI715" s="142"/>
      <c r="AJ715" s="142"/>
      <c r="AK715" s="142"/>
      <c r="AL715" s="142"/>
      <c r="AM715" s="142"/>
      <c r="AN715" s="142"/>
      <c r="AO715" s="131"/>
    </row>
    <row r="716" ht="13.5" customHeight="1">
      <c r="A716" s="142"/>
      <c r="B716" s="142"/>
      <c r="C716" s="142"/>
      <c r="D716" s="142"/>
      <c r="E716" s="308"/>
      <c r="F716" s="131"/>
      <c r="G716" s="131"/>
      <c r="H716" s="131"/>
      <c r="I716" s="219"/>
      <c r="J716" s="198"/>
      <c r="K716" s="131"/>
      <c r="L716" s="131"/>
      <c r="M716" s="131"/>
      <c r="N716" s="131"/>
      <c r="O716" s="131"/>
      <c r="P716" s="131"/>
      <c r="Q716" s="131"/>
      <c r="R716" s="131"/>
      <c r="S716" s="131"/>
      <c r="T716" s="131"/>
      <c r="U716" s="131"/>
      <c r="V716" s="131"/>
      <c r="W716" s="131"/>
      <c r="X716" s="131"/>
      <c r="Y716" s="131"/>
      <c r="Z716" s="142"/>
      <c r="AA716" s="142"/>
      <c r="AB716" s="142"/>
      <c r="AC716" s="142"/>
      <c r="AD716" s="142"/>
      <c r="AE716" s="142"/>
      <c r="AF716" s="142"/>
      <c r="AG716" s="142"/>
      <c r="AH716" s="142"/>
      <c r="AI716" s="142"/>
      <c r="AJ716" s="142"/>
      <c r="AK716" s="142"/>
      <c r="AL716" s="142"/>
      <c r="AM716" s="142"/>
      <c r="AN716" s="142"/>
      <c r="AO716" s="131"/>
    </row>
    <row r="717" ht="13.5" customHeight="1">
      <c r="A717" s="142"/>
      <c r="B717" s="142"/>
      <c r="C717" s="142"/>
      <c r="D717" s="142"/>
      <c r="E717" s="308"/>
      <c r="F717" s="131"/>
      <c r="G717" s="131"/>
      <c r="H717" s="131"/>
      <c r="I717" s="219"/>
      <c r="J717" s="198"/>
      <c r="K717" s="131"/>
      <c r="L717" s="131"/>
      <c r="M717" s="131"/>
      <c r="N717" s="131"/>
      <c r="O717" s="131"/>
      <c r="P717" s="131"/>
      <c r="Q717" s="131"/>
      <c r="R717" s="131"/>
      <c r="S717" s="131"/>
      <c r="T717" s="131"/>
      <c r="U717" s="131"/>
      <c r="V717" s="131"/>
      <c r="W717" s="131"/>
      <c r="X717" s="131"/>
      <c r="Y717" s="131"/>
      <c r="Z717" s="142"/>
      <c r="AA717" s="142"/>
      <c r="AB717" s="142"/>
      <c r="AC717" s="142"/>
      <c r="AD717" s="142"/>
      <c r="AE717" s="142"/>
      <c r="AF717" s="142"/>
      <c r="AG717" s="142"/>
      <c r="AH717" s="142"/>
      <c r="AI717" s="142"/>
      <c r="AJ717" s="142"/>
      <c r="AK717" s="142"/>
      <c r="AL717" s="142"/>
      <c r="AM717" s="142"/>
      <c r="AN717" s="142"/>
      <c r="AO717" s="131"/>
    </row>
    <row r="718" ht="13.5" customHeight="1">
      <c r="A718" s="142"/>
      <c r="B718" s="142"/>
      <c r="C718" s="142"/>
      <c r="D718" s="142"/>
      <c r="E718" s="308"/>
      <c r="F718" s="131"/>
      <c r="G718" s="131"/>
      <c r="H718" s="131"/>
      <c r="I718" s="219"/>
      <c r="J718" s="198"/>
      <c r="K718" s="131"/>
      <c r="L718" s="131"/>
      <c r="M718" s="131"/>
      <c r="N718" s="131"/>
      <c r="O718" s="131"/>
      <c r="P718" s="131"/>
      <c r="Q718" s="131"/>
      <c r="R718" s="131"/>
      <c r="S718" s="131"/>
      <c r="T718" s="131"/>
      <c r="U718" s="131"/>
      <c r="V718" s="131"/>
      <c r="W718" s="131"/>
      <c r="X718" s="131"/>
      <c r="Y718" s="131"/>
      <c r="Z718" s="142"/>
      <c r="AA718" s="142"/>
      <c r="AB718" s="142"/>
      <c r="AC718" s="142"/>
      <c r="AD718" s="142"/>
      <c r="AE718" s="142"/>
      <c r="AF718" s="142"/>
      <c r="AG718" s="142"/>
      <c r="AH718" s="142"/>
      <c r="AI718" s="142"/>
      <c r="AJ718" s="142"/>
      <c r="AK718" s="142"/>
      <c r="AL718" s="142"/>
      <c r="AM718" s="142"/>
      <c r="AN718" s="142"/>
      <c r="AO718" s="131"/>
    </row>
    <row r="719" ht="13.5" customHeight="1">
      <c r="A719" s="142"/>
      <c r="B719" s="142"/>
      <c r="C719" s="142"/>
      <c r="D719" s="142"/>
      <c r="E719" s="308"/>
      <c r="F719" s="131"/>
      <c r="G719" s="131"/>
      <c r="H719" s="131"/>
      <c r="I719" s="219"/>
      <c r="J719" s="198"/>
      <c r="K719" s="131"/>
      <c r="L719" s="131"/>
      <c r="M719" s="131"/>
      <c r="N719" s="131"/>
      <c r="O719" s="131"/>
      <c r="P719" s="131"/>
      <c r="Q719" s="131"/>
      <c r="R719" s="131"/>
      <c r="S719" s="131"/>
      <c r="T719" s="131"/>
      <c r="U719" s="131"/>
      <c r="V719" s="131"/>
      <c r="W719" s="131"/>
      <c r="X719" s="131"/>
      <c r="Y719" s="131"/>
      <c r="Z719" s="142"/>
      <c r="AA719" s="142"/>
      <c r="AB719" s="142"/>
      <c r="AC719" s="142"/>
      <c r="AD719" s="142"/>
      <c r="AE719" s="142"/>
      <c r="AF719" s="142"/>
      <c r="AG719" s="142"/>
      <c r="AH719" s="142"/>
      <c r="AI719" s="142"/>
      <c r="AJ719" s="142"/>
      <c r="AK719" s="142"/>
      <c r="AL719" s="142"/>
      <c r="AM719" s="142"/>
      <c r="AN719" s="142"/>
      <c r="AO719" s="131"/>
    </row>
    <row r="720" ht="13.5" customHeight="1">
      <c r="A720" s="142"/>
      <c r="B720" s="142"/>
      <c r="C720" s="142"/>
      <c r="D720" s="142"/>
      <c r="E720" s="308"/>
      <c r="F720" s="131"/>
      <c r="G720" s="131"/>
      <c r="H720" s="131"/>
      <c r="I720" s="219"/>
      <c r="J720" s="198"/>
      <c r="K720" s="131"/>
      <c r="L720" s="131"/>
      <c r="M720" s="131"/>
      <c r="N720" s="131"/>
      <c r="O720" s="131"/>
      <c r="P720" s="131"/>
      <c r="Q720" s="131"/>
      <c r="R720" s="131"/>
      <c r="S720" s="131"/>
      <c r="T720" s="131"/>
      <c r="U720" s="131"/>
      <c r="V720" s="131"/>
      <c r="W720" s="131"/>
      <c r="X720" s="131"/>
      <c r="Y720" s="131"/>
      <c r="Z720" s="142"/>
      <c r="AA720" s="142"/>
      <c r="AB720" s="142"/>
      <c r="AC720" s="142"/>
      <c r="AD720" s="142"/>
      <c r="AE720" s="142"/>
      <c r="AF720" s="142"/>
      <c r="AG720" s="142"/>
      <c r="AH720" s="142"/>
      <c r="AI720" s="142"/>
      <c r="AJ720" s="142"/>
      <c r="AK720" s="142"/>
      <c r="AL720" s="142"/>
      <c r="AM720" s="142"/>
      <c r="AN720" s="142"/>
      <c r="AO720" s="131"/>
    </row>
    <row r="721" ht="13.5" customHeight="1">
      <c r="A721" s="142"/>
      <c r="B721" s="142"/>
      <c r="C721" s="142"/>
      <c r="D721" s="142"/>
      <c r="E721" s="308"/>
      <c r="F721" s="131"/>
      <c r="G721" s="131"/>
      <c r="H721" s="131"/>
      <c r="I721" s="219"/>
      <c r="J721" s="198"/>
      <c r="K721" s="131"/>
      <c r="L721" s="131"/>
      <c r="M721" s="131"/>
      <c r="N721" s="131"/>
      <c r="O721" s="131"/>
      <c r="P721" s="131"/>
      <c r="Q721" s="131"/>
      <c r="R721" s="131"/>
      <c r="S721" s="131"/>
      <c r="T721" s="131"/>
      <c r="U721" s="131"/>
      <c r="V721" s="131"/>
      <c r="W721" s="131"/>
      <c r="X721" s="131"/>
      <c r="Y721" s="131"/>
      <c r="Z721" s="142"/>
      <c r="AA721" s="142"/>
      <c r="AB721" s="142"/>
      <c r="AC721" s="142"/>
      <c r="AD721" s="142"/>
      <c r="AE721" s="142"/>
      <c r="AF721" s="142"/>
      <c r="AG721" s="142"/>
      <c r="AH721" s="142"/>
      <c r="AI721" s="142"/>
      <c r="AJ721" s="142"/>
      <c r="AK721" s="142"/>
      <c r="AL721" s="142"/>
      <c r="AM721" s="142"/>
      <c r="AN721" s="142"/>
      <c r="AO721" s="131"/>
    </row>
    <row r="722" ht="13.5" customHeight="1">
      <c r="A722" s="142"/>
      <c r="B722" s="142"/>
      <c r="C722" s="142"/>
      <c r="D722" s="142"/>
      <c r="E722" s="308"/>
      <c r="F722" s="131"/>
      <c r="G722" s="131"/>
      <c r="H722" s="131"/>
      <c r="I722" s="219"/>
      <c r="J722" s="198"/>
      <c r="K722" s="131"/>
      <c r="L722" s="131"/>
      <c r="M722" s="131"/>
      <c r="N722" s="131"/>
      <c r="O722" s="131"/>
      <c r="P722" s="131"/>
      <c r="Q722" s="131"/>
      <c r="R722" s="131"/>
      <c r="S722" s="131"/>
      <c r="T722" s="131"/>
      <c r="U722" s="131"/>
      <c r="V722" s="131"/>
      <c r="W722" s="131"/>
      <c r="X722" s="131"/>
      <c r="Y722" s="131"/>
      <c r="Z722" s="142"/>
      <c r="AA722" s="142"/>
      <c r="AB722" s="142"/>
      <c r="AC722" s="142"/>
      <c r="AD722" s="142"/>
      <c r="AE722" s="142"/>
      <c r="AF722" s="142"/>
      <c r="AG722" s="142"/>
      <c r="AH722" s="142"/>
      <c r="AI722" s="142"/>
      <c r="AJ722" s="142"/>
      <c r="AK722" s="142"/>
      <c r="AL722" s="142"/>
      <c r="AM722" s="142"/>
      <c r="AN722" s="142"/>
      <c r="AO722" s="131"/>
    </row>
    <row r="723" ht="13.5" customHeight="1">
      <c r="A723" s="142"/>
      <c r="B723" s="142"/>
      <c r="C723" s="142"/>
      <c r="D723" s="142"/>
      <c r="E723" s="308"/>
      <c r="F723" s="131"/>
      <c r="G723" s="131"/>
      <c r="H723" s="131"/>
      <c r="I723" s="219"/>
      <c r="J723" s="198"/>
      <c r="K723" s="131"/>
      <c r="L723" s="131"/>
      <c r="M723" s="131"/>
      <c r="N723" s="131"/>
      <c r="O723" s="131"/>
      <c r="P723" s="131"/>
      <c r="Q723" s="131"/>
      <c r="R723" s="131"/>
      <c r="S723" s="131"/>
      <c r="T723" s="131"/>
      <c r="U723" s="131"/>
      <c r="V723" s="131"/>
      <c r="W723" s="131"/>
      <c r="X723" s="131"/>
      <c r="Y723" s="131"/>
      <c r="Z723" s="142"/>
      <c r="AA723" s="142"/>
      <c r="AB723" s="142"/>
      <c r="AC723" s="142"/>
      <c r="AD723" s="142"/>
      <c r="AE723" s="142"/>
      <c r="AF723" s="142"/>
      <c r="AG723" s="142"/>
      <c r="AH723" s="142"/>
      <c r="AI723" s="142"/>
      <c r="AJ723" s="142"/>
      <c r="AK723" s="142"/>
      <c r="AL723" s="142"/>
      <c r="AM723" s="142"/>
      <c r="AN723" s="142"/>
      <c r="AO723" s="131"/>
    </row>
    <row r="724" ht="13.5" customHeight="1">
      <c r="A724" s="142"/>
      <c r="B724" s="142"/>
      <c r="C724" s="142"/>
      <c r="D724" s="142"/>
      <c r="E724" s="308"/>
      <c r="F724" s="131"/>
      <c r="G724" s="131"/>
      <c r="H724" s="131"/>
      <c r="I724" s="219"/>
      <c r="J724" s="198"/>
      <c r="K724" s="131"/>
      <c r="L724" s="131"/>
      <c r="M724" s="131"/>
      <c r="N724" s="131"/>
      <c r="O724" s="131"/>
      <c r="P724" s="131"/>
      <c r="Q724" s="131"/>
      <c r="R724" s="131"/>
      <c r="S724" s="131"/>
      <c r="T724" s="131"/>
      <c r="U724" s="131"/>
      <c r="V724" s="131"/>
      <c r="W724" s="131"/>
      <c r="X724" s="131"/>
      <c r="Y724" s="131"/>
      <c r="Z724" s="142"/>
      <c r="AA724" s="142"/>
      <c r="AB724" s="142"/>
      <c r="AC724" s="142"/>
      <c r="AD724" s="142"/>
      <c r="AE724" s="142"/>
      <c r="AF724" s="142"/>
      <c r="AG724" s="142"/>
      <c r="AH724" s="142"/>
      <c r="AI724" s="142"/>
      <c r="AJ724" s="142"/>
      <c r="AK724" s="142"/>
      <c r="AL724" s="142"/>
      <c r="AM724" s="142"/>
      <c r="AN724" s="142"/>
      <c r="AO724" s="131"/>
    </row>
    <row r="725" ht="13.5" customHeight="1">
      <c r="A725" s="142"/>
      <c r="B725" s="142"/>
      <c r="C725" s="142"/>
      <c r="D725" s="142"/>
      <c r="E725" s="308"/>
      <c r="F725" s="131"/>
      <c r="G725" s="131"/>
      <c r="H725" s="131"/>
      <c r="I725" s="219"/>
      <c r="J725" s="198"/>
      <c r="K725" s="131"/>
      <c r="L725" s="131"/>
      <c r="M725" s="131"/>
      <c r="N725" s="131"/>
      <c r="O725" s="131"/>
      <c r="P725" s="131"/>
      <c r="Q725" s="131"/>
      <c r="R725" s="131"/>
      <c r="S725" s="131"/>
      <c r="T725" s="131"/>
      <c r="U725" s="131"/>
      <c r="V725" s="131"/>
      <c r="W725" s="131"/>
      <c r="X725" s="131"/>
      <c r="Y725" s="131"/>
      <c r="Z725" s="142"/>
      <c r="AA725" s="142"/>
      <c r="AB725" s="142"/>
      <c r="AC725" s="142"/>
      <c r="AD725" s="142"/>
      <c r="AE725" s="142"/>
      <c r="AF725" s="142"/>
      <c r="AG725" s="142"/>
      <c r="AH725" s="142"/>
      <c r="AI725" s="142"/>
      <c r="AJ725" s="142"/>
      <c r="AK725" s="142"/>
      <c r="AL725" s="142"/>
      <c r="AM725" s="142"/>
      <c r="AN725" s="142"/>
      <c r="AO725" s="131"/>
    </row>
    <row r="726" ht="13.5" customHeight="1">
      <c r="A726" s="142"/>
      <c r="B726" s="142"/>
      <c r="C726" s="142"/>
      <c r="D726" s="142"/>
      <c r="E726" s="308"/>
      <c r="F726" s="131"/>
      <c r="G726" s="131"/>
      <c r="H726" s="131"/>
      <c r="I726" s="219"/>
      <c r="J726" s="198"/>
      <c r="K726" s="131"/>
      <c r="L726" s="131"/>
      <c r="M726" s="131"/>
      <c r="N726" s="131"/>
      <c r="O726" s="131"/>
      <c r="P726" s="131"/>
      <c r="Q726" s="131"/>
      <c r="R726" s="131"/>
      <c r="S726" s="131"/>
      <c r="T726" s="131"/>
      <c r="U726" s="131"/>
      <c r="V726" s="131"/>
      <c r="W726" s="131"/>
      <c r="X726" s="131"/>
      <c r="Y726" s="131"/>
      <c r="Z726" s="142"/>
      <c r="AA726" s="142"/>
      <c r="AB726" s="142"/>
      <c r="AC726" s="142"/>
      <c r="AD726" s="142"/>
      <c r="AE726" s="142"/>
      <c r="AF726" s="142"/>
      <c r="AG726" s="142"/>
      <c r="AH726" s="142"/>
      <c r="AI726" s="142"/>
      <c r="AJ726" s="142"/>
      <c r="AK726" s="142"/>
      <c r="AL726" s="142"/>
      <c r="AM726" s="142"/>
      <c r="AN726" s="142"/>
      <c r="AO726" s="131"/>
    </row>
    <row r="727" ht="13.5" customHeight="1">
      <c r="A727" s="142"/>
      <c r="B727" s="142"/>
      <c r="C727" s="142"/>
      <c r="D727" s="142"/>
      <c r="E727" s="308"/>
      <c r="F727" s="131"/>
      <c r="G727" s="131"/>
      <c r="H727" s="131"/>
      <c r="I727" s="219"/>
      <c r="J727" s="198"/>
      <c r="K727" s="131"/>
      <c r="L727" s="131"/>
      <c r="M727" s="131"/>
      <c r="N727" s="131"/>
      <c r="O727" s="131"/>
      <c r="P727" s="131"/>
      <c r="Q727" s="131"/>
      <c r="R727" s="131"/>
      <c r="S727" s="131"/>
      <c r="T727" s="131"/>
      <c r="U727" s="131"/>
      <c r="V727" s="131"/>
      <c r="W727" s="131"/>
      <c r="X727" s="131"/>
      <c r="Y727" s="131"/>
      <c r="Z727" s="142"/>
      <c r="AA727" s="142"/>
      <c r="AB727" s="142"/>
      <c r="AC727" s="142"/>
      <c r="AD727" s="142"/>
      <c r="AE727" s="142"/>
      <c r="AF727" s="142"/>
      <c r="AG727" s="142"/>
      <c r="AH727" s="142"/>
      <c r="AI727" s="142"/>
      <c r="AJ727" s="142"/>
      <c r="AK727" s="142"/>
      <c r="AL727" s="142"/>
      <c r="AM727" s="142"/>
      <c r="AN727" s="142"/>
      <c r="AO727" s="131"/>
    </row>
    <row r="728" ht="13.5" customHeight="1">
      <c r="A728" s="142"/>
      <c r="B728" s="142"/>
      <c r="C728" s="142"/>
      <c r="D728" s="142"/>
      <c r="E728" s="308"/>
      <c r="F728" s="131"/>
      <c r="G728" s="131"/>
      <c r="H728" s="131"/>
      <c r="I728" s="219"/>
      <c r="J728" s="198"/>
      <c r="K728" s="131"/>
      <c r="L728" s="131"/>
      <c r="M728" s="131"/>
      <c r="N728" s="131"/>
      <c r="O728" s="131"/>
      <c r="P728" s="131"/>
      <c r="Q728" s="131"/>
      <c r="R728" s="131"/>
      <c r="S728" s="131"/>
      <c r="T728" s="131"/>
      <c r="U728" s="131"/>
      <c r="V728" s="131"/>
      <c r="W728" s="131"/>
      <c r="X728" s="131"/>
      <c r="Y728" s="131"/>
      <c r="Z728" s="142"/>
      <c r="AA728" s="142"/>
      <c r="AB728" s="142"/>
      <c r="AC728" s="142"/>
      <c r="AD728" s="142"/>
      <c r="AE728" s="142"/>
      <c r="AF728" s="142"/>
      <c r="AG728" s="142"/>
      <c r="AH728" s="142"/>
      <c r="AI728" s="142"/>
      <c r="AJ728" s="142"/>
      <c r="AK728" s="142"/>
      <c r="AL728" s="142"/>
      <c r="AM728" s="142"/>
      <c r="AN728" s="142"/>
      <c r="AO728" s="131"/>
    </row>
    <row r="729" ht="13.5" customHeight="1">
      <c r="A729" s="142"/>
      <c r="B729" s="142"/>
      <c r="C729" s="142"/>
      <c r="D729" s="142"/>
      <c r="E729" s="308"/>
      <c r="F729" s="131"/>
      <c r="G729" s="131"/>
      <c r="H729" s="131"/>
      <c r="I729" s="219"/>
      <c r="J729" s="198"/>
      <c r="K729" s="131"/>
      <c r="L729" s="131"/>
      <c r="M729" s="131"/>
      <c r="N729" s="131"/>
      <c r="O729" s="131"/>
      <c r="P729" s="131"/>
      <c r="Q729" s="131"/>
      <c r="R729" s="131"/>
      <c r="S729" s="131"/>
      <c r="T729" s="131"/>
      <c r="U729" s="131"/>
      <c r="V729" s="131"/>
      <c r="W729" s="131"/>
      <c r="X729" s="131"/>
      <c r="Y729" s="131"/>
      <c r="Z729" s="142"/>
      <c r="AA729" s="142"/>
      <c r="AB729" s="142"/>
      <c r="AC729" s="142"/>
      <c r="AD729" s="142"/>
      <c r="AE729" s="142"/>
      <c r="AF729" s="142"/>
      <c r="AG729" s="142"/>
      <c r="AH729" s="142"/>
      <c r="AI729" s="142"/>
      <c r="AJ729" s="142"/>
      <c r="AK729" s="142"/>
      <c r="AL729" s="142"/>
      <c r="AM729" s="142"/>
      <c r="AN729" s="142"/>
      <c r="AO729" s="131"/>
    </row>
    <row r="730" ht="13.5" customHeight="1">
      <c r="A730" s="142"/>
      <c r="B730" s="142"/>
      <c r="C730" s="142"/>
      <c r="D730" s="142"/>
      <c r="E730" s="308"/>
      <c r="F730" s="131"/>
      <c r="G730" s="131"/>
      <c r="H730" s="131"/>
      <c r="I730" s="219"/>
      <c r="J730" s="198"/>
      <c r="K730" s="131"/>
      <c r="L730" s="131"/>
      <c r="M730" s="131"/>
      <c r="N730" s="131"/>
      <c r="O730" s="131"/>
      <c r="P730" s="131"/>
      <c r="Q730" s="131"/>
      <c r="R730" s="131"/>
      <c r="S730" s="131"/>
      <c r="T730" s="131"/>
      <c r="U730" s="131"/>
      <c r="V730" s="131"/>
      <c r="W730" s="131"/>
      <c r="X730" s="131"/>
      <c r="Y730" s="131"/>
      <c r="Z730" s="142"/>
      <c r="AA730" s="142"/>
      <c r="AB730" s="142"/>
      <c r="AC730" s="142"/>
      <c r="AD730" s="142"/>
      <c r="AE730" s="142"/>
      <c r="AF730" s="142"/>
      <c r="AG730" s="142"/>
      <c r="AH730" s="142"/>
      <c r="AI730" s="142"/>
      <c r="AJ730" s="142"/>
      <c r="AK730" s="142"/>
      <c r="AL730" s="142"/>
      <c r="AM730" s="142"/>
      <c r="AN730" s="142"/>
      <c r="AO730" s="131"/>
    </row>
    <row r="731" ht="13.5" customHeight="1">
      <c r="A731" s="142"/>
      <c r="B731" s="142"/>
      <c r="C731" s="142"/>
      <c r="D731" s="142"/>
      <c r="E731" s="308"/>
      <c r="F731" s="131"/>
      <c r="G731" s="131"/>
      <c r="H731" s="131"/>
      <c r="I731" s="219"/>
      <c r="J731" s="198"/>
      <c r="K731" s="131"/>
      <c r="L731" s="131"/>
      <c r="M731" s="131"/>
      <c r="N731" s="131"/>
      <c r="O731" s="131"/>
      <c r="P731" s="131"/>
      <c r="Q731" s="131"/>
      <c r="R731" s="131"/>
      <c r="S731" s="131"/>
      <c r="T731" s="131"/>
      <c r="U731" s="131"/>
      <c r="V731" s="131"/>
      <c r="W731" s="131"/>
      <c r="X731" s="131"/>
      <c r="Y731" s="131"/>
      <c r="Z731" s="142"/>
      <c r="AA731" s="142"/>
      <c r="AB731" s="142"/>
      <c r="AC731" s="142"/>
      <c r="AD731" s="142"/>
      <c r="AE731" s="142"/>
      <c r="AF731" s="142"/>
      <c r="AG731" s="142"/>
      <c r="AH731" s="142"/>
      <c r="AI731" s="142"/>
      <c r="AJ731" s="142"/>
      <c r="AK731" s="142"/>
      <c r="AL731" s="142"/>
      <c r="AM731" s="142"/>
      <c r="AN731" s="142"/>
      <c r="AO731" s="131"/>
    </row>
    <row r="732" ht="13.5" customHeight="1">
      <c r="A732" s="142"/>
      <c r="B732" s="142"/>
      <c r="C732" s="142"/>
      <c r="D732" s="142"/>
      <c r="E732" s="308"/>
      <c r="F732" s="131"/>
      <c r="G732" s="131"/>
      <c r="H732" s="131"/>
      <c r="I732" s="219"/>
      <c r="J732" s="198"/>
      <c r="K732" s="131"/>
      <c r="L732" s="131"/>
      <c r="M732" s="131"/>
      <c r="N732" s="131"/>
      <c r="O732" s="131"/>
      <c r="P732" s="131"/>
      <c r="Q732" s="131"/>
      <c r="R732" s="131"/>
      <c r="S732" s="131"/>
      <c r="T732" s="131"/>
      <c r="U732" s="131"/>
      <c r="V732" s="131"/>
      <c r="W732" s="131"/>
      <c r="X732" s="131"/>
      <c r="Y732" s="131"/>
      <c r="Z732" s="142"/>
      <c r="AA732" s="142"/>
      <c r="AB732" s="142"/>
      <c r="AC732" s="142"/>
      <c r="AD732" s="142"/>
      <c r="AE732" s="142"/>
      <c r="AF732" s="142"/>
      <c r="AG732" s="142"/>
      <c r="AH732" s="142"/>
      <c r="AI732" s="142"/>
      <c r="AJ732" s="142"/>
      <c r="AK732" s="142"/>
      <c r="AL732" s="142"/>
      <c r="AM732" s="142"/>
      <c r="AN732" s="142"/>
      <c r="AO732" s="131"/>
    </row>
    <row r="733" ht="13.5" customHeight="1">
      <c r="A733" s="142"/>
      <c r="B733" s="142"/>
      <c r="C733" s="142"/>
      <c r="D733" s="142"/>
      <c r="E733" s="308"/>
      <c r="F733" s="131"/>
      <c r="G733" s="131"/>
      <c r="H733" s="131"/>
      <c r="I733" s="219"/>
      <c r="J733" s="198"/>
      <c r="K733" s="131"/>
      <c r="L733" s="131"/>
      <c r="M733" s="131"/>
      <c r="N733" s="131"/>
      <c r="O733" s="131"/>
      <c r="P733" s="131"/>
      <c r="Q733" s="131"/>
      <c r="R733" s="131"/>
      <c r="S733" s="131"/>
      <c r="T733" s="131"/>
      <c r="U733" s="131"/>
      <c r="V733" s="131"/>
      <c r="W733" s="131"/>
      <c r="X733" s="131"/>
      <c r="Y733" s="131"/>
      <c r="Z733" s="142"/>
      <c r="AA733" s="142"/>
      <c r="AB733" s="142"/>
      <c r="AC733" s="142"/>
      <c r="AD733" s="142"/>
      <c r="AE733" s="142"/>
      <c r="AF733" s="142"/>
      <c r="AG733" s="142"/>
      <c r="AH733" s="142"/>
      <c r="AI733" s="142"/>
      <c r="AJ733" s="142"/>
      <c r="AK733" s="142"/>
      <c r="AL733" s="142"/>
      <c r="AM733" s="142"/>
      <c r="AN733" s="142"/>
      <c r="AO733" s="131"/>
    </row>
    <row r="734" ht="13.5" customHeight="1">
      <c r="A734" s="142"/>
      <c r="B734" s="142"/>
      <c r="C734" s="142"/>
      <c r="D734" s="142"/>
      <c r="E734" s="308"/>
      <c r="F734" s="131"/>
      <c r="G734" s="131"/>
      <c r="H734" s="131"/>
      <c r="I734" s="219"/>
      <c r="J734" s="198"/>
      <c r="K734" s="131"/>
      <c r="L734" s="131"/>
      <c r="M734" s="131"/>
      <c r="N734" s="131"/>
      <c r="O734" s="131"/>
      <c r="P734" s="131"/>
      <c r="Q734" s="131"/>
      <c r="R734" s="131"/>
      <c r="S734" s="131"/>
      <c r="T734" s="131"/>
      <c r="U734" s="131"/>
      <c r="V734" s="131"/>
      <c r="W734" s="131"/>
      <c r="X734" s="131"/>
      <c r="Y734" s="131"/>
      <c r="Z734" s="142"/>
      <c r="AA734" s="142"/>
      <c r="AB734" s="142"/>
      <c r="AC734" s="142"/>
      <c r="AD734" s="142"/>
      <c r="AE734" s="142"/>
      <c r="AF734" s="142"/>
      <c r="AG734" s="142"/>
      <c r="AH734" s="142"/>
      <c r="AI734" s="142"/>
      <c r="AJ734" s="142"/>
      <c r="AK734" s="142"/>
      <c r="AL734" s="142"/>
      <c r="AM734" s="142"/>
      <c r="AN734" s="142"/>
      <c r="AO734" s="131"/>
    </row>
    <row r="735" ht="13.5" customHeight="1">
      <c r="A735" s="142"/>
      <c r="B735" s="142"/>
      <c r="C735" s="142"/>
      <c r="D735" s="142"/>
      <c r="E735" s="308"/>
      <c r="F735" s="131"/>
      <c r="G735" s="131"/>
      <c r="H735" s="131"/>
      <c r="I735" s="219"/>
      <c r="J735" s="198"/>
      <c r="K735" s="131"/>
      <c r="L735" s="131"/>
      <c r="M735" s="131"/>
      <c r="N735" s="131"/>
      <c r="O735" s="131"/>
      <c r="P735" s="131"/>
      <c r="Q735" s="131"/>
      <c r="R735" s="131"/>
      <c r="S735" s="131"/>
      <c r="T735" s="131"/>
      <c r="U735" s="131"/>
      <c r="V735" s="131"/>
      <c r="W735" s="131"/>
      <c r="X735" s="131"/>
      <c r="Y735" s="131"/>
      <c r="Z735" s="142"/>
      <c r="AA735" s="142"/>
      <c r="AB735" s="142"/>
      <c r="AC735" s="142"/>
      <c r="AD735" s="142"/>
      <c r="AE735" s="142"/>
      <c r="AF735" s="142"/>
      <c r="AG735" s="142"/>
      <c r="AH735" s="142"/>
      <c r="AI735" s="142"/>
      <c r="AJ735" s="142"/>
      <c r="AK735" s="142"/>
      <c r="AL735" s="142"/>
      <c r="AM735" s="142"/>
      <c r="AN735" s="142"/>
      <c r="AO735" s="131"/>
    </row>
    <row r="736" ht="13.5" customHeight="1">
      <c r="A736" s="142"/>
      <c r="B736" s="142"/>
      <c r="C736" s="142"/>
      <c r="D736" s="142"/>
      <c r="E736" s="308"/>
      <c r="F736" s="131"/>
      <c r="G736" s="131"/>
      <c r="H736" s="131"/>
      <c r="I736" s="219"/>
      <c r="J736" s="198"/>
      <c r="K736" s="131"/>
      <c r="L736" s="131"/>
      <c r="M736" s="131"/>
      <c r="N736" s="131"/>
      <c r="O736" s="131"/>
      <c r="P736" s="131"/>
      <c r="Q736" s="131"/>
      <c r="R736" s="131"/>
      <c r="S736" s="131"/>
      <c r="T736" s="131"/>
      <c r="U736" s="131"/>
      <c r="V736" s="131"/>
      <c r="W736" s="131"/>
      <c r="X736" s="131"/>
      <c r="Y736" s="131"/>
      <c r="Z736" s="142"/>
      <c r="AA736" s="142"/>
      <c r="AB736" s="142"/>
      <c r="AC736" s="142"/>
      <c r="AD736" s="142"/>
      <c r="AE736" s="142"/>
      <c r="AF736" s="142"/>
      <c r="AG736" s="142"/>
      <c r="AH736" s="142"/>
      <c r="AI736" s="142"/>
      <c r="AJ736" s="142"/>
      <c r="AK736" s="142"/>
      <c r="AL736" s="142"/>
      <c r="AM736" s="142"/>
      <c r="AN736" s="142"/>
      <c r="AO736" s="131"/>
    </row>
    <row r="737" ht="13.5" customHeight="1">
      <c r="A737" s="142"/>
      <c r="B737" s="142"/>
      <c r="C737" s="142"/>
      <c r="D737" s="142"/>
      <c r="E737" s="308"/>
      <c r="F737" s="131"/>
      <c r="G737" s="131"/>
      <c r="H737" s="131"/>
      <c r="I737" s="219"/>
      <c r="J737" s="198"/>
      <c r="K737" s="131"/>
      <c r="L737" s="131"/>
      <c r="M737" s="131"/>
      <c r="N737" s="131"/>
      <c r="O737" s="131"/>
      <c r="P737" s="131"/>
      <c r="Q737" s="131"/>
      <c r="R737" s="131"/>
      <c r="S737" s="131"/>
      <c r="T737" s="131"/>
      <c r="U737" s="131"/>
      <c r="V737" s="131"/>
      <c r="W737" s="131"/>
      <c r="X737" s="131"/>
      <c r="Y737" s="131"/>
      <c r="Z737" s="142"/>
      <c r="AA737" s="142"/>
      <c r="AB737" s="142"/>
      <c r="AC737" s="142"/>
      <c r="AD737" s="142"/>
      <c r="AE737" s="142"/>
      <c r="AF737" s="142"/>
      <c r="AG737" s="142"/>
      <c r="AH737" s="142"/>
      <c r="AI737" s="142"/>
      <c r="AJ737" s="142"/>
      <c r="AK737" s="142"/>
      <c r="AL737" s="142"/>
      <c r="AM737" s="142"/>
      <c r="AN737" s="142"/>
      <c r="AO737" s="131"/>
    </row>
    <row r="738" ht="13.5" customHeight="1">
      <c r="A738" s="142"/>
      <c r="B738" s="142"/>
      <c r="C738" s="142"/>
      <c r="D738" s="142"/>
      <c r="E738" s="308"/>
      <c r="F738" s="131"/>
      <c r="G738" s="131"/>
      <c r="H738" s="131"/>
      <c r="I738" s="219"/>
      <c r="J738" s="198"/>
      <c r="K738" s="131"/>
      <c r="L738" s="131"/>
      <c r="M738" s="131"/>
      <c r="N738" s="131"/>
      <c r="O738" s="131"/>
      <c r="P738" s="131"/>
      <c r="Q738" s="131"/>
      <c r="R738" s="131"/>
      <c r="S738" s="131"/>
      <c r="T738" s="131"/>
      <c r="U738" s="131"/>
      <c r="V738" s="131"/>
      <c r="W738" s="131"/>
      <c r="X738" s="131"/>
      <c r="Y738" s="131"/>
      <c r="Z738" s="142"/>
      <c r="AA738" s="142"/>
      <c r="AB738" s="142"/>
      <c r="AC738" s="142"/>
      <c r="AD738" s="142"/>
      <c r="AE738" s="142"/>
      <c r="AF738" s="142"/>
      <c r="AG738" s="142"/>
      <c r="AH738" s="142"/>
      <c r="AI738" s="142"/>
      <c r="AJ738" s="142"/>
      <c r="AK738" s="142"/>
      <c r="AL738" s="142"/>
      <c r="AM738" s="142"/>
      <c r="AN738" s="142"/>
      <c r="AO738" s="131"/>
    </row>
    <row r="739" ht="13.5" customHeight="1">
      <c r="A739" s="142"/>
      <c r="B739" s="142"/>
      <c r="C739" s="142"/>
      <c r="D739" s="142"/>
      <c r="E739" s="308"/>
      <c r="F739" s="131"/>
      <c r="G739" s="131"/>
      <c r="H739" s="131"/>
      <c r="I739" s="219"/>
      <c r="J739" s="198"/>
      <c r="K739" s="131"/>
      <c r="L739" s="131"/>
      <c r="M739" s="131"/>
      <c r="N739" s="131"/>
      <c r="O739" s="131"/>
      <c r="P739" s="131"/>
      <c r="Q739" s="131"/>
      <c r="R739" s="131"/>
      <c r="S739" s="131"/>
      <c r="T739" s="131"/>
      <c r="U739" s="131"/>
      <c r="V739" s="131"/>
      <c r="W739" s="131"/>
      <c r="X739" s="131"/>
      <c r="Y739" s="131"/>
      <c r="Z739" s="142"/>
      <c r="AA739" s="142"/>
      <c r="AB739" s="142"/>
      <c r="AC739" s="142"/>
      <c r="AD739" s="142"/>
      <c r="AE739" s="142"/>
      <c r="AF739" s="142"/>
      <c r="AG739" s="142"/>
      <c r="AH739" s="142"/>
      <c r="AI739" s="142"/>
      <c r="AJ739" s="142"/>
      <c r="AK739" s="142"/>
      <c r="AL739" s="142"/>
      <c r="AM739" s="142"/>
      <c r="AN739" s="142"/>
      <c r="AO739" s="131"/>
    </row>
    <row r="740" ht="13.5" customHeight="1">
      <c r="A740" s="142"/>
      <c r="B740" s="142"/>
      <c r="C740" s="142"/>
      <c r="D740" s="142"/>
      <c r="E740" s="308"/>
      <c r="F740" s="131"/>
      <c r="G740" s="131"/>
      <c r="H740" s="131"/>
      <c r="I740" s="219"/>
      <c r="J740" s="198"/>
      <c r="K740" s="131"/>
      <c r="L740" s="131"/>
      <c r="M740" s="131"/>
      <c r="N740" s="131"/>
      <c r="O740" s="131"/>
      <c r="P740" s="131"/>
      <c r="Q740" s="131"/>
      <c r="R740" s="131"/>
      <c r="S740" s="131"/>
      <c r="T740" s="131"/>
      <c r="U740" s="131"/>
      <c r="V740" s="131"/>
      <c r="W740" s="131"/>
      <c r="X740" s="131"/>
      <c r="Y740" s="131"/>
      <c r="Z740" s="142"/>
      <c r="AA740" s="142"/>
      <c r="AB740" s="142"/>
      <c r="AC740" s="142"/>
      <c r="AD740" s="142"/>
      <c r="AE740" s="142"/>
      <c r="AF740" s="142"/>
      <c r="AG740" s="142"/>
      <c r="AH740" s="142"/>
      <c r="AI740" s="142"/>
      <c r="AJ740" s="142"/>
      <c r="AK740" s="142"/>
      <c r="AL740" s="142"/>
      <c r="AM740" s="142"/>
      <c r="AN740" s="142"/>
      <c r="AO740" s="131"/>
    </row>
    <row r="741" ht="13.5" customHeight="1">
      <c r="A741" s="142"/>
      <c r="B741" s="142"/>
      <c r="C741" s="142"/>
      <c r="D741" s="142"/>
      <c r="E741" s="308"/>
      <c r="F741" s="131"/>
      <c r="G741" s="131"/>
      <c r="H741" s="131"/>
      <c r="I741" s="219"/>
      <c r="J741" s="198"/>
      <c r="K741" s="131"/>
      <c r="L741" s="131"/>
      <c r="M741" s="131"/>
      <c r="N741" s="131"/>
      <c r="O741" s="131"/>
      <c r="P741" s="131"/>
      <c r="Q741" s="131"/>
      <c r="R741" s="131"/>
      <c r="S741" s="131"/>
      <c r="T741" s="131"/>
      <c r="U741" s="131"/>
      <c r="V741" s="131"/>
      <c r="W741" s="131"/>
      <c r="X741" s="131"/>
      <c r="Y741" s="131"/>
      <c r="Z741" s="142"/>
      <c r="AA741" s="142"/>
      <c r="AB741" s="142"/>
      <c r="AC741" s="142"/>
      <c r="AD741" s="142"/>
      <c r="AE741" s="142"/>
      <c r="AF741" s="142"/>
      <c r="AG741" s="142"/>
      <c r="AH741" s="142"/>
      <c r="AI741" s="142"/>
      <c r="AJ741" s="142"/>
      <c r="AK741" s="142"/>
      <c r="AL741" s="142"/>
      <c r="AM741" s="142"/>
      <c r="AN741" s="142"/>
      <c r="AO741" s="131"/>
    </row>
    <row r="742" ht="13.5" customHeight="1">
      <c r="A742" s="142"/>
      <c r="B742" s="142"/>
      <c r="C742" s="142"/>
      <c r="D742" s="142"/>
      <c r="E742" s="308"/>
      <c r="F742" s="131"/>
      <c r="G742" s="131"/>
      <c r="H742" s="131"/>
      <c r="I742" s="219"/>
      <c r="J742" s="198"/>
      <c r="K742" s="131"/>
      <c r="L742" s="131"/>
      <c r="M742" s="131"/>
      <c r="N742" s="131"/>
      <c r="O742" s="131"/>
      <c r="P742" s="131"/>
      <c r="Q742" s="131"/>
      <c r="R742" s="131"/>
      <c r="S742" s="131"/>
      <c r="T742" s="131"/>
      <c r="U742" s="131"/>
      <c r="V742" s="131"/>
      <c r="W742" s="131"/>
      <c r="X742" s="131"/>
      <c r="Y742" s="131"/>
      <c r="Z742" s="142"/>
      <c r="AA742" s="142"/>
      <c r="AB742" s="142"/>
      <c r="AC742" s="142"/>
      <c r="AD742" s="142"/>
      <c r="AE742" s="142"/>
      <c r="AF742" s="142"/>
      <c r="AG742" s="142"/>
      <c r="AH742" s="142"/>
      <c r="AI742" s="142"/>
      <c r="AJ742" s="142"/>
      <c r="AK742" s="142"/>
      <c r="AL742" s="142"/>
      <c r="AM742" s="142"/>
      <c r="AN742" s="142"/>
      <c r="AO742" s="131"/>
    </row>
    <row r="743" ht="13.5" customHeight="1">
      <c r="A743" s="142"/>
      <c r="B743" s="142"/>
      <c r="C743" s="142"/>
      <c r="D743" s="142"/>
      <c r="E743" s="308"/>
      <c r="F743" s="131"/>
      <c r="G743" s="131"/>
      <c r="H743" s="131"/>
      <c r="I743" s="219"/>
      <c r="J743" s="198"/>
      <c r="K743" s="131"/>
      <c r="L743" s="131"/>
      <c r="M743" s="131"/>
      <c r="N743" s="131"/>
      <c r="O743" s="131"/>
      <c r="P743" s="131"/>
      <c r="Q743" s="131"/>
      <c r="R743" s="131"/>
      <c r="S743" s="131"/>
      <c r="T743" s="131"/>
      <c r="U743" s="131"/>
      <c r="V743" s="131"/>
      <c r="W743" s="131"/>
      <c r="X743" s="131"/>
      <c r="Y743" s="131"/>
      <c r="Z743" s="142"/>
      <c r="AA743" s="142"/>
      <c r="AB743" s="142"/>
      <c r="AC743" s="142"/>
      <c r="AD743" s="142"/>
      <c r="AE743" s="142"/>
      <c r="AF743" s="142"/>
      <c r="AG743" s="142"/>
      <c r="AH743" s="142"/>
      <c r="AI743" s="142"/>
      <c r="AJ743" s="142"/>
      <c r="AK743" s="142"/>
      <c r="AL743" s="142"/>
      <c r="AM743" s="142"/>
      <c r="AN743" s="142"/>
      <c r="AO743" s="131"/>
    </row>
    <row r="744" ht="13.5" customHeight="1">
      <c r="A744" s="142"/>
      <c r="B744" s="142"/>
      <c r="C744" s="142"/>
      <c r="D744" s="142"/>
      <c r="E744" s="308"/>
      <c r="F744" s="131"/>
      <c r="G744" s="131"/>
      <c r="H744" s="131"/>
      <c r="I744" s="219"/>
      <c r="J744" s="198"/>
      <c r="K744" s="131"/>
      <c r="L744" s="131"/>
      <c r="M744" s="131"/>
      <c r="N744" s="131"/>
      <c r="O744" s="131"/>
      <c r="P744" s="131"/>
      <c r="Q744" s="131"/>
      <c r="R744" s="131"/>
      <c r="S744" s="131"/>
      <c r="T744" s="131"/>
      <c r="U744" s="131"/>
      <c r="V744" s="131"/>
      <c r="W744" s="131"/>
      <c r="X744" s="131"/>
      <c r="Y744" s="131"/>
      <c r="Z744" s="142"/>
      <c r="AA744" s="142"/>
      <c r="AB744" s="142"/>
      <c r="AC744" s="142"/>
      <c r="AD744" s="142"/>
      <c r="AE744" s="142"/>
      <c r="AF744" s="142"/>
      <c r="AG744" s="142"/>
      <c r="AH744" s="142"/>
      <c r="AI744" s="142"/>
      <c r="AJ744" s="142"/>
      <c r="AK744" s="142"/>
      <c r="AL744" s="142"/>
      <c r="AM744" s="142"/>
      <c r="AN744" s="142"/>
      <c r="AO744" s="131"/>
    </row>
    <row r="745" ht="13.5" customHeight="1">
      <c r="A745" s="142"/>
      <c r="B745" s="142"/>
      <c r="C745" s="142"/>
      <c r="D745" s="142"/>
      <c r="E745" s="308"/>
      <c r="F745" s="131"/>
      <c r="G745" s="131"/>
      <c r="H745" s="131"/>
      <c r="I745" s="219"/>
      <c r="J745" s="198"/>
      <c r="K745" s="131"/>
      <c r="L745" s="131"/>
      <c r="M745" s="131"/>
      <c r="N745" s="131"/>
      <c r="O745" s="131"/>
      <c r="P745" s="131"/>
      <c r="Q745" s="131"/>
      <c r="R745" s="131"/>
      <c r="S745" s="131"/>
      <c r="T745" s="131"/>
      <c r="U745" s="131"/>
      <c r="V745" s="131"/>
      <c r="W745" s="131"/>
      <c r="X745" s="131"/>
      <c r="Y745" s="131"/>
      <c r="Z745" s="142"/>
      <c r="AA745" s="142"/>
      <c r="AB745" s="142"/>
      <c r="AC745" s="142"/>
      <c r="AD745" s="142"/>
      <c r="AE745" s="142"/>
      <c r="AF745" s="142"/>
      <c r="AG745" s="142"/>
      <c r="AH745" s="142"/>
      <c r="AI745" s="142"/>
      <c r="AJ745" s="142"/>
      <c r="AK745" s="142"/>
      <c r="AL745" s="142"/>
      <c r="AM745" s="142"/>
      <c r="AN745" s="142"/>
      <c r="AO745" s="131"/>
    </row>
    <row r="746" ht="13.5" customHeight="1">
      <c r="A746" s="142"/>
      <c r="B746" s="142"/>
      <c r="C746" s="142"/>
      <c r="D746" s="142"/>
      <c r="E746" s="308"/>
      <c r="F746" s="131"/>
      <c r="G746" s="131"/>
      <c r="H746" s="131"/>
      <c r="I746" s="219"/>
      <c r="J746" s="198"/>
      <c r="K746" s="131"/>
      <c r="L746" s="131"/>
      <c r="M746" s="131"/>
      <c r="N746" s="131"/>
      <c r="O746" s="131"/>
      <c r="P746" s="131"/>
      <c r="Q746" s="131"/>
      <c r="R746" s="131"/>
      <c r="S746" s="131"/>
      <c r="T746" s="131"/>
      <c r="U746" s="131"/>
      <c r="V746" s="131"/>
      <c r="W746" s="131"/>
      <c r="X746" s="131"/>
      <c r="Y746" s="131"/>
      <c r="Z746" s="142"/>
      <c r="AA746" s="142"/>
      <c r="AB746" s="142"/>
      <c r="AC746" s="142"/>
      <c r="AD746" s="142"/>
      <c r="AE746" s="142"/>
      <c r="AF746" s="142"/>
      <c r="AG746" s="142"/>
      <c r="AH746" s="142"/>
      <c r="AI746" s="142"/>
      <c r="AJ746" s="142"/>
      <c r="AK746" s="142"/>
      <c r="AL746" s="142"/>
      <c r="AM746" s="142"/>
      <c r="AN746" s="142"/>
      <c r="AO746" s="131"/>
    </row>
    <row r="747" ht="13.5" customHeight="1">
      <c r="A747" s="142"/>
      <c r="B747" s="142"/>
      <c r="C747" s="142"/>
      <c r="D747" s="142"/>
      <c r="E747" s="308"/>
      <c r="F747" s="131"/>
      <c r="G747" s="131"/>
      <c r="H747" s="131"/>
      <c r="I747" s="219"/>
      <c r="J747" s="198"/>
      <c r="K747" s="131"/>
      <c r="L747" s="131"/>
      <c r="M747" s="131"/>
      <c r="N747" s="131"/>
      <c r="O747" s="131"/>
      <c r="P747" s="131"/>
      <c r="Q747" s="131"/>
      <c r="R747" s="131"/>
      <c r="S747" s="131"/>
      <c r="T747" s="131"/>
      <c r="U747" s="131"/>
      <c r="V747" s="131"/>
      <c r="W747" s="131"/>
      <c r="X747" s="131"/>
      <c r="Y747" s="131"/>
      <c r="Z747" s="142"/>
      <c r="AA747" s="142"/>
      <c r="AB747" s="142"/>
      <c r="AC747" s="142"/>
      <c r="AD747" s="142"/>
      <c r="AE747" s="142"/>
      <c r="AF747" s="142"/>
      <c r="AG747" s="142"/>
      <c r="AH747" s="142"/>
      <c r="AI747" s="142"/>
      <c r="AJ747" s="142"/>
      <c r="AK747" s="142"/>
      <c r="AL747" s="142"/>
      <c r="AM747" s="142"/>
      <c r="AN747" s="142"/>
      <c r="AO747" s="131"/>
    </row>
    <row r="748" ht="13.5" customHeight="1">
      <c r="A748" s="142"/>
      <c r="B748" s="142"/>
      <c r="C748" s="142"/>
      <c r="D748" s="142"/>
      <c r="E748" s="308"/>
      <c r="F748" s="131"/>
      <c r="G748" s="131"/>
      <c r="H748" s="131"/>
      <c r="I748" s="219"/>
      <c r="J748" s="198"/>
      <c r="K748" s="131"/>
      <c r="L748" s="131"/>
      <c r="M748" s="131"/>
      <c r="N748" s="131"/>
      <c r="O748" s="131"/>
      <c r="P748" s="131"/>
      <c r="Q748" s="131"/>
      <c r="R748" s="131"/>
      <c r="S748" s="131"/>
      <c r="T748" s="131"/>
      <c r="U748" s="131"/>
      <c r="V748" s="131"/>
      <c r="W748" s="131"/>
      <c r="X748" s="131"/>
      <c r="Y748" s="131"/>
      <c r="Z748" s="142"/>
      <c r="AA748" s="142"/>
      <c r="AB748" s="142"/>
      <c r="AC748" s="142"/>
      <c r="AD748" s="142"/>
      <c r="AE748" s="142"/>
      <c r="AF748" s="142"/>
      <c r="AG748" s="142"/>
      <c r="AH748" s="142"/>
      <c r="AI748" s="142"/>
      <c r="AJ748" s="142"/>
      <c r="AK748" s="142"/>
      <c r="AL748" s="142"/>
      <c r="AM748" s="142"/>
      <c r="AN748" s="142"/>
      <c r="AO748" s="131"/>
    </row>
    <row r="749" ht="13.5" customHeight="1">
      <c r="A749" s="142"/>
      <c r="B749" s="142"/>
      <c r="C749" s="142"/>
      <c r="D749" s="142"/>
      <c r="E749" s="308"/>
      <c r="F749" s="131"/>
      <c r="G749" s="131"/>
      <c r="H749" s="131"/>
      <c r="I749" s="219"/>
      <c r="J749" s="198"/>
      <c r="K749" s="131"/>
      <c r="L749" s="131"/>
      <c r="M749" s="131"/>
      <c r="N749" s="131"/>
      <c r="O749" s="131"/>
      <c r="P749" s="131"/>
      <c r="Q749" s="131"/>
      <c r="R749" s="131"/>
      <c r="S749" s="131"/>
      <c r="T749" s="131"/>
      <c r="U749" s="131"/>
      <c r="V749" s="131"/>
      <c r="W749" s="131"/>
      <c r="X749" s="131"/>
      <c r="Y749" s="131"/>
      <c r="Z749" s="142"/>
      <c r="AA749" s="142"/>
      <c r="AB749" s="142"/>
      <c r="AC749" s="142"/>
      <c r="AD749" s="142"/>
      <c r="AE749" s="142"/>
      <c r="AF749" s="142"/>
      <c r="AG749" s="142"/>
      <c r="AH749" s="142"/>
      <c r="AI749" s="142"/>
      <c r="AJ749" s="142"/>
      <c r="AK749" s="142"/>
      <c r="AL749" s="142"/>
      <c r="AM749" s="142"/>
      <c r="AN749" s="142"/>
      <c r="AO749" s="131"/>
    </row>
    <row r="750" ht="13.5" customHeight="1">
      <c r="A750" s="142"/>
      <c r="B750" s="142"/>
      <c r="C750" s="142"/>
      <c r="D750" s="142"/>
      <c r="E750" s="308"/>
      <c r="F750" s="131"/>
      <c r="G750" s="131"/>
      <c r="H750" s="131"/>
      <c r="I750" s="219"/>
      <c r="J750" s="198"/>
      <c r="K750" s="131"/>
      <c r="L750" s="131"/>
      <c r="M750" s="131"/>
      <c r="N750" s="131"/>
      <c r="O750" s="131"/>
      <c r="P750" s="131"/>
      <c r="Q750" s="131"/>
      <c r="R750" s="131"/>
      <c r="S750" s="131"/>
      <c r="T750" s="131"/>
      <c r="U750" s="131"/>
      <c r="V750" s="131"/>
      <c r="W750" s="131"/>
      <c r="X750" s="131"/>
      <c r="Y750" s="131"/>
      <c r="Z750" s="142"/>
      <c r="AA750" s="142"/>
      <c r="AB750" s="142"/>
      <c r="AC750" s="142"/>
      <c r="AD750" s="142"/>
      <c r="AE750" s="142"/>
      <c r="AF750" s="142"/>
      <c r="AG750" s="142"/>
      <c r="AH750" s="142"/>
      <c r="AI750" s="142"/>
      <c r="AJ750" s="142"/>
      <c r="AK750" s="142"/>
      <c r="AL750" s="142"/>
      <c r="AM750" s="142"/>
      <c r="AN750" s="142"/>
      <c r="AO750" s="131"/>
    </row>
    <row r="751" ht="13.5" customHeight="1">
      <c r="A751" s="142"/>
      <c r="B751" s="142"/>
      <c r="C751" s="142"/>
      <c r="D751" s="142"/>
      <c r="E751" s="308"/>
      <c r="F751" s="131"/>
      <c r="G751" s="131"/>
      <c r="H751" s="131"/>
      <c r="I751" s="219"/>
      <c r="J751" s="198"/>
      <c r="K751" s="131"/>
      <c r="L751" s="131"/>
      <c r="M751" s="131"/>
      <c r="N751" s="131"/>
      <c r="O751" s="131"/>
      <c r="P751" s="131"/>
      <c r="Q751" s="131"/>
      <c r="R751" s="131"/>
      <c r="S751" s="131"/>
      <c r="T751" s="131"/>
      <c r="U751" s="131"/>
      <c r="V751" s="131"/>
      <c r="W751" s="131"/>
      <c r="X751" s="131"/>
      <c r="Y751" s="131"/>
      <c r="Z751" s="142"/>
      <c r="AA751" s="142"/>
      <c r="AB751" s="142"/>
      <c r="AC751" s="142"/>
      <c r="AD751" s="142"/>
      <c r="AE751" s="142"/>
      <c r="AF751" s="142"/>
      <c r="AG751" s="142"/>
      <c r="AH751" s="142"/>
      <c r="AI751" s="142"/>
      <c r="AJ751" s="142"/>
      <c r="AK751" s="142"/>
      <c r="AL751" s="142"/>
      <c r="AM751" s="142"/>
      <c r="AN751" s="142"/>
      <c r="AO751" s="131"/>
    </row>
    <row r="752" ht="13.5" customHeight="1">
      <c r="A752" s="142"/>
      <c r="B752" s="142"/>
      <c r="C752" s="142"/>
      <c r="D752" s="142"/>
      <c r="E752" s="308"/>
      <c r="F752" s="131"/>
      <c r="G752" s="131"/>
      <c r="H752" s="131"/>
      <c r="I752" s="219"/>
      <c r="J752" s="198"/>
      <c r="K752" s="131"/>
      <c r="L752" s="131"/>
      <c r="M752" s="131"/>
      <c r="N752" s="131"/>
      <c r="O752" s="131"/>
      <c r="P752" s="131"/>
      <c r="Q752" s="131"/>
      <c r="R752" s="131"/>
      <c r="S752" s="131"/>
      <c r="T752" s="131"/>
      <c r="U752" s="131"/>
      <c r="V752" s="131"/>
      <c r="W752" s="131"/>
      <c r="X752" s="131"/>
      <c r="Y752" s="131"/>
      <c r="Z752" s="142"/>
      <c r="AA752" s="142"/>
      <c r="AB752" s="142"/>
      <c r="AC752" s="142"/>
      <c r="AD752" s="142"/>
      <c r="AE752" s="142"/>
      <c r="AF752" s="142"/>
      <c r="AG752" s="142"/>
      <c r="AH752" s="142"/>
      <c r="AI752" s="142"/>
      <c r="AJ752" s="142"/>
      <c r="AK752" s="142"/>
      <c r="AL752" s="142"/>
      <c r="AM752" s="142"/>
      <c r="AN752" s="142"/>
      <c r="AO752" s="131"/>
    </row>
    <row r="753" ht="13.5" customHeight="1">
      <c r="A753" s="142"/>
      <c r="B753" s="142"/>
      <c r="C753" s="142"/>
      <c r="D753" s="142"/>
      <c r="E753" s="308"/>
      <c r="F753" s="131"/>
      <c r="G753" s="131"/>
      <c r="H753" s="131"/>
      <c r="I753" s="219"/>
      <c r="J753" s="198"/>
      <c r="K753" s="131"/>
      <c r="L753" s="131"/>
      <c r="M753" s="131"/>
      <c r="N753" s="131"/>
      <c r="O753" s="131"/>
      <c r="P753" s="131"/>
      <c r="Q753" s="131"/>
      <c r="R753" s="131"/>
      <c r="S753" s="131"/>
      <c r="T753" s="131"/>
      <c r="U753" s="131"/>
      <c r="V753" s="131"/>
      <c r="W753" s="131"/>
      <c r="X753" s="131"/>
      <c r="Y753" s="131"/>
      <c r="Z753" s="142"/>
      <c r="AA753" s="142"/>
      <c r="AB753" s="142"/>
      <c r="AC753" s="142"/>
      <c r="AD753" s="142"/>
      <c r="AE753" s="142"/>
      <c r="AF753" s="142"/>
      <c r="AG753" s="142"/>
      <c r="AH753" s="142"/>
      <c r="AI753" s="142"/>
      <c r="AJ753" s="142"/>
      <c r="AK753" s="142"/>
      <c r="AL753" s="142"/>
      <c r="AM753" s="142"/>
      <c r="AN753" s="142"/>
      <c r="AO753" s="131"/>
    </row>
    <row r="754" ht="13.5" customHeight="1">
      <c r="A754" s="142"/>
      <c r="B754" s="142"/>
      <c r="C754" s="142"/>
      <c r="D754" s="142"/>
      <c r="E754" s="308"/>
      <c r="F754" s="131"/>
      <c r="G754" s="131"/>
      <c r="H754" s="131"/>
      <c r="I754" s="219"/>
      <c r="J754" s="198"/>
      <c r="K754" s="131"/>
      <c r="L754" s="131"/>
      <c r="M754" s="131"/>
      <c r="N754" s="131"/>
      <c r="O754" s="131"/>
      <c r="P754" s="131"/>
      <c r="Q754" s="131"/>
      <c r="R754" s="131"/>
      <c r="S754" s="131"/>
      <c r="T754" s="131"/>
      <c r="U754" s="131"/>
      <c r="V754" s="131"/>
      <c r="W754" s="131"/>
      <c r="X754" s="131"/>
      <c r="Y754" s="131"/>
      <c r="Z754" s="142"/>
      <c r="AA754" s="142"/>
      <c r="AB754" s="142"/>
      <c r="AC754" s="142"/>
      <c r="AD754" s="142"/>
      <c r="AE754" s="142"/>
      <c r="AF754" s="142"/>
      <c r="AG754" s="142"/>
      <c r="AH754" s="142"/>
      <c r="AI754" s="142"/>
      <c r="AJ754" s="142"/>
      <c r="AK754" s="142"/>
      <c r="AL754" s="142"/>
      <c r="AM754" s="142"/>
      <c r="AN754" s="142"/>
      <c r="AO754" s="131"/>
    </row>
    <row r="755" ht="13.5" customHeight="1">
      <c r="A755" s="142"/>
      <c r="B755" s="142"/>
      <c r="C755" s="142"/>
      <c r="D755" s="142"/>
      <c r="E755" s="308"/>
      <c r="F755" s="131"/>
      <c r="G755" s="131"/>
      <c r="H755" s="131"/>
      <c r="I755" s="219"/>
      <c r="J755" s="198"/>
      <c r="K755" s="131"/>
      <c r="L755" s="131"/>
      <c r="M755" s="131"/>
      <c r="N755" s="131"/>
      <c r="O755" s="131"/>
      <c r="P755" s="131"/>
      <c r="Q755" s="131"/>
      <c r="R755" s="131"/>
      <c r="S755" s="131"/>
      <c r="T755" s="131"/>
      <c r="U755" s="131"/>
      <c r="V755" s="131"/>
      <c r="W755" s="131"/>
      <c r="X755" s="131"/>
      <c r="Y755" s="131"/>
      <c r="Z755" s="142"/>
      <c r="AA755" s="142"/>
      <c r="AB755" s="142"/>
      <c r="AC755" s="142"/>
      <c r="AD755" s="142"/>
      <c r="AE755" s="142"/>
      <c r="AF755" s="142"/>
      <c r="AG755" s="142"/>
      <c r="AH755" s="142"/>
      <c r="AI755" s="142"/>
      <c r="AJ755" s="142"/>
      <c r="AK755" s="142"/>
      <c r="AL755" s="142"/>
      <c r="AM755" s="142"/>
      <c r="AN755" s="142"/>
      <c r="AO755" s="131"/>
    </row>
    <row r="756" ht="13.5" customHeight="1">
      <c r="A756" s="142"/>
      <c r="B756" s="142"/>
      <c r="C756" s="142"/>
      <c r="D756" s="142"/>
      <c r="E756" s="308"/>
      <c r="F756" s="131"/>
      <c r="G756" s="131"/>
      <c r="H756" s="131"/>
      <c r="I756" s="219"/>
      <c r="J756" s="198"/>
      <c r="K756" s="131"/>
      <c r="L756" s="131"/>
      <c r="M756" s="131"/>
      <c r="N756" s="131"/>
      <c r="O756" s="131"/>
      <c r="P756" s="131"/>
      <c r="Q756" s="131"/>
      <c r="R756" s="131"/>
      <c r="S756" s="131"/>
      <c r="T756" s="131"/>
      <c r="U756" s="131"/>
      <c r="V756" s="131"/>
      <c r="W756" s="131"/>
      <c r="X756" s="131"/>
      <c r="Y756" s="131"/>
      <c r="Z756" s="142"/>
      <c r="AA756" s="142"/>
      <c r="AB756" s="142"/>
      <c r="AC756" s="142"/>
      <c r="AD756" s="142"/>
      <c r="AE756" s="142"/>
      <c r="AF756" s="142"/>
      <c r="AG756" s="142"/>
      <c r="AH756" s="142"/>
      <c r="AI756" s="142"/>
      <c r="AJ756" s="142"/>
      <c r="AK756" s="142"/>
      <c r="AL756" s="142"/>
      <c r="AM756" s="142"/>
      <c r="AN756" s="142"/>
      <c r="AO756" s="131"/>
    </row>
    <row r="757" ht="13.5" customHeight="1">
      <c r="A757" s="142"/>
      <c r="B757" s="142"/>
      <c r="C757" s="142"/>
      <c r="D757" s="142"/>
      <c r="E757" s="308"/>
      <c r="F757" s="131"/>
      <c r="G757" s="131"/>
      <c r="H757" s="131"/>
      <c r="I757" s="219"/>
      <c r="J757" s="198"/>
      <c r="K757" s="131"/>
      <c r="L757" s="131"/>
      <c r="M757" s="131"/>
      <c r="N757" s="131"/>
      <c r="O757" s="131"/>
      <c r="P757" s="131"/>
      <c r="Q757" s="131"/>
      <c r="R757" s="131"/>
      <c r="S757" s="131"/>
      <c r="T757" s="131"/>
      <c r="U757" s="131"/>
      <c r="V757" s="131"/>
      <c r="W757" s="131"/>
      <c r="X757" s="131"/>
      <c r="Y757" s="131"/>
      <c r="Z757" s="142"/>
      <c r="AA757" s="142"/>
      <c r="AB757" s="142"/>
      <c r="AC757" s="142"/>
      <c r="AD757" s="142"/>
      <c r="AE757" s="142"/>
      <c r="AF757" s="142"/>
      <c r="AG757" s="142"/>
      <c r="AH757" s="142"/>
      <c r="AI757" s="142"/>
      <c r="AJ757" s="142"/>
      <c r="AK757" s="142"/>
      <c r="AL757" s="142"/>
      <c r="AM757" s="142"/>
      <c r="AN757" s="142"/>
      <c r="AO757" s="131"/>
    </row>
    <row r="758" ht="13.5" customHeight="1">
      <c r="A758" s="142"/>
      <c r="B758" s="142"/>
      <c r="C758" s="142"/>
      <c r="D758" s="142"/>
      <c r="E758" s="308"/>
      <c r="F758" s="131"/>
      <c r="G758" s="131"/>
      <c r="H758" s="131"/>
      <c r="I758" s="219"/>
      <c r="J758" s="198"/>
      <c r="K758" s="131"/>
      <c r="L758" s="131"/>
      <c r="M758" s="131"/>
      <c r="N758" s="131"/>
      <c r="O758" s="131"/>
      <c r="P758" s="131"/>
      <c r="Q758" s="131"/>
      <c r="R758" s="131"/>
      <c r="S758" s="131"/>
      <c r="T758" s="131"/>
      <c r="U758" s="131"/>
      <c r="V758" s="131"/>
      <c r="W758" s="131"/>
      <c r="X758" s="131"/>
      <c r="Y758" s="131"/>
      <c r="Z758" s="142"/>
      <c r="AA758" s="142"/>
      <c r="AB758" s="142"/>
      <c r="AC758" s="142"/>
      <c r="AD758" s="142"/>
      <c r="AE758" s="142"/>
      <c r="AF758" s="142"/>
      <c r="AG758" s="142"/>
      <c r="AH758" s="142"/>
      <c r="AI758" s="142"/>
      <c r="AJ758" s="142"/>
      <c r="AK758" s="142"/>
      <c r="AL758" s="142"/>
      <c r="AM758" s="142"/>
      <c r="AN758" s="142"/>
      <c r="AO758" s="131"/>
    </row>
    <row r="759" ht="13.5" customHeight="1">
      <c r="A759" s="142"/>
      <c r="B759" s="142"/>
      <c r="C759" s="142"/>
      <c r="D759" s="142"/>
      <c r="E759" s="308"/>
      <c r="F759" s="131"/>
      <c r="G759" s="131"/>
      <c r="H759" s="131"/>
      <c r="I759" s="219"/>
      <c r="J759" s="198"/>
      <c r="K759" s="131"/>
      <c r="L759" s="131"/>
      <c r="M759" s="131"/>
      <c r="N759" s="131"/>
      <c r="O759" s="131"/>
      <c r="P759" s="131"/>
      <c r="Q759" s="131"/>
      <c r="R759" s="131"/>
      <c r="S759" s="131"/>
      <c r="T759" s="131"/>
      <c r="U759" s="131"/>
      <c r="V759" s="131"/>
      <c r="W759" s="131"/>
      <c r="X759" s="131"/>
      <c r="Y759" s="131"/>
      <c r="Z759" s="142"/>
      <c r="AA759" s="142"/>
      <c r="AB759" s="142"/>
      <c r="AC759" s="142"/>
      <c r="AD759" s="142"/>
      <c r="AE759" s="142"/>
      <c r="AF759" s="142"/>
      <c r="AG759" s="142"/>
      <c r="AH759" s="142"/>
      <c r="AI759" s="142"/>
      <c r="AJ759" s="142"/>
      <c r="AK759" s="142"/>
      <c r="AL759" s="142"/>
      <c r="AM759" s="142"/>
      <c r="AN759" s="142"/>
      <c r="AO759" s="131"/>
    </row>
    <row r="760" ht="13.5" customHeight="1">
      <c r="A760" s="142"/>
      <c r="B760" s="142"/>
      <c r="C760" s="142"/>
      <c r="D760" s="142"/>
      <c r="E760" s="308"/>
      <c r="F760" s="131"/>
      <c r="G760" s="131"/>
      <c r="H760" s="131"/>
      <c r="I760" s="219"/>
      <c r="J760" s="198"/>
      <c r="K760" s="131"/>
      <c r="L760" s="131"/>
      <c r="M760" s="131"/>
      <c r="N760" s="131"/>
      <c r="O760" s="131"/>
      <c r="P760" s="131"/>
      <c r="Q760" s="131"/>
      <c r="R760" s="131"/>
      <c r="S760" s="131"/>
      <c r="T760" s="131"/>
      <c r="U760" s="131"/>
      <c r="V760" s="131"/>
      <c r="W760" s="131"/>
      <c r="X760" s="131"/>
      <c r="Y760" s="131"/>
      <c r="Z760" s="142"/>
      <c r="AA760" s="142"/>
      <c r="AB760" s="142"/>
      <c r="AC760" s="142"/>
      <c r="AD760" s="142"/>
      <c r="AE760" s="142"/>
      <c r="AF760" s="142"/>
      <c r="AG760" s="142"/>
      <c r="AH760" s="142"/>
      <c r="AI760" s="142"/>
      <c r="AJ760" s="142"/>
      <c r="AK760" s="142"/>
      <c r="AL760" s="142"/>
      <c r="AM760" s="142"/>
      <c r="AN760" s="142"/>
      <c r="AO760" s="131"/>
    </row>
    <row r="761" ht="13.5" customHeight="1">
      <c r="A761" s="142"/>
      <c r="B761" s="142"/>
      <c r="C761" s="142"/>
      <c r="D761" s="142"/>
      <c r="E761" s="308"/>
      <c r="F761" s="131"/>
      <c r="G761" s="131"/>
      <c r="H761" s="131"/>
      <c r="I761" s="219"/>
      <c r="J761" s="198"/>
      <c r="K761" s="131"/>
      <c r="L761" s="131"/>
      <c r="M761" s="131"/>
      <c r="N761" s="131"/>
      <c r="O761" s="131"/>
      <c r="P761" s="131"/>
      <c r="Q761" s="131"/>
      <c r="R761" s="131"/>
      <c r="S761" s="131"/>
      <c r="T761" s="131"/>
      <c r="U761" s="131"/>
      <c r="V761" s="131"/>
      <c r="W761" s="131"/>
      <c r="X761" s="131"/>
      <c r="Y761" s="131"/>
      <c r="Z761" s="142"/>
      <c r="AA761" s="142"/>
      <c r="AB761" s="142"/>
      <c r="AC761" s="142"/>
      <c r="AD761" s="142"/>
      <c r="AE761" s="142"/>
      <c r="AF761" s="142"/>
      <c r="AG761" s="142"/>
      <c r="AH761" s="142"/>
      <c r="AI761" s="142"/>
      <c r="AJ761" s="142"/>
      <c r="AK761" s="142"/>
      <c r="AL761" s="142"/>
      <c r="AM761" s="142"/>
      <c r="AN761" s="142"/>
      <c r="AO761" s="131"/>
    </row>
    <row r="762" ht="13.5" customHeight="1">
      <c r="A762" s="142"/>
      <c r="B762" s="142"/>
      <c r="C762" s="142"/>
      <c r="D762" s="142"/>
      <c r="E762" s="308"/>
      <c r="F762" s="131"/>
      <c r="G762" s="131"/>
      <c r="H762" s="131"/>
      <c r="I762" s="219"/>
      <c r="J762" s="198"/>
      <c r="K762" s="131"/>
      <c r="L762" s="131"/>
      <c r="M762" s="131"/>
      <c r="N762" s="131"/>
      <c r="O762" s="131"/>
      <c r="P762" s="131"/>
      <c r="Q762" s="131"/>
      <c r="R762" s="131"/>
      <c r="S762" s="131"/>
      <c r="T762" s="131"/>
      <c r="U762" s="131"/>
      <c r="V762" s="131"/>
      <c r="W762" s="131"/>
      <c r="X762" s="131"/>
      <c r="Y762" s="131"/>
      <c r="Z762" s="142"/>
      <c r="AA762" s="142"/>
      <c r="AB762" s="142"/>
      <c r="AC762" s="142"/>
      <c r="AD762" s="142"/>
      <c r="AE762" s="142"/>
      <c r="AF762" s="142"/>
      <c r="AG762" s="142"/>
      <c r="AH762" s="142"/>
      <c r="AI762" s="142"/>
      <c r="AJ762" s="142"/>
      <c r="AK762" s="142"/>
      <c r="AL762" s="142"/>
      <c r="AM762" s="142"/>
      <c r="AN762" s="142"/>
      <c r="AO762" s="131"/>
    </row>
    <row r="763" ht="13.5" customHeight="1">
      <c r="A763" s="142"/>
      <c r="B763" s="142"/>
      <c r="C763" s="142"/>
      <c r="D763" s="142"/>
      <c r="E763" s="308"/>
      <c r="F763" s="131"/>
      <c r="G763" s="131"/>
      <c r="H763" s="131"/>
      <c r="I763" s="219"/>
      <c r="J763" s="198"/>
      <c r="K763" s="131"/>
      <c r="L763" s="131"/>
      <c r="M763" s="131"/>
      <c r="N763" s="131"/>
      <c r="O763" s="131"/>
      <c r="P763" s="131"/>
      <c r="Q763" s="131"/>
      <c r="R763" s="131"/>
      <c r="S763" s="131"/>
      <c r="T763" s="131"/>
      <c r="U763" s="131"/>
      <c r="V763" s="131"/>
      <c r="W763" s="131"/>
      <c r="X763" s="131"/>
      <c r="Y763" s="131"/>
      <c r="Z763" s="142"/>
      <c r="AA763" s="142"/>
      <c r="AB763" s="142"/>
      <c r="AC763" s="142"/>
      <c r="AD763" s="142"/>
      <c r="AE763" s="142"/>
      <c r="AF763" s="142"/>
      <c r="AG763" s="142"/>
      <c r="AH763" s="142"/>
      <c r="AI763" s="142"/>
      <c r="AJ763" s="142"/>
      <c r="AK763" s="142"/>
      <c r="AL763" s="142"/>
      <c r="AM763" s="142"/>
      <c r="AN763" s="142"/>
      <c r="AO763" s="131"/>
    </row>
    <row r="764" ht="13.5" customHeight="1">
      <c r="A764" s="142"/>
      <c r="B764" s="142"/>
      <c r="C764" s="142"/>
      <c r="D764" s="142"/>
      <c r="E764" s="308"/>
      <c r="F764" s="131"/>
      <c r="G764" s="131"/>
      <c r="H764" s="131"/>
      <c r="I764" s="219"/>
      <c r="J764" s="198"/>
      <c r="K764" s="131"/>
      <c r="L764" s="131"/>
      <c r="M764" s="131"/>
      <c r="N764" s="131"/>
      <c r="O764" s="131"/>
      <c r="P764" s="131"/>
      <c r="Q764" s="131"/>
      <c r="R764" s="131"/>
      <c r="S764" s="131"/>
      <c r="T764" s="131"/>
      <c r="U764" s="131"/>
      <c r="V764" s="131"/>
      <c r="W764" s="131"/>
      <c r="X764" s="131"/>
      <c r="Y764" s="131"/>
      <c r="Z764" s="142"/>
      <c r="AA764" s="142"/>
      <c r="AB764" s="142"/>
      <c r="AC764" s="142"/>
      <c r="AD764" s="142"/>
      <c r="AE764" s="142"/>
      <c r="AF764" s="142"/>
      <c r="AG764" s="142"/>
      <c r="AH764" s="142"/>
      <c r="AI764" s="142"/>
      <c r="AJ764" s="142"/>
      <c r="AK764" s="142"/>
      <c r="AL764" s="142"/>
      <c r="AM764" s="142"/>
      <c r="AN764" s="142"/>
      <c r="AO764" s="131"/>
    </row>
    <row r="765" ht="13.5" customHeight="1">
      <c r="A765" s="142"/>
      <c r="B765" s="142"/>
      <c r="C765" s="142"/>
      <c r="D765" s="142"/>
      <c r="E765" s="308"/>
      <c r="F765" s="131"/>
      <c r="G765" s="131"/>
      <c r="H765" s="131"/>
      <c r="I765" s="219"/>
      <c r="J765" s="198"/>
      <c r="K765" s="131"/>
      <c r="L765" s="131"/>
      <c r="M765" s="131"/>
      <c r="N765" s="131"/>
      <c r="O765" s="131"/>
      <c r="P765" s="131"/>
      <c r="Q765" s="131"/>
      <c r="R765" s="131"/>
      <c r="S765" s="131"/>
      <c r="T765" s="131"/>
      <c r="U765" s="131"/>
      <c r="V765" s="131"/>
      <c r="W765" s="131"/>
      <c r="X765" s="131"/>
      <c r="Y765" s="131"/>
      <c r="Z765" s="142"/>
      <c r="AA765" s="142"/>
      <c r="AB765" s="142"/>
      <c r="AC765" s="142"/>
      <c r="AD765" s="142"/>
      <c r="AE765" s="142"/>
      <c r="AF765" s="142"/>
      <c r="AG765" s="142"/>
      <c r="AH765" s="142"/>
      <c r="AI765" s="142"/>
      <c r="AJ765" s="142"/>
      <c r="AK765" s="142"/>
      <c r="AL765" s="142"/>
      <c r="AM765" s="142"/>
      <c r="AN765" s="142"/>
      <c r="AO765" s="131"/>
    </row>
    <row r="766" ht="13.5" customHeight="1">
      <c r="A766" s="142"/>
      <c r="B766" s="142"/>
      <c r="C766" s="142"/>
      <c r="D766" s="142"/>
      <c r="E766" s="308"/>
      <c r="F766" s="131"/>
      <c r="G766" s="131"/>
      <c r="H766" s="131"/>
      <c r="I766" s="219"/>
      <c r="J766" s="198"/>
      <c r="K766" s="131"/>
      <c r="L766" s="131"/>
      <c r="M766" s="131"/>
      <c r="N766" s="131"/>
      <c r="O766" s="131"/>
      <c r="P766" s="131"/>
      <c r="Q766" s="131"/>
      <c r="R766" s="131"/>
      <c r="S766" s="131"/>
      <c r="T766" s="131"/>
      <c r="U766" s="131"/>
      <c r="V766" s="131"/>
      <c r="W766" s="131"/>
      <c r="X766" s="131"/>
      <c r="Y766" s="131"/>
      <c r="Z766" s="142"/>
      <c r="AA766" s="142"/>
      <c r="AB766" s="142"/>
      <c r="AC766" s="142"/>
      <c r="AD766" s="142"/>
      <c r="AE766" s="142"/>
      <c r="AF766" s="142"/>
      <c r="AG766" s="142"/>
      <c r="AH766" s="142"/>
      <c r="AI766" s="142"/>
      <c r="AJ766" s="142"/>
      <c r="AK766" s="142"/>
      <c r="AL766" s="142"/>
      <c r="AM766" s="142"/>
      <c r="AN766" s="142"/>
      <c r="AO766" s="131"/>
    </row>
    <row r="767" ht="13.5" customHeight="1">
      <c r="A767" s="142"/>
      <c r="B767" s="142"/>
      <c r="C767" s="142"/>
      <c r="D767" s="142"/>
      <c r="E767" s="308"/>
      <c r="F767" s="131"/>
      <c r="G767" s="131"/>
      <c r="H767" s="131"/>
      <c r="I767" s="219"/>
      <c r="J767" s="198"/>
      <c r="K767" s="131"/>
      <c r="L767" s="131"/>
      <c r="M767" s="131"/>
      <c r="N767" s="131"/>
      <c r="O767" s="131"/>
      <c r="P767" s="131"/>
      <c r="Q767" s="131"/>
      <c r="R767" s="131"/>
      <c r="S767" s="131"/>
      <c r="T767" s="131"/>
      <c r="U767" s="131"/>
      <c r="V767" s="131"/>
      <c r="W767" s="131"/>
      <c r="X767" s="131"/>
      <c r="Y767" s="131"/>
      <c r="Z767" s="142"/>
      <c r="AA767" s="142"/>
      <c r="AB767" s="142"/>
      <c r="AC767" s="142"/>
      <c r="AD767" s="142"/>
      <c r="AE767" s="142"/>
      <c r="AF767" s="142"/>
      <c r="AG767" s="142"/>
      <c r="AH767" s="142"/>
      <c r="AI767" s="142"/>
      <c r="AJ767" s="142"/>
      <c r="AK767" s="142"/>
      <c r="AL767" s="142"/>
      <c r="AM767" s="142"/>
      <c r="AN767" s="142"/>
      <c r="AO767" s="131"/>
    </row>
    <row r="768" ht="13.5" customHeight="1">
      <c r="A768" s="142"/>
      <c r="B768" s="142"/>
      <c r="C768" s="142"/>
      <c r="D768" s="142"/>
      <c r="E768" s="308"/>
      <c r="F768" s="131"/>
      <c r="G768" s="131"/>
      <c r="H768" s="131"/>
      <c r="I768" s="219"/>
      <c r="J768" s="198"/>
      <c r="K768" s="131"/>
      <c r="L768" s="131"/>
      <c r="M768" s="131"/>
      <c r="N768" s="131"/>
      <c r="O768" s="131"/>
      <c r="P768" s="131"/>
      <c r="Q768" s="131"/>
      <c r="R768" s="131"/>
      <c r="S768" s="131"/>
      <c r="T768" s="131"/>
      <c r="U768" s="131"/>
      <c r="V768" s="131"/>
      <c r="W768" s="131"/>
      <c r="X768" s="131"/>
      <c r="Y768" s="131"/>
      <c r="Z768" s="142"/>
      <c r="AA768" s="142"/>
      <c r="AB768" s="142"/>
      <c r="AC768" s="142"/>
      <c r="AD768" s="142"/>
      <c r="AE768" s="142"/>
      <c r="AF768" s="142"/>
      <c r="AG768" s="142"/>
      <c r="AH768" s="142"/>
      <c r="AI768" s="142"/>
      <c r="AJ768" s="142"/>
      <c r="AK768" s="142"/>
      <c r="AL768" s="142"/>
      <c r="AM768" s="142"/>
      <c r="AN768" s="142"/>
      <c r="AO768" s="131"/>
    </row>
    <row r="769" ht="13.5" customHeight="1">
      <c r="A769" s="142"/>
      <c r="B769" s="142"/>
      <c r="C769" s="142"/>
      <c r="D769" s="142"/>
      <c r="E769" s="308"/>
      <c r="F769" s="131"/>
      <c r="G769" s="131"/>
      <c r="H769" s="131"/>
      <c r="I769" s="219"/>
      <c r="J769" s="198"/>
      <c r="K769" s="131"/>
      <c r="L769" s="131"/>
      <c r="M769" s="131"/>
      <c r="N769" s="131"/>
      <c r="O769" s="131"/>
      <c r="P769" s="131"/>
      <c r="Q769" s="131"/>
      <c r="R769" s="131"/>
      <c r="S769" s="131"/>
      <c r="T769" s="131"/>
      <c r="U769" s="131"/>
      <c r="V769" s="131"/>
      <c r="W769" s="131"/>
      <c r="X769" s="131"/>
      <c r="Y769" s="131"/>
      <c r="Z769" s="142"/>
      <c r="AA769" s="142"/>
      <c r="AB769" s="142"/>
      <c r="AC769" s="142"/>
      <c r="AD769" s="142"/>
      <c r="AE769" s="142"/>
      <c r="AF769" s="142"/>
      <c r="AG769" s="142"/>
      <c r="AH769" s="142"/>
      <c r="AI769" s="142"/>
      <c r="AJ769" s="142"/>
      <c r="AK769" s="142"/>
      <c r="AL769" s="142"/>
      <c r="AM769" s="142"/>
      <c r="AN769" s="142"/>
      <c r="AO769" s="131"/>
    </row>
    <row r="770" ht="13.5" customHeight="1">
      <c r="A770" s="142"/>
      <c r="B770" s="142"/>
      <c r="C770" s="142"/>
      <c r="D770" s="142"/>
      <c r="E770" s="308"/>
      <c r="F770" s="131"/>
      <c r="G770" s="131"/>
      <c r="H770" s="131"/>
      <c r="I770" s="219"/>
      <c r="J770" s="198"/>
      <c r="K770" s="131"/>
      <c r="L770" s="131"/>
      <c r="M770" s="131"/>
      <c r="N770" s="131"/>
      <c r="O770" s="131"/>
      <c r="P770" s="131"/>
      <c r="Q770" s="131"/>
      <c r="R770" s="131"/>
      <c r="S770" s="131"/>
      <c r="T770" s="131"/>
      <c r="U770" s="131"/>
      <c r="V770" s="131"/>
      <c r="W770" s="131"/>
      <c r="X770" s="131"/>
      <c r="Y770" s="131"/>
      <c r="Z770" s="142"/>
      <c r="AA770" s="142"/>
      <c r="AB770" s="142"/>
      <c r="AC770" s="142"/>
      <c r="AD770" s="142"/>
      <c r="AE770" s="142"/>
      <c r="AF770" s="142"/>
      <c r="AG770" s="142"/>
      <c r="AH770" s="142"/>
      <c r="AI770" s="142"/>
      <c r="AJ770" s="142"/>
      <c r="AK770" s="142"/>
      <c r="AL770" s="142"/>
      <c r="AM770" s="142"/>
      <c r="AN770" s="142"/>
      <c r="AO770" s="131"/>
    </row>
    <row r="771" ht="13.5" customHeight="1">
      <c r="A771" s="142"/>
      <c r="B771" s="142"/>
      <c r="C771" s="142"/>
      <c r="D771" s="142"/>
      <c r="E771" s="308"/>
      <c r="F771" s="131"/>
      <c r="G771" s="131"/>
      <c r="H771" s="131"/>
      <c r="I771" s="219"/>
      <c r="J771" s="198"/>
      <c r="K771" s="131"/>
      <c r="L771" s="131"/>
      <c r="M771" s="131"/>
      <c r="N771" s="131"/>
      <c r="O771" s="131"/>
      <c r="P771" s="131"/>
      <c r="Q771" s="131"/>
      <c r="R771" s="131"/>
      <c r="S771" s="131"/>
      <c r="T771" s="131"/>
      <c r="U771" s="131"/>
      <c r="V771" s="131"/>
      <c r="W771" s="131"/>
      <c r="X771" s="131"/>
      <c r="Y771" s="131"/>
      <c r="Z771" s="142"/>
      <c r="AA771" s="142"/>
      <c r="AB771" s="142"/>
      <c r="AC771" s="142"/>
      <c r="AD771" s="142"/>
      <c r="AE771" s="142"/>
      <c r="AF771" s="142"/>
      <c r="AG771" s="142"/>
      <c r="AH771" s="142"/>
      <c r="AI771" s="142"/>
      <c r="AJ771" s="142"/>
      <c r="AK771" s="142"/>
      <c r="AL771" s="142"/>
      <c r="AM771" s="142"/>
      <c r="AN771" s="142"/>
      <c r="AO771" s="131"/>
    </row>
    <row r="772" ht="13.5" customHeight="1">
      <c r="A772" s="142"/>
      <c r="B772" s="142"/>
      <c r="C772" s="142"/>
      <c r="D772" s="142"/>
      <c r="E772" s="308"/>
      <c r="F772" s="131"/>
      <c r="G772" s="131"/>
      <c r="H772" s="131"/>
      <c r="I772" s="219"/>
      <c r="J772" s="198"/>
      <c r="K772" s="131"/>
      <c r="L772" s="131"/>
      <c r="M772" s="131"/>
      <c r="N772" s="131"/>
      <c r="O772" s="131"/>
      <c r="P772" s="131"/>
      <c r="Q772" s="131"/>
      <c r="R772" s="131"/>
      <c r="S772" s="131"/>
      <c r="T772" s="131"/>
      <c r="U772" s="131"/>
      <c r="V772" s="131"/>
      <c r="W772" s="131"/>
      <c r="X772" s="131"/>
      <c r="Y772" s="131"/>
      <c r="Z772" s="142"/>
      <c r="AA772" s="142"/>
      <c r="AB772" s="142"/>
      <c r="AC772" s="142"/>
      <c r="AD772" s="142"/>
      <c r="AE772" s="142"/>
      <c r="AF772" s="142"/>
      <c r="AG772" s="142"/>
      <c r="AH772" s="142"/>
      <c r="AI772" s="142"/>
      <c r="AJ772" s="142"/>
      <c r="AK772" s="142"/>
      <c r="AL772" s="142"/>
      <c r="AM772" s="142"/>
      <c r="AN772" s="142"/>
      <c r="AO772" s="131"/>
    </row>
    <row r="773" ht="13.5" customHeight="1">
      <c r="A773" s="142"/>
      <c r="B773" s="142"/>
      <c r="C773" s="142"/>
      <c r="D773" s="142"/>
      <c r="E773" s="308"/>
      <c r="F773" s="131"/>
      <c r="G773" s="131"/>
      <c r="H773" s="131"/>
      <c r="I773" s="219"/>
      <c r="J773" s="198"/>
      <c r="K773" s="131"/>
      <c r="L773" s="131"/>
      <c r="M773" s="131"/>
      <c r="N773" s="131"/>
      <c r="O773" s="131"/>
      <c r="P773" s="131"/>
      <c r="Q773" s="131"/>
      <c r="R773" s="131"/>
      <c r="S773" s="131"/>
      <c r="T773" s="131"/>
      <c r="U773" s="131"/>
      <c r="V773" s="131"/>
      <c r="W773" s="131"/>
      <c r="X773" s="131"/>
      <c r="Y773" s="131"/>
      <c r="Z773" s="142"/>
      <c r="AA773" s="142"/>
      <c r="AB773" s="142"/>
      <c r="AC773" s="142"/>
      <c r="AD773" s="142"/>
      <c r="AE773" s="142"/>
      <c r="AF773" s="142"/>
      <c r="AG773" s="142"/>
      <c r="AH773" s="142"/>
      <c r="AI773" s="142"/>
      <c r="AJ773" s="142"/>
      <c r="AK773" s="142"/>
      <c r="AL773" s="142"/>
      <c r="AM773" s="142"/>
      <c r="AN773" s="142"/>
      <c r="AO773" s="131"/>
    </row>
    <row r="774" ht="13.5" customHeight="1">
      <c r="A774" s="142"/>
      <c r="B774" s="142"/>
      <c r="C774" s="142"/>
      <c r="D774" s="142"/>
      <c r="E774" s="308"/>
      <c r="F774" s="131"/>
      <c r="G774" s="131"/>
      <c r="H774" s="131"/>
      <c r="I774" s="219"/>
      <c r="J774" s="198"/>
      <c r="K774" s="131"/>
      <c r="L774" s="131"/>
      <c r="M774" s="131"/>
      <c r="N774" s="131"/>
      <c r="O774" s="131"/>
      <c r="P774" s="131"/>
      <c r="Q774" s="131"/>
      <c r="R774" s="131"/>
      <c r="S774" s="131"/>
      <c r="T774" s="131"/>
      <c r="U774" s="131"/>
      <c r="V774" s="131"/>
      <c r="W774" s="131"/>
      <c r="X774" s="131"/>
      <c r="Y774" s="131"/>
      <c r="Z774" s="142"/>
      <c r="AA774" s="142"/>
      <c r="AB774" s="142"/>
      <c r="AC774" s="142"/>
      <c r="AD774" s="142"/>
      <c r="AE774" s="142"/>
      <c r="AF774" s="142"/>
      <c r="AG774" s="142"/>
      <c r="AH774" s="142"/>
      <c r="AI774" s="142"/>
      <c r="AJ774" s="142"/>
      <c r="AK774" s="142"/>
      <c r="AL774" s="142"/>
      <c r="AM774" s="142"/>
      <c r="AN774" s="142"/>
      <c r="AO774" s="131"/>
    </row>
    <row r="775" ht="13.5" customHeight="1">
      <c r="A775" s="142"/>
      <c r="B775" s="142"/>
      <c r="C775" s="142"/>
      <c r="D775" s="142"/>
      <c r="E775" s="308"/>
      <c r="F775" s="131"/>
      <c r="G775" s="131"/>
      <c r="H775" s="131"/>
      <c r="I775" s="219"/>
      <c r="J775" s="198"/>
      <c r="K775" s="131"/>
      <c r="L775" s="131"/>
      <c r="M775" s="131"/>
      <c r="N775" s="131"/>
      <c r="O775" s="131"/>
      <c r="P775" s="131"/>
      <c r="Q775" s="131"/>
      <c r="R775" s="131"/>
      <c r="S775" s="131"/>
      <c r="T775" s="131"/>
      <c r="U775" s="131"/>
      <c r="V775" s="131"/>
      <c r="W775" s="131"/>
      <c r="X775" s="131"/>
      <c r="Y775" s="131"/>
      <c r="Z775" s="142"/>
      <c r="AA775" s="142"/>
      <c r="AB775" s="142"/>
      <c r="AC775" s="142"/>
      <c r="AD775" s="142"/>
      <c r="AE775" s="142"/>
      <c r="AF775" s="142"/>
      <c r="AG775" s="142"/>
      <c r="AH775" s="142"/>
      <c r="AI775" s="142"/>
      <c r="AJ775" s="142"/>
      <c r="AK775" s="142"/>
      <c r="AL775" s="142"/>
      <c r="AM775" s="142"/>
      <c r="AN775" s="142"/>
      <c r="AO775" s="131"/>
    </row>
    <row r="776" ht="13.5" customHeight="1">
      <c r="A776" s="142"/>
      <c r="B776" s="142"/>
      <c r="C776" s="142"/>
      <c r="D776" s="142"/>
      <c r="E776" s="308"/>
      <c r="F776" s="131"/>
      <c r="G776" s="131"/>
      <c r="H776" s="131"/>
      <c r="I776" s="219"/>
      <c r="J776" s="198"/>
      <c r="K776" s="131"/>
      <c r="L776" s="131"/>
      <c r="M776" s="131"/>
      <c r="N776" s="131"/>
      <c r="O776" s="131"/>
      <c r="P776" s="131"/>
      <c r="Q776" s="131"/>
      <c r="R776" s="131"/>
      <c r="S776" s="131"/>
      <c r="T776" s="131"/>
      <c r="U776" s="131"/>
      <c r="V776" s="131"/>
      <c r="W776" s="131"/>
      <c r="X776" s="131"/>
      <c r="Y776" s="131"/>
      <c r="Z776" s="142"/>
      <c r="AA776" s="142"/>
      <c r="AB776" s="142"/>
      <c r="AC776" s="142"/>
      <c r="AD776" s="142"/>
      <c r="AE776" s="142"/>
      <c r="AF776" s="142"/>
      <c r="AG776" s="142"/>
      <c r="AH776" s="142"/>
      <c r="AI776" s="142"/>
      <c r="AJ776" s="142"/>
      <c r="AK776" s="142"/>
      <c r="AL776" s="142"/>
      <c r="AM776" s="142"/>
      <c r="AN776" s="142"/>
      <c r="AO776" s="131"/>
    </row>
    <row r="777" ht="13.5" customHeight="1">
      <c r="A777" s="142"/>
      <c r="B777" s="142"/>
      <c r="C777" s="142"/>
      <c r="D777" s="142"/>
      <c r="E777" s="308"/>
      <c r="F777" s="131"/>
      <c r="G777" s="131"/>
      <c r="H777" s="131"/>
      <c r="I777" s="219"/>
      <c r="J777" s="198"/>
      <c r="K777" s="131"/>
      <c r="L777" s="131"/>
      <c r="M777" s="131"/>
      <c r="N777" s="131"/>
      <c r="O777" s="131"/>
      <c r="P777" s="131"/>
      <c r="Q777" s="131"/>
      <c r="R777" s="131"/>
      <c r="S777" s="131"/>
      <c r="T777" s="131"/>
      <c r="U777" s="131"/>
      <c r="V777" s="131"/>
      <c r="W777" s="131"/>
      <c r="X777" s="131"/>
      <c r="Y777" s="131"/>
      <c r="Z777" s="142"/>
      <c r="AA777" s="142"/>
      <c r="AB777" s="142"/>
      <c r="AC777" s="142"/>
      <c r="AD777" s="142"/>
      <c r="AE777" s="142"/>
      <c r="AF777" s="142"/>
      <c r="AG777" s="142"/>
      <c r="AH777" s="142"/>
      <c r="AI777" s="142"/>
      <c r="AJ777" s="142"/>
      <c r="AK777" s="142"/>
      <c r="AL777" s="142"/>
      <c r="AM777" s="142"/>
      <c r="AN777" s="142"/>
      <c r="AO777" s="131"/>
    </row>
    <row r="778" ht="13.5" customHeight="1">
      <c r="A778" s="142"/>
      <c r="B778" s="142"/>
      <c r="C778" s="142"/>
      <c r="D778" s="142"/>
      <c r="E778" s="308"/>
      <c r="F778" s="131"/>
      <c r="G778" s="131"/>
      <c r="H778" s="131"/>
      <c r="I778" s="219"/>
      <c r="J778" s="198"/>
      <c r="K778" s="131"/>
      <c r="L778" s="131"/>
      <c r="M778" s="131"/>
      <c r="N778" s="131"/>
      <c r="O778" s="131"/>
      <c r="P778" s="131"/>
      <c r="Q778" s="131"/>
      <c r="R778" s="131"/>
      <c r="S778" s="131"/>
      <c r="T778" s="131"/>
      <c r="U778" s="131"/>
      <c r="V778" s="131"/>
      <c r="W778" s="131"/>
      <c r="X778" s="131"/>
      <c r="Y778" s="131"/>
      <c r="Z778" s="142"/>
      <c r="AA778" s="142"/>
      <c r="AB778" s="142"/>
      <c r="AC778" s="142"/>
      <c r="AD778" s="142"/>
      <c r="AE778" s="142"/>
      <c r="AF778" s="142"/>
      <c r="AG778" s="142"/>
      <c r="AH778" s="142"/>
      <c r="AI778" s="142"/>
      <c r="AJ778" s="142"/>
      <c r="AK778" s="142"/>
      <c r="AL778" s="142"/>
      <c r="AM778" s="142"/>
      <c r="AN778" s="142"/>
      <c r="AO778" s="131"/>
    </row>
    <row r="779" ht="13.5" customHeight="1">
      <c r="A779" s="142"/>
      <c r="B779" s="142"/>
      <c r="C779" s="142"/>
      <c r="D779" s="142"/>
      <c r="E779" s="308"/>
      <c r="F779" s="131"/>
      <c r="G779" s="131"/>
      <c r="H779" s="131"/>
      <c r="I779" s="219"/>
      <c r="J779" s="198"/>
      <c r="K779" s="131"/>
      <c r="L779" s="131"/>
      <c r="M779" s="131"/>
      <c r="N779" s="131"/>
      <c r="O779" s="131"/>
      <c r="P779" s="131"/>
      <c r="Q779" s="131"/>
      <c r="R779" s="131"/>
      <c r="S779" s="131"/>
      <c r="T779" s="131"/>
      <c r="U779" s="131"/>
      <c r="V779" s="131"/>
      <c r="W779" s="131"/>
      <c r="X779" s="131"/>
      <c r="Y779" s="131"/>
      <c r="Z779" s="142"/>
      <c r="AA779" s="142"/>
      <c r="AB779" s="142"/>
      <c r="AC779" s="142"/>
      <c r="AD779" s="142"/>
      <c r="AE779" s="142"/>
      <c r="AF779" s="142"/>
      <c r="AG779" s="142"/>
      <c r="AH779" s="142"/>
      <c r="AI779" s="142"/>
      <c r="AJ779" s="142"/>
      <c r="AK779" s="142"/>
      <c r="AL779" s="142"/>
      <c r="AM779" s="142"/>
      <c r="AN779" s="142"/>
      <c r="AO779" s="131"/>
    </row>
    <row r="780" ht="13.5" customHeight="1">
      <c r="A780" s="142"/>
      <c r="B780" s="142"/>
      <c r="C780" s="142"/>
      <c r="D780" s="142"/>
      <c r="E780" s="308"/>
      <c r="F780" s="131"/>
      <c r="G780" s="131"/>
      <c r="H780" s="131"/>
      <c r="I780" s="219"/>
      <c r="J780" s="198"/>
      <c r="K780" s="131"/>
      <c r="L780" s="131"/>
      <c r="M780" s="131"/>
      <c r="N780" s="131"/>
      <c r="O780" s="131"/>
      <c r="P780" s="131"/>
      <c r="Q780" s="131"/>
      <c r="R780" s="131"/>
      <c r="S780" s="131"/>
      <c r="T780" s="131"/>
      <c r="U780" s="131"/>
      <c r="V780" s="131"/>
      <c r="W780" s="131"/>
      <c r="X780" s="131"/>
      <c r="Y780" s="131"/>
      <c r="Z780" s="142"/>
      <c r="AA780" s="142"/>
      <c r="AB780" s="142"/>
      <c r="AC780" s="142"/>
      <c r="AD780" s="142"/>
      <c r="AE780" s="142"/>
      <c r="AF780" s="142"/>
      <c r="AG780" s="142"/>
      <c r="AH780" s="142"/>
      <c r="AI780" s="142"/>
      <c r="AJ780" s="142"/>
      <c r="AK780" s="142"/>
      <c r="AL780" s="142"/>
      <c r="AM780" s="142"/>
      <c r="AN780" s="142"/>
      <c r="AO780" s="131"/>
    </row>
    <row r="781" ht="13.5" customHeight="1">
      <c r="A781" s="142"/>
      <c r="B781" s="142"/>
      <c r="C781" s="142"/>
      <c r="D781" s="142"/>
      <c r="E781" s="308"/>
      <c r="F781" s="131"/>
      <c r="G781" s="131"/>
      <c r="H781" s="131"/>
      <c r="I781" s="219"/>
      <c r="J781" s="198"/>
      <c r="K781" s="131"/>
      <c r="L781" s="131"/>
      <c r="M781" s="131"/>
      <c r="N781" s="131"/>
      <c r="O781" s="131"/>
      <c r="P781" s="131"/>
      <c r="Q781" s="131"/>
      <c r="R781" s="131"/>
      <c r="S781" s="131"/>
      <c r="T781" s="131"/>
      <c r="U781" s="131"/>
      <c r="V781" s="131"/>
      <c r="W781" s="131"/>
      <c r="X781" s="131"/>
      <c r="Y781" s="131"/>
      <c r="Z781" s="142"/>
      <c r="AA781" s="142"/>
      <c r="AB781" s="142"/>
      <c r="AC781" s="142"/>
      <c r="AD781" s="142"/>
      <c r="AE781" s="142"/>
      <c r="AF781" s="142"/>
      <c r="AG781" s="142"/>
      <c r="AH781" s="142"/>
      <c r="AI781" s="142"/>
      <c r="AJ781" s="142"/>
      <c r="AK781" s="142"/>
      <c r="AL781" s="142"/>
      <c r="AM781" s="142"/>
      <c r="AN781" s="142"/>
      <c r="AO781" s="131"/>
    </row>
    <row r="782" ht="13.5" customHeight="1">
      <c r="A782" s="142"/>
      <c r="B782" s="142"/>
      <c r="C782" s="142"/>
      <c r="D782" s="142"/>
      <c r="E782" s="308"/>
      <c r="F782" s="131"/>
      <c r="G782" s="131"/>
      <c r="H782" s="131"/>
      <c r="I782" s="219"/>
      <c r="J782" s="198"/>
      <c r="K782" s="131"/>
      <c r="L782" s="131"/>
      <c r="M782" s="131"/>
      <c r="N782" s="131"/>
      <c r="O782" s="131"/>
      <c r="P782" s="131"/>
      <c r="Q782" s="131"/>
      <c r="R782" s="131"/>
      <c r="S782" s="131"/>
      <c r="T782" s="131"/>
      <c r="U782" s="131"/>
      <c r="V782" s="131"/>
      <c r="W782" s="131"/>
      <c r="X782" s="131"/>
      <c r="Y782" s="131"/>
      <c r="Z782" s="142"/>
      <c r="AA782" s="142"/>
      <c r="AB782" s="142"/>
      <c r="AC782" s="142"/>
      <c r="AD782" s="142"/>
      <c r="AE782" s="142"/>
      <c r="AF782" s="142"/>
      <c r="AG782" s="142"/>
      <c r="AH782" s="142"/>
      <c r="AI782" s="142"/>
      <c r="AJ782" s="142"/>
      <c r="AK782" s="142"/>
      <c r="AL782" s="142"/>
      <c r="AM782" s="142"/>
      <c r="AN782" s="142"/>
      <c r="AO782" s="131"/>
    </row>
    <row r="783" ht="13.5" customHeight="1">
      <c r="A783" s="142"/>
      <c r="B783" s="142"/>
      <c r="C783" s="142"/>
      <c r="D783" s="142"/>
      <c r="E783" s="308"/>
      <c r="F783" s="131"/>
      <c r="G783" s="131"/>
      <c r="H783" s="131"/>
      <c r="I783" s="219"/>
      <c r="J783" s="198"/>
      <c r="K783" s="131"/>
      <c r="L783" s="131"/>
      <c r="M783" s="131"/>
      <c r="N783" s="131"/>
      <c r="O783" s="131"/>
      <c r="P783" s="131"/>
      <c r="Q783" s="131"/>
      <c r="R783" s="131"/>
      <c r="S783" s="131"/>
      <c r="T783" s="131"/>
      <c r="U783" s="131"/>
      <c r="V783" s="131"/>
      <c r="W783" s="131"/>
      <c r="X783" s="131"/>
      <c r="Y783" s="131"/>
      <c r="Z783" s="142"/>
      <c r="AA783" s="142"/>
      <c r="AB783" s="142"/>
      <c r="AC783" s="142"/>
      <c r="AD783" s="142"/>
      <c r="AE783" s="142"/>
      <c r="AF783" s="142"/>
      <c r="AG783" s="142"/>
      <c r="AH783" s="142"/>
      <c r="AI783" s="142"/>
      <c r="AJ783" s="142"/>
      <c r="AK783" s="142"/>
      <c r="AL783" s="142"/>
      <c r="AM783" s="142"/>
      <c r="AN783" s="142"/>
      <c r="AO783" s="131"/>
    </row>
    <row r="784" ht="13.5" customHeight="1">
      <c r="A784" s="142"/>
      <c r="B784" s="142"/>
      <c r="C784" s="142"/>
      <c r="D784" s="142"/>
      <c r="E784" s="308"/>
      <c r="F784" s="131"/>
      <c r="G784" s="131"/>
      <c r="H784" s="131"/>
      <c r="I784" s="219"/>
      <c r="J784" s="198"/>
      <c r="K784" s="131"/>
      <c r="L784" s="131"/>
      <c r="M784" s="131"/>
      <c r="N784" s="131"/>
      <c r="O784" s="131"/>
      <c r="P784" s="131"/>
      <c r="Q784" s="131"/>
      <c r="R784" s="131"/>
      <c r="S784" s="131"/>
      <c r="T784" s="131"/>
      <c r="U784" s="131"/>
      <c r="V784" s="131"/>
      <c r="W784" s="131"/>
      <c r="X784" s="131"/>
      <c r="Y784" s="131"/>
      <c r="Z784" s="142"/>
      <c r="AA784" s="142"/>
      <c r="AB784" s="142"/>
      <c r="AC784" s="142"/>
      <c r="AD784" s="142"/>
      <c r="AE784" s="142"/>
      <c r="AF784" s="142"/>
      <c r="AG784" s="142"/>
      <c r="AH784" s="142"/>
      <c r="AI784" s="142"/>
      <c r="AJ784" s="142"/>
      <c r="AK784" s="142"/>
      <c r="AL784" s="142"/>
      <c r="AM784" s="142"/>
      <c r="AN784" s="142"/>
      <c r="AO784" s="131"/>
    </row>
    <row r="785" ht="13.5" customHeight="1">
      <c r="A785" s="142"/>
      <c r="B785" s="142"/>
      <c r="C785" s="142"/>
      <c r="D785" s="142"/>
      <c r="E785" s="308"/>
      <c r="F785" s="131"/>
      <c r="G785" s="131"/>
      <c r="H785" s="131"/>
      <c r="I785" s="219"/>
      <c r="J785" s="198"/>
      <c r="K785" s="131"/>
      <c r="L785" s="131"/>
      <c r="M785" s="131"/>
      <c r="N785" s="131"/>
      <c r="O785" s="131"/>
      <c r="P785" s="131"/>
      <c r="Q785" s="131"/>
      <c r="R785" s="131"/>
      <c r="S785" s="131"/>
      <c r="T785" s="131"/>
      <c r="U785" s="131"/>
      <c r="V785" s="131"/>
      <c r="W785" s="131"/>
      <c r="X785" s="131"/>
      <c r="Y785" s="131"/>
      <c r="Z785" s="142"/>
      <c r="AA785" s="142"/>
      <c r="AB785" s="142"/>
      <c r="AC785" s="142"/>
      <c r="AD785" s="142"/>
      <c r="AE785" s="142"/>
      <c r="AF785" s="142"/>
      <c r="AG785" s="142"/>
      <c r="AH785" s="142"/>
      <c r="AI785" s="142"/>
      <c r="AJ785" s="142"/>
      <c r="AK785" s="142"/>
      <c r="AL785" s="142"/>
      <c r="AM785" s="142"/>
      <c r="AN785" s="142"/>
      <c r="AO785" s="131"/>
    </row>
    <row r="786" ht="13.5" customHeight="1">
      <c r="A786" s="142"/>
      <c r="B786" s="142"/>
      <c r="C786" s="142"/>
      <c r="D786" s="142"/>
      <c r="E786" s="308"/>
      <c r="F786" s="131"/>
      <c r="G786" s="131"/>
      <c r="H786" s="131"/>
      <c r="I786" s="219"/>
      <c r="J786" s="198"/>
      <c r="K786" s="131"/>
      <c r="L786" s="131"/>
      <c r="M786" s="131"/>
      <c r="N786" s="131"/>
      <c r="O786" s="131"/>
      <c r="P786" s="131"/>
      <c r="Q786" s="131"/>
      <c r="R786" s="131"/>
      <c r="S786" s="131"/>
      <c r="T786" s="131"/>
      <c r="U786" s="131"/>
      <c r="V786" s="131"/>
      <c r="W786" s="131"/>
      <c r="X786" s="131"/>
      <c r="Y786" s="131"/>
      <c r="Z786" s="142"/>
      <c r="AA786" s="142"/>
      <c r="AB786" s="142"/>
      <c r="AC786" s="142"/>
      <c r="AD786" s="142"/>
      <c r="AE786" s="142"/>
      <c r="AF786" s="142"/>
      <c r="AG786" s="142"/>
      <c r="AH786" s="142"/>
      <c r="AI786" s="142"/>
      <c r="AJ786" s="142"/>
      <c r="AK786" s="142"/>
      <c r="AL786" s="142"/>
      <c r="AM786" s="142"/>
      <c r="AN786" s="142"/>
      <c r="AO786" s="131"/>
    </row>
    <row r="787" ht="13.5" customHeight="1">
      <c r="A787" s="142"/>
      <c r="B787" s="142"/>
      <c r="C787" s="142"/>
      <c r="D787" s="142"/>
      <c r="E787" s="308"/>
      <c r="F787" s="131"/>
      <c r="G787" s="131"/>
      <c r="H787" s="131"/>
      <c r="I787" s="219"/>
      <c r="J787" s="198"/>
      <c r="K787" s="131"/>
      <c r="L787" s="131"/>
      <c r="M787" s="131"/>
      <c r="N787" s="131"/>
      <c r="O787" s="131"/>
      <c r="P787" s="131"/>
      <c r="Q787" s="131"/>
      <c r="R787" s="131"/>
      <c r="S787" s="131"/>
      <c r="T787" s="131"/>
      <c r="U787" s="131"/>
      <c r="V787" s="131"/>
      <c r="W787" s="131"/>
      <c r="X787" s="131"/>
      <c r="Y787" s="131"/>
      <c r="Z787" s="142"/>
      <c r="AA787" s="142"/>
      <c r="AB787" s="142"/>
      <c r="AC787" s="142"/>
      <c r="AD787" s="142"/>
      <c r="AE787" s="142"/>
      <c r="AF787" s="142"/>
      <c r="AG787" s="142"/>
      <c r="AH787" s="142"/>
      <c r="AI787" s="142"/>
      <c r="AJ787" s="142"/>
      <c r="AK787" s="142"/>
      <c r="AL787" s="142"/>
      <c r="AM787" s="142"/>
      <c r="AN787" s="142"/>
      <c r="AO787" s="131"/>
    </row>
    <row r="788" ht="13.5" customHeight="1">
      <c r="A788" s="142"/>
      <c r="B788" s="142"/>
      <c r="C788" s="142"/>
      <c r="D788" s="142"/>
      <c r="E788" s="308"/>
      <c r="F788" s="131"/>
      <c r="G788" s="131"/>
      <c r="H788" s="131"/>
      <c r="I788" s="219"/>
      <c r="J788" s="198"/>
      <c r="K788" s="131"/>
      <c r="L788" s="131"/>
      <c r="M788" s="131"/>
      <c r="N788" s="131"/>
      <c r="O788" s="131"/>
      <c r="P788" s="131"/>
      <c r="Q788" s="131"/>
      <c r="R788" s="131"/>
      <c r="S788" s="131"/>
      <c r="T788" s="131"/>
      <c r="U788" s="131"/>
      <c r="V788" s="131"/>
      <c r="W788" s="131"/>
      <c r="X788" s="131"/>
      <c r="Y788" s="131"/>
      <c r="Z788" s="142"/>
      <c r="AA788" s="142"/>
      <c r="AB788" s="142"/>
      <c r="AC788" s="142"/>
      <c r="AD788" s="142"/>
      <c r="AE788" s="142"/>
      <c r="AF788" s="142"/>
      <c r="AG788" s="142"/>
      <c r="AH788" s="142"/>
      <c r="AI788" s="142"/>
      <c r="AJ788" s="142"/>
      <c r="AK788" s="142"/>
      <c r="AL788" s="142"/>
      <c r="AM788" s="142"/>
      <c r="AN788" s="142"/>
      <c r="AO788" s="131"/>
    </row>
    <row r="789" ht="13.5" customHeight="1">
      <c r="A789" s="142"/>
      <c r="B789" s="142"/>
      <c r="C789" s="142"/>
      <c r="D789" s="142"/>
      <c r="E789" s="308"/>
      <c r="F789" s="131"/>
      <c r="G789" s="131"/>
      <c r="H789" s="131"/>
      <c r="I789" s="219"/>
      <c r="J789" s="198"/>
      <c r="K789" s="131"/>
      <c r="L789" s="131"/>
      <c r="M789" s="131"/>
      <c r="N789" s="131"/>
      <c r="O789" s="131"/>
      <c r="P789" s="131"/>
      <c r="Q789" s="131"/>
      <c r="R789" s="131"/>
      <c r="S789" s="131"/>
      <c r="T789" s="131"/>
      <c r="U789" s="131"/>
      <c r="V789" s="131"/>
      <c r="W789" s="131"/>
      <c r="X789" s="131"/>
      <c r="Y789" s="131"/>
      <c r="Z789" s="142"/>
      <c r="AA789" s="142"/>
      <c r="AB789" s="142"/>
      <c r="AC789" s="142"/>
      <c r="AD789" s="142"/>
      <c r="AE789" s="142"/>
      <c r="AF789" s="142"/>
      <c r="AG789" s="142"/>
      <c r="AH789" s="142"/>
      <c r="AI789" s="142"/>
      <c r="AJ789" s="142"/>
      <c r="AK789" s="142"/>
      <c r="AL789" s="142"/>
      <c r="AM789" s="142"/>
      <c r="AN789" s="142"/>
      <c r="AO789" s="131"/>
    </row>
    <row r="790" ht="13.5" customHeight="1">
      <c r="A790" s="142"/>
      <c r="B790" s="142"/>
      <c r="C790" s="142"/>
      <c r="D790" s="142"/>
      <c r="E790" s="308"/>
      <c r="F790" s="131"/>
      <c r="G790" s="131"/>
      <c r="H790" s="131"/>
      <c r="I790" s="219"/>
      <c r="J790" s="198"/>
      <c r="K790" s="131"/>
      <c r="L790" s="131"/>
      <c r="M790" s="131"/>
      <c r="N790" s="131"/>
      <c r="O790" s="131"/>
      <c r="P790" s="131"/>
      <c r="Q790" s="131"/>
      <c r="R790" s="131"/>
      <c r="S790" s="131"/>
      <c r="T790" s="131"/>
      <c r="U790" s="131"/>
      <c r="V790" s="131"/>
      <c r="W790" s="131"/>
      <c r="X790" s="131"/>
      <c r="Y790" s="131"/>
      <c r="Z790" s="142"/>
      <c r="AA790" s="142"/>
      <c r="AB790" s="142"/>
      <c r="AC790" s="142"/>
      <c r="AD790" s="142"/>
      <c r="AE790" s="142"/>
      <c r="AF790" s="142"/>
      <c r="AG790" s="142"/>
      <c r="AH790" s="142"/>
      <c r="AI790" s="142"/>
      <c r="AJ790" s="142"/>
      <c r="AK790" s="142"/>
      <c r="AL790" s="142"/>
      <c r="AM790" s="142"/>
      <c r="AN790" s="142"/>
      <c r="AO790" s="131"/>
    </row>
    <row r="791" ht="13.5" customHeight="1">
      <c r="A791" s="142"/>
      <c r="B791" s="142"/>
      <c r="C791" s="142"/>
      <c r="D791" s="142"/>
      <c r="E791" s="308"/>
      <c r="F791" s="131"/>
      <c r="G791" s="131"/>
      <c r="H791" s="131"/>
      <c r="I791" s="219"/>
      <c r="J791" s="198"/>
      <c r="K791" s="131"/>
      <c r="L791" s="131"/>
      <c r="M791" s="131"/>
      <c r="N791" s="131"/>
      <c r="O791" s="131"/>
      <c r="P791" s="131"/>
      <c r="Q791" s="131"/>
      <c r="R791" s="131"/>
      <c r="S791" s="131"/>
      <c r="T791" s="131"/>
      <c r="U791" s="131"/>
      <c r="V791" s="131"/>
      <c r="W791" s="131"/>
      <c r="X791" s="131"/>
      <c r="Y791" s="131"/>
      <c r="Z791" s="142"/>
      <c r="AA791" s="142"/>
      <c r="AB791" s="142"/>
      <c r="AC791" s="142"/>
      <c r="AD791" s="142"/>
      <c r="AE791" s="142"/>
      <c r="AF791" s="142"/>
      <c r="AG791" s="142"/>
      <c r="AH791" s="142"/>
      <c r="AI791" s="142"/>
      <c r="AJ791" s="142"/>
      <c r="AK791" s="142"/>
      <c r="AL791" s="142"/>
      <c r="AM791" s="142"/>
      <c r="AN791" s="142"/>
      <c r="AO791" s="131"/>
    </row>
    <row r="792" ht="13.5" customHeight="1">
      <c r="A792" s="142"/>
      <c r="B792" s="142"/>
      <c r="C792" s="142"/>
      <c r="D792" s="142"/>
      <c r="E792" s="308"/>
      <c r="F792" s="131"/>
      <c r="G792" s="131"/>
      <c r="H792" s="131"/>
      <c r="I792" s="219"/>
      <c r="J792" s="198"/>
      <c r="K792" s="131"/>
      <c r="L792" s="131"/>
      <c r="M792" s="131"/>
      <c r="N792" s="131"/>
      <c r="O792" s="131"/>
      <c r="P792" s="131"/>
      <c r="Q792" s="131"/>
      <c r="R792" s="131"/>
      <c r="S792" s="131"/>
      <c r="T792" s="131"/>
      <c r="U792" s="131"/>
      <c r="V792" s="131"/>
      <c r="W792" s="131"/>
      <c r="X792" s="131"/>
      <c r="Y792" s="131"/>
      <c r="Z792" s="142"/>
      <c r="AA792" s="142"/>
      <c r="AB792" s="142"/>
      <c r="AC792" s="142"/>
      <c r="AD792" s="142"/>
      <c r="AE792" s="142"/>
      <c r="AF792" s="142"/>
      <c r="AG792" s="142"/>
      <c r="AH792" s="142"/>
      <c r="AI792" s="142"/>
      <c r="AJ792" s="142"/>
      <c r="AK792" s="142"/>
      <c r="AL792" s="142"/>
      <c r="AM792" s="142"/>
      <c r="AN792" s="142"/>
      <c r="AO792" s="131"/>
    </row>
    <row r="793" ht="13.5" customHeight="1">
      <c r="A793" s="142"/>
      <c r="B793" s="142"/>
      <c r="C793" s="142"/>
      <c r="D793" s="142"/>
      <c r="E793" s="308"/>
      <c r="F793" s="131"/>
      <c r="G793" s="131"/>
      <c r="H793" s="131"/>
      <c r="I793" s="219"/>
      <c r="J793" s="198"/>
      <c r="K793" s="131"/>
      <c r="L793" s="131"/>
      <c r="M793" s="131"/>
      <c r="N793" s="131"/>
      <c r="O793" s="131"/>
      <c r="P793" s="131"/>
      <c r="Q793" s="131"/>
      <c r="R793" s="131"/>
      <c r="S793" s="131"/>
      <c r="T793" s="131"/>
      <c r="U793" s="131"/>
      <c r="V793" s="131"/>
      <c r="W793" s="131"/>
      <c r="X793" s="131"/>
      <c r="Y793" s="131"/>
      <c r="Z793" s="142"/>
      <c r="AA793" s="142"/>
      <c r="AB793" s="142"/>
      <c r="AC793" s="142"/>
      <c r="AD793" s="142"/>
      <c r="AE793" s="142"/>
      <c r="AF793" s="142"/>
      <c r="AG793" s="142"/>
      <c r="AH793" s="142"/>
      <c r="AI793" s="142"/>
      <c r="AJ793" s="142"/>
      <c r="AK793" s="142"/>
      <c r="AL793" s="142"/>
      <c r="AM793" s="142"/>
      <c r="AN793" s="142"/>
      <c r="AO793" s="131"/>
    </row>
    <row r="794" ht="13.5" customHeight="1">
      <c r="A794" s="142"/>
      <c r="B794" s="142"/>
      <c r="C794" s="142"/>
      <c r="D794" s="142"/>
      <c r="E794" s="308"/>
      <c r="F794" s="131"/>
      <c r="G794" s="131"/>
      <c r="H794" s="131"/>
      <c r="I794" s="219"/>
      <c r="J794" s="198"/>
      <c r="K794" s="131"/>
      <c r="L794" s="131"/>
      <c r="M794" s="131"/>
      <c r="N794" s="131"/>
      <c r="O794" s="131"/>
      <c r="P794" s="131"/>
      <c r="Q794" s="131"/>
      <c r="R794" s="131"/>
      <c r="S794" s="131"/>
      <c r="T794" s="131"/>
      <c r="U794" s="131"/>
      <c r="V794" s="131"/>
      <c r="W794" s="131"/>
      <c r="X794" s="131"/>
      <c r="Y794" s="131"/>
      <c r="Z794" s="142"/>
      <c r="AA794" s="142"/>
      <c r="AB794" s="142"/>
      <c r="AC794" s="142"/>
      <c r="AD794" s="142"/>
      <c r="AE794" s="142"/>
      <c r="AF794" s="142"/>
      <c r="AG794" s="142"/>
      <c r="AH794" s="142"/>
      <c r="AI794" s="142"/>
      <c r="AJ794" s="142"/>
      <c r="AK794" s="142"/>
      <c r="AL794" s="142"/>
      <c r="AM794" s="142"/>
      <c r="AN794" s="142"/>
      <c r="AO794" s="131"/>
    </row>
    <row r="795" ht="13.5" customHeight="1">
      <c r="A795" s="142"/>
      <c r="B795" s="142"/>
      <c r="C795" s="142"/>
      <c r="D795" s="142"/>
      <c r="E795" s="308"/>
      <c r="F795" s="131"/>
      <c r="G795" s="131"/>
      <c r="H795" s="131"/>
      <c r="I795" s="219"/>
      <c r="J795" s="198"/>
      <c r="K795" s="131"/>
      <c r="L795" s="131"/>
      <c r="M795" s="131"/>
      <c r="N795" s="131"/>
      <c r="O795" s="131"/>
      <c r="P795" s="131"/>
      <c r="Q795" s="131"/>
      <c r="R795" s="131"/>
      <c r="S795" s="131"/>
      <c r="T795" s="131"/>
      <c r="U795" s="131"/>
      <c r="V795" s="131"/>
      <c r="W795" s="131"/>
      <c r="X795" s="131"/>
      <c r="Y795" s="131"/>
      <c r="Z795" s="142"/>
      <c r="AA795" s="142"/>
      <c r="AB795" s="142"/>
      <c r="AC795" s="142"/>
      <c r="AD795" s="142"/>
      <c r="AE795" s="142"/>
      <c r="AF795" s="142"/>
      <c r="AG795" s="142"/>
      <c r="AH795" s="142"/>
      <c r="AI795" s="142"/>
      <c r="AJ795" s="142"/>
      <c r="AK795" s="142"/>
      <c r="AL795" s="142"/>
      <c r="AM795" s="142"/>
      <c r="AN795" s="142"/>
      <c r="AO795" s="131"/>
    </row>
    <row r="796" ht="13.5" customHeight="1">
      <c r="A796" s="142"/>
      <c r="B796" s="142"/>
      <c r="C796" s="142"/>
      <c r="D796" s="142"/>
      <c r="E796" s="308"/>
      <c r="F796" s="131"/>
      <c r="G796" s="131"/>
      <c r="H796" s="131"/>
      <c r="I796" s="219"/>
      <c r="J796" s="198"/>
      <c r="K796" s="131"/>
      <c r="L796" s="131"/>
      <c r="M796" s="131"/>
      <c r="N796" s="131"/>
      <c r="O796" s="131"/>
      <c r="P796" s="131"/>
      <c r="Q796" s="131"/>
      <c r="R796" s="131"/>
      <c r="S796" s="131"/>
      <c r="T796" s="131"/>
      <c r="U796" s="131"/>
      <c r="V796" s="131"/>
      <c r="W796" s="131"/>
      <c r="X796" s="131"/>
      <c r="Y796" s="131"/>
      <c r="Z796" s="142"/>
      <c r="AA796" s="142"/>
      <c r="AB796" s="142"/>
      <c r="AC796" s="142"/>
      <c r="AD796" s="142"/>
      <c r="AE796" s="142"/>
      <c r="AF796" s="142"/>
      <c r="AG796" s="142"/>
      <c r="AH796" s="142"/>
      <c r="AI796" s="142"/>
      <c r="AJ796" s="142"/>
      <c r="AK796" s="142"/>
      <c r="AL796" s="142"/>
      <c r="AM796" s="142"/>
      <c r="AN796" s="142"/>
      <c r="AO796" s="131"/>
    </row>
    <row r="797" ht="13.5" customHeight="1">
      <c r="A797" s="142"/>
      <c r="B797" s="142"/>
      <c r="C797" s="142"/>
      <c r="D797" s="142"/>
      <c r="E797" s="308"/>
      <c r="F797" s="131"/>
      <c r="G797" s="131"/>
      <c r="H797" s="131"/>
      <c r="I797" s="219"/>
      <c r="J797" s="198"/>
      <c r="K797" s="131"/>
      <c r="L797" s="131"/>
      <c r="M797" s="131"/>
      <c r="N797" s="131"/>
      <c r="O797" s="131"/>
      <c r="P797" s="131"/>
      <c r="Q797" s="131"/>
      <c r="R797" s="131"/>
      <c r="S797" s="131"/>
      <c r="T797" s="131"/>
      <c r="U797" s="131"/>
      <c r="V797" s="131"/>
      <c r="W797" s="131"/>
      <c r="X797" s="131"/>
      <c r="Y797" s="131"/>
      <c r="Z797" s="142"/>
      <c r="AA797" s="142"/>
      <c r="AB797" s="142"/>
      <c r="AC797" s="142"/>
      <c r="AD797" s="142"/>
      <c r="AE797" s="142"/>
      <c r="AF797" s="142"/>
      <c r="AG797" s="142"/>
      <c r="AH797" s="142"/>
      <c r="AI797" s="142"/>
      <c r="AJ797" s="142"/>
      <c r="AK797" s="142"/>
      <c r="AL797" s="142"/>
      <c r="AM797" s="142"/>
      <c r="AN797" s="142"/>
      <c r="AO797" s="131"/>
    </row>
    <row r="798" ht="13.5" customHeight="1">
      <c r="A798" s="142"/>
      <c r="B798" s="142"/>
      <c r="C798" s="142"/>
      <c r="D798" s="142"/>
      <c r="E798" s="308"/>
      <c r="F798" s="131"/>
      <c r="G798" s="131"/>
      <c r="H798" s="131"/>
      <c r="I798" s="219"/>
      <c r="J798" s="198"/>
      <c r="K798" s="131"/>
      <c r="L798" s="131"/>
      <c r="M798" s="131"/>
      <c r="N798" s="131"/>
      <c r="O798" s="131"/>
      <c r="P798" s="131"/>
      <c r="Q798" s="131"/>
      <c r="R798" s="131"/>
      <c r="S798" s="131"/>
      <c r="T798" s="131"/>
      <c r="U798" s="131"/>
      <c r="V798" s="131"/>
      <c r="W798" s="131"/>
      <c r="X798" s="131"/>
      <c r="Y798" s="131"/>
      <c r="Z798" s="142"/>
      <c r="AA798" s="142"/>
      <c r="AB798" s="142"/>
      <c r="AC798" s="142"/>
      <c r="AD798" s="142"/>
      <c r="AE798" s="142"/>
      <c r="AF798" s="142"/>
      <c r="AG798" s="142"/>
      <c r="AH798" s="142"/>
      <c r="AI798" s="142"/>
      <c r="AJ798" s="142"/>
      <c r="AK798" s="142"/>
      <c r="AL798" s="142"/>
      <c r="AM798" s="142"/>
      <c r="AN798" s="142"/>
      <c r="AO798" s="131"/>
    </row>
    <row r="799" ht="13.5" customHeight="1">
      <c r="A799" s="142"/>
      <c r="B799" s="142"/>
      <c r="C799" s="142"/>
      <c r="D799" s="142"/>
      <c r="E799" s="308"/>
      <c r="F799" s="131"/>
      <c r="G799" s="131"/>
      <c r="H799" s="131"/>
      <c r="I799" s="219"/>
      <c r="J799" s="198"/>
      <c r="K799" s="131"/>
      <c r="L799" s="131"/>
      <c r="M799" s="131"/>
      <c r="N799" s="131"/>
      <c r="O799" s="131"/>
      <c r="P799" s="131"/>
      <c r="Q799" s="131"/>
      <c r="R799" s="131"/>
      <c r="S799" s="131"/>
      <c r="T799" s="131"/>
      <c r="U799" s="131"/>
      <c r="V799" s="131"/>
      <c r="W799" s="131"/>
      <c r="X799" s="131"/>
      <c r="Y799" s="131"/>
      <c r="Z799" s="142"/>
      <c r="AA799" s="142"/>
      <c r="AB799" s="142"/>
      <c r="AC799" s="142"/>
      <c r="AD799" s="142"/>
      <c r="AE799" s="142"/>
      <c r="AF799" s="142"/>
      <c r="AG799" s="142"/>
      <c r="AH799" s="142"/>
      <c r="AI799" s="142"/>
      <c r="AJ799" s="142"/>
      <c r="AK799" s="142"/>
      <c r="AL799" s="142"/>
      <c r="AM799" s="142"/>
      <c r="AN799" s="142"/>
      <c r="AO799" s="131"/>
    </row>
    <row r="800" ht="13.5" customHeight="1">
      <c r="A800" s="142"/>
      <c r="B800" s="142"/>
      <c r="C800" s="142"/>
      <c r="D800" s="142"/>
      <c r="E800" s="308"/>
      <c r="F800" s="131"/>
      <c r="G800" s="131"/>
      <c r="H800" s="131"/>
      <c r="I800" s="219"/>
      <c r="J800" s="198"/>
      <c r="K800" s="131"/>
      <c r="L800" s="131"/>
      <c r="M800" s="131"/>
      <c r="N800" s="131"/>
      <c r="O800" s="131"/>
      <c r="P800" s="131"/>
      <c r="Q800" s="131"/>
      <c r="R800" s="131"/>
      <c r="S800" s="131"/>
      <c r="T800" s="131"/>
      <c r="U800" s="131"/>
      <c r="V800" s="131"/>
      <c r="W800" s="131"/>
      <c r="X800" s="131"/>
      <c r="Y800" s="131"/>
      <c r="Z800" s="142"/>
      <c r="AA800" s="142"/>
      <c r="AB800" s="142"/>
      <c r="AC800" s="142"/>
      <c r="AD800" s="142"/>
      <c r="AE800" s="142"/>
      <c r="AF800" s="142"/>
      <c r="AG800" s="142"/>
      <c r="AH800" s="142"/>
      <c r="AI800" s="142"/>
      <c r="AJ800" s="142"/>
      <c r="AK800" s="142"/>
      <c r="AL800" s="142"/>
      <c r="AM800" s="142"/>
      <c r="AN800" s="142"/>
      <c r="AO800" s="131"/>
    </row>
    <row r="801" ht="13.5" customHeight="1">
      <c r="A801" s="142"/>
      <c r="B801" s="142"/>
      <c r="C801" s="142"/>
      <c r="D801" s="142"/>
      <c r="E801" s="308"/>
      <c r="F801" s="131"/>
      <c r="G801" s="131"/>
      <c r="H801" s="131"/>
      <c r="I801" s="219"/>
      <c r="J801" s="198"/>
      <c r="K801" s="131"/>
      <c r="L801" s="131"/>
      <c r="M801" s="131"/>
      <c r="N801" s="131"/>
      <c r="O801" s="131"/>
      <c r="P801" s="131"/>
      <c r="Q801" s="131"/>
      <c r="R801" s="131"/>
      <c r="S801" s="131"/>
      <c r="T801" s="131"/>
      <c r="U801" s="131"/>
      <c r="V801" s="131"/>
      <c r="W801" s="131"/>
      <c r="X801" s="131"/>
      <c r="Y801" s="131"/>
      <c r="Z801" s="142"/>
      <c r="AA801" s="142"/>
      <c r="AB801" s="142"/>
      <c r="AC801" s="142"/>
      <c r="AD801" s="142"/>
      <c r="AE801" s="142"/>
      <c r="AF801" s="142"/>
      <c r="AG801" s="142"/>
      <c r="AH801" s="142"/>
      <c r="AI801" s="142"/>
      <c r="AJ801" s="142"/>
      <c r="AK801" s="142"/>
      <c r="AL801" s="142"/>
      <c r="AM801" s="142"/>
      <c r="AN801" s="142"/>
      <c r="AO801" s="131"/>
    </row>
    <row r="802" ht="13.5" customHeight="1">
      <c r="A802" s="142"/>
      <c r="B802" s="142"/>
      <c r="C802" s="142"/>
      <c r="D802" s="142"/>
      <c r="E802" s="308"/>
      <c r="F802" s="131"/>
      <c r="G802" s="131"/>
      <c r="H802" s="131"/>
      <c r="I802" s="219"/>
      <c r="J802" s="198"/>
      <c r="K802" s="131"/>
      <c r="L802" s="131"/>
      <c r="M802" s="131"/>
      <c r="N802" s="131"/>
      <c r="O802" s="131"/>
      <c r="P802" s="131"/>
      <c r="Q802" s="131"/>
      <c r="R802" s="131"/>
      <c r="S802" s="131"/>
      <c r="T802" s="131"/>
      <c r="U802" s="131"/>
      <c r="V802" s="131"/>
      <c r="W802" s="131"/>
      <c r="X802" s="131"/>
      <c r="Y802" s="131"/>
      <c r="Z802" s="142"/>
      <c r="AA802" s="142"/>
      <c r="AB802" s="142"/>
      <c r="AC802" s="142"/>
      <c r="AD802" s="142"/>
      <c r="AE802" s="142"/>
      <c r="AF802" s="142"/>
      <c r="AG802" s="142"/>
      <c r="AH802" s="142"/>
      <c r="AI802" s="142"/>
      <c r="AJ802" s="142"/>
      <c r="AK802" s="142"/>
      <c r="AL802" s="142"/>
      <c r="AM802" s="142"/>
      <c r="AN802" s="142"/>
      <c r="AO802" s="131"/>
    </row>
    <row r="803" ht="13.5" customHeight="1">
      <c r="A803" s="142"/>
      <c r="B803" s="142"/>
      <c r="C803" s="142"/>
      <c r="D803" s="142"/>
      <c r="E803" s="308"/>
      <c r="F803" s="131"/>
      <c r="G803" s="131"/>
      <c r="H803" s="131"/>
      <c r="I803" s="219"/>
      <c r="J803" s="198"/>
      <c r="K803" s="131"/>
      <c r="L803" s="131"/>
      <c r="M803" s="131"/>
      <c r="N803" s="131"/>
      <c r="O803" s="131"/>
      <c r="P803" s="131"/>
      <c r="Q803" s="131"/>
      <c r="R803" s="131"/>
      <c r="S803" s="131"/>
      <c r="T803" s="131"/>
      <c r="U803" s="131"/>
      <c r="V803" s="131"/>
      <c r="W803" s="131"/>
      <c r="X803" s="131"/>
      <c r="Y803" s="131"/>
      <c r="Z803" s="142"/>
      <c r="AA803" s="142"/>
      <c r="AB803" s="142"/>
      <c r="AC803" s="142"/>
      <c r="AD803" s="142"/>
      <c r="AE803" s="142"/>
      <c r="AF803" s="142"/>
      <c r="AG803" s="142"/>
      <c r="AH803" s="142"/>
      <c r="AI803" s="142"/>
      <c r="AJ803" s="142"/>
      <c r="AK803" s="142"/>
      <c r="AL803" s="142"/>
      <c r="AM803" s="142"/>
      <c r="AN803" s="142"/>
      <c r="AO803" s="131"/>
    </row>
    <row r="804" ht="13.5" customHeight="1">
      <c r="A804" s="142"/>
      <c r="B804" s="142"/>
      <c r="C804" s="142"/>
      <c r="D804" s="142"/>
      <c r="E804" s="308"/>
      <c r="F804" s="131"/>
      <c r="G804" s="131"/>
      <c r="H804" s="131"/>
      <c r="I804" s="219"/>
      <c r="J804" s="198"/>
      <c r="K804" s="131"/>
      <c r="L804" s="131"/>
      <c r="M804" s="131"/>
      <c r="N804" s="131"/>
      <c r="O804" s="131"/>
      <c r="P804" s="131"/>
      <c r="Q804" s="131"/>
      <c r="R804" s="131"/>
      <c r="S804" s="131"/>
      <c r="T804" s="131"/>
      <c r="U804" s="131"/>
      <c r="V804" s="131"/>
      <c r="W804" s="131"/>
      <c r="X804" s="131"/>
      <c r="Y804" s="131"/>
      <c r="Z804" s="142"/>
      <c r="AA804" s="142"/>
      <c r="AB804" s="142"/>
      <c r="AC804" s="142"/>
      <c r="AD804" s="142"/>
      <c r="AE804" s="142"/>
      <c r="AF804" s="142"/>
      <c r="AG804" s="142"/>
      <c r="AH804" s="142"/>
      <c r="AI804" s="142"/>
      <c r="AJ804" s="142"/>
      <c r="AK804" s="142"/>
      <c r="AL804" s="142"/>
      <c r="AM804" s="142"/>
      <c r="AN804" s="142"/>
      <c r="AO804" s="131"/>
    </row>
    <row r="805" ht="13.5" customHeight="1">
      <c r="A805" s="142"/>
      <c r="B805" s="142"/>
      <c r="C805" s="142"/>
      <c r="D805" s="142"/>
      <c r="E805" s="308"/>
      <c r="F805" s="131"/>
      <c r="G805" s="131"/>
      <c r="H805" s="131"/>
      <c r="I805" s="219"/>
      <c r="J805" s="198"/>
      <c r="K805" s="131"/>
      <c r="L805" s="131"/>
      <c r="M805" s="131"/>
      <c r="N805" s="131"/>
      <c r="O805" s="131"/>
      <c r="P805" s="131"/>
      <c r="Q805" s="131"/>
      <c r="R805" s="131"/>
      <c r="S805" s="131"/>
      <c r="T805" s="131"/>
      <c r="U805" s="131"/>
      <c r="V805" s="131"/>
      <c r="W805" s="131"/>
      <c r="X805" s="131"/>
      <c r="Y805" s="131"/>
      <c r="Z805" s="142"/>
      <c r="AA805" s="142"/>
      <c r="AB805" s="142"/>
      <c r="AC805" s="142"/>
      <c r="AD805" s="142"/>
      <c r="AE805" s="142"/>
      <c r="AF805" s="142"/>
      <c r="AG805" s="142"/>
      <c r="AH805" s="142"/>
      <c r="AI805" s="142"/>
      <c r="AJ805" s="142"/>
      <c r="AK805" s="142"/>
      <c r="AL805" s="142"/>
      <c r="AM805" s="142"/>
      <c r="AN805" s="142"/>
      <c r="AO805" s="131"/>
    </row>
    <row r="806" ht="13.5" customHeight="1">
      <c r="A806" s="142"/>
      <c r="B806" s="142"/>
      <c r="C806" s="142"/>
      <c r="D806" s="142"/>
      <c r="E806" s="308"/>
      <c r="F806" s="131"/>
      <c r="G806" s="131"/>
      <c r="H806" s="131"/>
      <c r="I806" s="219"/>
      <c r="J806" s="198"/>
      <c r="K806" s="131"/>
      <c r="L806" s="131"/>
      <c r="M806" s="131"/>
      <c r="N806" s="131"/>
      <c r="O806" s="131"/>
      <c r="P806" s="131"/>
      <c r="Q806" s="131"/>
      <c r="R806" s="131"/>
      <c r="S806" s="131"/>
      <c r="T806" s="131"/>
      <c r="U806" s="131"/>
      <c r="V806" s="131"/>
      <c r="W806" s="131"/>
      <c r="X806" s="131"/>
      <c r="Y806" s="131"/>
      <c r="Z806" s="142"/>
      <c r="AA806" s="142"/>
      <c r="AB806" s="142"/>
      <c r="AC806" s="142"/>
      <c r="AD806" s="142"/>
      <c r="AE806" s="142"/>
      <c r="AF806" s="142"/>
      <c r="AG806" s="142"/>
      <c r="AH806" s="142"/>
      <c r="AI806" s="142"/>
      <c r="AJ806" s="142"/>
      <c r="AK806" s="142"/>
      <c r="AL806" s="142"/>
      <c r="AM806" s="142"/>
      <c r="AN806" s="142"/>
      <c r="AO806" s="131"/>
    </row>
    <row r="807" ht="13.5" customHeight="1">
      <c r="A807" s="142"/>
      <c r="B807" s="142"/>
      <c r="C807" s="142"/>
      <c r="D807" s="142"/>
      <c r="E807" s="308"/>
      <c r="F807" s="131"/>
      <c r="G807" s="131"/>
      <c r="H807" s="131"/>
      <c r="I807" s="219"/>
      <c r="J807" s="198"/>
      <c r="K807" s="131"/>
      <c r="L807" s="131"/>
      <c r="M807" s="131"/>
      <c r="N807" s="131"/>
      <c r="O807" s="131"/>
      <c r="P807" s="131"/>
      <c r="Q807" s="131"/>
      <c r="R807" s="131"/>
      <c r="S807" s="131"/>
      <c r="T807" s="131"/>
      <c r="U807" s="131"/>
      <c r="V807" s="131"/>
      <c r="W807" s="131"/>
      <c r="X807" s="131"/>
      <c r="Y807" s="131"/>
      <c r="Z807" s="142"/>
      <c r="AA807" s="142"/>
      <c r="AB807" s="142"/>
      <c r="AC807" s="142"/>
      <c r="AD807" s="142"/>
      <c r="AE807" s="142"/>
      <c r="AF807" s="142"/>
      <c r="AG807" s="142"/>
      <c r="AH807" s="142"/>
      <c r="AI807" s="142"/>
      <c r="AJ807" s="142"/>
      <c r="AK807" s="142"/>
      <c r="AL807" s="142"/>
      <c r="AM807" s="142"/>
      <c r="AN807" s="142"/>
      <c r="AO807" s="131"/>
    </row>
    <row r="808" ht="13.5" customHeight="1">
      <c r="A808" s="142"/>
      <c r="B808" s="142"/>
      <c r="C808" s="142"/>
      <c r="D808" s="142"/>
      <c r="E808" s="308"/>
      <c r="F808" s="131"/>
      <c r="G808" s="131"/>
      <c r="H808" s="131"/>
      <c r="I808" s="219"/>
      <c r="J808" s="198"/>
      <c r="K808" s="131"/>
      <c r="L808" s="131"/>
      <c r="M808" s="131"/>
      <c r="N808" s="131"/>
      <c r="O808" s="131"/>
      <c r="P808" s="131"/>
      <c r="Q808" s="131"/>
      <c r="R808" s="131"/>
      <c r="S808" s="131"/>
      <c r="T808" s="131"/>
      <c r="U808" s="131"/>
      <c r="V808" s="131"/>
      <c r="W808" s="131"/>
      <c r="X808" s="131"/>
      <c r="Y808" s="131"/>
      <c r="Z808" s="142"/>
      <c r="AA808" s="142"/>
      <c r="AB808" s="142"/>
      <c r="AC808" s="142"/>
      <c r="AD808" s="142"/>
      <c r="AE808" s="142"/>
      <c r="AF808" s="142"/>
      <c r="AG808" s="142"/>
      <c r="AH808" s="142"/>
      <c r="AI808" s="142"/>
      <c r="AJ808" s="142"/>
      <c r="AK808" s="142"/>
      <c r="AL808" s="142"/>
      <c r="AM808" s="142"/>
      <c r="AN808" s="142"/>
      <c r="AO808" s="131"/>
    </row>
    <row r="809" ht="13.5" customHeight="1">
      <c r="A809" s="142"/>
      <c r="B809" s="142"/>
      <c r="C809" s="142"/>
      <c r="D809" s="142"/>
      <c r="E809" s="308"/>
      <c r="F809" s="131"/>
      <c r="G809" s="131"/>
      <c r="H809" s="131"/>
      <c r="I809" s="219"/>
      <c r="J809" s="198"/>
      <c r="K809" s="131"/>
      <c r="L809" s="131"/>
      <c r="M809" s="131"/>
      <c r="N809" s="131"/>
      <c r="O809" s="131"/>
      <c r="P809" s="131"/>
      <c r="Q809" s="131"/>
      <c r="R809" s="131"/>
      <c r="S809" s="131"/>
      <c r="T809" s="131"/>
      <c r="U809" s="131"/>
      <c r="V809" s="131"/>
      <c r="W809" s="131"/>
      <c r="X809" s="131"/>
      <c r="Y809" s="131"/>
      <c r="Z809" s="142"/>
      <c r="AA809" s="142"/>
      <c r="AB809" s="142"/>
      <c r="AC809" s="142"/>
      <c r="AD809" s="142"/>
      <c r="AE809" s="142"/>
      <c r="AF809" s="142"/>
      <c r="AG809" s="142"/>
      <c r="AH809" s="142"/>
      <c r="AI809" s="142"/>
      <c r="AJ809" s="142"/>
      <c r="AK809" s="142"/>
      <c r="AL809" s="142"/>
      <c r="AM809" s="142"/>
      <c r="AN809" s="142"/>
      <c r="AO809" s="131"/>
    </row>
    <row r="810" ht="13.5" customHeight="1">
      <c r="A810" s="142"/>
      <c r="B810" s="142"/>
      <c r="C810" s="142"/>
      <c r="D810" s="142"/>
      <c r="E810" s="308"/>
      <c r="F810" s="131"/>
      <c r="G810" s="131"/>
      <c r="H810" s="131"/>
      <c r="I810" s="219"/>
      <c r="J810" s="198"/>
      <c r="K810" s="131"/>
      <c r="L810" s="131"/>
      <c r="M810" s="131"/>
      <c r="N810" s="131"/>
      <c r="O810" s="131"/>
      <c r="P810" s="131"/>
      <c r="Q810" s="131"/>
      <c r="R810" s="131"/>
      <c r="S810" s="131"/>
      <c r="T810" s="131"/>
      <c r="U810" s="131"/>
      <c r="V810" s="131"/>
      <c r="W810" s="131"/>
      <c r="X810" s="131"/>
      <c r="Y810" s="131"/>
      <c r="Z810" s="142"/>
      <c r="AA810" s="142"/>
      <c r="AB810" s="142"/>
      <c r="AC810" s="142"/>
      <c r="AD810" s="142"/>
      <c r="AE810" s="142"/>
      <c r="AF810" s="142"/>
      <c r="AG810" s="142"/>
      <c r="AH810" s="142"/>
      <c r="AI810" s="142"/>
      <c r="AJ810" s="142"/>
      <c r="AK810" s="142"/>
      <c r="AL810" s="142"/>
      <c r="AM810" s="142"/>
      <c r="AN810" s="142"/>
      <c r="AO810" s="131"/>
    </row>
    <row r="811" ht="13.5" customHeight="1">
      <c r="A811" s="142"/>
      <c r="B811" s="142"/>
      <c r="C811" s="142"/>
      <c r="D811" s="142"/>
      <c r="E811" s="308"/>
      <c r="F811" s="131"/>
      <c r="G811" s="131"/>
      <c r="H811" s="131"/>
      <c r="I811" s="219"/>
      <c r="J811" s="198"/>
      <c r="K811" s="131"/>
      <c r="L811" s="131"/>
      <c r="M811" s="131"/>
      <c r="N811" s="131"/>
      <c r="O811" s="131"/>
      <c r="P811" s="131"/>
      <c r="Q811" s="131"/>
      <c r="R811" s="131"/>
      <c r="S811" s="131"/>
      <c r="T811" s="131"/>
      <c r="U811" s="131"/>
      <c r="V811" s="131"/>
      <c r="W811" s="131"/>
      <c r="X811" s="131"/>
      <c r="Y811" s="131"/>
      <c r="Z811" s="142"/>
      <c r="AA811" s="142"/>
      <c r="AB811" s="142"/>
      <c r="AC811" s="142"/>
      <c r="AD811" s="142"/>
      <c r="AE811" s="142"/>
      <c r="AF811" s="142"/>
      <c r="AG811" s="142"/>
      <c r="AH811" s="142"/>
      <c r="AI811" s="142"/>
      <c r="AJ811" s="142"/>
      <c r="AK811" s="142"/>
      <c r="AL811" s="142"/>
      <c r="AM811" s="142"/>
      <c r="AN811" s="142"/>
      <c r="AO811" s="131"/>
    </row>
    <row r="812" ht="13.5" customHeight="1">
      <c r="A812" s="142"/>
      <c r="B812" s="142"/>
      <c r="C812" s="142"/>
      <c r="D812" s="142"/>
      <c r="E812" s="308"/>
      <c r="F812" s="131"/>
      <c r="G812" s="131"/>
      <c r="H812" s="131"/>
      <c r="I812" s="219"/>
      <c r="J812" s="198"/>
      <c r="K812" s="131"/>
      <c r="L812" s="131"/>
      <c r="M812" s="131"/>
      <c r="N812" s="131"/>
      <c r="O812" s="131"/>
      <c r="P812" s="131"/>
      <c r="Q812" s="131"/>
      <c r="R812" s="131"/>
      <c r="S812" s="131"/>
      <c r="T812" s="131"/>
      <c r="U812" s="131"/>
      <c r="V812" s="131"/>
      <c r="W812" s="131"/>
      <c r="X812" s="131"/>
      <c r="Y812" s="131"/>
      <c r="Z812" s="142"/>
      <c r="AA812" s="142"/>
      <c r="AB812" s="142"/>
      <c r="AC812" s="142"/>
      <c r="AD812" s="142"/>
      <c r="AE812" s="142"/>
      <c r="AF812" s="142"/>
      <c r="AG812" s="142"/>
      <c r="AH812" s="142"/>
      <c r="AI812" s="142"/>
      <c r="AJ812" s="142"/>
      <c r="AK812" s="142"/>
      <c r="AL812" s="142"/>
      <c r="AM812" s="142"/>
      <c r="AN812" s="142"/>
      <c r="AO812" s="131"/>
    </row>
    <row r="813" ht="13.5" customHeight="1">
      <c r="A813" s="142"/>
      <c r="B813" s="142"/>
      <c r="C813" s="142"/>
      <c r="D813" s="142"/>
      <c r="E813" s="308"/>
      <c r="F813" s="131"/>
      <c r="G813" s="131"/>
      <c r="H813" s="131"/>
      <c r="I813" s="219"/>
      <c r="J813" s="198"/>
      <c r="K813" s="131"/>
      <c r="L813" s="131"/>
      <c r="M813" s="131"/>
      <c r="N813" s="131"/>
      <c r="O813" s="131"/>
      <c r="P813" s="131"/>
      <c r="Q813" s="131"/>
      <c r="R813" s="131"/>
      <c r="S813" s="131"/>
      <c r="T813" s="131"/>
      <c r="U813" s="131"/>
      <c r="V813" s="131"/>
      <c r="W813" s="131"/>
      <c r="X813" s="131"/>
      <c r="Y813" s="131"/>
      <c r="Z813" s="142"/>
      <c r="AA813" s="142"/>
      <c r="AB813" s="142"/>
      <c r="AC813" s="142"/>
      <c r="AD813" s="142"/>
      <c r="AE813" s="142"/>
      <c r="AF813" s="142"/>
      <c r="AG813" s="142"/>
      <c r="AH813" s="142"/>
      <c r="AI813" s="142"/>
      <c r="AJ813" s="142"/>
      <c r="AK813" s="142"/>
      <c r="AL813" s="142"/>
      <c r="AM813" s="142"/>
      <c r="AN813" s="142"/>
      <c r="AO813" s="131"/>
    </row>
    <row r="814" ht="13.5" customHeight="1">
      <c r="A814" s="142"/>
      <c r="B814" s="142"/>
      <c r="C814" s="142"/>
      <c r="D814" s="142"/>
      <c r="E814" s="308"/>
      <c r="F814" s="131"/>
      <c r="G814" s="131"/>
      <c r="H814" s="131"/>
      <c r="I814" s="219"/>
      <c r="J814" s="198"/>
      <c r="K814" s="131"/>
      <c r="L814" s="131"/>
      <c r="M814" s="131"/>
      <c r="N814" s="131"/>
      <c r="O814" s="131"/>
      <c r="P814" s="131"/>
      <c r="Q814" s="131"/>
      <c r="R814" s="131"/>
      <c r="S814" s="131"/>
      <c r="T814" s="131"/>
      <c r="U814" s="131"/>
      <c r="V814" s="131"/>
      <c r="W814" s="131"/>
      <c r="X814" s="131"/>
      <c r="Y814" s="131"/>
      <c r="Z814" s="142"/>
      <c r="AA814" s="142"/>
      <c r="AB814" s="142"/>
      <c r="AC814" s="142"/>
      <c r="AD814" s="142"/>
      <c r="AE814" s="142"/>
      <c r="AF814" s="142"/>
      <c r="AG814" s="142"/>
      <c r="AH814" s="142"/>
      <c r="AI814" s="142"/>
      <c r="AJ814" s="142"/>
      <c r="AK814" s="142"/>
      <c r="AL814" s="142"/>
      <c r="AM814" s="142"/>
      <c r="AN814" s="142"/>
      <c r="AO814" s="131"/>
    </row>
    <row r="815" ht="13.5" customHeight="1">
      <c r="A815" s="142"/>
      <c r="B815" s="142"/>
      <c r="C815" s="142"/>
      <c r="D815" s="142"/>
      <c r="E815" s="308"/>
      <c r="F815" s="131"/>
      <c r="G815" s="131"/>
      <c r="H815" s="131"/>
      <c r="I815" s="219"/>
      <c r="J815" s="198"/>
      <c r="K815" s="131"/>
      <c r="L815" s="131"/>
      <c r="M815" s="131"/>
      <c r="N815" s="131"/>
      <c r="O815" s="131"/>
      <c r="P815" s="131"/>
      <c r="Q815" s="131"/>
      <c r="R815" s="131"/>
      <c r="S815" s="131"/>
      <c r="T815" s="131"/>
      <c r="U815" s="131"/>
      <c r="V815" s="131"/>
      <c r="W815" s="131"/>
      <c r="X815" s="131"/>
      <c r="Y815" s="131"/>
      <c r="Z815" s="142"/>
      <c r="AA815" s="142"/>
      <c r="AB815" s="142"/>
      <c r="AC815" s="142"/>
      <c r="AD815" s="142"/>
      <c r="AE815" s="142"/>
      <c r="AF815" s="142"/>
      <c r="AG815" s="142"/>
      <c r="AH815" s="142"/>
      <c r="AI815" s="142"/>
      <c r="AJ815" s="142"/>
      <c r="AK815" s="142"/>
      <c r="AL815" s="142"/>
      <c r="AM815" s="142"/>
      <c r="AN815" s="142"/>
      <c r="AO815" s="131"/>
    </row>
    <row r="816" ht="13.5" customHeight="1">
      <c r="A816" s="142"/>
      <c r="B816" s="142"/>
      <c r="C816" s="142"/>
      <c r="D816" s="142"/>
      <c r="E816" s="308"/>
      <c r="F816" s="131"/>
      <c r="G816" s="131"/>
      <c r="H816" s="131"/>
      <c r="I816" s="219"/>
      <c r="J816" s="198"/>
      <c r="K816" s="131"/>
      <c r="L816" s="131"/>
      <c r="M816" s="131"/>
      <c r="N816" s="131"/>
      <c r="O816" s="131"/>
      <c r="P816" s="131"/>
      <c r="Q816" s="131"/>
      <c r="R816" s="131"/>
      <c r="S816" s="131"/>
      <c r="T816" s="131"/>
      <c r="U816" s="131"/>
      <c r="V816" s="131"/>
      <c r="W816" s="131"/>
      <c r="X816" s="131"/>
      <c r="Y816" s="131"/>
      <c r="Z816" s="142"/>
      <c r="AA816" s="142"/>
      <c r="AB816" s="142"/>
      <c r="AC816" s="142"/>
      <c r="AD816" s="142"/>
      <c r="AE816" s="142"/>
      <c r="AF816" s="142"/>
      <c r="AG816" s="142"/>
      <c r="AH816" s="142"/>
      <c r="AI816" s="142"/>
      <c r="AJ816" s="142"/>
      <c r="AK816" s="142"/>
      <c r="AL816" s="142"/>
      <c r="AM816" s="142"/>
      <c r="AN816" s="142"/>
      <c r="AO816" s="131"/>
    </row>
    <row r="817" ht="13.5" customHeight="1">
      <c r="A817" s="142"/>
      <c r="B817" s="142"/>
      <c r="C817" s="142"/>
      <c r="D817" s="142"/>
      <c r="E817" s="308"/>
      <c r="F817" s="131"/>
      <c r="G817" s="131"/>
      <c r="H817" s="131"/>
      <c r="I817" s="219"/>
      <c r="J817" s="198"/>
      <c r="K817" s="131"/>
      <c r="L817" s="131"/>
      <c r="M817" s="131"/>
      <c r="N817" s="131"/>
      <c r="O817" s="131"/>
      <c r="P817" s="131"/>
      <c r="Q817" s="131"/>
      <c r="R817" s="131"/>
      <c r="S817" s="131"/>
      <c r="T817" s="131"/>
      <c r="U817" s="131"/>
      <c r="V817" s="131"/>
      <c r="W817" s="131"/>
      <c r="X817" s="131"/>
      <c r="Y817" s="131"/>
      <c r="Z817" s="142"/>
      <c r="AA817" s="142"/>
      <c r="AB817" s="142"/>
      <c r="AC817" s="142"/>
      <c r="AD817" s="142"/>
      <c r="AE817" s="142"/>
      <c r="AF817" s="142"/>
      <c r="AG817" s="142"/>
      <c r="AH817" s="142"/>
      <c r="AI817" s="142"/>
      <c r="AJ817" s="142"/>
      <c r="AK817" s="142"/>
      <c r="AL817" s="142"/>
      <c r="AM817" s="142"/>
      <c r="AN817" s="142"/>
      <c r="AO817" s="131"/>
    </row>
    <row r="818" ht="13.5" customHeight="1">
      <c r="A818" s="142"/>
      <c r="B818" s="142"/>
      <c r="C818" s="142"/>
      <c r="D818" s="142"/>
      <c r="E818" s="308"/>
      <c r="F818" s="131"/>
      <c r="G818" s="131"/>
      <c r="H818" s="131"/>
      <c r="I818" s="219"/>
      <c r="J818" s="198"/>
      <c r="K818" s="131"/>
      <c r="L818" s="131"/>
      <c r="M818" s="131"/>
      <c r="N818" s="131"/>
      <c r="O818" s="131"/>
      <c r="P818" s="131"/>
      <c r="Q818" s="131"/>
      <c r="R818" s="131"/>
      <c r="S818" s="131"/>
      <c r="T818" s="131"/>
      <c r="U818" s="131"/>
      <c r="V818" s="131"/>
      <c r="W818" s="131"/>
      <c r="X818" s="131"/>
      <c r="Y818" s="131"/>
      <c r="Z818" s="142"/>
      <c r="AA818" s="142"/>
      <c r="AB818" s="142"/>
      <c r="AC818" s="142"/>
      <c r="AD818" s="142"/>
      <c r="AE818" s="142"/>
      <c r="AF818" s="142"/>
      <c r="AG818" s="142"/>
      <c r="AH818" s="142"/>
      <c r="AI818" s="142"/>
      <c r="AJ818" s="142"/>
      <c r="AK818" s="142"/>
      <c r="AL818" s="142"/>
      <c r="AM818" s="142"/>
      <c r="AN818" s="142"/>
      <c r="AO818" s="131"/>
    </row>
    <row r="819" ht="13.5" customHeight="1">
      <c r="A819" s="142"/>
      <c r="B819" s="142"/>
      <c r="C819" s="142"/>
      <c r="D819" s="142"/>
      <c r="E819" s="308"/>
      <c r="F819" s="131"/>
      <c r="G819" s="131"/>
      <c r="H819" s="131"/>
      <c r="I819" s="219"/>
      <c r="J819" s="198"/>
      <c r="K819" s="131"/>
      <c r="L819" s="131"/>
      <c r="M819" s="131"/>
      <c r="N819" s="131"/>
      <c r="O819" s="131"/>
      <c r="P819" s="131"/>
      <c r="Q819" s="131"/>
      <c r="R819" s="131"/>
      <c r="S819" s="131"/>
      <c r="T819" s="131"/>
      <c r="U819" s="131"/>
      <c r="V819" s="131"/>
      <c r="W819" s="131"/>
      <c r="X819" s="131"/>
      <c r="Y819" s="131"/>
      <c r="Z819" s="142"/>
      <c r="AA819" s="142"/>
      <c r="AB819" s="142"/>
      <c r="AC819" s="142"/>
      <c r="AD819" s="142"/>
      <c r="AE819" s="142"/>
      <c r="AF819" s="142"/>
      <c r="AG819" s="142"/>
      <c r="AH819" s="142"/>
      <c r="AI819" s="142"/>
      <c r="AJ819" s="142"/>
      <c r="AK819" s="142"/>
      <c r="AL819" s="142"/>
      <c r="AM819" s="142"/>
      <c r="AN819" s="142"/>
      <c r="AO819" s="131"/>
    </row>
    <row r="820" ht="13.5" customHeight="1">
      <c r="A820" s="142"/>
      <c r="B820" s="142"/>
      <c r="C820" s="142"/>
      <c r="D820" s="142"/>
      <c r="E820" s="308"/>
      <c r="F820" s="131"/>
      <c r="G820" s="131"/>
      <c r="H820" s="131"/>
      <c r="I820" s="219"/>
      <c r="J820" s="198"/>
      <c r="K820" s="131"/>
      <c r="L820" s="131"/>
      <c r="M820" s="131"/>
      <c r="N820" s="131"/>
      <c r="O820" s="131"/>
      <c r="P820" s="131"/>
      <c r="Q820" s="131"/>
      <c r="R820" s="131"/>
      <c r="S820" s="131"/>
      <c r="T820" s="131"/>
      <c r="U820" s="131"/>
      <c r="V820" s="131"/>
      <c r="W820" s="131"/>
      <c r="X820" s="131"/>
      <c r="Y820" s="131"/>
      <c r="Z820" s="142"/>
      <c r="AA820" s="142"/>
      <c r="AB820" s="142"/>
      <c r="AC820" s="142"/>
      <c r="AD820" s="142"/>
      <c r="AE820" s="142"/>
      <c r="AF820" s="142"/>
      <c r="AG820" s="142"/>
      <c r="AH820" s="142"/>
      <c r="AI820" s="142"/>
      <c r="AJ820" s="142"/>
      <c r="AK820" s="142"/>
      <c r="AL820" s="142"/>
      <c r="AM820" s="142"/>
      <c r="AN820" s="142"/>
      <c r="AO820" s="131"/>
    </row>
    <row r="821" ht="13.5" customHeight="1">
      <c r="A821" s="142"/>
      <c r="B821" s="142"/>
      <c r="C821" s="142"/>
      <c r="D821" s="142"/>
      <c r="E821" s="308"/>
      <c r="F821" s="131"/>
      <c r="G821" s="131"/>
      <c r="H821" s="131"/>
      <c r="I821" s="219"/>
      <c r="J821" s="198"/>
      <c r="K821" s="131"/>
      <c r="L821" s="131"/>
      <c r="M821" s="131"/>
      <c r="N821" s="131"/>
      <c r="O821" s="131"/>
      <c r="P821" s="131"/>
      <c r="Q821" s="131"/>
      <c r="R821" s="131"/>
      <c r="S821" s="131"/>
      <c r="T821" s="131"/>
      <c r="U821" s="131"/>
      <c r="V821" s="131"/>
      <c r="W821" s="131"/>
      <c r="X821" s="131"/>
      <c r="Y821" s="131"/>
      <c r="Z821" s="142"/>
      <c r="AA821" s="142"/>
      <c r="AB821" s="142"/>
      <c r="AC821" s="142"/>
      <c r="AD821" s="142"/>
      <c r="AE821" s="142"/>
      <c r="AF821" s="142"/>
      <c r="AG821" s="142"/>
      <c r="AH821" s="142"/>
      <c r="AI821" s="142"/>
      <c r="AJ821" s="142"/>
      <c r="AK821" s="142"/>
      <c r="AL821" s="142"/>
      <c r="AM821" s="142"/>
      <c r="AN821" s="142"/>
      <c r="AO821" s="131"/>
    </row>
    <row r="822" ht="13.5" customHeight="1">
      <c r="A822" s="142"/>
      <c r="B822" s="142"/>
      <c r="C822" s="142"/>
      <c r="D822" s="142"/>
      <c r="E822" s="308"/>
      <c r="F822" s="131"/>
      <c r="G822" s="131"/>
      <c r="H822" s="131"/>
      <c r="I822" s="219"/>
      <c r="J822" s="198"/>
      <c r="K822" s="131"/>
      <c r="L822" s="131"/>
      <c r="M822" s="131"/>
      <c r="N822" s="131"/>
      <c r="O822" s="131"/>
      <c r="P822" s="131"/>
      <c r="Q822" s="131"/>
      <c r="R822" s="131"/>
      <c r="S822" s="131"/>
      <c r="T822" s="131"/>
      <c r="U822" s="131"/>
      <c r="V822" s="131"/>
      <c r="W822" s="131"/>
      <c r="X822" s="131"/>
      <c r="Y822" s="131"/>
      <c r="Z822" s="142"/>
      <c r="AA822" s="142"/>
      <c r="AB822" s="142"/>
      <c r="AC822" s="142"/>
      <c r="AD822" s="142"/>
      <c r="AE822" s="142"/>
      <c r="AF822" s="142"/>
      <c r="AG822" s="142"/>
      <c r="AH822" s="142"/>
      <c r="AI822" s="142"/>
      <c r="AJ822" s="142"/>
      <c r="AK822" s="142"/>
      <c r="AL822" s="142"/>
      <c r="AM822" s="142"/>
      <c r="AN822" s="142"/>
      <c r="AO822" s="131"/>
    </row>
    <row r="823" ht="13.5" customHeight="1">
      <c r="A823" s="142"/>
      <c r="B823" s="142"/>
      <c r="C823" s="142"/>
      <c r="D823" s="142"/>
      <c r="E823" s="308"/>
      <c r="F823" s="131"/>
      <c r="G823" s="131"/>
      <c r="H823" s="131"/>
      <c r="I823" s="219"/>
      <c r="J823" s="198"/>
      <c r="K823" s="131"/>
      <c r="L823" s="131"/>
      <c r="M823" s="131"/>
      <c r="N823" s="131"/>
      <c r="O823" s="131"/>
      <c r="P823" s="131"/>
      <c r="Q823" s="131"/>
      <c r="R823" s="131"/>
      <c r="S823" s="131"/>
      <c r="T823" s="131"/>
      <c r="U823" s="131"/>
      <c r="V823" s="131"/>
      <c r="W823" s="131"/>
      <c r="X823" s="131"/>
      <c r="Y823" s="131"/>
      <c r="Z823" s="142"/>
      <c r="AA823" s="142"/>
      <c r="AB823" s="142"/>
      <c r="AC823" s="142"/>
      <c r="AD823" s="142"/>
      <c r="AE823" s="142"/>
      <c r="AF823" s="142"/>
      <c r="AG823" s="142"/>
      <c r="AH823" s="142"/>
      <c r="AI823" s="142"/>
      <c r="AJ823" s="142"/>
      <c r="AK823" s="142"/>
      <c r="AL823" s="142"/>
      <c r="AM823" s="142"/>
      <c r="AN823" s="142"/>
      <c r="AO823" s="131"/>
    </row>
    <row r="824" ht="13.5" customHeight="1">
      <c r="A824" s="142"/>
      <c r="B824" s="142"/>
      <c r="C824" s="142"/>
      <c r="D824" s="142"/>
      <c r="E824" s="308"/>
      <c r="F824" s="131"/>
      <c r="G824" s="131"/>
      <c r="H824" s="131"/>
      <c r="I824" s="219"/>
      <c r="J824" s="198"/>
      <c r="K824" s="131"/>
      <c r="L824" s="131"/>
      <c r="M824" s="131"/>
      <c r="N824" s="131"/>
      <c r="O824" s="131"/>
      <c r="P824" s="131"/>
      <c r="Q824" s="131"/>
      <c r="R824" s="131"/>
      <c r="S824" s="131"/>
      <c r="T824" s="131"/>
      <c r="U824" s="131"/>
      <c r="V824" s="131"/>
      <c r="W824" s="131"/>
      <c r="X824" s="131"/>
      <c r="Y824" s="131"/>
      <c r="Z824" s="142"/>
      <c r="AA824" s="142"/>
      <c r="AB824" s="142"/>
      <c r="AC824" s="142"/>
      <c r="AD824" s="142"/>
      <c r="AE824" s="142"/>
      <c r="AF824" s="142"/>
      <c r="AG824" s="142"/>
      <c r="AH824" s="142"/>
      <c r="AI824" s="142"/>
      <c r="AJ824" s="142"/>
      <c r="AK824" s="142"/>
      <c r="AL824" s="142"/>
      <c r="AM824" s="142"/>
      <c r="AN824" s="142"/>
      <c r="AO824" s="131"/>
    </row>
    <row r="825" ht="13.5" customHeight="1">
      <c r="A825" s="142"/>
      <c r="B825" s="142"/>
      <c r="C825" s="142"/>
      <c r="D825" s="142"/>
      <c r="E825" s="308"/>
      <c r="F825" s="131"/>
      <c r="G825" s="131"/>
      <c r="H825" s="131"/>
      <c r="I825" s="219"/>
      <c r="J825" s="198"/>
      <c r="K825" s="131"/>
      <c r="L825" s="131"/>
      <c r="M825" s="131"/>
      <c r="N825" s="131"/>
      <c r="O825" s="131"/>
      <c r="P825" s="131"/>
      <c r="Q825" s="131"/>
      <c r="R825" s="131"/>
      <c r="S825" s="131"/>
      <c r="T825" s="131"/>
      <c r="U825" s="131"/>
      <c r="V825" s="131"/>
      <c r="W825" s="131"/>
      <c r="X825" s="131"/>
      <c r="Y825" s="131"/>
      <c r="Z825" s="142"/>
      <c r="AA825" s="142"/>
      <c r="AB825" s="142"/>
      <c r="AC825" s="142"/>
      <c r="AD825" s="142"/>
      <c r="AE825" s="142"/>
      <c r="AF825" s="142"/>
      <c r="AG825" s="142"/>
      <c r="AH825" s="142"/>
      <c r="AI825" s="142"/>
      <c r="AJ825" s="142"/>
      <c r="AK825" s="142"/>
      <c r="AL825" s="142"/>
      <c r="AM825" s="142"/>
      <c r="AN825" s="142"/>
      <c r="AO825" s="131"/>
    </row>
    <row r="826" ht="13.5" customHeight="1">
      <c r="A826" s="142"/>
      <c r="B826" s="142"/>
      <c r="C826" s="142"/>
      <c r="D826" s="142"/>
      <c r="E826" s="308"/>
      <c r="F826" s="131"/>
      <c r="G826" s="131"/>
      <c r="H826" s="131"/>
      <c r="I826" s="219"/>
      <c r="J826" s="198"/>
      <c r="K826" s="131"/>
      <c r="L826" s="131"/>
      <c r="M826" s="131"/>
      <c r="N826" s="131"/>
      <c r="O826" s="131"/>
      <c r="P826" s="131"/>
      <c r="Q826" s="131"/>
      <c r="R826" s="131"/>
      <c r="S826" s="131"/>
      <c r="T826" s="131"/>
      <c r="U826" s="131"/>
      <c r="V826" s="131"/>
      <c r="W826" s="131"/>
      <c r="X826" s="131"/>
      <c r="Y826" s="131"/>
      <c r="Z826" s="142"/>
      <c r="AA826" s="142"/>
      <c r="AB826" s="142"/>
      <c r="AC826" s="142"/>
      <c r="AD826" s="142"/>
      <c r="AE826" s="142"/>
      <c r="AF826" s="142"/>
      <c r="AG826" s="142"/>
      <c r="AH826" s="142"/>
      <c r="AI826" s="142"/>
      <c r="AJ826" s="142"/>
      <c r="AK826" s="142"/>
      <c r="AL826" s="142"/>
      <c r="AM826" s="142"/>
      <c r="AN826" s="142"/>
      <c r="AO826" s="131"/>
    </row>
    <row r="827" ht="13.5" customHeight="1">
      <c r="A827" s="142"/>
      <c r="B827" s="142"/>
      <c r="C827" s="142"/>
      <c r="D827" s="142"/>
      <c r="E827" s="308"/>
      <c r="F827" s="131"/>
      <c r="G827" s="131"/>
      <c r="H827" s="131"/>
      <c r="I827" s="219"/>
      <c r="J827" s="198"/>
      <c r="K827" s="131"/>
      <c r="L827" s="131"/>
      <c r="M827" s="131"/>
      <c r="N827" s="131"/>
      <c r="O827" s="131"/>
      <c r="P827" s="131"/>
      <c r="Q827" s="131"/>
      <c r="R827" s="131"/>
      <c r="S827" s="131"/>
      <c r="T827" s="131"/>
      <c r="U827" s="131"/>
      <c r="V827" s="131"/>
      <c r="W827" s="131"/>
      <c r="X827" s="131"/>
      <c r="Y827" s="131"/>
      <c r="Z827" s="142"/>
      <c r="AA827" s="142"/>
      <c r="AB827" s="142"/>
      <c r="AC827" s="142"/>
      <c r="AD827" s="142"/>
      <c r="AE827" s="142"/>
      <c r="AF827" s="142"/>
      <c r="AG827" s="142"/>
      <c r="AH827" s="142"/>
      <c r="AI827" s="142"/>
      <c r="AJ827" s="142"/>
      <c r="AK827" s="142"/>
      <c r="AL827" s="142"/>
      <c r="AM827" s="142"/>
      <c r="AN827" s="142"/>
      <c r="AO827" s="131"/>
    </row>
    <row r="828" ht="13.5" customHeight="1">
      <c r="A828" s="142"/>
      <c r="B828" s="142"/>
      <c r="C828" s="142"/>
      <c r="D828" s="142"/>
      <c r="E828" s="308"/>
      <c r="F828" s="131"/>
      <c r="G828" s="131"/>
      <c r="H828" s="131"/>
      <c r="I828" s="219"/>
      <c r="J828" s="198"/>
      <c r="K828" s="131"/>
      <c r="L828" s="131"/>
      <c r="M828" s="131"/>
      <c r="N828" s="131"/>
      <c r="O828" s="131"/>
      <c r="P828" s="131"/>
      <c r="Q828" s="131"/>
      <c r="R828" s="131"/>
      <c r="S828" s="131"/>
      <c r="T828" s="131"/>
      <c r="U828" s="131"/>
      <c r="V828" s="131"/>
      <c r="W828" s="131"/>
      <c r="X828" s="131"/>
      <c r="Y828" s="131"/>
      <c r="Z828" s="142"/>
      <c r="AA828" s="142"/>
      <c r="AB828" s="142"/>
      <c r="AC828" s="142"/>
      <c r="AD828" s="142"/>
      <c r="AE828" s="142"/>
      <c r="AF828" s="142"/>
      <c r="AG828" s="142"/>
      <c r="AH828" s="142"/>
      <c r="AI828" s="142"/>
      <c r="AJ828" s="142"/>
      <c r="AK828" s="142"/>
      <c r="AL828" s="142"/>
      <c r="AM828" s="142"/>
      <c r="AN828" s="142"/>
      <c r="AO828" s="131"/>
    </row>
    <row r="829" ht="13.5" customHeight="1">
      <c r="A829" s="142"/>
      <c r="B829" s="142"/>
      <c r="C829" s="142"/>
      <c r="D829" s="142"/>
      <c r="E829" s="308"/>
      <c r="F829" s="131"/>
      <c r="G829" s="131"/>
      <c r="H829" s="131"/>
      <c r="I829" s="219"/>
      <c r="J829" s="198"/>
      <c r="K829" s="131"/>
      <c r="L829" s="131"/>
      <c r="M829" s="131"/>
      <c r="N829" s="131"/>
      <c r="O829" s="131"/>
      <c r="P829" s="131"/>
      <c r="Q829" s="131"/>
      <c r="R829" s="131"/>
      <c r="S829" s="131"/>
      <c r="T829" s="131"/>
      <c r="U829" s="131"/>
      <c r="V829" s="131"/>
      <c r="W829" s="131"/>
      <c r="X829" s="131"/>
      <c r="Y829" s="131"/>
      <c r="Z829" s="142"/>
      <c r="AA829" s="142"/>
      <c r="AB829" s="142"/>
      <c r="AC829" s="142"/>
      <c r="AD829" s="142"/>
      <c r="AE829" s="142"/>
      <c r="AF829" s="142"/>
      <c r="AG829" s="142"/>
      <c r="AH829" s="142"/>
      <c r="AI829" s="142"/>
      <c r="AJ829" s="142"/>
      <c r="AK829" s="142"/>
      <c r="AL829" s="142"/>
      <c r="AM829" s="142"/>
      <c r="AN829" s="142"/>
      <c r="AO829" s="131"/>
    </row>
    <row r="830" ht="13.5" customHeight="1">
      <c r="A830" s="142"/>
      <c r="B830" s="142"/>
      <c r="C830" s="142"/>
      <c r="D830" s="142"/>
      <c r="E830" s="308"/>
      <c r="F830" s="131"/>
      <c r="G830" s="131"/>
      <c r="H830" s="131"/>
      <c r="I830" s="219"/>
      <c r="J830" s="198"/>
      <c r="K830" s="131"/>
      <c r="L830" s="131"/>
      <c r="M830" s="131"/>
      <c r="N830" s="131"/>
      <c r="O830" s="131"/>
      <c r="P830" s="131"/>
      <c r="Q830" s="131"/>
      <c r="R830" s="131"/>
      <c r="S830" s="131"/>
      <c r="T830" s="131"/>
      <c r="U830" s="131"/>
      <c r="V830" s="131"/>
      <c r="W830" s="131"/>
      <c r="X830" s="131"/>
      <c r="Y830" s="131"/>
      <c r="Z830" s="142"/>
      <c r="AA830" s="142"/>
      <c r="AB830" s="142"/>
      <c r="AC830" s="142"/>
      <c r="AD830" s="142"/>
      <c r="AE830" s="142"/>
      <c r="AF830" s="142"/>
      <c r="AG830" s="142"/>
      <c r="AH830" s="142"/>
      <c r="AI830" s="142"/>
      <c r="AJ830" s="142"/>
      <c r="AK830" s="142"/>
      <c r="AL830" s="142"/>
      <c r="AM830" s="142"/>
      <c r="AN830" s="142"/>
      <c r="AO830" s="131"/>
    </row>
    <row r="831" ht="13.5" customHeight="1">
      <c r="A831" s="142"/>
      <c r="B831" s="142"/>
      <c r="C831" s="142"/>
      <c r="D831" s="142"/>
      <c r="E831" s="308"/>
      <c r="F831" s="131"/>
      <c r="G831" s="131"/>
      <c r="H831" s="131"/>
      <c r="I831" s="219"/>
      <c r="J831" s="198"/>
      <c r="K831" s="131"/>
      <c r="L831" s="131"/>
      <c r="M831" s="131"/>
      <c r="N831" s="131"/>
      <c r="O831" s="131"/>
      <c r="P831" s="131"/>
      <c r="Q831" s="131"/>
      <c r="R831" s="131"/>
      <c r="S831" s="131"/>
      <c r="T831" s="131"/>
      <c r="U831" s="131"/>
      <c r="V831" s="131"/>
      <c r="W831" s="131"/>
      <c r="X831" s="131"/>
      <c r="Y831" s="131"/>
      <c r="Z831" s="142"/>
      <c r="AA831" s="142"/>
      <c r="AB831" s="142"/>
      <c r="AC831" s="142"/>
      <c r="AD831" s="142"/>
      <c r="AE831" s="142"/>
      <c r="AF831" s="142"/>
      <c r="AG831" s="142"/>
      <c r="AH831" s="142"/>
      <c r="AI831" s="142"/>
      <c r="AJ831" s="142"/>
      <c r="AK831" s="142"/>
      <c r="AL831" s="142"/>
      <c r="AM831" s="142"/>
      <c r="AN831" s="142"/>
      <c r="AO831" s="131"/>
    </row>
    <row r="832" ht="13.5" customHeight="1">
      <c r="A832" s="142"/>
      <c r="B832" s="142"/>
      <c r="C832" s="142"/>
      <c r="D832" s="142"/>
      <c r="E832" s="308"/>
      <c r="F832" s="131"/>
      <c r="G832" s="131"/>
      <c r="H832" s="131"/>
      <c r="I832" s="219"/>
      <c r="J832" s="198"/>
      <c r="K832" s="131"/>
      <c r="L832" s="131"/>
      <c r="M832" s="131"/>
      <c r="N832" s="131"/>
      <c r="O832" s="131"/>
      <c r="P832" s="131"/>
      <c r="Q832" s="131"/>
      <c r="R832" s="131"/>
      <c r="S832" s="131"/>
      <c r="T832" s="131"/>
      <c r="U832" s="131"/>
      <c r="V832" s="131"/>
      <c r="W832" s="131"/>
      <c r="X832" s="131"/>
      <c r="Y832" s="131"/>
      <c r="Z832" s="142"/>
      <c r="AA832" s="142"/>
      <c r="AB832" s="142"/>
      <c r="AC832" s="142"/>
      <c r="AD832" s="142"/>
      <c r="AE832" s="142"/>
      <c r="AF832" s="142"/>
      <c r="AG832" s="142"/>
      <c r="AH832" s="142"/>
      <c r="AI832" s="142"/>
      <c r="AJ832" s="142"/>
      <c r="AK832" s="142"/>
      <c r="AL832" s="142"/>
      <c r="AM832" s="142"/>
      <c r="AN832" s="142"/>
      <c r="AO832" s="131"/>
    </row>
    <row r="833" ht="13.5" customHeight="1">
      <c r="A833" s="142"/>
      <c r="B833" s="142"/>
      <c r="C833" s="142"/>
      <c r="D833" s="142"/>
      <c r="E833" s="308"/>
      <c r="F833" s="131"/>
      <c r="G833" s="131"/>
      <c r="H833" s="131"/>
      <c r="I833" s="219"/>
      <c r="J833" s="198"/>
      <c r="K833" s="131"/>
      <c r="L833" s="131"/>
      <c r="M833" s="131"/>
      <c r="N833" s="131"/>
      <c r="O833" s="131"/>
      <c r="P833" s="131"/>
      <c r="Q833" s="131"/>
      <c r="R833" s="131"/>
      <c r="S833" s="131"/>
      <c r="T833" s="131"/>
      <c r="U833" s="131"/>
      <c r="V833" s="131"/>
      <c r="W833" s="131"/>
      <c r="X833" s="131"/>
      <c r="Y833" s="131"/>
      <c r="Z833" s="142"/>
      <c r="AA833" s="142"/>
      <c r="AB833" s="142"/>
      <c r="AC833" s="142"/>
      <c r="AD833" s="142"/>
      <c r="AE833" s="142"/>
      <c r="AF833" s="142"/>
      <c r="AG833" s="142"/>
      <c r="AH833" s="142"/>
      <c r="AI833" s="142"/>
      <c r="AJ833" s="142"/>
      <c r="AK833" s="142"/>
      <c r="AL833" s="142"/>
      <c r="AM833" s="142"/>
      <c r="AN833" s="142"/>
      <c r="AO833" s="131"/>
    </row>
    <row r="834" ht="13.5" customHeight="1">
      <c r="A834" s="142"/>
      <c r="B834" s="142"/>
      <c r="C834" s="142"/>
      <c r="D834" s="142"/>
      <c r="E834" s="308"/>
      <c r="F834" s="131"/>
      <c r="G834" s="131"/>
      <c r="H834" s="131"/>
      <c r="I834" s="219"/>
      <c r="J834" s="198"/>
      <c r="K834" s="131"/>
      <c r="L834" s="131"/>
      <c r="M834" s="131"/>
      <c r="N834" s="131"/>
      <c r="O834" s="131"/>
      <c r="P834" s="131"/>
      <c r="Q834" s="131"/>
      <c r="R834" s="131"/>
      <c r="S834" s="131"/>
      <c r="T834" s="131"/>
      <c r="U834" s="131"/>
      <c r="V834" s="131"/>
      <c r="W834" s="131"/>
      <c r="X834" s="131"/>
      <c r="Y834" s="131"/>
      <c r="Z834" s="142"/>
      <c r="AA834" s="142"/>
      <c r="AB834" s="142"/>
      <c r="AC834" s="142"/>
      <c r="AD834" s="142"/>
      <c r="AE834" s="142"/>
      <c r="AF834" s="142"/>
      <c r="AG834" s="142"/>
      <c r="AH834" s="142"/>
      <c r="AI834" s="142"/>
      <c r="AJ834" s="142"/>
      <c r="AK834" s="142"/>
      <c r="AL834" s="142"/>
      <c r="AM834" s="142"/>
      <c r="AN834" s="142"/>
      <c r="AO834" s="131"/>
    </row>
    <row r="835" ht="13.5" customHeight="1">
      <c r="A835" s="142"/>
      <c r="B835" s="142"/>
      <c r="C835" s="142"/>
      <c r="D835" s="142"/>
      <c r="E835" s="308"/>
      <c r="F835" s="131"/>
      <c r="G835" s="131"/>
      <c r="H835" s="131"/>
      <c r="I835" s="219"/>
      <c r="J835" s="198"/>
      <c r="K835" s="131"/>
      <c r="L835" s="131"/>
      <c r="M835" s="131"/>
      <c r="N835" s="131"/>
      <c r="O835" s="131"/>
      <c r="P835" s="131"/>
      <c r="Q835" s="131"/>
      <c r="R835" s="131"/>
      <c r="S835" s="131"/>
      <c r="T835" s="131"/>
      <c r="U835" s="131"/>
      <c r="V835" s="131"/>
      <c r="W835" s="131"/>
      <c r="X835" s="131"/>
      <c r="Y835" s="131"/>
      <c r="Z835" s="142"/>
      <c r="AA835" s="142"/>
      <c r="AB835" s="142"/>
      <c r="AC835" s="142"/>
      <c r="AD835" s="142"/>
      <c r="AE835" s="142"/>
      <c r="AF835" s="142"/>
      <c r="AG835" s="142"/>
      <c r="AH835" s="142"/>
      <c r="AI835" s="142"/>
      <c r="AJ835" s="142"/>
      <c r="AK835" s="142"/>
      <c r="AL835" s="142"/>
      <c r="AM835" s="142"/>
      <c r="AN835" s="142"/>
      <c r="AO835" s="131"/>
    </row>
    <row r="836" ht="13.5" customHeight="1">
      <c r="A836" s="142"/>
      <c r="B836" s="142"/>
      <c r="C836" s="142"/>
      <c r="D836" s="142"/>
      <c r="E836" s="308"/>
      <c r="F836" s="131"/>
      <c r="G836" s="131"/>
      <c r="H836" s="131"/>
      <c r="I836" s="219"/>
      <c r="J836" s="198"/>
      <c r="K836" s="131"/>
      <c r="L836" s="131"/>
      <c r="M836" s="131"/>
      <c r="N836" s="131"/>
      <c r="O836" s="131"/>
      <c r="P836" s="131"/>
      <c r="Q836" s="131"/>
      <c r="R836" s="131"/>
      <c r="S836" s="131"/>
      <c r="T836" s="131"/>
      <c r="U836" s="131"/>
      <c r="V836" s="131"/>
      <c r="W836" s="131"/>
      <c r="X836" s="131"/>
      <c r="Y836" s="131"/>
      <c r="Z836" s="142"/>
      <c r="AA836" s="142"/>
      <c r="AB836" s="142"/>
      <c r="AC836" s="142"/>
      <c r="AD836" s="142"/>
      <c r="AE836" s="142"/>
      <c r="AF836" s="142"/>
      <c r="AG836" s="142"/>
      <c r="AH836" s="142"/>
      <c r="AI836" s="142"/>
      <c r="AJ836" s="142"/>
      <c r="AK836" s="142"/>
      <c r="AL836" s="142"/>
      <c r="AM836" s="142"/>
      <c r="AN836" s="142"/>
      <c r="AO836" s="131"/>
    </row>
    <row r="837" ht="13.5" customHeight="1">
      <c r="A837" s="142"/>
      <c r="B837" s="142"/>
      <c r="C837" s="142"/>
      <c r="D837" s="142"/>
      <c r="E837" s="308"/>
      <c r="F837" s="131"/>
      <c r="G837" s="131"/>
      <c r="H837" s="131"/>
      <c r="I837" s="219"/>
      <c r="J837" s="198"/>
      <c r="K837" s="131"/>
      <c r="L837" s="131"/>
      <c r="M837" s="131"/>
      <c r="N837" s="131"/>
      <c r="O837" s="131"/>
      <c r="P837" s="131"/>
      <c r="Q837" s="131"/>
      <c r="R837" s="131"/>
      <c r="S837" s="131"/>
      <c r="T837" s="131"/>
      <c r="U837" s="131"/>
      <c r="V837" s="131"/>
      <c r="W837" s="131"/>
      <c r="X837" s="131"/>
      <c r="Y837" s="131"/>
      <c r="Z837" s="142"/>
      <c r="AA837" s="142"/>
      <c r="AB837" s="142"/>
      <c r="AC837" s="142"/>
      <c r="AD837" s="142"/>
      <c r="AE837" s="142"/>
      <c r="AF837" s="142"/>
      <c r="AG837" s="142"/>
      <c r="AH837" s="142"/>
      <c r="AI837" s="142"/>
      <c r="AJ837" s="142"/>
      <c r="AK837" s="142"/>
      <c r="AL837" s="142"/>
      <c r="AM837" s="142"/>
      <c r="AN837" s="142"/>
      <c r="AO837" s="131"/>
    </row>
    <row r="838" ht="13.5" customHeight="1">
      <c r="A838" s="142"/>
      <c r="B838" s="142"/>
      <c r="C838" s="142"/>
      <c r="D838" s="142"/>
      <c r="E838" s="308"/>
      <c r="F838" s="131"/>
      <c r="G838" s="131"/>
      <c r="H838" s="131"/>
      <c r="I838" s="219"/>
      <c r="J838" s="198"/>
      <c r="K838" s="131"/>
      <c r="L838" s="131"/>
      <c r="M838" s="131"/>
      <c r="N838" s="131"/>
      <c r="O838" s="131"/>
      <c r="P838" s="131"/>
      <c r="Q838" s="131"/>
      <c r="R838" s="131"/>
      <c r="S838" s="131"/>
      <c r="T838" s="131"/>
      <c r="U838" s="131"/>
      <c r="V838" s="131"/>
      <c r="W838" s="131"/>
      <c r="X838" s="131"/>
      <c r="Y838" s="131"/>
      <c r="Z838" s="142"/>
      <c r="AA838" s="142"/>
      <c r="AB838" s="142"/>
      <c r="AC838" s="142"/>
      <c r="AD838" s="142"/>
      <c r="AE838" s="142"/>
      <c r="AF838" s="142"/>
      <c r="AG838" s="142"/>
      <c r="AH838" s="142"/>
      <c r="AI838" s="142"/>
      <c r="AJ838" s="142"/>
      <c r="AK838" s="142"/>
      <c r="AL838" s="142"/>
      <c r="AM838" s="142"/>
      <c r="AN838" s="142"/>
      <c r="AO838" s="131"/>
    </row>
    <row r="839" ht="13.5" customHeight="1">
      <c r="A839" s="142"/>
      <c r="B839" s="142"/>
      <c r="C839" s="142"/>
      <c r="D839" s="142"/>
      <c r="E839" s="308"/>
      <c r="F839" s="131"/>
      <c r="G839" s="131"/>
      <c r="H839" s="131"/>
      <c r="I839" s="219"/>
      <c r="J839" s="198"/>
      <c r="K839" s="131"/>
      <c r="L839" s="131"/>
      <c r="M839" s="131"/>
      <c r="N839" s="131"/>
      <c r="O839" s="131"/>
      <c r="P839" s="131"/>
      <c r="Q839" s="131"/>
      <c r="R839" s="131"/>
      <c r="S839" s="131"/>
      <c r="T839" s="131"/>
      <c r="U839" s="131"/>
      <c r="V839" s="131"/>
      <c r="W839" s="131"/>
      <c r="X839" s="131"/>
      <c r="Y839" s="131"/>
      <c r="Z839" s="142"/>
      <c r="AA839" s="142"/>
      <c r="AB839" s="142"/>
      <c r="AC839" s="142"/>
      <c r="AD839" s="142"/>
      <c r="AE839" s="142"/>
      <c r="AF839" s="142"/>
      <c r="AG839" s="142"/>
      <c r="AH839" s="142"/>
      <c r="AI839" s="142"/>
      <c r="AJ839" s="142"/>
      <c r="AK839" s="142"/>
      <c r="AL839" s="142"/>
      <c r="AM839" s="142"/>
      <c r="AN839" s="142"/>
      <c r="AO839" s="131"/>
    </row>
    <row r="840" ht="13.5" customHeight="1">
      <c r="A840" s="142"/>
      <c r="B840" s="142"/>
      <c r="C840" s="142"/>
      <c r="D840" s="142"/>
      <c r="E840" s="308"/>
      <c r="F840" s="131"/>
      <c r="G840" s="131"/>
      <c r="H840" s="131"/>
      <c r="I840" s="219"/>
      <c r="J840" s="198"/>
      <c r="K840" s="131"/>
      <c r="L840" s="131"/>
      <c r="M840" s="131"/>
      <c r="N840" s="131"/>
      <c r="O840" s="131"/>
      <c r="P840" s="131"/>
      <c r="Q840" s="131"/>
      <c r="R840" s="131"/>
      <c r="S840" s="131"/>
      <c r="T840" s="131"/>
      <c r="U840" s="131"/>
      <c r="V840" s="131"/>
      <c r="W840" s="131"/>
      <c r="X840" s="131"/>
      <c r="Y840" s="131"/>
      <c r="Z840" s="142"/>
      <c r="AA840" s="142"/>
      <c r="AB840" s="142"/>
      <c r="AC840" s="142"/>
      <c r="AD840" s="142"/>
      <c r="AE840" s="142"/>
      <c r="AF840" s="142"/>
      <c r="AG840" s="142"/>
      <c r="AH840" s="142"/>
      <c r="AI840" s="142"/>
      <c r="AJ840" s="142"/>
      <c r="AK840" s="142"/>
      <c r="AL840" s="142"/>
      <c r="AM840" s="142"/>
      <c r="AN840" s="142"/>
      <c r="AO840" s="131"/>
    </row>
    <row r="841" ht="13.5" customHeight="1">
      <c r="A841" s="142"/>
      <c r="B841" s="142"/>
      <c r="C841" s="142"/>
      <c r="D841" s="142"/>
      <c r="E841" s="308"/>
      <c r="F841" s="131"/>
      <c r="G841" s="131"/>
      <c r="H841" s="131"/>
      <c r="I841" s="219"/>
      <c r="J841" s="198"/>
      <c r="K841" s="131"/>
      <c r="L841" s="131"/>
      <c r="M841" s="131"/>
      <c r="N841" s="131"/>
      <c r="O841" s="131"/>
      <c r="P841" s="131"/>
      <c r="Q841" s="131"/>
      <c r="R841" s="131"/>
      <c r="S841" s="131"/>
      <c r="T841" s="131"/>
      <c r="U841" s="131"/>
      <c r="V841" s="131"/>
      <c r="W841" s="131"/>
      <c r="X841" s="131"/>
      <c r="Y841" s="131"/>
      <c r="Z841" s="142"/>
      <c r="AA841" s="142"/>
      <c r="AB841" s="142"/>
      <c r="AC841" s="142"/>
      <c r="AD841" s="142"/>
      <c r="AE841" s="142"/>
      <c r="AF841" s="142"/>
      <c r="AG841" s="142"/>
      <c r="AH841" s="142"/>
      <c r="AI841" s="142"/>
      <c r="AJ841" s="142"/>
      <c r="AK841" s="142"/>
      <c r="AL841" s="142"/>
      <c r="AM841" s="142"/>
      <c r="AN841" s="142"/>
      <c r="AO841" s="131"/>
    </row>
    <row r="842" ht="13.5" customHeight="1">
      <c r="A842" s="142"/>
      <c r="B842" s="142"/>
      <c r="C842" s="142"/>
      <c r="D842" s="142"/>
      <c r="E842" s="308"/>
      <c r="F842" s="131"/>
      <c r="G842" s="131"/>
      <c r="H842" s="131"/>
      <c r="I842" s="219"/>
      <c r="J842" s="198"/>
      <c r="K842" s="131"/>
      <c r="L842" s="131"/>
      <c r="M842" s="131"/>
      <c r="N842" s="131"/>
      <c r="O842" s="131"/>
      <c r="P842" s="131"/>
      <c r="Q842" s="131"/>
      <c r="R842" s="131"/>
      <c r="S842" s="131"/>
      <c r="T842" s="131"/>
      <c r="U842" s="131"/>
      <c r="V842" s="131"/>
      <c r="W842" s="131"/>
      <c r="X842" s="131"/>
      <c r="Y842" s="131"/>
      <c r="Z842" s="142"/>
      <c r="AA842" s="142"/>
      <c r="AB842" s="142"/>
      <c r="AC842" s="142"/>
      <c r="AD842" s="142"/>
      <c r="AE842" s="142"/>
      <c r="AF842" s="142"/>
      <c r="AG842" s="142"/>
      <c r="AH842" s="142"/>
      <c r="AI842" s="142"/>
      <c r="AJ842" s="142"/>
      <c r="AK842" s="142"/>
      <c r="AL842" s="142"/>
      <c r="AM842" s="142"/>
      <c r="AN842" s="142"/>
      <c r="AO842" s="131"/>
    </row>
    <row r="843" ht="13.5" customHeight="1">
      <c r="A843" s="142"/>
      <c r="B843" s="142"/>
      <c r="C843" s="142"/>
      <c r="D843" s="142"/>
      <c r="E843" s="308"/>
      <c r="F843" s="131"/>
      <c r="G843" s="131"/>
      <c r="H843" s="131"/>
      <c r="I843" s="219"/>
      <c r="J843" s="198"/>
      <c r="K843" s="131"/>
      <c r="L843" s="131"/>
      <c r="M843" s="131"/>
      <c r="N843" s="131"/>
      <c r="O843" s="131"/>
      <c r="P843" s="131"/>
      <c r="Q843" s="131"/>
      <c r="R843" s="131"/>
      <c r="S843" s="131"/>
      <c r="T843" s="131"/>
      <c r="U843" s="131"/>
      <c r="V843" s="131"/>
      <c r="W843" s="131"/>
      <c r="X843" s="131"/>
      <c r="Y843" s="131"/>
      <c r="Z843" s="142"/>
      <c r="AA843" s="142"/>
      <c r="AB843" s="142"/>
      <c r="AC843" s="142"/>
      <c r="AD843" s="142"/>
      <c r="AE843" s="142"/>
      <c r="AF843" s="142"/>
      <c r="AG843" s="142"/>
      <c r="AH843" s="142"/>
      <c r="AI843" s="142"/>
      <c r="AJ843" s="142"/>
      <c r="AK843" s="142"/>
      <c r="AL843" s="142"/>
      <c r="AM843" s="142"/>
      <c r="AN843" s="142"/>
      <c r="AO843" s="131"/>
    </row>
    <row r="844" ht="13.5" customHeight="1">
      <c r="A844" s="142"/>
      <c r="B844" s="142"/>
      <c r="C844" s="142"/>
      <c r="D844" s="142"/>
      <c r="E844" s="308"/>
      <c r="F844" s="131"/>
      <c r="G844" s="131"/>
      <c r="H844" s="131"/>
      <c r="I844" s="219"/>
      <c r="J844" s="198"/>
      <c r="K844" s="131"/>
      <c r="L844" s="131"/>
      <c r="M844" s="131"/>
      <c r="N844" s="131"/>
      <c r="O844" s="131"/>
      <c r="P844" s="131"/>
      <c r="Q844" s="131"/>
      <c r="R844" s="131"/>
      <c r="S844" s="131"/>
      <c r="T844" s="131"/>
      <c r="U844" s="131"/>
      <c r="V844" s="131"/>
      <c r="W844" s="131"/>
      <c r="X844" s="131"/>
      <c r="Y844" s="131"/>
      <c r="Z844" s="142"/>
      <c r="AA844" s="142"/>
      <c r="AB844" s="142"/>
      <c r="AC844" s="142"/>
      <c r="AD844" s="142"/>
      <c r="AE844" s="142"/>
      <c r="AF844" s="142"/>
      <c r="AG844" s="142"/>
      <c r="AH844" s="142"/>
      <c r="AI844" s="142"/>
      <c r="AJ844" s="142"/>
      <c r="AK844" s="142"/>
      <c r="AL844" s="142"/>
      <c r="AM844" s="142"/>
      <c r="AN844" s="142"/>
      <c r="AO844" s="131"/>
    </row>
    <row r="845" ht="13.5" customHeight="1">
      <c r="A845" s="142"/>
      <c r="B845" s="142"/>
      <c r="C845" s="142"/>
      <c r="D845" s="142"/>
      <c r="E845" s="308"/>
      <c r="F845" s="131"/>
      <c r="G845" s="131"/>
      <c r="H845" s="131"/>
      <c r="I845" s="219"/>
      <c r="J845" s="198"/>
      <c r="K845" s="131"/>
      <c r="L845" s="131"/>
      <c r="M845" s="131"/>
      <c r="N845" s="131"/>
      <c r="O845" s="131"/>
      <c r="P845" s="131"/>
      <c r="Q845" s="131"/>
      <c r="R845" s="131"/>
      <c r="S845" s="131"/>
      <c r="T845" s="131"/>
      <c r="U845" s="131"/>
      <c r="V845" s="131"/>
      <c r="W845" s="131"/>
      <c r="X845" s="131"/>
      <c r="Y845" s="131"/>
      <c r="Z845" s="142"/>
      <c r="AA845" s="142"/>
      <c r="AB845" s="142"/>
      <c r="AC845" s="142"/>
      <c r="AD845" s="142"/>
      <c r="AE845" s="142"/>
      <c r="AF845" s="142"/>
      <c r="AG845" s="142"/>
      <c r="AH845" s="142"/>
      <c r="AI845" s="142"/>
      <c r="AJ845" s="142"/>
      <c r="AK845" s="142"/>
      <c r="AL845" s="142"/>
      <c r="AM845" s="142"/>
      <c r="AN845" s="142"/>
      <c r="AO845" s="131"/>
    </row>
    <row r="846" ht="13.5" customHeight="1">
      <c r="A846" s="142"/>
      <c r="B846" s="142"/>
      <c r="C846" s="142"/>
      <c r="D846" s="142"/>
      <c r="E846" s="308"/>
      <c r="F846" s="131"/>
      <c r="G846" s="131"/>
      <c r="H846" s="131"/>
      <c r="I846" s="219"/>
      <c r="J846" s="198"/>
      <c r="K846" s="131"/>
      <c r="L846" s="131"/>
      <c r="M846" s="131"/>
      <c r="N846" s="131"/>
      <c r="O846" s="131"/>
      <c r="P846" s="131"/>
      <c r="Q846" s="131"/>
      <c r="R846" s="131"/>
      <c r="S846" s="131"/>
      <c r="T846" s="131"/>
      <c r="U846" s="131"/>
      <c r="V846" s="131"/>
      <c r="W846" s="131"/>
      <c r="X846" s="131"/>
      <c r="Y846" s="131"/>
      <c r="Z846" s="142"/>
      <c r="AA846" s="142"/>
      <c r="AB846" s="142"/>
      <c r="AC846" s="142"/>
      <c r="AD846" s="142"/>
      <c r="AE846" s="142"/>
      <c r="AF846" s="142"/>
      <c r="AG846" s="142"/>
      <c r="AH846" s="142"/>
      <c r="AI846" s="142"/>
      <c r="AJ846" s="142"/>
      <c r="AK846" s="142"/>
      <c r="AL846" s="142"/>
      <c r="AM846" s="142"/>
      <c r="AN846" s="142"/>
      <c r="AO846" s="131"/>
    </row>
    <row r="847" ht="13.5" customHeight="1">
      <c r="A847" s="142"/>
      <c r="B847" s="142"/>
      <c r="C847" s="142"/>
      <c r="D847" s="142"/>
      <c r="E847" s="308"/>
      <c r="F847" s="131"/>
      <c r="G847" s="131"/>
      <c r="H847" s="131"/>
      <c r="I847" s="219"/>
      <c r="J847" s="198"/>
      <c r="K847" s="131"/>
      <c r="L847" s="131"/>
      <c r="M847" s="131"/>
      <c r="N847" s="131"/>
      <c r="O847" s="131"/>
      <c r="P847" s="131"/>
      <c r="Q847" s="131"/>
      <c r="R847" s="131"/>
      <c r="S847" s="131"/>
      <c r="T847" s="131"/>
      <c r="U847" s="131"/>
      <c r="V847" s="131"/>
      <c r="W847" s="131"/>
      <c r="X847" s="131"/>
      <c r="Y847" s="131"/>
      <c r="Z847" s="142"/>
      <c r="AA847" s="142"/>
      <c r="AB847" s="142"/>
      <c r="AC847" s="142"/>
      <c r="AD847" s="142"/>
      <c r="AE847" s="142"/>
      <c r="AF847" s="142"/>
      <c r="AG847" s="142"/>
      <c r="AH847" s="142"/>
      <c r="AI847" s="142"/>
      <c r="AJ847" s="142"/>
      <c r="AK847" s="142"/>
      <c r="AL847" s="142"/>
      <c r="AM847" s="142"/>
      <c r="AN847" s="142"/>
      <c r="AO847" s="131"/>
    </row>
    <row r="848" ht="13.5" customHeight="1">
      <c r="A848" s="142"/>
      <c r="B848" s="142"/>
      <c r="C848" s="142"/>
      <c r="D848" s="142"/>
      <c r="E848" s="308"/>
      <c r="F848" s="131"/>
      <c r="G848" s="131"/>
      <c r="H848" s="131"/>
      <c r="I848" s="219"/>
      <c r="J848" s="198"/>
      <c r="K848" s="131"/>
      <c r="L848" s="131"/>
      <c r="M848" s="131"/>
      <c r="N848" s="131"/>
      <c r="O848" s="131"/>
      <c r="P848" s="131"/>
      <c r="Q848" s="131"/>
      <c r="R848" s="131"/>
      <c r="S848" s="131"/>
      <c r="T848" s="131"/>
      <c r="U848" s="131"/>
      <c r="V848" s="131"/>
      <c r="W848" s="131"/>
      <c r="X848" s="131"/>
      <c r="Y848" s="131"/>
      <c r="Z848" s="142"/>
      <c r="AA848" s="142"/>
      <c r="AB848" s="142"/>
      <c r="AC848" s="142"/>
      <c r="AD848" s="142"/>
      <c r="AE848" s="142"/>
      <c r="AF848" s="142"/>
      <c r="AG848" s="142"/>
      <c r="AH848" s="142"/>
      <c r="AI848" s="142"/>
      <c r="AJ848" s="142"/>
      <c r="AK848" s="142"/>
      <c r="AL848" s="142"/>
      <c r="AM848" s="142"/>
      <c r="AN848" s="142"/>
      <c r="AO848" s="131"/>
    </row>
    <row r="849" ht="13.5" customHeight="1">
      <c r="A849" s="142"/>
      <c r="B849" s="142"/>
      <c r="C849" s="142"/>
      <c r="D849" s="142"/>
      <c r="E849" s="308"/>
      <c r="F849" s="131"/>
      <c r="G849" s="131"/>
      <c r="H849" s="131"/>
      <c r="I849" s="219"/>
      <c r="J849" s="198"/>
      <c r="K849" s="131"/>
      <c r="L849" s="131"/>
      <c r="M849" s="131"/>
      <c r="N849" s="131"/>
      <c r="O849" s="131"/>
      <c r="P849" s="131"/>
      <c r="Q849" s="131"/>
      <c r="R849" s="131"/>
      <c r="S849" s="131"/>
      <c r="T849" s="131"/>
      <c r="U849" s="131"/>
      <c r="V849" s="131"/>
      <c r="W849" s="131"/>
      <c r="X849" s="131"/>
      <c r="Y849" s="131"/>
      <c r="Z849" s="142"/>
      <c r="AA849" s="142"/>
      <c r="AB849" s="142"/>
      <c r="AC849" s="142"/>
      <c r="AD849" s="142"/>
      <c r="AE849" s="142"/>
      <c r="AF849" s="142"/>
      <c r="AG849" s="142"/>
      <c r="AH849" s="142"/>
      <c r="AI849" s="142"/>
      <c r="AJ849" s="142"/>
      <c r="AK849" s="142"/>
      <c r="AL849" s="142"/>
      <c r="AM849" s="142"/>
      <c r="AN849" s="142"/>
      <c r="AO849" s="131"/>
    </row>
    <row r="850" ht="13.5" customHeight="1">
      <c r="A850" s="142"/>
      <c r="B850" s="142"/>
      <c r="C850" s="142"/>
      <c r="D850" s="142"/>
      <c r="E850" s="308"/>
      <c r="F850" s="131"/>
      <c r="G850" s="131"/>
      <c r="H850" s="131"/>
      <c r="I850" s="219"/>
      <c r="J850" s="198"/>
      <c r="K850" s="131"/>
      <c r="L850" s="131"/>
      <c r="M850" s="131"/>
      <c r="N850" s="131"/>
      <c r="O850" s="131"/>
      <c r="P850" s="131"/>
      <c r="Q850" s="131"/>
      <c r="R850" s="131"/>
      <c r="S850" s="131"/>
      <c r="T850" s="131"/>
      <c r="U850" s="131"/>
      <c r="V850" s="131"/>
      <c r="W850" s="131"/>
      <c r="X850" s="131"/>
      <c r="Y850" s="131"/>
      <c r="Z850" s="142"/>
      <c r="AA850" s="142"/>
      <c r="AB850" s="142"/>
      <c r="AC850" s="142"/>
      <c r="AD850" s="142"/>
      <c r="AE850" s="142"/>
      <c r="AF850" s="142"/>
      <c r="AG850" s="142"/>
      <c r="AH850" s="142"/>
      <c r="AI850" s="142"/>
      <c r="AJ850" s="142"/>
      <c r="AK850" s="142"/>
      <c r="AL850" s="142"/>
      <c r="AM850" s="142"/>
      <c r="AN850" s="142"/>
      <c r="AO850" s="131"/>
    </row>
    <row r="851" ht="13.5" customHeight="1">
      <c r="A851" s="142"/>
      <c r="B851" s="142"/>
      <c r="C851" s="142"/>
      <c r="D851" s="142"/>
      <c r="E851" s="308"/>
      <c r="F851" s="131"/>
      <c r="G851" s="131"/>
      <c r="H851" s="131"/>
      <c r="I851" s="219"/>
      <c r="J851" s="198"/>
      <c r="K851" s="131"/>
      <c r="L851" s="131"/>
      <c r="M851" s="131"/>
      <c r="N851" s="131"/>
      <c r="O851" s="131"/>
      <c r="P851" s="131"/>
      <c r="Q851" s="131"/>
      <c r="R851" s="131"/>
      <c r="S851" s="131"/>
      <c r="T851" s="131"/>
      <c r="U851" s="131"/>
      <c r="V851" s="131"/>
      <c r="W851" s="131"/>
      <c r="X851" s="131"/>
      <c r="Y851" s="131"/>
      <c r="Z851" s="142"/>
      <c r="AA851" s="142"/>
      <c r="AB851" s="142"/>
      <c r="AC851" s="142"/>
      <c r="AD851" s="142"/>
      <c r="AE851" s="142"/>
      <c r="AF851" s="142"/>
      <c r="AG851" s="142"/>
      <c r="AH851" s="142"/>
      <c r="AI851" s="142"/>
      <c r="AJ851" s="142"/>
      <c r="AK851" s="142"/>
      <c r="AL851" s="142"/>
      <c r="AM851" s="142"/>
      <c r="AN851" s="142"/>
      <c r="AO851" s="131"/>
    </row>
    <row r="852" ht="13.5" customHeight="1">
      <c r="A852" s="142"/>
      <c r="B852" s="142"/>
      <c r="C852" s="142"/>
      <c r="D852" s="142"/>
      <c r="E852" s="308"/>
      <c r="F852" s="131"/>
      <c r="G852" s="131"/>
      <c r="H852" s="131"/>
      <c r="I852" s="219"/>
      <c r="J852" s="198"/>
      <c r="K852" s="131"/>
      <c r="L852" s="131"/>
      <c r="M852" s="131"/>
      <c r="N852" s="131"/>
      <c r="O852" s="131"/>
      <c r="P852" s="131"/>
      <c r="Q852" s="131"/>
      <c r="R852" s="131"/>
      <c r="S852" s="131"/>
      <c r="T852" s="131"/>
      <c r="U852" s="131"/>
      <c r="V852" s="131"/>
      <c r="W852" s="131"/>
      <c r="X852" s="131"/>
      <c r="Y852" s="131"/>
      <c r="Z852" s="142"/>
      <c r="AA852" s="142"/>
      <c r="AB852" s="142"/>
      <c r="AC852" s="142"/>
      <c r="AD852" s="142"/>
      <c r="AE852" s="142"/>
      <c r="AF852" s="142"/>
      <c r="AG852" s="142"/>
      <c r="AH852" s="142"/>
      <c r="AI852" s="142"/>
      <c r="AJ852" s="142"/>
      <c r="AK852" s="142"/>
      <c r="AL852" s="142"/>
      <c r="AM852" s="142"/>
      <c r="AN852" s="142"/>
      <c r="AO852" s="131"/>
    </row>
    <row r="853" ht="13.5" customHeight="1">
      <c r="A853" s="142"/>
      <c r="B853" s="142"/>
      <c r="C853" s="142"/>
      <c r="D853" s="142"/>
      <c r="E853" s="308"/>
      <c r="F853" s="131"/>
      <c r="G853" s="131"/>
      <c r="H853" s="131"/>
      <c r="I853" s="219"/>
      <c r="J853" s="198"/>
      <c r="K853" s="131"/>
      <c r="L853" s="131"/>
      <c r="M853" s="131"/>
      <c r="N853" s="131"/>
      <c r="O853" s="131"/>
      <c r="P853" s="131"/>
      <c r="Q853" s="131"/>
      <c r="R853" s="131"/>
      <c r="S853" s="131"/>
      <c r="T853" s="131"/>
      <c r="U853" s="131"/>
      <c r="V853" s="131"/>
      <c r="W853" s="131"/>
      <c r="X853" s="131"/>
      <c r="Y853" s="131"/>
      <c r="Z853" s="142"/>
      <c r="AA853" s="142"/>
      <c r="AB853" s="142"/>
      <c r="AC853" s="142"/>
      <c r="AD853" s="142"/>
      <c r="AE853" s="142"/>
      <c r="AF853" s="142"/>
      <c r="AG853" s="142"/>
      <c r="AH853" s="142"/>
      <c r="AI853" s="142"/>
      <c r="AJ853" s="142"/>
      <c r="AK853" s="142"/>
      <c r="AL853" s="142"/>
      <c r="AM853" s="142"/>
      <c r="AN853" s="142"/>
      <c r="AO853" s="131"/>
    </row>
    <row r="854" ht="13.5" customHeight="1">
      <c r="A854" s="142"/>
      <c r="B854" s="142"/>
      <c r="C854" s="142"/>
      <c r="D854" s="142"/>
      <c r="E854" s="308"/>
      <c r="F854" s="131"/>
      <c r="G854" s="131"/>
      <c r="H854" s="131"/>
      <c r="I854" s="219"/>
      <c r="J854" s="198"/>
      <c r="K854" s="131"/>
      <c r="L854" s="131"/>
      <c r="M854" s="131"/>
      <c r="N854" s="131"/>
      <c r="O854" s="131"/>
      <c r="P854" s="131"/>
      <c r="Q854" s="131"/>
      <c r="R854" s="131"/>
      <c r="S854" s="131"/>
      <c r="T854" s="131"/>
      <c r="U854" s="131"/>
      <c r="V854" s="131"/>
      <c r="W854" s="131"/>
      <c r="X854" s="131"/>
      <c r="Y854" s="131"/>
      <c r="Z854" s="142"/>
      <c r="AA854" s="142"/>
      <c r="AB854" s="142"/>
      <c r="AC854" s="142"/>
      <c r="AD854" s="142"/>
      <c r="AE854" s="142"/>
      <c r="AF854" s="142"/>
      <c r="AG854" s="142"/>
      <c r="AH854" s="142"/>
      <c r="AI854" s="142"/>
      <c r="AJ854" s="142"/>
      <c r="AK854" s="142"/>
      <c r="AL854" s="142"/>
      <c r="AM854" s="142"/>
      <c r="AN854" s="142"/>
      <c r="AO854" s="131"/>
    </row>
    <row r="855" ht="13.5" customHeight="1">
      <c r="A855" s="142"/>
      <c r="B855" s="142"/>
      <c r="C855" s="142"/>
      <c r="D855" s="142"/>
      <c r="E855" s="308"/>
      <c r="F855" s="131"/>
      <c r="G855" s="131"/>
      <c r="H855" s="131"/>
      <c r="I855" s="219"/>
      <c r="J855" s="198"/>
      <c r="K855" s="131"/>
      <c r="L855" s="131"/>
      <c r="M855" s="131"/>
      <c r="N855" s="131"/>
      <c r="O855" s="131"/>
      <c r="P855" s="131"/>
      <c r="Q855" s="131"/>
      <c r="R855" s="131"/>
      <c r="S855" s="131"/>
      <c r="T855" s="131"/>
      <c r="U855" s="131"/>
      <c r="V855" s="131"/>
      <c r="W855" s="131"/>
      <c r="X855" s="131"/>
      <c r="Y855" s="131"/>
      <c r="Z855" s="142"/>
      <c r="AA855" s="142"/>
      <c r="AB855" s="142"/>
      <c r="AC855" s="142"/>
      <c r="AD855" s="142"/>
      <c r="AE855" s="142"/>
      <c r="AF855" s="142"/>
      <c r="AG855" s="142"/>
      <c r="AH855" s="142"/>
      <c r="AI855" s="142"/>
      <c r="AJ855" s="142"/>
      <c r="AK855" s="142"/>
      <c r="AL855" s="142"/>
      <c r="AM855" s="142"/>
      <c r="AN855" s="142"/>
      <c r="AO855" s="131"/>
    </row>
    <row r="856" ht="13.5" customHeight="1">
      <c r="A856" s="142"/>
      <c r="B856" s="142"/>
      <c r="C856" s="142"/>
      <c r="D856" s="142"/>
      <c r="E856" s="308"/>
      <c r="F856" s="131"/>
      <c r="G856" s="131"/>
      <c r="H856" s="131"/>
      <c r="I856" s="219"/>
      <c r="J856" s="198"/>
      <c r="K856" s="131"/>
      <c r="L856" s="131"/>
      <c r="M856" s="131"/>
      <c r="N856" s="131"/>
      <c r="O856" s="131"/>
      <c r="P856" s="131"/>
      <c r="Q856" s="131"/>
      <c r="R856" s="131"/>
      <c r="S856" s="131"/>
      <c r="T856" s="131"/>
      <c r="U856" s="131"/>
      <c r="V856" s="131"/>
      <c r="W856" s="131"/>
      <c r="X856" s="131"/>
      <c r="Y856" s="131"/>
      <c r="Z856" s="142"/>
      <c r="AA856" s="142"/>
      <c r="AB856" s="142"/>
      <c r="AC856" s="142"/>
      <c r="AD856" s="142"/>
      <c r="AE856" s="142"/>
      <c r="AF856" s="142"/>
      <c r="AG856" s="142"/>
      <c r="AH856" s="142"/>
      <c r="AI856" s="142"/>
      <c r="AJ856" s="142"/>
      <c r="AK856" s="142"/>
      <c r="AL856" s="142"/>
      <c r="AM856" s="142"/>
      <c r="AN856" s="142"/>
      <c r="AO856" s="131"/>
    </row>
    <row r="857" ht="13.5" customHeight="1">
      <c r="A857" s="142"/>
      <c r="B857" s="142"/>
      <c r="C857" s="142"/>
      <c r="D857" s="142"/>
      <c r="E857" s="308"/>
      <c r="F857" s="131"/>
      <c r="G857" s="131"/>
      <c r="H857" s="131"/>
      <c r="I857" s="219"/>
      <c r="J857" s="198"/>
      <c r="K857" s="131"/>
      <c r="L857" s="131"/>
      <c r="M857" s="131"/>
      <c r="N857" s="131"/>
      <c r="O857" s="131"/>
      <c r="P857" s="131"/>
      <c r="Q857" s="131"/>
      <c r="R857" s="131"/>
      <c r="S857" s="131"/>
      <c r="T857" s="131"/>
      <c r="U857" s="131"/>
      <c r="V857" s="131"/>
      <c r="W857" s="131"/>
      <c r="X857" s="131"/>
      <c r="Y857" s="131"/>
      <c r="Z857" s="142"/>
      <c r="AA857" s="142"/>
      <c r="AB857" s="142"/>
      <c r="AC857" s="142"/>
      <c r="AD857" s="142"/>
      <c r="AE857" s="142"/>
      <c r="AF857" s="142"/>
      <c r="AG857" s="142"/>
      <c r="AH857" s="142"/>
      <c r="AI857" s="142"/>
      <c r="AJ857" s="142"/>
      <c r="AK857" s="142"/>
      <c r="AL857" s="142"/>
      <c r="AM857" s="142"/>
      <c r="AN857" s="142"/>
      <c r="AO857" s="131"/>
    </row>
    <row r="858" ht="13.5" customHeight="1">
      <c r="A858" s="142"/>
      <c r="B858" s="142"/>
      <c r="C858" s="142"/>
      <c r="D858" s="142"/>
      <c r="E858" s="308"/>
      <c r="F858" s="131"/>
      <c r="G858" s="131"/>
      <c r="H858" s="131"/>
      <c r="I858" s="219"/>
      <c r="J858" s="198"/>
      <c r="K858" s="131"/>
      <c r="L858" s="131"/>
      <c r="M858" s="131"/>
      <c r="N858" s="131"/>
      <c r="O858" s="131"/>
      <c r="P858" s="131"/>
      <c r="Q858" s="131"/>
      <c r="R858" s="131"/>
      <c r="S858" s="131"/>
      <c r="T858" s="131"/>
      <c r="U858" s="131"/>
      <c r="V858" s="131"/>
      <c r="W858" s="131"/>
      <c r="X858" s="131"/>
      <c r="Y858" s="131"/>
      <c r="Z858" s="142"/>
      <c r="AA858" s="142"/>
      <c r="AB858" s="142"/>
      <c r="AC858" s="142"/>
      <c r="AD858" s="142"/>
      <c r="AE858" s="142"/>
      <c r="AF858" s="142"/>
      <c r="AG858" s="142"/>
      <c r="AH858" s="142"/>
      <c r="AI858" s="142"/>
      <c r="AJ858" s="142"/>
      <c r="AK858" s="142"/>
      <c r="AL858" s="142"/>
      <c r="AM858" s="142"/>
      <c r="AN858" s="142"/>
      <c r="AO858" s="131"/>
    </row>
    <row r="859" ht="13.5" customHeight="1">
      <c r="A859" s="142"/>
      <c r="B859" s="142"/>
      <c r="C859" s="142"/>
      <c r="D859" s="142"/>
      <c r="E859" s="308"/>
      <c r="F859" s="131"/>
      <c r="G859" s="131"/>
      <c r="H859" s="131"/>
      <c r="I859" s="219"/>
      <c r="J859" s="198"/>
      <c r="K859" s="131"/>
      <c r="L859" s="131"/>
      <c r="M859" s="131"/>
      <c r="N859" s="131"/>
      <c r="O859" s="131"/>
      <c r="P859" s="131"/>
      <c r="Q859" s="131"/>
      <c r="R859" s="131"/>
      <c r="S859" s="131"/>
      <c r="T859" s="131"/>
      <c r="U859" s="131"/>
      <c r="V859" s="131"/>
      <c r="W859" s="131"/>
      <c r="X859" s="131"/>
      <c r="Y859" s="131"/>
      <c r="Z859" s="142"/>
      <c r="AA859" s="142"/>
      <c r="AB859" s="142"/>
      <c r="AC859" s="142"/>
      <c r="AD859" s="142"/>
      <c r="AE859" s="142"/>
      <c r="AF859" s="142"/>
      <c r="AG859" s="142"/>
      <c r="AH859" s="142"/>
      <c r="AI859" s="142"/>
      <c r="AJ859" s="142"/>
      <c r="AK859" s="142"/>
      <c r="AL859" s="142"/>
      <c r="AM859" s="142"/>
      <c r="AN859" s="142"/>
      <c r="AO859" s="131"/>
    </row>
    <row r="860" ht="13.5" customHeight="1">
      <c r="A860" s="142"/>
      <c r="B860" s="142"/>
      <c r="C860" s="142"/>
      <c r="D860" s="142"/>
      <c r="E860" s="308"/>
      <c r="F860" s="131"/>
      <c r="G860" s="131"/>
      <c r="H860" s="131"/>
      <c r="I860" s="219"/>
      <c r="J860" s="198"/>
      <c r="K860" s="131"/>
      <c r="L860" s="131"/>
      <c r="M860" s="131"/>
      <c r="N860" s="131"/>
      <c r="O860" s="131"/>
      <c r="P860" s="131"/>
      <c r="Q860" s="131"/>
      <c r="R860" s="131"/>
      <c r="S860" s="131"/>
      <c r="T860" s="131"/>
      <c r="U860" s="131"/>
      <c r="V860" s="131"/>
      <c r="W860" s="131"/>
      <c r="X860" s="131"/>
      <c r="Y860" s="131"/>
      <c r="Z860" s="142"/>
      <c r="AA860" s="142"/>
      <c r="AB860" s="142"/>
      <c r="AC860" s="142"/>
      <c r="AD860" s="142"/>
      <c r="AE860" s="142"/>
      <c r="AF860" s="142"/>
      <c r="AG860" s="142"/>
      <c r="AH860" s="142"/>
      <c r="AI860" s="142"/>
      <c r="AJ860" s="142"/>
      <c r="AK860" s="142"/>
      <c r="AL860" s="142"/>
      <c r="AM860" s="142"/>
      <c r="AN860" s="142"/>
      <c r="AO860" s="131"/>
    </row>
    <row r="861" ht="13.5" customHeight="1">
      <c r="A861" s="142"/>
      <c r="B861" s="142"/>
      <c r="C861" s="142"/>
      <c r="D861" s="142"/>
      <c r="E861" s="308"/>
      <c r="F861" s="131"/>
      <c r="G861" s="131"/>
      <c r="H861" s="131"/>
      <c r="I861" s="219"/>
      <c r="J861" s="198"/>
      <c r="K861" s="131"/>
      <c r="L861" s="131"/>
      <c r="M861" s="131"/>
      <c r="N861" s="131"/>
      <c r="O861" s="131"/>
      <c r="P861" s="131"/>
      <c r="Q861" s="131"/>
      <c r="R861" s="131"/>
      <c r="S861" s="131"/>
      <c r="T861" s="131"/>
      <c r="U861" s="131"/>
      <c r="V861" s="131"/>
      <c r="W861" s="131"/>
      <c r="X861" s="131"/>
      <c r="Y861" s="131"/>
      <c r="Z861" s="142"/>
      <c r="AA861" s="142"/>
      <c r="AB861" s="142"/>
      <c r="AC861" s="142"/>
      <c r="AD861" s="142"/>
      <c r="AE861" s="142"/>
      <c r="AF861" s="142"/>
      <c r="AG861" s="142"/>
      <c r="AH861" s="142"/>
      <c r="AI861" s="142"/>
      <c r="AJ861" s="142"/>
      <c r="AK861" s="142"/>
      <c r="AL861" s="142"/>
      <c r="AM861" s="142"/>
      <c r="AN861" s="142"/>
      <c r="AO861" s="131"/>
    </row>
    <row r="862" ht="13.5" customHeight="1">
      <c r="A862" s="142"/>
      <c r="B862" s="142"/>
      <c r="C862" s="142"/>
      <c r="D862" s="142"/>
      <c r="E862" s="308"/>
      <c r="F862" s="131"/>
      <c r="G862" s="131"/>
      <c r="H862" s="131"/>
      <c r="I862" s="219"/>
      <c r="J862" s="198"/>
      <c r="K862" s="131"/>
      <c r="L862" s="131"/>
      <c r="M862" s="131"/>
      <c r="N862" s="131"/>
      <c r="O862" s="131"/>
      <c r="P862" s="131"/>
      <c r="Q862" s="131"/>
      <c r="R862" s="131"/>
      <c r="S862" s="131"/>
      <c r="T862" s="131"/>
      <c r="U862" s="131"/>
      <c r="V862" s="131"/>
      <c r="W862" s="131"/>
      <c r="X862" s="131"/>
      <c r="Y862" s="131"/>
      <c r="Z862" s="142"/>
      <c r="AA862" s="142"/>
      <c r="AB862" s="142"/>
      <c r="AC862" s="142"/>
      <c r="AD862" s="142"/>
      <c r="AE862" s="142"/>
      <c r="AF862" s="142"/>
      <c r="AG862" s="142"/>
      <c r="AH862" s="142"/>
      <c r="AI862" s="142"/>
      <c r="AJ862" s="142"/>
      <c r="AK862" s="142"/>
      <c r="AL862" s="142"/>
      <c r="AM862" s="142"/>
      <c r="AN862" s="142"/>
      <c r="AO862" s="131"/>
    </row>
    <row r="863" ht="13.5" customHeight="1">
      <c r="A863" s="142"/>
      <c r="B863" s="142"/>
      <c r="C863" s="142"/>
      <c r="D863" s="142"/>
      <c r="E863" s="308"/>
      <c r="F863" s="131"/>
      <c r="G863" s="131"/>
      <c r="H863" s="131"/>
      <c r="I863" s="219"/>
      <c r="J863" s="198"/>
      <c r="K863" s="131"/>
      <c r="L863" s="131"/>
      <c r="M863" s="131"/>
      <c r="N863" s="131"/>
      <c r="O863" s="131"/>
      <c r="P863" s="131"/>
      <c r="Q863" s="131"/>
      <c r="R863" s="131"/>
      <c r="S863" s="131"/>
      <c r="T863" s="131"/>
      <c r="U863" s="131"/>
      <c r="V863" s="131"/>
      <c r="W863" s="131"/>
      <c r="X863" s="131"/>
      <c r="Y863" s="131"/>
      <c r="Z863" s="142"/>
      <c r="AA863" s="142"/>
      <c r="AB863" s="142"/>
      <c r="AC863" s="142"/>
      <c r="AD863" s="142"/>
      <c r="AE863" s="142"/>
      <c r="AF863" s="142"/>
      <c r="AG863" s="142"/>
      <c r="AH863" s="142"/>
      <c r="AI863" s="142"/>
      <c r="AJ863" s="142"/>
      <c r="AK863" s="142"/>
      <c r="AL863" s="142"/>
      <c r="AM863" s="142"/>
      <c r="AN863" s="142"/>
      <c r="AO863" s="131"/>
    </row>
    <row r="864" ht="13.5" customHeight="1">
      <c r="A864" s="142"/>
      <c r="B864" s="142"/>
      <c r="C864" s="142"/>
      <c r="D864" s="142"/>
      <c r="E864" s="308"/>
      <c r="F864" s="131"/>
      <c r="G864" s="131"/>
      <c r="H864" s="131"/>
      <c r="I864" s="219"/>
      <c r="J864" s="198"/>
      <c r="K864" s="131"/>
      <c r="L864" s="131"/>
      <c r="M864" s="131"/>
      <c r="N864" s="131"/>
      <c r="O864" s="131"/>
      <c r="P864" s="131"/>
      <c r="Q864" s="131"/>
      <c r="R864" s="131"/>
      <c r="S864" s="131"/>
      <c r="T864" s="131"/>
      <c r="U864" s="131"/>
      <c r="V864" s="131"/>
      <c r="W864" s="131"/>
      <c r="X864" s="131"/>
      <c r="Y864" s="131"/>
      <c r="Z864" s="142"/>
      <c r="AA864" s="142"/>
      <c r="AB864" s="142"/>
      <c r="AC864" s="142"/>
      <c r="AD864" s="142"/>
      <c r="AE864" s="142"/>
      <c r="AF864" s="142"/>
      <c r="AG864" s="142"/>
      <c r="AH864" s="142"/>
      <c r="AI864" s="142"/>
      <c r="AJ864" s="142"/>
      <c r="AK864" s="142"/>
      <c r="AL864" s="142"/>
      <c r="AM864" s="142"/>
      <c r="AN864" s="142"/>
      <c r="AO864" s="131"/>
    </row>
    <row r="865" ht="13.5" customHeight="1">
      <c r="A865" s="142"/>
      <c r="B865" s="142"/>
      <c r="C865" s="142"/>
      <c r="D865" s="142"/>
      <c r="E865" s="308"/>
      <c r="F865" s="131"/>
      <c r="G865" s="131"/>
      <c r="H865" s="131"/>
      <c r="I865" s="219"/>
      <c r="J865" s="198"/>
      <c r="K865" s="131"/>
      <c r="L865" s="131"/>
      <c r="M865" s="131"/>
      <c r="N865" s="131"/>
      <c r="O865" s="131"/>
      <c r="P865" s="131"/>
      <c r="Q865" s="131"/>
      <c r="R865" s="131"/>
      <c r="S865" s="131"/>
      <c r="T865" s="131"/>
      <c r="U865" s="131"/>
      <c r="V865" s="131"/>
      <c r="W865" s="131"/>
      <c r="X865" s="131"/>
      <c r="Y865" s="131"/>
      <c r="Z865" s="142"/>
      <c r="AA865" s="142"/>
      <c r="AB865" s="142"/>
      <c r="AC865" s="142"/>
      <c r="AD865" s="142"/>
      <c r="AE865" s="142"/>
      <c r="AF865" s="142"/>
      <c r="AG865" s="142"/>
      <c r="AH865" s="142"/>
      <c r="AI865" s="142"/>
      <c r="AJ865" s="142"/>
      <c r="AK865" s="142"/>
      <c r="AL865" s="142"/>
      <c r="AM865" s="142"/>
      <c r="AN865" s="142"/>
      <c r="AO865" s="131"/>
    </row>
    <row r="866" ht="13.5" customHeight="1">
      <c r="A866" s="142"/>
      <c r="B866" s="142"/>
      <c r="C866" s="142"/>
      <c r="D866" s="142"/>
      <c r="E866" s="308"/>
      <c r="F866" s="131"/>
      <c r="G866" s="131"/>
      <c r="H866" s="131"/>
      <c r="I866" s="219"/>
      <c r="J866" s="198"/>
      <c r="K866" s="131"/>
      <c r="L866" s="131"/>
      <c r="M866" s="131"/>
      <c r="N866" s="131"/>
      <c r="O866" s="131"/>
      <c r="P866" s="131"/>
      <c r="Q866" s="131"/>
      <c r="R866" s="131"/>
      <c r="S866" s="131"/>
      <c r="T866" s="131"/>
      <c r="U866" s="131"/>
      <c r="V866" s="131"/>
      <c r="W866" s="131"/>
      <c r="X866" s="131"/>
      <c r="Y866" s="131"/>
      <c r="Z866" s="142"/>
      <c r="AA866" s="142"/>
      <c r="AB866" s="142"/>
      <c r="AC866" s="142"/>
      <c r="AD866" s="142"/>
      <c r="AE866" s="142"/>
      <c r="AF866" s="142"/>
      <c r="AG866" s="142"/>
      <c r="AH866" s="142"/>
      <c r="AI866" s="142"/>
      <c r="AJ866" s="142"/>
      <c r="AK866" s="142"/>
      <c r="AL866" s="142"/>
      <c r="AM866" s="142"/>
      <c r="AN866" s="142"/>
      <c r="AO866" s="131"/>
    </row>
    <row r="867" ht="13.5" customHeight="1">
      <c r="A867" s="142"/>
      <c r="B867" s="142"/>
      <c r="C867" s="142"/>
      <c r="D867" s="142"/>
      <c r="E867" s="308"/>
      <c r="F867" s="131"/>
      <c r="G867" s="131"/>
      <c r="H867" s="131"/>
      <c r="I867" s="219"/>
      <c r="J867" s="198"/>
      <c r="K867" s="131"/>
      <c r="L867" s="131"/>
      <c r="M867" s="131"/>
      <c r="N867" s="131"/>
      <c r="O867" s="131"/>
      <c r="P867" s="131"/>
      <c r="Q867" s="131"/>
      <c r="R867" s="131"/>
      <c r="S867" s="131"/>
      <c r="T867" s="131"/>
      <c r="U867" s="131"/>
      <c r="V867" s="131"/>
      <c r="W867" s="131"/>
      <c r="X867" s="131"/>
      <c r="Y867" s="131"/>
      <c r="Z867" s="142"/>
      <c r="AA867" s="142"/>
      <c r="AB867" s="142"/>
      <c r="AC867" s="142"/>
      <c r="AD867" s="142"/>
      <c r="AE867" s="142"/>
      <c r="AF867" s="142"/>
      <c r="AG867" s="142"/>
      <c r="AH867" s="142"/>
      <c r="AI867" s="142"/>
      <c r="AJ867" s="142"/>
      <c r="AK867" s="142"/>
      <c r="AL867" s="142"/>
      <c r="AM867" s="142"/>
      <c r="AN867" s="142"/>
      <c r="AO867" s="131"/>
    </row>
    <row r="868" ht="13.5" customHeight="1">
      <c r="A868" s="142"/>
      <c r="B868" s="142"/>
      <c r="C868" s="142"/>
      <c r="D868" s="142"/>
      <c r="E868" s="308"/>
      <c r="F868" s="131"/>
      <c r="G868" s="131"/>
      <c r="H868" s="131"/>
      <c r="I868" s="219"/>
      <c r="J868" s="198"/>
      <c r="K868" s="131"/>
      <c r="L868" s="131"/>
      <c r="M868" s="131"/>
      <c r="N868" s="131"/>
      <c r="O868" s="131"/>
      <c r="P868" s="131"/>
      <c r="Q868" s="131"/>
      <c r="R868" s="131"/>
      <c r="S868" s="131"/>
      <c r="T868" s="131"/>
      <c r="U868" s="131"/>
      <c r="V868" s="131"/>
      <c r="W868" s="131"/>
      <c r="X868" s="131"/>
      <c r="Y868" s="131"/>
      <c r="Z868" s="142"/>
      <c r="AA868" s="142"/>
      <c r="AB868" s="142"/>
      <c r="AC868" s="142"/>
      <c r="AD868" s="142"/>
      <c r="AE868" s="142"/>
      <c r="AF868" s="142"/>
      <c r="AG868" s="142"/>
      <c r="AH868" s="142"/>
      <c r="AI868" s="142"/>
      <c r="AJ868" s="142"/>
      <c r="AK868" s="142"/>
      <c r="AL868" s="142"/>
      <c r="AM868" s="142"/>
      <c r="AN868" s="142"/>
      <c r="AO868" s="131"/>
    </row>
    <row r="869" ht="13.5" customHeight="1">
      <c r="A869" s="142"/>
      <c r="B869" s="142"/>
      <c r="C869" s="142"/>
      <c r="D869" s="142"/>
      <c r="E869" s="308"/>
      <c r="F869" s="131"/>
      <c r="G869" s="131"/>
      <c r="H869" s="131"/>
      <c r="I869" s="219"/>
      <c r="J869" s="198"/>
      <c r="K869" s="131"/>
      <c r="L869" s="131"/>
      <c r="M869" s="131"/>
      <c r="N869" s="131"/>
      <c r="O869" s="131"/>
      <c r="P869" s="131"/>
      <c r="Q869" s="131"/>
      <c r="R869" s="131"/>
      <c r="S869" s="131"/>
      <c r="T869" s="131"/>
      <c r="U869" s="131"/>
      <c r="V869" s="131"/>
      <c r="W869" s="131"/>
      <c r="X869" s="131"/>
      <c r="Y869" s="131"/>
      <c r="Z869" s="142"/>
      <c r="AA869" s="142"/>
      <c r="AB869" s="142"/>
      <c r="AC869" s="142"/>
      <c r="AD869" s="142"/>
      <c r="AE869" s="142"/>
      <c r="AF869" s="142"/>
      <c r="AG869" s="142"/>
      <c r="AH869" s="142"/>
      <c r="AI869" s="142"/>
      <c r="AJ869" s="142"/>
      <c r="AK869" s="142"/>
      <c r="AL869" s="142"/>
      <c r="AM869" s="142"/>
      <c r="AN869" s="142"/>
      <c r="AO869" s="131"/>
    </row>
    <row r="870" ht="13.5" customHeight="1">
      <c r="A870" s="142"/>
      <c r="B870" s="142"/>
      <c r="C870" s="142"/>
      <c r="D870" s="142"/>
      <c r="E870" s="308"/>
      <c r="F870" s="131"/>
      <c r="G870" s="131"/>
      <c r="H870" s="131"/>
      <c r="I870" s="219"/>
      <c r="J870" s="198"/>
      <c r="K870" s="131"/>
      <c r="L870" s="131"/>
      <c r="M870" s="131"/>
      <c r="N870" s="131"/>
      <c r="O870" s="131"/>
      <c r="P870" s="131"/>
      <c r="Q870" s="131"/>
      <c r="R870" s="131"/>
      <c r="S870" s="131"/>
      <c r="T870" s="131"/>
      <c r="U870" s="131"/>
      <c r="V870" s="131"/>
      <c r="W870" s="131"/>
      <c r="X870" s="131"/>
      <c r="Y870" s="131"/>
      <c r="Z870" s="142"/>
      <c r="AA870" s="142"/>
      <c r="AB870" s="142"/>
      <c r="AC870" s="142"/>
      <c r="AD870" s="142"/>
      <c r="AE870" s="142"/>
      <c r="AF870" s="142"/>
      <c r="AG870" s="142"/>
      <c r="AH870" s="142"/>
      <c r="AI870" s="142"/>
      <c r="AJ870" s="142"/>
      <c r="AK870" s="142"/>
      <c r="AL870" s="142"/>
      <c r="AM870" s="142"/>
      <c r="AN870" s="142"/>
      <c r="AO870" s="131"/>
    </row>
    <row r="871" ht="13.5" customHeight="1">
      <c r="A871" s="142"/>
      <c r="B871" s="142"/>
      <c r="C871" s="142"/>
      <c r="D871" s="142"/>
      <c r="E871" s="308"/>
      <c r="F871" s="131"/>
      <c r="G871" s="131"/>
      <c r="H871" s="131"/>
      <c r="I871" s="219"/>
      <c r="J871" s="198"/>
      <c r="K871" s="131"/>
      <c r="L871" s="131"/>
      <c r="M871" s="131"/>
      <c r="N871" s="131"/>
      <c r="O871" s="131"/>
      <c r="P871" s="131"/>
      <c r="Q871" s="131"/>
      <c r="R871" s="131"/>
      <c r="S871" s="131"/>
      <c r="T871" s="131"/>
      <c r="U871" s="131"/>
      <c r="V871" s="131"/>
      <c r="W871" s="131"/>
      <c r="X871" s="131"/>
      <c r="Y871" s="131"/>
      <c r="Z871" s="142"/>
      <c r="AA871" s="142"/>
      <c r="AB871" s="142"/>
      <c r="AC871" s="142"/>
      <c r="AD871" s="142"/>
      <c r="AE871" s="142"/>
      <c r="AF871" s="142"/>
      <c r="AG871" s="142"/>
      <c r="AH871" s="142"/>
      <c r="AI871" s="142"/>
      <c r="AJ871" s="142"/>
      <c r="AK871" s="142"/>
      <c r="AL871" s="142"/>
      <c r="AM871" s="142"/>
      <c r="AN871" s="142"/>
      <c r="AO871" s="131"/>
    </row>
    <row r="872" ht="13.5" customHeight="1">
      <c r="A872" s="142"/>
      <c r="B872" s="142"/>
      <c r="C872" s="142"/>
      <c r="D872" s="142"/>
      <c r="E872" s="308"/>
      <c r="F872" s="131"/>
      <c r="G872" s="131"/>
      <c r="H872" s="131"/>
      <c r="I872" s="219"/>
      <c r="J872" s="198"/>
      <c r="K872" s="131"/>
      <c r="L872" s="131"/>
      <c r="M872" s="131"/>
      <c r="N872" s="131"/>
      <c r="O872" s="131"/>
      <c r="P872" s="131"/>
      <c r="Q872" s="131"/>
      <c r="R872" s="131"/>
      <c r="S872" s="131"/>
      <c r="T872" s="131"/>
      <c r="U872" s="131"/>
      <c r="V872" s="131"/>
      <c r="W872" s="131"/>
      <c r="X872" s="131"/>
      <c r="Y872" s="131"/>
      <c r="Z872" s="142"/>
      <c r="AA872" s="142"/>
      <c r="AB872" s="142"/>
      <c r="AC872" s="142"/>
      <c r="AD872" s="142"/>
      <c r="AE872" s="142"/>
      <c r="AF872" s="142"/>
      <c r="AG872" s="142"/>
      <c r="AH872" s="142"/>
      <c r="AI872" s="142"/>
      <c r="AJ872" s="142"/>
      <c r="AK872" s="142"/>
      <c r="AL872" s="142"/>
      <c r="AM872" s="142"/>
      <c r="AN872" s="142"/>
      <c r="AO872" s="131"/>
    </row>
    <row r="873" ht="13.5" customHeight="1">
      <c r="A873" s="142"/>
      <c r="B873" s="142"/>
      <c r="C873" s="142"/>
      <c r="D873" s="142"/>
      <c r="E873" s="308"/>
      <c r="F873" s="131"/>
      <c r="G873" s="131"/>
      <c r="H873" s="131"/>
      <c r="I873" s="219"/>
      <c r="J873" s="198"/>
      <c r="K873" s="131"/>
      <c r="L873" s="131"/>
      <c r="M873" s="131"/>
      <c r="N873" s="131"/>
      <c r="O873" s="131"/>
      <c r="P873" s="131"/>
      <c r="Q873" s="131"/>
      <c r="R873" s="131"/>
      <c r="S873" s="131"/>
      <c r="T873" s="131"/>
      <c r="U873" s="131"/>
      <c r="V873" s="131"/>
      <c r="W873" s="131"/>
      <c r="X873" s="131"/>
      <c r="Y873" s="131"/>
      <c r="Z873" s="142"/>
      <c r="AA873" s="142"/>
      <c r="AB873" s="142"/>
      <c r="AC873" s="142"/>
      <c r="AD873" s="142"/>
      <c r="AE873" s="142"/>
      <c r="AF873" s="142"/>
      <c r="AG873" s="142"/>
      <c r="AH873" s="142"/>
      <c r="AI873" s="142"/>
      <c r="AJ873" s="142"/>
      <c r="AK873" s="142"/>
      <c r="AL873" s="142"/>
      <c r="AM873" s="142"/>
      <c r="AN873" s="142"/>
      <c r="AO873" s="131"/>
    </row>
    <row r="874" ht="13.5" customHeight="1">
      <c r="A874" s="142"/>
      <c r="B874" s="142"/>
      <c r="C874" s="142"/>
      <c r="D874" s="142"/>
      <c r="E874" s="308"/>
      <c r="F874" s="131"/>
      <c r="G874" s="131"/>
      <c r="H874" s="131"/>
      <c r="I874" s="219"/>
      <c r="J874" s="198"/>
      <c r="K874" s="131"/>
      <c r="L874" s="131"/>
      <c r="M874" s="131"/>
      <c r="N874" s="131"/>
      <c r="O874" s="131"/>
      <c r="P874" s="131"/>
      <c r="Q874" s="131"/>
      <c r="R874" s="131"/>
      <c r="S874" s="131"/>
      <c r="T874" s="131"/>
      <c r="U874" s="131"/>
      <c r="V874" s="131"/>
      <c r="W874" s="131"/>
      <c r="X874" s="131"/>
      <c r="Y874" s="131"/>
      <c r="Z874" s="142"/>
      <c r="AA874" s="142"/>
      <c r="AB874" s="142"/>
      <c r="AC874" s="142"/>
      <c r="AD874" s="142"/>
      <c r="AE874" s="142"/>
      <c r="AF874" s="142"/>
      <c r="AG874" s="142"/>
      <c r="AH874" s="142"/>
      <c r="AI874" s="142"/>
      <c r="AJ874" s="142"/>
      <c r="AK874" s="142"/>
      <c r="AL874" s="142"/>
      <c r="AM874" s="142"/>
      <c r="AN874" s="142"/>
      <c r="AO874" s="131"/>
    </row>
    <row r="875" ht="13.5" customHeight="1">
      <c r="A875" s="142"/>
      <c r="B875" s="142"/>
      <c r="C875" s="142"/>
      <c r="D875" s="142"/>
      <c r="E875" s="308"/>
      <c r="F875" s="131"/>
      <c r="G875" s="131"/>
      <c r="H875" s="131"/>
      <c r="I875" s="219"/>
      <c r="J875" s="198"/>
      <c r="K875" s="131"/>
      <c r="L875" s="131"/>
      <c r="M875" s="131"/>
      <c r="N875" s="131"/>
      <c r="O875" s="131"/>
      <c r="P875" s="131"/>
      <c r="Q875" s="131"/>
      <c r="R875" s="131"/>
      <c r="S875" s="131"/>
      <c r="T875" s="131"/>
      <c r="U875" s="131"/>
      <c r="V875" s="131"/>
      <c r="W875" s="131"/>
      <c r="X875" s="131"/>
      <c r="Y875" s="131"/>
      <c r="Z875" s="142"/>
      <c r="AA875" s="142"/>
      <c r="AB875" s="142"/>
      <c r="AC875" s="142"/>
      <c r="AD875" s="142"/>
      <c r="AE875" s="142"/>
      <c r="AF875" s="142"/>
      <c r="AG875" s="142"/>
      <c r="AH875" s="142"/>
      <c r="AI875" s="142"/>
      <c r="AJ875" s="142"/>
      <c r="AK875" s="142"/>
      <c r="AL875" s="142"/>
      <c r="AM875" s="142"/>
      <c r="AN875" s="142"/>
      <c r="AO875" s="131"/>
    </row>
    <row r="876" ht="13.5" customHeight="1">
      <c r="A876" s="142"/>
      <c r="B876" s="142"/>
      <c r="C876" s="142"/>
      <c r="D876" s="142"/>
      <c r="E876" s="308"/>
      <c r="F876" s="131"/>
      <c r="G876" s="131"/>
      <c r="H876" s="131"/>
      <c r="I876" s="219"/>
      <c r="J876" s="198"/>
      <c r="K876" s="131"/>
      <c r="L876" s="131"/>
      <c r="M876" s="131"/>
      <c r="N876" s="131"/>
      <c r="O876" s="131"/>
      <c r="P876" s="131"/>
      <c r="Q876" s="131"/>
      <c r="R876" s="131"/>
      <c r="S876" s="131"/>
      <c r="T876" s="131"/>
      <c r="U876" s="131"/>
      <c r="V876" s="131"/>
      <c r="W876" s="131"/>
      <c r="X876" s="131"/>
      <c r="Y876" s="131"/>
      <c r="Z876" s="142"/>
      <c r="AA876" s="142"/>
      <c r="AB876" s="142"/>
      <c r="AC876" s="142"/>
      <c r="AD876" s="142"/>
      <c r="AE876" s="142"/>
      <c r="AF876" s="142"/>
      <c r="AG876" s="142"/>
      <c r="AH876" s="142"/>
      <c r="AI876" s="142"/>
      <c r="AJ876" s="142"/>
      <c r="AK876" s="142"/>
      <c r="AL876" s="142"/>
      <c r="AM876" s="142"/>
      <c r="AN876" s="142"/>
      <c r="AO876" s="131"/>
    </row>
    <row r="877" ht="13.5" customHeight="1">
      <c r="A877" s="142"/>
      <c r="B877" s="142"/>
      <c r="C877" s="142"/>
      <c r="D877" s="142"/>
      <c r="E877" s="308"/>
      <c r="F877" s="131"/>
      <c r="G877" s="131"/>
      <c r="H877" s="131"/>
      <c r="I877" s="219"/>
      <c r="J877" s="198"/>
      <c r="K877" s="131"/>
      <c r="L877" s="131"/>
      <c r="M877" s="131"/>
      <c r="N877" s="131"/>
      <c r="O877" s="131"/>
      <c r="P877" s="131"/>
      <c r="Q877" s="131"/>
      <c r="R877" s="131"/>
      <c r="S877" s="131"/>
      <c r="T877" s="131"/>
      <c r="U877" s="131"/>
      <c r="V877" s="131"/>
      <c r="W877" s="131"/>
      <c r="X877" s="131"/>
      <c r="Y877" s="131"/>
      <c r="Z877" s="142"/>
      <c r="AA877" s="142"/>
      <c r="AB877" s="142"/>
      <c r="AC877" s="142"/>
      <c r="AD877" s="142"/>
      <c r="AE877" s="142"/>
      <c r="AF877" s="142"/>
      <c r="AG877" s="142"/>
      <c r="AH877" s="142"/>
      <c r="AI877" s="142"/>
      <c r="AJ877" s="142"/>
      <c r="AK877" s="142"/>
      <c r="AL877" s="142"/>
      <c r="AM877" s="142"/>
      <c r="AN877" s="142"/>
      <c r="AO877" s="131"/>
    </row>
    <row r="878" ht="13.5" customHeight="1">
      <c r="A878" s="142"/>
      <c r="B878" s="142"/>
      <c r="C878" s="142"/>
      <c r="D878" s="142"/>
      <c r="E878" s="308"/>
      <c r="F878" s="131"/>
      <c r="G878" s="131"/>
      <c r="H878" s="131"/>
      <c r="I878" s="219"/>
      <c r="J878" s="198"/>
      <c r="K878" s="131"/>
      <c r="L878" s="131"/>
      <c r="M878" s="131"/>
      <c r="N878" s="131"/>
      <c r="O878" s="131"/>
      <c r="P878" s="131"/>
      <c r="Q878" s="131"/>
      <c r="R878" s="131"/>
      <c r="S878" s="131"/>
      <c r="T878" s="131"/>
      <c r="U878" s="131"/>
      <c r="V878" s="131"/>
      <c r="W878" s="131"/>
      <c r="X878" s="131"/>
      <c r="Y878" s="131"/>
      <c r="Z878" s="142"/>
      <c r="AA878" s="142"/>
      <c r="AB878" s="142"/>
      <c r="AC878" s="142"/>
      <c r="AD878" s="142"/>
      <c r="AE878" s="142"/>
      <c r="AF878" s="142"/>
      <c r="AG878" s="142"/>
      <c r="AH878" s="142"/>
      <c r="AI878" s="142"/>
      <c r="AJ878" s="142"/>
      <c r="AK878" s="142"/>
      <c r="AL878" s="142"/>
      <c r="AM878" s="142"/>
      <c r="AN878" s="142"/>
      <c r="AO878" s="131"/>
    </row>
    <row r="879" ht="13.5" customHeight="1">
      <c r="A879" s="142"/>
      <c r="B879" s="142"/>
      <c r="C879" s="142"/>
      <c r="D879" s="142"/>
      <c r="E879" s="308"/>
      <c r="F879" s="131"/>
      <c r="G879" s="131"/>
      <c r="H879" s="131"/>
      <c r="I879" s="219"/>
      <c r="J879" s="198"/>
      <c r="K879" s="131"/>
      <c r="L879" s="131"/>
      <c r="M879" s="131"/>
      <c r="N879" s="131"/>
      <c r="O879" s="131"/>
      <c r="P879" s="131"/>
      <c r="Q879" s="131"/>
      <c r="R879" s="131"/>
      <c r="S879" s="131"/>
      <c r="T879" s="131"/>
      <c r="U879" s="131"/>
      <c r="V879" s="131"/>
      <c r="W879" s="131"/>
      <c r="X879" s="131"/>
      <c r="Y879" s="131"/>
      <c r="Z879" s="142"/>
      <c r="AA879" s="142"/>
      <c r="AB879" s="142"/>
      <c r="AC879" s="142"/>
      <c r="AD879" s="142"/>
      <c r="AE879" s="142"/>
      <c r="AF879" s="142"/>
      <c r="AG879" s="142"/>
      <c r="AH879" s="142"/>
      <c r="AI879" s="142"/>
      <c r="AJ879" s="142"/>
      <c r="AK879" s="142"/>
      <c r="AL879" s="142"/>
      <c r="AM879" s="142"/>
      <c r="AN879" s="142"/>
      <c r="AO879" s="131"/>
    </row>
    <row r="880" ht="13.5" customHeight="1">
      <c r="A880" s="142"/>
      <c r="B880" s="142"/>
      <c r="C880" s="142"/>
      <c r="D880" s="142"/>
      <c r="E880" s="308"/>
      <c r="F880" s="131"/>
      <c r="G880" s="131"/>
      <c r="H880" s="131"/>
      <c r="I880" s="219"/>
      <c r="J880" s="198"/>
      <c r="K880" s="131"/>
      <c r="L880" s="131"/>
      <c r="M880" s="131"/>
      <c r="N880" s="131"/>
      <c r="O880" s="131"/>
      <c r="P880" s="131"/>
      <c r="Q880" s="131"/>
      <c r="R880" s="131"/>
      <c r="S880" s="131"/>
      <c r="T880" s="131"/>
      <c r="U880" s="131"/>
      <c r="V880" s="131"/>
      <c r="W880" s="131"/>
      <c r="X880" s="131"/>
      <c r="Y880" s="131"/>
      <c r="Z880" s="142"/>
      <c r="AA880" s="142"/>
      <c r="AB880" s="142"/>
      <c r="AC880" s="142"/>
      <c r="AD880" s="142"/>
      <c r="AE880" s="142"/>
      <c r="AF880" s="142"/>
      <c r="AG880" s="142"/>
      <c r="AH880" s="142"/>
      <c r="AI880" s="142"/>
      <c r="AJ880" s="142"/>
      <c r="AK880" s="142"/>
      <c r="AL880" s="142"/>
      <c r="AM880" s="142"/>
      <c r="AN880" s="142"/>
      <c r="AO880" s="131"/>
    </row>
    <row r="881" ht="13.5" customHeight="1">
      <c r="A881" s="142"/>
      <c r="B881" s="142"/>
      <c r="C881" s="142"/>
      <c r="D881" s="142"/>
      <c r="E881" s="308"/>
      <c r="F881" s="131"/>
      <c r="G881" s="131"/>
      <c r="H881" s="131"/>
      <c r="I881" s="219"/>
      <c r="J881" s="198"/>
      <c r="K881" s="131"/>
      <c r="L881" s="131"/>
      <c r="M881" s="131"/>
      <c r="N881" s="131"/>
      <c r="O881" s="131"/>
      <c r="P881" s="131"/>
      <c r="Q881" s="131"/>
      <c r="R881" s="131"/>
      <c r="S881" s="131"/>
      <c r="T881" s="131"/>
      <c r="U881" s="131"/>
      <c r="V881" s="131"/>
      <c r="W881" s="131"/>
      <c r="X881" s="131"/>
      <c r="Y881" s="131"/>
      <c r="Z881" s="142"/>
      <c r="AA881" s="142"/>
      <c r="AB881" s="142"/>
      <c r="AC881" s="142"/>
      <c r="AD881" s="142"/>
      <c r="AE881" s="142"/>
      <c r="AF881" s="142"/>
      <c r="AG881" s="142"/>
      <c r="AH881" s="142"/>
      <c r="AI881" s="142"/>
      <c r="AJ881" s="142"/>
      <c r="AK881" s="142"/>
      <c r="AL881" s="142"/>
      <c r="AM881" s="142"/>
      <c r="AN881" s="142"/>
      <c r="AO881" s="131"/>
    </row>
    <row r="882" ht="13.5" customHeight="1">
      <c r="A882" s="142"/>
      <c r="B882" s="142"/>
      <c r="C882" s="142"/>
      <c r="D882" s="142"/>
      <c r="E882" s="308"/>
      <c r="F882" s="131"/>
      <c r="G882" s="131"/>
      <c r="H882" s="131"/>
      <c r="I882" s="219"/>
      <c r="J882" s="198"/>
      <c r="K882" s="131"/>
      <c r="L882" s="131"/>
      <c r="M882" s="131"/>
      <c r="N882" s="131"/>
      <c r="O882" s="131"/>
      <c r="P882" s="131"/>
      <c r="Q882" s="131"/>
      <c r="R882" s="131"/>
      <c r="S882" s="131"/>
      <c r="T882" s="131"/>
      <c r="U882" s="131"/>
      <c r="V882" s="131"/>
      <c r="W882" s="131"/>
      <c r="X882" s="131"/>
      <c r="Y882" s="131"/>
      <c r="Z882" s="142"/>
      <c r="AA882" s="142"/>
      <c r="AB882" s="142"/>
      <c r="AC882" s="142"/>
      <c r="AD882" s="142"/>
      <c r="AE882" s="142"/>
      <c r="AF882" s="142"/>
      <c r="AG882" s="142"/>
      <c r="AH882" s="142"/>
      <c r="AI882" s="142"/>
      <c r="AJ882" s="142"/>
      <c r="AK882" s="142"/>
      <c r="AL882" s="142"/>
      <c r="AM882" s="142"/>
      <c r="AN882" s="142"/>
      <c r="AO882" s="131"/>
    </row>
    <row r="883" ht="13.5" customHeight="1">
      <c r="A883" s="142"/>
      <c r="B883" s="142"/>
      <c r="C883" s="142"/>
      <c r="D883" s="142"/>
      <c r="E883" s="308"/>
      <c r="F883" s="131"/>
      <c r="G883" s="131"/>
      <c r="H883" s="131"/>
      <c r="I883" s="219"/>
      <c r="J883" s="198"/>
      <c r="K883" s="131"/>
      <c r="L883" s="131"/>
      <c r="M883" s="131"/>
      <c r="N883" s="131"/>
      <c r="O883" s="131"/>
      <c r="P883" s="131"/>
      <c r="Q883" s="131"/>
      <c r="R883" s="131"/>
      <c r="S883" s="131"/>
      <c r="T883" s="131"/>
      <c r="U883" s="131"/>
      <c r="V883" s="131"/>
      <c r="W883" s="131"/>
      <c r="X883" s="131"/>
      <c r="Y883" s="131"/>
      <c r="Z883" s="142"/>
      <c r="AA883" s="142"/>
      <c r="AB883" s="142"/>
      <c r="AC883" s="142"/>
      <c r="AD883" s="142"/>
      <c r="AE883" s="142"/>
      <c r="AF883" s="142"/>
      <c r="AG883" s="142"/>
      <c r="AH883" s="142"/>
      <c r="AI883" s="142"/>
      <c r="AJ883" s="142"/>
      <c r="AK883" s="142"/>
      <c r="AL883" s="142"/>
      <c r="AM883" s="142"/>
      <c r="AN883" s="142"/>
      <c r="AO883" s="131"/>
    </row>
    <row r="884" ht="13.5" customHeight="1">
      <c r="A884" s="142"/>
      <c r="B884" s="142"/>
      <c r="C884" s="142"/>
      <c r="D884" s="142"/>
      <c r="E884" s="308"/>
      <c r="F884" s="131"/>
      <c r="G884" s="131"/>
      <c r="H884" s="131"/>
      <c r="I884" s="219"/>
      <c r="J884" s="198"/>
      <c r="K884" s="131"/>
      <c r="L884" s="131"/>
      <c r="M884" s="131"/>
      <c r="N884" s="131"/>
      <c r="O884" s="131"/>
      <c r="P884" s="131"/>
      <c r="Q884" s="131"/>
      <c r="R884" s="131"/>
      <c r="S884" s="131"/>
      <c r="T884" s="131"/>
      <c r="U884" s="131"/>
      <c r="V884" s="131"/>
      <c r="W884" s="131"/>
      <c r="X884" s="131"/>
      <c r="Y884" s="131"/>
      <c r="Z884" s="142"/>
      <c r="AA884" s="142"/>
      <c r="AB884" s="142"/>
      <c r="AC884" s="142"/>
      <c r="AD884" s="142"/>
      <c r="AE884" s="142"/>
      <c r="AF884" s="142"/>
      <c r="AG884" s="142"/>
      <c r="AH884" s="142"/>
      <c r="AI884" s="142"/>
      <c r="AJ884" s="142"/>
      <c r="AK884" s="142"/>
      <c r="AL884" s="142"/>
      <c r="AM884" s="142"/>
      <c r="AN884" s="142"/>
      <c r="AO884" s="131"/>
    </row>
    <row r="885" ht="13.5" customHeight="1">
      <c r="A885" s="142"/>
      <c r="B885" s="142"/>
      <c r="C885" s="142"/>
      <c r="D885" s="142"/>
      <c r="E885" s="308"/>
      <c r="F885" s="131"/>
      <c r="G885" s="131"/>
      <c r="H885" s="131"/>
      <c r="I885" s="219"/>
      <c r="J885" s="198"/>
      <c r="K885" s="131"/>
      <c r="L885" s="131"/>
      <c r="M885" s="131"/>
      <c r="N885" s="131"/>
      <c r="O885" s="131"/>
      <c r="P885" s="131"/>
      <c r="Q885" s="131"/>
      <c r="R885" s="131"/>
      <c r="S885" s="131"/>
      <c r="T885" s="131"/>
      <c r="U885" s="131"/>
      <c r="V885" s="131"/>
      <c r="W885" s="131"/>
      <c r="X885" s="131"/>
      <c r="Y885" s="131"/>
      <c r="Z885" s="142"/>
      <c r="AA885" s="142"/>
      <c r="AB885" s="142"/>
      <c r="AC885" s="142"/>
      <c r="AD885" s="142"/>
      <c r="AE885" s="142"/>
      <c r="AF885" s="142"/>
      <c r="AG885" s="142"/>
      <c r="AH885" s="142"/>
      <c r="AI885" s="142"/>
      <c r="AJ885" s="142"/>
      <c r="AK885" s="142"/>
      <c r="AL885" s="142"/>
      <c r="AM885" s="142"/>
      <c r="AN885" s="142"/>
      <c r="AO885" s="131"/>
    </row>
    <row r="886" ht="13.5" customHeight="1">
      <c r="A886" s="142"/>
      <c r="B886" s="142"/>
      <c r="C886" s="142"/>
      <c r="D886" s="142"/>
      <c r="E886" s="308"/>
      <c r="F886" s="131"/>
      <c r="G886" s="131"/>
      <c r="H886" s="131"/>
      <c r="I886" s="219"/>
      <c r="J886" s="198"/>
      <c r="K886" s="131"/>
      <c r="L886" s="131"/>
      <c r="M886" s="131"/>
      <c r="N886" s="131"/>
      <c r="O886" s="131"/>
      <c r="P886" s="131"/>
      <c r="Q886" s="131"/>
      <c r="R886" s="131"/>
      <c r="S886" s="131"/>
      <c r="T886" s="131"/>
      <c r="U886" s="131"/>
      <c r="V886" s="131"/>
      <c r="W886" s="131"/>
      <c r="X886" s="131"/>
      <c r="Y886" s="131"/>
      <c r="Z886" s="142"/>
      <c r="AA886" s="142"/>
      <c r="AB886" s="142"/>
      <c r="AC886" s="142"/>
      <c r="AD886" s="142"/>
      <c r="AE886" s="142"/>
      <c r="AF886" s="142"/>
      <c r="AG886" s="142"/>
      <c r="AH886" s="142"/>
      <c r="AI886" s="142"/>
      <c r="AJ886" s="142"/>
      <c r="AK886" s="142"/>
      <c r="AL886" s="142"/>
      <c r="AM886" s="142"/>
      <c r="AN886" s="142"/>
      <c r="AO886" s="131"/>
    </row>
    <row r="887" ht="13.5" customHeight="1">
      <c r="A887" s="142"/>
      <c r="B887" s="142"/>
      <c r="C887" s="142"/>
      <c r="D887" s="142"/>
      <c r="E887" s="308"/>
      <c r="F887" s="131"/>
      <c r="G887" s="131"/>
      <c r="H887" s="131"/>
      <c r="I887" s="219"/>
      <c r="J887" s="198"/>
      <c r="K887" s="131"/>
      <c r="L887" s="131"/>
      <c r="M887" s="131"/>
      <c r="N887" s="131"/>
      <c r="O887" s="131"/>
      <c r="P887" s="131"/>
      <c r="Q887" s="131"/>
      <c r="R887" s="131"/>
      <c r="S887" s="131"/>
      <c r="T887" s="131"/>
      <c r="U887" s="131"/>
      <c r="V887" s="131"/>
      <c r="W887" s="131"/>
      <c r="X887" s="131"/>
      <c r="Y887" s="131"/>
      <c r="Z887" s="142"/>
      <c r="AA887" s="142"/>
      <c r="AB887" s="142"/>
      <c r="AC887" s="142"/>
      <c r="AD887" s="142"/>
      <c r="AE887" s="142"/>
      <c r="AF887" s="142"/>
      <c r="AG887" s="142"/>
      <c r="AH887" s="142"/>
      <c r="AI887" s="142"/>
      <c r="AJ887" s="142"/>
      <c r="AK887" s="142"/>
      <c r="AL887" s="142"/>
      <c r="AM887" s="142"/>
      <c r="AN887" s="142"/>
      <c r="AO887" s="131"/>
    </row>
    <row r="888" ht="13.5" customHeight="1">
      <c r="A888" s="142"/>
      <c r="B888" s="142"/>
      <c r="C888" s="142"/>
      <c r="D888" s="142"/>
      <c r="E888" s="308"/>
      <c r="F888" s="131"/>
      <c r="G888" s="131"/>
      <c r="H888" s="131"/>
      <c r="I888" s="219"/>
      <c r="J888" s="198"/>
      <c r="K888" s="131"/>
      <c r="L888" s="131"/>
      <c r="M888" s="131"/>
      <c r="N888" s="131"/>
      <c r="O888" s="131"/>
      <c r="P888" s="131"/>
      <c r="Q888" s="131"/>
      <c r="R888" s="131"/>
      <c r="S888" s="131"/>
      <c r="T888" s="131"/>
      <c r="U888" s="131"/>
      <c r="V888" s="131"/>
      <c r="W888" s="131"/>
      <c r="X888" s="131"/>
      <c r="Y888" s="131"/>
      <c r="Z888" s="142"/>
      <c r="AA888" s="142"/>
      <c r="AB888" s="142"/>
      <c r="AC888" s="142"/>
      <c r="AD888" s="142"/>
      <c r="AE888" s="142"/>
      <c r="AF888" s="142"/>
      <c r="AG888" s="142"/>
      <c r="AH888" s="142"/>
      <c r="AI888" s="142"/>
      <c r="AJ888" s="142"/>
      <c r="AK888" s="142"/>
      <c r="AL888" s="142"/>
      <c r="AM888" s="142"/>
      <c r="AN888" s="142"/>
      <c r="AO888" s="131"/>
    </row>
    <row r="889" ht="13.5" customHeight="1">
      <c r="A889" s="142"/>
      <c r="B889" s="142"/>
      <c r="C889" s="142"/>
      <c r="D889" s="142"/>
      <c r="E889" s="308"/>
      <c r="F889" s="131"/>
      <c r="G889" s="131"/>
      <c r="H889" s="131"/>
      <c r="I889" s="219"/>
      <c r="J889" s="198"/>
      <c r="K889" s="131"/>
      <c r="L889" s="131"/>
      <c r="M889" s="131"/>
      <c r="N889" s="131"/>
      <c r="O889" s="131"/>
      <c r="P889" s="131"/>
      <c r="Q889" s="131"/>
      <c r="R889" s="131"/>
      <c r="S889" s="131"/>
      <c r="T889" s="131"/>
      <c r="U889" s="131"/>
      <c r="V889" s="131"/>
      <c r="W889" s="131"/>
      <c r="X889" s="131"/>
      <c r="Y889" s="131"/>
      <c r="Z889" s="142"/>
      <c r="AA889" s="142"/>
      <c r="AB889" s="142"/>
      <c r="AC889" s="142"/>
      <c r="AD889" s="142"/>
      <c r="AE889" s="142"/>
      <c r="AF889" s="142"/>
      <c r="AG889" s="142"/>
      <c r="AH889" s="142"/>
      <c r="AI889" s="142"/>
      <c r="AJ889" s="142"/>
      <c r="AK889" s="142"/>
      <c r="AL889" s="142"/>
      <c r="AM889" s="142"/>
      <c r="AN889" s="142"/>
      <c r="AO889" s="131"/>
    </row>
    <row r="890" ht="13.5" customHeight="1">
      <c r="A890" s="142"/>
      <c r="B890" s="142"/>
      <c r="C890" s="142"/>
      <c r="D890" s="142"/>
      <c r="E890" s="308"/>
      <c r="F890" s="131"/>
      <c r="G890" s="131"/>
      <c r="H890" s="131"/>
      <c r="I890" s="219"/>
      <c r="J890" s="198"/>
      <c r="K890" s="131"/>
      <c r="L890" s="131"/>
      <c r="M890" s="131"/>
      <c r="N890" s="131"/>
      <c r="O890" s="131"/>
      <c r="P890" s="131"/>
      <c r="Q890" s="131"/>
      <c r="R890" s="131"/>
      <c r="S890" s="131"/>
      <c r="T890" s="131"/>
      <c r="U890" s="131"/>
      <c r="V890" s="131"/>
      <c r="W890" s="131"/>
      <c r="X890" s="131"/>
      <c r="Y890" s="131"/>
      <c r="Z890" s="142"/>
      <c r="AA890" s="142"/>
      <c r="AB890" s="142"/>
      <c r="AC890" s="142"/>
      <c r="AD890" s="142"/>
      <c r="AE890" s="142"/>
      <c r="AF890" s="142"/>
      <c r="AG890" s="142"/>
      <c r="AH890" s="142"/>
      <c r="AI890" s="142"/>
      <c r="AJ890" s="142"/>
      <c r="AK890" s="142"/>
      <c r="AL890" s="142"/>
      <c r="AM890" s="142"/>
      <c r="AN890" s="142"/>
      <c r="AO890" s="131"/>
    </row>
    <row r="891" ht="13.5" customHeight="1">
      <c r="A891" s="142"/>
      <c r="B891" s="142"/>
      <c r="C891" s="142"/>
      <c r="D891" s="142"/>
      <c r="E891" s="308"/>
      <c r="F891" s="131"/>
      <c r="G891" s="131"/>
      <c r="H891" s="131"/>
      <c r="I891" s="219"/>
      <c r="J891" s="198"/>
      <c r="K891" s="131"/>
      <c r="L891" s="131"/>
      <c r="M891" s="131"/>
      <c r="N891" s="131"/>
      <c r="O891" s="131"/>
      <c r="P891" s="131"/>
      <c r="Q891" s="131"/>
      <c r="R891" s="131"/>
      <c r="S891" s="131"/>
      <c r="T891" s="131"/>
      <c r="U891" s="131"/>
      <c r="V891" s="131"/>
      <c r="W891" s="131"/>
      <c r="X891" s="131"/>
      <c r="Y891" s="131"/>
      <c r="Z891" s="142"/>
      <c r="AA891" s="142"/>
      <c r="AB891" s="142"/>
      <c r="AC891" s="142"/>
      <c r="AD891" s="142"/>
      <c r="AE891" s="142"/>
      <c r="AF891" s="142"/>
      <c r="AG891" s="142"/>
      <c r="AH891" s="142"/>
      <c r="AI891" s="142"/>
      <c r="AJ891" s="142"/>
      <c r="AK891" s="142"/>
      <c r="AL891" s="142"/>
      <c r="AM891" s="142"/>
      <c r="AN891" s="142"/>
      <c r="AO891" s="131"/>
    </row>
    <row r="892" ht="13.5" customHeight="1">
      <c r="A892" s="142"/>
      <c r="B892" s="142"/>
      <c r="C892" s="142"/>
      <c r="D892" s="142"/>
      <c r="E892" s="308"/>
      <c r="F892" s="131"/>
      <c r="G892" s="131"/>
      <c r="H892" s="131"/>
      <c r="I892" s="219"/>
      <c r="J892" s="198"/>
      <c r="K892" s="131"/>
      <c r="L892" s="131"/>
      <c r="M892" s="131"/>
      <c r="N892" s="131"/>
      <c r="O892" s="131"/>
      <c r="P892" s="131"/>
      <c r="Q892" s="131"/>
      <c r="R892" s="131"/>
      <c r="S892" s="131"/>
      <c r="T892" s="131"/>
      <c r="U892" s="131"/>
      <c r="V892" s="131"/>
      <c r="W892" s="131"/>
      <c r="X892" s="131"/>
      <c r="Y892" s="131"/>
      <c r="Z892" s="142"/>
      <c r="AA892" s="142"/>
      <c r="AB892" s="142"/>
      <c r="AC892" s="142"/>
      <c r="AD892" s="142"/>
      <c r="AE892" s="142"/>
      <c r="AF892" s="142"/>
      <c r="AG892" s="142"/>
      <c r="AH892" s="142"/>
      <c r="AI892" s="142"/>
      <c r="AJ892" s="142"/>
      <c r="AK892" s="142"/>
      <c r="AL892" s="142"/>
      <c r="AM892" s="142"/>
      <c r="AN892" s="142"/>
      <c r="AO892" s="131"/>
    </row>
    <row r="893" ht="13.5" customHeight="1">
      <c r="A893" s="142"/>
      <c r="B893" s="142"/>
      <c r="C893" s="142"/>
      <c r="D893" s="142"/>
      <c r="E893" s="308"/>
      <c r="F893" s="131"/>
      <c r="G893" s="131"/>
      <c r="H893" s="131"/>
      <c r="I893" s="219"/>
      <c r="J893" s="198"/>
      <c r="K893" s="131"/>
      <c r="L893" s="131"/>
      <c r="M893" s="131"/>
      <c r="N893" s="131"/>
      <c r="O893" s="131"/>
      <c r="P893" s="131"/>
      <c r="Q893" s="131"/>
      <c r="R893" s="131"/>
      <c r="S893" s="131"/>
      <c r="T893" s="131"/>
      <c r="U893" s="131"/>
      <c r="V893" s="131"/>
      <c r="W893" s="131"/>
      <c r="X893" s="131"/>
      <c r="Y893" s="131"/>
      <c r="Z893" s="142"/>
      <c r="AA893" s="142"/>
      <c r="AB893" s="142"/>
      <c r="AC893" s="142"/>
      <c r="AD893" s="142"/>
      <c r="AE893" s="142"/>
      <c r="AF893" s="142"/>
      <c r="AG893" s="142"/>
      <c r="AH893" s="142"/>
      <c r="AI893" s="142"/>
      <c r="AJ893" s="142"/>
      <c r="AK893" s="142"/>
      <c r="AL893" s="142"/>
      <c r="AM893" s="142"/>
      <c r="AN893" s="142"/>
      <c r="AO893" s="131"/>
    </row>
    <row r="894" ht="13.5" customHeight="1">
      <c r="A894" s="142"/>
      <c r="B894" s="142"/>
      <c r="C894" s="142"/>
      <c r="D894" s="142"/>
      <c r="E894" s="308"/>
      <c r="F894" s="131"/>
      <c r="G894" s="131"/>
      <c r="H894" s="131"/>
      <c r="I894" s="219"/>
      <c r="J894" s="198"/>
      <c r="K894" s="131"/>
      <c r="L894" s="131"/>
      <c r="M894" s="131"/>
      <c r="N894" s="131"/>
      <c r="O894" s="131"/>
      <c r="P894" s="131"/>
      <c r="Q894" s="131"/>
      <c r="R894" s="131"/>
      <c r="S894" s="131"/>
      <c r="T894" s="131"/>
      <c r="U894" s="131"/>
      <c r="V894" s="131"/>
      <c r="W894" s="131"/>
      <c r="X894" s="131"/>
      <c r="Y894" s="131"/>
      <c r="Z894" s="142"/>
      <c r="AA894" s="142"/>
      <c r="AB894" s="142"/>
      <c r="AC894" s="142"/>
      <c r="AD894" s="142"/>
      <c r="AE894" s="142"/>
      <c r="AF894" s="142"/>
      <c r="AG894" s="142"/>
      <c r="AH894" s="142"/>
      <c r="AI894" s="142"/>
      <c r="AJ894" s="142"/>
      <c r="AK894" s="142"/>
      <c r="AL894" s="142"/>
      <c r="AM894" s="142"/>
      <c r="AN894" s="142"/>
      <c r="AO894" s="131"/>
    </row>
    <row r="895" ht="13.5" customHeight="1">
      <c r="A895" s="142"/>
      <c r="B895" s="142"/>
      <c r="C895" s="142"/>
      <c r="D895" s="142"/>
      <c r="E895" s="308"/>
      <c r="F895" s="131"/>
      <c r="G895" s="131"/>
      <c r="H895" s="131"/>
      <c r="I895" s="219"/>
      <c r="J895" s="198"/>
      <c r="K895" s="131"/>
      <c r="L895" s="131"/>
      <c r="M895" s="131"/>
      <c r="N895" s="131"/>
      <c r="O895" s="131"/>
      <c r="P895" s="131"/>
      <c r="Q895" s="131"/>
      <c r="R895" s="131"/>
      <c r="S895" s="131"/>
      <c r="T895" s="131"/>
      <c r="U895" s="131"/>
      <c r="V895" s="131"/>
      <c r="W895" s="131"/>
      <c r="X895" s="131"/>
      <c r="Y895" s="131"/>
      <c r="Z895" s="142"/>
      <c r="AA895" s="142"/>
      <c r="AB895" s="142"/>
      <c r="AC895" s="142"/>
      <c r="AD895" s="142"/>
      <c r="AE895" s="142"/>
      <c r="AF895" s="142"/>
      <c r="AG895" s="142"/>
      <c r="AH895" s="142"/>
      <c r="AI895" s="142"/>
      <c r="AJ895" s="142"/>
      <c r="AK895" s="142"/>
      <c r="AL895" s="142"/>
      <c r="AM895" s="142"/>
      <c r="AN895" s="142"/>
      <c r="AO895" s="131"/>
    </row>
    <row r="896" ht="13.5" customHeight="1">
      <c r="A896" s="142"/>
      <c r="B896" s="142"/>
      <c r="C896" s="142"/>
      <c r="D896" s="142"/>
      <c r="E896" s="308"/>
      <c r="F896" s="131"/>
      <c r="G896" s="131"/>
      <c r="H896" s="131"/>
      <c r="I896" s="219"/>
      <c r="J896" s="198"/>
      <c r="K896" s="131"/>
      <c r="L896" s="131"/>
      <c r="M896" s="131"/>
      <c r="N896" s="131"/>
      <c r="O896" s="131"/>
      <c r="P896" s="131"/>
      <c r="Q896" s="131"/>
      <c r="R896" s="131"/>
      <c r="S896" s="131"/>
      <c r="T896" s="131"/>
      <c r="U896" s="131"/>
      <c r="V896" s="131"/>
      <c r="W896" s="131"/>
      <c r="X896" s="131"/>
      <c r="Y896" s="131"/>
      <c r="Z896" s="142"/>
      <c r="AA896" s="142"/>
      <c r="AB896" s="142"/>
      <c r="AC896" s="142"/>
      <c r="AD896" s="142"/>
      <c r="AE896" s="142"/>
      <c r="AF896" s="142"/>
      <c r="AG896" s="142"/>
      <c r="AH896" s="142"/>
      <c r="AI896" s="142"/>
      <c r="AJ896" s="142"/>
      <c r="AK896" s="142"/>
      <c r="AL896" s="142"/>
      <c r="AM896" s="142"/>
      <c r="AN896" s="142"/>
      <c r="AO896" s="131"/>
    </row>
    <row r="897" ht="13.5" customHeight="1">
      <c r="A897" s="142"/>
      <c r="B897" s="142"/>
      <c r="C897" s="142"/>
      <c r="D897" s="142"/>
      <c r="E897" s="308"/>
      <c r="F897" s="131"/>
      <c r="G897" s="131"/>
      <c r="H897" s="131"/>
      <c r="I897" s="219"/>
      <c r="J897" s="198"/>
      <c r="K897" s="131"/>
      <c r="L897" s="131"/>
      <c r="M897" s="131"/>
      <c r="N897" s="131"/>
      <c r="O897" s="131"/>
      <c r="P897" s="131"/>
      <c r="Q897" s="131"/>
      <c r="R897" s="131"/>
      <c r="S897" s="131"/>
      <c r="T897" s="131"/>
      <c r="U897" s="131"/>
      <c r="V897" s="131"/>
      <c r="W897" s="131"/>
      <c r="X897" s="131"/>
      <c r="Y897" s="131"/>
      <c r="Z897" s="142"/>
      <c r="AA897" s="142"/>
      <c r="AB897" s="142"/>
      <c r="AC897" s="142"/>
      <c r="AD897" s="142"/>
      <c r="AE897" s="142"/>
      <c r="AF897" s="142"/>
      <c r="AG897" s="142"/>
      <c r="AH897" s="142"/>
      <c r="AI897" s="142"/>
      <c r="AJ897" s="142"/>
      <c r="AK897" s="142"/>
      <c r="AL897" s="142"/>
      <c r="AM897" s="142"/>
      <c r="AN897" s="142"/>
      <c r="AO897" s="131"/>
    </row>
    <row r="898" ht="13.5" customHeight="1">
      <c r="A898" s="142"/>
      <c r="B898" s="142"/>
      <c r="C898" s="142"/>
      <c r="D898" s="142"/>
      <c r="E898" s="308"/>
      <c r="F898" s="131"/>
      <c r="G898" s="131"/>
      <c r="H898" s="131"/>
      <c r="I898" s="219"/>
      <c r="J898" s="198"/>
      <c r="K898" s="131"/>
      <c r="L898" s="131"/>
      <c r="M898" s="131"/>
      <c r="N898" s="131"/>
      <c r="O898" s="131"/>
      <c r="P898" s="131"/>
      <c r="Q898" s="131"/>
      <c r="R898" s="131"/>
      <c r="S898" s="131"/>
      <c r="T898" s="131"/>
      <c r="U898" s="131"/>
      <c r="V898" s="131"/>
      <c r="W898" s="131"/>
      <c r="X898" s="131"/>
      <c r="Y898" s="131"/>
      <c r="Z898" s="142"/>
      <c r="AA898" s="142"/>
      <c r="AB898" s="142"/>
      <c r="AC898" s="142"/>
      <c r="AD898" s="142"/>
      <c r="AE898" s="142"/>
      <c r="AF898" s="142"/>
      <c r="AG898" s="142"/>
      <c r="AH898" s="142"/>
      <c r="AI898" s="142"/>
      <c r="AJ898" s="142"/>
      <c r="AK898" s="142"/>
      <c r="AL898" s="142"/>
      <c r="AM898" s="142"/>
      <c r="AN898" s="142"/>
      <c r="AO898" s="131"/>
    </row>
    <row r="899" ht="13.5" customHeight="1">
      <c r="A899" s="142"/>
      <c r="B899" s="142"/>
      <c r="C899" s="142"/>
      <c r="D899" s="142"/>
      <c r="E899" s="308"/>
      <c r="F899" s="131"/>
      <c r="G899" s="131"/>
      <c r="H899" s="131"/>
      <c r="I899" s="219"/>
      <c r="J899" s="198"/>
      <c r="K899" s="131"/>
      <c r="L899" s="131"/>
      <c r="M899" s="131"/>
      <c r="N899" s="131"/>
      <c r="O899" s="131"/>
      <c r="P899" s="131"/>
      <c r="Q899" s="131"/>
      <c r="R899" s="131"/>
      <c r="S899" s="131"/>
      <c r="T899" s="131"/>
      <c r="U899" s="131"/>
      <c r="V899" s="131"/>
      <c r="W899" s="131"/>
      <c r="X899" s="131"/>
      <c r="Y899" s="131"/>
      <c r="Z899" s="142"/>
      <c r="AA899" s="142"/>
      <c r="AB899" s="142"/>
      <c r="AC899" s="142"/>
      <c r="AD899" s="142"/>
      <c r="AE899" s="142"/>
      <c r="AF899" s="142"/>
      <c r="AG899" s="142"/>
      <c r="AH899" s="142"/>
      <c r="AI899" s="142"/>
      <c r="AJ899" s="142"/>
      <c r="AK899" s="142"/>
      <c r="AL899" s="142"/>
      <c r="AM899" s="142"/>
      <c r="AN899" s="142"/>
      <c r="AO899" s="131"/>
    </row>
    <row r="900" ht="13.5" customHeight="1">
      <c r="A900" s="142"/>
      <c r="B900" s="142"/>
      <c r="C900" s="142"/>
      <c r="D900" s="142"/>
      <c r="E900" s="308"/>
      <c r="F900" s="131"/>
      <c r="G900" s="131"/>
      <c r="H900" s="131"/>
      <c r="I900" s="219"/>
      <c r="J900" s="198"/>
      <c r="K900" s="131"/>
      <c r="L900" s="131"/>
      <c r="M900" s="131"/>
      <c r="N900" s="131"/>
      <c r="O900" s="131"/>
      <c r="P900" s="131"/>
      <c r="Q900" s="131"/>
      <c r="R900" s="131"/>
      <c r="S900" s="131"/>
      <c r="T900" s="131"/>
      <c r="U900" s="131"/>
      <c r="V900" s="131"/>
      <c r="W900" s="131"/>
      <c r="X900" s="131"/>
      <c r="Y900" s="131"/>
      <c r="Z900" s="142"/>
      <c r="AA900" s="142"/>
      <c r="AB900" s="142"/>
      <c r="AC900" s="142"/>
      <c r="AD900" s="142"/>
      <c r="AE900" s="142"/>
      <c r="AF900" s="142"/>
      <c r="AG900" s="142"/>
      <c r="AH900" s="142"/>
      <c r="AI900" s="142"/>
      <c r="AJ900" s="142"/>
      <c r="AK900" s="142"/>
      <c r="AL900" s="142"/>
      <c r="AM900" s="142"/>
      <c r="AN900" s="142"/>
      <c r="AO900" s="131"/>
    </row>
    <row r="901" ht="13.5" customHeight="1">
      <c r="A901" s="142"/>
      <c r="B901" s="142"/>
      <c r="C901" s="142"/>
      <c r="D901" s="142"/>
      <c r="E901" s="308"/>
      <c r="F901" s="131"/>
      <c r="G901" s="131"/>
      <c r="H901" s="131"/>
      <c r="I901" s="219"/>
      <c r="J901" s="198"/>
      <c r="K901" s="131"/>
      <c r="L901" s="131"/>
      <c r="M901" s="131"/>
      <c r="N901" s="131"/>
      <c r="O901" s="131"/>
      <c r="P901" s="131"/>
      <c r="Q901" s="131"/>
      <c r="R901" s="131"/>
      <c r="S901" s="131"/>
      <c r="T901" s="131"/>
      <c r="U901" s="131"/>
      <c r="V901" s="131"/>
      <c r="W901" s="131"/>
      <c r="X901" s="131"/>
      <c r="Y901" s="131"/>
      <c r="Z901" s="142"/>
      <c r="AA901" s="142"/>
      <c r="AB901" s="142"/>
      <c r="AC901" s="142"/>
      <c r="AD901" s="142"/>
      <c r="AE901" s="142"/>
      <c r="AF901" s="142"/>
      <c r="AG901" s="142"/>
      <c r="AH901" s="142"/>
      <c r="AI901" s="142"/>
      <c r="AJ901" s="142"/>
      <c r="AK901" s="142"/>
      <c r="AL901" s="142"/>
      <c r="AM901" s="142"/>
      <c r="AN901" s="142"/>
      <c r="AO901" s="131"/>
    </row>
    <row r="902" ht="13.5" customHeight="1">
      <c r="A902" s="142"/>
      <c r="B902" s="142"/>
      <c r="C902" s="142"/>
      <c r="D902" s="142"/>
      <c r="E902" s="308"/>
      <c r="F902" s="131"/>
      <c r="G902" s="131"/>
      <c r="H902" s="131"/>
      <c r="I902" s="219"/>
      <c r="J902" s="198"/>
      <c r="K902" s="131"/>
      <c r="L902" s="131"/>
      <c r="M902" s="131"/>
      <c r="N902" s="131"/>
      <c r="O902" s="131"/>
      <c r="P902" s="131"/>
      <c r="Q902" s="131"/>
      <c r="R902" s="131"/>
      <c r="S902" s="131"/>
      <c r="T902" s="131"/>
      <c r="U902" s="131"/>
      <c r="V902" s="131"/>
      <c r="W902" s="131"/>
      <c r="X902" s="131"/>
      <c r="Y902" s="131"/>
      <c r="Z902" s="142"/>
      <c r="AA902" s="142"/>
      <c r="AB902" s="142"/>
      <c r="AC902" s="142"/>
      <c r="AD902" s="142"/>
      <c r="AE902" s="142"/>
      <c r="AF902" s="142"/>
      <c r="AG902" s="142"/>
      <c r="AH902" s="142"/>
      <c r="AI902" s="142"/>
      <c r="AJ902" s="142"/>
      <c r="AK902" s="142"/>
      <c r="AL902" s="142"/>
      <c r="AM902" s="142"/>
      <c r="AN902" s="142"/>
      <c r="AO902" s="131"/>
    </row>
    <row r="903" ht="13.5" customHeight="1">
      <c r="A903" s="142"/>
      <c r="B903" s="142"/>
      <c r="C903" s="142"/>
      <c r="D903" s="142"/>
      <c r="E903" s="308"/>
      <c r="F903" s="131"/>
      <c r="G903" s="131"/>
      <c r="H903" s="131"/>
      <c r="I903" s="219"/>
      <c r="J903" s="198"/>
      <c r="K903" s="131"/>
      <c r="L903" s="131"/>
      <c r="M903" s="131"/>
      <c r="N903" s="131"/>
      <c r="O903" s="131"/>
      <c r="P903" s="131"/>
      <c r="Q903" s="131"/>
      <c r="R903" s="131"/>
      <c r="S903" s="131"/>
      <c r="T903" s="131"/>
      <c r="U903" s="131"/>
      <c r="V903" s="131"/>
      <c r="W903" s="131"/>
      <c r="X903" s="131"/>
      <c r="Y903" s="131"/>
      <c r="Z903" s="142"/>
      <c r="AA903" s="142"/>
      <c r="AB903" s="142"/>
      <c r="AC903" s="142"/>
      <c r="AD903" s="142"/>
      <c r="AE903" s="142"/>
      <c r="AF903" s="142"/>
      <c r="AG903" s="142"/>
      <c r="AH903" s="142"/>
      <c r="AI903" s="142"/>
      <c r="AJ903" s="142"/>
      <c r="AK903" s="142"/>
      <c r="AL903" s="142"/>
      <c r="AM903" s="142"/>
      <c r="AN903" s="142"/>
      <c r="AO903" s="131"/>
    </row>
    <row r="904" ht="13.5" customHeight="1">
      <c r="A904" s="142"/>
      <c r="B904" s="142"/>
      <c r="C904" s="142"/>
      <c r="D904" s="142"/>
      <c r="E904" s="308"/>
      <c r="F904" s="131"/>
      <c r="G904" s="131"/>
      <c r="H904" s="131"/>
      <c r="I904" s="219"/>
      <c r="J904" s="198"/>
      <c r="K904" s="131"/>
      <c r="L904" s="131"/>
      <c r="M904" s="131"/>
      <c r="N904" s="131"/>
      <c r="O904" s="131"/>
      <c r="P904" s="131"/>
      <c r="Q904" s="131"/>
      <c r="R904" s="131"/>
      <c r="S904" s="131"/>
      <c r="T904" s="131"/>
      <c r="U904" s="131"/>
      <c r="V904" s="131"/>
      <c r="W904" s="131"/>
      <c r="X904" s="131"/>
      <c r="Y904" s="131"/>
      <c r="Z904" s="142"/>
      <c r="AA904" s="142"/>
      <c r="AB904" s="142"/>
      <c r="AC904" s="142"/>
      <c r="AD904" s="142"/>
      <c r="AE904" s="142"/>
      <c r="AF904" s="142"/>
      <c r="AG904" s="142"/>
      <c r="AH904" s="142"/>
      <c r="AI904" s="142"/>
      <c r="AJ904" s="142"/>
      <c r="AK904" s="142"/>
      <c r="AL904" s="142"/>
      <c r="AM904" s="142"/>
      <c r="AN904" s="142"/>
      <c r="AO904" s="131"/>
    </row>
    <row r="905" ht="13.5" customHeight="1">
      <c r="A905" s="142"/>
      <c r="B905" s="142"/>
      <c r="C905" s="142"/>
      <c r="D905" s="142"/>
      <c r="E905" s="308"/>
      <c r="F905" s="131"/>
      <c r="G905" s="131"/>
      <c r="H905" s="131"/>
      <c r="I905" s="219"/>
      <c r="J905" s="198"/>
      <c r="K905" s="131"/>
      <c r="L905" s="131"/>
      <c r="M905" s="131"/>
      <c r="N905" s="131"/>
      <c r="O905" s="131"/>
      <c r="P905" s="131"/>
      <c r="Q905" s="131"/>
      <c r="R905" s="131"/>
      <c r="S905" s="131"/>
      <c r="T905" s="131"/>
      <c r="U905" s="131"/>
      <c r="V905" s="131"/>
      <c r="W905" s="131"/>
      <c r="X905" s="131"/>
      <c r="Y905" s="131"/>
      <c r="Z905" s="142"/>
      <c r="AA905" s="142"/>
      <c r="AB905" s="142"/>
      <c r="AC905" s="142"/>
      <c r="AD905" s="142"/>
      <c r="AE905" s="142"/>
      <c r="AF905" s="142"/>
      <c r="AG905" s="142"/>
      <c r="AH905" s="142"/>
      <c r="AI905" s="142"/>
      <c r="AJ905" s="142"/>
      <c r="AK905" s="142"/>
      <c r="AL905" s="142"/>
      <c r="AM905" s="142"/>
      <c r="AN905" s="142"/>
      <c r="AO905" s="131"/>
    </row>
    <row r="906" ht="13.5" customHeight="1">
      <c r="A906" s="142"/>
      <c r="B906" s="142"/>
      <c r="C906" s="142"/>
      <c r="D906" s="142"/>
      <c r="E906" s="308"/>
      <c r="F906" s="131"/>
      <c r="G906" s="131"/>
      <c r="H906" s="131"/>
      <c r="I906" s="219"/>
      <c r="J906" s="198"/>
      <c r="K906" s="131"/>
      <c r="L906" s="131"/>
      <c r="M906" s="131"/>
      <c r="N906" s="131"/>
      <c r="O906" s="131"/>
      <c r="P906" s="131"/>
      <c r="Q906" s="131"/>
      <c r="R906" s="131"/>
      <c r="S906" s="131"/>
      <c r="T906" s="131"/>
      <c r="U906" s="131"/>
      <c r="V906" s="131"/>
      <c r="W906" s="131"/>
      <c r="X906" s="131"/>
      <c r="Y906" s="131"/>
      <c r="Z906" s="142"/>
      <c r="AA906" s="142"/>
      <c r="AB906" s="142"/>
      <c r="AC906" s="142"/>
      <c r="AD906" s="142"/>
      <c r="AE906" s="142"/>
      <c r="AF906" s="142"/>
      <c r="AG906" s="142"/>
      <c r="AH906" s="142"/>
      <c r="AI906" s="142"/>
      <c r="AJ906" s="142"/>
      <c r="AK906" s="142"/>
      <c r="AL906" s="142"/>
      <c r="AM906" s="142"/>
      <c r="AN906" s="142"/>
      <c r="AO906" s="131"/>
    </row>
    <row r="907" ht="13.5" customHeight="1">
      <c r="A907" s="142"/>
      <c r="B907" s="142"/>
      <c r="C907" s="142"/>
      <c r="D907" s="142"/>
      <c r="E907" s="308"/>
      <c r="F907" s="131"/>
      <c r="G907" s="131"/>
      <c r="H907" s="131"/>
      <c r="I907" s="219"/>
      <c r="J907" s="198"/>
      <c r="K907" s="131"/>
      <c r="L907" s="131"/>
      <c r="M907" s="131"/>
      <c r="N907" s="131"/>
      <c r="O907" s="131"/>
      <c r="P907" s="131"/>
      <c r="Q907" s="131"/>
      <c r="R907" s="131"/>
      <c r="S907" s="131"/>
      <c r="T907" s="131"/>
      <c r="U907" s="131"/>
      <c r="V907" s="131"/>
      <c r="W907" s="131"/>
      <c r="X907" s="131"/>
      <c r="Y907" s="131"/>
      <c r="Z907" s="142"/>
      <c r="AA907" s="142"/>
      <c r="AB907" s="142"/>
      <c r="AC907" s="142"/>
      <c r="AD907" s="142"/>
      <c r="AE907" s="142"/>
      <c r="AF907" s="142"/>
      <c r="AG907" s="142"/>
      <c r="AH907" s="142"/>
      <c r="AI907" s="142"/>
      <c r="AJ907" s="142"/>
      <c r="AK907" s="142"/>
      <c r="AL907" s="142"/>
      <c r="AM907" s="142"/>
      <c r="AN907" s="142"/>
      <c r="AO907" s="131"/>
    </row>
    <row r="908" ht="13.5" customHeight="1">
      <c r="A908" s="142"/>
      <c r="B908" s="142"/>
      <c r="C908" s="142"/>
      <c r="D908" s="142"/>
      <c r="E908" s="308"/>
      <c r="F908" s="131"/>
      <c r="G908" s="131"/>
      <c r="H908" s="131"/>
      <c r="I908" s="219"/>
      <c r="J908" s="198"/>
      <c r="K908" s="131"/>
      <c r="L908" s="131"/>
      <c r="M908" s="131"/>
      <c r="N908" s="131"/>
      <c r="O908" s="131"/>
      <c r="P908" s="131"/>
      <c r="Q908" s="131"/>
      <c r="R908" s="131"/>
      <c r="S908" s="131"/>
      <c r="T908" s="131"/>
      <c r="U908" s="131"/>
      <c r="V908" s="131"/>
      <c r="W908" s="131"/>
      <c r="X908" s="131"/>
      <c r="Y908" s="131"/>
      <c r="Z908" s="142"/>
      <c r="AA908" s="142"/>
      <c r="AB908" s="142"/>
      <c r="AC908" s="142"/>
      <c r="AD908" s="142"/>
      <c r="AE908" s="142"/>
      <c r="AF908" s="142"/>
      <c r="AG908" s="142"/>
      <c r="AH908" s="142"/>
      <c r="AI908" s="142"/>
      <c r="AJ908" s="142"/>
      <c r="AK908" s="142"/>
      <c r="AL908" s="142"/>
      <c r="AM908" s="142"/>
      <c r="AN908" s="142"/>
      <c r="AO908" s="131"/>
    </row>
    <row r="909" ht="13.5" customHeight="1">
      <c r="A909" s="142"/>
      <c r="B909" s="142"/>
      <c r="C909" s="142"/>
      <c r="D909" s="142"/>
      <c r="E909" s="308"/>
      <c r="F909" s="131"/>
      <c r="G909" s="131"/>
      <c r="H909" s="131"/>
      <c r="I909" s="219"/>
      <c r="J909" s="198"/>
      <c r="K909" s="131"/>
      <c r="L909" s="131"/>
      <c r="M909" s="131"/>
      <c r="N909" s="131"/>
      <c r="O909" s="131"/>
      <c r="P909" s="131"/>
      <c r="Q909" s="131"/>
      <c r="R909" s="131"/>
      <c r="S909" s="131"/>
      <c r="T909" s="131"/>
      <c r="U909" s="131"/>
      <c r="V909" s="131"/>
      <c r="W909" s="131"/>
      <c r="X909" s="131"/>
      <c r="Y909" s="131"/>
      <c r="Z909" s="142"/>
      <c r="AA909" s="142"/>
      <c r="AB909" s="142"/>
      <c r="AC909" s="142"/>
      <c r="AD909" s="142"/>
      <c r="AE909" s="142"/>
      <c r="AF909" s="142"/>
      <c r="AG909" s="142"/>
      <c r="AH909" s="142"/>
      <c r="AI909" s="142"/>
      <c r="AJ909" s="142"/>
      <c r="AK909" s="142"/>
      <c r="AL909" s="142"/>
      <c r="AM909" s="142"/>
      <c r="AN909" s="142"/>
      <c r="AO909" s="131"/>
    </row>
    <row r="910" ht="13.5" customHeight="1">
      <c r="A910" s="142"/>
      <c r="B910" s="142"/>
      <c r="C910" s="142"/>
      <c r="D910" s="142"/>
      <c r="E910" s="308"/>
      <c r="F910" s="131"/>
      <c r="G910" s="131"/>
      <c r="H910" s="131"/>
      <c r="I910" s="219"/>
      <c r="J910" s="198"/>
      <c r="K910" s="131"/>
      <c r="L910" s="131"/>
      <c r="M910" s="131"/>
      <c r="N910" s="131"/>
      <c r="O910" s="131"/>
      <c r="P910" s="131"/>
      <c r="Q910" s="131"/>
      <c r="R910" s="131"/>
      <c r="S910" s="131"/>
      <c r="T910" s="131"/>
      <c r="U910" s="131"/>
      <c r="V910" s="131"/>
      <c r="W910" s="131"/>
      <c r="X910" s="131"/>
      <c r="Y910" s="131"/>
      <c r="Z910" s="142"/>
      <c r="AA910" s="142"/>
      <c r="AB910" s="142"/>
      <c r="AC910" s="142"/>
      <c r="AD910" s="142"/>
      <c r="AE910" s="142"/>
      <c r="AF910" s="142"/>
      <c r="AG910" s="142"/>
      <c r="AH910" s="142"/>
      <c r="AI910" s="142"/>
      <c r="AJ910" s="142"/>
      <c r="AK910" s="142"/>
      <c r="AL910" s="142"/>
      <c r="AM910" s="142"/>
      <c r="AN910" s="142"/>
      <c r="AO910" s="131"/>
    </row>
    <row r="911" ht="13.5" customHeight="1">
      <c r="A911" s="142"/>
      <c r="B911" s="142"/>
      <c r="C911" s="142"/>
      <c r="D911" s="142"/>
      <c r="E911" s="308"/>
      <c r="F911" s="131"/>
      <c r="G911" s="131"/>
      <c r="H911" s="131"/>
      <c r="I911" s="219"/>
      <c r="J911" s="198"/>
      <c r="K911" s="131"/>
      <c r="L911" s="131"/>
      <c r="M911" s="131"/>
      <c r="N911" s="131"/>
      <c r="O911" s="131"/>
      <c r="P911" s="131"/>
      <c r="Q911" s="131"/>
      <c r="R911" s="131"/>
      <c r="S911" s="131"/>
      <c r="T911" s="131"/>
      <c r="U911" s="131"/>
      <c r="V911" s="131"/>
      <c r="W911" s="131"/>
      <c r="X911" s="131"/>
      <c r="Y911" s="131"/>
      <c r="Z911" s="142"/>
      <c r="AA911" s="142"/>
      <c r="AB911" s="142"/>
      <c r="AC911" s="142"/>
      <c r="AD911" s="142"/>
      <c r="AE911" s="142"/>
      <c r="AF911" s="142"/>
      <c r="AG911" s="142"/>
      <c r="AH911" s="142"/>
      <c r="AI911" s="142"/>
      <c r="AJ911" s="142"/>
      <c r="AK911" s="142"/>
      <c r="AL911" s="142"/>
      <c r="AM911" s="142"/>
      <c r="AN911" s="142"/>
      <c r="AO911" s="131"/>
    </row>
    <row r="912" ht="13.5" customHeight="1">
      <c r="A912" s="142"/>
      <c r="B912" s="142"/>
      <c r="C912" s="142"/>
      <c r="D912" s="142"/>
      <c r="E912" s="308"/>
      <c r="F912" s="131"/>
      <c r="G912" s="131"/>
      <c r="H912" s="131"/>
      <c r="I912" s="219"/>
      <c r="J912" s="198"/>
      <c r="K912" s="131"/>
      <c r="L912" s="131"/>
      <c r="M912" s="131"/>
      <c r="N912" s="131"/>
      <c r="O912" s="131"/>
      <c r="P912" s="131"/>
      <c r="Q912" s="131"/>
      <c r="R912" s="131"/>
      <c r="S912" s="131"/>
      <c r="T912" s="131"/>
      <c r="U912" s="131"/>
      <c r="V912" s="131"/>
      <c r="W912" s="131"/>
      <c r="X912" s="131"/>
      <c r="Y912" s="131"/>
      <c r="Z912" s="142"/>
      <c r="AA912" s="142"/>
      <c r="AB912" s="142"/>
      <c r="AC912" s="142"/>
      <c r="AD912" s="142"/>
      <c r="AE912" s="142"/>
      <c r="AF912" s="142"/>
      <c r="AG912" s="142"/>
      <c r="AH912" s="142"/>
      <c r="AI912" s="142"/>
      <c r="AJ912" s="142"/>
      <c r="AK912" s="142"/>
      <c r="AL912" s="142"/>
      <c r="AM912" s="142"/>
      <c r="AN912" s="142"/>
      <c r="AO912" s="131"/>
    </row>
    <row r="913" ht="13.5" customHeight="1">
      <c r="A913" s="142"/>
      <c r="B913" s="142"/>
      <c r="C913" s="142"/>
      <c r="D913" s="142"/>
      <c r="E913" s="308"/>
      <c r="F913" s="131"/>
      <c r="G913" s="131"/>
      <c r="H913" s="131"/>
      <c r="I913" s="219"/>
      <c r="J913" s="198"/>
      <c r="K913" s="131"/>
      <c r="L913" s="131"/>
      <c r="M913" s="131"/>
      <c r="N913" s="131"/>
      <c r="O913" s="131"/>
      <c r="P913" s="131"/>
      <c r="Q913" s="131"/>
      <c r="R913" s="131"/>
      <c r="S913" s="131"/>
      <c r="T913" s="131"/>
      <c r="U913" s="131"/>
      <c r="V913" s="131"/>
      <c r="W913" s="131"/>
      <c r="X913" s="131"/>
      <c r="Y913" s="131"/>
      <c r="Z913" s="142"/>
      <c r="AA913" s="142"/>
      <c r="AB913" s="142"/>
      <c r="AC913" s="142"/>
      <c r="AD913" s="142"/>
      <c r="AE913" s="142"/>
      <c r="AF913" s="142"/>
      <c r="AG913" s="142"/>
      <c r="AH913" s="142"/>
      <c r="AI913" s="142"/>
      <c r="AJ913" s="142"/>
      <c r="AK913" s="142"/>
      <c r="AL913" s="142"/>
      <c r="AM913" s="142"/>
      <c r="AN913" s="142"/>
      <c r="AO913" s="131"/>
    </row>
    <row r="914" ht="13.5" customHeight="1">
      <c r="A914" s="142"/>
      <c r="B914" s="142"/>
      <c r="C914" s="142"/>
      <c r="D914" s="142"/>
      <c r="E914" s="308"/>
      <c r="F914" s="131"/>
      <c r="G914" s="131"/>
      <c r="H914" s="131"/>
      <c r="I914" s="219"/>
      <c r="J914" s="198"/>
      <c r="K914" s="131"/>
      <c r="L914" s="131"/>
      <c r="M914" s="131"/>
      <c r="N914" s="131"/>
      <c r="O914" s="131"/>
      <c r="P914" s="131"/>
      <c r="Q914" s="131"/>
      <c r="R914" s="131"/>
      <c r="S914" s="131"/>
      <c r="T914" s="131"/>
      <c r="U914" s="131"/>
      <c r="V914" s="131"/>
      <c r="W914" s="131"/>
      <c r="X914" s="131"/>
      <c r="Y914" s="131"/>
      <c r="Z914" s="142"/>
      <c r="AA914" s="142"/>
      <c r="AB914" s="142"/>
      <c r="AC914" s="142"/>
      <c r="AD914" s="142"/>
      <c r="AE914" s="142"/>
      <c r="AF914" s="142"/>
      <c r="AG914" s="142"/>
      <c r="AH914" s="142"/>
      <c r="AI914" s="142"/>
      <c r="AJ914" s="142"/>
      <c r="AK914" s="142"/>
      <c r="AL914" s="142"/>
      <c r="AM914" s="142"/>
      <c r="AN914" s="142"/>
      <c r="AO914" s="131"/>
    </row>
    <row r="915" ht="13.5" customHeight="1">
      <c r="A915" s="142"/>
      <c r="B915" s="142"/>
      <c r="C915" s="142"/>
      <c r="D915" s="142"/>
      <c r="E915" s="308"/>
      <c r="F915" s="131"/>
      <c r="G915" s="131"/>
      <c r="H915" s="131"/>
      <c r="I915" s="219"/>
      <c r="J915" s="198"/>
      <c r="K915" s="131"/>
      <c r="L915" s="131"/>
      <c r="M915" s="131"/>
      <c r="N915" s="131"/>
      <c r="O915" s="131"/>
      <c r="P915" s="131"/>
      <c r="Q915" s="131"/>
      <c r="R915" s="131"/>
      <c r="S915" s="131"/>
      <c r="T915" s="131"/>
      <c r="U915" s="131"/>
      <c r="V915" s="131"/>
      <c r="W915" s="131"/>
      <c r="X915" s="131"/>
      <c r="Y915" s="131"/>
      <c r="Z915" s="142"/>
      <c r="AA915" s="142"/>
      <c r="AB915" s="142"/>
      <c r="AC915" s="142"/>
      <c r="AD915" s="142"/>
      <c r="AE915" s="142"/>
      <c r="AF915" s="142"/>
      <c r="AG915" s="142"/>
      <c r="AH915" s="142"/>
      <c r="AI915" s="142"/>
      <c r="AJ915" s="142"/>
      <c r="AK915" s="142"/>
      <c r="AL915" s="142"/>
      <c r="AM915" s="142"/>
      <c r="AN915" s="142"/>
      <c r="AO915" s="131"/>
    </row>
    <row r="916" ht="13.5" customHeight="1">
      <c r="A916" s="142"/>
      <c r="B916" s="142"/>
      <c r="C916" s="142"/>
      <c r="D916" s="142"/>
      <c r="E916" s="308"/>
      <c r="F916" s="131"/>
      <c r="G916" s="131"/>
      <c r="H916" s="131"/>
      <c r="I916" s="219"/>
      <c r="J916" s="198"/>
      <c r="K916" s="131"/>
      <c r="L916" s="131"/>
      <c r="M916" s="131"/>
      <c r="N916" s="131"/>
      <c r="O916" s="131"/>
      <c r="P916" s="131"/>
      <c r="Q916" s="131"/>
      <c r="R916" s="131"/>
      <c r="S916" s="131"/>
      <c r="T916" s="131"/>
      <c r="U916" s="131"/>
      <c r="V916" s="131"/>
      <c r="W916" s="131"/>
      <c r="X916" s="131"/>
      <c r="Y916" s="131"/>
      <c r="Z916" s="142"/>
      <c r="AA916" s="142"/>
      <c r="AB916" s="142"/>
      <c r="AC916" s="142"/>
      <c r="AD916" s="142"/>
      <c r="AE916" s="142"/>
      <c r="AF916" s="142"/>
      <c r="AG916" s="142"/>
      <c r="AH916" s="142"/>
      <c r="AI916" s="142"/>
      <c r="AJ916" s="142"/>
      <c r="AK916" s="142"/>
      <c r="AL916" s="142"/>
      <c r="AM916" s="142"/>
      <c r="AN916" s="142"/>
      <c r="AO916" s="131"/>
    </row>
    <row r="917" ht="13.5" customHeight="1">
      <c r="A917" s="142"/>
      <c r="B917" s="142"/>
      <c r="C917" s="142"/>
      <c r="D917" s="142"/>
      <c r="E917" s="308"/>
      <c r="F917" s="131"/>
      <c r="G917" s="131"/>
      <c r="H917" s="131"/>
      <c r="I917" s="219"/>
      <c r="J917" s="198"/>
      <c r="K917" s="131"/>
      <c r="L917" s="131"/>
      <c r="M917" s="131"/>
      <c r="N917" s="131"/>
      <c r="O917" s="131"/>
      <c r="P917" s="131"/>
      <c r="Q917" s="131"/>
      <c r="R917" s="131"/>
      <c r="S917" s="131"/>
      <c r="T917" s="131"/>
      <c r="U917" s="131"/>
      <c r="V917" s="131"/>
      <c r="W917" s="131"/>
      <c r="X917" s="131"/>
      <c r="Y917" s="131"/>
      <c r="Z917" s="142"/>
      <c r="AA917" s="142"/>
      <c r="AB917" s="142"/>
      <c r="AC917" s="142"/>
      <c r="AD917" s="142"/>
      <c r="AE917" s="142"/>
      <c r="AF917" s="142"/>
      <c r="AG917" s="142"/>
      <c r="AH917" s="142"/>
      <c r="AI917" s="142"/>
      <c r="AJ917" s="142"/>
      <c r="AK917" s="142"/>
      <c r="AL917" s="142"/>
      <c r="AM917" s="142"/>
      <c r="AN917" s="142"/>
      <c r="AO917" s="131"/>
    </row>
    <row r="918" ht="13.5" customHeight="1">
      <c r="A918" s="142"/>
      <c r="B918" s="142"/>
      <c r="C918" s="142"/>
      <c r="D918" s="142"/>
      <c r="E918" s="308"/>
      <c r="F918" s="131"/>
      <c r="G918" s="131"/>
      <c r="H918" s="131"/>
      <c r="I918" s="219"/>
      <c r="J918" s="198"/>
      <c r="K918" s="131"/>
      <c r="L918" s="131"/>
      <c r="M918" s="131"/>
      <c r="N918" s="131"/>
      <c r="O918" s="131"/>
      <c r="P918" s="131"/>
      <c r="Q918" s="131"/>
      <c r="R918" s="131"/>
      <c r="S918" s="131"/>
      <c r="T918" s="131"/>
      <c r="U918" s="131"/>
      <c r="V918" s="131"/>
      <c r="W918" s="131"/>
      <c r="X918" s="131"/>
      <c r="Y918" s="131"/>
      <c r="Z918" s="142"/>
      <c r="AA918" s="142"/>
      <c r="AB918" s="142"/>
      <c r="AC918" s="142"/>
      <c r="AD918" s="142"/>
      <c r="AE918" s="142"/>
      <c r="AF918" s="142"/>
      <c r="AG918" s="142"/>
      <c r="AH918" s="142"/>
      <c r="AI918" s="142"/>
      <c r="AJ918" s="142"/>
      <c r="AK918" s="142"/>
      <c r="AL918" s="142"/>
      <c r="AM918" s="142"/>
      <c r="AN918" s="142"/>
      <c r="AO918" s="131"/>
    </row>
    <row r="919" ht="13.5" customHeight="1">
      <c r="A919" s="142"/>
      <c r="B919" s="142"/>
      <c r="C919" s="142"/>
      <c r="D919" s="142"/>
      <c r="E919" s="308"/>
      <c r="F919" s="131"/>
      <c r="G919" s="131"/>
      <c r="H919" s="131"/>
      <c r="I919" s="219"/>
      <c r="J919" s="198"/>
      <c r="K919" s="131"/>
      <c r="L919" s="131"/>
      <c r="M919" s="131"/>
      <c r="N919" s="131"/>
      <c r="O919" s="131"/>
      <c r="P919" s="131"/>
      <c r="Q919" s="131"/>
      <c r="R919" s="131"/>
      <c r="S919" s="131"/>
      <c r="T919" s="131"/>
      <c r="U919" s="131"/>
      <c r="V919" s="131"/>
      <c r="W919" s="131"/>
      <c r="X919" s="131"/>
      <c r="Y919" s="131"/>
      <c r="Z919" s="142"/>
      <c r="AA919" s="142"/>
      <c r="AB919" s="142"/>
      <c r="AC919" s="142"/>
      <c r="AD919" s="142"/>
      <c r="AE919" s="142"/>
      <c r="AF919" s="142"/>
      <c r="AG919" s="142"/>
      <c r="AH919" s="142"/>
      <c r="AI919" s="142"/>
      <c r="AJ919" s="142"/>
      <c r="AK919" s="142"/>
      <c r="AL919" s="142"/>
      <c r="AM919" s="142"/>
      <c r="AN919" s="142"/>
      <c r="AO919" s="131"/>
    </row>
    <row r="920" ht="13.5" customHeight="1">
      <c r="A920" s="142"/>
      <c r="B920" s="142"/>
      <c r="C920" s="142"/>
      <c r="D920" s="142"/>
      <c r="E920" s="308"/>
      <c r="F920" s="131"/>
      <c r="G920" s="131"/>
      <c r="H920" s="131"/>
      <c r="I920" s="219"/>
      <c r="J920" s="198"/>
      <c r="K920" s="131"/>
      <c r="L920" s="131"/>
      <c r="M920" s="131"/>
      <c r="N920" s="131"/>
      <c r="O920" s="131"/>
      <c r="P920" s="131"/>
      <c r="Q920" s="131"/>
      <c r="R920" s="131"/>
      <c r="S920" s="131"/>
      <c r="T920" s="131"/>
      <c r="U920" s="131"/>
      <c r="V920" s="131"/>
      <c r="W920" s="131"/>
      <c r="X920" s="131"/>
      <c r="Y920" s="131"/>
      <c r="Z920" s="142"/>
      <c r="AA920" s="142"/>
      <c r="AB920" s="142"/>
      <c r="AC920" s="142"/>
      <c r="AD920" s="142"/>
      <c r="AE920" s="142"/>
      <c r="AF920" s="142"/>
      <c r="AG920" s="142"/>
      <c r="AH920" s="142"/>
      <c r="AI920" s="142"/>
      <c r="AJ920" s="142"/>
      <c r="AK920" s="142"/>
      <c r="AL920" s="142"/>
      <c r="AM920" s="142"/>
      <c r="AN920" s="142"/>
      <c r="AO920" s="131"/>
    </row>
    <row r="921" ht="13.5" customHeight="1">
      <c r="A921" s="142"/>
      <c r="B921" s="142"/>
      <c r="C921" s="142"/>
      <c r="D921" s="142"/>
      <c r="E921" s="308"/>
      <c r="F921" s="131"/>
      <c r="G921" s="131"/>
      <c r="H921" s="131"/>
      <c r="I921" s="219"/>
      <c r="J921" s="198"/>
      <c r="K921" s="131"/>
      <c r="L921" s="131"/>
      <c r="M921" s="131"/>
      <c r="N921" s="131"/>
      <c r="O921" s="131"/>
      <c r="P921" s="131"/>
      <c r="Q921" s="131"/>
      <c r="R921" s="131"/>
      <c r="S921" s="131"/>
      <c r="T921" s="131"/>
      <c r="U921" s="131"/>
      <c r="V921" s="131"/>
      <c r="W921" s="131"/>
      <c r="X921" s="131"/>
      <c r="Y921" s="131"/>
      <c r="Z921" s="142"/>
      <c r="AA921" s="142"/>
      <c r="AB921" s="142"/>
      <c r="AC921" s="142"/>
      <c r="AD921" s="142"/>
      <c r="AE921" s="142"/>
      <c r="AF921" s="142"/>
      <c r="AG921" s="142"/>
      <c r="AH921" s="142"/>
      <c r="AI921" s="142"/>
      <c r="AJ921" s="142"/>
      <c r="AK921" s="142"/>
      <c r="AL921" s="142"/>
      <c r="AM921" s="142"/>
      <c r="AN921" s="142"/>
      <c r="AO921" s="131"/>
    </row>
    <row r="922" ht="13.5" customHeight="1">
      <c r="A922" s="142"/>
      <c r="B922" s="142"/>
      <c r="C922" s="142"/>
      <c r="D922" s="142"/>
      <c r="E922" s="308"/>
      <c r="F922" s="131"/>
      <c r="G922" s="131"/>
      <c r="H922" s="131"/>
      <c r="I922" s="219"/>
      <c r="J922" s="198"/>
      <c r="K922" s="131"/>
      <c r="L922" s="131"/>
      <c r="M922" s="131"/>
      <c r="N922" s="131"/>
      <c r="O922" s="131"/>
      <c r="P922" s="131"/>
      <c r="Q922" s="131"/>
      <c r="R922" s="131"/>
      <c r="S922" s="131"/>
      <c r="T922" s="131"/>
      <c r="U922" s="131"/>
      <c r="V922" s="131"/>
      <c r="W922" s="131"/>
      <c r="X922" s="131"/>
      <c r="Y922" s="131"/>
      <c r="Z922" s="142"/>
      <c r="AA922" s="142"/>
      <c r="AB922" s="142"/>
      <c r="AC922" s="142"/>
      <c r="AD922" s="142"/>
      <c r="AE922" s="142"/>
      <c r="AF922" s="142"/>
      <c r="AG922" s="142"/>
      <c r="AH922" s="142"/>
      <c r="AI922" s="142"/>
      <c r="AJ922" s="142"/>
      <c r="AK922" s="142"/>
      <c r="AL922" s="142"/>
      <c r="AM922" s="142"/>
      <c r="AN922" s="142"/>
      <c r="AO922" s="131"/>
    </row>
    <row r="923" ht="13.5" customHeight="1">
      <c r="A923" s="142"/>
      <c r="B923" s="142"/>
      <c r="C923" s="142"/>
      <c r="D923" s="142"/>
      <c r="E923" s="308"/>
      <c r="F923" s="131"/>
      <c r="G923" s="131"/>
      <c r="H923" s="131"/>
      <c r="I923" s="219"/>
      <c r="J923" s="198"/>
      <c r="K923" s="131"/>
      <c r="L923" s="131"/>
      <c r="M923" s="131"/>
      <c r="N923" s="131"/>
      <c r="O923" s="131"/>
      <c r="P923" s="131"/>
      <c r="Q923" s="131"/>
      <c r="R923" s="131"/>
      <c r="S923" s="131"/>
      <c r="T923" s="131"/>
      <c r="U923" s="131"/>
      <c r="V923" s="131"/>
      <c r="W923" s="131"/>
      <c r="X923" s="131"/>
      <c r="Y923" s="131"/>
      <c r="Z923" s="142"/>
      <c r="AA923" s="142"/>
      <c r="AB923" s="142"/>
      <c r="AC923" s="142"/>
      <c r="AD923" s="142"/>
      <c r="AE923" s="142"/>
      <c r="AF923" s="142"/>
      <c r="AG923" s="142"/>
      <c r="AH923" s="142"/>
      <c r="AI923" s="142"/>
      <c r="AJ923" s="142"/>
      <c r="AK923" s="142"/>
      <c r="AL923" s="142"/>
      <c r="AM923" s="142"/>
      <c r="AN923" s="142"/>
      <c r="AO923" s="131"/>
    </row>
    <row r="924" ht="13.5" customHeight="1">
      <c r="A924" s="142"/>
      <c r="B924" s="142"/>
      <c r="C924" s="142"/>
      <c r="D924" s="142"/>
      <c r="E924" s="308"/>
      <c r="F924" s="131"/>
      <c r="G924" s="131"/>
      <c r="H924" s="131"/>
      <c r="I924" s="219"/>
      <c r="J924" s="198"/>
      <c r="K924" s="131"/>
      <c r="L924" s="131"/>
      <c r="M924" s="131"/>
      <c r="N924" s="131"/>
      <c r="O924" s="131"/>
      <c r="P924" s="131"/>
      <c r="Q924" s="131"/>
      <c r="R924" s="131"/>
      <c r="S924" s="131"/>
      <c r="T924" s="131"/>
      <c r="U924" s="131"/>
      <c r="V924" s="131"/>
      <c r="W924" s="131"/>
      <c r="X924" s="131"/>
      <c r="Y924" s="131"/>
      <c r="Z924" s="142"/>
      <c r="AA924" s="142"/>
      <c r="AB924" s="142"/>
      <c r="AC924" s="142"/>
      <c r="AD924" s="142"/>
      <c r="AE924" s="142"/>
      <c r="AF924" s="142"/>
      <c r="AG924" s="142"/>
      <c r="AH924" s="142"/>
      <c r="AI924" s="142"/>
      <c r="AJ924" s="142"/>
      <c r="AK924" s="142"/>
      <c r="AL924" s="142"/>
      <c r="AM924" s="142"/>
      <c r="AN924" s="142"/>
      <c r="AO924" s="131"/>
    </row>
    <row r="925" ht="13.5" customHeight="1">
      <c r="A925" s="142"/>
      <c r="B925" s="142"/>
      <c r="C925" s="142"/>
      <c r="D925" s="142"/>
      <c r="E925" s="308"/>
      <c r="F925" s="131"/>
      <c r="G925" s="131"/>
      <c r="H925" s="131"/>
      <c r="I925" s="219"/>
      <c r="J925" s="198"/>
      <c r="K925" s="131"/>
      <c r="L925" s="131"/>
      <c r="M925" s="131"/>
      <c r="N925" s="131"/>
      <c r="O925" s="131"/>
      <c r="P925" s="131"/>
      <c r="Q925" s="131"/>
      <c r="R925" s="131"/>
      <c r="S925" s="131"/>
      <c r="T925" s="131"/>
      <c r="U925" s="131"/>
      <c r="V925" s="131"/>
      <c r="W925" s="131"/>
      <c r="X925" s="131"/>
      <c r="Y925" s="131"/>
      <c r="Z925" s="142"/>
      <c r="AA925" s="142"/>
      <c r="AB925" s="142"/>
      <c r="AC925" s="142"/>
      <c r="AD925" s="142"/>
      <c r="AE925" s="142"/>
      <c r="AF925" s="142"/>
      <c r="AG925" s="142"/>
      <c r="AH925" s="142"/>
      <c r="AI925" s="142"/>
      <c r="AJ925" s="142"/>
      <c r="AK925" s="142"/>
      <c r="AL925" s="142"/>
      <c r="AM925" s="142"/>
      <c r="AN925" s="142"/>
      <c r="AO925" s="131"/>
    </row>
    <row r="926" ht="13.5" customHeight="1">
      <c r="A926" s="142"/>
      <c r="B926" s="142"/>
      <c r="C926" s="142"/>
      <c r="D926" s="142"/>
      <c r="E926" s="308"/>
      <c r="F926" s="131"/>
      <c r="G926" s="131"/>
      <c r="H926" s="131"/>
      <c r="I926" s="219"/>
      <c r="J926" s="198"/>
      <c r="K926" s="131"/>
      <c r="L926" s="131"/>
      <c r="M926" s="131"/>
      <c r="N926" s="131"/>
      <c r="O926" s="131"/>
      <c r="P926" s="131"/>
      <c r="Q926" s="131"/>
      <c r="R926" s="131"/>
      <c r="S926" s="131"/>
      <c r="T926" s="131"/>
      <c r="U926" s="131"/>
      <c r="V926" s="131"/>
      <c r="W926" s="131"/>
      <c r="X926" s="131"/>
      <c r="Y926" s="131"/>
      <c r="Z926" s="142"/>
      <c r="AA926" s="142"/>
      <c r="AB926" s="142"/>
      <c r="AC926" s="142"/>
      <c r="AD926" s="142"/>
      <c r="AE926" s="142"/>
      <c r="AF926" s="142"/>
      <c r="AG926" s="142"/>
      <c r="AH926" s="142"/>
      <c r="AI926" s="142"/>
      <c r="AJ926" s="142"/>
      <c r="AK926" s="142"/>
      <c r="AL926" s="142"/>
      <c r="AM926" s="142"/>
      <c r="AN926" s="142"/>
      <c r="AO926" s="131"/>
    </row>
    <row r="927" ht="13.5" customHeight="1">
      <c r="A927" s="142"/>
      <c r="B927" s="142"/>
      <c r="C927" s="142"/>
      <c r="D927" s="142"/>
      <c r="E927" s="308"/>
      <c r="F927" s="131"/>
      <c r="G927" s="131"/>
      <c r="H927" s="131"/>
      <c r="I927" s="219"/>
      <c r="J927" s="198"/>
      <c r="K927" s="131"/>
      <c r="L927" s="131"/>
      <c r="M927" s="131"/>
      <c r="N927" s="131"/>
      <c r="O927" s="131"/>
      <c r="P927" s="131"/>
      <c r="Q927" s="131"/>
      <c r="R927" s="131"/>
      <c r="S927" s="131"/>
      <c r="T927" s="131"/>
      <c r="U927" s="131"/>
      <c r="V927" s="131"/>
      <c r="W927" s="131"/>
      <c r="X927" s="131"/>
      <c r="Y927" s="131"/>
      <c r="Z927" s="142"/>
      <c r="AA927" s="142"/>
      <c r="AB927" s="142"/>
      <c r="AC927" s="142"/>
      <c r="AD927" s="142"/>
      <c r="AE927" s="142"/>
      <c r="AF927" s="142"/>
      <c r="AG927" s="142"/>
      <c r="AH927" s="142"/>
      <c r="AI927" s="142"/>
      <c r="AJ927" s="142"/>
      <c r="AK927" s="142"/>
      <c r="AL927" s="142"/>
      <c r="AM927" s="142"/>
      <c r="AN927" s="142"/>
      <c r="AO927" s="131"/>
    </row>
    <row r="928" ht="13.5" customHeight="1">
      <c r="A928" s="142"/>
      <c r="B928" s="142"/>
      <c r="C928" s="142"/>
      <c r="D928" s="142"/>
      <c r="E928" s="308"/>
      <c r="F928" s="131"/>
      <c r="G928" s="131"/>
      <c r="H928" s="131"/>
      <c r="I928" s="219"/>
      <c r="J928" s="198"/>
      <c r="K928" s="131"/>
      <c r="L928" s="131"/>
      <c r="M928" s="131"/>
      <c r="N928" s="131"/>
      <c r="O928" s="131"/>
      <c r="P928" s="131"/>
      <c r="Q928" s="131"/>
      <c r="R928" s="131"/>
      <c r="S928" s="131"/>
      <c r="T928" s="131"/>
      <c r="U928" s="131"/>
      <c r="V928" s="131"/>
      <c r="W928" s="131"/>
      <c r="X928" s="131"/>
      <c r="Y928" s="131"/>
      <c r="Z928" s="142"/>
      <c r="AA928" s="142"/>
      <c r="AB928" s="142"/>
      <c r="AC928" s="142"/>
      <c r="AD928" s="142"/>
      <c r="AE928" s="142"/>
      <c r="AF928" s="142"/>
      <c r="AG928" s="142"/>
      <c r="AH928" s="142"/>
      <c r="AI928" s="142"/>
      <c r="AJ928" s="142"/>
      <c r="AK928" s="142"/>
      <c r="AL928" s="142"/>
      <c r="AM928" s="142"/>
      <c r="AN928" s="142"/>
      <c r="AO928" s="131"/>
    </row>
    <row r="929" ht="13.5" customHeight="1">
      <c r="A929" s="142"/>
      <c r="B929" s="142"/>
      <c r="C929" s="142"/>
      <c r="D929" s="142"/>
      <c r="E929" s="308"/>
      <c r="F929" s="131"/>
      <c r="G929" s="131"/>
      <c r="H929" s="131"/>
      <c r="I929" s="219"/>
      <c r="J929" s="198"/>
      <c r="K929" s="131"/>
      <c r="L929" s="131"/>
      <c r="M929" s="131"/>
      <c r="N929" s="131"/>
      <c r="O929" s="131"/>
      <c r="P929" s="131"/>
      <c r="Q929" s="131"/>
      <c r="R929" s="131"/>
      <c r="S929" s="131"/>
      <c r="T929" s="131"/>
      <c r="U929" s="131"/>
      <c r="V929" s="131"/>
      <c r="W929" s="131"/>
      <c r="X929" s="131"/>
      <c r="Y929" s="131"/>
      <c r="Z929" s="142"/>
      <c r="AA929" s="142"/>
      <c r="AB929" s="142"/>
      <c r="AC929" s="142"/>
      <c r="AD929" s="142"/>
      <c r="AE929" s="142"/>
      <c r="AF929" s="142"/>
      <c r="AG929" s="142"/>
      <c r="AH929" s="142"/>
      <c r="AI929" s="142"/>
      <c r="AJ929" s="142"/>
      <c r="AK929" s="142"/>
      <c r="AL929" s="142"/>
      <c r="AM929" s="142"/>
      <c r="AN929" s="142"/>
      <c r="AO929" s="131"/>
    </row>
    <row r="930" ht="13.5" customHeight="1">
      <c r="A930" s="142"/>
      <c r="B930" s="142"/>
      <c r="C930" s="142"/>
      <c r="D930" s="142"/>
      <c r="E930" s="308"/>
      <c r="F930" s="131"/>
      <c r="G930" s="131"/>
      <c r="H930" s="131"/>
      <c r="I930" s="219"/>
      <c r="J930" s="198"/>
      <c r="K930" s="131"/>
      <c r="L930" s="131"/>
      <c r="M930" s="131"/>
      <c r="N930" s="131"/>
      <c r="O930" s="131"/>
      <c r="P930" s="131"/>
      <c r="Q930" s="131"/>
      <c r="R930" s="131"/>
      <c r="S930" s="131"/>
      <c r="T930" s="131"/>
      <c r="U930" s="131"/>
      <c r="V930" s="131"/>
      <c r="W930" s="131"/>
      <c r="X930" s="131"/>
      <c r="Y930" s="131"/>
      <c r="Z930" s="142"/>
      <c r="AA930" s="142"/>
      <c r="AB930" s="142"/>
      <c r="AC930" s="142"/>
      <c r="AD930" s="142"/>
      <c r="AE930" s="142"/>
      <c r="AF930" s="142"/>
      <c r="AG930" s="142"/>
      <c r="AH930" s="142"/>
      <c r="AI930" s="142"/>
      <c r="AJ930" s="142"/>
      <c r="AK930" s="142"/>
      <c r="AL930" s="142"/>
      <c r="AM930" s="142"/>
      <c r="AN930" s="142"/>
      <c r="AO930" s="131"/>
    </row>
    <row r="931" ht="13.5" customHeight="1">
      <c r="A931" s="142"/>
      <c r="B931" s="142"/>
      <c r="C931" s="142"/>
      <c r="D931" s="142"/>
      <c r="E931" s="308"/>
      <c r="F931" s="131"/>
      <c r="G931" s="131"/>
      <c r="H931" s="131"/>
      <c r="I931" s="219"/>
      <c r="J931" s="198"/>
      <c r="K931" s="131"/>
      <c r="L931" s="131"/>
      <c r="M931" s="131"/>
      <c r="N931" s="131"/>
      <c r="O931" s="131"/>
      <c r="P931" s="131"/>
      <c r="Q931" s="131"/>
      <c r="R931" s="131"/>
      <c r="S931" s="131"/>
      <c r="T931" s="131"/>
      <c r="U931" s="131"/>
      <c r="V931" s="131"/>
      <c r="W931" s="131"/>
      <c r="X931" s="131"/>
      <c r="Y931" s="131"/>
      <c r="Z931" s="142"/>
      <c r="AA931" s="142"/>
      <c r="AB931" s="142"/>
      <c r="AC931" s="142"/>
      <c r="AD931" s="142"/>
      <c r="AE931" s="142"/>
      <c r="AF931" s="142"/>
      <c r="AG931" s="142"/>
      <c r="AH931" s="142"/>
      <c r="AI931" s="142"/>
      <c r="AJ931" s="142"/>
      <c r="AK931" s="142"/>
      <c r="AL931" s="142"/>
      <c r="AM931" s="142"/>
      <c r="AN931" s="142"/>
      <c r="AO931" s="131"/>
    </row>
    <row r="932" ht="13.5" customHeight="1">
      <c r="A932" s="142"/>
      <c r="B932" s="142"/>
      <c r="C932" s="142"/>
      <c r="D932" s="142"/>
      <c r="E932" s="308"/>
      <c r="F932" s="131"/>
      <c r="G932" s="131"/>
      <c r="H932" s="131"/>
      <c r="I932" s="219"/>
      <c r="J932" s="198"/>
      <c r="K932" s="131"/>
      <c r="L932" s="131"/>
      <c r="M932" s="131"/>
      <c r="N932" s="131"/>
      <c r="O932" s="131"/>
      <c r="P932" s="131"/>
      <c r="Q932" s="131"/>
      <c r="R932" s="131"/>
      <c r="S932" s="131"/>
      <c r="T932" s="131"/>
      <c r="U932" s="131"/>
      <c r="V932" s="131"/>
      <c r="W932" s="131"/>
      <c r="X932" s="131"/>
      <c r="Y932" s="131"/>
      <c r="Z932" s="142"/>
      <c r="AA932" s="142"/>
      <c r="AB932" s="142"/>
      <c r="AC932" s="142"/>
      <c r="AD932" s="142"/>
      <c r="AE932" s="142"/>
      <c r="AF932" s="142"/>
      <c r="AG932" s="142"/>
      <c r="AH932" s="142"/>
      <c r="AI932" s="142"/>
      <c r="AJ932" s="142"/>
      <c r="AK932" s="142"/>
      <c r="AL932" s="142"/>
      <c r="AM932" s="142"/>
      <c r="AN932" s="142"/>
      <c r="AO932" s="131"/>
    </row>
    <row r="933" ht="13.5" customHeight="1">
      <c r="A933" s="142"/>
      <c r="B933" s="142"/>
      <c r="C933" s="142"/>
      <c r="D933" s="142"/>
      <c r="E933" s="308"/>
      <c r="F933" s="131"/>
      <c r="G933" s="131"/>
      <c r="H933" s="131"/>
      <c r="I933" s="219"/>
      <c r="J933" s="198"/>
      <c r="K933" s="131"/>
      <c r="L933" s="131"/>
      <c r="M933" s="131"/>
      <c r="N933" s="131"/>
      <c r="O933" s="131"/>
      <c r="P933" s="131"/>
      <c r="Q933" s="131"/>
      <c r="R933" s="131"/>
      <c r="S933" s="131"/>
      <c r="T933" s="131"/>
      <c r="U933" s="131"/>
      <c r="V933" s="131"/>
      <c r="W933" s="131"/>
      <c r="X933" s="131"/>
      <c r="Y933" s="131"/>
      <c r="Z933" s="142"/>
      <c r="AA933" s="142"/>
      <c r="AB933" s="142"/>
      <c r="AC933" s="142"/>
      <c r="AD933" s="142"/>
      <c r="AE933" s="142"/>
      <c r="AF933" s="142"/>
      <c r="AG933" s="142"/>
      <c r="AH933" s="142"/>
      <c r="AI933" s="142"/>
      <c r="AJ933" s="142"/>
      <c r="AK933" s="142"/>
      <c r="AL933" s="142"/>
      <c r="AM933" s="142"/>
      <c r="AN933" s="142"/>
      <c r="AO933" s="131"/>
    </row>
    <row r="934" ht="13.5" customHeight="1">
      <c r="A934" s="142"/>
      <c r="B934" s="142"/>
      <c r="C934" s="142"/>
      <c r="D934" s="142"/>
      <c r="E934" s="308"/>
      <c r="F934" s="131"/>
      <c r="G934" s="131"/>
      <c r="H934" s="131"/>
      <c r="I934" s="219"/>
      <c r="J934" s="198"/>
      <c r="K934" s="131"/>
      <c r="L934" s="131"/>
      <c r="M934" s="131"/>
      <c r="N934" s="131"/>
      <c r="O934" s="131"/>
      <c r="P934" s="131"/>
      <c r="Q934" s="131"/>
      <c r="R934" s="131"/>
      <c r="S934" s="131"/>
      <c r="T934" s="131"/>
      <c r="U934" s="131"/>
      <c r="V934" s="131"/>
      <c r="W934" s="131"/>
      <c r="X934" s="131"/>
      <c r="Y934" s="131"/>
      <c r="Z934" s="142"/>
      <c r="AA934" s="142"/>
      <c r="AB934" s="142"/>
      <c r="AC934" s="142"/>
      <c r="AD934" s="142"/>
      <c r="AE934" s="142"/>
      <c r="AF934" s="142"/>
      <c r="AG934" s="142"/>
      <c r="AH934" s="142"/>
      <c r="AI934" s="142"/>
      <c r="AJ934" s="142"/>
      <c r="AK934" s="142"/>
      <c r="AL934" s="142"/>
      <c r="AM934" s="142"/>
      <c r="AN934" s="142"/>
      <c r="AO934" s="131"/>
    </row>
    <row r="935" ht="13.5" customHeight="1">
      <c r="A935" s="142"/>
      <c r="B935" s="142"/>
      <c r="C935" s="142"/>
      <c r="D935" s="142"/>
      <c r="E935" s="308"/>
      <c r="F935" s="131"/>
      <c r="G935" s="131"/>
      <c r="H935" s="131"/>
      <c r="I935" s="219"/>
      <c r="J935" s="198"/>
      <c r="K935" s="131"/>
      <c r="L935" s="131"/>
      <c r="M935" s="131"/>
      <c r="N935" s="131"/>
      <c r="O935" s="131"/>
      <c r="P935" s="131"/>
      <c r="Q935" s="131"/>
      <c r="R935" s="131"/>
      <c r="S935" s="131"/>
      <c r="T935" s="131"/>
      <c r="U935" s="131"/>
      <c r="V935" s="131"/>
      <c r="W935" s="131"/>
      <c r="X935" s="131"/>
      <c r="Y935" s="131"/>
      <c r="Z935" s="142"/>
      <c r="AA935" s="142"/>
      <c r="AB935" s="142"/>
      <c r="AC935" s="142"/>
      <c r="AD935" s="142"/>
      <c r="AE935" s="142"/>
      <c r="AF935" s="142"/>
      <c r="AG935" s="142"/>
      <c r="AH935" s="142"/>
      <c r="AI935" s="142"/>
      <c r="AJ935" s="142"/>
      <c r="AK935" s="142"/>
      <c r="AL935" s="142"/>
      <c r="AM935" s="142"/>
      <c r="AN935" s="142"/>
      <c r="AO935" s="131"/>
    </row>
    <row r="936" ht="13.5" customHeight="1">
      <c r="A936" s="142"/>
      <c r="B936" s="142"/>
      <c r="C936" s="142"/>
      <c r="D936" s="142"/>
      <c r="E936" s="308"/>
      <c r="F936" s="131"/>
      <c r="G936" s="131"/>
      <c r="H936" s="131"/>
      <c r="I936" s="219"/>
      <c r="J936" s="198"/>
      <c r="K936" s="131"/>
      <c r="L936" s="131"/>
      <c r="M936" s="131"/>
      <c r="N936" s="131"/>
      <c r="O936" s="131"/>
      <c r="P936" s="131"/>
      <c r="Q936" s="131"/>
      <c r="R936" s="131"/>
      <c r="S936" s="131"/>
      <c r="T936" s="131"/>
      <c r="U936" s="131"/>
      <c r="V936" s="131"/>
      <c r="W936" s="131"/>
      <c r="X936" s="131"/>
      <c r="Y936" s="131"/>
      <c r="Z936" s="142"/>
      <c r="AA936" s="142"/>
      <c r="AB936" s="142"/>
      <c r="AC936" s="142"/>
      <c r="AD936" s="142"/>
      <c r="AE936" s="142"/>
      <c r="AF936" s="142"/>
      <c r="AG936" s="142"/>
      <c r="AH936" s="142"/>
      <c r="AI936" s="142"/>
      <c r="AJ936" s="142"/>
      <c r="AK936" s="142"/>
      <c r="AL936" s="142"/>
      <c r="AM936" s="142"/>
      <c r="AN936" s="142"/>
      <c r="AO936" s="131"/>
    </row>
    <row r="937" ht="13.5" customHeight="1">
      <c r="A937" s="142"/>
      <c r="B937" s="142"/>
      <c r="C937" s="142"/>
      <c r="D937" s="142"/>
      <c r="E937" s="308"/>
      <c r="F937" s="131"/>
      <c r="G937" s="131"/>
      <c r="H937" s="131"/>
      <c r="I937" s="219"/>
      <c r="J937" s="198"/>
      <c r="K937" s="131"/>
      <c r="L937" s="131"/>
      <c r="M937" s="131"/>
      <c r="N937" s="131"/>
      <c r="O937" s="131"/>
      <c r="P937" s="131"/>
      <c r="Q937" s="131"/>
      <c r="R937" s="131"/>
      <c r="S937" s="131"/>
      <c r="T937" s="131"/>
      <c r="U937" s="131"/>
      <c r="V937" s="131"/>
      <c r="W937" s="131"/>
      <c r="X937" s="131"/>
      <c r="Y937" s="131"/>
      <c r="Z937" s="142"/>
      <c r="AA937" s="142"/>
      <c r="AB937" s="142"/>
      <c r="AC937" s="142"/>
      <c r="AD937" s="142"/>
      <c r="AE937" s="142"/>
      <c r="AF937" s="142"/>
      <c r="AG937" s="142"/>
      <c r="AH937" s="142"/>
      <c r="AI937" s="142"/>
      <c r="AJ937" s="142"/>
      <c r="AK937" s="142"/>
      <c r="AL937" s="142"/>
      <c r="AM937" s="142"/>
      <c r="AN937" s="142"/>
      <c r="AO937" s="131"/>
    </row>
    <row r="938" ht="13.5" customHeight="1">
      <c r="A938" s="142"/>
      <c r="B938" s="142"/>
      <c r="C938" s="142"/>
      <c r="D938" s="142"/>
      <c r="E938" s="308"/>
      <c r="F938" s="131"/>
      <c r="G938" s="131"/>
      <c r="H938" s="131"/>
      <c r="I938" s="219"/>
      <c r="J938" s="198"/>
      <c r="K938" s="131"/>
      <c r="L938" s="131"/>
      <c r="M938" s="131"/>
      <c r="N938" s="131"/>
      <c r="O938" s="131"/>
      <c r="P938" s="131"/>
      <c r="Q938" s="131"/>
      <c r="R938" s="131"/>
      <c r="S938" s="131"/>
      <c r="T938" s="131"/>
      <c r="U938" s="131"/>
      <c r="V938" s="131"/>
      <c r="W938" s="131"/>
      <c r="X938" s="131"/>
      <c r="Y938" s="131"/>
      <c r="Z938" s="142"/>
      <c r="AA938" s="142"/>
      <c r="AB938" s="142"/>
      <c r="AC938" s="142"/>
      <c r="AD938" s="142"/>
      <c r="AE938" s="142"/>
      <c r="AF938" s="142"/>
      <c r="AG938" s="142"/>
      <c r="AH938" s="142"/>
      <c r="AI938" s="142"/>
      <c r="AJ938" s="142"/>
      <c r="AK938" s="142"/>
      <c r="AL938" s="142"/>
      <c r="AM938" s="142"/>
      <c r="AN938" s="142"/>
      <c r="AO938" s="131"/>
    </row>
    <row r="939" ht="13.5" customHeight="1">
      <c r="A939" s="142"/>
      <c r="B939" s="142"/>
      <c r="C939" s="142"/>
      <c r="D939" s="142"/>
      <c r="E939" s="308"/>
      <c r="F939" s="131"/>
      <c r="G939" s="131"/>
      <c r="H939" s="131"/>
      <c r="I939" s="219"/>
      <c r="J939" s="198"/>
      <c r="K939" s="131"/>
      <c r="L939" s="131"/>
      <c r="M939" s="131"/>
      <c r="N939" s="131"/>
      <c r="O939" s="131"/>
      <c r="P939" s="131"/>
      <c r="Q939" s="131"/>
      <c r="R939" s="131"/>
      <c r="S939" s="131"/>
      <c r="T939" s="131"/>
      <c r="U939" s="131"/>
      <c r="V939" s="131"/>
      <c r="W939" s="131"/>
      <c r="X939" s="131"/>
      <c r="Y939" s="131"/>
      <c r="Z939" s="142"/>
      <c r="AA939" s="142"/>
      <c r="AB939" s="142"/>
      <c r="AC939" s="142"/>
      <c r="AD939" s="142"/>
      <c r="AE939" s="142"/>
      <c r="AF939" s="142"/>
      <c r="AG939" s="142"/>
      <c r="AH939" s="142"/>
      <c r="AI939" s="142"/>
      <c r="AJ939" s="142"/>
      <c r="AK939" s="142"/>
      <c r="AL939" s="142"/>
      <c r="AM939" s="142"/>
      <c r="AN939" s="142"/>
      <c r="AO939" s="131"/>
    </row>
    <row r="940" ht="13.5" customHeight="1">
      <c r="A940" s="142"/>
      <c r="B940" s="142"/>
      <c r="C940" s="142"/>
      <c r="D940" s="142"/>
      <c r="E940" s="308"/>
      <c r="F940" s="131"/>
      <c r="G940" s="131"/>
      <c r="H940" s="131"/>
      <c r="I940" s="219"/>
      <c r="J940" s="198"/>
      <c r="K940" s="131"/>
      <c r="L940" s="131"/>
      <c r="M940" s="131"/>
      <c r="N940" s="131"/>
      <c r="O940" s="131"/>
      <c r="P940" s="131"/>
      <c r="Q940" s="131"/>
      <c r="R940" s="131"/>
      <c r="S940" s="131"/>
      <c r="T940" s="131"/>
      <c r="U940" s="131"/>
      <c r="V940" s="131"/>
      <c r="W940" s="131"/>
      <c r="X940" s="131"/>
      <c r="Y940" s="131"/>
      <c r="Z940" s="142"/>
      <c r="AA940" s="142"/>
      <c r="AB940" s="142"/>
      <c r="AC940" s="142"/>
      <c r="AD940" s="142"/>
      <c r="AE940" s="142"/>
      <c r="AF940" s="142"/>
      <c r="AG940" s="142"/>
      <c r="AH940" s="142"/>
      <c r="AI940" s="142"/>
      <c r="AJ940" s="142"/>
      <c r="AK940" s="142"/>
      <c r="AL940" s="142"/>
      <c r="AM940" s="142"/>
      <c r="AN940" s="142"/>
      <c r="AO940" s="131"/>
    </row>
    <row r="941" ht="13.5" customHeight="1">
      <c r="A941" s="142"/>
      <c r="B941" s="142"/>
      <c r="C941" s="142"/>
      <c r="D941" s="142"/>
      <c r="E941" s="308"/>
      <c r="F941" s="131"/>
      <c r="G941" s="131"/>
      <c r="H941" s="131"/>
      <c r="I941" s="219"/>
      <c r="J941" s="198"/>
      <c r="K941" s="131"/>
      <c r="L941" s="131"/>
      <c r="M941" s="131"/>
      <c r="N941" s="131"/>
      <c r="O941" s="131"/>
      <c r="P941" s="131"/>
      <c r="Q941" s="131"/>
      <c r="R941" s="131"/>
      <c r="S941" s="131"/>
      <c r="T941" s="131"/>
      <c r="U941" s="131"/>
      <c r="V941" s="131"/>
      <c r="W941" s="131"/>
      <c r="X941" s="131"/>
      <c r="Y941" s="131"/>
      <c r="Z941" s="142"/>
      <c r="AA941" s="142"/>
      <c r="AB941" s="142"/>
      <c r="AC941" s="142"/>
      <c r="AD941" s="142"/>
      <c r="AE941" s="142"/>
      <c r="AF941" s="142"/>
      <c r="AG941" s="142"/>
      <c r="AH941" s="142"/>
      <c r="AI941" s="142"/>
      <c r="AJ941" s="142"/>
      <c r="AK941" s="142"/>
      <c r="AL941" s="142"/>
      <c r="AM941" s="142"/>
      <c r="AN941" s="142"/>
      <c r="AO941" s="131"/>
    </row>
    <row r="942" ht="13.5" customHeight="1">
      <c r="A942" s="142"/>
      <c r="B942" s="142"/>
      <c r="C942" s="142"/>
      <c r="D942" s="142"/>
      <c r="E942" s="308"/>
      <c r="F942" s="131"/>
      <c r="G942" s="131"/>
      <c r="H942" s="131"/>
      <c r="I942" s="219"/>
      <c r="J942" s="198"/>
      <c r="K942" s="131"/>
      <c r="L942" s="131"/>
      <c r="M942" s="131"/>
      <c r="N942" s="131"/>
      <c r="O942" s="131"/>
      <c r="P942" s="131"/>
      <c r="Q942" s="131"/>
      <c r="R942" s="131"/>
      <c r="S942" s="131"/>
      <c r="T942" s="131"/>
      <c r="U942" s="131"/>
      <c r="V942" s="131"/>
      <c r="W942" s="131"/>
      <c r="X942" s="131"/>
      <c r="Y942" s="131"/>
      <c r="Z942" s="142"/>
      <c r="AA942" s="142"/>
      <c r="AB942" s="142"/>
      <c r="AC942" s="142"/>
      <c r="AD942" s="142"/>
      <c r="AE942" s="142"/>
      <c r="AF942" s="142"/>
      <c r="AG942" s="142"/>
      <c r="AH942" s="142"/>
      <c r="AI942" s="142"/>
      <c r="AJ942" s="142"/>
      <c r="AK942" s="142"/>
      <c r="AL942" s="142"/>
      <c r="AM942" s="142"/>
      <c r="AN942" s="142"/>
      <c r="AO942" s="131"/>
    </row>
    <row r="943" ht="13.5" customHeight="1">
      <c r="A943" s="142"/>
      <c r="B943" s="142"/>
      <c r="C943" s="142"/>
      <c r="D943" s="142"/>
      <c r="E943" s="308"/>
      <c r="F943" s="131"/>
      <c r="G943" s="131"/>
      <c r="H943" s="131"/>
      <c r="I943" s="219"/>
      <c r="J943" s="198"/>
      <c r="K943" s="131"/>
      <c r="L943" s="131"/>
      <c r="M943" s="131"/>
      <c r="N943" s="131"/>
      <c r="O943" s="131"/>
      <c r="P943" s="131"/>
      <c r="Q943" s="131"/>
      <c r="R943" s="131"/>
      <c r="S943" s="131"/>
      <c r="T943" s="131"/>
      <c r="U943" s="131"/>
      <c r="V943" s="131"/>
      <c r="W943" s="131"/>
      <c r="X943" s="131"/>
      <c r="Y943" s="131"/>
      <c r="Z943" s="142"/>
      <c r="AA943" s="142"/>
      <c r="AB943" s="142"/>
      <c r="AC943" s="142"/>
      <c r="AD943" s="142"/>
      <c r="AE943" s="142"/>
      <c r="AF943" s="142"/>
      <c r="AG943" s="142"/>
      <c r="AH943" s="142"/>
      <c r="AI943" s="142"/>
      <c r="AJ943" s="142"/>
      <c r="AK943" s="142"/>
      <c r="AL943" s="142"/>
      <c r="AM943" s="142"/>
      <c r="AN943" s="142"/>
      <c r="AO943" s="131"/>
    </row>
    <row r="944" ht="13.5" customHeight="1">
      <c r="A944" s="142"/>
      <c r="B944" s="142"/>
      <c r="C944" s="142"/>
      <c r="D944" s="142"/>
      <c r="E944" s="308"/>
      <c r="F944" s="131"/>
      <c r="G944" s="131"/>
      <c r="H944" s="131"/>
      <c r="I944" s="219"/>
      <c r="J944" s="198"/>
      <c r="K944" s="131"/>
      <c r="L944" s="131"/>
      <c r="M944" s="131"/>
      <c r="N944" s="131"/>
      <c r="O944" s="131"/>
      <c r="P944" s="131"/>
      <c r="Q944" s="131"/>
      <c r="R944" s="131"/>
      <c r="S944" s="131"/>
      <c r="T944" s="131"/>
      <c r="U944" s="131"/>
      <c r="V944" s="131"/>
      <c r="W944" s="131"/>
      <c r="X944" s="131"/>
      <c r="Y944" s="131"/>
      <c r="Z944" s="142"/>
      <c r="AA944" s="142"/>
      <c r="AB944" s="142"/>
      <c r="AC944" s="142"/>
      <c r="AD944" s="142"/>
      <c r="AE944" s="142"/>
      <c r="AF944" s="142"/>
      <c r="AG944" s="142"/>
      <c r="AH944" s="142"/>
      <c r="AI944" s="142"/>
      <c r="AJ944" s="142"/>
      <c r="AK944" s="142"/>
      <c r="AL944" s="142"/>
      <c r="AM944" s="142"/>
      <c r="AN944" s="142"/>
      <c r="AO944" s="131"/>
    </row>
    <row r="945" ht="13.5" customHeight="1">
      <c r="A945" s="142"/>
      <c r="B945" s="142"/>
      <c r="C945" s="142"/>
      <c r="D945" s="142"/>
      <c r="E945" s="308"/>
      <c r="F945" s="131"/>
      <c r="G945" s="131"/>
      <c r="H945" s="131"/>
      <c r="I945" s="219"/>
      <c r="J945" s="198"/>
      <c r="K945" s="131"/>
      <c r="L945" s="131"/>
      <c r="M945" s="131"/>
      <c r="N945" s="131"/>
      <c r="O945" s="131"/>
      <c r="P945" s="131"/>
      <c r="Q945" s="131"/>
      <c r="R945" s="131"/>
      <c r="S945" s="131"/>
      <c r="T945" s="131"/>
      <c r="U945" s="131"/>
      <c r="V945" s="131"/>
      <c r="W945" s="131"/>
      <c r="X945" s="131"/>
      <c r="Y945" s="131"/>
      <c r="Z945" s="142"/>
      <c r="AA945" s="142"/>
      <c r="AB945" s="142"/>
      <c r="AC945" s="142"/>
      <c r="AD945" s="142"/>
      <c r="AE945" s="142"/>
      <c r="AF945" s="142"/>
      <c r="AG945" s="142"/>
      <c r="AH945" s="142"/>
      <c r="AI945" s="142"/>
      <c r="AJ945" s="142"/>
      <c r="AK945" s="142"/>
      <c r="AL945" s="142"/>
      <c r="AM945" s="142"/>
      <c r="AN945" s="142"/>
      <c r="AO945" s="131"/>
    </row>
    <row r="946" ht="13.5" customHeight="1">
      <c r="A946" s="142"/>
      <c r="B946" s="142"/>
      <c r="C946" s="142"/>
      <c r="D946" s="142"/>
      <c r="E946" s="308"/>
      <c r="F946" s="131"/>
      <c r="G946" s="131"/>
      <c r="H946" s="131"/>
      <c r="I946" s="219"/>
      <c r="J946" s="198"/>
      <c r="K946" s="131"/>
      <c r="L946" s="131"/>
      <c r="M946" s="131"/>
      <c r="N946" s="131"/>
      <c r="O946" s="131"/>
      <c r="P946" s="131"/>
      <c r="Q946" s="131"/>
      <c r="R946" s="131"/>
      <c r="S946" s="131"/>
      <c r="T946" s="131"/>
      <c r="U946" s="131"/>
      <c r="V946" s="131"/>
      <c r="W946" s="131"/>
      <c r="X946" s="131"/>
      <c r="Y946" s="131"/>
      <c r="Z946" s="142"/>
      <c r="AA946" s="142"/>
      <c r="AB946" s="142"/>
      <c r="AC946" s="142"/>
      <c r="AD946" s="142"/>
      <c r="AE946" s="142"/>
      <c r="AF946" s="142"/>
      <c r="AG946" s="142"/>
      <c r="AH946" s="142"/>
      <c r="AI946" s="142"/>
      <c r="AJ946" s="142"/>
      <c r="AK946" s="142"/>
      <c r="AL946" s="142"/>
      <c r="AM946" s="142"/>
      <c r="AN946" s="142"/>
      <c r="AO946" s="131"/>
    </row>
    <row r="947" ht="13.5" customHeight="1">
      <c r="A947" s="142"/>
      <c r="B947" s="142"/>
      <c r="C947" s="142"/>
      <c r="D947" s="142"/>
      <c r="E947" s="308"/>
      <c r="F947" s="131"/>
      <c r="G947" s="131"/>
      <c r="H947" s="131"/>
      <c r="I947" s="219"/>
      <c r="J947" s="198"/>
      <c r="K947" s="131"/>
      <c r="L947" s="131"/>
      <c r="M947" s="131"/>
      <c r="N947" s="131"/>
      <c r="O947" s="131"/>
      <c r="P947" s="131"/>
      <c r="Q947" s="131"/>
      <c r="R947" s="131"/>
      <c r="S947" s="131"/>
      <c r="T947" s="131"/>
      <c r="U947" s="131"/>
      <c r="V947" s="131"/>
      <c r="W947" s="131"/>
      <c r="X947" s="131"/>
      <c r="Y947" s="131"/>
      <c r="Z947" s="142"/>
      <c r="AA947" s="142"/>
      <c r="AB947" s="142"/>
      <c r="AC947" s="142"/>
      <c r="AD947" s="142"/>
      <c r="AE947" s="142"/>
      <c r="AF947" s="142"/>
      <c r="AG947" s="142"/>
      <c r="AH947" s="142"/>
      <c r="AI947" s="142"/>
      <c r="AJ947" s="142"/>
      <c r="AK947" s="142"/>
      <c r="AL947" s="142"/>
      <c r="AM947" s="142"/>
      <c r="AN947" s="142"/>
      <c r="AO947" s="131"/>
    </row>
    <row r="948" ht="13.5" customHeight="1">
      <c r="A948" s="142"/>
      <c r="B948" s="142"/>
      <c r="C948" s="142"/>
      <c r="D948" s="142"/>
      <c r="E948" s="308"/>
      <c r="F948" s="131"/>
      <c r="G948" s="131"/>
      <c r="H948" s="131"/>
      <c r="I948" s="219"/>
      <c r="J948" s="198"/>
      <c r="K948" s="131"/>
      <c r="L948" s="131"/>
      <c r="M948" s="131"/>
      <c r="N948" s="131"/>
      <c r="O948" s="131"/>
      <c r="P948" s="131"/>
      <c r="Q948" s="131"/>
      <c r="R948" s="131"/>
      <c r="S948" s="131"/>
      <c r="T948" s="131"/>
      <c r="U948" s="131"/>
      <c r="V948" s="131"/>
      <c r="W948" s="131"/>
      <c r="X948" s="131"/>
      <c r="Y948" s="131"/>
      <c r="Z948" s="142"/>
      <c r="AA948" s="142"/>
      <c r="AB948" s="142"/>
      <c r="AC948" s="142"/>
      <c r="AD948" s="142"/>
      <c r="AE948" s="142"/>
      <c r="AF948" s="142"/>
      <c r="AG948" s="142"/>
      <c r="AH948" s="142"/>
      <c r="AI948" s="142"/>
      <c r="AJ948" s="142"/>
      <c r="AK948" s="142"/>
      <c r="AL948" s="142"/>
      <c r="AM948" s="142"/>
      <c r="AN948" s="142"/>
      <c r="AO948" s="131"/>
    </row>
    <row r="949" ht="13.5" customHeight="1">
      <c r="A949" s="142"/>
      <c r="B949" s="142"/>
      <c r="C949" s="142"/>
      <c r="D949" s="142"/>
      <c r="E949" s="308"/>
      <c r="F949" s="131"/>
      <c r="G949" s="131"/>
      <c r="H949" s="131"/>
      <c r="I949" s="219"/>
      <c r="J949" s="198"/>
      <c r="K949" s="131"/>
      <c r="L949" s="131"/>
      <c r="M949" s="131"/>
      <c r="N949" s="131"/>
      <c r="O949" s="131"/>
      <c r="P949" s="131"/>
      <c r="Q949" s="131"/>
      <c r="R949" s="131"/>
      <c r="S949" s="131"/>
      <c r="T949" s="131"/>
      <c r="U949" s="131"/>
      <c r="V949" s="131"/>
      <c r="W949" s="131"/>
      <c r="X949" s="131"/>
      <c r="Y949" s="131"/>
      <c r="Z949" s="142"/>
      <c r="AA949" s="142"/>
      <c r="AB949" s="142"/>
      <c r="AC949" s="142"/>
      <c r="AD949" s="142"/>
      <c r="AE949" s="142"/>
      <c r="AF949" s="142"/>
      <c r="AG949" s="142"/>
      <c r="AH949" s="142"/>
      <c r="AI949" s="142"/>
      <c r="AJ949" s="142"/>
      <c r="AK949" s="142"/>
      <c r="AL949" s="142"/>
      <c r="AM949" s="142"/>
      <c r="AN949" s="142"/>
      <c r="AO949" s="131"/>
    </row>
    <row r="950" ht="13.5" customHeight="1">
      <c r="A950" s="142"/>
      <c r="B950" s="142"/>
      <c r="C950" s="142"/>
      <c r="D950" s="142"/>
      <c r="E950" s="308"/>
      <c r="F950" s="131"/>
      <c r="G950" s="131"/>
      <c r="H950" s="131"/>
      <c r="I950" s="219"/>
      <c r="J950" s="198"/>
      <c r="K950" s="131"/>
      <c r="L950" s="131"/>
      <c r="M950" s="131"/>
      <c r="N950" s="131"/>
      <c r="O950" s="131"/>
      <c r="P950" s="131"/>
      <c r="Q950" s="131"/>
      <c r="R950" s="131"/>
      <c r="S950" s="131"/>
      <c r="T950" s="131"/>
      <c r="U950" s="131"/>
      <c r="V950" s="131"/>
      <c r="W950" s="131"/>
      <c r="X950" s="131"/>
      <c r="Y950" s="131"/>
      <c r="Z950" s="142"/>
      <c r="AA950" s="142"/>
      <c r="AB950" s="142"/>
      <c r="AC950" s="142"/>
      <c r="AD950" s="142"/>
      <c r="AE950" s="142"/>
      <c r="AF950" s="142"/>
      <c r="AG950" s="142"/>
      <c r="AH950" s="142"/>
      <c r="AI950" s="142"/>
      <c r="AJ950" s="142"/>
      <c r="AK950" s="142"/>
      <c r="AL950" s="142"/>
      <c r="AM950" s="142"/>
      <c r="AN950" s="142"/>
      <c r="AO950" s="131"/>
    </row>
    <row r="951" ht="13.5" customHeight="1">
      <c r="A951" s="142"/>
      <c r="B951" s="142"/>
      <c r="C951" s="142"/>
      <c r="D951" s="142"/>
      <c r="E951" s="308"/>
      <c r="F951" s="131"/>
      <c r="G951" s="131"/>
      <c r="H951" s="131"/>
      <c r="I951" s="219"/>
      <c r="J951" s="198"/>
      <c r="K951" s="131"/>
      <c r="L951" s="131"/>
      <c r="M951" s="131"/>
      <c r="N951" s="131"/>
      <c r="O951" s="131"/>
      <c r="P951" s="131"/>
      <c r="Q951" s="131"/>
      <c r="R951" s="131"/>
      <c r="S951" s="131"/>
      <c r="T951" s="131"/>
      <c r="U951" s="131"/>
      <c r="V951" s="131"/>
      <c r="W951" s="131"/>
      <c r="X951" s="131"/>
      <c r="Y951" s="131"/>
      <c r="Z951" s="142"/>
      <c r="AA951" s="142"/>
      <c r="AB951" s="142"/>
      <c r="AC951" s="142"/>
      <c r="AD951" s="142"/>
      <c r="AE951" s="142"/>
      <c r="AF951" s="142"/>
      <c r="AG951" s="142"/>
      <c r="AH951" s="142"/>
      <c r="AI951" s="142"/>
      <c r="AJ951" s="142"/>
      <c r="AK951" s="142"/>
      <c r="AL951" s="142"/>
      <c r="AM951" s="142"/>
      <c r="AN951" s="142"/>
      <c r="AO951" s="131"/>
    </row>
    <row r="952" ht="13.5" customHeight="1">
      <c r="A952" s="142"/>
      <c r="B952" s="142"/>
      <c r="C952" s="142"/>
      <c r="D952" s="142"/>
      <c r="E952" s="308"/>
      <c r="F952" s="131"/>
      <c r="G952" s="131"/>
      <c r="H952" s="131"/>
      <c r="I952" s="219"/>
      <c r="J952" s="198"/>
      <c r="K952" s="131"/>
      <c r="L952" s="131"/>
      <c r="M952" s="131"/>
      <c r="N952" s="131"/>
      <c r="O952" s="131"/>
      <c r="P952" s="131"/>
      <c r="Q952" s="131"/>
      <c r="R952" s="131"/>
      <c r="S952" s="131"/>
      <c r="T952" s="131"/>
      <c r="U952" s="131"/>
      <c r="V952" s="131"/>
      <c r="W952" s="131"/>
      <c r="X952" s="131"/>
      <c r="Y952" s="131"/>
      <c r="Z952" s="142"/>
      <c r="AA952" s="142"/>
      <c r="AB952" s="142"/>
      <c r="AC952" s="142"/>
      <c r="AD952" s="142"/>
      <c r="AE952" s="142"/>
      <c r="AF952" s="142"/>
      <c r="AG952" s="142"/>
      <c r="AH952" s="142"/>
      <c r="AI952" s="142"/>
      <c r="AJ952" s="142"/>
      <c r="AK952" s="142"/>
      <c r="AL952" s="142"/>
      <c r="AM952" s="142"/>
      <c r="AN952" s="142"/>
      <c r="AO952" s="131"/>
    </row>
    <row r="953" ht="13.5" customHeight="1">
      <c r="A953" s="142"/>
      <c r="B953" s="142"/>
      <c r="C953" s="142"/>
      <c r="D953" s="142"/>
      <c r="E953" s="308"/>
      <c r="F953" s="131"/>
      <c r="G953" s="131"/>
      <c r="H953" s="131"/>
      <c r="I953" s="219"/>
      <c r="J953" s="198"/>
      <c r="K953" s="131"/>
      <c r="L953" s="131"/>
      <c r="M953" s="131"/>
      <c r="N953" s="131"/>
      <c r="O953" s="131"/>
      <c r="P953" s="131"/>
      <c r="Q953" s="131"/>
      <c r="R953" s="131"/>
      <c r="S953" s="131"/>
      <c r="T953" s="131"/>
      <c r="U953" s="131"/>
      <c r="V953" s="131"/>
      <c r="W953" s="131"/>
      <c r="X953" s="131"/>
      <c r="Y953" s="131"/>
      <c r="Z953" s="142"/>
      <c r="AA953" s="142"/>
      <c r="AB953" s="142"/>
      <c r="AC953" s="142"/>
      <c r="AD953" s="142"/>
      <c r="AE953" s="142"/>
      <c r="AF953" s="142"/>
      <c r="AG953" s="142"/>
      <c r="AH953" s="142"/>
      <c r="AI953" s="142"/>
      <c r="AJ953" s="142"/>
      <c r="AK953" s="142"/>
      <c r="AL953" s="142"/>
      <c r="AM953" s="142"/>
      <c r="AN953" s="142"/>
      <c r="AO953" s="131"/>
    </row>
    <row r="954" ht="13.5" customHeight="1">
      <c r="A954" s="142"/>
      <c r="B954" s="142"/>
      <c r="C954" s="142"/>
      <c r="D954" s="142"/>
      <c r="E954" s="308"/>
      <c r="F954" s="131"/>
      <c r="G954" s="131"/>
      <c r="H954" s="131"/>
      <c r="I954" s="219"/>
      <c r="J954" s="198"/>
      <c r="K954" s="131"/>
      <c r="L954" s="131"/>
      <c r="M954" s="131"/>
      <c r="N954" s="131"/>
      <c r="O954" s="131"/>
      <c r="P954" s="131"/>
      <c r="Q954" s="131"/>
      <c r="R954" s="131"/>
      <c r="S954" s="131"/>
      <c r="T954" s="131"/>
      <c r="U954" s="131"/>
      <c r="V954" s="131"/>
      <c r="W954" s="131"/>
      <c r="X954" s="131"/>
      <c r="Y954" s="131"/>
      <c r="Z954" s="142"/>
      <c r="AA954" s="142"/>
      <c r="AB954" s="142"/>
      <c r="AC954" s="142"/>
      <c r="AD954" s="142"/>
      <c r="AE954" s="142"/>
      <c r="AF954" s="142"/>
      <c r="AG954" s="142"/>
      <c r="AH954" s="142"/>
      <c r="AI954" s="142"/>
      <c r="AJ954" s="142"/>
      <c r="AK954" s="142"/>
      <c r="AL954" s="142"/>
      <c r="AM954" s="142"/>
      <c r="AN954" s="142"/>
      <c r="AO954" s="131"/>
    </row>
    <row r="955" ht="13.5" customHeight="1">
      <c r="A955" s="142"/>
      <c r="B955" s="142"/>
      <c r="C955" s="142"/>
      <c r="D955" s="142"/>
      <c r="E955" s="308"/>
      <c r="F955" s="131"/>
      <c r="G955" s="131"/>
      <c r="H955" s="131"/>
      <c r="I955" s="219"/>
      <c r="J955" s="198"/>
      <c r="K955" s="131"/>
      <c r="L955" s="131"/>
      <c r="M955" s="131"/>
      <c r="N955" s="131"/>
      <c r="O955" s="131"/>
      <c r="P955" s="131"/>
      <c r="Q955" s="131"/>
      <c r="R955" s="131"/>
      <c r="S955" s="131"/>
      <c r="T955" s="131"/>
      <c r="U955" s="131"/>
      <c r="V955" s="131"/>
      <c r="W955" s="131"/>
      <c r="X955" s="131"/>
      <c r="Y955" s="131"/>
      <c r="Z955" s="142"/>
      <c r="AA955" s="142"/>
      <c r="AB955" s="142"/>
      <c r="AC955" s="142"/>
      <c r="AD955" s="142"/>
      <c r="AE955" s="142"/>
      <c r="AF955" s="142"/>
      <c r="AG955" s="142"/>
      <c r="AH955" s="142"/>
      <c r="AI955" s="142"/>
      <c r="AJ955" s="142"/>
      <c r="AK955" s="142"/>
      <c r="AL955" s="142"/>
      <c r="AM955" s="142"/>
      <c r="AN955" s="142"/>
      <c r="AO955" s="131"/>
    </row>
    <row r="956" ht="13.5" customHeight="1">
      <c r="A956" s="142"/>
      <c r="B956" s="142"/>
      <c r="C956" s="142"/>
      <c r="D956" s="142"/>
      <c r="E956" s="308"/>
      <c r="F956" s="131"/>
      <c r="G956" s="131"/>
      <c r="H956" s="131"/>
      <c r="I956" s="219"/>
      <c r="J956" s="198"/>
      <c r="K956" s="131"/>
      <c r="L956" s="131"/>
      <c r="M956" s="131"/>
      <c r="N956" s="131"/>
      <c r="O956" s="131"/>
      <c r="P956" s="131"/>
      <c r="Q956" s="131"/>
      <c r="R956" s="131"/>
      <c r="S956" s="131"/>
      <c r="T956" s="131"/>
      <c r="U956" s="131"/>
      <c r="V956" s="131"/>
      <c r="W956" s="131"/>
      <c r="X956" s="131"/>
      <c r="Y956" s="131"/>
      <c r="Z956" s="142"/>
      <c r="AA956" s="142"/>
      <c r="AB956" s="142"/>
      <c r="AC956" s="142"/>
      <c r="AD956" s="142"/>
      <c r="AE956" s="142"/>
      <c r="AF956" s="142"/>
      <c r="AG956" s="142"/>
      <c r="AH956" s="142"/>
      <c r="AI956" s="142"/>
      <c r="AJ956" s="142"/>
      <c r="AK956" s="142"/>
      <c r="AL956" s="142"/>
      <c r="AM956" s="142"/>
      <c r="AN956" s="142"/>
      <c r="AO956" s="131"/>
    </row>
    <row r="957" ht="13.5" customHeight="1">
      <c r="A957" s="142"/>
      <c r="B957" s="142"/>
      <c r="C957" s="142"/>
      <c r="D957" s="142"/>
      <c r="E957" s="308"/>
      <c r="F957" s="131"/>
      <c r="G957" s="131"/>
      <c r="H957" s="131"/>
      <c r="I957" s="219"/>
      <c r="J957" s="198"/>
      <c r="K957" s="131"/>
      <c r="L957" s="131"/>
      <c r="M957" s="131"/>
      <c r="N957" s="131"/>
      <c r="O957" s="131"/>
      <c r="P957" s="131"/>
      <c r="Q957" s="131"/>
      <c r="R957" s="131"/>
      <c r="S957" s="131"/>
      <c r="T957" s="131"/>
      <c r="U957" s="131"/>
      <c r="V957" s="131"/>
      <c r="W957" s="131"/>
      <c r="X957" s="131"/>
      <c r="Y957" s="131"/>
      <c r="Z957" s="142"/>
      <c r="AA957" s="142"/>
      <c r="AB957" s="142"/>
      <c r="AC957" s="142"/>
      <c r="AD957" s="142"/>
      <c r="AE957" s="142"/>
      <c r="AF957" s="142"/>
      <c r="AG957" s="142"/>
      <c r="AH957" s="142"/>
      <c r="AI957" s="142"/>
      <c r="AJ957" s="142"/>
      <c r="AK957" s="142"/>
      <c r="AL957" s="142"/>
      <c r="AM957" s="142"/>
      <c r="AN957" s="142"/>
      <c r="AO957" s="131"/>
    </row>
    <row r="958" ht="13.5" customHeight="1">
      <c r="A958" s="142"/>
      <c r="B958" s="142"/>
      <c r="C958" s="142"/>
      <c r="D958" s="142"/>
      <c r="E958" s="308"/>
      <c r="F958" s="131"/>
      <c r="G958" s="131"/>
      <c r="H958" s="131"/>
      <c r="I958" s="219"/>
      <c r="J958" s="198"/>
      <c r="K958" s="131"/>
      <c r="L958" s="131"/>
      <c r="M958" s="131"/>
      <c r="N958" s="131"/>
      <c r="O958" s="131"/>
      <c r="P958" s="131"/>
      <c r="Q958" s="131"/>
      <c r="R958" s="131"/>
      <c r="S958" s="131"/>
      <c r="T958" s="131"/>
      <c r="U958" s="131"/>
      <c r="V958" s="131"/>
      <c r="W958" s="131"/>
      <c r="X958" s="131"/>
      <c r="Y958" s="131"/>
      <c r="Z958" s="142"/>
      <c r="AA958" s="142"/>
      <c r="AB958" s="142"/>
      <c r="AC958" s="142"/>
      <c r="AD958" s="142"/>
      <c r="AE958" s="142"/>
      <c r="AF958" s="142"/>
      <c r="AG958" s="142"/>
      <c r="AH958" s="142"/>
      <c r="AI958" s="142"/>
      <c r="AJ958" s="142"/>
      <c r="AK958" s="142"/>
      <c r="AL958" s="142"/>
      <c r="AM958" s="142"/>
      <c r="AN958" s="142"/>
      <c r="AO958" s="131"/>
    </row>
    <row r="959" ht="13.5" customHeight="1">
      <c r="A959" s="142"/>
      <c r="B959" s="142"/>
      <c r="C959" s="142"/>
      <c r="D959" s="142"/>
      <c r="E959" s="308"/>
      <c r="F959" s="131"/>
      <c r="G959" s="131"/>
      <c r="H959" s="131"/>
      <c r="I959" s="219"/>
      <c r="J959" s="198"/>
      <c r="K959" s="131"/>
      <c r="L959" s="131"/>
      <c r="M959" s="131"/>
      <c r="N959" s="131"/>
      <c r="O959" s="131"/>
      <c r="P959" s="131"/>
      <c r="Q959" s="131"/>
      <c r="R959" s="131"/>
      <c r="S959" s="131"/>
      <c r="T959" s="131"/>
      <c r="U959" s="131"/>
      <c r="V959" s="131"/>
      <c r="W959" s="131"/>
      <c r="X959" s="131"/>
      <c r="Y959" s="131"/>
      <c r="Z959" s="142"/>
      <c r="AA959" s="142"/>
      <c r="AB959" s="142"/>
      <c r="AC959" s="142"/>
      <c r="AD959" s="142"/>
      <c r="AE959" s="142"/>
      <c r="AF959" s="142"/>
      <c r="AG959" s="142"/>
      <c r="AH959" s="142"/>
      <c r="AI959" s="142"/>
      <c r="AJ959" s="142"/>
      <c r="AK959" s="142"/>
      <c r="AL959" s="142"/>
      <c r="AM959" s="142"/>
      <c r="AN959" s="142"/>
      <c r="AO959" s="131"/>
    </row>
    <row r="960" ht="13.5" customHeight="1">
      <c r="A960" s="142"/>
      <c r="B960" s="142"/>
      <c r="C960" s="142"/>
      <c r="D960" s="142"/>
      <c r="E960" s="308"/>
      <c r="F960" s="131"/>
      <c r="G960" s="131"/>
      <c r="H960" s="131"/>
      <c r="I960" s="219"/>
      <c r="J960" s="198"/>
      <c r="K960" s="131"/>
      <c r="L960" s="131"/>
      <c r="M960" s="131"/>
      <c r="N960" s="131"/>
      <c r="O960" s="131"/>
      <c r="P960" s="131"/>
      <c r="Q960" s="131"/>
      <c r="R960" s="131"/>
      <c r="S960" s="131"/>
      <c r="T960" s="131"/>
      <c r="U960" s="131"/>
      <c r="V960" s="131"/>
      <c r="W960" s="131"/>
      <c r="X960" s="131"/>
      <c r="Y960" s="131"/>
      <c r="Z960" s="142"/>
      <c r="AA960" s="142"/>
      <c r="AB960" s="142"/>
      <c r="AC960" s="142"/>
      <c r="AD960" s="142"/>
      <c r="AE960" s="142"/>
      <c r="AF960" s="142"/>
      <c r="AG960" s="142"/>
      <c r="AH960" s="142"/>
      <c r="AI960" s="142"/>
      <c r="AJ960" s="142"/>
      <c r="AK960" s="142"/>
      <c r="AL960" s="142"/>
      <c r="AM960" s="142"/>
      <c r="AN960" s="142"/>
      <c r="AO960" s="131"/>
    </row>
    <row r="961" ht="13.5" customHeight="1">
      <c r="A961" s="142"/>
      <c r="B961" s="142"/>
      <c r="C961" s="142"/>
      <c r="D961" s="142"/>
      <c r="E961" s="308"/>
      <c r="F961" s="131"/>
      <c r="G961" s="131"/>
      <c r="H961" s="131"/>
      <c r="I961" s="219"/>
      <c r="J961" s="198"/>
      <c r="K961" s="131"/>
      <c r="L961" s="131"/>
      <c r="M961" s="131"/>
      <c r="N961" s="131"/>
      <c r="O961" s="131"/>
      <c r="P961" s="131"/>
      <c r="Q961" s="131"/>
      <c r="R961" s="131"/>
      <c r="S961" s="131"/>
      <c r="T961" s="131"/>
      <c r="U961" s="131"/>
      <c r="V961" s="131"/>
      <c r="W961" s="131"/>
      <c r="X961" s="131"/>
      <c r="Y961" s="131"/>
      <c r="Z961" s="142"/>
      <c r="AA961" s="142"/>
      <c r="AB961" s="142"/>
      <c r="AC961" s="142"/>
      <c r="AD961" s="142"/>
      <c r="AE961" s="142"/>
      <c r="AF961" s="142"/>
      <c r="AG961" s="142"/>
      <c r="AH961" s="142"/>
      <c r="AI961" s="142"/>
      <c r="AJ961" s="142"/>
      <c r="AK961" s="142"/>
      <c r="AL961" s="142"/>
      <c r="AM961" s="142"/>
      <c r="AN961" s="142"/>
      <c r="AO961" s="131"/>
    </row>
    <row r="962" ht="13.5" customHeight="1">
      <c r="A962" s="142"/>
      <c r="B962" s="142"/>
      <c r="C962" s="142"/>
      <c r="D962" s="142"/>
      <c r="E962" s="308"/>
      <c r="F962" s="131"/>
      <c r="G962" s="131"/>
      <c r="H962" s="131"/>
      <c r="I962" s="219"/>
      <c r="J962" s="198"/>
      <c r="K962" s="131"/>
      <c r="L962" s="131"/>
      <c r="M962" s="131"/>
      <c r="N962" s="131"/>
      <c r="O962" s="131"/>
      <c r="P962" s="131"/>
      <c r="Q962" s="131"/>
      <c r="R962" s="131"/>
      <c r="S962" s="131"/>
      <c r="T962" s="131"/>
      <c r="U962" s="131"/>
      <c r="V962" s="131"/>
      <c r="W962" s="131"/>
      <c r="X962" s="131"/>
      <c r="Y962" s="131"/>
      <c r="Z962" s="142"/>
      <c r="AA962" s="142"/>
      <c r="AB962" s="142"/>
      <c r="AC962" s="142"/>
      <c r="AD962" s="142"/>
      <c r="AE962" s="142"/>
      <c r="AF962" s="142"/>
      <c r="AG962" s="142"/>
      <c r="AH962" s="142"/>
      <c r="AI962" s="142"/>
      <c r="AJ962" s="142"/>
      <c r="AK962" s="142"/>
      <c r="AL962" s="142"/>
      <c r="AM962" s="142"/>
      <c r="AN962" s="142"/>
      <c r="AO962" s="131"/>
    </row>
    <row r="963" ht="13.5" customHeight="1">
      <c r="A963" s="142"/>
      <c r="B963" s="142"/>
      <c r="C963" s="142"/>
      <c r="D963" s="142"/>
      <c r="E963" s="308"/>
      <c r="F963" s="131"/>
      <c r="G963" s="131"/>
      <c r="H963" s="131"/>
      <c r="I963" s="219"/>
      <c r="J963" s="198"/>
      <c r="K963" s="131"/>
      <c r="L963" s="131"/>
      <c r="M963" s="131"/>
      <c r="N963" s="131"/>
      <c r="O963" s="131"/>
      <c r="P963" s="131"/>
      <c r="Q963" s="131"/>
      <c r="R963" s="131"/>
      <c r="S963" s="131"/>
      <c r="T963" s="131"/>
      <c r="U963" s="131"/>
      <c r="V963" s="131"/>
      <c r="W963" s="131"/>
      <c r="X963" s="131"/>
      <c r="Y963" s="131"/>
      <c r="Z963" s="142"/>
      <c r="AA963" s="142"/>
      <c r="AB963" s="142"/>
      <c r="AC963" s="142"/>
      <c r="AD963" s="142"/>
      <c r="AE963" s="142"/>
      <c r="AF963" s="142"/>
      <c r="AG963" s="142"/>
      <c r="AH963" s="142"/>
      <c r="AI963" s="142"/>
      <c r="AJ963" s="142"/>
      <c r="AK963" s="142"/>
      <c r="AL963" s="142"/>
      <c r="AM963" s="142"/>
      <c r="AN963" s="142"/>
      <c r="AO963" s="131"/>
    </row>
    <row r="964" ht="13.5" customHeight="1">
      <c r="A964" s="142"/>
      <c r="B964" s="142"/>
      <c r="C964" s="142"/>
      <c r="D964" s="142"/>
      <c r="E964" s="308"/>
      <c r="F964" s="131"/>
      <c r="G964" s="131"/>
      <c r="H964" s="131"/>
      <c r="I964" s="219"/>
      <c r="J964" s="198"/>
      <c r="K964" s="131"/>
      <c r="L964" s="131"/>
      <c r="M964" s="131"/>
      <c r="N964" s="131"/>
      <c r="O964" s="131"/>
      <c r="P964" s="131"/>
      <c r="Q964" s="131"/>
      <c r="R964" s="131"/>
      <c r="S964" s="131"/>
      <c r="T964" s="131"/>
      <c r="U964" s="131"/>
      <c r="V964" s="131"/>
      <c r="W964" s="131"/>
      <c r="X964" s="131"/>
      <c r="Y964" s="131"/>
      <c r="Z964" s="142"/>
      <c r="AA964" s="142"/>
      <c r="AB964" s="142"/>
      <c r="AC964" s="142"/>
      <c r="AD964" s="142"/>
      <c r="AE964" s="142"/>
      <c r="AF964" s="142"/>
      <c r="AG964" s="142"/>
      <c r="AH964" s="142"/>
      <c r="AI964" s="142"/>
      <c r="AJ964" s="142"/>
      <c r="AK964" s="142"/>
      <c r="AL964" s="142"/>
      <c r="AM964" s="142"/>
      <c r="AN964" s="142"/>
      <c r="AO964" s="131"/>
    </row>
    <row r="965" ht="13.5" customHeight="1">
      <c r="A965" s="142"/>
      <c r="B965" s="142"/>
      <c r="C965" s="142"/>
      <c r="D965" s="142"/>
      <c r="E965" s="308"/>
      <c r="F965" s="131"/>
      <c r="G965" s="131"/>
      <c r="H965" s="131"/>
      <c r="I965" s="219"/>
      <c r="J965" s="198"/>
      <c r="K965" s="131"/>
      <c r="L965" s="131"/>
      <c r="M965" s="131"/>
      <c r="N965" s="131"/>
      <c r="O965" s="131"/>
      <c r="P965" s="131"/>
      <c r="Q965" s="131"/>
      <c r="R965" s="131"/>
      <c r="S965" s="131"/>
      <c r="T965" s="131"/>
      <c r="U965" s="131"/>
      <c r="V965" s="131"/>
      <c r="W965" s="131"/>
      <c r="X965" s="131"/>
      <c r="Y965" s="131"/>
      <c r="Z965" s="142"/>
      <c r="AA965" s="142"/>
      <c r="AB965" s="142"/>
      <c r="AC965" s="142"/>
      <c r="AD965" s="142"/>
      <c r="AE965" s="142"/>
      <c r="AF965" s="142"/>
      <c r="AG965" s="142"/>
      <c r="AH965" s="142"/>
      <c r="AI965" s="142"/>
      <c r="AJ965" s="142"/>
      <c r="AK965" s="142"/>
      <c r="AL965" s="142"/>
      <c r="AM965" s="142"/>
      <c r="AN965" s="142"/>
      <c r="AO965" s="131"/>
    </row>
    <row r="966" ht="13.5" customHeight="1">
      <c r="A966" s="142"/>
      <c r="B966" s="142"/>
      <c r="C966" s="142"/>
      <c r="D966" s="142"/>
      <c r="E966" s="308"/>
      <c r="F966" s="131"/>
      <c r="G966" s="131"/>
      <c r="H966" s="131"/>
      <c r="I966" s="219"/>
      <c r="J966" s="198"/>
      <c r="K966" s="131"/>
      <c r="L966" s="131"/>
      <c r="M966" s="131"/>
      <c r="N966" s="131"/>
      <c r="O966" s="131"/>
      <c r="P966" s="131"/>
      <c r="Q966" s="131"/>
      <c r="R966" s="131"/>
      <c r="S966" s="131"/>
      <c r="T966" s="131"/>
      <c r="U966" s="131"/>
      <c r="V966" s="131"/>
      <c r="W966" s="131"/>
      <c r="X966" s="131"/>
      <c r="Y966" s="131"/>
      <c r="Z966" s="142"/>
      <c r="AA966" s="142"/>
      <c r="AB966" s="142"/>
      <c r="AC966" s="142"/>
      <c r="AD966" s="142"/>
      <c r="AE966" s="142"/>
      <c r="AF966" s="142"/>
      <c r="AG966" s="142"/>
      <c r="AH966" s="142"/>
      <c r="AI966" s="142"/>
      <c r="AJ966" s="142"/>
      <c r="AK966" s="142"/>
      <c r="AL966" s="142"/>
      <c r="AM966" s="142"/>
      <c r="AN966" s="142"/>
      <c r="AO966" s="131"/>
    </row>
    <row r="967" ht="13.5" customHeight="1">
      <c r="A967" s="142"/>
      <c r="B967" s="142"/>
      <c r="C967" s="142"/>
      <c r="D967" s="142"/>
      <c r="E967" s="308"/>
      <c r="F967" s="131"/>
      <c r="G967" s="131"/>
      <c r="H967" s="131"/>
      <c r="I967" s="219"/>
      <c r="J967" s="198"/>
      <c r="K967" s="131"/>
      <c r="L967" s="131"/>
      <c r="M967" s="131"/>
      <c r="N967" s="131"/>
      <c r="O967" s="131"/>
      <c r="P967" s="131"/>
      <c r="Q967" s="131"/>
      <c r="R967" s="131"/>
      <c r="S967" s="131"/>
      <c r="T967" s="131"/>
      <c r="U967" s="131"/>
      <c r="V967" s="131"/>
      <c r="W967" s="131"/>
      <c r="X967" s="131"/>
      <c r="Y967" s="131"/>
      <c r="Z967" s="142"/>
      <c r="AA967" s="142"/>
      <c r="AB967" s="142"/>
      <c r="AC967" s="142"/>
      <c r="AD967" s="142"/>
      <c r="AE967" s="142"/>
      <c r="AF967" s="142"/>
      <c r="AG967" s="142"/>
      <c r="AH967" s="142"/>
      <c r="AI967" s="142"/>
      <c r="AJ967" s="142"/>
      <c r="AK967" s="142"/>
      <c r="AL967" s="142"/>
      <c r="AM967" s="142"/>
      <c r="AN967" s="142"/>
      <c r="AO967" s="131"/>
    </row>
    <row r="968" ht="13.5" customHeight="1">
      <c r="A968" s="142"/>
      <c r="B968" s="142"/>
      <c r="C968" s="142"/>
      <c r="D968" s="142"/>
      <c r="E968" s="308"/>
      <c r="F968" s="131"/>
      <c r="G968" s="131"/>
      <c r="H968" s="131"/>
      <c r="I968" s="219"/>
      <c r="J968" s="198"/>
      <c r="K968" s="131"/>
      <c r="L968" s="131"/>
      <c r="M968" s="131"/>
      <c r="N968" s="131"/>
      <c r="O968" s="131"/>
      <c r="P968" s="131"/>
      <c r="Q968" s="131"/>
      <c r="R968" s="131"/>
      <c r="S968" s="131"/>
      <c r="T968" s="131"/>
      <c r="U968" s="131"/>
      <c r="V968" s="131"/>
      <c r="W968" s="131"/>
      <c r="X968" s="131"/>
      <c r="Y968" s="131"/>
      <c r="Z968" s="142"/>
      <c r="AA968" s="142"/>
      <c r="AB968" s="142"/>
      <c r="AC968" s="142"/>
      <c r="AD968" s="142"/>
      <c r="AE968" s="142"/>
      <c r="AF968" s="142"/>
      <c r="AG968" s="142"/>
      <c r="AH968" s="142"/>
      <c r="AI968" s="142"/>
      <c r="AJ968" s="142"/>
      <c r="AK968" s="142"/>
      <c r="AL968" s="142"/>
      <c r="AM968" s="142"/>
      <c r="AN968" s="142"/>
      <c r="AO968" s="131"/>
    </row>
    <row r="969" ht="13.5" customHeight="1">
      <c r="A969" s="142"/>
      <c r="B969" s="142"/>
      <c r="C969" s="142"/>
      <c r="D969" s="142"/>
      <c r="E969" s="308"/>
      <c r="F969" s="131"/>
      <c r="G969" s="131"/>
      <c r="H969" s="131"/>
      <c r="I969" s="219"/>
      <c r="J969" s="198"/>
      <c r="K969" s="131"/>
      <c r="L969" s="131"/>
      <c r="M969" s="131"/>
      <c r="N969" s="131"/>
      <c r="O969" s="131"/>
      <c r="P969" s="131"/>
      <c r="Q969" s="131"/>
      <c r="R969" s="131"/>
      <c r="S969" s="131"/>
      <c r="T969" s="131"/>
      <c r="U969" s="131"/>
      <c r="V969" s="131"/>
      <c r="W969" s="131"/>
      <c r="X969" s="131"/>
      <c r="Y969" s="131"/>
      <c r="Z969" s="142"/>
      <c r="AA969" s="142"/>
      <c r="AB969" s="142"/>
      <c r="AC969" s="142"/>
      <c r="AD969" s="142"/>
      <c r="AE969" s="142"/>
      <c r="AF969" s="142"/>
      <c r="AG969" s="142"/>
      <c r="AH969" s="142"/>
      <c r="AI969" s="142"/>
      <c r="AJ969" s="142"/>
      <c r="AK969" s="142"/>
      <c r="AL969" s="142"/>
      <c r="AM969" s="142"/>
      <c r="AN969" s="142"/>
      <c r="AO969" s="131"/>
    </row>
    <row r="970" ht="13.5" customHeight="1">
      <c r="A970" s="142"/>
      <c r="B970" s="142"/>
      <c r="C970" s="142"/>
      <c r="D970" s="142"/>
      <c r="E970" s="308"/>
      <c r="F970" s="131"/>
      <c r="G970" s="131"/>
      <c r="H970" s="131"/>
      <c r="I970" s="219"/>
      <c r="J970" s="198"/>
      <c r="K970" s="131"/>
      <c r="L970" s="131"/>
      <c r="M970" s="131"/>
      <c r="N970" s="131"/>
      <c r="O970" s="131"/>
      <c r="P970" s="131"/>
      <c r="Q970" s="131"/>
      <c r="R970" s="131"/>
      <c r="S970" s="131"/>
      <c r="T970" s="131"/>
      <c r="U970" s="131"/>
      <c r="V970" s="131"/>
      <c r="W970" s="131"/>
      <c r="X970" s="131"/>
      <c r="Y970" s="131"/>
      <c r="Z970" s="142"/>
      <c r="AA970" s="142"/>
      <c r="AB970" s="142"/>
      <c r="AC970" s="142"/>
      <c r="AD970" s="142"/>
      <c r="AE970" s="142"/>
      <c r="AF970" s="142"/>
      <c r="AG970" s="142"/>
      <c r="AH970" s="142"/>
      <c r="AI970" s="142"/>
      <c r="AJ970" s="142"/>
      <c r="AK970" s="142"/>
      <c r="AL970" s="142"/>
      <c r="AM970" s="142"/>
      <c r="AN970" s="142"/>
      <c r="AO970" s="131"/>
    </row>
    <row r="971" ht="13.5" customHeight="1">
      <c r="A971" s="142"/>
      <c r="B971" s="142"/>
      <c r="C971" s="142"/>
      <c r="D971" s="142"/>
      <c r="E971" s="308"/>
      <c r="F971" s="131"/>
      <c r="G971" s="131"/>
      <c r="H971" s="131"/>
      <c r="I971" s="219"/>
      <c r="J971" s="198"/>
      <c r="K971" s="131"/>
      <c r="L971" s="131"/>
      <c r="M971" s="131"/>
      <c r="N971" s="131"/>
      <c r="O971" s="131"/>
      <c r="P971" s="131"/>
      <c r="Q971" s="131"/>
      <c r="R971" s="131"/>
      <c r="S971" s="131"/>
      <c r="T971" s="131"/>
      <c r="U971" s="131"/>
      <c r="V971" s="131"/>
      <c r="W971" s="131"/>
      <c r="X971" s="131"/>
      <c r="Y971" s="131"/>
      <c r="Z971" s="142"/>
      <c r="AA971" s="142"/>
      <c r="AB971" s="142"/>
      <c r="AC971" s="142"/>
      <c r="AD971" s="142"/>
      <c r="AE971" s="142"/>
      <c r="AF971" s="142"/>
      <c r="AG971" s="142"/>
      <c r="AH971" s="142"/>
      <c r="AI971" s="142"/>
      <c r="AJ971" s="142"/>
      <c r="AK971" s="142"/>
      <c r="AL971" s="142"/>
      <c r="AM971" s="142"/>
      <c r="AN971" s="142"/>
      <c r="AO971" s="131"/>
    </row>
    <row r="972" ht="13.5" customHeight="1">
      <c r="A972" s="142"/>
      <c r="B972" s="142"/>
      <c r="C972" s="142"/>
      <c r="D972" s="142"/>
      <c r="E972" s="308"/>
      <c r="F972" s="131"/>
      <c r="G972" s="131"/>
      <c r="H972" s="131"/>
      <c r="I972" s="219"/>
      <c r="J972" s="198"/>
      <c r="K972" s="131"/>
      <c r="L972" s="131"/>
      <c r="M972" s="131"/>
      <c r="N972" s="131"/>
      <c r="O972" s="131"/>
      <c r="P972" s="131"/>
      <c r="Q972" s="131"/>
      <c r="R972" s="131"/>
      <c r="S972" s="131"/>
      <c r="T972" s="131"/>
      <c r="U972" s="131"/>
      <c r="V972" s="131"/>
      <c r="W972" s="131"/>
      <c r="X972" s="131"/>
      <c r="Y972" s="131"/>
      <c r="Z972" s="142"/>
      <c r="AA972" s="142"/>
      <c r="AB972" s="142"/>
      <c r="AC972" s="142"/>
      <c r="AD972" s="142"/>
      <c r="AE972" s="142"/>
      <c r="AF972" s="142"/>
      <c r="AG972" s="142"/>
      <c r="AH972" s="142"/>
      <c r="AI972" s="142"/>
      <c r="AJ972" s="142"/>
      <c r="AK972" s="142"/>
      <c r="AL972" s="142"/>
      <c r="AM972" s="142"/>
      <c r="AN972" s="142"/>
      <c r="AO972" s="131"/>
    </row>
    <row r="973" ht="13.5" customHeight="1">
      <c r="A973" s="142"/>
      <c r="B973" s="142"/>
      <c r="C973" s="142"/>
      <c r="D973" s="142"/>
      <c r="E973" s="308"/>
      <c r="F973" s="131"/>
      <c r="G973" s="131"/>
      <c r="H973" s="131"/>
      <c r="I973" s="219"/>
      <c r="J973" s="198"/>
      <c r="K973" s="131"/>
      <c r="L973" s="131"/>
      <c r="M973" s="131"/>
      <c r="N973" s="131"/>
      <c r="O973" s="131"/>
      <c r="P973" s="131"/>
      <c r="Q973" s="131"/>
      <c r="R973" s="131"/>
      <c r="S973" s="131"/>
      <c r="T973" s="131"/>
      <c r="U973" s="131"/>
      <c r="V973" s="131"/>
      <c r="W973" s="131"/>
      <c r="X973" s="131"/>
      <c r="Y973" s="131"/>
      <c r="Z973" s="142"/>
      <c r="AA973" s="142"/>
      <c r="AB973" s="142"/>
      <c r="AC973" s="142"/>
      <c r="AD973" s="142"/>
      <c r="AE973" s="142"/>
      <c r="AF973" s="142"/>
      <c r="AG973" s="142"/>
      <c r="AH973" s="142"/>
      <c r="AI973" s="142"/>
      <c r="AJ973" s="142"/>
      <c r="AK973" s="142"/>
      <c r="AL973" s="142"/>
      <c r="AM973" s="142"/>
      <c r="AN973" s="142"/>
      <c r="AO973" s="131"/>
    </row>
    <row r="974" ht="13.5" customHeight="1">
      <c r="A974" s="142"/>
      <c r="B974" s="142"/>
      <c r="C974" s="142"/>
      <c r="D974" s="142"/>
      <c r="E974" s="308"/>
      <c r="F974" s="131"/>
      <c r="G974" s="131"/>
      <c r="H974" s="131"/>
      <c r="I974" s="219"/>
      <c r="J974" s="198"/>
      <c r="K974" s="131"/>
      <c r="L974" s="131"/>
      <c r="M974" s="131"/>
      <c r="N974" s="131"/>
      <c r="O974" s="131"/>
      <c r="P974" s="131"/>
      <c r="Q974" s="131"/>
      <c r="R974" s="131"/>
      <c r="S974" s="131"/>
      <c r="T974" s="131"/>
      <c r="U974" s="131"/>
      <c r="V974" s="131"/>
      <c r="W974" s="131"/>
      <c r="X974" s="131"/>
      <c r="Y974" s="131"/>
      <c r="Z974" s="142"/>
      <c r="AA974" s="142"/>
      <c r="AB974" s="142"/>
      <c r="AC974" s="142"/>
      <c r="AD974" s="142"/>
      <c r="AE974" s="142"/>
      <c r="AF974" s="142"/>
      <c r="AG974" s="142"/>
      <c r="AH974" s="142"/>
      <c r="AI974" s="142"/>
      <c r="AJ974" s="142"/>
      <c r="AK974" s="142"/>
      <c r="AL974" s="142"/>
      <c r="AM974" s="142"/>
      <c r="AN974" s="142"/>
      <c r="AO974" s="131"/>
    </row>
    <row r="975" ht="13.5" customHeight="1">
      <c r="A975" s="142"/>
      <c r="B975" s="142"/>
      <c r="C975" s="142"/>
      <c r="D975" s="142"/>
      <c r="E975" s="308"/>
      <c r="F975" s="131"/>
      <c r="G975" s="131"/>
      <c r="H975" s="131"/>
      <c r="I975" s="219"/>
      <c r="J975" s="198"/>
      <c r="K975" s="131"/>
      <c r="L975" s="131"/>
      <c r="M975" s="131"/>
      <c r="N975" s="131"/>
      <c r="O975" s="131"/>
      <c r="P975" s="131"/>
      <c r="Q975" s="131"/>
      <c r="R975" s="131"/>
      <c r="S975" s="131"/>
      <c r="T975" s="131"/>
      <c r="U975" s="131"/>
      <c r="V975" s="131"/>
      <c r="W975" s="131"/>
      <c r="X975" s="131"/>
      <c r="Y975" s="131"/>
      <c r="Z975" s="142"/>
      <c r="AA975" s="142"/>
      <c r="AB975" s="142"/>
      <c r="AC975" s="142"/>
      <c r="AD975" s="142"/>
      <c r="AE975" s="142"/>
      <c r="AF975" s="142"/>
      <c r="AG975" s="142"/>
      <c r="AH975" s="142"/>
      <c r="AI975" s="142"/>
      <c r="AJ975" s="142"/>
      <c r="AK975" s="142"/>
      <c r="AL975" s="142"/>
      <c r="AM975" s="142"/>
      <c r="AN975" s="142"/>
      <c r="AO975" s="131"/>
    </row>
    <row r="976" ht="13.5" customHeight="1">
      <c r="A976" s="142"/>
      <c r="B976" s="142"/>
      <c r="C976" s="142"/>
      <c r="D976" s="142"/>
      <c r="E976" s="308"/>
      <c r="F976" s="131"/>
      <c r="G976" s="131"/>
      <c r="H976" s="131"/>
      <c r="I976" s="219"/>
      <c r="J976" s="198"/>
      <c r="K976" s="131"/>
      <c r="L976" s="131"/>
      <c r="M976" s="131"/>
      <c r="N976" s="131"/>
      <c r="O976" s="131"/>
      <c r="P976" s="131"/>
      <c r="Q976" s="131"/>
      <c r="R976" s="131"/>
      <c r="S976" s="131"/>
      <c r="T976" s="131"/>
      <c r="U976" s="131"/>
      <c r="V976" s="131"/>
      <c r="W976" s="131"/>
      <c r="X976" s="131"/>
      <c r="Y976" s="131"/>
      <c r="Z976" s="142"/>
      <c r="AA976" s="142"/>
      <c r="AB976" s="142"/>
      <c r="AC976" s="142"/>
      <c r="AD976" s="142"/>
      <c r="AE976" s="142"/>
      <c r="AF976" s="142"/>
      <c r="AG976" s="142"/>
      <c r="AH976" s="142"/>
      <c r="AI976" s="142"/>
      <c r="AJ976" s="142"/>
      <c r="AK976" s="142"/>
      <c r="AL976" s="142"/>
      <c r="AM976" s="142"/>
      <c r="AN976" s="142"/>
      <c r="AO976" s="131"/>
    </row>
    <row r="977" ht="13.5" customHeight="1">
      <c r="A977" s="142"/>
      <c r="B977" s="142"/>
      <c r="C977" s="142"/>
      <c r="D977" s="142"/>
      <c r="E977" s="308"/>
      <c r="F977" s="131"/>
      <c r="G977" s="131"/>
      <c r="H977" s="131"/>
      <c r="I977" s="219"/>
      <c r="J977" s="198"/>
      <c r="K977" s="131"/>
      <c r="L977" s="131"/>
      <c r="M977" s="131"/>
      <c r="N977" s="131"/>
      <c r="O977" s="131"/>
      <c r="P977" s="131"/>
      <c r="Q977" s="131"/>
      <c r="R977" s="131"/>
      <c r="S977" s="131"/>
      <c r="T977" s="131"/>
      <c r="U977" s="131"/>
      <c r="V977" s="131"/>
      <c r="W977" s="131"/>
      <c r="X977" s="131"/>
      <c r="Y977" s="131"/>
      <c r="Z977" s="142"/>
      <c r="AA977" s="142"/>
      <c r="AB977" s="142"/>
      <c r="AC977" s="142"/>
      <c r="AD977" s="142"/>
      <c r="AE977" s="142"/>
      <c r="AF977" s="142"/>
      <c r="AG977" s="142"/>
      <c r="AH977" s="142"/>
      <c r="AI977" s="142"/>
      <c r="AJ977" s="142"/>
      <c r="AK977" s="142"/>
      <c r="AL977" s="142"/>
      <c r="AM977" s="142"/>
      <c r="AN977" s="142"/>
      <c r="AO977" s="131"/>
    </row>
    <row r="978" ht="13.5" customHeight="1">
      <c r="A978" s="142"/>
      <c r="B978" s="142"/>
      <c r="C978" s="142"/>
      <c r="D978" s="142"/>
      <c r="E978" s="308"/>
      <c r="F978" s="131"/>
      <c r="G978" s="131"/>
      <c r="H978" s="131"/>
      <c r="I978" s="219"/>
      <c r="J978" s="198"/>
      <c r="K978" s="131"/>
      <c r="L978" s="131"/>
      <c r="M978" s="131"/>
      <c r="N978" s="131"/>
      <c r="O978" s="131"/>
      <c r="P978" s="131"/>
      <c r="Q978" s="131"/>
      <c r="R978" s="131"/>
      <c r="S978" s="131"/>
      <c r="T978" s="131"/>
      <c r="U978" s="131"/>
      <c r="V978" s="131"/>
      <c r="W978" s="131"/>
      <c r="X978" s="131"/>
      <c r="Y978" s="131"/>
      <c r="Z978" s="142"/>
      <c r="AA978" s="142"/>
      <c r="AB978" s="142"/>
      <c r="AC978" s="142"/>
      <c r="AD978" s="142"/>
      <c r="AE978" s="142"/>
      <c r="AF978" s="142"/>
      <c r="AG978" s="142"/>
      <c r="AH978" s="142"/>
      <c r="AI978" s="142"/>
      <c r="AJ978" s="142"/>
      <c r="AK978" s="142"/>
      <c r="AL978" s="142"/>
      <c r="AM978" s="142"/>
      <c r="AN978" s="142"/>
      <c r="AO978" s="131"/>
    </row>
    <row r="979" ht="13.5" customHeight="1">
      <c r="A979" s="142"/>
      <c r="B979" s="142"/>
      <c r="C979" s="142"/>
      <c r="D979" s="142"/>
      <c r="E979" s="308"/>
      <c r="F979" s="131"/>
      <c r="G979" s="131"/>
      <c r="H979" s="131"/>
      <c r="I979" s="219"/>
      <c r="J979" s="198"/>
      <c r="K979" s="131"/>
      <c r="L979" s="131"/>
      <c r="M979" s="131"/>
      <c r="N979" s="131"/>
      <c r="O979" s="131"/>
      <c r="P979" s="131"/>
      <c r="Q979" s="131"/>
      <c r="R979" s="131"/>
      <c r="S979" s="131"/>
      <c r="T979" s="131"/>
      <c r="U979" s="131"/>
      <c r="V979" s="131"/>
      <c r="W979" s="131"/>
      <c r="X979" s="131"/>
      <c r="Y979" s="131"/>
      <c r="Z979" s="142"/>
      <c r="AA979" s="142"/>
      <c r="AB979" s="142"/>
      <c r="AC979" s="142"/>
      <c r="AD979" s="142"/>
      <c r="AE979" s="142"/>
      <c r="AF979" s="142"/>
      <c r="AG979" s="142"/>
      <c r="AH979" s="142"/>
      <c r="AI979" s="142"/>
      <c r="AJ979" s="142"/>
      <c r="AK979" s="142"/>
      <c r="AL979" s="142"/>
      <c r="AM979" s="142"/>
      <c r="AN979" s="142"/>
      <c r="AO979" s="131"/>
    </row>
    <row r="980" ht="13.5" customHeight="1">
      <c r="A980" s="142"/>
      <c r="B980" s="142"/>
      <c r="C980" s="142"/>
      <c r="D980" s="142"/>
      <c r="E980" s="308"/>
      <c r="F980" s="131"/>
      <c r="G980" s="131"/>
      <c r="H980" s="131"/>
      <c r="I980" s="219"/>
      <c r="J980" s="198"/>
      <c r="K980" s="131"/>
      <c r="L980" s="131"/>
      <c r="M980" s="131"/>
      <c r="N980" s="131"/>
      <c r="O980" s="131"/>
      <c r="P980" s="131"/>
      <c r="Q980" s="131"/>
      <c r="R980" s="131"/>
      <c r="S980" s="131"/>
      <c r="T980" s="131"/>
      <c r="U980" s="131"/>
      <c r="V980" s="131"/>
      <c r="W980" s="131"/>
      <c r="X980" s="131"/>
      <c r="Y980" s="131"/>
      <c r="Z980" s="142"/>
      <c r="AA980" s="142"/>
      <c r="AB980" s="142"/>
      <c r="AC980" s="142"/>
      <c r="AD980" s="142"/>
      <c r="AE980" s="142"/>
      <c r="AF980" s="142"/>
      <c r="AG980" s="142"/>
      <c r="AH980" s="142"/>
      <c r="AI980" s="142"/>
      <c r="AJ980" s="142"/>
      <c r="AK980" s="142"/>
      <c r="AL980" s="142"/>
      <c r="AM980" s="142"/>
      <c r="AN980" s="142"/>
      <c r="AO980" s="131"/>
    </row>
    <row r="981" ht="13.5" customHeight="1">
      <c r="A981" s="142"/>
      <c r="B981" s="142"/>
      <c r="C981" s="142"/>
      <c r="D981" s="142"/>
      <c r="E981" s="308"/>
      <c r="F981" s="131"/>
      <c r="G981" s="131"/>
      <c r="H981" s="131"/>
      <c r="I981" s="219"/>
      <c r="J981" s="198"/>
      <c r="K981" s="131"/>
      <c r="L981" s="131"/>
      <c r="M981" s="131"/>
      <c r="N981" s="131"/>
      <c r="O981" s="131"/>
      <c r="P981" s="131"/>
      <c r="Q981" s="131"/>
      <c r="R981" s="131"/>
      <c r="S981" s="131"/>
      <c r="T981" s="131"/>
      <c r="U981" s="131"/>
      <c r="V981" s="131"/>
      <c r="W981" s="131"/>
      <c r="X981" s="131"/>
      <c r="Y981" s="131"/>
      <c r="Z981" s="142"/>
      <c r="AA981" s="142"/>
      <c r="AB981" s="142"/>
      <c r="AC981" s="142"/>
      <c r="AD981" s="142"/>
      <c r="AE981" s="142"/>
      <c r="AF981" s="142"/>
      <c r="AG981" s="142"/>
      <c r="AH981" s="142"/>
      <c r="AI981" s="142"/>
      <c r="AJ981" s="142"/>
      <c r="AK981" s="142"/>
      <c r="AL981" s="142"/>
      <c r="AM981" s="142"/>
      <c r="AN981" s="142"/>
      <c r="AO981" s="131"/>
    </row>
    <row r="982" ht="13.5" customHeight="1">
      <c r="A982" s="142"/>
      <c r="B982" s="142"/>
      <c r="C982" s="142"/>
      <c r="D982" s="142"/>
      <c r="E982" s="308"/>
      <c r="F982" s="131"/>
      <c r="G982" s="131"/>
      <c r="H982" s="131"/>
      <c r="I982" s="219"/>
      <c r="J982" s="198"/>
      <c r="K982" s="131"/>
      <c r="L982" s="131"/>
      <c r="M982" s="131"/>
      <c r="N982" s="131"/>
      <c r="O982" s="131"/>
      <c r="P982" s="131"/>
      <c r="Q982" s="131"/>
      <c r="R982" s="131"/>
      <c r="S982" s="131"/>
      <c r="T982" s="131"/>
      <c r="U982" s="131"/>
      <c r="V982" s="131"/>
      <c r="W982" s="131"/>
      <c r="X982" s="131"/>
      <c r="Y982" s="131"/>
      <c r="Z982" s="142"/>
      <c r="AA982" s="142"/>
      <c r="AB982" s="142"/>
      <c r="AC982" s="142"/>
      <c r="AD982" s="142"/>
      <c r="AE982" s="142"/>
      <c r="AF982" s="142"/>
      <c r="AG982" s="142"/>
      <c r="AH982" s="142"/>
      <c r="AI982" s="142"/>
      <c r="AJ982" s="142"/>
      <c r="AK982" s="142"/>
      <c r="AL982" s="142"/>
      <c r="AM982" s="142"/>
      <c r="AN982" s="142"/>
      <c r="AO982" s="131"/>
    </row>
    <row r="983" ht="13.5" customHeight="1">
      <c r="A983" s="142"/>
      <c r="B983" s="142"/>
      <c r="C983" s="142"/>
      <c r="D983" s="142"/>
      <c r="E983" s="308"/>
      <c r="F983" s="131"/>
      <c r="G983" s="131"/>
      <c r="H983" s="131"/>
      <c r="I983" s="219"/>
      <c r="J983" s="198"/>
      <c r="K983" s="131"/>
      <c r="L983" s="131"/>
      <c r="M983" s="131"/>
      <c r="N983" s="131"/>
      <c r="O983" s="131"/>
      <c r="P983" s="131"/>
      <c r="Q983" s="131"/>
      <c r="R983" s="131"/>
      <c r="S983" s="131"/>
      <c r="T983" s="131"/>
      <c r="U983" s="131"/>
      <c r="V983" s="131"/>
      <c r="W983" s="131"/>
      <c r="X983" s="131"/>
      <c r="Y983" s="131"/>
      <c r="Z983" s="142"/>
      <c r="AA983" s="142"/>
      <c r="AB983" s="142"/>
      <c r="AC983" s="142"/>
      <c r="AD983" s="142"/>
      <c r="AE983" s="142"/>
      <c r="AF983" s="142"/>
      <c r="AG983" s="142"/>
      <c r="AH983" s="142"/>
      <c r="AI983" s="142"/>
      <c r="AJ983" s="142"/>
      <c r="AK983" s="142"/>
      <c r="AL983" s="142"/>
      <c r="AM983" s="142"/>
      <c r="AN983" s="142"/>
      <c r="AO983" s="131"/>
    </row>
    <row r="984" ht="13.5" customHeight="1">
      <c r="A984" s="142"/>
      <c r="B984" s="142"/>
      <c r="C984" s="142"/>
      <c r="D984" s="142"/>
      <c r="E984" s="308"/>
      <c r="F984" s="131"/>
      <c r="G984" s="131"/>
      <c r="H984" s="131"/>
      <c r="I984" s="219"/>
      <c r="J984" s="198"/>
      <c r="K984" s="131"/>
      <c r="L984" s="131"/>
      <c r="M984" s="131"/>
      <c r="N984" s="131"/>
      <c r="O984" s="131"/>
      <c r="P984" s="131"/>
      <c r="Q984" s="131"/>
      <c r="R984" s="131"/>
      <c r="S984" s="131"/>
      <c r="T984" s="131"/>
      <c r="U984" s="131"/>
      <c r="V984" s="131"/>
      <c r="W984" s="131"/>
      <c r="X984" s="131"/>
      <c r="Y984" s="131"/>
      <c r="Z984" s="142"/>
      <c r="AA984" s="142"/>
      <c r="AB984" s="142"/>
      <c r="AC984" s="142"/>
      <c r="AD984" s="142"/>
      <c r="AE984" s="142"/>
      <c r="AF984" s="142"/>
      <c r="AG984" s="142"/>
      <c r="AH984" s="142"/>
      <c r="AI984" s="142"/>
      <c r="AJ984" s="142"/>
      <c r="AK984" s="142"/>
      <c r="AL984" s="142"/>
      <c r="AM984" s="142"/>
      <c r="AN984" s="142"/>
      <c r="AO984" s="131"/>
    </row>
    <row r="985" ht="13.5" customHeight="1">
      <c r="A985" s="142"/>
      <c r="B985" s="142"/>
      <c r="C985" s="142"/>
      <c r="D985" s="142"/>
      <c r="E985" s="308"/>
      <c r="F985" s="131"/>
      <c r="G985" s="131"/>
      <c r="H985" s="131"/>
      <c r="I985" s="219"/>
      <c r="J985" s="198"/>
      <c r="K985" s="131"/>
      <c r="L985" s="131"/>
      <c r="M985" s="131"/>
      <c r="N985" s="131"/>
      <c r="O985" s="131"/>
      <c r="P985" s="131"/>
      <c r="Q985" s="131"/>
      <c r="R985" s="131"/>
      <c r="S985" s="131"/>
      <c r="T985" s="131"/>
      <c r="U985" s="131"/>
      <c r="V985" s="131"/>
      <c r="W985" s="131"/>
      <c r="X985" s="131"/>
      <c r="Y985" s="131"/>
      <c r="Z985" s="142"/>
      <c r="AA985" s="142"/>
      <c r="AB985" s="142"/>
      <c r="AC985" s="142"/>
      <c r="AD985" s="142"/>
      <c r="AE985" s="142"/>
      <c r="AF985" s="142"/>
      <c r="AG985" s="142"/>
      <c r="AH985" s="142"/>
      <c r="AI985" s="142"/>
      <c r="AJ985" s="142"/>
      <c r="AK985" s="142"/>
      <c r="AL985" s="142"/>
      <c r="AM985" s="142"/>
      <c r="AN985" s="142"/>
      <c r="AO985" s="131"/>
    </row>
    <row r="986" ht="13.5" customHeight="1">
      <c r="A986" s="142"/>
      <c r="B986" s="142"/>
      <c r="C986" s="142"/>
      <c r="D986" s="142"/>
      <c r="E986" s="308"/>
      <c r="F986" s="131"/>
      <c r="G986" s="131"/>
      <c r="H986" s="131"/>
      <c r="I986" s="219"/>
      <c r="J986" s="198"/>
      <c r="K986" s="131"/>
      <c r="L986" s="131"/>
      <c r="M986" s="131"/>
      <c r="N986" s="131"/>
      <c r="O986" s="131"/>
      <c r="P986" s="131"/>
      <c r="Q986" s="131"/>
      <c r="R986" s="131"/>
      <c r="S986" s="131"/>
      <c r="T986" s="131"/>
      <c r="U986" s="131"/>
      <c r="V986" s="131"/>
      <c r="W986" s="131"/>
      <c r="X986" s="131"/>
      <c r="Y986" s="131"/>
      <c r="Z986" s="142"/>
      <c r="AA986" s="142"/>
      <c r="AB986" s="142"/>
      <c r="AC986" s="142"/>
      <c r="AD986" s="142"/>
      <c r="AE986" s="142"/>
      <c r="AF986" s="142"/>
      <c r="AG986" s="142"/>
      <c r="AH986" s="142"/>
      <c r="AI986" s="142"/>
      <c r="AJ986" s="142"/>
      <c r="AK986" s="142"/>
      <c r="AL986" s="142"/>
      <c r="AM986" s="142"/>
      <c r="AN986" s="142"/>
      <c r="AO986" s="131"/>
    </row>
    <row r="987" ht="13.5" customHeight="1">
      <c r="A987" s="142"/>
      <c r="B987" s="142"/>
      <c r="C987" s="142"/>
      <c r="D987" s="142"/>
      <c r="E987" s="308"/>
      <c r="F987" s="131"/>
      <c r="G987" s="131"/>
      <c r="H987" s="131"/>
      <c r="I987" s="219"/>
      <c r="J987" s="198"/>
      <c r="K987" s="131"/>
      <c r="L987" s="131"/>
      <c r="M987" s="131"/>
      <c r="N987" s="131"/>
      <c r="O987" s="131"/>
      <c r="P987" s="131"/>
      <c r="Q987" s="131"/>
      <c r="R987" s="131"/>
      <c r="S987" s="131"/>
      <c r="T987" s="131"/>
      <c r="U987" s="131"/>
      <c r="V987" s="131"/>
      <c r="W987" s="131"/>
      <c r="X987" s="131"/>
      <c r="Y987" s="131"/>
      <c r="Z987" s="142"/>
      <c r="AA987" s="142"/>
      <c r="AB987" s="142"/>
      <c r="AC987" s="142"/>
      <c r="AD987" s="142"/>
      <c r="AE987" s="142"/>
      <c r="AF987" s="142"/>
      <c r="AG987" s="142"/>
      <c r="AH987" s="142"/>
      <c r="AI987" s="142"/>
      <c r="AJ987" s="142"/>
      <c r="AK987" s="142"/>
      <c r="AL987" s="142"/>
      <c r="AM987" s="142"/>
      <c r="AN987" s="142"/>
      <c r="AO987" s="131"/>
    </row>
    <row r="988" ht="13.5" customHeight="1">
      <c r="A988" s="142"/>
      <c r="B988" s="142"/>
      <c r="C988" s="142"/>
      <c r="D988" s="142"/>
      <c r="E988" s="308"/>
      <c r="F988" s="131"/>
      <c r="G988" s="131"/>
      <c r="H988" s="131"/>
      <c r="I988" s="219"/>
      <c r="J988" s="198"/>
      <c r="K988" s="131"/>
      <c r="L988" s="131"/>
      <c r="M988" s="131"/>
      <c r="N988" s="131"/>
      <c r="O988" s="131"/>
      <c r="P988" s="131"/>
      <c r="Q988" s="131"/>
      <c r="R988" s="131"/>
      <c r="S988" s="131"/>
      <c r="T988" s="131"/>
      <c r="U988" s="131"/>
      <c r="V988" s="131"/>
      <c r="W988" s="131"/>
      <c r="X988" s="131"/>
      <c r="Y988" s="131"/>
      <c r="Z988" s="142"/>
      <c r="AA988" s="142"/>
      <c r="AB988" s="142"/>
      <c r="AC988" s="142"/>
      <c r="AD988" s="142"/>
      <c r="AE988" s="142"/>
      <c r="AF988" s="142"/>
      <c r="AG988" s="142"/>
      <c r="AH988" s="142"/>
      <c r="AI988" s="142"/>
      <c r="AJ988" s="142"/>
      <c r="AK988" s="142"/>
      <c r="AL988" s="142"/>
      <c r="AM988" s="142"/>
      <c r="AN988" s="142"/>
      <c r="AO988" s="131"/>
    </row>
    <row r="989" ht="13.5" customHeight="1">
      <c r="A989" s="142"/>
      <c r="B989" s="142"/>
      <c r="C989" s="142"/>
      <c r="D989" s="142"/>
      <c r="E989" s="308"/>
      <c r="F989" s="131"/>
      <c r="G989" s="131"/>
      <c r="H989" s="131"/>
      <c r="I989" s="219"/>
      <c r="J989" s="198"/>
      <c r="K989" s="131"/>
      <c r="L989" s="131"/>
      <c r="M989" s="131"/>
      <c r="N989" s="131"/>
      <c r="O989" s="131"/>
      <c r="P989" s="131"/>
      <c r="Q989" s="131"/>
      <c r="R989" s="131"/>
      <c r="S989" s="131"/>
      <c r="T989" s="131"/>
      <c r="U989" s="131"/>
      <c r="V989" s="131"/>
      <c r="W989" s="131"/>
      <c r="X989" s="131"/>
      <c r="Y989" s="131"/>
      <c r="Z989" s="142"/>
      <c r="AA989" s="142"/>
      <c r="AB989" s="142"/>
      <c r="AC989" s="142"/>
      <c r="AD989" s="142"/>
      <c r="AE989" s="142"/>
      <c r="AF989" s="142"/>
      <c r="AG989" s="142"/>
      <c r="AH989" s="142"/>
      <c r="AI989" s="142"/>
      <c r="AJ989" s="142"/>
      <c r="AK989" s="142"/>
      <c r="AL989" s="142"/>
      <c r="AM989" s="142"/>
      <c r="AN989" s="142"/>
      <c r="AO989" s="131"/>
    </row>
    <row r="990" ht="13.5" customHeight="1">
      <c r="A990" s="142"/>
      <c r="B990" s="142"/>
      <c r="C990" s="142"/>
      <c r="D990" s="142"/>
      <c r="E990" s="308"/>
      <c r="F990" s="131"/>
      <c r="G990" s="131"/>
      <c r="H990" s="131"/>
      <c r="I990" s="219"/>
      <c r="J990" s="198"/>
      <c r="K990" s="131"/>
      <c r="L990" s="131"/>
      <c r="M990" s="131"/>
      <c r="N990" s="131"/>
      <c r="O990" s="131"/>
      <c r="P990" s="131"/>
      <c r="Q990" s="131"/>
      <c r="R990" s="131"/>
      <c r="S990" s="131"/>
      <c r="T990" s="131"/>
      <c r="U990" s="131"/>
      <c r="V990" s="131"/>
      <c r="W990" s="131"/>
      <c r="X990" s="131"/>
      <c r="Y990" s="131"/>
      <c r="Z990" s="142"/>
      <c r="AA990" s="142"/>
      <c r="AB990" s="142"/>
      <c r="AC990" s="142"/>
      <c r="AD990" s="142"/>
      <c r="AE990" s="142"/>
      <c r="AF990" s="142"/>
      <c r="AG990" s="142"/>
      <c r="AH990" s="142"/>
      <c r="AI990" s="142"/>
      <c r="AJ990" s="142"/>
      <c r="AK990" s="142"/>
      <c r="AL990" s="142"/>
      <c r="AM990" s="142"/>
      <c r="AN990" s="142"/>
      <c r="AO990" s="131"/>
    </row>
    <row r="991" ht="13.5" customHeight="1">
      <c r="A991" s="142"/>
      <c r="B991" s="142"/>
      <c r="C991" s="142"/>
      <c r="D991" s="142"/>
      <c r="E991" s="308"/>
      <c r="F991" s="131"/>
      <c r="G991" s="131"/>
      <c r="H991" s="131"/>
      <c r="I991" s="219"/>
      <c r="J991" s="198"/>
      <c r="K991" s="131"/>
      <c r="L991" s="131"/>
      <c r="M991" s="131"/>
      <c r="N991" s="131"/>
      <c r="O991" s="131"/>
      <c r="P991" s="131"/>
      <c r="Q991" s="131"/>
      <c r="R991" s="131"/>
      <c r="S991" s="131"/>
      <c r="T991" s="131"/>
      <c r="U991" s="131"/>
      <c r="V991" s="131"/>
      <c r="W991" s="131"/>
      <c r="X991" s="131"/>
      <c r="Y991" s="131"/>
      <c r="Z991" s="142"/>
      <c r="AA991" s="142"/>
      <c r="AB991" s="142"/>
      <c r="AC991" s="142"/>
      <c r="AD991" s="142"/>
      <c r="AE991" s="142"/>
      <c r="AF991" s="142"/>
      <c r="AG991" s="142"/>
      <c r="AH991" s="142"/>
      <c r="AI991" s="142"/>
      <c r="AJ991" s="142"/>
      <c r="AK991" s="142"/>
      <c r="AL991" s="142"/>
      <c r="AM991" s="142"/>
      <c r="AN991" s="142"/>
      <c r="AO991" s="131"/>
    </row>
    <row r="992" ht="13.5" customHeight="1">
      <c r="A992" s="142"/>
      <c r="B992" s="142"/>
      <c r="C992" s="142"/>
      <c r="D992" s="142"/>
      <c r="E992" s="308"/>
      <c r="F992" s="131"/>
      <c r="G992" s="131"/>
      <c r="H992" s="131"/>
      <c r="I992" s="219"/>
      <c r="J992" s="198"/>
      <c r="K992" s="131"/>
      <c r="L992" s="131"/>
      <c r="M992" s="131"/>
      <c r="N992" s="131"/>
      <c r="O992" s="131"/>
      <c r="P992" s="131"/>
      <c r="Q992" s="131"/>
      <c r="R992" s="131"/>
      <c r="S992" s="131"/>
      <c r="T992" s="131"/>
      <c r="U992" s="131"/>
      <c r="V992" s="131"/>
      <c r="W992" s="131"/>
      <c r="X992" s="131"/>
      <c r="Y992" s="131"/>
      <c r="Z992" s="142"/>
      <c r="AA992" s="142"/>
      <c r="AB992" s="142"/>
      <c r="AC992" s="142"/>
      <c r="AD992" s="142"/>
      <c r="AE992" s="142"/>
      <c r="AF992" s="142"/>
      <c r="AG992" s="142"/>
      <c r="AH992" s="142"/>
      <c r="AI992" s="142"/>
      <c r="AJ992" s="142"/>
      <c r="AK992" s="142"/>
      <c r="AL992" s="142"/>
      <c r="AM992" s="142"/>
      <c r="AN992" s="142"/>
      <c r="AO992" s="131"/>
    </row>
    <row r="993" ht="13.5" customHeight="1">
      <c r="A993" s="142"/>
      <c r="B993" s="142"/>
      <c r="C993" s="142"/>
      <c r="D993" s="142"/>
      <c r="E993" s="308"/>
      <c r="F993" s="131"/>
      <c r="G993" s="131"/>
      <c r="H993" s="131"/>
      <c r="I993" s="219"/>
      <c r="J993" s="198"/>
      <c r="K993" s="131"/>
      <c r="L993" s="131"/>
      <c r="M993" s="131"/>
      <c r="N993" s="131"/>
      <c r="O993" s="131"/>
      <c r="P993" s="131"/>
      <c r="Q993" s="131"/>
      <c r="R993" s="131"/>
      <c r="S993" s="131"/>
      <c r="T993" s="131"/>
      <c r="U993" s="131"/>
      <c r="V993" s="131"/>
      <c r="W993" s="131"/>
      <c r="X993" s="131"/>
      <c r="Y993" s="131"/>
      <c r="Z993" s="142"/>
      <c r="AA993" s="142"/>
      <c r="AB993" s="142"/>
      <c r="AC993" s="142"/>
      <c r="AD993" s="142"/>
      <c r="AE993" s="142"/>
      <c r="AF993" s="142"/>
      <c r="AG993" s="142"/>
      <c r="AH993" s="142"/>
      <c r="AI993" s="142"/>
      <c r="AJ993" s="142"/>
      <c r="AK993" s="142"/>
      <c r="AL993" s="142"/>
      <c r="AM993" s="142"/>
      <c r="AN993" s="142"/>
      <c r="AO993" s="131"/>
    </row>
    <row r="994" ht="13.5" customHeight="1">
      <c r="A994" s="142"/>
      <c r="B994" s="142"/>
      <c r="C994" s="142"/>
      <c r="D994" s="142"/>
      <c r="E994" s="308"/>
      <c r="F994" s="131"/>
      <c r="G994" s="131"/>
      <c r="H994" s="131"/>
      <c r="I994" s="219"/>
      <c r="J994" s="198"/>
      <c r="K994" s="131"/>
      <c r="L994" s="131"/>
      <c r="M994" s="131"/>
      <c r="N994" s="131"/>
      <c r="O994" s="131"/>
      <c r="P994" s="131"/>
      <c r="Q994" s="131"/>
      <c r="R994" s="131"/>
      <c r="S994" s="131"/>
      <c r="T994" s="131"/>
      <c r="U994" s="131"/>
      <c r="V994" s="131"/>
      <c r="W994" s="131"/>
      <c r="X994" s="131"/>
      <c r="Y994" s="131"/>
      <c r="Z994" s="142"/>
      <c r="AA994" s="142"/>
      <c r="AB994" s="142"/>
      <c r="AC994" s="142"/>
      <c r="AD994" s="142"/>
      <c r="AE994" s="142"/>
      <c r="AF994" s="142"/>
      <c r="AG994" s="142"/>
      <c r="AH994" s="142"/>
      <c r="AI994" s="142"/>
      <c r="AJ994" s="142"/>
      <c r="AK994" s="142"/>
      <c r="AL994" s="142"/>
      <c r="AM994" s="142"/>
      <c r="AN994" s="142"/>
      <c r="AO994" s="131"/>
    </row>
    <row r="995" ht="13.5" customHeight="1">
      <c r="A995" s="142"/>
      <c r="B995" s="142"/>
      <c r="C995" s="142"/>
      <c r="D995" s="142"/>
      <c r="E995" s="308"/>
      <c r="F995" s="131"/>
      <c r="G995" s="131"/>
      <c r="H995" s="131"/>
      <c r="I995" s="219"/>
      <c r="J995" s="198"/>
      <c r="K995" s="131"/>
      <c r="L995" s="131"/>
      <c r="M995" s="131"/>
      <c r="N995" s="131"/>
      <c r="O995" s="131"/>
      <c r="P995" s="131"/>
      <c r="Q995" s="131"/>
      <c r="R995" s="131"/>
      <c r="S995" s="131"/>
      <c r="T995" s="131"/>
      <c r="U995" s="131"/>
      <c r="V995" s="131"/>
      <c r="W995" s="131"/>
      <c r="X995" s="131"/>
      <c r="Y995" s="131"/>
      <c r="Z995" s="142"/>
      <c r="AA995" s="142"/>
      <c r="AB995" s="142"/>
      <c r="AC995" s="142"/>
      <c r="AD995" s="142"/>
      <c r="AE995" s="142"/>
      <c r="AF995" s="142"/>
      <c r="AG995" s="142"/>
      <c r="AH995" s="142"/>
      <c r="AI995" s="142"/>
      <c r="AJ995" s="142"/>
      <c r="AK995" s="142"/>
      <c r="AL995" s="142"/>
      <c r="AM995" s="142"/>
      <c r="AN995" s="142"/>
      <c r="AO995" s="131"/>
    </row>
    <row r="996" ht="13.5" customHeight="1">
      <c r="A996" s="142"/>
      <c r="B996" s="142"/>
      <c r="C996" s="142"/>
      <c r="D996" s="142"/>
      <c r="E996" s="308"/>
      <c r="F996" s="131"/>
      <c r="G996" s="131"/>
      <c r="H996" s="131"/>
      <c r="I996" s="219"/>
      <c r="J996" s="198"/>
      <c r="K996" s="131"/>
      <c r="L996" s="131"/>
      <c r="M996" s="131"/>
      <c r="N996" s="131"/>
      <c r="O996" s="131"/>
      <c r="P996" s="131"/>
      <c r="Q996" s="131"/>
      <c r="R996" s="131"/>
      <c r="S996" s="131"/>
      <c r="T996" s="131"/>
      <c r="U996" s="131"/>
      <c r="V996" s="131"/>
      <c r="W996" s="131"/>
      <c r="X996" s="131"/>
      <c r="Y996" s="131"/>
      <c r="Z996" s="142"/>
      <c r="AA996" s="142"/>
      <c r="AB996" s="142"/>
      <c r="AC996" s="142"/>
      <c r="AD996" s="142"/>
      <c r="AE996" s="142"/>
      <c r="AF996" s="142"/>
      <c r="AG996" s="142"/>
      <c r="AH996" s="142"/>
      <c r="AI996" s="142"/>
      <c r="AJ996" s="142"/>
      <c r="AK996" s="142"/>
      <c r="AL996" s="142"/>
      <c r="AM996" s="142"/>
      <c r="AN996" s="142"/>
      <c r="AO996" s="131"/>
    </row>
    <row r="997" ht="13.5" customHeight="1">
      <c r="A997" s="142"/>
      <c r="B997" s="142"/>
      <c r="C997" s="142"/>
      <c r="D997" s="142"/>
      <c r="E997" s="308"/>
      <c r="F997" s="131"/>
      <c r="G997" s="131"/>
      <c r="H997" s="131"/>
      <c r="I997" s="219"/>
      <c r="J997" s="198"/>
      <c r="K997" s="131"/>
      <c r="L997" s="131"/>
      <c r="M997" s="131"/>
      <c r="N997" s="131"/>
      <c r="O997" s="131"/>
      <c r="P997" s="131"/>
      <c r="Q997" s="131"/>
      <c r="R997" s="131"/>
      <c r="S997" s="131"/>
      <c r="T997" s="131"/>
      <c r="U997" s="131"/>
      <c r="V997" s="131"/>
      <c r="W997" s="131"/>
      <c r="X997" s="131"/>
      <c r="Y997" s="131"/>
      <c r="Z997" s="142"/>
      <c r="AA997" s="142"/>
      <c r="AB997" s="142"/>
      <c r="AC997" s="142"/>
      <c r="AD997" s="142"/>
      <c r="AE997" s="142"/>
      <c r="AF997" s="142"/>
      <c r="AG997" s="142"/>
      <c r="AH997" s="142"/>
      <c r="AI997" s="142"/>
      <c r="AJ997" s="142"/>
      <c r="AK997" s="142"/>
      <c r="AL997" s="142"/>
      <c r="AM997" s="142"/>
      <c r="AN997" s="142"/>
      <c r="AO997" s="131"/>
    </row>
    <row r="998" ht="13.5" customHeight="1">
      <c r="A998" s="142"/>
      <c r="B998" s="142"/>
      <c r="C998" s="142"/>
      <c r="D998" s="142"/>
      <c r="E998" s="308"/>
      <c r="F998" s="131"/>
      <c r="G998" s="131"/>
      <c r="H998" s="131"/>
      <c r="I998" s="219"/>
      <c r="J998" s="198"/>
      <c r="K998" s="131"/>
      <c r="L998" s="131"/>
      <c r="M998" s="131"/>
      <c r="N998" s="131"/>
      <c r="O998" s="131"/>
      <c r="P998" s="131"/>
      <c r="Q998" s="131"/>
      <c r="R998" s="131"/>
      <c r="S998" s="131"/>
      <c r="T998" s="131"/>
      <c r="U998" s="131"/>
      <c r="V998" s="131"/>
      <c r="W998" s="131"/>
      <c r="X998" s="131"/>
      <c r="Y998" s="131"/>
      <c r="Z998" s="142"/>
      <c r="AA998" s="142"/>
      <c r="AB998" s="142"/>
      <c r="AC998" s="142"/>
      <c r="AD998" s="142"/>
      <c r="AE998" s="142"/>
      <c r="AF998" s="142"/>
      <c r="AG998" s="142"/>
      <c r="AH998" s="142"/>
      <c r="AI998" s="142"/>
      <c r="AJ998" s="142"/>
      <c r="AK998" s="142"/>
      <c r="AL998" s="142"/>
      <c r="AM998" s="142"/>
      <c r="AN998" s="142"/>
      <c r="AO998" s="131"/>
    </row>
    <row r="999" ht="13.5" customHeight="1">
      <c r="A999" s="142"/>
      <c r="B999" s="142"/>
      <c r="C999" s="142"/>
      <c r="D999" s="142"/>
      <c r="E999" s="308"/>
      <c r="F999" s="131"/>
      <c r="G999" s="131"/>
      <c r="H999" s="131"/>
      <c r="I999" s="219"/>
      <c r="J999" s="198"/>
      <c r="K999" s="131"/>
      <c r="L999" s="131"/>
      <c r="M999" s="131"/>
      <c r="N999" s="131"/>
      <c r="O999" s="131"/>
      <c r="P999" s="131"/>
      <c r="Q999" s="131"/>
      <c r="R999" s="131"/>
      <c r="S999" s="131"/>
      <c r="T999" s="131"/>
      <c r="U999" s="131"/>
      <c r="V999" s="131"/>
      <c r="W999" s="131"/>
      <c r="X999" s="131"/>
      <c r="Y999" s="131"/>
      <c r="Z999" s="142"/>
      <c r="AA999" s="142"/>
      <c r="AB999" s="142"/>
      <c r="AC999" s="142"/>
      <c r="AD999" s="142"/>
      <c r="AE999" s="142"/>
      <c r="AF999" s="142"/>
      <c r="AG999" s="142"/>
      <c r="AH999" s="142"/>
      <c r="AI999" s="142"/>
      <c r="AJ999" s="142"/>
      <c r="AK999" s="142"/>
      <c r="AL999" s="142"/>
      <c r="AM999" s="142"/>
      <c r="AN999" s="142"/>
      <c r="AO999" s="131"/>
    </row>
    <row r="1000" ht="13.5" customHeight="1">
      <c r="A1000" s="142"/>
      <c r="B1000" s="142"/>
      <c r="C1000" s="142"/>
      <c r="D1000" s="142"/>
      <c r="E1000" s="308"/>
      <c r="F1000" s="131"/>
      <c r="G1000" s="131"/>
      <c r="H1000" s="131"/>
      <c r="I1000" s="219"/>
      <c r="J1000" s="198"/>
      <c r="K1000" s="131"/>
      <c r="L1000" s="131"/>
      <c r="M1000" s="131"/>
      <c r="N1000" s="131"/>
      <c r="O1000" s="131"/>
      <c r="P1000" s="131"/>
      <c r="Q1000" s="131"/>
      <c r="R1000" s="131"/>
      <c r="S1000" s="131"/>
      <c r="T1000" s="131"/>
      <c r="U1000" s="131"/>
      <c r="V1000" s="131"/>
      <c r="W1000" s="131"/>
      <c r="X1000" s="131"/>
      <c r="Y1000" s="131"/>
      <c r="Z1000" s="142"/>
      <c r="AA1000" s="142"/>
      <c r="AB1000" s="142"/>
      <c r="AC1000" s="142"/>
      <c r="AD1000" s="142"/>
      <c r="AE1000" s="142"/>
      <c r="AF1000" s="142"/>
      <c r="AG1000" s="142"/>
      <c r="AH1000" s="142"/>
      <c r="AI1000" s="142"/>
      <c r="AJ1000" s="142"/>
      <c r="AK1000" s="142"/>
      <c r="AL1000" s="142"/>
      <c r="AM1000" s="142"/>
      <c r="AN1000" s="142"/>
      <c r="AO1000" s="131"/>
    </row>
  </sheetData>
  <mergeCells count="5">
    <mergeCell ref="I1:J1"/>
    <mergeCell ref="Z2:Z26"/>
    <mergeCell ref="AG2:AG26"/>
    <mergeCell ref="K3:K4"/>
    <mergeCell ref="K13:K16"/>
  </mergeCells>
  <conditionalFormatting sqref="I2:J4 I17:J26 I6:J7 I9:J15">
    <cfRule type="cellIs" dxfId="21" priority="1" operator="equal">
      <formula>"/"</formula>
    </cfRule>
  </conditionalFormatting>
  <conditionalFormatting sqref="I2:J4 I17:J26 I6:J7 I9:J15">
    <cfRule type="cellIs" dxfId="4" priority="2" operator="lessThan">
      <formula>0</formula>
    </cfRule>
  </conditionalFormatting>
  <conditionalFormatting sqref="I2:J4 I17:J26 I6:J7 I9:J15">
    <cfRule type="cellIs" dxfId="22" priority="3" operator="greaterThan">
      <formula>0</formula>
    </cfRule>
  </conditionalFormatting>
  <conditionalFormatting sqref="F2:F26">
    <cfRule type="expression" dxfId="23" priority="4">
      <formula>$I$1="差距(Median)"</formula>
    </cfRule>
  </conditionalFormatting>
  <conditionalFormatting sqref="G2:G26">
    <cfRule type="expression" dxfId="23" priority="5">
      <formula>$I$1="差距(LQ)"</formula>
    </cfRule>
  </conditionalFormatting>
  <conditionalFormatting sqref="I5:J5">
    <cfRule type="cellIs" dxfId="21" priority="6" operator="equal">
      <formula>"/"</formula>
    </cfRule>
  </conditionalFormatting>
  <conditionalFormatting sqref="I5:J5">
    <cfRule type="cellIs" dxfId="4" priority="7" operator="lessThan">
      <formula>0</formula>
    </cfRule>
  </conditionalFormatting>
  <conditionalFormatting sqref="I5:J5">
    <cfRule type="cellIs" dxfId="22" priority="8" operator="greaterThan">
      <formula>0</formula>
    </cfRule>
  </conditionalFormatting>
  <conditionalFormatting sqref="I5:J5">
    <cfRule type="expression" dxfId="19" priority="9">
      <formula>MOD(ROW(),2)=0</formula>
    </cfRule>
  </conditionalFormatting>
  <conditionalFormatting sqref="I16:J16">
    <cfRule type="cellIs" dxfId="21" priority="10" operator="equal">
      <formula>"/"</formula>
    </cfRule>
  </conditionalFormatting>
  <conditionalFormatting sqref="I16:J16">
    <cfRule type="cellIs" dxfId="4" priority="11" operator="lessThan">
      <formula>0</formula>
    </cfRule>
  </conditionalFormatting>
  <conditionalFormatting sqref="I16:J16">
    <cfRule type="cellIs" dxfId="22" priority="12" operator="greaterThan">
      <formula>0</formula>
    </cfRule>
  </conditionalFormatting>
  <conditionalFormatting sqref="I16:J16">
    <cfRule type="expression" dxfId="19" priority="13">
      <formula>MOD(ROW(),2)=0</formula>
    </cfRule>
  </conditionalFormatting>
  <conditionalFormatting sqref="I8:J8">
    <cfRule type="cellIs" dxfId="21" priority="14" operator="equal">
      <formula>"/"</formula>
    </cfRule>
  </conditionalFormatting>
  <conditionalFormatting sqref="I8:J8">
    <cfRule type="cellIs" dxfId="4" priority="15" operator="lessThan">
      <formula>0</formula>
    </cfRule>
  </conditionalFormatting>
  <conditionalFormatting sqref="I8:J8">
    <cfRule type="cellIs" dxfId="22" priority="16" operator="greaterThan">
      <formula>0</formula>
    </cfRule>
  </conditionalFormatting>
  <conditionalFormatting sqref="I8:J8">
    <cfRule type="expression" dxfId="19" priority="17">
      <formula>MOD(ROW(),2)=0</formula>
    </cfRule>
  </conditionalFormatting>
  <conditionalFormatting sqref="Z2 AG2 AN2:AN27">
    <cfRule type="expression" dxfId="7" priority="18">
      <formula>TRUE</formula>
    </cfRule>
  </conditionalFormatting>
  <conditionalFormatting sqref="L2:L26 T2:Y26">
    <cfRule type="cellIs" dxfId="24" priority="19" operator="equal">
      <formula>2</formula>
    </cfRule>
  </conditionalFormatting>
  <conditionalFormatting sqref="L2:L26 T2:Y26">
    <cfRule type="cellIs" dxfId="26" priority="20" operator="equal">
      <formula>1</formula>
    </cfRule>
  </conditionalFormatting>
  <conditionalFormatting sqref="L2:L26 T2:Y26">
    <cfRule type="cellIs" dxfId="25" priority="21" operator="equal">
      <formula>0</formula>
    </cfRule>
  </conditionalFormatting>
  <dataValidations>
    <dataValidation type="list" allowBlank="1" showErrorMessage="1" sqref="Z2">
      <formula1>'選單'!$I$1:$I$3</formula1>
    </dataValidation>
    <dataValidation type="list" allowBlank="1" showErrorMessage="1" sqref="I1">
      <formula1>'選單'!$J$2:$J$3</formula1>
    </dataValidation>
  </dataValidations>
  <hyperlinks>
    <hyperlink r:id="rId2" ref="A37"/>
    <hyperlink r:id="rId3" location="jupas-interview" ref="A38"/>
    <hyperlink r:id="rId4" ref="A39"/>
  </hyperlinks>
  <printOptions/>
  <pageMargins bottom="0.75" footer="0.0" header="0.0" left="0.7" right="0.7" top="0.75"/>
  <pageSetup orientation="landscape"/>
  <drawing r:id="rId5"/>
  <legacyDrawing r:id="rId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9" width="7.78"/>
    <col customWidth="1" min="10" max="11" width="7.67"/>
    <col customWidth="1" min="12" max="12" width="4.89"/>
    <col customWidth="1" min="13" max="13" width="4.67"/>
    <col customWidth="1" min="14" max="14" width="9.78"/>
    <col customWidth="1" min="15" max="26" width="2.22"/>
    <col customWidth="1" min="27" max="27" width="8.89"/>
    <col customWidth="1" min="28" max="33" width="6.33"/>
    <col customWidth="1" min="34" max="34" width="8.89"/>
    <col customWidth="1" min="35" max="40" width="6.33"/>
    <col customWidth="1" min="41" max="41" width="3.11"/>
    <col customWidth="1" min="42" max="42" width="8.11"/>
  </cols>
  <sheetData>
    <row r="1" ht="18.0" customHeight="1">
      <c r="A1" s="312" t="s">
        <v>1056</v>
      </c>
      <c r="B1" s="312" t="s">
        <v>1066</v>
      </c>
      <c r="C1" s="312" t="s">
        <v>1057</v>
      </c>
      <c r="D1" s="312"/>
      <c r="E1" s="313" t="s">
        <v>44</v>
      </c>
      <c r="F1" s="313" t="s">
        <v>45</v>
      </c>
      <c r="G1" s="313" t="s">
        <v>46</v>
      </c>
      <c r="H1" s="313" t="s">
        <v>47</v>
      </c>
      <c r="I1" s="313" t="s">
        <v>48</v>
      </c>
      <c r="J1" s="314" t="s">
        <v>161</v>
      </c>
      <c r="K1" s="185"/>
      <c r="L1" s="313" t="s">
        <v>49</v>
      </c>
      <c r="M1" s="312" t="s">
        <v>955</v>
      </c>
      <c r="N1" s="313" t="s">
        <v>1067</v>
      </c>
      <c r="O1" s="313" t="s">
        <v>1058</v>
      </c>
      <c r="P1" s="313" t="s">
        <v>1059</v>
      </c>
      <c r="Q1" s="313" t="s">
        <v>1060</v>
      </c>
      <c r="R1" s="313" t="s">
        <v>1061</v>
      </c>
      <c r="S1" s="313" t="s">
        <v>218</v>
      </c>
      <c r="T1" s="313" t="s">
        <v>219</v>
      </c>
      <c r="U1" s="313" t="s">
        <v>1058</v>
      </c>
      <c r="V1" s="313" t="s">
        <v>1059</v>
      </c>
      <c r="W1" s="313" t="s">
        <v>1060</v>
      </c>
      <c r="X1" s="313" t="s">
        <v>1061</v>
      </c>
      <c r="Y1" s="313" t="s">
        <v>218</v>
      </c>
      <c r="Z1" s="313" t="s">
        <v>219</v>
      </c>
      <c r="AA1" s="313" t="s">
        <v>50</v>
      </c>
      <c r="AB1" s="313" t="s">
        <v>1068</v>
      </c>
      <c r="AC1" s="313" t="s">
        <v>39</v>
      </c>
      <c r="AD1" s="313" t="s">
        <v>1069</v>
      </c>
      <c r="AE1" s="313" t="s">
        <v>1070</v>
      </c>
      <c r="AF1" s="313" t="s">
        <v>1071</v>
      </c>
      <c r="AG1" s="313" t="s">
        <v>1072</v>
      </c>
      <c r="AH1" s="313" t="s">
        <v>1073</v>
      </c>
      <c r="AI1" s="313" t="s">
        <v>1068</v>
      </c>
      <c r="AJ1" s="313" t="s">
        <v>39</v>
      </c>
      <c r="AK1" s="313" t="s">
        <v>1069</v>
      </c>
      <c r="AL1" s="313" t="s">
        <v>1070</v>
      </c>
      <c r="AM1" s="313" t="s">
        <v>1071</v>
      </c>
      <c r="AN1" s="313" t="s">
        <v>1072</v>
      </c>
      <c r="AO1" s="312"/>
      <c r="AP1" s="313"/>
    </row>
    <row r="2" ht="18.0" customHeight="1">
      <c r="A2" s="315" t="s">
        <v>958</v>
      </c>
      <c r="B2" s="315" t="s">
        <v>959</v>
      </c>
      <c r="C2" s="315" t="s">
        <v>960</v>
      </c>
      <c r="D2" s="315" t="s">
        <v>1503</v>
      </c>
      <c r="E2" s="316" t="s">
        <v>24</v>
      </c>
      <c r="F2" s="317">
        <v>36.0</v>
      </c>
      <c r="G2" s="317">
        <v>35.0</v>
      </c>
      <c r="H2" s="317">
        <v>33.0</v>
      </c>
      <c r="I2" s="318">
        <f>'計分版'!D256</f>
        <v>0.00000000445</v>
      </c>
      <c r="J2" s="319">
        <f t="shared" ref="J2:J26" si="1">IF(J$1="差距(Median)",I2-G2,IF(J$1="差距(UQ)",I2-F2,IF(J$1="差距(LQ)",I2-H2)))</f>
        <v>-33</v>
      </c>
      <c r="K2" s="320">
        <f t="shared" ref="K2:K26" si="2">IF(J$1="差距(Median)",(I2-G2)/I2,IF(J$1="差距(UQ)",(I2-F2)/I2,IF(J$1="差距(LQ)",(I2-H2)/I2)))</f>
        <v>-7415730336</v>
      </c>
      <c r="L2" s="321">
        <v>53.0</v>
      </c>
      <c r="M2" s="322">
        <f>'入學要求'!S239</f>
        <v>0</v>
      </c>
      <c r="N2" s="316" t="s">
        <v>1188</v>
      </c>
      <c r="O2" s="316">
        <v>3.0</v>
      </c>
      <c r="P2" s="316">
        <v>3.0</v>
      </c>
      <c r="Q2" s="316">
        <v>2.0</v>
      </c>
      <c r="R2" s="316">
        <v>2.0</v>
      </c>
      <c r="S2" s="316">
        <v>3.0</v>
      </c>
      <c r="T2" s="316">
        <v>3.0</v>
      </c>
      <c r="U2" s="323">
        <f>'入學要求'!L239</f>
        <v>0</v>
      </c>
      <c r="V2" s="323">
        <f>'入學要求'!M239</f>
        <v>0</v>
      </c>
      <c r="W2" s="323">
        <f>'入學要求'!N239</f>
        <v>0</v>
      </c>
      <c r="X2" s="323">
        <f>'入學要求'!O239</f>
        <v>0</v>
      </c>
      <c r="Y2" s="323">
        <f>'入學要求'!P239</f>
        <v>0</v>
      </c>
      <c r="Z2" s="323">
        <f>'入學要求'!Q239</f>
        <v>0</v>
      </c>
      <c r="AA2" s="196" t="s">
        <v>38</v>
      </c>
      <c r="AB2" s="321">
        <f>IF($AA$2="2018年",'Offer Statistics'!CW2,IF($AA$2="2019年",'Offer Statistics'!CW46,IF($AA$2="2020年",'Offer Statistics'!CW90)))</f>
        <v>41</v>
      </c>
      <c r="AC2" s="324">
        <f>IF($AA$2="2018年",'Offer Statistics'!CR2,IF($AA$2="2019年",'Offer Statistics'!CR46,IF($AA$2="2020年",'Offer Statistics'!CR90)))</f>
        <v>41</v>
      </c>
      <c r="AD2" s="324">
        <f>IF($AA$2="2018年",'Offer Statistics'!CS2,IF($AA$2="2019年",'Offer Statistics'!CS46,IF($AA$2="2020年",'Offer Statistics'!CS90)))</f>
        <v>0</v>
      </c>
      <c r="AE2" s="324">
        <f>IF($AA$2="2018年",'Offer Statistics'!CT2,IF($AA$2="2019年",'Offer Statistics'!CT46,IF($AA$2="2020年",'Offer Statistics'!CT90)))</f>
        <v>0</v>
      </c>
      <c r="AF2" s="324">
        <f>IF($AA$2="2018年",'Offer Statistics'!CU2,IF($AA$2="2019年",'Offer Statistics'!CU46,IF($AA$2="2020年",'Offer Statistics'!CU90)))</f>
        <v>0</v>
      </c>
      <c r="AG2" s="324">
        <f>IF($AA$2="2018年",'Offer Statistics'!CV2,IF($AA$2="2019年",'Offer Statistics'!CV46,IF($AA$2="2020年",'Offer Statistics'!CV90)))</f>
        <v>0</v>
      </c>
      <c r="AH2" s="196" t="str">
        <f>AA2</f>
        <v>2020年</v>
      </c>
      <c r="AI2" s="321">
        <f>IF($AA$2="2018年",'Offer Statistics'!CO2,IF($AA$2="2019年",'Offer Statistics'!CO46,IF($AA$2="2020年",'Offer Statistics'!CO90)))</f>
        <v>674</v>
      </c>
      <c r="AJ2" s="324">
        <f>IF($AA$2="2018年",'Offer Statistics'!CJ2,IF($AA$2="2019年",'Offer Statistics'!CJ46,IF($AA$2="2020年",'Offer Statistics'!CJ90)))</f>
        <v>110</v>
      </c>
      <c r="AK2" s="324">
        <f>IF($AA$2="2018年",'Offer Statistics'!CK2,IF($AA$2="2019年",'Offer Statistics'!CK46,IF($AA$2="2020年",'Offer Statistics'!CK90)))</f>
        <v>66</v>
      </c>
      <c r="AL2" s="324">
        <f>IF($AA$2="2018年",'Offer Statistics'!CL2,IF($AA$2="2019年",'Offer Statistics'!CL46,IF($AA$2="2020年",'Offer Statistics'!CL90)))</f>
        <v>116</v>
      </c>
      <c r="AM2" s="324">
        <f>IF($AA$2="2018年",'Offer Statistics'!CM2,IF($AA$2="2019年",'Offer Statistics'!CM46,IF($AA$2="2020年",'Offer Statistics'!CM90)))</f>
        <v>187</v>
      </c>
      <c r="AN2" s="324">
        <f>IF($AA$2="2018年",'Offer Statistics'!CN2,IF($AA$2="2019年",'Offer Statistics'!CN46,IF($AA$2="2020年",'Offer Statistics'!CN90)))</f>
        <v>195</v>
      </c>
      <c r="AO2" s="315"/>
      <c r="AP2" s="316" t="str">
        <f t="shared" ref="AP2:AP44" si="3">A2</f>
        <v>JS6004</v>
      </c>
    </row>
    <row r="3" ht="18.0" customHeight="1">
      <c r="A3" s="142" t="s">
        <v>962</v>
      </c>
      <c r="B3" s="142" t="s">
        <v>959</v>
      </c>
      <c r="C3" s="142" t="s">
        <v>963</v>
      </c>
      <c r="D3" s="142" t="s">
        <v>1504</v>
      </c>
      <c r="E3" s="131" t="s">
        <v>21</v>
      </c>
      <c r="F3" s="199">
        <v>32.0</v>
      </c>
      <c r="G3" s="199">
        <v>31.0</v>
      </c>
      <c r="H3" s="199">
        <v>29.0</v>
      </c>
      <c r="I3" s="200">
        <f>'計分版'!D257</f>
        <v>0.00000000395</v>
      </c>
      <c r="J3" s="201">
        <f t="shared" si="1"/>
        <v>-29</v>
      </c>
      <c r="K3" s="202">
        <f t="shared" si="2"/>
        <v>-7341772151</v>
      </c>
      <c r="L3" s="132">
        <v>43.0</v>
      </c>
      <c r="M3" s="325">
        <f>'入學要求'!S240</f>
        <v>0</v>
      </c>
      <c r="N3" s="131" t="s">
        <v>541</v>
      </c>
      <c r="O3" s="163">
        <v>3.0</v>
      </c>
      <c r="P3" s="163">
        <v>3.0</v>
      </c>
      <c r="Q3" s="163">
        <v>2.0</v>
      </c>
      <c r="R3" s="163">
        <v>2.0</v>
      </c>
      <c r="S3" s="163">
        <v>3.0</v>
      </c>
      <c r="T3" s="163">
        <v>3.0</v>
      </c>
      <c r="U3" s="292">
        <f>'入學要求'!L240</f>
        <v>0</v>
      </c>
      <c r="V3" s="292">
        <f>'入學要求'!M240</f>
        <v>0</v>
      </c>
      <c r="W3" s="292">
        <f>'入學要求'!N240</f>
        <v>0</v>
      </c>
      <c r="X3" s="292">
        <f>'入學要求'!O240</f>
        <v>0</v>
      </c>
      <c r="Y3" s="292">
        <f>'入學要求'!P240</f>
        <v>0</v>
      </c>
      <c r="Z3" s="292">
        <f>'入學要求'!Q240</f>
        <v>0</v>
      </c>
      <c r="AA3" s="205"/>
      <c r="AB3" s="132">
        <f>IF($AA$2="2018年",'Offer Statistics'!CW3,IF($AA$2="2019年",'Offer Statistics'!CW47,IF($AA$2="2020年",'Offer Statistics'!CW91)))</f>
        <v>47</v>
      </c>
      <c r="AC3" s="206">
        <f>IF($AA$2="2018年",'Offer Statistics'!CR3,IF($AA$2="2019年",'Offer Statistics'!CR47,IF($AA$2="2020年",'Offer Statistics'!CR91)))</f>
        <v>47</v>
      </c>
      <c r="AD3" s="206">
        <f>IF($AA$2="2018年",'Offer Statistics'!CS3,IF($AA$2="2019年",'Offer Statistics'!CS47,IF($AA$2="2020年",'Offer Statistics'!CS91)))</f>
        <v>0</v>
      </c>
      <c r="AE3" s="206">
        <f>IF($AA$2="2018年",'Offer Statistics'!CT3,IF($AA$2="2019年",'Offer Statistics'!CT47,IF($AA$2="2020年",'Offer Statistics'!CT91)))</f>
        <v>0</v>
      </c>
      <c r="AF3" s="206">
        <f>IF($AA$2="2018年",'Offer Statistics'!CU3,IF($AA$2="2019年",'Offer Statistics'!CU47,IF($AA$2="2020年",'Offer Statistics'!CU91)))</f>
        <v>0</v>
      </c>
      <c r="AG3" s="206">
        <f>IF($AA$2="2018年",'Offer Statistics'!CV3,IF($AA$2="2019年",'Offer Statistics'!CV47,IF($AA$2="2020年",'Offer Statistics'!CV91)))</f>
        <v>0</v>
      </c>
      <c r="AH3" s="205"/>
      <c r="AI3" s="132">
        <f>IF($AA$2="2018年",'Offer Statistics'!CO3,IF($AA$2="2019年",'Offer Statistics'!CO47,IF($AA$2="2020年",'Offer Statistics'!CO91)))</f>
        <v>701</v>
      </c>
      <c r="AJ3" s="206">
        <f>IF($AA$2="2018年",'Offer Statistics'!CJ3,IF($AA$2="2019年",'Offer Statistics'!CJ47,IF($AA$2="2020年",'Offer Statistics'!CJ91)))</f>
        <v>86</v>
      </c>
      <c r="AK3" s="206">
        <f>IF($AA$2="2018年",'Offer Statistics'!CK3,IF($AA$2="2019年",'Offer Statistics'!CK47,IF($AA$2="2020年",'Offer Statistics'!CK91)))</f>
        <v>58</v>
      </c>
      <c r="AL3" s="206">
        <f>IF($AA$2="2018年",'Offer Statistics'!CL3,IF($AA$2="2019年",'Offer Statistics'!CL47,IF($AA$2="2020年",'Offer Statistics'!CL91)))</f>
        <v>137</v>
      </c>
      <c r="AM3" s="206">
        <f>IF($AA$2="2018年",'Offer Statistics'!CM3,IF($AA$2="2019年",'Offer Statistics'!CM47,IF($AA$2="2020年",'Offer Statistics'!CM91)))</f>
        <v>211</v>
      </c>
      <c r="AN3" s="206">
        <f>IF($AA$2="2018年",'Offer Statistics'!CN3,IF($AA$2="2019年",'Offer Statistics'!CN47,IF($AA$2="2020年",'Offer Statistics'!CN91)))</f>
        <v>209</v>
      </c>
      <c r="AO3" s="142"/>
      <c r="AP3" s="131" t="str">
        <f t="shared" si="3"/>
        <v>JS6016</v>
      </c>
    </row>
    <row r="4" ht="18.0" customHeight="1">
      <c r="A4" s="315" t="s">
        <v>965</v>
      </c>
      <c r="B4" s="315" t="s">
        <v>959</v>
      </c>
      <c r="C4" s="315" t="s">
        <v>966</v>
      </c>
      <c r="D4" s="315" t="s">
        <v>1505</v>
      </c>
      <c r="E4" s="316" t="s">
        <v>21</v>
      </c>
      <c r="F4" s="317">
        <v>28.0</v>
      </c>
      <c r="G4" s="317">
        <v>28.0</v>
      </c>
      <c r="H4" s="317">
        <v>28.0</v>
      </c>
      <c r="I4" s="318">
        <f>'計分版'!D258</f>
        <v>0.00000000395</v>
      </c>
      <c r="J4" s="319">
        <f t="shared" si="1"/>
        <v>-28</v>
      </c>
      <c r="K4" s="320">
        <f t="shared" si="2"/>
        <v>-7088607594</v>
      </c>
      <c r="L4" s="321">
        <v>12.0</v>
      </c>
      <c r="M4" s="326">
        <f>'入學要求'!S241</f>
        <v>0</v>
      </c>
      <c r="N4" s="316" t="s">
        <v>541</v>
      </c>
      <c r="O4" s="316">
        <v>3.0</v>
      </c>
      <c r="P4" s="316">
        <v>3.0</v>
      </c>
      <c r="Q4" s="316">
        <v>2.0</v>
      </c>
      <c r="R4" s="316">
        <v>2.0</v>
      </c>
      <c r="S4" s="316">
        <v>3.0</v>
      </c>
      <c r="T4" s="316">
        <v>3.0</v>
      </c>
      <c r="U4" s="323">
        <f>'入學要求'!L241</f>
        <v>0</v>
      </c>
      <c r="V4" s="323">
        <f>'入學要求'!M241</f>
        <v>0</v>
      </c>
      <c r="W4" s="323">
        <f>'入學要求'!N241</f>
        <v>0</v>
      </c>
      <c r="X4" s="323">
        <f>'入學要求'!O241</f>
        <v>0</v>
      </c>
      <c r="Y4" s="323">
        <f>'入學要求'!P241</f>
        <v>0</v>
      </c>
      <c r="Z4" s="323">
        <f>'入學要求'!Q241</f>
        <v>0</v>
      </c>
      <c r="AA4" s="205"/>
      <c r="AB4" s="321">
        <f>IF($AA$2="2018年",'Offer Statistics'!CW4,IF($AA$2="2019年",'Offer Statistics'!CW48,IF($AA$2="2020年",'Offer Statistics'!CW92)))</f>
        <v>7</v>
      </c>
      <c r="AC4" s="324">
        <f>IF($AA$2="2018年",'Offer Statistics'!CR4,IF($AA$2="2019年",'Offer Statistics'!CR48,IF($AA$2="2020年",'Offer Statistics'!CR92)))</f>
        <v>7</v>
      </c>
      <c r="AD4" s="324">
        <f>IF($AA$2="2018年",'Offer Statistics'!CS4,IF($AA$2="2019年",'Offer Statistics'!CS48,IF($AA$2="2020年",'Offer Statistics'!CS92)))</f>
        <v>0</v>
      </c>
      <c r="AE4" s="324">
        <f>IF($AA$2="2018年",'Offer Statistics'!CT4,IF($AA$2="2019年",'Offer Statistics'!CT48,IF($AA$2="2020年",'Offer Statistics'!CT92)))</f>
        <v>0</v>
      </c>
      <c r="AF4" s="324">
        <f>IF($AA$2="2018年",'Offer Statistics'!CU4,IF($AA$2="2019年",'Offer Statistics'!CU48,IF($AA$2="2020年",'Offer Statistics'!CU92)))</f>
        <v>0</v>
      </c>
      <c r="AG4" s="324">
        <f>IF($AA$2="2018年",'Offer Statistics'!CV4,IF($AA$2="2019年",'Offer Statistics'!CV48,IF($AA$2="2020年",'Offer Statistics'!CV92)))</f>
        <v>0</v>
      </c>
      <c r="AH4" s="205"/>
      <c r="AI4" s="321">
        <f>IF($AA$2="2018年",'Offer Statistics'!CO4,IF($AA$2="2019年",'Offer Statistics'!CO48,IF($AA$2="2020年",'Offer Statistics'!CO92)))</f>
        <v>404</v>
      </c>
      <c r="AJ4" s="324">
        <f>IF($AA$2="2018年",'Offer Statistics'!CJ4,IF($AA$2="2019年",'Offer Statistics'!CJ48,IF($AA$2="2020年",'Offer Statistics'!CJ92)))</f>
        <v>45</v>
      </c>
      <c r="AK4" s="324">
        <f>IF($AA$2="2018年",'Offer Statistics'!CK4,IF($AA$2="2019年",'Offer Statistics'!CK48,IF($AA$2="2020年",'Offer Statistics'!CK92)))</f>
        <v>33</v>
      </c>
      <c r="AL4" s="324">
        <f>IF($AA$2="2018年",'Offer Statistics'!CL4,IF($AA$2="2019年",'Offer Statistics'!CL48,IF($AA$2="2020年",'Offer Statistics'!CL92)))</f>
        <v>57</v>
      </c>
      <c r="AM4" s="324">
        <f>IF($AA$2="2018年",'Offer Statistics'!CM4,IF($AA$2="2019年",'Offer Statistics'!CM48,IF($AA$2="2020年",'Offer Statistics'!CM92)))</f>
        <v>128</v>
      </c>
      <c r="AN4" s="324">
        <f>IF($AA$2="2018年",'Offer Statistics'!CN4,IF($AA$2="2019年",'Offer Statistics'!CN48,IF($AA$2="2020年",'Offer Statistics'!CN92)))</f>
        <v>141</v>
      </c>
      <c r="AO4" s="315"/>
      <c r="AP4" s="316" t="str">
        <f t="shared" si="3"/>
        <v>JS6028</v>
      </c>
    </row>
    <row r="5" ht="18.0" customHeight="1">
      <c r="A5" s="142" t="s">
        <v>967</v>
      </c>
      <c r="B5" s="142" t="s">
        <v>959</v>
      </c>
      <c r="C5" s="142" t="s">
        <v>968</v>
      </c>
      <c r="D5" s="142" t="s">
        <v>1506</v>
      </c>
      <c r="E5" s="131" t="s">
        <v>21</v>
      </c>
      <c r="F5" s="199">
        <v>31.0</v>
      </c>
      <c r="G5" s="199">
        <v>29.0</v>
      </c>
      <c r="H5" s="199">
        <v>28.0</v>
      </c>
      <c r="I5" s="200">
        <f>'計分版'!D259</f>
        <v>0.00000000395</v>
      </c>
      <c r="J5" s="201">
        <f t="shared" si="1"/>
        <v>-28</v>
      </c>
      <c r="K5" s="202">
        <f t="shared" si="2"/>
        <v>-7088607594</v>
      </c>
      <c r="L5" s="132">
        <v>17.0</v>
      </c>
      <c r="M5" s="325">
        <f>'入學要求'!S242</f>
        <v>0</v>
      </c>
      <c r="N5" s="131" t="s">
        <v>1188</v>
      </c>
      <c r="O5" s="163">
        <v>3.0</v>
      </c>
      <c r="P5" s="163">
        <v>3.0</v>
      </c>
      <c r="Q5" s="163">
        <v>2.0</v>
      </c>
      <c r="R5" s="163">
        <v>2.0</v>
      </c>
      <c r="S5" s="163">
        <v>3.0</v>
      </c>
      <c r="T5" s="163">
        <v>3.0</v>
      </c>
      <c r="U5" s="292">
        <f>'入學要求'!L242</f>
        <v>0</v>
      </c>
      <c r="V5" s="292">
        <f>'入學要求'!M242</f>
        <v>0</v>
      </c>
      <c r="W5" s="292">
        <f>'入學要求'!N242</f>
        <v>0</v>
      </c>
      <c r="X5" s="292">
        <f>'入學要求'!O242</f>
        <v>0</v>
      </c>
      <c r="Y5" s="292">
        <f>'入學要求'!P242</f>
        <v>0</v>
      </c>
      <c r="Z5" s="292">
        <f>'入學要求'!Q242</f>
        <v>0</v>
      </c>
      <c r="AA5" s="205"/>
      <c r="AB5" s="132">
        <f>IF($AA$2="2018年",'Offer Statistics'!CW5,IF($AA$2="2019年",'Offer Statistics'!CW49,IF($AA$2="2020年",'Offer Statistics'!CW93)))</f>
        <v>22</v>
      </c>
      <c r="AC5" s="206">
        <f>IF($AA$2="2018年",'Offer Statistics'!CR5,IF($AA$2="2019年",'Offer Statistics'!CR49,IF($AA$2="2020年",'Offer Statistics'!CR93)))</f>
        <v>22</v>
      </c>
      <c r="AD5" s="206">
        <f>IF($AA$2="2018年",'Offer Statistics'!CS5,IF($AA$2="2019年",'Offer Statistics'!CS49,IF($AA$2="2020年",'Offer Statistics'!CS93)))</f>
        <v>0</v>
      </c>
      <c r="AE5" s="206">
        <f>IF($AA$2="2018年",'Offer Statistics'!CT5,IF($AA$2="2019年",'Offer Statistics'!CT49,IF($AA$2="2020年",'Offer Statistics'!CT93)))</f>
        <v>0</v>
      </c>
      <c r="AF5" s="206">
        <f>IF($AA$2="2018年",'Offer Statistics'!CU5,IF($AA$2="2019年",'Offer Statistics'!CU49,IF($AA$2="2020年",'Offer Statistics'!CU93)))</f>
        <v>0</v>
      </c>
      <c r="AG5" s="206">
        <f>IF($AA$2="2018年",'Offer Statistics'!CV5,IF($AA$2="2019年",'Offer Statistics'!CV49,IF($AA$2="2020年",'Offer Statistics'!CV93)))</f>
        <v>0</v>
      </c>
      <c r="AH5" s="205"/>
      <c r="AI5" s="132">
        <f>IF($AA$2="2018年",'Offer Statistics'!CO5,IF($AA$2="2019年",'Offer Statistics'!CO49,IF($AA$2="2020年",'Offer Statistics'!CO93)))</f>
        <v>776</v>
      </c>
      <c r="AJ5" s="206">
        <f>IF($AA$2="2018年",'Offer Statistics'!CJ5,IF($AA$2="2019年",'Offer Statistics'!CJ49,IF($AA$2="2020年",'Offer Statistics'!CJ93)))</f>
        <v>83</v>
      </c>
      <c r="AK5" s="206">
        <f>IF($AA$2="2018年",'Offer Statistics'!CK5,IF($AA$2="2019年",'Offer Statistics'!CK49,IF($AA$2="2020年",'Offer Statistics'!CK93)))</f>
        <v>63</v>
      </c>
      <c r="AL5" s="206">
        <f>IF($AA$2="2018年",'Offer Statistics'!CL5,IF($AA$2="2019年",'Offer Statistics'!CL49,IF($AA$2="2020年",'Offer Statistics'!CL93)))</f>
        <v>146</v>
      </c>
      <c r="AM5" s="206">
        <f>IF($AA$2="2018年",'Offer Statistics'!CM5,IF($AA$2="2019年",'Offer Statistics'!CM49,IF($AA$2="2020年",'Offer Statistics'!CM93)))</f>
        <v>225</v>
      </c>
      <c r="AN5" s="206">
        <f>IF($AA$2="2018年",'Offer Statistics'!CN5,IF($AA$2="2019年",'Offer Statistics'!CN49,IF($AA$2="2020年",'Offer Statistics'!CN93)))</f>
        <v>259</v>
      </c>
      <c r="AO5" s="142"/>
      <c r="AP5" s="131" t="str">
        <f t="shared" si="3"/>
        <v>JS6042</v>
      </c>
    </row>
    <row r="6" ht="18.0" customHeight="1">
      <c r="A6" s="315" t="s">
        <v>970</v>
      </c>
      <c r="B6" s="315" t="s">
        <v>971</v>
      </c>
      <c r="C6" s="315" t="s">
        <v>229</v>
      </c>
      <c r="D6" s="315" t="s">
        <v>1507</v>
      </c>
      <c r="E6" s="316" t="s">
        <v>21</v>
      </c>
      <c r="F6" s="317">
        <v>26.0</v>
      </c>
      <c r="G6" s="317">
        <v>25.0</v>
      </c>
      <c r="H6" s="317">
        <v>24.0</v>
      </c>
      <c r="I6" s="318">
        <f>'計分版'!D260</f>
        <v>0.00000000355</v>
      </c>
      <c r="J6" s="319">
        <f t="shared" si="1"/>
        <v>-24</v>
      </c>
      <c r="K6" s="320">
        <f t="shared" si="2"/>
        <v>-6760563379</v>
      </c>
      <c r="L6" s="321">
        <v>347.0</v>
      </c>
      <c r="M6" s="326">
        <f>'入學要求'!S243</f>
        <v>0</v>
      </c>
      <c r="N6" s="316" t="s">
        <v>541</v>
      </c>
      <c r="O6" s="316">
        <v>3.0</v>
      </c>
      <c r="P6" s="316">
        <v>3.0</v>
      </c>
      <c r="Q6" s="316">
        <v>2.0</v>
      </c>
      <c r="R6" s="316">
        <v>2.0</v>
      </c>
      <c r="S6" s="316">
        <v>3.0</v>
      </c>
      <c r="T6" s="316">
        <v>3.0</v>
      </c>
      <c r="U6" s="323">
        <f>'入學要求'!L243</f>
        <v>0</v>
      </c>
      <c r="V6" s="323">
        <f>'入學要求'!M243</f>
        <v>0</v>
      </c>
      <c r="W6" s="323">
        <f>'入學要求'!N243</f>
        <v>0</v>
      </c>
      <c r="X6" s="323">
        <f>'入學要求'!O243</f>
        <v>0</v>
      </c>
      <c r="Y6" s="323">
        <f>'入學要求'!P243</f>
        <v>0</v>
      </c>
      <c r="Z6" s="323">
        <f>'入學要求'!Q243</f>
        <v>0</v>
      </c>
      <c r="AA6" s="205"/>
      <c r="AB6" s="321">
        <f>IF($AA$2="2018年",'Offer Statistics'!CW6,IF($AA$2="2019年",'Offer Statistics'!CW50,IF($AA$2="2020年",'Offer Statistics'!CW94)))</f>
        <v>311</v>
      </c>
      <c r="AC6" s="324">
        <f>IF($AA$2="2018年",'Offer Statistics'!CR6,IF($AA$2="2019年",'Offer Statistics'!CR50,IF($AA$2="2020年",'Offer Statistics'!CR94)))</f>
        <v>311</v>
      </c>
      <c r="AD6" s="324">
        <f>IF($AA$2="2018年",'Offer Statistics'!CS6,IF($AA$2="2019年",'Offer Statistics'!CS50,IF($AA$2="2020年",'Offer Statistics'!CS94)))</f>
        <v>0</v>
      </c>
      <c r="AE6" s="324">
        <f>IF($AA$2="2018年",'Offer Statistics'!CT6,IF($AA$2="2019年",'Offer Statistics'!CT50,IF($AA$2="2020年",'Offer Statistics'!CT94)))</f>
        <v>0</v>
      </c>
      <c r="AF6" s="324">
        <f>IF($AA$2="2018年",'Offer Statistics'!CU6,IF($AA$2="2019年",'Offer Statistics'!CU50,IF($AA$2="2020年",'Offer Statistics'!CU94)))</f>
        <v>0</v>
      </c>
      <c r="AG6" s="324">
        <f>IF($AA$2="2018年",'Offer Statistics'!CV6,IF($AA$2="2019年",'Offer Statistics'!CV50,IF($AA$2="2020年",'Offer Statistics'!CV94)))</f>
        <v>0</v>
      </c>
      <c r="AH6" s="205"/>
      <c r="AI6" s="321">
        <f>IF($AA$2="2018年",'Offer Statistics'!CO6,IF($AA$2="2019年",'Offer Statistics'!CO50,IF($AA$2="2020年",'Offer Statistics'!CO94)))</f>
        <v>3517</v>
      </c>
      <c r="AJ6" s="324">
        <f>IF($AA$2="2018年",'Offer Statistics'!CJ6,IF($AA$2="2019年",'Offer Statistics'!CJ50,IF($AA$2="2020年",'Offer Statistics'!CJ94)))</f>
        <v>1091</v>
      </c>
      <c r="AK6" s="324">
        <f>IF($AA$2="2018年",'Offer Statistics'!CK6,IF($AA$2="2019年",'Offer Statistics'!CK50,IF($AA$2="2020年",'Offer Statistics'!CK94)))</f>
        <v>464</v>
      </c>
      <c r="AL6" s="324">
        <f>IF($AA$2="2018年",'Offer Statistics'!CL6,IF($AA$2="2019年",'Offer Statistics'!CL50,IF($AA$2="2020年",'Offer Statistics'!CL94)))</f>
        <v>590</v>
      </c>
      <c r="AM6" s="324">
        <f>IF($AA$2="2018年",'Offer Statistics'!CM6,IF($AA$2="2019年",'Offer Statistics'!CM50,IF($AA$2="2020年",'Offer Statistics'!CM94)))</f>
        <v>739</v>
      </c>
      <c r="AN6" s="324">
        <f>IF($AA$2="2018年",'Offer Statistics'!CN6,IF($AA$2="2019年",'Offer Statistics'!CN50,IF($AA$2="2020年",'Offer Statistics'!CN94)))</f>
        <v>633</v>
      </c>
      <c r="AO6" s="315"/>
      <c r="AP6" s="316" t="str">
        <f t="shared" si="3"/>
        <v>JS6054</v>
      </c>
    </row>
    <row r="7" ht="18.0" customHeight="1">
      <c r="A7" s="142" t="s">
        <v>972</v>
      </c>
      <c r="B7" s="142" t="s">
        <v>973</v>
      </c>
      <c r="C7" s="142" t="s">
        <v>974</v>
      </c>
      <c r="D7" s="142" t="s">
        <v>1508</v>
      </c>
      <c r="E7" s="132" t="s">
        <v>24</v>
      </c>
      <c r="F7" s="199">
        <v>37.0</v>
      </c>
      <c r="G7" s="199">
        <v>36.0</v>
      </c>
      <c r="H7" s="199">
        <v>34.0</v>
      </c>
      <c r="I7" s="200">
        <f>'計分版'!D261</f>
        <v>0.00000000375</v>
      </c>
      <c r="J7" s="201">
        <f t="shared" si="1"/>
        <v>-34</v>
      </c>
      <c r="K7" s="202">
        <f t="shared" si="2"/>
        <v>-9066666666</v>
      </c>
      <c r="L7" s="196" t="s">
        <v>1509</v>
      </c>
      <c r="M7" s="325">
        <f>'入學要求'!S244</f>
        <v>0</v>
      </c>
      <c r="N7" s="131" t="s">
        <v>1188</v>
      </c>
      <c r="O7" s="163">
        <v>3.0</v>
      </c>
      <c r="P7" s="163">
        <v>4.0</v>
      </c>
      <c r="Q7" s="163">
        <v>3.0</v>
      </c>
      <c r="R7" s="163">
        <v>2.0</v>
      </c>
      <c r="S7" s="163">
        <v>3.0</v>
      </c>
      <c r="T7" s="163">
        <v>3.0</v>
      </c>
      <c r="U7" s="292">
        <f>'入學要求'!L244</f>
        <v>0</v>
      </c>
      <c r="V7" s="292">
        <f>'入學要求'!M244</f>
        <v>0</v>
      </c>
      <c r="W7" s="292">
        <f>'入學要求'!N244</f>
        <v>0</v>
      </c>
      <c r="X7" s="292">
        <f>'入學要求'!O244</f>
        <v>0</v>
      </c>
      <c r="Y7" s="292">
        <f>'入學要求'!P244</f>
        <v>0</v>
      </c>
      <c r="Z7" s="292">
        <f>'入學要求'!Q244</f>
        <v>0</v>
      </c>
      <c r="AA7" s="205"/>
      <c r="AB7" s="132">
        <f>IF($AA$2="2018年",'Offer Statistics'!CW7,IF($AA$2="2019年",'Offer Statistics'!CW51,IF($AA$2="2020年",'Offer Statistics'!CW95)))</f>
        <v>121</v>
      </c>
      <c r="AC7" s="206">
        <f>IF($AA$2="2018年",'Offer Statistics'!CR7,IF($AA$2="2019年",'Offer Statistics'!CR51,IF($AA$2="2020年",'Offer Statistics'!CR95)))</f>
        <v>121</v>
      </c>
      <c r="AD7" s="206">
        <f>IF($AA$2="2018年",'Offer Statistics'!CS7,IF($AA$2="2019年",'Offer Statistics'!CS51,IF($AA$2="2020年",'Offer Statistics'!CS95)))</f>
        <v>0</v>
      </c>
      <c r="AE7" s="206">
        <f>IF($AA$2="2018年",'Offer Statistics'!CT7,IF($AA$2="2019年",'Offer Statistics'!CT51,IF($AA$2="2020年",'Offer Statistics'!CT95)))</f>
        <v>0</v>
      </c>
      <c r="AF7" s="206">
        <f>IF($AA$2="2018年",'Offer Statistics'!CU7,IF($AA$2="2019年",'Offer Statistics'!CU51,IF($AA$2="2020年",'Offer Statistics'!CU95)))</f>
        <v>0</v>
      </c>
      <c r="AG7" s="206">
        <f>IF($AA$2="2018年",'Offer Statistics'!CV7,IF($AA$2="2019年",'Offer Statistics'!CV51,IF($AA$2="2020年",'Offer Statistics'!CV95)))</f>
        <v>0</v>
      </c>
      <c r="AH7" s="205"/>
      <c r="AI7" s="132">
        <f>IF($AA$2="2018年",'Offer Statistics'!CO7,IF($AA$2="2019年",'Offer Statistics'!CO51,IF($AA$2="2020年",'Offer Statistics'!CO95)))</f>
        <v>1744</v>
      </c>
      <c r="AJ7" s="206">
        <f>IF($AA$2="2018年",'Offer Statistics'!CJ7,IF($AA$2="2019年",'Offer Statistics'!CJ51,IF($AA$2="2020年",'Offer Statistics'!CJ95)))</f>
        <v>361</v>
      </c>
      <c r="AK7" s="206">
        <f>IF($AA$2="2018年",'Offer Statistics'!CK7,IF($AA$2="2019年",'Offer Statistics'!CK51,IF($AA$2="2020年",'Offer Statistics'!CK95)))</f>
        <v>218</v>
      </c>
      <c r="AL7" s="206">
        <f>IF($AA$2="2018年",'Offer Statistics'!CL7,IF($AA$2="2019年",'Offer Statistics'!CL51,IF($AA$2="2020年",'Offer Statistics'!CL95)))</f>
        <v>341</v>
      </c>
      <c r="AM7" s="206">
        <f>IF($AA$2="2018年",'Offer Statistics'!CM7,IF($AA$2="2019年",'Offer Statistics'!CM51,IF($AA$2="2020年",'Offer Statistics'!CM95)))</f>
        <v>443</v>
      </c>
      <c r="AN7" s="206">
        <f>IF($AA$2="2018年",'Offer Statistics'!CN7,IF($AA$2="2019年",'Offer Statistics'!CN51,IF($AA$2="2020年",'Offer Statistics'!CN95)))</f>
        <v>381</v>
      </c>
      <c r="AO7" s="142"/>
      <c r="AP7" s="131" t="str">
        <f t="shared" si="3"/>
        <v>JS6767</v>
      </c>
    </row>
    <row r="8" ht="18.0" customHeight="1">
      <c r="A8" s="315" t="s">
        <v>976</v>
      </c>
      <c r="B8" s="315" t="s">
        <v>973</v>
      </c>
      <c r="C8" s="315" t="s">
        <v>977</v>
      </c>
      <c r="D8" s="315" t="s">
        <v>1510</v>
      </c>
      <c r="E8" s="321" t="s">
        <v>24</v>
      </c>
      <c r="F8" s="317">
        <v>39.0</v>
      </c>
      <c r="G8" s="317">
        <v>36.0</v>
      </c>
      <c r="H8" s="317">
        <v>35.0</v>
      </c>
      <c r="I8" s="318">
        <f>'計分版'!D262</f>
        <v>0.00000000405</v>
      </c>
      <c r="J8" s="319">
        <f t="shared" si="1"/>
        <v>-35</v>
      </c>
      <c r="K8" s="320">
        <f t="shared" si="2"/>
        <v>-8641975308</v>
      </c>
      <c r="L8" s="205"/>
      <c r="M8" s="326">
        <f>'入學要求'!S245</f>
        <v>0</v>
      </c>
      <c r="N8" s="316" t="s">
        <v>1188</v>
      </c>
      <c r="O8" s="316">
        <v>3.0</v>
      </c>
      <c r="P8" s="316">
        <v>4.0</v>
      </c>
      <c r="Q8" s="316">
        <v>3.0</v>
      </c>
      <c r="R8" s="316">
        <v>2.0</v>
      </c>
      <c r="S8" s="316">
        <v>3.0</v>
      </c>
      <c r="T8" s="316">
        <v>3.0</v>
      </c>
      <c r="U8" s="323">
        <f>'入學要求'!L245</f>
        <v>0</v>
      </c>
      <c r="V8" s="323">
        <f>'入學要求'!M245</f>
        <v>0</v>
      </c>
      <c r="W8" s="323">
        <f>'入學要求'!N245</f>
        <v>0</v>
      </c>
      <c r="X8" s="323">
        <f>'入學要求'!O245</f>
        <v>0</v>
      </c>
      <c r="Y8" s="323">
        <f>'入學要求'!P245</f>
        <v>0</v>
      </c>
      <c r="Z8" s="323">
        <f>'入學要求'!Q245</f>
        <v>0</v>
      </c>
      <c r="AA8" s="205"/>
      <c r="AB8" s="321">
        <f>IF($AA$2="2018年",'Offer Statistics'!CW8,IF($AA$2="2019年",'Offer Statistics'!CW52,IF($AA$2="2020年",'Offer Statistics'!CW96)))</f>
        <v>157</v>
      </c>
      <c r="AC8" s="324">
        <f>IF($AA$2="2018年",'Offer Statistics'!CR8,IF($AA$2="2019年",'Offer Statistics'!CR52,IF($AA$2="2020年",'Offer Statistics'!CR96)))</f>
        <v>157</v>
      </c>
      <c r="AD8" s="324">
        <f>IF($AA$2="2018年",'Offer Statistics'!CS8,IF($AA$2="2019年",'Offer Statistics'!CS52,IF($AA$2="2020年",'Offer Statistics'!CS96)))</f>
        <v>0</v>
      </c>
      <c r="AE8" s="324">
        <f>IF($AA$2="2018年",'Offer Statistics'!CT8,IF($AA$2="2019年",'Offer Statistics'!CT52,IF($AA$2="2020年",'Offer Statistics'!CT96)))</f>
        <v>0</v>
      </c>
      <c r="AF8" s="324">
        <f>IF($AA$2="2018年",'Offer Statistics'!CU8,IF($AA$2="2019年",'Offer Statistics'!CU52,IF($AA$2="2020年",'Offer Statistics'!CU96)))</f>
        <v>0</v>
      </c>
      <c r="AG8" s="324">
        <f>IF($AA$2="2018年",'Offer Statistics'!CV8,IF($AA$2="2019年",'Offer Statistics'!CV52,IF($AA$2="2020年",'Offer Statistics'!CV96)))</f>
        <v>0</v>
      </c>
      <c r="AH8" s="205"/>
      <c r="AI8" s="321">
        <f>IF($AA$2="2018年",'Offer Statistics'!CO8,IF($AA$2="2019年",'Offer Statistics'!CO52,IF($AA$2="2020年",'Offer Statistics'!CO96)))</f>
        <v>1973</v>
      </c>
      <c r="AJ8" s="324">
        <f>IF($AA$2="2018年",'Offer Statistics'!CJ8,IF($AA$2="2019年",'Offer Statistics'!CJ52,IF($AA$2="2020年",'Offer Statistics'!CJ96)))</f>
        <v>435</v>
      </c>
      <c r="AK8" s="324">
        <f>IF($AA$2="2018年",'Offer Statistics'!CK8,IF($AA$2="2019年",'Offer Statistics'!CK52,IF($AA$2="2020年",'Offer Statistics'!CK96)))</f>
        <v>247</v>
      </c>
      <c r="AL8" s="324">
        <f>IF($AA$2="2018年",'Offer Statistics'!CL8,IF($AA$2="2019年",'Offer Statistics'!CL52,IF($AA$2="2020年",'Offer Statistics'!CL96)))</f>
        <v>360</v>
      </c>
      <c r="AM8" s="324">
        <f>IF($AA$2="2018年",'Offer Statistics'!CM8,IF($AA$2="2019年",'Offer Statistics'!CM52,IF($AA$2="2020年",'Offer Statistics'!CM96)))</f>
        <v>473</v>
      </c>
      <c r="AN8" s="324">
        <f>IF($AA$2="2018年",'Offer Statistics'!CN8,IF($AA$2="2019年",'Offer Statistics'!CN52,IF($AA$2="2020年",'Offer Statistics'!CN96)))</f>
        <v>458</v>
      </c>
      <c r="AO8" s="315"/>
      <c r="AP8" s="316" t="str">
        <f t="shared" si="3"/>
        <v>JS6781</v>
      </c>
    </row>
    <row r="9" ht="18.0" customHeight="1">
      <c r="A9" s="142" t="s">
        <v>978</v>
      </c>
      <c r="B9" s="142" t="s">
        <v>973</v>
      </c>
      <c r="C9" s="142" t="s">
        <v>979</v>
      </c>
      <c r="D9" s="142" t="s">
        <v>1511</v>
      </c>
      <c r="E9" s="132" t="s">
        <v>24</v>
      </c>
      <c r="F9" s="199">
        <v>45.0</v>
      </c>
      <c r="G9" s="199">
        <v>44.0</v>
      </c>
      <c r="H9" s="199">
        <v>43.0</v>
      </c>
      <c r="I9" s="200">
        <f>'計分版'!D265</f>
        <v>0.00000000405</v>
      </c>
      <c r="J9" s="201">
        <f t="shared" si="1"/>
        <v>-43</v>
      </c>
      <c r="K9" s="202">
        <f t="shared" si="2"/>
        <v>-10617283950</v>
      </c>
      <c r="L9" s="205"/>
      <c r="M9" s="325">
        <f>'入學要求'!S246</f>
        <v>0</v>
      </c>
      <c r="N9" s="131" t="s">
        <v>1188</v>
      </c>
      <c r="O9" s="163">
        <v>3.0</v>
      </c>
      <c r="P9" s="163">
        <v>4.0</v>
      </c>
      <c r="Q9" s="163">
        <v>3.0</v>
      </c>
      <c r="R9" s="163">
        <v>2.0</v>
      </c>
      <c r="S9" s="163">
        <v>3.0</v>
      </c>
      <c r="T9" s="163">
        <v>3.0</v>
      </c>
      <c r="U9" s="292">
        <f>'入學要求'!L246</f>
        <v>0</v>
      </c>
      <c r="V9" s="292">
        <f>'入學要求'!M246</f>
        <v>0</v>
      </c>
      <c r="W9" s="292">
        <f>'入學要求'!N246</f>
        <v>0</v>
      </c>
      <c r="X9" s="292">
        <f>'入學要求'!O246</f>
        <v>0</v>
      </c>
      <c r="Y9" s="292">
        <f>'入學要求'!P246</f>
        <v>0</v>
      </c>
      <c r="Z9" s="292">
        <f>'入學要求'!Q246</f>
        <v>0</v>
      </c>
      <c r="AA9" s="205"/>
      <c r="AB9" s="132">
        <f>IF($AA$2="2018年",'Offer Statistics'!CW9,IF($AA$2="2019年",'Offer Statistics'!CW53,IF($AA$2="2020年",'Offer Statistics'!CW97)))</f>
        <v>24</v>
      </c>
      <c r="AC9" s="206">
        <f>IF($AA$2="2018年",'Offer Statistics'!CR9,IF($AA$2="2019年",'Offer Statistics'!CR53,IF($AA$2="2020年",'Offer Statistics'!CR97)))</f>
        <v>24</v>
      </c>
      <c r="AD9" s="206">
        <f>IF($AA$2="2018年",'Offer Statistics'!CS9,IF($AA$2="2019年",'Offer Statistics'!CS53,IF($AA$2="2020年",'Offer Statistics'!CS97)))</f>
        <v>0</v>
      </c>
      <c r="AE9" s="206">
        <f>IF($AA$2="2018年",'Offer Statistics'!CT9,IF($AA$2="2019年",'Offer Statistics'!CT53,IF($AA$2="2020年",'Offer Statistics'!CT97)))</f>
        <v>0</v>
      </c>
      <c r="AF9" s="206">
        <f>IF($AA$2="2018年",'Offer Statistics'!CU9,IF($AA$2="2019年",'Offer Statistics'!CU53,IF($AA$2="2020年",'Offer Statistics'!CU97)))</f>
        <v>0</v>
      </c>
      <c r="AG9" s="206">
        <f>IF($AA$2="2018年",'Offer Statistics'!CV9,IF($AA$2="2019年",'Offer Statistics'!CV53,IF($AA$2="2020年",'Offer Statistics'!CV97)))</f>
        <v>0</v>
      </c>
      <c r="AH9" s="205"/>
      <c r="AI9" s="132">
        <f>IF($AA$2="2018年",'Offer Statistics'!CO9,IF($AA$2="2019年",'Offer Statistics'!CO53,IF($AA$2="2020年",'Offer Statistics'!CO97)))</f>
        <v>659</v>
      </c>
      <c r="AJ9" s="206">
        <f>IF($AA$2="2018年",'Offer Statistics'!CJ9,IF($AA$2="2019年",'Offer Statistics'!CJ53,IF($AA$2="2020年",'Offer Statistics'!CJ97)))</f>
        <v>97</v>
      </c>
      <c r="AK9" s="206">
        <f>IF($AA$2="2018年",'Offer Statistics'!CK9,IF($AA$2="2019年",'Offer Statistics'!CK53,IF($AA$2="2020年",'Offer Statistics'!CK97)))</f>
        <v>58</v>
      </c>
      <c r="AL9" s="206">
        <f>IF($AA$2="2018年",'Offer Statistics'!CL9,IF($AA$2="2019年",'Offer Statistics'!CL53,IF($AA$2="2020年",'Offer Statistics'!CL97)))</f>
        <v>124</v>
      </c>
      <c r="AM9" s="206">
        <f>IF($AA$2="2018年",'Offer Statistics'!CM9,IF($AA$2="2019年",'Offer Statistics'!CM53,IF($AA$2="2020年",'Offer Statistics'!CM97)))</f>
        <v>191</v>
      </c>
      <c r="AN9" s="206">
        <f>IF($AA$2="2018年",'Offer Statistics'!CN9,IF($AA$2="2019年",'Offer Statistics'!CN53,IF($AA$2="2020年",'Offer Statistics'!CN97)))</f>
        <v>189</v>
      </c>
      <c r="AO9" s="142"/>
      <c r="AP9" s="131" t="str">
        <f t="shared" si="3"/>
        <v>JS6860</v>
      </c>
    </row>
    <row r="10" ht="18.0" customHeight="1">
      <c r="A10" s="315" t="s">
        <v>683</v>
      </c>
      <c r="B10" s="315" t="s">
        <v>973</v>
      </c>
      <c r="C10" s="315" t="s">
        <v>980</v>
      </c>
      <c r="D10" s="315" t="s">
        <v>1512</v>
      </c>
      <c r="E10" s="321" t="s">
        <v>24</v>
      </c>
      <c r="F10" s="317">
        <v>39.0</v>
      </c>
      <c r="G10" s="317">
        <v>36.0</v>
      </c>
      <c r="H10" s="317">
        <v>34.0</v>
      </c>
      <c r="I10" s="318">
        <f>'計分版'!D263</f>
        <v>0.00000000405</v>
      </c>
      <c r="J10" s="319">
        <f t="shared" si="1"/>
        <v>-34</v>
      </c>
      <c r="K10" s="320">
        <f t="shared" si="2"/>
        <v>-8395061727</v>
      </c>
      <c r="L10" s="321">
        <v>15.0</v>
      </c>
      <c r="M10" s="326">
        <f>'入學要求'!S247</f>
        <v>0</v>
      </c>
      <c r="N10" s="316" t="s">
        <v>1188</v>
      </c>
      <c r="O10" s="316">
        <v>3.0</v>
      </c>
      <c r="P10" s="316">
        <v>4.0</v>
      </c>
      <c r="Q10" s="316">
        <v>3.0</v>
      </c>
      <c r="R10" s="316">
        <v>2.0</v>
      </c>
      <c r="S10" s="316">
        <v>3.0</v>
      </c>
      <c r="T10" s="316">
        <v>3.0</v>
      </c>
      <c r="U10" s="323">
        <f>'入學要求'!L247</f>
        <v>0</v>
      </c>
      <c r="V10" s="323">
        <f>'入學要求'!M247</f>
        <v>0</v>
      </c>
      <c r="W10" s="323">
        <f>'入學要求'!N247</f>
        <v>0</v>
      </c>
      <c r="X10" s="323">
        <f>'入學要求'!O247</f>
        <v>0</v>
      </c>
      <c r="Y10" s="323">
        <f>'入學要求'!P247</f>
        <v>0</v>
      </c>
      <c r="Z10" s="323">
        <f>'入學要求'!Q247</f>
        <v>0</v>
      </c>
      <c r="AA10" s="205"/>
      <c r="AB10" s="321">
        <f>IF($AA$2="2018年",'Offer Statistics'!CW10,IF($AA$2="2019年",'Offer Statistics'!CW54,IF($AA$2="2020年",'Offer Statistics'!CW98)))</f>
        <v>22</v>
      </c>
      <c r="AC10" s="324">
        <f>IF($AA$2="2018年",'Offer Statistics'!CR10,IF($AA$2="2019年",'Offer Statistics'!CR54,IF($AA$2="2020年",'Offer Statistics'!CR98)))</f>
        <v>22</v>
      </c>
      <c r="AD10" s="324">
        <f>IF($AA$2="2018年",'Offer Statistics'!CS10,IF($AA$2="2019年",'Offer Statistics'!CS54,IF($AA$2="2020年",'Offer Statistics'!CS98)))</f>
        <v>0</v>
      </c>
      <c r="AE10" s="324">
        <f>IF($AA$2="2018年",'Offer Statistics'!CT10,IF($AA$2="2019年",'Offer Statistics'!CT54,IF($AA$2="2020年",'Offer Statistics'!CT98)))</f>
        <v>0</v>
      </c>
      <c r="AF10" s="324">
        <f>IF($AA$2="2018年",'Offer Statistics'!CU10,IF($AA$2="2019年",'Offer Statistics'!CU54,IF($AA$2="2020年",'Offer Statistics'!CU98)))</f>
        <v>0</v>
      </c>
      <c r="AG10" s="324">
        <f>IF($AA$2="2018年",'Offer Statistics'!CV10,IF($AA$2="2019年",'Offer Statistics'!CV54,IF($AA$2="2020年",'Offer Statistics'!CV98)))</f>
        <v>0</v>
      </c>
      <c r="AH10" s="205"/>
      <c r="AI10" s="321">
        <f>IF($AA$2="2018年",'Offer Statistics'!CO10,IF($AA$2="2019年",'Offer Statistics'!CO54,IF($AA$2="2020年",'Offer Statistics'!CO98)))</f>
        <v>675</v>
      </c>
      <c r="AJ10" s="324">
        <f>IF($AA$2="2018年",'Offer Statistics'!CJ10,IF($AA$2="2019年",'Offer Statistics'!CJ54,IF($AA$2="2020年",'Offer Statistics'!CJ98)))</f>
        <v>64</v>
      </c>
      <c r="AK10" s="324">
        <f>IF($AA$2="2018年",'Offer Statistics'!CK10,IF($AA$2="2019年",'Offer Statistics'!CK54,IF($AA$2="2020年",'Offer Statistics'!CK98)))</f>
        <v>67</v>
      </c>
      <c r="AL10" s="324">
        <f>IF($AA$2="2018年",'Offer Statistics'!CL10,IF($AA$2="2019年",'Offer Statistics'!CL54,IF($AA$2="2020年",'Offer Statistics'!CL98)))</f>
        <v>128</v>
      </c>
      <c r="AM10" s="324">
        <f>IF($AA$2="2018年",'Offer Statistics'!CM10,IF($AA$2="2019年",'Offer Statistics'!CM54,IF($AA$2="2020年",'Offer Statistics'!CM98)))</f>
        <v>215</v>
      </c>
      <c r="AN10" s="324">
        <f>IF($AA$2="2018年",'Offer Statistics'!CN10,IF($AA$2="2019年",'Offer Statistics'!CN54,IF($AA$2="2020年",'Offer Statistics'!CN98)))</f>
        <v>201</v>
      </c>
      <c r="AO10" s="315"/>
      <c r="AP10" s="316" t="str">
        <f t="shared" si="3"/>
        <v>JS6793</v>
      </c>
    </row>
    <row r="11" ht="18.0" customHeight="1">
      <c r="A11" s="142" t="s">
        <v>981</v>
      </c>
      <c r="B11" s="142" t="s">
        <v>973</v>
      </c>
      <c r="C11" s="142" t="s">
        <v>982</v>
      </c>
      <c r="D11" s="142" t="s">
        <v>1513</v>
      </c>
      <c r="E11" s="132" t="s">
        <v>24</v>
      </c>
      <c r="F11" s="199">
        <v>51.0</v>
      </c>
      <c r="G11" s="199">
        <v>47.0</v>
      </c>
      <c r="H11" s="199">
        <v>45.0</v>
      </c>
      <c r="I11" s="200">
        <f>'計分版'!D264</f>
        <v>0.00000000375</v>
      </c>
      <c r="J11" s="201">
        <f t="shared" si="1"/>
        <v>-45</v>
      </c>
      <c r="K11" s="202">
        <f t="shared" si="2"/>
        <v>-11999999999</v>
      </c>
      <c r="L11" s="132">
        <v>70.0</v>
      </c>
      <c r="M11" s="325">
        <f>'入學要求'!S248</f>
        <v>0</v>
      </c>
      <c r="N11" s="131" t="s">
        <v>1188</v>
      </c>
      <c r="O11" s="163">
        <v>4.0</v>
      </c>
      <c r="P11" s="163">
        <v>5.0</v>
      </c>
      <c r="Q11" s="163">
        <v>4.0</v>
      </c>
      <c r="R11" s="163">
        <v>2.0</v>
      </c>
      <c r="S11" s="163">
        <v>3.0</v>
      </c>
      <c r="T11" s="163">
        <v>3.0</v>
      </c>
      <c r="U11" s="292">
        <f>'入學要求'!L248</f>
        <v>0</v>
      </c>
      <c r="V11" s="292">
        <f>'入學要求'!M248</f>
        <v>0</v>
      </c>
      <c r="W11" s="292">
        <f>'入學要求'!N248</f>
        <v>0</v>
      </c>
      <c r="X11" s="292">
        <f>'入學要求'!O248</f>
        <v>0</v>
      </c>
      <c r="Y11" s="292">
        <f>'入學要求'!P248</f>
        <v>0</v>
      </c>
      <c r="Z11" s="292">
        <f>'入學要求'!Q248</f>
        <v>0</v>
      </c>
      <c r="AA11" s="205"/>
      <c r="AB11" s="132">
        <f>IF($AA$2="2018年",'Offer Statistics'!CW11,IF($AA$2="2019年",'Offer Statistics'!CW55,IF($AA$2="2020年",'Offer Statistics'!CW99)))</f>
        <v>67</v>
      </c>
      <c r="AC11" s="206">
        <f>IF($AA$2="2018年",'Offer Statistics'!CR11,IF($AA$2="2019年",'Offer Statistics'!CR55,IF($AA$2="2020年",'Offer Statistics'!CR99)))</f>
        <v>67</v>
      </c>
      <c r="AD11" s="206">
        <f>IF($AA$2="2018年",'Offer Statistics'!CS11,IF($AA$2="2019年",'Offer Statistics'!CS55,IF($AA$2="2020年",'Offer Statistics'!CS99)))</f>
        <v>0</v>
      </c>
      <c r="AE11" s="206">
        <f>IF($AA$2="2018年",'Offer Statistics'!CT11,IF($AA$2="2019年",'Offer Statistics'!CT55,IF($AA$2="2020年",'Offer Statistics'!CT99)))</f>
        <v>0</v>
      </c>
      <c r="AF11" s="206">
        <f>IF($AA$2="2018年",'Offer Statistics'!CU11,IF($AA$2="2019年",'Offer Statistics'!CU55,IF($AA$2="2020年",'Offer Statistics'!CU99)))</f>
        <v>0</v>
      </c>
      <c r="AG11" s="206">
        <f>IF($AA$2="2018年",'Offer Statistics'!CV11,IF($AA$2="2019年",'Offer Statistics'!CV55,IF($AA$2="2020年",'Offer Statistics'!CV99)))</f>
        <v>0</v>
      </c>
      <c r="AH11" s="205"/>
      <c r="AI11" s="132">
        <f>IF($AA$2="2018年",'Offer Statistics'!CO11,IF($AA$2="2019年",'Offer Statistics'!CO55,IF($AA$2="2020年",'Offer Statistics'!CO99)))</f>
        <v>529</v>
      </c>
      <c r="AJ11" s="206">
        <f>IF($AA$2="2018年",'Offer Statistics'!CJ11,IF($AA$2="2019年",'Offer Statistics'!CJ55,IF($AA$2="2020年",'Offer Statistics'!CJ99)))</f>
        <v>126</v>
      </c>
      <c r="AK11" s="206">
        <f>IF($AA$2="2018年",'Offer Statistics'!CK11,IF($AA$2="2019年",'Offer Statistics'!CK55,IF($AA$2="2020年",'Offer Statistics'!CK99)))</f>
        <v>65</v>
      </c>
      <c r="AL11" s="206">
        <f>IF($AA$2="2018年",'Offer Statistics'!CL11,IF($AA$2="2019年",'Offer Statistics'!CL55,IF($AA$2="2020年",'Offer Statistics'!CL99)))</f>
        <v>85</v>
      </c>
      <c r="AM11" s="206">
        <f>IF($AA$2="2018年",'Offer Statistics'!CM11,IF($AA$2="2019年",'Offer Statistics'!CM55,IF($AA$2="2020年",'Offer Statistics'!CM99)))</f>
        <v>118</v>
      </c>
      <c r="AN11" s="206">
        <f>IF($AA$2="2018年",'Offer Statistics'!CN11,IF($AA$2="2019年",'Offer Statistics'!CN55,IF($AA$2="2020年",'Offer Statistics'!CN99)))</f>
        <v>135</v>
      </c>
      <c r="AO11" s="142"/>
      <c r="AP11" s="131" t="str">
        <f t="shared" si="3"/>
        <v>JS6808</v>
      </c>
    </row>
    <row r="12" ht="18.0" customHeight="1">
      <c r="A12" s="315" t="s">
        <v>983</v>
      </c>
      <c r="B12" s="315" t="s">
        <v>973</v>
      </c>
      <c r="C12" s="315" t="s">
        <v>984</v>
      </c>
      <c r="D12" s="315" t="s">
        <v>1514</v>
      </c>
      <c r="E12" s="321" t="s">
        <v>24</v>
      </c>
      <c r="F12" s="317">
        <v>48.0</v>
      </c>
      <c r="G12" s="317">
        <v>46.0</v>
      </c>
      <c r="H12" s="317">
        <v>44.0</v>
      </c>
      <c r="I12" s="318">
        <f>'計分版'!D266</f>
        <v>0.0000000037</v>
      </c>
      <c r="J12" s="319">
        <f t="shared" si="1"/>
        <v>-44</v>
      </c>
      <c r="K12" s="320">
        <f t="shared" si="2"/>
        <v>-11891891891</v>
      </c>
      <c r="L12" s="321">
        <v>25.0</v>
      </c>
      <c r="M12" s="326">
        <f>'入學要求'!S249</f>
        <v>0</v>
      </c>
      <c r="N12" s="316" t="s">
        <v>1188</v>
      </c>
      <c r="O12" s="316">
        <v>3.0</v>
      </c>
      <c r="P12" s="316">
        <v>4.0</v>
      </c>
      <c r="Q12" s="316">
        <v>3.0</v>
      </c>
      <c r="R12" s="316">
        <v>2.0</v>
      </c>
      <c r="S12" s="316">
        <v>3.0</v>
      </c>
      <c r="T12" s="316">
        <v>3.0</v>
      </c>
      <c r="U12" s="323">
        <f>'入學要求'!L249</f>
        <v>0</v>
      </c>
      <c r="V12" s="323">
        <f>'入學要求'!M249</f>
        <v>0</v>
      </c>
      <c r="W12" s="323">
        <f>'入學要求'!N249</f>
        <v>0</v>
      </c>
      <c r="X12" s="323">
        <f>'入學要求'!O249</f>
        <v>0</v>
      </c>
      <c r="Y12" s="323">
        <f>'入學要求'!P249</f>
        <v>0</v>
      </c>
      <c r="Z12" s="323">
        <f>'入學要求'!Q249</f>
        <v>0</v>
      </c>
      <c r="AA12" s="205"/>
      <c r="AB12" s="321">
        <f>IF($AA$2="2018年",'Offer Statistics'!CW12,IF($AA$2="2019年",'Offer Statistics'!CW56,IF($AA$2="2020年",'Offer Statistics'!CW100)))</f>
        <v>20</v>
      </c>
      <c r="AC12" s="324">
        <f>IF($AA$2="2018年",'Offer Statistics'!CR12,IF($AA$2="2019年",'Offer Statistics'!CR56,IF($AA$2="2020年",'Offer Statistics'!CR100)))</f>
        <v>20</v>
      </c>
      <c r="AD12" s="324">
        <f>IF($AA$2="2018年",'Offer Statistics'!CS12,IF($AA$2="2019年",'Offer Statistics'!CS56,IF($AA$2="2020年",'Offer Statistics'!CS100)))</f>
        <v>0</v>
      </c>
      <c r="AE12" s="324">
        <f>IF($AA$2="2018年",'Offer Statistics'!CT12,IF($AA$2="2019年",'Offer Statistics'!CT56,IF($AA$2="2020年",'Offer Statistics'!CT100)))</f>
        <v>0</v>
      </c>
      <c r="AF12" s="324">
        <f>IF($AA$2="2018年",'Offer Statistics'!CU12,IF($AA$2="2019年",'Offer Statistics'!CU56,IF($AA$2="2020年",'Offer Statistics'!CU100)))</f>
        <v>0</v>
      </c>
      <c r="AG12" s="324">
        <f>IF($AA$2="2018年",'Offer Statistics'!CV12,IF($AA$2="2019年",'Offer Statistics'!CV56,IF($AA$2="2020年",'Offer Statistics'!CV100)))</f>
        <v>0</v>
      </c>
      <c r="AH12" s="205"/>
      <c r="AI12" s="321">
        <f>IF($AA$2="2018年",'Offer Statistics'!CO12,IF($AA$2="2019年",'Offer Statistics'!CO56,IF($AA$2="2020年",'Offer Statistics'!CO100)))</f>
        <v>426</v>
      </c>
      <c r="AJ12" s="324">
        <f>IF($AA$2="2018年",'Offer Statistics'!CJ12,IF($AA$2="2019年",'Offer Statistics'!CJ56,IF($AA$2="2020年",'Offer Statistics'!CJ100)))</f>
        <v>65</v>
      </c>
      <c r="AK12" s="324">
        <f>IF($AA$2="2018年",'Offer Statistics'!CK12,IF($AA$2="2019年",'Offer Statistics'!CK56,IF($AA$2="2020年",'Offer Statistics'!CK100)))</f>
        <v>46</v>
      </c>
      <c r="AL12" s="324">
        <f>IF($AA$2="2018年",'Offer Statistics'!CL12,IF($AA$2="2019年",'Offer Statistics'!CL56,IF($AA$2="2020年",'Offer Statistics'!CL100)))</f>
        <v>81</v>
      </c>
      <c r="AM12" s="324">
        <f>IF($AA$2="2018年",'Offer Statistics'!CM12,IF($AA$2="2019年",'Offer Statistics'!CM56,IF($AA$2="2020年",'Offer Statistics'!CM100)))</f>
        <v>112</v>
      </c>
      <c r="AN12" s="324">
        <f>IF($AA$2="2018年",'Offer Statistics'!CN12,IF($AA$2="2019年",'Offer Statistics'!CN56,IF($AA$2="2020年",'Offer Statistics'!CN100)))</f>
        <v>122</v>
      </c>
      <c r="AO12" s="315"/>
      <c r="AP12" s="316" t="str">
        <f t="shared" si="3"/>
        <v>JS6884</v>
      </c>
    </row>
    <row r="13" ht="18.0" customHeight="1">
      <c r="A13" s="142" t="s">
        <v>985</v>
      </c>
      <c r="B13" s="142" t="s">
        <v>973</v>
      </c>
      <c r="C13" s="142" t="s">
        <v>986</v>
      </c>
      <c r="D13" s="142" t="s">
        <v>1515</v>
      </c>
      <c r="E13" s="132" t="s">
        <v>24</v>
      </c>
      <c r="F13" s="199">
        <v>54.0</v>
      </c>
      <c r="G13" s="199">
        <v>52.0</v>
      </c>
      <c r="H13" s="199">
        <v>51.0</v>
      </c>
      <c r="I13" s="200">
        <f>'計分版'!D267</f>
        <v>0.00000000405</v>
      </c>
      <c r="J13" s="201">
        <f t="shared" si="1"/>
        <v>-51</v>
      </c>
      <c r="K13" s="202">
        <f t="shared" si="2"/>
        <v>-12592592592</v>
      </c>
      <c r="L13" s="132">
        <v>31.0</v>
      </c>
      <c r="M13" s="325">
        <f>'入學要求'!S250</f>
        <v>0</v>
      </c>
      <c r="N13" s="131" t="s">
        <v>1188</v>
      </c>
      <c r="O13" s="163">
        <v>3.0</v>
      </c>
      <c r="P13" s="163">
        <v>5.0</v>
      </c>
      <c r="Q13" s="163">
        <v>4.0</v>
      </c>
      <c r="R13" s="163">
        <v>2.0</v>
      </c>
      <c r="S13" s="163">
        <v>3.0</v>
      </c>
      <c r="T13" s="163">
        <v>3.0</v>
      </c>
      <c r="U13" s="292">
        <f>'入學要求'!L250</f>
        <v>0</v>
      </c>
      <c r="V13" s="292">
        <f>'入學要求'!M250</f>
        <v>0</v>
      </c>
      <c r="W13" s="292">
        <f>'入學要求'!N250</f>
        <v>0</v>
      </c>
      <c r="X13" s="292">
        <f>'入學要求'!O250</f>
        <v>0</v>
      </c>
      <c r="Y13" s="292">
        <f>'入學要求'!P250</f>
        <v>0</v>
      </c>
      <c r="Z13" s="292">
        <f>'入學要求'!Q250</f>
        <v>0</v>
      </c>
      <c r="AA13" s="205"/>
      <c r="AB13" s="132">
        <f>IF($AA$2="2018年",'Offer Statistics'!CW13,IF($AA$2="2019年",'Offer Statistics'!CW57,IF($AA$2="2020年",'Offer Statistics'!CW101)))</f>
        <v>6</v>
      </c>
      <c r="AC13" s="206">
        <f>IF($AA$2="2018年",'Offer Statistics'!CR13,IF($AA$2="2019年",'Offer Statistics'!CR57,IF($AA$2="2020年",'Offer Statistics'!CR101)))</f>
        <v>6</v>
      </c>
      <c r="AD13" s="206">
        <f>IF($AA$2="2018年",'Offer Statistics'!CS13,IF($AA$2="2019年",'Offer Statistics'!CS57,IF($AA$2="2020年",'Offer Statistics'!CS101)))</f>
        <v>0</v>
      </c>
      <c r="AE13" s="206">
        <f>IF($AA$2="2018年",'Offer Statistics'!CT13,IF($AA$2="2019年",'Offer Statistics'!CT57,IF($AA$2="2020年",'Offer Statistics'!CT101)))</f>
        <v>0</v>
      </c>
      <c r="AF13" s="206">
        <f>IF($AA$2="2018年",'Offer Statistics'!CU13,IF($AA$2="2019年",'Offer Statistics'!CU57,IF($AA$2="2020年",'Offer Statistics'!CU101)))</f>
        <v>0</v>
      </c>
      <c r="AG13" s="206">
        <f>IF($AA$2="2018年",'Offer Statistics'!CV13,IF($AA$2="2019年",'Offer Statistics'!CV57,IF($AA$2="2020年",'Offer Statistics'!CV101)))</f>
        <v>0</v>
      </c>
      <c r="AH13" s="205"/>
      <c r="AI13" s="132">
        <f>IF($AA$2="2018年",'Offer Statistics'!CO13,IF($AA$2="2019年",'Offer Statistics'!CO57,IF($AA$2="2020年",'Offer Statistics'!CO101)))</f>
        <v>497</v>
      </c>
      <c r="AJ13" s="206">
        <f>IF($AA$2="2018年",'Offer Statistics'!CJ13,IF($AA$2="2019年",'Offer Statistics'!CJ57,IF($AA$2="2020年",'Offer Statistics'!CJ101)))</f>
        <v>47</v>
      </c>
      <c r="AK13" s="206">
        <f>IF($AA$2="2018年",'Offer Statistics'!CK13,IF($AA$2="2019年",'Offer Statistics'!CK57,IF($AA$2="2020年",'Offer Statistics'!CK101)))</f>
        <v>37</v>
      </c>
      <c r="AL13" s="206">
        <f>IF($AA$2="2018年",'Offer Statistics'!CL13,IF($AA$2="2019年",'Offer Statistics'!CL57,IF($AA$2="2020年",'Offer Statistics'!CL101)))</f>
        <v>97</v>
      </c>
      <c r="AM13" s="206">
        <f>IF($AA$2="2018年",'Offer Statistics'!CM13,IF($AA$2="2019年",'Offer Statistics'!CM57,IF($AA$2="2020年",'Offer Statistics'!CM101)))</f>
        <v>136</v>
      </c>
      <c r="AN13" s="206">
        <f>IF($AA$2="2018年",'Offer Statistics'!CN13,IF($AA$2="2019年",'Offer Statistics'!CN57,IF($AA$2="2020年",'Offer Statistics'!CN101)))</f>
        <v>180</v>
      </c>
      <c r="AO13" s="142"/>
      <c r="AP13" s="131" t="str">
        <f t="shared" si="3"/>
        <v>JS6896</v>
      </c>
    </row>
    <row r="14" ht="18.0" customHeight="1">
      <c r="A14" s="315" t="s">
        <v>698</v>
      </c>
      <c r="B14" s="315" t="s">
        <v>987</v>
      </c>
      <c r="C14" s="315" t="s">
        <v>988</v>
      </c>
      <c r="D14" s="315" t="s">
        <v>1516</v>
      </c>
      <c r="E14" s="321" t="s">
        <v>24</v>
      </c>
      <c r="F14" s="317">
        <v>49.0</v>
      </c>
      <c r="G14" s="317">
        <v>46.0</v>
      </c>
      <c r="H14" s="317">
        <v>45.0</v>
      </c>
      <c r="I14" s="318">
        <f>'計分版'!D268</f>
        <v>0.000000001</v>
      </c>
      <c r="J14" s="319">
        <f t="shared" si="1"/>
        <v>-45</v>
      </c>
      <c r="K14" s="320">
        <f t="shared" si="2"/>
        <v>-44999999999</v>
      </c>
      <c r="L14" s="321">
        <v>80.0</v>
      </c>
      <c r="M14" s="326">
        <f>'入學要求'!S251</f>
        <v>0</v>
      </c>
      <c r="N14" s="327" t="s">
        <v>1166</v>
      </c>
      <c r="O14" s="316">
        <v>3.0</v>
      </c>
      <c r="P14" s="316">
        <v>4.0</v>
      </c>
      <c r="Q14" s="316">
        <v>3.0</v>
      </c>
      <c r="R14" s="316">
        <v>3.0</v>
      </c>
      <c r="S14" s="316">
        <v>3.0</v>
      </c>
      <c r="T14" s="316">
        <v>3.0</v>
      </c>
      <c r="U14" s="323">
        <f>'入學要求'!L251</f>
        <v>0</v>
      </c>
      <c r="V14" s="323">
        <f>'入學要求'!M251</f>
        <v>0</v>
      </c>
      <c r="W14" s="323">
        <f>'入學要求'!N251</f>
        <v>0</v>
      </c>
      <c r="X14" s="323">
        <f>'入學要求'!O251</f>
        <v>0</v>
      </c>
      <c r="Y14" s="323">
        <f>'入學要求'!P251</f>
        <v>0</v>
      </c>
      <c r="Z14" s="323">
        <f>'入學要求'!Q251</f>
        <v>0</v>
      </c>
      <c r="AA14" s="205"/>
      <c r="AB14" s="321">
        <f>IF($AA$2="2018年",'Offer Statistics'!CW14,IF($AA$2="2019年",'Offer Statistics'!CW58,IF($AA$2="2020年",'Offer Statistics'!CW102)))</f>
        <v>56</v>
      </c>
      <c r="AC14" s="324">
        <f>IF($AA$2="2018年",'Offer Statistics'!CR14,IF($AA$2="2019年",'Offer Statistics'!CR58,IF($AA$2="2020年",'Offer Statistics'!CR102)))</f>
        <v>56</v>
      </c>
      <c r="AD14" s="324">
        <f>IF($AA$2="2018年",'Offer Statistics'!CS14,IF($AA$2="2019年",'Offer Statistics'!CS58,IF($AA$2="2020年",'Offer Statistics'!CS102)))</f>
        <v>0</v>
      </c>
      <c r="AE14" s="324">
        <f>IF($AA$2="2018年",'Offer Statistics'!CT14,IF($AA$2="2019年",'Offer Statistics'!CT58,IF($AA$2="2020年",'Offer Statistics'!CT102)))</f>
        <v>0</v>
      </c>
      <c r="AF14" s="324">
        <f>IF($AA$2="2018年",'Offer Statistics'!CU14,IF($AA$2="2019年",'Offer Statistics'!CU58,IF($AA$2="2020年",'Offer Statistics'!CU102)))</f>
        <v>0</v>
      </c>
      <c r="AG14" s="324">
        <f>IF($AA$2="2018年",'Offer Statistics'!CV14,IF($AA$2="2019年",'Offer Statistics'!CV58,IF($AA$2="2020年",'Offer Statistics'!CV102)))</f>
        <v>0</v>
      </c>
      <c r="AH14" s="205"/>
      <c r="AI14" s="321">
        <f>IF($AA$2="2018年",'Offer Statistics'!CO14,IF($AA$2="2019年",'Offer Statistics'!CO58,IF($AA$2="2020年",'Offer Statistics'!CO102)))</f>
        <v>953</v>
      </c>
      <c r="AJ14" s="324">
        <f>IF($AA$2="2018年",'Offer Statistics'!CJ14,IF($AA$2="2019年",'Offer Statistics'!CJ58,IF($AA$2="2020年",'Offer Statistics'!CJ102)))</f>
        <v>208</v>
      </c>
      <c r="AK14" s="324">
        <f>IF($AA$2="2018年",'Offer Statistics'!CK14,IF($AA$2="2019年",'Offer Statistics'!CK58,IF($AA$2="2020年",'Offer Statistics'!CK102)))</f>
        <v>92</v>
      </c>
      <c r="AL14" s="324">
        <f>IF($AA$2="2018年",'Offer Statistics'!CL14,IF($AA$2="2019年",'Offer Statistics'!CL58,IF($AA$2="2020年",'Offer Statistics'!CL102)))</f>
        <v>150</v>
      </c>
      <c r="AM14" s="324">
        <f>IF($AA$2="2018年",'Offer Statistics'!CM14,IF($AA$2="2019年",'Offer Statistics'!CM58,IF($AA$2="2020年",'Offer Statistics'!CM102)))</f>
        <v>191</v>
      </c>
      <c r="AN14" s="324">
        <f>IF($AA$2="2018年",'Offer Statistics'!CN14,IF($AA$2="2019年",'Offer Statistics'!CN58,IF($AA$2="2020年",'Offer Statistics'!CN102)))</f>
        <v>312</v>
      </c>
      <c r="AO14" s="315"/>
      <c r="AP14" s="316" t="str">
        <f t="shared" si="3"/>
        <v>JS6107</v>
      </c>
    </row>
    <row r="15" ht="18.0" customHeight="1">
      <c r="A15" s="142" t="s">
        <v>989</v>
      </c>
      <c r="B15" s="142" t="s">
        <v>990</v>
      </c>
      <c r="C15" s="142" t="s">
        <v>991</v>
      </c>
      <c r="D15" s="142" t="s">
        <v>1517</v>
      </c>
      <c r="E15" s="132" t="s">
        <v>21</v>
      </c>
      <c r="F15" s="199">
        <v>33.0</v>
      </c>
      <c r="G15" s="199">
        <v>30.0</v>
      </c>
      <c r="H15" s="199">
        <v>28.0</v>
      </c>
      <c r="I15" s="200">
        <f>'計分版'!D269</f>
        <v>0.00000000318</v>
      </c>
      <c r="J15" s="201">
        <f t="shared" si="1"/>
        <v>-28</v>
      </c>
      <c r="K15" s="202">
        <f t="shared" si="2"/>
        <v>-8805031446</v>
      </c>
      <c r="L15" s="132">
        <v>26.0</v>
      </c>
      <c r="M15" s="325">
        <f>'入學要求'!S252</f>
        <v>0</v>
      </c>
      <c r="N15" s="135" t="s">
        <v>1166</v>
      </c>
      <c r="O15" s="163">
        <v>3.0</v>
      </c>
      <c r="P15" s="163">
        <v>3.0</v>
      </c>
      <c r="Q15" s="163">
        <v>2.0</v>
      </c>
      <c r="R15" s="163">
        <v>2.0</v>
      </c>
      <c r="S15" s="163">
        <v>3.0</v>
      </c>
      <c r="T15" s="163">
        <v>3.0</v>
      </c>
      <c r="U15" s="292">
        <f>'入學要求'!L252</f>
        <v>0</v>
      </c>
      <c r="V15" s="292">
        <f>'入學要求'!M252</f>
        <v>0</v>
      </c>
      <c r="W15" s="292">
        <f>'入學要求'!N252</f>
        <v>0</v>
      </c>
      <c r="X15" s="292">
        <f>'入學要求'!O252</f>
        <v>0</v>
      </c>
      <c r="Y15" s="292">
        <f>'入學要求'!P252</f>
        <v>0</v>
      </c>
      <c r="Z15" s="292">
        <f>'入學要求'!Q252</f>
        <v>0</v>
      </c>
      <c r="AA15" s="205"/>
      <c r="AB15" s="132">
        <f>IF($AA$2="2018年",'Offer Statistics'!CW15,IF($AA$2="2019年",'Offer Statistics'!CW59,IF($AA$2="2020年",'Offer Statistics'!CW103)))</f>
        <v>26</v>
      </c>
      <c r="AC15" s="206">
        <f>IF($AA$2="2018年",'Offer Statistics'!CR15,IF($AA$2="2019年",'Offer Statistics'!CR59,IF($AA$2="2020年",'Offer Statistics'!CR103)))</f>
        <v>26</v>
      </c>
      <c r="AD15" s="206">
        <f>IF($AA$2="2018年",'Offer Statistics'!CS15,IF($AA$2="2019年",'Offer Statistics'!CS59,IF($AA$2="2020年",'Offer Statistics'!CS103)))</f>
        <v>0</v>
      </c>
      <c r="AE15" s="206">
        <f>IF($AA$2="2018年",'Offer Statistics'!CT15,IF($AA$2="2019年",'Offer Statistics'!CT59,IF($AA$2="2020年",'Offer Statistics'!CT103)))</f>
        <v>0</v>
      </c>
      <c r="AF15" s="206">
        <f>IF($AA$2="2018年",'Offer Statistics'!CU15,IF($AA$2="2019年",'Offer Statistics'!CU59,IF($AA$2="2020年",'Offer Statistics'!CU103)))</f>
        <v>0</v>
      </c>
      <c r="AG15" s="206">
        <f>IF($AA$2="2018年",'Offer Statistics'!CV15,IF($AA$2="2019年",'Offer Statistics'!CV59,IF($AA$2="2020年",'Offer Statistics'!CV103)))</f>
        <v>0</v>
      </c>
      <c r="AH15" s="205"/>
      <c r="AI15" s="132">
        <f>IF($AA$2="2018年",'Offer Statistics'!CO15,IF($AA$2="2019年",'Offer Statistics'!CO59,IF($AA$2="2020年",'Offer Statistics'!CO103)))</f>
        <v>1256</v>
      </c>
      <c r="AJ15" s="206">
        <f>IF($AA$2="2018年",'Offer Statistics'!CJ15,IF($AA$2="2019年",'Offer Statistics'!CJ59,IF($AA$2="2020年",'Offer Statistics'!CJ103)))</f>
        <v>244</v>
      </c>
      <c r="AK15" s="206">
        <f>IF($AA$2="2018年",'Offer Statistics'!CK15,IF($AA$2="2019年",'Offer Statistics'!CK59,IF($AA$2="2020年",'Offer Statistics'!CK103)))</f>
        <v>189</v>
      </c>
      <c r="AL15" s="206">
        <f>IF($AA$2="2018年",'Offer Statistics'!CL15,IF($AA$2="2019年",'Offer Statistics'!CL59,IF($AA$2="2020年",'Offer Statistics'!CL103)))</f>
        <v>248</v>
      </c>
      <c r="AM15" s="206">
        <f>IF($AA$2="2018年",'Offer Statistics'!CM15,IF($AA$2="2019年",'Offer Statistics'!CM59,IF($AA$2="2020年",'Offer Statistics'!CM103)))</f>
        <v>302</v>
      </c>
      <c r="AN15" s="206">
        <f>IF($AA$2="2018年",'Offer Statistics'!CN15,IF($AA$2="2019年",'Offer Statistics'!CN59,IF($AA$2="2020年",'Offer Statistics'!CN103)))</f>
        <v>273</v>
      </c>
      <c r="AO15" s="142"/>
      <c r="AP15" s="131" t="str">
        <f t="shared" si="3"/>
        <v>JS6066</v>
      </c>
    </row>
    <row r="16" ht="18.0" customHeight="1">
      <c r="A16" s="315" t="s">
        <v>992</v>
      </c>
      <c r="B16" s="315" t="s">
        <v>990</v>
      </c>
      <c r="C16" s="315" t="s">
        <v>993</v>
      </c>
      <c r="D16" s="315" t="s">
        <v>1518</v>
      </c>
      <c r="E16" s="321" t="s">
        <v>21</v>
      </c>
      <c r="F16" s="317">
        <v>33.0</v>
      </c>
      <c r="G16" s="317">
        <v>31.0</v>
      </c>
      <c r="H16" s="317">
        <v>31.0</v>
      </c>
      <c r="I16" s="318">
        <f>'計分版'!D270</f>
        <v>0.00000000303</v>
      </c>
      <c r="J16" s="319">
        <f t="shared" si="1"/>
        <v>-31</v>
      </c>
      <c r="K16" s="320">
        <f t="shared" si="2"/>
        <v>-10231023101</v>
      </c>
      <c r="L16" s="321">
        <v>23.0</v>
      </c>
      <c r="M16" s="326">
        <f>'入學要求'!S253</f>
        <v>0</v>
      </c>
      <c r="N16" s="327" t="s">
        <v>1166</v>
      </c>
      <c r="O16" s="316">
        <v>3.0</v>
      </c>
      <c r="P16" s="316">
        <v>3.0</v>
      </c>
      <c r="Q16" s="316">
        <v>2.0</v>
      </c>
      <c r="R16" s="316">
        <v>2.0</v>
      </c>
      <c r="S16" s="316">
        <v>3.0</v>
      </c>
      <c r="T16" s="316">
        <v>3.0</v>
      </c>
      <c r="U16" s="323">
        <f>'入學要求'!L253</f>
        <v>0</v>
      </c>
      <c r="V16" s="323">
        <f>'入學要求'!M253</f>
        <v>0</v>
      </c>
      <c r="W16" s="323">
        <f>'入學要求'!N253</f>
        <v>0</v>
      </c>
      <c r="X16" s="323">
        <f>'入學要求'!O253</f>
        <v>0</v>
      </c>
      <c r="Y16" s="323">
        <f>'入學要求'!P253</f>
        <v>0</v>
      </c>
      <c r="Z16" s="323">
        <f>'入學要求'!Q253</f>
        <v>0</v>
      </c>
      <c r="AA16" s="205"/>
      <c r="AB16" s="321">
        <f>IF($AA$2="2018年",'Offer Statistics'!CW16,IF($AA$2="2019年",'Offer Statistics'!CW60,IF($AA$2="2020年",'Offer Statistics'!CW104)))</f>
        <v>21</v>
      </c>
      <c r="AC16" s="324">
        <f>IF($AA$2="2018年",'Offer Statistics'!CR16,IF($AA$2="2019年",'Offer Statistics'!CR60,IF($AA$2="2020年",'Offer Statistics'!CR104)))</f>
        <v>21</v>
      </c>
      <c r="AD16" s="324">
        <f>IF($AA$2="2018年",'Offer Statistics'!CS16,IF($AA$2="2019年",'Offer Statistics'!CS60,IF($AA$2="2020年",'Offer Statistics'!CS104)))</f>
        <v>0</v>
      </c>
      <c r="AE16" s="324">
        <f>IF($AA$2="2018年",'Offer Statistics'!CT16,IF($AA$2="2019年",'Offer Statistics'!CT60,IF($AA$2="2020年",'Offer Statistics'!CT104)))</f>
        <v>0</v>
      </c>
      <c r="AF16" s="324">
        <f>IF($AA$2="2018年",'Offer Statistics'!CU16,IF($AA$2="2019年",'Offer Statistics'!CU60,IF($AA$2="2020年",'Offer Statistics'!CU104)))</f>
        <v>0</v>
      </c>
      <c r="AG16" s="324">
        <f>IF($AA$2="2018年",'Offer Statistics'!CV16,IF($AA$2="2019年",'Offer Statistics'!CV60,IF($AA$2="2020年",'Offer Statistics'!CV104)))</f>
        <v>0</v>
      </c>
      <c r="AH16" s="205"/>
      <c r="AI16" s="321">
        <f>IF($AA$2="2018年",'Offer Statistics'!CO16,IF($AA$2="2019年",'Offer Statistics'!CO60,IF($AA$2="2020年",'Offer Statistics'!CO104)))</f>
        <v>901</v>
      </c>
      <c r="AJ16" s="324">
        <f>IF($AA$2="2018年",'Offer Statistics'!CJ16,IF($AA$2="2019年",'Offer Statistics'!CJ60,IF($AA$2="2020年",'Offer Statistics'!CJ104)))</f>
        <v>118</v>
      </c>
      <c r="AK16" s="324">
        <f>IF($AA$2="2018年",'Offer Statistics'!CK16,IF($AA$2="2019年",'Offer Statistics'!CK60,IF($AA$2="2020年",'Offer Statistics'!CK104)))</f>
        <v>95</v>
      </c>
      <c r="AL16" s="324">
        <f>IF($AA$2="2018年",'Offer Statistics'!CL16,IF($AA$2="2019年",'Offer Statistics'!CL60,IF($AA$2="2020年",'Offer Statistics'!CL104)))</f>
        <v>192</v>
      </c>
      <c r="AM16" s="324">
        <f>IF($AA$2="2018年",'Offer Statistics'!CM16,IF($AA$2="2019年",'Offer Statistics'!CM60,IF($AA$2="2020年",'Offer Statistics'!CM104)))</f>
        <v>251</v>
      </c>
      <c r="AN16" s="324">
        <f>IF($AA$2="2018年",'Offer Statistics'!CN16,IF($AA$2="2019年",'Offer Statistics'!CN60,IF($AA$2="2020年",'Offer Statistics'!CN104)))</f>
        <v>245</v>
      </c>
      <c r="AO16" s="315"/>
      <c r="AP16" s="316" t="str">
        <f t="shared" si="3"/>
        <v>JS6080</v>
      </c>
    </row>
    <row r="17" ht="18.0" customHeight="1">
      <c r="A17" s="142" t="s">
        <v>994</v>
      </c>
      <c r="B17" s="142" t="s">
        <v>990</v>
      </c>
      <c r="C17" s="142" t="s">
        <v>995</v>
      </c>
      <c r="D17" s="142" t="s">
        <v>1519</v>
      </c>
      <c r="E17" s="132" t="s">
        <v>21</v>
      </c>
      <c r="F17" s="199">
        <v>28.0</v>
      </c>
      <c r="G17" s="199">
        <v>27.0</v>
      </c>
      <c r="H17" s="199">
        <v>26.0</v>
      </c>
      <c r="I17" s="200">
        <f>'計分版'!D271</f>
        <v>0.00000000282</v>
      </c>
      <c r="J17" s="201">
        <f t="shared" si="1"/>
        <v>-26</v>
      </c>
      <c r="K17" s="202">
        <f t="shared" si="2"/>
        <v>-9219858155</v>
      </c>
      <c r="L17" s="132">
        <v>18.0</v>
      </c>
      <c r="M17" s="325">
        <f>'入學要求'!S254</f>
        <v>0</v>
      </c>
      <c r="N17" s="135" t="s">
        <v>1166</v>
      </c>
      <c r="O17" s="163">
        <v>3.0</v>
      </c>
      <c r="P17" s="163">
        <v>3.0</v>
      </c>
      <c r="Q17" s="163">
        <v>2.0</v>
      </c>
      <c r="R17" s="163">
        <v>2.0</v>
      </c>
      <c r="S17" s="163">
        <v>3.0</v>
      </c>
      <c r="T17" s="163">
        <v>3.0</v>
      </c>
      <c r="U17" s="292">
        <f>'入學要求'!L254</f>
        <v>0</v>
      </c>
      <c r="V17" s="292">
        <f>'入學要求'!M254</f>
        <v>0</v>
      </c>
      <c r="W17" s="292">
        <f>'入學要求'!N254</f>
        <v>0</v>
      </c>
      <c r="X17" s="292">
        <f>'入學要求'!O254</f>
        <v>0</v>
      </c>
      <c r="Y17" s="292">
        <f>'入學要求'!P254</f>
        <v>0</v>
      </c>
      <c r="Z17" s="292">
        <f>'入學要求'!Q254</f>
        <v>0</v>
      </c>
      <c r="AA17" s="205"/>
      <c r="AB17" s="132">
        <f>IF($AA$2="2018年",'Offer Statistics'!CW17,IF($AA$2="2019年",'Offer Statistics'!CW61,IF($AA$2="2020年",'Offer Statistics'!CW105)))</f>
        <v>19</v>
      </c>
      <c r="AC17" s="206">
        <f>IF($AA$2="2018年",'Offer Statistics'!CR17,IF($AA$2="2019年",'Offer Statistics'!CR61,IF($AA$2="2020年",'Offer Statistics'!CR105)))</f>
        <v>19</v>
      </c>
      <c r="AD17" s="206">
        <f>IF($AA$2="2018年",'Offer Statistics'!CS17,IF($AA$2="2019年",'Offer Statistics'!CS61,IF($AA$2="2020年",'Offer Statistics'!CS105)))</f>
        <v>0</v>
      </c>
      <c r="AE17" s="206">
        <f>IF($AA$2="2018年",'Offer Statistics'!CT17,IF($AA$2="2019年",'Offer Statistics'!CT61,IF($AA$2="2020年",'Offer Statistics'!CT105)))</f>
        <v>0</v>
      </c>
      <c r="AF17" s="206">
        <f>IF($AA$2="2018年",'Offer Statistics'!CU17,IF($AA$2="2019年",'Offer Statistics'!CU61,IF($AA$2="2020年",'Offer Statistics'!CU105)))</f>
        <v>0</v>
      </c>
      <c r="AG17" s="206">
        <f>IF($AA$2="2018年",'Offer Statistics'!CV17,IF($AA$2="2019年",'Offer Statistics'!CV61,IF($AA$2="2020年",'Offer Statistics'!CV105)))</f>
        <v>0</v>
      </c>
      <c r="AH17" s="205"/>
      <c r="AI17" s="132">
        <f>IF($AA$2="2018年",'Offer Statistics'!CO17,IF($AA$2="2019年",'Offer Statistics'!CO61,IF($AA$2="2020年",'Offer Statistics'!CO105)))</f>
        <v>3220</v>
      </c>
      <c r="AJ17" s="206">
        <f>IF($AA$2="2018年",'Offer Statistics'!CJ17,IF($AA$2="2019年",'Offer Statistics'!CJ61,IF($AA$2="2020年",'Offer Statistics'!CJ105)))</f>
        <v>288</v>
      </c>
      <c r="AK17" s="206">
        <f>IF($AA$2="2018年",'Offer Statistics'!CK17,IF($AA$2="2019年",'Offer Statistics'!CK61,IF($AA$2="2020年",'Offer Statistics'!CK105)))</f>
        <v>468</v>
      </c>
      <c r="AL17" s="206">
        <f>IF($AA$2="2018年",'Offer Statistics'!CL17,IF($AA$2="2019年",'Offer Statistics'!CL61,IF($AA$2="2020年",'Offer Statistics'!CL105)))</f>
        <v>727</v>
      </c>
      <c r="AM17" s="206">
        <f>IF($AA$2="2018年",'Offer Statistics'!CM17,IF($AA$2="2019年",'Offer Statistics'!CM61,IF($AA$2="2020年",'Offer Statistics'!CM105)))</f>
        <v>967</v>
      </c>
      <c r="AN17" s="206">
        <f>IF($AA$2="2018年",'Offer Statistics'!CN17,IF($AA$2="2019年",'Offer Statistics'!CN61,IF($AA$2="2020年",'Offer Statistics'!CN105)))</f>
        <v>770</v>
      </c>
      <c r="AO17" s="142"/>
      <c r="AP17" s="131" t="str">
        <f t="shared" si="3"/>
        <v>JS6092</v>
      </c>
    </row>
    <row r="18" ht="18.0" customHeight="1">
      <c r="A18" s="315" t="s">
        <v>996</v>
      </c>
      <c r="B18" s="315" t="s">
        <v>990</v>
      </c>
      <c r="C18" s="315" t="s">
        <v>997</v>
      </c>
      <c r="D18" s="315" t="s">
        <v>1520</v>
      </c>
      <c r="E18" s="321" t="s">
        <v>21</v>
      </c>
      <c r="F18" s="317">
        <v>56.0</v>
      </c>
      <c r="G18" s="317">
        <v>53.0</v>
      </c>
      <c r="H18" s="317">
        <v>52.0</v>
      </c>
      <c r="I18" s="318">
        <f>'計分版'!D272</f>
        <v>0.000000003025</v>
      </c>
      <c r="J18" s="319">
        <f t="shared" si="1"/>
        <v>-52</v>
      </c>
      <c r="K18" s="320">
        <f t="shared" si="2"/>
        <v>-17190082644</v>
      </c>
      <c r="L18" s="321">
        <v>16.0</v>
      </c>
      <c r="M18" s="326">
        <f>'入學要求'!S255</f>
        <v>0</v>
      </c>
      <c r="N18" s="316" t="s">
        <v>541</v>
      </c>
      <c r="O18" s="316">
        <v>3.0</v>
      </c>
      <c r="P18" s="316">
        <v>3.0</v>
      </c>
      <c r="Q18" s="316">
        <v>2.0</v>
      </c>
      <c r="R18" s="316">
        <v>2.0</v>
      </c>
      <c r="S18" s="316">
        <v>3.0</v>
      </c>
      <c r="T18" s="316">
        <v>3.0</v>
      </c>
      <c r="U18" s="323">
        <f>'入學要求'!L255</f>
        <v>0</v>
      </c>
      <c r="V18" s="323">
        <f>'入學要求'!M255</f>
        <v>0</v>
      </c>
      <c r="W18" s="323">
        <f>'入學要求'!N255</f>
        <v>0</v>
      </c>
      <c r="X18" s="323">
        <f>'入學要求'!O255</f>
        <v>0</v>
      </c>
      <c r="Y18" s="323">
        <f>'入學要求'!P255</f>
        <v>0</v>
      </c>
      <c r="Z18" s="323">
        <f>'入學要求'!Q255</f>
        <v>0</v>
      </c>
      <c r="AA18" s="205"/>
      <c r="AB18" s="321">
        <f>IF($AA$2="2018年",'Offer Statistics'!CW18,IF($AA$2="2019年",'Offer Statistics'!CW62,IF($AA$2="2020年",'Offer Statistics'!CW106)))</f>
        <v>18</v>
      </c>
      <c r="AC18" s="324">
        <f>IF($AA$2="2018年",'Offer Statistics'!CR18,IF($AA$2="2019年",'Offer Statistics'!CR62,IF($AA$2="2020年",'Offer Statistics'!CR106)))</f>
        <v>18</v>
      </c>
      <c r="AD18" s="324">
        <f>IF($AA$2="2018年",'Offer Statistics'!CS18,IF($AA$2="2019年",'Offer Statistics'!CS62,IF($AA$2="2020年",'Offer Statistics'!CS106)))</f>
        <v>0</v>
      </c>
      <c r="AE18" s="324">
        <f>IF($AA$2="2018年",'Offer Statistics'!CT18,IF($AA$2="2019年",'Offer Statistics'!CT62,IF($AA$2="2020年",'Offer Statistics'!CT106)))</f>
        <v>0</v>
      </c>
      <c r="AF18" s="324">
        <f>IF($AA$2="2018年",'Offer Statistics'!CU18,IF($AA$2="2019年",'Offer Statistics'!CU62,IF($AA$2="2020年",'Offer Statistics'!CU106)))</f>
        <v>0</v>
      </c>
      <c r="AG18" s="324">
        <f>IF($AA$2="2018年",'Offer Statistics'!CV18,IF($AA$2="2019年",'Offer Statistics'!CV62,IF($AA$2="2020年",'Offer Statistics'!CV106)))</f>
        <v>0</v>
      </c>
      <c r="AH18" s="205"/>
      <c r="AI18" s="321">
        <f>IF($AA$2="2018年",'Offer Statistics'!CO18,IF($AA$2="2019年",'Offer Statistics'!CO62,IF($AA$2="2020年",'Offer Statistics'!CO106)))</f>
        <v>948</v>
      </c>
      <c r="AJ18" s="324">
        <f>IF($AA$2="2018年",'Offer Statistics'!CJ18,IF($AA$2="2019年",'Offer Statistics'!CJ62,IF($AA$2="2020年",'Offer Statistics'!CJ106)))</f>
        <v>101</v>
      </c>
      <c r="AK18" s="324">
        <f>IF($AA$2="2018年",'Offer Statistics'!CK18,IF($AA$2="2019年",'Offer Statistics'!CK62,IF($AA$2="2020年",'Offer Statistics'!CK106)))</f>
        <v>122</v>
      </c>
      <c r="AL18" s="324">
        <f>IF($AA$2="2018年",'Offer Statistics'!CL18,IF($AA$2="2019年",'Offer Statistics'!CL62,IF($AA$2="2020年",'Offer Statistics'!CL106)))</f>
        <v>209</v>
      </c>
      <c r="AM18" s="324">
        <f>IF($AA$2="2018年",'Offer Statistics'!CM18,IF($AA$2="2019年",'Offer Statistics'!CM62,IF($AA$2="2020年",'Offer Statistics'!CM106)))</f>
        <v>277</v>
      </c>
      <c r="AN18" s="324">
        <f>IF($AA$2="2018年",'Offer Statistics'!CN18,IF($AA$2="2019年",'Offer Statistics'!CN62,IF($AA$2="2020年",'Offer Statistics'!CN106)))</f>
        <v>239</v>
      </c>
      <c r="AO18" s="315"/>
      <c r="AP18" s="316" t="str">
        <f t="shared" si="3"/>
        <v>JS6119</v>
      </c>
    </row>
    <row r="19" ht="18.0" customHeight="1">
      <c r="A19" s="142" t="s">
        <v>689</v>
      </c>
      <c r="B19" s="142" t="s">
        <v>990</v>
      </c>
      <c r="C19" s="142" t="s">
        <v>998</v>
      </c>
      <c r="D19" s="142" t="s">
        <v>1521</v>
      </c>
      <c r="E19" s="131" t="s">
        <v>24</v>
      </c>
      <c r="F19" s="199">
        <v>39.0</v>
      </c>
      <c r="G19" s="199">
        <v>38.0</v>
      </c>
      <c r="H19" s="199">
        <v>36.0</v>
      </c>
      <c r="I19" s="200">
        <f>'計分版'!D273</f>
        <v>0.0000000037</v>
      </c>
      <c r="J19" s="201">
        <f t="shared" si="1"/>
        <v>-36</v>
      </c>
      <c r="K19" s="202">
        <f t="shared" si="2"/>
        <v>-9729729729</v>
      </c>
      <c r="L19" s="132">
        <v>48.0</v>
      </c>
      <c r="M19" s="325">
        <f>'入學要求'!S256</f>
        <v>0</v>
      </c>
      <c r="N19" s="131" t="s">
        <v>1188</v>
      </c>
      <c r="O19" s="163">
        <v>3.0</v>
      </c>
      <c r="P19" s="163">
        <v>3.0</v>
      </c>
      <c r="Q19" s="163">
        <v>2.0</v>
      </c>
      <c r="R19" s="163">
        <v>2.0</v>
      </c>
      <c r="S19" s="163">
        <v>3.0</v>
      </c>
      <c r="T19" s="163">
        <v>3.0</v>
      </c>
      <c r="U19" s="292">
        <f>'入學要求'!L256</f>
        <v>0</v>
      </c>
      <c r="V19" s="292">
        <f>'入學要求'!M256</f>
        <v>0</v>
      </c>
      <c r="W19" s="292">
        <f>'入學要求'!N256</f>
        <v>0</v>
      </c>
      <c r="X19" s="292">
        <f>'入學要求'!O256</f>
        <v>0</v>
      </c>
      <c r="Y19" s="292">
        <f>'入學要求'!P256</f>
        <v>0</v>
      </c>
      <c r="Z19" s="292">
        <f>'入學要求'!Q256</f>
        <v>0</v>
      </c>
      <c r="AA19" s="205"/>
      <c r="AB19" s="132">
        <f>IF($AA$2="2018年",'Offer Statistics'!CW19,IF($AA$2="2019年",'Offer Statistics'!CW63,IF($AA$2="2020年",'Offer Statistics'!CW107)))</f>
        <v>50</v>
      </c>
      <c r="AC19" s="206">
        <f>IF($AA$2="2018年",'Offer Statistics'!CR19,IF($AA$2="2019年",'Offer Statistics'!CR63,IF($AA$2="2020年",'Offer Statistics'!CR107)))</f>
        <v>50</v>
      </c>
      <c r="AD19" s="206">
        <f>IF($AA$2="2018年",'Offer Statistics'!CS19,IF($AA$2="2019年",'Offer Statistics'!CS63,IF($AA$2="2020年",'Offer Statistics'!CS107)))</f>
        <v>0</v>
      </c>
      <c r="AE19" s="206">
        <f>IF($AA$2="2018年",'Offer Statistics'!CT19,IF($AA$2="2019年",'Offer Statistics'!CT63,IF($AA$2="2020年",'Offer Statistics'!CT107)))</f>
        <v>0</v>
      </c>
      <c r="AF19" s="206">
        <f>IF($AA$2="2018年",'Offer Statistics'!CU19,IF($AA$2="2019年",'Offer Statistics'!CU63,IF($AA$2="2020年",'Offer Statistics'!CU107)))</f>
        <v>0</v>
      </c>
      <c r="AG19" s="206">
        <f>IF($AA$2="2018年",'Offer Statistics'!CV19,IF($AA$2="2019年",'Offer Statistics'!CV63,IF($AA$2="2020年",'Offer Statistics'!CV107)))</f>
        <v>0</v>
      </c>
      <c r="AH19" s="205"/>
      <c r="AI19" s="132">
        <f>IF($AA$2="2018年",'Offer Statistics'!CO19,IF($AA$2="2019年",'Offer Statistics'!CO63,IF($AA$2="2020年",'Offer Statistics'!CO107)))</f>
        <v>814</v>
      </c>
      <c r="AJ19" s="206">
        <f>IF($AA$2="2018年",'Offer Statistics'!CJ19,IF($AA$2="2019年",'Offer Statistics'!CJ63,IF($AA$2="2020年",'Offer Statistics'!CJ107)))</f>
        <v>218</v>
      </c>
      <c r="AK19" s="206">
        <f>IF($AA$2="2018年",'Offer Statistics'!CK19,IF($AA$2="2019年",'Offer Statistics'!CK63,IF($AA$2="2020年",'Offer Statistics'!CK107)))</f>
        <v>82</v>
      </c>
      <c r="AL19" s="206">
        <f>IF($AA$2="2018年",'Offer Statistics'!CL19,IF($AA$2="2019年",'Offer Statistics'!CL63,IF($AA$2="2020年",'Offer Statistics'!CL107)))</f>
        <v>141</v>
      </c>
      <c r="AM19" s="206">
        <f>IF($AA$2="2018年",'Offer Statistics'!CM19,IF($AA$2="2019年",'Offer Statistics'!CM63,IF($AA$2="2020年",'Offer Statistics'!CM107)))</f>
        <v>189</v>
      </c>
      <c r="AN19" s="206">
        <f>IF($AA$2="2018年",'Offer Statistics'!CN19,IF($AA$2="2019年",'Offer Statistics'!CN63,IF($AA$2="2020年",'Offer Statistics'!CN107)))</f>
        <v>184</v>
      </c>
      <c r="AO19" s="142"/>
      <c r="AP19" s="131" t="str">
        <f t="shared" si="3"/>
        <v>JS6157</v>
      </c>
    </row>
    <row r="20" ht="18.0" customHeight="1">
      <c r="A20" s="315" t="s">
        <v>999</v>
      </c>
      <c r="B20" s="315" t="s">
        <v>990</v>
      </c>
      <c r="C20" s="315" t="s">
        <v>1000</v>
      </c>
      <c r="D20" s="315" t="s">
        <v>1522</v>
      </c>
      <c r="E20" s="316" t="s">
        <v>21</v>
      </c>
      <c r="F20" s="317">
        <v>32.0</v>
      </c>
      <c r="G20" s="317">
        <v>31.0</v>
      </c>
      <c r="H20" s="317">
        <v>31.0</v>
      </c>
      <c r="I20" s="318">
        <f>'計分版'!D274</f>
        <v>0.00000000395</v>
      </c>
      <c r="J20" s="319">
        <f t="shared" si="1"/>
        <v>-31</v>
      </c>
      <c r="K20" s="320">
        <f t="shared" si="2"/>
        <v>-7848101265</v>
      </c>
      <c r="L20" s="321">
        <v>6.0</v>
      </c>
      <c r="M20" s="326">
        <f>'入學要求'!S257</f>
        <v>0</v>
      </c>
      <c r="N20" s="316" t="s">
        <v>541</v>
      </c>
      <c r="O20" s="316">
        <v>3.0</v>
      </c>
      <c r="P20" s="316">
        <v>3.0</v>
      </c>
      <c r="Q20" s="316">
        <v>2.0</v>
      </c>
      <c r="R20" s="316">
        <v>2.0</v>
      </c>
      <c r="S20" s="316">
        <v>3.0</v>
      </c>
      <c r="T20" s="316">
        <v>3.0</v>
      </c>
      <c r="U20" s="323">
        <f>'入學要求'!L257</f>
        <v>0</v>
      </c>
      <c r="V20" s="323">
        <f>'入學要求'!M257</f>
        <v>0</v>
      </c>
      <c r="W20" s="323">
        <f>'入學要求'!N257</f>
        <v>0</v>
      </c>
      <c r="X20" s="323">
        <f>'入學要求'!O257</f>
        <v>0</v>
      </c>
      <c r="Y20" s="323">
        <f>'入學要求'!P257</f>
        <v>0</v>
      </c>
      <c r="Z20" s="323">
        <f>'入學要求'!Q257</f>
        <v>0</v>
      </c>
      <c r="AA20" s="205"/>
      <c r="AB20" s="321">
        <f>IF($AA$2="2018年",'Offer Statistics'!CW20,IF($AA$2="2019年",'Offer Statistics'!CW64,IF($AA$2="2020年",'Offer Statistics'!CW108)))</f>
        <v>8</v>
      </c>
      <c r="AC20" s="324">
        <f>IF($AA$2="2018年",'Offer Statistics'!CR20,IF($AA$2="2019年",'Offer Statistics'!CR64,IF($AA$2="2020年",'Offer Statistics'!CR108)))</f>
        <v>8</v>
      </c>
      <c r="AD20" s="324">
        <f>IF($AA$2="2018年",'Offer Statistics'!CS20,IF($AA$2="2019年",'Offer Statistics'!CS64,IF($AA$2="2020年",'Offer Statistics'!CS108)))</f>
        <v>0</v>
      </c>
      <c r="AE20" s="324">
        <f>IF($AA$2="2018年",'Offer Statistics'!CT20,IF($AA$2="2019年",'Offer Statistics'!CT64,IF($AA$2="2020年",'Offer Statistics'!CT108)))</f>
        <v>0</v>
      </c>
      <c r="AF20" s="324">
        <f>IF($AA$2="2018年",'Offer Statistics'!CU20,IF($AA$2="2019年",'Offer Statistics'!CU64,IF($AA$2="2020年",'Offer Statistics'!CU108)))</f>
        <v>0</v>
      </c>
      <c r="AG20" s="324">
        <f>IF($AA$2="2018年",'Offer Statistics'!CV20,IF($AA$2="2019年",'Offer Statistics'!CV64,IF($AA$2="2020年",'Offer Statistics'!CV108)))</f>
        <v>0</v>
      </c>
      <c r="AH20" s="205"/>
      <c r="AI20" s="321">
        <f>IF($AA$2="2018年",'Offer Statistics'!CO20,IF($AA$2="2019年",'Offer Statistics'!CO64,IF($AA$2="2020年",'Offer Statistics'!CO108)))</f>
        <v>752</v>
      </c>
      <c r="AJ20" s="324">
        <f>IF($AA$2="2018年",'Offer Statistics'!CJ20,IF($AA$2="2019年",'Offer Statistics'!CJ64,IF($AA$2="2020年",'Offer Statistics'!CJ108)))</f>
        <v>36</v>
      </c>
      <c r="AK20" s="324">
        <f>IF($AA$2="2018年",'Offer Statistics'!CK20,IF($AA$2="2019年",'Offer Statistics'!CK64,IF($AA$2="2020年",'Offer Statistics'!CK108)))</f>
        <v>76</v>
      </c>
      <c r="AL20" s="324">
        <f>IF($AA$2="2018年",'Offer Statistics'!CL20,IF($AA$2="2019年",'Offer Statistics'!CL64,IF($AA$2="2020年",'Offer Statistics'!CL108)))</f>
        <v>143</v>
      </c>
      <c r="AM20" s="324">
        <f>IF($AA$2="2018年",'Offer Statistics'!CM20,IF($AA$2="2019年",'Offer Statistics'!CM64,IF($AA$2="2020年",'Offer Statistics'!CM108)))</f>
        <v>235</v>
      </c>
      <c r="AN20" s="324">
        <f>IF($AA$2="2018年",'Offer Statistics'!CN20,IF($AA$2="2019年",'Offer Statistics'!CN64,IF($AA$2="2020年",'Offer Statistics'!CN108)))</f>
        <v>262</v>
      </c>
      <c r="AO20" s="315"/>
      <c r="AP20" s="316" t="str">
        <f t="shared" si="3"/>
        <v>JS6195</v>
      </c>
    </row>
    <row r="21" ht="18.0" customHeight="1">
      <c r="A21" s="142" t="s">
        <v>1001</v>
      </c>
      <c r="B21" s="142" t="s">
        <v>1002</v>
      </c>
      <c r="C21" s="142" t="s">
        <v>1003</v>
      </c>
      <c r="D21" s="142" t="s">
        <v>1523</v>
      </c>
      <c r="E21" s="131" t="s">
        <v>21</v>
      </c>
      <c r="F21" s="199">
        <v>31.0</v>
      </c>
      <c r="G21" s="199">
        <v>29.0</v>
      </c>
      <c r="H21" s="199">
        <v>28.0</v>
      </c>
      <c r="I21" s="200">
        <f>'計分版'!D275</f>
        <v>0.00000000315</v>
      </c>
      <c r="J21" s="201">
        <f t="shared" si="1"/>
        <v>-28</v>
      </c>
      <c r="K21" s="202">
        <f t="shared" si="2"/>
        <v>-8888888888</v>
      </c>
      <c r="L21" s="132">
        <v>23.0</v>
      </c>
      <c r="M21" s="325">
        <f>'入學要求'!S258</f>
        <v>0</v>
      </c>
      <c r="N21" s="131" t="s">
        <v>1188</v>
      </c>
      <c r="O21" s="163">
        <v>3.0</v>
      </c>
      <c r="P21" s="163">
        <v>3.0</v>
      </c>
      <c r="Q21" s="163">
        <v>2.0</v>
      </c>
      <c r="R21" s="163">
        <v>2.0</v>
      </c>
      <c r="S21" s="163">
        <v>3.0</v>
      </c>
      <c r="T21" s="163">
        <v>3.0</v>
      </c>
      <c r="U21" s="292">
        <f>'入學要求'!L258</f>
        <v>0</v>
      </c>
      <c r="V21" s="292">
        <f>'入學要求'!M258</f>
        <v>0</v>
      </c>
      <c r="W21" s="292">
        <f>'入學要求'!N258</f>
        <v>0</v>
      </c>
      <c r="X21" s="292">
        <f>'入學要求'!O258</f>
        <v>0</v>
      </c>
      <c r="Y21" s="292">
        <f>'入學要求'!P258</f>
        <v>0</v>
      </c>
      <c r="Z21" s="292">
        <f>'入學要求'!Q258</f>
        <v>0</v>
      </c>
      <c r="AA21" s="205"/>
      <c r="AB21" s="132">
        <f>IF($AA$2="2018年",'Offer Statistics'!CW21,IF($AA$2="2019年",'Offer Statistics'!CW65,IF($AA$2="2020年",'Offer Statistics'!CW109)))</f>
        <v>21</v>
      </c>
      <c r="AC21" s="206">
        <f>IF($AA$2="2018年",'Offer Statistics'!CR21,IF($AA$2="2019年",'Offer Statistics'!CR65,IF($AA$2="2020年",'Offer Statistics'!CR109)))</f>
        <v>21</v>
      </c>
      <c r="AD21" s="206">
        <f>IF($AA$2="2018年",'Offer Statistics'!CS21,IF($AA$2="2019年",'Offer Statistics'!CS65,IF($AA$2="2020年",'Offer Statistics'!CS109)))</f>
        <v>0</v>
      </c>
      <c r="AE21" s="206">
        <f>IF($AA$2="2018年",'Offer Statistics'!CT21,IF($AA$2="2019年",'Offer Statistics'!CT65,IF($AA$2="2020年",'Offer Statistics'!CT109)))</f>
        <v>0</v>
      </c>
      <c r="AF21" s="206">
        <f>IF($AA$2="2018年",'Offer Statistics'!CU21,IF($AA$2="2019年",'Offer Statistics'!CU65,IF($AA$2="2020年",'Offer Statistics'!CU109)))</f>
        <v>0</v>
      </c>
      <c r="AG21" s="206">
        <f>IF($AA$2="2018年",'Offer Statistics'!CV21,IF($AA$2="2019年",'Offer Statistics'!CV65,IF($AA$2="2020年",'Offer Statistics'!CV109)))</f>
        <v>0</v>
      </c>
      <c r="AH21" s="205"/>
      <c r="AI21" s="132">
        <f>IF($AA$2="2018年",'Offer Statistics'!CO21,IF($AA$2="2019年",'Offer Statistics'!CO65,IF($AA$2="2020年",'Offer Statistics'!CO109)))</f>
        <v>996</v>
      </c>
      <c r="AJ21" s="206">
        <f>IF($AA$2="2018年",'Offer Statistics'!CJ21,IF($AA$2="2019年",'Offer Statistics'!CJ65,IF($AA$2="2020年",'Offer Statistics'!CJ109)))</f>
        <v>77</v>
      </c>
      <c r="AK21" s="206">
        <f>IF($AA$2="2018年",'Offer Statistics'!CK21,IF($AA$2="2019年",'Offer Statistics'!CK65,IF($AA$2="2020年",'Offer Statistics'!CK109)))</f>
        <v>102</v>
      </c>
      <c r="AL21" s="206">
        <f>IF($AA$2="2018年",'Offer Statistics'!CL21,IF($AA$2="2019年",'Offer Statistics'!CL65,IF($AA$2="2020年",'Offer Statistics'!CL109)))</f>
        <v>212</v>
      </c>
      <c r="AM21" s="206">
        <f>IF($AA$2="2018年",'Offer Statistics'!CM21,IF($AA$2="2019年",'Offer Statistics'!CM65,IF($AA$2="2020年",'Offer Statistics'!CM109)))</f>
        <v>330</v>
      </c>
      <c r="AN21" s="206">
        <f>IF($AA$2="2018年",'Offer Statistics'!CN21,IF($AA$2="2019年",'Offer Statistics'!CN65,IF($AA$2="2020年",'Offer Statistics'!CN109)))</f>
        <v>275</v>
      </c>
      <c r="AO21" s="142"/>
      <c r="AP21" s="131" t="str">
        <f t="shared" si="3"/>
        <v>JS6925</v>
      </c>
    </row>
    <row r="22" ht="18.0" customHeight="1">
      <c r="A22" s="315" t="s">
        <v>1005</v>
      </c>
      <c r="B22" s="315" t="s">
        <v>1002</v>
      </c>
      <c r="C22" s="315" t="s">
        <v>1006</v>
      </c>
      <c r="D22" s="315" t="s">
        <v>1524</v>
      </c>
      <c r="E22" s="316" t="s">
        <v>21</v>
      </c>
      <c r="F22" s="317">
        <v>34.0</v>
      </c>
      <c r="G22" s="317">
        <v>32.0</v>
      </c>
      <c r="H22" s="317">
        <v>31.0</v>
      </c>
      <c r="I22" s="318">
        <f>'計分版'!D276</f>
        <v>0.00000000315</v>
      </c>
      <c r="J22" s="319">
        <f t="shared" si="1"/>
        <v>-31</v>
      </c>
      <c r="K22" s="320">
        <f t="shared" si="2"/>
        <v>-9841269840</v>
      </c>
      <c r="L22" s="321">
        <v>14.0</v>
      </c>
      <c r="M22" s="326">
        <f>'入學要求'!S259</f>
        <v>0</v>
      </c>
      <c r="N22" s="316" t="s">
        <v>1188</v>
      </c>
      <c r="O22" s="316">
        <v>3.0</v>
      </c>
      <c r="P22" s="316">
        <v>4.0</v>
      </c>
      <c r="Q22" s="316">
        <v>4.0</v>
      </c>
      <c r="R22" s="316">
        <v>2.0</v>
      </c>
      <c r="S22" s="316">
        <v>3.0</v>
      </c>
      <c r="T22" s="316">
        <v>3.0</v>
      </c>
      <c r="U22" s="323">
        <f>'入學要求'!L259</f>
        <v>0</v>
      </c>
      <c r="V22" s="323">
        <f>'入學要求'!M259</f>
        <v>0</v>
      </c>
      <c r="W22" s="323">
        <f>'入學要求'!N259</f>
        <v>0</v>
      </c>
      <c r="X22" s="323">
        <f>'入學要求'!O259</f>
        <v>0</v>
      </c>
      <c r="Y22" s="323">
        <f>'入學要求'!P259</f>
        <v>0</v>
      </c>
      <c r="Z22" s="323">
        <f>'入學要求'!Q259</f>
        <v>0</v>
      </c>
      <c r="AA22" s="205"/>
      <c r="AB22" s="321">
        <f>IF($AA$2="2018年",'Offer Statistics'!CW22,IF($AA$2="2019年",'Offer Statistics'!CW66,IF($AA$2="2020年",'Offer Statistics'!CW110)))</f>
        <v>16</v>
      </c>
      <c r="AC22" s="324">
        <f>IF($AA$2="2018年",'Offer Statistics'!CR22,IF($AA$2="2019年",'Offer Statistics'!CR66,IF($AA$2="2020年",'Offer Statistics'!CR110)))</f>
        <v>16</v>
      </c>
      <c r="AD22" s="324">
        <f>IF($AA$2="2018年",'Offer Statistics'!CS22,IF($AA$2="2019年",'Offer Statistics'!CS66,IF($AA$2="2020年",'Offer Statistics'!CS110)))</f>
        <v>0</v>
      </c>
      <c r="AE22" s="324">
        <f>IF($AA$2="2018年",'Offer Statistics'!CT22,IF($AA$2="2019年",'Offer Statistics'!CT66,IF($AA$2="2020年",'Offer Statistics'!CT110)))</f>
        <v>0</v>
      </c>
      <c r="AF22" s="324">
        <f>IF($AA$2="2018年",'Offer Statistics'!CU22,IF($AA$2="2019年",'Offer Statistics'!CU66,IF($AA$2="2020年",'Offer Statistics'!CU110)))</f>
        <v>0</v>
      </c>
      <c r="AG22" s="324">
        <f>IF($AA$2="2018年",'Offer Statistics'!CV22,IF($AA$2="2019年",'Offer Statistics'!CV66,IF($AA$2="2020年",'Offer Statistics'!CV110)))</f>
        <v>0</v>
      </c>
      <c r="AH22" s="205"/>
      <c r="AI22" s="321">
        <f>IF($AA$2="2018年",'Offer Statistics'!CO22,IF($AA$2="2019年",'Offer Statistics'!CO66,IF($AA$2="2020年",'Offer Statistics'!CO110)))</f>
        <v>139</v>
      </c>
      <c r="AJ22" s="324">
        <f>IF($AA$2="2018年",'Offer Statistics'!CJ22,IF($AA$2="2019年",'Offer Statistics'!CJ66,IF($AA$2="2020年",'Offer Statistics'!CJ110)))</f>
        <v>48</v>
      </c>
      <c r="AK22" s="324">
        <f>IF($AA$2="2018年",'Offer Statistics'!CK22,IF($AA$2="2019年",'Offer Statistics'!CK66,IF($AA$2="2020年",'Offer Statistics'!CK110)))</f>
        <v>14</v>
      </c>
      <c r="AL22" s="324">
        <f>IF($AA$2="2018年",'Offer Statistics'!CL22,IF($AA$2="2019年",'Offer Statistics'!CL66,IF($AA$2="2020年",'Offer Statistics'!CL110)))</f>
        <v>16</v>
      </c>
      <c r="AM22" s="324">
        <f>IF($AA$2="2018年",'Offer Statistics'!CM22,IF($AA$2="2019年",'Offer Statistics'!CM66,IF($AA$2="2020年",'Offer Statistics'!CM110)))</f>
        <v>14</v>
      </c>
      <c r="AN22" s="324">
        <f>IF($AA$2="2018年",'Offer Statistics'!CN22,IF($AA$2="2019年",'Offer Statistics'!CN66,IF($AA$2="2020年",'Offer Statistics'!CN110)))</f>
        <v>47</v>
      </c>
      <c r="AO22" s="315"/>
      <c r="AP22" s="316" t="str">
        <f t="shared" si="3"/>
        <v>JS6937</v>
      </c>
    </row>
    <row r="23" ht="18.0" customHeight="1">
      <c r="A23" s="142" t="s">
        <v>1007</v>
      </c>
      <c r="B23" s="142" t="s">
        <v>1002</v>
      </c>
      <c r="C23" s="142" t="s">
        <v>1008</v>
      </c>
      <c r="D23" s="142" t="s">
        <v>1525</v>
      </c>
      <c r="E23" s="131" t="s">
        <v>21</v>
      </c>
      <c r="F23" s="199">
        <v>28.0</v>
      </c>
      <c r="G23" s="199">
        <v>26.0</v>
      </c>
      <c r="H23" s="199">
        <v>25.0</v>
      </c>
      <c r="I23" s="200">
        <f>'計分版'!D277</f>
        <v>0.00000000315</v>
      </c>
      <c r="J23" s="201">
        <f t="shared" si="1"/>
        <v>-25</v>
      </c>
      <c r="K23" s="202">
        <f t="shared" si="2"/>
        <v>-7936507936</v>
      </c>
      <c r="L23" s="132">
        <v>20.0</v>
      </c>
      <c r="M23" s="325">
        <f>'入學要求'!S260</f>
        <v>0</v>
      </c>
      <c r="N23" s="131" t="s">
        <v>1188</v>
      </c>
      <c r="O23" s="163">
        <v>3.0</v>
      </c>
      <c r="P23" s="163">
        <v>3.0</v>
      </c>
      <c r="Q23" s="163">
        <v>2.0</v>
      </c>
      <c r="R23" s="163">
        <v>2.0</v>
      </c>
      <c r="S23" s="163">
        <v>3.0</v>
      </c>
      <c r="T23" s="163">
        <v>3.0</v>
      </c>
      <c r="U23" s="292">
        <f>'入學要求'!L260</f>
        <v>0</v>
      </c>
      <c r="V23" s="292">
        <f>'入學要求'!M260</f>
        <v>0</v>
      </c>
      <c r="W23" s="292">
        <f>'入學要求'!N260</f>
        <v>0</v>
      </c>
      <c r="X23" s="292">
        <f>'入學要求'!O260</f>
        <v>0</v>
      </c>
      <c r="Y23" s="292">
        <f>'入學要求'!P260</f>
        <v>0</v>
      </c>
      <c r="Z23" s="292">
        <f>'入學要求'!Q260</f>
        <v>0</v>
      </c>
      <c r="AA23" s="205"/>
      <c r="AB23" s="132">
        <f>IF($AA$2="2018年",'Offer Statistics'!CW23,IF($AA$2="2019年",'Offer Statistics'!CW67,IF($AA$2="2020年",'Offer Statistics'!CW111)))</f>
        <v>14</v>
      </c>
      <c r="AC23" s="206">
        <f>IF($AA$2="2018年",'Offer Statistics'!CR23,IF($AA$2="2019年",'Offer Statistics'!CR67,IF($AA$2="2020年",'Offer Statistics'!CR111)))</f>
        <v>14</v>
      </c>
      <c r="AD23" s="206">
        <f>IF($AA$2="2018年",'Offer Statistics'!CS23,IF($AA$2="2019年",'Offer Statistics'!CS67,IF($AA$2="2020年",'Offer Statistics'!CS111)))</f>
        <v>0</v>
      </c>
      <c r="AE23" s="206">
        <f>IF($AA$2="2018年",'Offer Statistics'!CT23,IF($AA$2="2019年",'Offer Statistics'!CT67,IF($AA$2="2020年",'Offer Statistics'!CT111)))</f>
        <v>0</v>
      </c>
      <c r="AF23" s="206">
        <f>IF($AA$2="2018年",'Offer Statistics'!CU23,IF($AA$2="2019年",'Offer Statistics'!CU67,IF($AA$2="2020年",'Offer Statistics'!CU111)))</f>
        <v>0</v>
      </c>
      <c r="AG23" s="206">
        <f>IF($AA$2="2018年",'Offer Statistics'!CV23,IF($AA$2="2019年",'Offer Statistics'!CV67,IF($AA$2="2020年",'Offer Statistics'!CV111)))</f>
        <v>0</v>
      </c>
      <c r="AH23" s="205"/>
      <c r="AI23" s="132">
        <f>IF($AA$2="2018年",'Offer Statistics'!CO23,IF($AA$2="2019年",'Offer Statistics'!CO67,IF($AA$2="2020年",'Offer Statistics'!CO111)))</f>
        <v>1366</v>
      </c>
      <c r="AJ23" s="206">
        <f>IF($AA$2="2018年",'Offer Statistics'!CJ23,IF($AA$2="2019年",'Offer Statistics'!CJ67,IF($AA$2="2020年",'Offer Statistics'!CJ111)))</f>
        <v>90</v>
      </c>
      <c r="AK23" s="206">
        <f>IF($AA$2="2018年",'Offer Statistics'!CK23,IF($AA$2="2019年",'Offer Statistics'!CK67,IF($AA$2="2020年",'Offer Statistics'!CK111)))</f>
        <v>139</v>
      </c>
      <c r="AL23" s="206">
        <f>IF($AA$2="2018年",'Offer Statistics'!CL23,IF($AA$2="2019年",'Offer Statistics'!CL67,IF($AA$2="2020年",'Offer Statistics'!CL111)))</f>
        <v>298</v>
      </c>
      <c r="AM23" s="206">
        <f>IF($AA$2="2018年",'Offer Statistics'!CM23,IF($AA$2="2019年",'Offer Statistics'!CM67,IF($AA$2="2020年",'Offer Statistics'!CM111)))</f>
        <v>461</v>
      </c>
      <c r="AN23" s="206">
        <f>IF($AA$2="2018年",'Offer Statistics'!CN23,IF($AA$2="2019年",'Offer Statistics'!CN67,IF($AA$2="2020年",'Offer Statistics'!CN111)))</f>
        <v>378</v>
      </c>
      <c r="AO23" s="142"/>
      <c r="AP23" s="131" t="str">
        <f t="shared" si="3"/>
        <v>JS6951</v>
      </c>
    </row>
    <row r="24" ht="18.0" customHeight="1">
      <c r="A24" s="315" t="s">
        <v>1009</v>
      </c>
      <c r="B24" s="315" t="s">
        <v>1002</v>
      </c>
      <c r="C24" s="315" t="s">
        <v>1010</v>
      </c>
      <c r="D24" s="315" t="s">
        <v>1526</v>
      </c>
      <c r="E24" s="316" t="s">
        <v>21</v>
      </c>
      <c r="F24" s="317">
        <v>26.0</v>
      </c>
      <c r="G24" s="317">
        <v>25.0</v>
      </c>
      <c r="H24" s="317">
        <v>23.0</v>
      </c>
      <c r="I24" s="318">
        <f>'計分版'!D278</f>
        <v>0.00000000315</v>
      </c>
      <c r="J24" s="319">
        <f t="shared" si="1"/>
        <v>-23</v>
      </c>
      <c r="K24" s="320">
        <f t="shared" si="2"/>
        <v>-7301587301</v>
      </c>
      <c r="L24" s="321">
        <v>383.0</v>
      </c>
      <c r="M24" s="326">
        <f>'入學要求'!S261</f>
        <v>0</v>
      </c>
      <c r="N24" s="316" t="s">
        <v>1188</v>
      </c>
      <c r="O24" s="316">
        <v>3.0</v>
      </c>
      <c r="P24" s="316">
        <v>3.0</v>
      </c>
      <c r="Q24" s="316">
        <v>2.0</v>
      </c>
      <c r="R24" s="316">
        <v>2.0</v>
      </c>
      <c r="S24" s="316">
        <v>3.0</v>
      </c>
      <c r="T24" s="316">
        <v>3.0</v>
      </c>
      <c r="U24" s="323">
        <f>'入學要求'!L261</f>
        <v>0</v>
      </c>
      <c r="V24" s="323">
        <f>'入學要求'!M261</f>
        <v>0</v>
      </c>
      <c r="W24" s="323">
        <f>'入學要求'!N261</f>
        <v>0</v>
      </c>
      <c r="X24" s="323">
        <f>'入學要求'!O261</f>
        <v>0</v>
      </c>
      <c r="Y24" s="323">
        <f>'入學要求'!P261</f>
        <v>0</v>
      </c>
      <c r="Z24" s="323">
        <f>'入學要求'!Q261</f>
        <v>0</v>
      </c>
      <c r="AA24" s="205"/>
      <c r="AB24" s="321">
        <f>IF($AA$2="2018年",'Offer Statistics'!CW24,IF($AA$2="2019年",'Offer Statistics'!CW68,IF($AA$2="2020年",'Offer Statistics'!CW112)))</f>
        <v>325</v>
      </c>
      <c r="AC24" s="324">
        <f>IF($AA$2="2018年",'Offer Statistics'!CR24,IF($AA$2="2019年",'Offer Statistics'!CR68,IF($AA$2="2020年",'Offer Statistics'!CR112)))</f>
        <v>323</v>
      </c>
      <c r="AD24" s="324">
        <f>IF($AA$2="2018年",'Offer Statistics'!CS24,IF($AA$2="2019年",'Offer Statistics'!CS68,IF($AA$2="2020年",'Offer Statistics'!CS112)))</f>
        <v>2</v>
      </c>
      <c r="AE24" s="324">
        <f>IF($AA$2="2018年",'Offer Statistics'!CT24,IF($AA$2="2019年",'Offer Statistics'!CT68,IF($AA$2="2020年",'Offer Statistics'!CT112)))</f>
        <v>0</v>
      </c>
      <c r="AF24" s="324">
        <f>IF($AA$2="2018年",'Offer Statistics'!CU24,IF($AA$2="2019年",'Offer Statistics'!CU68,IF($AA$2="2020年",'Offer Statistics'!CU112)))</f>
        <v>0</v>
      </c>
      <c r="AG24" s="324">
        <f>IF($AA$2="2018年",'Offer Statistics'!CV24,IF($AA$2="2019年",'Offer Statistics'!CV68,IF($AA$2="2020年",'Offer Statistics'!CV112)))</f>
        <v>0</v>
      </c>
      <c r="AH24" s="205"/>
      <c r="AI24" s="321">
        <f>IF($AA$2="2018年",'Offer Statistics'!CO24,IF($AA$2="2019年",'Offer Statistics'!CO68,IF($AA$2="2020年",'Offer Statistics'!CO112)))</f>
        <v>3188</v>
      </c>
      <c r="AJ24" s="324">
        <f>IF($AA$2="2018年",'Offer Statistics'!CJ24,IF($AA$2="2019年",'Offer Statistics'!CJ68,IF($AA$2="2020年",'Offer Statistics'!CJ112)))</f>
        <v>917</v>
      </c>
      <c r="AK24" s="324">
        <f>IF($AA$2="2018年",'Offer Statistics'!CK24,IF($AA$2="2019年",'Offer Statistics'!CK68,IF($AA$2="2020年",'Offer Statistics'!CK112)))</f>
        <v>550</v>
      </c>
      <c r="AL24" s="324">
        <f>IF($AA$2="2018年",'Offer Statistics'!CL24,IF($AA$2="2019年",'Offer Statistics'!CL68,IF($AA$2="2020年",'Offer Statistics'!CL112)))</f>
        <v>619</v>
      </c>
      <c r="AM24" s="324">
        <f>IF($AA$2="2018年",'Offer Statistics'!CM24,IF($AA$2="2019年",'Offer Statistics'!CM68,IF($AA$2="2020年",'Offer Statistics'!CM112)))</f>
        <v>595</v>
      </c>
      <c r="AN24" s="324">
        <f>IF($AA$2="2018年",'Offer Statistics'!CN24,IF($AA$2="2019年",'Offer Statistics'!CN68,IF($AA$2="2020年",'Offer Statistics'!CN112)))</f>
        <v>507</v>
      </c>
      <c r="AO24" s="315"/>
      <c r="AP24" s="316" t="str">
        <f t="shared" si="3"/>
        <v>JS6963</v>
      </c>
    </row>
    <row r="25" ht="18.0" customHeight="1">
      <c r="A25" s="142" t="s">
        <v>1011</v>
      </c>
      <c r="B25" s="142" t="s">
        <v>1012</v>
      </c>
      <c r="C25" s="142" t="s">
        <v>1013</v>
      </c>
      <c r="D25" s="142" t="s">
        <v>1527</v>
      </c>
      <c r="E25" s="131" t="s">
        <v>24</v>
      </c>
      <c r="F25" s="199">
        <v>44.0</v>
      </c>
      <c r="G25" s="199">
        <v>41.0</v>
      </c>
      <c r="H25" s="199">
        <v>39.0</v>
      </c>
      <c r="I25" s="200">
        <f>'計分版'!D279</f>
        <v>0.0000000036</v>
      </c>
      <c r="J25" s="201">
        <f t="shared" si="1"/>
        <v>-39</v>
      </c>
      <c r="K25" s="202">
        <f t="shared" si="2"/>
        <v>-10833333332</v>
      </c>
      <c r="L25" s="132">
        <v>20.0</v>
      </c>
      <c r="M25" s="325">
        <f>'入學要求'!S262</f>
        <v>0</v>
      </c>
      <c r="N25" s="131" t="s">
        <v>541</v>
      </c>
      <c r="O25" s="163">
        <v>4.0</v>
      </c>
      <c r="P25" s="163">
        <v>5.0</v>
      </c>
      <c r="Q25" s="163">
        <v>3.0</v>
      </c>
      <c r="R25" s="163">
        <v>3.0</v>
      </c>
      <c r="S25" s="163">
        <v>3.0</v>
      </c>
      <c r="T25" s="163">
        <v>3.0</v>
      </c>
      <c r="U25" s="292">
        <f>'入學要求'!L262</f>
        <v>0</v>
      </c>
      <c r="V25" s="292">
        <f>'入學要求'!M262</f>
        <v>0</v>
      </c>
      <c r="W25" s="292">
        <f>'入學要求'!N262</f>
        <v>0</v>
      </c>
      <c r="X25" s="292">
        <f>'入學要求'!O262</f>
        <v>0</v>
      </c>
      <c r="Y25" s="292">
        <f>'入學要求'!P262</f>
        <v>0</v>
      </c>
      <c r="Z25" s="292">
        <f>'入學要求'!Q262</f>
        <v>0</v>
      </c>
      <c r="AA25" s="205"/>
      <c r="AB25" s="132">
        <f>IF($AA$2="2018年",'Offer Statistics'!CW25,IF($AA$2="2019年",'Offer Statistics'!CW69,IF($AA$2="2020年",'Offer Statistics'!CW113)))</f>
        <v>18</v>
      </c>
      <c r="AC25" s="206">
        <f>IF($AA$2="2018年",'Offer Statistics'!CR25,IF($AA$2="2019年",'Offer Statistics'!CR69,IF($AA$2="2020年",'Offer Statistics'!CR113)))</f>
        <v>18</v>
      </c>
      <c r="AD25" s="206">
        <f>IF($AA$2="2018年",'Offer Statistics'!CS25,IF($AA$2="2019年",'Offer Statistics'!CS69,IF($AA$2="2020年",'Offer Statistics'!CS113)))</f>
        <v>0</v>
      </c>
      <c r="AE25" s="206">
        <f>IF($AA$2="2018年",'Offer Statistics'!CT25,IF($AA$2="2019年",'Offer Statistics'!CT69,IF($AA$2="2020年",'Offer Statistics'!CT113)))</f>
        <v>0</v>
      </c>
      <c r="AF25" s="206">
        <f>IF($AA$2="2018年",'Offer Statistics'!CU25,IF($AA$2="2019年",'Offer Statistics'!CU69,IF($AA$2="2020年",'Offer Statistics'!CU113)))</f>
        <v>0</v>
      </c>
      <c r="AG25" s="206">
        <f>IF($AA$2="2018年",'Offer Statistics'!CV25,IF($AA$2="2019年",'Offer Statistics'!CV69,IF($AA$2="2020年",'Offer Statistics'!CV113)))</f>
        <v>0</v>
      </c>
      <c r="AH25" s="205"/>
      <c r="AI25" s="132">
        <f>IF($AA$2="2018年",'Offer Statistics'!CO25,IF($AA$2="2019年",'Offer Statistics'!CO69,IF($AA$2="2020年",'Offer Statistics'!CO113)))</f>
        <v>328</v>
      </c>
      <c r="AJ25" s="206">
        <f>IF($AA$2="2018年",'Offer Statistics'!CJ25,IF($AA$2="2019年",'Offer Statistics'!CJ69,IF($AA$2="2020年",'Offer Statistics'!CJ113)))</f>
        <v>37</v>
      </c>
      <c r="AK25" s="206">
        <f>IF($AA$2="2018年",'Offer Statistics'!CK25,IF($AA$2="2019年",'Offer Statistics'!CK69,IF($AA$2="2020年",'Offer Statistics'!CK113)))</f>
        <v>34</v>
      </c>
      <c r="AL25" s="206">
        <f>IF($AA$2="2018年",'Offer Statistics'!CL25,IF($AA$2="2019年",'Offer Statistics'!CL69,IF($AA$2="2020年",'Offer Statistics'!CL113)))</f>
        <v>65</v>
      </c>
      <c r="AM25" s="206">
        <f>IF($AA$2="2018年",'Offer Statistics'!CM25,IF($AA$2="2019年",'Offer Statistics'!CM69,IF($AA$2="2020年",'Offer Statistics'!CM113)))</f>
        <v>88</v>
      </c>
      <c r="AN25" s="206">
        <f>IF($AA$2="2018年",'Offer Statistics'!CN25,IF($AA$2="2019年",'Offer Statistics'!CN69,IF($AA$2="2020年",'Offer Statistics'!CN113)))</f>
        <v>104</v>
      </c>
      <c r="AO25" s="142"/>
      <c r="AP25" s="131" t="str">
        <f t="shared" si="3"/>
        <v>JS6078</v>
      </c>
    </row>
    <row r="26" ht="18.0" customHeight="1">
      <c r="A26" s="315" t="s">
        <v>1014</v>
      </c>
      <c r="B26" s="315" t="s">
        <v>1012</v>
      </c>
      <c r="C26" s="315" t="s">
        <v>593</v>
      </c>
      <c r="D26" s="315" t="s">
        <v>1450</v>
      </c>
      <c r="E26" s="316" t="s">
        <v>24</v>
      </c>
      <c r="F26" s="317">
        <v>39.0</v>
      </c>
      <c r="G26" s="317">
        <v>38.0</v>
      </c>
      <c r="H26" s="317">
        <v>36.0</v>
      </c>
      <c r="I26" s="318">
        <f>'計分版'!D280</f>
        <v>0.0000000036</v>
      </c>
      <c r="J26" s="319">
        <f t="shared" si="1"/>
        <v>-36</v>
      </c>
      <c r="K26" s="320">
        <f t="shared" si="2"/>
        <v>-9999999999</v>
      </c>
      <c r="L26" s="321">
        <v>98.0</v>
      </c>
      <c r="M26" s="326">
        <f>'入學要求'!S263</f>
        <v>0</v>
      </c>
      <c r="N26" s="316" t="s">
        <v>541</v>
      </c>
      <c r="O26" s="316">
        <v>4.0</v>
      </c>
      <c r="P26" s="316">
        <v>5.0</v>
      </c>
      <c r="Q26" s="316">
        <v>3.0</v>
      </c>
      <c r="R26" s="316">
        <v>3.0</v>
      </c>
      <c r="S26" s="316">
        <v>3.0</v>
      </c>
      <c r="T26" s="316">
        <v>3.0</v>
      </c>
      <c r="U26" s="323">
        <f>'入學要求'!L263</f>
        <v>0</v>
      </c>
      <c r="V26" s="323">
        <f>'入學要求'!M263</f>
        <v>0</v>
      </c>
      <c r="W26" s="323">
        <f>'入學要求'!N263</f>
        <v>0</v>
      </c>
      <c r="X26" s="323">
        <f>'入學要求'!O263</f>
        <v>0</v>
      </c>
      <c r="Y26" s="323">
        <f>'入學要求'!P263</f>
        <v>0</v>
      </c>
      <c r="Z26" s="323">
        <f>'入學要求'!Q263</f>
        <v>0</v>
      </c>
      <c r="AA26" s="205"/>
      <c r="AB26" s="321">
        <f>IF($AA$2="2018年",'Offer Statistics'!CW26,IF($AA$2="2019年",'Offer Statistics'!CW70,IF($AA$2="2020年",'Offer Statistics'!CW114)))</f>
        <v>72</v>
      </c>
      <c r="AC26" s="324">
        <f>IF($AA$2="2018年",'Offer Statistics'!CR26,IF($AA$2="2019年",'Offer Statistics'!CR70,IF($AA$2="2020年",'Offer Statistics'!CR114)))</f>
        <v>71</v>
      </c>
      <c r="AD26" s="324">
        <f>IF($AA$2="2018年",'Offer Statistics'!CS26,IF($AA$2="2019年",'Offer Statistics'!CS70,IF($AA$2="2020年",'Offer Statistics'!CS114)))</f>
        <v>1</v>
      </c>
      <c r="AE26" s="324">
        <f>IF($AA$2="2018年",'Offer Statistics'!CT26,IF($AA$2="2019年",'Offer Statistics'!CT70,IF($AA$2="2020年",'Offer Statistics'!CT114)))</f>
        <v>0</v>
      </c>
      <c r="AF26" s="324">
        <f>IF($AA$2="2018年",'Offer Statistics'!CU26,IF($AA$2="2019年",'Offer Statistics'!CU70,IF($AA$2="2020年",'Offer Statistics'!CU114)))</f>
        <v>0</v>
      </c>
      <c r="AG26" s="324">
        <f>IF($AA$2="2018年",'Offer Statistics'!CV26,IF($AA$2="2019年",'Offer Statistics'!CV70,IF($AA$2="2020年",'Offer Statistics'!CV114)))</f>
        <v>0</v>
      </c>
      <c r="AH26" s="205"/>
      <c r="AI26" s="321">
        <f>IF($AA$2="2018年",'Offer Statistics'!CO26,IF($AA$2="2019年",'Offer Statistics'!CO70,IF($AA$2="2020年",'Offer Statistics'!CO114)))</f>
        <v>894</v>
      </c>
      <c r="AJ26" s="324">
        <f>IF($AA$2="2018年",'Offer Statistics'!CJ26,IF($AA$2="2019年",'Offer Statistics'!CJ70,IF($AA$2="2020年",'Offer Statistics'!CJ114)))</f>
        <v>232</v>
      </c>
      <c r="AK26" s="324">
        <f>IF($AA$2="2018年",'Offer Statistics'!CK26,IF($AA$2="2019年",'Offer Statistics'!CK70,IF($AA$2="2020年",'Offer Statistics'!CK114)))</f>
        <v>85</v>
      </c>
      <c r="AL26" s="324">
        <f>IF($AA$2="2018年",'Offer Statistics'!CL26,IF($AA$2="2019年",'Offer Statistics'!CL70,IF($AA$2="2020年",'Offer Statistics'!CL114)))</f>
        <v>133</v>
      </c>
      <c r="AM26" s="324">
        <f>IF($AA$2="2018年",'Offer Statistics'!CM26,IF($AA$2="2019年",'Offer Statistics'!CM70,IF($AA$2="2020年",'Offer Statistics'!CM114)))</f>
        <v>179</v>
      </c>
      <c r="AN26" s="324">
        <f>IF($AA$2="2018年",'Offer Statistics'!CN26,IF($AA$2="2019年",'Offer Statistics'!CN70,IF($AA$2="2020年",'Offer Statistics'!CN114)))</f>
        <v>265</v>
      </c>
      <c r="AO26" s="315"/>
      <c r="AP26" s="316" t="str">
        <f t="shared" si="3"/>
        <v>JS6406</v>
      </c>
    </row>
    <row r="27" ht="18.0" customHeight="1">
      <c r="A27" s="142" t="s">
        <v>1290</v>
      </c>
      <c r="B27" s="142" t="s">
        <v>1016</v>
      </c>
      <c r="C27" s="142" t="s">
        <v>1528</v>
      </c>
      <c r="D27" s="142" t="s">
        <v>1529</v>
      </c>
      <c r="E27" s="135" t="s">
        <v>21</v>
      </c>
      <c r="F27" s="199" t="s">
        <v>541</v>
      </c>
      <c r="G27" s="199" t="s">
        <v>541</v>
      </c>
      <c r="H27" s="199" t="s">
        <v>541</v>
      </c>
      <c r="I27" s="200">
        <f>'計分版'!D281</f>
        <v>0.0000000034</v>
      </c>
      <c r="J27" s="215" t="s">
        <v>541</v>
      </c>
      <c r="K27" s="237" t="s">
        <v>541</v>
      </c>
      <c r="L27" s="132">
        <v>15.0</v>
      </c>
      <c r="M27" s="325">
        <f>'入學要求'!S264</f>
        <v>0</v>
      </c>
      <c r="N27" s="132" t="s">
        <v>1530</v>
      </c>
      <c r="O27" s="163">
        <v>3.0</v>
      </c>
      <c r="P27" s="163">
        <v>3.0</v>
      </c>
      <c r="Q27" s="163">
        <v>2.0</v>
      </c>
      <c r="R27" s="163">
        <v>2.0</v>
      </c>
      <c r="S27" s="163">
        <v>3.0</v>
      </c>
      <c r="T27" s="163">
        <v>3.0</v>
      </c>
      <c r="U27" s="292">
        <f>'入學要求'!L264</f>
        <v>0</v>
      </c>
      <c r="V27" s="292">
        <f>'入學要求'!M264</f>
        <v>0</v>
      </c>
      <c r="W27" s="292">
        <f>'入學要求'!N264</f>
        <v>0</v>
      </c>
      <c r="X27" s="292">
        <f>'入學要求'!O264</f>
        <v>0</v>
      </c>
      <c r="Y27" s="292">
        <f>'入學要求'!P264</f>
        <v>0</v>
      </c>
      <c r="Z27" s="292">
        <f>'入學要求'!Q264</f>
        <v>0</v>
      </c>
      <c r="AA27" s="205"/>
      <c r="AB27" s="132" t="str">
        <f>IF($AA$2="2018年",'Offer Statistics'!CW27,IF($AA$2="2019年",'Offer Statistics'!CW71,IF($AA$2="2020年",'Offer Statistics'!CW115)))</f>
        <v>/</v>
      </c>
      <c r="AC27" s="206" t="str">
        <f>IF($AA$2="2018年",'Offer Statistics'!CR27,IF($AA$2="2019年",'Offer Statistics'!CR71,IF($AA$2="2020年",'Offer Statistics'!CR115)))</f>
        <v>/</v>
      </c>
      <c r="AD27" s="206" t="str">
        <f>IF($AA$2="2018年",'Offer Statistics'!CS27,IF($AA$2="2019年",'Offer Statistics'!CS71,IF($AA$2="2020年",'Offer Statistics'!CS115)))</f>
        <v>/</v>
      </c>
      <c r="AE27" s="206" t="str">
        <f>IF($AA$2="2018年",'Offer Statistics'!CT27,IF($AA$2="2019年",'Offer Statistics'!CT71,IF($AA$2="2020年",'Offer Statistics'!CT115)))</f>
        <v>/</v>
      </c>
      <c r="AF27" s="206" t="str">
        <f>IF($AA$2="2018年",'Offer Statistics'!CU27,IF($AA$2="2019年",'Offer Statistics'!CU71,IF($AA$2="2020年",'Offer Statistics'!CU115)))</f>
        <v>/</v>
      </c>
      <c r="AG27" s="206" t="str">
        <f>IF($AA$2="2018年",'Offer Statistics'!CV27,IF($AA$2="2019年",'Offer Statistics'!CV71,IF($AA$2="2020年",'Offer Statistics'!CV115)))</f>
        <v>/</v>
      </c>
      <c r="AH27" s="205"/>
      <c r="AI27" s="132" t="str">
        <f>IF($AA$2="2018年",'Offer Statistics'!CO27,IF($AA$2="2019年",'Offer Statistics'!CO71,IF($AA$2="2020年",'Offer Statistics'!CO115)))</f>
        <v>/</v>
      </c>
      <c r="AJ27" s="206" t="str">
        <f>IF($AA$2="2018年",'Offer Statistics'!CJ27,IF($AA$2="2019年",'Offer Statistics'!CJ71,IF($AA$2="2020年",'Offer Statistics'!CJ115)))</f>
        <v>/</v>
      </c>
      <c r="AK27" s="206" t="str">
        <f>IF($AA$2="2018年",'Offer Statistics'!CK27,IF($AA$2="2019年",'Offer Statistics'!CK71,IF($AA$2="2020年",'Offer Statistics'!CK115)))</f>
        <v>/</v>
      </c>
      <c r="AL27" s="206" t="str">
        <f>IF($AA$2="2018年",'Offer Statistics'!CL27,IF($AA$2="2019年",'Offer Statistics'!CL71,IF($AA$2="2020年",'Offer Statistics'!CL115)))</f>
        <v>/</v>
      </c>
      <c r="AM27" s="206" t="str">
        <f>IF($AA$2="2018年",'Offer Statistics'!CM27,IF($AA$2="2019年",'Offer Statistics'!CM71,IF($AA$2="2020年",'Offer Statistics'!CM115)))</f>
        <v>/</v>
      </c>
      <c r="AN27" s="206" t="str">
        <f>IF($AA$2="2018年",'Offer Statistics'!CN27,IF($AA$2="2019年",'Offer Statistics'!CN71,IF($AA$2="2020年",'Offer Statistics'!CN115)))</f>
        <v>/</v>
      </c>
      <c r="AO27" s="142"/>
      <c r="AP27" s="131" t="str">
        <f t="shared" si="3"/>
        <v>JS6418</v>
      </c>
    </row>
    <row r="28" ht="18.0" customHeight="1">
      <c r="A28" s="315" t="s">
        <v>1015</v>
      </c>
      <c r="B28" s="315" t="s">
        <v>1016</v>
      </c>
      <c r="C28" s="315" t="s">
        <v>1017</v>
      </c>
      <c r="D28" s="315" t="s">
        <v>1531</v>
      </c>
      <c r="E28" s="316" t="s">
        <v>24</v>
      </c>
      <c r="F28" s="317">
        <v>48.0</v>
      </c>
      <c r="G28" s="317">
        <v>45.0</v>
      </c>
      <c r="H28" s="317">
        <v>44.0</v>
      </c>
      <c r="I28" s="318">
        <f>'計分版'!D282</f>
        <v>0.000000003766666667</v>
      </c>
      <c r="J28" s="319">
        <f t="shared" ref="J28:J32" si="4">IF(J$1="差距(Median)",I28-G28,IF(J$1="差距(UQ)",I28-F28,IF(J$1="差距(LQ)",I28-H28)))</f>
        <v>-44</v>
      </c>
      <c r="K28" s="320">
        <f t="shared" ref="K28:K32" si="5">IF(J$1="差距(Median)",(I28-G28)/I28,IF(J$1="差距(UQ)",(I28-F28)/I28,IF(J$1="差距(LQ)",(I28-H28)/I28)))</f>
        <v>-11681415928</v>
      </c>
      <c r="L28" s="321">
        <v>265.0</v>
      </c>
      <c r="M28" s="326">
        <f>'入學要求'!S265</f>
        <v>0</v>
      </c>
      <c r="N28" s="316" t="s">
        <v>1188</v>
      </c>
      <c r="O28" s="316">
        <v>3.0</v>
      </c>
      <c r="P28" s="316">
        <v>4.0</v>
      </c>
      <c r="Q28" s="316">
        <v>2.0</v>
      </c>
      <c r="R28" s="316">
        <v>2.0</v>
      </c>
      <c r="S28" s="316">
        <v>3.0</v>
      </c>
      <c r="T28" s="316">
        <v>3.0</v>
      </c>
      <c r="U28" s="323">
        <f>'入學要求'!L265</f>
        <v>0</v>
      </c>
      <c r="V28" s="323">
        <f>'入學要求'!M265</f>
        <v>0</v>
      </c>
      <c r="W28" s="323">
        <f>'入學要求'!N265</f>
        <v>0</v>
      </c>
      <c r="X28" s="323">
        <f>'入學要求'!O265</f>
        <v>0</v>
      </c>
      <c r="Y28" s="323">
        <f>'入學要求'!P265</f>
        <v>0</v>
      </c>
      <c r="Z28" s="323">
        <f>'入學要求'!Q265</f>
        <v>0</v>
      </c>
      <c r="AA28" s="205"/>
      <c r="AB28" s="321">
        <f>IF($AA$2="2018年",'Offer Statistics'!CW28,IF($AA$2="2019年",'Offer Statistics'!CW72,IF($AA$2="2020年",'Offer Statistics'!CW116)))</f>
        <v>150</v>
      </c>
      <c r="AC28" s="324">
        <f>IF($AA$2="2018年",'Offer Statistics'!CR28,IF($AA$2="2019年",'Offer Statistics'!CR72,IF($AA$2="2020年",'Offer Statistics'!CR116)))</f>
        <v>150</v>
      </c>
      <c r="AD28" s="324">
        <f>IF($AA$2="2018年",'Offer Statistics'!CS28,IF($AA$2="2019年",'Offer Statistics'!CS72,IF($AA$2="2020年",'Offer Statistics'!CS116)))</f>
        <v>0</v>
      </c>
      <c r="AE28" s="324">
        <f>IF($AA$2="2018年",'Offer Statistics'!CT28,IF($AA$2="2019年",'Offer Statistics'!CT72,IF($AA$2="2020年",'Offer Statistics'!CT116)))</f>
        <v>0</v>
      </c>
      <c r="AF28" s="324">
        <f>IF($AA$2="2018年",'Offer Statistics'!CU28,IF($AA$2="2019年",'Offer Statistics'!CU72,IF($AA$2="2020年",'Offer Statistics'!CU116)))</f>
        <v>0</v>
      </c>
      <c r="AG28" s="324">
        <f>IF($AA$2="2018年",'Offer Statistics'!CV28,IF($AA$2="2019年",'Offer Statistics'!CV72,IF($AA$2="2020年",'Offer Statistics'!CV116)))</f>
        <v>0</v>
      </c>
      <c r="AH28" s="205"/>
      <c r="AI28" s="321">
        <f>IF($AA$2="2018年",'Offer Statistics'!CO28,IF($AA$2="2019年",'Offer Statistics'!CO72,IF($AA$2="2020年",'Offer Statistics'!CO116)))</f>
        <v>1128</v>
      </c>
      <c r="AJ28" s="324">
        <f>IF($AA$2="2018年",'Offer Statistics'!CJ28,IF($AA$2="2019年",'Offer Statistics'!CJ72,IF($AA$2="2020年",'Offer Statistics'!CJ116)))</f>
        <v>476</v>
      </c>
      <c r="AK28" s="324">
        <f>IF($AA$2="2018年",'Offer Statistics'!CK28,IF($AA$2="2019年",'Offer Statistics'!CK72,IF($AA$2="2020年",'Offer Statistics'!CK116)))</f>
        <v>63</v>
      </c>
      <c r="AL28" s="324">
        <f>IF($AA$2="2018年",'Offer Statistics'!CL28,IF($AA$2="2019年",'Offer Statistics'!CL72,IF($AA$2="2020年",'Offer Statistics'!CL116)))</f>
        <v>120</v>
      </c>
      <c r="AM28" s="324">
        <f>IF($AA$2="2018年",'Offer Statistics'!CM28,IF($AA$2="2019年",'Offer Statistics'!CM72,IF($AA$2="2020年",'Offer Statistics'!CM116)))</f>
        <v>150</v>
      </c>
      <c r="AN28" s="324">
        <f>IF($AA$2="2018年",'Offer Statistics'!CN28,IF($AA$2="2019年",'Offer Statistics'!CN72,IF($AA$2="2020年",'Offer Statistics'!CN116)))</f>
        <v>319</v>
      </c>
      <c r="AO28" s="315"/>
      <c r="AP28" s="316" t="str">
        <f t="shared" si="3"/>
        <v>JS6456</v>
      </c>
    </row>
    <row r="29" ht="18.0" customHeight="1">
      <c r="A29" s="142" t="s">
        <v>1019</v>
      </c>
      <c r="B29" s="142" t="s">
        <v>1016</v>
      </c>
      <c r="C29" s="142" t="s">
        <v>1020</v>
      </c>
      <c r="D29" s="142" t="s">
        <v>1532</v>
      </c>
      <c r="E29" s="131" t="s">
        <v>21</v>
      </c>
      <c r="F29" s="212">
        <v>26.0</v>
      </c>
      <c r="G29" s="199">
        <v>25.0</v>
      </c>
      <c r="H29" s="199">
        <v>25.0</v>
      </c>
      <c r="I29" s="200">
        <f>'計分版'!D283</f>
        <v>0.0000000034</v>
      </c>
      <c r="J29" s="201">
        <f t="shared" si="4"/>
        <v>-25</v>
      </c>
      <c r="K29" s="202">
        <f t="shared" si="5"/>
        <v>-7352941175</v>
      </c>
      <c r="L29" s="132">
        <v>195.0</v>
      </c>
      <c r="M29" s="325">
        <f>'入學要求'!S266</f>
        <v>0</v>
      </c>
      <c r="N29" s="131" t="s">
        <v>1188</v>
      </c>
      <c r="O29" s="163">
        <v>3.0</v>
      </c>
      <c r="P29" s="163">
        <v>3.0</v>
      </c>
      <c r="Q29" s="163">
        <v>2.0</v>
      </c>
      <c r="R29" s="163">
        <v>2.0</v>
      </c>
      <c r="S29" s="163">
        <v>3.0</v>
      </c>
      <c r="T29" s="163">
        <v>3.0</v>
      </c>
      <c r="U29" s="292">
        <f>'入學要求'!L266</f>
        <v>0</v>
      </c>
      <c r="V29" s="292">
        <f>'入學要求'!M266</f>
        <v>0</v>
      </c>
      <c r="W29" s="292">
        <f>'入學要求'!N266</f>
        <v>0</v>
      </c>
      <c r="X29" s="292">
        <f>'入學要求'!O266</f>
        <v>0</v>
      </c>
      <c r="Y29" s="292">
        <f>'入學要求'!P266</f>
        <v>0</v>
      </c>
      <c r="Z29" s="292">
        <f>'入學要求'!Q266</f>
        <v>0</v>
      </c>
      <c r="AA29" s="205"/>
      <c r="AB29" s="132">
        <f>IF($AA$2="2018年",'Offer Statistics'!CW29,IF($AA$2="2019年",'Offer Statistics'!CW73,IF($AA$2="2020年",'Offer Statistics'!CW117)))</f>
        <v>190</v>
      </c>
      <c r="AC29" s="206">
        <f>IF($AA$2="2018年",'Offer Statistics'!CR29,IF($AA$2="2019年",'Offer Statistics'!CR73,IF($AA$2="2020年",'Offer Statistics'!CR117)))</f>
        <v>190</v>
      </c>
      <c r="AD29" s="206">
        <f>IF($AA$2="2018年",'Offer Statistics'!CS29,IF($AA$2="2019年",'Offer Statistics'!CS73,IF($AA$2="2020年",'Offer Statistics'!CS117)))</f>
        <v>0</v>
      </c>
      <c r="AE29" s="206">
        <f>IF($AA$2="2018年",'Offer Statistics'!CT29,IF($AA$2="2019年",'Offer Statistics'!CT73,IF($AA$2="2020年",'Offer Statistics'!CT117)))</f>
        <v>0</v>
      </c>
      <c r="AF29" s="206">
        <f>IF($AA$2="2018年",'Offer Statistics'!CU29,IF($AA$2="2019年",'Offer Statistics'!CU73,IF($AA$2="2020年",'Offer Statistics'!CU117)))</f>
        <v>0</v>
      </c>
      <c r="AG29" s="206">
        <f>IF($AA$2="2018年",'Offer Statistics'!CV29,IF($AA$2="2019年",'Offer Statistics'!CV73,IF($AA$2="2020年",'Offer Statistics'!CV117)))</f>
        <v>0</v>
      </c>
      <c r="AH29" s="205"/>
      <c r="AI29" s="132">
        <f>IF($AA$2="2018年",'Offer Statistics'!CO29,IF($AA$2="2019年",'Offer Statistics'!CO73,IF($AA$2="2020年",'Offer Statistics'!CO117)))</f>
        <v>4803</v>
      </c>
      <c r="AJ29" s="206">
        <f>IF($AA$2="2018年",'Offer Statistics'!CJ29,IF($AA$2="2019年",'Offer Statistics'!CJ73,IF($AA$2="2020年",'Offer Statistics'!CJ117)))</f>
        <v>1139</v>
      </c>
      <c r="AK29" s="206">
        <f>IF($AA$2="2018年",'Offer Statistics'!CK29,IF($AA$2="2019年",'Offer Statistics'!CK73,IF($AA$2="2020年",'Offer Statistics'!CK117)))</f>
        <v>849</v>
      </c>
      <c r="AL29" s="206">
        <f>IF($AA$2="2018年",'Offer Statistics'!CL29,IF($AA$2="2019年",'Offer Statistics'!CL73,IF($AA$2="2020年",'Offer Statistics'!CL117)))</f>
        <v>998</v>
      </c>
      <c r="AM29" s="206">
        <f>IF($AA$2="2018年",'Offer Statistics'!CM29,IF($AA$2="2019年",'Offer Statistics'!CM73,IF($AA$2="2020年",'Offer Statistics'!CM117)))</f>
        <v>966</v>
      </c>
      <c r="AN29" s="206">
        <f>IF($AA$2="2018年",'Offer Statistics'!CN29,IF($AA$2="2019年",'Offer Statistics'!CN73,IF($AA$2="2020年",'Offer Statistics'!CN117)))</f>
        <v>851</v>
      </c>
      <c r="AO29" s="142"/>
      <c r="AP29" s="131" t="str">
        <f t="shared" si="3"/>
        <v>JS6468</v>
      </c>
    </row>
    <row r="30" ht="18.0" customHeight="1">
      <c r="A30" s="315" t="s">
        <v>1021</v>
      </c>
      <c r="B30" s="315" t="s">
        <v>1016</v>
      </c>
      <c r="C30" s="315" t="s">
        <v>1022</v>
      </c>
      <c r="D30" s="315" t="s">
        <v>1533</v>
      </c>
      <c r="E30" s="316" t="s">
        <v>21</v>
      </c>
      <c r="F30" s="317">
        <v>29.0</v>
      </c>
      <c r="G30" s="317">
        <v>28.0</v>
      </c>
      <c r="H30" s="317">
        <v>28.0</v>
      </c>
      <c r="I30" s="318">
        <f>'計分版'!D284</f>
        <v>0.0000000034</v>
      </c>
      <c r="J30" s="319">
        <f t="shared" si="4"/>
        <v>-28</v>
      </c>
      <c r="K30" s="320">
        <f t="shared" si="5"/>
        <v>-8235294117</v>
      </c>
      <c r="L30" s="321">
        <v>24.0</v>
      </c>
      <c r="M30" s="326">
        <f>'入學要求'!S267</f>
        <v>0</v>
      </c>
      <c r="N30" s="316" t="s">
        <v>1188</v>
      </c>
      <c r="O30" s="316">
        <v>3.0</v>
      </c>
      <c r="P30" s="316">
        <v>3.0</v>
      </c>
      <c r="Q30" s="316">
        <v>2.0</v>
      </c>
      <c r="R30" s="316">
        <v>2.0</v>
      </c>
      <c r="S30" s="316">
        <v>3.0</v>
      </c>
      <c r="T30" s="316">
        <v>3.0</v>
      </c>
      <c r="U30" s="323">
        <f>'入學要求'!L267</f>
        <v>0</v>
      </c>
      <c r="V30" s="323">
        <f>'入學要求'!M267</f>
        <v>0</v>
      </c>
      <c r="W30" s="323">
        <f>'入學要求'!N267</f>
        <v>0</v>
      </c>
      <c r="X30" s="323">
        <f>'入學要求'!O267</f>
        <v>0</v>
      </c>
      <c r="Y30" s="323">
        <f>'入學要求'!P267</f>
        <v>0</v>
      </c>
      <c r="Z30" s="323">
        <f>'入學要求'!Q267</f>
        <v>0</v>
      </c>
      <c r="AA30" s="205"/>
      <c r="AB30" s="321">
        <f>IF($AA$2="2018年",'Offer Statistics'!CW30,IF($AA$2="2019年",'Offer Statistics'!CW74,IF($AA$2="2020年",'Offer Statistics'!CW118)))</f>
        <v>19</v>
      </c>
      <c r="AC30" s="324">
        <f>IF($AA$2="2018年",'Offer Statistics'!CR30,IF($AA$2="2019年",'Offer Statistics'!CR74,IF($AA$2="2020年",'Offer Statistics'!CR118)))</f>
        <v>17</v>
      </c>
      <c r="AD30" s="324">
        <f>IF($AA$2="2018年",'Offer Statistics'!CS30,IF($AA$2="2019年",'Offer Statistics'!CS74,IF($AA$2="2020年",'Offer Statistics'!CS118)))</f>
        <v>2</v>
      </c>
      <c r="AE30" s="324">
        <f>IF($AA$2="2018年",'Offer Statistics'!CT30,IF($AA$2="2019年",'Offer Statistics'!CT74,IF($AA$2="2020年",'Offer Statistics'!CT118)))</f>
        <v>0</v>
      </c>
      <c r="AF30" s="324">
        <f>IF($AA$2="2018年",'Offer Statistics'!CU30,IF($AA$2="2019年",'Offer Statistics'!CU74,IF($AA$2="2020年",'Offer Statistics'!CU118)))</f>
        <v>0</v>
      </c>
      <c r="AG30" s="324">
        <f>IF($AA$2="2018年",'Offer Statistics'!CV30,IF($AA$2="2019年",'Offer Statistics'!CV74,IF($AA$2="2020年",'Offer Statistics'!CV118)))</f>
        <v>0</v>
      </c>
      <c r="AH30" s="205"/>
      <c r="AI30" s="321">
        <f>IF($AA$2="2018年",'Offer Statistics'!CO30,IF($AA$2="2019年",'Offer Statistics'!CO74,IF($AA$2="2020年",'Offer Statistics'!CO118)))</f>
        <v>1150</v>
      </c>
      <c r="AJ30" s="324">
        <f>IF($AA$2="2018年",'Offer Statistics'!CJ30,IF($AA$2="2019年",'Offer Statistics'!CJ74,IF($AA$2="2020年",'Offer Statistics'!CJ118)))</f>
        <v>89</v>
      </c>
      <c r="AK30" s="324">
        <f>IF($AA$2="2018年",'Offer Statistics'!CK30,IF($AA$2="2019年",'Offer Statistics'!CK74,IF($AA$2="2020年",'Offer Statistics'!CK118)))</f>
        <v>115</v>
      </c>
      <c r="AL30" s="324">
        <f>IF($AA$2="2018年",'Offer Statistics'!CL30,IF($AA$2="2019年",'Offer Statistics'!CL74,IF($AA$2="2020年",'Offer Statistics'!CL118)))</f>
        <v>245</v>
      </c>
      <c r="AM30" s="324">
        <f>IF($AA$2="2018年",'Offer Statistics'!CM30,IF($AA$2="2019年",'Offer Statistics'!CM74,IF($AA$2="2020年",'Offer Statistics'!CM118)))</f>
        <v>361</v>
      </c>
      <c r="AN30" s="324">
        <f>IF($AA$2="2018年",'Offer Statistics'!CN30,IF($AA$2="2019年",'Offer Statistics'!CN74,IF($AA$2="2020年",'Offer Statistics'!CN118)))</f>
        <v>340</v>
      </c>
      <c r="AO30" s="315"/>
      <c r="AP30" s="316" t="str">
        <f t="shared" si="3"/>
        <v>JS6482</v>
      </c>
    </row>
    <row r="31" ht="18.0" customHeight="1">
      <c r="A31" s="142" t="s">
        <v>1023</v>
      </c>
      <c r="B31" s="142" t="s">
        <v>1016</v>
      </c>
      <c r="C31" s="142" t="s">
        <v>1024</v>
      </c>
      <c r="D31" s="142" t="s">
        <v>1534</v>
      </c>
      <c r="E31" s="131" t="s">
        <v>24</v>
      </c>
      <c r="F31" s="199">
        <v>39.0</v>
      </c>
      <c r="G31" s="199">
        <v>38.0</v>
      </c>
      <c r="H31" s="199">
        <v>36.0</v>
      </c>
      <c r="I31" s="200">
        <f>'計分版'!D285</f>
        <v>0.000000003766666667</v>
      </c>
      <c r="J31" s="201">
        <f t="shared" si="4"/>
        <v>-36</v>
      </c>
      <c r="K31" s="202">
        <f t="shared" si="5"/>
        <v>-9557522123</v>
      </c>
      <c r="L31" s="132">
        <v>30.0</v>
      </c>
      <c r="M31" s="325">
        <f>'入學要求'!S268</f>
        <v>0</v>
      </c>
      <c r="N31" s="131" t="s">
        <v>1188</v>
      </c>
      <c r="O31" s="163">
        <v>3.0</v>
      </c>
      <c r="P31" s="163">
        <v>4.0</v>
      </c>
      <c r="Q31" s="163">
        <v>2.0</v>
      </c>
      <c r="R31" s="163">
        <v>2.0</v>
      </c>
      <c r="S31" s="163">
        <v>3.0</v>
      </c>
      <c r="T31" s="163">
        <v>3.0</v>
      </c>
      <c r="U31" s="292">
        <f>'入學要求'!L268</f>
        <v>0</v>
      </c>
      <c r="V31" s="292">
        <f>'入學要求'!M268</f>
        <v>0</v>
      </c>
      <c r="W31" s="292">
        <f>'入學要求'!N268</f>
        <v>0</v>
      </c>
      <c r="X31" s="292">
        <f>'入學要求'!O268</f>
        <v>0</v>
      </c>
      <c r="Y31" s="292">
        <f>'入學要求'!P268</f>
        <v>0</v>
      </c>
      <c r="Z31" s="292">
        <f>'入學要求'!Q268</f>
        <v>0</v>
      </c>
      <c r="AA31" s="205"/>
      <c r="AB31" s="132">
        <f>IF($AA$2="2018年",'Offer Statistics'!CW31,IF($AA$2="2019年",'Offer Statistics'!CW75,IF($AA$2="2020年",'Offer Statistics'!CW119)))</f>
        <v>32</v>
      </c>
      <c r="AC31" s="206">
        <f>IF($AA$2="2018年",'Offer Statistics'!CR31,IF($AA$2="2019年",'Offer Statistics'!CR75,IF($AA$2="2020年",'Offer Statistics'!CR119)))</f>
        <v>32</v>
      </c>
      <c r="AD31" s="206">
        <f>IF($AA$2="2018年",'Offer Statistics'!CS31,IF($AA$2="2019年",'Offer Statistics'!CS75,IF($AA$2="2020年",'Offer Statistics'!CS119)))</f>
        <v>0</v>
      </c>
      <c r="AE31" s="206">
        <f>IF($AA$2="2018年",'Offer Statistics'!CT31,IF($AA$2="2019年",'Offer Statistics'!CT75,IF($AA$2="2020年",'Offer Statistics'!CT119)))</f>
        <v>0</v>
      </c>
      <c r="AF31" s="206">
        <f>IF($AA$2="2018年",'Offer Statistics'!CU31,IF($AA$2="2019年",'Offer Statistics'!CU75,IF($AA$2="2020年",'Offer Statistics'!CU119)))</f>
        <v>0</v>
      </c>
      <c r="AG31" s="206">
        <f>IF($AA$2="2018年",'Offer Statistics'!CV31,IF($AA$2="2019年",'Offer Statistics'!CV75,IF($AA$2="2020年",'Offer Statistics'!CV119)))</f>
        <v>0</v>
      </c>
      <c r="AH31" s="205"/>
      <c r="AI31" s="132">
        <f>IF($AA$2="2018年",'Offer Statistics'!CO31,IF($AA$2="2019年",'Offer Statistics'!CO75,IF($AA$2="2020年",'Offer Statistics'!CO119)))</f>
        <v>1239</v>
      </c>
      <c r="AJ31" s="206">
        <f>IF($AA$2="2018年",'Offer Statistics'!CJ31,IF($AA$2="2019年",'Offer Statistics'!CJ75,IF($AA$2="2020年",'Offer Statistics'!CJ119)))</f>
        <v>147</v>
      </c>
      <c r="AK31" s="206">
        <f>IF($AA$2="2018年",'Offer Statistics'!CK31,IF($AA$2="2019年",'Offer Statistics'!CK75,IF($AA$2="2020年",'Offer Statistics'!CK119)))</f>
        <v>147</v>
      </c>
      <c r="AL31" s="206">
        <f>IF($AA$2="2018年",'Offer Statistics'!CL31,IF($AA$2="2019年",'Offer Statistics'!CL75,IF($AA$2="2020年",'Offer Statistics'!CL119)))</f>
        <v>243</v>
      </c>
      <c r="AM31" s="206">
        <f>IF($AA$2="2018年",'Offer Statistics'!CM31,IF($AA$2="2019年",'Offer Statistics'!CM75,IF($AA$2="2020年",'Offer Statistics'!CM119)))</f>
        <v>347</v>
      </c>
      <c r="AN31" s="206">
        <f>IF($AA$2="2018年",'Offer Statistics'!CN31,IF($AA$2="2019年",'Offer Statistics'!CN75,IF($AA$2="2020年",'Offer Statistics'!CN119)))</f>
        <v>355</v>
      </c>
      <c r="AO31" s="142"/>
      <c r="AP31" s="131" t="str">
        <f t="shared" si="3"/>
        <v>JS6494</v>
      </c>
    </row>
    <row r="32" ht="18.0" customHeight="1">
      <c r="A32" s="315" t="s">
        <v>691</v>
      </c>
      <c r="B32" s="315" t="s">
        <v>1016</v>
      </c>
      <c r="C32" s="315" t="s">
        <v>1025</v>
      </c>
      <c r="D32" s="315" t="s">
        <v>1535</v>
      </c>
      <c r="E32" s="316" t="s">
        <v>24</v>
      </c>
      <c r="F32" s="317">
        <v>41.0</v>
      </c>
      <c r="G32" s="317">
        <v>39.0</v>
      </c>
      <c r="H32" s="317">
        <v>39.0</v>
      </c>
      <c r="I32" s="318">
        <f>'計分版'!D286</f>
        <v>0.000000003766666667</v>
      </c>
      <c r="J32" s="319">
        <f t="shared" si="4"/>
        <v>-39</v>
      </c>
      <c r="K32" s="320">
        <f t="shared" si="5"/>
        <v>-10353982300</v>
      </c>
      <c r="L32" s="321">
        <v>35.0</v>
      </c>
      <c r="M32" s="326">
        <f>'入學要求'!S269</f>
        <v>0</v>
      </c>
      <c r="N32" s="316" t="s">
        <v>1188</v>
      </c>
      <c r="O32" s="316">
        <v>3.0</v>
      </c>
      <c r="P32" s="316">
        <v>4.0</v>
      </c>
      <c r="Q32" s="316">
        <v>2.0</v>
      </c>
      <c r="R32" s="316">
        <v>2.0</v>
      </c>
      <c r="S32" s="316">
        <v>3.0</v>
      </c>
      <c r="T32" s="316">
        <v>3.0</v>
      </c>
      <c r="U32" s="323">
        <f>'入學要求'!L269</f>
        <v>0</v>
      </c>
      <c r="V32" s="323">
        <f>'入學要求'!M269</f>
        <v>0</v>
      </c>
      <c r="W32" s="323">
        <f>'入學要求'!N269</f>
        <v>0</v>
      </c>
      <c r="X32" s="323">
        <f>'入學要求'!O269</f>
        <v>0</v>
      </c>
      <c r="Y32" s="323">
        <f>'入學要求'!P269</f>
        <v>0</v>
      </c>
      <c r="Z32" s="323">
        <f>'入學要求'!Q269</f>
        <v>0</v>
      </c>
      <c r="AA32" s="205"/>
      <c r="AB32" s="321">
        <f>IF($AA$2="2018年",'Offer Statistics'!CW32,IF($AA$2="2019年",'Offer Statistics'!CW76,IF($AA$2="2020年",'Offer Statistics'!CW120)))</f>
        <v>28</v>
      </c>
      <c r="AC32" s="324">
        <f>IF($AA$2="2018年",'Offer Statistics'!CR32,IF($AA$2="2019年",'Offer Statistics'!CR76,IF($AA$2="2020年",'Offer Statistics'!CR120)))</f>
        <v>28</v>
      </c>
      <c r="AD32" s="324">
        <f>IF($AA$2="2018年",'Offer Statistics'!CS32,IF($AA$2="2019年",'Offer Statistics'!CS76,IF($AA$2="2020年",'Offer Statistics'!CS120)))</f>
        <v>0</v>
      </c>
      <c r="AE32" s="324">
        <f>IF($AA$2="2018年",'Offer Statistics'!CT32,IF($AA$2="2019年",'Offer Statistics'!CT76,IF($AA$2="2020年",'Offer Statistics'!CT120)))</f>
        <v>0</v>
      </c>
      <c r="AF32" s="324">
        <f>IF($AA$2="2018年",'Offer Statistics'!CU32,IF($AA$2="2019年",'Offer Statistics'!CU76,IF($AA$2="2020年",'Offer Statistics'!CU120)))</f>
        <v>0</v>
      </c>
      <c r="AG32" s="324">
        <f>IF($AA$2="2018年",'Offer Statistics'!CV32,IF($AA$2="2019年",'Offer Statistics'!CV76,IF($AA$2="2020年",'Offer Statistics'!CV120)))</f>
        <v>0</v>
      </c>
      <c r="AH32" s="205"/>
      <c r="AI32" s="321">
        <f>IF($AA$2="2018年",'Offer Statistics'!CO32,IF($AA$2="2019年",'Offer Statistics'!CO76,IF($AA$2="2020年",'Offer Statistics'!CO120)))</f>
        <v>1460</v>
      </c>
      <c r="AJ32" s="324">
        <f>IF($AA$2="2018年",'Offer Statistics'!CJ32,IF($AA$2="2019年",'Offer Statistics'!CJ76,IF($AA$2="2020年",'Offer Statistics'!CJ120)))</f>
        <v>160</v>
      </c>
      <c r="AK32" s="324">
        <f>IF($AA$2="2018年",'Offer Statistics'!CK32,IF($AA$2="2019年",'Offer Statistics'!CK76,IF($AA$2="2020年",'Offer Statistics'!CK120)))</f>
        <v>183</v>
      </c>
      <c r="AL32" s="324">
        <f>IF($AA$2="2018年",'Offer Statistics'!CL32,IF($AA$2="2019年",'Offer Statistics'!CL76,IF($AA$2="2020年",'Offer Statistics'!CL120)))</f>
        <v>325</v>
      </c>
      <c r="AM32" s="324">
        <f>IF($AA$2="2018年",'Offer Statistics'!CM32,IF($AA$2="2019年",'Offer Statistics'!CM76,IF($AA$2="2020年",'Offer Statistics'!CM120)))</f>
        <v>396</v>
      </c>
      <c r="AN32" s="324">
        <f>IF($AA$2="2018年",'Offer Statistics'!CN32,IF($AA$2="2019年",'Offer Statistics'!CN76,IF($AA$2="2020年",'Offer Statistics'!CN120)))</f>
        <v>396</v>
      </c>
      <c r="AO32" s="315"/>
      <c r="AP32" s="316" t="str">
        <f t="shared" si="3"/>
        <v>JS6949</v>
      </c>
    </row>
    <row r="33" ht="18.0" customHeight="1">
      <c r="A33" s="142" t="s">
        <v>680</v>
      </c>
      <c r="B33" s="142" t="s">
        <v>1026</v>
      </c>
      <c r="C33" s="142" t="s">
        <v>1027</v>
      </c>
      <c r="D33" s="142" t="s">
        <v>1536</v>
      </c>
      <c r="E33" s="328" t="s">
        <v>24</v>
      </c>
      <c r="F33" s="199" t="s">
        <v>541</v>
      </c>
      <c r="G33" s="199" t="s">
        <v>541</v>
      </c>
      <c r="H33" s="199" t="s">
        <v>541</v>
      </c>
      <c r="I33" s="200">
        <f>'計分版'!D287</f>
        <v>0.000000003125</v>
      </c>
      <c r="J33" s="215" t="s">
        <v>541</v>
      </c>
      <c r="K33" s="237" t="s">
        <v>541</v>
      </c>
      <c r="L33" s="132">
        <v>20.0</v>
      </c>
      <c r="M33" s="325">
        <f>'入學要求'!S270</f>
        <v>0</v>
      </c>
      <c r="N33" s="131" t="s">
        <v>1188</v>
      </c>
      <c r="O33" s="163">
        <v>3.0</v>
      </c>
      <c r="P33" s="163">
        <v>5.0</v>
      </c>
      <c r="Q33" s="163">
        <v>4.0</v>
      </c>
      <c r="R33" s="163">
        <v>2.0</v>
      </c>
      <c r="S33" s="163">
        <v>3.0</v>
      </c>
      <c r="T33" s="163">
        <v>3.0</v>
      </c>
      <c r="U33" s="292">
        <f>'入學要求'!L270</f>
        <v>0</v>
      </c>
      <c r="V33" s="292">
        <f>'入學要求'!M270</f>
        <v>0</v>
      </c>
      <c r="W33" s="292">
        <f>'入學要求'!N270</f>
        <v>0</v>
      </c>
      <c r="X33" s="292">
        <f>'入學要求'!O270</f>
        <v>0</v>
      </c>
      <c r="Y33" s="292">
        <f>'入學要求'!P270</f>
        <v>0</v>
      </c>
      <c r="Z33" s="292">
        <f>'入學要求'!Q270</f>
        <v>0</v>
      </c>
      <c r="AA33" s="205"/>
      <c r="AB33" s="132" t="str">
        <f>IF($AA$2="2018年",'Offer Statistics'!CW33,IF($AA$2="2019年",'Offer Statistics'!CW77,IF($AA$2="2020年",'Offer Statistics'!CW121)))</f>
        <v>/</v>
      </c>
      <c r="AC33" s="206" t="str">
        <f>IF($AA$2="2018年",'Offer Statistics'!CR33,IF($AA$2="2019年",'Offer Statistics'!CR77,IF($AA$2="2020年",'Offer Statistics'!CR121)))</f>
        <v>/</v>
      </c>
      <c r="AD33" s="206" t="str">
        <f>IF($AA$2="2018年",'Offer Statistics'!CS33,IF($AA$2="2019年",'Offer Statistics'!CS77,IF($AA$2="2020年",'Offer Statistics'!CS121)))</f>
        <v>/</v>
      </c>
      <c r="AE33" s="206" t="str">
        <f>IF($AA$2="2018年",'Offer Statistics'!CT33,IF($AA$2="2019年",'Offer Statistics'!CT77,IF($AA$2="2020年",'Offer Statistics'!CT121)))</f>
        <v>/</v>
      </c>
      <c r="AF33" s="206" t="str">
        <f>IF($AA$2="2018年",'Offer Statistics'!CU33,IF($AA$2="2019年",'Offer Statistics'!CU77,IF($AA$2="2020年",'Offer Statistics'!CU121)))</f>
        <v>/</v>
      </c>
      <c r="AG33" s="206" t="str">
        <f>IF($AA$2="2018年",'Offer Statistics'!CV33,IF($AA$2="2019年",'Offer Statistics'!CV77,IF($AA$2="2020年",'Offer Statistics'!CV121)))</f>
        <v>/</v>
      </c>
      <c r="AH33" s="205"/>
      <c r="AI33" s="132" t="str">
        <f>IF($AA$2="2018年",'Offer Statistics'!CO33,IF($AA$2="2019年",'Offer Statistics'!CO77,IF($AA$2="2020年",'Offer Statistics'!CO121)))</f>
        <v>/</v>
      </c>
      <c r="AJ33" s="206" t="str">
        <f>IF($AA$2="2018年",'Offer Statistics'!CJ33,IF($AA$2="2019年",'Offer Statistics'!CJ77,IF($AA$2="2020年",'Offer Statistics'!CJ121)))</f>
        <v>/</v>
      </c>
      <c r="AK33" s="206" t="str">
        <f>IF($AA$2="2018年",'Offer Statistics'!CK33,IF($AA$2="2019年",'Offer Statistics'!CK77,IF($AA$2="2020年",'Offer Statistics'!CK121)))</f>
        <v>/</v>
      </c>
      <c r="AL33" s="206" t="str">
        <f>IF($AA$2="2018年",'Offer Statistics'!CL33,IF($AA$2="2019年",'Offer Statistics'!CL77,IF($AA$2="2020年",'Offer Statistics'!CL121)))</f>
        <v>/</v>
      </c>
      <c r="AM33" s="206" t="str">
        <f>IF($AA$2="2018年",'Offer Statistics'!CM33,IF($AA$2="2019年",'Offer Statistics'!CM77,IF($AA$2="2020年",'Offer Statistics'!CM121)))</f>
        <v>/</v>
      </c>
      <c r="AN33" s="206" t="str">
        <f>IF($AA$2="2018年",'Offer Statistics'!CN33,IF($AA$2="2019年",'Offer Statistics'!CN77,IF($AA$2="2020年",'Offer Statistics'!CN121)))</f>
        <v>/</v>
      </c>
      <c r="AO33" s="142"/>
      <c r="AP33" s="131" t="str">
        <f t="shared" si="3"/>
        <v>JS6688</v>
      </c>
    </row>
    <row r="34" ht="18.0" customHeight="1">
      <c r="A34" s="315" t="s">
        <v>1028</v>
      </c>
      <c r="B34" s="315" t="s">
        <v>1026</v>
      </c>
      <c r="C34" s="315" t="s">
        <v>1029</v>
      </c>
      <c r="D34" s="315" t="s">
        <v>1537</v>
      </c>
      <c r="E34" s="321" t="s">
        <v>24</v>
      </c>
      <c r="F34" s="317">
        <v>55.0</v>
      </c>
      <c r="G34" s="317">
        <v>51.0</v>
      </c>
      <c r="H34" s="317">
        <v>48.0</v>
      </c>
      <c r="I34" s="318">
        <f>'計分版'!D288</f>
        <v>0.0000000044</v>
      </c>
      <c r="J34" s="319">
        <f t="shared" ref="J34:J41" si="6">IF(J$1="差距(Median)",I34-G34,IF(J$1="差距(UQ)",I34-F34,IF(J$1="差距(LQ)",I34-H34)))</f>
        <v>-48</v>
      </c>
      <c r="K34" s="320">
        <f t="shared" ref="K34:K41" si="7">IF(J$1="差距(Median)",(I34-G34)/I34,IF(J$1="差距(UQ)",(I34-F34)/I34,IF(J$1="差距(LQ)",(I34-H34)/I34)))</f>
        <v>-10909090908</v>
      </c>
      <c r="L34" s="321">
        <v>61.0</v>
      </c>
      <c r="M34" s="326">
        <f>'入學要求'!S271</f>
        <v>0</v>
      </c>
      <c r="N34" s="316" t="s">
        <v>1188</v>
      </c>
      <c r="O34" s="316">
        <v>3.0</v>
      </c>
      <c r="P34" s="316">
        <v>3.0</v>
      </c>
      <c r="Q34" s="316">
        <v>4.0</v>
      </c>
      <c r="R34" s="316">
        <v>2.0</v>
      </c>
      <c r="S34" s="316">
        <v>3.0</v>
      </c>
      <c r="T34" s="316">
        <v>3.0</v>
      </c>
      <c r="U34" s="323">
        <f>'入學要求'!L271</f>
        <v>0</v>
      </c>
      <c r="V34" s="323">
        <f>'入學要求'!M271</f>
        <v>0</v>
      </c>
      <c r="W34" s="323">
        <f>'入學要求'!N271</f>
        <v>0</v>
      </c>
      <c r="X34" s="323">
        <f>'入學要求'!O271</f>
        <v>0</v>
      </c>
      <c r="Y34" s="323">
        <f>'入學要求'!P271</f>
        <v>0</v>
      </c>
      <c r="Z34" s="323">
        <f>'入學要求'!Q271</f>
        <v>0</v>
      </c>
      <c r="AA34" s="205"/>
      <c r="AB34" s="321">
        <f>IF($AA$2="2018年",'Offer Statistics'!CW34,IF($AA$2="2019年",'Offer Statistics'!CW78,IF($AA$2="2020年",'Offer Statistics'!CW122)))</f>
        <v>62</v>
      </c>
      <c r="AC34" s="324">
        <f>IF($AA$2="2018年",'Offer Statistics'!CR34,IF($AA$2="2019年",'Offer Statistics'!CR78,IF($AA$2="2020年",'Offer Statistics'!CR122)))</f>
        <v>62</v>
      </c>
      <c r="AD34" s="324">
        <f>IF($AA$2="2018年",'Offer Statistics'!CS34,IF($AA$2="2019年",'Offer Statistics'!CS78,IF($AA$2="2020年",'Offer Statistics'!CS122)))</f>
        <v>0</v>
      </c>
      <c r="AE34" s="324">
        <f>IF($AA$2="2018年",'Offer Statistics'!CT34,IF($AA$2="2019年",'Offer Statistics'!CT78,IF($AA$2="2020年",'Offer Statistics'!CT122)))</f>
        <v>0</v>
      </c>
      <c r="AF34" s="324">
        <f>IF($AA$2="2018年",'Offer Statistics'!CU34,IF($AA$2="2019年",'Offer Statistics'!CU78,IF($AA$2="2020年",'Offer Statistics'!CU122)))</f>
        <v>0</v>
      </c>
      <c r="AG34" s="324">
        <f>IF($AA$2="2018年",'Offer Statistics'!CV34,IF($AA$2="2019年",'Offer Statistics'!CV78,IF($AA$2="2020年",'Offer Statistics'!CV122)))</f>
        <v>0</v>
      </c>
      <c r="AH34" s="205"/>
      <c r="AI34" s="321">
        <f>IF($AA$2="2018年",'Offer Statistics'!CO34,IF($AA$2="2019年",'Offer Statistics'!CO78,IF($AA$2="2020年",'Offer Statistics'!CO122)))</f>
        <v>681</v>
      </c>
      <c r="AJ34" s="324">
        <f>IF($AA$2="2018年",'Offer Statistics'!CJ34,IF($AA$2="2019年",'Offer Statistics'!CJ78,IF($AA$2="2020年",'Offer Statistics'!CJ122)))</f>
        <v>159</v>
      </c>
      <c r="AK34" s="324">
        <f>IF($AA$2="2018年",'Offer Statistics'!CK34,IF($AA$2="2019年",'Offer Statistics'!CK78,IF($AA$2="2020年",'Offer Statistics'!CK122)))</f>
        <v>78</v>
      </c>
      <c r="AL34" s="324">
        <f>IF($AA$2="2018年",'Offer Statistics'!CL34,IF($AA$2="2019年",'Offer Statistics'!CL78,IF($AA$2="2020年",'Offer Statistics'!CL122)))</f>
        <v>113</v>
      </c>
      <c r="AM34" s="324">
        <f>IF($AA$2="2018年",'Offer Statistics'!CM34,IF($AA$2="2019年",'Offer Statistics'!CM78,IF($AA$2="2020年",'Offer Statistics'!CM122)))</f>
        <v>185</v>
      </c>
      <c r="AN34" s="324">
        <f>IF($AA$2="2018年",'Offer Statistics'!CN34,IF($AA$2="2019年",'Offer Statistics'!CN78,IF($AA$2="2020年",'Offer Statistics'!CN122)))</f>
        <v>146</v>
      </c>
      <c r="AO34" s="315"/>
      <c r="AP34" s="316" t="str">
        <f t="shared" si="3"/>
        <v>JS6729</v>
      </c>
    </row>
    <row r="35" ht="18.0" customHeight="1">
      <c r="A35" s="142" t="s">
        <v>1031</v>
      </c>
      <c r="B35" s="142" t="s">
        <v>1026</v>
      </c>
      <c r="C35" s="142" t="s">
        <v>267</v>
      </c>
      <c r="D35" s="142" t="s">
        <v>1538</v>
      </c>
      <c r="E35" s="132" t="s">
        <v>21</v>
      </c>
      <c r="F35" s="199">
        <v>46.0</v>
      </c>
      <c r="G35" s="199">
        <v>41.0</v>
      </c>
      <c r="H35" s="199">
        <v>37.0</v>
      </c>
      <c r="I35" s="200">
        <f>'計分版'!D289</f>
        <v>0.000000003025</v>
      </c>
      <c r="J35" s="201">
        <f t="shared" si="6"/>
        <v>-37</v>
      </c>
      <c r="K35" s="202">
        <f t="shared" si="7"/>
        <v>-12231404958</v>
      </c>
      <c r="L35" s="132">
        <v>316.0</v>
      </c>
      <c r="M35" s="325">
        <f>'入學要求'!S272</f>
        <v>0</v>
      </c>
      <c r="N35" s="131" t="s">
        <v>541</v>
      </c>
      <c r="O35" s="163">
        <v>3.0</v>
      </c>
      <c r="P35" s="163">
        <v>3.0</v>
      </c>
      <c r="Q35" s="163">
        <v>2.0</v>
      </c>
      <c r="R35" s="163">
        <v>2.0</v>
      </c>
      <c r="S35" s="163">
        <v>3.0</v>
      </c>
      <c r="T35" s="163">
        <v>3.0</v>
      </c>
      <c r="U35" s="292">
        <f>'入學要求'!L272</f>
        <v>0</v>
      </c>
      <c r="V35" s="292">
        <f>'入學要求'!M272</f>
        <v>0</v>
      </c>
      <c r="W35" s="292">
        <f>'入學要求'!N272</f>
        <v>0</v>
      </c>
      <c r="X35" s="292">
        <f>'入學要求'!O272</f>
        <v>0</v>
      </c>
      <c r="Y35" s="292">
        <f>'入學要求'!P272</f>
        <v>0</v>
      </c>
      <c r="Z35" s="292">
        <f>'入學要求'!Q272</f>
        <v>0</v>
      </c>
      <c r="AA35" s="205"/>
      <c r="AB35" s="132">
        <f>IF($AA$2="2018年",'Offer Statistics'!CW35,IF($AA$2="2019年",'Offer Statistics'!CW79,IF($AA$2="2020年",'Offer Statistics'!CW123)))</f>
        <v>381</v>
      </c>
      <c r="AC35" s="206">
        <f>IF($AA$2="2018年",'Offer Statistics'!CR35,IF($AA$2="2019年",'Offer Statistics'!CR79,IF($AA$2="2020年",'Offer Statistics'!CR123)))</f>
        <v>375</v>
      </c>
      <c r="AD35" s="206">
        <f>IF($AA$2="2018年",'Offer Statistics'!CS35,IF($AA$2="2019年",'Offer Statistics'!CS79,IF($AA$2="2020年",'Offer Statistics'!CS123)))</f>
        <v>6</v>
      </c>
      <c r="AE35" s="206">
        <f>IF($AA$2="2018年",'Offer Statistics'!CT35,IF($AA$2="2019年",'Offer Statistics'!CT79,IF($AA$2="2020年",'Offer Statistics'!CT123)))</f>
        <v>0</v>
      </c>
      <c r="AF35" s="206">
        <f>IF($AA$2="2018年",'Offer Statistics'!CU35,IF($AA$2="2019年",'Offer Statistics'!CU79,IF($AA$2="2020年",'Offer Statistics'!CU123)))</f>
        <v>0</v>
      </c>
      <c r="AG35" s="206">
        <f>IF($AA$2="2018年",'Offer Statistics'!CV35,IF($AA$2="2019年",'Offer Statistics'!CV79,IF($AA$2="2020年",'Offer Statistics'!CV123)))</f>
        <v>0</v>
      </c>
      <c r="AH35" s="205"/>
      <c r="AI35" s="132">
        <f>IF($AA$2="2018年",'Offer Statistics'!CO35,IF($AA$2="2019年",'Offer Statistics'!CO79,IF($AA$2="2020年",'Offer Statistics'!CO123)))</f>
        <v>5585</v>
      </c>
      <c r="AJ35" s="206">
        <f>IF($AA$2="2018年",'Offer Statistics'!CJ35,IF($AA$2="2019年",'Offer Statistics'!CJ79,IF($AA$2="2020年",'Offer Statistics'!CJ123)))</f>
        <v>1198</v>
      </c>
      <c r="AK35" s="206">
        <f>IF($AA$2="2018年",'Offer Statistics'!CK35,IF($AA$2="2019年",'Offer Statistics'!CK79,IF($AA$2="2020年",'Offer Statistics'!CK123)))</f>
        <v>1107</v>
      </c>
      <c r="AL35" s="206">
        <f>IF($AA$2="2018年",'Offer Statistics'!CL35,IF($AA$2="2019年",'Offer Statistics'!CL79,IF($AA$2="2020年",'Offer Statistics'!CL123)))</f>
        <v>1132</v>
      </c>
      <c r="AM35" s="206">
        <f>IF($AA$2="2018年",'Offer Statistics'!CM35,IF($AA$2="2019年",'Offer Statistics'!CM79,IF($AA$2="2020年",'Offer Statistics'!CM123)))</f>
        <v>1264</v>
      </c>
      <c r="AN35" s="206">
        <f>IF($AA$2="2018年",'Offer Statistics'!CN35,IF($AA$2="2019年",'Offer Statistics'!CN79,IF($AA$2="2020年",'Offer Statistics'!CN123)))</f>
        <v>884</v>
      </c>
      <c r="AO35" s="142"/>
      <c r="AP35" s="131" t="str">
        <f t="shared" si="3"/>
        <v>JS6901</v>
      </c>
    </row>
    <row r="36" ht="18.0" customHeight="1">
      <c r="A36" s="315" t="s">
        <v>1032</v>
      </c>
      <c r="B36" s="315" t="s">
        <v>1033</v>
      </c>
      <c r="C36" s="315" t="s">
        <v>1034</v>
      </c>
      <c r="D36" s="315" t="s">
        <v>1539</v>
      </c>
      <c r="E36" s="316" t="s">
        <v>21</v>
      </c>
      <c r="F36" s="317">
        <v>29.0</v>
      </c>
      <c r="G36" s="317">
        <v>28.0</v>
      </c>
      <c r="H36" s="317">
        <v>26.0</v>
      </c>
      <c r="I36" s="318">
        <f>'計分版'!D290</f>
        <v>0.00000000395</v>
      </c>
      <c r="J36" s="319">
        <f t="shared" si="6"/>
        <v>-26</v>
      </c>
      <c r="K36" s="320">
        <f t="shared" si="7"/>
        <v>-6582278480</v>
      </c>
      <c r="L36" s="321">
        <v>179.0</v>
      </c>
      <c r="M36" s="326">
        <f>'入學要求'!S273</f>
        <v>0</v>
      </c>
      <c r="N36" s="316" t="s">
        <v>541</v>
      </c>
      <c r="O36" s="316">
        <v>3.0</v>
      </c>
      <c r="P36" s="316">
        <v>3.0</v>
      </c>
      <c r="Q36" s="316">
        <v>2.0</v>
      </c>
      <c r="R36" s="316">
        <v>2.0</v>
      </c>
      <c r="S36" s="316">
        <v>3.0</v>
      </c>
      <c r="T36" s="316">
        <v>3.0</v>
      </c>
      <c r="U36" s="323">
        <f>'入學要求'!L273</f>
        <v>0</v>
      </c>
      <c r="V36" s="323">
        <f>'入學要求'!M273</f>
        <v>0</v>
      </c>
      <c r="W36" s="323">
        <f>'入學要求'!N273</f>
        <v>0</v>
      </c>
      <c r="X36" s="323">
        <f>'入學要求'!O273</f>
        <v>0</v>
      </c>
      <c r="Y36" s="323">
        <f>'入學要求'!P273</f>
        <v>0</v>
      </c>
      <c r="Z36" s="323">
        <f>'入學要求'!Q273</f>
        <v>0</v>
      </c>
      <c r="AA36" s="205"/>
      <c r="AB36" s="321">
        <f>IF($AA$2="2018年",'Offer Statistics'!CW36,IF($AA$2="2019年",'Offer Statistics'!CW80,IF($AA$2="2020年",'Offer Statistics'!CW124)))</f>
        <v>160</v>
      </c>
      <c r="AC36" s="324">
        <f>IF($AA$2="2018年",'Offer Statistics'!CR36,IF($AA$2="2019年",'Offer Statistics'!CR80,IF($AA$2="2020年",'Offer Statistics'!CR124)))</f>
        <v>160</v>
      </c>
      <c r="AD36" s="324">
        <f>IF($AA$2="2018年",'Offer Statistics'!CS36,IF($AA$2="2019年",'Offer Statistics'!CS80,IF($AA$2="2020年",'Offer Statistics'!CS124)))</f>
        <v>0</v>
      </c>
      <c r="AE36" s="324">
        <f>IF($AA$2="2018年",'Offer Statistics'!CT36,IF($AA$2="2019年",'Offer Statistics'!CT80,IF($AA$2="2020年",'Offer Statistics'!CT124)))</f>
        <v>0</v>
      </c>
      <c r="AF36" s="324">
        <f>IF($AA$2="2018年",'Offer Statistics'!CU36,IF($AA$2="2019年",'Offer Statistics'!CU80,IF($AA$2="2020年",'Offer Statistics'!CU124)))</f>
        <v>0</v>
      </c>
      <c r="AG36" s="324">
        <f>IF($AA$2="2018年",'Offer Statistics'!CV36,IF($AA$2="2019年",'Offer Statistics'!CV80,IF($AA$2="2020年",'Offer Statistics'!CV124)))</f>
        <v>0</v>
      </c>
      <c r="AH36" s="205"/>
      <c r="AI36" s="321">
        <f>IF($AA$2="2018年",'Offer Statistics'!CO36,IF($AA$2="2019年",'Offer Statistics'!CO80,IF($AA$2="2020年",'Offer Statistics'!CO124)))</f>
        <v>3912</v>
      </c>
      <c r="AJ36" s="324">
        <f>IF($AA$2="2018年",'Offer Statistics'!CJ36,IF($AA$2="2019年",'Offer Statistics'!CJ80,IF($AA$2="2020年",'Offer Statistics'!CJ124)))</f>
        <v>534</v>
      </c>
      <c r="AK36" s="324">
        <f>IF($AA$2="2018年",'Offer Statistics'!CK36,IF($AA$2="2019年",'Offer Statistics'!CK80,IF($AA$2="2020年",'Offer Statistics'!CK124)))</f>
        <v>431</v>
      </c>
      <c r="AL36" s="324">
        <f>IF($AA$2="2018年",'Offer Statistics'!CL36,IF($AA$2="2019年",'Offer Statistics'!CL80,IF($AA$2="2020年",'Offer Statistics'!CL124)))</f>
        <v>738</v>
      </c>
      <c r="AM36" s="324">
        <f>IF($AA$2="2018年",'Offer Statistics'!CM36,IF($AA$2="2019年",'Offer Statistics'!CM80,IF($AA$2="2020年",'Offer Statistics'!CM124)))</f>
        <v>1125</v>
      </c>
      <c r="AN36" s="324">
        <f>IF($AA$2="2018年",'Offer Statistics'!CN36,IF($AA$2="2019年",'Offer Statistics'!CN80,IF($AA$2="2020年",'Offer Statistics'!CN124)))</f>
        <v>1084</v>
      </c>
      <c r="AO36" s="315"/>
      <c r="AP36" s="316" t="str">
        <f t="shared" si="3"/>
        <v>JS6717</v>
      </c>
    </row>
    <row r="37" ht="18.0" customHeight="1">
      <c r="A37" s="142" t="s">
        <v>1035</v>
      </c>
      <c r="B37" s="142" t="s">
        <v>1033</v>
      </c>
      <c r="C37" s="142" t="s">
        <v>1036</v>
      </c>
      <c r="D37" s="142" t="s">
        <v>1268</v>
      </c>
      <c r="E37" s="131" t="s">
        <v>21</v>
      </c>
      <c r="F37" s="199">
        <v>28.0</v>
      </c>
      <c r="G37" s="199">
        <v>28.0</v>
      </c>
      <c r="H37" s="199">
        <v>26.0</v>
      </c>
      <c r="I37" s="200">
        <f>'計分版'!D291</f>
        <v>0.00000000395</v>
      </c>
      <c r="J37" s="201">
        <f t="shared" si="6"/>
        <v>-26</v>
      </c>
      <c r="K37" s="202">
        <f t="shared" si="7"/>
        <v>-6582278480</v>
      </c>
      <c r="L37" s="132">
        <v>35.0</v>
      </c>
      <c r="M37" s="325">
        <f>'入學要求'!S274</f>
        <v>0</v>
      </c>
      <c r="N37" s="131" t="s">
        <v>1188</v>
      </c>
      <c r="O37" s="163">
        <v>3.0</v>
      </c>
      <c r="P37" s="163">
        <v>3.0</v>
      </c>
      <c r="Q37" s="163">
        <v>2.0</v>
      </c>
      <c r="R37" s="163">
        <v>2.0</v>
      </c>
      <c r="S37" s="163">
        <v>3.0</v>
      </c>
      <c r="T37" s="163">
        <v>3.0</v>
      </c>
      <c r="U37" s="292">
        <f>'入學要求'!L274</f>
        <v>0</v>
      </c>
      <c r="V37" s="292">
        <f>'入學要求'!M274</f>
        <v>0</v>
      </c>
      <c r="W37" s="292">
        <f>'入學要求'!N274</f>
        <v>0</v>
      </c>
      <c r="X37" s="292">
        <f>'入學要求'!O274</f>
        <v>0</v>
      </c>
      <c r="Y37" s="292">
        <f>'入學要求'!P274</f>
        <v>0</v>
      </c>
      <c r="Z37" s="292">
        <f>'入學要求'!Q274</f>
        <v>0</v>
      </c>
      <c r="AA37" s="205"/>
      <c r="AB37" s="132">
        <f>IF($AA$2="2018年",'Offer Statistics'!CW37,IF($AA$2="2019年",'Offer Statistics'!CW81,IF($AA$2="2020年",'Offer Statistics'!CW125)))</f>
        <v>36</v>
      </c>
      <c r="AC37" s="206">
        <f>IF($AA$2="2018年",'Offer Statistics'!CR37,IF($AA$2="2019年",'Offer Statistics'!CR81,IF($AA$2="2020年",'Offer Statistics'!CR125)))</f>
        <v>36</v>
      </c>
      <c r="AD37" s="206">
        <f>IF($AA$2="2018年",'Offer Statistics'!CS37,IF($AA$2="2019年",'Offer Statistics'!CS81,IF($AA$2="2020年",'Offer Statistics'!CS125)))</f>
        <v>0</v>
      </c>
      <c r="AE37" s="206">
        <f>IF($AA$2="2018年",'Offer Statistics'!CT37,IF($AA$2="2019年",'Offer Statistics'!CT81,IF($AA$2="2020年",'Offer Statistics'!CT125)))</f>
        <v>0</v>
      </c>
      <c r="AF37" s="206">
        <f>IF($AA$2="2018年",'Offer Statistics'!CU37,IF($AA$2="2019年",'Offer Statistics'!CU81,IF($AA$2="2020年",'Offer Statistics'!CU125)))</f>
        <v>0</v>
      </c>
      <c r="AG37" s="206">
        <f>IF($AA$2="2018年",'Offer Statistics'!CV37,IF($AA$2="2019年",'Offer Statistics'!CV81,IF($AA$2="2020年",'Offer Statistics'!CV125)))</f>
        <v>0</v>
      </c>
      <c r="AH37" s="205"/>
      <c r="AI37" s="132">
        <f>IF($AA$2="2018年",'Offer Statistics'!CO37,IF($AA$2="2019年",'Offer Statistics'!CO81,IF($AA$2="2020年",'Offer Statistics'!CO125)))</f>
        <v>2780</v>
      </c>
      <c r="AJ37" s="206">
        <f>IF($AA$2="2018年",'Offer Statistics'!CJ37,IF($AA$2="2019年",'Offer Statistics'!CJ81,IF($AA$2="2020年",'Offer Statistics'!CJ125)))</f>
        <v>238</v>
      </c>
      <c r="AK37" s="206">
        <f>IF($AA$2="2018年",'Offer Statistics'!CK37,IF($AA$2="2019年",'Offer Statistics'!CK81,IF($AA$2="2020年",'Offer Statistics'!CK125)))</f>
        <v>302</v>
      </c>
      <c r="AL37" s="206">
        <f>IF($AA$2="2018年",'Offer Statistics'!CL37,IF($AA$2="2019年",'Offer Statistics'!CL81,IF($AA$2="2020年",'Offer Statistics'!CL125)))</f>
        <v>536</v>
      </c>
      <c r="AM37" s="206">
        <f>IF($AA$2="2018年",'Offer Statistics'!CM37,IF($AA$2="2019年",'Offer Statistics'!CM81,IF($AA$2="2020年",'Offer Statistics'!CM125)))</f>
        <v>857</v>
      </c>
      <c r="AN37" s="206">
        <f>IF($AA$2="2018年",'Offer Statistics'!CN37,IF($AA$2="2019年",'Offer Statistics'!CN81,IF($AA$2="2020年",'Offer Statistics'!CN125)))</f>
        <v>847</v>
      </c>
      <c r="AO37" s="142"/>
      <c r="AP37" s="131" t="str">
        <f t="shared" si="3"/>
        <v>JS6731</v>
      </c>
    </row>
    <row r="38" ht="18.0" customHeight="1">
      <c r="A38" s="315" t="s">
        <v>1037</v>
      </c>
      <c r="B38" s="315" t="s">
        <v>1033</v>
      </c>
      <c r="C38" s="315" t="s">
        <v>1038</v>
      </c>
      <c r="D38" s="315" t="s">
        <v>1540</v>
      </c>
      <c r="E38" s="316" t="s">
        <v>24</v>
      </c>
      <c r="F38" s="317">
        <v>41.0</v>
      </c>
      <c r="G38" s="317">
        <v>39.0</v>
      </c>
      <c r="H38" s="317">
        <v>38.0</v>
      </c>
      <c r="I38" s="318">
        <f>'計分版'!D292</f>
        <v>0.0000000037</v>
      </c>
      <c r="J38" s="319">
        <f t="shared" si="6"/>
        <v>-38</v>
      </c>
      <c r="K38" s="320">
        <f t="shared" si="7"/>
        <v>-10270270269</v>
      </c>
      <c r="L38" s="321">
        <v>50.0</v>
      </c>
      <c r="M38" s="326">
        <f>'入學要求'!S275</f>
        <v>0</v>
      </c>
      <c r="N38" s="316" t="s">
        <v>541</v>
      </c>
      <c r="O38" s="316">
        <v>4.0</v>
      </c>
      <c r="P38" s="316">
        <v>5.0</v>
      </c>
      <c r="Q38" s="316">
        <v>3.0</v>
      </c>
      <c r="R38" s="316">
        <v>3.0</v>
      </c>
      <c r="S38" s="316">
        <v>3.0</v>
      </c>
      <c r="T38" s="316">
        <v>3.0</v>
      </c>
      <c r="U38" s="323">
        <f>'入學要求'!L275</f>
        <v>0</v>
      </c>
      <c r="V38" s="323">
        <f>'入學要求'!M275</f>
        <v>0</v>
      </c>
      <c r="W38" s="323">
        <f>'入學要求'!N275</f>
        <v>0</v>
      </c>
      <c r="X38" s="323">
        <f>'入學要求'!O275</f>
        <v>0</v>
      </c>
      <c r="Y38" s="323">
        <f>'入學要求'!P275</f>
        <v>0</v>
      </c>
      <c r="Z38" s="323">
        <f>'入學要求'!Q275</f>
        <v>0</v>
      </c>
      <c r="AA38" s="205"/>
      <c r="AB38" s="321">
        <f>IF($AA$2="2018年",'Offer Statistics'!CW38,IF($AA$2="2019年",'Offer Statistics'!CW82,IF($AA$2="2020年",'Offer Statistics'!CW126)))</f>
        <v>41</v>
      </c>
      <c r="AC38" s="324">
        <f>IF($AA$2="2018年",'Offer Statistics'!CR38,IF($AA$2="2019年",'Offer Statistics'!CR82,IF($AA$2="2020年",'Offer Statistics'!CR126)))</f>
        <v>41</v>
      </c>
      <c r="AD38" s="324">
        <f>IF($AA$2="2018年",'Offer Statistics'!CS38,IF($AA$2="2019年",'Offer Statistics'!CS82,IF($AA$2="2020年",'Offer Statistics'!CS126)))</f>
        <v>0</v>
      </c>
      <c r="AE38" s="324">
        <f>IF($AA$2="2018年",'Offer Statistics'!CT38,IF($AA$2="2019年",'Offer Statistics'!CT82,IF($AA$2="2020年",'Offer Statistics'!CT126)))</f>
        <v>0</v>
      </c>
      <c r="AF38" s="324">
        <f>IF($AA$2="2018年",'Offer Statistics'!CU38,IF($AA$2="2019年",'Offer Statistics'!CU82,IF($AA$2="2020年",'Offer Statistics'!CU126)))</f>
        <v>0</v>
      </c>
      <c r="AG38" s="324">
        <f>IF($AA$2="2018年",'Offer Statistics'!CV38,IF($AA$2="2019年",'Offer Statistics'!CV82,IF($AA$2="2020年",'Offer Statistics'!CV126)))</f>
        <v>0</v>
      </c>
      <c r="AH38" s="205"/>
      <c r="AI38" s="321">
        <f>IF($AA$2="2018年",'Offer Statistics'!CO38,IF($AA$2="2019年",'Offer Statistics'!CO82,IF($AA$2="2020年",'Offer Statistics'!CO126)))</f>
        <v>453</v>
      </c>
      <c r="AJ38" s="324">
        <f>IF($AA$2="2018年",'Offer Statistics'!CJ38,IF($AA$2="2019年",'Offer Statistics'!CJ82,IF($AA$2="2020年",'Offer Statistics'!CJ126)))</f>
        <v>86</v>
      </c>
      <c r="AK38" s="324">
        <f>IF($AA$2="2018年",'Offer Statistics'!CK38,IF($AA$2="2019年",'Offer Statistics'!CK82,IF($AA$2="2020年",'Offer Statistics'!CK126)))</f>
        <v>54</v>
      </c>
      <c r="AL38" s="324">
        <f>IF($AA$2="2018年",'Offer Statistics'!CL38,IF($AA$2="2019年",'Offer Statistics'!CL82,IF($AA$2="2020年",'Offer Statistics'!CL126)))</f>
        <v>69</v>
      </c>
      <c r="AM38" s="324">
        <f>IF($AA$2="2018年",'Offer Statistics'!CM38,IF($AA$2="2019年",'Offer Statistics'!CM82,IF($AA$2="2020年",'Offer Statistics'!CM126)))</f>
        <v>115</v>
      </c>
      <c r="AN38" s="324">
        <f>IF($AA$2="2018年",'Offer Statistics'!CN38,IF($AA$2="2019年",'Offer Statistics'!CN82,IF($AA$2="2020年",'Offer Statistics'!CN126)))</f>
        <v>129</v>
      </c>
      <c r="AO38" s="315"/>
      <c r="AP38" s="316" t="str">
        <f t="shared" si="3"/>
        <v>JS6810</v>
      </c>
    </row>
    <row r="39" ht="18.0" customHeight="1">
      <c r="A39" s="142" t="s">
        <v>1039</v>
      </c>
      <c r="B39" s="142" t="s">
        <v>1033</v>
      </c>
      <c r="C39" s="142" t="s">
        <v>1040</v>
      </c>
      <c r="D39" s="142" t="s">
        <v>1541</v>
      </c>
      <c r="E39" s="131" t="s">
        <v>21</v>
      </c>
      <c r="F39" s="199">
        <v>29.0</v>
      </c>
      <c r="G39" s="199">
        <v>28.0</v>
      </c>
      <c r="H39" s="199">
        <v>26.0</v>
      </c>
      <c r="I39" s="200">
        <f>'計分版'!D293</f>
        <v>0.00000000395</v>
      </c>
      <c r="J39" s="201">
        <f t="shared" si="6"/>
        <v>-26</v>
      </c>
      <c r="K39" s="202">
        <f t="shared" si="7"/>
        <v>-6582278480</v>
      </c>
      <c r="L39" s="132">
        <v>21.0</v>
      </c>
      <c r="M39" s="325">
        <f>'入學要求'!S276</f>
        <v>0</v>
      </c>
      <c r="N39" s="131" t="s">
        <v>1188</v>
      </c>
      <c r="O39" s="163">
        <v>3.0</v>
      </c>
      <c r="P39" s="163">
        <v>3.0</v>
      </c>
      <c r="Q39" s="163">
        <v>2.0</v>
      </c>
      <c r="R39" s="163">
        <v>2.0</v>
      </c>
      <c r="S39" s="163">
        <v>3.0</v>
      </c>
      <c r="T39" s="163">
        <v>3.0</v>
      </c>
      <c r="U39" s="292">
        <f>'入學要求'!L276</f>
        <v>0</v>
      </c>
      <c r="V39" s="292">
        <f>'入學要求'!M276</f>
        <v>0</v>
      </c>
      <c r="W39" s="292">
        <f>'入學要求'!N276</f>
        <v>0</v>
      </c>
      <c r="X39" s="292">
        <f>'入學要求'!O276</f>
        <v>0</v>
      </c>
      <c r="Y39" s="292">
        <f>'入學要求'!P276</f>
        <v>0</v>
      </c>
      <c r="Z39" s="292">
        <f>'入學要求'!Q276</f>
        <v>0</v>
      </c>
      <c r="AA39" s="205"/>
      <c r="AB39" s="132">
        <f>IF($AA$2="2018年",'Offer Statistics'!CW39,IF($AA$2="2019年",'Offer Statistics'!CW83,IF($AA$2="2020年",'Offer Statistics'!CW127)))</f>
        <v>20</v>
      </c>
      <c r="AC39" s="206">
        <f>IF($AA$2="2018年",'Offer Statistics'!CR39,IF($AA$2="2019年",'Offer Statistics'!CR83,IF($AA$2="2020年",'Offer Statistics'!CR127)))</f>
        <v>20</v>
      </c>
      <c r="AD39" s="206">
        <f>IF($AA$2="2018年",'Offer Statistics'!CS39,IF($AA$2="2019年",'Offer Statistics'!CS83,IF($AA$2="2020年",'Offer Statistics'!CS127)))</f>
        <v>0</v>
      </c>
      <c r="AE39" s="206">
        <f>IF($AA$2="2018年",'Offer Statistics'!CT39,IF($AA$2="2019年",'Offer Statistics'!CT83,IF($AA$2="2020年",'Offer Statistics'!CT127)))</f>
        <v>0</v>
      </c>
      <c r="AF39" s="206">
        <f>IF($AA$2="2018年",'Offer Statistics'!CU39,IF($AA$2="2019年",'Offer Statistics'!CU83,IF($AA$2="2020年",'Offer Statistics'!CU127)))</f>
        <v>0</v>
      </c>
      <c r="AG39" s="206">
        <f>IF($AA$2="2018年",'Offer Statistics'!CV39,IF($AA$2="2019年",'Offer Statistics'!CV83,IF($AA$2="2020年",'Offer Statistics'!CV127)))</f>
        <v>0</v>
      </c>
      <c r="AH39" s="205"/>
      <c r="AI39" s="132">
        <f>IF($AA$2="2018年",'Offer Statistics'!CO39,IF($AA$2="2019年",'Offer Statistics'!CO83,IF($AA$2="2020年",'Offer Statistics'!CO127)))</f>
        <v>1184</v>
      </c>
      <c r="AJ39" s="206">
        <f>IF($AA$2="2018年",'Offer Statistics'!CJ39,IF($AA$2="2019年",'Offer Statistics'!CJ83,IF($AA$2="2020年",'Offer Statistics'!CJ127)))</f>
        <v>81</v>
      </c>
      <c r="AK39" s="206">
        <f>IF($AA$2="2018年",'Offer Statistics'!CK39,IF($AA$2="2019年",'Offer Statistics'!CK83,IF($AA$2="2020年",'Offer Statistics'!CK127)))</f>
        <v>115</v>
      </c>
      <c r="AL39" s="206">
        <f>IF($AA$2="2018年",'Offer Statistics'!CL39,IF($AA$2="2019年",'Offer Statistics'!CL83,IF($AA$2="2020年",'Offer Statistics'!CL127)))</f>
        <v>219</v>
      </c>
      <c r="AM39" s="206">
        <f>IF($AA$2="2018年",'Offer Statistics'!CM39,IF($AA$2="2019年",'Offer Statistics'!CM83,IF($AA$2="2020年",'Offer Statistics'!CM127)))</f>
        <v>387</v>
      </c>
      <c r="AN39" s="206">
        <f>IF($AA$2="2018年",'Offer Statistics'!CN39,IF($AA$2="2019年",'Offer Statistics'!CN83,IF($AA$2="2020年",'Offer Statistics'!CN127)))</f>
        <v>382</v>
      </c>
      <c r="AO39" s="142"/>
      <c r="AP39" s="131" t="str">
        <f t="shared" si="3"/>
        <v>JS6822</v>
      </c>
    </row>
    <row r="40" ht="18.0" customHeight="1">
      <c r="A40" s="315" t="s">
        <v>1041</v>
      </c>
      <c r="B40" s="315" t="s">
        <v>1042</v>
      </c>
      <c r="C40" s="315" t="s">
        <v>1043</v>
      </c>
      <c r="D40" s="315" t="s">
        <v>1542</v>
      </c>
      <c r="E40" s="316" t="s">
        <v>21</v>
      </c>
      <c r="F40" s="317">
        <v>31.0</v>
      </c>
      <c r="G40" s="317">
        <v>31.0</v>
      </c>
      <c r="H40" s="317">
        <v>29.0</v>
      </c>
      <c r="I40" s="318">
        <f>'計分版'!D294</f>
        <v>0.00000000395</v>
      </c>
      <c r="J40" s="319">
        <f t="shared" si="6"/>
        <v>-29</v>
      </c>
      <c r="K40" s="320">
        <f t="shared" si="7"/>
        <v>-7341772151</v>
      </c>
      <c r="L40" s="321">
        <v>24.0</v>
      </c>
      <c r="M40" s="326">
        <f>'入學要求'!S277</f>
        <v>0</v>
      </c>
      <c r="N40" s="316" t="s">
        <v>1188</v>
      </c>
      <c r="O40" s="316">
        <v>3.0</v>
      </c>
      <c r="P40" s="316">
        <v>5.0</v>
      </c>
      <c r="Q40" s="316">
        <v>2.0</v>
      </c>
      <c r="R40" s="316">
        <v>2.0</v>
      </c>
      <c r="S40" s="316">
        <v>3.0</v>
      </c>
      <c r="T40" s="316">
        <v>3.0</v>
      </c>
      <c r="U40" s="323">
        <f>'入學要求'!L277</f>
        <v>0</v>
      </c>
      <c r="V40" s="323">
        <f>'入學要求'!M277</f>
        <v>0</v>
      </c>
      <c r="W40" s="323">
        <f>'入學要求'!N277</f>
        <v>0</v>
      </c>
      <c r="X40" s="323">
        <f>'入學要求'!O277</f>
        <v>0</v>
      </c>
      <c r="Y40" s="323">
        <f>'入學要求'!P277</f>
        <v>0</v>
      </c>
      <c r="Z40" s="323">
        <f>'入學要求'!Q277</f>
        <v>0</v>
      </c>
      <c r="AA40" s="205"/>
      <c r="AB40" s="321">
        <f>IF($AA$2="2018年",'Offer Statistics'!CW40,IF($AA$2="2019年",'Offer Statistics'!CW84,IF($AA$2="2020年",'Offer Statistics'!CW128)))</f>
        <v>12</v>
      </c>
      <c r="AC40" s="324">
        <f>IF($AA$2="2018年",'Offer Statistics'!CR40,IF($AA$2="2019年",'Offer Statistics'!CR84,IF($AA$2="2020年",'Offer Statistics'!CR128)))</f>
        <v>12</v>
      </c>
      <c r="AD40" s="324">
        <f>IF($AA$2="2018年",'Offer Statistics'!CS40,IF($AA$2="2019年",'Offer Statistics'!CS84,IF($AA$2="2020年",'Offer Statistics'!CS128)))</f>
        <v>0</v>
      </c>
      <c r="AE40" s="324">
        <f>IF($AA$2="2018年",'Offer Statistics'!CT40,IF($AA$2="2019年",'Offer Statistics'!CT84,IF($AA$2="2020年",'Offer Statistics'!CT128)))</f>
        <v>0</v>
      </c>
      <c r="AF40" s="324">
        <f>IF($AA$2="2018年",'Offer Statistics'!CU40,IF($AA$2="2019年",'Offer Statistics'!CU84,IF($AA$2="2020年",'Offer Statistics'!CU128)))</f>
        <v>0</v>
      </c>
      <c r="AG40" s="324">
        <f>IF($AA$2="2018年",'Offer Statistics'!CV40,IF($AA$2="2019年",'Offer Statistics'!CV84,IF($AA$2="2020年",'Offer Statistics'!CV128)))</f>
        <v>0</v>
      </c>
      <c r="AH40" s="205"/>
      <c r="AI40" s="321">
        <f>IF($AA$2="2018年",'Offer Statistics'!CO40,IF($AA$2="2019年",'Offer Statistics'!CO84,IF($AA$2="2020年",'Offer Statistics'!CO128)))</f>
        <v>395</v>
      </c>
      <c r="AJ40" s="324">
        <f>IF($AA$2="2018年",'Offer Statistics'!CJ40,IF($AA$2="2019年",'Offer Statistics'!CJ84,IF($AA$2="2020年",'Offer Statistics'!CJ128)))</f>
        <v>33</v>
      </c>
      <c r="AK40" s="324">
        <f>IF($AA$2="2018年",'Offer Statistics'!CK40,IF($AA$2="2019年",'Offer Statistics'!CK84,IF($AA$2="2020年",'Offer Statistics'!CK128)))</f>
        <v>26</v>
      </c>
      <c r="AL40" s="324">
        <f>IF($AA$2="2018年",'Offer Statistics'!CL40,IF($AA$2="2019年",'Offer Statistics'!CL84,IF($AA$2="2020年",'Offer Statistics'!CL128)))</f>
        <v>90</v>
      </c>
      <c r="AM40" s="324">
        <f>IF($AA$2="2018年",'Offer Statistics'!CM40,IF($AA$2="2019年",'Offer Statistics'!CM84,IF($AA$2="2020年",'Offer Statistics'!CM128)))</f>
        <v>116</v>
      </c>
      <c r="AN40" s="324">
        <f>IF($AA$2="2018年",'Offer Statistics'!CN40,IF($AA$2="2019年",'Offer Statistics'!CN84,IF($AA$2="2020年",'Offer Statistics'!CN128)))</f>
        <v>130</v>
      </c>
      <c r="AO40" s="315"/>
      <c r="AP40" s="316" t="str">
        <f t="shared" si="3"/>
        <v>JS6212</v>
      </c>
    </row>
    <row r="41" ht="18.0" customHeight="1">
      <c r="A41" s="142" t="s">
        <v>700</v>
      </c>
      <c r="B41" s="142" t="s">
        <v>1042</v>
      </c>
      <c r="C41" s="142" t="s">
        <v>1044</v>
      </c>
      <c r="D41" s="142" t="s">
        <v>1543</v>
      </c>
      <c r="E41" s="132" t="s">
        <v>24</v>
      </c>
      <c r="F41" s="199">
        <v>74.0</v>
      </c>
      <c r="G41" s="199">
        <v>67.0</v>
      </c>
      <c r="H41" s="199">
        <v>64.0</v>
      </c>
      <c r="I41" s="200">
        <f>'計分版'!D295</f>
        <v>0.0000000044</v>
      </c>
      <c r="J41" s="201">
        <f t="shared" si="6"/>
        <v>-64</v>
      </c>
      <c r="K41" s="202">
        <f t="shared" si="7"/>
        <v>-14545454544</v>
      </c>
      <c r="L41" s="132">
        <v>15.0</v>
      </c>
      <c r="M41" s="325">
        <f>'入學要求'!S278</f>
        <v>0</v>
      </c>
      <c r="N41" s="131" t="s">
        <v>1188</v>
      </c>
      <c r="O41" s="163">
        <v>3.0</v>
      </c>
      <c r="P41" s="163">
        <v>5.0</v>
      </c>
      <c r="Q41" s="163">
        <v>4.0</v>
      </c>
      <c r="R41" s="163">
        <v>2.0</v>
      </c>
      <c r="S41" s="163">
        <v>3.0</v>
      </c>
      <c r="T41" s="163">
        <v>3.0</v>
      </c>
      <c r="U41" s="292">
        <f>'入學要求'!L278</f>
        <v>0</v>
      </c>
      <c r="V41" s="292">
        <f>'入學要求'!M278</f>
        <v>0</v>
      </c>
      <c r="W41" s="292">
        <f>'入學要求'!N278</f>
        <v>0</v>
      </c>
      <c r="X41" s="292">
        <f>'入學要求'!O278</f>
        <v>0</v>
      </c>
      <c r="Y41" s="292">
        <f>'入學要求'!P278</f>
        <v>0</v>
      </c>
      <c r="Z41" s="292">
        <f>'入學要求'!Q278</f>
        <v>0</v>
      </c>
      <c r="AA41" s="205"/>
      <c r="AB41" s="132">
        <f>IF($AA$2="2018年",'Offer Statistics'!CW41,IF($AA$2="2019年",'Offer Statistics'!CW85,IF($AA$2="2020年",'Offer Statistics'!CW129)))</f>
        <v>16</v>
      </c>
      <c r="AC41" s="206">
        <f>IF($AA$2="2018年",'Offer Statistics'!CR41,IF($AA$2="2019年",'Offer Statistics'!CR85,IF($AA$2="2020年",'Offer Statistics'!CR129)))</f>
        <v>16</v>
      </c>
      <c r="AD41" s="206">
        <f>IF($AA$2="2018年",'Offer Statistics'!CS41,IF($AA$2="2019年",'Offer Statistics'!CS85,IF($AA$2="2020年",'Offer Statistics'!CS129)))</f>
        <v>0</v>
      </c>
      <c r="AE41" s="206">
        <f>IF($AA$2="2018年",'Offer Statistics'!CT41,IF($AA$2="2019年",'Offer Statistics'!CT85,IF($AA$2="2020年",'Offer Statistics'!CT129)))</f>
        <v>0</v>
      </c>
      <c r="AF41" s="206">
        <f>IF($AA$2="2018年",'Offer Statistics'!CU41,IF($AA$2="2019年",'Offer Statistics'!CU85,IF($AA$2="2020年",'Offer Statistics'!CU129)))</f>
        <v>0</v>
      </c>
      <c r="AG41" s="206">
        <f>IF($AA$2="2018年",'Offer Statistics'!CV41,IF($AA$2="2019年",'Offer Statistics'!CV85,IF($AA$2="2020年",'Offer Statistics'!CV129)))</f>
        <v>0</v>
      </c>
      <c r="AH41" s="205"/>
      <c r="AI41" s="132">
        <f>IF($AA$2="2018年",'Offer Statistics'!CO41,IF($AA$2="2019年",'Offer Statistics'!CO85,IF($AA$2="2020年",'Offer Statistics'!CO129)))</f>
        <v>649</v>
      </c>
      <c r="AJ41" s="206">
        <f>IF($AA$2="2018年",'Offer Statistics'!CJ41,IF($AA$2="2019年",'Offer Statistics'!CJ85,IF($AA$2="2020年",'Offer Statistics'!CJ129)))</f>
        <v>68</v>
      </c>
      <c r="AK41" s="206">
        <f>IF($AA$2="2018年",'Offer Statistics'!CK41,IF($AA$2="2019年",'Offer Statistics'!CK85,IF($AA$2="2020年",'Offer Statistics'!CK129)))</f>
        <v>73</v>
      </c>
      <c r="AL41" s="206">
        <f>IF($AA$2="2018年",'Offer Statistics'!CL41,IF($AA$2="2019年",'Offer Statistics'!CL85,IF($AA$2="2020年",'Offer Statistics'!CL129)))</f>
        <v>144</v>
      </c>
      <c r="AM41" s="206">
        <f>IF($AA$2="2018年",'Offer Statistics'!CM41,IF($AA$2="2019年",'Offer Statistics'!CM85,IF($AA$2="2020年",'Offer Statistics'!CM129)))</f>
        <v>184</v>
      </c>
      <c r="AN41" s="206">
        <f>IF($AA$2="2018年",'Offer Statistics'!CN41,IF($AA$2="2019年",'Offer Statistics'!CN85,IF($AA$2="2020年",'Offer Statistics'!CN129)))</f>
        <v>180</v>
      </c>
      <c r="AO41" s="142"/>
      <c r="AP41" s="131" t="str">
        <f t="shared" si="3"/>
        <v>JS6224</v>
      </c>
    </row>
    <row r="42" ht="18.0" customHeight="1">
      <c r="A42" s="315" t="s">
        <v>1045</v>
      </c>
      <c r="B42" s="315" t="s">
        <v>1042</v>
      </c>
      <c r="C42" s="315" t="s">
        <v>1046</v>
      </c>
      <c r="D42" s="315" t="s">
        <v>1544</v>
      </c>
      <c r="E42" s="316" t="s">
        <v>24</v>
      </c>
      <c r="F42" s="317" t="s">
        <v>541</v>
      </c>
      <c r="G42" s="317">
        <v>41.0</v>
      </c>
      <c r="H42" s="317" t="s">
        <v>541</v>
      </c>
      <c r="I42" s="318">
        <f>'計分版'!D296</f>
        <v>0.00000000445</v>
      </c>
      <c r="J42" s="319">
        <f>I42-G42</f>
        <v>-41</v>
      </c>
      <c r="K42" s="320">
        <f>(I42-G42)/I42</f>
        <v>-9213483145</v>
      </c>
      <c r="L42" s="321">
        <v>15.0</v>
      </c>
      <c r="M42" s="326">
        <f>'入學要求'!S279</f>
        <v>0</v>
      </c>
      <c r="N42" s="316" t="s">
        <v>1188</v>
      </c>
      <c r="O42" s="316">
        <v>3.0</v>
      </c>
      <c r="P42" s="316">
        <v>5.0</v>
      </c>
      <c r="Q42" s="316">
        <v>2.0</v>
      </c>
      <c r="R42" s="316">
        <v>2.0</v>
      </c>
      <c r="S42" s="316">
        <v>3.0</v>
      </c>
      <c r="T42" s="316">
        <v>3.0</v>
      </c>
      <c r="U42" s="323">
        <f>'入學要求'!L279</f>
        <v>0</v>
      </c>
      <c r="V42" s="323">
        <f>'入學要求'!M279</f>
        <v>0</v>
      </c>
      <c r="W42" s="323">
        <f>'入學要求'!N279</f>
        <v>0</v>
      </c>
      <c r="X42" s="323">
        <f>'入學要求'!O279</f>
        <v>0</v>
      </c>
      <c r="Y42" s="323">
        <f>'入學要求'!P279</f>
        <v>0</v>
      </c>
      <c r="Z42" s="323">
        <f>'入學要求'!Q279</f>
        <v>0</v>
      </c>
      <c r="AA42" s="205"/>
      <c r="AB42" s="321">
        <f>IF($AA$2="2018年",'Offer Statistics'!CW42,IF($AA$2="2019年",'Offer Statistics'!CW86,IF($AA$2="2020年",'Offer Statistics'!CW130)))</f>
        <v>2</v>
      </c>
      <c r="AC42" s="324">
        <f>IF($AA$2="2018年",'Offer Statistics'!CR42,IF($AA$2="2019年",'Offer Statistics'!CR86,IF($AA$2="2020年",'Offer Statistics'!CR130)))</f>
        <v>2</v>
      </c>
      <c r="AD42" s="324">
        <f>IF($AA$2="2018年",'Offer Statistics'!CS42,IF($AA$2="2019年",'Offer Statistics'!CS86,IF($AA$2="2020年",'Offer Statistics'!CS130)))</f>
        <v>0</v>
      </c>
      <c r="AE42" s="324">
        <f>IF($AA$2="2018年",'Offer Statistics'!CT42,IF($AA$2="2019年",'Offer Statistics'!CT86,IF($AA$2="2020年",'Offer Statistics'!CT130)))</f>
        <v>0</v>
      </c>
      <c r="AF42" s="324">
        <f>IF($AA$2="2018年",'Offer Statistics'!CU42,IF($AA$2="2019年",'Offer Statistics'!CU86,IF($AA$2="2020年",'Offer Statistics'!CU130)))</f>
        <v>0</v>
      </c>
      <c r="AG42" s="324">
        <f>IF($AA$2="2018年",'Offer Statistics'!CV42,IF($AA$2="2019年",'Offer Statistics'!CV86,IF($AA$2="2020年",'Offer Statistics'!CV130)))</f>
        <v>0</v>
      </c>
      <c r="AH42" s="205"/>
      <c r="AI42" s="321">
        <f>IF($AA$2="2018年",'Offer Statistics'!CO42,IF($AA$2="2019年",'Offer Statistics'!CO86,IF($AA$2="2020年",'Offer Statistics'!CO130)))</f>
        <v>562</v>
      </c>
      <c r="AJ42" s="324">
        <f>IF($AA$2="2018年",'Offer Statistics'!CJ42,IF($AA$2="2019年",'Offer Statistics'!CJ86,IF($AA$2="2020年",'Offer Statistics'!CJ130)))</f>
        <v>48</v>
      </c>
      <c r="AK42" s="324">
        <f>IF($AA$2="2018年",'Offer Statistics'!CK42,IF($AA$2="2019年",'Offer Statistics'!CK86,IF($AA$2="2020年",'Offer Statistics'!CK130)))</f>
        <v>78</v>
      </c>
      <c r="AL42" s="324">
        <f>IF($AA$2="2018年",'Offer Statistics'!CL42,IF($AA$2="2019年",'Offer Statistics'!CL86,IF($AA$2="2020年",'Offer Statistics'!CL130)))</f>
        <v>114</v>
      </c>
      <c r="AM42" s="324">
        <f>IF($AA$2="2018年",'Offer Statistics'!CM42,IF($AA$2="2019年",'Offer Statistics'!CM86,IF($AA$2="2020年",'Offer Statistics'!CM130)))</f>
        <v>161</v>
      </c>
      <c r="AN42" s="324">
        <f>IF($AA$2="2018年",'Offer Statistics'!CN42,IF($AA$2="2019年",'Offer Statistics'!CN86,IF($AA$2="2020年",'Offer Statistics'!CN130)))</f>
        <v>161</v>
      </c>
      <c r="AO42" s="315"/>
      <c r="AP42" s="316" t="str">
        <f t="shared" si="3"/>
        <v>JS6236</v>
      </c>
    </row>
    <row r="43" ht="18.0" customHeight="1">
      <c r="A43" s="142" t="s">
        <v>1047</v>
      </c>
      <c r="B43" s="142" t="s">
        <v>1042</v>
      </c>
      <c r="C43" s="142" t="s">
        <v>1048</v>
      </c>
      <c r="D43" s="142" t="s">
        <v>1545</v>
      </c>
      <c r="E43" s="131" t="s">
        <v>24</v>
      </c>
      <c r="F43" s="199">
        <v>39.0</v>
      </c>
      <c r="G43" s="199">
        <v>36.0</v>
      </c>
      <c r="H43" s="199">
        <v>35.0</v>
      </c>
      <c r="I43" s="200">
        <f>'計分版'!D297</f>
        <v>0.00000000385</v>
      </c>
      <c r="J43" s="201">
        <f t="shared" ref="J43:J44" si="8">IF(J$1="差距(Median)",I43-G43,IF(J$1="差距(UQ)",I43-F43,IF(J$1="差距(LQ)",I43-H43)))</f>
        <v>-35</v>
      </c>
      <c r="K43" s="202">
        <f t="shared" ref="K43:K44" si="9">IF(J$1="差距(Median)",(I43-G43)/I43,IF(J$1="差距(UQ)",(I43-F43)/I43,IF(J$1="差距(LQ)",(I43-H43)/I43)))</f>
        <v>-9090909090</v>
      </c>
      <c r="L43" s="132">
        <v>24.0</v>
      </c>
      <c r="M43" s="325">
        <f>'入學要求'!S280</f>
        <v>0</v>
      </c>
      <c r="N43" s="131" t="s">
        <v>1188</v>
      </c>
      <c r="O43" s="163">
        <v>3.0</v>
      </c>
      <c r="P43" s="163">
        <v>5.0</v>
      </c>
      <c r="Q43" s="163">
        <v>3.0</v>
      </c>
      <c r="R43" s="163">
        <v>2.0</v>
      </c>
      <c r="S43" s="163">
        <v>3.0</v>
      </c>
      <c r="T43" s="163">
        <v>3.0</v>
      </c>
      <c r="U43" s="292">
        <f>'入學要求'!L280</f>
        <v>0</v>
      </c>
      <c r="V43" s="292">
        <f>'入學要求'!M280</f>
        <v>0</v>
      </c>
      <c r="W43" s="292">
        <f>'入學要求'!N280</f>
        <v>0</v>
      </c>
      <c r="X43" s="292">
        <f>'入學要求'!O280</f>
        <v>0</v>
      </c>
      <c r="Y43" s="292">
        <f>'入學要求'!P280</f>
        <v>0</v>
      </c>
      <c r="Z43" s="292">
        <f>'入學要求'!Q280</f>
        <v>0</v>
      </c>
      <c r="AA43" s="205"/>
      <c r="AB43" s="132">
        <f>IF($AA$2="2018年",'Offer Statistics'!CW43,IF($AA$2="2019年",'Offer Statistics'!CW87,IF($AA$2="2020年",'Offer Statistics'!CW131)))</f>
        <v>27</v>
      </c>
      <c r="AC43" s="206">
        <f>IF($AA$2="2018年",'Offer Statistics'!CR43,IF($AA$2="2019年",'Offer Statistics'!CR87,IF($AA$2="2020年",'Offer Statistics'!CR131)))</f>
        <v>27</v>
      </c>
      <c r="AD43" s="206">
        <f>IF($AA$2="2018年",'Offer Statistics'!CS43,IF($AA$2="2019年",'Offer Statistics'!CS87,IF($AA$2="2020年",'Offer Statistics'!CS131)))</f>
        <v>0</v>
      </c>
      <c r="AE43" s="206">
        <f>IF($AA$2="2018年",'Offer Statistics'!CT43,IF($AA$2="2019年",'Offer Statistics'!CT87,IF($AA$2="2020年",'Offer Statistics'!CT131)))</f>
        <v>0</v>
      </c>
      <c r="AF43" s="206">
        <f>IF($AA$2="2018年",'Offer Statistics'!CU43,IF($AA$2="2019年",'Offer Statistics'!CU87,IF($AA$2="2020年",'Offer Statistics'!CU131)))</f>
        <v>0</v>
      </c>
      <c r="AG43" s="206">
        <f>IF($AA$2="2018年",'Offer Statistics'!CV43,IF($AA$2="2019年",'Offer Statistics'!CV87,IF($AA$2="2020年",'Offer Statistics'!CV131)))</f>
        <v>0</v>
      </c>
      <c r="AH43" s="205"/>
      <c r="AI43" s="132">
        <f>IF($AA$2="2018年",'Offer Statistics'!CO43,IF($AA$2="2019年",'Offer Statistics'!CO87,IF($AA$2="2020年",'Offer Statistics'!CO131)))</f>
        <v>353</v>
      </c>
      <c r="AJ43" s="206">
        <f>IF($AA$2="2018年",'Offer Statistics'!CJ43,IF($AA$2="2019年",'Offer Statistics'!CJ87,IF($AA$2="2020年",'Offer Statistics'!CJ131)))</f>
        <v>64</v>
      </c>
      <c r="AK43" s="206">
        <f>IF($AA$2="2018年",'Offer Statistics'!CK43,IF($AA$2="2019年",'Offer Statistics'!CK87,IF($AA$2="2020年",'Offer Statistics'!CK131)))</f>
        <v>36</v>
      </c>
      <c r="AL43" s="206">
        <f>IF($AA$2="2018年",'Offer Statistics'!CL43,IF($AA$2="2019年",'Offer Statistics'!CL87,IF($AA$2="2020年",'Offer Statistics'!CL131)))</f>
        <v>71</v>
      </c>
      <c r="AM43" s="206">
        <f>IF($AA$2="2018年",'Offer Statistics'!CM43,IF($AA$2="2019年",'Offer Statistics'!CM87,IF($AA$2="2020年",'Offer Statistics'!CM131)))</f>
        <v>93</v>
      </c>
      <c r="AN43" s="206">
        <f>IF($AA$2="2018年",'Offer Statistics'!CN43,IF($AA$2="2019年",'Offer Statistics'!CN87,IF($AA$2="2020年",'Offer Statistics'!CN131)))</f>
        <v>89</v>
      </c>
      <c r="AO43" s="142"/>
      <c r="AP43" s="131" t="str">
        <f t="shared" si="3"/>
        <v>JS6248</v>
      </c>
    </row>
    <row r="44" ht="18.0" customHeight="1">
      <c r="A44" s="315" t="s">
        <v>1049</v>
      </c>
      <c r="B44" s="315" t="s">
        <v>1042</v>
      </c>
      <c r="C44" s="315" t="s">
        <v>1050</v>
      </c>
      <c r="D44" s="315" t="s">
        <v>1546</v>
      </c>
      <c r="E44" s="316" t="s">
        <v>21</v>
      </c>
      <c r="F44" s="317">
        <v>31.0</v>
      </c>
      <c r="G44" s="317">
        <v>31.0</v>
      </c>
      <c r="H44" s="317">
        <v>29.0</v>
      </c>
      <c r="I44" s="318">
        <f>'計分版'!D298</f>
        <v>0.00000000395</v>
      </c>
      <c r="J44" s="319">
        <f t="shared" si="8"/>
        <v>-29</v>
      </c>
      <c r="K44" s="320">
        <f t="shared" si="9"/>
        <v>-7341772151</v>
      </c>
      <c r="L44" s="321">
        <v>20.0</v>
      </c>
      <c r="M44" s="329">
        <f>'入學要求'!S281</f>
        <v>0</v>
      </c>
      <c r="N44" s="316" t="s">
        <v>1188</v>
      </c>
      <c r="O44" s="316">
        <v>3.0</v>
      </c>
      <c r="P44" s="316">
        <v>5.0</v>
      </c>
      <c r="Q44" s="316">
        <v>2.0</v>
      </c>
      <c r="R44" s="316">
        <v>2.0</v>
      </c>
      <c r="S44" s="316">
        <v>3.0</v>
      </c>
      <c r="T44" s="316">
        <v>3.0</v>
      </c>
      <c r="U44" s="323">
        <f>'入學要求'!L281</f>
        <v>0</v>
      </c>
      <c r="V44" s="323">
        <f>'入學要求'!M281</f>
        <v>0</v>
      </c>
      <c r="W44" s="323">
        <f>'入學要求'!N281</f>
        <v>0</v>
      </c>
      <c r="X44" s="323">
        <f>'入學要求'!O281</f>
        <v>0</v>
      </c>
      <c r="Y44" s="323">
        <f>'入學要求'!P281</f>
        <v>0</v>
      </c>
      <c r="Z44" s="323">
        <f>'入學要求'!Q281</f>
        <v>0</v>
      </c>
      <c r="AA44" s="205"/>
      <c r="AB44" s="321">
        <f>IF($AA$2="2018年",'Offer Statistics'!CW44,IF($AA$2="2019年",'Offer Statistics'!CW88,IF($AA$2="2020年",'Offer Statistics'!CW132)))</f>
        <v>15</v>
      </c>
      <c r="AC44" s="324">
        <f>IF($AA$2="2018年",'Offer Statistics'!CR44,IF($AA$2="2019年",'Offer Statistics'!CR88,IF($AA$2="2020年",'Offer Statistics'!CR132)))</f>
        <v>15</v>
      </c>
      <c r="AD44" s="324">
        <f>IF($AA$2="2018年",'Offer Statistics'!CS44,IF($AA$2="2019年",'Offer Statistics'!CS88,IF($AA$2="2020年",'Offer Statistics'!CS132)))</f>
        <v>0</v>
      </c>
      <c r="AE44" s="324">
        <f>IF($AA$2="2018年",'Offer Statistics'!CT44,IF($AA$2="2019年",'Offer Statistics'!CT88,IF($AA$2="2020年",'Offer Statistics'!CT132)))</f>
        <v>0</v>
      </c>
      <c r="AF44" s="324">
        <f>IF($AA$2="2018年",'Offer Statistics'!CU44,IF($AA$2="2019年",'Offer Statistics'!CU88,IF($AA$2="2020年",'Offer Statistics'!CU132)))</f>
        <v>0</v>
      </c>
      <c r="AG44" s="324">
        <f>IF($AA$2="2018年",'Offer Statistics'!CV44,IF($AA$2="2019年",'Offer Statistics'!CV88,IF($AA$2="2020年",'Offer Statistics'!CV132)))</f>
        <v>0</v>
      </c>
      <c r="AH44" s="205"/>
      <c r="AI44" s="321">
        <f>IF($AA$2="2018年",'Offer Statistics'!CO44,IF($AA$2="2019年",'Offer Statistics'!CO88,IF($AA$2="2020年",'Offer Statistics'!CO132)))</f>
        <v>435</v>
      </c>
      <c r="AJ44" s="324">
        <f>IF($AA$2="2018年",'Offer Statistics'!CJ44,IF($AA$2="2019年",'Offer Statistics'!CJ88,IF($AA$2="2020年",'Offer Statistics'!CJ132)))</f>
        <v>39</v>
      </c>
      <c r="AK44" s="324">
        <f>IF($AA$2="2018年",'Offer Statistics'!CK44,IF($AA$2="2019年",'Offer Statistics'!CK88,IF($AA$2="2020年",'Offer Statistics'!CK132)))</f>
        <v>57</v>
      </c>
      <c r="AL44" s="324">
        <f>IF($AA$2="2018年",'Offer Statistics'!CL44,IF($AA$2="2019年",'Offer Statistics'!CL88,IF($AA$2="2020年",'Offer Statistics'!CL132)))</f>
        <v>94</v>
      </c>
      <c r="AM44" s="324">
        <f>IF($AA$2="2018年",'Offer Statistics'!CM44,IF($AA$2="2019年",'Offer Statistics'!CM88,IF($AA$2="2020年",'Offer Statistics'!CM132)))</f>
        <v>120</v>
      </c>
      <c r="AN44" s="324">
        <f>IF($AA$2="2018年",'Offer Statistics'!CN44,IF($AA$2="2019年",'Offer Statistics'!CN88,IF($AA$2="2020年",'Offer Statistics'!CN132)))</f>
        <v>125</v>
      </c>
      <c r="AO44" s="315"/>
      <c r="AP44" s="316" t="str">
        <f t="shared" si="3"/>
        <v>JS6250</v>
      </c>
    </row>
    <row r="45" ht="18.0" customHeight="1">
      <c r="A45" s="142"/>
      <c r="B45" s="142"/>
      <c r="C45" s="142"/>
      <c r="D45" s="142"/>
      <c r="E45" s="132"/>
      <c r="F45" s="131"/>
      <c r="G45" s="131"/>
      <c r="H45" s="131"/>
      <c r="I45" s="131"/>
      <c r="J45" s="219"/>
      <c r="K45" s="198"/>
      <c r="L45" s="131"/>
      <c r="M45" s="142"/>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42"/>
      <c r="AP45" s="131"/>
    </row>
    <row r="46" ht="18.0" customHeight="1">
      <c r="A46" s="142" t="s">
        <v>1547</v>
      </c>
      <c r="B46" s="142"/>
      <c r="C46" s="142"/>
      <c r="D46" s="142"/>
      <c r="E46" s="132"/>
      <c r="F46" s="131"/>
      <c r="G46" s="131"/>
      <c r="H46" s="131"/>
      <c r="I46" s="131"/>
      <c r="J46" s="219"/>
      <c r="K46" s="198"/>
      <c r="L46" s="131"/>
      <c r="M46" s="142"/>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42"/>
      <c r="AP46" s="131"/>
    </row>
    <row r="47" ht="18.0" customHeight="1">
      <c r="A47" s="142" t="s">
        <v>1548</v>
      </c>
      <c r="B47" s="142"/>
      <c r="C47" s="142"/>
      <c r="D47" s="142"/>
      <c r="E47" s="132"/>
      <c r="F47" s="131"/>
      <c r="G47" s="131"/>
      <c r="H47" s="131"/>
      <c r="I47" s="131"/>
      <c r="J47" s="219"/>
      <c r="K47" s="198"/>
      <c r="L47" s="131"/>
      <c r="M47" s="142"/>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42"/>
      <c r="AP47" s="131"/>
    </row>
    <row r="48" ht="18.0" customHeight="1">
      <c r="A48" s="142" t="s">
        <v>1549</v>
      </c>
      <c r="B48" s="142"/>
      <c r="C48" s="142"/>
      <c r="D48" s="142"/>
      <c r="E48" s="132"/>
      <c r="F48" s="131"/>
      <c r="G48" s="131"/>
      <c r="H48" s="131"/>
      <c r="I48" s="131"/>
      <c r="J48" s="219"/>
      <c r="K48" s="198"/>
      <c r="L48" s="131"/>
      <c r="M48" s="142"/>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42"/>
      <c r="AP48" s="131"/>
    </row>
    <row r="49" ht="18.0" customHeight="1">
      <c r="A49" s="142" t="s">
        <v>1550</v>
      </c>
      <c r="B49" s="142"/>
      <c r="C49" s="142"/>
      <c r="D49" s="142"/>
      <c r="E49" s="132"/>
      <c r="F49" s="131"/>
      <c r="G49" s="131"/>
      <c r="H49" s="131"/>
      <c r="I49" s="131"/>
      <c r="J49" s="219"/>
      <c r="K49" s="198"/>
      <c r="L49" s="131"/>
      <c r="M49" s="142"/>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42"/>
      <c r="AP49" s="131"/>
    </row>
    <row r="50" ht="18.0" customHeight="1">
      <c r="A50" s="142" t="s">
        <v>1551</v>
      </c>
      <c r="B50" s="142"/>
      <c r="C50" s="142" t="s">
        <v>1552</v>
      </c>
      <c r="D50" s="142"/>
      <c r="E50" s="132"/>
      <c r="F50" s="131"/>
      <c r="G50" s="131"/>
      <c r="H50" s="131"/>
      <c r="I50" s="131"/>
      <c r="J50" s="219"/>
      <c r="K50" s="198"/>
      <c r="L50" s="131"/>
      <c r="M50" s="142"/>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42"/>
      <c r="AP50" s="131"/>
    </row>
    <row r="51" ht="18.0" customHeight="1">
      <c r="A51" s="142"/>
      <c r="B51" s="142"/>
      <c r="C51" s="142" t="s">
        <v>1553</v>
      </c>
      <c r="D51" s="142"/>
      <c r="E51" s="132"/>
      <c r="F51" s="131"/>
      <c r="G51" s="131"/>
      <c r="H51" s="131"/>
      <c r="I51" s="131"/>
      <c r="J51" s="219"/>
      <c r="K51" s="198"/>
      <c r="L51" s="131"/>
      <c r="M51" s="142"/>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42"/>
      <c r="AP51" s="131"/>
    </row>
    <row r="52" ht="18.0" customHeight="1">
      <c r="A52" s="142"/>
      <c r="B52" s="142"/>
      <c r="C52" s="142"/>
      <c r="D52" s="142"/>
      <c r="E52" s="132"/>
      <c r="F52" s="131"/>
      <c r="G52" s="131"/>
      <c r="H52" s="131"/>
      <c r="I52" s="131"/>
      <c r="J52" s="219"/>
      <c r="K52" s="198"/>
      <c r="L52" s="131"/>
      <c r="M52" s="142"/>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42"/>
      <c r="AP52" s="131"/>
    </row>
    <row r="53" ht="18.0" customHeight="1">
      <c r="A53" s="142" t="s">
        <v>1229</v>
      </c>
      <c r="B53" s="142"/>
      <c r="C53" s="142"/>
      <c r="D53" s="142"/>
      <c r="E53" s="132"/>
      <c r="F53" s="131"/>
      <c r="G53" s="131"/>
      <c r="H53" s="131"/>
      <c r="I53" s="131"/>
      <c r="J53" s="219"/>
      <c r="K53" s="198"/>
      <c r="L53" s="131"/>
      <c r="M53" s="142"/>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42"/>
      <c r="AP53" s="131"/>
    </row>
    <row r="54" ht="18.0" customHeight="1">
      <c r="A54" s="142"/>
      <c r="B54" s="142"/>
      <c r="C54" s="142"/>
      <c r="D54" s="142"/>
      <c r="E54" s="132"/>
      <c r="F54" s="131"/>
      <c r="G54" s="131"/>
      <c r="H54" s="131"/>
      <c r="I54" s="131"/>
      <c r="J54" s="219"/>
      <c r="K54" s="198"/>
      <c r="L54" s="131"/>
      <c r="M54" s="142"/>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42"/>
      <c r="AP54" s="131"/>
    </row>
    <row r="55" ht="18.0" customHeight="1">
      <c r="A55" s="220" t="s">
        <v>1230</v>
      </c>
      <c r="B55" s="142"/>
      <c r="C55" s="142"/>
      <c r="D55" s="142"/>
      <c r="E55" s="132"/>
      <c r="F55" s="131"/>
      <c r="G55" s="131"/>
      <c r="H55" s="131"/>
      <c r="I55" s="131"/>
      <c r="J55" s="219"/>
      <c r="K55" s="198"/>
      <c r="L55" s="131"/>
      <c r="M55" s="142"/>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42"/>
      <c r="AP55" s="131"/>
    </row>
    <row r="56" ht="18.0" customHeight="1">
      <c r="A56" s="142" t="s">
        <v>1554</v>
      </c>
      <c r="B56" s="142"/>
      <c r="C56" s="142"/>
      <c r="D56" s="142"/>
      <c r="E56" s="132"/>
      <c r="F56" s="131"/>
      <c r="G56" s="131"/>
      <c r="H56" s="131"/>
      <c r="I56" s="131"/>
      <c r="J56" s="219"/>
      <c r="K56" s="198"/>
      <c r="L56" s="131"/>
      <c r="M56" s="142"/>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42"/>
      <c r="AP56" s="131"/>
    </row>
    <row r="57" ht="18.0" customHeight="1">
      <c r="A57" s="142" t="s">
        <v>1555</v>
      </c>
      <c r="B57" s="142"/>
      <c r="C57" s="142"/>
      <c r="D57" s="142"/>
      <c r="E57" s="132"/>
      <c r="F57" s="131"/>
      <c r="G57" s="131"/>
      <c r="H57" s="131"/>
      <c r="I57" s="131"/>
      <c r="J57" s="219"/>
      <c r="K57" s="198"/>
      <c r="L57" s="131"/>
      <c r="M57" s="142"/>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42"/>
      <c r="AP57" s="131"/>
    </row>
    <row r="58" ht="18.0" customHeight="1">
      <c r="A58" s="142"/>
      <c r="B58" s="142" t="s">
        <v>1556</v>
      </c>
      <c r="C58" s="142" t="s">
        <v>1557</v>
      </c>
      <c r="D58" s="142"/>
      <c r="E58" s="132"/>
      <c r="F58" s="131"/>
      <c r="G58" s="131"/>
      <c r="H58" s="131"/>
      <c r="I58" s="131"/>
      <c r="J58" s="219"/>
      <c r="K58" s="198"/>
      <c r="L58" s="131"/>
      <c r="M58" s="142"/>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42"/>
      <c r="AP58" s="131"/>
    </row>
    <row r="59" ht="18.0" customHeight="1">
      <c r="A59" s="142"/>
      <c r="B59" s="142"/>
      <c r="C59" s="142" t="s">
        <v>1558</v>
      </c>
      <c r="D59" s="142"/>
      <c r="E59" s="132"/>
      <c r="F59" s="131"/>
      <c r="G59" s="131"/>
      <c r="H59" s="131"/>
      <c r="I59" s="131"/>
      <c r="J59" s="219"/>
      <c r="K59" s="198"/>
      <c r="L59" s="131"/>
      <c r="M59" s="142"/>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42"/>
      <c r="AP59" s="131"/>
    </row>
    <row r="60" ht="18.0" customHeight="1">
      <c r="A60" s="142"/>
      <c r="B60" s="142" t="s">
        <v>1559</v>
      </c>
      <c r="C60" s="142" t="s">
        <v>1560</v>
      </c>
      <c r="D60" s="142"/>
      <c r="E60" s="132"/>
      <c r="F60" s="131"/>
      <c r="G60" s="131"/>
      <c r="H60" s="131"/>
      <c r="I60" s="131"/>
      <c r="J60" s="219"/>
      <c r="K60" s="198"/>
      <c r="L60" s="131"/>
      <c r="M60" s="142"/>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42"/>
      <c r="AP60" s="131"/>
    </row>
    <row r="61" ht="18.0" customHeight="1">
      <c r="A61" s="142"/>
      <c r="B61" s="142"/>
      <c r="C61" s="142" t="s">
        <v>1561</v>
      </c>
      <c r="D61" s="142"/>
      <c r="E61" s="132"/>
      <c r="F61" s="131"/>
      <c r="G61" s="131"/>
      <c r="H61" s="131"/>
      <c r="I61" s="131"/>
      <c r="J61" s="219"/>
      <c r="K61" s="198"/>
      <c r="L61" s="131"/>
      <c r="M61" s="142"/>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42"/>
      <c r="AP61" s="131"/>
    </row>
    <row r="62" ht="18.0" customHeight="1">
      <c r="A62" s="142"/>
      <c r="B62" s="142"/>
      <c r="C62" s="142"/>
      <c r="D62" s="142"/>
      <c r="E62" s="132"/>
      <c r="F62" s="131"/>
      <c r="G62" s="131"/>
      <c r="H62" s="131"/>
      <c r="I62" s="131"/>
      <c r="J62" s="219"/>
      <c r="K62" s="198"/>
      <c r="L62" s="131"/>
      <c r="M62" s="142"/>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42"/>
      <c r="AP62" s="131"/>
    </row>
    <row r="63" ht="18.0" customHeight="1">
      <c r="A63" s="220" t="s">
        <v>1232</v>
      </c>
      <c r="B63" s="142"/>
      <c r="C63" s="142"/>
      <c r="D63" s="142"/>
      <c r="E63" s="132"/>
      <c r="F63" s="131"/>
      <c r="G63" s="131"/>
      <c r="H63" s="131"/>
      <c r="I63" s="131"/>
      <c r="J63" s="219"/>
      <c r="K63" s="198"/>
      <c r="L63" s="131"/>
      <c r="M63" s="142"/>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42"/>
      <c r="AP63" s="131"/>
    </row>
    <row r="64" ht="18.0" customHeight="1">
      <c r="A64" s="221" t="s">
        <v>1562</v>
      </c>
      <c r="B64" s="142"/>
      <c r="C64" s="142"/>
      <c r="D64" s="142"/>
      <c r="E64" s="132"/>
      <c r="F64" s="131"/>
      <c r="G64" s="131"/>
      <c r="H64" s="131"/>
      <c r="I64" s="131"/>
      <c r="J64" s="219"/>
      <c r="K64" s="198"/>
      <c r="L64" s="131"/>
      <c r="M64" s="142"/>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42"/>
      <c r="AP64" s="131"/>
    </row>
    <row r="65" ht="18.0" customHeight="1">
      <c r="A65" s="221" t="s">
        <v>1563</v>
      </c>
      <c r="B65" s="142"/>
      <c r="C65" s="142"/>
      <c r="D65" s="142"/>
      <c r="E65" s="132"/>
      <c r="F65" s="131"/>
      <c r="G65" s="131"/>
      <c r="H65" s="131"/>
      <c r="I65" s="131"/>
      <c r="J65" s="219"/>
      <c r="K65" s="198"/>
      <c r="L65" s="131"/>
      <c r="M65" s="142"/>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42"/>
      <c r="AP65" s="131"/>
    </row>
    <row r="66" ht="18.0" customHeight="1">
      <c r="A66" s="221" t="s">
        <v>1564</v>
      </c>
      <c r="B66" s="142"/>
      <c r="C66" s="142"/>
      <c r="D66" s="142"/>
      <c r="E66" s="132"/>
      <c r="F66" s="131"/>
      <c r="G66" s="131"/>
      <c r="H66" s="131"/>
      <c r="I66" s="131"/>
      <c r="J66" s="219"/>
      <c r="K66" s="198"/>
      <c r="L66" s="131"/>
      <c r="M66" s="142"/>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42"/>
      <c r="AP66" s="131"/>
    </row>
    <row r="67" ht="18.0" customHeight="1">
      <c r="A67" s="221" t="s">
        <v>1565</v>
      </c>
      <c r="B67" s="142"/>
      <c r="C67" s="142"/>
      <c r="D67" s="142"/>
      <c r="E67" s="132"/>
      <c r="F67" s="131"/>
      <c r="G67" s="131"/>
      <c r="H67" s="131"/>
      <c r="I67" s="131"/>
      <c r="J67" s="219"/>
      <c r="K67" s="198"/>
      <c r="L67" s="131"/>
      <c r="M67" s="142"/>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42"/>
      <c r="AP67" s="131"/>
    </row>
    <row r="68" ht="18.0" customHeight="1">
      <c r="A68" s="221" t="s">
        <v>1566</v>
      </c>
      <c r="B68" s="142"/>
      <c r="C68" s="142"/>
      <c r="D68" s="142"/>
      <c r="E68" s="132"/>
      <c r="F68" s="131"/>
      <c r="G68" s="131"/>
      <c r="H68" s="131"/>
      <c r="I68" s="131"/>
      <c r="J68" s="219"/>
      <c r="K68" s="198"/>
      <c r="L68" s="131"/>
      <c r="M68" s="142"/>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42"/>
      <c r="AP68" s="131"/>
    </row>
    <row r="69" ht="18.0" customHeight="1">
      <c r="A69" s="221"/>
      <c r="B69" s="142"/>
      <c r="C69" s="142"/>
      <c r="D69" s="142"/>
      <c r="E69" s="132"/>
      <c r="F69" s="131"/>
      <c r="G69" s="131"/>
      <c r="H69" s="131"/>
      <c r="I69" s="131"/>
      <c r="J69" s="219"/>
      <c r="K69" s="198"/>
      <c r="L69" s="131"/>
      <c r="M69" s="142"/>
      <c r="N69" s="131"/>
      <c r="O69" s="131"/>
      <c r="P69" s="131"/>
      <c r="Q69" s="131"/>
      <c r="R69" s="131"/>
      <c r="S69" s="131"/>
      <c r="T69" s="131"/>
      <c r="U69" s="131"/>
      <c r="V69" s="131"/>
      <c r="W69" s="131"/>
      <c r="X69" s="131"/>
      <c r="Y69" s="131"/>
      <c r="Z69" s="131"/>
      <c r="AA69" s="131"/>
      <c r="AB69" s="131"/>
      <c r="AC69" s="210"/>
      <c r="AD69" s="131"/>
      <c r="AE69" s="131"/>
      <c r="AF69" s="131"/>
      <c r="AG69" s="131"/>
      <c r="AH69" s="131"/>
      <c r="AI69" s="131"/>
      <c r="AJ69" s="131"/>
      <c r="AK69" s="131"/>
      <c r="AL69" s="131"/>
      <c r="AM69" s="131"/>
      <c r="AN69" s="131"/>
      <c r="AO69" s="142"/>
      <c r="AP69" s="131"/>
    </row>
    <row r="70" ht="13.5" customHeight="1">
      <c r="A70" s="142"/>
      <c r="B70" s="142"/>
      <c r="C70" s="142"/>
      <c r="D70" s="142"/>
      <c r="E70" s="132"/>
      <c r="F70" s="131"/>
      <c r="G70" s="131"/>
      <c r="H70" s="131"/>
      <c r="I70" s="131"/>
      <c r="J70" s="219"/>
      <c r="K70" s="198"/>
      <c r="L70" s="131"/>
      <c r="M70" s="142"/>
      <c r="N70" s="131"/>
      <c r="O70" s="131"/>
      <c r="P70" s="131"/>
      <c r="Q70" s="131"/>
      <c r="R70" s="131"/>
      <c r="S70" s="131"/>
      <c r="T70" s="131"/>
      <c r="U70" s="131"/>
      <c r="V70" s="131"/>
      <c r="W70" s="131"/>
      <c r="X70" s="131"/>
      <c r="Y70" s="131"/>
      <c r="Z70" s="131"/>
      <c r="AA70" s="131"/>
      <c r="AB70" s="330"/>
      <c r="AC70" s="331"/>
      <c r="AD70" s="332"/>
      <c r="AE70" s="131"/>
      <c r="AF70" s="131"/>
      <c r="AG70" s="131"/>
      <c r="AH70" s="131"/>
      <c r="AI70" s="131"/>
      <c r="AJ70" s="131"/>
      <c r="AK70" s="131"/>
      <c r="AL70" s="131"/>
      <c r="AM70" s="131"/>
      <c r="AN70" s="131"/>
      <c r="AO70" s="142"/>
      <c r="AP70" s="131"/>
    </row>
    <row r="71" ht="13.5" customHeight="1">
      <c r="A71" s="142"/>
      <c r="B71" s="142"/>
      <c r="C71" s="142"/>
      <c r="D71" s="142"/>
      <c r="E71" s="132"/>
      <c r="F71" s="131"/>
      <c r="G71" s="131"/>
      <c r="H71" s="131"/>
      <c r="I71" s="131"/>
      <c r="J71" s="219"/>
      <c r="K71" s="198"/>
      <c r="L71" s="131"/>
      <c r="M71" s="142"/>
      <c r="N71" s="131"/>
      <c r="O71" s="131"/>
      <c r="P71" s="131"/>
      <c r="Q71" s="131"/>
      <c r="R71" s="131"/>
      <c r="S71" s="131"/>
      <c r="T71" s="131"/>
      <c r="U71" s="131"/>
      <c r="V71" s="131"/>
      <c r="W71" s="131"/>
      <c r="X71" s="131"/>
      <c r="Y71" s="131"/>
      <c r="Z71" s="131"/>
      <c r="AA71" s="131"/>
      <c r="AB71" s="330"/>
      <c r="AC71" s="331"/>
      <c r="AD71" s="332"/>
      <c r="AE71" s="131"/>
      <c r="AF71" s="131"/>
      <c r="AG71" s="131"/>
      <c r="AH71" s="131"/>
      <c r="AI71" s="131"/>
      <c r="AJ71" s="131"/>
      <c r="AK71" s="131"/>
      <c r="AL71" s="131"/>
      <c r="AM71" s="131"/>
      <c r="AN71" s="131"/>
      <c r="AO71" s="142"/>
      <c r="AP71" s="131"/>
    </row>
    <row r="72" ht="13.5" customHeight="1">
      <c r="A72" s="142"/>
      <c r="B72" s="142"/>
      <c r="C72" s="142"/>
      <c r="D72" s="142"/>
      <c r="E72" s="132"/>
      <c r="F72" s="131"/>
      <c r="G72" s="131"/>
      <c r="H72" s="131"/>
      <c r="I72" s="131"/>
      <c r="J72" s="219"/>
      <c r="K72" s="198"/>
      <c r="L72" s="131"/>
      <c r="M72" s="142"/>
      <c r="N72" s="131"/>
      <c r="O72" s="131"/>
      <c r="P72" s="131"/>
      <c r="Q72" s="131"/>
      <c r="R72" s="131"/>
      <c r="S72" s="131"/>
      <c r="T72" s="131"/>
      <c r="U72" s="131"/>
      <c r="V72" s="131"/>
      <c r="W72" s="131"/>
      <c r="X72" s="131"/>
      <c r="Y72" s="131"/>
      <c r="Z72" s="131"/>
      <c r="AA72" s="131"/>
      <c r="AB72" s="330"/>
      <c r="AC72" s="331"/>
      <c r="AD72" s="332"/>
      <c r="AE72" s="131"/>
      <c r="AF72" s="131"/>
      <c r="AG72" s="131"/>
      <c r="AH72" s="131"/>
      <c r="AI72" s="131"/>
      <c r="AJ72" s="131"/>
      <c r="AK72" s="131"/>
      <c r="AL72" s="131"/>
      <c r="AM72" s="131"/>
      <c r="AN72" s="131"/>
      <c r="AO72" s="142"/>
      <c r="AP72" s="131"/>
    </row>
    <row r="73" ht="13.5" customHeight="1">
      <c r="A73" s="142"/>
      <c r="B73" s="142"/>
      <c r="C73" s="142"/>
      <c r="D73" s="142"/>
      <c r="E73" s="132"/>
      <c r="F73" s="131"/>
      <c r="G73" s="131"/>
      <c r="H73" s="131"/>
      <c r="I73" s="131"/>
      <c r="J73" s="219"/>
      <c r="K73" s="198"/>
      <c r="L73" s="131"/>
      <c r="M73" s="142"/>
      <c r="N73" s="131"/>
      <c r="O73" s="131"/>
      <c r="P73" s="131"/>
      <c r="Q73" s="131"/>
      <c r="R73" s="131"/>
      <c r="S73" s="131"/>
      <c r="T73" s="131"/>
      <c r="U73" s="131"/>
      <c r="V73" s="131"/>
      <c r="W73" s="131"/>
      <c r="X73" s="131"/>
      <c r="Y73" s="131"/>
      <c r="Z73" s="131"/>
      <c r="AA73" s="131"/>
      <c r="AB73" s="330"/>
      <c r="AC73" s="331"/>
      <c r="AD73" s="332"/>
      <c r="AE73" s="131"/>
      <c r="AF73" s="131"/>
      <c r="AG73" s="131"/>
      <c r="AH73" s="131"/>
      <c r="AI73" s="131"/>
      <c r="AJ73" s="131"/>
      <c r="AK73" s="131"/>
      <c r="AL73" s="131"/>
      <c r="AM73" s="131"/>
      <c r="AN73" s="131"/>
      <c r="AO73" s="142"/>
      <c r="AP73" s="131"/>
    </row>
    <row r="74" ht="13.5" customHeight="1">
      <c r="A74" s="142"/>
      <c r="B74" s="142"/>
      <c r="C74" s="142"/>
      <c r="D74" s="142"/>
      <c r="E74" s="132"/>
      <c r="F74" s="131"/>
      <c r="G74" s="131"/>
      <c r="H74" s="131"/>
      <c r="I74" s="131"/>
      <c r="J74" s="219"/>
      <c r="K74" s="198"/>
      <c r="L74" s="131"/>
      <c r="M74" s="142"/>
      <c r="N74" s="131"/>
      <c r="O74" s="131"/>
      <c r="P74" s="131"/>
      <c r="Q74" s="131"/>
      <c r="R74" s="131"/>
      <c r="S74" s="131"/>
      <c r="T74" s="131"/>
      <c r="U74" s="131"/>
      <c r="V74" s="131"/>
      <c r="W74" s="131"/>
      <c r="X74" s="131"/>
      <c r="Y74" s="131"/>
      <c r="Z74" s="131"/>
      <c r="AA74" s="131"/>
      <c r="AB74" s="330"/>
      <c r="AC74" s="331"/>
      <c r="AD74" s="332"/>
      <c r="AE74" s="131"/>
      <c r="AF74" s="131"/>
      <c r="AG74" s="131"/>
      <c r="AH74" s="131"/>
      <c r="AI74" s="131"/>
      <c r="AJ74" s="131"/>
      <c r="AK74" s="131"/>
      <c r="AL74" s="131"/>
      <c r="AM74" s="131"/>
      <c r="AN74" s="131"/>
      <c r="AO74" s="142"/>
      <c r="AP74" s="131"/>
    </row>
    <row r="75" ht="13.5" customHeight="1">
      <c r="A75" s="142"/>
      <c r="B75" s="142"/>
      <c r="C75" s="142"/>
      <c r="D75" s="142"/>
      <c r="E75" s="132"/>
      <c r="F75" s="131"/>
      <c r="G75" s="131"/>
      <c r="H75" s="131"/>
      <c r="I75" s="131"/>
      <c r="J75" s="219"/>
      <c r="K75" s="198"/>
      <c r="L75" s="131"/>
      <c r="M75" s="142"/>
      <c r="N75" s="131"/>
      <c r="O75" s="131"/>
      <c r="P75" s="131"/>
      <c r="Q75" s="131"/>
      <c r="R75" s="131"/>
      <c r="S75" s="131"/>
      <c r="T75" s="131"/>
      <c r="U75" s="131"/>
      <c r="V75" s="131"/>
      <c r="W75" s="131"/>
      <c r="X75" s="131"/>
      <c r="Y75" s="131"/>
      <c r="Z75" s="131"/>
      <c r="AA75" s="131"/>
      <c r="AB75" s="330"/>
      <c r="AC75" s="331"/>
      <c r="AD75" s="332"/>
      <c r="AE75" s="131"/>
      <c r="AF75" s="131"/>
      <c r="AG75" s="131"/>
      <c r="AH75" s="131"/>
      <c r="AI75" s="131"/>
      <c r="AJ75" s="131"/>
      <c r="AK75" s="131"/>
      <c r="AL75" s="131"/>
      <c r="AM75" s="131"/>
      <c r="AN75" s="131"/>
      <c r="AO75" s="142"/>
      <c r="AP75" s="131"/>
    </row>
    <row r="76" ht="13.5" customHeight="1">
      <c r="A76" s="142"/>
      <c r="B76" s="142"/>
      <c r="C76" s="142"/>
      <c r="D76" s="142"/>
      <c r="E76" s="132"/>
      <c r="F76" s="131"/>
      <c r="G76" s="131"/>
      <c r="H76" s="131"/>
      <c r="I76" s="131"/>
      <c r="J76" s="219"/>
      <c r="K76" s="198"/>
      <c r="L76" s="131"/>
      <c r="M76" s="142"/>
      <c r="N76" s="131"/>
      <c r="O76" s="131"/>
      <c r="P76" s="131"/>
      <c r="Q76" s="131"/>
      <c r="R76" s="131"/>
      <c r="S76" s="131"/>
      <c r="T76" s="131"/>
      <c r="U76" s="131"/>
      <c r="V76" s="131"/>
      <c r="W76" s="131"/>
      <c r="X76" s="131"/>
      <c r="Y76" s="131"/>
      <c r="Z76" s="131"/>
      <c r="AA76" s="131"/>
      <c r="AB76" s="330"/>
      <c r="AC76" s="331"/>
      <c r="AD76" s="332"/>
      <c r="AE76" s="131"/>
      <c r="AF76" s="131"/>
      <c r="AG76" s="131"/>
      <c r="AH76" s="131"/>
      <c r="AI76" s="131"/>
      <c r="AJ76" s="131"/>
      <c r="AK76" s="131"/>
      <c r="AL76" s="131"/>
      <c r="AM76" s="131"/>
      <c r="AN76" s="131"/>
      <c r="AO76" s="142"/>
      <c r="AP76" s="131"/>
    </row>
    <row r="77" ht="13.5" customHeight="1">
      <c r="A77" s="142"/>
      <c r="B77" s="142"/>
      <c r="C77" s="142"/>
      <c r="D77" s="142"/>
      <c r="E77" s="132"/>
      <c r="F77" s="131"/>
      <c r="G77" s="131"/>
      <c r="H77" s="131"/>
      <c r="I77" s="131"/>
      <c r="J77" s="219"/>
      <c r="K77" s="198"/>
      <c r="L77" s="131"/>
      <c r="M77" s="142"/>
      <c r="N77" s="131"/>
      <c r="O77" s="131"/>
      <c r="P77" s="131"/>
      <c r="Q77" s="131"/>
      <c r="R77" s="131"/>
      <c r="S77" s="131"/>
      <c r="T77" s="131"/>
      <c r="U77" s="131"/>
      <c r="V77" s="131"/>
      <c r="W77" s="131"/>
      <c r="X77" s="131"/>
      <c r="Y77" s="131"/>
      <c r="Z77" s="131"/>
      <c r="AA77" s="131"/>
      <c r="AB77" s="330"/>
      <c r="AC77" s="331"/>
      <c r="AD77" s="332"/>
      <c r="AE77" s="131"/>
      <c r="AF77" s="131"/>
      <c r="AG77" s="131"/>
      <c r="AH77" s="131"/>
      <c r="AI77" s="131"/>
      <c r="AJ77" s="131"/>
      <c r="AK77" s="131"/>
      <c r="AL77" s="131"/>
      <c r="AM77" s="131"/>
      <c r="AN77" s="131"/>
      <c r="AO77" s="142"/>
      <c r="AP77" s="131"/>
    </row>
    <row r="78" ht="13.5" customHeight="1">
      <c r="A78" s="142"/>
      <c r="B78" s="142"/>
      <c r="C78" s="142"/>
      <c r="D78" s="142"/>
      <c r="E78" s="132"/>
      <c r="F78" s="131"/>
      <c r="G78" s="131"/>
      <c r="H78" s="131"/>
      <c r="I78" s="131"/>
      <c r="J78" s="219"/>
      <c r="K78" s="198"/>
      <c r="L78" s="131"/>
      <c r="M78" s="142"/>
      <c r="N78" s="131"/>
      <c r="O78" s="131"/>
      <c r="P78" s="131"/>
      <c r="Q78" s="131"/>
      <c r="R78" s="131"/>
      <c r="S78" s="131"/>
      <c r="T78" s="131"/>
      <c r="U78" s="131"/>
      <c r="V78" s="131"/>
      <c r="W78" s="131"/>
      <c r="X78" s="131"/>
      <c r="Y78" s="131"/>
      <c r="Z78" s="131"/>
      <c r="AA78" s="131"/>
      <c r="AB78" s="330"/>
      <c r="AC78" s="331"/>
      <c r="AD78" s="332"/>
      <c r="AE78" s="131"/>
      <c r="AF78" s="131"/>
      <c r="AG78" s="131"/>
      <c r="AH78" s="131"/>
      <c r="AI78" s="131"/>
      <c r="AJ78" s="131"/>
      <c r="AK78" s="131"/>
      <c r="AL78" s="131"/>
      <c r="AM78" s="131"/>
      <c r="AN78" s="131"/>
      <c r="AO78" s="142"/>
      <c r="AP78" s="131"/>
    </row>
    <row r="79" ht="13.5" customHeight="1">
      <c r="A79" s="142"/>
      <c r="B79" s="142"/>
      <c r="C79" s="142"/>
      <c r="D79" s="142"/>
      <c r="E79" s="132"/>
      <c r="F79" s="131"/>
      <c r="G79" s="131"/>
      <c r="H79" s="131"/>
      <c r="I79" s="131"/>
      <c r="J79" s="219"/>
      <c r="K79" s="198"/>
      <c r="L79" s="131"/>
      <c r="M79" s="142"/>
      <c r="N79" s="131"/>
      <c r="O79" s="131"/>
      <c r="P79" s="131"/>
      <c r="Q79" s="131"/>
      <c r="R79" s="131"/>
      <c r="S79" s="131"/>
      <c r="T79" s="131"/>
      <c r="U79" s="131"/>
      <c r="V79" s="131"/>
      <c r="W79" s="131"/>
      <c r="X79" s="131"/>
      <c r="Y79" s="131"/>
      <c r="Z79" s="131"/>
      <c r="AA79" s="131"/>
      <c r="AB79" s="330"/>
      <c r="AC79" s="331"/>
      <c r="AD79" s="332"/>
      <c r="AE79" s="131"/>
      <c r="AF79" s="131"/>
      <c r="AG79" s="131"/>
      <c r="AH79" s="131"/>
      <c r="AI79" s="131"/>
      <c r="AJ79" s="131"/>
      <c r="AK79" s="131"/>
      <c r="AL79" s="131"/>
      <c r="AM79" s="131"/>
      <c r="AN79" s="131"/>
      <c r="AO79" s="142"/>
      <c r="AP79" s="131"/>
    </row>
    <row r="80" ht="13.5" customHeight="1">
      <c r="A80" s="142"/>
      <c r="B80" s="142"/>
      <c r="C80" s="142"/>
      <c r="D80" s="142"/>
      <c r="E80" s="132"/>
      <c r="F80" s="131"/>
      <c r="G80" s="131"/>
      <c r="H80" s="131"/>
      <c r="I80" s="131"/>
      <c r="J80" s="219"/>
      <c r="K80" s="198"/>
      <c r="L80" s="131"/>
      <c r="M80" s="142"/>
      <c r="N80" s="131"/>
      <c r="O80" s="131"/>
      <c r="P80" s="131"/>
      <c r="Q80" s="131"/>
      <c r="R80" s="131"/>
      <c r="S80" s="131"/>
      <c r="T80" s="131"/>
      <c r="U80" s="131"/>
      <c r="V80" s="131"/>
      <c r="W80" s="131"/>
      <c r="X80" s="131"/>
      <c r="Y80" s="131"/>
      <c r="Z80" s="131"/>
      <c r="AA80" s="131"/>
      <c r="AB80" s="330"/>
      <c r="AC80" s="331"/>
      <c r="AD80" s="332"/>
      <c r="AE80" s="131"/>
      <c r="AF80" s="131"/>
      <c r="AG80" s="131"/>
      <c r="AH80" s="131"/>
      <c r="AI80" s="131"/>
      <c r="AJ80" s="131"/>
      <c r="AK80" s="131"/>
      <c r="AL80" s="131"/>
      <c r="AM80" s="131"/>
      <c r="AN80" s="131"/>
      <c r="AO80" s="142"/>
      <c r="AP80" s="131"/>
    </row>
    <row r="81" ht="13.5" customHeight="1">
      <c r="A81" s="142"/>
      <c r="B81" s="142"/>
      <c r="C81" s="142"/>
      <c r="D81" s="142"/>
      <c r="E81" s="132"/>
      <c r="F81" s="131"/>
      <c r="G81" s="131"/>
      <c r="H81" s="131"/>
      <c r="I81" s="131"/>
      <c r="J81" s="219"/>
      <c r="K81" s="198"/>
      <c r="L81" s="131"/>
      <c r="M81" s="142"/>
      <c r="N81" s="131"/>
      <c r="O81" s="131"/>
      <c r="P81" s="131"/>
      <c r="Q81" s="131"/>
      <c r="R81" s="131"/>
      <c r="S81" s="131"/>
      <c r="T81" s="131"/>
      <c r="U81" s="131"/>
      <c r="V81" s="131"/>
      <c r="W81" s="131"/>
      <c r="X81" s="131"/>
      <c r="Y81" s="131"/>
      <c r="Z81" s="131"/>
      <c r="AA81" s="131"/>
      <c r="AB81" s="330"/>
      <c r="AC81" s="331"/>
      <c r="AD81" s="332"/>
      <c r="AE81" s="131"/>
      <c r="AF81" s="131"/>
      <c r="AG81" s="131"/>
      <c r="AH81" s="131"/>
      <c r="AI81" s="131"/>
      <c r="AJ81" s="131"/>
      <c r="AK81" s="131"/>
      <c r="AL81" s="131"/>
      <c r="AM81" s="131"/>
      <c r="AN81" s="131"/>
      <c r="AO81" s="142"/>
      <c r="AP81" s="131"/>
    </row>
    <row r="82" ht="13.5" customHeight="1">
      <c r="A82" s="142"/>
      <c r="B82" s="142"/>
      <c r="C82" s="142"/>
      <c r="D82" s="142"/>
      <c r="E82" s="132"/>
      <c r="F82" s="131"/>
      <c r="G82" s="131"/>
      <c r="H82" s="131"/>
      <c r="I82" s="131"/>
      <c r="J82" s="219"/>
      <c r="K82" s="198"/>
      <c r="L82" s="131"/>
      <c r="M82" s="142"/>
      <c r="N82" s="131"/>
      <c r="O82" s="131"/>
      <c r="P82" s="131"/>
      <c r="Q82" s="131"/>
      <c r="R82" s="131"/>
      <c r="S82" s="131"/>
      <c r="T82" s="131"/>
      <c r="U82" s="131"/>
      <c r="V82" s="131"/>
      <c r="W82" s="131"/>
      <c r="X82" s="131"/>
      <c r="Y82" s="131"/>
      <c r="Z82" s="131"/>
      <c r="AA82" s="131"/>
      <c r="AB82" s="330"/>
      <c r="AC82" s="331"/>
      <c r="AD82" s="332"/>
      <c r="AE82" s="131"/>
      <c r="AF82" s="131"/>
      <c r="AG82" s="131"/>
      <c r="AH82" s="131"/>
      <c r="AI82" s="131"/>
      <c r="AJ82" s="131"/>
      <c r="AK82" s="131"/>
      <c r="AL82" s="131"/>
      <c r="AM82" s="131"/>
      <c r="AN82" s="131"/>
      <c r="AO82" s="142"/>
      <c r="AP82" s="131"/>
    </row>
    <row r="83" ht="13.5" customHeight="1">
      <c r="A83" s="142"/>
      <c r="B83" s="142"/>
      <c r="C83" s="142"/>
      <c r="D83" s="142"/>
      <c r="E83" s="132"/>
      <c r="F83" s="131"/>
      <c r="G83" s="131"/>
      <c r="H83" s="131"/>
      <c r="I83" s="131"/>
      <c r="J83" s="219"/>
      <c r="K83" s="198"/>
      <c r="L83" s="131"/>
      <c r="M83" s="142"/>
      <c r="N83" s="131"/>
      <c r="O83" s="131"/>
      <c r="P83" s="131"/>
      <c r="Q83" s="131"/>
      <c r="R83" s="131"/>
      <c r="S83" s="131"/>
      <c r="T83" s="131"/>
      <c r="U83" s="131"/>
      <c r="V83" s="131"/>
      <c r="W83" s="131"/>
      <c r="X83" s="131"/>
      <c r="Y83" s="131"/>
      <c r="Z83" s="131"/>
      <c r="AA83" s="131"/>
      <c r="AB83" s="330"/>
      <c r="AC83" s="331"/>
      <c r="AD83" s="332"/>
      <c r="AE83" s="131"/>
      <c r="AF83" s="131"/>
      <c r="AG83" s="131"/>
      <c r="AH83" s="131"/>
      <c r="AI83" s="131"/>
      <c r="AJ83" s="131"/>
      <c r="AK83" s="131"/>
      <c r="AL83" s="131"/>
      <c r="AM83" s="131"/>
      <c r="AN83" s="131"/>
      <c r="AO83" s="142"/>
      <c r="AP83" s="131"/>
    </row>
    <row r="84" ht="13.5" customHeight="1">
      <c r="A84" s="142"/>
      <c r="B84" s="142"/>
      <c r="C84" s="142"/>
      <c r="D84" s="142"/>
      <c r="E84" s="132"/>
      <c r="F84" s="131"/>
      <c r="G84" s="131"/>
      <c r="H84" s="131"/>
      <c r="I84" s="131"/>
      <c r="J84" s="219"/>
      <c r="K84" s="198"/>
      <c r="L84" s="131"/>
      <c r="M84" s="142"/>
      <c r="N84" s="131"/>
      <c r="O84" s="131"/>
      <c r="P84" s="131"/>
      <c r="Q84" s="131"/>
      <c r="R84" s="131"/>
      <c r="S84" s="131"/>
      <c r="T84" s="131"/>
      <c r="U84" s="131"/>
      <c r="V84" s="131"/>
      <c r="W84" s="131"/>
      <c r="X84" s="131"/>
      <c r="Y84" s="131"/>
      <c r="Z84" s="131"/>
      <c r="AA84" s="131"/>
      <c r="AB84" s="330"/>
      <c r="AC84" s="331"/>
      <c r="AD84" s="332"/>
      <c r="AE84" s="131"/>
      <c r="AF84" s="131"/>
      <c r="AG84" s="131"/>
      <c r="AH84" s="131"/>
      <c r="AI84" s="131"/>
      <c r="AJ84" s="131"/>
      <c r="AK84" s="131"/>
      <c r="AL84" s="131"/>
      <c r="AM84" s="131"/>
      <c r="AN84" s="131"/>
      <c r="AO84" s="142"/>
      <c r="AP84" s="131"/>
    </row>
    <row r="85" ht="13.5" customHeight="1">
      <c r="A85" s="142"/>
      <c r="B85" s="142"/>
      <c r="C85" s="142"/>
      <c r="D85" s="142"/>
      <c r="E85" s="132"/>
      <c r="F85" s="131"/>
      <c r="G85" s="131"/>
      <c r="H85" s="131"/>
      <c r="I85" s="131"/>
      <c r="J85" s="219"/>
      <c r="K85" s="198"/>
      <c r="L85" s="131"/>
      <c r="M85" s="142"/>
      <c r="N85" s="131"/>
      <c r="O85" s="131"/>
      <c r="P85" s="131"/>
      <c r="Q85" s="131"/>
      <c r="R85" s="131"/>
      <c r="S85" s="131"/>
      <c r="T85" s="131"/>
      <c r="U85" s="131"/>
      <c r="V85" s="131"/>
      <c r="W85" s="131"/>
      <c r="X85" s="131"/>
      <c r="Y85" s="131"/>
      <c r="Z85" s="131"/>
      <c r="AA85" s="131"/>
      <c r="AB85" s="330"/>
      <c r="AC85" s="331"/>
      <c r="AD85" s="332"/>
      <c r="AE85" s="131"/>
      <c r="AF85" s="131"/>
      <c r="AG85" s="131"/>
      <c r="AH85" s="131"/>
      <c r="AI85" s="131"/>
      <c r="AJ85" s="131"/>
      <c r="AK85" s="131"/>
      <c r="AL85" s="131"/>
      <c r="AM85" s="131"/>
      <c r="AN85" s="131"/>
      <c r="AO85" s="142"/>
      <c r="AP85" s="131"/>
    </row>
    <row r="86" ht="13.5" customHeight="1">
      <c r="A86" s="142"/>
      <c r="B86" s="142"/>
      <c r="C86" s="142"/>
      <c r="D86" s="142"/>
      <c r="E86" s="132"/>
      <c r="F86" s="131"/>
      <c r="G86" s="131"/>
      <c r="H86" s="131"/>
      <c r="I86" s="131"/>
      <c r="J86" s="219"/>
      <c r="K86" s="198"/>
      <c r="L86" s="131"/>
      <c r="M86" s="142"/>
      <c r="N86" s="131"/>
      <c r="O86" s="131"/>
      <c r="P86" s="131"/>
      <c r="Q86" s="131"/>
      <c r="R86" s="131"/>
      <c r="S86" s="131"/>
      <c r="T86" s="131"/>
      <c r="U86" s="131"/>
      <c r="V86" s="131"/>
      <c r="W86" s="131"/>
      <c r="X86" s="131"/>
      <c r="Y86" s="131"/>
      <c r="Z86" s="131"/>
      <c r="AA86" s="131"/>
      <c r="AB86" s="330"/>
      <c r="AC86" s="331"/>
      <c r="AD86" s="332"/>
      <c r="AE86" s="131"/>
      <c r="AF86" s="131"/>
      <c r="AG86" s="131"/>
      <c r="AH86" s="131"/>
      <c r="AI86" s="131"/>
      <c r="AJ86" s="131"/>
      <c r="AK86" s="131"/>
      <c r="AL86" s="131"/>
      <c r="AM86" s="131"/>
      <c r="AN86" s="131"/>
      <c r="AO86" s="142"/>
      <c r="AP86" s="131"/>
    </row>
    <row r="87" ht="13.5" customHeight="1">
      <c r="A87" s="142"/>
      <c r="B87" s="142"/>
      <c r="C87" s="142"/>
      <c r="D87" s="142"/>
      <c r="E87" s="132"/>
      <c r="F87" s="131"/>
      <c r="G87" s="131"/>
      <c r="H87" s="131"/>
      <c r="I87" s="131"/>
      <c r="J87" s="219"/>
      <c r="K87" s="198"/>
      <c r="L87" s="131"/>
      <c r="M87" s="142"/>
      <c r="N87" s="131"/>
      <c r="O87" s="131"/>
      <c r="P87" s="131"/>
      <c r="Q87" s="131"/>
      <c r="R87" s="131"/>
      <c r="S87" s="131"/>
      <c r="T87" s="131"/>
      <c r="U87" s="131"/>
      <c r="V87" s="131"/>
      <c r="W87" s="131"/>
      <c r="X87" s="131"/>
      <c r="Y87" s="131"/>
      <c r="Z87" s="131"/>
      <c r="AA87" s="131"/>
      <c r="AB87" s="330"/>
      <c r="AC87" s="331"/>
      <c r="AD87" s="332"/>
      <c r="AE87" s="131"/>
      <c r="AF87" s="131"/>
      <c r="AG87" s="131"/>
      <c r="AH87" s="131"/>
      <c r="AI87" s="131"/>
      <c r="AJ87" s="131"/>
      <c r="AK87" s="131"/>
      <c r="AL87" s="131"/>
      <c r="AM87" s="131"/>
      <c r="AN87" s="131"/>
      <c r="AO87" s="142"/>
      <c r="AP87" s="131"/>
    </row>
    <row r="88" ht="13.5" customHeight="1">
      <c r="A88" s="142"/>
      <c r="B88" s="142"/>
      <c r="C88" s="142"/>
      <c r="D88" s="142"/>
      <c r="E88" s="132"/>
      <c r="F88" s="131"/>
      <c r="G88" s="131"/>
      <c r="H88" s="131"/>
      <c r="I88" s="131"/>
      <c r="J88" s="219"/>
      <c r="K88" s="198"/>
      <c r="L88" s="131"/>
      <c r="M88" s="142"/>
      <c r="N88" s="131"/>
      <c r="O88" s="131"/>
      <c r="P88" s="131"/>
      <c r="Q88" s="131"/>
      <c r="R88" s="131"/>
      <c r="S88" s="131"/>
      <c r="T88" s="131"/>
      <c r="U88" s="131"/>
      <c r="V88" s="131"/>
      <c r="W88" s="131"/>
      <c r="X88" s="131"/>
      <c r="Y88" s="131"/>
      <c r="Z88" s="131"/>
      <c r="AA88" s="131"/>
      <c r="AB88" s="330"/>
      <c r="AC88" s="331"/>
      <c r="AD88" s="332"/>
      <c r="AE88" s="131"/>
      <c r="AF88" s="131"/>
      <c r="AG88" s="131"/>
      <c r="AH88" s="131"/>
      <c r="AI88" s="131"/>
      <c r="AJ88" s="131"/>
      <c r="AK88" s="131"/>
      <c r="AL88" s="131"/>
      <c r="AM88" s="131"/>
      <c r="AN88" s="131"/>
      <c r="AO88" s="142"/>
      <c r="AP88" s="131"/>
    </row>
    <row r="89" ht="13.5" customHeight="1">
      <c r="A89" s="142"/>
      <c r="B89" s="142"/>
      <c r="C89" s="142"/>
      <c r="D89" s="142"/>
      <c r="E89" s="132"/>
      <c r="F89" s="131"/>
      <c r="G89" s="131"/>
      <c r="H89" s="131"/>
      <c r="I89" s="131"/>
      <c r="J89" s="219"/>
      <c r="K89" s="198"/>
      <c r="L89" s="131"/>
      <c r="M89" s="142"/>
      <c r="N89" s="131"/>
      <c r="O89" s="131"/>
      <c r="P89" s="131"/>
      <c r="Q89" s="131"/>
      <c r="R89" s="131"/>
      <c r="S89" s="131"/>
      <c r="T89" s="131"/>
      <c r="U89" s="131"/>
      <c r="V89" s="131"/>
      <c r="W89" s="131"/>
      <c r="X89" s="131"/>
      <c r="Y89" s="131"/>
      <c r="Z89" s="131"/>
      <c r="AA89" s="131"/>
      <c r="AB89" s="330"/>
      <c r="AC89" s="331"/>
      <c r="AD89" s="332"/>
      <c r="AE89" s="131"/>
      <c r="AF89" s="131"/>
      <c r="AG89" s="131"/>
      <c r="AH89" s="131"/>
      <c r="AI89" s="131"/>
      <c r="AJ89" s="131"/>
      <c r="AK89" s="131"/>
      <c r="AL89" s="131"/>
      <c r="AM89" s="131"/>
      <c r="AN89" s="131"/>
      <c r="AO89" s="142"/>
      <c r="AP89" s="131"/>
    </row>
    <row r="90" ht="13.5" customHeight="1">
      <c r="A90" s="142"/>
      <c r="B90" s="142"/>
      <c r="C90" s="142"/>
      <c r="D90" s="142"/>
      <c r="E90" s="132"/>
      <c r="F90" s="131"/>
      <c r="G90" s="131"/>
      <c r="H90" s="131"/>
      <c r="I90" s="131"/>
      <c r="J90" s="219"/>
      <c r="K90" s="198"/>
      <c r="L90" s="131"/>
      <c r="M90" s="142"/>
      <c r="N90" s="131"/>
      <c r="O90" s="131"/>
      <c r="P90" s="131"/>
      <c r="Q90" s="131"/>
      <c r="R90" s="131"/>
      <c r="S90" s="131"/>
      <c r="T90" s="131"/>
      <c r="U90" s="131"/>
      <c r="V90" s="131"/>
      <c r="W90" s="131"/>
      <c r="X90" s="131"/>
      <c r="Y90" s="131"/>
      <c r="Z90" s="131"/>
      <c r="AA90" s="131"/>
      <c r="AB90" s="330"/>
      <c r="AC90" s="331"/>
      <c r="AD90" s="332"/>
      <c r="AE90" s="131"/>
      <c r="AF90" s="131"/>
      <c r="AG90" s="131"/>
      <c r="AH90" s="131"/>
      <c r="AI90" s="131"/>
      <c r="AJ90" s="131"/>
      <c r="AK90" s="131"/>
      <c r="AL90" s="131"/>
      <c r="AM90" s="131"/>
      <c r="AN90" s="131"/>
      <c r="AO90" s="142"/>
      <c r="AP90" s="131"/>
    </row>
    <row r="91" ht="13.5" customHeight="1">
      <c r="A91" s="142"/>
      <c r="B91" s="142"/>
      <c r="C91" s="142"/>
      <c r="D91" s="142"/>
      <c r="E91" s="132"/>
      <c r="F91" s="131"/>
      <c r="G91" s="131"/>
      <c r="H91" s="131"/>
      <c r="I91" s="131"/>
      <c r="J91" s="219"/>
      <c r="K91" s="198"/>
      <c r="L91" s="131"/>
      <c r="M91" s="142"/>
      <c r="N91" s="131"/>
      <c r="O91" s="131"/>
      <c r="P91" s="131"/>
      <c r="Q91" s="131"/>
      <c r="R91" s="131"/>
      <c r="S91" s="131"/>
      <c r="T91" s="131"/>
      <c r="U91" s="131"/>
      <c r="V91" s="131"/>
      <c r="W91" s="131"/>
      <c r="X91" s="131"/>
      <c r="Y91" s="131"/>
      <c r="Z91" s="131"/>
      <c r="AA91" s="131"/>
      <c r="AB91" s="330"/>
      <c r="AC91" s="331"/>
      <c r="AD91" s="332"/>
      <c r="AE91" s="131"/>
      <c r="AF91" s="131"/>
      <c r="AG91" s="131"/>
      <c r="AH91" s="131"/>
      <c r="AI91" s="131"/>
      <c r="AJ91" s="131"/>
      <c r="AK91" s="131"/>
      <c r="AL91" s="131"/>
      <c r="AM91" s="131"/>
      <c r="AN91" s="131"/>
      <c r="AO91" s="142"/>
      <c r="AP91" s="131"/>
    </row>
    <row r="92" ht="13.5" customHeight="1">
      <c r="A92" s="142"/>
      <c r="B92" s="142"/>
      <c r="C92" s="142"/>
      <c r="D92" s="142"/>
      <c r="E92" s="132"/>
      <c r="F92" s="131"/>
      <c r="G92" s="131"/>
      <c r="H92" s="131"/>
      <c r="I92" s="131"/>
      <c r="J92" s="219"/>
      <c r="K92" s="198"/>
      <c r="L92" s="131"/>
      <c r="M92" s="142"/>
      <c r="N92" s="131"/>
      <c r="O92" s="131"/>
      <c r="P92" s="131"/>
      <c r="Q92" s="131"/>
      <c r="R92" s="131"/>
      <c r="S92" s="131"/>
      <c r="T92" s="131"/>
      <c r="U92" s="131"/>
      <c r="V92" s="131"/>
      <c r="W92" s="131"/>
      <c r="X92" s="131"/>
      <c r="Y92" s="131"/>
      <c r="Z92" s="131"/>
      <c r="AA92" s="131"/>
      <c r="AB92" s="330"/>
      <c r="AC92" s="331"/>
      <c r="AD92" s="332"/>
      <c r="AE92" s="131"/>
      <c r="AF92" s="131"/>
      <c r="AG92" s="131"/>
      <c r="AH92" s="131"/>
      <c r="AI92" s="131"/>
      <c r="AJ92" s="131"/>
      <c r="AK92" s="131"/>
      <c r="AL92" s="131"/>
      <c r="AM92" s="131"/>
      <c r="AN92" s="131"/>
      <c r="AO92" s="142"/>
      <c r="AP92" s="131"/>
    </row>
    <row r="93" ht="13.5" customHeight="1">
      <c r="A93" s="142"/>
      <c r="B93" s="142"/>
      <c r="C93" s="142"/>
      <c r="D93" s="142"/>
      <c r="E93" s="132"/>
      <c r="F93" s="131"/>
      <c r="G93" s="131"/>
      <c r="H93" s="131"/>
      <c r="I93" s="131"/>
      <c r="J93" s="219"/>
      <c r="K93" s="198"/>
      <c r="L93" s="131"/>
      <c r="M93" s="142"/>
      <c r="N93" s="131"/>
      <c r="O93" s="131"/>
      <c r="P93" s="131"/>
      <c r="Q93" s="131"/>
      <c r="R93" s="131"/>
      <c r="S93" s="131"/>
      <c r="T93" s="131"/>
      <c r="U93" s="131"/>
      <c r="V93" s="131"/>
      <c r="W93" s="131"/>
      <c r="X93" s="131"/>
      <c r="Y93" s="131"/>
      <c r="Z93" s="131"/>
      <c r="AA93" s="131"/>
      <c r="AB93" s="330"/>
      <c r="AC93" s="331"/>
      <c r="AD93" s="332"/>
      <c r="AE93" s="131"/>
      <c r="AF93" s="131"/>
      <c r="AG93" s="131"/>
      <c r="AH93" s="131"/>
      <c r="AI93" s="131"/>
      <c r="AJ93" s="131"/>
      <c r="AK93" s="131"/>
      <c r="AL93" s="131"/>
      <c r="AM93" s="131"/>
      <c r="AN93" s="131"/>
      <c r="AO93" s="142"/>
      <c r="AP93" s="131"/>
    </row>
    <row r="94" ht="13.5" customHeight="1">
      <c r="A94" s="142"/>
      <c r="B94" s="142"/>
      <c r="C94" s="142"/>
      <c r="D94" s="142"/>
      <c r="E94" s="132"/>
      <c r="F94" s="131"/>
      <c r="G94" s="131"/>
      <c r="H94" s="131"/>
      <c r="I94" s="131"/>
      <c r="J94" s="219"/>
      <c r="K94" s="198"/>
      <c r="L94" s="131"/>
      <c r="M94" s="142"/>
      <c r="N94" s="131"/>
      <c r="O94" s="131"/>
      <c r="P94" s="131"/>
      <c r="Q94" s="131"/>
      <c r="R94" s="131"/>
      <c r="S94" s="131"/>
      <c r="T94" s="131"/>
      <c r="U94" s="131"/>
      <c r="V94" s="131"/>
      <c r="W94" s="131"/>
      <c r="X94" s="131"/>
      <c r="Y94" s="131"/>
      <c r="Z94" s="131"/>
      <c r="AA94" s="131"/>
      <c r="AB94" s="330"/>
      <c r="AC94" s="331"/>
      <c r="AD94" s="332"/>
      <c r="AE94" s="131"/>
      <c r="AF94" s="131"/>
      <c r="AG94" s="131"/>
      <c r="AH94" s="131"/>
      <c r="AI94" s="131"/>
      <c r="AJ94" s="131"/>
      <c r="AK94" s="131"/>
      <c r="AL94" s="131"/>
      <c r="AM94" s="131"/>
      <c r="AN94" s="131"/>
      <c r="AO94" s="142"/>
      <c r="AP94" s="131"/>
    </row>
    <row r="95" ht="13.5" customHeight="1">
      <c r="A95" s="142"/>
      <c r="B95" s="142"/>
      <c r="C95" s="142"/>
      <c r="D95" s="142"/>
      <c r="E95" s="132"/>
      <c r="F95" s="131"/>
      <c r="G95" s="131"/>
      <c r="H95" s="131"/>
      <c r="I95" s="131"/>
      <c r="J95" s="219"/>
      <c r="K95" s="198"/>
      <c r="L95" s="131"/>
      <c r="M95" s="142"/>
      <c r="N95" s="131"/>
      <c r="O95" s="131"/>
      <c r="P95" s="131"/>
      <c r="Q95" s="131"/>
      <c r="R95" s="131"/>
      <c r="S95" s="131"/>
      <c r="T95" s="131"/>
      <c r="U95" s="131"/>
      <c r="V95" s="131"/>
      <c r="W95" s="131"/>
      <c r="X95" s="131"/>
      <c r="Y95" s="131"/>
      <c r="Z95" s="131"/>
      <c r="AA95" s="131"/>
      <c r="AB95" s="330"/>
      <c r="AC95" s="331"/>
      <c r="AD95" s="332"/>
      <c r="AE95" s="131"/>
      <c r="AF95" s="131"/>
      <c r="AG95" s="131"/>
      <c r="AH95" s="131"/>
      <c r="AI95" s="131"/>
      <c r="AJ95" s="131"/>
      <c r="AK95" s="131"/>
      <c r="AL95" s="131"/>
      <c r="AM95" s="131"/>
      <c r="AN95" s="131"/>
      <c r="AO95" s="142"/>
      <c r="AP95" s="131"/>
    </row>
    <row r="96" ht="13.5" customHeight="1">
      <c r="A96" s="142"/>
      <c r="B96" s="142"/>
      <c r="C96" s="142"/>
      <c r="D96" s="142"/>
      <c r="E96" s="132"/>
      <c r="F96" s="131"/>
      <c r="G96" s="131"/>
      <c r="H96" s="131"/>
      <c r="I96" s="131"/>
      <c r="J96" s="219"/>
      <c r="K96" s="198"/>
      <c r="L96" s="131"/>
      <c r="M96" s="142"/>
      <c r="N96" s="131"/>
      <c r="O96" s="131"/>
      <c r="P96" s="131"/>
      <c r="Q96" s="131"/>
      <c r="R96" s="131"/>
      <c r="S96" s="131"/>
      <c r="T96" s="131"/>
      <c r="U96" s="131"/>
      <c r="V96" s="131"/>
      <c r="W96" s="131"/>
      <c r="X96" s="131"/>
      <c r="Y96" s="131"/>
      <c r="Z96" s="131"/>
      <c r="AA96" s="131"/>
      <c r="AB96" s="330"/>
      <c r="AC96" s="331"/>
      <c r="AD96" s="332"/>
      <c r="AE96" s="131"/>
      <c r="AF96" s="131"/>
      <c r="AG96" s="131"/>
      <c r="AH96" s="131"/>
      <c r="AI96" s="131"/>
      <c r="AJ96" s="131"/>
      <c r="AK96" s="131"/>
      <c r="AL96" s="131"/>
      <c r="AM96" s="131"/>
      <c r="AN96" s="131"/>
      <c r="AO96" s="142"/>
      <c r="AP96" s="131"/>
    </row>
    <row r="97" ht="13.5" customHeight="1">
      <c r="A97" s="142"/>
      <c r="B97" s="142"/>
      <c r="C97" s="142"/>
      <c r="D97" s="142"/>
      <c r="E97" s="132"/>
      <c r="F97" s="131"/>
      <c r="G97" s="131"/>
      <c r="H97" s="131"/>
      <c r="I97" s="131"/>
      <c r="J97" s="219"/>
      <c r="K97" s="198"/>
      <c r="L97" s="131"/>
      <c r="M97" s="142"/>
      <c r="N97" s="131"/>
      <c r="O97" s="131"/>
      <c r="P97" s="131"/>
      <c r="Q97" s="131"/>
      <c r="R97" s="131"/>
      <c r="S97" s="131"/>
      <c r="T97" s="131"/>
      <c r="U97" s="131"/>
      <c r="V97" s="131"/>
      <c r="W97" s="131"/>
      <c r="X97" s="131"/>
      <c r="Y97" s="131"/>
      <c r="Z97" s="131"/>
      <c r="AA97" s="131"/>
      <c r="AB97" s="330"/>
      <c r="AC97" s="331"/>
      <c r="AD97" s="332"/>
      <c r="AE97" s="131"/>
      <c r="AF97" s="131"/>
      <c r="AG97" s="131"/>
      <c r="AH97" s="131"/>
      <c r="AI97" s="131"/>
      <c r="AJ97" s="131"/>
      <c r="AK97" s="131"/>
      <c r="AL97" s="131"/>
      <c r="AM97" s="131"/>
      <c r="AN97" s="131"/>
      <c r="AO97" s="142"/>
      <c r="AP97" s="131"/>
    </row>
    <row r="98" ht="13.5" customHeight="1">
      <c r="A98" s="142"/>
      <c r="B98" s="142"/>
      <c r="C98" s="142"/>
      <c r="D98" s="142"/>
      <c r="E98" s="132"/>
      <c r="F98" s="131"/>
      <c r="G98" s="131"/>
      <c r="H98" s="131"/>
      <c r="I98" s="131"/>
      <c r="J98" s="219"/>
      <c r="K98" s="198"/>
      <c r="L98" s="131"/>
      <c r="M98" s="142"/>
      <c r="N98" s="131"/>
      <c r="O98" s="131"/>
      <c r="P98" s="131"/>
      <c r="Q98" s="131"/>
      <c r="R98" s="131"/>
      <c r="S98" s="131"/>
      <c r="T98" s="131"/>
      <c r="U98" s="131"/>
      <c r="V98" s="131"/>
      <c r="W98" s="131"/>
      <c r="X98" s="131"/>
      <c r="Y98" s="131"/>
      <c r="Z98" s="131"/>
      <c r="AA98" s="131"/>
      <c r="AB98" s="330"/>
      <c r="AC98" s="331"/>
      <c r="AD98" s="332"/>
      <c r="AE98" s="131"/>
      <c r="AF98" s="131"/>
      <c r="AG98" s="131"/>
      <c r="AH98" s="131"/>
      <c r="AI98" s="131"/>
      <c r="AJ98" s="131"/>
      <c r="AK98" s="131"/>
      <c r="AL98" s="131"/>
      <c r="AM98" s="131"/>
      <c r="AN98" s="131"/>
      <c r="AO98" s="142"/>
      <c r="AP98" s="131"/>
    </row>
    <row r="99" ht="13.5" customHeight="1">
      <c r="A99" s="142"/>
      <c r="B99" s="142"/>
      <c r="C99" s="142"/>
      <c r="D99" s="142"/>
      <c r="E99" s="132"/>
      <c r="F99" s="131"/>
      <c r="G99" s="131"/>
      <c r="H99" s="131"/>
      <c r="I99" s="131"/>
      <c r="J99" s="219"/>
      <c r="K99" s="198"/>
      <c r="L99" s="131"/>
      <c r="M99" s="142"/>
      <c r="N99" s="131"/>
      <c r="O99" s="131"/>
      <c r="P99" s="131"/>
      <c r="Q99" s="131"/>
      <c r="R99" s="131"/>
      <c r="S99" s="131"/>
      <c r="T99" s="131"/>
      <c r="U99" s="131"/>
      <c r="V99" s="131"/>
      <c r="W99" s="131"/>
      <c r="X99" s="131"/>
      <c r="Y99" s="131"/>
      <c r="Z99" s="131"/>
      <c r="AA99" s="131"/>
      <c r="AB99" s="330"/>
      <c r="AC99" s="331"/>
      <c r="AD99" s="332"/>
      <c r="AE99" s="131"/>
      <c r="AF99" s="131"/>
      <c r="AG99" s="131"/>
      <c r="AH99" s="131"/>
      <c r="AI99" s="131"/>
      <c r="AJ99" s="131"/>
      <c r="AK99" s="131"/>
      <c r="AL99" s="131"/>
      <c r="AM99" s="131"/>
      <c r="AN99" s="131"/>
      <c r="AO99" s="142"/>
      <c r="AP99" s="131"/>
    </row>
    <row r="100" ht="13.5" customHeight="1">
      <c r="A100" s="142"/>
      <c r="B100" s="142"/>
      <c r="C100" s="142"/>
      <c r="D100" s="142"/>
      <c r="E100" s="132"/>
      <c r="F100" s="131"/>
      <c r="G100" s="131"/>
      <c r="H100" s="131"/>
      <c r="I100" s="131"/>
      <c r="J100" s="219"/>
      <c r="K100" s="198"/>
      <c r="L100" s="131"/>
      <c r="M100" s="142"/>
      <c r="N100" s="131"/>
      <c r="O100" s="131"/>
      <c r="P100" s="131"/>
      <c r="Q100" s="131"/>
      <c r="R100" s="131"/>
      <c r="S100" s="131"/>
      <c r="T100" s="131"/>
      <c r="U100" s="131"/>
      <c r="V100" s="131"/>
      <c r="W100" s="131"/>
      <c r="X100" s="131"/>
      <c r="Y100" s="131"/>
      <c r="Z100" s="131"/>
      <c r="AA100" s="131"/>
      <c r="AB100" s="330"/>
      <c r="AC100" s="331"/>
      <c r="AD100" s="332"/>
      <c r="AE100" s="131"/>
      <c r="AF100" s="131"/>
      <c r="AG100" s="131"/>
      <c r="AH100" s="131"/>
      <c r="AI100" s="131"/>
      <c r="AJ100" s="131"/>
      <c r="AK100" s="131"/>
      <c r="AL100" s="131"/>
      <c r="AM100" s="131"/>
      <c r="AN100" s="131"/>
      <c r="AO100" s="142"/>
      <c r="AP100" s="131"/>
    </row>
    <row r="101" ht="13.5" customHeight="1">
      <c r="A101" s="142"/>
      <c r="B101" s="142"/>
      <c r="C101" s="142"/>
      <c r="D101" s="142"/>
      <c r="E101" s="132"/>
      <c r="F101" s="131"/>
      <c r="G101" s="131"/>
      <c r="H101" s="131"/>
      <c r="I101" s="131"/>
      <c r="J101" s="219"/>
      <c r="K101" s="198"/>
      <c r="L101" s="131"/>
      <c r="M101" s="142"/>
      <c r="N101" s="131"/>
      <c r="O101" s="131"/>
      <c r="P101" s="131"/>
      <c r="Q101" s="131"/>
      <c r="R101" s="131"/>
      <c r="S101" s="131"/>
      <c r="T101" s="131"/>
      <c r="U101" s="131"/>
      <c r="V101" s="131"/>
      <c r="W101" s="131"/>
      <c r="X101" s="131"/>
      <c r="Y101" s="131"/>
      <c r="Z101" s="131"/>
      <c r="AA101" s="131"/>
      <c r="AB101" s="330"/>
      <c r="AC101" s="331"/>
      <c r="AD101" s="332"/>
      <c r="AE101" s="131"/>
      <c r="AF101" s="131"/>
      <c r="AG101" s="131"/>
      <c r="AH101" s="131"/>
      <c r="AI101" s="131"/>
      <c r="AJ101" s="131"/>
      <c r="AK101" s="131"/>
      <c r="AL101" s="131"/>
      <c r="AM101" s="131"/>
      <c r="AN101" s="131"/>
      <c r="AO101" s="142"/>
      <c r="AP101" s="131"/>
    </row>
    <row r="102" ht="13.5" customHeight="1">
      <c r="A102" s="142"/>
      <c r="B102" s="142"/>
      <c r="C102" s="142"/>
      <c r="D102" s="142"/>
      <c r="E102" s="132"/>
      <c r="F102" s="131"/>
      <c r="G102" s="131"/>
      <c r="H102" s="131"/>
      <c r="I102" s="131"/>
      <c r="J102" s="219"/>
      <c r="K102" s="198"/>
      <c r="L102" s="131"/>
      <c r="M102" s="142"/>
      <c r="N102" s="131"/>
      <c r="O102" s="131"/>
      <c r="P102" s="131"/>
      <c r="Q102" s="131"/>
      <c r="R102" s="131"/>
      <c r="S102" s="131"/>
      <c r="T102" s="131"/>
      <c r="U102" s="131"/>
      <c r="V102" s="131"/>
      <c r="W102" s="131"/>
      <c r="X102" s="131"/>
      <c r="Y102" s="131"/>
      <c r="Z102" s="131"/>
      <c r="AA102" s="131"/>
      <c r="AB102" s="330"/>
      <c r="AC102" s="331"/>
      <c r="AD102" s="332"/>
      <c r="AE102" s="131"/>
      <c r="AF102" s="131"/>
      <c r="AG102" s="131"/>
      <c r="AH102" s="131"/>
      <c r="AI102" s="131"/>
      <c r="AJ102" s="131"/>
      <c r="AK102" s="131"/>
      <c r="AL102" s="131"/>
      <c r="AM102" s="131"/>
      <c r="AN102" s="131"/>
      <c r="AO102" s="142"/>
      <c r="AP102" s="131"/>
    </row>
    <row r="103" ht="13.5" customHeight="1">
      <c r="A103" s="142"/>
      <c r="B103" s="142"/>
      <c r="C103" s="142"/>
      <c r="D103" s="142"/>
      <c r="E103" s="132"/>
      <c r="F103" s="131"/>
      <c r="G103" s="131"/>
      <c r="H103" s="131"/>
      <c r="I103" s="131"/>
      <c r="J103" s="219"/>
      <c r="K103" s="198"/>
      <c r="L103" s="131"/>
      <c r="M103" s="142"/>
      <c r="N103" s="131"/>
      <c r="O103" s="131"/>
      <c r="P103" s="131"/>
      <c r="Q103" s="131"/>
      <c r="R103" s="131"/>
      <c r="S103" s="131"/>
      <c r="T103" s="131"/>
      <c r="U103" s="131"/>
      <c r="V103" s="131"/>
      <c r="W103" s="131"/>
      <c r="X103" s="131"/>
      <c r="Y103" s="131"/>
      <c r="Z103" s="131"/>
      <c r="AA103" s="131"/>
      <c r="AB103" s="330"/>
      <c r="AC103" s="331"/>
      <c r="AD103" s="332"/>
      <c r="AE103" s="131"/>
      <c r="AF103" s="131"/>
      <c r="AG103" s="131"/>
      <c r="AH103" s="131"/>
      <c r="AI103" s="131"/>
      <c r="AJ103" s="131"/>
      <c r="AK103" s="131"/>
      <c r="AL103" s="131"/>
      <c r="AM103" s="131"/>
      <c r="AN103" s="131"/>
      <c r="AO103" s="142"/>
      <c r="AP103" s="131"/>
    </row>
    <row r="104" ht="13.5" customHeight="1">
      <c r="A104" s="142"/>
      <c r="B104" s="142"/>
      <c r="C104" s="142"/>
      <c r="D104" s="142"/>
      <c r="E104" s="132"/>
      <c r="F104" s="131"/>
      <c r="G104" s="131"/>
      <c r="H104" s="131"/>
      <c r="I104" s="131"/>
      <c r="J104" s="219"/>
      <c r="K104" s="198"/>
      <c r="L104" s="131"/>
      <c r="M104" s="142"/>
      <c r="N104" s="131"/>
      <c r="O104" s="131"/>
      <c r="P104" s="131"/>
      <c r="Q104" s="131"/>
      <c r="R104" s="131"/>
      <c r="S104" s="131"/>
      <c r="T104" s="131"/>
      <c r="U104" s="131"/>
      <c r="V104" s="131"/>
      <c r="W104" s="131"/>
      <c r="X104" s="131"/>
      <c r="Y104" s="131"/>
      <c r="Z104" s="131"/>
      <c r="AA104" s="131"/>
      <c r="AB104" s="330"/>
      <c r="AC104" s="331"/>
      <c r="AD104" s="332"/>
      <c r="AE104" s="131"/>
      <c r="AF104" s="131"/>
      <c r="AG104" s="131"/>
      <c r="AH104" s="131"/>
      <c r="AI104" s="131"/>
      <c r="AJ104" s="131"/>
      <c r="AK104" s="131"/>
      <c r="AL104" s="131"/>
      <c r="AM104" s="131"/>
      <c r="AN104" s="131"/>
      <c r="AO104" s="142"/>
      <c r="AP104" s="131"/>
    </row>
    <row r="105" ht="13.5" customHeight="1">
      <c r="A105" s="142"/>
      <c r="B105" s="142"/>
      <c r="C105" s="142"/>
      <c r="D105" s="142"/>
      <c r="E105" s="132"/>
      <c r="F105" s="131"/>
      <c r="G105" s="131"/>
      <c r="H105" s="131"/>
      <c r="I105" s="131"/>
      <c r="J105" s="219"/>
      <c r="K105" s="198"/>
      <c r="L105" s="131"/>
      <c r="M105" s="142"/>
      <c r="N105" s="131"/>
      <c r="O105" s="131"/>
      <c r="P105" s="131"/>
      <c r="Q105" s="131"/>
      <c r="R105" s="131"/>
      <c r="S105" s="131"/>
      <c r="T105" s="131"/>
      <c r="U105" s="131"/>
      <c r="V105" s="131"/>
      <c r="W105" s="131"/>
      <c r="X105" s="131"/>
      <c r="Y105" s="131"/>
      <c r="Z105" s="131"/>
      <c r="AA105" s="131"/>
      <c r="AB105" s="330"/>
      <c r="AC105" s="331"/>
      <c r="AD105" s="332"/>
      <c r="AE105" s="131"/>
      <c r="AF105" s="131"/>
      <c r="AG105" s="131"/>
      <c r="AH105" s="131"/>
      <c r="AI105" s="131"/>
      <c r="AJ105" s="131"/>
      <c r="AK105" s="131"/>
      <c r="AL105" s="131"/>
      <c r="AM105" s="131"/>
      <c r="AN105" s="131"/>
      <c r="AO105" s="142"/>
      <c r="AP105" s="131"/>
    </row>
    <row r="106" ht="13.5" customHeight="1">
      <c r="A106" s="142"/>
      <c r="B106" s="142"/>
      <c r="C106" s="142"/>
      <c r="D106" s="142"/>
      <c r="E106" s="132"/>
      <c r="F106" s="131"/>
      <c r="G106" s="131"/>
      <c r="H106" s="131"/>
      <c r="I106" s="131"/>
      <c r="J106" s="219"/>
      <c r="K106" s="198"/>
      <c r="L106" s="131"/>
      <c r="M106" s="142"/>
      <c r="N106" s="131"/>
      <c r="O106" s="131"/>
      <c r="P106" s="131"/>
      <c r="Q106" s="131"/>
      <c r="R106" s="131"/>
      <c r="S106" s="131"/>
      <c r="T106" s="131"/>
      <c r="U106" s="131"/>
      <c r="V106" s="131"/>
      <c r="W106" s="131"/>
      <c r="X106" s="131"/>
      <c r="Y106" s="131"/>
      <c r="Z106" s="131"/>
      <c r="AA106" s="131"/>
      <c r="AB106" s="330"/>
      <c r="AC106" s="331"/>
      <c r="AD106" s="332"/>
      <c r="AE106" s="131"/>
      <c r="AF106" s="131"/>
      <c r="AG106" s="131"/>
      <c r="AH106" s="131"/>
      <c r="AI106" s="131"/>
      <c r="AJ106" s="131"/>
      <c r="AK106" s="131"/>
      <c r="AL106" s="131"/>
      <c r="AM106" s="131"/>
      <c r="AN106" s="131"/>
      <c r="AO106" s="142"/>
      <c r="AP106" s="131"/>
    </row>
    <row r="107" ht="13.5" customHeight="1">
      <c r="A107" s="142"/>
      <c r="B107" s="142"/>
      <c r="C107" s="142"/>
      <c r="D107" s="142"/>
      <c r="E107" s="132"/>
      <c r="F107" s="131"/>
      <c r="G107" s="131"/>
      <c r="H107" s="131"/>
      <c r="I107" s="131"/>
      <c r="J107" s="219"/>
      <c r="K107" s="198"/>
      <c r="L107" s="131"/>
      <c r="M107" s="142"/>
      <c r="N107" s="131"/>
      <c r="O107" s="131"/>
      <c r="P107" s="131"/>
      <c r="Q107" s="131"/>
      <c r="R107" s="131"/>
      <c r="S107" s="131"/>
      <c r="T107" s="131"/>
      <c r="U107" s="131"/>
      <c r="V107" s="131"/>
      <c r="W107" s="131"/>
      <c r="X107" s="131"/>
      <c r="Y107" s="131"/>
      <c r="Z107" s="131"/>
      <c r="AA107" s="131"/>
      <c r="AB107" s="330"/>
      <c r="AC107" s="331"/>
      <c r="AD107" s="332"/>
      <c r="AE107" s="131"/>
      <c r="AF107" s="131"/>
      <c r="AG107" s="131"/>
      <c r="AH107" s="131"/>
      <c r="AI107" s="131"/>
      <c r="AJ107" s="131"/>
      <c r="AK107" s="131"/>
      <c r="AL107" s="131"/>
      <c r="AM107" s="131"/>
      <c r="AN107" s="131"/>
      <c r="AO107" s="142"/>
      <c r="AP107" s="131"/>
    </row>
    <row r="108" ht="13.5" customHeight="1">
      <c r="A108" s="142"/>
      <c r="B108" s="142"/>
      <c r="C108" s="142"/>
      <c r="D108" s="142"/>
      <c r="E108" s="132"/>
      <c r="F108" s="131"/>
      <c r="G108" s="131"/>
      <c r="H108" s="131"/>
      <c r="I108" s="131"/>
      <c r="J108" s="219"/>
      <c r="K108" s="198"/>
      <c r="L108" s="131"/>
      <c r="M108" s="142"/>
      <c r="N108" s="131"/>
      <c r="O108" s="131"/>
      <c r="P108" s="131"/>
      <c r="Q108" s="131"/>
      <c r="R108" s="131"/>
      <c r="S108" s="131"/>
      <c r="T108" s="131"/>
      <c r="U108" s="131"/>
      <c r="V108" s="131"/>
      <c r="W108" s="131"/>
      <c r="X108" s="131"/>
      <c r="Y108" s="131"/>
      <c r="Z108" s="131"/>
      <c r="AA108" s="131"/>
      <c r="AB108" s="330"/>
      <c r="AC108" s="331"/>
      <c r="AD108" s="332"/>
      <c r="AE108" s="131"/>
      <c r="AF108" s="131"/>
      <c r="AG108" s="131"/>
      <c r="AH108" s="131"/>
      <c r="AI108" s="131"/>
      <c r="AJ108" s="131"/>
      <c r="AK108" s="131"/>
      <c r="AL108" s="131"/>
      <c r="AM108" s="131"/>
      <c r="AN108" s="131"/>
      <c r="AO108" s="142"/>
      <c r="AP108" s="131"/>
    </row>
    <row r="109" ht="13.5" customHeight="1">
      <c r="A109" s="142"/>
      <c r="B109" s="142"/>
      <c r="C109" s="142"/>
      <c r="D109" s="142"/>
      <c r="E109" s="132"/>
      <c r="F109" s="131"/>
      <c r="G109" s="131"/>
      <c r="H109" s="131"/>
      <c r="I109" s="131"/>
      <c r="J109" s="219"/>
      <c r="K109" s="198"/>
      <c r="L109" s="131"/>
      <c r="M109" s="142"/>
      <c r="N109" s="131"/>
      <c r="O109" s="131"/>
      <c r="P109" s="131"/>
      <c r="Q109" s="131"/>
      <c r="R109" s="131"/>
      <c r="S109" s="131"/>
      <c r="T109" s="131"/>
      <c r="U109" s="131"/>
      <c r="V109" s="131"/>
      <c r="W109" s="131"/>
      <c r="X109" s="131"/>
      <c r="Y109" s="131"/>
      <c r="Z109" s="131"/>
      <c r="AA109" s="131"/>
      <c r="AB109" s="330"/>
      <c r="AC109" s="331"/>
      <c r="AD109" s="332"/>
      <c r="AE109" s="131"/>
      <c r="AF109" s="131"/>
      <c r="AG109" s="131"/>
      <c r="AH109" s="131"/>
      <c r="AI109" s="131"/>
      <c r="AJ109" s="131"/>
      <c r="AK109" s="131"/>
      <c r="AL109" s="131"/>
      <c r="AM109" s="131"/>
      <c r="AN109" s="131"/>
      <c r="AO109" s="142"/>
      <c r="AP109" s="131"/>
    </row>
    <row r="110" ht="13.5" customHeight="1">
      <c r="A110" s="142"/>
      <c r="B110" s="142"/>
      <c r="C110" s="142"/>
      <c r="D110" s="142"/>
      <c r="E110" s="132"/>
      <c r="F110" s="131"/>
      <c r="G110" s="131"/>
      <c r="H110" s="131"/>
      <c r="I110" s="131"/>
      <c r="J110" s="219"/>
      <c r="K110" s="198"/>
      <c r="L110" s="131"/>
      <c r="M110" s="142"/>
      <c r="N110" s="131"/>
      <c r="O110" s="131"/>
      <c r="P110" s="131"/>
      <c r="Q110" s="131"/>
      <c r="R110" s="131"/>
      <c r="S110" s="131"/>
      <c r="T110" s="131"/>
      <c r="U110" s="131"/>
      <c r="V110" s="131"/>
      <c r="W110" s="131"/>
      <c r="X110" s="131"/>
      <c r="Y110" s="131"/>
      <c r="Z110" s="131"/>
      <c r="AA110" s="131"/>
      <c r="AB110" s="330"/>
      <c r="AC110" s="331"/>
      <c r="AD110" s="332"/>
      <c r="AE110" s="131"/>
      <c r="AF110" s="131"/>
      <c r="AG110" s="131"/>
      <c r="AH110" s="131"/>
      <c r="AI110" s="131"/>
      <c r="AJ110" s="131"/>
      <c r="AK110" s="131"/>
      <c r="AL110" s="131"/>
      <c r="AM110" s="131"/>
      <c r="AN110" s="131"/>
      <c r="AO110" s="142"/>
      <c r="AP110" s="131"/>
    </row>
    <row r="111" ht="13.5" customHeight="1">
      <c r="A111" s="142"/>
      <c r="B111" s="142"/>
      <c r="C111" s="142"/>
      <c r="D111" s="142"/>
      <c r="E111" s="132"/>
      <c r="F111" s="131"/>
      <c r="G111" s="131"/>
      <c r="H111" s="131"/>
      <c r="I111" s="131"/>
      <c r="J111" s="219"/>
      <c r="K111" s="198"/>
      <c r="L111" s="131"/>
      <c r="M111" s="142"/>
      <c r="N111" s="131"/>
      <c r="O111" s="131"/>
      <c r="P111" s="131"/>
      <c r="Q111" s="131"/>
      <c r="R111" s="131"/>
      <c r="S111" s="131"/>
      <c r="T111" s="131"/>
      <c r="U111" s="131"/>
      <c r="V111" s="131"/>
      <c r="W111" s="131"/>
      <c r="X111" s="131"/>
      <c r="Y111" s="131"/>
      <c r="Z111" s="131"/>
      <c r="AA111" s="131"/>
      <c r="AB111" s="330"/>
      <c r="AC111" s="331"/>
      <c r="AD111" s="332"/>
      <c r="AE111" s="131"/>
      <c r="AF111" s="131"/>
      <c r="AG111" s="131"/>
      <c r="AH111" s="131"/>
      <c r="AI111" s="131"/>
      <c r="AJ111" s="131"/>
      <c r="AK111" s="131"/>
      <c r="AL111" s="131"/>
      <c r="AM111" s="131"/>
      <c r="AN111" s="131"/>
      <c r="AO111" s="142"/>
      <c r="AP111" s="131"/>
    </row>
    <row r="112" ht="13.5" customHeight="1">
      <c r="A112" s="142"/>
      <c r="B112" s="142"/>
      <c r="C112" s="142"/>
      <c r="D112" s="142"/>
      <c r="E112" s="132"/>
      <c r="F112" s="131"/>
      <c r="G112" s="131"/>
      <c r="H112" s="131"/>
      <c r="I112" s="131"/>
      <c r="J112" s="219"/>
      <c r="K112" s="198"/>
      <c r="L112" s="131"/>
      <c r="M112" s="142"/>
      <c r="N112" s="131"/>
      <c r="O112" s="131"/>
      <c r="P112" s="131"/>
      <c r="Q112" s="131"/>
      <c r="R112" s="131"/>
      <c r="S112" s="131"/>
      <c r="T112" s="131"/>
      <c r="U112" s="131"/>
      <c r="V112" s="131"/>
      <c r="W112" s="131"/>
      <c r="X112" s="131"/>
      <c r="Y112" s="131"/>
      <c r="Z112" s="131"/>
      <c r="AA112" s="131"/>
      <c r="AB112" s="330"/>
      <c r="AC112" s="331"/>
      <c r="AD112" s="332"/>
      <c r="AE112" s="131"/>
      <c r="AF112" s="131"/>
      <c r="AG112" s="131"/>
      <c r="AH112" s="131"/>
      <c r="AI112" s="131"/>
      <c r="AJ112" s="131"/>
      <c r="AK112" s="131"/>
      <c r="AL112" s="131"/>
      <c r="AM112" s="131"/>
      <c r="AN112" s="131"/>
      <c r="AO112" s="142"/>
      <c r="AP112" s="131"/>
    </row>
    <row r="113" ht="13.5" customHeight="1">
      <c r="A113" s="142"/>
      <c r="B113" s="142"/>
      <c r="C113" s="142"/>
      <c r="D113" s="142"/>
      <c r="E113" s="132"/>
      <c r="F113" s="131"/>
      <c r="G113" s="131"/>
      <c r="H113" s="131"/>
      <c r="I113" s="131"/>
      <c r="J113" s="219"/>
      <c r="K113" s="198"/>
      <c r="L113" s="131"/>
      <c r="M113" s="142"/>
      <c r="N113" s="131"/>
      <c r="O113" s="131"/>
      <c r="P113" s="131"/>
      <c r="Q113" s="131"/>
      <c r="R113" s="131"/>
      <c r="S113" s="131"/>
      <c r="T113" s="131"/>
      <c r="U113" s="131"/>
      <c r="V113" s="131"/>
      <c r="W113" s="131"/>
      <c r="X113" s="131"/>
      <c r="Y113" s="131"/>
      <c r="Z113" s="131"/>
      <c r="AA113" s="131"/>
      <c r="AB113" s="330"/>
      <c r="AC113" s="331"/>
      <c r="AD113" s="332"/>
      <c r="AE113" s="131"/>
      <c r="AF113" s="131"/>
      <c r="AG113" s="131"/>
      <c r="AH113" s="131"/>
      <c r="AI113" s="131"/>
      <c r="AJ113" s="131"/>
      <c r="AK113" s="131"/>
      <c r="AL113" s="131"/>
      <c r="AM113" s="131"/>
      <c r="AN113" s="131"/>
      <c r="AO113" s="142"/>
      <c r="AP113" s="131"/>
    </row>
    <row r="114" ht="13.5" customHeight="1">
      <c r="A114" s="142"/>
      <c r="B114" s="142"/>
      <c r="C114" s="142"/>
      <c r="D114" s="142"/>
      <c r="E114" s="132"/>
      <c r="F114" s="131"/>
      <c r="G114" s="131"/>
      <c r="H114" s="131"/>
      <c r="I114" s="131"/>
      <c r="J114" s="219"/>
      <c r="K114" s="198"/>
      <c r="L114" s="131"/>
      <c r="M114" s="142"/>
      <c r="N114" s="131"/>
      <c r="O114" s="131"/>
      <c r="P114" s="131"/>
      <c r="Q114" s="131"/>
      <c r="R114" s="131"/>
      <c r="S114" s="131"/>
      <c r="T114" s="131"/>
      <c r="U114" s="131"/>
      <c r="V114" s="131"/>
      <c r="W114" s="131"/>
      <c r="X114" s="131"/>
      <c r="Y114" s="131"/>
      <c r="Z114" s="131"/>
      <c r="AA114" s="131"/>
      <c r="AB114" s="330"/>
      <c r="AC114" s="331"/>
      <c r="AD114" s="332"/>
      <c r="AE114" s="131"/>
      <c r="AF114" s="131"/>
      <c r="AG114" s="131"/>
      <c r="AH114" s="131"/>
      <c r="AI114" s="131"/>
      <c r="AJ114" s="131"/>
      <c r="AK114" s="131"/>
      <c r="AL114" s="131"/>
      <c r="AM114" s="131"/>
      <c r="AN114" s="131"/>
      <c r="AO114" s="142"/>
      <c r="AP114" s="131"/>
    </row>
    <row r="115" ht="13.5" customHeight="1">
      <c r="A115" s="142"/>
      <c r="B115" s="142"/>
      <c r="C115" s="142"/>
      <c r="D115" s="142"/>
      <c r="E115" s="132"/>
      <c r="F115" s="131"/>
      <c r="G115" s="131"/>
      <c r="H115" s="131"/>
      <c r="I115" s="131"/>
      <c r="J115" s="219"/>
      <c r="K115" s="198"/>
      <c r="L115" s="131"/>
      <c r="M115" s="142"/>
      <c r="N115" s="131"/>
      <c r="O115" s="131"/>
      <c r="P115" s="131"/>
      <c r="Q115" s="131"/>
      <c r="R115" s="131"/>
      <c r="S115" s="131"/>
      <c r="T115" s="131"/>
      <c r="U115" s="131"/>
      <c r="V115" s="131"/>
      <c r="W115" s="131"/>
      <c r="X115" s="131"/>
      <c r="Y115" s="131"/>
      <c r="Z115" s="131"/>
      <c r="AA115" s="131"/>
      <c r="AB115" s="330"/>
      <c r="AC115" s="331"/>
      <c r="AD115" s="332"/>
      <c r="AE115" s="131"/>
      <c r="AF115" s="131"/>
      <c r="AG115" s="131"/>
      <c r="AH115" s="131"/>
      <c r="AI115" s="131"/>
      <c r="AJ115" s="131"/>
      <c r="AK115" s="131"/>
      <c r="AL115" s="131"/>
      <c r="AM115" s="131"/>
      <c r="AN115" s="131"/>
      <c r="AO115" s="142"/>
      <c r="AP115" s="131"/>
    </row>
    <row r="116" ht="13.5" customHeight="1">
      <c r="A116" s="142"/>
      <c r="B116" s="142"/>
      <c r="C116" s="142"/>
      <c r="D116" s="142"/>
      <c r="E116" s="132"/>
      <c r="F116" s="131"/>
      <c r="G116" s="131"/>
      <c r="H116" s="131"/>
      <c r="I116" s="131"/>
      <c r="J116" s="219"/>
      <c r="K116" s="198"/>
      <c r="L116" s="131"/>
      <c r="M116" s="142"/>
      <c r="N116" s="131"/>
      <c r="O116" s="131"/>
      <c r="P116" s="131"/>
      <c r="Q116" s="131"/>
      <c r="R116" s="131"/>
      <c r="S116" s="131"/>
      <c r="T116" s="131"/>
      <c r="U116" s="131"/>
      <c r="V116" s="131"/>
      <c r="W116" s="131"/>
      <c r="X116" s="131"/>
      <c r="Y116" s="131"/>
      <c r="Z116" s="131"/>
      <c r="AA116" s="131"/>
      <c r="AB116" s="330"/>
      <c r="AC116" s="331"/>
      <c r="AD116" s="332"/>
      <c r="AE116" s="131"/>
      <c r="AF116" s="131"/>
      <c r="AG116" s="131"/>
      <c r="AH116" s="131"/>
      <c r="AI116" s="131"/>
      <c r="AJ116" s="131"/>
      <c r="AK116" s="131"/>
      <c r="AL116" s="131"/>
      <c r="AM116" s="131"/>
      <c r="AN116" s="131"/>
      <c r="AO116" s="142"/>
      <c r="AP116" s="131"/>
    </row>
    <row r="117" ht="13.5" customHeight="1">
      <c r="A117" s="142"/>
      <c r="B117" s="142"/>
      <c r="C117" s="142"/>
      <c r="D117" s="142"/>
      <c r="E117" s="132"/>
      <c r="F117" s="131"/>
      <c r="G117" s="131"/>
      <c r="H117" s="131"/>
      <c r="I117" s="131"/>
      <c r="J117" s="219"/>
      <c r="K117" s="198"/>
      <c r="L117" s="131"/>
      <c r="M117" s="142"/>
      <c r="N117" s="131"/>
      <c r="O117" s="131"/>
      <c r="P117" s="131"/>
      <c r="Q117" s="131"/>
      <c r="R117" s="131"/>
      <c r="S117" s="131"/>
      <c r="T117" s="131"/>
      <c r="U117" s="131"/>
      <c r="V117" s="131"/>
      <c r="W117" s="131"/>
      <c r="X117" s="131"/>
      <c r="Y117" s="131"/>
      <c r="Z117" s="131"/>
      <c r="AA117" s="131"/>
      <c r="AB117" s="330"/>
      <c r="AC117" s="331"/>
      <c r="AD117" s="332"/>
      <c r="AE117" s="131"/>
      <c r="AF117" s="131"/>
      <c r="AG117" s="131"/>
      <c r="AH117" s="131"/>
      <c r="AI117" s="131"/>
      <c r="AJ117" s="131"/>
      <c r="AK117" s="131"/>
      <c r="AL117" s="131"/>
      <c r="AM117" s="131"/>
      <c r="AN117" s="131"/>
      <c r="AO117" s="142"/>
      <c r="AP117" s="131"/>
    </row>
    <row r="118" ht="13.5" customHeight="1">
      <c r="A118" s="142"/>
      <c r="B118" s="142"/>
      <c r="C118" s="142"/>
      <c r="D118" s="142"/>
      <c r="E118" s="132"/>
      <c r="F118" s="131"/>
      <c r="G118" s="131"/>
      <c r="H118" s="131"/>
      <c r="I118" s="131"/>
      <c r="J118" s="219"/>
      <c r="K118" s="198"/>
      <c r="L118" s="131"/>
      <c r="M118" s="142"/>
      <c r="N118" s="131"/>
      <c r="O118" s="131"/>
      <c r="P118" s="131"/>
      <c r="Q118" s="131"/>
      <c r="R118" s="131"/>
      <c r="S118" s="131"/>
      <c r="T118" s="131"/>
      <c r="U118" s="131"/>
      <c r="V118" s="131"/>
      <c r="W118" s="131"/>
      <c r="X118" s="131"/>
      <c r="Y118" s="131"/>
      <c r="Z118" s="131"/>
      <c r="AA118" s="131"/>
      <c r="AB118" s="330"/>
      <c r="AC118" s="331"/>
      <c r="AD118" s="332"/>
      <c r="AE118" s="131"/>
      <c r="AF118" s="131"/>
      <c r="AG118" s="131"/>
      <c r="AH118" s="131"/>
      <c r="AI118" s="131"/>
      <c r="AJ118" s="131"/>
      <c r="AK118" s="131"/>
      <c r="AL118" s="131"/>
      <c r="AM118" s="131"/>
      <c r="AN118" s="131"/>
      <c r="AO118" s="142"/>
      <c r="AP118" s="131"/>
    </row>
    <row r="119" ht="13.5" customHeight="1">
      <c r="A119" s="142"/>
      <c r="B119" s="142"/>
      <c r="C119" s="142"/>
      <c r="D119" s="142"/>
      <c r="E119" s="132"/>
      <c r="F119" s="131"/>
      <c r="G119" s="131"/>
      <c r="H119" s="131"/>
      <c r="I119" s="131"/>
      <c r="J119" s="219"/>
      <c r="K119" s="198"/>
      <c r="L119" s="131"/>
      <c r="M119" s="142"/>
      <c r="N119" s="131"/>
      <c r="O119" s="131"/>
      <c r="P119" s="131"/>
      <c r="Q119" s="131"/>
      <c r="R119" s="131"/>
      <c r="S119" s="131"/>
      <c r="T119" s="131"/>
      <c r="U119" s="131"/>
      <c r="V119" s="131"/>
      <c r="W119" s="131"/>
      <c r="X119" s="131"/>
      <c r="Y119" s="131"/>
      <c r="Z119" s="131"/>
      <c r="AA119" s="131"/>
      <c r="AB119" s="330"/>
      <c r="AC119" s="331"/>
      <c r="AD119" s="332"/>
      <c r="AE119" s="131"/>
      <c r="AF119" s="131"/>
      <c r="AG119" s="131"/>
      <c r="AH119" s="131"/>
      <c r="AI119" s="131"/>
      <c r="AJ119" s="131"/>
      <c r="AK119" s="131"/>
      <c r="AL119" s="131"/>
      <c r="AM119" s="131"/>
      <c r="AN119" s="131"/>
      <c r="AO119" s="142"/>
      <c r="AP119" s="131"/>
    </row>
    <row r="120" ht="13.5" customHeight="1">
      <c r="A120" s="142"/>
      <c r="B120" s="142"/>
      <c r="C120" s="142"/>
      <c r="D120" s="142"/>
      <c r="E120" s="132"/>
      <c r="F120" s="131"/>
      <c r="G120" s="131"/>
      <c r="H120" s="131"/>
      <c r="I120" s="131"/>
      <c r="J120" s="219"/>
      <c r="K120" s="198"/>
      <c r="L120" s="131"/>
      <c r="M120" s="142"/>
      <c r="N120" s="131"/>
      <c r="O120" s="131"/>
      <c r="P120" s="131"/>
      <c r="Q120" s="131"/>
      <c r="R120" s="131"/>
      <c r="S120" s="131"/>
      <c r="T120" s="131"/>
      <c r="U120" s="131"/>
      <c r="V120" s="131"/>
      <c r="W120" s="131"/>
      <c r="X120" s="131"/>
      <c r="Y120" s="131"/>
      <c r="Z120" s="131"/>
      <c r="AA120" s="131"/>
      <c r="AB120" s="330"/>
      <c r="AC120" s="331"/>
      <c r="AD120" s="332"/>
      <c r="AE120" s="131"/>
      <c r="AF120" s="131"/>
      <c r="AG120" s="131"/>
      <c r="AH120" s="131"/>
      <c r="AI120" s="131"/>
      <c r="AJ120" s="131"/>
      <c r="AK120" s="131"/>
      <c r="AL120" s="131"/>
      <c r="AM120" s="131"/>
      <c r="AN120" s="131"/>
      <c r="AO120" s="142"/>
      <c r="AP120" s="131"/>
    </row>
    <row r="121" ht="13.5" customHeight="1">
      <c r="A121" s="142"/>
      <c r="B121" s="142"/>
      <c r="C121" s="142"/>
      <c r="D121" s="142"/>
      <c r="E121" s="132"/>
      <c r="F121" s="131"/>
      <c r="G121" s="131"/>
      <c r="H121" s="131"/>
      <c r="I121" s="131"/>
      <c r="J121" s="219"/>
      <c r="K121" s="198"/>
      <c r="L121" s="131"/>
      <c r="M121" s="142"/>
      <c r="N121" s="131"/>
      <c r="O121" s="131"/>
      <c r="P121" s="131"/>
      <c r="Q121" s="131"/>
      <c r="R121" s="131"/>
      <c r="S121" s="131"/>
      <c r="T121" s="131"/>
      <c r="U121" s="131"/>
      <c r="V121" s="131"/>
      <c r="W121" s="131"/>
      <c r="X121" s="131"/>
      <c r="Y121" s="131"/>
      <c r="Z121" s="131"/>
      <c r="AA121" s="131"/>
      <c r="AB121" s="330"/>
      <c r="AC121" s="331"/>
      <c r="AD121" s="332"/>
      <c r="AE121" s="131"/>
      <c r="AF121" s="131"/>
      <c r="AG121" s="131"/>
      <c r="AH121" s="131"/>
      <c r="AI121" s="131"/>
      <c r="AJ121" s="131"/>
      <c r="AK121" s="131"/>
      <c r="AL121" s="131"/>
      <c r="AM121" s="131"/>
      <c r="AN121" s="131"/>
      <c r="AO121" s="142"/>
      <c r="AP121" s="131"/>
    </row>
    <row r="122" ht="13.5" customHeight="1">
      <c r="A122" s="142"/>
      <c r="B122" s="142"/>
      <c r="C122" s="142"/>
      <c r="D122" s="142"/>
      <c r="E122" s="132"/>
      <c r="F122" s="131"/>
      <c r="G122" s="131"/>
      <c r="H122" s="131"/>
      <c r="I122" s="131"/>
      <c r="J122" s="219"/>
      <c r="K122" s="198"/>
      <c r="L122" s="131"/>
      <c r="M122" s="142"/>
      <c r="N122" s="131"/>
      <c r="O122" s="131"/>
      <c r="P122" s="131"/>
      <c r="Q122" s="131"/>
      <c r="R122" s="131"/>
      <c r="S122" s="131"/>
      <c r="T122" s="131"/>
      <c r="U122" s="131"/>
      <c r="V122" s="131"/>
      <c r="W122" s="131"/>
      <c r="X122" s="131"/>
      <c r="Y122" s="131"/>
      <c r="Z122" s="131"/>
      <c r="AA122" s="131"/>
      <c r="AB122" s="330"/>
      <c r="AC122" s="331"/>
      <c r="AD122" s="332"/>
      <c r="AE122" s="131"/>
      <c r="AF122" s="131"/>
      <c r="AG122" s="131"/>
      <c r="AH122" s="131"/>
      <c r="AI122" s="131"/>
      <c r="AJ122" s="131"/>
      <c r="AK122" s="131"/>
      <c r="AL122" s="131"/>
      <c r="AM122" s="131"/>
      <c r="AN122" s="131"/>
      <c r="AO122" s="142"/>
      <c r="AP122" s="131"/>
    </row>
    <row r="123" ht="13.5" customHeight="1">
      <c r="A123" s="142"/>
      <c r="B123" s="142"/>
      <c r="C123" s="142"/>
      <c r="D123" s="142"/>
      <c r="E123" s="132"/>
      <c r="F123" s="131"/>
      <c r="G123" s="131"/>
      <c r="H123" s="131"/>
      <c r="I123" s="131"/>
      <c r="J123" s="219"/>
      <c r="K123" s="198"/>
      <c r="L123" s="131"/>
      <c r="M123" s="142"/>
      <c r="N123" s="131"/>
      <c r="O123" s="131"/>
      <c r="P123" s="131"/>
      <c r="Q123" s="131"/>
      <c r="R123" s="131"/>
      <c r="S123" s="131"/>
      <c r="T123" s="131"/>
      <c r="U123" s="131"/>
      <c r="V123" s="131"/>
      <c r="W123" s="131"/>
      <c r="X123" s="131"/>
      <c r="Y123" s="131"/>
      <c r="Z123" s="131"/>
      <c r="AA123" s="131"/>
      <c r="AB123" s="330"/>
      <c r="AC123" s="331"/>
      <c r="AD123" s="332"/>
      <c r="AE123" s="131"/>
      <c r="AF123" s="131"/>
      <c r="AG123" s="131"/>
      <c r="AH123" s="131"/>
      <c r="AI123" s="131"/>
      <c r="AJ123" s="131"/>
      <c r="AK123" s="131"/>
      <c r="AL123" s="131"/>
      <c r="AM123" s="131"/>
      <c r="AN123" s="131"/>
      <c r="AO123" s="142"/>
      <c r="AP123" s="131"/>
    </row>
    <row r="124" ht="13.5" customHeight="1">
      <c r="A124" s="142"/>
      <c r="B124" s="142"/>
      <c r="C124" s="142"/>
      <c r="D124" s="142"/>
      <c r="E124" s="132"/>
      <c r="F124" s="131"/>
      <c r="G124" s="131"/>
      <c r="H124" s="131"/>
      <c r="I124" s="131"/>
      <c r="J124" s="219"/>
      <c r="K124" s="198"/>
      <c r="L124" s="131"/>
      <c r="M124" s="142"/>
      <c r="N124" s="131"/>
      <c r="O124" s="131"/>
      <c r="P124" s="131"/>
      <c r="Q124" s="131"/>
      <c r="R124" s="131"/>
      <c r="S124" s="131"/>
      <c r="T124" s="131"/>
      <c r="U124" s="131"/>
      <c r="V124" s="131"/>
      <c r="W124" s="131"/>
      <c r="X124" s="131"/>
      <c r="Y124" s="131"/>
      <c r="Z124" s="131"/>
      <c r="AA124" s="131"/>
      <c r="AB124" s="330"/>
      <c r="AC124" s="331"/>
      <c r="AD124" s="332"/>
      <c r="AE124" s="131"/>
      <c r="AF124" s="131"/>
      <c r="AG124" s="131"/>
      <c r="AH124" s="131"/>
      <c r="AI124" s="131"/>
      <c r="AJ124" s="131"/>
      <c r="AK124" s="131"/>
      <c r="AL124" s="131"/>
      <c r="AM124" s="131"/>
      <c r="AN124" s="131"/>
      <c r="AO124" s="142"/>
      <c r="AP124" s="131"/>
    </row>
    <row r="125" ht="13.5" customHeight="1">
      <c r="A125" s="142"/>
      <c r="B125" s="142"/>
      <c r="C125" s="142"/>
      <c r="D125" s="142"/>
      <c r="E125" s="132"/>
      <c r="F125" s="131"/>
      <c r="G125" s="131"/>
      <c r="H125" s="131"/>
      <c r="I125" s="131"/>
      <c r="J125" s="219"/>
      <c r="K125" s="198"/>
      <c r="L125" s="131"/>
      <c r="M125" s="142"/>
      <c r="N125" s="131"/>
      <c r="O125" s="131"/>
      <c r="P125" s="131"/>
      <c r="Q125" s="131"/>
      <c r="R125" s="131"/>
      <c r="S125" s="131"/>
      <c r="T125" s="131"/>
      <c r="U125" s="131"/>
      <c r="V125" s="131"/>
      <c r="W125" s="131"/>
      <c r="X125" s="131"/>
      <c r="Y125" s="131"/>
      <c r="Z125" s="131"/>
      <c r="AA125" s="131"/>
      <c r="AB125" s="330"/>
      <c r="AC125" s="331"/>
      <c r="AD125" s="332"/>
      <c r="AE125" s="131"/>
      <c r="AF125" s="131"/>
      <c r="AG125" s="131"/>
      <c r="AH125" s="131"/>
      <c r="AI125" s="131"/>
      <c r="AJ125" s="131"/>
      <c r="AK125" s="131"/>
      <c r="AL125" s="131"/>
      <c r="AM125" s="131"/>
      <c r="AN125" s="131"/>
      <c r="AO125" s="142"/>
      <c r="AP125" s="131"/>
    </row>
    <row r="126" ht="13.5" customHeight="1">
      <c r="A126" s="142"/>
      <c r="B126" s="142"/>
      <c r="C126" s="142"/>
      <c r="D126" s="142"/>
      <c r="E126" s="132"/>
      <c r="F126" s="131"/>
      <c r="G126" s="131"/>
      <c r="H126" s="131"/>
      <c r="I126" s="131"/>
      <c r="J126" s="219"/>
      <c r="K126" s="198"/>
      <c r="L126" s="131"/>
      <c r="M126" s="142"/>
      <c r="N126" s="131"/>
      <c r="O126" s="131"/>
      <c r="P126" s="131"/>
      <c r="Q126" s="131"/>
      <c r="R126" s="131"/>
      <c r="S126" s="131"/>
      <c r="T126" s="131"/>
      <c r="U126" s="131"/>
      <c r="V126" s="131"/>
      <c r="W126" s="131"/>
      <c r="X126" s="131"/>
      <c r="Y126" s="131"/>
      <c r="Z126" s="131"/>
      <c r="AA126" s="131"/>
      <c r="AB126" s="330"/>
      <c r="AC126" s="331"/>
      <c r="AD126" s="332"/>
      <c r="AE126" s="131"/>
      <c r="AF126" s="131"/>
      <c r="AG126" s="131"/>
      <c r="AH126" s="131"/>
      <c r="AI126" s="131"/>
      <c r="AJ126" s="131"/>
      <c r="AK126" s="131"/>
      <c r="AL126" s="131"/>
      <c r="AM126" s="131"/>
      <c r="AN126" s="131"/>
      <c r="AO126" s="142"/>
      <c r="AP126" s="131"/>
    </row>
    <row r="127" ht="13.5" customHeight="1">
      <c r="A127" s="142"/>
      <c r="B127" s="142"/>
      <c r="C127" s="142"/>
      <c r="D127" s="142"/>
      <c r="E127" s="132"/>
      <c r="F127" s="131"/>
      <c r="G127" s="131"/>
      <c r="H127" s="131"/>
      <c r="I127" s="131"/>
      <c r="J127" s="219"/>
      <c r="K127" s="198"/>
      <c r="L127" s="131"/>
      <c r="M127" s="142"/>
      <c r="N127" s="131"/>
      <c r="O127" s="131"/>
      <c r="P127" s="131"/>
      <c r="Q127" s="131"/>
      <c r="R127" s="131"/>
      <c r="S127" s="131"/>
      <c r="T127" s="131"/>
      <c r="U127" s="131"/>
      <c r="V127" s="131"/>
      <c r="W127" s="131"/>
      <c r="X127" s="131"/>
      <c r="Y127" s="131"/>
      <c r="Z127" s="131"/>
      <c r="AA127" s="131"/>
      <c r="AB127" s="330"/>
      <c r="AC127" s="331"/>
      <c r="AD127" s="332"/>
      <c r="AE127" s="131"/>
      <c r="AF127" s="131"/>
      <c r="AG127" s="131"/>
      <c r="AH127" s="131"/>
      <c r="AI127" s="131"/>
      <c r="AJ127" s="131"/>
      <c r="AK127" s="131"/>
      <c r="AL127" s="131"/>
      <c r="AM127" s="131"/>
      <c r="AN127" s="131"/>
      <c r="AO127" s="142"/>
      <c r="AP127" s="131"/>
    </row>
    <row r="128" ht="13.5" customHeight="1">
      <c r="A128" s="142"/>
      <c r="B128" s="142"/>
      <c r="C128" s="142"/>
      <c r="D128" s="142"/>
      <c r="E128" s="132"/>
      <c r="F128" s="131"/>
      <c r="G128" s="131"/>
      <c r="H128" s="131"/>
      <c r="I128" s="131"/>
      <c r="J128" s="219"/>
      <c r="K128" s="198"/>
      <c r="L128" s="131"/>
      <c r="M128" s="142"/>
      <c r="N128" s="131"/>
      <c r="O128" s="131"/>
      <c r="P128" s="131"/>
      <c r="Q128" s="131"/>
      <c r="R128" s="131"/>
      <c r="S128" s="131"/>
      <c r="T128" s="131"/>
      <c r="U128" s="131"/>
      <c r="V128" s="131"/>
      <c r="W128" s="131"/>
      <c r="X128" s="131"/>
      <c r="Y128" s="131"/>
      <c r="Z128" s="131"/>
      <c r="AA128" s="131"/>
      <c r="AB128" s="330"/>
      <c r="AC128" s="331"/>
      <c r="AD128" s="332"/>
      <c r="AE128" s="131"/>
      <c r="AF128" s="131"/>
      <c r="AG128" s="131"/>
      <c r="AH128" s="131"/>
      <c r="AI128" s="131"/>
      <c r="AJ128" s="131"/>
      <c r="AK128" s="131"/>
      <c r="AL128" s="131"/>
      <c r="AM128" s="131"/>
      <c r="AN128" s="131"/>
      <c r="AO128" s="142"/>
      <c r="AP128" s="131"/>
    </row>
    <row r="129" ht="13.5" customHeight="1">
      <c r="A129" s="142"/>
      <c r="B129" s="142"/>
      <c r="C129" s="142"/>
      <c r="D129" s="142"/>
      <c r="E129" s="132"/>
      <c r="F129" s="131"/>
      <c r="G129" s="131"/>
      <c r="H129" s="131"/>
      <c r="I129" s="131"/>
      <c r="J129" s="219"/>
      <c r="K129" s="198"/>
      <c r="L129" s="131"/>
      <c r="M129" s="142"/>
      <c r="N129" s="131"/>
      <c r="O129" s="131"/>
      <c r="P129" s="131"/>
      <c r="Q129" s="131"/>
      <c r="R129" s="131"/>
      <c r="S129" s="131"/>
      <c r="T129" s="131"/>
      <c r="U129" s="131"/>
      <c r="V129" s="131"/>
      <c r="W129" s="131"/>
      <c r="X129" s="131"/>
      <c r="Y129" s="131"/>
      <c r="Z129" s="131"/>
      <c r="AA129" s="131"/>
      <c r="AB129" s="330"/>
      <c r="AC129" s="331"/>
      <c r="AD129" s="332"/>
      <c r="AE129" s="131"/>
      <c r="AF129" s="131"/>
      <c r="AG129" s="131"/>
      <c r="AH129" s="131"/>
      <c r="AI129" s="131"/>
      <c r="AJ129" s="131"/>
      <c r="AK129" s="131"/>
      <c r="AL129" s="131"/>
      <c r="AM129" s="131"/>
      <c r="AN129" s="131"/>
      <c r="AO129" s="142"/>
      <c r="AP129" s="131"/>
    </row>
    <row r="130" ht="13.5" customHeight="1">
      <c r="A130" s="142"/>
      <c r="B130" s="142"/>
      <c r="C130" s="142"/>
      <c r="D130" s="142"/>
      <c r="E130" s="132"/>
      <c r="F130" s="131"/>
      <c r="G130" s="131"/>
      <c r="H130" s="131"/>
      <c r="I130" s="131"/>
      <c r="J130" s="219"/>
      <c r="K130" s="198"/>
      <c r="L130" s="131"/>
      <c r="M130" s="142"/>
      <c r="N130" s="131"/>
      <c r="O130" s="131"/>
      <c r="P130" s="131"/>
      <c r="Q130" s="131"/>
      <c r="R130" s="131"/>
      <c r="S130" s="131"/>
      <c r="T130" s="131"/>
      <c r="U130" s="131"/>
      <c r="V130" s="131"/>
      <c r="W130" s="131"/>
      <c r="X130" s="131"/>
      <c r="Y130" s="131"/>
      <c r="Z130" s="131"/>
      <c r="AA130" s="131"/>
      <c r="AB130" s="330"/>
      <c r="AC130" s="331"/>
      <c r="AD130" s="332"/>
      <c r="AE130" s="131"/>
      <c r="AF130" s="131"/>
      <c r="AG130" s="131"/>
      <c r="AH130" s="131"/>
      <c r="AI130" s="131"/>
      <c r="AJ130" s="131"/>
      <c r="AK130" s="131"/>
      <c r="AL130" s="131"/>
      <c r="AM130" s="131"/>
      <c r="AN130" s="131"/>
      <c r="AO130" s="142"/>
      <c r="AP130" s="131"/>
    </row>
    <row r="131" ht="13.5" customHeight="1">
      <c r="A131" s="142"/>
      <c r="B131" s="142"/>
      <c r="C131" s="142"/>
      <c r="D131" s="142"/>
      <c r="E131" s="132"/>
      <c r="F131" s="131"/>
      <c r="G131" s="131"/>
      <c r="H131" s="131"/>
      <c r="I131" s="131"/>
      <c r="J131" s="219"/>
      <c r="K131" s="198"/>
      <c r="L131" s="131"/>
      <c r="M131" s="142"/>
      <c r="N131" s="131"/>
      <c r="O131" s="131"/>
      <c r="P131" s="131"/>
      <c r="Q131" s="131"/>
      <c r="R131" s="131"/>
      <c r="S131" s="131"/>
      <c r="T131" s="131"/>
      <c r="U131" s="131"/>
      <c r="V131" s="131"/>
      <c r="W131" s="131"/>
      <c r="X131" s="131"/>
      <c r="Y131" s="131"/>
      <c r="Z131" s="131"/>
      <c r="AA131" s="131"/>
      <c r="AB131" s="330"/>
      <c r="AC131" s="331"/>
      <c r="AD131" s="332"/>
      <c r="AE131" s="131"/>
      <c r="AF131" s="131"/>
      <c r="AG131" s="131"/>
      <c r="AH131" s="131"/>
      <c r="AI131" s="131"/>
      <c r="AJ131" s="131"/>
      <c r="AK131" s="131"/>
      <c r="AL131" s="131"/>
      <c r="AM131" s="131"/>
      <c r="AN131" s="131"/>
      <c r="AO131" s="142"/>
      <c r="AP131" s="131"/>
    </row>
    <row r="132" ht="13.5" customHeight="1">
      <c r="A132" s="142"/>
      <c r="B132" s="142"/>
      <c r="C132" s="142"/>
      <c r="D132" s="142"/>
      <c r="E132" s="132"/>
      <c r="F132" s="131"/>
      <c r="G132" s="131"/>
      <c r="H132" s="131"/>
      <c r="I132" s="131"/>
      <c r="J132" s="219"/>
      <c r="K132" s="198"/>
      <c r="L132" s="131"/>
      <c r="M132" s="142"/>
      <c r="N132" s="131"/>
      <c r="O132" s="131"/>
      <c r="P132" s="131"/>
      <c r="Q132" s="131"/>
      <c r="R132" s="131"/>
      <c r="S132" s="131"/>
      <c r="T132" s="131"/>
      <c r="U132" s="131"/>
      <c r="V132" s="131"/>
      <c r="W132" s="131"/>
      <c r="X132" s="131"/>
      <c r="Y132" s="131"/>
      <c r="Z132" s="131"/>
      <c r="AA132" s="131"/>
      <c r="AB132" s="330"/>
      <c r="AC132" s="331"/>
      <c r="AD132" s="332"/>
      <c r="AE132" s="131"/>
      <c r="AF132" s="131"/>
      <c r="AG132" s="131"/>
      <c r="AH132" s="131"/>
      <c r="AI132" s="131"/>
      <c r="AJ132" s="131"/>
      <c r="AK132" s="131"/>
      <c r="AL132" s="131"/>
      <c r="AM132" s="131"/>
      <c r="AN132" s="131"/>
      <c r="AO132" s="142"/>
      <c r="AP132" s="131"/>
    </row>
    <row r="133" ht="13.5" customHeight="1">
      <c r="A133" s="142"/>
      <c r="B133" s="142"/>
      <c r="C133" s="142"/>
      <c r="D133" s="142"/>
      <c r="E133" s="132"/>
      <c r="F133" s="131"/>
      <c r="G133" s="131"/>
      <c r="H133" s="131"/>
      <c r="I133" s="131"/>
      <c r="J133" s="219"/>
      <c r="K133" s="198"/>
      <c r="L133" s="131"/>
      <c r="M133" s="142"/>
      <c r="N133" s="131"/>
      <c r="O133" s="131"/>
      <c r="P133" s="131"/>
      <c r="Q133" s="131"/>
      <c r="R133" s="131"/>
      <c r="S133" s="131"/>
      <c r="T133" s="131"/>
      <c r="U133" s="131"/>
      <c r="V133" s="131"/>
      <c r="W133" s="131"/>
      <c r="X133" s="131"/>
      <c r="Y133" s="131"/>
      <c r="Z133" s="131"/>
      <c r="AA133" s="131"/>
      <c r="AB133" s="330"/>
      <c r="AC133" s="331"/>
      <c r="AD133" s="332"/>
      <c r="AE133" s="131"/>
      <c r="AF133" s="131"/>
      <c r="AG133" s="131"/>
      <c r="AH133" s="131"/>
      <c r="AI133" s="131"/>
      <c r="AJ133" s="131"/>
      <c r="AK133" s="131"/>
      <c r="AL133" s="131"/>
      <c r="AM133" s="131"/>
      <c r="AN133" s="131"/>
      <c r="AO133" s="142"/>
      <c r="AP133" s="131"/>
    </row>
    <row r="134" ht="13.5" customHeight="1">
      <c r="A134" s="142"/>
      <c r="B134" s="142"/>
      <c r="C134" s="142"/>
      <c r="D134" s="142"/>
      <c r="E134" s="132"/>
      <c r="F134" s="131"/>
      <c r="G134" s="131"/>
      <c r="H134" s="131"/>
      <c r="I134" s="131"/>
      <c r="J134" s="219"/>
      <c r="K134" s="198"/>
      <c r="L134" s="131"/>
      <c r="M134" s="142"/>
      <c r="N134" s="131"/>
      <c r="O134" s="131"/>
      <c r="P134" s="131"/>
      <c r="Q134" s="131"/>
      <c r="R134" s="131"/>
      <c r="S134" s="131"/>
      <c r="T134" s="131"/>
      <c r="U134" s="131"/>
      <c r="V134" s="131"/>
      <c r="W134" s="131"/>
      <c r="X134" s="131"/>
      <c r="Y134" s="131"/>
      <c r="Z134" s="131"/>
      <c r="AA134" s="131"/>
      <c r="AB134" s="330"/>
      <c r="AC134" s="331"/>
      <c r="AD134" s="332"/>
      <c r="AE134" s="131"/>
      <c r="AF134" s="131"/>
      <c r="AG134" s="131"/>
      <c r="AH134" s="131"/>
      <c r="AI134" s="131"/>
      <c r="AJ134" s="131"/>
      <c r="AK134" s="131"/>
      <c r="AL134" s="131"/>
      <c r="AM134" s="131"/>
      <c r="AN134" s="131"/>
      <c r="AO134" s="142"/>
      <c r="AP134" s="131"/>
    </row>
    <row r="135" ht="13.5" customHeight="1">
      <c r="A135" s="142"/>
      <c r="B135" s="142"/>
      <c r="C135" s="142"/>
      <c r="D135" s="142"/>
      <c r="E135" s="132"/>
      <c r="F135" s="131"/>
      <c r="G135" s="131"/>
      <c r="H135" s="131"/>
      <c r="I135" s="131"/>
      <c r="J135" s="219"/>
      <c r="K135" s="198"/>
      <c r="L135" s="131"/>
      <c r="M135" s="142"/>
      <c r="N135" s="131"/>
      <c r="O135" s="131"/>
      <c r="P135" s="131"/>
      <c r="Q135" s="131"/>
      <c r="R135" s="131"/>
      <c r="S135" s="131"/>
      <c r="T135" s="131"/>
      <c r="U135" s="131"/>
      <c r="V135" s="131"/>
      <c r="W135" s="131"/>
      <c r="X135" s="131"/>
      <c r="Y135" s="131"/>
      <c r="Z135" s="131"/>
      <c r="AA135" s="131"/>
      <c r="AB135" s="330"/>
      <c r="AC135" s="331"/>
      <c r="AD135" s="332"/>
      <c r="AE135" s="131"/>
      <c r="AF135" s="131"/>
      <c r="AG135" s="131"/>
      <c r="AH135" s="131"/>
      <c r="AI135" s="131"/>
      <c r="AJ135" s="131"/>
      <c r="AK135" s="131"/>
      <c r="AL135" s="131"/>
      <c r="AM135" s="131"/>
      <c r="AN135" s="131"/>
      <c r="AO135" s="142"/>
      <c r="AP135" s="131"/>
    </row>
    <row r="136" ht="13.5" customHeight="1">
      <c r="A136" s="142"/>
      <c r="B136" s="142"/>
      <c r="C136" s="142"/>
      <c r="D136" s="142"/>
      <c r="E136" s="132"/>
      <c r="F136" s="131"/>
      <c r="G136" s="131"/>
      <c r="H136" s="131"/>
      <c r="I136" s="131"/>
      <c r="J136" s="219"/>
      <c r="K136" s="198"/>
      <c r="L136" s="131"/>
      <c r="M136" s="142"/>
      <c r="N136" s="131"/>
      <c r="O136" s="131"/>
      <c r="P136" s="131"/>
      <c r="Q136" s="131"/>
      <c r="R136" s="131"/>
      <c r="S136" s="131"/>
      <c r="T136" s="131"/>
      <c r="U136" s="131"/>
      <c r="V136" s="131"/>
      <c r="W136" s="131"/>
      <c r="X136" s="131"/>
      <c r="Y136" s="131"/>
      <c r="Z136" s="131"/>
      <c r="AA136" s="131"/>
      <c r="AB136" s="330"/>
      <c r="AC136" s="331"/>
      <c r="AD136" s="332"/>
      <c r="AE136" s="131"/>
      <c r="AF136" s="131"/>
      <c r="AG136" s="131"/>
      <c r="AH136" s="131"/>
      <c r="AI136" s="131"/>
      <c r="AJ136" s="131"/>
      <c r="AK136" s="131"/>
      <c r="AL136" s="131"/>
      <c r="AM136" s="131"/>
      <c r="AN136" s="131"/>
      <c r="AO136" s="142"/>
      <c r="AP136" s="131"/>
    </row>
    <row r="137" ht="13.5" customHeight="1">
      <c r="A137" s="142"/>
      <c r="B137" s="142"/>
      <c r="C137" s="142"/>
      <c r="D137" s="142"/>
      <c r="E137" s="132"/>
      <c r="F137" s="131"/>
      <c r="G137" s="131"/>
      <c r="H137" s="131"/>
      <c r="I137" s="131"/>
      <c r="J137" s="219"/>
      <c r="K137" s="198"/>
      <c r="L137" s="131"/>
      <c r="M137" s="142"/>
      <c r="N137" s="131"/>
      <c r="O137" s="131"/>
      <c r="P137" s="131"/>
      <c r="Q137" s="131"/>
      <c r="R137" s="131"/>
      <c r="S137" s="131"/>
      <c r="T137" s="131"/>
      <c r="U137" s="131"/>
      <c r="V137" s="131"/>
      <c r="W137" s="131"/>
      <c r="X137" s="131"/>
      <c r="Y137" s="131"/>
      <c r="Z137" s="131"/>
      <c r="AA137" s="131"/>
      <c r="AB137" s="330"/>
      <c r="AC137" s="331"/>
      <c r="AD137" s="332"/>
      <c r="AE137" s="131"/>
      <c r="AF137" s="131"/>
      <c r="AG137" s="131"/>
      <c r="AH137" s="131"/>
      <c r="AI137" s="131"/>
      <c r="AJ137" s="131"/>
      <c r="AK137" s="131"/>
      <c r="AL137" s="131"/>
      <c r="AM137" s="131"/>
      <c r="AN137" s="131"/>
      <c r="AO137" s="142"/>
      <c r="AP137" s="131"/>
    </row>
    <row r="138" ht="13.5" customHeight="1">
      <c r="A138" s="142"/>
      <c r="B138" s="142"/>
      <c r="C138" s="142"/>
      <c r="D138" s="142"/>
      <c r="E138" s="132"/>
      <c r="F138" s="131"/>
      <c r="G138" s="131"/>
      <c r="H138" s="131"/>
      <c r="I138" s="131"/>
      <c r="J138" s="219"/>
      <c r="K138" s="198"/>
      <c r="L138" s="131"/>
      <c r="M138" s="142"/>
      <c r="N138" s="131"/>
      <c r="O138" s="131"/>
      <c r="P138" s="131"/>
      <c r="Q138" s="131"/>
      <c r="R138" s="131"/>
      <c r="S138" s="131"/>
      <c r="T138" s="131"/>
      <c r="U138" s="131"/>
      <c r="V138" s="131"/>
      <c r="W138" s="131"/>
      <c r="X138" s="131"/>
      <c r="Y138" s="131"/>
      <c r="Z138" s="131"/>
      <c r="AA138" s="131"/>
      <c r="AB138" s="330"/>
      <c r="AC138" s="331"/>
      <c r="AD138" s="332"/>
      <c r="AE138" s="131"/>
      <c r="AF138" s="131"/>
      <c r="AG138" s="131"/>
      <c r="AH138" s="131"/>
      <c r="AI138" s="131"/>
      <c r="AJ138" s="131"/>
      <c r="AK138" s="131"/>
      <c r="AL138" s="131"/>
      <c r="AM138" s="131"/>
      <c r="AN138" s="131"/>
      <c r="AO138" s="142"/>
      <c r="AP138" s="131"/>
    </row>
    <row r="139" ht="13.5" customHeight="1">
      <c r="A139" s="142"/>
      <c r="B139" s="142"/>
      <c r="C139" s="142"/>
      <c r="D139" s="142"/>
      <c r="E139" s="132"/>
      <c r="F139" s="131"/>
      <c r="G139" s="131"/>
      <c r="H139" s="131"/>
      <c r="I139" s="131"/>
      <c r="J139" s="219"/>
      <c r="K139" s="198"/>
      <c r="L139" s="131"/>
      <c r="M139" s="142"/>
      <c r="N139" s="131"/>
      <c r="O139" s="131"/>
      <c r="P139" s="131"/>
      <c r="Q139" s="131"/>
      <c r="R139" s="131"/>
      <c r="S139" s="131"/>
      <c r="T139" s="131"/>
      <c r="U139" s="131"/>
      <c r="V139" s="131"/>
      <c r="W139" s="131"/>
      <c r="X139" s="131"/>
      <c r="Y139" s="131"/>
      <c r="Z139" s="131"/>
      <c r="AA139" s="131"/>
      <c r="AB139" s="330"/>
      <c r="AC139" s="331"/>
      <c r="AD139" s="332"/>
      <c r="AE139" s="131"/>
      <c r="AF139" s="131"/>
      <c r="AG139" s="131"/>
      <c r="AH139" s="131"/>
      <c r="AI139" s="131"/>
      <c r="AJ139" s="131"/>
      <c r="AK139" s="131"/>
      <c r="AL139" s="131"/>
      <c r="AM139" s="131"/>
      <c r="AN139" s="131"/>
      <c r="AO139" s="142"/>
      <c r="AP139" s="131"/>
    </row>
    <row r="140" ht="13.5" customHeight="1">
      <c r="A140" s="142"/>
      <c r="B140" s="142"/>
      <c r="C140" s="142"/>
      <c r="D140" s="142"/>
      <c r="E140" s="132"/>
      <c r="F140" s="131"/>
      <c r="G140" s="131"/>
      <c r="H140" s="131"/>
      <c r="I140" s="131"/>
      <c r="J140" s="219"/>
      <c r="K140" s="198"/>
      <c r="L140" s="131"/>
      <c r="M140" s="142"/>
      <c r="N140" s="131"/>
      <c r="O140" s="131"/>
      <c r="P140" s="131"/>
      <c r="Q140" s="131"/>
      <c r="R140" s="131"/>
      <c r="S140" s="131"/>
      <c r="T140" s="131"/>
      <c r="U140" s="131"/>
      <c r="V140" s="131"/>
      <c r="W140" s="131"/>
      <c r="X140" s="131"/>
      <c r="Y140" s="131"/>
      <c r="Z140" s="131"/>
      <c r="AA140" s="131"/>
      <c r="AB140" s="330"/>
      <c r="AC140" s="331"/>
      <c r="AD140" s="332"/>
      <c r="AE140" s="131"/>
      <c r="AF140" s="131"/>
      <c r="AG140" s="131"/>
      <c r="AH140" s="131"/>
      <c r="AI140" s="131"/>
      <c r="AJ140" s="131"/>
      <c r="AK140" s="131"/>
      <c r="AL140" s="131"/>
      <c r="AM140" s="131"/>
      <c r="AN140" s="131"/>
      <c r="AO140" s="142"/>
      <c r="AP140" s="131"/>
    </row>
    <row r="141" ht="13.5" customHeight="1">
      <c r="A141" s="142"/>
      <c r="B141" s="142"/>
      <c r="C141" s="142"/>
      <c r="D141" s="142"/>
      <c r="E141" s="132"/>
      <c r="F141" s="131"/>
      <c r="G141" s="131"/>
      <c r="H141" s="131"/>
      <c r="I141" s="131"/>
      <c r="J141" s="219"/>
      <c r="K141" s="198"/>
      <c r="L141" s="131"/>
      <c r="M141" s="142"/>
      <c r="N141" s="131"/>
      <c r="O141" s="131"/>
      <c r="P141" s="131"/>
      <c r="Q141" s="131"/>
      <c r="R141" s="131"/>
      <c r="S141" s="131"/>
      <c r="T141" s="131"/>
      <c r="U141" s="131"/>
      <c r="V141" s="131"/>
      <c r="W141" s="131"/>
      <c r="X141" s="131"/>
      <c r="Y141" s="131"/>
      <c r="Z141" s="131"/>
      <c r="AA141" s="131"/>
      <c r="AB141" s="330"/>
      <c r="AC141" s="331"/>
      <c r="AD141" s="332"/>
      <c r="AE141" s="131"/>
      <c r="AF141" s="131"/>
      <c r="AG141" s="131"/>
      <c r="AH141" s="131"/>
      <c r="AI141" s="131"/>
      <c r="AJ141" s="131"/>
      <c r="AK141" s="131"/>
      <c r="AL141" s="131"/>
      <c r="AM141" s="131"/>
      <c r="AN141" s="131"/>
      <c r="AO141" s="142"/>
      <c r="AP141" s="131"/>
    </row>
    <row r="142" ht="13.5" customHeight="1">
      <c r="A142" s="142"/>
      <c r="B142" s="142"/>
      <c r="C142" s="142"/>
      <c r="D142" s="142"/>
      <c r="E142" s="132"/>
      <c r="F142" s="131"/>
      <c r="G142" s="131"/>
      <c r="H142" s="131"/>
      <c r="I142" s="131"/>
      <c r="J142" s="219"/>
      <c r="K142" s="198"/>
      <c r="L142" s="131"/>
      <c r="M142" s="142"/>
      <c r="N142" s="131"/>
      <c r="O142" s="131"/>
      <c r="P142" s="131"/>
      <c r="Q142" s="131"/>
      <c r="R142" s="131"/>
      <c r="S142" s="131"/>
      <c r="T142" s="131"/>
      <c r="U142" s="131"/>
      <c r="V142" s="131"/>
      <c r="W142" s="131"/>
      <c r="X142" s="131"/>
      <c r="Y142" s="131"/>
      <c r="Z142" s="131"/>
      <c r="AA142" s="131"/>
      <c r="AB142" s="330"/>
      <c r="AC142" s="331"/>
      <c r="AD142" s="332"/>
      <c r="AE142" s="131"/>
      <c r="AF142" s="131"/>
      <c r="AG142" s="131"/>
      <c r="AH142" s="131"/>
      <c r="AI142" s="131"/>
      <c r="AJ142" s="131"/>
      <c r="AK142" s="131"/>
      <c r="AL142" s="131"/>
      <c r="AM142" s="131"/>
      <c r="AN142" s="131"/>
      <c r="AO142" s="142"/>
      <c r="AP142" s="131"/>
    </row>
    <row r="143" ht="13.5" customHeight="1">
      <c r="A143" s="142"/>
      <c r="B143" s="142"/>
      <c r="C143" s="142"/>
      <c r="D143" s="142"/>
      <c r="E143" s="132"/>
      <c r="F143" s="131"/>
      <c r="G143" s="131"/>
      <c r="H143" s="131"/>
      <c r="I143" s="131"/>
      <c r="J143" s="219"/>
      <c r="K143" s="198"/>
      <c r="L143" s="131"/>
      <c r="M143" s="142"/>
      <c r="N143" s="131"/>
      <c r="O143" s="131"/>
      <c r="P143" s="131"/>
      <c r="Q143" s="131"/>
      <c r="R143" s="131"/>
      <c r="S143" s="131"/>
      <c r="T143" s="131"/>
      <c r="U143" s="131"/>
      <c r="V143" s="131"/>
      <c r="W143" s="131"/>
      <c r="X143" s="131"/>
      <c r="Y143" s="131"/>
      <c r="Z143" s="131"/>
      <c r="AA143" s="131"/>
      <c r="AB143" s="330"/>
      <c r="AC143" s="331"/>
      <c r="AD143" s="332"/>
      <c r="AE143" s="131"/>
      <c r="AF143" s="131"/>
      <c r="AG143" s="131"/>
      <c r="AH143" s="131"/>
      <c r="AI143" s="131"/>
      <c r="AJ143" s="131"/>
      <c r="AK143" s="131"/>
      <c r="AL143" s="131"/>
      <c r="AM143" s="131"/>
      <c r="AN143" s="131"/>
      <c r="AO143" s="142"/>
      <c r="AP143" s="131"/>
    </row>
    <row r="144" ht="13.5" customHeight="1">
      <c r="A144" s="142"/>
      <c r="B144" s="142"/>
      <c r="C144" s="142"/>
      <c r="D144" s="142"/>
      <c r="E144" s="132"/>
      <c r="F144" s="131"/>
      <c r="G144" s="131"/>
      <c r="H144" s="131"/>
      <c r="I144" s="131"/>
      <c r="J144" s="219"/>
      <c r="K144" s="198"/>
      <c r="L144" s="131"/>
      <c r="M144" s="142"/>
      <c r="N144" s="131"/>
      <c r="O144" s="131"/>
      <c r="P144" s="131"/>
      <c r="Q144" s="131"/>
      <c r="R144" s="131"/>
      <c r="S144" s="131"/>
      <c r="T144" s="131"/>
      <c r="U144" s="131"/>
      <c r="V144" s="131"/>
      <c r="W144" s="131"/>
      <c r="X144" s="131"/>
      <c r="Y144" s="131"/>
      <c r="Z144" s="131"/>
      <c r="AA144" s="131"/>
      <c r="AB144" s="330"/>
      <c r="AC144" s="331"/>
      <c r="AD144" s="332"/>
      <c r="AE144" s="131"/>
      <c r="AF144" s="131"/>
      <c r="AG144" s="131"/>
      <c r="AH144" s="131"/>
      <c r="AI144" s="131"/>
      <c r="AJ144" s="131"/>
      <c r="AK144" s="131"/>
      <c r="AL144" s="131"/>
      <c r="AM144" s="131"/>
      <c r="AN144" s="131"/>
      <c r="AO144" s="142"/>
      <c r="AP144" s="131"/>
    </row>
    <row r="145" ht="13.5" customHeight="1">
      <c r="A145" s="142"/>
      <c r="B145" s="142"/>
      <c r="C145" s="142"/>
      <c r="D145" s="142"/>
      <c r="E145" s="132"/>
      <c r="F145" s="131"/>
      <c r="G145" s="131"/>
      <c r="H145" s="131"/>
      <c r="I145" s="131"/>
      <c r="J145" s="219"/>
      <c r="K145" s="198"/>
      <c r="L145" s="131"/>
      <c r="M145" s="142"/>
      <c r="N145" s="131"/>
      <c r="O145" s="131"/>
      <c r="P145" s="131"/>
      <c r="Q145" s="131"/>
      <c r="R145" s="131"/>
      <c r="S145" s="131"/>
      <c r="T145" s="131"/>
      <c r="U145" s="131"/>
      <c r="V145" s="131"/>
      <c r="W145" s="131"/>
      <c r="X145" s="131"/>
      <c r="Y145" s="131"/>
      <c r="Z145" s="131"/>
      <c r="AA145" s="131"/>
      <c r="AB145" s="330"/>
      <c r="AC145" s="331"/>
      <c r="AD145" s="332"/>
      <c r="AE145" s="131"/>
      <c r="AF145" s="131"/>
      <c r="AG145" s="131"/>
      <c r="AH145" s="131"/>
      <c r="AI145" s="131"/>
      <c r="AJ145" s="131"/>
      <c r="AK145" s="131"/>
      <c r="AL145" s="131"/>
      <c r="AM145" s="131"/>
      <c r="AN145" s="131"/>
      <c r="AO145" s="142"/>
      <c r="AP145" s="131"/>
    </row>
    <row r="146" ht="13.5" customHeight="1">
      <c r="A146" s="142"/>
      <c r="B146" s="142"/>
      <c r="C146" s="142"/>
      <c r="D146" s="142"/>
      <c r="E146" s="132"/>
      <c r="F146" s="131"/>
      <c r="G146" s="131"/>
      <c r="H146" s="131"/>
      <c r="I146" s="131"/>
      <c r="J146" s="219"/>
      <c r="K146" s="198"/>
      <c r="L146" s="131"/>
      <c r="M146" s="142"/>
      <c r="N146" s="131"/>
      <c r="O146" s="131"/>
      <c r="P146" s="131"/>
      <c r="Q146" s="131"/>
      <c r="R146" s="131"/>
      <c r="S146" s="131"/>
      <c r="T146" s="131"/>
      <c r="U146" s="131"/>
      <c r="V146" s="131"/>
      <c r="W146" s="131"/>
      <c r="X146" s="131"/>
      <c r="Y146" s="131"/>
      <c r="Z146" s="131"/>
      <c r="AA146" s="131"/>
      <c r="AB146" s="330"/>
      <c r="AC146" s="331"/>
      <c r="AD146" s="332"/>
      <c r="AE146" s="131"/>
      <c r="AF146" s="131"/>
      <c r="AG146" s="131"/>
      <c r="AH146" s="131"/>
      <c r="AI146" s="131"/>
      <c r="AJ146" s="131"/>
      <c r="AK146" s="131"/>
      <c r="AL146" s="131"/>
      <c r="AM146" s="131"/>
      <c r="AN146" s="131"/>
      <c r="AO146" s="142"/>
      <c r="AP146" s="131"/>
    </row>
    <row r="147" ht="13.5" customHeight="1">
      <c r="A147" s="142"/>
      <c r="B147" s="142"/>
      <c r="C147" s="142"/>
      <c r="D147" s="142"/>
      <c r="E147" s="132"/>
      <c r="F147" s="131"/>
      <c r="G147" s="131"/>
      <c r="H147" s="131"/>
      <c r="I147" s="131"/>
      <c r="J147" s="219"/>
      <c r="K147" s="198"/>
      <c r="L147" s="131"/>
      <c r="M147" s="142"/>
      <c r="N147" s="131"/>
      <c r="O147" s="131"/>
      <c r="P147" s="131"/>
      <c r="Q147" s="131"/>
      <c r="R147" s="131"/>
      <c r="S147" s="131"/>
      <c r="T147" s="131"/>
      <c r="U147" s="131"/>
      <c r="V147" s="131"/>
      <c r="W147" s="131"/>
      <c r="X147" s="131"/>
      <c r="Y147" s="131"/>
      <c r="Z147" s="131"/>
      <c r="AA147" s="131"/>
      <c r="AB147" s="330"/>
      <c r="AC147" s="331"/>
      <c r="AD147" s="332"/>
      <c r="AE147" s="131"/>
      <c r="AF147" s="131"/>
      <c r="AG147" s="131"/>
      <c r="AH147" s="131"/>
      <c r="AI147" s="131"/>
      <c r="AJ147" s="131"/>
      <c r="AK147" s="131"/>
      <c r="AL147" s="131"/>
      <c r="AM147" s="131"/>
      <c r="AN147" s="131"/>
      <c r="AO147" s="142"/>
      <c r="AP147" s="131"/>
    </row>
    <row r="148" ht="13.5" customHeight="1">
      <c r="A148" s="142"/>
      <c r="B148" s="142"/>
      <c r="C148" s="142"/>
      <c r="D148" s="142"/>
      <c r="E148" s="132"/>
      <c r="F148" s="131"/>
      <c r="G148" s="131"/>
      <c r="H148" s="131"/>
      <c r="I148" s="131"/>
      <c r="J148" s="219"/>
      <c r="K148" s="198"/>
      <c r="L148" s="131"/>
      <c r="M148" s="142"/>
      <c r="N148" s="131"/>
      <c r="O148" s="131"/>
      <c r="P148" s="131"/>
      <c r="Q148" s="131"/>
      <c r="R148" s="131"/>
      <c r="S148" s="131"/>
      <c r="T148" s="131"/>
      <c r="U148" s="131"/>
      <c r="V148" s="131"/>
      <c r="W148" s="131"/>
      <c r="X148" s="131"/>
      <c r="Y148" s="131"/>
      <c r="Z148" s="131"/>
      <c r="AA148" s="131"/>
      <c r="AB148" s="330"/>
      <c r="AC148" s="331"/>
      <c r="AD148" s="332"/>
      <c r="AE148" s="131"/>
      <c r="AF148" s="131"/>
      <c r="AG148" s="131"/>
      <c r="AH148" s="131"/>
      <c r="AI148" s="131"/>
      <c r="AJ148" s="131"/>
      <c r="AK148" s="131"/>
      <c r="AL148" s="131"/>
      <c r="AM148" s="131"/>
      <c r="AN148" s="131"/>
      <c r="AO148" s="142"/>
      <c r="AP148" s="131"/>
    </row>
    <row r="149" ht="13.5" customHeight="1">
      <c r="A149" s="142"/>
      <c r="B149" s="142"/>
      <c r="C149" s="142"/>
      <c r="D149" s="142"/>
      <c r="E149" s="132"/>
      <c r="F149" s="131"/>
      <c r="G149" s="131"/>
      <c r="H149" s="131"/>
      <c r="I149" s="131"/>
      <c r="J149" s="219"/>
      <c r="K149" s="198"/>
      <c r="L149" s="131"/>
      <c r="M149" s="142"/>
      <c r="N149" s="131"/>
      <c r="O149" s="131"/>
      <c r="P149" s="131"/>
      <c r="Q149" s="131"/>
      <c r="R149" s="131"/>
      <c r="S149" s="131"/>
      <c r="T149" s="131"/>
      <c r="U149" s="131"/>
      <c r="V149" s="131"/>
      <c r="W149" s="131"/>
      <c r="X149" s="131"/>
      <c r="Y149" s="131"/>
      <c r="Z149" s="131"/>
      <c r="AA149" s="131"/>
      <c r="AB149" s="330"/>
      <c r="AC149" s="331"/>
      <c r="AD149" s="332"/>
      <c r="AE149" s="131"/>
      <c r="AF149" s="131"/>
      <c r="AG149" s="131"/>
      <c r="AH149" s="131"/>
      <c r="AI149" s="131"/>
      <c r="AJ149" s="131"/>
      <c r="AK149" s="131"/>
      <c r="AL149" s="131"/>
      <c r="AM149" s="131"/>
      <c r="AN149" s="131"/>
      <c r="AO149" s="142"/>
      <c r="AP149" s="131"/>
    </row>
    <row r="150" ht="13.5" customHeight="1">
      <c r="A150" s="142"/>
      <c r="B150" s="142"/>
      <c r="C150" s="142"/>
      <c r="D150" s="142"/>
      <c r="E150" s="132"/>
      <c r="F150" s="131"/>
      <c r="G150" s="131"/>
      <c r="H150" s="131"/>
      <c r="I150" s="131"/>
      <c r="J150" s="219"/>
      <c r="K150" s="198"/>
      <c r="L150" s="131"/>
      <c r="M150" s="142"/>
      <c r="N150" s="131"/>
      <c r="O150" s="131"/>
      <c r="P150" s="131"/>
      <c r="Q150" s="131"/>
      <c r="R150" s="131"/>
      <c r="S150" s="131"/>
      <c r="T150" s="131"/>
      <c r="U150" s="131"/>
      <c r="V150" s="131"/>
      <c r="W150" s="131"/>
      <c r="X150" s="131"/>
      <c r="Y150" s="131"/>
      <c r="Z150" s="131"/>
      <c r="AA150" s="131"/>
      <c r="AB150" s="330"/>
      <c r="AC150" s="331"/>
      <c r="AD150" s="332"/>
      <c r="AE150" s="131"/>
      <c r="AF150" s="131"/>
      <c r="AG150" s="131"/>
      <c r="AH150" s="131"/>
      <c r="AI150" s="131"/>
      <c r="AJ150" s="131"/>
      <c r="AK150" s="131"/>
      <c r="AL150" s="131"/>
      <c r="AM150" s="131"/>
      <c r="AN150" s="131"/>
      <c r="AO150" s="142"/>
      <c r="AP150" s="131"/>
    </row>
    <row r="151" ht="13.5" customHeight="1">
      <c r="A151" s="142"/>
      <c r="B151" s="142"/>
      <c r="C151" s="142"/>
      <c r="D151" s="142"/>
      <c r="E151" s="132"/>
      <c r="F151" s="131"/>
      <c r="G151" s="131"/>
      <c r="H151" s="131"/>
      <c r="I151" s="131"/>
      <c r="J151" s="219"/>
      <c r="K151" s="198"/>
      <c r="L151" s="131"/>
      <c r="M151" s="142"/>
      <c r="N151" s="131"/>
      <c r="O151" s="131"/>
      <c r="P151" s="131"/>
      <c r="Q151" s="131"/>
      <c r="R151" s="131"/>
      <c r="S151" s="131"/>
      <c r="T151" s="131"/>
      <c r="U151" s="131"/>
      <c r="V151" s="131"/>
      <c r="W151" s="131"/>
      <c r="X151" s="131"/>
      <c r="Y151" s="131"/>
      <c r="Z151" s="131"/>
      <c r="AA151" s="131"/>
      <c r="AB151" s="330"/>
      <c r="AC151" s="331"/>
      <c r="AD151" s="332"/>
      <c r="AE151" s="131"/>
      <c r="AF151" s="131"/>
      <c r="AG151" s="131"/>
      <c r="AH151" s="131"/>
      <c r="AI151" s="131"/>
      <c r="AJ151" s="131"/>
      <c r="AK151" s="131"/>
      <c r="AL151" s="131"/>
      <c r="AM151" s="131"/>
      <c r="AN151" s="131"/>
      <c r="AO151" s="142"/>
      <c r="AP151" s="131"/>
    </row>
    <row r="152" ht="13.5" customHeight="1">
      <c r="A152" s="142"/>
      <c r="B152" s="142"/>
      <c r="C152" s="142"/>
      <c r="D152" s="142"/>
      <c r="E152" s="132"/>
      <c r="F152" s="131"/>
      <c r="G152" s="131"/>
      <c r="H152" s="131"/>
      <c r="I152" s="131"/>
      <c r="J152" s="219"/>
      <c r="K152" s="198"/>
      <c r="L152" s="131"/>
      <c r="M152" s="142"/>
      <c r="N152" s="131"/>
      <c r="O152" s="131"/>
      <c r="P152" s="131"/>
      <c r="Q152" s="131"/>
      <c r="R152" s="131"/>
      <c r="S152" s="131"/>
      <c r="T152" s="131"/>
      <c r="U152" s="131"/>
      <c r="V152" s="131"/>
      <c r="W152" s="131"/>
      <c r="X152" s="131"/>
      <c r="Y152" s="131"/>
      <c r="Z152" s="131"/>
      <c r="AA152" s="131"/>
      <c r="AB152" s="330"/>
      <c r="AC152" s="331"/>
      <c r="AD152" s="332"/>
      <c r="AE152" s="131"/>
      <c r="AF152" s="131"/>
      <c r="AG152" s="131"/>
      <c r="AH152" s="131"/>
      <c r="AI152" s="131"/>
      <c r="AJ152" s="131"/>
      <c r="AK152" s="131"/>
      <c r="AL152" s="131"/>
      <c r="AM152" s="131"/>
      <c r="AN152" s="131"/>
      <c r="AO152" s="142"/>
      <c r="AP152" s="131"/>
    </row>
    <row r="153" ht="13.5" customHeight="1">
      <c r="A153" s="142"/>
      <c r="B153" s="142"/>
      <c r="C153" s="142"/>
      <c r="D153" s="142"/>
      <c r="E153" s="132"/>
      <c r="F153" s="131"/>
      <c r="G153" s="131"/>
      <c r="H153" s="131"/>
      <c r="I153" s="131"/>
      <c r="J153" s="219"/>
      <c r="K153" s="198"/>
      <c r="L153" s="131"/>
      <c r="M153" s="142"/>
      <c r="N153" s="131"/>
      <c r="O153" s="131"/>
      <c r="P153" s="131"/>
      <c r="Q153" s="131"/>
      <c r="R153" s="131"/>
      <c r="S153" s="131"/>
      <c r="T153" s="131"/>
      <c r="U153" s="131"/>
      <c r="V153" s="131"/>
      <c r="W153" s="131"/>
      <c r="X153" s="131"/>
      <c r="Y153" s="131"/>
      <c r="Z153" s="131"/>
      <c r="AA153" s="131"/>
      <c r="AB153" s="330"/>
      <c r="AC153" s="331"/>
      <c r="AD153" s="332"/>
      <c r="AE153" s="131"/>
      <c r="AF153" s="131"/>
      <c r="AG153" s="131"/>
      <c r="AH153" s="131"/>
      <c r="AI153" s="131"/>
      <c r="AJ153" s="131"/>
      <c r="AK153" s="131"/>
      <c r="AL153" s="131"/>
      <c r="AM153" s="131"/>
      <c r="AN153" s="131"/>
      <c r="AO153" s="142"/>
      <c r="AP153" s="131"/>
    </row>
    <row r="154" ht="13.5" customHeight="1">
      <c r="A154" s="142"/>
      <c r="B154" s="142"/>
      <c r="C154" s="142"/>
      <c r="D154" s="142"/>
      <c r="E154" s="132"/>
      <c r="F154" s="131"/>
      <c r="G154" s="131"/>
      <c r="H154" s="131"/>
      <c r="I154" s="131"/>
      <c r="J154" s="219"/>
      <c r="K154" s="198"/>
      <c r="L154" s="131"/>
      <c r="M154" s="142"/>
      <c r="N154" s="131"/>
      <c r="O154" s="131"/>
      <c r="P154" s="131"/>
      <c r="Q154" s="131"/>
      <c r="R154" s="131"/>
      <c r="S154" s="131"/>
      <c r="T154" s="131"/>
      <c r="U154" s="131"/>
      <c r="V154" s="131"/>
      <c r="W154" s="131"/>
      <c r="X154" s="131"/>
      <c r="Y154" s="131"/>
      <c r="Z154" s="131"/>
      <c r="AA154" s="131"/>
      <c r="AB154" s="330"/>
      <c r="AC154" s="331"/>
      <c r="AD154" s="332"/>
      <c r="AE154" s="131"/>
      <c r="AF154" s="131"/>
      <c r="AG154" s="131"/>
      <c r="AH154" s="131"/>
      <c r="AI154" s="131"/>
      <c r="AJ154" s="131"/>
      <c r="AK154" s="131"/>
      <c r="AL154" s="131"/>
      <c r="AM154" s="131"/>
      <c r="AN154" s="131"/>
      <c r="AO154" s="142"/>
      <c r="AP154" s="131"/>
    </row>
    <row r="155" ht="13.5" customHeight="1">
      <c r="A155" s="142"/>
      <c r="B155" s="142"/>
      <c r="C155" s="142"/>
      <c r="D155" s="142"/>
      <c r="E155" s="132"/>
      <c r="F155" s="131"/>
      <c r="G155" s="131"/>
      <c r="H155" s="131"/>
      <c r="I155" s="131"/>
      <c r="J155" s="219"/>
      <c r="K155" s="198"/>
      <c r="L155" s="131"/>
      <c r="M155" s="142"/>
      <c r="N155" s="131"/>
      <c r="O155" s="131"/>
      <c r="P155" s="131"/>
      <c r="Q155" s="131"/>
      <c r="R155" s="131"/>
      <c r="S155" s="131"/>
      <c r="T155" s="131"/>
      <c r="U155" s="131"/>
      <c r="V155" s="131"/>
      <c r="W155" s="131"/>
      <c r="X155" s="131"/>
      <c r="Y155" s="131"/>
      <c r="Z155" s="131"/>
      <c r="AA155" s="131"/>
      <c r="AB155" s="330"/>
      <c r="AC155" s="331"/>
      <c r="AD155" s="332"/>
      <c r="AE155" s="131"/>
      <c r="AF155" s="131"/>
      <c r="AG155" s="131"/>
      <c r="AH155" s="131"/>
      <c r="AI155" s="131"/>
      <c r="AJ155" s="131"/>
      <c r="AK155" s="131"/>
      <c r="AL155" s="131"/>
      <c r="AM155" s="131"/>
      <c r="AN155" s="131"/>
      <c r="AO155" s="142"/>
      <c r="AP155" s="131"/>
    </row>
    <row r="156" ht="13.5" customHeight="1">
      <c r="A156" s="142"/>
      <c r="B156" s="142"/>
      <c r="C156" s="142"/>
      <c r="D156" s="142"/>
      <c r="E156" s="132"/>
      <c r="F156" s="131"/>
      <c r="G156" s="131"/>
      <c r="H156" s="131"/>
      <c r="I156" s="131"/>
      <c r="J156" s="219"/>
      <c r="K156" s="198"/>
      <c r="L156" s="131"/>
      <c r="M156" s="142"/>
      <c r="N156" s="131"/>
      <c r="O156" s="131"/>
      <c r="P156" s="131"/>
      <c r="Q156" s="131"/>
      <c r="R156" s="131"/>
      <c r="S156" s="131"/>
      <c r="T156" s="131"/>
      <c r="U156" s="131"/>
      <c r="V156" s="131"/>
      <c r="W156" s="131"/>
      <c r="X156" s="131"/>
      <c r="Y156" s="131"/>
      <c r="Z156" s="131"/>
      <c r="AA156" s="131"/>
      <c r="AB156" s="330"/>
      <c r="AC156" s="331"/>
      <c r="AD156" s="332"/>
      <c r="AE156" s="131"/>
      <c r="AF156" s="131"/>
      <c r="AG156" s="131"/>
      <c r="AH156" s="131"/>
      <c r="AI156" s="131"/>
      <c r="AJ156" s="131"/>
      <c r="AK156" s="131"/>
      <c r="AL156" s="131"/>
      <c r="AM156" s="131"/>
      <c r="AN156" s="131"/>
      <c r="AO156" s="142"/>
      <c r="AP156" s="131"/>
    </row>
    <row r="157" ht="13.5" customHeight="1">
      <c r="A157" s="142"/>
      <c r="B157" s="142"/>
      <c r="C157" s="142"/>
      <c r="D157" s="142"/>
      <c r="E157" s="132"/>
      <c r="F157" s="131"/>
      <c r="G157" s="131"/>
      <c r="H157" s="131"/>
      <c r="I157" s="131"/>
      <c r="J157" s="219"/>
      <c r="K157" s="198"/>
      <c r="L157" s="131"/>
      <c r="M157" s="142"/>
      <c r="N157" s="131"/>
      <c r="O157" s="131"/>
      <c r="P157" s="131"/>
      <c r="Q157" s="131"/>
      <c r="R157" s="131"/>
      <c r="S157" s="131"/>
      <c r="T157" s="131"/>
      <c r="U157" s="131"/>
      <c r="V157" s="131"/>
      <c r="W157" s="131"/>
      <c r="X157" s="131"/>
      <c r="Y157" s="131"/>
      <c r="Z157" s="131"/>
      <c r="AA157" s="131"/>
      <c r="AB157" s="330"/>
      <c r="AC157" s="331"/>
      <c r="AD157" s="332"/>
      <c r="AE157" s="131"/>
      <c r="AF157" s="131"/>
      <c r="AG157" s="131"/>
      <c r="AH157" s="131"/>
      <c r="AI157" s="131"/>
      <c r="AJ157" s="131"/>
      <c r="AK157" s="131"/>
      <c r="AL157" s="131"/>
      <c r="AM157" s="131"/>
      <c r="AN157" s="131"/>
      <c r="AO157" s="142"/>
      <c r="AP157" s="131"/>
    </row>
    <row r="158" ht="13.5" customHeight="1">
      <c r="A158" s="142"/>
      <c r="B158" s="142"/>
      <c r="C158" s="142"/>
      <c r="D158" s="142"/>
      <c r="E158" s="132"/>
      <c r="F158" s="131"/>
      <c r="G158" s="131"/>
      <c r="H158" s="131"/>
      <c r="I158" s="131"/>
      <c r="J158" s="219"/>
      <c r="K158" s="198"/>
      <c r="L158" s="131"/>
      <c r="M158" s="142"/>
      <c r="N158" s="131"/>
      <c r="O158" s="131"/>
      <c r="P158" s="131"/>
      <c r="Q158" s="131"/>
      <c r="R158" s="131"/>
      <c r="S158" s="131"/>
      <c r="T158" s="131"/>
      <c r="U158" s="131"/>
      <c r="V158" s="131"/>
      <c r="W158" s="131"/>
      <c r="X158" s="131"/>
      <c r="Y158" s="131"/>
      <c r="Z158" s="131"/>
      <c r="AA158" s="131"/>
      <c r="AB158" s="330"/>
      <c r="AC158" s="331"/>
      <c r="AD158" s="332"/>
      <c r="AE158" s="131"/>
      <c r="AF158" s="131"/>
      <c r="AG158" s="131"/>
      <c r="AH158" s="131"/>
      <c r="AI158" s="131"/>
      <c r="AJ158" s="131"/>
      <c r="AK158" s="131"/>
      <c r="AL158" s="131"/>
      <c r="AM158" s="131"/>
      <c r="AN158" s="131"/>
      <c r="AO158" s="142"/>
      <c r="AP158" s="131"/>
    </row>
    <row r="159" ht="13.5" customHeight="1">
      <c r="A159" s="142"/>
      <c r="B159" s="142"/>
      <c r="C159" s="142"/>
      <c r="D159" s="142"/>
      <c r="E159" s="132"/>
      <c r="F159" s="131"/>
      <c r="G159" s="131"/>
      <c r="H159" s="131"/>
      <c r="I159" s="131"/>
      <c r="J159" s="219"/>
      <c r="K159" s="198"/>
      <c r="L159" s="131"/>
      <c r="M159" s="142"/>
      <c r="N159" s="131"/>
      <c r="O159" s="131"/>
      <c r="P159" s="131"/>
      <c r="Q159" s="131"/>
      <c r="R159" s="131"/>
      <c r="S159" s="131"/>
      <c r="T159" s="131"/>
      <c r="U159" s="131"/>
      <c r="V159" s="131"/>
      <c r="W159" s="131"/>
      <c r="X159" s="131"/>
      <c r="Y159" s="131"/>
      <c r="Z159" s="131"/>
      <c r="AA159" s="131"/>
      <c r="AB159" s="330"/>
      <c r="AC159" s="331"/>
      <c r="AD159" s="332"/>
      <c r="AE159" s="131"/>
      <c r="AF159" s="131"/>
      <c r="AG159" s="131"/>
      <c r="AH159" s="131"/>
      <c r="AI159" s="131"/>
      <c r="AJ159" s="131"/>
      <c r="AK159" s="131"/>
      <c r="AL159" s="131"/>
      <c r="AM159" s="131"/>
      <c r="AN159" s="131"/>
      <c r="AO159" s="142"/>
      <c r="AP159" s="131"/>
    </row>
    <row r="160" ht="13.5" customHeight="1">
      <c r="A160" s="142"/>
      <c r="B160" s="142"/>
      <c r="C160" s="142"/>
      <c r="D160" s="142"/>
      <c r="E160" s="132"/>
      <c r="F160" s="131"/>
      <c r="G160" s="131"/>
      <c r="H160" s="131"/>
      <c r="I160" s="131"/>
      <c r="J160" s="219"/>
      <c r="K160" s="198"/>
      <c r="L160" s="131"/>
      <c r="M160" s="142"/>
      <c r="N160" s="131"/>
      <c r="O160" s="131"/>
      <c r="P160" s="131"/>
      <c r="Q160" s="131"/>
      <c r="R160" s="131"/>
      <c r="S160" s="131"/>
      <c r="T160" s="131"/>
      <c r="U160" s="131"/>
      <c r="V160" s="131"/>
      <c r="W160" s="131"/>
      <c r="X160" s="131"/>
      <c r="Y160" s="131"/>
      <c r="Z160" s="131"/>
      <c r="AA160" s="131"/>
      <c r="AB160" s="330"/>
      <c r="AC160" s="331"/>
      <c r="AD160" s="332"/>
      <c r="AE160" s="131"/>
      <c r="AF160" s="131"/>
      <c r="AG160" s="131"/>
      <c r="AH160" s="131"/>
      <c r="AI160" s="131"/>
      <c r="AJ160" s="131"/>
      <c r="AK160" s="131"/>
      <c r="AL160" s="131"/>
      <c r="AM160" s="131"/>
      <c r="AN160" s="131"/>
      <c r="AO160" s="142"/>
      <c r="AP160" s="131"/>
    </row>
    <row r="161" ht="13.5" customHeight="1">
      <c r="A161" s="142"/>
      <c r="B161" s="142"/>
      <c r="C161" s="142"/>
      <c r="D161" s="142"/>
      <c r="E161" s="132"/>
      <c r="F161" s="131"/>
      <c r="G161" s="131"/>
      <c r="H161" s="131"/>
      <c r="I161" s="131"/>
      <c r="J161" s="219"/>
      <c r="K161" s="198"/>
      <c r="L161" s="131"/>
      <c r="M161" s="142"/>
      <c r="N161" s="131"/>
      <c r="O161" s="131"/>
      <c r="P161" s="131"/>
      <c r="Q161" s="131"/>
      <c r="R161" s="131"/>
      <c r="S161" s="131"/>
      <c r="T161" s="131"/>
      <c r="U161" s="131"/>
      <c r="V161" s="131"/>
      <c r="W161" s="131"/>
      <c r="X161" s="131"/>
      <c r="Y161" s="131"/>
      <c r="Z161" s="131"/>
      <c r="AA161" s="131"/>
      <c r="AB161" s="330"/>
      <c r="AC161" s="331"/>
      <c r="AD161" s="332"/>
      <c r="AE161" s="131"/>
      <c r="AF161" s="131"/>
      <c r="AG161" s="131"/>
      <c r="AH161" s="131"/>
      <c r="AI161" s="131"/>
      <c r="AJ161" s="131"/>
      <c r="AK161" s="131"/>
      <c r="AL161" s="131"/>
      <c r="AM161" s="131"/>
      <c r="AN161" s="131"/>
      <c r="AO161" s="142"/>
      <c r="AP161" s="131"/>
    </row>
    <row r="162" ht="13.5" customHeight="1">
      <c r="A162" s="142"/>
      <c r="B162" s="142"/>
      <c r="C162" s="142"/>
      <c r="D162" s="142"/>
      <c r="E162" s="132"/>
      <c r="F162" s="131"/>
      <c r="G162" s="131"/>
      <c r="H162" s="131"/>
      <c r="I162" s="131"/>
      <c r="J162" s="219"/>
      <c r="K162" s="198"/>
      <c r="L162" s="131"/>
      <c r="M162" s="142"/>
      <c r="N162" s="131"/>
      <c r="O162" s="131"/>
      <c r="P162" s="131"/>
      <c r="Q162" s="131"/>
      <c r="R162" s="131"/>
      <c r="S162" s="131"/>
      <c r="T162" s="131"/>
      <c r="U162" s="131"/>
      <c r="V162" s="131"/>
      <c r="W162" s="131"/>
      <c r="X162" s="131"/>
      <c r="Y162" s="131"/>
      <c r="Z162" s="131"/>
      <c r="AA162" s="131"/>
      <c r="AB162" s="330"/>
      <c r="AC162" s="331"/>
      <c r="AD162" s="332"/>
      <c r="AE162" s="131"/>
      <c r="AF162" s="131"/>
      <c r="AG162" s="131"/>
      <c r="AH162" s="131"/>
      <c r="AI162" s="131"/>
      <c r="AJ162" s="131"/>
      <c r="AK162" s="131"/>
      <c r="AL162" s="131"/>
      <c r="AM162" s="131"/>
      <c r="AN162" s="131"/>
      <c r="AO162" s="142"/>
      <c r="AP162" s="131"/>
    </row>
    <row r="163" ht="13.5" customHeight="1">
      <c r="A163" s="142"/>
      <c r="B163" s="142"/>
      <c r="C163" s="142"/>
      <c r="D163" s="142"/>
      <c r="E163" s="132"/>
      <c r="F163" s="131"/>
      <c r="G163" s="131"/>
      <c r="H163" s="131"/>
      <c r="I163" s="131"/>
      <c r="J163" s="219"/>
      <c r="K163" s="198"/>
      <c r="L163" s="131"/>
      <c r="M163" s="142"/>
      <c r="N163" s="131"/>
      <c r="O163" s="131"/>
      <c r="P163" s="131"/>
      <c r="Q163" s="131"/>
      <c r="R163" s="131"/>
      <c r="S163" s="131"/>
      <c r="T163" s="131"/>
      <c r="U163" s="131"/>
      <c r="V163" s="131"/>
      <c r="W163" s="131"/>
      <c r="X163" s="131"/>
      <c r="Y163" s="131"/>
      <c r="Z163" s="131"/>
      <c r="AA163" s="131"/>
      <c r="AB163" s="330"/>
      <c r="AC163" s="331"/>
      <c r="AD163" s="332"/>
      <c r="AE163" s="131"/>
      <c r="AF163" s="131"/>
      <c r="AG163" s="131"/>
      <c r="AH163" s="131"/>
      <c r="AI163" s="131"/>
      <c r="AJ163" s="131"/>
      <c r="AK163" s="131"/>
      <c r="AL163" s="131"/>
      <c r="AM163" s="131"/>
      <c r="AN163" s="131"/>
      <c r="AO163" s="142"/>
      <c r="AP163" s="131"/>
    </row>
    <row r="164" ht="13.5" customHeight="1">
      <c r="A164" s="142"/>
      <c r="B164" s="142"/>
      <c r="C164" s="142"/>
      <c r="D164" s="142"/>
      <c r="E164" s="132"/>
      <c r="F164" s="131"/>
      <c r="G164" s="131"/>
      <c r="H164" s="131"/>
      <c r="I164" s="131"/>
      <c r="J164" s="219"/>
      <c r="K164" s="198"/>
      <c r="L164" s="131"/>
      <c r="M164" s="142"/>
      <c r="N164" s="131"/>
      <c r="O164" s="131"/>
      <c r="P164" s="131"/>
      <c r="Q164" s="131"/>
      <c r="R164" s="131"/>
      <c r="S164" s="131"/>
      <c r="T164" s="131"/>
      <c r="U164" s="131"/>
      <c r="V164" s="131"/>
      <c r="W164" s="131"/>
      <c r="X164" s="131"/>
      <c r="Y164" s="131"/>
      <c r="Z164" s="131"/>
      <c r="AA164" s="131"/>
      <c r="AB164" s="330"/>
      <c r="AC164" s="331"/>
      <c r="AD164" s="332"/>
      <c r="AE164" s="131"/>
      <c r="AF164" s="131"/>
      <c r="AG164" s="131"/>
      <c r="AH164" s="131"/>
      <c r="AI164" s="131"/>
      <c r="AJ164" s="131"/>
      <c r="AK164" s="131"/>
      <c r="AL164" s="131"/>
      <c r="AM164" s="131"/>
      <c r="AN164" s="131"/>
      <c r="AO164" s="142"/>
      <c r="AP164" s="131"/>
    </row>
    <row r="165" ht="13.5" customHeight="1">
      <c r="A165" s="142"/>
      <c r="B165" s="142"/>
      <c r="C165" s="142"/>
      <c r="D165" s="142"/>
      <c r="E165" s="132"/>
      <c r="F165" s="131"/>
      <c r="G165" s="131"/>
      <c r="H165" s="131"/>
      <c r="I165" s="131"/>
      <c r="J165" s="219"/>
      <c r="K165" s="198"/>
      <c r="L165" s="131"/>
      <c r="M165" s="142"/>
      <c r="N165" s="131"/>
      <c r="O165" s="131"/>
      <c r="P165" s="131"/>
      <c r="Q165" s="131"/>
      <c r="R165" s="131"/>
      <c r="S165" s="131"/>
      <c r="T165" s="131"/>
      <c r="U165" s="131"/>
      <c r="V165" s="131"/>
      <c r="W165" s="131"/>
      <c r="X165" s="131"/>
      <c r="Y165" s="131"/>
      <c r="Z165" s="131"/>
      <c r="AA165" s="131"/>
      <c r="AB165" s="330"/>
      <c r="AC165" s="331"/>
      <c r="AD165" s="332"/>
      <c r="AE165" s="131"/>
      <c r="AF165" s="131"/>
      <c r="AG165" s="131"/>
      <c r="AH165" s="131"/>
      <c r="AI165" s="131"/>
      <c r="AJ165" s="131"/>
      <c r="AK165" s="131"/>
      <c r="AL165" s="131"/>
      <c r="AM165" s="131"/>
      <c r="AN165" s="131"/>
      <c r="AO165" s="142"/>
      <c r="AP165" s="131"/>
    </row>
    <row r="166" ht="13.5" customHeight="1">
      <c r="A166" s="142"/>
      <c r="B166" s="142"/>
      <c r="C166" s="142"/>
      <c r="D166" s="142"/>
      <c r="E166" s="132"/>
      <c r="F166" s="131"/>
      <c r="G166" s="131"/>
      <c r="H166" s="131"/>
      <c r="I166" s="131"/>
      <c r="J166" s="219"/>
      <c r="K166" s="198"/>
      <c r="L166" s="131"/>
      <c r="M166" s="142"/>
      <c r="N166" s="131"/>
      <c r="O166" s="131"/>
      <c r="P166" s="131"/>
      <c r="Q166" s="131"/>
      <c r="R166" s="131"/>
      <c r="S166" s="131"/>
      <c r="T166" s="131"/>
      <c r="U166" s="131"/>
      <c r="V166" s="131"/>
      <c r="W166" s="131"/>
      <c r="X166" s="131"/>
      <c r="Y166" s="131"/>
      <c r="Z166" s="131"/>
      <c r="AA166" s="131"/>
      <c r="AB166" s="330"/>
      <c r="AC166" s="331"/>
      <c r="AD166" s="332"/>
      <c r="AE166" s="131"/>
      <c r="AF166" s="131"/>
      <c r="AG166" s="131"/>
      <c r="AH166" s="131"/>
      <c r="AI166" s="131"/>
      <c r="AJ166" s="131"/>
      <c r="AK166" s="131"/>
      <c r="AL166" s="131"/>
      <c r="AM166" s="131"/>
      <c r="AN166" s="131"/>
      <c r="AO166" s="142"/>
      <c r="AP166" s="131"/>
    </row>
    <row r="167" ht="13.5" customHeight="1">
      <c r="A167" s="142"/>
      <c r="B167" s="142"/>
      <c r="C167" s="142"/>
      <c r="D167" s="142"/>
      <c r="E167" s="132"/>
      <c r="F167" s="131"/>
      <c r="G167" s="131"/>
      <c r="H167" s="131"/>
      <c r="I167" s="131"/>
      <c r="J167" s="219"/>
      <c r="K167" s="198"/>
      <c r="L167" s="131"/>
      <c r="M167" s="142"/>
      <c r="N167" s="131"/>
      <c r="O167" s="131"/>
      <c r="P167" s="131"/>
      <c r="Q167" s="131"/>
      <c r="R167" s="131"/>
      <c r="S167" s="131"/>
      <c r="T167" s="131"/>
      <c r="U167" s="131"/>
      <c r="V167" s="131"/>
      <c r="W167" s="131"/>
      <c r="X167" s="131"/>
      <c r="Y167" s="131"/>
      <c r="Z167" s="131"/>
      <c r="AA167" s="131"/>
      <c r="AB167" s="330"/>
      <c r="AC167" s="331"/>
      <c r="AD167" s="332"/>
      <c r="AE167" s="131"/>
      <c r="AF167" s="131"/>
      <c r="AG167" s="131"/>
      <c r="AH167" s="131"/>
      <c r="AI167" s="131"/>
      <c r="AJ167" s="131"/>
      <c r="AK167" s="131"/>
      <c r="AL167" s="131"/>
      <c r="AM167" s="131"/>
      <c r="AN167" s="131"/>
      <c r="AO167" s="142"/>
      <c r="AP167" s="131"/>
    </row>
    <row r="168" ht="13.5" customHeight="1">
      <c r="A168" s="142"/>
      <c r="B168" s="142"/>
      <c r="C168" s="142"/>
      <c r="D168" s="142"/>
      <c r="E168" s="132"/>
      <c r="F168" s="131"/>
      <c r="G168" s="131"/>
      <c r="H168" s="131"/>
      <c r="I168" s="131"/>
      <c r="J168" s="219"/>
      <c r="K168" s="198"/>
      <c r="L168" s="131"/>
      <c r="M168" s="142"/>
      <c r="N168" s="131"/>
      <c r="O168" s="131"/>
      <c r="P168" s="131"/>
      <c r="Q168" s="131"/>
      <c r="R168" s="131"/>
      <c r="S168" s="131"/>
      <c r="T168" s="131"/>
      <c r="U168" s="131"/>
      <c r="V168" s="131"/>
      <c r="W168" s="131"/>
      <c r="X168" s="131"/>
      <c r="Y168" s="131"/>
      <c r="Z168" s="131"/>
      <c r="AA168" s="131"/>
      <c r="AB168" s="330"/>
      <c r="AC168" s="331"/>
      <c r="AD168" s="332"/>
      <c r="AE168" s="131"/>
      <c r="AF168" s="131"/>
      <c r="AG168" s="131"/>
      <c r="AH168" s="131"/>
      <c r="AI168" s="131"/>
      <c r="AJ168" s="131"/>
      <c r="AK168" s="131"/>
      <c r="AL168" s="131"/>
      <c r="AM168" s="131"/>
      <c r="AN168" s="131"/>
      <c r="AO168" s="142"/>
      <c r="AP168" s="131"/>
    </row>
    <row r="169" ht="13.5" customHeight="1">
      <c r="A169" s="142"/>
      <c r="B169" s="142"/>
      <c r="C169" s="142"/>
      <c r="D169" s="142"/>
      <c r="E169" s="132"/>
      <c r="F169" s="131"/>
      <c r="G169" s="131"/>
      <c r="H169" s="131"/>
      <c r="I169" s="131"/>
      <c r="J169" s="219"/>
      <c r="K169" s="198"/>
      <c r="L169" s="131"/>
      <c r="M169" s="142"/>
      <c r="N169" s="131"/>
      <c r="O169" s="131"/>
      <c r="P169" s="131"/>
      <c r="Q169" s="131"/>
      <c r="R169" s="131"/>
      <c r="S169" s="131"/>
      <c r="T169" s="131"/>
      <c r="U169" s="131"/>
      <c r="V169" s="131"/>
      <c r="W169" s="131"/>
      <c r="X169" s="131"/>
      <c r="Y169" s="131"/>
      <c r="Z169" s="131"/>
      <c r="AA169" s="131"/>
      <c r="AB169" s="330"/>
      <c r="AC169" s="331"/>
      <c r="AD169" s="332"/>
      <c r="AE169" s="131"/>
      <c r="AF169" s="131"/>
      <c r="AG169" s="131"/>
      <c r="AH169" s="131"/>
      <c r="AI169" s="131"/>
      <c r="AJ169" s="131"/>
      <c r="AK169" s="131"/>
      <c r="AL169" s="131"/>
      <c r="AM169" s="131"/>
      <c r="AN169" s="131"/>
      <c r="AO169" s="142"/>
      <c r="AP169" s="131"/>
    </row>
    <row r="170" ht="13.5" customHeight="1">
      <c r="A170" s="142"/>
      <c r="B170" s="142"/>
      <c r="C170" s="142"/>
      <c r="D170" s="142"/>
      <c r="E170" s="132"/>
      <c r="F170" s="131"/>
      <c r="G170" s="131"/>
      <c r="H170" s="131"/>
      <c r="I170" s="131"/>
      <c r="J170" s="219"/>
      <c r="K170" s="198"/>
      <c r="L170" s="131"/>
      <c r="M170" s="142"/>
      <c r="N170" s="131"/>
      <c r="O170" s="131"/>
      <c r="P170" s="131"/>
      <c r="Q170" s="131"/>
      <c r="R170" s="131"/>
      <c r="S170" s="131"/>
      <c r="T170" s="131"/>
      <c r="U170" s="131"/>
      <c r="V170" s="131"/>
      <c r="W170" s="131"/>
      <c r="X170" s="131"/>
      <c r="Y170" s="131"/>
      <c r="Z170" s="131"/>
      <c r="AA170" s="131"/>
      <c r="AB170" s="330"/>
      <c r="AC170" s="331"/>
      <c r="AD170" s="332"/>
      <c r="AE170" s="131"/>
      <c r="AF170" s="131"/>
      <c r="AG170" s="131"/>
      <c r="AH170" s="131"/>
      <c r="AI170" s="131"/>
      <c r="AJ170" s="131"/>
      <c r="AK170" s="131"/>
      <c r="AL170" s="131"/>
      <c r="AM170" s="131"/>
      <c r="AN170" s="131"/>
      <c r="AO170" s="142"/>
      <c r="AP170" s="131"/>
    </row>
    <row r="171" ht="13.5" customHeight="1">
      <c r="A171" s="142"/>
      <c r="B171" s="142"/>
      <c r="C171" s="142"/>
      <c r="D171" s="142"/>
      <c r="E171" s="132"/>
      <c r="F171" s="131"/>
      <c r="G171" s="131"/>
      <c r="H171" s="131"/>
      <c r="I171" s="131"/>
      <c r="J171" s="219"/>
      <c r="K171" s="198"/>
      <c r="L171" s="131"/>
      <c r="M171" s="142"/>
      <c r="N171" s="131"/>
      <c r="O171" s="131"/>
      <c r="P171" s="131"/>
      <c r="Q171" s="131"/>
      <c r="R171" s="131"/>
      <c r="S171" s="131"/>
      <c r="T171" s="131"/>
      <c r="U171" s="131"/>
      <c r="V171" s="131"/>
      <c r="W171" s="131"/>
      <c r="X171" s="131"/>
      <c r="Y171" s="131"/>
      <c r="Z171" s="131"/>
      <c r="AA171" s="131"/>
      <c r="AB171" s="330"/>
      <c r="AC171" s="331"/>
      <c r="AD171" s="332"/>
      <c r="AE171" s="131"/>
      <c r="AF171" s="131"/>
      <c r="AG171" s="131"/>
      <c r="AH171" s="131"/>
      <c r="AI171" s="131"/>
      <c r="AJ171" s="131"/>
      <c r="AK171" s="131"/>
      <c r="AL171" s="131"/>
      <c r="AM171" s="131"/>
      <c r="AN171" s="131"/>
      <c r="AO171" s="142"/>
      <c r="AP171" s="131"/>
    </row>
    <row r="172" ht="13.5" customHeight="1">
      <c r="A172" s="142"/>
      <c r="B172" s="142"/>
      <c r="C172" s="142"/>
      <c r="D172" s="142"/>
      <c r="E172" s="132"/>
      <c r="F172" s="131"/>
      <c r="G172" s="131"/>
      <c r="H172" s="131"/>
      <c r="I172" s="131"/>
      <c r="J172" s="219"/>
      <c r="K172" s="198"/>
      <c r="L172" s="131"/>
      <c r="M172" s="142"/>
      <c r="N172" s="131"/>
      <c r="O172" s="131"/>
      <c r="P172" s="131"/>
      <c r="Q172" s="131"/>
      <c r="R172" s="131"/>
      <c r="S172" s="131"/>
      <c r="T172" s="131"/>
      <c r="U172" s="131"/>
      <c r="V172" s="131"/>
      <c r="W172" s="131"/>
      <c r="X172" s="131"/>
      <c r="Y172" s="131"/>
      <c r="Z172" s="131"/>
      <c r="AA172" s="131"/>
      <c r="AB172" s="330"/>
      <c r="AC172" s="331"/>
      <c r="AD172" s="332"/>
      <c r="AE172" s="131"/>
      <c r="AF172" s="131"/>
      <c r="AG172" s="131"/>
      <c r="AH172" s="131"/>
      <c r="AI172" s="131"/>
      <c r="AJ172" s="131"/>
      <c r="AK172" s="131"/>
      <c r="AL172" s="131"/>
      <c r="AM172" s="131"/>
      <c r="AN172" s="131"/>
      <c r="AO172" s="142"/>
      <c r="AP172" s="131"/>
    </row>
    <row r="173" ht="13.5" customHeight="1">
      <c r="A173" s="142"/>
      <c r="B173" s="142"/>
      <c r="C173" s="142"/>
      <c r="D173" s="142"/>
      <c r="E173" s="132"/>
      <c r="F173" s="131"/>
      <c r="G173" s="131"/>
      <c r="H173" s="131"/>
      <c r="I173" s="131"/>
      <c r="J173" s="219"/>
      <c r="K173" s="198"/>
      <c r="L173" s="131"/>
      <c r="M173" s="142"/>
      <c r="N173" s="131"/>
      <c r="O173" s="131"/>
      <c r="P173" s="131"/>
      <c r="Q173" s="131"/>
      <c r="R173" s="131"/>
      <c r="S173" s="131"/>
      <c r="T173" s="131"/>
      <c r="U173" s="131"/>
      <c r="V173" s="131"/>
      <c r="W173" s="131"/>
      <c r="X173" s="131"/>
      <c r="Y173" s="131"/>
      <c r="Z173" s="131"/>
      <c r="AA173" s="131"/>
      <c r="AB173" s="330"/>
      <c r="AC173" s="331"/>
      <c r="AD173" s="332"/>
      <c r="AE173" s="131"/>
      <c r="AF173" s="131"/>
      <c r="AG173" s="131"/>
      <c r="AH173" s="131"/>
      <c r="AI173" s="131"/>
      <c r="AJ173" s="131"/>
      <c r="AK173" s="131"/>
      <c r="AL173" s="131"/>
      <c r="AM173" s="131"/>
      <c r="AN173" s="131"/>
      <c r="AO173" s="142"/>
      <c r="AP173" s="131"/>
    </row>
    <row r="174" ht="13.5" customHeight="1">
      <c r="A174" s="142"/>
      <c r="B174" s="142"/>
      <c r="C174" s="142"/>
      <c r="D174" s="142"/>
      <c r="E174" s="132"/>
      <c r="F174" s="131"/>
      <c r="G174" s="131"/>
      <c r="H174" s="131"/>
      <c r="I174" s="131"/>
      <c r="J174" s="219"/>
      <c r="K174" s="198"/>
      <c r="L174" s="131"/>
      <c r="M174" s="142"/>
      <c r="N174" s="131"/>
      <c r="O174" s="131"/>
      <c r="P174" s="131"/>
      <c r="Q174" s="131"/>
      <c r="R174" s="131"/>
      <c r="S174" s="131"/>
      <c r="T174" s="131"/>
      <c r="U174" s="131"/>
      <c r="V174" s="131"/>
      <c r="W174" s="131"/>
      <c r="X174" s="131"/>
      <c r="Y174" s="131"/>
      <c r="Z174" s="131"/>
      <c r="AA174" s="131"/>
      <c r="AB174" s="330"/>
      <c r="AC174" s="331"/>
      <c r="AD174" s="332"/>
      <c r="AE174" s="131"/>
      <c r="AF174" s="131"/>
      <c r="AG174" s="131"/>
      <c r="AH174" s="131"/>
      <c r="AI174" s="131"/>
      <c r="AJ174" s="131"/>
      <c r="AK174" s="131"/>
      <c r="AL174" s="131"/>
      <c r="AM174" s="131"/>
      <c r="AN174" s="131"/>
      <c r="AO174" s="142"/>
      <c r="AP174" s="131"/>
    </row>
    <row r="175" ht="13.5" customHeight="1">
      <c r="A175" s="142"/>
      <c r="B175" s="142"/>
      <c r="C175" s="142"/>
      <c r="D175" s="142"/>
      <c r="E175" s="132"/>
      <c r="F175" s="131"/>
      <c r="G175" s="131"/>
      <c r="H175" s="131"/>
      <c r="I175" s="131"/>
      <c r="J175" s="219"/>
      <c r="K175" s="198"/>
      <c r="L175" s="131"/>
      <c r="M175" s="142"/>
      <c r="N175" s="131"/>
      <c r="O175" s="131"/>
      <c r="P175" s="131"/>
      <c r="Q175" s="131"/>
      <c r="R175" s="131"/>
      <c r="S175" s="131"/>
      <c r="T175" s="131"/>
      <c r="U175" s="131"/>
      <c r="V175" s="131"/>
      <c r="W175" s="131"/>
      <c r="X175" s="131"/>
      <c r="Y175" s="131"/>
      <c r="Z175" s="131"/>
      <c r="AA175" s="131"/>
      <c r="AB175" s="330"/>
      <c r="AC175" s="331"/>
      <c r="AD175" s="332"/>
      <c r="AE175" s="131"/>
      <c r="AF175" s="131"/>
      <c r="AG175" s="131"/>
      <c r="AH175" s="131"/>
      <c r="AI175" s="131"/>
      <c r="AJ175" s="131"/>
      <c r="AK175" s="131"/>
      <c r="AL175" s="131"/>
      <c r="AM175" s="131"/>
      <c r="AN175" s="131"/>
      <c r="AO175" s="142"/>
      <c r="AP175" s="131"/>
    </row>
    <row r="176" ht="13.5" customHeight="1">
      <c r="A176" s="142"/>
      <c r="B176" s="142"/>
      <c r="C176" s="142"/>
      <c r="D176" s="142"/>
      <c r="E176" s="132"/>
      <c r="F176" s="131"/>
      <c r="G176" s="131"/>
      <c r="H176" s="131"/>
      <c r="I176" s="131"/>
      <c r="J176" s="219"/>
      <c r="K176" s="198"/>
      <c r="L176" s="131"/>
      <c r="M176" s="142"/>
      <c r="N176" s="131"/>
      <c r="O176" s="131"/>
      <c r="P176" s="131"/>
      <c r="Q176" s="131"/>
      <c r="R176" s="131"/>
      <c r="S176" s="131"/>
      <c r="T176" s="131"/>
      <c r="U176" s="131"/>
      <c r="V176" s="131"/>
      <c r="W176" s="131"/>
      <c r="X176" s="131"/>
      <c r="Y176" s="131"/>
      <c r="Z176" s="131"/>
      <c r="AA176" s="131"/>
      <c r="AB176" s="330"/>
      <c r="AC176" s="331"/>
      <c r="AD176" s="332"/>
      <c r="AE176" s="131"/>
      <c r="AF176" s="131"/>
      <c r="AG176" s="131"/>
      <c r="AH176" s="131"/>
      <c r="AI176" s="131"/>
      <c r="AJ176" s="131"/>
      <c r="AK176" s="131"/>
      <c r="AL176" s="131"/>
      <c r="AM176" s="131"/>
      <c r="AN176" s="131"/>
      <c r="AO176" s="142"/>
      <c r="AP176" s="131"/>
    </row>
    <row r="177" ht="13.5" customHeight="1">
      <c r="A177" s="142"/>
      <c r="B177" s="142"/>
      <c r="C177" s="142"/>
      <c r="D177" s="142"/>
      <c r="E177" s="132"/>
      <c r="F177" s="131"/>
      <c r="G177" s="131"/>
      <c r="H177" s="131"/>
      <c r="I177" s="131"/>
      <c r="J177" s="219"/>
      <c r="K177" s="198"/>
      <c r="L177" s="131"/>
      <c r="M177" s="142"/>
      <c r="N177" s="131"/>
      <c r="O177" s="131"/>
      <c r="P177" s="131"/>
      <c r="Q177" s="131"/>
      <c r="R177" s="131"/>
      <c r="S177" s="131"/>
      <c r="T177" s="131"/>
      <c r="U177" s="131"/>
      <c r="V177" s="131"/>
      <c r="W177" s="131"/>
      <c r="X177" s="131"/>
      <c r="Y177" s="131"/>
      <c r="Z177" s="131"/>
      <c r="AA177" s="131"/>
      <c r="AB177" s="330"/>
      <c r="AC177" s="331"/>
      <c r="AD177" s="332"/>
      <c r="AE177" s="131"/>
      <c r="AF177" s="131"/>
      <c r="AG177" s="131"/>
      <c r="AH177" s="131"/>
      <c r="AI177" s="131"/>
      <c r="AJ177" s="131"/>
      <c r="AK177" s="131"/>
      <c r="AL177" s="131"/>
      <c r="AM177" s="131"/>
      <c r="AN177" s="131"/>
      <c r="AO177" s="142"/>
      <c r="AP177" s="131"/>
    </row>
    <row r="178" ht="13.5" customHeight="1">
      <c r="A178" s="142"/>
      <c r="B178" s="142"/>
      <c r="C178" s="142"/>
      <c r="D178" s="142"/>
      <c r="E178" s="132"/>
      <c r="F178" s="131"/>
      <c r="G178" s="131"/>
      <c r="H178" s="131"/>
      <c r="I178" s="131"/>
      <c r="J178" s="219"/>
      <c r="K178" s="198"/>
      <c r="L178" s="131"/>
      <c r="M178" s="142"/>
      <c r="N178" s="131"/>
      <c r="O178" s="131"/>
      <c r="P178" s="131"/>
      <c r="Q178" s="131"/>
      <c r="R178" s="131"/>
      <c r="S178" s="131"/>
      <c r="T178" s="131"/>
      <c r="U178" s="131"/>
      <c r="V178" s="131"/>
      <c r="W178" s="131"/>
      <c r="X178" s="131"/>
      <c r="Y178" s="131"/>
      <c r="Z178" s="131"/>
      <c r="AA178" s="131"/>
      <c r="AB178" s="330"/>
      <c r="AC178" s="331"/>
      <c r="AD178" s="332"/>
      <c r="AE178" s="131"/>
      <c r="AF178" s="131"/>
      <c r="AG178" s="131"/>
      <c r="AH178" s="131"/>
      <c r="AI178" s="131"/>
      <c r="AJ178" s="131"/>
      <c r="AK178" s="131"/>
      <c r="AL178" s="131"/>
      <c r="AM178" s="131"/>
      <c r="AN178" s="131"/>
      <c r="AO178" s="142"/>
      <c r="AP178" s="131"/>
    </row>
    <row r="179" ht="13.5" customHeight="1">
      <c r="A179" s="142"/>
      <c r="B179" s="142"/>
      <c r="C179" s="142"/>
      <c r="D179" s="142"/>
      <c r="E179" s="132"/>
      <c r="F179" s="131"/>
      <c r="G179" s="131"/>
      <c r="H179" s="131"/>
      <c r="I179" s="131"/>
      <c r="J179" s="219"/>
      <c r="K179" s="198"/>
      <c r="L179" s="131"/>
      <c r="M179" s="142"/>
      <c r="N179" s="131"/>
      <c r="O179" s="131"/>
      <c r="P179" s="131"/>
      <c r="Q179" s="131"/>
      <c r="R179" s="131"/>
      <c r="S179" s="131"/>
      <c r="T179" s="131"/>
      <c r="U179" s="131"/>
      <c r="V179" s="131"/>
      <c r="W179" s="131"/>
      <c r="X179" s="131"/>
      <c r="Y179" s="131"/>
      <c r="Z179" s="131"/>
      <c r="AA179" s="131"/>
      <c r="AB179" s="330"/>
      <c r="AC179" s="331"/>
      <c r="AD179" s="332"/>
      <c r="AE179" s="131"/>
      <c r="AF179" s="131"/>
      <c r="AG179" s="131"/>
      <c r="AH179" s="131"/>
      <c r="AI179" s="131"/>
      <c r="AJ179" s="131"/>
      <c r="AK179" s="131"/>
      <c r="AL179" s="131"/>
      <c r="AM179" s="131"/>
      <c r="AN179" s="131"/>
      <c r="AO179" s="142"/>
      <c r="AP179" s="131"/>
    </row>
    <row r="180" ht="13.5" customHeight="1">
      <c r="A180" s="142"/>
      <c r="B180" s="142"/>
      <c r="C180" s="142"/>
      <c r="D180" s="142"/>
      <c r="E180" s="132"/>
      <c r="F180" s="131"/>
      <c r="G180" s="131"/>
      <c r="H180" s="131"/>
      <c r="I180" s="131"/>
      <c r="J180" s="219"/>
      <c r="K180" s="198"/>
      <c r="L180" s="131"/>
      <c r="M180" s="142"/>
      <c r="N180" s="131"/>
      <c r="O180" s="131"/>
      <c r="P180" s="131"/>
      <c r="Q180" s="131"/>
      <c r="R180" s="131"/>
      <c r="S180" s="131"/>
      <c r="T180" s="131"/>
      <c r="U180" s="131"/>
      <c r="V180" s="131"/>
      <c r="W180" s="131"/>
      <c r="X180" s="131"/>
      <c r="Y180" s="131"/>
      <c r="Z180" s="131"/>
      <c r="AA180" s="131"/>
      <c r="AB180" s="330"/>
      <c r="AC180" s="331"/>
      <c r="AD180" s="332"/>
      <c r="AE180" s="131"/>
      <c r="AF180" s="131"/>
      <c r="AG180" s="131"/>
      <c r="AH180" s="131"/>
      <c r="AI180" s="131"/>
      <c r="AJ180" s="131"/>
      <c r="AK180" s="131"/>
      <c r="AL180" s="131"/>
      <c r="AM180" s="131"/>
      <c r="AN180" s="131"/>
      <c r="AO180" s="142"/>
      <c r="AP180" s="131"/>
    </row>
    <row r="181" ht="13.5" customHeight="1">
      <c r="A181" s="142"/>
      <c r="B181" s="142"/>
      <c r="C181" s="142"/>
      <c r="D181" s="142"/>
      <c r="E181" s="132"/>
      <c r="F181" s="131"/>
      <c r="G181" s="131"/>
      <c r="H181" s="131"/>
      <c r="I181" s="131"/>
      <c r="J181" s="219"/>
      <c r="K181" s="198"/>
      <c r="L181" s="131"/>
      <c r="M181" s="142"/>
      <c r="N181" s="131"/>
      <c r="O181" s="131"/>
      <c r="P181" s="131"/>
      <c r="Q181" s="131"/>
      <c r="R181" s="131"/>
      <c r="S181" s="131"/>
      <c r="T181" s="131"/>
      <c r="U181" s="131"/>
      <c r="V181" s="131"/>
      <c r="W181" s="131"/>
      <c r="X181" s="131"/>
      <c r="Y181" s="131"/>
      <c r="Z181" s="131"/>
      <c r="AA181" s="131"/>
      <c r="AB181" s="330"/>
      <c r="AC181" s="331"/>
      <c r="AD181" s="332"/>
      <c r="AE181" s="131"/>
      <c r="AF181" s="131"/>
      <c r="AG181" s="131"/>
      <c r="AH181" s="131"/>
      <c r="AI181" s="131"/>
      <c r="AJ181" s="131"/>
      <c r="AK181" s="131"/>
      <c r="AL181" s="131"/>
      <c r="AM181" s="131"/>
      <c r="AN181" s="131"/>
      <c r="AO181" s="142"/>
      <c r="AP181" s="131"/>
    </row>
    <row r="182" ht="13.5" customHeight="1">
      <c r="A182" s="142"/>
      <c r="B182" s="142"/>
      <c r="C182" s="142"/>
      <c r="D182" s="142"/>
      <c r="E182" s="132"/>
      <c r="F182" s="131"/>
      <c r="G182" s="131"/>
      <c r="H182" s="131"/>
      <c r="I182" s="131"/>
      <c r="J182" s="219"/>
      <c r="K182" s="198"/>
      <c r="L182" s="131"/>
      <c r="M182" s="142"/>
      <c r="N182" s="131"/>
      <c r="O182" s="131"/>
      <c r="P182" s="131"/>
      <c r="Q182" s="131"/>
      <c r="R182" s="131"/>
      <c r="S182" s="131"/>
      <c r="T182" s="131"/>
      <c r="U182" s="131"/>
      <c r="V182" s="131"/>
      <c r="W182" s="131"/>
      <c r="X182" s="131"/>
      <c r="Y182" s="131"/>
      <c r="Z182" s="131"/>
      <c r="AA182" s="131"/>
      <c r="AB182" s="330"/>
      <c r="AC182" s="331"/>
      <c r="AD182" s="332"/>
      <c r="AE182" s="131"/>
      <c r="AF182" s="131"/>
      <c r="AG182" s="131"/>
      <c r="AH182" s="131"/>
      <c r="AI182" s="131"/>
      <c r="AJ182" s="131"/>
      <c r="AK182" s="131"/>
      <c r="AL182" s="131"/>
      <c r="AM182" s="131"/>
      <c r="AN182" s="131"/>
      <c r="AO182" s="142"/>
      <c r="AP182" s="131"/>
    </row>
    <row r="183" ht="13.5" customHeight="1">
      <c r="A183" s="142"/>
      <c r="B183" s="142"/>
      <c r="C183" s="142"/>
      <c r="D183" s="142"/>
      <c r="E183" s="132"/>
      <c r="F183" s="131"/>
      <c r="G183" s="131"/>
      <c r="H183" s="131"/>
      <c r="I183" s="131"/>
      <c r="J183" s="219"/>
      <c r="K183" s="198"/>
      <c r="L183" s="131"/>
      <c r="M183" s="142"/>
      <c r="N183" s="131"/>
      <c r="O183" s="131"/>
      <c r="P183" s="131"/>
      <c r="Q183" s="131"/>
      <c r="R183" s="131"/>
      <c r="S183" s="131"/>
      <c r="T183" s="131"/>
      <c r="U183" s="131"/>
      <c r="V183" s="131"/>
      <c r="W183" s="131"/>
      <c r="X183" s="131"/>
      <c r="Y183" s="131"/>
      <c r="Z183" s="131"/>
      <c r="AA183" s="131"/>
      <c r="AB183" s="330"/>
      <c r="AC183" s="331"/>
      <c r="AD183" s="332"/>
      <c r="AE183" s="131"/>
      <c r="AF183" s="131"/>
      <c r="AG183" s="131"/>
      <c r="AH183" s="131"/>
      <c r="AI183" s="131"/>
      <c r="AJ183" s="131"/>
      <c r="AK183" s="131"/>
      <c r="AL183" s="131"/>
      <c r="AM183" s="131"/>
      <c r="AN183" s="131"/>
      <c r="AO183" s="142"/>
      <c r="AP183" s="131"/>
    </row>
    <row r="184" ht="13.5" customHeight="1">
      <c r="A184" s="142"/>
      <c r="B184" s="142"/>
      <c r="C184" s="142"/>
      <c r="D184" s="142"/>
      <c r="E184" s="132"/>
      <c r="F184" s="131"/>
      <c r="G184" s="131"/>
      <c r="H184" s="131"/>
      <c r="I184" s="131"/>
      <c r="J184" s="219"/>
      <c r="K184" s="198"/>
      <c r="L184" s="131"/>
      <c r="M184" s="142"/>
      <c r="N184" s="131"/>
      <c r="O184" s="131"/>
      <c r="P184" s="131"/>
      <c r="Q184" s="131"/>
      <c r="R184" s="131"/>
      <c r="S184" s="131"/>
      <c r="T184" s="131"/>
      <c r="U184" s="131"/>
      <c r="V184" s="131"/>
      <c r="W184" s="131"/>
      <c r="X184" s="131"/>
      <c r="Y184" s="131"/>
      <c r="Z184" s="131"/>
      <c r="AA184" s="131"/>
      <c r="AB184" s="330"/>
      <c r="AC184" s="331"/>
      <c r="AD184" s="332"/>
      <c r="AE184" s="131"/>
      <c r="AF184" s="131"/>
      <c r="AG184" s="131"/>
      <c r="AH184" s="131"/>
      <c r="AI184" s="131"/>
      <c r="AJ184" s="131"/>
      <c r="AK184" s="131"/>
      <c r="AL184" s="131"/>
      <c r="AM184" s="131"/>
      <c r="AN184" s="131"/>
      <c r="AO184" s="142"/>
      <c r="AP184" s="131"/>
    </row>
    <row r="185" ht="13.5" customHeight="1">
      <c r="A185" s="142"/>
      <c r="B185" s="142"/>
      <c r="C185" s="142"/>
      <c r="D185" s="142"/>
      <c r="E185" s="132"/>
      <c r="F185" s="131"/>
      <c r="G185" s="131"/>
      <c r="H185" s="131"/>
      <c r="I185" s="131"/>
      <c r="J185" s="219"/>
      <c r="K185" s="198"/>
      <c r="L185" s="131"/>
      <c r="M185" s="142"/>
      <c r="N185" s="131"/>
      <c r="O185" s="131"/>
      <c r="P185" s="131"/>
      <c r="Q185" s="131"/>
      <c r="R185" s="131"/>
      <c r="S185" s="131"/>
      <c r="T185" s="131"/>
      <c r="U185" s="131"/>
      <c r="V185" s="131"/>
      <c r="W185" s="131"/>
      <c r="X185" s="131"/>
      <c r="Y185" s="131"/>
      <c r="Z185" s="131"/>
      <c r="AA185" s="131"/>
      <c r="AB185" s="330"/>
      <c r="AC185" s="331"/>
      <c r="AD185" s="332"/>
      <c r="AE185" s="131"/>
      <c r="AF185" s="131"/>
      <c r="AG185" s="131"/>
      <c r="AH185" s="131"/>
      <c r="AI185" s="131"/>
      <c r="AJ185" s="131"/>
      <c r="AK185" s="131"/>
      <c r="AL185" s="131"/>
      <c r="AM185" s="131"/>
      <c r="AN185" s="131"/>
      <c r="AO185" s="142"/>
      <c r="AP185" s="131"/>
    </row>
    <row r="186" ht="13.5" customHeight="1">
      <c r="A186" s="142"/>
      <c r="B186" s="142"/>
      <c r="C186" s="142"/>
      <c r="D186" s="142"/>
      <c r="E186" s="132"/>
      <c r="F186" s="131"/>
      <c r="G186" s="131"/>
      <c r="H186" s="131"/>
      <c r="I186" s="131"/>
      <c r="J186" s="219"/>
      <c r="K186" s="198"/>
      <c r="L186" s="131"/>
      <c r="M186" s="142"/>
      <c r="N186" s="131"/>
      <c r="O186" s="131"/>
      <c r="P186" s="131"/>
      <c r="Q186" s="131"/>
      <c r="R186" s="131"/>
      <c r="S186" s="131"/>
      <c r="T186" s="131"/>
      <c r="U186" s="131"/>
      <c r="V186" s="131"/>
      <c r="W186" s="131"/>
      <c r="X186" s="131"/>
      <c r="Y186" s="131"/>
      <c r="Z186" s="131"/>
      <c r="AA186" s="131"/>
      <c r="AB186" s="330"/>
      <c r="AC186" s="331"/>
      <c r="AD186" s="332"/>
      <c r="AE186" s="131"/>
      <c r="AF186" s="131"/>
      <c r="AG186" s="131"/>
      <c r="AH186" s="131"/>
      <c r="AI186" s="131"/>
      <c r="AJ186" s="131"/>
      <c r="AK186" s="131"/>
      <c r="AL186" s="131"/>
      <c r="AM186" s="131"/>
      <c r="AN186" s="131"/>
      <c r="AO186" s="142"/>
      <c r="AP186" s="131"/>
    </row>
    <row r="187" ht="13.5" customHeight="1">
      <c r="A187" s="142"/>
      <c r="B187" s="142"/>
      <c r="C187" s="142"/>
      <c r="D187" s="142"/>
      <c r="E187" s="132"/>
      <c r="F187" s="131"/>
      <c r="G187" s="131"/>
      <c r="H187" s="131"/>
      <c r="I187" s="131"/>
      <c r="J187" s="219"/>
      <c r="K187" s="198"/>
      <c r="L187" s="131"/>
      <c r="M187" s="142"/>
      <c r="N187" s="131"/>
      <c r="O187" s="131"/>
      <c r="P187" s="131"/>
      <c r="Q187" s="131"/>
      <c r="R187" s="131"/>
      <c r="S187" s="131"/>
      <c r="T187" s="131"/>
      <c r="U187" s="131"/>
      <c r="V187" s="131"/>
      <c r="W187" s="131"/>
      <c r="X187" s="131"/>
      <c r="Y187" s="131"/>
      <c r="Z187" s="131"/>
      <c r="AA187" s="131"/>
      <c r="AB187" s="330"/>
      <c r="AC187" s="331"/>
      <c r="AD187" s="332"/>
      <c r="AE187" s="131"/>
      <c r="AF187" s="131"/>
      <c r="AG187" s="131"/>
      <c r="AH187" s="131"/>
      <c r="AI187" s="131"/>
      <c r="AJ187" s="131"/>
      <c r="AK187" s="131"/>
      <c r="AL187" s="131"/>
      <c r="AM187" s="131"/>
      <c r="AN187" s="131"/>
      <c r="AO187" s="142"/>
      <c r="AP187" s="131"/>
    </row>
    <row r="188" ht="13.5" customHeight="1">
      <c r="A188" s="142"/>
      <c r="B188" s="142"/>
      <c r="C188" s="142"/>
      <c r="D188" s="142"/>
      <c r="E188" s="132"/>
      <c r="F188" s="131"/>
      <c r="G188" s="131"/>
      <c r="H188" s="131"/>
      <c r="I188" s="131"/>
      <c r="J188" s="219"/>
      <c r="K188" s="198"/>
      <c r="L188" s="131"/>
      <c r="M188" s="142"/>
      <c r="N188" s="131"/>
      <c r="O188" s="131"/>
      <c r="P188" s="131"/>
      <c r="Q188" s="131"/>
      <c r="R188" s="131"/>
      <c r="S188" s="131"/>
      <c r="T188" s="131"/>
      <c r="U188" s="131"/>
      <c r="V188" s="131"/>
      <c r="W188" s="131"/>
      <c r="X188" s="131"/>
      <c r="Y188" s="131"/>
      <c r="Z188" s="131"/>
      <c r="AA188" s="131"/>
      <c r="AB188" s="330"/>
      <c r="AC188" s="331"/>
      <c r="AD188" s="332"/>
      <c r="AE188" s="131"/>
      <c r="AF188" s="131"/>
      <c r="AG188" s="131"/>
      <c r="AH188" s="131"/>
      <c r="AI188" s="131"/>
      <c r="AJ188" s="131"/>
      <c r="AK188" s="131"/>
      <c r="AL188" s="131"/>
      <c r="AM188" s="131"/>
      <c r="AN188" s="131"/>
      <c r="AO188" s="142"/>
      <c r="AP188" s="131"/>
    </row>
    <row r="189" ht="13.5" customHeight="1">
      <c r="A189" s="142"/>
      <c r="B189" s="142"/>
      <c r="C189" s="142"/>
      <c r="D189" s="142"/>
      <c r="E189" s="132"/>
      <c r="F189" s="131"/>
      <c r="G189" s="131"/>
      <c r="H189" s="131"/>
      <c r="I189" s="131"/>
      <c r="J189" s="219"/>
      <c r="K189" s="198"/>
      <c r="L189" s="131"/>
      <c r="M189" s="142"/>
      <c r="N189" s="131"/>
      <c r="O189" s="131"/>
      <c r="P189" s="131"/>
      <c r="Q189" s="131"/>
      <c r="R189" s="131"/>
      <c r="S189" s="131"/>
      <c r="T189" s="131"/>
      <c r="U189" s="131"/>
      <c r="V189" s="131"/>
      <c r="W189" s="131"/>
      <c r="X189" s="131"/>
      <c r="Y189" s="131"/>
      <c r="Z189" s="131"/>
      <c r="AA189" s="131"/>
      <c r="AB189" s="330"/>
      <c r="AC189" s="331"/>
      <c r="AD189" s="332"/>
      <c r="AE189" s="131"/>
      <c r="AF189" s="131"/>
      <c r="AG189" s="131"/>
      <c r="AH189" s="131"/>
      <c r="AI189" s="131"/>
      <c r="AJ189" s="131"/>
      <c r="AK189" s="131"/>
      <c r="AL189" s="131"/>
      <c r="AM189" s="131"/>
      <c r="AN189" s="131"/>
      <c r="AO189" s="142"/>
      <c r="AP189" s="131"/>
    </row>
    <row r="190" ht="13.5" customHeight="1">
      <c r="A190" s="142"/>
      <c r="B190" s="142"/>
      <c r="C190" s="142"/>
      <c r="D190" s="142"/>
      <c r="E190" s="132"/>
      <c r="F190" s="131"/>
      <c r="G190" s="131"/>
      <c r="H190" s="131"/>
      <c r="I190" s="131"/>
      <c r="J190" s="219"/>
      <c r="K190" s="198"/>
      <c r="L190" s="131"/>
      <c r="M190" s="142"/>
      <c r="N190" s="131"/>
      <c r="O190" s="131"/>
      <c r="P190" s="131"/>
      <c r="Q190" s="131"/>
      <c r="R190" s="131"/>
      <c r="S190" s="131"/>
      <c r="T190" s="131"/>
      <c r="U190" s="131"/>
      <c r="V190" s="131"/>
      <c r="W190" s="131"/>
      <c r="X190" s="131"/>
      <c r="Y190" s="131"/>
      <c r="Z190" s="131"/>
      <c r="AA190" s="131"/>
      <c r="AB190" s="330"/>
      <c r="AC190" s="331"/>
      <c r="AD190" s="332"/>
      <c r="AE190" s="131"/>
      <c r="AF190" s="131"/>
      <c r="AG190" s="131"/>
      <c r="AH190" s="131"/>
      <c r="AI190" s="131"/>
      <c r="AJ190" s="131"/>
      <c r="AK190" s="131"/>
      <c r="AL190" s="131"/>
      <c r="AM190" s="131"/>
      <c r="AN190" s="131"/>
      <c r="AO190" s="142"/>
      <c r="AP190" s="131"/>
    </row>
    <row r="191" ht="13.5" customHeight="1">
      <c r="A191" s="142"/>
      <c r="B191" s="142"/>
      <c r="C191" s="142"/>
      <c r="D191" s="142"/>
      <c r="E191" s="132"/>
      <c r="F191" s="131"/>
      <c r="G191" s="131"/>
      <c r="H191" s="131"/>
      <c r="I191" s="131"/>
      <c r="J191" s="219"/>
      <c r="K191" s="198"/>
      <c r="L191" s="131"/>
      <c r="M191" s="142"/>
      <c r="N191" s="131"/>
      <c r="O191" s="131"/>
      <c r="P191" s="131"/>
      <c r="Q191" s="131"/>
      <c r="R191" s="131"/>
      <c r="S191" s="131"/>
      <c r="T191" s="131"/>
      <c r="U191" s="131"/>
      <c r="V191" s="131"/>
      <c r="W191" s="131"/>
      <c r="X191" s="131"/>
      <c r="Y191" s="131"/>
      <c r="Z191" s="131"/>
      <c r="AA191" s="131"/>
      <c r="AB191" s="330"/>
      <c r="AC191" s="331"/>
      <c r="AD191" s="332"/>
      <c r="AE191" s="131"/>
      <c r="AF191" s="131"/>
      <c r="AG191" s="131"/>
      <c r="AH191" s="131"/>
      <c r="AI191" s="131"/>
      <c r="AJ191" s="131"/>
      <c r="AK191" s="131"/>
      <c r="AL191" s="131"/>
      <c r="AM191" s="131"/>
      <c r="AN191" s="131"/>
      <c r="AO191" s="142"/>
      <c r="AP191" s="131"/>
    </row>
    <row r="192" ht="13.5" customHeight="1">
      <c r="A192" s="142"/>
      <c r="B192" s="142"/>
      <c r="C192" s="142"/>
      <c r="D192" s="142"/>
      <c r="E192" s="132"/>
      <c r="F192" s="131"/>
      <c r="G192" s="131"/>
      <c r="H192" s="131"/>
      <c r="I192" s="131"/>
      <c r="J192" s="219"/>
      <c r="K192" s="198"/>
      <c r="L192" s="131"/>
      <c r="M192" s="142"/>
      <c r="N192" s="131"/>
      <c r="O192" s="131"/>
      <c r="P192" s="131"/>
      <c r="Q192" s="131"/>
      <c r="R192" s="131"/>
      <c r="S192" s="131"/>
      <c r="T192" s="131"/>
      <c r="U192" s="131"/>
      <c r="V192" s="131"/>
      <c r="W192" s="131"/>
      <c r="X192" s="131"/>
      <c r="Y192" s="131"/>
      <c r="Z192" s="131"/>
      <c r="AA192" s="131"/>
      <c r="AB192" s="330"/>
      <c r="AC192" s="331"/>
      <c r="AD192" s="332"/>
      <c r="AE192" s="131"/>
      <c r="AF192" s="131"/>
      <c r="AG192" s="131"/>
      <c r="AH192" s="131"/>
      <c r="AI192" s="131"/>
      <c r="AJ192" s="131"/>
      <c r="AK192" s="131"/>
      <c r="AL192" s="131"/>
      <c r="AM192" s="131"/>
      <c r="AN192" s="131"/>
      <c r="AO192" s="142"/>
      <c r="AP192" s="131"/>
    </row>
    <row r="193" ht="13.5" customHeight="1">
      <c r="A193" s="142"/>
      <c r="B193" s="142"/>
      <c r="C193" s="142"/>
      <c r="D193" s="142"/>
      <c r="E193" s="132"/>
      <c r="F193" s="131"/>
      <c r="G193" s="131"/>
      <c r="H193" s="131"/>
      <c r="I193" s="131"/>
      <c r="J193" s="219"/>
      <c r="K193" s="198"/>
      <c r="L193" s="131"/>
      <c r="M193" s="142"/>
      <c r="N193" s="131"/>
      <c r="O193" s="131"/>
      <c r="P193" s="131"/>
      <c r="Q193" s="131"/>
      <c r="R193" s="131"/>
      <c r="S193" s="131"/>
      <c r="T193" s="131"/>
      <c r="U193" s="131"/>
      <c r="V193" s="131"/>
      <c r="W193" s="131"/>
      <c r="X193" s="131"/>
      <c r="Y193" s="131"/>
      <c r="Z193" s="131"/>
      <c r="AA193" s="131"/>
      <c r="AB193" s="330"/>
      <c r="AC193" s="331"/>
      <c r="AD193" s="332"/>
      <c r="AE193" s="131"/>
      <c r="AF193" s="131"/>
      <c r="AG193" s="131"/>
      <c r="AH193" s="131"/>
      <c r="AI193" s="131"/>
      <c r="AJ193" s="131"/>
      <c r="AK193" s="131"/>
      <c r="AL193" s="131"/>
      <c r="AM193" s="131"/>
      <c r="AN193" s="131"/>
      <c r="AO193" s="142"/>
      <c r="AP193" s="131"/>
    </row>
    <row r="194" ht="13.5" customHeight="1">
      <c r="A194" s="142"/>
      <c r="B194" s="142"/>
      <c r="C194" s="142"/>
      <c r="D194" s="142"/>
      <c r="E194" s="132"/>
      <c r="F194" s="131"/>
      <c r="G194" s="131"/>
      <c r="H194" s="131"/>
      <c r="I194" s="131"/>
      <c r="J194" s="219"/>
      <c r="K194" s="198"/>
      <c r="L194" s="131"/>
      <c r="M194" s="142"/>
      <c r="N194" s="131"/>
      <c r="O194" s="131"/>
      <c r="P194" s="131"/>
      <c r="Q194" s="131"/>
      <c r="R194" s="131"/>
      <c r="S194" s="131"/>
      <c r="T194" s="131"/>
      <c r="U194" s="131"/>
      <c r="V194" s="131"/>
      <c r="W194" s="131"/>
      <c r="X194" s="131"/>
      <c r="Y194" s="131"/>
      <c r="Z194" s="131"/>
      <c r="AA194" s="131"/>
      <c r="AB194" s="330"/>
      <c r="AC194" s="331"/>
      <c r="AD194" s="332"/>
      <c r="AE194" s="131"/>
      <c r="AF194" s="131"/>
      <c r="AG194" s="131"/>
      <c r="AH194" s="131"/>
      <c r="AI194" s="131"/>
      <c r="AJ194" s="131"/>
      <c r="AK194" s="131"/>
      <c r="AL194" s="131"/>
      <c r="AM194" s="131"/>
      <c r="AN194" s="131"/>
      <c r="AO194" s="142"/>
      <c r="AP194" s="131"/>
    </row>
    <row r="195" ht="13.5" customHeight="1">
      <c r="A195" s="142"/>
      <c r="B195" s="142"/>
      <c r="C195" s="142"/>
      <c r="D195" s="142"/>
      <c r="E195" s="132"/>
      <c r="F195" s="131"/>
      <c r="G195" s="131"/>
      <c r="H195" s="131"/>
      <c r="I195" s="131"/>
      <c r="J195" s="219"/>
      <c r="K195" s="198"/>
      <c r="L195" s="131"/>
      <c r="M195" s="142"/>
      <c r="N195" s="131"/>
      <c r="O195" s="131"/>
      <c r="P195" s="131"/>
      <c r="Q195" s="131"/>
      <c r="R195" s="131"/>
      <c r="S195" s="131"/>
      <c r="T195" s="131"/>
      <c r="U195" s="131"/>
      <c r="V195" s="131"/>
      <c r="W195" s="131"/>
      <c r="X195" s="131"/>
      <c r="Y195" s="131"/>
      <c r="Z195" s="131"/>
      <c r="AA195" s="131"/>
      <c r="AB195" s="330"/>
      <c r="AC195" s="331"/>
      <c r="AD195" s="332"/>
      <c r="AE195" s="131"/>
      <c r="AF195" s="131"/>
      <c r="AG195" s="131"/>
      <c r="AH195" s="131"/>
      <c r="AI195" s="131"/>
      <c r="AJ195" s="131"/>
      <c r="AK195" s="131"/>
      <c r="AL195" s="131"/>
      <c r="AM195" s="131"/>
      <c r="AN195" s="131"/>
      <c r="AO195" s="142"/>
      <c r="AP195" s="131"/>
    </row>
    <row r="196" ht="13.5" customHeight="1">
      <c r="A196" s="142"/>
      <c r="B196" s="142"/>
      <c r="C196" s="142"/>
      <c r="D196" s="142"/>
      <c r="E196" s="132"/>
      <c r="F196" s="131"/>
      <c r="G196" s="131"/>
      <c r="H196" s="131"/>
      <c r="I196" s="131"/>
      <c r="J196" s="219"/>
      <c r="K196" s="198"/>
      <c r="L196" s="131"/>
      <c r="M196" s="142"/>
      <c r="N196" s="131"/>
      <c r="O196" s="131"/>
      <c r="P196" s="131"/>
      <c r="Q196" s="131"/>
      <c r="R196" s="131"/>
      <c r="S196" s="131"/>
      <c r="T196" s="131"/>
      <c r="U196" s="131"/>
      <c r="V196" s="131"/>
      <c r="W196" s="131"/>
      <c r="X196" s="131"/>
      <c r="Y196" s="131"/>
      <c r="Z196" s="131"/>
      <c r="AA196" s="131"/>
      <c r="AB196" s="330"/>
      <c r="AC196" s="331"/>
      <c r="AD196" s="332"/>
      <c r="AE196" s="131"/>
      <c r="AF196" s="131"/>
      <c r="AG196" s="131"/>
      <c r="AH196" s="131"/>
      <c r="AI196" s="131"/>
      <c r="AJ196" s="131"/>
      <c r="AK196" s="131"/>
      <c r="AL196" s="131"/>
      <c r="AM196" s="131"/>
      <c r="AN196" s="131"/>
      <c r="AO196" s="142"/>
      <c r="AP196" s="131"/>
    </row>
    <row r="197" ht="13.5" customHeight="1">
      <c r="A197" s="142"/>
      <c r="B197" s="142"/>
      <c r="C197" s="142"/>
      <c r="D197" s="142"/>
      <c r="E197" s="132"/>
      <c r="F197" s="131"/>
      <c r="G197" s="131"/>
      <c r="H197" s="131"/>
      <c r="I197" s="131"/>
      <c r="J197" s="219"/>
      <c r="K197" s="198"/>
      <c r="L197" s="131"/>
      <c r="M197" s="142"/>
      <c r="N197" s="131"/>
      <c r="O197" s="131"/>
      <c r="P197" s="131"/>
      <c r="Q197" s="131"/>
      <c r="R197" s="131"/>
      <c r="S197" s="131"/>
      <c r="T197" s="131"/>
      <c r="U197" s="131"/>
      <c r="V197" s="131"/>
      <c r="W197" s="131"/>
      <c r="X197" s="131"/>
      <c r="Y197" s="131"/>
      <c r="Z197" s="131"/>
      <c r="AA197" s="131"/>
      <c r="AB197" s="330"/>
      <c r="AC197" s="331"/>
      <c r="AD197" s="332"/>
      <c r="AE197" s="131"/>
      <c r="AF197" s="131"/>
      <c r="AG197" s="131"/>
      <c r="AH197" s="131"/>
      <c r="AI197" s="131"/>
      <c r="AJ197" s="131"/>
      <c r="AK197" s="131"/>
      <c r="AL197" s="131"/>
      <c r="AM197" s="131"/>
      <c r="AN197" s="131"/>
      <c r="AO197" s="142"/>
      <c r="AP197" s="131"/>
    </row>
    <row r="198" ht="13.5" customHeight="1">
      <c r="A198" s="142"/>
      <c r="B198" s="142"/>
      <c r="C198" s="142"/>
      <c r="D198" s="142"/>
      <c r="E198" s="132"/>
      <c r="F198" s="131"/>
      <c r="G198" s="131"/>
      <c r="H198" s="131"/>
      <c r="I198" s="131"/>
      <c r="J198" s="219"/>
      <c r="K198" s="198"/>
      <c r="L198" s="131"/>
      <c r="M198" s="142"/>
      <c r="N198" s="131"/>
      <c r="O198" s="131"/>
      <c r="P198" s="131"/>
      <c r="Q198" s="131"/>
      <c r="R198" s="131"/>
      <c r="S198" s="131"/>
      <c r="T198" s="131"/>
      <c r="U198" s="131"/>
      <c r="V198" s="131"/>
      <c r="W198" s="131"/>
      <c r="X198" s="131"/>
      <c r="Y198" s="131"/>
      <c r="Z198" s="131"/>
      <c r="AA198" s="131"/>
      <c r="AB198" s="330"/>
      <c r="AC198" s="331"/>
      <c r="AD198" s="332"/>
      <c r="AE198" s="131"/>
      <c r="AF198" s="131"/>
      <c r="AG198" s="131"/>
      <c r="AH198" s="131"/>
      <c r="AI198" s="131"/>
      <c r="AJ198" s="131"/>
      <c r="AK198" s="131"/>
      <c r="AL198" s="131"/>
      <c r="AM198" s="131"/>
      <c r="AN198" s="131"/>
      <c r="AO198" s="142"/>
      <c r="AP198" s="131"/>
    </row>
    <row r="199" ht="13.5" customHeight="1">
      <c r="A199" s="142"/>
      <c r="B199" s="142"/>
      <c r="C199" s="142"/>
      <c r="D199" s="142"/>
      <c r="E199" s="132"/>
      <c r="F199" s="131"/>
      <c r="G199" s="131"/>
      <c r="H199" s="131"/>
      <c r="I199" s="131"/>
      <c r="J199" s="219"/>
      <c r="K199" s="198"/>
      <c r="L199" s="131"/>
      <c r="M199" s="142"/>
      <c r="N199" s="131"/>
      <c r="O199" s="131"/>
      <c r="P199" s="131"/>
      <c r="Q199" s="131"/>
      <c r="R199" s="131"/>
      <c r="S199" s="131"/>
      <c r="T199" s="131"/>
      <c r="U199" s="131"/>
      <c r="V199" s="131"/>
      <c r="W199" s="131"/>
      <c r="X199" s="131"/>
      <c r="Y199" s="131"/>
      <c r="Z199" s="131"/>
      <c r="AA199" s="131"/>
      <c r="AB199" s="330"/>
      <c r="AC199" s="331"/>
      <c r="AD199" s="332"/>
      <c r="AE199" s="131"/>
      <c r="AF199" s="131"/>
      <c r="AG199" s="131"/>
      <c r="AH199" s="131"/>
      <c r="AI199" s="131"/>
      <c r="AJ199" s="131"/>
      <c r="AK199" s="131"/>
      <c r="AL199" s="131"/>
      <c r="AM199" s="131"/>
      <c r="AN199" s="131"/>
      <c r="AO199" s="142"/>
      <c r="AP199" s="131"/>
    </row>
    <row r="200" ht="13.5" customHeight="1">
      <c r="A200" s="142"/>
      <c r="B200" s="142"/>
      <c r="C200" s="142"/>
      <c r="D200" s="142"/>
      <c r="E200" s="132"/>
      <c r="F200" s="131"/>
      <c r="G200" s="131"/>
      <c r="H200" s="131"/>
      <c r="I200" s="131"/>
      <c r="J200" s="219"/>
      <c r="K200" s="198"/>
      <c r="L200" s="131"/>
      <c r="M200" s="142"/>
      <c r="N200" s="131"/>
      <c r="O200" s="131"/>
      <c r="P200" s="131"/>
      <c r="Q200" s="131"/>
      <c r="R200" s="131"/>
      <c r="S200" s="131"/>
      <c r="T200" s="131"/>
      <c r="U200" s="131"/>
      <c r="V200" s="131"/>
      <c r="W200" s="131"/>
      <c r="X200" s="131"/>
      <c r="Y200" s="131"/>
      <c r="Z200" s="131"/>
      <c r="AA200" s="131"/>
      <c r="AB200" s="330"/>
      <c r="AC200" s="331"/>
      <c r="AD200" s="332"/>
      <c r="AE200" s="131"/>
      <c r="AF200" s="131"/>
      <c r="AG200" s="131"/>
      <c r="AH200" s="131"/>
      <c r="AI200" s="131"/>
      <c r="AJ200" s="131"/>
      <c r="AK200" s="131"/>
      <c r="AL200" s="131"/>
      <c r="AM200" s="131"/>
      <c r="AN200" s="131"/>
      <c r="AO200" s="142"/>
      <c r="AP200" s="131"/>
    </row>
    <row r="201" ht="13.5" customHeight="1">
      <c r="A201" s="142"/>
      <c r="B201" s="142"/>
      <c r="C201" s="142"/>
      <c r="D201" s="142"/>
      <c r="E201" s="132"/>
      <c r="F201" s="131"/>
      <c r="G201" s="131"/>
      <c r="H201" s="131"/>
      <c r="I201" s="131"/>
      <c r="J201" s="219"/>
      <c r="K201" s="198"/>
      <c r="L201" s="131"/>
      <c r="M201" s="142"/>
      <c r="N201" s="131"/>
      <c r="O201" s="131"/>
      <c r="P201" s="131"/>
      <c r="Q201" s="131"/>
      <c r="R201" s="131"/>
      <c r="S201" s="131"/>
      <c r="T201" s="131"/>
      <c r="U201" s="131"/>
      <c r="V201" s="131"/>
      <c r="W201" s="131"/>
      <c r="X201" s="131"/>
      <c r="Y201" s="131"/>
      <c r="Z201" s="131"/>
      <c r="AA201" s="131"/>
      <c r="AB201" s="330"/>
      <c r="AC201" s="331"/>
      <c r="AD201" s="332"/>
      <c r="AE201" s="131"/>
      <c r="AF201" s="131"/>
      <c r="AG201" s="131"/>
      <c r="AH201" s="131"/>
      <c r="AI201" s="131"/>
      <c r="AJ201" s="131"/>
      <c r="AK201" s="131"/>
      <c r="AL201" s="131"/>
      <c r="AM201" s="131"/>
      <c r="AN201" s="131"/>
      <c r="AO201" s="142"/>
      <c r="AP201" s="131"/>
    </row>
    <row r="202" ht="13.5" customHeight="1">
      <c r="A202" s="142"/>
      <c r="B202" s="142"/>
      <c r="C202" s="142"/>
      <c r="D202" s="142"/>
      <c r="E202" s="132"/>
      <c r="F202" s="131"/>
      <c r="G202" s="131"/>
      <c r="H202" s="131"/>
      <c r="I202" s="131"/>
      <c r="J202" s="219"/>
      <c r="K202" s="198"/>
      <c r="L202" s="131"/>
      <c r="M202" s="142"/>
      <c r="N202" s="131"/>
      <c r="O202" s="131"/>
      <c r="P202" s="131"/>
      <c r="Q202" s="131"/>
      <c r="R202" s="131"/>
      <c r="S202" s="131"/>
      <c r="T202" s="131"/>
      <c r="U202" s="131"/>
      <c r="V202" s="131"/>
      <c r="W202" s="131"/>
      <c r="X202" s="131"/>
      <c r="Y202" s="131"/>
      <c r="Z202" s="131"/>
      <c r="AA202" s="131"/>
      <c r="AB202" s="330"/>
      <c r="AC202" s="331"/>
      <c r="AD202" s="332"/>
      <c r="AE202" s="131"/>
      <c r="AF202" s="131"/>
      <c r="AG202" s="131"/>
      <c r="AH202" s="131"/>
      <c r="AI202" s="131"/>
      <c r="AJ202" s="131"/>
      <c r="AK202" s="131"/>
      <c r="AL202" s="131"/>
      <c r="AM202" s="131"/>
      <c r="AN202" s="131"/>
      <c r="AO202" s="142"/>
      <c r="AP202" s="131"/>
    </row>
    <row r="203" ht="13.5" customHeight="1">
      <c r="A203" s="142"/>
      <c r="B203" s="142"/>
      <c r="C203" s="142"/>
      <c r="D203" s="142"/>
      <c r="E203" s="132"/>
      <c r="F203" s="131"/>
      <c r="G203" s="131"/>
      <c r="H203" s="131"/>
      <c r="I203" s="131"/>
      <c r="J203" s="219"/>
      <c r="K203" s="198"/>
      <c r="L203" s="131"/>
      <c r="M203" s="142"/>
      <c r="N203" s="131"/>
      <c r="O203" s="131"/>
      <c r="P203" s="131"/>
      <c r="Q203" s="131"/>
      <c r="R203" s="131"/>
      <c r="S203" s="131"/>
      <c r="T203" s="131"/>
      <c r="U203" s="131"/>
      <c r="V203" s="131"/>
      <c r="W203" s="131"/>
      <c r="X203" s="131"/>
      <c r="Y203" s="131"/>
      <c r="Z203" s="131"/>
      <c r="AA203" s="131"/>
      <c r="AB203" s="330"/>
      <c r="AC203" s="331"/>
      <c r="AD203" s="332"/>
      <c r="AE203" s="131"/>
      <c r="AF203" s="131"/>
      <c r="AG203" s="131"/>
      <c r="AH203" s="131"/>
      <c r="AI203" s="131"/>
      <c r="AJ203" s="131"/>
      <c r="AK203" s="131"/>
      <c r="AL203" s="131"/>
      <c r="AM203" s="131"/>
      <c r="AN203" s="131"/>
      <c r="AO203" s="142"/>
      <c r="AP203" s="131"/>
    </row>
    <row r="204" ht="13.5" customHeight="1">
      <c r="A204" s="142"/>
      <c r="B204" s="142"/>
      <c r="C204" s="142"/>
      <c r="D204" s="142"/>
      <c r="E204" s="132"/>
      <c r="F204" s="131"/>
      <c r="G204" s="131"/>
      <c r="H204" s="131"/>
      <c r="I204" s="131"/>
      <c r="J204" s="219"/>
      <c r="K204" s="198"/>
      <c r="L204" s="131"/>
      <c r="M204" s="142"/>
      <c r="N204" s="131"/>
      <c r="O204" s="131"/>
      <c r="P204" s="131"/>
      <c r="Q204" s="131"/>
      <c r="R204" s="131"/>
      <c r="S204" s="131"/>
      <c r="T204" s="131"/>
      <c r="U204" s="131"/>
      <c r="V204" s="131"/>
      <c r="W204" s="131"/>
      <c r="X204" s="131"/>
      <c r="Y204" s="131"/>
      <c r="Z204" s="131"/>
      <c r="AA204" s="131"/>
      <c r="AB204" s="330"/>
      <c r="AC204" s="331"/>
      <c r="AD204" s="332"/>
      <c r="AE204" s="131"/>
      <c r="AF204" s="131"/>
      <c r="AG204" s="131"/>
      <c r="AH204" s="131"/>
      <c r="AI204" s="131"/>
      <c r="AJ204" s="131"/>
      <c r="AK204" s="131"/>
      <c r="AL204" s="131"/>
      <c r="AM204" s="131"/>
      <c r="AN204" s="131"/>
      <c r="AO204" s="142"/>
      <c r="AP204" s="131"/>
    </row>
    <row r="205" ht="13.5" customHeight="1">
      <c r="A205" s="142"/>
      <c r="B205" s="142"/>
      <c r="C205" s="142"/>
      <c r="D205" s="142"/>
      <c r="E205" s="132"/>
      <c r="F205" s="131"/>
      <c r="G205" s="131"/>
      <c r="H205" s="131"/>
      <c r="I205" s="131"/>
      <c r="J205" s="219"/>
      <c r="K205" s="198"/>
      <c r="L205" s="131"/>
      <c r="M205" s="142"/>
      <c r="N205" s="131"/>
      <c r="O205" s="131"/>
      <c r="P205" s="131"/>
      <c r="Q205" s="131"/>
      <c r="R205" s="131"/>
      <c r="S205" s="131"/>
      <c r="T205" s="131"/>
      <c r="U205" s="131"/>
      <c r="V205" s="131"/>
      <c r="W205" s="131"/>
      <c r="X205" s="131"/>
      <c r="Y205" s="131"/>
      <c r="Z205" s="131"/>
      <c r="AA205" s="131"/>
      <c r="AB205" s="330"/>
      <c r="AC205" s="331"/>
      <c r="AD205" s="332"/>
      <c r="AE205" s="131"/>
      <c r="AF205" s="131"/>
      <c r="AG205" s="131"/>
      <c r="AH205" s="131"/>
      <c r="AI205" s="131"/>
      <c r="AJ205" s="131"/>
      <c r="AK205" s="131"/>
      <c r="AL205" s="131"/>
      <c r="AM205" s="131"/>
      <c r="AN205" s="131"/>
      <c r="AO205" s="142"/>
      <c r="AP205" s="131"/>
    </row>
    <row r="206" ht="13.5" customHeight="1">
      <c r="A206" s="142"/>
      <c r="B206" s="142"/>
      <c r="C206" s="142"/>
      <c r="D206" s="142"/>
      <c r="E206" s="132"/>
      <c r="F206" s="131"/>
      <c r="G206" s="131"/>
      <c r="H206" s="131"/>
      <c r="I206" s="131"/>
      <c r="J206" s="219"/>
      <c r="K206" s="198"/>
      <c r="L206" s="131"/>
      <c r="M206" s="142"/>
      <c r="N206" s="131"/>
      <c r="O206" s="131"/>
      <c r="P206" s="131"/>
      <c r="Q206" s="131"/>
      <c r="R206" s="131"/>
      <c r="S206" s="131"/>
      <c r="T206" s="131"/>
      <c r="U206" s="131"/>
      <c r="V206" s="131"/>
      <c r="W206" s="131"/>
      <c r="X206" s="131"/>
      <c r="Y206" s="131"/>
      <c r="Z206" s="131"/>
      <c r="AA206" s="131"/>
      <c r="AB206" s="330"/>
      <c r="AC206" s="331"/>
      <c r="AD206" s="332"/>
      <c r="AE206" s="131"/>
      <c r="AF206" s="131"/>
      <c r="AG206" s="131"/>
      <c r="AH206" s="131"/>
      <c r="AI206" s="131"/>
      <c r="AJ206" s="131"/>
      <c r="AK206" s="131"/>
      <c r="AL206" s="131"/>
      <c r="AM206" s="131"/>
      <c r="AN206" s="131"/>
      <c r="AO206" s="142"/>
      <c r="AP206" s="131"/>
    </row>
    <row r="207" ht="13.5" customHeight="1">
      <c r="A207" s="142"/>
      <c r="B207" s="142"/>
      <c r="C207" s="142"/>
      <c r="D207" s="142"/>
      <c r="E207" s="132"/>
      <c r="F207" s="131"/>
      <c r="G207" s="131"/>
      <c r="H207" s="131"/>
      <c r="I207" s="131"/>
      <c r="J207" s="219"/>
      <c r="K207" s="198"/>
      <c r="L207" s="131"/>
      <c r="M207" s="142"/>
      <c r="N207" s="131"/>
      <c r="O207" s="131"/>
      <c r="P207" s="131"/>
      <c r="Q207" s="131"/>
      <c r="R207" s="131"/>
      <c r="S207" s="131"/>
      <c r="T207" s="131"/>
      <c r="U207" s="131"/>
      <c r="V207" s="131"/>
      <c r="W207" s="131"/>
      <c r="X207" s="131"/>
      <c r="Y207" s="131"/>
      <c r="Z207" s="131"/>
      <c r="AA207" s="131"/>
      <c r="AB207" s="330"/>
      <c r="AC207" s="331"/>
      <c r="AD207" s="332"/>
      <c r="AE207" s="131"/>
      <c r="AF207" s="131"/>
      <c r="AG207" s="131"/>
      <c r="AH207" s="131"/>
      <c r="AI207" s="131"/>
      <c r="AJ207" s="131"/>
      <c r="AK207" s="131"/>
      <c r="AL207" s="131"/>
      <c r="AM207" s="131"/>
      <c r="AN207" s="131"/>
      <c r="AO207" s="142"/>
      <c r="AP207" s="131"/>
    </row>
    <row r="208" ht="13.5" customHeight="1">
      <c r="A208" s="142"/>
      <c r="B208" s="142"/>
      <c r="C208" s="142"/>
      <c r="D208" s="142"/>
      <c r="E208" s="132"/>
      <c r="F208" s="131"/>
      <c r="G208" s="131"/>
      <c r="H208" s="131"/>
      <c r="I208" s="131"/>
      <c r="J208" s="219"/>
      <c r="K208" s="198"/>
      <c r="L208" s="131"/>
      <c r="M208" s="142"/>
      <c r="N208" s="131"/>
      <c r="O208" s="131"/>
      <c r="P208" s="131"/>
      <c r="Q208" s="131"/>
      <c r="R208" s="131"/>
      <c r="S208" s="131"/>
      <c r="T208" s="131"/>
      <c r="U208" s="131"/>
      <c r="V208" s="131"/>
      <c r="W208" s="131"/>
      <c r="X208" s="131"/>
      <c r="Y208" s="131"/>
      <c r="Z208" s="131"/>
      <c r="AA208" s="131"/>
      <c r="AB208" s="330"/>
      <c r="AC208" s="331"/>
      <c r="AD208" s="332"/>
      <c r="AE208" s="131"/>
      <c r="AF208" s="131"/>
      <c r="AG208" s="131"/>
      <c r="AH208" s="131"/>
      <c r="AI208" s="131"/>
      <c r="AJ208" s="131"/>
      <c r="AK208" s="131"/>
      <c r="AL208" s="131"/>
      <c r="AM208" s="131"/>
      <c r="AN208" s="131"/>
      <c r="AO208" s="142"/>
      <c r="AP208" s="131"/>
    </row>
    <row r="209" ht="13.5" customHeight="1">
      <c r="A209" s="142"/>
      <c r="B209" s="142"/>
      <c r="C209" s="142"/>
      <c r="D209" s="142"/>
      <c r="E209" s="132"/>
      <c r="F209" s="131"/>
      <c r="G209" s="131"/>
      <c r="H209" s="131"/>
      <c r="I209" s="131"/>
      <c r="J209" s="219"/>
      <c r="K209" s="198"/>
      <c r="L209" s="131"/>
      <c r="M209" s="142"/>
      <c r="N209" s="131"/>
      <c r="O209" s="131"/>
      <c r="P209" s="131"/>
      <c r="Q209" s="131"/>
      <c r="R209" s="131"/>
      <c r="S209" s="131"/>
      <c r="T209" s="131"/>
      <c r="U209" s="131"/>
      <c r="V209" s="131"/>
      <c r="W209" s="131"/>
      <c r="X209" s="131"/>
      <c r="Y209" s="131"/>
      <c r="Z209" s="131"/>
      <c r="AA209" s="131"/>
      <c r="AB209" s="330"/>
      <c r="AC209" s="331"/>
      <c r="AD209" s="332"/>
      <c r="AE209" s="131"/>
      <c r="AF209" s="131"/>
      <c r="AG209" s="131"/>
      <c r="AH209" s="131"/>
      <c r="AI209" s="131"/>
      <c r="AJ209" s="131"/>
      <c r="AK209" s="131"/>
      <c r="AL209" s="131"/>
      <c r="AM209" s="131"/>
      <c r="AN209" s="131"/>
      <c r="AO209" s="142"/>
      <c r="AP209" s="131"/>
    </row>
    <row r="210" ht="13.5" customHeight="1">
      <c r="A210" s="142"/>
      <c r="B210" s="142"/>
      <c r="C210" s="142"/>
      <c r="D210" s="142"/>
      <c r="E210" s="132"/>
      <c r="F210" s="131"/>
      <c r="G210" s="131"/>
      <c r="H210" s="131"/>
      <c r="I210" s="131"/>
      <c r="J210" s="219"/>
      <c r="K210" s="198"/>
      <c r="L210" s="131"/>
      <c r="M210" s="142"/>
      <c r="N210" s="131"/>
      <c r="O210" s="131"/>
      <c r="P210" s="131"/>
      <c r="Q210" s="131"/>
      <c r="R210" s="131"/>
      <c r="S210" s="131"/>
      <c r="T210" s="131"/>
      <c r="U210" s="131"/>
      <c r="V210" s="131"/>
      <c r="W210" s="131"/>
      <c r="X210" s="131"/>
      <c r="Y210" s="131"/>
      <c r="Z210" s="131"/>
      <c r="AA210" s="131"/>
      <c r="AB210" s="330"/>
      <c r="AC210" s="331"/>
      <c r="AD210" s="332"/>
      <c r="AE210" s="131"/>
      <c r="AF210" s="131"/>
      <c r="AG210" s="131"/>
      <c r="AH210" s="131"/>
      <c r="AI210" s="131"/>
      <c r="AJ210" s="131"/>
      <c r="AK210" s="131"/>
      <c r="AL210" s="131"/>
      <c r="AM210" s="131"/>
      <c r="AN210" s="131"/>
      <c r="AO210" s="142"/>
      <c r="AP210" s="131"/>
    </row>
    <row r="211" ht="13.5" customHeight="1">
      <c r="A211" s="142"/>
      <c r="B211" s="142"/>
      <c r="C211" s="142"/>
      <c r="D211" s="142"/>
      <c r="E211" s="132"/>
      <c r="F211" s="131"/>
      <c r="G211" s="131"/>
      <c r="H211" s="131"/>
      <c r="I211" s="131"/>
      <c r="J211" s="219"/>
      <c r="K211" s="198"/>
      <c r="L211" s="131"/>
      <c r="M211" s="142"/>
      <c r="N211" s="131"/>
      <c r="O211" s="131"/>
      <c r="P211" s="131"/>
      <c r="Q211" s="131"/>
      <c r="R211" s="131"/>
      <c r="S211" s="131"/>
      <c r="T211" s="131"/>
      <c r="U211" s="131"/>
      <c r="V211" s="131"/>
      <c r="W211" s="131"/>
      <c r="X211" s="131"/>
      <c r="Y211" s="131"/>
      <c r="Z211" s="131"/>
      <c r="AA211" s="131"/>
      <c r="AB211" s="330"/>
      <c r="AC211" s="331"/>
      <c r="AD211" s="332"/>
      <c r="AE211" s="131"/>
      <c r="AF211" s="131"/>
      <c r="AG211" s="131"/>
      <c r="AH211" s="131"/>
      <c r="AI211" s="131"/>
      <c r="AJ211" s="131"/>
      <c r="AK211" s="131"/>
      <c r="AL211" s="131"/>
      <c r="AM211" s="131"/>
      <c r="AN211" s="131"/>
      <c r="AO211" s="142"/>
      <c r="AP211" s="131"/>
    </row>
    <row r="212" ht="13.5" customHeight="1">
      <c r="A212" s="142"/>
      <c r="B212" s="142"/>
      <c r="C212" s="142"/>
      <c r="D212" s="142"/>
      <c r="E212" s="132"/>
      <c r="F212" s="131"/>
      <c r="G212" s="131"/>
      <c r="H212" s="131"/>
      <c r="I212" s="131"/>
      <c r="J212" s="219"/>
      <c r="K212" s="198"/>
      <c r="L212" s="131"/>
      <c r="M212" s="142"/>
      <c r="N212" s="131"/>
      <c r="O212" s="131"/>
      <c r="P212" s="131"/>
      <c r="Q212" s="131"/>
      <c r="R212" s="131"/>
      <c r="S212" s="131"/>
      <c r="T212" s="131"/>
      <c r="U212" s="131"/>
      <c r="V212" s="131"/>
      <c r="W212" s="131"/>
      <c r="X212" s="131"/>
      <c r="Y212" s="131"/>
      <c r="Z212" s="131"/>
      <c r="AA212" s="131"/>
      <c r="AB212" s="330"/>
      <c r="AC212" s="331"/>
      <c r="AD212" s="332"/>
      <c r="AE212" s="131"/>
      <c r="AF212" s="131"/>
      <c r="AG212" s="131"/>
      <c r="AH212" s="131"/>
      <c r="AI212" s="131"/>
      <c r="AJ212" s="131"/>
      <c r="AK212" s="131"/>
      <c r="AL212" s="131"/>
      <c r="AM212" s="131"/>
      <c r="AN212" s="131"/>
      <c r="AO212" s="142"/>
      <c r="AP212" s="131"/>
    </row>
    <row r="213" ht="13.5" customHeight="1">
      <c r="A213" s="142"/>
      <c r="B213" s="142"/>
      <c r="C213" s="142"/>
      <c r="D213" s="142"/>
      <c r="E213" s="132"/>
      <c r="F213" s="131"/>
      <c r="G213" s="131"/>
      <c r="H213" s="131"/>
      <c r="I213" s="131"/>
      <c r="J213" s="219"/>
      <c r="K213" s="198"/>
      <c r="L213" s="131"/>
      <c r="M213" s="142"/>
      <c r="N213" s="131"/>
      <c r="O213" s="131"/>
      <c r="P213" s="131"/>
      <c r="Q213" s="131"/>
      <c r="R213" s="131"/>
      <c r="S213" s="131"/>
      <c r="T213" s="131"/>
      <c r="U213" s="131"/>
      <c r="V213" s="131"/>
      <c r="W213" s="131"/>
      <c r="X213" s="131"/>
      <c r="Y213" s="131"/>
      <c r="Z213" s="131"/>
      <c r="AA213" s="131"/>
      <c r="AB213" s="330"/>
      <c r="AC213" s="331"/>
      <c r="AD213" s="332"/>
      <c r="AE213" s="131"/>
      <c r="AF213" s="131"/>
      <c r="AG213" s="131"/>
      <c r="AH213" s="131"/>
      <c r="AI213" s="131"/>
      <c r="AJ213" s="131"/>
      <c r="AK213" s="131"/>
      <c r="AL213" s="131"/>
      <c r="AM213" s="131"/>
      <c r="AN213" s="131"/>
      <c r="AO213" s="142"/>
      <c r="AP213" s="131"/>
    </row>
    <row r="214" ht="13.5" customHeight="1">
      <c r="A214" s="142"/>
      <c r="B214" s="142"/>
      <c r="C214" s="142"/>
      <c r="D214" s="142"/>
      <c r="E214" s="132"/>
      <c r="F214" s="131"/>
      <c r="G214" s="131"/>
      <c r="H214" s="131"/>
      <c r="I214" s="131"/>
      <c r="J214" s="219"/>
      <c r="K214" s="198"/>
      <c r="L214" s="131"/>
      <c r="M214" s="142"/>
      <c r="N214" s="131"/>
      <c r="O214" s="131"/>
      <c r="P214" s="131"/>
      <c r="Q214" s="131"/>
      <c r="R214" s="131"/>
      <c r="S214" s="131"/>
      <c r="T214" s="131"/>
      <c r="U214" s="131"/>
      <c r="V214" s="131"/>
      <c r="W214" s="131"/>
      <c r="X214" s="131"/>
      <c r="Y214" s="131"/>
      <c r="Z214" s="131"/>
      <c r="AA214" s="131"/>
      <c r="AB214" s="330"/>
      <c r="AC214" s="331"/>
      <c r="AD214" s="332"/>
      <c r="AE214" s="131"/>
      <c r="AF214" s="131"/>
      <c r="AG214" s="131"/>
      <c r="AH214" s="131"/>
      <c r="AI214" s="131"/>
      <c r="AJ214" s="131"/>
      <c r="AK214" s="131"/>
      <c r="AL214" s="131"/>
      <c r="AM214" s="131"/>
      <c r="AN214" s="131"/>
      <c r="AO214" s="142"/>
      <c r="AP214" s="131"/>
    </row>
    <row r="215" ht="13.5" customHeight="1">
      <c r="A215" s="142"/>
      <c r="B215" s="142"/>
      <c r="C215" s="142"/>
      <c r="D215" s="142"/>
      <c r="E215" s="132"/>
      <c r="F215" s="131"/>
      <c r="G215" s="131"/>
      <c r="H215" s="131"/>
      <c r="I215" s="131"/>
      <c r="J215" s="219"/>
      <c r="K215" s="198"/>
      <c r="L215" s="131"/>
      <c r="M215" s="142"/>
      <c r="N215" s="131"/>
      <c r="O215" s="131"/>
      <c r="P215" s="131"/>
      <c r="Q215" s="131"/>
      <c r="R215" s="131"/>
      <c r="S215" s="131"/>
      <c r="T215" s="131"/>
      <c r="U215" s="131"/>
      <c r="V215" s="131"/>
      <c r="W215" s="131"/>
      <c r="X215" s="131"/>
      <c r="Y215" s="131"/>
      <c r="Z215" s="131"/>
      <c r="AA215" s="131"/>
      <c r="AB215" s="330"/>
      <c r="AC215" s="331"/>
      <c r="AD215" s="332"/>
      <c r="AE215" s="131"/>
      <c r="AF215" s="131"/>
      <c r="AG215" s="131"/>
      <c r="AH215" s="131"/>
      <c r="AI215" s="131"/>
      <c r="AJ215" s="131"/>
      <c r="AK215" s="131"/>
      <c r="AL215" s="131"/>
      <c r="AM215" s="131"/>
      <c r="AN215" s="131"/>
      <c r="AO215" s="142"/>
      <c r="AP215" s="131"/>
    </row>
    <row r="216" ht="13.5" customHeight="1">
      <c r="A216" s="142"/>
      <c r="B216" s="142"/>
      <c r="C216" s="142"/>
      <c r="D216" s="142"/>
      <c r="E216" s="132"/>
      <c r="F216" s="131"/>
      <c r="G216" s="131"/>
      <c r="H216" s="131"/>
      <c r="I216" s="131"/>
      <c r="J216" s="219"/>
      <c r="K216" s="198"/>
      <c r="L216" s="131"/>
      <c r="M216" s="142"/>
      <c r="N216" s="131"/>
      <c r="O216" s="131"/>
      <c r="P216" s="131"/>
      <c r="Q216" s="131"/>
      <c r="R216" s="131"/>
      <c r="S216" s="131"/>
      <c r="T216" s="131"/>
      <c r="U216" s="131"/>
      <c r="V216" s="131"/>
      <c r="W216" s="131"/>
      <c r="X216" s="131"/>
      <c r="Y216" s="131"/>
      <c r="Z216" s="131"/>
      <c r="AA216" s="131"/>
      <c r="AB216" s="330"/>
      <c r="AC216" s="331"/>
      <c r="AD216" s="332"/>
      <c r="AE216" s="131"/>
      <c r="AF216" s="131"/>
      <c r="AG216" s="131"/>
      <c r="AH216" s="131"/>
      <c r="AI216" s="131"/>
      <c r="AJ216" s="131"/>
      <c r="AK216" s="131"/>
      <c r="AL216" s="131"/>
      <c r="AM216" s="131"/>
      <c r="AN216" s="131"/>
      <c r="AO216" s="142"/>
      <c r="AP216" s="131"/>
    </row>
    <row r="217" ht="13.5" customHeight="1">
      <c r="A217" s="142"/>
      <c r="B217" s="142"/>
      <c r="C217" s="142"/>
      <c r="D217" s="142"/>
      <c r="E217" s="132"/>
      <c r="F217" s="131"/>
      <c r="G217" s="131"/>
      <c r="H217" s="131"/>
      <c r="I217" s="131"/>
      <c r="J217" s="219"/>
      <c r="K217" s="198"/>
      <c r="L217" s="131"/>
      <c r="M217" s="142"/>
      <c r="N217" s="131"/>
      <c r="O217" s="131"/>
      <c r="P217" s="131"/>
      <c r="Q217" s="131"/>
      <c r="R217" s="131"/>
      <c r="S217" s="131"/>
      <c r="T217" s="131"/>
      <c r="U217" s="131"/>
      <c r="V217" s="131"/>
      <c r="W217" s="131"/>
      <c r="X217" s="131"/>
      <c r="Y217" s="131"/>
      <c r="Z217" s="131"/>
      <c r="AA217" s="131"/>
      <c r="AB217" s="330"/>
      <c r="AC217" s="331"/>
      <c r="AD217" s="332"/>
      <c r="AE217" s="131"/>
      <c r="AF217" s="131"/>
      <c r="AG217" s="131"/>
      <c r="AH217" s="131"/>
      <c r="AI217" s="131"/>
      <c r="AJ217" s="131"/>
      <c r="AK217" s="131"/>
      <c r="AL217" s="131"/>
      <c r="AM217" s="131"/>
      <c r="AN217" s="131"/>
      <c r="AO217" s="142"/>
      <c r="AP217" s="131"/>
    </row>
    <row r="218" ht="13.5" customHeight="1">
      <c r="A218" s="142"/>
      <c r="B218" s="142"/>
      <c r="C218" s="142"/>
      <c r="D218" s="142"/>
      <c r="E218" s="132"/>
      <c r="F218" s="131"/>
      <c r="G218" s="131"/>
      <c r="H218" s="131"/>
      <c r="I218" s="131"/>
      <c r="J218" s="219"/>
      <c r="K218" s="198"/>
      <c r="L218" s="131"/>
      <c r="M218" s="142"/>
      <c r="N218" s="131"/>
      <c r="O218" s="131"/>
      <c r="P218" s="131"/>
      <c r="Q218" s="131"/>
      <c r="R218" s="131"/>
      <c r="S218" s="131"/>
      <c r="T218" s="131"/>
      <c r="U218" s="131"/>
      <c r="V218" s="131"/>
      <c r="W218" s="131"/>
      <c r="X218" s="131"/>
      <c r="Y218" s="131"/>
      <c r="Z218" s="131"/>
      <c r="AA218" s="131"/>
      <c r="AB218" s="330"/>
      <c r="AC218" s="331"/>
      <c r="AD218" s="332"/>
      <c r="AE218" s="131"/>
      <c r="AF218" s="131"/>
      <c r="AG218" s="131"/>
      <c r="AH218" s="131"/>
      <c r="AI218" s="131"/>
      <c r="AJ218" s="131"/>
      <c r="AK218" s="131"/>
      <c r="AL218" s="131"/>
      <c r="AM218" s="131"/>
      <c r="AN218" s="131"/>
      <c r="AO218" s="142"/>
      <c r="AP218" s="131"/>
    </row>
    <row r="219" ht="13.5" customHeight="1">
      <c r="A219" s="142"/>
      <c r="B219" s="142"/>
      <c r="C219" s="142"/>
      <c r="D219" s="142"/>
      <c r="E219" s="132"/>
      <c r="F219" s="131"/>
      <c r="G219" s="131"/>
      <c r="H219" s="131"/>
      <c r="I219" s="131"/>
      <c r="J219" s="219"/>
      <c r="K219" s="198"/>
      <c r="L219" s="131"/>
      <c r="M219" s="142"/>
      <c r="N219" s="131"/>
      <c r="O219" s="131"/>
      <c r="P219" s="131"/>
      <c r="Q219" s="131"/>
      <c r="R219" s="131"/>
      <c r="S219" s="131"/>
      <c r="T219" s="131"/>
      <c r="U219" s="131"/>
      <c r="V219" s="131"/>
      <c r="W219" s="131"/>
      <c r="X219" s="131"/>
      <c r="Y219" s="131"/>
      <c r="Z219" s="131"/>
      <c r="AA219" s="131"/>
      <c r="AB219" s="330"/>
      <c r="AC219" s="331"/>
      <c r="AD219" s="332"/>
      <c r="AE219" s="131"/>
      <c r="AF219" s="131"/>
      <c r="AG219" s="131"/>
      <c r="AH219" s="131"/>
      <c r="AI219" s="131"/>
      <c r="AJ219" s="131"/>
      <c r="AK219" s="131"/>
      <c r="AL219" s="131"/>
      <c r="AM219" s="131"/>
      <c r="AN219" s="131"/>
      <c r="AO219" s="142"/>
      <c r="AP219" s="131"/>
    </row>
    <row r="220" ht="13.5" customHeight="1">
      <c r="A220" s="142"/>
      <c r="B220" s="142"/>
      <c r="C220" s="142"/>
      <c r="D220" s="142"/>
      <c r="E220" s="132"/>
      <c r="F220" s="131"/>
      <c r="G220" s="131"/>
      <c r="H220" s="131"/>
      <c r="I220" s="131"/>
      <c r="J220" s="219"/>
      <c r="K220" s="198"/>
      <c r="L220" s="131"/>
      <c r="M220" s="142"/>
      <c r="N220" s="131"/>
      <c r="O220" s="131"/>
      <c r="P220" s="131"/>
      <c r="Q220" s="131"/>
      <c r="R220" s="131"/>
      <c r="S220" s="131"/>
      <c r="T220" s="131"/>
      <c r="U220" s="131"/>
      <c r="V220" s="131"/>
      <c r="W220" s="131"/>
      <c r="X220" s="131"/>
      <c r="Y220" s="131"/>
      <c r="Z220" s="131"/>
      <c r="AA220" s="131"/>
      <c r="AB220" s="330"/>
      <c r="AC220" s="331"/>
      <c r="AD220" s="332"/>
      <c r="AE220" s="131"/>
      <c r="AF220" s="131"/>
      <c r="AG220" s="131"/>
      <c r="AH220" s="131"/>
      <c r="AI220" s="131"/>
      <c r="AJ220" s="131"/>
      <c r="AK220" s="131"/>
      <c r="AL220" s="131"/>
      <c r="AM220" s="131"/>
      <c r="AN220" s="131"/>
      <c r="AO220" s="142"/>
      <c r="AP220" s="131"/>
    </row>
    <row r="221" ht="13.5" customHeight="1">
      <c r="A221" s="142"/>
      <c r="B221" s="142"/>
      <c r="C221" s="142"/>
      <c r="D221" s="142"/>
      <c r="E221" s="132"/>
      <c r="F221" s="131"/>
      <c r="G221" s="131"/>
      <c r="H221" s="131"/>
      <c r="I221" s="131"/>
      <c r="J221" s="219"/>
      <c r="K221" s="198"/>
      <c r="L221" s="131"/>
      <c r="M221" s="142"/>
      <c r="N221" s="131"/>
      <c r="O221" s="131"/>
      <c r="P221" s="131"/>
      <c r="Q221" s="131"/>
      <c r="R221" s="131"/>
      <c r="S221" s="131"/>
      <c r="T221" s="131"/>
      <c r="U221" s="131"/>
      <c r="V221" s="131"/>
      <c r="W221" s="131"/>
      <c r="X221" s="131"/>
      <c r="Y221" s="131"/>
      <c r="Z221" s="131"/>
      <c r="AA221" s="131"/>
      <c r="AB221" s="330"/>
      <c r="AC221" s="331"/>
      <c r="AD221" s="332"/>
      <c r="AE221" s="131"/>
      <c r="AF221" s="131"/>
      <c r="AG221" s="131"/>
      <c r="AH221" s="131"/>
      <c r="AI221" s="131"/>
      <c r="AJ221" s="131"/>
      <c r="AK221" s="131"/>
      <c r="AL221" s="131"/>
      <c r="AM221" s="131"/>
      <c r="AN221" s="131"/>
      <c r="AO221" s="142"/>
      <c r="AP221" s="131"/>
    </row>
    <row r="222" ht="13.5" customHeight="1">
      <c r="A222" s="142"/>
      <c r="B222" s="142"/>
      <c r="C222" s="142"/>
      <c r="D222" s="142"/>
      <c r="E222" s="132"/>
      <c r="F222" s="131"/>
      <c r="G222" s="131"/>
      <c r="H222" s="131"/>
      <c r="I222" s="131"/>
      <c r="J222" s="219"/>
      <c r="K222" s="198"/>
      <c r="L222" s="131"/>
      <c r="M222" s="142"/>
      <c r="N222" s="131"/>
      <c r="O222" s="131"/>
      <c r="P222" s="131"/>
      <c r="Q222" s="131"/>
      <c r="R222" s="131"/>
      <c r="S222" s="131"/>
      <c r="T222" s="131"/>
      <c r="U222" s="131"/>
      <c r="V222" s="131"/>
      <c r="W222" s="131"/>
      <c r="X222" s="131"/>
      <c r="Y222" s="131"/>
      <c r="Z222" s="131"/>
      <c r="AA222" s="131"/>
      <c r="AB222" s="330"/>
      <c r="AC222" s="331"/>
      <c r="AD222" s="332"/>
      <c r="AE222" s="131"/>
      <c r="AF222" s="131"/>
      <c r="AG222" s="131"/>
      <c r="AH222" s="131"/>
      <c r="AI222" s="131"/>
      <c r="AJ222" s="131"/>
      <c r="AK222" s="131"/>
      <c r="AL222" s="131"/>
      <c r="AM222" s="131"/>
      <c r="AN222" s="131"/>
      <c r="AO222" s="142"/>
      <c r="AP222" s="131"/>
    </row>
    <row r="223" ht="13.5" customHeight="1">
      <c r="A223" s="142"/>
      <c r="B223" s="142"/>
      <c r="C223" s="142"/>
      <c r="D223" s="142"/>
      <c r="E223" s="132"/>
      <c r="F223" s="131"/>
      <c r="G223" s="131"/>
      <c r="H223" s="131"/>
      <c r="I223" s="131"/>
      <c r="J223" s="219"/>
      <c r="K223" s="198"/>
      <c r="L223" s="131"/>
      <c r="M223" s="142"/>
      <c r="N223" s="131"/>
      <c r="O223" s="131"/>
      <c r="P223" s="131"/>
      <c r="Q223" s="131"/>
      <c r="R223" s="131"/>
      <c r="S223" s="131"/>
      <c r="T223" s="131"/>
      <c r="U223" s="131"/>
      <c r="V223" s="131"/>
      <c r="W223" s="131"/>
      <c r="X223" s="131"/>
      <c r="Y223" s="131"/>
      <c r="Z223" s="131"/>
      <c r="AA223" s="131"/>
      <c r="AB223" s="330"/>
      <c r="AC223" s="331"/>
      <c r="AD223" s="332"/>
      <c r="AE223" s="131"/>
      <c r="AF223" s="131"/>
      <c r="AG223" s="131"/>
      <c r="AH223" s="131"/>
      <c r="AI223" s="131"/>
      <c r="AJ223" s="131"/>
      <c r="AK223" s="131"/>
      <c r="AL223" s="131"/>
      <c r="AM223" s="131"/>
      <c r="AN223" s="131"/>
      <c r="AO223" s="142"/>
      <c r="AP223" s="131"/>
    </row>
    <row r="224" ht="13.5" customHeight="1">
      <c r="A224" s="142"/>
      <c r="B224" s="142"/>
      <c r="C224" s="142"/>
      <c r="D224" s="142"/>
      <c r="E224" s="132"/>
      <c r="F224" s="131"/>
      <c r="G224" s="131"/>
      <c r="H224" s="131"/>
      <c r="I224" s="131"/>
      <c r="J224" s="219"/>
      <c r="K224" s="198"/>
      <c r="L224" s="131"/>
      <c r="M224" s="142"/>
      <c r="N224" s="131"/>
      <c r="O224" s="131"/>
      <c r="P224" s="131"/>
      <c r="Q224" s="131"/>
      <c r="R224" s="131"/>
      <c r="S224" s="131"/>
      <c r="T224" s="131"/>
      <c r="U224" s="131"/>
      <c r="V224" s="131"/>
      <c r="W224" s="131"/>
      <c r="X224" s="131"/>
      <c r="Y224" s="131"/>
      <c r="Z224" s="131"/>
      <c r="AA224" s="131"/>
      <c r="AB224" s="330"/>
      <c r="AC224" s="331"/>
      <c r="AD224" s="332"/>
      <c r="AE224" s="131"/>
      <c r="AF224" s="131"/>
      <c r="AG224" s="131"/>
      <c r="AH224" s="131"/>
      <c r="AI224" s="131"/>
      <c r="AJ224" s="131"/>
      <c r="AK224" s="131"/>
      <c r="AL224" s="131"/>
      <c r="AM224" s="131"/>
      <c r="AN224" s="131"/>
      <c r="AO224" s="142"/>
      <c r="AP224" s="131"/>
    </row>
    <row r="225" ht="13.5" customHeight="1">
      <c r="A225" s="142"/>
      <c r="B225" s="142"/>
      <c r="C225" s="142"/>
      <c r="D225" s="142"/>
      <c r="E225" s="132"/>
      <c r="F225" s="131"/>
      <c r="G225" s="131"/>
      <c r="H225" s="131"/>
      <c r="I225" s="131"/>
      <c r="J225" s="219"/>
      <c r="K225" s="198"/>
      <c r="L225" s="131"/>
      <c r="M225" s="142"/>
      <c r="N225" s="131"/>
      <c r="O225" s="131"/>
      <c r="P225" s="131"/>
      <c r="Q225" s="131"/>
      <c r="R225" s="131"/>
      <c r="S225" s="131"/>
      <c r="T225" s="131"/>
      <c r="U225" s="131"/>
      <c r="V225" s="131"/>
      <c r="W225" s="131"/>
      <c r="X225" s="131"/>
      <c r="Y225" s="131"/>
      <c r="Z225" s="131"/>
      <c r="AA225" s="131"/>
      <c r="AB225" s="330"/>
      <c r="AC225" s="331"/>
      <c r="AD225" s="332"/>
      <c r="AE225" s="131"/>
      <c r="AF225" s="131"/>
      <c r="AG225" s="131"/>
      <c r="AH225" s="131"/>
      <c r="AI225" s="131"/>
      <c r="AJ225" s="131"/>
      <c r="AK225" s="131"/>
      <c r="AL225" s="131"/>
      <c r="AM225" s="131"/>
      <c r="AN225" s="131"/>
      <c r="AO225" s="142"/>
      <c r="AP225" s="131"/>
    </row>
    <row r="226" ht="13.5" customHeight="1">
      <c r="A226" s="142"/>
      <c r="B226" s="142"/>
      <c r="C226" s="142"/>
      <c r="D226" s="142"/>
      <c r="E226" s="132"/>
      <c r="F226" s="131"/>
      <c r="G226" s="131"/>
      <c r="H226" s="131"/>
      <c r="I226" s="131"/>
      <c r="J226" s="219"/>
      <c r="K226" s="198"/>
      <c r="L226" s="131"/>
      <c r="M226" s="142"/>
      <c r="N226" s="131"/>
      <c r="O226" s="131"/>
      <c r="P226" s="131"/>
      <c r="Q226" s="131"/>
      <c r="R226" s="131"/>
      <c r="S226" s="131"/>
      <c r="T226" s="131"/>
      <c r="U226" s="131"/>
      <c r="V226" s="131"/>
      <c r="W226" s="131"/>
      <c r="X226" s="131"/>
      <c r="Y226" s="131"/>
      <c r="Z226" s="131"/>
      <c r="AA226" s="131"/>
      <c r="AB226" s="330"/>
      <c r="AC226" s="331"/>
      <c r="AD226" s="332"/>
      <c r="AE226" s="131"/>
      <c r="AF226" s="131"/>
      <c r="AG226" s="131"/>
      <c r="AH226" s="131"/>
      <c r="AI226" s="131"/>
      <c r="AJ226" s="131"/>
      <c r="AK226" s="131"/>
      <c r="AL226" s="131"/>
      <c r="AM226" s="131"/>
      <c r="AN226" s="131"/>
      <c r="AO226" s="142"/>
      <c r="AP226" s="131"/>
    </row>
    <row r="227" ht="13.5" customHeight="1">
      <c r="A227" s="142"/>
      <c r="B227" s="142"/>
      <c r="C227" s="142"/>
      <c r="D227" s="142"/>
      <c r="E227" s="132"/>
      <c r="F227" s="131"/>
      <c r="G227" s="131"/>
      <c r="H227" s="131"/>
      <c r="I227" s="131"/>
      <c r="J227" s="219"/>
      <c r="K227" s="198"/>
      <c r="L227" s="131"/>
      <c r="M227" s="142"/>
      <c r="N227" s="131"/>
      <c r="O227" s="131"/>
      <c r="P227" s="131"/>
      <c r="Q227" s="131"/>
      <c r="R227" s="131"/>
      <c r="S227" s="131"/>
      <c r="T227" s="131"/>
      <c r="U227" s="131"/>
      <c r="V227" s="131"/>
      <c r="W227" s="131"/>
      <c r="X227" s="131"/>
      <c r="Y227" s="131"/>
      <c r="Z227" s="131"/>
      <c r="AA227" s="131"/>
      <c r="AB227" s="330"/>
      <c r="AC227" s="331"/>
      <c r="AD227" s="332"/>
      <c r="AE227" s="131"/>
      <c r="AF227" s="131"/>
      <c r="AG227" s="131"/>
      <c r="AH227" s="131"/>
      <c r="AI227" s="131"/>
      <c r="AJ227" s="131"/>
      <c r="AK227" s="131"/>
      <c r="AL227" s="131"/>
      <c r="AM227" s="131"/>
      <c r="AN227" s="131"/>
      <c r="AO227" s="142"/>
      <c r="AP227" s="131"/>
    </row>
    <row r="228" ht="13.5" customHeight="1">
      <c r="A228" s="142"/>
      <c r="B228" s="142"/>
      <c r="C228" s="142"/>
      <c r="D228" s="142"/>
      <c r="E228" s="132"/>
      <c r="F228" s="131"/>
      <c r="G228" s="131"/>
      <c r="H228" s="131"/>
      <c r="I228" s="131"/>
      <c r="J228" s="219"/>
      <c r="K228" s="198"/>
      <c r="L228" s="131"/>
      <c r="M228" s="142"/>
      <c r="N228" s="131"/>
      <c r="O228" s="131"/>
      <c r="P228" s="131"/>
      <c r="Q228" s="131"/>
      <c r="R228" s="131"/>
      <c r="S228" s="131"/>
      <c r="T228" s="131"/>
      <c r="U228" s="131"/>
      <c r="V228" s="131"/>
      <c r="W228" s="131"/>
      <c r="X228" s="131"/>
      <c r="Y228" s="131"/>
      <c r="Z228" s="131"/>
      <c r="AA228" s="131"/>
      <c r="AB228" s="330"/>
      <c r="AC228" s="331"/>
      <c r="AD228" s="332"/>
      <c r="AE228" s="131"/>
      <c r="AF228" s="131"/>
      <c r="AG228" s="131"/>
      <c r="AH228" s="131"/>
      <c r="AI228" s="131"/>
      <c r="AJ228" s="131"/>
      <c r="AK228" s="131"/>
      <c r="AL228" s="131"/>
      <c r="AM228" s="131"/>
      <c r="AN228" s="131"/>
      <c r="AO228" s="142"/>
      <c r="AP228" s="131"/>
    </row>
    <row r="229" ht="13.5" customHeight="1">
      <c r="A229" s="142"/>
      <c r="B229" s="142"/>
      <c r="C229" s="142"/>
      <c r="D229" s="142"/>
      <c r="E229" s="132"/>
      <c r="F229" s="131"/>
      <c r="G229" s="131"/>
      <c r="H229" s="131"/>
      <c r="I229" s="131"/>
      <c r="J229" s="219"/>
      <c r="K229" s="198"/>
      <c r="L229" s="131"/>
      <c r="M229" s="142"/>
      <c r="N229" s="131"/>
      <c r="O229" s="131"/>
      <c r="P229" s="131"/>
      <c r="Q229" s="131"/>
      <c r="R229" s="131"/>
      <c r="S229" s="131"/>
      <c r="T229" s="131"/>
      <c r="U229" s="131"/>
      <c r="V229" s="131"/>
      <c r="W229" s="131"/>
      <c r="X229" s="131"/>
      <c r="Y229" s="131"/>
      <c r="Z229" s="131"/>
      <c r="AA229" s="131"/>
      <c r="AB229" s="330"/>
      <c r="AC229" s="331"/>
      <c r="AD229" s="332"/>
      <c r="AE229" s="131"/>
      <c r="AF229" s="131"/>
      <c r="AG229" s="131"/>
      <c r="AH229" s="131"/>
      <c r="AI229" s="131"/>
      <c r="AJ229" s="131"/>
      <c r="AK229" s="131"/>
      <c r="AL229" s="131"/>
      <c r="AM229" s="131"/>
      <c r="AN229" s="131"/>
      <c r="AO229" s="142"/>
      <c r="AP229" s="131"/>
    </row>
    <row r="230" ht="13.5" customHeight="1">
      <c r="A230" s="142"/>
      <c r="B230" s="142"/>
      <c r="C230" s="142"/>
      <c r="D230" s="142"/>
      <c r="E230" s="132"/>
      <c r="F230" s="131"/>
      <c r="G230" s="131"/>
      <c r="H230" s="131"/>
      <c r="I230" s="131"/>
      <c r="J230" s="219"/>
      <c r="K230" s="198"/>
      <c r="L230" s="131"/>
      <c r="M230" s="142"/>
      <c r="N230" s="131"/>
      <c r="O230" s="131"/>
      <c r="P230" s="131"/>
      <c r="Q230" s="131"/>
      <c r="R230" s="131"/>
      <c r="S230" s="131"/>
      <c r="T230" s="131"/>
      <c r="U230" s="131"/>
      <c r="V230" s="131"/>
      <c r="W230" s="131"/>
      <c r="X230" s="131"/>
      <c r="Y230" s="131"/>
      <c r="Z230" s="131"/>
      <c r="AA230" s="131"/>
      <c r="AB230" s="330"/>
      <c r="AC230" s="331"/>
      <c r="AD230" s="332"/>
      <c r="AE230" s="131"/>
      <c r="AF230" s="131"/>
      <c r="AG230" s="131"/>
      <c r="AH230" s="131"/>
      <c r="AI230" s="131"/>
      <c r="AJ230" s="131"/>
      <c r="AK230" s="131"/>
      <c r="AL230" s="131"/>
      <c r="AM230" s="131"/>
      <c r="AN230" s="131"/>
      <c r="AO230" s="142"/>
      <c r="AP230" s="131"/>
    </row>
    <row r="231" ht="13.5" customHeight="1">
      <c r="A231" s="142"/>
      <c r="B231" s="142"/>
      <c r="C231" s="142"/>
      <c r="D231" s="142"/>
      <c r="E231" s="132"/>
      <c r="F231" s="131"/>
      <c r="G231" s="131"/>
      <c r="H231" s="131"/>
      <c r="I231" s="131"/>
      <c r="J231" s="219"/>
      <c r="K231" s="198"/>
      <c r="L231" s="131"/>
      <c r="M231" s="142"/>
      <c r="N231" s="131"/>
      <c r="O231" s="131"/>
      <c r="P231" s="131"/>
      <c r="Q231" s="131"/>
      <c r="R231" s="131"/>
      <c r="S231" s="131"/>
      <c r="T231" s="131"/>
      <c r="U231" s="131"/>
      <c r="V231" s="131"/>
      <c r="W231" s="131"/>
      <c r="X231" s="131"/>
      <c r="Y231" s="131"/>
      <c r="Z231" s="131"/>
      <c r="AA231" s="131"/>
      <c r="AB231" s="330"/>
      <c r="AC231" s="331"/>
      <c r="AD231" s="332"/>
      <c r="AE231" s="131"/>
      <c r="AF231" s="131"/>
      <c r="AG231" s="131"/>
      <c r="AH231" s="131"/>
      <c r="AI231" s="131"/>
      <c r="AJ231" s="131"/>
      <c r="AK231" s="131"/>
      <c r="AL231" s="131"/>
      <c r="AM231" s="131"/>
      <c r="AN231" s="131"/>
      <c r="AO231" s="142"/>
      <c r="AP231" s="131"/>
    </row>
    <row r="232" ht="13.5" customHeight="1">
      <c r="A232" s="142"/>
      <c r="B232" s="142"/>
      <c r="C232" s="142"/>
      <c r="D232" s="142"/>
      <c r="E232" s="132"/>
      <c r="F232" s="131"/>
      <c r="G232" s="131"/>
      <c r="H232" s="131"/>
      <c r="I232" s="131"/>
      <c r="J232" s="219"/>
      <c r="K232" s="198"/>
      <c r="L232" s="131"/>
      <c r="M232" s="142"/>
      <c r="N232" s="131"/>
      <c r="O232" s="131"/>
      <c r="P232" s="131"/>
      <c r="Q232" s="131"/>
      <c r="R232" s="131"/>
      <c r="S232" s="131"/>
      <c r="T232" s="131"/>
      <c r="U232" s="131"/>
      <c r="V232" s="131"/>
      <c r="W232" s="131"/>
      <c r="X232" s="131"/>
      <c r="Y232" s="131"/>
      <c r="Z232" s="131"/>
      <c r="AA232" s="131"/>
      <c r="AB232" s="330"/>
      <c r="AC232" s="331"/>
      <c r="AD232" s="332"/>
      <c r="AE232" s="131"/>
      <c r="AF232" s="131"/>
      <c r="AG232" s="131"/>
      <c r="AH232" s="131"/>
      <c r="AI232" s="131"/>
      <c r="AJ232" s="131"/>
      <c r="AK232" s="131"/>
      <c r="AL232" s="131"/>
      <c r="AM232" s="131"/>
      <c r="AN232" s="131"/>
      <c r="AO232" s="142"/>
      <c r="AP232" s="131"/>
    </row>
    <row r="233" ht="13.5" customHeight="1">
      <c r="A233" s="142"/>
      <c r="B233" s="142"/>
      <c r="C233" s="142"/>
      <c r="D233" s="142"/>
      <c r="E233" s="132"/>
      <c r="F233" s="131"/>
      <c r="G233" s="131"/>
      <c r="H233" s="131"/>
      <c r="I233" s="131"/>
      <c r="J233" s="219"/>
      <c r="K233" s="198"/>
      <c r="L233" s="131"/>
      <c r="M233" s="142"/>
      <c r="N233" s="131"/>
      <c r="O233" s="131"/>
      <c r="P233" s="131"/>
      <c r="Q233" s="131"/>
      <c r="R233" s="131"/>
      <c r="S233" s="131"/>
      <c r="T233" s="131"/>
      <c r="U233" s="131"/>
      <c r="V233" s="131"/>
      <c r="W233" s="131"/>
      <c r="X233" s="131"/>
      <c r="Y233" s="131"/>
      <c r="Z233" s="131"/>
      <c r="AA233" s="131"/>
      <c r="AB233" s="330"/>
      <c r="AC233" s="331"/>
      <c r="AD233" s="332"/>
      <c r="AE233" s="131"/>
      <c r="AF233" s="131"/>
      <c r="AG233" s="131"/>
      <c r="AH233" s="131"/>
      <c r="AI233" s="131"/>
      <c r="AJ233" s="131"/>
      <c r="AK233" s="131"/>
      <c r="AL233" s="131"/>
      <c r="AM233" s="131"/>
      <c r="AN233" s="131"/>
      <c r="AO233" s="142"/>
      <c r="AP233" s="131"/>
    </row>
    <row r="234" ht="13.5" customHeight="1">
      <c r="A234" s="142"/>
      <c r="B234" s="142"/>
      <c r="C234" s="142"/>
      <c r="D234" s="142"/>
      <c r="E234" s="132"/>
      <c r="F234" s="131"/>
      <c r="G234" s="131"/>
      <c r="H234" s="131"/>
      <c r="I234" s="131"/>
      <c r="J234" s="219"/>
      <c r="K234" s="198"/>
      <c r="L234" s="131"/>
      <c r="M234" s="142"/>
      <c r="N234" s="131"/>
      <c r="O234" s="131"/>
      <c r="P234" s="131"/>
      <c r="Q234" s="131"/>
      <c r="R234" s="131"/>
      <c r="S234" s="131"/>
      <c r="T234" s="131"/>
      <c r="U234" s="131"/>
      <c r="V234" s="131"/>
      <c r="W234" s="131"/>
      <c r="X234" s="131"/>
      <c r="Y234" s="131"/>
      <c r="Z234" s="131"/>
      <c r="AA234" s="131"/>
      <c r="AB234" s="330"/>
      <c r="AC234" s="331"/>
      <c r="AD234" s="332"/>
      <c r="AE234" s="131"/>
      <c r="AF234" s="131"/>
      <c r="AG234" s="131"/>
      <c r="AH234" s="131"/>
      <c r="AI234" s="131"/>
      <c r="AJ234" s="131"/>
      <c r="AK234" s="131"/>
      <c r="AL234" s="131"/>
      <c r="AM234" s="131"/>
      <c r="AN234" s="131"/>
      <c r="AO234" s="142"/>
      <c r="AP234" s="131"/>
    </row>
    <row r="235" ht="13.5" customHeight="1">
      <c r="A235" s="142"/>
      <c r="B235" s="142"/>
      <c r="C235" s="142"/>
      <c r="D235" s="142"/>
      <c r="E235" s="132"/>
      <c r="F235" s="131"/>
      <c r="G235" s="131"/>
      <c r="H235" s="131"/>
      <c r="I235" s="131"/>
      <c r="J235" s="219"/>
      <c r="K235" s="198"/>
      <c r="L235" s="131"/>
      <c r="M235" s="142"/>
      <c r="N235" s="131"/>
      <c r="O235" s="131"/>
      <c r="P235" s="131"/>
      <c r="Q235" s="131"/>
      <c r="R235" s="131"/>
      <c r="S235" s="131"/>
      <c r="T235" s="131"/>
      <c r="U235" s="131"/>
      <c r="V235" s="131"/>
      <c r="W235" s="131"/>
      <c r="X235" s="131"/>
      <c r="Y235" s="131"/>
      <c r="Z235" s="131"/>
      <c r="AA235" s="131"/>
      <c r="AB235" s="330"/>
      <c r="AC235" s="331"/>
      <c r="AD235" s="332"/>
      <c r="AE235" s="131"/>
      <c r="AF235" s="131"/>
      <c r="AG235" s="131"/>
      <c r="AH235" s="131"/>
      <c r="AI235" s="131"/>
      <c r="AJ235" s="131"/>
      <c r="AK235" s="131"/>
      <c r="AL235" s="131"/>
      <c r="AM235" s="131"/>
      <c r="AN235" s="131"/>
      <c r="AO235" s="142"/>
      <c r="AP235" s="131"/>
    </row>
    <row r="236" ht="13.5" customHeight="1">
      <c r="A236" s="142"/>
      <c r="B236" s="142"/>
      <c r="C236" s="142"/>
      <c r="D236" s="142"/>
      <c r="E236" s="132"/>
      <c r="F236" s="131"/>
      <c r="G236" s="131"/>
      <c r="H236" s="131"/>
      <c r="I236" s="131"/>
      <c r="J236" s="219"/>
      <c r="K236" s="198"/>
      <c r="L236" s="131"/>
      <c r="M236" s="142"/>
      <c r="N236" s="131"/>
      <c r="O236" s="131"/>
      <c r="P236" s="131"/>
      <c r="Q236" s="131"/>
      <c r="R236" s="131"/>
      <c r="S236" s="131"/>
      <c r="T236" s="131"/>
      <c r="U236" s="131"/>
      <c r="V236" s="131"/>
      <c r="W236" s="131"/>
      <c r="X236" s="131"/>
      <c r="Y236" s="131"/>
      <c r="Z236" s="131"/>
      <c r="AA236" s="131"/>
      <c r="AB236" s="330"/>
      <c r="AC236" s="331"/>
      <c r="AD236" s="332"/>
      <c r="AE236" s="131"/>
      <c r="AF236" s="131"/>
      <c r="AG236" s="131"/>
      <c r="AH236" s="131"/>
      <c r="AI236" s="131"/>
      <c r="AJ236" s="131"/>
      <c r="AK236" s="131"/>
      <c r="AL236" s="131"/>
      <c r="AM236" s="131"/>
      <c r="AN236" s="131"/>
      <c r="AO236" s="142"/>
      <c r="AP236" s="131"/>
    </row>
    <row r="237" ht="13.5" customHeight="1">
      <c r="A237" s="142"/>
      <c r="B237" s="142"/>
      <c r="C237" s="142"/>
      <c r="D237" s="142"/>
      <c r="E237" s="132"/>
      <c r="F237" s="131"/>
      <c r="G237" s="131"/>
      <c r="H237" s="131"/>
      <c r="I237" s="131"/>
      <c r="J237" s="219"/>
      <c r="K237" s="198"/>
      <c r="L237" s="131"/>
      <c r="M237" s="142"/>
      <c r="N237" s="131"/>
      <c r="O237" s="131"/>
      <c r="P237" s="131"/>
      <c r="Q237" s="131"/>
      <c r="R237" s="131"/>
      <c r="S237" s="131"/>
      <c r="T237" s="131"/>
      <c r="U237" s="131"/>
      <c r="V237" s="131"/>
      <c r="W237" s="131"/>
      <c r="X237" s="131"/>
      <c r="Y237" s="131"/>
      <c r="Z237" s="131"/>
      <c r="AA237" s="131"/>
      <c r="AB237" s="330"/>
      <c r="AC237" s="331"/>
      <c r="AD237" s="332"/>
      <c r="AE237" s="131"/>
      <c r="AF237" s="131"/>
      <c r="AG237" s="131"/>
      <c r="AH237" s="131"/>
      <c r="AI237" s="131"/>
      <c r="AJ237" s="131"/>
      <c r="AK237" s="131"/>
      <c r="AL237" s="131"/>
      <c r="AM237" s="131"/>
      <c r="AN237" s="131"/>
      <c r="AO237" s="142"/>
      <c r="AP237" s="131"/>
    </row>
    <row r="238" ht="13.5" customHeight="1">
      <c r="A238" s="142"/>
      <c r="B238" s="142"/>
      <c r="C238" s="142"/>
      <c r="D238" s="142"/>
      <c r="E238" s="132"/>
      <c r="F238" s="131"/>
      <c r="G238" s="131"/>
      <c r="H238" s="131"/>
      <c r="I238" s="131"/>
      <c r="J238" s="219"/>
      <c r="K238" s="198"/>
      <c r="L238" s="131"/>
      <c r="M238" s="142"/>
      <c r="N238" s="131"/>
      <c r="O238" s="131"/>
      <c r="P238" s="131"/>
      <c r="Q238" s="131"/>
      <c r="R238" s="131"/>
      <c r="S238" s="131"/>
      <c r="T238" s="131"/>
      <c r="U238" s="131"/>
      <c r="V238" s="131"/>
      <c r="W238" s="131"/>
      <c r="X238" s="131"/>
      <c r="Y238" s="131"/>
      <c r="Z238" s="131"/>
      <c r="AA238" s="131"/>
      <c r="AB238" s="330"/>
      <c r="AC238" s="331"/>
      <c r="AD238" s="332"/>
      <c r="AE238" s="131"/>
      <c r="AF238" s="131"/>
      <c r="AG238" s="131"/>
      <c r="AH238" s="131"/>
      <c r="AI238" s="131"/>
      <c r="AJ238" s="131"/>
      <c r="AK238" s="131"/>
      <c r="AL238" s="131"/>
      <c r="AM238" s="131"/>
      <c r="AN238" s="131"/>
      <c r="AO238" s="142"/>
      <c r="AP238" s="131"/>
    </row>
    <row r="239" ht="13.5" customHeight="1">
      <c r="A239" s="142"/>
      <c r="B239" s="142"/>
      <c r="C239" s="142"/>
      <c r="D239" s="142"/>
      <c r="E239" s="132"/>
      <c r="F239" s="131"/>
      <c r="G239" s="131"/>
      <c r="H239" s="131"/>
      <c r="I239" s="131"/>
      <c r="J239" s="219"/>
      <c r="K239" s="198"/>
      <c r="L239" s="131"/>
      <c r="M239" s="142"/>
      <c r="N239" s="131"/>
      <c r="O239" s="131"/>
      <c r="P239" s="131"/>
      <c r="Q239" s="131"/>
      <c r="R239" s="131"/>
      <c r="S239" s="131"/>
      <c r="T239" s="131"/>
      <c r="U239" s="131"/>
      <c r="V239" s="131"/>
      <c r="W239" s="131"/>
      <c r="X239" s="131"/>
      <c r="Y239" s="131"/>
      <c r="Z239" s="131"/>
      <c r="AA239" s="131"/>
      <c r="AB239" s="330"/>
      <c r="AC239" s="331"/>
      <c r="AD239" s="332"/>
      <c r="AE239" s="131"/>
      <c r="AF239" s="131"/>
      <c r="AG239" s="131"/>
      <c r="AH239" s="131"/>
      <c r="AI239" s="131"/>
      <c r="AJ239" s="131"/>
      <c r="AK239" s="131"/>
      <c r="AL239" s="131"/>
      <c r="AM239" s="131"/>
      <c r="AN239" s="131"/>
      <c r="AO239" s="142"/>
      <c r="AP239" s="131"/>
    </row>
    <row r="240" ht="13.5" customHeight="1">
      <c r="A240" s="142"/>
      <c r="B240" s="142"/>
      <c r="C240" s="142"/>
      <c r="D240" s="142"/>
      <c r="E240" s="132"/>
      <c r="F240" s="131"/>
      <c r="G240" s="131"/>
      <c r="H240" s="131"/>
      <c r="I240" s="131"/>
      <c r="J240" s="219"/>
      <c r="K240" s="198"/>
      <c r="L240" s="131"/>
      <c r="M240" s="142"/>
      <c r="N240" s="131"/>
      <c r="O240" s="131"/>
      <c r="P240" s="131"/>
      <c r="Q240" s="131"/>
      <c r="R240" s="131"/>
      <c r="S240" s="131"/>
      <c r="T240" s="131"/>
      <c r="U240" s="131"/>
      <c r="V240" s="131"/>
      <c r="W240" s="131"/>
      <c r="X240" s="131"/>
      <c r="Y240" s="131"/>
      <c r="Z240" s="131"/>
      <c r="AA240" s="131"/>
      <c r="AB240" s="330"/>
      <c r="AC240" s="331"/>
      <c r="AD240" s="332"/>
      <c r="AE240" s="131"/>
      <c r="AF240" s="131"/>
      <c r="AG240" s="131"/>
      <c r="AH240" s="131"/>
      <c r="AI240" s="131"/>
      <c r="AJ240" s="131"/>
      <c r="AK240" s="131"/>
      <c r="AL240" s="131"/>
      <c r="AM240" s="131"/>
      <c r="AN240" s="131"/>
      <c r="AO240" s="142"/>
      <c r="AP240" s="131"/>
    </row>
    <row r="241" ht="13.5" customHeight="1">
      <c r="A241" s="142"/>
      <c r="B241" s="142"/>
      <c r="C241" s="142"/>
      <c r="D241" s="142"/>
      <c r="E241" s="132"/>
      <c r="F241" s="131"/>
      <c r="G241" s="131"/>
      <c r="H241" s="131"/>
      <c r="I241" s="131"/>
      <c r="J241" s="219"/>
      <c r="K241" s="198"/>
      <c r="L241" s="131"/>
      <c r="M241" s="142"/>
      <c r="N241" s="131"/>
      <c r="O241" s="131"/>
      <c r="P241" s="131"/>
      <c r="Q241" s="131"/>
      <c r="R241" s="131"/>
      <c r="S241" s="131"/>
      <c r="T241" s="131"/>
      <c r="U241" s="131"/>
      <c r="V241" s="131"/>
      <c r="W241" s="131"/>
      <c r="X241" s="131"/>
      <c r="Y241" s="131"/>
      <c r="Z241" s="131"/>
      <c r="AA241" s="131"/>
      <c r="AB241" s="330"/>
      <c r="AC241" s="331"/>
      <c r="AD241" s="332"/>
      <c r="AE241" s="131"/>
      <c r="AF241" s="131"/>
      <c r="AG241" s="131"/>
      <c r="AH241" s="131"/>
      <c r="AI241" s="131"/>
      <c r="AJ241" s="131"/>
      <c r="AK241" s="131"/>
      <c r="AL241" s="131"/>
      <c r="AM241" s="131"/>
      <c r="AN241" s="131"/>
      <c r="AO241" s="142"/>
      <c r="AP241" s="131"/>
    </row>
    <row r="242" ht="13.5" customHeight="1">
      <c r="A242" s="142"/>
      <c r="B242" s="142"/>
      <c r="C242" s="142"/>
      <c r="D242" s="142"/>
      <c r="E242" s="132"/>
      <c r="F242" s="131"/>
      <c r="G242" s="131"/>
      <c r="H242" s="131"/>
      <c r="I242" s="131"/>
      <c r="J242" s="219"/>
      <c r="K242" s="198"/>
      <c r="L242" s="131"/>
      <c r="M242" s="142"/>
      <c r="N242" s="131"/>
      <c r="O242" s="131"/>
      <c r="P242" s="131"/>
      <c r="Q242" s="131"/>
      <c r="R242" s="131"/>
      <c r="S242" s="131"/>
      <c r="T242" s="131"/>
      <c r="U242" s="131"/>
      <c r="V242" s="131"/>
      <c r="W242" s="131"/>
      <c r="X242" s="131"/>
      <c r="Y242" s="131"/>
      <c r="Z242" s="131"/>
      <c r="AA242" s="131"/>
      <c r="AB242" s="330"/>
      <c r="AC242" s="331"/>
      <c r="AD242" s="332"/>
      <c r="AE242" s="131"/>
      <c r="AF242" s="131"/>
      <c r="AG242" s="131"/>
      <c r="AH242" s="131"/>
      <c r="AI242" s="131"/>
      <c r="AJ242" s="131"/>
      <c r="AK242" s="131"/>
      <c r="AL242" s="131"/>
      <c r="AM242" s="131"/>
      <c r="AN242" s="131"/>
      <c r="AO242" s="142"/>
      <c r="AP242" s="131"/>
    </row>
    <row r="243" ht="13.5" customHeight="1">
      <c r="A243" s="142"/>
      <c r="B243" s="142"/>
      <c r="C243" s="142"/>
      <c r="D243" s="142"/>
      <c r="E243" s="132"/>
      <c r="F243" s="131"/>
      <c r="G243" s="131"/>
      <c r="H243" s="131"/>
      <c r="I243" s="131"/>
      <c r="J243" s="219"/>
      <c r="K243" s="198"/>
      <c r="L243" s="131"/>
      <c r="M243" s="142"/>
      <c r="N243" s="131"/>
      <c r="O243" s="131"/>
      <c r="P243" s="131"/>
      <c r="Q243" s="131"/>
      <c r="R243" s="131"/>
      <c r="S243" s="131"/>
      <c r="T243" s="131"/>
      <c r="U243" s="131"/>
      <c r="V243" s="131"/>
      <c r="W243" s="131"/>
      <c r="X243" s="131"/>
      <c r="Y243" s="131"/>
      <c r="Z243" s="131"/>
      <c r="AA243" s="131"/>
      <c r="AB243" s="330"/>
      <c r="AC243" s="331"/>
      <c r="AD243" s="332"/>
      <c r="AE243" s="131"/>
      <c r="AF243" s="131"/>
      <c r="AG243" s="131"/>
      <c r="AH243" s="131"/>
      <c r="AI243" s="131"/>
      <c r="AJ243" s="131"/>
      <c r="AK243" s="131"/>
      <c r="AL243" s="131"/>
      <c r="AM243" s="131"/>
      <c r="AN243" s="131"/>
      <c r="AO243" s="142"/>
      <c r="AP243" s="131"/>
    </row>
    <row r="244" ht="13.5" customHeight="1">
      <c r="A244" s="142"/>
      <c r="B244" s="142"/>
      <c r="C244" s="142"/>
      <c r="D244" s="142"/>
      <c r="E244" s="132"/>
      <c r="F244" s="131"/>
      <c r="G244" s="131"/>
      <c r="H244" s="131"/>
      <c r="I244" s="131"/>
      <c r="J244" s="219"/>
      <c r="K244" s="198"/>
      <c r="L244" s="131"/>
      <c r="M244" s="142"/>
      <c r="N244" s="131"/>
      <c r="O244" s="131"/>
      <c r="P244" s="131"/>
      <c r="Q244" s="131"/>
      <c r="R244" s="131"/>
      <c r="S244" s="131"/>
      <c r="T244" s="131"/>
      <c r="U244" s="131"/>
      <c r="V244" s="131"/>
      <c r="W244" s="131"/>
      <c r="X244" s="131"/>
      <c r="Y244" s="131"/>
      <c r="Z244" s="131"/>
      <c r="AA244" s="131"/>
      <c r="AB244" s="330"/>
      <c r="AC244" s="331"/>
      <c r="AD244" s="332"/>
      <c r="AE244" s="131"/>
      <c r="AF244" s="131"/>
      <c r="AG244" s="131"/>
      <c r="AH244" s="131"/>
      <c r="AI244" s="131"/>
      <c r="AJ244" s="131"/>
      <c r="AK244" s="131"/>
      <c r="AL244" s="131"/>
      <c r="AM244" s="131"/>
      <c r="AN244" s="131"/>
      <c r="AO244" s="142"/>
      <c r="AP244" s="131"/>
    </row>
    <row r="245" ht="13.5" customHeight="1">
      <c r="A245" s="142"/>
      <c r="B245" s="142"/>
      <c r="C245" s="142"/>
      <c r="D245" s="142"/>
      <c r="E245" s="132"/>
      <c r="F245" s="131"/>
      <c r="G245" s="131"/>
      <c r="H245" s="131"/>
      <c r="I245" s="131"/>
      <c r="J245" s="219"/>
      <c r="K245" s="198"/>
      <c r="L245" s="131"/>
      <c r="M245" s="142"/>
      <c r="N245" s="131"/>
      <c r="O245" s="131"/>
      <c r="P245" s="131"/>
      <c r="Q245" s="131"/>
      <c r="R245" s="131"/>
      <c r="S245" s="131"/>
      <c r="T245" s="131"/>
      <c r="U245" s="131"/>
      <c r="V245" s="131"/>
      <c r="W245" s="131"/>
      <c r="X245" s="131"/>
      <c r="Y245" s="131"/>
      <c r="Z245" s="131"/>
      <c r="AA245" s="131"/>
      <c r="AB245" s="330"/>
      <c r="AC245" s="331"/>
      <c r="AD245" s="332"/>
      <c r="AE245" s="131"/>
      <c r="AF245" s="131"/>
      <c r="AG245" s="131"/>
      <c r="AH245" s="131"/>
      <c r="AI245" s="131"/>
      <c r="AJ245" s="131"/>
      <c r="AK245" s="131"/>
      <c r="AL245" s="131"/>
      <c r="AM245" s="131"/>
      <c r="AN245" s="131"/>
      <c r="AO245" s="142"/>
      <c r="AP245" s="131"/>
    </row>
    <row r="246" ht="13.5" customHeight="1">
      <c r="A246" s="142"/>
      <c r="B246" s="142"/>
      <c r="C246" s="142"/>
      <c r="D246" s="142"/>
      <c r="E246" s="132"/>
      <c r="F246" s="131"/>
      <c r="G246" s="131"/>
      <c r="H246" s="131"/>
      <c r="I246" s="131"/>
      <c r="J246" s="219"/>
      <c r="K246" s="198"/>
      <c r="L246" s="131"/>
      <c r="M246" s="142"/>
      <c r="N246" s="131"/>
      <c r="O246" s="131"/>
      <c r="P246" s="131"/>
      <c r="Q246" s="131"/>
      <c r="R246" s="131"/>
      <c r="S246" s="131"/>
      <c r="T246" s="131"/>
      <c r="U246" s="131"/>
      <c r="V246" s="131"/>
      <c r="W246" s="131"/>
      <c r="X246" s="131"/>
      <c r="Y246" s="131"/>
      <c r="Z246" s="131"/>
      <c r="AA246" s="131"/>
      <c r="AB246" s="330"/>
      <c r="AC246" s="331"/>
      <c r="AD246" s="332"/>
      <c r="AE246" s="131"/>
      <c r="AF246" s="131"/>
      <c r="AG246" s="131"/>
      <c r="AH246" s="131"/>
      <c r="AI246" s="131"/>
      <c r="AJ246" s="131"/>
      <c r="AK246" s="131"/>
      <c r="AL246" s="131"/>
      <c r="AM246" s="131"/>
      <c r="AN246" s="131"/>
      <c r="AO246" s="142"/>
      <c r="AP246" s="131"/>
    </row>
    <row r="247" ht="13.5" customHeight="1">
      <c r="A247" s="142"/>
      <c r="B247" s="142"/>
      <c r="C247" s="142"/>
      <c r="D247" s="142"/>
      <c r="E247" s="132"/>
      <c r="F247" s="131"/>
      <c r="G247" s="131"/>
      <c r="H247" s="131"/>
      <c r="I247" s="131"/>
      <c r="J247" s="219"/>
      <c r="K247" s="198"/>
      <c r="L247" s="131"/>
      <c r="M247" s="142"/>
      <c r="N247" s="131"/>
      <c r="O247" s="131"/>
      <c r="P247" s="131"/>
      <c r="Q247" s="131"/>
      <c r="R247" s="131"/>
      <c r="S247" s="131"/>
      <c r="T247" s="131"/>
      <c r="U247" s="131"/>
      <c r="V247" s="131"/>
      <c r="W247" s="131"/>
      <c r="X247" s="131"/>
      <c r="Y247" s="131"/>
      <c r="Z247" s="131"/>
      <c r="AA247" s="131"/>
      <c r="AB247" s="330"/>
      <c r="AC247" s="331"/>
      <c r="AD247" s="332"/>
      <c r="AE247" s="131"/>
      <c r="AF247" s="131"/>
      <c r="AG247" s="131"/>
      <c r="AH247" s="131"/>
      <c r="AI247" s="131"/>
      <c r="AJ247" s="131"/>
      <c r="AK247" s="131"/>
      <c r="AL247" s="131"/>
      <c r="AM247" s="131"/>
      <c r="AN247" s="131"/>
      <c r="AO247" s="142"/>
      <c r="AP247" s="131"/>
    </row>
    <row r="248" ht="13.5" customHeight="1">
      <c r="A248" s="142"/>
      <c r="B248" s="142"/>
      <c r="C248" s="142"/>
      <c r="D248" s="142"/>
      <c r="E248" s="132"/>
      <c r="F248" s="131"/>
      <c r="G248" s="131"/>
      <c r="H248" s="131"/>
      <c r="I248" s="131"/>
      <c r="J248" s="219"/>
      <c r="K248" s="198"/>
      <c r="L248" s="131"/>
      <c r="M248" s="142"/>
      <c r="N248" s="131"/>
      <c r="O248" s="131"/>
      <c r="P248" s="131"/>
      <c r="Q248" s="131"/>
      <c r="R248" s="131"/>
      <c r="S248" s="131"/>
      <c r="T248" s="131"/>
      <c r="U248" s="131"/>
      <c r="V248" s="131"/>
      <c r="W248" s="131"/>
      <c r="X248" s="131"/>
      <c r="Y248" s="131"/>
      <c r="Z248" s="131"/>
      <c r="AA248" s="131"/>
      <c r="AB248" s="330"/>
      <c r="AC248" s="331"/>
      <c r="AD248" s="332"/>
      <c r="AE248" s="131"/>
      <c r="AF248" s="131"/>
      <c r="AG248" s="131"/>
      <c r="AH248" s="131"/>
      <c r="AI248" s="131"/>
      <c r="AJ248" s="131"/>
      <c r="AK248" s="131"/>
      <c r="AL248" s="131"/>
      <c r="AM248" s="131"/>
      <c r="AN248" s="131"/>
      <c r="AO248" s="142"/>
      <c r="AP248" s="131"/>
    </row>
    <row r="249" ht="13.5" customHeight="1">
      <c r="A249" s="142"/>
      <c r="B249" s="142"/>
      <c r="C249" s="142"/>
      <c r="D249" s="142"/>
      <c r="E249" s="132"/>
      <c r="F249" s="131"/>
      <c r="G249" s="131"/>
      <c r="H249" s="131"/>
      <c r="I249" s="131"/>
      <c r="J249" s="219"/>
      <c r="K249" s="198"/>
      <c r="L249" s="131"/>
      <c r="M249" s="142"/>
      <c r="N249" s="131"/>
      <c r="O249" s="131"/>
      <c r="P249" s="131"/>
      <c r="Q249" s="131"/>
      <c r="R249" s="131"/>
      <c r="S249" s="131"/>
      <c r="T249" s="131"/>
      <c r="U249" s="131"/>
      <c r="V249" s="131"/>
      <c r="W249" s="131"/>
      <c r="X249" s="131"/>
      <c r="Y249" s="131"/>
      <c r="Z249" s="131"/>
      <c r="AA249" s="131"/>
      <c r="AB249" s="330"/>
      <c r="AC249" s="331"/>
      <c r="AD249" s="332"/>
      <c r="AE249" s="131"/>
      <c r="AF249" s="131"/>
      <c r="AG249" s="131"/>
      <c r="AH249" s="131"/>
      <c r="AI249" s="131"/>
      <c r="AJ249" s="131"/>
      <c r="AK249" s="131"/>
      <c r="AL249" s="131"/>
      <c r="AM249" s="131"/>
      <c r="AN249" s="131"/>
      <c r="AO249" s="142"/>
      <c r="AP249" s="131"/>
    </row>
    <row r="250" ht="13.5" customHeight="1">
      <c r="A250" s="142"/>
      <c r="B250" s="142"/>
      <c r="C250" s="142"/>
      <c r="D250" s="142"/>
      <c r="E250" s="132"/>
      <c r="F250" s="131"/>
      <c r="G250" s="131"/>
      <c r="H250" s="131"/>
      <c r="I250" s="131"/>
      <c r="J250" s="219"/>
      <c r="K250" s="198"/>
      <c r="L250" s="131"/>
      <c r="M250" s="142"/>
      <c r="N250" s="131"/>
      <c r="O250" s="131"/>
      <c r="P250" s="131"/>
      <c r="Q250" s="131"/>
      <c r="R250" s="131"/>
      <c r="S250" s="131"/>
      <c r="T250" s="131"/>
      <c r="U250" s="131"/>
      <c r="V250" s="131"/>
      <c r="W250" s="131"/>
      <c r="X250" s="131"/>
      <c r="Y250" s="131"/>
      <c r="Z250" s="131"/>
      <c r="AA250" s="131"/>
      <c r="AB250" s="330"/>
      <c r="AC250" s="331"/>
      <c r="AD250" s="332"/>
      <c r="AE250" s="131"/>
      <c r="AF250" s="131"/>
      <c r="AG250" s="131"/>
      <c r="AH250" s="131"/>
      <c r="AI250" s="131"/>
      <c r="AJ250" s="131"/>
      <c r="AK250" s="131"/>
      <c r="AL250" s="131"/>
      <c r="AM250" s="131"/>
      <c r="AN250" s="131"/>
      <c r="AO250" s="142"/>
      <c r="AP250" s="131"/>
    </row>
    <row r="251" ht="13.5" customHeight="1">
      <c r="A251" s="142"/>
      <c r="B251" s="142"/>
      <c r="C251" s="142"/>
      <c r="D251" s="142"/>
      <c r="E251" s="132"/>
      <c r="F251" s="131"/>
      <c r="G251" s="131"/>
      <c r="H251" s="131"/>
      <c r="I251" s="131"/>
      <c r="J251" s="219"/>
      <c r="K251" s="198"/>
      <c r="L251" s="131"/>
      <c r="M251" s="142"/>
      <c r="N251" s="131"/>
      <c r="O251" s="131"/>
      <c r="P251" s="131"/>
      <c r="Q251" s="131"/>
      <c r="R251" s="131"/>
      <c r="S251" s="131"/>
      <c r="T251" s="131"/>
      <c r="U251" s="131"/>
      <c r="V251" s="131"/>
      <c r="W251" s="131"/>
      <c r="X251" s="131"/>
      <c r="Y251" s="131"/>
      <c r="Z251" s="131"/>
      <c r="AA251" s="131"/>
      <c r="AB251" s="330"/>
      <c r="AC251" s="331"/>
      <c r="AD251" s="332"/>
      <c r="AE251" s="131"/>
      <c r="AF251" s="131"/>
      <c r="AG251" s="131"/>
      <c r="AH251" s="131"/>
      <c r="AI251" s="131"/>
      <c r="AJ251" s="131"/>
      <c r="AK251" s="131"/>
      <c r="AL251" s="131"/>
      <c r="AM251" s="131"/>
      <c r="AN251" s="131"/>
      <c r="AO251" s="142"/>
      <c r="AP251" s="131"/>
    </row>
    <row r="252" ht="13.5" customHeight="1">
      <c r="A252" s="142"/>
      <c r="B252" s="142"/>
      <c r="C252" s="142"/>
      <c r="D252" s="142"/>
      <c r="E252" s="132"/>
      <c r="F252" s="131"/>
      <c r="G252" s="131"/>
      <c r="H252" s="131"/>
      <c r="I252" s="131"/>
      <c r="J252" s="219"/>
      <c r="K252" s="198"/>
      <c r="L252" s="131"/>
      <c r="M252" s="142"/>
      <c r="N252" s="131"/>
      <c r="O252" s="131"/>
      <c r="P252" s="131"/>
      <c r="Q252" s="131"/>
      <c r="R252" s="131"/>
      <c r="S252" s="131"/>
      <c r="T252" s="131"/>
      <c r="U252" s="131"/>
      <c r="V252" s="131"/>
      <c r="W252" s="131"/>
      <c r="X252" s="131"/>
      <c r="Y252" s="131"/>
      <c r="Z252" s="131"/>
      <c r="AA252" s="131"/>
      <c r="AB252" s="330"/>
      <c r="AC252" s="331"/>
      <c r="AD252" s="332"/>
      <c r="AE252" s="131"/>
      <c r="AF252" s="131"/>
      <c r="AG252" s="131"/>
      <c r="AH252" s="131"/>
      <c r="AI252" s="131"/>
      <c r="AJ252" s="131"/>
      <c r="AK252" s="131"/>
      <c r="AL252" s="131"/>
      <c r="AM252" s="131"/>
      <c r="AN252" s="131"/>
      <c r="AO252" s="142"/>
      <c r="AP252" s="131"/>
    </row>
    <row r="253" ht="13.5" customHeight="1">
      <c r="A253" s="142"/>
      <c r="B253" s="142"/>
      <c r="C253" s="142"/>
      <c r="D253" s="142"/>
      <c r="E253" s="132"/>
      <c r="F253" s="131"/>
      <c r="G253" s="131"/>
      <c r="H253" s="131"/>
      <c r="I253" s="131"/>
      <c r="J253" s="219"/>
      <c r="K253" s="198"/>
      <c r="L253" s="131"/>
      <c r="M253" s="142"/>
      <c r="N253" s="131"/>
      <c r="O253" s="131"/>
      <c r="P253" s="131"/>
      <c r="Q253" s="131"/>
      <c r="R253" s="131"/>
      <c r="S253" s="131"/>
      <c r="T253" s="131"/>
      <c r="U253" s="131"/>
      <c r="V253" s="131"/>
      <c r="W253" s="131"/>
      <c r="X253" s="131"/>
      <c r="Y253" s="131"/>
      <c r="Z253" s="131"/>
      <c r="AA253" s="131"/>
      <c r="AB253" s="330"/>
      <c r="AC253" s="331"/>
      <c r="AD253" s="332"/>
      <c r="AE253" s="131"/>
      <c r="AF253" s="131"/>
      <c r="AG253" s="131"/>
      <c r="AH253" s="131"/>
      <c r="AI253" s="131"/>
      <c r="AJ253" s="131"/>
      <c r="AK253" s="131"/>
      <c r="AL253" s="131"/>
      <c r="AM253" s="131"/>
      <c r="AN253" s="131"/>
      <c r="AO253" s="142"/>
      <c r="AP253" s="131"/>
    </row>
    <row r="254" ht="13.5" customHeight="1">
      <c r="A254" s="142"/>
      <c r="B254" s="142"/>
      <c r="C254" s="142"/>
      <c r="D254" s="142"/>
      <c r="E254" s="132"/>
      <c r="F254" s="131"/>
      <c r="G254" s="131"/>
      <c r="H254" s="131"/>
      <c r="I254" s="131"/>
      <c r="J254" s="219"/>
      <c r="K254" s="198"/>
      <c r="L254" s="131"/>
      <c r="M254" s="142"/>
      <c r="N254" s="131"/>
      <c r="O254" s="131"/>
      <c r="P254" s="131"/>
      <c r="Q254" s="131"/>
      <c r="R254" s="131"/>
      <c r="S254" s="131"/>
      <c r="T254" s="131"/>
      <c r="U254" s="131"/>
      <c r="V254" s="131"/>
      <c r="W254" s="131"/>
      <c r="X254" s="131"/>
      <c r="Y254" s="131"/>
      <c r="Z254" s="131"/>
      <c r="AA254" s="131"/>
      <c r="AB254" s="330"/>
      <c r="AC254" s="331"/>
      <c r="AD254" s="332"/>
      <c r="AE254" s="131"/>
      <c r="AF254" s="131"/>
      <c r="AG254" s="131"/>
      <c r="AH254" s="131"/>
      <c r="AI254" s="131"/>
      <c r="AJ254" s="131"/>
      <c r="AK254" s="131"/>
      <c r="AL254" s="131"/>
      <c r="AM254" s="131"/>
      <c r="AN254" s="131"/>
      <c r="AO254" s="142"/>
      <c r="AP254" s="131"/>
    </row>
    <row r="255" ht="13.5" customHeight="1">
      <c r="A255" s="142"/>
      <c r="B255" s="142"/>
      <c r="C255" s="142"/>
      <c r="D255" s="142"/>
      <c r="E255" s="132"/>
      <c r="F255" s="131"/>
      <c r="G255" s="131"/>
      <c r="H255" s="131"/>
      <c r="I255" s="131"/>
      <c r="J255" s="219"/>
      <c r="K255" s="198"/>
      <c r="L255" s="131"/>
      <c r="M255" s="142"/>
      <c r="N255" s="131"/>
      <c r="O255" s="131"/>
      <c r="P255" s="131"/>
      <c r="Q255" s="131"/>
      <c r="R255" s="131"/>
      <c r="S255" s="131"/>
      <c r="T255" s="131"/>
      <c r="U255" s="131"/>
      <c r="V255" s="131"/>
      <c r="W255" s="131"/>
      <c r="X255" s="131"/>
      <c r="Y255" s="131"/>
      <c r="Z255" s="131"/>
      <c r="AA255" s="131"/>
      <c r="AB255" s="330"/>
      <c r="AC255" s="331"/>
      <c r="AD255" s="332"/>
      <c r="AE255" s="131"/>
      <c r="AF255" s="131"/>
      <c r="AG255" s="131"/>
      <c r="AH255" s="131"/>
      <c r="AI255" s="131"/>
      <c r="AJ255" s="131"/>
      <c r="AK255" s="131"/>
      <c r="AL255" s="131"/>
      <c r="AM255" s="131"/>
      <c r="AN255" s="131"/>
      <c r="AO255" s="142"/>
      <c r="AP255" s="131"/>
    </row>
    <row r="256" ht="13.5" customHeight="1">
      <c r="A256" s="142"/>
      <c r="B256" s="142"/>
      <c r="C256" s="142"/>
      <c r="D256" s="142"/>
      <c r="E256" s="132"/>
      <c r="F256" s="131"/>
      <c r="G256" s="131"/>
      <c r="H256" s="131"/>
      <c r="I256" s="131"/>
      <c r="J256" s="219"/>
      <c r="K256" s="198"/>
      <c r="L256" s="131"/>
      <c r="M256" s="142"/>
      <c r="N256" s="131"/>
      <c r="O256" s="131"/>
      <c r="P256" s="131"/>
      <c r="Q256" s="131"/>
      <c r="R256" s="131"/>
      <c r="S256" s="131"/>
      <c r="T256" s="131"/>
      <c r="U256" s="131"/>
      <c r="V256" s="131"/>
      <c r="W256" s="131"/>
      <c r="X256" s="131"/>
      <c r="Y256" s="131"/>
      <c r="Z256" s="131"/>
      <c r="AA256" s="131"/>
      <c r="AB256" s="330"/>
      <c r="AC256" s="331"/>
      <c r="AD256" s="332"/>
      <c r="AE256" s="131"/>
      <c r="AF256" s="131"/>
      <c r="AG256" s="131"/>
      <c r="AH256" s="131"/>
      <c r="AI256" s="131"/>
      <c r="AJ256" s="131"/>
      <c r="AK256" s="131"/>
      <c r="AL256" s="131"/>
      <c r="AM256" s="131"/>
      <c r="AN256" s="131"/>
      <c r="AO256" s="142"/>
      <c r="AP256" s="131"/>
    </row>
    <row r="257" ht="13.5" customHeight="1">
      <c r="A257" s="142"/>
      <c r="B257" s="142"/>
      <c r="C257" s="142"/>
      <c r="D257" s="142"/>
      <c r="E257" s="132"/>
      <c r="F257" s="131"/>
      <c r="G257" s="131"/>
      <c r="H257" s="131"/>
      <c r="I257" s="131"/>
      <c r="J257" s="219"/>
      <c r="K257" s="198"/>
      <c r="L257" s="131"/>
      <c r="M257" s="142"/>
      <c r="N257" s="131"/>
      <c r="O257" s="131"/>
      <c r="P257" s="131"/>
      <c r="Q257" s="131"/>
      <c r="R257" s="131"/>
      <c r="S257" s="131"/>
      <c r="T257" s="131"/>
      <c r="U257" s="131"/>
      <c r="V257" s="131"/>
      <c r="W257" s="131"/>
      <c r="X257" s="131"/>
      <c r="Y257" s="131"/>
      <c r="Z257" s="131"/>
      <c r="AA257" s="131"/>
      <c r="AB257" s="330"/>
      <c r="AC257" s="331"/>
      <c r="AD257" s="332"/>
      <c r="AE257" s="131"/>
      <c r="AF257" s="131"/>
      <c r="AG257" s="131"/>
      <c r="AH257" s="131"/>
      <c r="AI257" s="131"/>
      <c r="AJ257" s="131"/>
      <c r="AK257" s="131"/>
      <c r="AL257" s="131"/>
      <c r="AM257" s="131"/>
      <c r="AN257" s="131"/>
      <c r="AO257" s="142"/>
      <c r="AP257" s="131"/>
    </row>
    <row r="258" ht="13.5" customHeight="1">
      <c r="A258" s="142"/>
      <c r="B258" s="142"/>
      <c r="C258" s="142"/>
      <c r="D258" s="142"/>
      <c r="E258" s="132"/>
      <c r="F258" s="131"/>
      <c r="G258" s="131"/>
      <c r="H258" s="131"/>
      <c r="I258" s="131"/>
      <c r="J258" s="219"/>
      <c r="K258" s="198"/>
      <c r="L258" s="131"/>
      <c r="M258" s="142"/>
      <c r="N258" s="131"/>
      <c r="O258" s="131"/>
      <c r="P258" s="131"/>
      <c r="Q258" s="131"/>
      <c r="R258" s="131"/>
      <c r="S258" s="131"/>
      <c r="T258" s="131"/>
      <c r="U258" s="131"/>
      <c r="V258" s="131"/>
      <c r="W258" s="131"/>
      <c r="X258" s="131"/>
      <c r="Y258" s="131"/>
      <c r="Z258" s="131"/>
      <c r="AA258" s="131"/>
      <c r="AB258" s="330"/>
      <c r="AC258" s="331"/>
      <c r="AD258" s="332"/>
      <c r="AE258" s="131"/>
      <c r="AF258" s="131"/>
      <c r="AG258" s="131"/>
      <c r="AH258" s="131"/>
      <c r="AI258" s="131"/>
      <c r="AJ258" s="131"/>
      <c r="AK258" s="131"/>
      <c r="AL258" s="131"/>
      <c r="AM258" s="131"/>
      <c r="AN258" s="131"/>
      <c r="AO258" s="142"/>
      <c r="AP258" s="131"/>
    </row>
    <row r="259" ht="13.5" customHeight="1">
      <c r="A259" s="142"/>
      <c r="B259" s="142"/>
      <c r="C259" s="142"/>
      <c r="D259" s="142"/>
      <c r="E259" s="132"/>
      <c r="F259" s="131"/>
      <c r="G259" s="131"/>
      <c r="H259" s="131"/>
      <c r="I259" s="131"/>
      <c r="J259" s="219"/>
      <c r="K259" s="198"/>
      <c r="L259" s="131"/>
      <c r="M259" s="142"/>
      <c r="N259" s="131"/>
      <c r="O259" s="131"/>
      <c r="P259" s="131"/>
      <c r="Q259" s="131"/>
      <c r="R259" s="131"/>
      <c r="S259" s="131"/>
      <c r="T259" s="131"/>
      <c r="U259" s="131"/>
      <c r="V259" s="131"/>
      <c r="W259" s="131"/>
      <c r="X259" s="131"/>
      <c r="Y259" s="131"/>
      <c r="Z259" s="131"/>
      <c r="AA259" s="131"/>
      <c r="AB259" s="330"/>
      <c r="AC259" s="331"/>
      <c r="AD259" s="332"/>
      <c r="AE259" s="131"/>
      <c r="AF259" s="131"/>
      <c r="AG259" s="131"/>
      <c r="AH259" s="131"/>
      <c r="AI259" s="131"/>
      <c r="AJ259" s="131"/>
      <c r="AK259" s="131"/>
      <c r="AL259" s="131"/>
      <c r="AM259" s="131"/>
      <c r="AN259" s="131"/>
      <c r="AO259" s="142"/>
      <c r="AP259" s="131"/>
    </row>
    <row r="260" ht="13.5" customHeight="1">
      <c r="A260" s="142"/>
      <c r="B260" s="142"/>
      <c r="C260" s="142"/>
      <c r="D260" s="142"/>
      <c r="E260" s="132"/>
      <c r="F260" s="131"/>
      <c r="G260" s="131"/>
      <c r="H260" s="131"/>
      <c r="I260" s="131"/>
      <c r="J260" s="219"/>
      <c r="K260" s="198"/>
      <c r="L260" s="131"/>
      <c r="M260" s="142"/>
      <c r="N260" s="131"/>
      <c r="O260" s="131"/>
      <c r="P260" s="131"/>
      <c r="Q260" s="131"/>
      <c r="R260" s="131"/>
      <c r="S260" s="131"/>
      <c r="T260" s="131"/>
      <c r="U260" s="131"/>
      <c r="V260" s="131"/>
      <c r="W260" s="131"/>
      <c r="X260" s="131"/>
      <c r="Y260" s="131"/>
      <c r="Z260" s="131"/>
      <c r="AA260" s="131"/>
      <c r="AB260" s="330"/>
      <c r="AC260" s="331"/>
      <c r="AD260" s="332"/>
      <c r="AE260" s="131"/>
      <c r="AF260" s="131"/>
      <c r="AG260" s="131"/>
      <c r="AH260" s="131"/>
      <c r="AI260" s="131"/>
      <c r="AJ260" s="131"/>
      <c r="AK260" s="131"/>
      <c r="AL260" s="131"/>
      <c r="AM260" s="131"/>
      <c r="AN260" s="131"/>
      <c r="AO260" s="142"/>
      <c r="AP260" s="131"/>
    </row>
    <row r="261" ht="13.5" customHeight="1">
      <c r="A261" s="142"/>
      <c r="B261" s="142"/>
      <c r="C261" s="142"/>
      <c r="D261" s="142"/>
      <c r="E261" s="132"/>
      <c r="F261" s="131"/>
      <c r="G261" s="131"/>
      <c r="H261" s="131"/>
      <c r="I261" s="131"/>
      <c r="J261" s="219"/>
      <c r="K261" s="198"/>
      <c r="L261" s="131"/>
      <c r="M261" s="142"/>
      <c r="N261" s="131"/>
      <c r="O261" s="131"/>
      <c r="P261" s="131"/>
      <c r="Q261" s="131"/>
      <c r="R261" s="131"/>
      <c r="S261" s="131"/>
      <c r="T261" s="131"/>
      <c r="U261" s="131"/>
      <c r="V261" s="131"/>
      <c r="W261" s="131"/>
      <c r="X261" s="131"/>
      <c r="Y261" s="131"/>
      <c r="Z261" s="131"/>
      <c r="AA261" s="131"/>
      <c r="AB261" s="330"/>
      <c r="AC261" s="331"/>
      <c r="AD261" s="332"/>
      <c r="AE261" s="131"/>
      <c r="AF261" s="131"/>
      <c r="AG261" s="131"/>
      <c r="AH261" s="131"/>
      <c r="AI261" s="131"/>
      <c r="AJ261" s="131"/>
      <c r="AK261" s="131"/>
      <c r="AL261" s="131"/>
      <c r="AM261" s="131"/>
      <c r="AN261" s="131"/>
      <c r="AO261" s="142"/>
      <c r="AP261" s="131"/>
    </row>
    <row r="262" ht="13.5" customHeight="1">
      <c r="A262" s="142"/>
      <c r="B262" s="142"/>
      <c r="C262" s="142"/>
      <c r="D262" s="142"/>
      <c r="E262" s="132"/>
      <c r="F262" s="131"/>
      <c r="G262" s="131"/>
      <c r="H262" s="131"/>
      <c r="I262" s="131"/>
      <c r="J262" s="219"/>
      <c r="K262" s="198"/>
      <c r="L262" s="131"/>
      <c r="M262" s="142"/>
      <c r="N262" s="131"/>
      <c r="O262" s="131"/>
      <c r="P262" s="131"/>
      <c r="Q262" s="131"/>
      <c r="R262" s="131"/>
      <c r="S262" s="131"/>
      <c r="T262" s="131"/>
      <c r="U262" s="131"/>
      <c r="V262" s="131"/>
      <c r="W262" s="131"/>
      <c r="X262" s="131"/>
      <c r="Y262" s="131"/>
      <c r="Z262" s="131"/>
      <c r="AA262" s="131"/>
      <c r="AB262" s="330"/>
      <c r="AC262" s="331"/>
      <c r="AD262" s="332"/>
      <c r="AE262" s="131"/>
      <c r="AF262" s="131"/>
      <c r="AG262" s="131"/>
      <c r="AH262" s="131"/>
      <c r="AI262" s="131"/>
      <c r="AJ262" s="131"/>
      <c r="AK262" s="131"/>
      <c r="AL262" s="131"/>
      <c r="AM262" s="131"/>
      <c r="AN262" s="131"/>
      <c r="AO262" s="142"/>
      <c r="AP262" s="131"/>
    </row>
    <row r="263" ht="13.5" customHeight="1">
      <c r="A263" s="142"/>
      <c r="B263" s="142"/>
      <c r="C263" s="142"/>
      <c r="D263" s="142"/>
      <c r="E263" s="132"/>
      <c r="F263" s="131"/>
      <c r="G263" s="131"/>
      <c r="H263" s="131"/>
      <c r="I263" s="131"/>
      <c r="J263" s="219"/>
      <c r="K263" s="198"/>
      <c r="L263" s="131"/>
      <c r="M263" s="142"/>
      <c r="N263" s="131"/>
      <c r="O263" s="131"/>
      <c r="P263" s="131"/>
      <c r="Q263" s="131"/>
      <c r="R263" s="131"/>
      <c r="S263" s="131"/>
      <c r="T263" s="131"/>
      <c r="U263" s="131"/>
      <c r="V263" s="131"/>
      <c r="W263" s="131"/>
      <c r="X263" s="131"/>
      <c r="Y263" s="131"/>
      <c r="Z263" s="131"/>
      <c r="AA263" s="131"/>
      <c r="AB263" s="330"/>
      <c r="AC263" s="331"/>
      <c r="AD263" s="332"/>
      <c r="AE263" s="131"/>
      <c r="AF263" s="131"/>
      <c r="AG263" s="131"/>
      <c r="AH263" s="131"/>
      <c r="AI263" s="131"/>
      <c r="AJ263" s="131"/>
      <c r="AK263" s="131"/>
      <c r="AL263" s="131"/>
      <c r="AM263" s="131"/>
      <c r="AN263" s="131"/>
      <c r="AO263" s="142"/>
      <c r="AP263" s="131"/>
    </row>
    <row r="264" ht="13.5" customHeight="1">
      <c r="A264" s="142"/>
      <c r="B264" s="142"/>
      <c r="C264" s="142"/>
      <c r="D264" s="142"/>
      <c r="E264" s="132"/>
      <c r="F264" s="131"/>
      <c r="G264" s="131"/>
      <c r="H264" s="131"/>
      <c r="I264" s="131"/>
      <c r="J264" s="219"/>
      <c r="K264" s="198"/>
      <c r="L264" s="131"/>
      <c r="M264" s="142"/>
      <c r="N264" s="131"/>
      <c r="O264" s="131"/>
      <c r="P264" s="131"/>
      <c r="Q264" s="131"/>
      <c r="R264" s="131"/>
      <c r="S264" s="131"/>
      <c r="T264" s="131"/>
      <c r="U264" s="131"/>
      <c r="V264" s="131"/>
      <c r="W264" s="131"/>
      <c r="X264" s="131"/>
      <c r="Y264" s="131"/>
      <c r="Z264" s="131"/>
      <c r="AA264" s="131"/>
      <c r="AB264" s="330"/>
      <c r="AC264" s="331"/>
      <c r="AD264" s="332"/>
      <c r="AE264" s="131"/>
      <c r="AF264" s="131"/>
      <c r="AG264" s="131"/>
      <c r="AH264" s="131"/>
      <c r="AI264" s="131"/>
      <c r="AJ264" s="131"/>
      <c r="AK264" s="131"/>
      <c r="AL264" s="131"/>
      <c r="AM264" s="131"/>
      <c r="AN264" s="131"/>
      <c r="AO264" s="142"/>
      <c r="AP264" s="131"/>
    </row>
    <row r="265" ht="13.5" customHeight="1">
      <c r="A265" s="142"/>
      <c r="B265" s="142"/>
      <c r="C265" s="142"/>
      <c r="D265" s="142"/>
      <c r="E265" s="132"/>
      <c r="F265" s="131"/>
      <c r="G265" s="131"/>
      <c r="H265" s="131"/>
      <c r="I265" s="131"/>
      <c r="J265" s="219"/>
      <c r="K265" s="198"/>
      <c r="L265" s="131"/>
      <c r="M265" s="142"/>
      <c r="N265" s="131"/>
      <c r="O265" s="131"/>
      <c r="P265" s="131"/>
      <c r="Q265" s="131"/>
      <c r="R265" s="131"/>
      <c r="S265" s="131"/>
      <c r="T265" s="131"/>
      <c r="U265" s="131"/>
      <c r="V265" s="131"/>
      <c r="W265" s="131"/>
      <c r="X265" s="131"/>
      <c r="Y265" s="131"/>
      <c r="Z265" s="131"/>
      <c r="AA265" s="131"/>
      <c r="AB265" s="330"/>
      <c r="AC265" s="331"/>
      <c r="AD265" s="332"/>
      <c r="AE265" s="131"/>
      <c r="AF265" s="131"/>
      <c r="AG265" s="131"/>
      <c r="AH265" s="131"/>
      <c r="AI265" s="131"/>
      <c r="AJ265" s="131"/>
      <c r="AK265" s="131"/>
      <c r="AL265" s="131"/>
      <c r="AM265" s="131"/>
      <c r="AN265" s="131"/>
      <c r="AO265" s="142"/>
      <c r="AP265" s="131"/>
    </row>
    <row r="266" ht="13.5" customHeight="1">
      <c r="A266" s="142"/>
      <c r="B266" s="142"/>
      <c r="C266" s="142"/>
      <c r="D266" s="142"/>
      <c r="E266" s="132"/>
      <c r="F266" s="131"/>
      <c r="G266" s="131"/>
      <c r="H266" s="131"/>
      <c r="I266" s="131"/>
      <c r="J266" s="219"/>
      <c r="K266" s="198"/>
      <c r="L266" s="131"/>
      <c r="M266" s="142"/>
      <c r="N266" s="131"/>
      <c r="O266" s="131"/>
      <c r="P266" s="131"/>
      <c r="Q266" s="131"/>
      <c r="R266" s="131"/>
      <c r="S266" s="131"/>
      <c r="T266" s="131"/>
      <c r="U266" s="131"/>
      <c r="V266" s="131"/>
      <c r="W266" s="131"/>
      <c r="X266" s="131"/>
      <c r="Y266" s="131"/>
      <c r="Z266" s="131"/>
      <c r="AA266" s="131"/>
      <c r="AB266" s="330"/>
      <c r="AC266" s="331"/>
      <c r="AD266" s="332"/>
      <c r="AE266" s="131"/>
      <c r="AF266" s="131"/>
      <c r="AG266" s="131"/>
      <c r="AH266" s="131"/>
      <c r="AI266" s="131"/>
      <c r="AJ266" s="131"/>
      <c r="AK266" s="131"/>
      <c r="AL266" s="131"/>
      <c r="AM266" s="131"/>
      <c r="AN266" s="131"/>
      <c r="AO266" s="142"/>
      <c r="AP266" s="131"/>
    </row>
    <row r="267" ht="13.5" customHeight="1">
      <c r="A267" s="142"/>
      <c r="B267" s="142"/>
      <c r="C267" s="142"/>
      <c r="D267" s="142"/>
      <c r="E267" s="132"/>
      <c r="F267" s="131"/>
      <c r="G267" s="131"/>
      <c r="H267" s="131"/>
      <c r="I267" s="131"/>
      <c r="J267" s="219"/>
      <c r="K267" s="198"/>
      <c r="L267" s="131"/>
      <c r="M267" s="142"/>
      <c r="N267" s="131"/>
      <c r="O267" s="131"/>
      <c r="P267" s="131"/>
      <c r="Q267" s="131"/>
      <c r="R267" s="131"/>
      <c r="S267" s="131"/>
      <c r="T267" s="131"/>
      <c r="U267" s="131"/>
      <c r="V267" s="131"/>
      <c r="W267" s="131"/>
      <c r="X267" s="131"/>
      <c r="Y267" s="131"/>
      <c r="Z267" s="131"/>
      <c r="AA267" s="131"/>
      <c r="AB267" s="330"/>
      <c r="AC267" s="331"/>
      <c r="AD267" s="332"/>
      <c r="AE267" s="131"/>
      <c r="AF267" s="131"/>
      <c r="AG267" s="131"/>
      <c r="AH267" s="131"/>
      <c r="AI267" s="131"/>
      <c r="AJ267" s="131"/>
      <c r="AK267" s="131"/>
      <c r="AL267" s="131"/>
      <c r="AM267" s="131"/>
      <c r="AN267" s="131"/>
      <c r="AO267" s="142"/>
      <c r="AP267" s="131"/>
    </row>
    <row r="268" ht="13.5" customHeight="1">
      <c r="A268" s="142"/>
      <c r="B268" s="142"/>
      <c r="C268" s="142"/>
      <c r="D268" s="142"/>
      <c r="E268" s="132"/>
      <c r="F268" s="131"/>
      <c r="G268" s="131"/>
      <c r="H268" s="131"/>
      <c r="I268" s="131"/>
      <c r="J268" s="219"/>
      <c r="K268" s="198"/>
      <c r="L268" s="131"/>
      <c r="M268" s="142"/>
      <c r="N268" s="131"/>
      <c r="O268" s="131"/>
      <c r="P268" s="131"/>
      <c r="Q268" s="131"/>
      <c r="R268" s="131"/>
      <c r="S268" s="131"/>
      <c r="T268" s="131"/>
      <c r="U268" s="131"/>
      <c r="V268" s="131"/>
      <c r="W268" s="131"/>
      <c r="X268" s="131"/>
      <c r="Y268" s="131"/>
      <c r="Z268" s="131"/>
      <c r="AA268" s="131"/>
      <c r="AB268" s="330"/>
      <c r="AC268" s="331"/>
      <c r="AD268" s="332"/>
      <c r="AE268" s="131"/>
      <c r="AF268" s="131"/>
      <c r="AG268" s="131"/>
      <c r="AH268" s="131"/>
      <c r="AI268" s="131"/>
      <c r="AJ268" s="131"/>
      <c r="AK268" s="131"/>
      <c r="AL268" s="131"/>
      <c r="AM268" s="131"/>
      <c r="AN268" s="131"/>
      <c r="AO268" s="142"/>
      <c r="AP268" s="131"/>
    </row>
    <row r="269" ht="13.5" customHeight="1">
      <c r="A269" s="142"/>
      <c r="B269" s="142"/>
      <c r="C269" s="142"/>
      <c r="D269" s="142"/>
      <c r="E269" s="132"/>
      <c r="F269" s="131"/>
      <c r="G269" s="131"/>
      <c r="H269" s="131"/>
      <c r="I269" s="131"/>
      <c r="J269" s="219"/>
      <c r="K269" s="198"/>
      <c r="L269" s="131"/>
      <c r="M269" s="142"/>
      <c r="N269" s="131"/>
      <c r="O269" s="131"/>
      <c r="P269" s="131"/>
      <c r="Q269" s="131"/>
      <c r="R269" s="131"/>
      <c r="S269" s="131"/>
      <c r="T269" s="131"/>
      <c r="U269" s="131"/>
      <c r="V269" s="131"/>
      <c r="W269" s="131"/>
      <c r="X269" s="131"/>
      <c r="Y269" s="131"/>
      <c r="Z269" s="131"/>
      <c r="AA269" s="131"/>
      <c r="AB269" s="330"/>
      <c r="AC269" s="331"/>
      <c r="AD269" s="332"/>
      <c r="AE269" s="131"/>
      <c r="AF269" s="131"/>
      <c r="AG269" s="131"/>
      <c r="AH269" s="131"/>
      <c r="AI269" s="131"/>
      <c r="AJ269" s="131"/>
      <c r="AK269" s="131"/>
      <c r="AL269" s="131"/>
      <c r="AM269" s="131"/>
      <c r="AN269" s="131"/>
      <c r="AO269" s="142"/>
      <c r="AP269" s="131"/>
    </row>
    <row r="270" ht="13.5" customHeight="1">
      <c r="A270" s="142"/>
      <c r="B270" s="142"/>
      <c r="C270" s="142"/>
      <c r="D270" s="142"/>
      <c r="E270" s="132"/>
      <c r="F270" s="131"/>
      <c r="G270" s="131"/>
      <c r="H270" s="131"/>
      <c r="I270" s="131"/>
      <c r="J270" s="219"/>
      <c r="K270" s="198"/>
      <c r="L270" s="131"/>
      <c r="M270" s="142"/>
      <c r="N270" s="131"/>
      <c r="O270" s="131"/>
      <c r="P270" s="131"/>
      <c r="Q270" s="131"/>
      <c r="R270" s="131"/>
      <c r="S270" s="131"/>
      <c r="T270" s="131"/>
      <c r="U270" s="131"/>
      <c r="V270" s="131"/>
      <c r="W270" s="131"/>
      <c r="X270" s="131"/>
      <c r="Y270" s="131"/>
      <c r="Z270" s="131"/>
      <c r="AA270" s="131"/>
      <c r="AB270" s="330"/>
      <c r="AC270" s="331"/>
      <c r="AD270" s="332"/>
      <c r="AE270" s="131"/>
      <c r="AF270" s="131"/>
      <c r="AG270" s="131"/>
      <c r="AH270" s="131"/>
      <c r="AI270" s="131"/>
      <c r="AJ270" s="131"/>
      <c r="AK270" s="131"/>
      <c r="AL270" s="131"/>
      <c r="AM270" s="131"/>
      <c r="AN270" s="131"/>
      <c r="AO270" s="142"/>
      <c r="AP270" s="131"/>
    </row>
    <row r="271" ht="13.5" customHeight="1">
      <c r="A271" s="142"/>
      <c r="B271" s="142"/>
      <c r="C271" s="142"/>
      <c r="D271" s="142"/>
      <c r="E271" s="132"/>
      <c r="F271" s="131"/>
      <c r="G271" s="131"/>
      <c r="H271" s="131"/>
      <c r="I271" s="131"/>
      <c r="J271" s="219"/>
      <c r="K271" s="198"/>
      <c r="L271" s="131"/>
      <c r="M271" s="142"/>
      <c r="N271" s="131"/>
      <c r="O271" s="131"/>
      <c r="P271" s="131"/>
      <c r="Q271" s="131"/>
      <c r="R271" s="131"/>
      <c r="S271" s="131"/>
      <c r="T271" s="131"/>
      <c r="U271" s="131"/>
      <c r="V271" s="131"/>
      <c r="W271" s="131"/>
      <c r="X271" s="131"/>
      <c r="Y271" s="131"/>
      <c r="Z271" s="131"/>
      <c r="AA271" s="131"/>
      <c r="AB271" s="330"/>
      <c r="AC271" s="331"/>
      <c r="AD271" s="332"/>
      <c r="AE271" s="131"/>
      <c r="AF271" s="131"/>
      <c r="AG271" s="131"/>
      <c r="AH271" s="131"/>
      <c r="AI271" s="131"/>
      <c r="AJ271" s="131"/>
      <c r="AK271" s="131"/>
      <c r="AL271" s="131"/>
      <c r="AM271" s="131"/>
      <c r="AN271" s="131"/>
      <c r="AO271" s="142"/>
      <c r="AP271" s="131"/>
    </row>
    <row r="272" ht="13.5" customHeight="1">
      <c r="A272" s="142"/>
      <c r="B272" s="142"/>
      <c r="C272" s="142"/>
      <c r="D272" s="142"/>
      <c r="E272" s="132"/>
      <c r="F272" s="131"/>
      <c r="G272" s="131"/>
      <c r="H272" s="131"/>
      <c r="I272" s="131"/>
      <c r="J272" s="219"/>
      <c r="K272" s="198"/>
      <c r="L272" s="131"/>
      <c r="M272" s="142"/>
      <c r="N272" s="131"/>
      <c r="O272" s="131"/>
      <c r="P272" s="131"/>
      <c r="Q272" s="131"/>
      <c r="R272" s="131"/>
      <c r="S272" s="131"/>
      <c r="T272" s="131"/>
      <c r="U272" s="131"/>
      <c r="V272" s="131"/>
      <c r="W272" s="131"/>
      <c r="X272" s="131"/>
      <c r="Y272" s="131"/>
      <c r="Z272" s="131"/>
      <c r="AA272" s="131"/>
      <c r="AB272" s="330"/>
      <c r="AC272" s="331"/>
      <c r="AD272" s="332"/>
      <c r="AE272" s="131"/>
      <c r="AF272" s="131"/>
      <c r="AG272" s="131"/>
      <c r="AH272" s="131"/>
      <c r="AI272" s="131"/>
      <c r="AJ272" s="131"/>
      <c r="AK272" s="131"/>
      <c r="AL272" s="131"/>
      <c r="AM272" s="131"/>
      <c r="AN272" s="131"/>
      <c r="AO272" s="142"/>
      <c r="AP272" s="131"/>
    </row>
    <row r="273" ht="13.5" customHeight="1">
      <c r="A273" s="142"/>
      <c r="B273" s="142"/>
      <c r="C273" s="142"/>
      <c r="D273" s="142"/>
      <c r="E273" s="132"/>
      <c r="F273" s="131"/>
      <c r="G273" s="131"/>
      <c r="H273" s="131"/>
      <c r="I273" s="131"/>
      <c r="J273" s="219"/>
      <c r="K273" s="198"/>
      <c r="L273" s="131"/>
      <c r="M273" s="142"/>
      <c r="N273" s="131"/>
      <c r="O273" s="131"/>
      <c r="P273" s="131"/>
      <c r="Q273" s="131"/>
      <c r="R273" s="131"/>
      <c r="S273" s="131"/>
      <c r="T273" s="131"/>
      <c r="U273" s="131"/>
      <c r="V273" s="131"/>
      <c r="W273" s="131"/>
      <c r="X273" s="131"/>
      <c r="Y273" s="131"/>
      <c r="Z273" s="131"/>
      <c r="AA273" s="131"/>
      <c r="AB273" s="330"/>
      <c r="AC273" s="331"/>
      <c r="AD273" s="332"/>
      <c r="AE273" s="131"/>
      <c r="AF273" s="131"/>
      <c r="AG273" s="131"/>
      <c r="AH273" s="131"/>
      <c r="AI273" s="131"/>
      <c r="AJ273" s="131"/>
      <c r="AK273" s="131"/>
      <c r="AL273" s="131"/>
      <c r="AM273" s="131"/>
      <c r="AN273" s="131"/>
      <c r="AO273" s="142"/>
      <c r="AP273" s="131"/>
    </row>
    <row r="274" ht="13.5" customHeight="1">
      <c r="A274" s="142"/>
      <c r="B274" s="142"/>
      <c r="C274" s="142"/>
      <c r="D274" s="142"/>
      <c r="E274" s="132"/>
      <c r="F274" s="131"/>
      <c r="G274" s="131"/>
      <c r="H274" s="131"/>
      <c r="I274" s="131"/>
      <c r="J274" s="219"/>
      <c r="K274" s="198"/>
      <c r="L274" s="131"/>
      <c r="M274" s="142"/>
      <c r="N274" s="131"/>
      <c r="O274" s="131"/>
      <c r="P274" s="131"/>
      <c r="Q274" s="131"/>
      <c r="R274" s="131"/>
      <c r="S274" s="131"/>
      <c r="T274" s="131"/>
      <c r="U274" s="131"/>
      <c r="V274" s="131"/>
      <c r="W274" s="131"/>
      <c r="X274" s="131"/>
      <c r="Y274" s="131"/>
      <c r="Z274" s="131"/>
      <c r="AA274" s="131"/>
      <c r="AB274" s="330"/>
      <c r="AC274" s="331"/>
      <c r="AD274" s="332"/>
      <c r="AE274" s="131"/>
      <c r="AF274" s="131"/>
      <c r="AG274" s="131"/>
      <c r="AH274" s="131"/>
      <c r="AI274" s="131"/>
      <c r="AJ274" s="131"/>
      <c r="AK274" s="131"/>
      <c r="AL274" s="131"/>
      <c r="AM274" s="131"/>
      <c r="AN274" s="131"/>
      <c r="AO274" s="142"/>
      <c r="AP274" s="131"/>
    </row>
    <row r="275" ht="13.5" customHeight="1">
      <c r="A275" s="142"/>
      <c r="B275" s="142"/>
      <c r="C275" s="142"/>
      <c r="D275" s="142"/>
      <c r="E275" s="132"/>
      <c r="F275" s="131"/>
      <c r="G275" s="131"/>
      <c r="H275" s="131"/>
      <c r="I275" s="131"/>
      <c r="J275" s="219"/>
      <c r="K275" s="198"/>
      <c r="L275" s="131"/>
      <c r="M275" s="142"/>
      <c r="N275" s="131"/>
      <c r="O275" s="131"/>
      <c r="P275" s="131"/>
      <c r="Q275" s="131"/>
      <c r="R275" s="131"/>
      <c r="S275" s="131"/>
      <c r="T275" s="131"/>
      <c r="U275" s="131"/>
      <c r="V275" s="131"/>
      <c r="W275" s="131"/>
      <c r="X275" s="131"/>
      <c r="Y275" s="131"/>
      <c r="Z275" s="131"/>
      <c r="AA275" s="131"/>
      <c r="AB275" s="330"/>
      <c r="AC275" s="331"/>
      <c r="AD275" s="332"/>
      <c r="AE275" s="131"/>
      <c r="AF275" s="131"/>
      <c r="AG275" s="131"/>
      <c r="AH275" s="131"/>
      <c r="AI275" s="131"/>
      <c r="AJ275" s="131"/>
      <c r="AK275" s="131"/>
      <c r="AL275" s="131"/>
      <c r="AM275" s="131"/>
      <c r="AN275" s="131"/>
      <c r="AO275" s="142"/>
      <c r="AP275" s="131"/>
    </row>
    <row r="276" ht="13.5" customHeight="1">
      <c r="A276" s="142"/>
      <c r="B276" s="142"/>
      <c r="C276" s="142"/>
      <c r="D276" s="142"/>
      <c r="E276" s="132"/>
      <c r="F276" s="131"/>
      <c r="G276" s="131"/>
      <c r="H276" s="131"/>
      <c r="I276" s="131"/>
      <c r="J276" s="219"/>
      <c r="K276" s="198"/>
      <c r="L276" s="131"/>
      <c r="M276" s="142"/>
      <c r="N276" s="131"/>
      <c r="O276" s="131"/>
      <c r="P276" s="131"/>
      <c r="Q276" s="131"/>
      <c r="R276" s="131"/>
      <c r="S276" s="131"/>
      <c r="T276" s="131"/>
      <c r="U276" s="131"/>
      <c r="V276" s="131"/>
      <c r="W276" s="131"/>
      <c r="X276" s="131"/>
      <c r="Y276" s="131"/>
      <c r="Z276" s="131"/>
      <c r="AA276" s="131"/>
      <c r="AB276" s="330"/>
      <c r="AC276" s="331"/>
      <c r="AD276" s="332"/>
      <c r="AE276" s="131"/>
      <c r="AF276" s="131"/>
      <c r="AG276" s="131"/>
      <c r="AH276" s="131"/>
      <c r="AI276" s="131"/>
      <c r="AJ276" s="131"/>
      <c r="AK276" s="131"/>
      <c r="AL276" s="131"/>
      <c r="AM276" s="131"/>
      <c r="AN276" s="131"/>
      <c r="AO276" s="142"/>
      <c r="AP276" s="131"/>
    </row>
    <row r="277" ht="13.5" customHeight="1">
      <c r="A277" s="142"/>
      <c r="B277" s="142"/>
      <c r="C277" s="142"/>
      <c r="D277" s="142"/>
      <c r="E277" s="132"/>
      <c r="F277" s="131"/>
      <c r="G277" s="131"/>
      <c r="H277" s="131"/>
      <c r="I277" s="131"/>
      <c r="J277" s="219"/>
      <c r="K277" s="198"/>
      <c r="L277" s="131"/>
      <c r="M277" s="142"/>
      <c r="N277" s="131"/>
      <c r="O277" s="131"/>
      <c r="P277" s="131"/>
      <c r="Q277" s="131"/>
      <c r="R277" s="131"/>
      <c r="S277" s="131"/>
      <c r="T277" s="131"/>
      <c r="U277" s="131"/>
      <c r="V277" s="131"/>
      <c r="W277" s="131"/>
      <c r="X277" s="131"/>
      <c r="Y277" s="131"/>
      <c r="Z277" s="131"/>
      <c r="AA277" s="131"/>
      <c r="AB277" s="330"/>
      <c r="AC277" s="331"/>
      <c r="AD277" s="332"/>
      <c r="AE277" s="131"/>
      <c r="AF277" s="131"/>
      <c r="AG277" s="131"/>
      <c r="AH277" s="131"/>
      <c r="AI277" s="131"/>
      <c r="AJ277" s="131"/>
      <c r="AK277" s="131"/>
      <c r="AL277" s="131"/>
      <c r="AM277" s="131"/>
      <c r="AN277" s="131"/>
      <c r="AO277" s="142"/>
      <c r="AP277" s="131"/>
    </row>
    <row r="278" ht="13.5" customHeight="1">
      <c r="A278" s="142"/>
      <c r="B278" s="142"/>
      <c r="C278" s="142"/>
      <c r="D278" s="142"/>
      <c r="E278" s="132"/>
      <c r="F278" s="131"/>
      <c r="G278" s="131"/>
      <c r="H278" s="131"/>
      <c r="I278" s="131"/>
      <c r="J278" s="219"/>
      <c r="K278" s="198"/>
      <c r="L278" s="131"/>
      <c r="M278" s="142"/>
      <c r="N278" s="131"/>
      <c r="O278" s="131"/>
      <c r="P278" s="131"/>
      <c r="Q278" s="131"/>
      <c r="R278" s="131"/>
      <c r="S278" s="131"/>
      <c r="T278" s="131"/>
      <c r="U278" s="131"/>
      <c r="V278" s="131"/>
      <c r="W278" s="131"/>
      <c r="X278" s="131"/>
      <c r="Y278" s="131"/>
      <c r="Z278" s="131"/>
      <c r="AA278" s="131"/>
      <c r="AB278" s="330"/>
      <c r="AC278" s="331"/>
      <c r="AD278" s="332"/>
      <c r="AE278" s="131"/>
      <c r="AF278" s="131"/>
      <c r="AG278" s="131"/>
      <c r="AH278" s="131"/>
      <c r="AI278" s="131"/>
      <c r="AJ278" s="131"/>
      <c r="AK278" s="131"/>
      <c r="AL278" s="131"/>
      <c r="AM278" s="131"/>
      <c r="AN278" s="131"/>
      <c r="AO278" s="142"/>
      <c r="AP278" s="131"/>
    </row>
    <row r="279" ht="13.5" customHeight="1">
      <c r="A279" s="142"/>
      <c r="B279" s="142"/>
      <c r="C279" s="142"/>
      <c r="D279" s="142"/>
      <c r="E279" s="132"/>
      <c r="F279" s="131"/>
      <c r="G279" s="131"/>
      <c r="H279" s="131"/>
      <c r="I279" s="131"/>
      <c r="J279" s="219"/>
      <c r="K279" s="198"/>
      <c r="L279" s="131"/>
      <c r="M279" s="142"/>
      <c r="N279" s="131"/>
      <c r="O279" s="131"/>
      <c r="P279" s="131"/>
      <c r="Q279" s="131"/>
      <c r="R279" s="131"/>
      <c r="S279" s="131"/>
      <c r="T279" s="131"/>
      <c r="U279" s="131"/>
      <c r="V279" s="131"/>
      <c r="W279" s="131"/>
      <c r="X279" s="131"/>
      <c r="Y279" s="131"/>
      <c r="Z279" s="131"/>
      <c r="AA279" s="131"/>
      <c r="AB279" s="330"/>
      <c r="AC279" s="331"/>
      <c r="AD279" s="332"/>
      <c r="AE279" s="131"/>
      <c r="AF279" s="131"/>
      <c r="AG279" s="131"/>
      <c r="AH279" s="131"/>
      <c r="AI279" s="131"/>
      <c r="AJ279" s="131"/>
      <c r="AK279" s="131"/>
      <c r="AL279" s="131"/>
      <c r="AM279" s="131"/>
      <c r="AN279" s="131"/>
      <c r="AO279" s="142"/>
      <c r="AP279" s="131"/>
    </row>
    <row r="280" ht="13.5" customHeight="1">
      <c r="A280" s="142"/>
      <c r="B280" s="142"/>
      <c r="C280" s="142"/>
      <c r="D280" s="142"/>
      <c r="E280" s="132"/>
      <c r="F280" s="131"/>
      <c r="G280" s="131"/>
      <c r="H280" s="131"/>
      <c r="I280" s="131"/>
      <c r="J280" s="219"/>
      <c r="K280" s="198"/>
      <c r="L280" s="131"/>
      <c r="M280" s="142"/>
      <c r="N280" s="131"/>
      <c r="O280" s="131"/>
      <c r="P280" s="131"/>
      <c r="Q280" s="131"/>
      <c r="R280" s="131"/>
      <c r="S280" s="131"/>
      <c r="T280" s="131"/>
      <c r="U280" s="131"/>
      <c r="V280" s="131"/>
      <c r="W280" s="131"/>
      <c r="X280" s="131"/>
      <c r="Y280" s="131"/>
      <c r="Z280" s="131"/>
      <c r="AA280" s="131"/>
      <c r="AB280" s="330"/>
      <c r="AC280" s="331"/>
      <c r="AD280" s="332"/>
      <c r="AE280" s="131"/>
      <c r="AF280" s="131"/>
      <c r="AG280" s="131"/>
      <c r="AH280" s="131"/>
      <c r="AI280" s="131"/>
      <c r="AJ280" s="131"/>
      <c r="AK280" s="131"/>
      <c r="AL280" s="131"/>
      <c r="AM280" s="131"/>
      <c r="AN280" s="131"/>
      <c r="AO280" s="142"/>
      <c r="AP280" s="131"/>
    </row>
    <row r="281" ht="13.5" customHeight="1">
      <c r="A281" s="142"/>
      <c r="B281" s="142"/>
      <c r="C281" s="142"/>
      <c r="D281" s="142"/>
      <c r="E281" s="132"/>
      <c r="F281" s="131"/>
      <c r="G281" s="131"/>
      <c r="H281" s="131"/>
      <c r="I281" s="131"/>
      <c r="J281" s="219"/>
      <c r="K281" s="198"/>
      <c r="L281" s="131"/>
      <c r="M281" s="142"/>
      <c r="N281" s="131"/>
      <c r="O281" s="131"/>
      <c r="P281" s="131"/>
      <c r="Q281" s="131"/>
      <c r="R281" s="131"/>
      <c r="S281" s="131"/>
      <c r="T281" s="131"/>
      <c r="U281" s="131"/>
      <c r="V281" s="131"/>
      <c r="W281" s="131"/>
      <c r="X281" s="131"/>
      <c r="Y281" s="131"/>
      <c r="Z281" s="131"/>
      <c r="AA281" s="131"/>
      <c r="AB281" s="330"/>
      <c r="AC281" s="331"/>
      <c r="AD281" s="332"/>
      <c r="AE281" s="131"/>
      <c r="AF281" s="131"/>
      <c r="AG281" s="131"/>
      <c r="AH281" s="131"/>
      <c r="AI281" s="131"/>
      <c r="AJ281" s="131"/>
      <c r="AK281" s="131"/>
      <c r="AL281" s="131"/>
      <c r="AM281" s="131"/>
      <c r="AN281" s="131"/>
      <c r="AO281" s="142"/>
      <c r="AP281" s="131"/>
    </row>
    <row r="282" ht="13.5" customHeight="1">
      <c r="A282" s="142"/>
      <c r="B282" s="142"/>
      <c r="C282" s="142"/>
      <c r="D282" s="142"/>
      <c r="E282" s="132"/>
      <c r="F282" s="131"/>
      <c r="G282" s="131"/>
      <c r="H282" s="131"/>
      <c r="I282" s="131"/>
      <c r="J282" s="219"/>
      <c r="K282" s="198"/>
      <c r="L282" s="131"/>
      <c r="M282" s="142"/>
      <c r="N282" s="131"/>
      <c r="O282" s="131"/>
      <c r="P282" s="131"/>
      <c r="Q282" s="131"/>
      <c r="R282" s="131"/>
      <c r="S282" s="131"/>
      <c r="T282" s="131"/>
      <c r="U282" s="131"/>
      <c r="V282" s="131"/>
      <c r="W282" s="131"/>
      <c r="X282" s="131"/>
      <c r="Y282" s="131"/>
      <c r="Z282" s="131"/>
      <c r="AA282" s="131"/>
      <c r="AB282" s="330"/>
      <c r="AC282" s="331"/>
      <c r="AD282" s="332"/>
      <c r="AE282" s="131"/>
      <c r="AF282" s="131"/>
      <c r="AG282" s="131"/>
      <c r="AH282" s="131"/>
      <c r="AI282" s="131"/>
      <c r="AJ282" s="131"/>
      <c r="AK282" s="131"/>
      <c r="AL282" s="131"/>
      <c r="AM282" s="131"/>
      <c r="AN282" s="131"/>
      <c r="AO282" s="142"/>
      <c r="AP282" s="131"/>
    </row>
    <row r="283" ht="13.5" customHeight="1">
      <c r="A283" s="142"/>
      <c r="B283" s="142"/>
      <c r="C283" s="142"/>
      <c r="D283" s="142"/>
      <c r="E283" s="132"/>
      <c r="F283" s="131"/>
      <c r="G283" s="131"/>
      <c r="H283" s="131"/>
      <c r="I283" s="131"/>
      <c r="J283" s="219"/>
      <c r="K283" s="198"/>
      <c r="L283" s="131"/>
      <c r="M283" s="142"/>
      <c r="N283" s="131"/>
      <c r="O283" s="131"/>
      <c r="P283" s="131"/>
      <c r="Q283" s="131"/>
      <c r="R283" s="131"/>
      <c r="S283" s="131"/>
      <c r="T283" s="131"/>
      <c r="U283" s="131"/>
      <c r="V283" s="131"/>
      <c r="W283" s="131"/>
      <c r="X283" s="131"/>
      <c r="Y283" s="131"/>
      <c r="Z283" s="131"/>
      <c r="AA283" s="131"/>
      <c r="AB283" s="330"/>
      <c r="AC283" s="331"/>
      <c r="AD283" s="332"/>
      <c r="AE283" s="131"/>
      <c r="AF283" s="131"/>
      <c r="AG283" s="131"/>
      <c r="AH283" s="131"/>
      <c r="AI283" s="131"/>
      <c r="AJ283" s="131"/>
      <c r="AK283" s="131"/>
      <c r="AL283" s="131"/>
      <c r="AM283" s="131"/>
      <c r="AN283" s="131"/>
      <c r="AO283" s="142"/>
      <c r="AP283" s="131"/>
    </row>
    <row r="284" ht="13.5" customHeight="1">
      <c r="A284" s="142"/>
      <c r="B284" s="142"/>
      <c r="C284" s="142"/>
      <c r="D284" s="142"/>
      <c r="E284" s="132"/>
      <c r="F284" s="131"/>
      <c r="G284" s="131"/>
      <c r="H284" s="131"/>
      <c r="I284" s="131"/>
      <c r="J284" s="219"/>
      <c r="K284" s="198"/>
      <c r="L284" s="131"/>
      <c r="M284" s="142"/>
      <c r="N284" s="131"/>
      <c r="O284" s="131"/>
      <c r="P284" s="131"/>
      <c r="Q284" s="131"/>
      <c r="R284" s="131"/>
      <c r="S284" s="131"/>
      <c r="T284" s="131"/>
      <c r="U284" s="131"/>
      <c r="V284" s="131"/>
      <c r="W284" s="131"/>
      <c r="X284" s="131"/>
      <c r="Y284" s="131"/>
      <c r="Z284" s="131"/>
      <c r="AA284" s="131"/>
      <c r="AB284" s="330"/>
      <c r="AC284" s="331"/>
      <c r="AD284" s="332"/>
      <c r="AE284" s="131"/>
      <c r="AF284" s="131"/>
      <c r="AG284" s="131"/>
      <c r="AH284" s="131"/>
      <c r="AI284" s="131"/>
      <c r="AJ284" s="131"/>
      <c r="AK284" s="131"/>
      <c r="AL284" s="131"/>
      <c r="AM284" s="131"/>
      <c r="AN284" s="131"/>
      <c r="AO284" s="142"/>
      <c r="AP284" s="131"/>
    </row>
    <row r="285" ht="13.5" customHeight="1">
      <c r="A285" s="142"/>
      <c r="B285" s="142"/>
      <c r="C285" s="142"/>
      <c r="D285" s="142"/>
      <c r="E285" s="132"/>
      <c r="F285" s="131"/>
      <c r="G285" s="131"/>
      <c r="H285" s="131"/>
      <c r="I285" s="131"/>
      <c r="J285" s="219"/>
      <c r="K285" s="198"/>
      <c r="L285" s="131"/>
      <c r="M285" s="142"/>
      <c r="N285" s="131"/>
      <c r="O285" s="131"/>
      <c r="P285" s="131"/>
      <c r="Q285" s="131"/>
      <c r="R285" s="131"/>
      <c r="S285" s="131"/>
      <c r="T285" s="131"/>
      <c r="U285" s="131"/>
      <c r="V285" s="131"/>
      <c r="W285" s="131"/>
      <c r="X285" s="131"/>
      <c r="Y285" s="131"/>
      <c r="Z285" s="131"/>
      <c r="AA285" s="131"/>
      <c r="AB285" s="330"/>
      <c r="AC285" s="331"/>
      <c r="AD285" s="332"/>
      <c r="AE285" s="131"/>
      <c r="AF285" s="131"/>
      <c r="AG285" s="131"/>
      <c r="AH285" s="131"/>
      <c r="AI285" s="131"/>
      <c r="AJ285" s="131"/>
      <c r="AK285" s="131"/>
      <c r="AL285" s="131"/>
      <c r="AM285" s="131"/>
      <c r="AN285" s="131"/>
      <c r="AO285" s="142"/>
      <c r="AP285" s="131"/>
    </row>
    <row r="286" ht="13.5" customHeight="1">
      <c r="A286" s="142"/>
      <c r="B286" s="142"/>
      <c r="C286" s="142"/>
      <c r="D286" s="142"/>
      <c r="E286" s="132"/>
      <c r="F286" s="131"/>
      <c r="G286" s="131"/>
      <c r="H286" s="131"/>
      <c r="I286" s="131"/>
      <c r="J286" s="219"/>
      <c r="K286" s="198"/>
      <c r="L286" s="131"/>
      <c r="M286" s="142"/>
      <c r="N286" s="131"/>
      <c r="O286" s="131"/>
      <c r="P286" s="131"/>
      <c r="Q286" s="131"/>
      <c r="R286" s="131"/>
      <c r="S286" s="131"/>
      <c r="T286" s="131"/>
      <c r="U286" s="131"/>
      <c r="V286" s="131"/>
      <c r="W286" s="131"/>
      <c r="X286" s="131"/>
      <c r="Y286" s="131"/>
      <c r="Z286" s="131"/>
      <c r="AA286" s="131"/>
      <c r="AB286" s="330"/>
      <c r="AC286" s="331"/>
      <c r="AD286" s="332"/>
      <c r="AE286" s="131"/>
      <c r="AF286" s="131"/>
      <c r="AG286" s="131"/>
      <c r="AH286" s="131"/>
      <c r="AI286" s="131"/>
      <c r="AJ286" s="131"/>
      <c r="AK286" s="131"/>
      <c r="AL286" s="131"/>
      <c r="AM286" s="131"/>
      <c r="AN286" s="131"/>
      <c r="AO286" s="142"/>
      <c r="AP286" s="131"/>
    </row>
    <row r="287" ht="13.5" customHeight="1">
      <c r="A287" s="142"/>
      <c r="B287" s="142"/>
      <c r="C287" s="142"/>
      <c r="D287" s="142"/>
      <c r="E287" s="132"/>
      <c r="F287" s="131"/>
      <c r="G287" s="131"/>
      <c r="H287" s="131"/>
      <c r="I287" s="131"/>
      <c r="J287" s="219"/>
      <c r="K287" s="198"/>
      <c r="L287" s="131"/>
      <c r="M287" s="142"/>
      <c r="N287" s="131"/>
      <c r="O287" s="131"/>
      <c r="P287" s="131"/>
      <c r="Q287" s="131"/>
      <c r="R287" s="131"/>
      <c r="S287" s="131"/>
      <c r="T287" s="131"/>
      <c r="U287" s="131"/>
      <c r="V287" s="131"/>
      <c r="W287" s="131"/>
      <c r="X287" s="131"/>
      <c r="Y287" s="131"/>
      <c r="Z287" s="131"/>
      <c r="AA287" s="131"/>
      <c r="AB287" s="330"/>
      <c r="AC287" s="331"/>
      <c r="AD287" s="332"/>
      <c r="AE287" s="131"/>
      <c r="AF287" s="131"/>
      <c r="AG287" s="131"/>
      <c r="AH287" s="131"/>
      <c r="AI287" s="131"/>
      <c r="AJ287" s="131"/>
      <c r="AK287" s="131"/>
      <c r="AL287" s="131"/>
      <c r="AM287" s="131"/>
      <c r="AN287" s="131"/>
      <c r="AO287" s="142"/>
      <c r="AP287" s="131"/>
    </row>
    <row r="288" ht="13.5" customHeight="1">
      <c r="A288" s="142"/>
      <c r="B288" s="142"/>
      <c r="C288" s="142"/>
      <c r="D288" s="142"/>
      <c r="E288" s="132"/>
      <c r="F288" s="131"/>
      <c r="G288" s="131"/>
      <c r="H288" s="131"/>
      <c r="I288" s="131"/>
      <c r="J288" s="219"/>
      <c r="K288" s="198"/>
      <c r="L288" s="131"/>
      <c r="M288" s="142"/>
      <c r="N288" s="131"/>
      <c r="O288" s="131"/>
      <c r="P288" s="131"/>
      <c r="Q288" s="131"/>
      <c r="R288" s="131"/>
      <c r="S288" s="131"/>
      <c r="T288" s="131"/>
      <c r="U288" s="131"/>
      <c r="V288" s="131"/>
      <c r="W288" s="131"/>
      <c r="X288" s="131"/>
      <c r="Y288" s="131"/>
      <c r="Z288" s="131"/>
      <c r="AA288" s="131"/>
      <c r="AB288" s="330"/>
      <c r="AC288" s="331"/>
      <c r="AD288" s="332"/>
      <c r="AE288" s="131"/>
      <c r="AF288" s="131"/>
      <c r="AG288" s="131"/>
      <c r="AH288" s="131"/>
      <c r="AI288" s="131"/>
      <c r="AJ288" s="131"/>
      <c r="AK288" s="131"/>
      <c r="AL288" s="131"/>
      <c r="AM288" s="131"/>
      <c r="AN288" s="131"/>
      <c r="AO288" s="142"/>
      <c r="AP288" s="131"/>
    </row>
    <row r="289" ht="13.5" customHeight="1">
      <c r="A289" s="142"/>
      <c r="B289" s="142"/>
      <c r="C289" s="142"/>
      <c r="D289" s="142"/>
      <c r="E289" s="132"/>
      <c r="F289" s="131"/>
      <c r="G289" s="131"/>
      <c r="H289" s="131"/>
      <c r="I289" s="131"/>
      <c r="J289" s="219"/>
      <c r="K289" s="198"/>
      <c r="L289" s="131"/>
      <c r="M289" s="142"/>
      <c r="N289" s="131"/>
      <c r="O289" s="131"/>
      <c r="P289" s="131"/>
      <c r="Q289" s="131"/>
      <c r="R289" s="131"/>
      <c r="S289" s="131"/>
      <c r="T289" s="131"/>
      <c r="U289" s="131"/>
      <c r="V289" s="131"/>
      <c r="W289" s="131"/>
      <c r="X289" s="131"/>
      <c r="Y289" s="131"/>
      <c r="Z289" s="131"/>
      <c r="AA289" s="131"/>
      <c r="AB289" s="330"/>
      <c r="AC289" s="331"/>
      <c r="AD289" s="332"/>
      <c r="AE289" s="131"/>
      <c r="AF289" s="131"/>
      <c r="AG289" s="131"/>
      <c r="AH289" s="131"/>
      <c r="AI289" s="131"/>
      <c r="AJ289" s="131"/>
      <c r="AK289" s="131"/>
      <c r="AL289" s="131"/>
      <c r="AM289" s="131"/>
      <c r="AN289" s="131"/>
      <c r="AO289" s="142"/>
      <c r="AP289" s="131"/>
    </row>
    <row r="290" ht="13.5" customHeight="1">
      <c r="A290" s="142"/>
      <c r="B290" s="142"/>
      <c r="C290" s="142"/>
      <c r="D290" s="142"/>
      <c r="E290" s="132"/>
      <c r="F290" s="131"/>
      <c r="G290" s="131"/>
      <c r="H290" s="131"/>
      <c r="I290" s="131"/>
      <c r="J290" s="219"/>
      <c r="K290" s="198"/>
      <c r="L290" s="131"/>
      <c r="M290" s="142"/>
      <c r="N290" s="131"/>
      <c r="O290" s="131"/>
      <c r="P290" s="131"/>
      <c r="Q290" s="131"/>
      <c r="R290" s="131"/>
      <c r="S290" s="131"/>
      <c r="T290" s="131"/>
      <c r="U290" s="131"/>
      <c r="V290" s="131"/>
      <c r="W290" s="131"/>
      <c r="X290" s="131"/>
      <c r="Y290" s="131"/>
      <c r="Z290" s="131"/>
      <c r="AA290" s="131"/>
      <c r="AB290" s="330"/>
      <c r="AC290" s="331"/>
      <c r="AD290" s="332"/>
      <c r="AE290" s="131"/>
      <c r="AF290" s="131"/>
      <c r="AG290" s="131"/>
      <c r="AH290" s="131"/>
      <c r="AI290" s="131"/>
      <c r="AJ290" s="131"/>
      <c r="AK290" s="131"/>
      <c r="AL290" s="131"/>
      <c r="AM290" s="131"/>
      <c r="AN290" s="131"/>
      <c r="AO290" s="142"/>
      <c r="AP290" s="131"/>
    </row>
    <row r="291" ht="13.5" customHeight="1">
      <c r="A291" s="142"/>
      <c r="B291" s="142"/>
      <c r="C291" s="142"/>
      <c r="D291" s="142"/>
      <c r="E291" s="132"/>
      <c r="F291" s="131"/>
      <c r="G291" s="131"/>
      <c r="H291" s="131"/>
      <c r="I291" s="131"/>
      <c r="J291" s="219"/>
      <c r="K291" s="198"/>
      <c r="L291" s="131"/>
      <c r="M291" s="142"/>
      <c r="N291" s="131"/>
      <c r="O291" s="131"/>
      <c r="P291" s="131"/>
      <c r="Q291" s="131"/>
      <c r="R291" s="131"/>
      <c r="S291" s="131"/>
      <c r="T291" s="131"/>
      <c r="U291" s="131"/>
      <c r="V291" s="131"/>
      <c r="W291" s="131"/>
      <c r="X291" s="131"/>
      <c r="Y291" s="131"/>
      <c r="Z291" s="131"/>
      <c r="AA291" s="131"/>
      <c r="AB291" s="330"/>
      <c r="AC291" s="331"/>
      <c r="AD291" s="332"/>
      <c r="AE291" s="131"/>
      <c r="AF291" s="131"/>
      <c r="AG291" s="131"/>
      <c r="AH291" s="131"/>
      <c r="AI291" s="131"/>
      <c r="AJ291" s="131"/>
      <c r="AK291" s="131"/>
      <c r="AL291" s="131"/>
      <c r="AM291" s="131"/>
      <c r="AN291" s="131"/>
      <c r="AO291" s="142"/>
      <c r="AP291" s="131"/>
    </row>
    <row r="292" ht="13.5" customHeight="1">
      <c r="A292" s="142"/>
      <c r="B292" s="142"/>
      <c r="C292" s="142"/>
      <c r="D292" s="142"/>
      <c r="E292" s="132"/>
      <c r="F292" s="131"/>
      <c r="G292" s="131"/>
      <c r="H292" s="131"/>
      <c r="I292" s="131"/>
      <c r="J292" s="219"/>
      <c r="K292" s="198"/>
      <c r="L292" s="131"/>
      <c r="M292" s="142"/>
      <c r="N292" s="131"/>
      <c r="O292" s="131"/>
      <c r="P292" s="131"/>
      <c r="Q292" s="131"/>
      <c r="R292" s="131"/>
      <c r="S292" s="131"/>
      <c r="T292" s="131"/>
      <c r="U292" s="131"/>
      <c r="V292" s="131"/>
      <c r="W292" s="131"/>
      <c r="X292" s="131"/>
      <c r="Y292" s="131"/>
      <c r="Z292" s="131"/>
      <c r="AA292" s="131"/>
      <c r="AB292" s="330"/>
      <c r="AC292" s="331"/>
      <c r="AD292" s="332"/>
      <c r="AE292" s="131"/>
      <c r="AF292" s="131"/>
      <c r="AG292" s="131"/>
      <c r="AH292" s="131"/>
      <c r="AI292" s="131"/>
      <c r="AJ292" s="131"/>
      <c r="AK292" s="131"/>
      <c r="AL292" s="131"/>
      <c r="AM292" s="131"/>
      <c r="AN292" s="131"/>
      <c r="AO292" s="142"/>
      <c r="AP292" s="131"/>
    </row>
    <row r="293" ht="13.5" customHeight="1">
      <c r="A293" s="142"/>
      <c r="B293" s="142"/>
      <c r="C293" s="142"/>
      <c r="D293" s="142"/>
      <c r="E293" s="132"/>
      <c r="F293" s="131"/>
      <c r="G293" s="131"/>
      <c r="H293" s="131"/>
      <c r="I293" s="131"/>
      <c r="J293" s="219"/>
      <c r="K293" s="198"/>
      <c r="L293" s="131"/>
      <c r="M293" s="142"/>
      <c r="N293" s="131"/>
      <c r="O293" s="131"/>
      <c r="P293" s="131"/>
      <c r="Q293" s="131"/>
      <c r="R293" s="131"/>
      <c r="S293" s="131"/>
      <c r="T293" s="131"/>
      <c r="U293" s="131"/>
      <c r="V293" s="131"/>
      <c r="W293" s="131"/>
      <c r="X293" s="131"/>
      <c r="Y293" s="131"/>
      <c r="Z293" s="131"/>
      <c r="AA293" s="131"/>
      <c r="AB293" s="330"/>
      <c r="AC293" s="331"/>
      <c r="AD293" s="332"/>
      <c r="AE293" s="131"/>
      <c r="AF293" s="131"/>
      <c r="AG293" s="131"/>
      <c r="AH293" s="131"/>
      <c r="AI293" s="131"/>
      <c r="AJ293" s="131"/>
      <c r="AK293" s="131"/>
      <c r="AL293" s="131"/>
      <c r="AM293" s="131"/>
      <c r="AN293" s="131"/>
      <c r="AO293" s="142"/>
      <c r="AP293" s="131"/>
    </row>
    <row r="294" ht="13.5" customHeight="1">
      <c r="A294" s="142"/>
      <c r="B294" s="142"/>
      <c r="C294" s="142"/>
      <c r="D294" s="142"/>
      <c r="E294" s="132"/>
      <c r="F294" s="131"/>
      <c r="G294" s="131"/>
      <c r="H294" s="131"/>
      <c r="I294" s="131"/>
      <c r="J294" s="219"/>
      <c r="K294" s="198"/>
      <c r="L294" s="131"/>
      <c r="M294" s="142"/>
      <c r="N294" s="131"/>
      <c r="O294" s="131"/>
      <c r="P294" s="131"/>
      <c r="Q294" s="131"/>
      <c r="R294" s="131"/>
      <c r="S294" s="131"/>
      <c r="T294" s="131"/>
      <c r="U294" s="131"/>
      <c r="V294" s="131"/>
      <c r="W294" s="131"/>
      <c r="X294" s="131"/>
      <c r="Y294" s="131"/>
      <c r="Z294" s="131"/>
      <c r="AA294" s="131"/>
      <c r="AB294" s="330"/>
      <c r="AC294" s="331"/>
      <c r="AD294" s="332"/>
      <c r="AE294" s="131"/>
      <c r="AF294" s="131"/>
      <c r="AG294" s="131"/>
      <c r="AH294" s="131"/>
      <c r="AI294" s="131"/>
      <c r="AJ294" s="131"/>
      <c r="AK294" s="131"/>
      <c r="AL294" s="131"/>
      <c r="AM294" s="131"/>
      <c r="AN294" s="131"/>
      <c r="AO294" s="142"/>
      <c r="AP294" s="131"/>
    </row>
    <row r="295" ht="13.5" customHeight="1">
      <c r="A295" s="142"/>
      <c r="B295" s="142"/>
      <c r="C295" s="142"/>
      <c r="D295" s="142"/>
      <c r="E295" s="132"/>
      <c r="F295" s="131"/>
      <c r="G295" s="131"/>
      <c r="H295" s="131"/>
      <c r="I295" s="131"/>
      <c r="J295" s="219"/>
      <c r="K295" s="198"/>
      <c r="L295" s="131"/>
      <c r="M295" s="142"/>
      <c r="N295" s="131"/>
      <c r="O295" s="131"/>
      <c r="P295" s="131"/>
      <c r="Q295" s="131"/>
      <c r="R295" s="131"/>
      <c r="S295" s="131"/>
      <c r="T295" s="131"/>
      <c r="U295" s="131"/>
      <c r="V295" s="131"/>
      <c r="W295" s="131"/>
      <c r="X295" s="131"/>
      <c r="Y295" s="131"/>
      <c r="Z295" s="131"/>
      <c r="AA295" s="131"/>
      <c r="AB295" s="330"/>
      <c r="AC295" s="331"/>
      <c r="AD295" s="332"/>
      <c r="AE295" s="131"/>
      <c r="AF295" s="131"/>
      <c r="AG295" s="131"/>
      <c r="AH295" s="131"/>
      <c r="AI295" s="131"/>
      <c r="AJ295" s="131"/>
      <c r="AK295" s="131"/>
      <c r="AL295" s="131"/>
      <c r="AM295" s="131"/>
      <c r="AN295" s="131"/>
      <c r="AO295" s="142"/>
      <c r="AP295" s="131"/>
    </row>
    <row r="296" ht="13.5" customHeight="1">
      <c r="A296" s="142"/>
      <c r="B296" s="142"/>
      <c r="C296" s="142"/>
      <c r="D296" s="142"/>
      <c r="E296" s="132"/>
      <c r="F296" s="131"/>
      <c r="G296" s="131"/>
      <c r="H296" s="131"/>
      <c r="I296" s="131"/>
      <c r="J296" s="219"/>
      <c r="K296" s="198"/>
      <c r="L296" s="131"/>
      <c r="M296" s="142"/>
      <c r="N296" s="131"/>
      <c r="O296" s="131"/>
      <c r="P296" s="131"/>
      <c r="Q296" s="131"/>
      <c r="R296" s="131"/>
      <c r="S296" s="131"/>
      <c r="T296" s="131"/>
      <c r="U296" s="131"/>
      <c r="V296" s="131"/>
      <c r="W296" s="131"/>
      <c r="X296" s="131"/>
      <c r="Y296" s="131"/>
      <c r="Z296" s="131"/>
      <c r="AA296" s="131"/>
      <c r="AB296" s="330"/>
      <c r="AC296" s="331"/>
      <c r="AD296" s="332"/>
      <c r="AE296" s="131"/>
      <c r="AF296" s="131"/>
      <c r="AG296" s="131"/>
      <c r="AH296" s="131"/>
      <c r="AI296" s="131"/>
      <c r="AJ296" s="131"/>
      <c r="AK296" s="131"/>
      <c r="AL296" s="131"/>
      <c r="AM296" s="131"/>
      <c r="AN296" s="131"/>
      <c r="AO296" s="142"/>
      <c r="AP296" s="131"/>
    </row>
    <row r="297" ht="13.5" customHeight="1">
      <c r="A297" s="142"/>
      <c r="B297" s="142"/>
      <c r="C297" s="142"/>
      <c r="D297" s="142"/>
      <c r="E297" s="132"/>
      <c r="F297" s="131"/>
      <c r="G297" s="131"/>
      <c r="H297" s="131"/>
      <c r="I297" s="131"/>
      <c r="J297" s="219"/>
      <c r="K297" s="198"/>
      <c r="L297" s="131"/>
      <c r="M297" s="142"/>
      <c r="N297" s="131"/>
      <c r="O297" s="131"/>
      <c r="P297" s="131"/>
      <c r="Q297" s="131"/>
      <c r="R297" s="131"/>
      <c r="S297" s="131"/>
      <c r="T297" s="131"/>
      <c r="U297" s="131"/>
      <c r="V297" s="131"/>
      <c r="W297" s="131"/>
      <c r="X297" s="131"/>
      <c r="Y297" s="131"/>
      <c r="Z297" s="131"/>
      <c r="AA297" s="131"/>
      <c r="AB297" s="330"/>
      <c r="AC297" s="331"/>
      <c r="AD297" s="332"/>
      <c r="AE297" s="131"/>
      <c r="AF297" s="131"/>
      <c r="AG297" s="131"/>
      <c r="AH297" s="131"/>
      <c r="AI297" s="131"/>
      <c r="AJ297" s="131"/>
      <c r="AK297" s="131"/>
      <c r="AL297" s="131"/>
      <c r="AM297" s="131"/>
      <c r="AN297" s="131"/>
      <c r="AO297" s="142"/>
      <c r="AP297" s="131"/>
    </row>
    <row r="298" ht="13.5" customHeight="1">
      <c r="A298" s="142"/>
      <c r="B298" s="142"/>
      <c r="C298" s="142"/>
      <c r="D298" s="142"/>
      <c r="E298" s="132"/>
      <c r="F298" s="131"/>
      <c r="G298" s="131"/>
      <c r="H298" s="131"/>
      <c r="I298" s="131"/>
      <c r="J298" s="219"/>
      <c r="K298" s="198"/>
      <c r="L298" s="131"/>
      <c r="M298" s="142"/>
      <c r="N298" s="131"/>
      <c r="O298" s="131"/>
      <c r="P298" s="131"/>
      <c r="Q298" s="131"/>
      <c r="R298" s="131"/>
      <c r="S298" s="131"/>
      <c r="T298" s="131"/>
      <c r="U298" s="131"/>
      <c r="V298" s="131"/>
      <c r="W298" s="131"/>
      <c r="X298" s="131"/>
      <c r="Y298" s="131"/>
      <c r="Z298" s="131"/>
      <c r="AA298" s="131"/>
      <c r="AB298" s="330"/>
      <c r="AC298" s="331"/>
      <c r="AD298" s="332"/>
      <c r="AE298" s="131"/>
      <c r="AF298" s="131"/>
      <c r="AG298" s="131"/>
      <c r="AH298" s="131"/>
      <c r="AI298" s="131"/>
      <c r="AJ298" s="131"/>
      <c r="AK298" s="131"/>
      <c r="AL298" s="131"/>
      <c r="AM298" s="131"/>
      <c r="AN298" s="131"/>
      <c r="AO298" s="142"/>
      <c r="AP298" s="131"/>
    </row>
    <row r="299" ht="13.5" customHeight="1">
      <c r="A299" s="142"/>
      <c r="B299" s="142"/>
      <c r="C299" s="142"/>
      <c r="D299" s="142"/>
      <c r="E299" s="132"/>
      <c r="F299" s="131"/>
      <c r="G299" s="131"/>
      <c r="H299" s="131"/>
      <c r="I299" s="131"/>
      <c r="J299" s="219"/>
      <c r="K299" s="198"/>
      <c r="L299" s="131"/>
      <c r="M299" s="142"/>
      <c r="N299" s="131"/>
      <c r="O299" s="131"/>
      <c r="P299" s="131"/>
      <c r="Q299" s="131"/>
      <c r="R299" s="131"/>
      <c r="S299" s="131"/>
      <c r="T299" s="131"/>
      <c r="U299" s="131"/>
      <c r="V299" s="131"/>
      <c r="W299" s="131"/>
      <c r="X299" s="131"/>
      <c r="Y299" s="131"/>
      <c r="Z299" s="131"/>
      <c r="AA299" s="131"/>
      <c r="AB299" s="330"/>
      <c r="AC299" s="331"/>
      <c r="AD299" s="332"/>
      <c r="AE299" s="131"/>
      <c r="AF299" s="131"/>
      <c r="AG299" s="131"/>
      <c r="AH299" s="131"/>
      <c r="AI299" s="131"/>
      <c r="AJ299" s="131"/>
      <c r="AK299" s="131"/>
      <c r="AL299" s="131"/>
      <c r="AM299" s="131"/>
      <c r="AN299" s="131"/>
      <c r="AO299" s="142"/>
      <c r="AP299" s="131"/>
    </row>
    <row r="300" ht="13.5" customHeight="1">
      <c r="A300" s="142"/>
      <c r="B300" s="142"/>
      <c r="C300" s="142"/>
      <c r="D300" s="142"/>
      <c r="E300" s="132"/>
      <c r="F300" s="131"/>
      <c r="G300" s="131"/>
      <c r="H300" s="131"/>
      <c r="I300" s="131"/>
      <c r="J300" s="219"/>
      <c r="K300" s="198"/>
      <c r="L300" s="131"/>
      <c r="M300" s="142"/>
      <c r="N300" s="131"/>
      <c r="O300" s="131"/>
      <c r="P300" s="131"/>
      <c r="Q300" s="131"/>
      <c r="R300" s="131"/>
      <c r="S300" s="131"/>
      <c r="T300" s="131"/>
      <c r="U300" s="131"/>
      <c r="V300" s="131"/>
      <c r="W300" s="131"/>
      <c r="X300" s="131"/>
      <c r="Y300" s="131"/>
      <c r="Z300" s="131"/>
      <c r="AA300" s="131"/>
      <c r="AB300" s="330"/>
      <c r="AC300" s="331"/>
      <c r="AD300" s="332"/>
      <c r="AE300" s="131"/>
      <c r="AF300" s="131"/>
      <c r="AG300" s="131"/>
      <c r="AH300" s="131"/>
      <c r="AI300" s="131"/>
      <c r="AJ300" s="131"/>
      <c r="AK300" s="131"/>
      <c r="AL300" s="131"/>
      <c r="AM300" s="131"/>
      <c r="AN300" s="131"/>
      <c r="AO300" s="142"/>
      <c r="AP300" s="131"/>
    </row>
    <row r="301" ht="13.5" customHeight="1">
      <c r="A301" s="142"/>
      <c r="B301" s="142"/>
      <c r="C301" s="142"/>
      <c r="D301" s="142"/>
      <c r="E301" s="132"/>
      <c r="F301" s="131"/>
      <c r="G301" s="131"/>
      <c r="H301" s="131"/>
      <c r="I301" s="131"/>
      <c r="J301" s="219"/>
      <c r="K301" s="198"/>
      <c r="L301" s="131"/>
      <c r="M301" s="142"/>
      <c r="N301" s="131"/>
      <c r="O301" s="131"/>
      <c r="P301" s="131"/>
      <c r="Q301" s="131"/>
      <c r="R301" s="131"/>
      <c r="S301" s="131"/>
      <c r="T301" s="131"/>
      <c r="U301" s="131"/>
      <c r="V301" s="131"/>
      <c r="W301" s="131"/>
      <c r="X301" s="131"/>
      <c r="Y301" s="131"/>
      <c r="Z301" s="131"/>
      <c r="AA301" s="131"/>
      <c r="AB301" s="330"/>
      <c r="AC301" s="331"/>
      <c r="AD301" s="332"/>
      <c r="AE301" s="131"/>
      <c r="AF301" s="131"/>
      <c r="AG301" s="131"/>
      <c r="AH301" s="131"/>
      <c r="AI301" s="131"/>
      <c r="AJ301" s="131"/>
      <c r="AK301" s="131"/>
      <c r="AL301" s="131"/>
      <c r="AM301" s="131"/>
      <c r="AN301" s="131"/>
      <c r="AO301" s="142"/>
      <c r="AP301" s="131"/>
    </row>
    <row r="302" ht="13.5" customHeight="1">
      <c r="A302" s="142"/>
      <c r="B302" s="142"/>
      <c r="C302" s="142"/>
      <c r="D302" s="142"/>
      <c r="E302" s="132"/>
      <c r="F302" s="131"/>
      <c r="G302" s="131"/>
      <c r="H302" s="131"/>
      <c r="I302" s="131"/>
      <c r="J302" s="219"/>
      <c r="K302" s="198"/>
      <c r="L302" s="131"/>
      <c r="M302" s="142"/>
      <c r="N302" s="131"/>
      <c r="O302" s="131"/>
      <c r="P302" s="131"/>
      <c r="Q302" s="131"/>
      <c r="R302" s="131"/>
      <c r="S302" s="131"/>
      <c r="T302" s="131"/>
      <c r="U302" s="131"/>
      <c r="V302" s="131"/>
      <c r="W302" s="131"/>
      <c r="X302" s="131"/>
      <c r="Y302" s="131"/>
      <c r="Z302" s="131"/>
      <c r="AA302" s="131"/>
      <c r="AB302" s="330"/>
      <c r="AC302" s="331"/>
      <c r="AD302" s="332"/>
      <c r="AE302" s="131"/>
      <c r="AF302" s="131"/>
      <c r="AG302" s="131"/>
      <c r="AH302" s="131"/>
      <c r="AI302" s="131"/>
      <c r="AJ302" s="131"/>
      <c r="AK302" s="131"/>
      <c r="AL302" s="131"/>
      <c r="AM302" s="131"/>
      <c r="AN302" s="131"/>
      <c r="AO302" s="142"/>
      <c r="AP302" s="131"/>
    </row>
    <row r="303" ht="13.5" customHeight="1">
      <c r="A303" s="142"/>
      <c r="B303" s="142"/>
      <c r="C303" s="142"/>
      <c r="D303" s="142"/>
      <c r="E303" s="132"/>
      <c r="F303" s="131"/>
      <c r="G303" s="131"/>
      <c r="H303" s="131"/>
      <c r="I303" s="131"/>
      <c r="J303" s="219"/>
      <c r="K303" s="198"/>
      <c r="L303" s="131"/>
      <c r="M303" s="142"/>
      <c r="N303" s="131"/>
      <c r="O303" s="131"/>
      <c r="P303" s="131"/>
      <c r="Q303" s="131"/>
      <c r="R303" s="131"/>
      <c r="S303" s="131"/>
      <c r="T303" s="131"/>
      <c r="U303" s="131"/>
      <c r="V303" s="131"/>
      <c r="W303" s="131"/>
      <c r="X303" s="131"/>
      <c r="Y303" s="131"/>
      <c r="Z303" s="131"/>
      <c r="AA303" s="131"/>
      <c r="AB303" s="330"/>
      <c r="AC303" s="331"/>
      <c r="AD303" s="332"/>
      <c r="AE303" s="131"/>
      <c r="AF303" s="131"/>
      <c r="AG303" s="131"/>
      <c r="AH303" s="131"/>
      <c r="AI303" s="131"/>
      <c r="AJ303" s="131"/>
      <c r="AK303" s="131"/>
      <c r="AL303" s="131"/>
      <c r="AM303" s="131"/>
      <c r="AN303" s="131"/>
      <c r="AO303" s="142"/>
      <c r="AP303" s="131"/>
    </row>
    <row r="304" ht="13.5" customHeight="1">
      <c r="A304" s="142"/>
      <c r="B304" s="142"/>
      <c r="C304" s="142"/>
      <c r="D304" s="142"/>
      <c r="E304" s="132"/>
      <c r="F304" s="131"/>
      <c r="G304" s="131"/>
      <c r="H304" s="131"/>
      <c r="I304" s="131"/>
      <c r="J304" s="219"/>
      <c r="K304" s="198"/>
      <c r="L304" s="131"/>
      <c r="M304" s="142"/>
      <c r="N304" s="131"/>
      <c r="O304" s="131"/>
      <c r="P304" s="131"/>
      <c r="Q304" s="131"/>
      <c r="R304" s="131"/>
      <c r="S304" s="131"/>
      <c r="T304" s="131"/>
      <c r="U304" s="131"/>
      <c r="V304" s="131"/>
      <c r="W304" s="131"/>
      <c r="X304" s="131"/>
      <c r="Y304" s="131"/>
      <c r="Z304" s="131"/>
      <c r="AA304" s="131"/>
      <c r="AB304" s="330"/>
      <c r="AC304" s="331"/>
      <c r="AD304" s="332"/>
      <c r="AE304" s="131"/>
      <c r="AF304" s="131"/>
      <c r="AG304" s="131"/>
      <c r="AH304" s="131"/>
      <c r="AI304" s="131"/>
      <c r="AJ304" s="131"/>
      <c r="AK304" s="131"/>
      <c r="AL304" s="131"/>
      <c r="AM304" s="131"/>
      <c r="AN304" s="131"/>
      <c r="AO304" s="142"/>
      <c r="AP304" s="131"/>
    </row>
    <row r="305" ht="13.5" customHeight="1">
      <c r="A305" s="142"/>
      <c r="B305" s="142"/>
      <c r="C305" s="142"/>
      <c r="D305" s="142"/>
      <c r="E305" s="132"/>
      <c r="F305" s="131"/>
      <c r="G305" s="131"/>
      <c r="H305" s="131"/>
      <c r="I305" s="131"/>
      <c r="J305" s="219"/>
      <c r="K305" s="198"/>
      <c r="L305" s="131"/>
      <c r="M305" s="142"/>
      <c r="N305" s="131"/>
      <c r="O305" s="131"/>
      <c r="P305" s="131"/>
      <c r="Q305" s="131"/>
      <c r="R305" s="131"/>
      <c r="S305" s="131"/>
      <c r="T305" s="131"/>
      <c r="U305" s="131"/>
      <c r="V305" s="131"/>
      <c r="W305" s="131"/>
      <c r="X305" s="131"/>
      <c r="Y305" s="131"/>
      <c r="Z305" s="131"/>
      <c r="AA305" s="131"/>
      <c r="AB305" s="330"/>
      <c r="AC305" s="331"/>
      <c r="AD305" s="332"/>
      <c r="AE305" s="131"/>
      <c r="AF305" s="131"/>
      <c r="AG305" s="131"/>
      <c r="AH305" s="131"/>
      <c r="AI305" s="131"/>
      <c r="AJ305" s="131"/>
      <c r="AK305" s="131"/>
      <c r="AL305" s="131"/>
      <c r="AM305" s="131"/>
      <c r="AN305" s="131"/>
      <c r="AO305" s="142"/>
      <c r="AP305" s="131"/>
    </row>
    <row r="306" ht="13.5" customHeight="1">
      <c r="A306" s="142"/>
      <c r="B306" s="142"/>
      <c r="C306" s="142"/>
      <c r="D306" s="142"/>
      <c r="E306" s="132"/>
      <c r="F306" s="131"/>
      <c r="G306" s="131"/>
      <c r="H306" s="131"/>
      <c r="I306" s="131"/>
      <c r="J306" s="219"/>
      <c r="K306" s="198"/>
      <c r="L306" s="131"/>
      <c r="M306" s="142"/>
      <c r="N306" s="131"/>
      <c r="O306" s="131"/>
      <c r="P306" s="131"/>
      <c r="Q306" s="131"/>
      <c r="R306" s="131"/>
      <c r="S306" s="131"/>
      <c r="T306" s="131"/>
      <c r="U306" s="131"/>
      <c r="V306" s="131"/>
      <c r="W306" s="131"/>
      <c r="X306" s="131"/>
      <c r="Y306" s="131"/>
      <c r="Z306" s="131"/>
      <c r="AA306" s="131"/>
      <c r="AB306" s="330"/>
      <c r="AC306" s="331"/>
      <c r="AD306" s="332"/>
      <c r="AE306" s="131"/>
      <c r="AF306" s="131"/>
      <c r="AG306" s="131"/>
      <c r="AH306" s="131"/>
      <c r="AI306" s="131"/>
      <c r="AJ306" s="131"/>
      <c r="AK306" s="131"/>
      <c r="AL306" s="131"/>
      <c r="AM306" s="131"/>
      <c r="AN306" s="131"/>
      <c r="AO306" s="142"/>
      <c r="AP306" s="131"/>
    </row>
    <row r="307" ht="13.5" customHeight="1">
      <c r="A307" s="142"/>
      <c r="B307" s="142"/>
      <c r="C307" s="142"/>
      <c r="D307" s="142"/>
      <c r="E307" s="132"/>
      <c r="F307" s="131"/>
      <c r="G307" s="131"/>
      <c r="H307" s="131"/>
      <c r="I307" s="131"/>
      <c r="J307" s="219"/>
      <c r="K307" s="198"/>
      <c r="L307" s="131"/>
      <c r="M307" s="142"/>
      <c r="N307" s="131"/>
      <c r="O307" s="131"/>
      <c r="P307" s="131"/>
      <c r="Q307" s="131"/>
      <c r="R307" s="131"/>
      <c r="S307" s="131"/>
      <c r="T307" s="131"/>
      <c r="U307" s="131"/>
      <c r="V307" s="131"/>
      <c r="W307" s="131"/>
      <c r="X307" s="131"/>
      <c r="Y307" s="131"/>
      <c r="Z307" s="131"/>
      <c r="AA307" s="131"/>
      <c r="AB307" s="330"/>
      <c r="AC307" s="331"/>
      <c r="AD307" s="332"/>
      <c r="AE307" s="131"/>
      <c r="AF307" s="131"/>
      <c r="AG307" s="131"/>
      <c r="AH307" s="131"/>
      <c r="AI307" s="131"/>
      <c r="AJ307" s="131"/>
      <c r="AK307" s="131"/>
      <c r="AL307" s="131"/>
      <c r="AM307" s="131"/>
      <c r="AN307" s="131"/>
      <c r="AO307" s="142"/>
      <c r="AP307" s="131"/>
    </row>
    <row r="308" ht="13.5" customHeight="1">
      <c r="A308" s="142"/>
      <c r="B308" s="142"/>
      <c r="C308" s="142"/>
      <c r="D308" s="142"/>
      <c r="E308" s="132"/>
      <c r="F308" s="131"/>
      <c r="G308" s="131"/>
      <c r="H308" s="131"/>
      <c r="I308" s="131"/>
      <c r="J308" s="219"/>
      <c r="K308" s="198"/>
      <c r="L308" s="131"/>
      <c r="M308" s="142"/>
      <c r="N308" s="131"/>
      <c r="O308" s="131"/>
      <c r="P308" s="131"/>
      <c r="Q308" s="131"/>
      <c r="R308" s="131"/>
      <c r="S308" s="131"/>
      <c r="T308" s="131"/>
      <c r="U308" s="131"/>
      <c r="V308" s="131"/>
      <c r="W308" s="131"/>
      <c r="X308" s="131"/>
      <c r="Y308" s="131"/>
      <c r="Z308" s="131"/>
      <c r="AA308" s="131"/>
      <c r="AB308" s="330"/>
      <c r="AC308" s="331"/>
      <c r="AD308" s="332"/>
      <c r="AE308" s="131"/>
      <c r="AF308" s="131"/>
      <c r="AG308" s="131"/>
      <c r="AH308" s="131"/>
      <c r="AI308" s="131"/>
      <c r="AJ308" s="131"/>
      <c r="AK308" s="131"/>
      <c r="AL308" s="131"/>
      <c r="AM308" s="131"/>
      <c r="AN308" s="131"/>
      <c r="AO308" s="142"/>
      <c r="AP308" s="131"/>
    </row>
    <row r="309" ht="13.5" customHeight="1">
      <c r="A309" s="142"/>
      <c r="B309" s="142"/>
      <c r="C309" s="142"/>
      <c r="D309" s="142"/>
      <c r="E309" s="132"/>
      <c r="F309" s="131"/>
      <c r="G309" s="131"/>
      <c r="H309" s="131"/>
      <c r="I309" s="131"/>
      <c r="J309" s="219"/>
      <c r="K309" s="198"/>
      <c r="L309" s="131"/>
      <c r="M309" s="142"/>
      <c r="N309" s="131"/>
      <c r="O309" s="131"/>
      <c r="P309" s="131"/>
      <c r="Q309" s="131"/>
      <c r="R309" s="131"/>
      <c r="S309" s="131"/>
      <c r="T309" s="131"/>
      <c r="U309" s="131"/>
      <c r="V309" s="131"/>
      <c r="W309" s="131"/>
      <c r="X309" s="131"/>
      <c r="Y309" s="131"/>
      <c r="Z309" s="131"/>
      <c r="AA309" s="131"/>
      <c r="AB309" s="330"/>
      <c r="AC309" s="331"/>
      <c r="AD309" s="332"/>
      <c r="AE309" s="131"/>
      <c r="AF309" s="131"/>
      <c r="AG309" s="131"/>
      <c r="AH309" s="131"/>
      <c r="AI309" s="131"/>
      <c r="AJ309" s="131"/>
      <c r="AK309" s="131"/>
      <c r="AL309" s="131"/>
      <c r="AM309" s="131"/>
      <c r="AN309" s="131"/>
      <c r="AO309" s="142"/>
      <c r="AP309" s="131"/>
    </row>
    <row r="310" ht="13.5" customHeight="1">
      <c r="A310" s="142"/>
      <c r="B310" s="142"/>
      <c r="C310" s="142"/>
      <c r="D310" s="142"/>
      <c r="E310" s="132"/>
      <c r="F310" s="131"/>
      <c r="G310" s="131"/>
      <c r="H310" s="131"/>
      <c r="I310" s="131"/>
      <c r="J310" s="219"/>
      <c r="K310" s="198"/>
      <c r="L310" s="131"/>
      <c r="M310" s="142"/>
      <c r="N310" s="131"/>
      <c r="O310" s="131"/>
      <c r="P310" s="131"/>
      <c r="Q310" s="131"/>
      <c r="R310" s="131"/>
      <c r="S310" s="131"/>
      <c r="T310" s="131"/>
      <c r="U310" s="131"/>
      <c r="V310" s="131"/>
      <c r="W310" s="131"/>
      <c r="X310" s="131"/>
      <c r="Y310" s="131"/>
      <c r="Z310" s="131"/>
      <c r="AA310" s="131"/>
      <c r="AB310" s="330"/>
      <c r="AC310" s="331"/>
      <c r="AD310" s="332"/>
      <c r="AE310" s="131"/>
      <c r="AF310" s="131"/>
      <c r="AG310" s="131"/>
      <c r="AH310" s="131"/>
      <c r="AI310" s="131"/>
      <c r="AJ310" s="131"/>
      <c r="AK310" s="131"/>
      <c r="AL310" s="131"/>
      <c r="AM310" s="131"/>
      <c r="AN310" s="131"/>
      <c r="AO310" s="142"/>
      <c r="AP310" s="131"/>
    </row>
    <row r="311" ht="13.5" customHeight="1">
      <c r="A311" s="142"/>
      <c r="B311" s="142"/>
      <c r="C311" s="142"/>
      <c r="D311" s="142"/>
      <c r="E311" s="132"/>
      <c r="F311" s="131"/>
      <c r="G311" s="131"/>
      <c r="H311" s="131"/>
      <c r="I311" s="131"/>
      <c r="J311" s="219"/>
      <c r="K311" s="198"/>
      <c r="L311" s="131"/>
      <c r="M311" s="142"/>
      <c r="N311" s="131"/>
      <c r="O311" s="131"/>
      <c r="P311" s="131"/>
      <c r="Q311" s="131"/>
      <c r="R311" s="131"/>
      <c r="S311" s="131"/>
      <c r="T311" s="131"/>
      <c r="U311" s="131"/>
      <c r="V311" s="131"/>
      <c r="W311" s="131"/>
      <c r="X311" s="131"/>
      <c r="Y311" s="131"/>
      <c r="Z311" s="131"/>
      <c r="AA311" s="131"/>
      <c r="AB311" s="330"/>
      <c r="AC311" s="331"/>
      <c r="AD311" s="332"/>
      <c r="AE311" s="131"/>
      <c r="AF311" s="131"/>
      <c r="AG311" s="131"/>
      <c r="AH311" s="131"/>
      <c r="AI311" s="131"/>
      <c r="AJ311" s="131"/>
      <c r="AK311" s="131"/>
      <c r="AL311" s="131"/>
      <c r="AM311" s="131"/>
      <c r="AN311" s="131"/>
      <c r="AO311" s="142"/>
      <c r="AP311" s="131"/>
    </row>
    <row r="312" ht="13.5" customHeight="1">
      <c r="A312" s="142"/>
      <c r="B312" s="142"/>
      <c r="C312" s="142"/>
      <c r="D312" s="142"/>
      <c r="E312" s="132"/>
      <c r="F312" s="131"/>
      <c r="G312" s="131"/>
      <c r="H312" s="131"/>
      <c r="I312" s="131"/>
      <c r="J312" s="219"/>
      <c r="K312" s="198"/>
      <c r="L312" s="131"/>
      <c r="M312" s="142"/>
      <c r="N312" s="131"/>
      <c r="O312" s="131"/>
      <c r="P312" s="131"/>
      <c r="Q312" s="131"/>
      <c r="R312" s="131"/>
      <c r="S312" s="131"/>
      <c r="T312" s="131"/>
      <c r="U312" s="131"/>
      <c r="V312" s="131"/>
      <c r="W312" s="131"/>
      <c r="X312" s="131"/>
      <c r="Y312" s="131"/>
      <c r="Z312" s="131"/>
      <c r="AA312" s="131"/>
      <c r="AB312" s="330"/>
      <c r="AC312" s="331"/>
      <c r="AD312" s="332"/>
      <c r="AE312" s="131"/>
      <c r="AF312" s="131"/>
      <c r="AG312" s="131"/>
      <c r="AH312" s="131"/>
      <c r="AI312" s="131"/>
      <c r="AJ312" s="131"/>
      <c r="AK312" s="131"/>
      <c r="AL312" s="131"/>
      <c r="AM312" s="131"/>
      <c r="AN312" s="131"/>
      <c r="AO312" s="142"/>
      <c r="AP312" s="131"/>
    </row>
    <row r="313" ht="13.5" customHeight="1">
      <c r="A313" s="142"/>
      <c r="B313" s="142"/>
      <c r="C313" s="142"/>
      <c r="D313" s="142"/>
      <c r="E313" s="132"/>
      <c r="F313" s="131"/>
      <c r="G313" s="131"/>
      <c r="H313" s="131"/>
      <c r="I313" s="131"/>
      <c r="J313" s="219"/>
      <c r="K313" s="198"/>
      <c r="L313" s="131"/>
      <c r="M313" s="142"/>
      <c r="N313" s="131"/>
      <c r="O313" s="131"/>
      <c r="P313" s="131"/>
      <c r="Q313" s="131"/>
      <c r="R313" s="131"/>
      <c r="S313" s="131"/>
      <c r="T313" s="131"/>
      <c r="U313" s="131"/>
      <c r="V313" s="131"/>
      <c r="W313" s="131"/>
      <c r="X313" s="131"/>
      <c r="Y313" s="131"/>
      <c r="Z313" s="131"/>
      <c r="AA313" s="131"/>
      <c r="AB313" s="330"/>
      <c r="AC313" s="331"/>
      <c r="AD313" s="332"/>
      <c r="AE313" s="131"/>
      <c r="AF313" s="131"/>
      <c r="AG313" s="131"/>
      <c r="AH313" s="131"/>
      <c r="AI313" s="131"/>
      <c r="AJ313" s="131"/>
      <c r="AK313" s="131"/>
      <c r="AL313" s="131"/>
      <c r="AM313" s="131"/>
      <c r="AN313" s="131"/>
      <c r="AO313" s="142"/>
      <c r="AP313" s="131"/>
    </row>
    <row r="314" ht="13.5" customHeight="1">
      <c r="A314" s="142"/>
      <c r="B314" s="142"/>
      <c r="C314" s="142"/>
      <c r="D314" s="142"/>
      <c r="E314" s="132"/>
      <c r="F314" s="131"/>
      <c r="G314" s="131"/>
      <c r="H314" s="131"/>
      <c r="I314" s="131"/>
      <c r="J314" s="219"/>
      <c r="K314" s="198"/>
      <c r="L314" s="131"/>
      <c r="M314" s="142"/>
      <c r="N314" s="131"/>
      <c r="O314" s="131"/>
      <c r="P314" s="131"/>
      <c r="Q314" s="131"/>
      <c r="R314" s="131"/>
      <c r="S314" s="131"/>
      <c r="T314" s="131"/>
      <c r="U314" s="131"/>
      <c r="V314" s="131"/>
      <c r="W314" s="131"/>
      <c r="X314" s="131"/>
      <c r="Y314" s="131"/>
      <c r="Z314" s="131"/>
      <c r="AA314" s="131"/>
      <c r="AB314" s="330"/>
      <c r="AC314" s="331"/>
      <c r="AD314" s="332"/>
      <c r="AE314" s="131"/>
      <c r="AF314" s="131"/>
      <c r="AG314" s="131"/>
      <c r="AH314" s="131"/>
      <c r="AI314" s="131"/>
      <c r="AJ314" s="131"/>
      <c r="AK314" s="131"/>
      <c r="AL314" s="131"/>
      <c r="AM314" s="131"/>
      <c r="AN314" s="131"/>
      <c r="AO314" s="142"/>
      <c r="AP314" s="131"/>
    </row>
    <row r="315" ht="13.5" customHeight="1">
      <c r="A315" s="142"/>
      <c r="B315" s="142"/>
      <c r="C315" s="142"/>
      <c r="D315" s="142"/>
      <c r="E315" s="132"/>
      <c r="F315" s="131"/>
      <c r="G315" s="131"/>
      <c r="H315" s="131"/>
      <c r="I315" s="131"/>
      <c r="J315" s="219"/>
      <c r="K315" s="198"/>
      <c r="L315" s="131"/>
      <c r="M315" s="142"/>
      <c r="N315" s="131"/>
      <c r="O315" s="131"/>
      <c r="P315" s="131"/>
      <c r="Q315" s="131"/>
      <c r="R315" s="131"/>
      <c r="S315" s="131"/>
      <c r="T315" s="131"/>
      <c r="U315" s="131"/>
      <c r="V315" s="131"/>
      <c r="W315" s="131"/>
      <c r="X315" s="131"/>
      <c r="Y315" s="131"/>
      <c r="Z315" s="131"/>
      <c r="AA315" s="131"/>
      <c r="AB315" s="330"/>
      <c r="AC315" s="331"/>
      <c r="AD315" s="332"/>
      <c r="AE315" s="131"/>
      <c r="AF315" s="131"/>
      <c r="AG315" s="131"/>
      <c r="AH315" s="131"/>
      <c r="AI315" s="131"/>
      <c r="AJ315" s="131"/>
      <c r="AK315" s="131"/>
      <c r="AL315" s="131"/>
      <c r="AM315" s="131"/>
      <c r="AN315" s="131"/>
      <c r="AO315" s="142"/>
      <c r="AP315" s="131"/>
    </row>
    <row r="316" ht="13.5" customHeight="1">
      <c r="A316" s="142"/>
      <c r="B316" s="142"/>
      <c r="C316" s="142"/>
      <c r="D316" s="142"/>
      <c r="E316" s="132"/>
      <c r="F316" s="131"/>
      <c r="G316" s="131"/>
      <c r="H316" s="131"/>
      <c r="I316" s="131"/>
      <c r="J316" s="219"/>
      <c r="K316" s="198"/>
      <c r="L316" s="131"/>
      <c r="M316" s="142"/>
      <c r="N316" s="131"/>
      <c r="O316" s="131"/>
      <c r="P316" s="131"/>
      <c r="Q316" s="131"/>
      <c r="R316" s="131"/>
      <c r="S316" s="131"/>
      <c r="T316" s="131"/>
      <c r="U316" s="131"/>
      <c r="V316" s="131"/>
      <c r="W316" s="131"/>
      <c r="X316" s="131"/>
      <c r="Y316" s="131"/>
      <c r="Z316" s="131"/>
      <c r="AA316" s="131"/>
      <c r="AB316" s="330"/>
      <c r="AC316" s="331"/>
      <c r="AD316" s="332"/>
      <c r="AE316" s="131"/>
      <c r="AF316" s="131"/>
      <c r="AG316" s="131"/>
      <c r="AH316" s="131"/>
      <c r="AI316" s="131"/>
      <c r="AJ316" s="131"/>
      <c r="AK316" s="131"/>
      <c r="AL316" s="131"/>
      <c r="AM316" s="131"/>
      <c r="AN316" s="131"/>
      <c r="AO316" s="142"/>
      <c r="AP316" s="131"/>
    </row>
    <row r="317" ht="13.5" customHeight="1">
      <c r="A317" s="142"/>
      <c r="B317" s="142"/>
      <c r="C317" s="142"/>
      <c r="D317" s="142"/>
      <c r="E317" s="132"/>
      <c r="F317" s="131"/>
      <c r="G317" s="131"/>
      <c r="H317" s="131"/>
      <c r="I317" s="131"/>
      <c r="J317" s="219"/>
      <c r="K317" s="198"/>
      <c r="L317" s="131"/>
      <c r="M317" s="142"/>
      <c r="N317" s="131"/>
      <c r="O317" s="131"/>
      <c r="P317" s="131"/>
      <c r="Q317" s="131"/>
      <c r="R317" s="131"/>
      <c r="S317" s="131"/>
      <c r="T317" s="131"/>
      <c r="U317" s="131"/>
      <c r="V317" s="131"/>
      <c r="W317" s="131"/>
      <c r="X317" s="131"/>
      <c r="Y317" s="131"/>
      <c r="Z317" s="131"/>
      <c r="AA317" s="131"/>
      <c r="AB317" s="330"/>
      <c r="AC317" s="331"/>
      <c r="AD317" s="332"/>
      <c r="AE317" s="131"/>
      <c r="AF317" s="131"/>
      <c r="AG317" s="131"/>
      <c r="AH317" s="131"/>
      <c r="AI317" s="131"/>
      <c r="AJ317" s="131"/>
      <c r="AK317" s="131"/>
      <c r="AL317" s="131"/>
      <c r="AM317" s="131"/>
      <c r="AN317" s="131"/>
      <c r="AO317" s="142"/>
      <c r="AP317" s="131"/>
    </row>
    <row r="318" ht="13.5" customHeight="1">
      <c r="A318" s="142"/>
      <c r="B318" s="142"/>
      <c r="C318" s="142"/>
      <c r="D318" s="142"/>
      <c r="E318" s="132"/>
      <c r="F318" s="131"/>
      <c r="G318" s="131"/>
      <c r="H318" s="131"/>
      <c r="I318" s="131"/>
      <c r="J318" s="219"/>
      <c r="K318" s="198"/>
      <c r="L318" s="131"/>
      <c r="M318" s="142"/>
      <c r="N318" s="131"/>
      <c r="O318" s="131"/>
      <c r="P318" s="131"/>
      <c r="Q318" s="131"/>
      <c r="R318" s="131"/>
      <c r="S318" s="131"/>
      <c r="T318" s="131"/>
      <c r="U318" s="131"/>
      <c r="V318" s="131"/>
      <c r="W318" s="131"/>
      <c r="X318" s="131"/>
      <c r="Y318" s="131"/>
      <c r="Z318" s="131"/>
      <c r="AA318" s="131"/>
      <c r="AB318" s="330"/>
      <c r="AC318" s="331"/>
      <c r="AD318" s="332"/>
      <c r="AE318" s="131"/>
      <c r="AF318" s="131"/>
      <c r="AG318" s="131"/>
      <c r="AH318" s="131"/>
      <c r="AI318" s="131"/>
      <c r="AJ318" s="131"/>
      <c r="AK318" s="131"/>
      <c r="AL318" s="131"/>
      <c r="AM318" s="131"/>
      <c r="AN318" s="131"/>
      <c r="AO318" s="142"/>
      <c r="AP318" s="131"/>
    </row>
    <row r="319" ht="13.5" customHeight="1">
      <c r="A319" s="142"/>
      <c r="B319" s="142"/>
      <c r="C319" s="142"/>
      <c r="D319" s="142"/>
      <c r="E319" s="132"/>
      <c r="F319" s="131"/>
      <c r="G319" s="131"/>
      <c r="H319" s="131"/>
      <c r="I319" s="131"/>
      <c r="J319" s="219"/>
      <c r="K319" s="198"/>
      <c r="L319" s="131"/>
      <c r="M319" s="142"/>
      <c r="N319" s="131"/>
      <c r="O319" s="131"/>
      <c r="P319" s="131"/>
      <c r="Q319" s="131"/>
      <c r="R319" s="131"/>
      <c r="S319" s="131"/>
      <c r="T319" s="131"/>
      <c r="U319" s="131"/>
      <c r="V319" s="131"/>
      <c r="W319" s="131"/>
      <c r="X319" s="131"/>
      <c r="Y319" s="131"/>
      <c r="Z319" s="131"/>
      <c r="AA319" s="131"/>
      <c r="AB319" s="330"/>
      <c r="AC319" s="331"/>
      <c r="AD319" s="332"/>
      <c r="AE319" s="131"/>
      <c r="AF319" s="131"/>
      <c r="AG319" s="131"/>
      <c r="AH319" s="131"/>
      <c r="AI319" s="131"/>
      <c r="AJ319" s="131"/>
      <c r="AK319" s="131"/>
      <c r="AL319" s="131"/>
      <c r="AM319" s="131"/>
      <c r="AN319" s="131"/>
      <c r="AO319" s="142"/>
      <c r="AP319" s="131"/>
    </row>
    <row r="320" ht="13.5" customHeight="1">
      <c r="A320" s="142"/>
      <c r="B320" s="142"/>
      <c r="C320" s="142"/>
      <c r="D320" s="142"/>
      <c r="E320" s="132"/>
      <c r="F320" s="131"/>
      <c r="G320" s="131"/>
      <c r="H320" s="131"/>
      <c r="I320" s="131"/>
      <c r="J320" s="219"/>
      <c r="K320" s="198"/>
      <c r="L320" s="131"/>
      <c r="M320" s="142"/>
      <c r="N320" s="131"/>
      <c r="O320" s="131"/>
      <c r="P320" s="131"/>
      <c r="Q320" s="131"/>
      <c r="R320" s="131"/>
      <c r="S320" s="131"/>
      <c r="T320" s="131"/>
      <c r="U320" s="131"/>
      <c r="V320" s="131"/>
      <c r="W320" s="131"/>
      <c r="X320" s="131"/>
      <c r="Y320" s="131"/>
      <c r="Z320" s="131"/>
      <c r="AA320" s="131"/>
      <c r="AB320" s="330"/>
      <c r="AC320" s="331"/>
      <c r="AD320" s="332"/>
      <c r="AE320" s="131"/>
      <c r="AF320" s="131"/>
      <c r="AG320" s="131"/>
      <c r="AH320" s="131"/>
      <c r="AI320" s="131"/>
      <c r="AJ320" s="131"/>
      <c r="AK320" s="131"/>
      <c r="AL320" s="131"/>
      <c r="AM320" s="131"/>
      <c r="AN320" s="131"/>
      <c r="AO320" s="142"/>
      <c r="AP320" s="131"/>
    </row>
    <row r="321" ht="13.5" customHeight="1">
      <c r="A321" s="142"/>
      <c r="B321" s="142"/>
      <c r="C321" s="142"/>
      <c r="D321" s="142"/>
      <c r="E321" s="132"/>
      <c r="F321" s="131"/>
      <c r="G321" s="131"/>
      <c r="H321" s="131"/>
      <c r="I321" s="131"/>
      <c r="J321" s="219"/>
      <c r="K321" s="198"/>
      <c r="L321" s="131"/>
      <c r="M321" s="142"/>
      <c r="N321" s="131"/>
      <c r="O321" s="131"/>
      <c r="P321" s="131"/>
      <c r="Q321" s="131"/>
      <c r="R321" s="131"/>
      <c r="S321" s="131"/>
      <c r="T321" s="131"/>
      <c r="U321" s="131"/>
      <c r="V321" s="131"/>
      <c r="W321" s="131"/>
      <c r="X321" s="131"/>
      <c r="Y321" s="131"/>
      <c r="Z321" s="131"/>
      <c r="AA321" s="131"/>
      <c r="AB321" s="330"/>
      <c r="AC321" s="331"/>
      <c r="AD321" s="332"/>
      <c r="AE321" s="131"/>
      <c r="AF321" s="131"/>
      <c r="AG321" s="131"/>
      <c r="AH321" s="131"/>
      <c r="AI321" s="131"/>
      <c r="AJ321" s="131"/>
      <c r="AK321" s="131"/>
      <c r="AL321" s="131"/>
      <c r="AM321" s="131"/>
      <c r="AN321" s="131"/>
      <c r="AO321" s="142"/>
      <c r="AP321" s="131"/>
    </row>
    <row r="322" ht="13.5" customHeight="1">
      <c r="A322" s="142"/>
      <c r="B322" s="142"/>
      <c r="C322" s="142"/>
      <c r="D322" s="142"/>
      <c r="E322" s="132"/>
      <c r="F322" s="131"/>
      <c r="G322" s="131"/>
      <c r="H322" s="131"/>
      <c r="I322" s="131"/>
      <c r="J322" s="219"/>
      <c r="K322" s="198"/>
      <c r="L322" s="131"/>
      <c r="M322" s="142"/>
      <c r="N322" s="131"/>
      <c r="O322" s="131"/>
      <c r="P322" s="131"/>
      <c r="Q322" s="131"/>
      <c r="R322" s="131"/>
      <c r="S322" s="131"/>
      <c r="T322" s="131"/>
      <c r="U322" s="131"/>
      <c r="V322" s="131"/>
      <c r="W322" s="131"/>
      <c r="X322" s="131"/>
      <c r="Y322" s="131"/>
      <c r="Z322" s="131"/>
      <c r="AA322" s="131"/>
      <c r="AB322" s="330"/>
      <c r="AC322" s="331"/>
      <c r="AD322" s="332"/>
      <c r="AE322" s="131"/>
      <c r="AF322" s="131"/>
      <c r="AG322" s="131"/>
      <c r="AH322" s="131"/>
      <c r="AI322" s="131"/>
      <c r="AJ322" s="131"/>
      <c r="AK322" s="131"/>
      <c r="AL322" s="131"/>
      <c r="AM322" s="131"/>
      <c r="AN322" s="131"/>
      <c r="AO322" s="142"/>
      <c r="AP322" s="131"/>
    </row>
    <row r="323" ht="13.5" customHeight="1">
      <c r="A323" s="142"/>
      <c r="B323" s="142"/>
      <c r="C323" s="142"/>
      <c r="D323" s="142"/>
      <c r="E323" s="132"/>
      <c r="F323" s="131"/>
      <c r="G323" s="131"/>
      <c r="H323" s="131"/>
      <c r="I323" s="131"/>
      <c r="J323" s="219"/>
      <c r="K323" s="198"/>
      <c r="L323" s="131"/>
      <c r="M323" s="142"/>
      <c r="N323" s="131"/>
      <c r="O323" s="131"/>
      <c r="P323" s="131"/>
      <c r="Q323" s="131"/>
      <c r="R323" s="131"/>
      <c r="S323" s="131"/>
      <c r="T323" s="131"/>
      <c r="U323" s="131"/>
      <c r="V323" s="131"/>
      <c r="W323" s="131"/>
      <c r="X323" s="131"/>
      <c r="Y323" s="131"/>
      <c r="Z323" s="131"/>
      <c r="AA323" s="131"/>
      <c r="AB323" s="330"/>
      <c r="AC323" s="331"/>
      <c r="AD323" s="332"/>
      <c r="AE323" s="131"/>
      <c r="AF323" s="131"/>
      <c r="AG323" s="131"/>
      <c r="AH323" s="131"/>
      <c r="AI323" s="131"/>
      <c r="AJ323" s="131"/>
      <c r="AK323" s="131"/>
      <c r="AL323" s="131"/>
      <c r="AM323" s="131"/>
      <c r="AN323" s="131"/>
      <c r="AO323" s="142"/>
      <c r="AP323" s="131"/>
    </row>
    <row r="324" ht="13.5" customHeight="1">
      <c r="A324" s="142"/>
      <c r="B324" s="142"/>
      <c r="C324" s="142"/>
      <c r="D324" s="142"/>
      <c r="E324" s="132"/>
      <c r="F324" s="131"/>
      <c r="G324" s="131"/>
      <c r="H324" s="131"/>
      <c r="I324" s="131"/>
      <c r="J324" s="219"/>
      <c r="K324" s="198"/>
      <c r="L324" s="131"/>
      <c r="M324" s="142"/>
      <c r="N324" s="131"/>
      <c r="O324" s="131"/>
      <c r="P324" s="131"/>
      <c r="Q324" s="131"/>
      <c r="R324" s="131"/>
      <c r="S324" s="131"/>
      <c r="T324" s="131"/>
      <c r="U324" s="131"/>
      <c r="V324" s="131"/>
      <c r="W324" s="131"/>
      <c r="X324" s="131"/>
      <c r="Y324" s="131"/>
      <c r="Z324" s="131"/>
      <c r="AA324" s="131"/>
      <c r="AB324" s="330"/>
      <c r="AC324" s="331"/>
      <c r="AD324" s="332"/>
      <c r="AE324" s="131"/>
      <c r="AF324" s="131"/>
      <c r="AG324" s="131"/>
      <c r="AH324" s="131"/>
      <c r="AI324" s="131"/>
      <c r="AJ324" s="131"/>
      <c r="AK324" s="131"/>
      <c r="AL324" s="131"/>
      <c r="AM324" s="131"/>
      <c r="AN324" s="131"/>
      <c r="AO324" s="142"/>
      <c r="AP324" s="131"/>
    </row>
    <row r="325" ht="13.5" customHeight="1">
      <c r="A325" s="142"/>
      <c r="B325" s="142"/>
      <c r="C325" s="142"/>
      <c r="D325" s="142"/>
      <c r="E325" s="132"/>
      <c r="F325" s="131"/>
      <c r="G325" s="131"/>
      <c r="H325" s="131"/>
      <c r="I325" s="131"/>
      <c r="J325" s="219"/>
      <c r="K325" s="198"/>
      <c r="L325" s="131"/>
      <c r="M325" s="142"/>
      <c r="N325" s="131"/>
      <c r="O325" s="131"/>
      <c r="P325" s="131"/>
      <c r="Q325" s="131"/>
      <c r="R325" s="131"/>
      <c r="S325" s="131"/>
      <c r="T325" s="131"/>
      <c r="U325" s="131"/>
      <c r="V325" s="131"/>
      <c r="W325" s="131"/>
      <c r="X325" s="131"/>
      <c r="Y325" s="131"/>
      <c r="Z325" s="131"/>
      <c r="AA325" s="131"/>
      <c r="AB325" s="330"/>
      <c r="AC325" s="331"/>
      <c r="AD325" s="332"/>
      <c r="AE325" s="131"/>
      <c r="AF325" s="131"/>
      <c r="AG325" s="131"/>
      <c r="AH325" s="131"/>
      <c r="AI325" s="131"/>
      <c r="AJ325" s="131"/>
      <c r="AK325" s="131"/>
      <c r="AL325" s="131"/>
      <c r="AM325" s="131"/>
      <c r="AN325" s="131"/>
      <c r="AO325" s="142"/>
      <c r="AP325" s="131"/>
    </row>
    <row r="326" ht="13.5" customHeight="1">
      <c r="A326" s="142"/>
      <c r="B326" s="142"/>
      <c r="C326" s="142"/>
      <c r="D326" s="142"/>
      <c r="E326" s="132"/>
      <c r="F326" s="131"/>
      <c r="G326" s="131"/>
      <c r="H326" s="131"/>
      <c r="I326" s="131"/>
      <c r="J326" s="219"/>
      <c r="K326" s="198"/>
      <c r="L326" s="131"/>
      <c r="M326" s="142"/>
      <c r="N326" s="131"/>
      <c r="O326" s="131"/>
      <c r="P326" s="131"/>
      <c r="Q326" s="131"/>
      <c r="R326" s="131"/>
      <c r="S326" s="131"/>
      <c r="T326" s="131"/>
      <c r="U326" s="131"/>
      <c r="V326" s="131"/>
      <c r="W326" s="131"/>
      <c r="X326" s="131"/>
      <c r="Y326" s="131"/>
      <c r="Z326" s="131"/>
      <c r="AA326" s="131"/>
      <c r="AB326" s="330"/>
      <c r="AC326" s="331"/>
      <c r="AD326" s="332"/>
      <c r="AE326" s="131"/>
      <c r="AF326" s="131"/>
      <c r="AG326" s="131"/>
      <c r="AH326" s="131"/>
      <c r="AI326" s="131"/>
      <c r="AJ326" s="131"/>
      <c r="AK326" s="131"/>
      <c r="AL326" s="131"/>
      <c r="AM326" s="131"/>
      <c r="AN326" s="131"/>
      <c r="AO326" s="142"/>
      <c r="AP326" s="131"/>
    </row>
    <row r="327" ht="13.5" customHeight="1">
      <c r="A327" s="142"/>
      <c r="B327" s="142"/>
      <c r="C327" s="142"/>
      <c r="D327" s="142"/>
      <c r="E327" s="132"/>
      <c r="F327" s="131"/>
      <c r="G327" s="131"/>
      <c r="H327" s="131"/>
      <c r="I327" s="131"/>
      <c r="J327" s="219"/>
      <c r="K327" s="198"/>
      <c r="L327" s="131"/>
      <c r="M327" s="142"/>
      <c r="N327" s="131"/>
      <c r="O327" s="131"/>
      <c r="P327" s="131"/>
      <c r="Q327" s="131"/>
      <c r="R327" s="131"/>
      <c r="S327" s="131"/>
      <c r="T327" s="131"/>
      <c r="U327" s="131"/>
      <c r="V327" s="131"/>
      <c r="W327" s="131"/>
      <c r="X327" s="131"/>
      <c r="Y327" s="131"/>
      <c r="Z327" s="131"/>
      <c r="AA327" s="131"/>
      <c r="AB327" s="330"/>
      <c r="AC327" s="331"/>
      <c r="AD327" s="332"/>
      <c r="AE327" s="131"/>
      <c r="AF327" s="131"/>
      <c r="AG327" s="131"/>
      <c r="AH327" s="131"/>
      <c r="AI327" s="131"/>
      <c r="AJ327" s="131"/>
      <c r="AK327" s="131"/>
      <c r="AL327" s="131"/>
      <c r="AM327" s="131"/>
      <c r="AN327" s="131"/>
      <c r="AO327" s="142"/>
      <c r="AP327" s="131"/>
    </row>
    <row r="328" ht="13.5" customHeight="1">
      <c r="A328" s="142"/>
      <c r="B328" s="142"/>
      <c r="C328" s="142"/>
      <c r="D328" s="142"/>
      <c r="E328" s="132"/>
      <c r="F328" s="131"/>
      <c r="G328" s="131"/>
      <c r="H328" s="131"/>
      <c r="I328" s="131"/>
      <c r="J328" s="219"/>
      <c r="K328" s="198"/>
      <c r="L328" s="131"/>
      <c r="M328" s="142"/>
      <c r="N328" s="131"/>
      <c r="O328" s="131"/>
      <c r="P328" s="131"/>
      <c r="Q328" s="131"/>
      <c r="R328" s="131"/>
      <c r="S328" s="131"/>
      <c r="T328" s="131"/>
      <c r="U328" s="131"/>
      <c r="V328" s="131"/>
      <c r="W328" s="131"/>
      <c r="X328" s="131"/>
      <c r="Y328" s="131"/>
      <c r="Z328" s="131"/>
      <c r="AA328" s="131"/>
      <c r="AB328" s="330"/>
      <c r="AC328" s="331"/>
      <c r="AD328" s="332"/>
      <c r="AE328" s="131"/>
      <c r="AF328" s="131"/>
      <c r="AG328" s="131"/>
      <c r="AH328" s="131"/>
      <c r="AI328" s="131"/>
      <c r="AJ328" s="131"/>
      <c r="AK328" s="131"/>
      <c r="AL328" s="131"/>
      <c r="AM328" s="131"/>
      <c r="AN328" s="131"/>
      <c r="AO328" s="142"/>
      <c r="AP328" s="131"/>
    </row>
    <row r="329" ht="13.5" customHeight="1">
      <c r="A329" s="142"/>
      <c r="B329" s="142"/>
      <c r="C329" s="142"/>
      <c r="D329" s="142"/>
      <c r="E329" s="132"/>
      <c r="F329" s="131"/>
      <c r="G329" s="131"/>
      <c r="H329" s="131"/>
      <c r="I329" s="131"/>
      <c r="J329" s="219"/>
      <c r="K329" s="198"/>
      <c r="L329" s="131"/>
      <c r="M329" s="142"/>
      <c r="N329" s="131"/>
      <c r="O329" s="131"/>
      <c r="P329" s="131"/>
      <c r="Q329" s="131"/>
      <c r="R329" s="131"/>
      <c r="S329" s="131"/>
      <c r="T329" s="131"/>
      <c r="U329" s="131"/>
      <c r="V329" s="131"/>
      <c r="W329" s="131"/>
      <c r="X329" s="131"/>
      <c r="Y329" s="131"/>
      <c r="Z329" s="131"/>
      <c r="AA329" s="131"/>
      <c r="AB329" s="330"/>
      <c r="AC329" s="331"/>
      <c r="AD329" s="332"/>
      <c r="AE329" s="131"/>
      <c r="AF329" s="131"/>
      <c r="AG329" s="131"/>
      <c r="AH329" s="131"/>
      <c r="AI329" s="131"/>
      <c r="AJ329" s="131"/>
      <c r="AK329" s="131"/>
      <c r="AL329" s="131"/>
      <c r="AM329" s="131"/>
      <c r="AN329" s="131"/>
      <c r="AO329" s="142"/>
      <c r="AP329" s="131"/>
    </row>
    <row r="330" ht="13.5" customHeight="1">
      <c r="A330" s="142"/>
      <c r="B330" s="142"/>
      <c r="C330" s="142"/>
      <c r="D330" s="142"/>
      <c r="E330" s="132"/>
      <c r="F330" s="131"/>
      <c r="G330" s="131"/>
      <c r="H330" s="131"/>
      <c r="I330" s="131"/>
      <c r="J330" s="219"/>
      <c r="K330" s="198"/>
      <c r="L330" s="131"/>
      <c r="M330" s="142"/>
      <c r="N330" s="131"/>
      <c r="O330" s="131"/>
      <c r="P330" s="131"/>
      <c r="Q330" s="131"/>
      <c r="R330" s="131"/>
      <c r="S330" s="131"/>
      <c r="T330" s="131"/>
      <c r="U330" s="131"/>
      <c r="V330" s="131"/>
      <c r="W330" s="131"/>
      <c r="X330" s="131"/>
      <c r="Y330" s="131"/>
      <c r="Z330" s="131"/>
      <c r="AA330" s="131"/>
      <c r="AB330" s="330"/>
      <c r="AC330" s="331"/>
      <c r="AD330" s="332"/>
      <c r="AE330" s="131"/>
      <c r="AF330" s="131"/>
      <c r="AG330" s="131"/>
      <c r="AH330" s="131"/>
      <c r="AI330" s="131"/>
      <c r="AJ330" s="131"/>
      <c r="AK330" s="131"/>
      <c r="AL330" s="131"/>
      <c r="AM330" s="131"/>
      <c r="AN330" s="131"/>
      <c r="AO330" s="142"/>
      <c r="AP330" s="131"/>
    </row>
    <row r="331" ht="13.5" customHeight="1">
      <c r="A331" s="142"/>
      <c r="B331" s="142"/>
      <c r="C331" s="142"/>
      <c r="D331" s="142"/>
      <c r="E331" s="132"/>
      <c r="F331" s="131"/>
      <c r="G331" s="131"/>
      <c r="H331" s="131"/>
      <c r="I331" s="131"/>
      <c r="J331" s="219"/>
      <c r="K331" s="198"/>
      <c r="L331" s="131"/>
      <c r="M331" s="142"/>
      <c r="N331" s="131"/>
      <c r="O331" s="131"/>
      <c r="P331" s="131"/>
      <c r="Q331" s="131"/>
      <c r="R331" s="131"/>
      <c r="S331" s="131"/>
      <c r="T331" s="131"/>
      <c r="U331" s="131"/>
      <c r="V331" s="131"/>
      <c r="W331" s="131"/>
      <c r="X331" s="131"/>
      <c r="Y331" s="131"/>
      <c r="Z331" s="131"/>
      <c r="AA331" s="131"/>
      <c r="AB331" s="330"/>
      <c r="AC331" s="331"/>
      <c r="AD331" s="332"/>
      <c r="AE331" s="131"/>
      <c r="AF331" s="131"/>
      <c r="AG331" s="131"/>
      <c r="AH331" s="131"/>
      <c r="AI331" s="131"/>
      <c r="AJ331" s="131"/>
      <c r="AK331" s="131"/>
      <c r="AL331" s="131"/>
      <c r="AM331" s="131"/>
      <c r="AN331" s="131"/>
      <c r="AO331" s="142"/>
      <c r="AP331" s="131"/>
    </row>
    <row r="332" ht="13.5" customHeight="1">
      <c r="A332" s="142"/>
      <c r="B332" s="142"/>
      <c r="C332" s="142"/>
      <c r="D332" s="142"/>
      <c r="E332" s="132"/>
      <c r="F332" s="131"/>
      <c r="G332" s="131"/>
      <c r="H332" s="131"/>
      <c r="I332" s="131"/>
      <c r="J332" s="219"/>
      <c r="K332" s="198"/>
      <c r="L332" s="131"/>
      <c r="M332" s="142"/>
      <c r="N332" s="131"/>
      <c r="O332" s="131"/>
      <c r="P332" s="131"/>
      <c r="Q332" s="131"/>
      <c r="R332" s="131"/>
      <c r="S332" s="131"/>
      <c r="T332" s="131"/>
      <c r="U332" s="131"/>
      <c r="V332" s="131"/>
      <c r="W332" s="131"/>
      <c r="X332" s="131"/>
      <c r="Y332" s="131"/>
      <c r="Z332" s="131"/>
      <c r="AA332" s="131"/>
      <c r="AB332" s="330"/>
      <c r="AC332" s="331"/>
      <c r="AD332" s="332"/>
      <c r="AE332" s="131"/>
      <c r="AF332" s="131"/>
      <c r="AG332" s="131"/>
      <c r="AH332" s="131"/>
      <c r="AI332" s="131"/>
      <c r="AJ332" s="131"/>
      <c r="AK332" s="131"/>
      <c r="AL332" s="131"/>
      <c r="AM332" s="131"/>
      <c r="AN332" s="131"/>
      <c r="AO332" s="142"/>
      <c r="AP332" s="131"/>
    </row>
    <row r="333" ht="13.5" customHeight="1">
      <c r="A333" s="142"/>
      <c r="B333" s="142"/>
      <c r="C333" s="142"/>
      <c r="D333" s="142"/>
      <c r="E333" s="132"/>
      <c r="F333" s="131"/>
      <c r="G333" s="131"/>
      <c r="H333" s="131"/>
      <c r="I333" s="131"/>
      <c r="J333" s="219"/>
      <c r="K333" s="198"/>
      <c r="L333" s="131"/>
      <c r="M333" s="142"/>
      <c r="N333" s="131"/>
      <c r="O333" s="131"/>
      <c r="P333" s="131"/>
      <c r="Q333" s="131"/>
      <c r="R333" s="131"/>
      <c r="S333" s="131"/>
      <c r="T333" s="131"/>
      <c r="U333" s="131"/>
      <c r="V333" s="131"/>
      <c r="W333" s="131"/>
      <c r="X333" s="131"/>
      <c r="Y333" s="131"/>
      <c r="Z333" s="131"/>
      <c r="AA333" s="131"/>
      <c r="AB333" s="330"/>
      <c r="AC333" s="331"/>
      <c r="AD333" s="332"/>
      <c r="AE333" s="131"/>
      <c r="AF333" s="131"/>
      <c r="AG333" s="131"/>
      <c r="AH333" s="131"/>
      <c r="AI333" s="131"/>
      <c r="AJ333" s="131"/>
      <c r="AK333" s="131"/>
      <c r="AL333" s="131"/>
      <c r="AM333" s="131"/>
      <c r="AN333" s="131"/>
      <c r="AO333" s="142"/>
      <c r="AP333" s="131"/>
    </row>
    <row r="334" ht="13.5" customHeight="1">
      <c r="A334" s="142"/>
      <c r="B334" s="142"/>
      <c r="C334" s="142"/>
      <c r="D334" s="142"/>
      <c r="E334" s="132"/>
      <c r="F334" s="131"/>
      <c r="G334" s="131"/>
      <c r="H334" s="131"/>
      <c r="I334" s="131"/>
      <c r="J334" s="219"/>
      <c r="K334" s="198"/>
      <c r="L334" s="131"/>
      <c r="M334" s="142"/>
      <c r="N334" s="131"/>
      <c r="O334" s="131"/>
      <c r="P334" s="131"/>
      <c r="Q334" s="131"/>
      <c r="R334" s="131"/>
      <c r="S334" s="131"/>
      <c r="T334" s="131"/>
      <c r="U334" s="131"/>
      <c r="V334" s="131"/>
      <c r="W334" s="131"/>
      <c r="X334" s="131"/>
      <c r="Y334" s="131"/>
      <c r="Z334" s="131"/>
      <c r="AA334" s="131"/>
      <c r="AB334" s="330"/>
      <c r="AC334" s="331"/>
      <c r="AD334" s="332"/>
      <c r="AE334" s="131"/>
      <c r="AF334" s="131"/>
      <c r="AG334" s="131"/>
      <c r="AH334" s="131"/>
      <c r="AI334" s="131"/>
      <c r="AJ334" s="131"/>
      <c r="AK334" s="131"/>
      <c r="AL334" s="131"/>
      <c r="AM334" s="131"/>
      <c r="AN334" s="131"/>
      <c r="AO334" s="142"/>
      <c r="AP334" s="131"/>
    </row>
    <row r="335" ht="13.5" customHeight="1">
      <c r="A335" s="142"/>
      <c r="B335" s="142"/>
      <c r="C335" s="142"/>
      <c r="D335" s="142"/>
      <c r="E335" s="132"/>
      <c r="F335" s="131"/>
      <c r="G335" s="131"/>
      <c r="H335" s="131"/>
      <c r="I335" s="131"/>
      <c r="J335" s="219"/>
      <c r="K335" s="198"/>
      <c r="L335" s="131"/>
      <c r="M335" s="142"/>
      <c r="N335" s="131"/>
      <c r="O335" s="131"/>
      <c r="P335" s="131"/>
      <c r="Q335" s="131"/>
      <c r="R335" s="131"/>
      <c r="S335" s="131"/>
      <c r="T335" s="131"/>
      <c r="U335" s="131"/>
      <c r="V335" s="131"/>
      <c r="W335" s="131"/>
      <c r="X335" s="131"/>
      <c r="Y335" s="131"/>
      <c r="Z335" s="131"/>
      <c r="AA335" s="131"/>
      <c r="AB335" s="330"/>
      <c r="AC335" s="331"/>
      <c r="AD335" s="332"/>
      <c r="AE335" s="131"/>
      <c r="AF335" s="131"/>
      <c r="AG335" s="131"/>
      <c r="AH335" s="131"/>
      <c r="AI335" s="131"/>
      <c r="AJ335" s="131"/>
      <c r="AK335" s="131"/>
      <c r="AL335" s="131"/>
      <c r="AM335" s="131"/>
      <c r="AN335" s="131"/>
      <c r="AO335" s="142"/>
      <c r="AP335" s="131"/>
    </row>
    <row r="336" ht="13.5" customHeight="1">
      <c r="A336" s="142"/>
      <c r="B336" s="142"/>
      <c r="C336" s="142"/>
      <c r="D336" s="142"/>
      <c r="E336" s="132"/>
      <c r="F336" s="131"/>
      <c r="G336" s="131"/>
      <c r="H336" s="131"/>
      <c r="I336" s="131"/>
      <c r="J336" s="219"/>
      <c r="K336" s="198"/>
      <c r="L336" s="131"/>
      <c r="M336" s="142"/>
      <c r="N336" s="131"/>
      <c r="O336" s="131"/>
      <c r="P336" s="131"/>
      <c r="Q336" s="131"/>
      <c r="R336" s="131"/>
      <c r="S336" s="131"/>
      <c r="T336" s="131"/>
      <c r="U336" s="131"/>
      <c r="V336" s="131"/>
      <c r="W336" s="131"/>
      <c r="X336" s="131"/>
      <c r="Y336" s="131"/>
      <c r="Z336" s="131"/>
      <c r="AA336" s="131"/>
      <c r="AB336" s="330"/>
      <c r="AC336" s="331"/>
      <c r="AD336" s="332"/>
      <c r="AE336" s="131"/>
      <c r="AF336" s="131"/>
      <c r="AG336" s="131"/>
      <c r="AH336" s="131"/>
      <c r="AI336" s="131"/>
      <c r="AJ336" s="131"/>
      <c r="AK336" s="131"/>
      <c r="AL336" s="131"/>
      <c r="AM336" s="131"/>
      <c r="AN336" s="131"/>
      <c r="AO336" s="142"/>
      <c r="AP336" s="131"/>
    </row>
    <row r="337" ht="13.5" customHeight="1">
      <c r="A337" s="142"/>
      <c r="B337" s="142"/>
      <c r="C337" s="142"/>
      <c r="D337" s="142"/>
      <c r="E337" s="132"/>
      <c r="F337" s="131"/>
      <c r="G337" s="131"/>
      <c r="H337" s="131"/>
      <c r="I337" s="131"/>
      <c r="J337" s="219"/>
      <c r="K337" s="198"/>
      <c r="L337" s="131"/>
      <c r="M337" s="142"/>
      <c r="N337" s="131"/>
      <c r="O337" s="131"/>
      <c r="P337" s="131"/>
      <c r="Q337" s="131"/>
      <c r="R337" s="131"/>
      <c r="S337" s="131"/>
      <c r="T337" s="131"/>
      <c r="U337" s="131"/>
      <c r="V337" s="131"/>
      <c r="W337" s="131"/>
      <c r="X337" s="131"/>
      <c r="Y337" s="131"/>
      <c r="Z337" s="131"/>
      <c r="AA337" s="131"/>
      <c r="AB337" s="330"/>
      <c r="AC337" s="331"/>
      <c r="AD337" s="332"/>
      <c r="AE337" s="131"/>
      <c r="AF337" s="131"/>
      <c r="AG337" s="131"/>
      <c r="AH337" s="131"/>
      <c r="AI337" s="131"/>
      <c r="AJ337" s="131"/>
      <c r="AK337" s="131"/>
      <c r="AL337" s="131"/>
      <c r="AM337" s="131"/>
      <c r="AN337" s="131"/>
      <c r="AO337" s="142"/>
      <c r="AP337" s="131"/>
    </row>
    <row r="338" ht="13.5" customHeight="1">
      <c r="A338" s="142"/>
      <c r="B338" s="142"/>
      <c r="C338" s="142"/>
      <c r="D338" s="142"/>
      <c r="E338" s="132"/>
      <c r="F338" s="131"/>
      <c r="G338" s="131"/>
      <c r="H338" s="131"/>
      <c r="I338" s="131"/>
      <c r="J338" s="219"/>
      <c r="K338" s="198"/>
      <c r="L338" s="131"/>
      <c r="M338" s="142"/>
      <c r="N338" s="131"/>
      <c r="O338" s="131"/>
      <c r="P338" s="131"/>
      <c r="Q338" s="131"/>
      <c r="R338" s="131"/>
      <c r="S338" s="131"/>
      <c r="T338" s="131"/>
      <c r="U338" s="131"/>
      <c r="V338" s="131"/>
      <c r="W338" s="131"/>
      <c r="X338" s="131"/>
      <c r="Y338" s="131"/>
      <c r="Z338" s="131"/>
      <c r="AA338" s="131"/>
      <c r="AB338" s="330"/>
      <c r="AC338" s="331"/>
      <c r="AD338" s="332"/>
      <c r="AE338" s="131"/>
      <c r="AF338" s="131"/>
      <c r="AG338" s="131"/>
      <c r="AH338" s="131"/>
      <c r="AI338" s="131"/>
      <c r="AJ338" s="131"/>
      <c r="AK338" s="131"/>
      <c r="AL338" s="131"/>
      <c r="AM338" s="131"/>
      <c r="AN338" s="131"/>
      <c r="AO338" s="142"/>
      <c r="AP338" s="131"/>
    </row>
    <row r="339" ht="13.5" customHeight="1">
      <c r="A339" s="142"/>
      <c r="B339" s="142"/>
      <c r="C339" s="142"/>
      <c r="D339" s="142"/>
      <c r="E339" s="132"/>
      <c r="F339" s="131"/>
      <c r="G339" s="131"/>
      <c r="H339" s="131"/>
      <c r="I339" s="131"/>
      <c r="J339" s="219"/>
      <c r="K339" s="198"/>
      <c r="L339" s="131"/>
      <c r="M339" s="142"/>
      <c r="N339" s="131"/>
      <c r="O339" s="131"/>
      <c r="P339" s="131"/>
      <c r="Q339" s="131"/>
      <c r="R339" s="131"/>
      <c r="S339" s="131"/>
      <c r="T339" s="131"/>
      <c r="U339" s="131"/>
      <c r="V339" s="131"/>
      <c r="W339" s="131"/>
      <c r="X339" s="131"/>
      <c r="Y339" s="131"/>
      <c r="Z339" s="131"/>
      <c r="AA339" s="131"/>
      <c r="AB339" s="330"/>
      <c r="AC339" s="331"/>
      <c r="AD339" s="332"/>
      <c r="AE339" s="131"/>
      <c r="AF339" s="131"/>
      <c r="AG339" s="131"/>
      <c r="AH339" s="131"/>
      <c r="AI339" s="131"/>
      <c r="AJ339" s="131"/>
      <c r="AK339" s="131"/>
      <c r="AL339" s="131"/>
      <c r="AM339" s="131"/>
      <c r="AN339" s="131"/>
      <c r="AO339" s="142"/>
      <c r="AP339" s="131"/>
    </row>
    <row r="340" ht="13.5" customHeight="1">
      <c r="A340" s="142"/>
      <c r="B340" s="142"/>
      <c r="C340" s="142"/>
      <c r="D340" s="142"/>
      <c r="E340" s="132"/>
      <c r="F340" s="131"/>
      <c r="G340" s="131"/>
      <c r="H340" s="131"/>
      <c r="I340" s="131"/>
      <c r="J340" s="219"/>
      <c r="K340" s="198"/>
      <c r="L340" s="131"/>
      <c r="M340" s="142"/>
      <c r="N340" s="131"/>
      <c r="O340" s="131"/>
      <c r="P340" s="131"/>
      <c r="Q340" s="131"/>
      <c r="R340" s="131"/>
      <c r="S340" s="131"/>
      <c r="T340" s="131"/>
      <c r="U340" s="131"/>
      <c r="V340" s="131"/>
      <c r="W340" s="131"/>
      <c r="X340" s="131"/>
      <c r="Y340" s="131"/>
      <c r="Z340" s="131"/>
      <c r="AA340" s="131"/>
      <c r="AB340" s="330"/>
      <c r="AC340" s="331"/>
      <c r="AD340" s="332"/>
      <c r="AE340" s="131"/>
      <c r="AF340" s="131"/>
      <c r="AG340" s="131"/>
      <c r="AH340" s="131"/>
      <c r="AI340" s="131"/>
      <c r="AJ340" s="131"/>
      <c r="AK340" s="131"/>
      <c r="AL340" s="131"/>
      <c r="AM340" s="131"/>
      <c r="AN340" s="131"/>
      <c r="AO340" s="142"/>
      <c r="AP340" s="131"/>
    </row>
    <row r="341" ht="13.5" customHeight="1">
      <c r="A341" s="142"/>
      <c r="B341" s="142"/>
      <c r="C341" s="142"/>
      <c r="D341" s="142"/>
      <c r="E341" s="132"/>
      <c r="F341" s="131"/>
      <c r="G341" s="131"/>
      <c r="H341" s="131"/>
      <c r="I341" s="131"/>
      <c r="J341" s="219"/>
      <c r="K341" s="198"/>
      <c r="L341" s="131"/>
      <c r="M341" s="142"/>
      <c r="N341" s="131"/>
      <c r="O341" s="131"/>
      <c r="P341" s="131"/>
      <c r="Q341" s="131"/>
      <c r="R341" s="131"/>
      <c r="S341" s="131"/>
      <c r="T341" s="131"/>
      <c r="U341" s="131"/>
      <c r="V341" s="131"/>
      <c r="W341" s="131"/>
      <c r="X341" s="131"/>
      <c r="Y341" s="131"/>
      <c r="Z341" s="131"/>
      <c r="AA341" s="131"/>
      <c r="AB341" s="330"/>
      <c r="AC341" s="331"/>
      <c r="AD341" s="332"/>
      <c r="AE341" s="131"/>
      <c r="AF341" s="131"/>
      <c r="AG341" s="131"/>
      <c r="AH341" s="131"/>
      <c r="AI341" s="131"/>
      <c r="AJ341" s="131"/>
      <c r="AK341" s="131"/>
      <c r="AL341" s="131"/>
      <c r="AM341" s="131"/>
      <c r="AN341" s="131"/>
      <c r="AO341" s="142"/>
      <c r="AP341" s="131"/>
    </row>
    <row r="342" ht="13.5" customHeight="1">
      <c r="A342" s="142"/>
      <c r="B342" s="142"/>
      <c r="C342" s="142"/>
      <c r="D342" s="142"/>
      <c r="E342" s="132"/>
      <c r="F342" s="131"/>
      <c r="G342" s="131"/>
      <c r="H342" s="131"/>
      <c r="I342" s="131"/>
      <c r="J342" s="219"/>
      <c r="K342" s="198"/>
      <c r="L342" s="131"/>
      <c r="M342" s="142"/>
      <c r="N342" s="131"/>
      <c r="O342" s="131"/>
      <c r="P342" s="131"/>
      <c r="Q342" s="131"/>
      <c r="R342" s="131"/>
      <c r="S342" s="131"/>
      <c r="T342" s="131"/>
      <c r="U342" s="131"/>
      <c r="V342" s="131"/>
      <c r="W342" s="131"/>
      <c r="X342" s="131"/>
      <c r="Y342" s="131"/>
      <c r="Z342" s="131"/>
      <c r="AA342" s="131"/>
      <c r="AB342" s="330"/>
      <c r="AC342" s="331"/>
      <c r="AD342" s="332"/>
      <c r="AE342" s="131"/>
      <c r="AF342" s="131"/>
      <c r="AG342" s="131"/>
      <c r="AH342" s="131"/>
      <c r="AI342" s="131"/>
      <c r="AJ342" s="131"/>
      <c r="AK342" s="131"/>
      <c r="AL342" s="131"/>
      <c r="AM342" s="131"/>
      <c r="AN342" s="131"/>
      <c r="AO342" s="142"/>
      <c r="AP342" s="131"/>
    </row>
    <row r="343" ht="13.5" customHeight="1">
      <c r="A343" s="142"/>
      <c r="B343" s="142"/>
      <c r="C343" s="142"/>
      <c r="D343" s="142"/>
      <c r="E343" s="132"/>
      <c r="F343" s="131"/>
      <c r="G343" s="131"/>
      <c r="H343" s="131"/>
      <c r="I343" s="131"/>
      <c r="J343" s="219"/>
      <c r="K343" s="198"/>
      <c r="L343" s="131"/>
      <c r="M343" s="142"/>
      <c r="N343" s="131"/>
      <c r="O343" s="131"/>
      <c r="P343" s="131"/>
      <c r="Q343" s="131"/>
      <c r="R343" s="131"/>
      <c r="S343" s="131"/>
      <c r="T343" s="131"/>
      <c r="U343" s="131"/>
      <c r="V343" s="131"/>
      <c r="W343" s="131"/>
      <c r="X343" s="131"/>
      <c r="Y343" s="131"/>
      <c r="Z343" s="131"/>
      <c r="AA343" s="131"/>
      <c r="AB343" s="330"/>
      <c r="AC343" s="331"/>
      <c r="AD343" s="332"/>
      <c r="AE343" s="131"/>
      <c r="AF343" s="131"/>
      <c r="AG343" s="131"/>
      <c r="AH343" s="131"/>
      <c r="AI343" s="131"/>
      <c r="AJ343" s="131"/>
      <c r="AK343" s="131"/>
      <c r="AL343" s="131"/>
      <c r="AM343" s="131"/>
      <c r="AN343" s="131"/>
      <c r="AO343" s="142"/>
      <c r="AP343" s="131"/>
    </row>
    <row r="344" ht="13.5" customHeight="1">
      <c r="A344" s="142"/>
      <c r="B344" s="142"/>
      <c r="C344" s="142"/>
      <c r="D344" s="142"/>
      <c r="E344" s="132"/>
      <c r="F344" s="131"/>
      <c r="G344" s="131"/>
      <c r="H344" s="131"/>
      <c r="I344" s="131"/>
      <c r="J344" s="219"/>
      <c r="K344" s="198"/>
      <c r="L344" s="131"/>
      <c r="M344" s="142"/>
      <c r="N344" s="131"/>
      <c r="O344" s="131"/>
      <c r="P344" s="131"/>
      <c r="Q344" s="131"/>
      <c r="R344" s="131"/>
      <c r="S344" s="131"/>
      <c r="T344" s="131"/>
      <c r="U344" s="131"/>
      <c r="V344" s="131"/>
      <c r="W344" s="131"/>
      <c r="X344" s="131"/>
      <c r="Y344" s="131"/>
      <c r="Z344" s="131"/>
      <c r="AA344" s="131"/>
      <c r="AB344" s="330"/>
      <c r="AC344" s="331"/>
      <c r="AD344" s="332"/>
      <c r="AE344" s="131"/>
      <c r="AF344" s="131"/>
      <c r="AG344" s="131"/>
      <c r="AH344" s="131"/>
      <c r="AI344" s="131"/>
      <c r="AJ344" s="131"/>
      <c r="AK344" s="131"/>
      <c r="AL344" s="131"/>
      <c r="AM344" s="131"/>
      <c r="AN344" s="131"/>
      <c r="AO344" s="142"/>
      <c r="AP344" s="131"/>
    </row>
    <row r="345" ht="13.5" customHeight="1">
      <c r="A345" s="142"/>
      <c r="B345" s="142"/>
      <c r="C345" s="142"/>
      <c r="D345" s="142"/>
      <c r="E345" s="132"/>
      <c r="F345" s="131"/>
      <c r="G345" s="131"/>
      <c r="H345" s="131"/>
      <c r="I345" s="131"/>
      <c r="J345" s="219"/>
      <c r="K345" s="198"/>
      <c r="L345" s="131"/>
      <c r="M345" s="142"/>
      <c r="N345" s="131"/>
      <c r="O345" s="131"/>
      <c r="P345" s="131"/>
      <c r="Q345" s="131"/>
      <c r="R345" s="131"/>
      <c r="S345" s="131"/>
      <c r="T345" s="131"/>
      <c r="U345" s="131"/>
      <c r="V345" s="131"/>
      <c r="W345" s="131"/>
      <c r="X345" s="131"/>
      <c r="Y345" s="131"/>
      <c r="Z345" s="131"/>
      <c r="AA345" s="131"/>
      <c r="AB345" s="330"/>
      <c r="AC345" s="331"/>
      <c r="AD345" s="332"/>
      <c r="AE345" s="131"/>
      <c r="AF345" s="131"/>
      <c r="AG345" s="131"/>
      <c r="AH345" s="131"/>
      <c r="AI345" s="131"/>
      <c r="AJ345" s="131"/>
      <c r="AK345" s="131"/>
      <c r="AL345" s="131"/>
      <c r="AM345" s="131"/>
      <c r="AN345" s="131"/>
      <c r="AO345" s="142"/>
      <c r="AP345" s="131"/>
    </row>
    <row r="346" ht="13.5" customHeight="1">
      <c r="A346" s="142"/>
      <c r="B346" s="142"/>
      <c r="C346" s="142"/>
      <c r="D346" s="142"/>
      <c r="E346" s="132"/>
      <c r="F346" s="131"/>
      <c r="G346" s="131"/>
      <c r="H346" s="131"/>
      <c r="I346" s="131"/>
      <c r="J346" s="219"/>
      <c r="K346" s="198"/>
      <c r="L346" s="131"/>
      <c r="M346" s="142"/>
      <c r="N346" s="131"/>
      <c r="O346" s="131"/>
      <c r="P346" s="131"/>
      <c r="Q346" s="131"/>
      <c r="R346" s="131"/>
      <c r="S346" s="131"/>
      <c r="T346" s="131"/>
      <c r="U346" s="131"/>
      <c r="V346" s="131"/>
      <c r="W346" s="131"/>
      <c r="X346" s="131"/>
      <c r="Y346" s="131"/>
      <c r="Z346" s="131"/>
      <c r="AA346" s="131"/>
      <c r="AB346" s="330"/>
      <c r="AC346" s="331"/>
      <c r="AD346" s="332"/>
      <c r="AE346" s="131"/>
      <c r="AF346" s="131"/>
      <c r="AG346" s="131"/>
      <c r="AH346" s="131"/>
      <c r="AI346" s="131"/>
      <c r="AJ346" s="131"/>
      <c r="AK346" s="131"/>
      <c r="AL346" s="131"/>
      <c r="AM346" s="131"/>
      <c r="AN346" s="131"/>
      <c r="AO346" s="142"/>
      <c r="AP346" s="131"/>
    </row>
    <row r="347" ht="13.5" customHeight="1">
      <c r="A347" s="142"/>
      <c r="B347" s="142"/>
      <c r="C347" s="142"/>
      <c r="D347" s="142"/>
      <c r="E347" s="132"/>
      <c r="F347" s="131"/>
      <c r="G347" s="131"/>
      <c r="H347" s="131"/>
      <c r="I347" s="131"/>
      <c r="J347" s="219"/>
      <c r="K347" s="198"/>
      <c r="L347" s="131"/>
      <c r="M347" s="142"/>
      <c r="N347" s="131"/>
      <c r="O347" s="131"/>
      <c r="P347" s="131"/>
      <c r="Q347" s="131"/>
      <c r="R347" s="131"/>
      <c r="S347" s="131"/>
      <c r="T347" s="131"/>
      <c r="U347" s="131"/>
      <c r="V347" s="131"/>
      <c r="W347" s="131"/>
      <c r="X347" s="131"/>
      <c r="Y347" s="131"/>
      <c r="Z347" s="131"/>
      <c r="AA347" s="131"/>
      <c r="AB347" s="330"/>
      <c r="AC347" s="331"/>
      <c r="AD347" s="332"/>
      <c r="AE347" s="131"/>
      <c r="AF347" s="131"/>
      <c r="AG347" s="131"/>
      <c r="AH347" s="131"/>
      <c r="AI347" s="131"/>
      <c r="AJ347" s="131"/>
      <c r="AK347" s="131"/>
      <c r="AL347" s="131"/>
      <c r="AM347" s="131"/>
      <c r="AN347" s="131"/>
      <c r="AO347" s="142"/>
      <c r="AP347" s="131"/>
    </row>
    <row r="348" ht="13.5" customHeight="1">
      <c r="A348" s="142"/>
      <c r="B348" s="142"/>
      <c r="C348" s="142"/>
      <c r="D348" s="142"/>
      <c r="E348" s="132"/>
      <c r="F348" s="131"/>
      <c r="G348" s="131"/>
      <c r="H348" s="131"/>
      <c r="I348" s="131"/>
      <c r="J348" s="219"/>
      <c r="K348" s="198"/>
      <c r="L348" s="131"/>
      <c r="M348" s="142"/>
      <c r="N348" s="131"/>
      <c r="O348" s="131"/>
      <c r="P348" s="131"/>
      <c r="Q348" s="131"/>
      <c r="R348" s="131"/>
      <c r="S348" s="131"/>
      <c r="T348" s="131"/>
      <c r="U348" s="131"/>
      <c r="V348" s="131"/>
      <c r="W348" s="131"/>
      <c r="X348" s="131"/>
      <c r="Y348" s="131"/>
      <c r="Z348" s="131"/>
      <c r="AA348" s="131"/>
      <c r="AB348" s="330"/>
      <c r="AC348" s="331"/>
      <c r="AD348" s="332"/>
      <c r="AE348" s="131"/>
      <c r="AF348" s="131"/>
      <c r="AG348" s="131"/>
      <c r="AH348" s="131"/>
      <c r="AI348" s="131"/>
      <c r="AJ348" s="131"/>
      <c r="AK348" s="131"/>
      <c r="AL348" s="131"/>
      <c r="AM348" s="131"/>
      <c r="AN348" s="131"/>
      <c r="AO348" s="142"/>
      <c r="AP348" s="131"/>
    </row>
    <row r="349" ht="13.5" customHeight="1">
      <c r="A349" s="142"/>
      <c r="B349" s="142"/>
      <c r="C349" s="142"/>
      <c r="D349" s="142"/>
      <c r="E349" s="132"/>
      <c r="F349" s="131"/>
      <c r="G349" s="131"/>
      <c r="H349" s="131"/>
      <c r="I349" s="131"/>
      <c r="J349" s="219"/>
      <c r="K349" s="198"/>
      <c r="L349" s="131"/>
      <c r="M349" s="142"/>
      <c r="N349" s="131"/>
      <c r="O349" s="131"/>
      <c r="P349" s="131"/>
      <c r="Q349" s="131"/>
      <c r="R349" s="131"/>
      <c r="S349" s="131"/>
      <c r="T349" s="131"/>
      <c r="U349" s="131"/>
      <c r="V349" s="131"/>
      <c r="W349" s="131"/>
      <c r="X349" s="131"/>
      <c r="Y349" s="131"/>
      <c r="Z349" s="131"/>
      <c r="AA349" s="131"/>
      <c r="AB349" s="330"/>
      <c r="AC349" s="331"/>
      <c r="AD349" s="332"/>
      <c r="AE349" s="131"/>
      <c r="AF349" s="131"/>
      <c r="AG349" s="131"/>
      <c r="AH349" s="131"/>
      <c r="AI349" s="131"/>
      <c r="AJ349" s="131"/>
      <c r="AK349" s="131"/>
      <c r="AL349" s="131"/>
      <c r="AM349" s="131"/>
      <c r="AN349" s="131"/>
      <c r="AO349" s="142"/>
      <c r="AP349" s="131"/>
    </row>
    <row r="350" ht="13.5" customHeight="1">
      <c r="A350" s="142"/>
      <c r="B350" s="142"/>
      <c r="C350" s="142"/>
      <c r="D350" s="142"/>
      <c r="E350" s="132"/>
      <c r="F350" s="131"/>
      <c r="G350" s="131"/>
      <c r="H350" s="131"/>
      <c r="I350" s="131"/>
      <c r="J350" s="219"/>
      <c r="K350" s="198"/>
      <c r="L350" s="131"/>
      <c r="M350" s="142"/>
      <c r="N350" s="131"/>
      <c r="O350" s="131"/>
      <c r="P350" s="131"/>
      <c r="Q350" s="131"/>
      <c r="R350" s="131"/>
      <c r="S350" s="131"/>
      <c r="T350" s="131"/>
      <c r="U350" s="131"/>
      <c r="V350" s="131"/>
      <c r="W350" s="131"/>
      <c r="X350" s="131"/>
      <c r="Y350" s="131"/>
      <c r="Z350" s="131"/>
      <c r="AA350" s="131"/>
      <c r="AB350" s="330"/>
      <c r="AC350" s="331"/>
      <c r="AD350" s="332"/>
      <c r="AE350" s="131"/>
      <c r="AF350" s="131"/>
      <c r="AG350" s="131"/>
      <c r="AH350" s="131"/>
      <c r="AI350" s="131"/>
      <c r="AJ350" s="131"/>
      <c r="AK350" s="131"/>
      <c r="AL350" s="131"/>
      <c r="AM350" s="131"/>
      <c r="AN350" s="131"/>
      <c r="AO350" s="142"/>
      <c r="AP350" s="131"/>
    </row>
    <row r="351" ht="13.5" customHeight="1">
      <c r="A351" s="142"/>
      <c r="B351" s="142"/>
      <c r="C351" s="142"/>
      <c r="D351" s="142"/>
      <c r="E351" s="132"/>
      <c r="F351" s="131"/>
      <c r="G351" s="131"/>
      <c r="H351" s="131"/>
      <c r="I351" s="131"/>
      <c r="J351" s="219"/>
      <c r="K351" s="198"/>
      <c r="L351" s="131"/>
      <c r="M351" s="142"/>
      <c r="N351" s="131"/>
      <c r="O351" s="131"/>
      <c r="P351" s="131"/>
      <c r="Q351" s="131"/>
      <c r="R351" s="131"/>
      <c r="S351" s="131"/>
      <c r="T351" s="131"/>
      <c r="U351" s="131"/>
      <c r="V351" s="131"/>
      <c r="W351" s="131"/>
      <c r="X351" s="131"/>
      <c r="Y351" s="131"/>
      <c r="Z351" s="131"/>
      <c r="AA351" s="131"/>
      <c r="AB351" s="330"/>
      <c r="AC351" s="331"/>
      <c r="AD351" s="332"/>
      <c r="AE351" s="131"/>
      <c r="AF351" s="131"/>
      <c r="AG351" s="131"/>
      <c r="AH351" s="131"/>
      <c r="AI351" s="131"/>
      <c r="AJ351" s="131"/>
      <c r="AK351" s="131"/>
      <c r="AL351" s="131"/>
      <c r="AM351" s="131"/>
      <c r="AN351" s="131"/>
      <c r="AO351" s="142"/>
      <c r="AP351" s="131"/>
    </row>
    <row r="352" ht="13.5" customHeight="1">
      <c r="A352" s="142"/>
      <c r="B352" s="142"/>
      <c r="C352" s="142"/>
      <c r="D352" s="142"/>
      <c r="E352" s="132"/>
      <c r="F352" s="131"/>
      <c r="G352" s="131"/>
      <c r="H352" s="131"/>
      <c r="I352" s="131"/>
      <c r="J352" s="219"/>
      <c r="K352" s="198"/>
      <c r="L352" s="131"/>
      <c r="M352" s="142"/>
      <c r="N352" s="131"/>
      <c r="O352" s="131"/>
      <c r="P352" s="131"/>
      <c r="Q352" s="131"/>
      <c r="R352" s="131"/>
      <c r="S352" s="131"/>
      <c r="T352" s="131"/>
      <c r="U352" s="131"/>
      <c r="V352" s="131"/>
      <c r="W352" s="131"/>
      <c r="X352" s="131"/>
      <c r="Y352" s="131"/>
      <c r="Z352" s="131"/>
      <c r="AA352" s="131"/>
      <c r="AB352" s="330"/>
      <c r="AC352" s="331"/>
      <c r="AD352" s="332"/>
      <c r="AE352" s="131"/>
      <c r="AF352" s="131"/>
      <c r="AG352" s="131"/>
      <c r="AH352" s="131"/>
      <c r="AI352" s="131"/>
      <c r="AJ352" s="131"/>
      <c r="AK352" s="131"/>
      <c r="AL352" s="131"/>
      <c r="AM352" s="131"/>
      <c r="AN352" s="131"/>
      <c r="AO352" s="142"/>
      <c r="AP352" s="131"/>
    </row>
    <row r="353" ht="13.5" customHeight="1">
      <c r="A353" s="142"/>
      <c r="B353" s="142"/>
      <c r="C353" s="142"/>
      <c r="D353" s="142"/>
      <c r="E353" s="132"/>
      <c r="F353" s="131"/>
      <c r="G353" s="131"/>
      <c r="H353" s="131"/>
      <c r="I353" s="131"/>
      <c r="J353" s="219"/>
      <c r="K353" s="198"/>
      <c r="L353" s="131"/>
      <c r="M353" s="142"/>
      <c r="N353" s="131"/>
      <c r="O353" s="131"/>
      <c r="P353" s="131"/>
      <c r="Q353" s="131"/>
      <c r="R353" s="131"/>
      <c r="S353" s="131"/>
      <c r="T353" s="131"/>
      <c r="U353" s="131"/>
      <c r="V353" s="131"/>
      <c r="W353" s="131"/>
      <c r="X353" s="131"/>
      <c r="Y353" s="131"/>
      <c r="Z353" s="131"/>
      <c r="AA353" s="131"/>
      <c r="AB353" s="330"/>
      <c r="AC353" s="331"/>
      <c r="AD353" s="332"/>
      <c r="AE353" s="131"/>
      <c r="AF353" s="131"/>
      <c r="AG353" s="131"/>
      <c r="AH353" s="131"/>
      <c r="AI353" s="131"/>
      <c r="AJ353" s="131"/>
      <c r="AK353" s="131"/>
      <c r="AL353" s="131"/>
      <c r="AM353" s="131"/>
      <c r="AN353" s="131"/>
      <c r="AO353" s="142"/>
      <c r="AP353" s="131"/>
    </row>
    <row r="354" ht="13.5" customHeight="1">
      <c r="A354" s="142"/>
      <c r="B354" s="142"/>
      <c r="C354" s="142"/>
      <c r="D354" s="142"/>
      <c r="E354" s="132"/>
      <c r="F354" s="131"/>
      <c r="G354" s="131"/>
      <c r="H354" s="131"/>
      <c r="I354" s="131"/>
      <c r="J354" s="219"/>
      <c r="K354" s="198"/>
      <c r="L354" s="131"/>
      <c r="M354" s="142"/>
      <c r="N354" s="131"/>
      <c r="O354" s="131"/>
      <c r="P354" s="131"/>
      <c r="Q354" s="131"/>
      <c r="R354" s="131"/>
      <c r="S354" s="131"/>
      <c r="T354" s="131"/>
      <c r="U354" s="131"/>
      <c r="V354" s="131"/>
      <c r="W354" s="131"/>
      <c r="X354" s="131"/>
      <c r="Y354" s="131"/>
      <c r="Z354" s="131"/>
      <c r="AA354" s="131"/>
      <c r="AB354" s="330"/>
      <c r="AC354" s="331"/>
      <c r="AD354" s="332"/>
      <c r="AE354" s="131"/>
      <c r="AF354" s="131"/>
      <c r="AG354" s="131"/>
      <c r="AH354" s="131"/>
      <c r="AI354" s="131"/>
      <c r="AJ354" s="131"/>
      <c r="AK354" s="131"/>
      <c r="AL354" s="131"/>
      <c r="AM354" s="131"/>
      <c r="AN354" s="131"/>
      <c r="AO354" s="142"/>
      <c r="AP354" s="131"/>
    </row>
    <row r="355" ht="13.5" customHeight="1">
      <c r="A355" s="142"/>
      <c r="B355" s="142"/>
      <c r="C355" s="142"/>
      <c r="D355" s="142"/>
      <c r="E355" s="132"/>
      <c r="F355" s="131"/>
      <c r="G355" s="131"/>
      <c r="H355" s="131"/>
      <c r="I355" s="131"/>
      <c r="J355" s="219"/>
      <c r="K355" s="198"/>
      <c r="L355" s="131"/>
      <c r="M355" s="142"/>
      <c r="N355" s="131"/>
      <c r="O355" s="131"/>
      <c r="P355" s="131"/>
      <c r="Q355" s="131"/>
      <c r="R355" s="131"/>
      <c r="S355" s="131"/>
      <c r="T355" s="131"/>
      <c r="U355" s="131"/>
      <c r="V355" s="131"/>
      <c r="W355" s="131"/>
      <c r="X355" s="131"/>
      <c r="Y355" s="131"/>
      <c r="Z355" s="131"/>
      <c r="AA355" s="131"/>
      <c r="AB355" s="330"/>
      <c r="AC355" s="331"/>
      <c r="AD355" s="332"/>
      <c r="AE355" s="131"/>
      <c r="AF355" s="131"/>
      <c r="AG355" s="131"/>
      <c r="AH355" s="131"/>
      <c r="AI355" s="131"/>
      <c r="AJ355" s="131"/>
      <c r="AK355" s="131"/>
      <c r="AL355" s="131"/>
      <c r="AM355" s="131"/>
      <c r="AN355" s="131"/>
      <c r="AO355" s="142"/>
      <c r="AP355" s="131"/>
    </row>
    <row r="356" ht="13.5" customHeight="1">
      <c r="A356" s="142"/>
      <c r="B356" s="142"/>
      <c r="C356" s="142"/>
      <c r="D356" s="142"/>
      <c r="E356" s="132"/>
      <c r="F356" s="131"/>
      <c r="G356" s="131"/>
      <c r="H356" s="131"/>
      <c r="I356" s="131"/>
      <c r="J356" s="219"/>
      <c r="K356" s="198"/>
      <c r="L356" s="131"/>
      <c r="M356" s="142"/>
      <c r="N356" s="131"/>
      <c r="O356" s="131"/>
      <c r="P356" s="131"/>
      <c r="Q356" s="131"/>
      <c r="R356" s="131"/>
      <c r="S356" s="131"/>
      <c r="T356" s="131"/>
      <c r="U356" s="131"/>
      <c r="V356" s="131"/>
      <c r="W356" s="131"/>
      <c r="X356" s="131"/>
      <c r="Y356" s="131"/>
      <c r="Z356" s="131"/>
      <c r="AA356" s="131"/>
      <c r="AB356" s="330"/>
      <c r="AC356" s="331"/>
      <c r="AD356" s="332"/>
      <c r="AE356" s="131"/>
      <c r="AF356" s="131"/>
      <c r="AG356" s="131"/>
      <c r="AH356" s="131"/>
      <c r="AI356" s="131"/>
      <c r="AJ356" s="131"/>
      <c r="AK356" s="131"/>
      <c r="AL356" s="131"/>
      <c r="AM356" s="131"/>
      <c r="AN356" s="131"/>
      <c r="AO356" s="142"/>
      <c r="AP356" s="131"/>
    </row>
    <row r="357" ht="13.5" customHeight="1">
      <c r="A357" s="142"/>
      <c r="B357" s="142"/>
      <c r="C357" s="142"/>
      <c r="D357" s="142"/>
      <c r="E357" s="132"/>
      <c r="F357" s="131"/>
      <c r="G357" s="131"/>
      <c r="H357" s="131"/>
      <c r="I357" s="131"/>
      <c r="J357" s="219"/>
      <c r="K357" s="198"/>
      <c r="L357" s="131"/>
      <c r="M357" s="142"/>
      <c r="N357" s="131"/>
      <c r="O357" s="131"/>
      <c r="P357" s="131"/>
      <c r="Q357" s="131"/>
      <c r="R357" s="131"/>
      <c r="S357" s="131"/>
      <c r="T357" s="131"/>
      <c r="U357" s="131"/>
      <c r="V357" s="131"/>
      <c r="W357" s="131"/>
      <c r="X357" s="131"/>
      <c r="Y357" s="131"/>
      <c r="Z357" s="131"/>
      <c r="AA357" s="131"/>
      <c r="AB357" s="330"/>
      <c r="AC357" s="331"/>
      <c r="AD357" s="332"/>
      <c r="AE357" s="131"/>
      <c r="AF357" s="131"/>
      <c r="AG357" s="131"/>
      <c r="AH357" s="131"/>
      <c r="AI357" s="131"/>
      <c r="AJ357" s="131"/>
      <c r="AK357" s="131"/>
      <c r="AL357" s="131"/>
      <c r="AM357" s="131"/>
      <c r="AN357" s="131"/>
      <c r="AO357" s="142"/>
      <c r="AP357" s="131"/>
    </row>
    <row r="358" ht="13.5" customHeight="1">
      <c r="A358" s="142"/>
      <c r="B358" s="142"/>
      <c r="C358" s="142"/>
      <c r="D358" s="142"/>
      <c r="E358" s="132"/>
      <c r="F358" s="131"/>
      <c r="G358" s="131"/>
      <c r="H358" s="131"/>
      <c r="I358" s="131"/>
      <c r="J358" s="219"/>
      <c r="K358" s="198"/>
      <c r="L358" s="131"/>
      <c r="M358" s="142"/>
      <c r="N358" s="131"/>
      <c r="O358" s="131"/>
      <c r="P358" s="131"/>
      <c r="Q358" s="131"/>
      <c r="R358" s="131"/>
      <c r="S358" s="131"/>
      <c r="T358" s="131"/>
      <c r="U358" s="131"/>
      <c r="V358" s="131"/>
      <c r="W358" s="131"/>
      <c r="X358" s="131"/>
      <c r="Y358" s="131"/>
      <c r="Z358" s="131"/>
      <c r="AA358" s="131"/>
      <c r="AB358" s="330"/>
      <c r="AC358" s="331"/>
      <c r="AD358" s="332"/>
      <c r="AE358" s="131"/>
      <c r="AF358" s="131"/>
      <c r="AG358" s="131"/>
      <c r="AH358" s="131"/>
      <c r="AI358" s="131"/>
      <c r="AJ358" s="131"/>
      <c r="AK358" s="131"/>
      <c r="AL358" s="131"/>
      <c r="AM358" s="131"/>
      <c r="AN358" s="131"/>
      <c r="AO358" s="142"/>
      <c r="AP358" s="131"/>
    </row>
    <row r="359" ht="13.5" customHeight="1">
      <c r="A359" s="142"/>
      <c r="B359" s="142"/>
      <c r="C359" s="142"/>
      <c r="D359" s="142"/>
      <c r="E359" s="132"/>
      <c r="F359" s="131"/>
      <c r="G359" s="131"/>
      <c r="H359" s="131"/>
      <c r="I359" s="131"/>
      <c r="J359" s="219"/>
      <c r="K359" s="198"/>
      <c r="L359" s="131"/>
      <c r="M359" s="142"/>
      <c r="N359" s="131"/>
      <c r="O359" s="131"/>
      <c r="P359" s="131"/>
      <c r="Q359" s="131"/>
      <c r="R359" s="131"/>
      <c r="S359" s="131"/>
      <c r="T359" s="131"/>
      <c r="U359" s="131"/>
      <c r="V359" s="131"/>
      <c r="W359" s="131"/>
      <c r="X359" s="131"/>
      <c r="Y359" s="131"/>
      <c r="Z359" s="131"/>
      <c r="AA359" s="131"/>
      <c r="AB359" s="330"/>
      <c r="AC359" s="331"/>
      <c r="AD359" s="332"/>
      <c r="AE359" s="131"/>
      <c r="AF359" s="131"/>
      <c r="AG359" s="131"/>
      <c r="AH359" s="131"/>
      <c r="AI359" s="131"/>
      <c r="AJ359" s="131"/>
      <c r="AK359" s="131"/>
      <c r="AL359" s="131"/>
      <c r="AM359" s="131"/>
      <c r="AN359" s="131"/>
      <c r="AO359" s="142"/>
      <c r="AP359" s="131"/>
    </row>
    <row r="360" ht="13.5" customHeight="1">
      <c r="A360" s="142"/>
      <c r="B360" s="142"/>
      <c r="C360" s="142"/>
      <c r="D360" s="142"/>
      <c r="E360" s="132"/>
      <c r="F360" s="131"/>
      <c r="G360" s="131"/>
      <c r="H360" s="131"/>
      <c r="I360" s="131"/>
      <c r="J360" s="219"/>
      <c r="K360" s="198"/>
      <c r="L360" s="131"/>
      <c r="M360" s="142"/>
      <c r="N360" s="131"/>
      <c r="O360" s="131"/>
      <c r="P360" s="131"/>
      <c r="Q360" s="131"/>
      <c r="R360" s="131"/>
      <c r="S360" s="131"/>
      <c r="T360" s="131"/>
      <c r="U360" s="131"/>
      <c r="V360" s="131"/>
      <c r="W360" s="131"/>
      <c r="X360" s="131"/>
      <c r="Y360" s="131"/>
      <c r="Z360" s="131"/>
      <c r="AA360" s="131"/>
      <c r="AB360" s="330"/>
      <c r="AC360" s="331"/>
      <c r="AD360" s="332"/>
      <c r="AE360" s="131"/>
      <c r="AF360" s="131"/>
      <c r="AG360" s="131"/>
      <c r="AH360" s="131"/>
      <c r="AI360" s="131"/>
      <c r="AJ360" s="131"/>
      <c r="AK360" s="131"/>
      <c r="AL360" s="131"/>
      <c r="AM360" s="131"/>
      <c r="AN360" s="131"/>
      <c r="AO360" s="142"/>
      <c r="AP360" s="131"/>
    </row>
    <row r="361" ht="13.5" customHeight="1">
      <c r="A361" s="142"/>
      <c r="B361" s="142"/>
      <c r="C361" s="142"/>
      <c r="D361" s="142"/>
      <c r="E361" s="132"/>
      <c r="F361" s="131"/>
      <c r="G361" s="131"/>
      <c r="H361" s="131"/>
      <c r="I361" s="131"/>
      <c r="J361" s="219"/>
      <c r="K361" s="198"/>
      <c r="L361" s="131"/>
      <c r="M361" s="142"/>
      <c r="N361" s="131"/>
      <c r="O361" s="131"/>
      <c r="P361" s="131"/>
      <c r="Q361" s="131"/>
      <c r="R361" s="131"/>
      <c r="S361" s="131"/>
      <c r="T361" s="131"/>
      <c r="U361" s="131"/>
      <c r="V361" s="131"/>
      <c r="W361" s="131"/>
      <c r="X361" s="131"/>
      <c r="Y361" s="131"/>
      <c r="Z361" s="131"/>
      <c r="AA361" s="131"/>
      <c r="AB361" s="330"/>
      <c r="AC361" s="331"/>
      <c r="AD361" s="332"/>
      <c r="AE361" s="131"/>
      <c r="AF361" s="131"/>
      <c r="AG361" s="131"/>
      <c r="AH361" s="131"/>
      <c r="AI361" s="131"/>
      <c r="AJ361" s="131"/>
      <c r="AK361" s="131"/>
      <c r="AL361" s="131"/>
      <c r="AM361" s="131"/>
      <c r="AN361" s="131"/>
      <c r="AO361" s="142"/>
      <c r="AP361" s="131"/>
    </row>
    <row r="362" ht="13.5" customHeight="1">
      <c r="A362" s="142"/>
      <c r="B362" s="142"/>
      <c r="C362" s="142"/>
      <c r="D362" s="142"/>
      <c r="E362" s="132"/>
      <c r="F362" s="131"/>
      <c r="G362" s="131"/>
      <c r="H362" s="131"/>
      <c r="I362" s="131"/>
      <c r="J362" s="219"/>
      <c r="K362" s="198"/>
      <c r="L362" s="131"/>
      <c r="M362" s="142"/>
      <c r="N362" s="131"/>
      <c r="O362" s="131"/>
      <c r="P362" s="131"/>
      <c r="Q362" s="131"/>
      <c r="R362" s="131"/>
      <c r="S362" s="131"/>
      <c r="T362" s="131"/>
      <c r="U362" s="131"/>
      <c r="V362" s="131"/>
      <c r="W362" s="131"/>
      <c r="X362" s="131"/>
      <c r="Y362" s="131"/>
      <c r="Z362" s="131"/>
      <c r="AA362" s="131"/>
      <c r="AB362" s="330"/>
      <c r="AC362" s="331"/>
      <c r="AD362" s="332"/>
      <c r="AE362" s="131"/>
      <c r="AF362" s="131"/>
      <c r="AG362" s="131"/>
      <c r="AH362" s="131"/>
      <c r="AI362" s="131"/>
      <c r="AJ362" s="131"/>
      <c r="AK362" s="131"/>
      <c r="AL362" s="131"/>
      <c r="AM362" s="131"/>
      <c r="AN362" s="131"/>
      <c r="AO362" s="142"/>
      <c r="AP362" s="131"/>
    </row>
    <row r="363" ht="13.5" customHeight="1">
      <c r="A363" s="142"/>
      <c r="B363" s="142"/>
      <c r="C363" s="142"/>
      <c r="D363" s="142"/>
      <c r="E363" s="132"/>
      <c r="F363" s="131"/>
      <c r="G363" s="131"/>
      <c r="H363" s="131"/>
      <c r="I363" s="131"/>
      <c r="J363" s="219"/>
      <c r="K363" s="198"/>
      <c r="L363" s="131"/>
      <c r="M363" s="142"/>
      <c r="N363" s="131"/>
      <c r="O363" s="131"/>
      <c r="P363" s="131"/>
      <c r="Q363" s="131"/>
      <c r="R363" s="131"/>
      <c r="S363" s="131"/>
      <c r="T363" s="131"/>
      <c r="U363" s="131"/>
      <c r="V363" s="131"/>
      <c r="W363" s="131"/>
      <c r="X363" s="131"/>
      <c r="Y363" s="131"/>
      <c r="Z363" s="131"/>
      <c r="AA363" s="131"/>
      <c r="AB363" s="330"/>
      <c r="AC363" s="331"/>
      <c r="AD363" s="332"/>
      <c r="AE363" s="131"/>
      <c r="AF363" s="131"/>
      <c r="AG363" s="131"/>
      <c r="AH363" s="131"/>
      <c r="AI363" s="131"/>
      <c r="AJ363" s="131"/>
      <c r="AK363" s="131"/>
      <c r="AL363" s="131"/>
      <c r="AM363" s="131"/>
      <c r="AN363" s="131"/>
      <c r="AO363" s="142"/>
      <c r="AP363" s="131"/>
    </row>
    <row r="364" ht="13.5" customHeight="1">
      <c r="A364" s="142"/>
      <c r="B364" s="142"/>
      <c r="C364" s="142"/>
      <c r="D364" s="142"/>
      <c r="E364" s="132"/>
      <c r="F364" s="131"/>
      <c r="G364" s="131"/>
      <c r="H364" s="131"/>
      <c r="I364" s="131"/>
      <c r="J364" s="219"/>
      <c r="K364" s="198"/>
      <c r="L364" s="131"/>
      <c r="M364" s="142"/>
      <c r="N364" s="131"/>
      <c r="O364" s="131"/>
      <c r="P364" s="131"/>
      <c r="Q364" s="131"/>
      <c r="R364" s="131"/>
      <c r="S364" s="131"/>
      <c r="T364" s="131"/>
      <c r="U364" s="131"/>
      <c r="V364" s="131"/>
      <c r="W364" s="131"/>
      <c r="X364" s="131"/>
      <c r="Y364" s="131"/>
      <c r="Z364" s="131"/>
      <c r="AA364" s="131"/>
      <c r="AB364" s="330"/>
      <c r="AC364" s="331"/>
      <c r="AD364" s="332"/>
      <c r="AE364" s="131"/>
      <c r="AF364" s="131"/>
      <c r="AG364" s="131"/>
      <c r="AH364" s="131"/>
      <c r="AI364" s="131"/>
      <c r="AJ364" s="131"/>
      <c r="AK364" s="131"/>
      <c r="AL364" s="131"/>
      <c r="AM364" s="131"/>
      <c r="AN364" s="131"/>
      <c r="AO364" s="142"/>
      <c r="AP364" s="131"/>
    </row>
    <row r="365" ht="13.5" customHeight="1">
      <c r="A365" s="142"/>
      <c r="B365" s="142"/>
      <c r="C365" s="142"/>
      <c r="D365" s="142"/>
      <c r="E365" s="132"/>
      <c r="F365" s="131"/>
      <c r="G365" s="131"/>
      <c r="H365" s="131"/>
      <c r="I365" s="131"/>
      <c r="J365" s="219"/>
      <c r="K365" s="198"/>
      <c r="L365" s="131"/>
      <c r="M365" s="142"/>
      <c r="N365" s="131"/>
      <c r="O365" s="131"/>
      <c r="P365" s="131"/>
      <c r="Q365" s="131"/>
      <c r="R365" s="131"/>
      <c r="S365" s="131"/>
      <c r="T365" s="131"/>
      <c r="U365" s="131"/>
      <c r="V365" s="131"/>
      <c r="W365" s="131"/>
      <c r="X365" s="131"/>
      <c r="Y365" s="131"/>
      <c r="Z365" s="131"/>
      <c r="AA365" s="131"/>
      <c r="AB365" s="330"/>
      <c r="AC365" s="331"/>
      <c r="AD365" s="332"/>
      <c r="AE365" s="131"/>
      <c r="AF365" s="131"/>
      <c r="AG365" s="131"/>
      <c r="AH365" s="131"/>
      <c r="AI365" s="131"/>
      <c r="AJ365" s="131"/>
      <c r="AK365" s="131"/>
      <c r="AL365" s="131"/>
      <c r="AM365" s="131"/>
      <c r="AN365" s="131"/>
      <c r="AO365" s="142"/>
      <c r="AP365" s="131"/>
    </row>
    <row r="366" ht="13.5" customHeight="1">
      <c r="A366" s="142"/>
      <c r="B366" s="142"/>
      <c r="C366" s="142"/>
      <c r="D366" s="142"/>
      <c r="E366" s="132"/>
      <c r="F366" s="131"/>
      <c r="G366" s="131"/>
      <c r="H366" s="131"/>
      <c r="I366" s="131"/>
      <c r="J366" s="219"/>
      <c r="K366" s="198"/>
      <c r="L366" s="131"/>
      <c r="M366" s="142"/>
      <c r="N366" s="131"/>
      <c r="O366" s="131"/>
      <c r="P366" s="131"/>
      <c r="Q366" s="131"/>
      <c r="R366" s="131"/>
      <c r="S366" s="131"/>
      <c r="T366" s="131"/>
      <c r="U366" s="131"/>
      <c r="V366" s="131"/>
      <c r="W366" s="131"/>
      <c r="X366" s="131"/>
      <c r="Y366" s="131"/>
      <c r="Z366" s="131"/>
      <c r="AA366" s="131"/>
      <c r="AB366" s="330"/>
      <c r="AC366" s="331"/>
      <c r="AD366" s="332"/>
      <c r="AE366" s="131"/>
      <c r="AF366" s="131"/>
      <c r="AG366" s="131"/>
      <c r="AH366" s="131"/>
      <c r="AI366" s="131"/>
      <c r="AJ366" s="131"/>
      <c r="AK366" s="131"/>
      <c r="AL366" s="131"/>
      <c r="AM366" s="131"/>
      <c r="AN366" s="131"/>
      <c r="AO366" s="142"/>
      <c r="AP366" s="131"/>
    </row>
    <row r="367" ht="13.5" customHeight="1">
      <c r="A367" s="142"/>
      <c r="B367" s="142"/>
      <c r="C367" s="142"/>
      <c r="D367" s="142"/>
      <c r="E367" s="132"/>
      <c r="F367" s="131"/>
      <c r="G367" s="131"/>
      <c r="H367" s="131"/>
      <c r="I367" s="131"/>
      <c r="J367" s="219"/>
      <c r="K367" s="198"/>
      <c r="L367" s="131"/>
      <c r="M367" s="142"/>
      <c r="N367" s="131"/>
      <c r="O367" s="131"/>
      <c r="P367" s="131"/>
      <c r="Q367" s="131"/>
      <c r="R367" s="131"/>
      <c r="S367" s="131"/>
      <c r="T367" s="131"/>
      <c r="U367" s="131"/>
      <c r="V367" s="131"/>
      <c r="W367" s="131"/>
      <c r="X367" s="131"/>
      <c r="Y367" s="131"/>
      <c r="Z367" s="131"/>
      <c r="AA367" s="131"/>
      <c r="AB367" s="330"/>
      <c r="AC367" s="331"/>
      <c r="AD367" s="332"/>
      <c r="AE367" s="131"/>
      <c r="AF367" s="131"/>
      <c r="AG367" s="131"/>
      <c r="AH367" s="131"/>
      <c r="AI367" s="131"/>
      <c r="AJ367" s="131"/>
      <c r="AK367" s="131"/>
      <c r="AL367" s="131"/>
      <c r="AM367" s="131"/>
      <c r="AN367" s="131"/>
      <c r="AO367" s="142"/>
      <c r="AP367" s="131"/>
    </row>
    <row r="368" ht="13.5" customHeight="1">
      <c r="A368" s="142"/>
      <c r="B368" s="142"/>
      <c r="C368" s="142"/>
      <c r="D368" s="142"/>
      <c r="E368" s="132"/>
      <c r="F368" s="131"/>
      <c r="G368" s="131"/>
      <c r="H368" s="131"/>
      <c r="I368" s="131"/>
      <c r="J368" s="219"/>
      <c r="K368" s="198"/>
      <c r="L368" s="131"/>
      <c r="M368" s="142"/>
      <c r="N368" s="131"/>
      <c r="O368" s="131"/>
      <c r="P368" s="131"/>
      <c r="Q368" s="131"/>
      <c r="R368" s="131"/>
      <c r="S368" s="131"/>
      <c r="T368" s="131"/>
      <c r="U368" s="131"/>
      <c r="V368" s="131"/>
      <c r="W368" s="131"/>
      <c r="X368" s="131"/>
      <c r="Y368" s="131"/>
      <c r="Z368" s="131"/>
      <c r="AA368" s="131"/>
      <c r="AB368" s="330"/>
      <c r="AC368" s="331"/>
      <c r="AD368" s="332"/>
      <c r="AE368" s="131"/>
      <c r="AF368" s="131"/>
      <c r="AG368" s="131"/>
      <c r="AH368" s="131"/>
      <c r="AI368" s="131"/>
      <c r="AJ368" s="131"/>
      <c r="AK368" s="131"/>
      <c r="AL368" s="131"/>
      <c r="AM368" s="131"/>
      <c r="AN368" s="131"/>
      <c r="AO368" s="142"/>
      <c r="AP368" s="131"/>
    </row>
    <row r="369" ht="13.5" customHeight="1">
      <c r="A369" s="142"/>
      <c r="B369" s="142"/>
      <c r="C369" s="142"/>
      <c r="D369" s="142"/>
      <c r="E369" s="132"/>
      <c r="F369" s="131"/>
      <c r="G369" s="131"/>
      <c r="H369" s="131"/>
      <c r="I369" s="131"/>
      <c r="J369" s="219"/>
      <c r="K369" s="198"/>
      <c r="L369" s="131"/>
      <c r="M369" s="142"/>
      <c r="N369" s="131"/>
      <c r="O369" s="131"/>
      <c r="P369" s="131"/>
      <c r="Q369" s="131"/>
      <c r="R369" s="131"/>
      <c r="S369" s="131"/>
      <c r="T369" s="131"/>
      <c r="U369" s="131"/>
      <c r="V369" s="131"/>
      <c r="W369" s="131"/>
      <c r="X369" s="131"/>
      <c r="Y369" s="131"/>
      <c r="Z369" s="131"/>
      <c r="AA369" s="131"/>
      <c r="AB369" s="330"/>
      <c r="AC369" s="331"/>
      <c r="AD369" s="332"/>
      <c r="AE369" s="131"/>
      <c r="AF369" s="131"/>
      <c r="AG369" s="131"/>
      <c r="AH369" s="131"/>
      <c r="AI369" s="131"/>
      <c r="AJ369" s="131"/>
      <c r="AK369" s="131"/>
      <c r="AL369" s="131"/>
      <c r="AM369" s="131"/>
      <c r="AN369" s="131"/>
      <c r="AO369" s="142"/>
      <c r="AP369" s="131"/>
    </row>
    <row r="370" ht="13.5" customHeight="1">
      <c r="A370" s="142"/>
      <c r="B370" s="142"/>
      <c r="C370" s="142"/>
      <c r="D370" s="142"/>
      <c r="E370" s="132"/>
      <c r="F370" s="131"/>
      <c r="G370" s="131"/>
      <c r="H370" s="131"/>
      <c r="I370" s="131"/>
      <c r="J370" s="219"/>
      <c r="K370" s="198"/>
      <c r="L370" s="131"/>
      <c r="M370" s="142"/>
      <c r="N370" s="131"/>
      <c r="O370" s="131"/>
      <c r="P370" s="131"/>
      <c r="Q370" s="131"/>
      <c r="R370" s="131"/>
      <c r="S370" s="131"/>
      <c r="T370" s="131"/>
      <c r="U370" s="131"/>
      <c r="V370" s="131"/>
      <c r="W370" s="131"/>
      <c r="X370" s="131"/>
      <c r="Y370" s="131"/>
      <c r="Z370" s="131"/>
      <c r="AA370" s="131"/>
      <c r="AB370" s="330"/>
      <c r="AC370" s="331"/>
      <c r="AD370" s="332"/>
      <c r="AE370" s="131"/>
      <c r="AF370" s="131"/>
      <c r="AG370" s="131"/>
      <c r="AH370" s="131"/>
      <c r="AI370" s="131"/>
      <c r="AJ370" s="131"/>
      <c r="AK370" s="131"/>
      <c r="AL370" s="131"/>
      <c r="AM370" s="131"/>
      <c r="AN370" s="131"/>
      <c r="AO370" s="142"/>
      <c r="AP370" s="131"/>
    </row>
    <row r="371" ht="13.5" customHeight="1">
      <c r="A371" s="142"/>
      <c r="B371" s="142"/>
      <c r="C371" s="142"/>
      <c r="D371" s="142"/>
      <c r="E371" s="132"/>
      <c r="F371" s="131"/>
      <c r="G371" s="131"/>
      <c r="H371" s="131"/>
      <c r="I371" s="131"/>
      <c r="J371" s="219"/>
      <c r="K371" s="198"/>
      <c r="L371" s="131"/>
      <c r="M371" s="142"/>
      <c r="N371" s="131"/>
      <c r="O371" s="131"/>
      <c r="P371" s="131"/>
      <c r="Q371" s="131"/>
      <c r="R371" s="131"/>
      <c r="S371" s="131"/>
      <c r="T371" s="131"/>
      <c r="U371" s="131"/>
      <c r="V371" s="131"/>
      <c r="W371" s="131"/>
      <c r="X371" s="131"/>
      <c r="Y371" s="131"/>
      <c r="Z371" s="131"/>
      <c r="AA371" s="131"/>
      <c r="AB371" s="330"/>
      <c r="AC371" s="331"/>
      <c r="AD371" s="332"/>
      <c r="AE371" s="131"/>
      <c r="AF371" s="131"/>
      <c r="AG371" s="131"/>
      <c r="AH371" s="131"/>
      <c r="AI371" s="131"/>
      <c r="AJ371" s="131"/>
      <c r="AK371" s="131"/>
      <c r="AL371" s="131"/>
      <c r="AM371" s="131"/>
      <c r="AN371" s="131"/>
      <c r="AO371" s="142"/>
      <c r="AP371" s="131"/>
    </row>
    <row r="372" ht="13.5" customHeight="1">
      <c r="A372" s="142"/>
      <c r="B372" s="142"/>
      <c r="C372" s="142"/>
      <c r="D372" s="142"/>
      <c r="E372" s="132"/>
      <c r="F372" s="131"/>
      <c r="G372" s="131"/>
      <c r="H372" s="131"/>
      <c r="I372" s="131"/>
      <c r="J372" s="219"/>
      <c r="K372" s="198"/>
      <c r="L372" s="131"/>
      <c r="M372" s="142"/>
      <c r="N372" s="131"/>
      <c r="O372" s="131"/>
      <c r="P372" s="131"/>
      <c r="Q372" s="131"/>
      <c r="R372" s="131"/>
      <c r="S372" s="131"/>
      <c r="T372" s="131"/>
      <c r="U372" s="131"/>
      <c r="V372" s="131"/>
      <c r="W372" s="131"/>
      <c r="X372" s="131"/>
      <c r="Y372" s="131"/>
      <c r="Z372" s="131"/>
      <c r="AA372" s="131"/>
      <c r="AB372" s="330"/>
      <c r="AC372" s="331"/>
      <c r="AD372" s="332"/>
      <c r="AE372" s="131"/>
      <c r="AF372" s="131"/>
      <c r="AG372" s="131"/>
      <c r="AH372" s="131"/>
      <c r="AI372" s="131"/>
      <c r="AJ372" s="131"/>
      <c r="AK372" s="131"/>
      <c r="AL372" s="131"/>
      <c r="AM372" s="131"/>
      <c r="AN372" s="131"/>
      <c r="AO372" s="142"/>
      <c r="AP372" s="131"/>
    </row>
    <row r="373" ht="13.5" customHeight="1">
      <c r="A373" s="142"/>
      <c r="B373" s="142"/>
      <c r="C373" s="142"/>
      <c r="D373" s="142"/>
      <c r="E373" s="132"/>
      <c r="F373" s="131"/>
      <c r="G373" s="131"/>
      <c r="H373" s="131"/>
      <c r="I373" s="131"/>
      <c r="J373" s="219"/>
      <c r="K373" s="198"/>
      <c r="L373" s="131"/>
      <c r="M373" s="142"/>
      <c r="N373" s="131"/>
      <c r="O373" s="131"/>
      <c r="P373" s="131"/>
      <c r="Q373" s="131"/>
      <c r="R373" s="131"/>
      <c r="S373" s="131"/>
      <c r="T373" s="131"/>
      <c r="U373" s="131"/>
      <c r="V373" s="131"/>
      <c r="W373" s="131"/>
      <c r="X373" s="131"/>
      <c r="Y373" s="131"/>
      <c r="Z373" s="131"/>
      <c r="AA373" s="131"/>
      <c r="AB373" s="330"/>
      <c r="AC373" s="331"/>
      <c r="AD373" s="332"/>
      <c r="AE373" s="131"/>
      <c r="AF373" s="131"/>
      <c r="AG373" s="131"/>
      <c r="AH373" s="131"/>
      <c r="AI373" s="131"/>
      <c r="AJ373" s="131"/>
      <c r="AK373" s="131"/>
      <c r="AL373" s="131"/>
      <c r="AM373" s="131"/>
      <c r="AN373" s="131"/>
      <c r="AO373" s="142"/>
      <c r="AP373" s="131"/>
    </row>
    <row r="374" ht="13.5" customHeight="1">
      <c r="A374" s="142"/>
      <c r="B374" s="142"/>
      <c r="C374" s="142"/>
      <c r="D374" s="142"/>
      <c r="E374" s="132"/>
      <c r="F374" s="131"/>
      <c r="G374" s="131"/>
      <c r="H374" s="131"/>
      <c r="I374" s="131"/>
      <c r="J374" s="219"/>
      <c r="K374" s="198"/>
      <c r="L374" s="131"/>
      <c r="M374" s="142"/>
      <c r="N374" s="131"/>
      <c r="O374" s="131"/>
      <c r="P374" s="131"/>
      <c r="Q374" s="131"/>
      <c r="R374" s="131"/>
      <c r="S374" s="131"/>
      <c r="T374" s="131"/>
      <c r="U374" s="131"/>
      <c r="V374" s="131"/>
      <c r="W374" s="131"/>
      <c r="X374" s="131"/>
      <c r="Y374" s="131"/>
      <c r="Z374" s="131"/>
      <c r="AA374" s="131"/>
      <c r="AB374" s="330"/>
      <c r="AC374" s="331"/>
      <c r="AD374" s="332"/>
      <c r="AE374" s="131"/>
      <c r="AF374" s="131"/>
      <c r="AG374" s="131"/>
      <c r="AH374" s="131"/>
      <c r="AI374" s="131"/>
      <c r="AJ374" s="131"/>
      <c r="AK374" s="131"/>
      <c r="AL374" s="131"/>
      <c r="AM374" s="131"/>
      <c r="AN374" s="131"/>
      <c r="AO374" s="142"/>
      <c r="AP374" s="131"/>
    </row>
    <row r="375" ht="13.5" customHeight="1">
      <c r="A375" s="142"/>
      <c r="B375" s="142"/>
      <c r="C375" s="142"/>
      <c r="D375" s="142"/>
      <c r="E375" s="132"/>
      <c r="F375" s="131"/>
      <c r="G375" s="131"/>
      <c r="H375" s="131"/>
      <c r="I375" s="131"/>
      <c r="J375" s="219"/>
      <c r="K375" s="198"/>
      <c r="L375" s="131"/>
      <c r="M375" s="142"/>
      <c r="N375" s="131"/>
      <c r="O375" s="131"/>
      <c r="P375" s="131"/>
      <c r="Q375" s="131"/>
      <c r="R375" s="131"/>
      <c r="S375" s="131"/>
      <c r="T375" s="131"/>
      <c r="U375" s="131"/>
      <c r="V375" s="131"/>
      <c r="W375" s="131"/>
      <c r="X375" s="131"/>
      <c r="Y375" s="131"/>
      <c r="Z375" s="131"/>
      <c r="AA375" s="131"/>
      <c r="AB375" s="330"/>
      <c r="AC375" s="331"/>
      <c r="AD375" s="332"/>
      <c r="AE375" s="131"/>
      <c r="AF375" s="131"/>
      <c r="AG375" s="131"/>
      <c r="AH375" s="131"/>
      <c r="AI375" s="131"/>
      <c r="AJ375" s="131"/>
      <c r="AK375" s="131"/>
      <c r="AL375" s="131"/>
      <c r="AM375" s="131"/>
      <c r="AN375" s="131"/>
      <c r="AO375" s="142"/>
      <c r="AP375" s="131"/>
    </row>
    <row r="376" ht="13.5" customHeight="1">
      <c r="A376" s="142"/>
      <c r="B376" s="142"/>
      <c r="C376" s="142"/>
      <c r="D376" s="142"/>
      <c r="E376" s="132"/>
      <c r="F376" s="131"/>
      <c r="G376" s="131"/>
      <c r="H376" s="131"/>
      <c r="I376" s="131"/>
      <c r="J376" s="219"/>
      <c r="K376" s="198"/>
      <c r="L376" s="131"/>
      <c r="M376" s="142"/>
      <c r="N376" s="131"/>
      <c r="O376" s="131"/>
      <c r="P376" s="131"/>
      <c r="Q376" s="131"/>
      <c r="R376" s="131"/>
      <c r="S376" s="131"/>
      <c r="T376" s="131"/>
      <c r="U376" s="131"/>
      <c r="V376" s="131"/>
      <c r="W376" s="131"/>
      <c r="X376" s="131"/>
      <c r="Y376" s="131"/>
      <c r="Z376" s="131"/>
      <c r="AA376" s="131"/>
      <c r="AB376" s="330"/>
      <c r="AC376" s="331"/>
      <c r="AD376" s="332"/>
      <c r="AE376" s="131"/>
      <c r="AF376" s="131"/>
      <c r="AG376" s="131"/>
      <c r="AH376" s="131"/>
      <c r="AI376" s="131"/>
      <c r="AJ376" s="131"/>
      <c r="AK376" s="131"/>
      <c r="AL376" s="131"/>
      <c r="AM376" s="131"/>
      <c r="AN376" s="131"/>
      <c r="AO376" s="142"/>
      <c r="AP376" s="131"/>
    </row>
    <row r="377" ht="13.5" customHeight="1">
      <c r="A377" s="142"/>
      <c r="B377" s="142"/>
      <c r="C377" s="142"/>
      <c r="D377" s="142"/>
      <c r="E377" s="132"/>
      <c r="F377" s="131"/>
      <c r="G377" s="131"/>
      <c r="H377" s="131"/>
      <c r="I377" s="131"/>
      <c r="J377" s="219"/>
      <c r="K377" s="198"/>
      <c r="L377" s="131"/>
      <c r="M377" s="142"/>
      <c r="N377" s="131"/>
      <c r="O377" s="131"/>
      <c r="P377" s="131"/>
      <c r="Q377" s="131"/>
      <c r="R377" s="131"/>
      <c r="S377" s="131"/>
      <c r="T377" s="131"/>
      <c r="U377" s="131"/>
      <c r="V377" s="131"/>
      <c r="W377" s="131"/>
      <c r="X377" s="131"/>
      <c r="Y377" s="131"/>
      <c r="Z377" s="131"/>
      <c r="AA377" s="131"/>
      <c r="AB377" s="330"/>
      <c r="AC377" s="331"/>
      <c r="AD377" s="332"/>
      <c r="AE377" s="131"/>
      <c r="AF377" s="131"/>
      <c r="AG377" s="131"/>
      <c r="AH377" s="131"/>
      <c r="AI377" s="131"/>
      <c r="AJ377" s="131"/>
      <c r="AK377" s="131"/>
      <c r="AL377" s="131"/>
      <c r="AM377" s="131"/>
      <c r="AN377" s="131"/>
      <c r="AO377" s="142"/>
      <c r="AP377" s="131"/>
    </row>
    <row r="378" ht="13.5" customHeight="1">
      <c r="A378" s="142"/>
      <c r="B378" s="142"/>
      <c r="C378" s="142"/>
      <c r="D378" s="142"/>
      <c r="E378" s="132"/>
      <c r="F378" s="131"/>
      <c r="G378" s="131"/>
      <c r="H378" s="131"/>
      <c r="I378" s="131"/>
      <c r="J378" s="219"/>
      <c r="K378" s="198"/>
      <c r="L378" s="131"/>
      <c r="M378" s="142"/>
      <c r="N378" s="131"/>
      <c r="O378" s="131"/>
      <c r="P378" s="131"/>
      <c r="Q378" s="131"/>
      <c r="R378" s="131"/>
      <c r="S378" s="131"/>
      <c r="T378" s="131"/>
      <c r="U378" s="131"/>
      <c r="V378" s="131"/>
      <c r="W378" s="131"/>
      <c r="X378" s="131"/>
      <c r="Y378" s="131"/>
      <c r="Z378" s="131"/>
      <c r="AA378" s="131"/>
      <c r="AB378" s="330"/>
      <c r="AC378" s="331"/>
      <c r="AD378" s="332"/>
      <c r="AE378" s="131"/>
      <c r="AF378" s="131"/>
      <c r="AG378" s="131"/>
      <c r="AH378" s="131"/>
      <c r="AI378" s="131"/>
      <c r="AJ378" s="131"/>
      <c r="AK378" s="131"/>
      <c r="AL378" s="131"/>
      <c r="AM378" s="131"/>
      <c r="AN378" s="131"/>
      <c r="AO378" s="142"/>
      <c r="AP378" s="131"/>
    </row>
    <row r="379" ht="13.5" customHeight="1">
      <c r="A379" s="142"/>
      <c r="B379" s="142"/>
      <c r="C379" s="142"/>
      <c r="D379" s="142"/>
      <c r="E379" s="132"/>
      <c r="F379" s="131"/>
      <c r="G379" s="131"/>
      <c r="H379" s="131"/>
      <c r="I379" s="131"/>
      <c r="J379" s="219"/>
      <c r="K379" s="198"/>
      <c r="L379" s="131"/>
      <c r="M379" s="142"/>
      <c r="N379" s="131"/>
      <c r="O379" s="131"/>
      <c r="P379" s="131"/>
      <c r="Q379" s="131"/>
      <c r="R379" s="131"/>
      <c r="S379" s="131"/>
      <c r="T379" s="131"/>
      <c r="U379" s="131"/>
      <c r="V379" s="131"/>
      <c r="W379" s="131"/>
      <c r="X379" s="131"/>
      <c r="Y379" s="131"/>
      <c r="Z379" s="131"/>
      <c r="AA379" s="131"/>
      <c r="AB379" s="330"/>
      <c r="AC379" s="331"/>
      <c r="AD379" s="332"/>
      <c r="AE379" s="131"/>
      <c r="AF379" s="131"/>
      <c r="AG379" s="131"/>
      <c r="AH379" s="131"/>
      <c r="AI379" s="131"/>
      <c r="AJ379" s="131"/>
      <c r="AK379" s="131"/>
      <c r="AL379" s="131"/>
      <c r="AM379" s="131"/>
      <c r="AN379" s="131"/>
      <c r="AO379" s="142"/>
      <c r="AP379" s="131"/>
    </row>
    <row r="380" ht="13.5" customHeight="1">
      <c r="A380" s="142"/>
      <c r="B380" s="142"/>
      <c r="C380" s="142"/>
      <c r="D380" s="142"/>
      <c r="E380" s="132"/>
      <c r="F380" s="131"/>
      <c r="G380" s="131"/>
      <c r="H380" s="131"/>
      <c r="I380" s="131"/>
      <c r="J380" s="219"/>
      <c r="K380" s="198"/>
      <c r="L380" s="131"/>
      <c r="M380" s="142"/>
      <c r="N380" s="131"/>
      <c r="O380" s="131"/>
      <c r="P380" s="131"/>
      <c r="Q380" s="131"/>
      <c r="R380" s="131"/>
      <c r="S380" s="131"/>
      <c r="T380" s="131"/>
      <c r="U380" s="131"/>
      <c r="V380" s="131"/>
      <c r="W380" s="131"/>
      <c r="X380" s="131"/>
      <c r="Y380" s="131"/>
      <c r="Z380" s="131"/>
      <c r="AA380" s="131"/>
      <c r="AB380" s="330"/>
      <c r="AC380" s="331"/>
      <c r="AD380" s="332"/>
      <c r="AE380" s="131"/>
      <c r="AF380" s="131"/>
      <c r="AG380" s="131"/>
      <c r="AH380" s="131"/>
      <c r="AI380" s="131"/>
      <c r="AJ380" s="131"/>
      <c r="AK380" s="131"/>
      <c r="AL380" s="131"/>
      <c r="AM380" s="131"/>
      <c r="AN380" s="131"/>
      <c r="AO380" s="142"/>
      <c r="AP380" s="131"/>
    </row>
    <row r="381" ht="13.5" customHeight="1">
      <c r="A381" s="142"/>
      <c r="B381" s="142"/>
      <c r="C381" s="142"/>
      <c r="D381" s="142"/>
      <c r="E381" s="132"/>
      <c r="F381" s="131"/>
      <c r="G381" s="131"/>
      <c r="H381" s="131"/>
      <c r="I381" s="131"/>
      <c r="J381" s="219"/>
      <c r="K381" s="198"/>
      <c r="L381" s="131"/>
      <c r="M381" s="142"/>
      <c r="N381" s="131"/>
      <c r="O381" s="131"/>
      <c r="P381" s="131"/>
      <c r="Q381" s="131"/>
      <c r="R381" s="131"/>
      <c r="S381" s="131"/>
      <c r="T381" s="131"/>
      <c r="U381" s="131"/>
      <c r="V381" s="131"/>
      <c r="W381" s="131"/>
      <c r="X381" s="131"/>
      <c r="Y381" s="131"/>
      <c r="Z381" s="131"/>
      <c r="AA381" s="131"/>
      <c r="AB381" s="330"/>
      <c r="AC381" s="331"/>
      <c r="AD381" s="332"/>
      <c r="AE381" s="131"/>
      <c r="AF381" s="131"/>
      <c r="AG381" s="131"/>
      <c r="AH381" s="131"/>
      <c r="AI381" s="131"/>
      <c r="AJ381" s="131"/>
      <c r="AK381" s="131"/>
      <c r="AL381" s="131"/>
      <c r="AM381" s="131"/>
      <c r="AN381" s="131"/>
      <c r="AO381" s="142"/>
      <c r="AP381" s="131"/>
    </row>
    <row r="382" ht="13.5" customHeight="1">
      <c r="A382" s="142"/>
      <c r="B382" s="142"/>
      <c r="C382" s="142"/>
      <c r="D382" s="142"/>
      <c r="E382" s="132"/>
      <c r="F382" s="131"/>
      <c r="G382" s="131"/>
      <c r="H382" s="131"/>
      <c r="I382" s="131"/>
      <c r="J382" s="219"/>
      <c r="K382" s="198"/>
      <c r="L382" s="131"/>
      <c r="M382" s="142"/>
      <c r="N382" s="131"/>
      <c r="O382" s="131"/>
      <c r="P382" s="131"/>
      <c r="Q382" s="131"/>
      <c r="R382" s="131"/>
      <c r="S382" s="131"/>
      <c r="T382" s="131"/>
      <c r="U382" s="131"/>
      <c r="V382" s="131"/>
      <c r="W382" s="131"/>
      <c r="X382" s="131"/>
      <c r="Y382" s="131"/>
      <c r="Z382" s="131"/>
      <c r="AA382" s="131"/>
      <c r="AB382" s="330"/>
      <c r="AC382" s="331"/>
      <c r="AD382" s="332"/>
      <c r="AE382" s="131"/>
      <c r="AF382" s="131"/>
      <c r="AG382" s="131"/>
      <c r="AH382" s="131"/>
      <c r="AI382" s="131"/>
      <c r="AJ382" s="131"/>
      <c r="AK382" s="131"/>
      <c r="AL382" s="131"/>
      <c r="AM382" s="131"/>
      <c r="AN382" s="131"/>
      <c r="AO382" s="142"/>
      <c r="AP382" s="131"/>
    </row>
    <row r="383" ht="13.5" customHeight="1">
      <c r="A383" s="142"/>
      <c r="B383" s="142"/>
      <c r="C383" s="142"/>
      <c r="D383" s="142"/>
      <c r="E383" s="132"/>
      <c r="F383" s="131"/>
      <c r="G383" s="131"/>
      <c r="H383" s="131"/>
      <c r="I383" s="131"/>
      <c r="J383" s="219"/>
      <c r="K383" s="198"/>
      <c r="L383" s="131"/>
      <c r="M383" s="142"/>
      <c r="N383" s="131"/>
      <c r="O383" s="131"/>
      <c r="P383" s="131"/>
      <c r="Q383" s="131"/>
      <c r="R383" s="131"/>
      <c r="S383" s="131"/>
      <c r="T383" s="131"/>
      <c r="U383" s="131"/>
      <c r="V383" s="131"/>
      <c r="W383" s="131"/>
      <c r="X383" s="131"/>
      <c r="Y383" s="131"/>
      <c r="Z383" s="131"/>
      <c r="AA383" s="131"/>
      <c r="AB383" s="330"/>
      <c r="AC383" s="331"/>
      <c r="AD383" s="332"/>
      <c r="AE383" s="131"/>
      <c r="AF383" s="131"/>
      <c r="AG383" s="131"/>
      <c r="AH383" s="131"/>
      <c r="AI383" s="131"/>
      <c r="AJ383" s="131"/>
      <c r="AK383" s="131"/>
      <c r="AL383" s="131"/>
      <c r="AM383" s="131"/>
      <c r="AN383" s="131"/>
      <c r="AO383" s="142"/>
      <c r="AP383" s="131"/>
    </row>
    <row r="384" ht="13.5" customHeight="1">
      <c r="A384" s="142"/>
      <c r="B384" s="142"/>
      <c r="C384" s="142"/>
      <c r="D384" s="142"/>
      <c r="E384" s="132"/>
      <c r="F384" s="131"/>
      <c r="G384" s="131"/>
      <c r="H384" s="131"/>
      <c r="I384" s="131"/>
      <c r="J384" s="219"/>
      <c r="K384" s="198"/>
      <c r="L384" s="131"/>
      <c r="M384" s="142"/>
      <c r="N384" s="131"/>
      <c r="O384" s="131"/>
      <c r="P384" s="131"/>
      <c r="Q384" s="131"/>
      <c r="R384" s="131"/>
      <c r="S384" s="131"/>
      <c r="T384" s="131"/>
      <c r="U384" s="131"/>
      <c r="V384" s="131"/>
      <c r="W384" s="131"/>
      <c r="X384" s="131"/>
      <c r="Y384" s="131"/>
      <c r="Z384" s="131"/>
      <c r="AA384" s="131"/>
      <c r="AB384" s="330"/>
      <c r="AC384" s="331"/>
      <c r="AD384" s="332"/>
      <c r="AE384" s="131"/>
      <c r="AF384" s="131"/>
      <c r="AG384" s="131"/>
      <c r="AH384" s="131"/>
      <c r="AI384" s="131"/>
      <c r="AJ384" s="131"/>
      <c r="AK384" s="131"/>
      <c r="AL384" s="131"/>
      <c r="AM384" s="131"/>
      <c r="AN384" s="131"/>
      <c r="AO384" s="142"/>
      <c r="AP384" s="131"/>
    </row>
    <row r="385" ht="13.5" customHeight="1">
      <c r="A385" s="142"/>
      <c r="B385" s="142"/>
      <c r="C385" s="142"/>
      <c r="D385" s="142"/>
      <c r="E385" s="132"/>
      <c r="F385" s="131"/>
      <c r="G385" s="131"/>
      <c r="H385" s="131"/>
      <c r="I385" s="131"/>
      <c r="J385" s="219"/>
      <c r="K385" s="198"/>
      <c r="L385" s="131"/>
      <c r="M385" s="142"/>
      <c r="N385" s="131"/>
      <c r="O385" s="131"/>
      <c r="P385" s="131"/>
      <c r="Q385" s="131"/>
      <c r="R385" s="131"/>
      <c r="S385" s="131"/>
      <c r="T385" s="131"/>
      <c r="U385" s="131"/>
      <c r="V385" s="131"/>
      <c r="W385" s="131"/>
      <c r="X385" s="131"/>
      <c r="Y385" s="131"/>
      <c r="Z385" s="131"/>
      <c r="AA385" s="131"/>
      <c r="AB385" s="330"/>
      <c r="AC385" s="331"/>
      <c r="AD385" s="332"/>
      <c r="AE385" s="131"/>
      <c r="AF385" s="131"/>
      <c r="AG385" s="131"/>
      <c r="AH385" s="131"/>
      <c r="AI385" s="131"/>
      <c r="AJ385" s="131"/>
      <c r="AK385" s="131"/>
      <c r="AL385" s="131"/>
      <c r="AM385" s="131"/>
      <c r="AN385" s="131"/>
      <c r="AO385" s="142"/>
      <c r="AP385" s="131"/>
    </row>
    <row r="386" ht="13.5" customHeight="1">
      <c r="A386" s="142"/>
      <c r="B386" s="142"/>
      <c r="C386" s="142"/>
      <c r="D386" s="142"/>
      <c r="E386" s="132"/>
      <c r="F386" s="131"/>
      <c r="G386" s="131"/>
      <c r="H386" s="131"/>
      <c r="I386" s="131"/>
      <c r="J386" s="219"/>
      <c r="K386" s="198"/>
      <c r="L386" s="131"/>
      <c r="M386" s="142"/>
      <c r="N386" s="131"/>
      <c r="O386" s="131"/>
      <c r="P386" s="131"/>
      <c r="Q386" s="131"/>
      <c r="R386" s="131"/>
      <c r="S386" s="131"/>
      <c r="T386" s="131"/>
      <c r="U386" s="131"/>
      <c r="V386" s="131"/>
      <c r="W386" s="131"/>
      <c r="X386" s="131"/>
      <c r="Y386" s="131"/>
      <c r="Z386" s="131"/>
      <c r="AA386" s="131"/>
      <c r="AB386" s="330"/>
      <c r="AC386" s="331"/>
      <c r="AD386" s="332"/>
      <c r="AE386" s="131"/>
      <c r="AF386" s="131"/>
      <c r="AG386" s="131"/>
      <c r="AH386" s="131"/>
      <c r="AI386" s="131"/>
      <c r="AJ386" s="131"/>
      <c r="AK386" s="131"/>
      <c r="AL386" s="131"/>
      <c r="AM386" s="131"/>
      <c r="AN386" s="131"/>
      <c r="AO386" s="142"/>
      <c r="AP386" s="131"/>
    </row>
    <row r="387" ht="13.5" customHeight="1">
      <c r="A387" s="142"/>
      <c r="B387" s="142"/>
      <c r="C387" s="142"/>
      <c r="D387" s="142"/>
      <c r="E387" s="132"/>
      <c r="F387" s="131"/>
      <c r="G387" s="131"/>
      <c r="H387" s="131"/>
      <c r="I387" s="131"/>
      <c r="J387" s="219"/>
      <c r="K387" s="198"/>
      <c r="L387" s="131"/>
      <c r="M387" s="142"/>
      <c r="N387" s="131"/>
      <c r="O387" s="131"/>
      <c r="P387" s="131"/>
      <c r="Q387" s="131"/>
      <c r="R387" s="131"/>
      <c r="S387" s="131"/>
      <c r="T387" s="131"/>
      <c r="U387" s="131"/>
      <c r="V387" s="131"/>
      <c r="W387" s="131"/>
      <c r="X387" s="131"/>
      <c r="Y387" s="131"/>
      <c r="Z387" s="131"/>
      <c r="AA387" s="131"/>
      <c r="AB387" s="330"/>
      <c r="AC387" s="331"/>
      <c r="AD387" s="332"/>
      <c r="AE387" s="131"/>
      <c r="AF387" s="131"/>
      <c r="AG387" s="131"/>
      <c r="AH387" s="131"/>
      <c r="AI387" s="131"/>
      <c r="AJ387" s="131"/>
      <c r="AK387" s="131"/>
      <c r="AL387" s="131"/>
      <c r="AM387" s="131"/>
      <c r="AN387" s="131"/>
      <c r="AO387" s="142"/>
      <c r="AP387" s="131"/>
    </row>
    <row r="388" ht="13.5" customHeight="1">
      <c r="A388" s="142"/>
      <c r="B388" s="142"/>
      <c r="C388" s="142"/>
      <c r="D388" s="142"/>
      <c r="E388" s="132"/>
      <c r="F388" s="131"/>
      <c r="G388" s="131"/>
      <c r="H388" s="131"/>
      <c r="I388" s="131"/>
      <c r="J388" s="219"/>
      <c r="K388" s="198"/>
      <c r="L388" s="131"/>
      <c r="M388" s="142"/>
      <c r="N388" s="131"/>
      <c r="O388" s="131"/>
      <c r="P388" s="131"/>
      <c r="Q388" s="131"/>
      <c r="R388" s="131"/>
      <c r="S388" s="131"/>
      <c r="T388" s="131"/>
      <c r="U388" s="131"/>
      <c r="V388" s="131"/>
      <c r="W388" s="131"/>
      <c r="X388" s="131"/>
      <c r="Y388" s="131"/>
      <c r="Z388" s="131"/>
      <c r="AA388" s="131"/>
      <c r="AB388" s="330"/>
      <c r="AC388" s="331"/>
      <c r="AD388" s="332"/>
      <c r="AE388" s="131"/>
      <c r="AF388" s="131"/>
      <c r="AG388" s="131"/>
      <c r="AH388" s="131"/>
      <c r="AI388" s="131"/>
      <c r="AJ388" s="131"/>
      <c r="AK388" s="131"/>
      <c r="AL388" s="131"/>
      <c r="AM388" s="131"/>
      <c r="AN388" s="131"/>
      <c r="AO388" s="142"/>
      <c r="AP388" s="131"/>
    </row>
    <row r="389" ht="13.5" customHeight="1">
      <c r="A389" s="142"/>
      <c r="B389" s="142"/>
      <c r="C389" s="142"/>
      <c r="D389" s="142"/>
      <c r="E389" s="132"/>
      <c r="F389" s="131"/>
      <c r="G389" s="131"/>
      <c r="H389" s="131"/>
      <c r="I389" s="131"/>
      <c r="J389" s="219"/>
      <c r="K389" s="198"/>
      <c r="L389" s="131"/>
      <c r="M389" s="142"/>
      <c r="N389" s="131"/>
      <c r="O389" s="131"/>
      <c r="P389" s="131"/>
      <c r="Q389" s="131"/>
      <c r="R389" s="131"/>
      <c r="S389" s="131"/>
      <c r="T389" s="131"/>
      <c r="U389" s="131"/>
      <c r="V389" s="131"/>
      <c r="W389" s="131"/>
      <c r="X389" s="131"/>
      <c r="Y389" s="131"/>
      <c r="Z389" s="131"/>
      <c r="AA389" s="131"/>
      <c r="AB389" s="330"/>
      <c r="AC389" s="331"/>
      <c r="AD389" s="332"/>
      <c r="AE389" s="131"/>
      <c r="AF389" s="131"/>
      <c r="AG389" s="131"/>
      <c r="AH389" s="131"/>
      <c r="AI389" s="131"/>
      <c r="AJ389" s="131"/>
      <c r="AK389" s="131"/>
      <c r="AL389" s="131"/>
      <c r="AM389" s="131"/>
      <c r="AN389" s="131"/>
      <c r="AO389" s="142"/>
      <c r="AP389" s="131"/>
    </row>
    <row r="390" ht="13.5" customHeight="1">
      <c r="A390" s="142"/>
      <c r="B390" s="142"/>
      <c r="C390" s="142"/>
      <c r="D390" s="142"/>
      <c r="E390" s="132"/>
      <c r="F390" s="131"/>
      <c r="G390" s="131"/>
      <c r="H390" s="131"/>
      <c r="I390" s="131"/>
      <c r="J390" s="219"/>
      <c r="K390" s="198"/>
      <c r="L390" s="131"/>
      <c r="M390" s="142"/>
      <c r="N390" s="131"/>
      <c r="O390" s="131"/>
      <c r="P390" s="131"/>
      <c r="Q390" s="131"/>
      <c r="R390" s="131"/>
      <c r="S390" s="131"/>
      <c r="T390" s="131"/>
      <c r="U390" s="131"/>
      <c r="V390" s="131"/>
      <c r="W390" s="131"/>
      <c r="X390" s="131"/>
      <c r="Y390" s="131"/>
      <c r="Z390" s="131"/>
      <c r="AA390" s="131"/>
      <c r="AB390" s="330"/>
      <c r="AC390" s="331"/>
      <c r="AD390" s="332"/>
      <c r="AE390" s="131"/>
      <c r="AF390" s="131"/>
      <c r="AG390" s="131"/>
      <c r="AH390" s="131"/>
      <c r="AI390" s="131"/>
      <c r="AJ390" s="131"/>
      <c r="AK390" s="131"/>
      <c r="AL390" s="131"/>
      <c r="AM390" s="131"/>
      <c r="AN390" s="131"/>
      <c r="AO390" s="142"/>
      <c r="AP390" s="131"/>
    </row>
    <row r="391" ht="13.5" customHeight="1">
      <c r="A391" s="142"/>
      <c r="B391" s="142"/>
      <c r="C391" s="142"/>
      <c r="D391" s="142"/>
      <c r="E391" s="132"/>
      <c r="F391" s="131"/>
      <c r="G391" s="131"/>
      <c r="H391" s="131"/>
      <c r="I391" s="131"/>
      <c r="J391" s="219"/>
      <c r="K391" s="198"/>
      <c r="L391" s="131"/>
      <c r="M391" s="142"/>
      <c r="N391" s="131"/>
      <c r="O391" s="131"/>
      <c r="P391" s="131"/>
      <c r="Q391" s="131"/>
      <c r="R391" s="131"/>
      <c r="S391" s="131"/>
      <c r="T391" s="131"/>
      <c r="U391" s="131"/>
      <c r="V391" s="131"/>
      <c r="W391" s="131"/>
      <c r="X391" s="131"/>
      <c r="Y391" s="131"/>
      <c r="Z391" s="131"/>
      <c r="AA391" s="131"/>
      <c r="AB391" s="330"/>
      <c r="AC391" s="331"/>
      <c r="AD391" s="332"/>
      <c r="AE391" s="131"/>
      <c r="AF391" s="131"/>
      <c r="AG391" s="131"/>
      <c r="AH391" s="131"/>
      <c r="AI391" s="131"/>
      <c r="AJ391" s="131"/>
      <c r="AK391" s="131"/>
      <c r="AL391" s="131"/>
      <c r="AM391" s="131"/>
      <c r="AN391" s="131"/>
      <c r="AO391" s="142"/>
      <c r="AP391" s="131"/>
    </row>
    <row r="392" ht="13.5" customHeight="1">
      <c r="A392" s="142"/>
      <c r="B392" s="142"/>
      <c r="C392" s="142"/>
      <c r="D392" s="142"/>
      <c r="E392" s="132"/>
      <c r="F392" s="131"/>
      <c r="G392" s="131"/>
      <c r="H392" s="131"/>
      <c r="I392" s="131"/>
      <c r="J392" s="219"/>
      <c r="K392" s="198"/>
      <c r="L392" s="131"/>
      <c r="M392" s="142"/>
      <c r="N392" s="131"/>
      <c r="O392" s="131"/>
      <c r="P392" s="131"/>
      <c r="Q392" s="131"/>
      <c r="R392" s="131"/>
      <c r="S392" s="131"/>
      <c r="T392" s="131"/>
      <c r="U392" s="131"/>
      <c r="V392" s="131"/>
      <c r="W392" s="131"/>
      <c r="X392" s="131"/>
      <c r="Y392" s="131"/>
      <c r="Z392" s="131"/>
      <c r="AA392" s="131"/>
      <c r="AB392" s="330"/>
      <c r="AC392" s="331"/>
      <c r="AD392" s="332"/>
      <c r="AE392" s="131"/>
      <c r="AF392" s="131"/>
      <c r="AG392" s="131"/>
      <c r="AH392" s="131"/>
      <c r="AI392" s="131"/>
      <c r="AJ392" s="131"/>
      <c r="AK392" s="131"/>
      <c r="AL392" s="131"/>
      <c r="AM392" s="131"/>
      <c r="AN392" s="131"/>
      <c r="AO392" s="142"/>
      <c r="AP392" s="131"/>
    </row>
    <row r="393" ht="13.5" customHeight="1">
      <c r="A393" s="142"/>
      <c r="B393" s="142"/>
      <c r="C393" s="142"/>
      <c r="D393" s="142"/>
      <c r="E393" s="132"/>
      <c r="F393" s="131"/>
      <c r="G393" s="131"/>
      <c r="H393" s="131"/>
      <c r="I393" s="131"/>
      <c r="J393" s="219"/>
      <c r="K393" s="198"/>
      <c r="L393" s="131"/>
      <c r="M393" s="142"/>
      <c r="N393" s="131"/>
      <c r="O393" s="131"/>
      <c r="P393" s="131"/>
      <c r="Q393" s="131"/>
      <c r="R393" s="131"/>
      <c r="S393" s="131"/>
      <c r="T393" s="131"/>
      <c r="U393" s="131"/>
      <c r="V393" s="131"/>
      <c r="W393" s="131"/>
      <c r="X393" s="131"/>
      <c r="Y393" s="131"/>
      <c r="Z393" s="131"/>
      <c r="AA393" s="131"/>
      <c r="AB393" s="330"/>
      <c r="AC393" s="331"/>
      <c r="AD393" s="332"/>
      <c r="AE393" s="131"/>
      <c r="AF393" s="131"/>
      <c r="AG393" s="131"/>
      <c r="AH393" s="131"/>
      <c r="AI393" s="131"/>
      <c r="AJ393" s="131"/>
      <c r="AK393" s="131"/>
      <c r="AL393" s="131"/>
      <c r="AM393" s="131"/>
      <c r="AN393" s="131"/>
      <c r="AO393" s="142"/>
      <c r="AP393" s="131"/>
    </row>
    <row r="394" ht="13.5" customHeight="1">
      <c r="A394" s="142"/>
      <c r="B394" s="142"/>
      <c r="C394" s="142"/>
      <c r="D394" s="142"/>
      <c r="E394" s="132"/>
      <c r="F394" s="131"/>
      <c r="G394" s="131"/>
      <c r="H394" s="131"/>
      <c r="I394" s="131"/>
      <c r="J394" s="219"/>
      <c r="K394" s="198"/>
      <c r="L394" s="131"/>
      <c r="M394" s="142"/>
      <c r="N394" s="131"/>
      <c r="O394" s="131"/>
      <c r="P394" s="131"/>
      <c r="Q394" s="131"/>
      <c r="R394" s="131"/>
      <c r="S394" s="131"/>
      <c r="T394" s="131"/>
      <c r="U394" s="131"/>
      <c r="V394" s="131"/>
      <c r="W394" s="131"/>
      <c r="X394" s="131"/>
      <c r="Y394" s="131"/>
      <c r="Z394" s="131"/>
      <c r="AA394" s="131"/>
      <c r="AB394" s="330"/>
      <c r="AC394" s="331"/>
      <c r="AD394" s="332"/>
      <c r="AE394" s="131"/>
      <c r="AF394" s="131"/>
      <c r="AG394" s="131"/>
      <c r="AH394" s="131"/>
      <c r="AI394" s="131"/>
      <c r="AJ394" s="131"/>
      <c r="AK394" s="131"/>
      <c r="AL394" s="131"/>
      <c r="AM394" s="131"/>
      <c r="AN394" s="131"/>
      <c r="AO394" s="142"/>
      <c r="AP394" s="131"/>
    </row>
    <row r="395" ht="13.5" customHeight="1">
      <c r="A395" s="142"/>
      <c r="B395" s="142"/>
      <c r="C395" s="142"/>
      <c r="D395" s="142"/>
      <c r="E395" s="132"/>
      <c r="F395" s="131"/>
      <c r="G395" s="131"/>
      <c r="H395" s="131"/>
      <c r="I395" s="131"/>
      <c r="J395" s="219"/>
      <c r="K395" s="198"/>
      <c r="L395" s="131"/>
      <c r="M395" s="142"/>
      <c r="N395" s="131"/>
      <c r="O395" s="131"/>
      <c r="P395" s="131"/>
      <c r="Q395" s="131"/>
      <c r="R395" s="131"/>
      <c r="S395" s="131"/>
      <c r="T395" s="131"/>
      <c r="U395" s="131"/>
      <c r="V395" s="131"/>
      <c r="W395" s="131"/>
      <c r="X395" s="131"/>
      <c r="Y395" s="131"/>
      <c r="Z395" s="131"/>
      <c r="AA395" s="131"/>
      <c r="AB395" s="330"/>
      <c r="AC395" s="331"/>
      <c r="AD395" s="332"/>
      <c r="AE395" s="131"/>
      <c r="AF395" s="131"/>
      <c r="AG395" s="131"/>
      <c r="AH395" s="131"/>
      <c r="AI395" s="131"/>
      <c r="AJ395" s="131"/>
      <c r="AK395" s="131"/>
      <c r="AL395" s="131"/>
      <c r="AM395" s="131"/>
      <c r="AN395" s="131"/>
      <c r="AO395" s="142"/>
      <c r="AP395" s="131"/>
    </row>
    <row r="396" ht="13.5" customHeight="1">
      <c r="A396" s="142"/>
      <c r="B396" s="142"/>
      <c r="C396" s="142"/>
      <c r="D396" s="142"/>
      <c r="E396" s="132"/>
      <c r="F396" s="131"/>
      <c r="G396" s="131"/>
      <c r="H396" s="131"/>
      <c r="I396" s="131"/>
      <c r="J396" s="219"/>
      <c r="K396" s="198"/>
      <c r="L396" s="131"/>
      <c r="M396" s="142"/>
      <c r="N396" s="131"/>
      <c r="O396" s="131"/>
      <c r="P396" s="131"/>
      <c r="Q396" s="131"/>
      <c r="R396" s="131"/>
      <c r="S396" s="131"/>
      <c r="T396" s="131"/>
      <c r="U396" s="131"/>
      <c r="V396" s="131"/>
      <c r="W396" s="131"/>
      <c r="X396" s="131"/>
      <c r="Y396" s="131"/>
      <c r="Z396" s="131"/>
      <c r="AA396" s="131"/>
      <c r="AB396" s="330"/>
      <c r="AC396" s="331"/>
      <c r="AD396" s="332"/>
      <c r="AE396" s="131"/>
      <c r="AF396" s="131"/>
      <c r="AG396" s="131"/>
      <c r="AH396" s="131"/>
      <c r="AI396" s="131"/>
      <c r="AJ396" s="131"/>
      <c r="AK396" s="131"/>
      <c r="AL396" s="131"/>
      <c r="AM396" s="131"/>
      <c r="AN396" s="131"/>
      <c r="AO396" s="142"/>
      <c r="AP396" s="131"/>
    </row>
    <row r="397" ht="13.5" customHeight="1">
      <c r="A397" s="142"/>
      <c r="B397" s="142"/>
      <c r="C397" s="142"/>
      <c r="D397" s="142"/>
      <c r="E397" s="132"/>
      <c r="F397" s="131"/>
      <c r="G397" s="131"/>
      <c r="H397" s="131"/>
      <c r="I397" s="131"/>
      <c r="J397" s="219"/>
      <c r="K397" s="198"/>
      <c r="L397" s="131"/>
      <c r="M397" s="142"/>
      <c r="N397" s="131"/>
      <c r="O397" s="131"/>
      <c r="P397" s="131"/>
      <c r="Q397" s="131"/>
      <c r="R397" s="131"/>
      <c r="S397" s="131"/>
      <c r="T397" s="131"/>
      <c r="U397" s="131"/>
      <c r="V397" s="131"/>
      <c r="W397" s="131"/>
      <c r="X397" s="131"/>
      <c r="Y397" s="131"/>
      <c r="Z397" s="131"/>
      <c r="AA397" s="131"/>
      <c r="AB397" s="330"/>
      <c r="AC397" s="331"/>
      <c r="AD397" s="332"/>
      <c r="AE397" s="131"/>
      <c r="AF397" s="131"/>
      <c r="AG397" s="131"/>
      <c r="AH397" s="131"/>
      <c r="AI397" s="131"/>
      <c r="AJ397" s="131"/>
      <c r="AK397" s="131"/>
      <c r="AL397" s="131"/>
      <c r="AM397" s="131"/>
      <c r="AN397" s="131"/>
      <c r="AO397" s="142"/>
      <c r="AP397" s="131"/>
    </row>
    <row r="398" ht="13.5" customHeight="1">
      <c r="A398" s="142"/>
      <c r="B398" s="142"/>
      <c r="C398" s="142"/>
      <c r="D398" s="142"/>
      <c r="E398" s="132"/>
      <c r="F398" s="131"/>
      <c r="G398" s="131"/>
      <c r="H398" s="131"/>
      <c r="I398" s="131"/>
      <c r="J398" s="219"/>
      <c r="K398" s="198"/>
      <c r="L398" s="131"/>
      <c r="M398" s="142"/>
      <c r="N398" s="131"/>
      <c r="O398" s="131"/>
      <c r="P398" s="131"/>
      <c r="Q398" s="131"/>
      <c r="R398" s="131"/>
      <c r="S398" s="131"/>
      <c r="T398" s="131"/>
      <c r="U398" s="131"/>
      <c r="V398" s="131"/>
      <c r="W398" s="131"/>
      <c r="X398" s="131"/>
      <c r="Y398" s="131"/>
      <c r="Z398" s="131"/>
      <c r="AA398" s="131"/>
      <c r="AB398" s="330"/>
      <c r="AC398" s="331"/>
      <c r="AD398" s="332"/>
      <c r="AE398" s="131"/>
      <c r="AF398" s="131"/>
      <c r="AG398" s="131"/>
      <c r="AH398" s="131"/>
      <c r="AI398" s="131"/>
      <c r="AJ398" s="131"/>
      <c r="AK398" s="131"/>
      <c r="AL398" s="131"/>
      <c r="AM398" s="131"/>
      <c r="AN398" s="131"/>
      <c r="AO398" s="142"/>
      <c r="AP398" s="131"/>
    </row>
    <row r="399" ht="13.5" customHeight="1">
      <c r="A399" s="142"/>
      <c r="B399" s="142"/>
      <c r="C399" s="142"/>
      <c r="D399" s="142"/>
      <c r="E399" s="132"/>
      <c r="F399" s="131"/>
      <c r="G399" s="131"/>
      <c r="H399" s="131"/>
      <c r="I399" s="131"/>
      <c r="J399" s="219"/>
      <c r="K399" s="198"/>
      <c r="L399" s="131"/>
      <c r="M399" s="142"/>
      <c r="N399" s="131"/>
      <c r="O399" s="131"/>
      <c r="P399" s="131"/>
      <c r="Q399" s="131"/>
      <c r="R399" s="131"/>
      <c r="S399" s="131"/>
      <c r="T399" s="131"/>
      <c r="U399" s="131"/>
      <c r="V399" s="131"/>
      <c r="W399" s="131"/>
      <c r="X399" s="131"/>
      <c r="Y399" s="131"/>
      <c r="Z399" s="131"/>
      <c r="AA399" s="131"/>
      <c r="AB399" s="330"/>
      <c r="AC399" s="331"/>
      <c r="AD399" s="332"/>
      <c r="AE399" s="131"/>
      <c r="AF399" s="131"/>
      <c r="AG399" s="131"/>
      <c r="AH399" s="131"/>
      <c r="AI399" s="131"/>
      <c r="AJ399" s="131"/>
      <c r="AK399" s="131"/>
      <c r="AL399" s="131"/>
      <c r="AM399" s="131"/>
      <c r="AN399" s="131"/>
      <c r="AO399" s="142"/>
      <c r="AP399" s="131"/>
    </row>
    <row r="400" ht="13.5" customHeight="1">
      <c r="A400" s="142"/>
      <c r="B400" s="142"/>
      <c r="C400" s="142"/>
      <c r="D400" s="142"/>
      <c r="E400" s="132"/>
      <c r="F400" s="131"/>
      <c r="G400" s="131"/>
      <c r="H400" s="131"/>
      <c r="I400" s="131"/>
      <c r="J400" s="219"/>
      <c r="K400" s="198"/>
      <c r="L400" s="131"/>
      <c r="M400" s="142"/>
      <c r="N400" s="131"/>
      <c r="O400" s="131"/>
      <c r="P400" s="131"/>
      <c r="Q400" s="131"/>
      <c r="R400" s="131"/>
      <c r="S400" s="131"/>
      <c r="T400" s="131"/>
      <c r="U400" s="131"/>
      <c r="V400" s="131"/>
      <c r="W400" s="131"/>
      <c r="X400" s="131"/>
      <c r="Y400" s="131"/>
      <c r="Z400" s="131"/>
      <c r="AA400" s="131"/>
      <c r="AB400" s="330"/>
      <c r="AC400" s="331"/>
      <c r="AD400" s="332"/>
      <c r="AE400" s="131"/>
      <c r="AF400" s="131"/>
      <c r="AG400" s="131"/>
      <c r="AH400" s="131"/>
      <c r="AI400" s="131"/>
      <c r="AJ400" s="131"/>
      <c r="AK400" s="131"/>
      <c r="AL400" s="131"/>
      <c r="AM400" s="131"/>
      <c r="AN400" s="131"/>
      <c r="AO400" s="142"/>
      <c r="AP400" s="131"/>
    </row>
    <row r="401" ht="13.5" customHeight="1">
      <c r="A401" s="142"/>
      <c r="B401" s="142"/>
      <c r="C401" s="142"/>
      <c r="D401" s="142"/>
      <c r="E401" s="132"/>
      <c r="F401" s="131"/>
      <c r="G401" s="131"/>
      <c r="H401" s="131"/>
      <c r="I401" s="131"/>
      <c r="J401" s="219"/>
      <c r="K401" s="198"/>
      <c r="L401" s="131"/>
      <c r="M401" s="142"/>
      <c r="N401" s="131"/>
      <c r="O401" s="131"/>
      <c r="P401" s="131"/>
      <c r="Q401" s="131"/>
      <c r="R401" s="131"/>
      <c r="S401" s="131"/>
      <c r="T401" s="131"/>
      <c r="U401" s="131"/>
      <c r="V401" s="131"/>
      <c r="W401" s="131"/>
      <c r="X401" s="131"/>
      <c r="Y401" s="131"/>
      <c r="Z401" s="131"/>
      <c r="AA401" s="131"/>
      <c r="AB401" s="330"/>
      <c r="AC401" s="331"/>
      <c r="AD401" s="332"/>
      <c r="AE401" s="131"/>
      <c r="AF401" s="131"/>
      <c r="AG401" s="131"/>
      <c r="AH401" s="131"/>
      <c r="AI401" s="131"/>
      <c r="AJ401" s="131"/>
      <c r="AK401" s="131"/>
      <c r="AL401" s="131"/>
      <c r="AM401" s="131"/>
      <c r="AN401" s="131"/>
      <c r="AO401" s="142"/>
      <c r="AP401" s="131"/>
    </row>
    <row r="402" ht="13.5" customHeight="1">
      <c r="A402" s="142"/>
      <c r="B402" s="142"/>
      <c r="C402" s="142"/>
      <c r="D402" s="142"/>
      <c r="E402" s="132"/>
      <c r="F402" s="131"/>
      <c r="G402" s="131"/>
      <c r="H402" s="131"/>
      <c r="I402" s="131"/>
      <c r="J402" s="219"/>
      <c r="K402" s="198"/>
      <c r="L402" s="131"/>
      <c r="M402" s="142"/>
      <c r="N402" s="131"/>
      <c r="O402" s="131"/>
      <c r="P402" s="131"/>
      <c r="Q402" s="131"/>
      <c r="R402" s="131"/>
      <c r="S402" s="131"/>
      <c r="T402" s="131"/>
      <c r="U402" s="131"/>
      <c r="V402" s="131"/>
      <c r="W402" s="131"/>
      <c r="X402" s="131"/>
      <c r="Y402" s="131"/>
      <c r="Z402" s="131"/>
      <c r="AA402" s="131"/>
      <c r="AB402" s="330"/>
      <c r="AC402" s="331"/>
      <c r="AD402" s="332"/>
      <c r="AE402" s="131"/>
      <c r="AF402" s="131"/>
      <c r="AG402" s="131"/>
      <c r="AH402" s="131"/>
      <c r="AI402" s="131"/>
      <c r="AJ402" s="131"/>
      <c r="AK402" s="131"/>
      <c r="AL402" s="131"/>
      <c r="AM402" s="131"/>
      <c r="AN402" s="131"/>
      <c r="AO402" s="142"/>
      <c r="AP402" s="131"/>
    </row>
    <row r="403" ht="13.5" customHeight="1">
      <c r="A403" s="142"/>
      <c r="B403" s="142"/>
      <c r="C403" s="142"/>
      <c r="D403" s="142"/>
      <c r="E403" s="132"/>
      <c r="F403" s="131"/>
      <c r="G403" s="131"/>
      <c r="H403" s="131"/>
      <c r="I403" s="131"/>
      <c r="J403" s="219"/>
      <c r="K403" s="198"/>
      <c r="L403" s="131"/>
      <c r="M403" s="142"/>
      <c r="N403" s="131"/>
      <c r="O403" s="131"/>
      <c r="P403" s="131"/>
      <c r="Q403" s="131"/>
      <c r="R403" s="131"/>
      <c r="S403" s="131"/>
      <c r="T403" s="131"/>
      <c r="U403" s="131"/>
      <c r="V403" s="131"/>
      <c r="W403" s="131"/>
      <c r="X403" s="131"/>
      <c r="Y403" s="131"/>
      <c r="Z403" s="131"/>
      <c r="AA403" s="131"/>
      <c r="AB403" s="330"/>
      <c r="AC403" s="331"/>
      <c r="AD403" s="332"/>
      <c r="AE403" s="131"/>
      <c r="AF403" s="131"/>
      <c r="AG403" s="131"/>
      <c r="AH403" s="131"/>
      <c r="AI403" s="131"/>
      <c r="AJ403" s="131"/>
      <c r="AK403" s="131"/>
      <c r="AL403" s="131"/>
      <c r="AM403" s="131"/>
      <c r="AN403" s="131"/>
      <c r="AO403" s="142"/>
      <c r="AP403" s="131"/>
    </row>
    <row r="404" ht="13.5" customHeight="1">
      <c r="A404" s="142"/>
      <c r="B404" s="142"/>
      <c r="C404" s="142"/>
      <c r="D404" s="142"/>
      <c r="E404" s="132"/>
      <c r="F404" s="131"/>
      <c r="G404" s="131"/>
      <c r="H404" s="131"/>
      <c r="I404" s="131"/>
      <c r="J404" s="219"/>
      <c r="K404" s="198"/>
      <c r="L404" s="131"/>
      <c r="M404" s="142"/>
      <c r="N404" s="131"/>
      <c r="O404" s="131"/>
      <c r="P404" s="131"/>
      <c r="Q404" s="131"/>
      <c r="R404" s="131"/>
      <c r="S404" s="131"/>
      <c r="T404" s="131"/>
      <c r="U404" s="131"/>
      <c r="V404" s="131"/>
      <c r="W404" s="131"/>
      <c r="X404" s="131"/>
      <c r="Y404" s="131"/>
      <c r="Z404" s="131"/>
      <c r="AA404" s="131"/>
      <c r="AB404" s="330"/>
      <c r="AC404" s="331"/>
      <c r="AD404" s="332"/>
      <c r="AE404" s="131"/>
      <c r="AF404" s="131"/>
      <c r="AG404" s="131"/>
      <c r="AH404" s="131"/>
      <c r="AI404" s="131"/>
      <c r="AJ404" s="131"/>
      <c r="AK404" s="131"/>
      <c r="AL404" s="131"/>
      <c r="AM404" s="131"/>
      <c r="AN404" s="131"/>
      <c r="AO404" s="142"/>
      <c r="AP404" s="131"/>
    </row>
    <row r="405" ht="13.5" customHeight="1">
      <c r="A405" s="142"/>
      <c r="B405" s="142"/>
      <c r="C405" s="142"/>
      <c r="D405" s="142"/>
      <c r="E405" s="132"/>
      <c r="F405" s="131"/>
      <c r="G405" s="131"/>
      <c r="H405" s="131"/>
      <c r="I405" s="131"/>
      <c r="J405" s="219"/>
      <c r="K405" s="198"/>
      <c r="L405" s="131"/>
      <c r="M405" s="142"/>
      <c r="N405" s="131"/>
      <c r="O405" s="131"/>
      <c r="P405" s="131"/>
      <c r="Q405" s="131"/>
      <c r="R405" s="131"/>
      <c r="S405" s="131"/>
      <c r="T405" s="131"/>
      <c r="U405" s="131"/>
      <c r="V405" s="131"/>
      <c r="W405" s="131"/>
      <c r="X405" s="131"/>
      <c r="Y405" s="131"/>
      <c r="Z405" s="131"/>
      <c r="AA405" s="131"/>
      <c r="AB405" s="330"/>
      <c r="AC405" s="331"/>
      <c r="AD405" s="332"/>
      <c r="AE405" s="131"/>
      <c r="AF405" s="131"/>
      <c r="AG405" s="131"/>
      <c r="AH405" s="131"/>
      <c r="AI405" s="131"/>
      <c r="AJ405" s="131"/>
      <c r="AK405" s="131"/>
      <c r="AL405" s="131"/>
      <c r="AM405" s="131"/>
      <c r="AN405" s="131"/>
      <c r="AO405" s="142"/>
      <c r="AP405" s="131"/>
    </row>
    <row r="406" ht="13.5" customHeight="1">
      <c r="A406" s="142"/>
      <c r="B406" s="142"/>
      <c r="C406" s="142"/>
      <c r="D406" s="142"/>
      <c r="E406" s="132"/>
      <c r="F406" s="131"/>
      <c r="G406" s="131"/>
      <c r="H406" s="131"/>
      <c r="I406" s="131"/>
      <c r="J406" s="219"/>
      <c r="K406" s="198"/>
      <c r="L406" s="131"/>
      <c r="M406" s="142"/>
      <c r="N406" s="131"/>
      <c r="O406" s="131"/>
      <c r="P406" s="131"/>
      <c r="Q406" s="131"/>
      <c r="R406" s="131"/>
      <c r="S406" s="131"/>
      <c r="T406" s="131"/>
      <c r="U406" s="131"/>
      <c r="V406" s="131"/>
      <c r="W406" s="131"/>
      <c r="X406" s="131"/>
      <c r="Y406" s="131"/>
      <c r="Z406" s="131"/>
      <c r="AA406" s="131"/>
      <c r="AB406" s="330"/>
      <c r="AC406" s="331"/>
      <c r="AD406" s="332"/>
      <c r="AE406" s="131"/>
      <c r="AF406" s="131"/>
      <c r="AG406" s="131"/>
      <c r="AH406" s="131"/>
      <c r="AI406" s="131"/>
      <c r="AJ406" s="131"/>
      <c r="AK406" s="131"/>
      <c r="AL406" s="131"/>
      <c r="AM406" s="131"/>
      <c r="AN406" s="131"/>
      <c r="AO406" s="142"/>
      <c r="AP406" s="131"/>
    </row>
    <row r="407" ht="13.5" customHeight="1">
      <c r="A407" s="142"/>
      <c r="B407" s="142"/>
      <c r="C407" s="142"/>
      <c r="D407" s="142"/>
      <c r="E407" s="132"/>
      <c r="F407" s="131"/>
      <c r="G407" s="131"/>
      <c r="H407" s="131"/>
      <c r="I407" s="131"/>
      <c r="J407" s="219"/>
      <c r="K407" s="198"/>
      <c r="L407" s="131"/>
      <c r="M407" s="142"/>
      <c r="N407" s="131"/>
      <c r="O407" s="131"/>
      <c r="P407" s="131"/>
      <c r="Q407" s="131"/>
      <c r="R407" s="131"/>
      <c r="S407" s="131"/>
      <c r="T407" s="131"/>
      <c r="U407" s="131"/>
      <c r="V407" s="131"/>
      <c r="W407" s="131"/>
      <c r="X407" s="131"/>
      <c r="Y407" s="131"/>
      <c r="Z407" s="131"/>
      <c r="AA407" s="131"/>
      <c r="AB407" s="330"/>
      <c r="AC407" s="331"/>
      <c r="AD407" s="332"/>
      <c r="AE407" s="131"/>
      <c r="AF407" s="131"/>
      <c r="AG407" s="131"/>
      <c r="AH407" s="131"/>
      <c r="AI407" s="131"/>
      <c r="AJ407" s="131"/>
      <c r="AK407" s="131"/>
      <c r="AL407" s="131"/>
      <c r="AM407" s="131"/>
      <c r="AN407" s="131"/>
      <c r="AO407" s="142"/>
      <c r="AP407" s="131"/>
    </row>
    <row r="408" ht="13.5" customHeight="1">
      <c r="A408" s="142"/>
      <c r="B408" s="142"/>
      <c r="C408" s="142"/>
      <c r="D408" s="142"/>
      <c r="E408" s="132"/>
      <c r="F408" s="131"/>
      <c r="G408" s="131"/>
      <c r="H408" s="131"/>
      <c r="I408" s="131"/>
      <c r="J408" s="219"/>
      <c r="K408" s="198"/>
      <c r="L408" s="131"/>
      <c r="M408" s="142"/>
      <c r="N408" s="131"/>
      <c r="O408" s="131"/>
      <c r="P408" s="131"/>
      <c r="Q408" s="131"/>
      <c r="R408" s="131"/>
      <c r="S408" s="131"/>
      <c r="T408" s="131"/>
      <c r="U408" s="131"/>
      <c r="V408" s="131"/>
      <c r="W408" s="131"/>
      <c r="X408" s="131"/>
      <c r="Y408" s="131"/>
      <c r="Z408" s="131"/>
      <c r="AA408" s="131"/>
      <c r="AB408" s="330"/>
      <c r="AC408" s="331"/>
      <c r="AD408" s="332"/>
      <c r="AE408" s="131"/>
      <c r="AF408" s="131"/>
      <c r="AG408" s="131"/>
      <c r="AH408" s="131"/>
      <c r="AI408" s="131"/>
      <c r="AJ408" s="131"/>
      <c r="AK408" s="131"/>
      <c r="AL408" s="131"/>
      <c r="AM408" s="131"/>
      <c r="AN408" s="131"/>
      <c r="AO408" s="142"/>
      <c r="AP408" s="131"/>
    </row>
    <row r="409" ht="13.5" customHeight="1">
      <c r="A409" s="142"/>
      <c r="B409" s="142"/>
      <c r="C409" s="142"/>
      <c r="D409" s="142"/>
      <c r="E409" s="132"/>
      <c r="F409" s="131"/>
      <c r="G409" s="131"/>
      <c r="H409" s="131"/>
      <c r="I409" s="131"/>
      <c r="J409" s="219"/>
      <c r="K409" s="198"/>
      <c r="L409" s="131"/>
      <c r="M409" s="142"/>
      <c r="N409" s="131"/>
      <c r="O409" s="131"/>
      <c r="P409" s="131"/>
      <c r="Q409" s="131"/>
      <c r="R409" s="131"/>
      <c r="S409" s="131"/>
      <c r="T409" s="131"/>
      <c r="U409" s="131"/>
      <c r="V409" s="131"/>
      <c r="W409" s="131"/>
      <c r="X409" s="131"/>
      <c r="Y409" s="131"/>
      <c r="Z409" s="131"/>
      <c r="AA409" s="131"/>
      <c r="AB409" s="330"/>
      <c r="AC409" s="331"/>
      <c r="AD409" s="332"/>
      <c r="AE409" s="131"/>
      <c r="AF409" s="131"/>
      <c r="AG409" s="131"/>
      <c r="AH409" s="131"/>
      <c r="AI409" s="131"/>
      <c r="AJ409" s="131"/>
      <c r="AK409" s="131"/>
      <c r="AL409" s="131"/>
      <c r="AM409" s="131"/>
      <c r="AN409" s="131"/>
      <c r="AO409" s="142"/>
      <c r="AP409" s="131"/>
    </row>
    <row r="410" ht="13.5" customHeight="1">
      <c r="A410" s="142"/>
      <c r="B410" s="142"/>
      <c r="C410" s="142"/>
      <c r="D410" s="142"/>
      <c r="E410" s="132"/>
      <c r="F410" s="131"/>
      <c r="G410" s="131"/>
      <c r="H410" s="131"/>
      <c r="I410" s="131"/>
      <c r="J410" s="219"/>
      <c r="K410" s="198"/>
      <c r="L410" s="131"/>
      <c r="M410" s="142"/>
      <c r="N410" s="131"/>
      <c r="O410" s="131"/>
      <c r="P410" s="131"/>
      <c r="Q410" s="131"/>
      <c r="R410" s="131"/>
      <c r="S410" s="131"/>
      <c r="T410" s="131"/>
      <c r="U410" s="131"/>
      <c r="V410" s="131"/>
      <c r="W410" s="131"/>
      <c r="X410" s="131"/>
      <c r="Y410" s="131"/>
      <c r="Z410" s="131"/>
      <c r="AA410" s="131"/>
      <c r="AB410" s="330"/>
      <c r="AC410" s="331"/>
      <c r="AD410" s="332"/>
      <c r="AE410" s="131"/>
      <c r="AF410" s="131"/>
      <c r="AG410" s="131"/>
      <c r="AH410" s="131"/>
      <c r="AI410" s="131"/>
      <c r="AJ410" s="131"/>
      <c r="AK410" s="131"/>
      <c r="AL410" s="131"/>
      <c r="AM410" s="131"/>
      <c r="AN410" s="131"/>
      <c r="AO410" s="142"/>
      <c r="AP410" s="131"/>
    </row>
    <row r="411" ht="13.5" customHeight="1">
      <c r="A411" s="142"/>
      <c r="B411" s="142"/>
      <c r="C411" s="142"/>
      <c r="D411" s="142"/>
      <c r="E411" s="132"/>
      <c r="F411" s="131"/>
      <c r="G411" s="131"/>
      <c r="H411" s="131"/>
      <c r="I411" s="131"/>
      <c r="J411" s="219"/>
      <c r="K411" s="198"/>
      <c r="L411" s="131"/>
      <c r="M411" s="142"/>
      <c r="N411" s="131"/>
      <c r="O411" s="131"/>
      <c r="P411" s="131"/>
      <c r="Q411" s="131"/>
      <c r="R411" s="131"/>
      <c r="S411" s="131"/>
      <c r="T411" s="131"/>
      <c r="U411" s="131"/>
      <c r="V411" s="131"/>
      <c r="W411" s="131"/>
      <c r="X411" s="131"/>
      <c r="Y411" s="131"/>
      <c r="Z411" s="131"/>
      <c r="AA411" s="131"/>
      <c r="AB411" s="330"/>
      <c r="AC411" s="331"/>
      <c r="AD411" s="332"/>
      <c r="AE411" s="131"/>
      <c r="AF411" s="131"/>
      <c r="AG411" s="131"/>
      <c r="AH411" s="131"/>
      <c r="AI411" s="131"/>
      <c r="AJ411" s="131"/>
      <c r="AK411" s="131"/>
      <c r="AL411" s="131"/>
      <c r="AM411" s="131"/>
      <c r="AN411" s="131"/>
      <c r="AO411" s="142"/>
      <c r="AP411" s="131"/>
    </row>
    <row r="412" ht="13.5" customHeight="1">
      <c r="A412" s="142"/>
      <c r="B412" s="142"/>
      <c r="C412" s="142"/>
      <c r="D412" s="142"/>
      <c r="E412" s="132"/>
      <c r="F412" s="131"/>
      <c r="G412" s="131"/>
      <c r="H412" s="131"/>
      <c r="I412" s="131"/>
      <c r="J412" s="219"/>
      <c r="K412" s="198"/>
      <c r="L412" s="131"/>
      <c r="M412" s="142"/>
      <c r="N412" s="131"/>
      <c r="O412" s="131"/>
      <c r="P412" s="131"/>
      <c r="Q412" s="131"/>
      <c r="R412" s="131"/>
      <c r="S412" s="131"/>
      <c r="T412" s="131"/>
      <c r="U412" s="131"/>
      <c r="V412" s="131"/>
      <c r="W412" s="131"/>
      <c r="X412" s="131"/>
      <c r="Y412" s="131"/>
      <c r="Z412" s="131"/>
      <c r="AA412" s="131"/>
      <c r="AB412" s="330"/>
      <c r="AC412" s="331"/>
      <c r="AD412" s="332"/>
      <c r="AE412" s="131"/>
      <c r="AF412" s="131"/>
      <c r="AG412" s="131"/>
      <c r="AH412" s="131"/>
      <c r="AI412" s="131"/>
      <c r="AJ412" s="131"/>
      <c r="AK412" s="131"/>
      <c r="AL412" s="131"/>
      <c r="AM412" s="131"/>
      <c r="AN412" s="131"/>
      <c r="AO412" s="142"/>
      <c r="AP412" s="131"/>
    </row>
    <row r="413" ht="13.5" customHeight="1">
      <c r="A413" s="142"/>
      <c r="B413" s="142"/>
      <c r="C413" s="142"/>
      <c r="D413" s="142"/>
      <c r="E413" s="132"/>
      <c r="F413" s="131"/>
      <c r="G413" s="131"/>
      <c r="H413" s="131"/>
      <c r="I413" s="131"/>
      <c r="J413" s="219"/>
      <c r="K413" s="198"/>
      <c r="L413" s="131"/>
      <c r="M413" s="142"/>
      <c r="N413" s="131"/>
      <c r="O413" s="131"/>
      <c r="P413" s="131"/>
      <c r="Q413" s="131"/>
      <c r="R413" s="131"/>
      <c r="S413" s="131"/>
      <c r="T413" s="131"/>
      <c r="U413" s="131"/>
      <c r="V413" s="131"/>
      <c r="W413" s="131"/>
      <c r="X413" s="131"/>
      <c r="Y413" s="131"/>
      <c r="Z413" s="131"/>
      <c r="AA413" s="131"/>
      <c r="AB413" s="330"/>
      <c r="AC413" s="331"/>
      <c r="AD413" s="332"/>
      <c r="AE413" s="131"/>
      <c r="AF413" s="131"/>
      <c r="AG413" s="131"/>
      <c r="AH413" s="131"/>
      <c r="AI413" s="131"/>
      <c r="AJ413" s="131"/>
      <c r="AK413" s="131"/>
      <c r="AL413" s="131"/>
      <c r="AM413" s="131"/>
      <c r="AN413" s="131"/>
      <c r="AO413" s="142"/>
      <c r="AP413" s="131"/>
    </row>
    <row r="414" ht="13.5" customHeight="1">
      <c r="A414" s="142"/>
      <c r="B414" s="142"/>
      <c r="C414" s="142"/>
      <c r="D414" s="142"/>
      <c r="E414" s="132"/>
      <c r="F414" s="131"/>
      <c r="G414" s="131"/>
      <c r="H414" s="131"/>
      <c r="I414" s="131"/>
      <c r="J414" s="219"/>
      <c r="K414" s="198"/>
      <c r="L414" s="131"/>
      <c r="M414" s="142"/>
      <c r="N414" s="131"/>
      <c r="O414" s="131"/>
      <c r="P414" s="131"/>
      <c r="Q414" s="131"/>
      <c r="R414" s="131"/>
      <c r="S414" s="131"/>
      <c r="T414" s="131"/>
      <c r="U414" s="131"/>
      <c r="V414" s="131"/>
      <c r="W414" s="131"/>
      <c r="X414" s="131"/>
      <c r="Y414" s="131"/>
      <c r="Z414" s="131"/>
      <c r="AA414" s="131"/>
      <c r="AB414" s="330"/>
      <c r="AC414" s="331"/>
      <c r="AD414" s="332"/>
      <c r="AE414" s="131"/>
      <c r="AF414" s="131"/>
      <c r="AG414" s="131"/>
      <c r="AH414" s="131"/>
      <c r="AI414" s="131"/>
      <c r="AJ414" s="131"/>
      <c r="AK414" s="131"/>
      <c r="AL414" s="131"/>
      <c r="AM414" s="131"/>
      <c r="AN414" s="131"/>
      <c r="AO414" s="142"/>
      <c r="AP414" s="131"/>
    </row>
    <row r="415" ht="13.5" customHeight="1">
      <c r="A415" s="142"/>
      <c r="B415" s="142"/>
      <c r="C415" s="142"/>
      <c r="D415" s="142"/>
      <c r="E415" s="132"/>
      <c r="F415" s="131"/>
      <c r="G415" s="131"/>
      <c r="H415" s="131"/>
      <c r="I415" s="131"/>
      <c r="J415" s="219"/>
      <c r="K415" s="198"/>
      <c r="L415" s="131"/>
      <c r="M415" s="142"/>
      <c r="N415" s="131"/>
      <c r="O415" s="131"/>
      <c r="P415" s="131"/>
      <c r="Q415" s="131"/>
      <c r="R415" s="131"/>
      <c r="S415" s="131"/>
      <c r="T415" s="131"/>
      <c r="U415" s="131"/>
      <c r="V415" s="131"/>
      <c r="W415" s="131"/>
      <c r="X415" s="131"/>
      <c r="Y415" s="131"/>
      <c r="Z415" s="131"/>
      <c r="AA415" s="131"/>
      <c r="AB415" s="330"/>
      <c r="AC415" s="331"/>
      <c r="AD415" s="332"/>
      <c r="AE415" s="131"/>
      <c r="AF415" s="131"/>
      <c r="AG415" s="131"/>
      <c r="AH415" s="131"/>
      <c r="AI415" s="131"/>
      <c r="AJ415" s="131"/>
      <c r="AK415" s="131"/>
      <c r="AL415" s="131"/>
      <c r="AM415" s="131"/>
      <c r="AN415" s="131"/>
      <c r="AO415" s="142"/>
      <c r="AP415" s="131"/>
    </row>
    <row r="416" ht="13.5" customHeight="1">
      <c r="A416" s="142"/>
      <c r="B416" s="142"/>
      <c r="C416" s="142"/>
      <c r="D416" s="142"/>
      <c r="E416" s="132"/>
      <c r="F416" s="131"/>
      <c r="G416" s="131"/>
      <c r="H416" s="131"/>
      <c r="I416" s="131"/>
      <c r="J416" s="219"/>
      <c r="K416" s="198"/>
      <c r="L416" s="131"/>
      <c r="M416" s="142"/>
      <c r="N416" s="131"/>
      <c r="O416" s="131"/>
      <c r="P416" s="131"/>
      <c r="Q416" s="131"/>
      <c r="R416" s="131"/>
      <c r="S416" s="131"/>
      <c r="T416" s="131"/>
      <c r="U416" s="131"/>
      <c r="V416" s="131"/>
      <c r="W416" s="131"/>
      <c r="X416" s="131"/>
      <c r="Y416" s="131"/>
      <c r="Z416" s="131"/>
      <c r="AA416" s="131"/>
      <c r="AB416" s="330"/>
      <c r="AC416" s="331"/>
      <c r="AD416" s="332"/>
      <c r="AE416" s="131"/>
      <c r="AF416" s="131"/>
      <c r="AG416" s="131"/>
      <c r="AH416" s="131"/>
      <c r="AI416" s="131"/>
      <c r="AJ416" s="131"/>
      <c r="AK416" s="131"/>
      <c r="AL416" s="131"/>
      <c r="AM416" s="131"/>
      <c r="AN416" s="131"/>
      <c r="AO416" s="142"/>
      <c r="AP416" s="131"/>
    </row>
    <row r="417" ht="13.5" customHeight="1">
      <c r="A417" s="142"/>
      <c r="B417" s="142"/>
      <c r="C417" s="142"/>
      <c r="D417" s="142"/>
      <c r="E417" s="132"/>
      <c r="F417" s="131"/>
      <c r="G417" s="131"/>
      <c r="H417" s="131"/>
      <c r="I417" s="131"/>
      <c r="J417" s="219"/>
      <c r="K417" s="198"/>
      <c r="L417" s="131"/>
      <c r="M417" s="142"/>
      <c r="N417" s="131"/>
      <c r="O417" s="131"/>
      <c r="P417" s="131"/>
      <c r="Q417" s="131"/>
      <c r="R417" s="131"/>
      <c r="S417" s="131"/>
      <c r="T417" s="131"/>
      <c r="U417" s="131"/>
      <c r="V417" s="131"/>
      <c r="W417" s="131"/>
      <c r="X417" s="131"/>
      <c r="Y417" s="131"/>
      <c r="Z417" s="131"/>
      <c r="AA417" s="131"/>
      <c r="AB417" s="330"/>
      <c r="AC417" s="331"/>
      <c r="AD417" s="332"/>
      <c r="AE417" s="131"/>
      <c r="AF417" s="131"/>
      <c r="AG417" s="131"/>
      <c r="AH417" s="131"/>
      <c r="AI417" s="131"/>
      <c r="AJ417" s="131"/>
      <c r="AK417" s="131"/>
      <c r="AL417" s="131"/>
      <c r="AM417" s="131"/>
      <c r="AN417" s="131"/>
      <c r="AO417" s="142"/>
      <c r="AP417" s="131"/>
    </row>
    <row r="418" ht="13.5" customHeight="1">
      <c r="A418" s="142"/>
      <c r="B418" s="142"/>
      <c r="C418" s="142"/>
      <c r="D418" s="142"/>
      <c r="E418" s="132"/>
      <c r="F418" s="131"/>
      <c r="G418" s="131"/>
      <c r="H418" s="131"/>
      <c r="I418" s="131"/>
      <c r="J418" s="219"/>
      <c r="K418" s="198"/>
      <c r="L418" s="131"/>
      <c r="M418" s="142"/>
      <c r="N418" s="131"/>
      <c r="O418" s="131"/>
      <c r="P418" s="131"/>
      <c r="Q418" s="131"/>
      <c r="R418" s="131"/>
      <c r="S418" s="131"/>
      <c r="T418" s="131"/>
      <c r="U418" s="131"/>
      <c r="V418" s="131"/>
      <c r="W418" s="131"/>
      <c r="X418" s="131"/>
      <c r="Y418" s="131"/>
      <c r="Z418" s="131"/>
      <c r="AA418" s="131"/>
      <c r="AB418" s="330"/>
      <c r="AC418" s="331"/>
      <c r="AD418" s="332"/>
      <c r="AE418" s="131"/>
      <c r="AF418" s="131"/>
      <c r="AG418" s="131"/>
      <c r="AH418" s="131"/>
      <c r="AI418" s="131"/>
      <c r="AJ418" s="131"/>
      <c r="AK418" s="131"/>
      <c r="AL418" s="131"/>
      <c r="AM418" s="131"/>
      <c r="AN418" s="131"/>
      <c r="AO418" s="142"/>
      <c r="AP418" s="131"/>
    </row>
    <row r="419" ht="13.5" customHeight="1">
      <c r="A419" s="142"/>
      <c r="B419" s="142"/>
      <c r="C419" s="142"/>
      <c r="D419" s="142"/>
      <c r="E419" s="132"/>
      <c r="F419" s="131"/>
      <c r="G419" s="131"/>
      <c r="H419" s="131"/>
      <c r="I419" s="131"/>
      <c r="J419" s="219"/>
      <c r="K419" s="198"/>
      <c r="L419" s="131"/>
      <c r="M419" s="142"/>
      <c r="N419" s="131"/>
      <c r="O419" s="131"/>
      <c r="P419" s="131"/>
      <c r="Q419" s="131"/>
      <c r="R419" s="131"/>
      <c r="S419" s="131"/>
      <c r="T419" s="131"/>
      <c r="U419" s="131"/>
      <c r="V419" s="131"/>
      <c r="W419" s="131"/>
      <c r="X419" s="131"/>
      <c r="Y419" s="131"/>
      <c r="Z419" s="131"/>
      <c r="AA419" s="131"/>
      <c r="AB419" s="330"/>
      <c r="AC419" s="331"/>
      <c r="AD419" s="332"/>
      <c r="AE419" s="131"/>
      <c r="AF419" s="131"/>
      <c r="AG419" s="131"/>
      <c r="AH419" s="131"/>
      <c r="AI419" s="131"/>
      <c r="AJ419" s="131"/>
      <c r="AK419" s="131"/>
      <c r="AL419" s="131"/>
      <c r="AM419" s="131"/>
      <c r="AN419" s="131"/>
      <c r="AO419" s="142"/>
      <c r="AP419" s="131"/>
    </row>
    <row r="420" ht="13.5" customHeight="1">
      <c r="A420" s="142"/>
      <c r="B420" s="142"/>
      <c r="C420" s="142"/>
      <c r="D420" s="142"/>
      <c r="E420" s="132"/>
      <c r="F420" s="131"/>
      <c r="G420" s="131"/>
      <c r="H420" s="131"/>
      <c r="I420" s="131"/>
      <c r="J420" s="219"/>
      <c r="K420" s="198"/>
      <c r="L420" s="131"/>
      <c r="M420" s="142"/>
      <c r="N420" s="131"/>
      <c r="O420" s="131"/>
      <c r="P420" s="131"/>
      <c r="Q420" s="131"/>
      <c r="R420" s="131"/>
      <c r="S420" s="131"/>
      <c r="T420" s="131"/>
      <c r="U420" s="131"/>
      <c r="V420" s="131"/>
      <c r="W420" s="131"/>
      <c r="X420" s="131"/>
      <c r="Y420" s="131"/>
      <c r="Z420" s="131"/>
      <c r="AA420" s="131"/>
      <c r="AB420" s="330"/>
      <c r="AC420" s="331"/>
      <c r="AD420" s="332"/>
      <c r="AE420" s="131"/>
      <c r="AF420" s="131"/>
      <c r="AG420" s="131"/>
      <c r="AH420" s="131"/>
      <c r="AI420" s="131"/>
      <c r="AJ420" s="131"/>
      <c r="AK420" s="131"/>
      <c r="AL420" s="131"/>
      <c r="AM420" s="131"/>
      <c r="AN420" s="131"/>
      <c r="AO420" s="142"/>
      <c r="AP420" s="131"/>
    </row>
    <row r="421" ht="13.5" customHeight="1">
      <c r="A421" s="142"/>
      <c r="B421" s="142"/>
      <c r="C421" s="142"/>
      <c r="D421" s="142"/>
      <c r="E421" s="132"/>
      <c r="F421" s="131"/>
      <c r="G421" s="131"/>
      <c r="H421" s="131"/>
      <c r="I421" s="131"/>
      <c r="J421" s="219"/>
      <c r="K421" s="198"/>
      <c r="L421" s="131"/>
      <c r="M421" s="142"/>
      <c r="N421" s="131"/>
      <c r="O421" s="131"/>
      <c r="P421" s="131"/>
      <c r="Q421" s="131"/>
      <c r="R421" s="131"/>
      <c r="S421" s="131"/>
      <c r="T421" s="131"/>
      <c r="U421" s="131"/>
      <c r="V421" s="131"/>
      <c r="W421" s="131"/>
      <c r="X421" s="131"/>
      <c r="Y421" s="131"/>
      <c r="Z421" s="131"/>
      <c r="AA421" s="131"/>
      <c r="AB421" s="330"/>
      <c r="AC421" s="331"/>
      <c r="AD421" s="332"/>
      <c r="AE421" s="131"/>
      <c r="AF421" s="131"/>
      <c r="AG421" s="131"/>
      <c r="AH421" s="131"/>
      <c r="AI421" s="131"/>
      <c r="AJ421" s="131"/>
      <c r="AK421" s="131"/>
      <c r="AL421" s="131"/>
      <c r="AM421" s="131"/>
      <c r="AN421" s="131"/>
      <c r="AO421" s="142"/>
      <c r="AP421" s="131"/>
    </row>
    <row r="422" ht="13.5" customHeight="1">
      <c r="A422" s="142"/>
      <c r="B422" s="142"/>
      <c r="C422" s="142"/>
      <c r="D422" s="142"/>
      <c r="E422" s="132"/>
      <c r="F422" s="131"/>
      <c r="G422" s="131"/>
      <c r="H422" s="131"/>
      <c r="I422" s="131"/>
      <c r="J422" s="219"/>
      <c r="K422" s="198"/>
      <c r="L422" s="131"/>
      <c r="M422" s="142"/>
      <c r="N422" s="131"/>
      <c r="O422" s="131"/>
      <c r="P422" s="131"/>
      <c r="Q422" s="131"/>
      <c r="R422" s="131"/>
      <c r="S422" s="131"/>
      <c r="T422" s="131"/>
      <c r="U422" s="131"/>
      <c r="V422" s="131"/>
      <c r="W422" s="131"/>
      <c r="X422" s="131"/>
      <c r="Y422" s="131"/>
      <c r="Z422" s="131"/>
      <c r="AA422" s="131"/>
      <c r="AB422" s="330"/>
      <c r="AC422" s="331"/>
      <c r="AD422" s="332"/>
      <c r="AE422" s="131"/>
      <c r="AF422" s="131"/>
      <c r="AG422" s="131"/>
      <c r="AH422" s="131"/>
      <c r="AI422" s="131"/>
      <c r="AJ422" s="131"/>
      <c r="AK422" s="131"/>
      <c r="AL422" s="131"/>
      <c r="AM422" s="131"/>
      <c r="AN422" s="131"/>
      <c r="AO422" s="142"/>
      <c r="AP422" s="131"/>
    </row>
    <row r="423" ht="13.5" customHeight="1">
      <c r="A423" s="142"/>
      <c r="B423" s="142"/>
      <c r="C423" s="142"/>
      <c r="D423" s="142"/>
      <c r="E423" s="132"/>
      <c r="F423" s="131"/>
      <c r="G423" s="131"/>
      <c r="H423" s="131"/>
      <c r="I423" s="131"/>
      <c r="J423" s="219"/>
      <c r="K423" s="198"/>
      <c r="L423" s="131"/>
      <c r="M423" s="142"/>
      <c r="N423" s="131"/>
      <c r="O423" s="131"/>
      <c r="P423" s="131"/>
      <c r="Q423" s="131"/>
      <c r="R423" s="131"/>
      <c r="S423" s="131"/>
      <c r="T423" s="131"/>
      <c r="U423" s="131"/>
      <c r="V423" s="131"/>
      <c r="W423" s="131"/>
      <c r="X423" s="131"/>
      <c r="Y423" s="131"/>
      <c r="Z423" s="131"/>
      <c r="AA423" s="131"/>
      <c r="AB423" s="330"/>
      <c r="AC423" s="331"/>
      <c r="AD423" s="332"/>
      <c r="AE423" s="131"/>
      <c r="AF423" s="131"/>
      <c r="AG423" s="131"/>
      <c r="AH423" s="131"/>
      <c r="AI423" s="131"/>
      <c r="AJ423" s="131"/>
      <c r="AK423" s="131"/>
      <c r="AL423" s="131"/>
      <c r="AM423" s="131"/>
      <c r="AN423" s="131"/>
      <c r="AO423" s="142"/>
      <c r="AP423" s="131"/>
    </row>
    <row r="424" ht="13.5" customHeight="1">
      <c r="A424" s="142"/>
      <c r="B424" s="142"/>
      <c r="C424" s="142"/>
      <c r="D424" s="142"/>
      <c r="E424" s="132"/>
      <c r="F424" s="131"/>
      <c r="G424" s="131"/>
      <c r="H424" s="131"/>
      <c r="I424" s="131"/>
      <c r="J424" s="219"/>
      <c r="K424" s="198"/>
      <c r="L424" s="131"/>
      <c r="M424" s="142"/>
      <c r="N424" s="131"/>
      <c r="O424" s="131"/>
      <c r="P424" s="131"/>
      <c r="Q424" s="131"/>
      <c r="R424" s="131"/>
      <c r="S424" s="131"/>
      <c r="T424" s="131"/>
      <c r="U424" s="131"/>
      <c r="V424" s="131"/>
      <c r="W424" s="131"/>
      <c r="X424" s="131"/>
      <c r="Y424" s="131"/>
      <c r="Z424" s="131"/>
      <c r="AA424" s="131"/>
      <c r="AB424" s="330"/>
      <c r="AC424" s="331"/>
      <c r="AD424" s="332"/>
      <c r="AE424" s="131"/>
      <c r="AF424" s="131"/>
      <c r="AG424" s="131"/>
      <c r="AH424" s="131"/>
      <c r="AI424" s="131"/>
      <c r="AJ424" s="131"/>
      <c r="AK424" s="131"/>
      <c r="AL424" s="131"/>
      <c r="AM424" s="131"/>
      <c r="AN424" s="131"/>
      <c r="AO424" s="142"/>
      <c r="AP424" s="131"/>
    </row>
    <row r="425" ht="13.5" customHeight="1">
      <c r="A425" s="142"/>
      <c r="B425" s="142"/>
      <c r="C425" s="142"/>
      <c r="D425" s="142"/>
      <c r="E425" s="132"/>
      <c r="F425" s="131"/>
      <c r="G425" s="131"/>
      <c r="H425" s="131"/>
      <c r="I425" s="131"/>
      <c r="J425" s="219"/>
      <c r="K425" s="198"/>
      <c r="L425" s="131"/>
      <c r="M425" s="142"/>
      <c r="N425" s="131"/>
      <c r="O425" s="131"/>
      <c r="P425" s="131"/>
      <c r="Q425" s="131"/>
      <c r="R425" s="131"/>
      <c r="S425" s="131"/>
      <c r="T425" s="131"/>
      <c r="U425" s="131"/>
      <c r="V425" s="131"/>
      <c r="W425" s="131"/>
      <c r="X425" s="131"/>
      <c r="Y425" s="131"/>
      <c r="Z425" s="131"/>
      <c r="AA425" s="131"/>
      <c r="AB425" s="330"/>
      <c r="AC425" s="331"/>
      <c r="AD425" s="332"/>
      <c r="AE425" s="131"/>
      <c r="AF425" s="131"/>
      <c r="AG425" s="131"/>
      <c r="AH425" s="131"/>
      <c r="AI425" s="131"/>
      <c r="AJ425" s="131"/>
      <c r="AK425" s="131"/>
      <c r="AL425" s="131"/>
      <c r="AM425" s="131"/>
      <c r="AN425" s="131"/>
      <c r="AO425" s="142"/>
      <c r="AP425" s="131"/>
    </row>
    <row r="426" ht="13.5" customHeight="1">
      <c r="A426" s="142"/>
      <c r="B426" s="142"/>
      <c r="C426" s="142"/>
      <c r="D426" s="142"/>
      <c r="E426" s="132"/>
      <c r="F426" s="131"/>
      <c r="G426" s="131"/>
      <c r="H426" s="131"/>
      <c r="I426" s="131"/>
      <c r="J426" s="219"/>
      <c r="K426" s="198"/>
      <c r="L426" s="131"/>
      <c r="M426" s="142"/>
      <c r="N426" s="131"/>
      <c r="O426" s="131"/>
      <c r="P426" s="131"/>
      <c r="Q426" s="131"/>
      <c r="R426" s="131"/>
      <c r="S426" s="131"/>
      <c r="T426" s="131"/>
      <c r="U426" s="131"/>
      <c r="V426" s="131"/>
      <c r="W426" s="131"/>
      <c r="X426" s="131"/>
      <c r="Y426" s="131"/>
      <c r="Z426" s="131"/>
      <c r="AA426" s="131"/>
      <c r="AB426" s="330"/>
      <c r="AC426" s="331"/>
      <c r="AD426" s="332"/>
      <c r="AE426" s="131"/>
      <c r="AF426" s="131"/>
      <c r="AG426" s="131"/>
      <c r="AH426" s="131"/>
      <c r="AI426" s="131"/>
      <c r="AJ426" s="131"/>
      <c r="AK426" s="131"/>
      <c r="AL426" s="131"/>
      <c r="AM426" s="131"/>
      <c r="AN426" s="131"/>
      <c r="AO426" s="142"/>
      <c r="AP426" s="131"/>
    </row>
    <row r="427" ht="13.5" customHeight="1">
      <c r="A427" s="142"/>
      <c r="B427" s="142"/>
      <c r="C427" s="142"/>
      <c r="D427" s="142"/>
      <c r="E427" s="132"/>
      <c r="F427" s="131"/>
      <c r="G427" s="131"/>
      <c r="H427" s="131"/>
      <c r="I427" s="131"/>
      <c r="J427" s="219"/>
      <c r="K427" s="198"/>
      <c r="L427" s="131"/>
      <c r="M427" s="142"/>
      <c r="N427" s="131"/>
      <c r="O427" s="131"/>
      <c r="P427" s="131"/>
      <c r="Q427" s="131"/>
      <c r="R427" s="131"/>
      <c r="S427" s="131"/>
      <c r="T427" s="131"/>
      <c r="U427" s="131"/>
      <c r="V427" s="131"/>
      <c r="W427" s="131"/>
      <c r="X427" s="131"/>
      <c r="Y427" s="131"/>
      <c r="Z427" s="131"/>
      <c r="AA427" s="131"/>
      <c r="AB427" s="330"/>
      <c r="AC427" s="331"/>
      <c r="AD427" s="332"/>
      <c r="AE427" s="131"/>
      <c r="AF427" s="131"/>
      <c r="AG427" s="131"/>
      <c r="AH427" s="131"/>
      <c r="AI427" s="131"/>
      <c r="AJ427" s="131"/>
      <c r="AK427" s="131"/>
      <c r="AL427" s="131"/>
      <c r="AM427" s="131"/>
      <c r="AN427" s="131"/>
      <c r="AO427" s="142"/>
      <c r="AP427" s="131"/>
    </row>
    <row r="428" ht="13.5" customHeight="1">
      <c r="A428" s="142"/>
      <c r="B428" s="142"/>
      <c r="C428" s="142"/>
      <c r="D428" s="142"/>
      <c r="E428" s="132"/>
      <c r="F428" s="131"/>
      <c r="G428" s="131"/>
      <c r="H428" s="131"/>
      <c r="I428" s="131"/>
      <c r="J428" s="219"/>
      <c r="K428" s="198"/>
      <c r="L428" s="131"/>
      <c r="M428" s="142"/>
      <c r="N428" s="131"/>
      <c r="O428" s="131"/>
      <c r="P428" s="131"/>
      <c r="Q428" s="131"/>
      <c r="R428" s="131"/>
      <c r="S428" s="131"/>
      <c r="T428" s="131"/>
      <c r="U428" s="131"/>
      <c r="V428" s="131"/>
      <c r="W428" s="131"/>
      <c r="X428" s="131"/>
      <c r="Y428" s="131"/>
      <c r="Z428" s="131"/>
      <c r="AA428" s="131"/>
      <c r="AB428" s="330"/>
      <c r="AC428" s="331"/>
      <c r="AD428" s="332"/>
      <c r="AE428" s="131"/>
      <c r="AF428" s="131"/>
      <c r="AG428" s="131"/>
      <c r="AH428" s="131"/>
      <c r="AI428" s="131"/>
      <c r="AJ428" s="131"/>
      <c r="AK428" s="131"/>
      <c r="AL428" s="131"/>
      <c r="AM428" s="131"/>
      <c r="AN428" s="131"/>
      <c r="AO428" s="142"/>
      <c r="AP428" s="131"/>
    </row>
    <row r="429" ht="13.5" customHeight="1">
      <c r="A429" s="142"/>
      <c r="B429" s="142"/>
      <c r="C429" s="142"/>
      <c r="D429" s="142"/>
      <c r="E429" s="132"/>
      <c r="F429" s="131"/>
      <c r="G429" s="131"/>
      <c r="H429" s="131"/>
      <c r="I429" s="131"/>
      <c r="J429" s="219"/>
      <c r="K429" s="198"/>
      <c r="L429" s="131"/>
      <c r="M429" s="142"/>
      <c r="N429" s="131"/>
      <c r="O429" s="131"/>
      <c r="P429" s="131"/>
      <c r="Q429" s="131"/>
      <c r="R429" s="131"/>
      <c r="S429" s="131"/>
      <c r="T429" s="131"/>
      <c r="U429" s="131"/>
      <c r="V429" s="131"/>
      <c r="W429" s="131"/>
      <c r="X429" s="131"/>
      <c r="Y429" s="131"/>
      <c r="Z429" s="131"/>
      <c r="AA429" s="131"/>
      <c r="AB429" s="330"/>
      <c r="AC429" s="331"/>
      <c r="AD429" s="332"/>
      <c r="AE429" s="131"/>
      <c r="AF429" s="131"/>
      <c r="AG429" s="131"/>
      <c r="AH429" s="131"/>
      <c r="AI429" s="131"/>
      <c r="AJ429" s="131"/>
      <c r="AK429" s="131"/>
      <c r="AL429" s="131"/>
      <c r="AM429" s="131"/>
      <c r="AN429" s="131"/>
      <c r="AO429" s="142"/>
      <c r="AP429" s="131"/>
    </row>
    <row r="430" ht="13.5" customHeight="1">
      <c r="A430" s="142"/>
      <c r="B430" s="142"/>
      <c r="C430" s="142"/>
      <c r="D430" s="142"/>
      <c r="E430" s="132"/>
      <c r="F430" s="131"/>
      <c r="G430" s="131"/>
      <c r="H430" s="131"/>
      <c r="I430" s="131"/>
      <c r="J430" s="219"/>
      <c r="K430" s="198"/>
      <c r="L430" s="131"/>
      <c r="M430" s="142"/>
      <c r="N430" s="131"/>
      <c r="O430" s="131"/>
      <c r="P430" s="131"/>
      <c r="Q430" s="131"/>
      <c r="R430" s="131"/>
      <c r="S430" s="131"/>
      <c r="T430" s="131"/>
      <c r="U430" s="131"/>
      <c r="V430" s="131"/>
      <c r="W430" s="131"/>
      <c r="X430" s="131"/>
      <c r="Y430" s="131"/>
      <c r="Z430" s="131"/>
      <c r="AA430" s="131"/>
      <c r="AB430" s="330"/>
      <c r="AC430" s="331"/>
      <c r="AD430" s="332"/>
      <c r="AE430" s="131"/>
      <c r="AF430" s="131"/>
      <c r="AG430" s="131"/>
      <c r="AH430" s="131"/>
      <c r="AI430" s="131"/>
      <c r="AJ430" s="131"/>
      <c r="AK430" s="131"/>
      <c r="AL430" s="131"/>
      <c r="AM430" s="131"/>
      <c r="AN430" s="131"/>
      <c r="AO430" s="142"/>
      <c r="AP430" s="131"/>
    </row>
    <row r="431" ht="13.5" customHeight="1">
      <c r="A431" s="142"/>
      <c r="B431" s="142"/>
      <c r="C431" s="142"/>
      <c r="D431" s="142"/>
      <c r="E431" s="132"/>
      <c r="F431" s="131"/>
      <c r="G431" s="131"/>
      <c r="H431" s="131"/>
      <c r="I431" s="131"/>
      <c r="J431" s="219"/>
      <c r="K431" s="198"/>
      <c r="L431" s="131"/>
      <c r="M431" s="142"/>
      <c r="N431" s="131"/>
      <c r="O431" s="131"/>
      <c r="P431" s="131"/>
      <c r="Q431" s="131"/>
      <c r="R431" s="131"/>
      <c r="S431" s="131"/>
      <c r="T431" s="131"/>
      <c r="U431" s="131"/>
      <c r="V431" s="131"/>
      <c r="W431" s="131"/>
      <c r="X431" s="131"/>
      <c r="Y431" s="131"/>
      <c r="Z431" s="131"/>
      <c r="AA431" s="131"/>
      <c r="AB431" s="330"/>
      <c r="AC431" s="331"/>
      <c r="AD431" s="332"/>
      <c r="AE431" s="131"/>
      <c r="AF431" s="131"/>
      <c r="AG431" s="131"/>
      <c r="AH431" s="131"/>
      <c r="AI431" s="131"/>
      <c r="AJ431" s="131"/>
      <c r="AK431" s="131"/>
      <c r="AL431" s="131"/>
      <c r="AM431" s="131"/>
      <c r="AN431" s="131"/>
      <c r="AO431" s="142"/>
      <c r="AP431" s="131"/>
    </row>
    <row r="432" ht="13.5" customHeight="1">
      <c r="A432" s="142"/>
      <c r="B432" s="142"/>
      <c r="C432" s="142"/>
      <c r="D432" s="142"/>
      <c r="E432" s="132"/>
      <c r="F432" s="131"/>
      <c r="G432" s="131"/>
      <c r="H432" s="131"/>
      <c r="I432" s="131"/>
      <c r="J432" s="219"/>
      <c r="K432" s="198"/>
      <c r="L432" s="131"/>
      <c r="M432" s="142"/>
      <c r="N432" s="131"/>
      <c r="O432" s="131"/>
      <c r="P432" s="131"/>
      <c r="Q432" s="131"/>
      <c r="R432" s="131"/>
      <c r="S432" s="131"/>
      <c r="T432" s="131"/>
      <c r="U432" s="131"/>
      <c r="V432" s="131"/>
      <c r="W432" s="131"/>
      <c r="X432" s="131"/>
      <c r="Y432" s="131"/>
      <c r="Z432" s="131"/>
      <c r="AA432" s="131"/>
      <c r="AB432" s="330"/>
      <c r="AC432" s="331"/>
      <c r="AD432" s="332"/>
      <c r="AE432" s="131"/>
      <c r="AF432" s="131"/>
      <c r="AG432" s="131"/>
      <c r="AH432" s="131"/>
      <c r="AI432" s="131"/>
      <c r="AJ432" s="131"/>
      <c r="AK432" s="131"/>
      <c r="AL432" s="131"/>
      <c r="AM432" s="131"/>
      <c r="AN432" s="131"/>
      <c r="AO432" s="142"/>
      <c r="AP432" s="131"/>
    </row>
    <row r="433" ht="13.5" customHeight="1">
      <c r="A433" s="142"/>
      <c r="B433" s="142"/>
      <c r="C433" s="142"/>
      <c r="D433" s="142"/>
      <c r="E433" s="132"/>
      <c r="F433" s="131"/>
      <c r="G433" s="131"/>
      <c r="H433" s="131"/>
      <c r="I433" s="131"/>
      <c r="J433" s="219"/>
      <c r="K433" s="198"/>
      <c r="L433" s="131"/>
      <c r="M433" s="142"/>
      <c r="N433" s="131"/>
      <c r="O433" s="131"/>
      <c r="P433" s="131"/>
      <c r="Q433" s="131"/>
      <c r="R433" s="131"/>
      <c r="S433" s="131"/>
      <c r="T433" s="131"/>
      <c r="U433" s="131"/>
      <c r="V433" s="131"/>
      <c r="W433" s="131"/>
      <c r="X433" s="131"/>
      <c r="Y433" s="131"/>
      <c r="Z433" s="131"/>
      <c r="AA433" s="131"/>
      <c r="AB433" s="330"/>
      <c r="AC433" s="331"/>
      <c r="AD433" s="332"/>
      <c r="AE433" s="131"/>
      <c r="AF433" s="131"/>
      <c r="AG433" s="131"/>
      <c r="AH433" s="131"/>
      <c r="AI433" s="131"/>
      <c r="AJ433" s="131"/>
      <c r="AK433" s="131"/>
      <c r="AL433" s="131"/>
      <c r="AM433" s="131"/>
      <c r="AN433" s="131"/>
      <c r="AO433" s="142"/>
      <c r="AP433" s="131"/>
    </row>
    <row r="434" ht="13.5" customHeight="1">
      <c r="A434" s="142"/>
      <c r="B434" s="142"/>
      <c r="C434" s="142"/>
      <c r="D434" s="142"/>
      <c r="E434" s="132"/>
      <c r="F434" s="131"/>
      <c r="G434" s="131"/>
      <c r="H434" s="131"/>
      <c r="I434" s="131"/>
      <c r="J434" s="219"/>
      <c r="K434" s="198"/>
      <c r="L434" s="131"/>
      <c r="M434" s="142"/>
      <c r="N434" s="131"/>
      <c r="O434" s="131"/>
      <c r="P434" s="131"/>
      <c r="Q434" s="131"/>
      <c r="R434" s="131"/>
      <c r="S434" s="131"/>
      <c r="T434" s="131"/>
      <c r="U434" s="131"/>
      <c r="V434" s="131"/>
      <c r="W434" s="131"/>
      <c r="X434" s="131"/>
      <c r="Y434" s="131"/>
      <c r="Z434" s="131"/>
      <c r="AA434" s="131"/>
      <c r="AB434" s="330"/>
      <c r="AC434" s="331"/>
      <c r="AD434" s="332"/>
      <c r="AE434" s="131"/>
      <c r="AF434" s="131"/>
      <c r="AG434" s="131"/>
      <c r="AH434" s="131"/>
      <c r="AI434" s="131"/>
      <c r="AJ434" s="131"/>
      <c r="AK434" s="131"/>
      <c r="AL434" s="131"/>
      <c r="AM434" s="131"/>
      <c r="AN434" s="131"/>
      <c r="AO434" s="142"/>
      <c r="AP434" s="131"/>
    </row>
    <row r="435" ht="13.5" customHeight="1">
      <c r="A435" s="142"/>
      <c r="B435" s="142"/>
      <c r="C435" s="142"/>
      <c r="D435" s="142"/>
      <c r="E435" s="132"/>
      <c r="F435" s="131"/>
      <c r="G435" s="131"/>
      <c r="H435" s="131"/>
      <c r="I435" s="131"/>
      <c r="J435" s="219"/>
      <c r="K435" s="198"/>
      <c r="L435" s="131"/>
      <c r="M435" s="142"/>
      <c r="N435" s="131"/>
      <c r="O435" s="131"/>
      <c r="P435" s="131"/>
      <c r="Q435" s="131"/>
      <c r="R435" s="131"/>
      <c r="S435" s="131"/>
      <c r="T435" s="131"/>
      <c r="U435" s="131"/>
      <c r="V435" s="131"/>
      <c r="W435" s="131"/>
      <c r="X435" s="131"/>
      <c r="Y435" s="131"/>
      <c r="Z435" s="131"/>
      <c r="AA435" s="131"/>
      <c r="AB435" s="330"/>
      <c r="AC435" s="331"/>
      <c r="AD435" s="332"/>
      <c r="AE435" s="131"/>
      <c r="AF435" s="131"/>
      <c r="AG435" s="131"/>
      <c r="AH435" s="131"/>
      <c r="AI435" s="131"/>
      <c r="AJ435" s="131"/>
      <c r="AK435" s="131"/>
      <c r="AL435" s="131"/>
      <c r="AM435" s="131"/>
      <c r="AN435" s="131"/>
      <c r="AO435" s="142"/>
      <c r="AP435" s="131"/>
    </row>
    <row r="436" ht="13.5" customHeight="1">
      <c r="A436" s="142"/>
      <c r="B436" s="142"/>
      <c r="C436" s="142"/>
      <c r="D436" s="142"/>
      <c r="E436" s="132"/>
      <c r="F436" s="131"/>
      <c r="G436" s="131"/>
      <c r="H436" s="131"/>
      <c r="I436" s="131"/>
      <c r="J436" s="219"/>
      <c r="K436" s="198"/>
      <c r="L436" s="131"/>
      <c r="M436" s="142"/>
      <c r="N436" s="131"/>
      <c r="O436" s="131"/>
      <c r="P436" s="131"/>
      <c r="Q436" s="131"/>
      <c r="R436" s="131"/>
      <c r="S436" s="131"/>
      <c r="T436" s="131"/>
      <c r="U436" s="131"/>
      <c r="V436" s="131"/>
      <c r="W436" s="131"/>
      <c r="X436" s="131"/>
      <c r="Y436" s="131"/>
      <c r="Z436" s="131"/>
      <c r="AA436" s="131"/>
      <c r="AB436" s="330"/>
      <c r="AC436" s="331"/>
      <c r="AD436" s="332"/>
      <c r="AE436" s="131"/>
      <c r="AF436" s="131"/>
      <c r="AG436" s="131"/>
      <c r="AH436" s="131"/>
      <c r="AI436" s="131"/>
      <c r="AJ436" s="131"/>
      <c r="AK436" s="131"/>
      <c r="AL436" s="131"/>
      <c r="AM436" s="131"/>
      <c r="AN436" s="131"/>
      <c r="AO436" s="142"/>
      <c r="AP436" s="131"/>
    </row>
    <row r="437" ht="13.5" customHeight="1">
      <c r="A437" s="142"/>
      <c r="B437" s="142"/>
      <c r="C437" s="142"/>
      <c r="D437" s="142"/>
      <c r="E437" s="132"/>
      <c r="F437" s="131"/>
      <c r="G437" s="131"/>
      <c r="H437" s="131"/>
      <c r="I437" s="131"/>
      <c r="J437" s="219"/>
      <c r="K437" s="198"/>
      <c r="L437" s="131"/>
      <c r="M437" s="142"/>
      <c r="N437" s="131"/>
      <c r="O437" s="131"/>
      <c r="P437" s="131"/>
      <c r="Q437" s="131"/>
      <c r="R437" s="131"/>
      <c r="S437" s="131"/>
      <c r="T437" s="131"/>
      <c r="U437" s="131"/>
      <c r="V437" s="131"/>
      <c r="W437" s="131"/>
      <c r="X437" s="131"/>
      <c r="Y437" s="131"/>
      <c r="Z437" s="131"/>
      <c r="AA437" s="131"/>
      <c r="AB437" s="330"/>
      <c r="AC437" s="331"/>
      <c r="AD437" s="332"/>
      <c r="AE437" s="131"/>
      <c r="AF437" s="131"/>
      <c r="AG437" s="131"/>
      <c r="AH437" s="131"/>
      <c r="AI437" s="131"/>
      <c r="AJ437" s="131"/>
      <c r="AK437" s="131"/>
      <c r="AL437" s="131"/>
      <c r="AM437" s="131"/>
      <c r="AN437" s="131"/>
      <c r="AO437" s="142"/>
      <c r="AP437" s="131"/>
    </row>
    <row r="438" ht="13.5" customHeight="1">
      <c r="A438" s="142"/>
      <c r="B438" s="142"/>
      <c r="C438" s="142"/>
      <c r="D438" s="142"/>
      <c r="E438" s="132"/>
      <c r="F438" s="131"/>
      <c r="G438" s="131"/>
      <c r="H438" s="131"/>
      <c r="I438" s="131"/>
      <c r="J438" s="219"/>
      <c r="K438" s="198"/>
      <c r="L438" s="131"/>
      <c r="M438" s="142"/>
      <c r="N438" s="131"/>
      <c r="O438" s="131"/>
      <c r="P438" s="131"/>
      <c r="Q438" s="131"/>
      <c r="R438" s="131"/>
      <c r="S438" s="131"/>
      <c r="T438" s="131"/>
      <c r="U438" s="131"/>
      <c r="V438" s="131"/>
      <c r="W438" s="131"/>
      <c r="X438" s="131"/>
      <c r="Y438" s="131"/>
      <c r="Z438" s="131"/>
      <c r="AA438" s="131"/>
      <c r="AB438" s="330"/>
      <c r="AC438" s="331"/>
      <c r="AD438" s="332"/>
      <c r="AE438" s="131"/>
      <c r="AF438" s="131"/>
      <c r="AG438" s="131"/>
      <c r="AH438" s="131"/>
      <c r="AI438" s="131"/>
      <c r="AJ438" s="131"/>
      <c r="AK438" s="131"/>
      <c r="AL438" s="131"/>
      <c r="AM438" s="131"/>
      <c r="AN438" s="131"/>
      <c r="AO438" s="142"/>
      <c r="AP438" s="131"/>
    </row>
    <row r="439" ht="13.5" customHeight="1">
      <c r="A439" s="142"/>
      <c r="B439" s="142"/>
      <c r="C439" s="142"/>
      <c r="D439" s="142"/>
      <c r="E439" s="132"/>
      <c r="F439" s="131"/>
      <c r="G439" s="131"/>
      <c r="H439" s="131"/>
      <c r="I439" s="131"/>
      <c r="J439" s="219"/>
      <c r="K439" s="198"/>
      <c r="L439" s="131"/>
      <c r="M439" s="142"/>
      <c r="N439" s="131"/>
      <c r="O439" s="131"/>
      <c r="P439" s="131"/>
      <c r="Q439" s="131"/>
      <c r="R439" s="131"/>
      <c r="S439" s="131"/>
      <c r="T439" s="131"/>
      <c r="U439" s="131"/>
      <c r="V439" s="131"/>
      <c r="W439" s="131"/>
      <c r="X439" s="131"/>
      <c r="Y439" s="131"/>
      <c r="Z439" s="131"/>
      <c r="AA439" s="131"/>
      <c r="AB439" s="330"/>
      <c r="AC439" s="331"/>
      <c r="AD439" s="332"/>
      <c r="AE439" s="131"/>
      <c r="AF439" s="131"/>
      <c r="AG439" s="131"/>
      <c r="AH439" s="131"/>
      <c r="AI439" s="131"/>
      <c r="AJ439" s="131"/>
      <c r="AK439" s="131"/>
      <c r="AL439" s="131"/>
      <c r="AM439" s="131"/>
      <c r="AN439" s="131"/>
      <c r="AO439" s="142"/>
      <c r="AP439" s="131"/>
    </row>
    <row r="440" ht="13.5" customHeight="1">
      <c r="A440" s="142"/>
      <c r="B440" s="142"/>
      <c r="C440" s="142"/>
      <c r="D440" s="142"/>
      <c r="E440" s="132"/>
      <c r="F440" s="131"/>
      <c r="G440" s="131"/>
      <c r="H440" s="131"/>
      <c r="I440" s="131"/>
      <c r="J440" s="219"/>
      <c r="K440" s="198"/>
      <c r="L440" s="131"/>
      <c r="M440" s="142"/>
      <c r="N440" s="131"/>
      <c r="O440" s="131"/>
      <c r="P440" s="131"/>
      <c r="Q440" s="131"/>
      <c r="R440" s="131"/>
      <c r="S440" s="131"/>
      <c r="T440" s="131"/>
      <c r="U440" s="131"/>
      <c r="V440" s="131"/>
      <c r="W440" s="131"/>
      <c r="X440" s="131"/>
      <c r="Y440" s="131"/>
      <c r="Z440" s="131"/>
      <c r="AA440" s="131"/>
      <c r="AB440" s="330"/>
      <c r="AC440" s="331"/>
      <c r="AD440" s="332"/>
      <c r="AE440" s="131"/>
      <c r="AF440" s="131"/>
      <c r="AG440" s="131"/>
      <c r="AH440" s="131"/>
      <c r="AI440" s="131"/>
      <c r="AJ440" s="131"/>
      <c r="AK440" s="131"/>
      <c r="AL440" s="131"/>
      <c r="AM440" s="131"/>
      <c r="AN440" s="131"/>
      <c r="AO440" s="142"/>
      <c r="AP440" s="131"/>
    </row>
    <row r="441" ht="13.5" customHeight="1">
      <c r="A441" s="142"/>
      <c r="B441" s="142"/>
      <c r="C441" s="142"/>
      <c r="D441" s="142"/>
      <c r="E441" s="132"/>
      <c r="F441" s="131"/>
      <c r="G441" s="131"/>
      <c r="H441" s="131"/>
      <c r="I441" s="131"/>
      <c r="J441" s="219"/>
      <c r="K441" s="198"/>
      <c r="L441" s="131"/>
      <c r="M441" s="142"/>
      <c r="N441" s="131"/>
      <c r="O441" s="131"/>
      <c r="P441" s="131"/>
      <c r="Q441" s="131"/>
      <c r="R441" s="131"/>
      <c r="S441" s="131"/>
      <c r="T441" s="131"/>
      <c r="U441" s="131"/>
      <c r="V441" s="131"/>
      <c r="W441" s="131"/>
      <c r="X441" s="131"/>
      <c r="Y441" s="131"/>
      <c r="Z441" s="131"/>
      <c r="AA441" s="131"/>
      <c r="AB441" s="330"/>
      <c r="AC441" s="331"/>
      <c r="AD441" s="332"/>
      <c r="AE441" s="131"/>
      <c r="AF441" s="131"/>
      <c r="AG441" s="131"/>
      <c r="AH441" s="131"/>
      <c r="AI441" s="131"/>
      <c r="AJ441" s="131"/>
      <c r="AK441" s="131"/>
      <c r="AL441" s="131"/>
      <c r="AM441" s="131"/>
      <c r="AN441" s="131"/>
      <c r="AO441" s="142"/>
      <c r="AP441" s="131"/>
    </row>
    <row r="442" ht="13.5" customHeight="1">
      <c r="A442" s="142"/>
      <c r="B442" s="142"/>
      <c r="C442" s="142"/>
      <c r="D442" s="142"/>
      <c r="E442" s="132"/>
      <c r="F442" s="131"/>
      <c r="G442" s="131"/>
      <c r="H442" s="131"/>
      <c r="I442" s="131"/>
      <c r="J442" s="219"/>
      <c r="K442" s="198"/>
      <c r="L442" s="131"/>
      <c r="M442" s="142"/>
      <c r="N442" s="131"/>
      <c r="O442" s="131"/>
      <c r="P442" s="131"/>
      <c r="Q442" s="131"/>
      <c r="R442" s="131"/>
      <c r="S442" s="131"/>
      <c r="T442" s="131"/>
      <c r="U442" s="131"/>
      <c r="V442" s="131"/>
      <c r="W442" s="131"/>
      <c r="X442" s="131"/>
      <c r="Y442" s="131"/>
      <c r="Z442" s="131"/>
      <c r="AA442" s="131"/>
      <c r="AB442" s="330"/>
      <c r="AC442" s="331"/>
      <c r="AD442" s="332"/>
      <c r="AE442" s="131"/>
      <c r="AF442" s="131"/>
      <c r="AG442" s="131"/>
      <c r="AH442" s="131"/>
      <c r="AI442" s="131"/>
      <c r="AJ442" s="131"/>
      <c r="AK442" s="131"/>
      <c r="AL442" s="131"/>
      <c r="AM442" s="131"/>
      <c r="AN442" s="131"/>
      <c r="AO442" s="142"/>
      <c r="AP442" s="131"/>
    </row>
    <row r="443" ht="13.5" customHeight="1">
      <c r="A443" s="142"/>
      <c r="B443" s="142"/>
      <c r="C443" s="142"/>
      <c r="D443" s="142"/>
      <c r="E443" s="132"/>
      <c r="F443" s="131"/>
      <c r="G443" s="131"/>
      <c r="H443" s="131"/>
      <c r="I443" s="131"/>
      <c r="J443" s="219"/>
      <c r="K443" s="198"/>
      <c r="L443" s="131"/>
      <c r="M443" s="142"/>
      <c r="N443" s="131"/>
      <c r="O443" s="131"/>
      <c r="P443" s="131"/>
      <c r="Q443" s="131"/>
      <c r="R443" s="131"/>
      <c r="S443" s="131"/>
      <c r="T443" s="131"/>
      <c r="U443" s="131"/>
      <c r="V443" s="131"/>
      <c r="W443" s="131"/>
      <c r="X443" s="131"/>
      <c r="Y443" s="131"/>
      <c r="Z443" s="131"/>
      <c r="AA443" s="131"/>
      <c r="AB443" s="330"/>
      <c r="AC443" s="331"/>
      <c r="AD443" s="332"/>
      <c r="AE443" s="131"/>
      <c r="AF443" s="131"/>
      <c r="AG443" s="131"/>
      <c r="AH443" s="131"/>
      <c r="AI443" s="131"/>
      <c r="AJ443" s="131"/>
      <c r="AK443" s="131"/>
      <c r="AL443" s="131"/>
      <c r="AM443" s="131"/>
      <c r="AN443" s="131"/>
      <c r="AO443" s="142"/>
      <c r="AP443" s="131"/>
    </row>
    <row r="444" ht="13.5" customHeight="1">
      <c r="A444" s="142"/>
      <c r="B444" s="142"/>
      <c r="C444" s="142"/>
      <c r="D444" s="142"/>
      <c r="E444" s="132"/>
      <c r="F444" s="131"/>
      <c r="G444" s="131"/>
      <c r="H444" s="131"/>
      <c r="I444" s="131"/>
      <c r="J444" s="219"/>
      <c r="K444" s="198"/>
      <c r="L444" s="131"/>
      <c r="M444" s="142"/>
      <c r="N444" s="131"/>
      <c r="O444" s="131"/>
      <c r="P444" s="131"/>
      <c r="Q444" s="131"/>
      <c r="R444" s="131"/>
      <c r="S444" s="131"/>
      <c r="T444" s="131"/>
      <c r="U444" s="131"/>
      <c r="V444" s="131"/>
      <c r="W444" s="131"/>
      <c r="X444" s="131"/>
      <c r="Y444" s="131"/>
      <c r="Z444" s="131"/>
      <c r="AA444" s="131"/>
      <c r="AB444" s="330"/>
      <c r="AC444" s="331"/>
      <c r="AD444" s="332"/>
      <c r="AE444" s="131"/>
      <c r="AF444" s="131"/>
      <c r="AG444" s="131"/>
      <c r="AH444" s="131"/>
      <c r="AI444" s="131"/>
      <c r="AJ444" s="131"/>
      <c r="AK444" s="131"/>
      <c r="AL444" s="131"/>
      <c r="AM444" s="131"/>
      <c r="AN444" s="131"/>
      <c r="AO444" s="142"/>
      <c r="AP444" s="131"/>
    </row>
    <row r="445" ht="13.5" customHeight="1">
      <c r="A445" s="142"/>
      <c r="B445" s="142"/>
      <c r="C445" s="142"/>
      <c r="D445" s="142"/>
      <c r="E445" s="132"/>
      <c r="F445" s="131"/>
      <c r="G445" s="131"/>
      <c r="H445" s="131"/>
      <c r="I445" s="131"/>
      <c r="J445" s="219"/>
      <c r="K445" s="198"/>
      <c r="L445" s="131"/>
      <c r="M445" s="142"/>
      <c r="N445" s="131"/>
      <c r="O445" s="131"/>
      <c r="P445" s="131"/>
      <c r="Q445" s="131"/>
      <c r="R445" s="131"/>
      <c r="S445" s="131"/>
      <c r="T445" s="131"/>
      <c r="U445" s="131"/>
      <c r="V445" s="131"/>
      <c r="W445" s="131"/>
      <c r="X445" s="131"/>
      <c r="Y445" s="131"/>
      <c r="Z445" s="131"/>
      <c r="AA445" s="131"/>
      <c r="AB445" s="330"/>
      <c r="AC445" s="331"/>
      <c r="AD445" s="332"/>
      <c r="AE445" s="131"/>
      <c r="AF445" s="131"/>
      <c r="AG445" s="131"/>
      <c r="AH445" s="131"/>
      <c r="AI445" s="131"/>
      <c r="AJ445" s="131"/>
      <c r="AK445" s="131"/>
      <c r="AL445" s="131"/>
      <c r="AM445" s="131"/>
      <c r="AN445" s="131"/>
      <c r="AO445" s="142"/>
      <c r="AP445" s="131"/>
    </row>
    <row r="446" ht="13.5" customHeight="1">
      <c r="A446" s="142"/>
      <c r="B446" s="142"/>
      <c r="C446" s="142"/>
      <c r="D446" s="142"/>
      <c r="E446" s="132"/>
      <c r="F446" s="131"/>
      <c r="G446" s="131"/>
      <c r="H446" s="131"/>
      <c r="I446" s="131"/>
      <c r="J446" s="219"/>
      <c r="K446" s="198"/>
      <c r="L446" s="131"/>
      <c r="M446" s="142"/>
      <c r="N446" s="131"/>
      <c r="O446" s="131"/>
      <c r="P446" s="131"/>
      <c r="Q446" s="131"/>
      <c r="R446" s="131"/>
      <c r="S446" s="131"/>
      <c r="T446" s="131"/>
      <c r="U446" s="131"/>
      <c r="V446" s="131"/>
      <c r="W446" s="131"/>
      <c r="X446" s="131"/>
      <c r="Y446" s="131"/>
      <c r="Z446" s="131"/>
      <c r="AA446" s="131"/>
      <c r="AB446" s="330"/>
      <c r="AC446" s="331"/>
      <c r="AD446" s="332"/>
      <c r="AE446" s="131"/>
      <c r="AF446" s="131"/>
      <c r="AG446" s="131"/>
      <c r="AH446" s="131"/>
      <c r="AI446" s="131"/>
      <c r="AJ446" s="131"/>
      <c r="AK446" s="131"/>
      <c r="AL446" s="131"/>
      <c r="AM446" s="131"/>
      <c r="AN446" s="131"/>
      <c r="AO446" s="142"/>
      <c r="AP446" s="131"/>
    </row>
    <row r="447" ht="13.5" customHeight="1">
      <c r="A447" s="142"/>
      <c r="B447" s="142"/>
      <c r="C447" s="142"/>
      <c r="D447" s="142"/>
      <c r="E447" s="132"/>
      <c r="F447" s="131"/>
      <c r="G447" s="131"/>
      <c r="H447" s="131"/>
      <c r="I447" s="131"/>
      <c r="J447" s="219"/>
      <c r="K447" s="198"/>
      <c r="L447" s="131"/>
      <c r="M447" s="142"/>
      <c r="N447" s="131"/>
      <c r="O447" s="131"/>
      <c r="P447" s="131"/>
      <c r="Q447" s="131"/>
      <c r="R447" s="131"/>
      <c r="S447" s="131"/>
      <c r="T447" s="131"/>
      <c r="U447" s="131"/>
      <c r="V447" s="131"/>
      <c r="W447" s="131"/>
      <c r="X447" s="131"/>
      <c r="Y447" s="131"/>
      <c r="Z447" s="131"/>
      <c r="AA447" s="131"/>
      <c r="AB447" s="330"/>
      <c r="AC447" s="331"/>
      <c r="AD447" s="332"/>
      <c r="AE447" s="131"/>
      <c r="AF447" s="131"/>
      <c r="AG447" s="131"/>
      <c r="AH447" s="131"/>
      <c r="AI447" s="131"/>
      <c r="AJ447" s="131"/>
      <c r="AK447" s="131"/>
      <c r="AL447" s="131"/>
      <c r="AM447" s="131"/>
      <c r="AN447" s="131"/>
      <c r="AO447" s="142"/>
      <c r="AP447" s="131"/>
    </row>
    <row r="448" ht="13.5" customHeight="1">
      <c r="A448" s="142"/>
      <c r="B448" s="142"/>
      <c r="C448" s="142"/>
      <c r="D448" s="142"/>
      <c r="E448" s="132"/>
      <c r="F448" s="131"/>
      <c r="G448" s="131"/>
      <c r="H448" s="131"/>
      <c r="I448" s="131"/>
      <c r="J448" s="219"/>
      <c r="K448" s="198"/>
      <c r="L448" s="131"/>
      <c r="M448" s="142"/>
      <c r="N448" s="131"/>
      <c r="O448" s="131"/>
      <c r="P448" s="131"/>
      <c r="Q448" s="131"/>
      <c r="R448" s="131"/>
      <c r="S448" s="131"/>
      <c r="T448" s="131"/>
      <c r="U448" s="131"/>
      <c r="V448" s="131"/>
      <c r="W448" s="131"/>
      <c r="X448" s="131"/>
      <c r="Y448" s="131"/>
      <c r="Z448" s="131"/>
      <c r="AA448" s="131"/>
      <c r="AB448" s="330"/>
      <c r="AC448" s="331"/>
      <c r="AD448" s="332"/>
      <c r="AE448" s="131"/>
      <c r="AF448" s="131"/>
      <c r="AG448" s="131"/>
      <c r="AH448" s="131"/>
      <c r="AI448" s="131"/>
      <c r="AJ448" s="131"/>
      <c r="AK448" s="131"/>
      <c r="AL448" s="131"/>
      <c r="AM448" s="131"/>
      <c r="AN448" s="131"/>
      <c r="AO448" s="142"/>
      <c r="AP448" s="131"/>
    </row>
    <row r="449" ht="13.5" customHeight="1">
      <c r="A449" s="142"/>
      <c r="B449" s="142"/>
      <c r="C449" s="142"/>
      <c r="D449" s="142"/>
      <c r="E449" s="132"/>
      <c r="F449" s="131"/>
      <c r="G449" s="131"/>
      <c r="H449" s="131"/>
      <c r="I449" s="131"/>
      <c r="J449" s="219"/>
      <c r="K449" s="198"/>
      <c r="L449" s="131"/>
      <c r="M449" s="142"/>
      <c r="N449" s="131"/>
      <c r="O449" s="131"/>
      <c r="P449" s="131"/>
      <c r="Q449" s="131"/>
      <c r="R449" s="131"/>
      <c r="S449" s="131"/>
      <c r="T449" s="131"/>
      <c r="U449" s="131"/>
      <c r="V449" s="131"/>
      <c r="W449" s="131"/>
      <c r="X449" s="131"/>
      <c r="Y449" s="131"/>
      <c r="Z449" s="131"/>
      <c r="AA449" s="131"/>
      <c r="AB449" s="330"/>
      <c r="AC449" s="331"/>
      <c r="AD449" s="332"/>
      <c r="AE449" s="131"/>
      <c r="AF449" s="131"/>
      <c r="AG449" s="131"/>
      <c r="AH449" s="131"/>
      <c r="AI449" s="131"/>
      <c r="AJ449" s="131"/>
      <c r="AK449" s="131"/>
      <c r="AL449" s="131"/>
      <c r="AM449" s="131"/>
      <c r="AN449" s="131"/>
      <c r="AO449" s="142"/>
      <c r="AP449" s="131"/>
    </row>
    <row r="450" ht="13.5" customHeight="1">
      <c r="A450" s="142"/>
      <c r="B450" s="142"/>
      <c r="C450" s="142"/>
      <c r="D450" s="142"/>
      <c r="E450" s="132"/>
      <c r="F450" s="131"/>
      <c r="G450" s="131"/>
      <c r="H450" s="131"/>
      <c r="I450" s="131"/>
      <c r="J450" s="219"/>
      <c r="K450" s="198"/>
      <c r="L450" s="131"/>
      <c r="M450" s="142"/>
      <c r="N450" s="131"/>
      <c r="O450" s="131"/>
      <c r="P450" s="131"/>
      <c r="Q450" s="131"/>
      <c r="R450" s="131"/>
      <c r="S450" s="131"/>
      <c r="T450" s="131"/>
      <c r="U450" s="131"/>
      <c r="V450" s="131"/>
      <c r="W450" s="131"/>
      <c r="X450" s="131"/>
      <c r="Y450" s="131"/>
      <c r="Z450" s="131"/>
      <c r="AA450" s="131"/>
      <c r="AB450" s="330"/>
      <c r="AC450" s="331"/>
      <c r="AD450" s="332"/>
      <c r="AE450" s="131"/>
      <c r="AF450" s="131"/>
      <c r="AG450" s="131"/>
      <c r="AH450" s="131"/>
      <c r="AI450" s="131"/>
      <c r="AJ450" s="131"/>
      <c r="AK450" s="131"/>
      <c r="AL450" s="131"/>
      <c r="AM450" s="131"/>
      <c r="AN450" s="131"/>
      <c r="AO450" s="142"/>
      <c r="AP450" s="131"/>
    </row>
    <row r="451" ht="13.5" customHeight="1">
      <c r="A451" s="142"/>
      <c r="B451" s="142"/>
      <c r="C451" s="142"/>
      <c r="D451" s="142"/>
      <c r="E451" s="132"/>
      <c r="F451" s="131"/>
      <c r="G451" s="131"/>
      <c r="H451" s="131"/>
      <c r="I451" s="131"/>
      <c r="J451" s="219"/>
      <c r="K451" s="198"/>
      <c r="L451" s="131"/>
      <c r="M451" s="142"/>
      <c r="N451" s="131"/>
      <c r="O451" s="131"/>
      <c r="P451" s="131"/>
      <c r="Q451" s="131"/>
      <c r="R451" s="131"/>
      <c r="S451" s="131"/>
      <c r="T451" s="131"/>
      <c r="U451" s="131"/>
      <c r="V451" s="131"/>
      <c r="W451" s="131"/>
      <c r="X451" s="131"/>
      <c r="Y451" s="131"/>
      <c r="Z451" s="131"/>
      <c r="AA451" s="131"/>
      <c r="AB451" s="330"/>
      <c r="AC451" s="331"/>
      <c r="AD451" s="332"/>
      <c r="AE451" s="131"/>
      <c r="AF451" s="131"/>
      <c r="AG451" s="131"/>
      <c r="AH451" s="131"/>
      <c r="AI451" s="131"/>
      <c r="AJ451" s="131"/>
      <c r="AK451" s="131"/>
      <c r="AL451" s="131"/>
      <c r="AM451" s="131"/>
      <c r="AN451" s="131"/>
      <c r="AO451" s="142"/>
      <c r="AP451" s="131"/>
    </row>
    <row r="452" ht="13.5" customHeight="1">
      <c r="A452" s="142"/>
      <c r="B452" s="142"/>
      <c r="C452" s="142"/>
      <c r="D452" s="142"/>
      <c r="E452" s="132"/>
      <c r="F452" s="131"/>
      <c r="G452" s="131"/>
      <c r="H452" s="131"/>
      <c r="I452" s="131"/>
      <c r="J452" s="219"/>
      <c r="K452" s="198"/>
      <c r="L452" s="131"/>
      <c r="M452" s="142"/>
      <c r="N452" s="131"/>
      <c r="O452" s="131"/>
      <c r="P452" s="131"/>
      <c r="Q452" s="131"/>
      <c r="R452" s="131"/>
      <c r="S452" s="131"/>
      <c r="T452" s="131"/>
      <c r="U452" s="131"/>
      <c r="V452" s="131"/>
      <c r="W452" s="131"/>
      <c r="X452" s="131"/>
      <c r="Y452" s="131"/>
      <c r="Z452" s="131"/>
      <c r="AA452" s="131"/>
      <c r="AB452" s="330"/>
      <c r="AC452" s="331"/>
      <c r="AD452" s="332"/>
      <c r="AE452" s="131"/>
      <c r="AF452" s="131"/>
      <c r="AG452" s="131"/>
      <c r="AH452" s="131"/>
      <c r="AI452" s="131"/>
      <c r="AJ452" s="131"/>
      <c r="AK452" s="131"/>
      <c r="AL452" s="131"/>
      <c r="AM452" s="131"/>
      <c r="AN452" s="131"/>
      <c r="AO452" s="142"/>
      <c r="AP452" s="131"/>
    </row>
    <row r="453" ht="13.5" customHeight="1">
      <c r="A453" s="142"/>
      <c r="B453" s="142"/>
      <c r="C453" s="142"/>
      <c r="D453" s="142"/>
      <c r="E453" s="132"/>
      <c r="F453" s="131"/>
      <c r="G453" s="131"/>
      <c r="H453" s="131"/>
      <c r="I453" s="131"/>
      <c r="J453" s="219"/>
      <c r="K453" s="198"/>
      <c r="L453" s="131"/>
      <c r="M453" s="142"/>
      <c r="N453" s="131"/>
      <c r="O453" s="131"/>
      <c r="P453" s="131"/>
      <c r="Q453" s="131"/>
      <c r="R453" s="131"/>
      <c r="S453" s="131"/>
      <c r="T453" s="131"/>
      <c r="U453" s="131"/>
      <c r="V453" s="131"/>
      <c r="W453" s="131"/>
      <c r="X453" s="131"/>
      <c r="Y453" s="131"/>
      <c r="Z453" s="131"/>
      <c r="AA453" s="131"/>
      <c r="AB453" s="330"/>
      <c r="AC453" s="331"/>
      <c r="AD453" s="332"/>
      <c r="AE453" s="131"/>
      <c r="AF453" s="131"/>
      <c r="AG453" s="131"/>
      <c r="AH453" s="131"/>
      <c r="AI453" s="131"/>
      <c r="AJ453" s="131"/>
      <c r="AK453" s="131"/>
      <c r="AL453" s="131"/>
      <c r="AM453" s="131"/>
      <c r="AN453" s="131"/>
      <c r="AO453" s="142"/>
      <c r="AP453" s="131"/>
    </row>
    <row r="454" ht="13.5" customHeight="1">
      <c r="A454" s="142"/>
      <c r="B454" s="142"/>
      <c r="C454" s="142"/>
      <c r="D454" s="142"/>
      <c r="E454" s="132"/>
      <c r="F454" s="131"/>
      <c r="G454" s="131"/>
      <c r="H454" s="131"/>
      <c r="I454" s="131"/>
      <c r="J454" s="219"/>
      <c r="K454" s="198"/>
      <c r="L454" s="131"/>
      <c r="M454" s="142"/>
      <c r="N454" s="131"/>
      <c r="O454" s="131"/>
      <c r="P454" s="131"/>
      <c r="Q454" s="131"/>
      <c r="R454" s="131"/>
      <c r="S454" s="131"/>
      <c r="T454" s="131"/>
      <c r="U454" s="131"/>
      <c r="V454" s="131"/>
      <c r="W454" s="131"/>
      <c r="X454" s="131"/>
      <c r="Y454" s="131"/>
      <c r="Z454" s="131"/>
      <c r="AA454" s="131"/>
      <c r="AB454" s="330"/>
      <c r="AC454" s="331"/>
      <c r="AD454" s="332"/>
      <c r="AE454" s="131"/>
      <c r="AF454" s="131"/>
      <c r="AG454" s="131"/>
      <c r="AH454" s="131"/>
      <c r="AI454" s="131"/>
      <c r="AJ454" s="131"/>
      <c r="AK454" s="131"/>
      <c r="AL454" s="131"/>
      <c r="AM454" s="131"/>
      <c r="AN454" s="131"/>
      <c r="AO454" s="142"/>
      <c r="AP454" s="131"/>
    </row>
    <row r="455" ht="13.5" customHeight="1">
      <c r="A455" s="142"/>
      <c r="B455" s="142"/>
      <c r="C455" s="142"/>
      <c r="D455" s="142"/>
      <c r="E455" s="132"/>
      <c r="F455" s="131"/>
      <c r="G455" s="131"/>
      <c r="H455" s="131"/>
      <c r="I455" s="131"/>
      <c r="J455" s="219"/>
      <c r="K455" s="198"/>
      <c r="L455" s="131"/>
      <c r="M455" s="142"/>
      <c r="N455" s="131"/>
      <c r="O455" s="131"/>
      <c r="P455" s="131"/>
      <c r="Q455" s="131"/>
      <c r="R455" s="131"/>
      <c r="S455" s="131"/>
      <c r="T455" s="131"/>
      <c r="U455" s="131"/>
      <c r="V455" s="131"/>
      <c r="W455" s="131"/>
      <c r="X455" s="131"/>
      <c r="Y455" s="131"/>
      <c r="Z455" s="131"/>
      <c r="AA455" s="131"/>
      <c r="AB455" s="330"/>
      <c r="AC455" s="331"/>
      <c r="AD455" s="332"/>
      <c r="AE455" s="131"/>
      <c r="AF455" s="131"/>
      <c r="AG455" s="131"/>
      <c r="AH455" s="131"/>
      <c r="AI455" s="131"/>
      <c r="AJ455" s="131"/>
      <c r="AK455" s="131"/>
      <c r="AL455" s="131"/>
      <c r="AM455" s="131"/>
      <c r="AN455" s="131"/>
      <c r="AO455" s="142"/>
      <c r="AP455" s="131"/>
    </row>
    <row r="456" ht="13.5" customHeight="1">
      <c r="A456" s="142"/>
      <c r="B456" s="142"/>
      <c r="C456" s="142"/>
      <c r="D456" s="142"/>
      <c r="E456" s="132"/>
      <c r="F456" s="131"/>
      <c r="G456" s="131"/>
      <c r="H456" s="131"/>
      <c r="I456" s="131"/>
      <c r="J456" s="219"/>
      <c r="K456" s="198"/>
      <c r="L456" s="131"/>
      <c r="M456" s="142"/>
      <c r="N456" s="131"/>
      <c r="O456" s="131"/>
      <c r="P456" s="131"/>
      <c r="Q456" s="131"/>
      <c r="R456" s="131"/>
      <c r="S456" s="131"/>
      <c r="T456" s="131"/>
      <c r="U456" s="131"/>
      <c r="V456" s="131"/>
      <c r="W456" s="131"/>
      <c r="X456" s="131"/>
      <c r="Y456" s="131"/>
      <c r="Z456" s="131"/>
      <c r="AA456" s="131"/>
      <c r="AB456" s="330"/>
      <c r="AC456" s="331"/>
      <c r="AD456" s="332"/>
      <c r="AE456" s="131"/>
      <c r="AF456" s="131"/>
      <c r="AG456" s="131"/>
      <c r="AH456" s="131"/>
      <c r="AI456" s="131"/>
      <c r="AJ456" s="131"/>
      <c r="AK456" s="131"/>
      <c r="AL456" s="131"/>
      <c r="AM456" s="131"/>
      <c r="AN456" s="131"/>
      <c r="AO456" s="142"/>
      <c r="AP456" s="131"/>
    </row>
    <row r="457" ht="13.5" customHeight="1">
      <c r="A457" s="142"/>
      <c r="B457" s="142"/>
      <c r="C457" s="142"/>
      <c r="D457" s="142"/>
      <c r="E457" s="132"/>
      <c r="F457" s="131"/>
      <c r="G457" s="131"/>
      <c r="H457" s="131"/>
      <c r="I457" s="131"/>
      <c r="J457" s="219"/>
      <c r="K457" s="198"/>
      <c r="L457" s="131"/>
      <c r="M457" s="142"/>
      <c r="N457" s="131"/>
      <c r="O457" s="131"/>
      <c r="P457" s="131"/>
      <c r="Q457" s="131"/>
      <c r="R457" s="131"/>
      <c r="S457" s="131"/>
      <c r="T457" s="131"/>
      <c r="U457" s="131"/>
      <c r="V457" s="131"/>
      <c r="W457" s="131"/>
      <c r="X457" s="131"/>
      <c r="Y457" s="131"/>
      <c r="Z457" s="131"/>
      <c r="AA457" s="131"/>
      <c r="AB457" s="330"/>
      <c r="AC457" s="331"/>
      <c r="AD457" s="332"/>
      <c r="AE457" s="131"/>
      <c r="AF457" s="131"/>
      <c r="AG457" s="131"/>
      <c r="AH457" s="131"/>
      <c r="AI457" s="131"/>
      <c r="AJ457" s="131"/>
      <c r="AK457" s="131"/>
      <c r="AL457" s="131"/>
      <c r="AM457" s="131"/>
      <c r="AN457" s="131"/>
      <c r="AO457" s="142"/>
      <c r="AP457" s="131"/>
    </row>
    <row r="458" ht="13.5" customHeight="1">
      <c r="A458" s="142"/>
      <c r="B458" s="142"/>
      <c r="C458" s="142"/>
      <c r="D458" s="142"/>
      <c r="E458" s="132"/>
      <c r="F458" s="131"/>
      <c r="G458" s="131"/>
      <c r="H458" s="131"/>
      <c r="I458" s="131"/>
      <c r="J458" s="219"/>
      <c r="K458" s="198"/>
      <c r="L458" s="131"/>
      <c r="M458" s="142"/>
      <c r="N458" s="131"/>
      <c r="O458" s="131"/>
      <c r="P458" s="131"/>
      <c r="Q458" s="131"/>
      <c r="R458" s="131"/>
      <c r="S458" s="131"/>
      <c r="T458" s="131"/>
      <c r="U458" s="131"/>
      <c r="V458" s="131"/>
      <c r="W458" s="131"/>
      <c r="X458" s="131"/>
      <c r="Y458" s="131"/>
      <c r="Z458" s="131"/>
      <c r="AA458" s="131"/>
      <c r="AB458" s="330"/>
      <c r="AC458" s="331"/>
      <c r="AD458" s="332"/>
      <c r="AE458" s="131"/>
      <c r="AF458" s="131"/>
      <c r="AG458" s="131"/>
      <c r="AH458" s="131"/>
      <c r="AI458" s="131"/>
      <c r="AJ458" s="131"/>
      <c r="AK458" s="131"/>
      <c r="AL458" s="131"/>
      <c r="AM458" s="131"/>
      <c r="AN458" s="131"/>
      <c r="AO458" s="142"/>
      <c r="AP458" s="131"/>
    </row>
    <row r="459" ht="13.5" customHeight="1">
      <c r="A459" s="142"/>
      <c r="B459" s="142"/>
      <c r="C459" s="142"/>
      <c r="D459" s="142"/>
      <c r="E459" s="132"/>
      <c r="F459" s="131"/>
      <c r="G459" s="131"/>
      <c r="H459" s="131"/>
      <c r="I459" s="131"/>
      <c r="J459" s="219"/>
      <c r="K459" s="198"/>
      <c r="L459" s="131"/>
      <c r="M459" s="142"/>
      <c r="N459" s="131"/>
      <c r="O459" s="131"/>
      <c r="P459" s="131"/>
      <c r="Q459" s="131"/>
      <c r="R459" s="131"/>
      <c r="S459" s="131"/>
      <c r="T459" s="131"/>
      <c r="U459" s="131"/>
      <c r="V459" s="131"/>
      <c r="W459" s="131"/>
      <c r="X459" s="131"/>
      <c r="Y459" s="131"/>
      <c r="Z459" s="131"/>
      <c r="AA459" s="131"/>
      <c r="AB459" s="330"/>
      <c r="AC459" s="331"/>
      <c r="AD459" s="332"/>
      <c r="AE459" s="131"/>
      <c r="AF459" s="131"/>
      <c r="AG459" s="131"/>
      <c r="AH459" s="131"/>
      <c r="AI459" s="131"/>
      <c r="AJ459" s="131"/>
      <c r="AK459" s="131"/>
      <c r="AL459" s="131"/>
      <c r="AM459" s="131"/>
      <c r="AN459" s="131"/>
      <c r="AO459" s="142"/>
      <c r="AP459" s="131"/>
    </row>
    <row r="460" ht="13.5" customHeight="1">
      <c r="A460" s="142"/>
      <c r="B460" s="142"/>
      <c r="C460" s="142"/>
      <c r="D460" s="142"/>
      <c r="E460" s="132"/>
      <c r="F460" s="131"/>
      <c r="G460" s="131"/>
      <c r="H460" s="131"/>
      <c r="I460" s="131"/>
      <c r="J460" s="219"/>
      <c r="K460" s="198"/>
      <c r="L460" s="131"/>
      <c r="M460" s="142"/>
      <c r="N460" s="131"/>
      <c r="O460" s="131"/>
      <c r="P460" s="131"/>
      <c r="Q460" s="131"/>
      <c r="R460" s="131"/>
      <c r="S460" s="131"/>
      <c r="T460" s="131"/>
      <c r="U460" s="131"/>
      <c r="V460" s="131"/>
      <c r="W460" s="131"/>
      <c r="X460" s="131"/>
      <c r="Y460" s="131"/>
      <c r="Z460" s="131"/>
      <c r="AA460" s="131"/>
      <c r="AB460" s="330"/>
      <c r="AC460" s="331"/>
      <c r="AD460" s="332"/>
      <c r="AE460" s="131"/>
      <c r="AF460" s="131"/>
      <c r="AG460" s="131"/>
      <c r="AH460" s="131"/>
      <c r="AI460" s="131"/>
      <c r="AJ460" s="131"/>
      <c r="AK460" s="131"/>
      <c r="AL460" s="131"/>
      <c r="AM460" s="131"/>
      <c r="AN460" s="131"/>
      <c r="AO460" s="142"/>
      <c r="AP460" s="131"/>
    </row>
    <row r="461" ht="13.5" customHeight="1">
      <c r="A461" s="142"/>
      <c r="B461" s="142"/>
      <c r="C461" s="142"/>
      <c r="D461" s="142"/>
      <c r="E461" s="132"/>
      <c r="F461" s="131"/>
      <c r="G461" s="131"/>
      <c r="H461" s="131"/>
      <c r="I461" s="131"/>
      <c r="J461" s="219"/>
      <c r="K461" s="198"/>
      <c r="L461" s="131"/>
      <c r="M461" s="142"/>
      <c r="N461" s="131"/>
      <c r="O461" s="131"/>
      <c r="P461" s="131"/>
      <c r="Q461" s="131"/>
      <c r="R461" s="131"/>
      <c r="S461" s="131"/>
      <c r="T461" s="131"/>
      <c r="U461" s="131"/>
      <c r="V461" s="131"/>
      <c r="W461" s="131"/>
      <c r="X461" s="131"/>
      <c r="Y461" s="131"/>
      <c r="Z461" s="131"/>
      <c r="AA461" s="131"/>
      <c r="AB461" s="330"/>
      <c r="AC461" s="331"/>
      <c r="AD461" s="332"/>
      <c r="AE461" s="131"/>
      <c r="AF461" s="131"/>
      <c r="AG461" s="131"/>
      <c r="AH461" s="131"/>
      <c r="AI461" s="131"/>
      <c r="AJ461" s="131"/>
      <c r="AK461" s="131"/>
      <c r="AL461" s="131"/>
      <c r="AM461" s="131"/>
      <c r="AN461" s="131"/>
      <c r="AO461" s="142"/>
      <c r="AP461" s="131"/>
    </row>
    <row r="462" ht="13.5" customHeight="1">
      <c r="A462" s="142"/>
      <c r="B462" s="142"/>
      <c r="C462" s="142"/>
      <c r="D462" s="142"/>
      <c r="E462" s="132"/>
      <c r="F462" s="131"/>
      <c r="G462" s="131"/>
      <c r="H462" s="131"/>
      <c r="I462" s="131"/>
      <c r="J462" s="219"/>
      <c r="K462" s="198"/>
      <c r="L462" s="131"/>
      <c r="M462" s="142"/>
      <c r="N462" s="131"/>
      <c r="O462" s="131"/>
      <c r="P462" s="131"/>
      <c r="Q462" s="131"/>
      <c r="R462" s="131"/>
      <c r="S462" s="131"/>
      <c r="T462" s="131"/>
      <c r="U462" s="131"/>
      <c r="V462" s="131"/>
      <c r="W462" s="131"/>
      <c r="X462" s="131"/>
      <c r="Y462" s="131"/>
      <c r="Z462" s="131"/>
      <c r="AA462" s="131"/>
      <c r="AB462" s="330"/>
      <c r="AC462" s="331"/>
      <c r="AD462" s="332"/>
      <c r="AE462" s="131"/>
      <c r="AF462" s="131"/>
      <c r="AG462" s="131"/>
      <c r="AH462" s="131"/>
      <c r="AI462" s="131"/>
      <c r="AJ462" s="131"/>
      <c r="AK462" s="131"/>
      <c r="AL462" s="131"/>
      <c r="AM462" s="131"/>
      <c r="AN462" s="131"/>
      <c r="AO462" s="142"/>
      <c r="AP462" s="131"/>
    </row>
    <row r="463" ht="13.5" customHeight="1">
      <c r="A463" s="142"/>
      <c r="B463" s="142"/>
      <c r="C463" s="142"/>
      <c r="D463" s="142"/>
      <c r="E463" s="132"/>
      <c r="F463" s="131"/>
      <c r="G463" s="131"/>
      <c r="H463" s="131"/>
      <c r="I463" s="131"/>
      <c r="J463" s="219"/>
      <c r="K463" s="198"/>
      <c r="L463" s="131"/>
      <c r="M463" s="142"/>
      <c r="N463" s="131"/>
      <c r="O463" s="131"/>
      <c r="P463" s="131"/>
      <c r="Q463" s="131"/>
      <c r="R463" s="131"/>
      <c r="S463" s="131"/>
      <c r="T463" s="131"/>
      <c r="U463" s="131"/>
      <c r="V463" s="131"/>
      <c r="W463" s="131"/>
      <c r="X463" s="131"/>
      <c r="Y463" s="131"/>
      <c r="Z463" s="131"/>
      <c r="AA463" s="131"/>
      <c r="AB463" s="330"/>
      <c r="AC463" s="331"/>
      <c r="AD463" s="332"/>
      <c r="AE463" s="131"/>
      <c r="AF463" s="131"/>
      <c r="AG463" s="131"/>
      <c r="AH463" s="131"/>
      <c r="AI463" s="131"/>
      <c r="AJ463" s="131"/>
      <c r="AK463" s="131"/>
      <c r="AL463" s="131"/>
      <c r="AM463" s="131"/>
      <c r="AN463" s="131"/>
      <c r="AO463" s="142"/>
      <c r="AP463" s="131"/>
    </row>
    <row r="464" ht="13.5" customHeight="1">
      <c r="A464" s="142"/>
      <c r="B464" s="142"/>
      <c r="C464" s="142"/>
      <c r="D464" s="142"/>
      <c r="E464" s="132"/>
      <c r="F464" s="131"/>
      <c r="G464" s="131"/>
      <c r="H464" s="131"/>
      <c r="I464" s="131"/>
      <c r="J464" s="219"/>
      <c r="K464" s="198"/>
      <c r="L464" s="131"/>
      <c r="M464" s="142"/>
      <c r="N464" s="131"/>
      <c r="O464" s="131"/>
      <c r="P464" s="131"/>
      <c r="Q464" s="131"/>
      <c r="R464" s="131"/>
      <c r="S464" s="131"/>
      <c r="T464" s="131"/>
      <c r="U464" s="131"/>
      <c r="V464" s="131"/>
      <c r="W464" s="131"/>
      <c r="X464" s="131"/>
      <c r="Y464" s="131"/>
      <c r="Z464" s="131"/>
      <c r="AA464" s="131"/>
      <c r="AB464" s="330"/>
      <c r="AC464" s="331"/>
      <c r="AD464" s="332"/>
      <c r="AE464" s="131"/>
      <c r="AF464" s="131"/>
      <c r="AG464" s="131"/>
      <c r="AH464" s="131"/>
      <c r="AI464" s="131"/>
      <c r="AJ464" s="131"/>
      <c r="AK464" s="131"/>
      <c r="AL464" s="131"/>
      <c r="AM464" s="131"/>
      <c r="AN464" s="131"/>
      <c r="AO464" s="142"/>
      <c r="AP464" s="131"/>
    </row>
    <row r="465" ht="13.5" customHeight="1">
      <c r="A465" s="142"/>
      <c r="B465" s="142"/>
      <c r="C465" s="142"/>
      <c r="D465" s="142"/>
      <c r="E465" s="132"/>
      <c r="F465" s="131"/>
      <c r="G465" s="131"/>
      <c r="H465" s="131"/>
      <c r="I465" s="131"/>
      <c r="J465" s="219"/>
      <c r="K465" s="198"/>
      <c r="L465" s="131"/>
      <c r="M465" s="142"/>
      <c r="N465" s="131"/>
      <c r="O465" s="131"/>
      <c r="P465" s="131"/>
      <c r="Q465" s="131"/>
      <c r="R465" s="131"/>
      <c r="S465" s="131"/>
      <c r="T465" s="131"/>
      <c r="U465" s="131"/>
      <c r="V465" s="131"/>
      <c r="W465" s="131"/>
      <c r="X465" s="131"/>
      <c r="Y465" s="131"/>
      <c r="Z465" s="131"/>
      <c r="AA465" s="131"/>
      <c r="AB465" s="330"/>
      <c r="AC465" s="331"/>
      <c r="AD465" s="332"/>
      <c r="AE465" s="131"/>
      <c r="AF465" s="131"/>
      <c r="AG465" s="131"/>
      <c r="AH465" s="131"/>
      <c r="AI465" s="131"/>
      <c r="AJ465" s="131"/>
      <c r="AK465" s="131"/>
      <c r="AL465" s="131"/>
      <c r="AM465" s="131"/>
      <c r="AN465" s="131"/>
      <c r="AO465" s="142"/>
      <c r="AP465" s="131"/>
    </row>
    <row r="466" ht="13.5" customHeight="1">
      <c r="A466" s="142"/>
      <c r="B466" s="142"/>
      <c r="C466" s="142"/>
      <c r="D466" s="142"/>
      <c r="E466" s="132"/>
      <c r="F466" s="131"/>
      <c r="G466" s="131"/>
      <c r="H466" s="131"/>
      <c r="I466" s="131"/>
      <c r="J466" s="219"/>
      <c r="K466" s="198"/>
      <c r="L466" s="131"/>
      <c r="M466" s="142"/>
      <c r="N466" s="131"/>
      <c r="O466" s="131"/>
      <c r="P466" s="131"/>
      <c r="Q466" s="131"/>
      <c r="R466" s="131"/>
      <c r="S466" s="131"/>
      <c r="T466" s="131"/>
      <c r="U466" s="131"/>
      <c r="V466" s="131"/>
      <c r="W466" s="131"/>
      <c r="X466" s="131"/>
      <c r="Y466" s="131"/>
      <c r="Z466" s="131"/>
      <c r="AA466" s="131"/>
      <c r="AB466" s="330"/>
      <c r="AC466" s="331"/>
      <c r="AD466" s="332"/>
      <c r="AE466" s="131"/>
      <c r="AF466" s="131"/>
      <c r="AG466" s="131"/>
      <c r="AH466" s="131"/>
      <c r="AI466" s="131"/>
      <c r="AJ466" s="131"/>
      <c r="AK466" s="131"/>
      <c r="AL466" s="131"/>
      <c r="AM466" s="131"/>
      <c r="AN466" s="131"/>
      <c r="AO466" s="142"/>
      <c r="AP466" s="131"/>
    </row>
    <row r="467" ht="13.5" customHeight="1">
      <c r="A467" s="142"/>
      <c r="B467" s="142"/>
      <c r="C467" s="142"/>
      <c r="D467" s="142"/>
      <c r="E467" s="132"/>
      <c r="F467" s="131"/>
      <c r="G467" s="131"/>
      <c r="H467" s="131"/>
      <c r="I467" s="131"/>
      <c r="J467" s="219"/>
      <c r="K467" s="198"/>
      <c r="L467" s="131"/>
      <c r="M467" s="142"/>
      <c r="N467" s="131"/>
      <c r="O467" s="131"/>
      <c r="P467" s="131"/>
      <c r="Q467" s="131"/>
      <c r="R467" s="131"/>
      <c r="S467" s="131"/>
      <c r="T467" s="131"/>
      <c r="U467" s="131"/>
      <c r="V467" s="131"/>
      <c r="W467" s="131"/>
      <c r="X467" s="131"/>
      <c r="Y467" s="131"/>
      <c r="Z467" s="131"/>
      <c r="AA467" s="131"/>
      <c r="AB467" s="330"/>
      <c r="AC467" s="331"/>
      <c r="AD467" s="332"/>
      <c r="AE467" s="131"/>
      <c r="AF467" s="131"/>
      <c r="AG467" s="131"/>
      <c r="AH467" s="131"/>
      <c r="AI467" s="131"/>
      <c r="AJ467" s="131"/>
      <c r="AK467" s="131"/>
      <c r="AL467" s="131"/>
      <c r="AM467" s="131"/>
      <c r="AN467" s="131"/>
      <c r="AO467" s="142"/>
      <c r="AP467" s="131"/>
    </row>
    <row r="468" ht="13.5" customHeight="1">
      <c r="A468" s="142"/>
      <c r="B468" s="142"/>
      <c r="C468" s="142"/>
      <c r="D468" s="142"/>
      <c r="E468" s="132"/>
      <c r="F468" s="131"/>
      <c r="G468" s="131"/>
      <c r="H468" s="131"/>
      <c r="I468" s="131"/>
      <c r="J468" s="219"/>
      <c r="K468" s="198"/>
      <c r="L468" s="131"/>
      <c r="M468" s="142"/>
      <c r="N468" s="131"/>
      <c r="O468" s="131"/>
      <c r="P468" s="131"/>
      <c r="Q468" s="131"/>
      <c r="R468" s="131"/>
      <c r="S468" s="131"/>
      <c r="T468" s="131"/>
      <c r="U468" s="131"/>
      <c r="V468" s="131"/>
      <c r="W468" s="131"/>
      <c r="X468" s="131"/>
      <c r="Y468" s="131"/>
      <c r="Z468" s="131"/>
      <c r="AA468" s="131"/>
      <c r="AB468" s="330"/>
      <c r="AC468" s="331"/>
      <c r="AD468" s="332"/>
      <c r="AE468" s="131"/>
      <c r="AF468" s="131"/>
      <c r="AG468" s="131"/>
      <c r="AH468" s="131"/>
      <c r="AI468" s="131"/>
      <c r="AJ468" s="131"/>
      <c r="AK468" s="131"/>
      <c r="AL468" s="131"/>
      <c r="AM468" s="131"/>
      <c r="AN468" s="131"/>
      <c r="AO468" s="142"/>
      <c r="AP468" s="131"/>
    </row>
    <row r="469" ht="13.5" customHeight="1">
      <c r="A469" s="142"/>
      <c r="B469" s="142"/>
      <c r="C469" s="142"/>
      <c r="D469" s="142"/>
      <c r="E469" s="132"/>
      <c r="F469" s="131"/>
      <c r="G469" s="131"/>
      <c r="H469" s="131"/>
      <c r="I469" s="131"/>
      <c r="J469" s="219"/>
      <c r="K469" s="198"/>
      <c r="L469" s="131"/>
      <c r="M469" s="142"/>
      <c r="N469" s="131"/>
      <c r="O469" s="131"/>
      <c r="P469" s="131"/>
      <c r="Q469" s="131"/>
      <c r="R469" s="131"/>
      <c r="S469" s="131"/>
      <c r="T469" s="131"/>
      <c r="U469" s="131"/>
      <c r="V469" s="131"/>
      <c r="W469" s="131"/>
      <c r="X469" s="131"/>
      <c r="Y469" s="131"/>
      <c r="Z469" s="131"/>
      <c r="AA469" s="131"/>
      <c r="AB469" s="330"/>
      <c r="AC469" s="331"/>
      <c r="AD469" s="332"/>
      <c r="AE469" s="131"/>
      <c r="AF469" s="131"/>
      <c r="AG469" s="131"/>
      <c r="AH469" s="131"/>
      <c r="AI469" s="131"/>
      <c r="AJ469" s="131"/>
      <c r="AK469" s="131"/>
      <c r="AL469" s="131"/>
      <c r="AM469" s="131"/>
      <c r="AN469" s="131"/>
      <c r="AO469" s="142"/>
      <c r="AP469" s="131"/>
    </row>
    <row r="470" ht="13.5" customHeight="1">
      <c r="A470" s="142"/>
      <c r="B470" s="142"/>
      <c r="C470" s="142"/>
      <c r="D470" s="142"/>
      <c r="E470" s="132"/>
      <c r="F470" s="131"/>
      <c r="G470" s="131"/>
      <c r="H470" s="131"/>
      <c r="I470" s="131"/>
      <c r="J470" s="219"/>
      <c r="K470" s="198"/>
      <c r="L470" s="131"/>
      <c r="M470" s="142"/>
      <c r="N470" s="131"/>
      <c r="O470" s="131"/>
      <c r="P470" s="131"/>
      <c r="Q470" s="131"/>
      <c r="R470" s="131"/>
      <c r="S470" s="131"/>
      <c r="T470" s="131"/>
      <c r="U470" s="131"/>
      <c r="V470" s="131"/>
      <c r="W470" s="131"/>
      <c r="X470" s="131"/>
      <c r="Y470" s="131"/>
      <c r="Z470" s="131"/>
      <c r="AA470" s="131"/>
      <c r="AB470" s="330"/>
      <c r="AC470" s="331"/>
      <c r="AD470" s="332"/>
      <c r="AE470" s="131"/>
      <c r="AF470" s="131"/>
      <c r="AG470" s="131"/>
      <c r="AH470" s="131"/>
      <c r="AI470" s="131"/>
      <c r="AJ470" s="131"/>
      <c r="AK470" s="131"/>
      <c r="AL470" s="131"/>
      <c r="AM470" s="131"/>
      <c r="AN470" s="131"/>
      <c r="AO470" s="142"/>
      <c r="AP470" s="131"/>
    </row>
    <row r="471" ht="13.5" customHeight="1">
      <c r="A471" s="142"/>
      <c r="B471" s="142"/>
      <c r="C471" s="142"/>
      <c r="D471" s="142"/>
      <c r="E471" s="132"/>
      <c r="F471" s="131"/>
      <c r="G471" s="131"/>
      <c r="H471" s="131"/>
      <c r="I471" s="131"/>
      <c r="J471" s="219"/>
      <c r="K471" s="198"/>
      <c r="L471" s="131"/>
      <c r="M471" s="142"/>
      <c r="N471" s="131"/>
      <c r="O471" s="131"/>
      <c r="P471" s="131"/>
      <c r="Q471" s="131"/>
      <c r="R471" s="131"/>
      <c r="S471" s="131"/>
      <c r="T471" s="131"/>
      <c r="U471" s="131"/>
      <c r="V471" s="131"/>
      <c r="W471" s="131"/>
      <c r="X471" s="131"/>
      <c r="Y471" s="131"/>
      <c r="Z471" s="131"/>
      <c r="AA471" s="131"/>
      <c r="AB471" s="330"/>
      <c r="AC471" s="331"/>
      <c r="AD471" s="332"/>
      <c r="AE471" s="131"/>
      <c r="AF471" s="131"/>
      <c r="AG471" s="131"/>
      <c r="AH471" s="131"/>
      <c r="AI471" s="131"/>
      <c r="AJ471" s="131"/>
      <c r="AK471" s="131"/>
      <c r="AL471" s="131"/>
      <c r="AM471" s="131"/>
      <c r="AN471" s="131"/>
      <c r="AO471" s="142"/>
      <c r="AP471" s="131"/>
    </row>
    <row r="472" ht="13.5" customHeight="1">
      <c r="A472" s="142"/>
      <c r="B472" s="142"/>
      <c r="C472" s="142"/>
      <c r="D472" s="142"/>
      <c r="E472" s="132"/>
      <c r="F472" s="131"/>
      <c r="G472" s="131"/>
      <c r="H472" s="131"/>
      <c r="I472" s="131"/>
      <c r="J472" s="219"/>
      <c r="K472" s="198"/>
      <c r="L472" s="131"/>
      <c r="M472" s="142"/>
      <c r="N472" s="131"/>
      <c r="O472" s="131"/>
      <c r="P472" s="131"/>
      <c r="Q472" s="131"/>
      <c r="R472" s="131"/>
      <c r="S472" s="131"/>
      <c r="T472" s="131"/>
      <c r="U472" s="131"/>
      <c r="V472" s="131"/>
      <c r="W472" s="131"/>
      <c r="X472" s="131"/>
      <c r="Y472" s="131"/>
      <c r="Z472" s="131"/>
      <c r="AA472" s="131"/>
      <c r="AB472" s="330"/>
      <c r="AC472" s="331"/>
      <c r="AD472" s="332"/>
      <c r="AE472" s="131"/>
      <c r="AF472" s="131"/>
      <c r="AG472" s="131"/>
      <c r="AH472" s="131"/>
      <c r="AI472" s="131"/>
      <c r="AJ472" s="131"/>
      <c r="AK472" s="131"/>
      <c r="AL472" s="131"/>
      <c r="AM472" s="131"/>
      <c r="AN472" s="131"/>
      <c r="AO472" s="142"/>
      <c r="AP472" s="131"/>
    </row>
    <row r="473" ht="13.5" customHeight="1">
      <c r="A473" s="142"/>
      <c r="B473" s="142"/>
      <c r="C473" s="142"/>
      <c r="D473" s="142"/>
      <c r="E473" s="132"/>
      <c r="F473" s="131"/>
      <c r="G473" s="131"/>
      <c r="H473" s="131"/>
      <c r="I473" s="131"/>
      <c r="J473" s="219"/>
      <c r="K473" s="198"/>
      <c r="L473" s="131"/>
      <c r="M473" s="142"/>
      <c r="N473" s="131"/>
      <c r="O473" s="131"/>
      <c r="P473" s="131"/>
      <c r="Q473" s="131"/>
      <c r="R473" s="131"/>
      <c r="S473" s="131"/>
      <c r="T473" s="131"/>
      <c r="U473" s="131"/>
      <c r="V473" s="131"/>
      <c r="W473" s="131"/>
      <c r="X473" s="131"/>
      <c r="Y473" s="131"/>
      <c r="Z473" s="131"/>
      <c r="AA473" s="131"/>
      <c r="AB473" s="330"/>
      <c r="AC473" s="331"/>
      <c r="AD473" s="332"/>
      <c r="AE473" s="131"/>
      <c r="AF473" s="131"/>
      <c r="AG473" s="131"/>
      <c r="AH473" s="131"/>
      <c r="AI473" s="131"/>
      <c r="AJ473" s="131"/>
      <c r="AK473" s="131"/>
      <c r="AL473" s="131"/>
      <c r="AM473" s="131"/>
      <c r="AN473" s="131"/>
      <c r="AO473" s="142"/>
      <c r="AP473" s="131"/>
    </row>
    <row r="474" ht="13.5" customHeight="1">
      <c r="A474" s="142"/>
      <c r="B474" s="142"/>
      <c r="C474" s="142"/>
      <c r="D474" s="142"/>
      <c r="E474" s="132"/>
      <c r="F474" s="131"/>
      <c r="G474" s="131"/>
      <c r="H474" s="131"/>
      <c r="I474" s="131"/>
      <c r="J474" s="219"/>
      <c r="K474" s="198"/>
      <c r="L474" s="131"/>
      <c r="M474" s="142"/>
      <c r="N474" s="131"/>
      <c r="O474" s="131"/>
      <c r="P474" s="131"/>
      <c r="Q474" s="131"/>
      <c r="R474" s="131"/>
      <c r="S474" s="131"/>
      <c r="T474" s="131"/>
      <c r="U474" s="131"/>
      <c r="V474" s="131"/>
      <c r="W474" s="131"/>
      <c r="X474" s="131"/>
      <c r="Y474" s="131"/>
      <c r="Z474" s="131"/>
      <c r="AA474" s="131"/>
      <c r="AB474" s="330"/>
      <c r="AC474" s="331"/>
      <c r="AD474" s="332"/>
      <c r="AE474" s="131"/>
      <c r="AF474" s="131"/>
      <c r="AG474" s="131"/>
      <c r="AH474" s="131"/>
      <c r="AI474" s="131"/>
      <c r="AJ474" s="131"/>
      <c r="AK474" s="131"/>
      <c r="AL474" s="131"/>
      <c r="AM474" s="131"/>
      <c r="AN474" s="131"/>
      <c r="AO474" s="142"/>
      <c r="AP474" s="131"/>
    </row>
    <row r="475" ht="13.5" customHeight="1">
      <c r="A475" s="142"/>
      <c r="B475" s="142"/>
      <c r="C475" s="142"/>
      <c r="D475" s="142"/>
      <c r="E475" s="132"/>
      <c r="F475" s="131"/>
      <c r="G475" s="131"/>
      <c r="H475" s="131"/>
      <c r="I475" s="131"/>
      <c r="J475" s="219"/>
      <c r="K475" s="198"/>
      <c r="L475" s="131"/>
      <c r="M475" s="142"/>
      <c r="N475" s="131"/>
      <c r="O475" s="131"/>
      <c r="P475" s="131"/>
      <c r="Q475" s="131"/>
      <c r="R475" s="131"/>
      <c r="S475" s="131"/>
      <c r="T475" s="131"/>
      <c r="U475" s="131"/>
      <c r="V475" s="131"/>
      <c r="W475" s="131"/>
      <c r="X475" s="131"/>
      <c r="Y475" s="131"/>
      <c r="Z475" s="131"/>
      <c r="AA475" s="131"/>
      <c r="AB475" s="330"/>
      <c r="AC475" s="331"/>
      <c r="AD475" s="332"/>
      <c r="AE475" s="131"/>
      <c r="AF475" s="131"/>
      <c r="AG475" s="131"/>
      <c r="AH475" s="131"/>
      <c r="AI475" s="131"/>
      <c r="AJ475" s="131"/>
      <c r="AK475" s="131"/>
      <c r="AL475" s="131"/>
      <c r="AM475" s="131"/>
      <c r="AN475" s="131"/>
      <c r="AO475" s="142"/>
      <c r="AP475" s="131"/>
    </row>
    <row r="476" ht="13.5" customHeight="1">
      <c r="A476" s="142"/>
      <c r="B476" s="142"/>
      <c r="C476" s="142"/>
      <c r="D476" s="142"/>
      <c r="E476" s="132"/>
      <c r="F476" s="131"/>
      <c r="G476" s="131"/>
      <c r="H476" s="131"/>
      <c r="I476" s="131"/>
      <c r="J476" s="219"/>
      <c r="K476" s="198"/>
      <c r="L476" s="131"/>
      <c r="M476" s="142"/>
      <c r="N476" s="131"/>
      <c r="O476" s="131"/>
      <c r="P476" s="131"/>
      <c r="Q476" s="131"/>
      <c r="R476" s="131"/>
      <c r="S476" s="131"/>
      <c r="T476" s="131"/>
      <c r="U476" s="131"/>
      <c r="V476" s="131"/>
      <c r="W476" s="131"/>
      <c r="X476" s="131"/>
      <c r="Y476" s="131"/>
      <c r="Z476" s="131"/>
      <c r="AA476" s="131"/>
      <c r="AB476" s="330"/>
      <c r="AC476" s="331"/>
      <c r="AD476" s="332"/>
      <c r="AE476" s="131"/>
      <c r="AF476" s="131"/>
      <c r="AG476" s="131"/>
      <c r="AH476" s="131"/>
      <c r="AI476" s="131"/>
      <c r="AJ476" s="131"/>
      <c r="AK476" s="131"/>
      <c r="AL476" s="131"/>
      <c r="AM476" s="131"/>
      <c r="AN476" s="131"/>
      <c r="AO476" s="142"/>
      <c r="AP476" s="131"/>
    </row>
    <row r="477" ht="13.5" customHeight="1">
      <c r="A477" s="142"/>
      <c r="B477" s="142"/>
      <c r="C477" s="142"/>
      <c r="D477" s="142"/>
      <c r="E477" s="132"/>
      <c r="F477" s="131"/>
      <c r="G477" s="131"/>
      <c r="H477" s="131"/>
      <c r="I477" s="131"/>
      <c r="J477" s="219"/>
      <c r="K477" s="198"/>
      <c r="L477" s="131"/>
      <c r="M477" s="142"/>
      <c r="N477" s="131"/>
      <c r="O477" s="131"/>
      <c r="P477" s="131"/>
      <c r="Q477" s="131"/>
      <c r="R477" s="131"/>
      <c r="S477" s="131"/>
      <c r="T477" s="131"/>
      <c r="U477" s="131"/>
      <c r="V477" s="131"/>
      <c r="W477" s="131"/>
      <c r="X477" s="131"/>
      <c r="Y477" s="131"/>
      <c r="Z477" s="131"/>
      <c r="AA477" s="131"/>
      <c r="AB477" s="330"/>
      <c r="AC477" s="331"/>
      <c r="AD477" s="332"/>
      <c r="AE477" s="131"/>
      <c r="AF477" s="131"/>
      <c r="AG477" s="131"/>
      <c r="AH477" s="131"/>
      <c r="AI477" s="131"/>
      <c r="AJ477" s="131"/>
      <c r="AK477" s="131"/>
      <c r="AL477" s="131"/>
      <c r="AM477" s="131"/>
      <c r="AN477" s="131"/>
      <c r="AO477" s="142"/>
      <c r="AP477" s="131"/>
    </row>
    <row r="478" ht="13.5" customHeight="1">
      <c r="A478" s="142"/>
      <c r="B478" s="142"/>
      <c r="C478" s="142"/>
      <c r="D478" s="142"/>
      <c r="E478" s="132"/>
      <c r="F478" s="131"/>
      <c r="G478" s="131"/>
      <c r="H478" s="131"/>
      <c r="I478" s="131"/>
      <c r="J478" s="219"/>
      <c r="K478" s="198"/>
      <c r="L478" s="131"/>
      <c r="M478" s="142"/>
      <c r="N478" s="131"/>
      <c r="O478" s="131"/>
      <c r="P478" s="131"/>
      <c r="Q478" s="131"/>
      <c r="R478" s="131"/>
      <c r="S478" s="131"/>
      <c r="T478" s="131"/>
      <c r="U478" s="131"/>
      <c r="V478" s="131"/>
      <c r="W478" s="131"/>
      <c r="X478" s="131"/>
      <c r="Y478" s="131"/>
      <c r="Z478" s="131"/>
      <c r="AA478" s="131"/>
      <c r="AB478" s="330"/>
      <c r="AC478" s="331"/>
      <c r="AD478" s="332"/>
      <c r="AE478" s="131"/>
      <c r="AF478" s="131"/>
      <c r="AG478" s="131"/>
      <c r="AH478" s="131"/>
      <c r="AI478" s="131"/>
      <c r="AJ478" s="131"/>
      <c r="AK478" s="131"/>
      <c r="AL478" s="131"/>
      <c r="AM478" s="131"/>
      <c r="AN478" s="131"/>
      <c r="AO478" s="142"/>
      <c r="AP478" s="131"/>
    </row>
    <row r="479" ht="13.5" customHeight="1">
      <c r="A479" s="142"/>
      <c r="B479" s="142"/>
      <c r="C479" s="142"/>
      <c r="D479" s="142"/>
      <c r="E479" s="132"/>
      <c r="F479" s="131"/>
      <c r="G479" s="131"/>
      <c r="H479" s="131"/>
      <c r="I479" s="131"/>
      <c r="J479" s="219"/>
      <c r="K479" s="198"/>
      <c r="L479" s="131"/>
      <c r="M479" s="142"/>
      <c r="N479" s="131"/>
      <c r="O479" s="131"/>
      <c r="P479" s="131"/>
      <c r="Q479" s="131"/>
      <c r="R479" s="131"/>
      <c r="S479" s="131"/>
      <c r="T479" s="131"/>
      <c r="U479" s="131"/>
      <c r="V479" s="131"/>
      <c r="W479" s="131"/>
      <c r="X479" s="131"/>
      <c r="Y479" s="131"/>
      <c r="Z479" s="131"/>
      <c r="AA479" s="131"/>
      <c r="AB479" s="330"/>
      <c r="AC479" s="331"/>
      <c r="AD479" s="332"/>
      <c r="AE479" s="131"/>
      <c r="AF479" s="131"/>
      <c r="AG479" s="131"/>
      <c r="AH479" s="131"/>
      <c r="AI479" s="131"/>
      <c r="AJ479" s="131"/>
      <c r="AK479" s="131"/>
      <c r="AL479" s="131"/>
      <c r="AM479" s="131"/>
      <c r="AN479" s="131"/>
      <c r="AO479" s="142"/>
      <c r="AP479" s="131"/>
    </row>
    <row r="480" ht="13.5" customHeight="1">
      <c r="A480" s="142"/>
      <c r="B480" s="142"/>
      <c r="C480" s="142"/>
      <c r="D480" s="142"/>
      <c r="E480" s="132"/>
      <c r="F480" s="131"/>
      <c r="G480" s="131"/>
      <c r="H480" s="131"/>
      <c r="I480" s="131"/>
      <c r="J480" s="219"/>
      <c r="K480" s="198"/>
      <c r="L480" s="131"/>
      <c r="M480" s="142"/>
      <c r="N480" s="131"/>
      <c r="O480" s="131"/>
      <c r="P480" s="131"/>
      <c r="Q480" s="131"/>
      <c r="R480" s="131"/>
      <c r="S480" s="131"/>
      <c r="T480" s="131"/>
      <c r="U480" s="131"/>
      <c r="V480" s="131"/>
      <c r="W480" s="131"/>
      <c r="X480" s="131"/>
      <c r="Y480" s="131"/>
      <c r="Z480" s="131"/>
      <c r="AA480" s="131"/>
      <c r="AB480" s="330"/>
      <c r="AC480" s="331"/>
      <c r="AD480" s="332"/>
      <c r="AE480" s="131"/>
      <c r="AF480" s="131"/>
      <c r="AG480" s="131"/>
      <c r="AH480" s="131"/>
      <c r="AI480" s="131"/>
      <c r="AJ480" s="131"/>
      <c r="AK480" s="131"/>
      <c r="AL480" s="131"/>
      <c r="AM480" s="131"/>
      <c r="AN480" s="131"/>
      <c r="AO480" s="142"/>
      <c r="AP480" s="131"/>
    </row>
    <row r="481" ht="13.5" customHeight="1">
      <c r="A481" s="142"/>
      <c r="B481" s="142"/>
      <c r="C481" s="142"/>
      <c r="D481" s="142"/>
      <c r="E481" s="132"/>
      <c r="F481" s="131"/>
      <c r="G481" s="131"/>
      <c r="H481" s="131"/>
      <c r="I481" s="131"/>
      <c r="J481" s="219"/>
      <c r="K481" s="198"/>
      <c r="L481" s="131"/>
      <c r="M481" s="142"/>
      <c r="N481" s="131"/>
      <c r="O481" s="131"/>
      <c r="P481" s="131"/>
      <c r="Q481" s="131"/>
      <c r="R481" s="131"/>
      <c r="S481" s="131"/>
      <c r="T481" s="131"/>
      <c r="U481" s="131"/>
      <c r="V481" s="131"/>
      <c r="W481" s="131"/>
      <c r="X481" s="131"/>
      <c r="Y481" s="131"/>
      <c r="Z481" s="131"/>
      <c r="AA481" s="131"/>
      <c r="AB481" s="330"/>
      <c r="AC481" s="331"/>
      <c r="AD481" s="332"/>
      <c r="AE481" s="131"/>
      <c r="AF481" s="131"/>
      <c r="AG481" s="131"/>
      <c r="AH481" s="131"/>
      <c r="AI481" s="131"/>
      <c r="AJ481" s="131"/>
      <c r="AK481" s="131"/>
      <c r="AL481" s="131"/>
      <c r="AM481" s="131"/>
      <c r="AN481" s="131"/>
      <c r="AO481" s="142"/>
      <c r="AP481" s="131"/>
    </row>
    <row r="482" ht="13.5" customHeight="1">
      <c r="A482" s="142"/>
      <c r="B482" s="142"/>
      <c r="C482" s="142"/>
      <c r="D482" s="142"/>
      <c r="E482" s="132"/>
      <c r="F482" s="131"/>
      <c r="G482" s="131"/>
      <c r="H482" s="131"/>
      <c r="I482" s="131"/>
      <c r="J482" s="219"/>
      <c r="K482" s="198"/>
      <c r="L482" s="131"/>
      <c r="M482" s="142"/>
      <c r="N482" s="131"/>
      <c r="O482" s="131"/>
      <c r="P482" s="131"/>
      <c r="Q482" s="131"/>
      <c r="R482" s="131"/>
      <c r="S482" s="131"/>
      <c r="T482" s="131"/>
      <c r="U482" s="131"/>
      <c r="V482" s="131"/>
      <c r="W482" s="131"/>
      <c r="X482" s="131"/>
      <c r="Y482" s="131"/>
      <c r="Z482" s="131"/>
      <c r="AA482" s="131"/>
      <c r="AB482" s="330"/>
      <c r="AC482" s="331"/>
      <c r="AD482" s="332"/>
      <c r="AE482" s="131"/>
      <c r="AF482" s="131"/>
      <c r="AG482" s="131"/>
      <c r="AH482" s="131"/>
      <c r="AI482" s="131"/>
      <c r="AJ482" s="131"/>
      <c r="AK482" s="131"/>
      <c r="AL482" s="131"/>
      <c r="AM482" s="131"/>
      <c r="AN482" s="131"/>
      <c r="AO482" s="142"/>
      <c r="AP482" s="131"/>
    </row>
    <row r="483" ht="13.5" customHeight="1">
      <c r="A483" s="142"/>
      <c r="B483" s="142"/>
      <c r="C483" s="142"/>
      <c r="D483" s="142"/>
      <c r="E483" s="132"/>
      <c r="F483" s="131"/>
      <c r="G483" s="131"/>
      <c r="H483" s="131"/>
      <c r="I483" s="131"/>
      <c r="J483" s="219"/>
      <c r="K483" s="198"/>
      <c r="L483" s="131"/>
      <c r="M483" s="142"/>
      <c r="N483" s="131"/>
      <c r="O483" s="131"/>
      <c r="P483" s="131"/>
      <c r="Q483" s="131"/>
      <c r="R483" s="131"/>
      <c r="S483" s="131"/>
      <c r="T483" s="131"/>
      <c r="U483" s="131"/>
      <c r="V483" s="131"/>
      <c r="W483" s="131"/>
      <c r="X483" s="131"/>
      <c r="Y483" s="131"/>
      <c r="Z483" s="131"/>
      <c r="AA483" s="131"/>
      <c r="AB483" s="330"/>
      <c r="AC483" s="331"/>
      <c r="AD483" s="332"/>
      <c r="AE483" s="131"/>
      <c r="AF483" s="131"/>
      <c r="AG483" s="131"/>
      <c r="AH483" s="131"/>
      <c r="AI483" s="131"/>
      <c r="AJ483" s="131"/>
      <c r="AK483" s="131"/>
      <c r="AL483" s="131"/>
      <c r="AM483" s="131"/>
      <c r="AN483" s="131"/>
      <c r="AO483" s="142"/>
      <c r="AP483" s="131"/>
    </row>
    <row r="484" ht="13.5" customHeight="1">
      <c r="A484" s="142"/>
      <c r="B484" s="142"/>
      <c r="C484" s="142"/>
      <c r="D484" s="142"/>
      <c r="E484" s="132"/>
      <c r="F484" s="131"/>
      <c r="G484" s="131"/>
      <c r="H484" s="131"/>
      <c r="I484" s="131"/>
      <c r="J484" s="219"/>
      <c r="K484" s="198"/>
      <c r="L484" s="131"/>
      <c r="M484" s="142"/>
      <c r="N484" s="131"/>
      <c r="O484" s="131"/>
      <c r="P484" s="131"/>
      <c r="Q484" s="131"/>
      <c r="R484" s="131"/>
      <c r="S484" s="131"/>
      <c r="T484" s="131"/>
      <c r="U484" s="131"/>
      <c r="V484" s="131"/>
      <c r="W484" s="131"/>
      <c r="X484" s="131"/>
      <c r="Y484" s="131"/>
      <c r="Z484" s="131"/>
      <c r="AA484" s="131"/>
      <c r="AB484" s="330"/>
      <c r="AC484" s="331"/>
      <c r="AD484" s="332"/>
      <c r="AE484" s="131"/>
      <c r="AF484" s="131"/>
      <c r="AG484" s="131"/>
      <c r="AH484" s="131"/>
      <c r="AI484" s="131"/>
      <c r="AJ484" s="131"/>
      <c r="AK484" s="131"/>
      <c r="AL484" s="131"/>
      <c r="AM484" s="131"/>
      <c r="AN484" s="131"/>
      <c r="AO484" s="142"/>
      <c r="AP484" s="131"/>
    </row>
    <row r="485" ht="13.5" customHeight="1">
      <c r="A485" s="142"/>
      <c r="B485" s="142"/>
      <c r="C485" s="142"/>
      <c r="D485" s="142"/>
      <c r="E485" s="132"/>
      <c r="F485" s="131"/>
      <c r="G485" s="131"/>
      <c r="H485" s="131"/>
      <c r="I485" s="131"/>
      <c r="J485" s="219"/>
      <c r="K485" s="198"/>
      <c r="L485" s="131"/>
      <c r="M485" s="142"/>
      <c r="N485" s="131"/>
      <c r="O485" s="131"/>
      <c r="P485" s="131"/>
      <c r="Q485" s="131"/>
      <c r="R485" s="131"/>
      <c r="S485" s="131"/>
      <c r="T485" s="131"/>
      <c r="U485" s="131"/>
      <c r="V485" s="131"/>
      <c r="W485" s="131"/>
      <c r="X485" s="131"/>
      <c r="Y485" s="131"/>
      <c r="Z485" s="131"/>
      <c r="AA485" s="131"/>
      <c r="AB485" s="330"/>
      <c r="AC485" s="331"/>
      <c r="AD485" s="332"/>
      <c r="AE485" s="131"/>
      <c r="AF485" s="131"/>
      <c r="AG485" s="131"/>
      <c r="AH485" s="131"/>
      <c r="AI485" s="131"/>
      <c r="AJ485" s="131"/>
      <c r="AK485" s="131"/>
      <c r="AL485" s="131"/>
      <c r="AM485" s="131"/>
      <c r="AN485" s="131"/>
      <c r="AO485" s="142"/>
      <c r="AP485" s="131"/>
    </row>
    <row r="486" ht="13.5" customHeight="1">
      <c r="A486" s="142"/>
      <c r="B486" s="142"/>
      <c r="C486" s="142"/>
      <c r="D486" s="142"/>
      <c r="E486" s="132"/>
      <c r="F486" s="131"/>
      <c r="G486" s="131"/>
      <c r="H486" s="131"/>
      <c r="I486" s="131"/>
      <c r="J486" s="219"/>
      <c r="K486" s="198"/>
      <c r="L486" s="131"/>
      <c r="M486" s="142"/>
      <c r="N486" s="131"/>
      <c r="O486" s="131"/>
      <c r="P486" s="131"/>
      <c r="Q486" s="131"/>
      <c r="R486" s="131"/>
      <c r="S486" s="131"/>
      <c r="T486" s="131"/>
      <c r="U486" s="131"/>
      <c r="V486" s="131"/>
      <c r="W486" s="131"/>
      <c r="X486" s="131"/>
      <c r="Y486" s="131"/>
      <c r="Z486" s="131"/>
      <c r="AA486" s="131"/>
      <c r="AB486" s="330"/>
      <c r="AC486" s="331"/>
      <c r="AD486" s="332"/>
      <c r="AE486" s="131"/>
      <c r="AF486" s="131"/>
      <c r="AG486" s="131"/>
      <c r="AH486" s="131"/>
      <c r="AI486" s="131"/>
      <c r="AJ486" s="131"/>
      <c r="AK486" s="131"/>
      <c r="AL486" s="131"/>
      <c r="AM486" s="131"/>
      <c r="AN486" s="131"/>
      <c r="AO486" s="142"/>
      <c r="AP486" s="131"/>
    </row>
    <row r="487" ht="13.5" customHeight="1">
      <c r="A487" s="142"/>
      <c r="B487" s="142"/>
      <c r="C487" s="142"/>
      <c r="D487" s="142"/>
      <c r="E487" s="132"/>
      <c r="F487" s="131"/>
      <c r="G487" s="131"/>
      <c r="H487" s="131"/>
      <c r="I487" s="131"/>
      <c r="J487" s="219"/>
      <c r="K487" s="198"/>
      <c r="L487" s="131"/>
      <c r="M487" s="142"/>
      <c r="N487" s="131"/>
      <c r="O487" s="131"/>
      <c r="P487" s="131"/>
      <c r="Q487" s="131"/>
      <c r="R487" s="131"/>
      <c r="S487" s="131"/>
      <c r="T487" s="131"/>
      <c r="U487" s="131"/>
      <c r="V487" s="131"/>
      <c r="W487" s="131"/>
      <c r="X487" s="131"/>
      <c r="Y487" s="131"/>
      <c r="Z487" s="131"/>
      <c r="AA487" s="131"/>
      <c r="AB487" s="330"/>
      <c r="AC487" s="331"/>
      <c r="AD487" s="332"/>
      <c r="AE487" s="131"/>
      <c r="AF487" s="131"/>
      <c r="AG487" s="131"/>
      <c r="AH487" s="131"/>
      <c r="AI487" s="131"/>
      <c r="AJ487" s="131"/>
      <c r="AK487" s="131"/>
      <c r="AL487" s="131"/>
      <c r="AM487" s="131"/>
      <c r="AN487" s="131"/>
      <c r="AO487" s="142"/>
      <c r="AP487" s="131"/>
    </row>
    <row r="488" ht="13.5" customHeight="1">
      <c r="A488" s="142"/>
      <c r="B488" s="142"/>
      <c r="C488" s="142"/>
      <c r="D488" s="142"/>
      <c r="E488" s="132"/>
      <c r="F488" s="131"/>
      <c r="G488" s="131"/>
      <c r="H488" s="131"/>
      <c r="I488" s="131"/>
      <c r="J488" s="219"/>
      <c r="K488" s="198"/>
      <c r="L488" s="131"/>
      <c r="M488" s="142"/>
      <c r="N488" s="131"/>
      <c r="O488" s="131"/>
      <c r="P488" s="131"/>
      <c r="Q488" s="131"/>
      <c r="R488" s="131"/>
      <c r="S488" s="131"/>
      <c r="T488" s="131"/>
      <c r="U488" s="131"/>
      <c r="V488" s="131"/>
      <c r="W488" s="131"/>
      <c r="X488" s="131"/>
      <c r="Y488" s="131"/>
      <c r="Z488" s="131"/>
      <c r="AA488" s="131"/>
      <c r="AB488" s="330"/>
      <c r="AC488" s="331"/>
      <c r="AD488" s="332"/>
      <c r="AE488" s="131"/>
      <c r="AF488" s="131"/>
      <c r="AG488" s="131"/>
      <c r="AH488" s="131"/>
      <c r="AI488" s="131"/>
      <c r="AJ488" s="131"/>
      <c r="AK488" s="131"/>
      <c r="AL488" s="131"/>
      <c r="AM488" s="131"/>
      <c r="AN488" s="131"/>
      <c r="AO488" s="142"/>
      <c r="AP488" s="131"/>
    </row>
    <row r="489" ht="13.5" customHeight="1">
      <c r="A489" s="142"/>
      <c r="B489" s="142"/>
      <c r="C489" s="142"/>
      <c r="D489" s="142"/>
      <c r="E489" s="132"/>
      <c r="F489" s="131"/>
      <c r="G489" s="131"/>
      <c r="H489" s="131"/>
      <c r="I489" s="131"/>
      <c r="J489" s="219"/>
      <c r="K489" s="198"/>
      <c r="L489" s="131"/>
      <c r="M489" s="142"/>
      <c r="N489" s="131"/>
      <c r="O489" s="131"/>
      <c r="P489" s="131"/>
      <c r="Q489" s="131"/>
      <c r="R489" s="131"/>
      <c r="S489" s="131"/>
      <c r="T489" s="131"/>
      <c r="U489" s="131"/>
      <c r="V489" s="131"/>
      <c r="W489" s="131"/>
      <c r="X489" s="131"/>
      <c r="Y489" s="131"/>
      <c r="Z489" s="131"/>
      <c r="AA489" s="131"/>
      <c r="AB489" s="330"/>
      <c r="AC489" s="331"/>
      <c r="AD489" s="332"/>
      <c r="AE489" s="131"/>
      <c r="AF489" s="131"/>
      <c r="AG489" s="131"/>
      <c r="AH489" s="131"/>
      <c r="AI489" s="131"/>
      <c r="AJ489" s="131"/>
      <c r="AK489" s="131"/>
      <c r="AL489" s="131"/>
      <c r="AM489" s="131"/>
      <c r="AN489" s="131"/>
      <c r="AO489" s="142"/>
      <c r="AP489" s="131"/>
    </row>
    <row r="490" ht="13.5" customHeight="1">
      <c r="A490" s="142"/>
      <c r="B490" s="142"/>
      <c r="C490" s="142"/>
      <c r="D490" s="142"/>
      <c r="E490" s="132"/>
      <c r="F490" s="131"/>
      <c r="G490" s="131"/>
      <c r="H490" s="131"/>
      <c r="I490" s="131"/>
      <c r="J490" s="219"/>
      <c r="K490" s="198"/>
      <c r="L490" s="131"/>
      <c r="M490" s="142"/>
      <c r="N490" s="131"/>
      <c r="O490" s="131"/>
      <c r="P490" s="131"/>
      <c r="Q490" s="131"/>
      <c r="R490" s="131"/>
      <c r="S490" s="131"/>
      <c r="T490" s="131"/>
      <c r="U490" s="131"/>
      <c r="V490" s="131"/>
      <c r="W490" s="131"/>
      <c r="X490" s="131"/>
      <c r="Y490" s="131"/>
      <c r="Z490" s="131"/>
      <c r="AA490" s="131"/>
      <c r="AB490" s="330"/>
      <c r="AC490" s="331"/>
      <c r="AD490" s="332"/>
      <c r="AE490" s="131"/>
      <c r="AF490" s="131"/>
      <c r="AG490" s="131"/>
      <c r="AH490" s="131"/>
      <c r="AI490" s="131"/>
      <c r="AJ490" s="131"/>
      <c r="AK490" s="131"/>
      <c r="AL490" s="131"/>
      <c r="AM490" s="131"/>
      <c r="AN490" s="131"/>
      <c r="AO490" s="142"/>
      <c r="AP490" s="131"/>
    </row>
    <row r="491" ht="13.5" customHeight="1">
      <c r="A491" s="142"/>
      <c r="B491" s="142"/>
      <c r="C491" s="142"/>
      <c r="D491" s="142"/>
      <c r="E491" s="132"/>
      <c r="F491" s="131"/>
      <c r="G491" s="131"/>
      <c r="H491" s="131"/>
      <c r="I491" s="131"/>
      <c r="J491" s="219"/>
      <c r="K491" s="198"/>
      <c r="L491" s="131"/>
      <c r="M491" s="142"/>
      <c r="N491" s="131"/>
      <c r="O491" s="131"/>
      <c r="P491" s="131"/>
      <c r="Q491" s="131"/>
      <c r="R491" s="131"/>
      <c r="S491" s="131"/>
      <c r="T491" s="131"/>
      <c r="U491" s="131"/>
      <c r="V491" s="131"/>
      <c r="W491" s="131"/>
      <c r="X491" s="131"/>
      <c r="Y491" s="131"/>
      <c r="Z491" s="131"/>
      <c r="AA491" s="131"/>
      <c r="AB491" s="330"/>
      <c r="AC491" s="331"/>
      <c r="AD491" s="332"/>
      <c r="AE491" s="131"/>
      <c r="AF491" s="131"/>
      <c r="AG491" s="131"/>
      <c r="AH491" s="131"/>
      <c r="AI491" s="131"/>
      <c r="AJ491" s="131"/>
      <c r="AK491" s="131"/>
      <c r="AL491" s="131"/>
      <c r="AM491" s="131"/>
      <c r="AN491" s="131"/>
      <c r="AO491" s="142"/>
      <c r="AP491" s="131"/>
    </row>
    <row r="492" ht="13.5" customHeight="1">
      <c r="A492" s="142"/>
      <c r="B492" s="142"/>
      <c r="C492" s="142"/>
      <c r="D492" s="142"/>
      <c r="E492" s="132"/>
      <c r="F492" s="131"/>
      <c r="G492" s="131"/>
      <c r="H492" s="131"/>
      <c r="I492" s="131"/>
      <c r="J492" s="219"/>
      <c r="K492" s="198"/>
      <c r="L492" s="131"/>
      <c r="M492" s="142"/>
      <c r="N492" s="131"/>
      <c r="O492" s="131"/>
      <c r="P492" s="131"/>
      <c r="Q492" s="131"/>
      <c r="R492" s="131"/>
      <c r="S492" s="131"/>
      <c r="T492" s="131"/>
      <c r="U492" s="131"/>
      <c r="V492" s="131"/>
      <c r="W492" s="131"/>
      <c r="X492" s="131"/>
      <c r="Y492" s="131"/>
      <c r="Z492" s="131"/>
      <c r="AA492" s="131"/>
      <c r="AB492" s="330"/>
      <c r="AC492" s="331"/>
      <c r="AD492" s="332"/>
      <c r="AE492" s="131"/>
      <c r="AF492" s="131"/>
      <c r="AG492" s="131"/>
      <c r="AH492" s="131"/>
      <c r="AI492" s="131"/>
      <c r="AJ492" s="131"/>
      <c r="AK492" s="131"/>
      <c r="AL492" s="131"/>
      <c r="AM492" s="131"/>
      <c r="AN492" s="131"/>
      <c r="AO492" s="142"/>
      <c r="AP492" s="131"/>
    </row>
    <row r="493" ht="13.5" customHeight="1">
      <c r="A493" s="142"/>
      <c r="B493" s="142"/>
      <c r="C493" s="142"/>
      <c r="D493" s="142"/>
      <c r="E493" s="132"/>
      <c r="F493" s="131"/>
      <c r="G493" s="131"/>
      <c r="H493" s="131"/>
      <c r="I493" s="131"/>
      <c r="J493" s="219"/>
      <c r="K493" s="198"/>
      <c r="L493" s="131"/>
      <c r="M493" s="142"/>
      <c r="N493" s="131"/>
      <c r="O493" s="131"/>
      <c r="P493" s="131"/>
      <c r="Q493" s="131"/>
      <c r="R493" s="131"/>
      <c r="S493" s="131"/>
      <c r="T493" s="131"/>
      <c r="U493" s="131"/>
      <c r="V493" s="131"/>
      <c r="W493" s="131"/>
      <c r="X493" s="131"/>
      <c r="Y493" s="131"/>
      <c r="Z493" s="131"/>
      <c r="AA493" s="131"/>
      <c r="AB493" s="330"/>
      <c r="AC493" s="331"/>
      <c r="AD493" s="332"/>
      <c r="AE493" s="131"/>
      <c r="AF493" s="131"/>
      <c r="AG493" s="131"/>
      <c r="AH493" s="131"/>
      <c r="AI493" s="131"/>
      <c r="AJ493" s="131"/>
      <c r="AK493" s="131"/>
      <c r="AL493" s="131"/>
      <c r="AM493" s="131"/>
      <c r="AN493" s="131"/>
      <c r="AO493" s="142"/>
      <c r="AP493" s="131"/>
    </row>
    <row r="494" ht="13.5" customHeight="1">
      <c r="A494" s="142"/>
      <c r="B494" s="142"/>
      <c r="C494" s="142"/>
      <c r="D494" s="142"/>
      <c r="E494" s="132"/>
      <c r="F494" s="131"/>
      <c r="G494" s="131"/>
      <c r="H494" s="131"/>
      <c r="I494" s="131"/>
      <c r="J494" s="219"/>
      <c r="K494" s="198"/>
      <c r="L494" s="131"/>
      <c r="M494" s="142"/>
      <c r="N494" s="131"/>
      <c r="O494" s="131"/>
      <c r="P494" s="131"/>
      <c r="Q494" s="131"/>
      <c r="R494" s="131"/>
      <c r="S494" s="131"/>
      <c r="T494" s="131"/>
      <c r="U494" s="131"/>
      <c r="V494" s="131"/>
      <c r="W494" s="131"/>
      <c r="X494" s="131"/>
      <c r="Y494" s="131"/>
      <c r="Z494" s="131"/>
      <c r="AA494" s="131"/>
      <c r="AB494" s="330"/>
      <c r="AC494" s="331"/>
      <c r="AD494" s="332"/>
      <c r="AE494" s="131"/>
      <c r="AF494" s="131"/>
      <c r="AG494" s="131"/>
      <c r="AH494" s="131"/>
      <c r="AI494" s="131"/>
      <c r="AJ494" s="131"/>
      <c r="AK494" s="131"/>
      <c r="AL494" s="131"/>
      <c r="AM494" s="131"/>
      <c r="AN494" s="131"/>
      <c r="AO494" s="142"/>
      <c r="AP494" s="131"/>
    </row>
    <row r="495" ht="13.5" customHeight="1">
      <c r="A495" s="142"/>
      <c r="B495" s="142"/>
      <c r="C495" s="142"/>
      <c r="D495" s="142"/>
      <c r="E495" s="132"/>
      <c r="F495" s="131"/>
      <c r="G495" s="131"/>
      <c r="H495" s="131"/>
      <c r="I495" s="131"/>
      <c r="J495" s="219"/>
      <c r="K495" s="198"/>
      <c r="L495" s="131"/>
      <c r="M495" s="142"/>
      <c r="N495" s="131"/>
      <c r="O495" s="131"/>
      <c r="P495" s="131"/>
      <c r="Q495" s="131"/>
      <c r="R495" s="131"/>
      <c r="S495" s="131"/>
      <c r="T495" s="131"/>
      <c r="U495" s="131"/>
      <c r="V495" s="131"/>
      <c r="W495" s="131"/>
      <c r="X495" s="131"/>
      <c r="Y495" s="131"/>
      <c r="Z495" s="131"/>
      <c r="AA495" s="131"/>
      <c r="AB495" s="330"/>
      <c r="AC495" s="331"/>
      <c r="AD495" s="332"/>
      <c r="AE495" s="131"/>
      <c r="AF495" s="131"/>
      <c r="AG495" s="131"/>
      <c r="AH495" s="131"/>
      <c r="AI495" s="131"/>
      <c r="AJ495" s="131"/>
      <c r="AK495" s="131"/>
      <c r="AL495" s="131"/>
      <c r="AM495" s="131"/>
      <c r="AN495" s="131"/>
      <c r="AO495" s="142"/>
      <c r="AP495" s="131"/>
    </row>
    <row r="496" ht="13.5" customHeight="1">
      <c r="A496" s="142"/>
      <c r="B496" s="142"/>
      <c r="C496" s="142"/>
      <c r="D496" s="142"/>
      <c r="E496" s="132"/>
      <c r="F496" s="131"/>
      <c r="G496" s="131"/>
      <c r="H496" s="131"/>
      <c r="I496" s="131"/>
      <c r="J496" s="219"/>
      <c r="K496" s="198"/>
      <c r="L496" s="131"/>
      <c r="M496" s="142"/>
      <c r="N496" s="131"/>
      <c r="O496" s="131"/>
      <c r="P496" s="131"/>
      <c r="Q496" s="131"/>
      <c r="R496" s="131"/>
      <c r="S496" s="131"/>
      <c r="T496" s="131"/>
      <c r="U496" s="131"/>
      <c r="V496" s="131"/>
      <c r="W496" s="131"/>
      <c r="X496" s="131"/>
      <c r="Y496" s="131"/>
      <c r="Z496" s="131"/>
      <c r="AA496" s="131"/>
      <c r="AB496" s="330"/>
      <c r="AC496" s="331"/>
      <c r="AD496" s="332"/>
      <c r="AE496" s="131"/>
      <c r="AF496" s="131"/>
      <c r="AG496" s="131"/>
      <c r="AH496" s="131"/>
      <c r="AI496" s="131"/>
      <c r="AJ496" s="131"/>
      <c r="AK496" s="131"/>
      <c r="AL496" s="131"/>
      <c r="AM496" s="131"/>
      <c r="AN496" s="131"/>
      <c r="AO496" s="142"/>
      <c r="AP496" s="131"/>
    </row>
    <row r="497" ht="13.5" customHeight="1">
      <c r="A497" s="142"/>
      <c r="B497" s="142"/>
      <c r="C497" s="142"/>
      <c r="D497" s="142"/>
      <c r="E497" s="132"/>
      <c r="F497" s="131"/>
      <c r="G497" s="131"/>
      <c r="H497" s="131"/>
      <c r="I497" s="131"/>
      <c r="J497" s="219"/>
      <c r="K497" s="198"/>
      <c r="L497" s="131"/>
      <c r="M497" s="142"/>
      <c r="N497" s="131"/>
      <c r="O497" s="131"/>
      <c r="P497" s="131"/>
      <c r="Q497" s="131"/>
      <c r="R497" s="131"/>
      <c r="S497" s="131"/>
      <c r="T497" s="131"/>
      <c r="U497" s="131"/>
      <c r="V497" s="131"/>
      <c r="W497" s="131"/>
      <c r="X497" s="131"/>
      <c r="Y497" s="131"/>
      <c r="Z497" s="131"/>
      <c r="AA497" s="131"/>
      <c r="AB497" s="330"/>
      <c r="AC497" s="331"/>
      <c r="AD497" s="332"/>
      <c r="AE497" s="131"/>
      <c r="AF497" s="131"/>
      <c r="AG497" s="131"/>
      <c r="AH497" s="131"/>
      <c r="AI497" s="131"/>
      <c r="AJ497" s="131"/>
      <c r="AK497" s="131"/>
      <c r="AL497" s="131"/>
      <c r="AM497" s="131"/>
      <c r="AN497" s="131"/>
      <c r="AO497" s="142"/>
      <c r="AP497" s="131"/>
    </row>
    <row r="498" ht="13.5" customHeight="1">
      <c r="A498" s="142"/>
      <c r="B498" s="142"/>
      <c r="C498" s="142"/>
      <c r="D498" s="142"/>
      <c r="E498" s="132"/>
      <c r="F498" s="131"/>
      <c r="G498" s="131"/>
      <c r="H498" s="131"/>
      <c r="I498" s="131"/>
      <c r="J498" s="219"/>
      <c r="K498" s="198"/>
      <c r="L498" s="131"/>
      <c r="M498" s="142"/>
      <c r="N498" s="131"/>
      <c r="O498" s="131"/>
      <c r="P498" s="131"/>
      <c r="Q498" s="131"/>
      <c r="R498" s="131"/>
      <c r="S498" s="131"/>
      <c r="T498" s="131"/>
      <c r="U498" s="131"/>
      <c r="V498" s="131"/>
      <c r="W498" s="131"/>
      <c r="X498" s="131"/>
      <c r="Y498" s="131"/>
      <c r="Z498" s="131"/>
      <c r="AA498" s="131"/>
      <c r="AB498" s="330"/>
      <c r="AC498" s="331"/>
      <c r="AD498" s="332"/>
      <c r="AE498" s="131"/>
      <c r="AF498" s="131"/>
      <c r="AG498" s="131"/>
      <c r="AH498" s="131"/>
      <c r="AI498" s="131"/>
      <c r="AJ498" s="131"/>
      <c r="AK498" s="131"/>
      <c r="AL498" s="131"/>
      <c r="AM498" s="131"/>
      <c r="AN498" s="131"/>
      <c r="AO498" s="142"/>
      <c r="AP498" s="131"/>
    </row>
    <row r="499" ht="13.5" customHeight="1">
      <c r="A499" s="142"/>
      <c r="B499" s="142"/>
      <c r="C499" s="142"/>
      <c r="D499" s="142"/>
      <c r="E499" s="132"/>
      <c r="F499" s="131"/>
      <c r="G499" s="131"/>
      <c r="H499" s="131"/>
      <c r="I499" s="131"/>
      <c r="J499" s="219"/>
      <c r="K499" s="198"/>
      <c r="L499" s="131"/>
      <c r="M499" s="142"/>
      <c r="N499" s="131"/>
      <c r="O499" s="131"/>
      <c r="P499" s="131"/>
      <c r="Q499" s="131"/>
      <c r="R499" s="131"/>
      <c r="S499" s="131"/>
      <c r="T499" s="131"/>
      <c r="U499" s="131"/>
      <c r="V499" s="131"/>
      <c r="W499" s="131"/>
      <c r="X499" s="131"/>
      <c r="Y499" s="131"/>
      <c r="Z499" s="131"/>
      <c r="AA499" s="131"/>
      <c r="AB499" s="330"/>
      <c r="AC499" s="331"/>
      <c r="AD499" s="332"/>
      <c r="AE499" s="131"/>
      <c r="AF499" s="131"/>
      <c r="AG499" s="131"/>
      <c r="AH499" s="131"/>
      <c r="AI499" s="131"/>
      <c r="AJ499" s="131"/>
      <c r="AK499" s="131"/>
      <c r="AL499" s="131"/>
      <c r="AM499" s="131"/>
      <c r="AN499" s="131"/>
      <c r="AO499" s="142"/>
      <c r="AP499" s="131"/>
    </row>
    <row r="500" ht="13.5" customHeight="1">
      <c r="A500" s="142"/>
      <c r="B500" s="142"/>
      <c r="C500" s="142"/>
      <c r="D500" s="142"/>
      <c r="E500" s="132"/>
      <c r="F500" s="131"/>
      <c r="G500" s="131"/>
      <c r="H500" s="131"/>
      <c r="I500" s="131"/>
      <c r="J500" s="219"/>
      <c r="K500" s="198"/>
      <c r="L500" s="131"/>
      <c r="M500" s="142"/>
      <c r="N500" s="131"/>
      <c r="O500" s="131"/>
      <c r="P500" s="131"/>
      <c r="Q500" s="131"/>
      <c r="R500" s="131"/>
      <c r="S500" s="131"/>
      <c r="T500" s="131"/>
      <c r="U500" s="131"/>
      <c r="V500" s="131"/>
      <c r="W500" s="131"/>
      <c r="X500" s="131"/>
      <c r="Y500" s="131"/>
      <c r="Z500" s="131"/>
      <c r="AA500" s="131"/>
      <c r="AB500" s="330"/>
      <c r="AC500" s="331"/>
      <c r="AD500" s="332"/>
      <c r="AE500" s="131"/>
      <c r="AF500" s="131"/>
      <c r="AG500" s="131"/>
      <c r="AH500" s="131"/>
      <c r="AI500" s="131"/>
      <c r="AJ500" s="131"/>
      <c r="AK500" s="131"/>
      <c r="AL500" s="131"/>
      <c r="AM500" s="131"/>
      <c r="AN500" s="131"/>
      <c r="AO500" s="142"/>
      <c r="AP500" s="131"/>
    </row>
    <row r="501" ht="13.5" customHeight="1">
      <c r="A501" s="142"/>
      <c r="B501" s="142"/>
      <c r="C501" s="142"/>
      <c r="D501" s="142"/>
      <c r="E501" s="132"/>
      <c r="F501" s="131"/>
      <c r="G501" s="131"/>
      <c r="H501" s="131"/>
      <c r="I501" s="131"/>
      <c r="J501" s="219"/>
      <c r="K501" s="198"/>
      <c r="L501" s="131"/>
      <c r="M501" s="142"/>
      <c r="N501" s="131"/>
      <c r="O501" s="131"/>
      <c r="P501" s="131"/>
      <c r="Q501" s="131"/>
      <c r="R501" s="131"/>
      <c r="S501" s="131"/>
      <c r="T501" s="131"/>
      <c r="U501" s="131"/>
      <c r="V501" s="131"/>
      <c r="W501" s="131"/>
      <c r="X501" s="131"/>
      <c r="Y501" s="131"/>
      <c r="Z501" s="131"/>
      <c r="AA501" s="131"/>
      <c r="AB501" s="330"/>
      <c r="AC501" s="331"/>
      <c r="AD501" s="332"/>
      <c r="AE501" s="131"/>
      <c r="AF501" s="131"/>
      <c r="AG501" s="131"/>
      <c r="AH501" s="131"/>
      <c r="AI501" s="131"/>
      <c r="AJ501" s="131"/>
      <c r="AK501" s="131"/>
      <c r="AL501" s="131"/>
      <c r="AM501" s="131"/>
      <c r="AN501" s="131"/>
      <c r="AO501" s="142"/>
      <c r="AP501" s="131"/>
    </row>
    <row r="502" ht="13.5" customHeight="1">
      <c r="A502" s="142"/>
      <c r="B502" s="142"/>
      <c r="C502" s="142"/>
      <c r="D502" s="142"/>
      <c r="E502" s="132"/>
      <c r="F502" s="131"/>
      <c r="G502" s="131"/>
      <c r="H502" s="131"/>
      <c r="I502" s="131"/>
      <c r="J502" s="219"/>
      <c r="K502" s="198"/>
      <c r="L502" s="131"/>
      <c r="M502" s="142"/>
      <c r="N502" s="131"/>
      <c r="O502" s="131"/>
      <c r="P502" s="131"/>
      <c r="Q502" s="131"/>
      <c r="R502" s="131"/>
      <c r="S502" s="131"/>
      <c r="T502" s="131"/>
      <c r="U502" s="131"/>
      <c r="V502" s="131"/>
      <c r="W502" s="131"/>
      <c r="X502" s="131"/>
      <c r="Y502" s="131"/>
      <c r="Z502" s="131"/>
      <c r="AA502" s="131"/>
      <c r="AB502" s="330"/>
      <c r="AC502" s="331"/>
      <c r="AD502" s="332"/>
      <c r="AE502" s="131"/>
      <c r="AF502" s="131"/>
      <c r="AG502" s="131"/>
      <c r="AH502" s="131"/>
      <c r="AI502" s="131"/>
      <c r="AJ502" s="131"/>
      <c r="AK502" s="131"/>
      <c r="AL502" s="131"/>
      <c r="AM502" s="131"/>
      <c r="AN502" s="131"/>
      <c r="AO502" s="142"/>
      <c r="AP502" s="131"/>
    </row>
    <row r="503" ht="13.5" customHeight="1">
      <c r="A503" s="142"/>
      <c r="B503" s="142"/>
      <c r="C503" s="142"/>
      <c r="D503" s="142"/>
      <c r="E503" s="132"/>
      <c r="F503" s="131"/>
      <c r="G503" s="131"/>
      <c r="H503" s="131"/>
      <c r="I503" s="131"/>
      <c r="J503" s="219"/>
      <c r="K503" s="198"/>
      <c r="L503" s="131"/>
      <c r="M503" s="142"/>
      <c r="N503" s="131"/>
      <c r="O503" s="131"/>
      <c r="P503" s="131"/>
      <c r="Q503" s="131"/>
      <c r="R503" s="131"/>
      <c r="S503" s="131"/>
      <c r="T503" s="131"/>
      <c r="U503" s="131"/>
      <c r="V503" s="131"/>
      <c r="W503" s="131"/>
      <c r="X503" s="131"/>
      <c r="Y503" s="131"/>
      <c r="Z503" s="131"/>
      <c r="AA503" s="131"/>
      <c r="AB503" s="330"/>
      <c r="AC503" s="331"/>
      <c r="AD503" s="332"/>
      <c r="AE503" s="131"/>
      <c r="AF503" s="131"/>
      <c r="AG503" s="131"/>
      <c r="AH503" s="131"/>
      <c r="AI503" s="131"/>
      <c r="AJ503" s="131"/>
      <c r="AK503" s="131"/>
      <c r="AL503" s="131"/>
      <c r="AM503" s="131"/>
      <c r="AN503" s="131"/>
      <c r="AO503" s="142"/>
      <c r="AP503" s="131"/>
    </row>
    <row r="504" ht="13.5" customHeight="1">
      <c r="A504" s="142"/>
      <c r="B504" s="142"/>
      <c r="C504" s="142"/>
      <c r="D504" s="142"/>
      <c r="E504" s="132"/>
      <c r="F504" s="131"/>
      <c r="G504" s="131"/>
      <c r="H504" s="131"/>
      <c r="I504" s="131"/>
      <c r="J504" s="219"/>
      <c r="K504" s="198"/>
      <c r="L504" s="131"/>
      <c r="M504" s="142"/>
      <c r="N504" s="131"/>
      <c r="O504" s="131"/>
      <c r="P504" s="131"/>
      <c r="Q504" s="131"/>
      <c r="R504" s="131"/>
      <c r="S504" s="131"/>
      <c r="T504" s="131"/>
      <c r="U504" s="131"/>
      <c r="V504" s="131"/>
      <c r="W504" s="131"/>
      <c r="X504" s="131"/>
      <c r="Y504" s="131"/>
      <c r="Z504" s="131"/>
      <c r="AA504" s="131"/>
      <c r="AB504" s="330"/>
      <c r="AC504" s="331"/>
      <c r="AD504" s="332"/>
      <c r="AE504" s="131"/>
      <c r="AF504" s="131"/>
      <c r="AG504" s="131"/>
      <c r="AH504" s="131"/>
      <c r="AI504" s="131"/>
      <c r="AJ504" s="131"/>
      <c r="AK504" s="131"/>
      <c r="AL504" s="131"/>
      <c r="AM504" s="131"/>
      <c r="AN504" s="131"/>
      <c r="AO504" s="142"/>
      <c r="AP504" s="131"/>
    </row>
    <row r="505" ht="13.5" customHeight="1">
      <c r="A505" s="142"/>
      <c r="B505" s="142"/>
      <c r="C505" s="142"/>
      <c r="D505" s="142"/>
      <c r="E505" s="132"/>
      <c r="F505" s="131"/>
      <c r="G505" s="131"/>
      <c r="H505" s="131"/>
      <c r="I505" s="131"/>
      <c r="J505" s="219"/>
      <c r="K505" s="198"/>
      <c r="L505" s="131"/>
      <c r="M505" s="142"/>
      <c r="N505" s="131"/>
      <c r="O505" s="131"/>
      <c r="P505" s="131"/>
      <c r="Q505" s="131"/>
      <c r="R505" s="131"/>
      <c r="S505" s="131"/>
      <c r="T505" s="131"/>
      <c r="U505" s="131"/>
      <c r="V505" s="131"/>
      <c r="W505" s="131"/>
      <c r="X505" s="131"/>
      <c r="Y505" s="131"/>
      <c r="Z505" s="131"/>
      <c r="AA505" s="131"/>
      <c r="AB505" s="330"/>
      <c r="AC505" s="331"/>
      <c r="AD505" s="332"/>
      <c r="AE505" s="131"/>
      <c r="AF505" s="131"/>
      <c r="AG505" s="131"/>
      <c r="AH505" s="131"/>
      <c r="AI505" s="131"/>
      <c r="AJ505" s="131"/>
      <c r="AK505" s="131"/>
      <c r="AL505" s="131"/>
      <c r="AM505" s="131"/>
      <c r="AN505" s="131"/>
      <c r="AO505" s="142"/>
      <c r="AP505" s="131"/>
    </row>
    <row r="506" ht="13.5" customHeight="1">
      <c r="A506" s="142"/>
      <c r="B506" s="142"/>
      <c r="C506" s="142"/>
      <c r="D506" s="142"/>
      <c r="E506" s="132"/>
      <c r="F506" s="131"/>
      <c r="G506" s="131"/>
      <c r="H506" s="131"/>
      <c r="I506" s="131"/>
      <c r="J506" s="219"/>
      <c r="K506" s="198"/>
      <c r="L506" s="131"/>
      <c r="M506" s="142"/>
      <c r="N506" s="131"/>
      <c r="O506" s="131"/>
      <c r="P506" s="131"/>
      <c r="Q506" s="131"/>
      <c r="R506" s="131"/>
      <c r="S506" s="131"/>
      <c r="T506" s="131"/>
      <c r="U506" s="131"/>
      <c r="V506" s="131"/>
      <c r="W506" s="131"/>
      <c r="X506" s="131"/>
      <c r="Y506" s="131"/>
      <c r="Z506" s="131"/>
      <c r="AA506" s="131"/>
      <c r="AB506" s="330"/>
      <c r="AC506" s="331"/>
      <c r="AD506" s="332"/>
      <c r="AE506" s="131"/>
      <c r="AF506" s="131"/>
      <c r="AG506" s="131"/>
      <c r="AH506" s="131"/>
      <c r="AI506" s="131"/>
      <c r="AJ506" s="131"/>
      <c r="AK506" s="131"/>
      <c r="AL506" s="131"/>
      <c r="AM506" s="131"/>
      <c r="AN506" s="131"/>
      <c r="AO506" s="142"/>
      <c r="AP506" s="131"/>
    </row>
    <row r="507" ht="13.5" customHeight="1">
      <c r="A507" s="142"/>
      <c r="B507" s="142"/>
      <c r="C507" s="142"/>
      <c r="D507" s="142"/>
      <c r="E507" s="132"/>
      <c r="F507" s="131"/>
      <c r="G507" s="131"/>
      <c r="H507" s="131"/>
      <c r="I507" s="131"/>
      <c r="J507" s="219"/>
      <c r="K507" s="198"/>
      <c r="L507" s="131"/>
      <c r="M507" s="142"/>
      <c r="N507" s="131"/>
      <c r="O507" s="131"/>
      <c r="P507" s="131"/>
      <c r="Q507" s="131"/>
      <c r="R507" s="131"/>
      <c r="S507" s="131"/>
      <c r="T507" s="131"/>
      <c r="U507" s="131"/>
      <c r="V507" s="131"/>
      <c r="W507" s="131"/>
      <c r="X507" s="131"/>
      <c r="Y507" s="131"/>
      <c r="Z507" s="131"/>
      <c r="AA507" s="131"/>
      <c r="AB507" s="330"/>
      <c r="AC507" s="331"/>
      <c r="AD507" s="332"/>
      <c r="AE507" s="131"/>
      <c r="AF507" s="131"/>
      <c r="AG507" s="131"/>
      <c r="AH507" s="131"/>
      <c r="AI507" s="131"/>
      <c r="AJ507" s="131"/>
      <c r="AK507" s="131"/>
      <c r="AL507" s="131"/>
      <c r="AM507" s="131"/>
      <c r="AN507" s="131"/>
      <c r="AO507" s="142"/>
      <c r="AP507" s="131"/>
    </row>
    <row r="508" ht="13.5" customHeight="1">
      <c r="A508" s="142"/>
      <c r="B508" s="142"/>
      <c r="C508" s="142"/>
      <c r="D508" s="142"/>
      <c r="E508" s="132"/>
      <c r="F508" s="131"/>
      <c r="G508" s="131"/>
      <c r="H508" s="131"/>
      <c r="I508" s="131"/>
      <c r="J508" s="219"/>
      <c r="K508" s="198"/>
      <c r="L508" s="131"/>
      <c r="M508" s="142"/>
      <c r="N508" s="131"/>
      <c r="O508" s="131"/>
      <c r="P508" s="131"/>
      <c r="Q508" s="131"/>
      <c r="R508" s="131"/>
      <c r="S508" s="131"/>
      <c r="T508" s="131"/>
      <c r="U508" s="131"/>
      <c r="V508" s="131"/>
      <c r="W508" s="131"/>
      <c r="X508" s="131"/>
      <c r="Y508" s="131"/>
      <c r="Z508" s="131"/>
      <c r="AA508" s="131"/>
      <c r="AB508" s="330"/>
      <c r="AC508" s="331"/>
      <c r="AD508" s="332"/>
      <c r="AE508" s="131"/>
      <c r="AF508" s="131"/>
      <c r="AG508" s="131"/>
      <c r="AH508" s="131"/>
      <c r="AI508" s="131"/>
      <c r="AJ508" s="131"/>
      <c r="AK508" s="131"/>
      <c r="AL508" s="131"/>
      <c r="AM508" s="131"/>
      <c r="AN508" s="131"/>
      <c r="AO508" s="142"/>
      <c r="AP508" s="131"/>
    </row>
    <row r="509" ht="13.5" customHeight="1">
      <c r="A509" s="142"/>
      <c r="B509" s="142"/>
      <c r="C509" s="142"/>
      <c r="D509" s="142"/>
      <c r="E509" s="132"/>
      <c r="F509" s="131"/>
      <c r="G509" s="131"/>
      <c r="H509" s="131"/>
      <c r="I509" s="131"/>
      <c r="J509" s="219"/>
      <c r="K509" s="198"/>
      <c r="L509" s="131"/>
      <c r="M509" s="142"/>
      <c r="N509" s="131"/>
      <c r="O509" s="131"/>
      <c r="P509" s="131"/>
      <c r="Q509" s="131"/>
      <c r="R509" s="131"/>
      <c r="S509" s="131"/>
      <c r="T509" s="131"/>
      <c r="U509" s="131"/>
      <c r="V509" s="131"/>
      <c r="W509" s="131"/>
      <c r="X509" s="131"/>
      <c r="Y509" s="131"/>
      <c r="Z509" s="131"/>
      <c r="AA509" s="131"/>
      <c r="AB509" s="330"/>
      <c r="AC509" s="331"/>
      <c r="AD509" s="332"/>
      <c r="AE509" s="131"/>
      <c r="AF509" s="131"/>
      <c r="AG509" s="131"/>
      <c r="AH509" s="131"/>
      <c r="AI509" s="131"/>
      <c r="AJ509" s="131"/>
      <c r="AK509" s="131"/>
      <c r="AL509" s="131"/>
      <c r="AM509" s="131"/>
      <c r="AN509" s="131"/>
      <c r="AO509" s="142"/>
      <c r="AP509" s="131"/>
    </row>
    <row r="510" ht="13.5" customHeight="1">
      <c r="A510" s="142"/>
      <c r="B510" s="142"/>
      <c r="C510" s="142"/>
      <c r="D510" s="142"/>
      <c r="E510" s="132"/>
      <c r="F510" s="131"/>
      <c r="G510" s="131"/>
      <c r="H510" s="131"/>
      <c r="I510" s="131"/>
      <c r="J510" s="219"/>
      <c r="K510" s="198"/>
      <c r="L510" s="131"/>
      <c r="M510" s="142"/>
      <c r="N510" s="131"/>
      <c r="O510" s="131"/>
      <c r="P510" s="131"/>
      <c r="Q510" s="131"/>
      <c r="R510" s="131"/>
      <c r="S510" s="131"/>
      <c r="T510" s="131"/>
      <c r="U510" s="131"/>
      <c r="V510" s="131"/>
      <c r="W510" s="131"/>
      <c r="X510" s="131"/>
      <c r="Y510" s="131"/>
      <c r="Z510" s="131"/>
      <c r="AA510" s="131"/>
      <c r="AB510" s="330"/>
      <c r="AC510" s="331"/>
      <c r="AD510" s="332"/>
      <c r="AE510" s="131"/>
      <c r="AF510" s="131"/>
      <c r="AG510" s="131"/>
      <c r="AH510" s="131"/>
      <c r="AI510" s="131"/>
      <c r="AJ510" s="131"/>
      <c r="AK510" s="131"/>
      <c r="AL510" s="131"/>
      <c r="AM510" s="131"/>
      <c r="AN510" s="131"/>
      <c r="AO510" s="142"/>
      <c r="AP510" s="131"/>
    </row>
    <row r="511" ht="13.5" customHeight="1">
      <c r="A511" s="142"/>
      <c r="B511" s="142"/>
      <c r="C511" s="142"/>
      <c r="D511" s="142"/>
      <c r="E511" s="132"/>
      <c r="F511" s="131"/>
      <c r="G511" s="131"/>
      <c r="H511" s="131"/>
      <c r="I511" s="131"/>
      <c r="J511" s="219"/>
      <c r="K511" s="198"/>
      <c r="L511" s="131"/>
      <c r="M511" s="142"/>
      <c r="N511" s="131"/>
      <c r="O511" s="131"/>
      <c r="P511" s="131"/>
      <c r="Q511" s="131"/>
      <c r="R511" s="131"/>
      <c r="S511" s="131"/>
      <c r="T511" s="131"/>
      <c r="U511" s="131"/>
      <c r="V511" s="131"/>
      <c r="W511" s="131"/>
      <c r="X511" s="131"/>
      <c r="Y511" s="131"/>
      <c r="Z511" s="131"/>
      <c r="AA511" s="131"/>
      <c r="AB511" s="330"/>
      <c r="AC511" s="331"/>
      <c r="AD511" s="332"/>
      <c r="AE511" s="131"/>
      <c r="AF511" s="131"/>
      <c r="AG511" s="131"/>
      <c r="AH511" s="131"/>
      <c r="AI511" s="131"/>
      <c r="AJ511" s="131"/>
      <c r="AK511" s="131"/>
      <c r="AL511" s="131"/>
      <c r="AM511" s="131"/>
      <c r="AN511" s="131"/>
      <c r="AO511" s="142"/>
      <c r="AP511" s="131"/>
    </row>
    <row r="512" ht="13.5" customHeight="1">
      <c r="A512" s="142"/>
      <c r="B512" s="142"/>
      <c r="C512" s="142"/>
      <c r="D512" s="142"/>
      <c r="E512" s="132"/>
      <c r="F512" s="131"/>
      <c r="G512" s="131"/>
      <c r="H512" s="131"/>
      <c r="I512" s="131"/>
      <c r="J512" s="219"/>
      <c r="K512" s="198"/>
      <c r="L512" s="131"/>
      <c r="M512" s="142"/>
      <c r="N512" s="131"/>
      <c r="O512" s="131"/>
      <c r="P512" s="131"/>
      <c r="Q512" s="131"/>
      <c r="R512" s="131"/>
      <c r="S512" s="131"/>
      <c r="T512" s="131"/>
      <c r="U512" s="131"/>
      <c r="V512" s="131"/>
      <c r="W512" s="131"/>
      <c r="X512" s="131"/>
      <c r="Y512" s="131"/>
      <c r="Z512" s="131"/>
      <c r="AA512" s="131"/>
      <c r="AB512" s="330"/>
      <c r="AC512" s="331"/>
      <c r="AD512" s="332"/>
      <c r="AE512" s="131"/>
      <c r="AF512" s="131"/>
      <c r="AG512" s="131"/>
      <c r="AH512" s="131"/>
      <c r="AI512" s="131"/>
      <c r="AJ512" s="131"/>
      <c r="AK512" s="131"/>
      <c r="AL512" s="131"/>
      <c r="AM512" s="131"/>
      <c r="AN512" s="131"/>
      <c r="AO512" s="142"/>
      <c r="AP512" s="131"/>
    </row>
    <row r="513" ht="13.5" customHeight="1">
      <c r="A513" s="142"/>
      <c r="B513" s="142"/>
      <c r="C513" s="142"/>
      <c r="D513" s="142"/>
      <c r="E513" s="132"/>
      <c r="F513" s="131"/>
      <c r="G513" s="131"/>
      <c r="H513" s="131"/>
      <c r="I513" s="131"/>
      <c r="J513" s="219"/>
      <c r="K513" s="198"/>
      <c r="L513" s="131"/>
      <c r="M513" s="142"/>
      <c r="N513" s="131"/>
      <c r="O513" s="131"/>
      <c r="P513" s="131"/>
      <c r="Q513" s="131"/>
      <c r="R513" s="131"/>
      <c r="S513" s="131"/>
      <c r="T513" s="131"/>
      <c r="U513" s="131"/>
      <c r="V513" s="131"/>
      <c r="W513" s="131"/>
      <c r="X513" s="131"/>
      <c r="Y513" s="131"/>
      <c r="Z513" s="131"/>
      <c r="AA513" s="131"/>
      <c r="AB513" s="330"/>
      <c r="AC513" s="331"/>
      <c r="AD513" s="332"/>
      <c r="AE513" s="131"/>
      <c r="AF513" s="131"/>
      <c r="AG513" s="131"/>
      <c r="AH513" s="131"/>
      <c r="AI513" s="131"/>
      <c r="AJ513" s="131"/>
      <c r="AK513" s="131"/>
      <c r="AL513" s="131"/>
      <c r="AM513" s="131"/>
      <c r="AN513" s="131"/>
      <c r="AO513" s="142"/>
      <c r="AP513" s="131"/>
    </row>
    <row r="514" ht="13.5" customHeight="1">
      <c r="A514" s="142"/>
      <c r="B514" s="142"/>
      <c r="C514" s="142"/>
      <c r="D514" s="142"/>
      <c r="E514" s="132"/>
      <c r="F514" s="131"/>
      <c r="G514" s="131"/>
      <c r="H514" s="131"/>
      <c r="I514" s="131"/>
      <c r="J514" s="219"/>
      <c r="K514" s="198"/>
      <c r="L514" s="131"/>
      <c r="M514" s="142"/>
      <c r="N514" s="131"/>
      <c r="O514" s="131"/>
      <c r="P514" s="131"/>
      <c r="Q514" s="131"/>
      <c r="R514" s="131"/>
      <c r="S514" s="131"/>
      <c r="T514" s="131"/>
      <c r="U514" s="131"/>
      <c r="V514" s="131"/>
      <c r="W514" s="131"/>
      <c r="X514" s="131"/>
      <c r="Y514" s="131"/>
      <c r="Z514" s="131"/>
      <c r="AA514" s="131"/>
      <c r="AB514" s="330"/>
      <c r="AC514" s="331"/>
      <c r="AD514" s="332"/>
      <c r="AE514" s="131"/>
      <c r="AF514" s="131"/>
      <c r="AG514" s="131"/>
      <c r="AH514" s="131"/>
      <c r="AI514" s="131"/>
      <c r="AJ514" s="131"/>
      <c r="AK514" s="131"/>
      <c r="AL514" s="131"/>
      <c r="AM514" s="131"/>
      <c r="AN514" s="131"/>
      <c r="AO514" s="142"/>
      <c r="AP514" s="131"/>
    </row>
    <row r="515" ht="13.5" customHeight="1">
      <c r="A515" s="142"/>
      <c r="B515" s="142"/>
      <c r="C515" s="142"/>
      <c r="D515" s="142"/>
      <c r="E515" s="132"/>
      <c r="F515" s="131"/>
      <c r="G515" s="131"/>
      <c r="H515" s="131"/>
      <c r="I515" s="131"/>
      <c r="J515" s="219"/>
      <c r="K515" s="198"/>
      <c r="L515" s="131"/>
      <c r="M515" s="142"/>
      <c r="N515" s="131"/>
      <c r="O515" s="131"/>
      <c r="P515" s="131"/>
      <c r="Q515" s="131"/>
      <c r="R515" s="131"/>
      <c r="S515" s="131"/>
      <c r="T515" s="131"/>
      <c r="U515" s="131"/>
      <c r="V515" s="131"/>
      <c r="W515" s="131"/>
      <c r="X515" s="131"/>
      <c r="Y515" s="131"/>
      <c r="Z515" s="131"/>
      <c r="AA515" s="131"/>
      <c r="AB515" s="330"/>
      <c r="AC515" s="331"/>
      <c r="AD515" s="332"/>
      <c r="AE515" s="131"/>
      <c r="AF515" s="131"/>
      <c r="AG515" s="131"/>
      <c r="AH515" s="131"/>
      <c r="AI515" s="131"/>
      <c r="AJ515" s="131"/>
      <c r="AK515" s="131"/>
      <c r="AL515" s="131"/>
      <c r="AM515" s="131"/>
      <c r="AN515" s="131"/>
      <c r="AO515" s="142"/>
      <c r="AP515" s="131"/>
    </row>
    <row r="516" ht="13.5" customHeight="1">
      <c r="A516" s="142"/>
      <c r="B516" s="142"/>
      <c r="C516" s="142"/>
      <c r="D516" s="142"/>
      <c r="E516" s="132"/>
      <c r="F516" s="131"/>
      <c r="G516" s="131"/>
      <c r="H516" s="131"/>
      <c r="I516" s="131"/>
      <c r="J516" s="219"/>
      <c r="K516" s="198"/>
      <c r="L516" s="131"/>
      <c r="M516" s="142"/>
      <c r="N516" s="131"/>
      <c r="O516" s="131"/>
      <c r="P516" s="131"/>
      <c r="Q516" s="131"/>
      <c r="R516" s="131"/>
      <c r="S516" s="131"/>
      <c r="T516" s="131"/>
      <c r="U516" s="131"/>
      <c r="V516" s="131"/>
      <c r="W516" s="131"/>
      <c r="X516" s="131"/>
      <c r="Y516" s="131"/>
      <c r="Z516" s="131"/>
      <c r="AA516" s="131"/>
      <c r="AB516" s="330"/>
      <c r="AC516" s="331"/>
      <c r="AD516" s="332"/>
      <c r="AE516" s="131"/>
      <c r="AF516" s="131"/>
      <c r="AG516" s="131"/>
      <c r="AH516" s="131"/>
      <c r="AI516" s="131"/>
      <c r="AJ516" s="131"/>
      <c r="AK516" s="131"/>
      <c r="AL516" s="131"/>
      <c r="AM516" s="131"/>
      <c r="AN516" s="131"/>
      <c r="AO516" s="142"/>
      <c r="AP516" s="131"/>
    </row>
    <row r="517" ht="13.5" customHeight="1">
      <c r="A517" s="142"/>
      <c r="B517" s="142"/>
      <c r="C517" s="142"/>
      <c r="D517" s="142"/>
      <c r="E517" s="132"/>
      <c r="F517" s="131"/>
      <c r="G517" s="131"/>
      <c r="H517" s="131"/>
      <c r="I517" s="131"/>
      <c r="J517" s="219"/>
      <c r="K517" s="198"/>
      <c r="L517" s="131"/>
      <c r="M517" s="142"/>
      <c r="N517" s="131"/>
      <c r="O517" s="131"/>
      <c r="P517" s="131"/>
      <c r="Q517" s="131"/>
      <c r="R517" s="131"/>
      <c r="S517" s="131"/>
      <c r="T517" s="131"/>
      <c r="U517" s="131"/>
      <c r="V517" s="131"/>
      <c r="W517" s="131"/>
      <c r="X517" s="131"/>
      <c r="Y517" s="131"/>
      <c r="Z517" s="131"/>
      <c r="AA517" s="131"/>
      <c r="AB517" s="330"/>
      <c r="AC517" s="331"/>
      <c r="AD517" s="332"/>
      <c r="AE517" s="131"/>
      <c r="AF517" s="131"/>
      <c r="AG517" s="131"/>
      <c r="AH517" s="131"/>
      <c r="AI517" s="131"/>
      <c r="AJ517" s="131"/>
      <c r="AK517" s="131"/>
      <c r="AL517" s="131"/>
      <c r="AM517" s="131"/>
      <c r="AN517" s="131"/>
      <c r="AO517" s="142"/>
      <c r="AP517" s="131"/>
    </row>
    <row r="518" ht="13.5" customHeight="1">
      <c r="A518" s="142"/>
      <c r="B518" s="142"/>
      <c r="C518" s="142"/>
      <c r="D518" s="142"/>
      <c r="E518" s="132"/>
      <c r="F518" s="131"/>
      <c r="G518" s="131"/>
      <c r="H518" s="131"/>
      <c r="I518" s="131"/>
      <c r="J518" s="219"/>
      <c r="K518" s="198"/>
      <c r="L518" s="131"/>
      <c r="M518" s="142"/>
      <c r="N518" s="131"/>
      <c r="O518" s="131"/>
      <c r="P518" s="131"/>
      <c r="Q518" s="131"/>
      <c r="R518" s="131"/>
      <c r="S518" s="131"/>
      <c r="T518" s="131"/>
      <c r="U518" s="131"/>
      <c r="V518" s="131"/>
      <c r="W518" s="131"/>
      <c r="X518" s="131"/>
      <c r="Y518" s="131"/>
      <c r="Z518" s="131"/>
      <c r="AA518" s="131"/>
      <c r="AB518" s="330"/>
      <c r="AC518" s="331"/>
      <c r="AD518" s="332"/>
      <c r="AE518" s="131"/>
      <c r="AF518" s="131"/>
      <c r="AG518" s="131"/>
      <c r="AH518" s="131"/>
      <c r="AI518" s="131"/>
      <c r="AJ518" s="131"/>
      <c r="AK518" s="131"/>
      <c r="AL518" s="131"/>
      <c r="AM518" s="131"/>
      <c r="AN518" s="131"/>
      <c r="AO518" s="142"/>
      <c r="AP518" s="131"/>
    </row>
    <row r="519" ht="13.5" customHeight="1">
      <c r="A519" s="142"/>
      <c r="B519" s="142"/>
      <c r="C519" s="142"/>
      <c r="D519" s="142"/>
      <c r="E519" s="132"/>
      <c r="F519" s="131"/>
      <c r="G519" s="131"/>
      <c r="H519" s="131"/>
      <c r="I519" s="131"/>
      <c r="J519" s="219"/>
      <c r="K519" s="198"/>
      <c r="L519" s="131"/>
      <c r="M519" s="142"/>
      <c r="N519" s="131"/>
      <c r="O519" s="131"/>
      <c r="P519" s="131"/>
      <c r="Q519" s="131"/>
      <c r="R519" s="131"/>
      <c r="S519" s="131"/>
      <c r="T519" s="131"/>
      <c r="U519" s="131"/>
      <c r="V519" s="131"/>
      <c r="W519" s="131"/>
      <c r="X519" s="131"/>
      <c r="Y519" s="131"/>
      <c r="Z519" s="131"/>
      <c r="AA519" s="131"/>
      <c r="AB519" s="330"/>
      <c r="AC519" s="331"/>
      <c r="AD519" s="332"/>
      <c r="AE519" s="131"/>
      <c r="AF519" s="131"/>
      <c r="AG519" s="131"/>
      <c r="AH519" s="131"/>
      <c r="AI519" s="131"/>
      <c r="AJ519" s="131"/>
      <c r="AK519" s="131"/>
      <c r="AL519" s="131"/>
      <c r="AM519" s="131"/>
      <c r="AN519" s="131"/>
      <c r="AO519" s="142"/>
      <c r="AP519" s="131"/>
    </row>
    <row r="520" ht="13.5" customHeight="1">
      <c r="A520" s="142"/>
      <c r="B520" s="142"/>
      <c r="C520" s="142"/>
      <c r="D520" s="142"/>
      <c r="E520" s="132"/>
      <c r="F520" s="131"/>
      <c r="G520" s="131"/>
      <c r="H520" s="131"/>
      <c r="I520" s="131"/>
      <c r="J520" s="219"/>
      <c r="K520" s="198"/>
      <c r="L520" s="131"/>
      <c r="M520" s="142"/>
      <c r="N520" s="131"/>
      <c r="O520" s="131"/>
      <c r="P520" s="131"/>
      <c r="Q520" s="131"/>
      <c r="R520" s="131"/>
      <c r="S520" s="131"/>
      <c r="T520" s="131"/>
      <c r="U520" s="131"/>
      <c r="V520" s="131"/>
      <c r="W520" s="131"/>
      <c r="X520" s="131"/>
      <c r="Y520" s="131"/>
      <c r="Z520" s="131"/>
      <c r="AA520" s="131"/>
      <c r="AB520" s="330"/>
      <c r="AC520" s="331"/>
      <c r="AD520" s="332"/>
      <c r="AE520" s="131"/>
      <c r="AF520" s="131"/>
      <c r="AG520" s="131"/>
      <c r="AH520" s="131"/>
      <c r="AI520" s="131"/>
      <c r="AJ520" s="131"/>
      <c r="AK520" s="131"/>
      <c r="AL520" s="131"/>
      <c r="AM520" s="131"/>
      <c r="AN520" s="131"/>
      <c r="AO520" s="142"/>
      <c r="AP520" s="131"/>
    </row>
    <row r="521" ht="13.5" customHeight="1">
      <c r="A521" s="142"/>
      <c r="B521" s="142"/>
      <c r="C521" s="142"/>
      <c r="D521" s="142"/>
      <c r="E521" s="132"/>
      <c r="F521" s="131"/>
      <c r="G521" s="131"/>
      <c r="H521" s="131"/>
      <c r="I521" s="131"/>
      <c r="J521" s="219"/>
      <c r="K521" s="198"/>
      <c r="L521" s="131"/>
      <c r="M521" s="142"/>
      <c r="N521" s="131"/>
      <c r="O521" s="131"/>
      <c r="P521" s="131"/>
      <c r="Q521" s="131"/>
      <c r="R521" s="131"/>
      <c r="S521" s="131"/>
      <c r="T521" s="131"/>
      <c r="U521" s="131"/>
      <c r="V521" s="131"/>
      <c r="W521" s="131"/>
      <c r="X521" s="131"/>
      <c r="Y521" s="131"/>
      <c r="Z521" s="131"/>
      <c r="AA521" s="131"/>
      <c r="AB521" s="330"/>
      <c r="AC521" s="331"/>
      <c r="AD521" s="332"/>
      <c r="AE521" s="131"/>
      <c r="AF521" s="131"/>
      <c r="AG521" s="131"/>
      <c r="AH521" s="131"/>
      <c r="AI521" s="131"/>
      <c r="AJ521" s="131"/>
      <c r="AK521" s="131"/>
      <c r="AL521" s="131"/>
      <c r="AM521" s="131"/>
      <c r="AN521" s="131"/>
      <c r="AO521" s="142"/>
      <c r="AP521" s="131"/>
    </row>
    <row r="522" ht="13.5" customHeight="1">
      <c r="A522" s="142"/>
      <c r="B522" s="142"/>
      <c r="C522" s="142"/>
      <c r="D522" s="142"/>
      <c r="E522" s="132"/>
      <c r="F522" s="131"/>
      <c r="G522" s="131"/>
      <c r="H522" s="131"/>
      <c r="I522" s="131"/>
      <c r="J522" s="219"/>
      <c r="K522" s="198"/>
      <c r="L522" s="131"/>
      <c r="M522" s="142"/>
      <c r="N522" s="131"/>
      <c r="O522" s="131"/>
      <c r="P522" s="131"/>
      <c r="Q522" s="131"/>
      <c r="R522" s="131"/>
      <c r="S522" s="131"/>
      <c r="T522" s="131"/>
      <c r="U522" s="131"/>
      <c r="V522" s="131"/>
      <c r="W522" s="131"/>
      <c r="X522" s="131"/>
      <c r="Y522" s="131"/>
      <c r="Z522" s="131"/>
      <c r="AA522" s="131"/>
      <c r="AB522" s="330"/>
      <c r="AC522" s="331"/>
      <c r="AD522" s="332"/>
      <c r="AE522" s="131"/>
      <c r="AF522" s="131"/>
      <c r="AG522" s="131"/>
      <c r="AH522" s="131"/>
      <c r="AI522" s="131"/>
      <c r="AJ522" s="131"/>
      <c r="AK522" s="131"/>
      <c r="AL522" s="131"/>
      <c r="AM522" s="131"/>
      <c r="AN522" s="131"/>
      <c r="AO522" s="142"/>
      <c r="AP522" s="131"/>
    </row>
    <row r="523" ht="13.5" customHeight="1">
      <c r="A523" s="142"/>
      <c r="B523" s="142"/>
      <c r="C523" s="142"/>
      <c r="D523" s="142"/>
      <c r="E523" s="132"/>
      <c r="F523" s="131"/>
      <c r="G523" s="131"/>
      <c r="H523" s="131"/>
      <c r="I523" s="131"/>
      <c r="J523" s="219"/>
      <c r="K523" s="198"/>
      <c r="L523" s="131"/>
      <c r="M523" s="142"/>
      <c r="N523" s="131"/>
      <c r="O523" s="131"/>
      <c r="P523" s="131"/>
      <c r="Q523" s="131"/>
      <c r="R523" s="131"/>
      <c r="S523" s="131"/>
      <c r="T523" s="131"/>
      <c r="U523" s="131"/>
      <c r="V523" s="131"/>
      <c r="W523" s="131"/>
      <c r="X523" s="131"/>
      <c r="Y523" s="131"/>
      <c r="Z523" s="131"/>
      <c r="AA523" s="131"/>
      <c r="AB523" s="330"/>
      <c r="AC523" s="331"/>
      <c r="AD523" s="332"/>
      <c r="AE523" s="131"/>
      <c r="AF523" s="131"/>
      <c r="AG523" s="131"/>
      <c r="AH523" s="131"/>
      <c r="AI523" s="131"/>
      <c r="AJ523" s="131"/>
      <c r="AK523" s="131"/>
      <c r="AL523" s="131"/>
      <c r="AM523" s="131"/>
      <c r="AN523" s="131"/>
      <c r="AO523" s="142"/>
      <c r="AP523" s="131"/>
    </row>
    <row r="524" ht="13.5" customHeight="1">
      <c r="A524" s="142"/>
      <c r="B524" s="142"/>
      <c r="C524" s="142"/>
      <c r="D524" s="142"/>
      <c r="E524" s="132"/>
      <c r="F524" s="131"/>
      <c r="G524" s="131"/>
      <c r="H524" s="131"/>
      <c r="I524" s="131"/>
      <c r="J524" s="219"/>
      <c r="K524" s="198"/>
      <c r="L524" s="131"/>
      <c r="M524" s="142"/>
      <c r="N524" s="131"/>
      <c r="O524" s="131"/>
      <c r="P524" s="131"/>
      <c r="Q524" s="131"/>
      <c r="R524" s="131"/>
      <c r="S524" s="131"/>
      <c r="T524" s="131"/>
      <c r="U524" s="131"/>
      <c r="V524" s="131"/>
      <c r="W524" s="131"/>
      <c r="X524" s="131"/>
      <c r="Y524" s="131"/>
      <c r="Z524" s="131"/>
      <c r="AA524" s="131"/>
      <c r="AB524" s="330"/>
      <c r="AC524" s="331"/>
      <c r="AD524" s="332"/>
      <c r="AE524" s="131"/>
      <c r="AF524" s="131"/>
      <c r="AG524" s="131"/>
      <c r="AH524" s="131"/>
      <c r="AI524" s="131"/>
      <c r="AJ524" s="131"/>
      <c r="AK524" s="131"/>
      <c r="AL524" s="131"/>
      <c r="AM524" s="131"/>
      <c r="AN524" s="131"/>
      <c r="AO524" s="142"/>
      <c r="AP524" s="131"/>
    </row>
    <row r="525" ht="13.5" customHeight="1">
      <c r="A525" s="142"/>
      <c r="B525" s="142"/>
      <c r="C525" s="142"/>
      <c r="D525" s="142"/>
      <c r="E525" s="132"/>
      <c r="F525" s="131"/>
      <c r="G525" s="131"/>
      <c r="H525" s="131"/>
      <c r="I525" s="131"/>
      <c r="J525" s="219"/>
      <c r="K525" s="198"/>
      <c r="L525" s="131"/>
      <c r="M525" s="142"/>
      <c r="N525" s="131"/>
      <c r="O525" s="131"/>
      <c r="P525" s="131"/>
      <c r="Q525" s="131"/>
      <c r="R525" s="131"/>
      <c r="S525" s="131"/>
      <c r="T525" s="131"/>
      <c r="U525" s="131"/>
      <c r="V525" s="131"/>
      <c r="W525" s="131"/>
      <c r="X525" s="131"/>
      <c r="Y525" s="131"/>
      <c r="Z525" s="131"/>
      <c r="AA525" s="131"/>
      <c r="AB525" s="330"/>
      <c r="AC525" s="331"/>
      <c r="AD525" s="332"/>
      <c r="AE525" s="131"/>
      <c r="AF525" s="131"/>
      <c r="AG525" s="131"/>
      <c r="AH525" s="131"/>
      <c r="AI525" s="131"/>
      <c r="AJ525" s="131"/>
      <c r="AK525" s="131"/>
      <c r="AL525" s="131"/>
      <c r="AM525" s="131"/>
      <c r="AN525" s="131"/>
      <c r="AO525" s="142"/>
      <c r="AP525" s="131"/>
    </row>
    <row r="526" ht="13.5" customHeight="1">
      <c r="A526" s="142"/>
      <c r="B526" s="142"/>
      <c r="C526" s="142"/>
      <c r="D526" s="142"/>
      <c r="E526" s="132"/>
      <c r="F526" s="131"/>
      <c r="G526" s="131"/>
      <c r="H526" s="131"/>
      <c r="I526" s="131"/>
      <c r="J526" s="219"/>
      <c r="K526" s="198"/>
      <c r="L526" s="131"/>
      <c r="M526" s="142"/>
      <c r="N526" s="131"/>
      <c r="O526" s="131"/>
      <c r="P526" s="131"/>
      <c r="Q526" s="131"/>
      <c r="R526" s="131"/>
      <c r="S526" s="131"/>
      <c r="T526" s="131"/>
      <c r="U526" s="131"/>
      <c r="V526" s="131"/>
      <c r="W526" s="131"/>
      <c r="X526" s="131"/>
      <c r="Y526" s="131"/>
      <c r="Z526" s="131"/>
      <c r="AA526" s="131"/>
      <c r="AB526" s="330"/>
      <c r="AC526" s="331"/>
      <c r="AD526" s="332"/>
      <c r="AE526" s="131"/>
      <c r="AF526" s="131"/>
      <c r="AG526" s="131"/>
      <c r="AH526" s="131"/>
      <c r="AI526" s="131"/>
      <c r="AJ526" s="131"/>
      <c r="AK526" s="131"/>
      <c r="AL526" s="131"/>
      <c r="AM526" s="131"/>
      <c r="AN526" s="131"/>
      <c r="AO526" s="142"/>
      <c r="AP526" s="131"/>
    </row>
    <row r="527" ht="13.5" customHeight="1">
      <c r="A527" s="142"/>
      <c r="B527" s="142"/>
      <c r="C527" s="142"/>
      <c r="D527" s="142"/>
      <c r="E527" s="132"/>
      <c r="F527" s="131"/>
      <c r="G527" s="131"/>
      <c r="H527" s="131"/>
      <c r="I527" s="131"/>
      <c r="J527" s="219"/>
      <c r="K527" s="198"/>
      <c r="L527" s="131"/>
      <c r="M527" s="142"/>
      <c r="N527" s="131"/>
      <c r="O527" s="131"/>
      <c r="P527" s="131"/>
      <c r="Q527" s="131"/>
      <c r="R527" s="131"/>
      <c r="S527" s="131"/>
      <c r="T527" s="131"/>
      <c r="U527" s="131"/>
      <c r="V527" s="131"/>
      <c r="W527" s="131"/>
      <c r="X527" s="131"/>
      <c r="Y527" s="131"/>
      <c r="Z527" s="131"/>
      <c r="AA527" s="131"/>
      <c r="AB527" s="330"/>
      <c r="AC527" s="331"/>
      <c r="AD527" s="332"/>
      <c r="AE527" s="131"/>
      <c r="AF527" s="131"/>
      <c r="AG527" s="131"/>
      <c r="AH527" s="131"/>
      <c r="AI527" s="131"/>
      <c r="AJ527" s="131"/>
      <c r="AK527" s="131"/>
      <c r="AL527" s="131"/>
      <c r="AM527" s="131"/>
      <c r="AN527" s="131"/>
      <c r="AO527" s="142"/>
      <c r="AP527" s="131"/>
    </row>
    <row r="528" ht="13.5" customHeight="1">
      <c r="A528" s="142"/>
      <c r="B528" s="142"/>
      <c r="C528" s="142"/>
      <c r="D528" s="142"/>
      <c r="E528" s="132"/>
      <c r="F528" s="131"/>
      <c r="G528" s="131"/>
      <c r="H528" s="131"/>
      <c r="I528" s="131"/>
      <c r="J528" s="219"/>
      <c r="K528" s="198"/>
      <c r="L528" s="131"/>
      <c r="M528" s="142"/>
      <c r="N528" s="131"/>
      <c r="O528" s="131"/>
      <c r="P528" s="131"/>
      <c r="Q528" s="131"/>
      <c r="R528" s="131"/>
      <c r="S528" s="131"/>
      <c r="T528" s="131"/>
      <c r="U528" s="131"/>
      <c r="V528" s="131"/>
      <c r="W528" s="131"/>
      <c r="X528" s="131"/>
      <c r="Y528" s="131"/>
      <c r="Z528" s="131"/>
      <c r="AA528" s="131"/>
      <c r="AB528" s="330"/>
      <c r="AC528" s="331"/>
      <c r="AD528" s="332"/>
      <c r="AE528" s="131"/>
      <c r="AF528" s="131"/>
      <c r="AG528" s="131"/>
      <c r="AH528" s="131"/>
      <c r="AI528" s="131"/>
      <c r="AJ528" s="131"/>
      <c r="AK528" s="131"/>
      <c r="AL528" s="131"/>
      <c r="AM528" s="131"/>
      <c r="AN528" s="131"/>
      <c r="AO528" s="142"/>
      <c r="AP528" s="131"/>
    </row>
    <row r="529" ht="13.5" customHeight="1">
      <c r="A529" s="142"/>
      <c r="B529" s="142"/>
      <c r="C529" s="142"/>
      <c r="D529" s="142"/>
      <c r="E529" s="132"/>
      <c r="F529" s="131"/>
      <c r="G529" s="131"/>
      <c r="H529" s="131"/>
      <c r="I529" s="131"/>
      <c r="J529" s="219"/>
      <c r="K529" s="198"/>
      <c r="L529" s="131"/>
      <c r="M529" s="142"/>
      <c r="N529" s="131"/>
      <c r="O529" s="131"/>
      <c r="P529" s="131"/>
      <c r="Q529" s="131"/>
      <c r="R529" s="131"/>
      <c r="S529" s="131"/>
      <c r="T529" s="131"/>
      <c r="U529" s="131"/>
      <c r="V529" s="131"/>
      <c r="W529" s="131"/>
      <c r="X529" s="131"/>
      <c r="Y529" s="131"/>
      <c r="Z529" s="131"/>
      <c r="AA529" s="131"/>
      <c r="AB529" s="330"/>
      <c r="AC529" s="331"/>
      <c r="AD529" s="332"/>
      <c r="AE529" s="131"/>
      <c r="AF529" s="131"/>
      <c r="AG529" s="131"/>
      <c r="AH529" s="131"/>
      <c r="AI529" s="131"/>
      <c r="AJ529" s="131"/>
      <c r="AK529" s="131"/>
      <c r="AL529" s="131"/>
      <c r="AM529" s="131"/>
      <c r="AN529" s="131"/>
      <c r="AO529" s="142"/>
      <c r="AP529" s="131"/>
    </row>
    <row r="530" ht="13.5" customHeight="1">
      <c r="A530" s="142"/>
      <c r="B530" s="142"/>
      <c r="C530" s="142"/>
      <c r="D530" s="142"/>
      <c r="E530" s="132"/>
      <c r="F530" s="131"/>
      <c r="G530" s="131"/>
      <c r="H530" s="131"/>
      <c r="I530" s="131"/>
      <c r="J530" s="219"/>
      <c r="K530" s="198"/>
      <c r="L530" s="131"/>
      <c r="M530" s="142"/>
      <c r="N530" s="131"/>
      <c r="O530" s="131"/>
      <c r="P530" s="131"/>
      <c r="Q530" s="131"/>
      <c r="R530" s="131"/>
      <c r="S530" s="131"/>
      <c r="T530" s="131"/>
      <c r="U530" s="131"/>
      <c r="V530" s="131"/>
      <c r="W530" s="131"/>
      <c r="X530" s="131"/>
      <c r="Y530" s="131"/>
      <c r="Z530" s="131"/>
      <c r="AA530" s="131"/>
      <c r="AB530" s="330"/>
      <c r="AC530" s="331"/>
      <c r="AD530" s="332"/>
      <c r="AE530" s="131"/>
      <c r="AF530" s="131"/>
      <c r="AG530" s="131"/>
      <c r="AH530" s="131"/>
      <c r="AI530" s="131"/>
      <c r="AJ530" s="131"/>
      <c r="AK530" s="131"/>
      <c r="AL530" s="131"/>
      <c r="AM530" s="131"/>
      <c r="AN530" s="131"/>
      <c r="AO530" s="142"/>
      <c r="AP530" s="131"/>
    </row>
    <row r="531" ht="13.5" customHeight="1">
      <c r="A531" s="142"/>
      <c r="B531" s="142"/>
      <c r="C531" s="142"/>
      <c r="D531" s="142"/>
      <c r="E531" s="132"/>
      <c r="F531" s="131"/>
      <c r="G531" s="131"/>
      <c r="H531" s="131"/>
      <c r="I531" s="131"/>
      <c r="J531" s="219"/>
      <c r="K531" s="198"/>
      <c r="L531" s="131"/>
      <c r="M531" s="142"/>
      <c r="N531" s="131"/>
      <c r="O531" s="131"/>
      <c r="P531" s="131"/>
      <c r="Q531" s="131"/>
      <c r="R531" s="131"/>
      <c r="S531" s="131"/>
      <c r="T531" s="131"/>
      <c r="U531" s="131"/>
      <c r="V531" s="131"/>
      <c r="W531" s="131"/>
      <c r="X531" s="131"/>
      <c r="Y531" s="131"/>
      <c r="Z531" s="131"/>
      <c r="AA531" s="131"/>
      <c r="AB531" s="330"/>
      <c r="AC531" s="331"/>
      <c r="AD531" s="332"/>
      <c r="AE531" s="131"/>
      <c r="AF531" s="131"/>
      <c r="AG531" s="131"/>
      <c r="AH531" s="131"/>
      <c r="AI531" s="131"/>
      <c r="AJ531" s="131"/>
      <c r="AK531" s="131"/>
      <c r="AL531" s="131"/>
      <c r="AM531" s="131"/>
      <c r="AN531" s="131"/>
      <c r="AO531" s="142"/>
      <c r="AP531" s="131"/>
    </row>
    <row r="532" ht="13.5" customHeight="1">
      <c r="A532" s="142"/>
      <c r="B532" s="142"/>
      <c r="C532" s="142"/>
      <c r="D532" s="142"/>
      <c r="E532" s="132"/>
      <c r="F532" s="131"/>
      <c r="G532" s="131"/>
      <c r="H532" s="131"/>
      <c r="I532" s="131"/>
      <c r="J532" s="219"/>
      <c r="K532" s="198"/>
      <c r="L532" s="131"/>
      <c r="M532" s="142"/>
      <c r="N532" s="131"/>
      <c r="O532" s="131"/>
      <c r="P532" s="131"/>
      <c r="Q532" s="131"/>
      <c r="R532" s="131"/>
      <c r="S532" s="131"/>
      <c r="T532" s="131"/>
      <c r="U532" s="131"/>
      <c r="V532" s="131"/>
      <c r="W532" s="131"/>
      <c r="X532" s="131"/>
      <c r="Y532" s="131"/>
      <c r="Z532" s="131"/>
      <c r="AA532" s="131"/>
      <c r="AB532" s="330"/>
      <c r="AC532" s="331"/>
      <c r="AD532" s="332"/>
      <c r="AE532" s="131"/>
      <c r="AF532" s="131"/>
      <c r="AG532" s="131"/>
      <c r="AH532" s="131"/>
      <c r="AI532" s="131"/>
      <c r="AJ532" s="131"/>
      <c r="AK532" s="131"/>
      <c r="AL532" s="131"/>
      <c r="AM532" s="131"/>
      <c r="AN532" s="131"/>
      <c r="AO532" s="142"/>
      <c r="AP532" s="131"/>
    </row>
    <row r="533" ht="13.5" customHeight="1">
      <c r="A533" s="142"/>
      <c r="B533" s="142"/>
      <c r="C533" s="142"/>
      <c r="D533" s="142"/>
      <c r="E533" s="132"/>
      <c r="F533" s="131"/>
      <c r="G533" s="131"/>
      <c r="H533" s="131"/>
      <c r="I533" s="131"/>
      <c r="J533" s="219"/>
      <c r="K533" s="198"/>
      <c r="L533" s="131"/>
      <c r="M533" s="142"/>
      <c r="N533" s="131"/>
      <c r="O533" s="131"/>
      <c r="P533" s="131"/>
      <c r="Q533" s="131"/>
      <c r="R533" s="131"/>
      <c r="S533" s="131"/>
      <c r="T533" s="131"/>
      <c r="U533" s="131"/>
      <c r="V533" s="131"/>
      <c r="W533" s="131"/>
      <c r="X533" s="131"/>
      <c r="Y533" s="131"/>
      <c r="Z533" s="131"/>
      <c r="AA533" s="131"/>
      <c r="AB533" s="330"/>
      <c r="AC533" s="331"/>
      <c r="AD533" s="332"/>
      <c r="AE533" s="131"/>
      <c r="AF533" s="131"/>
      <c r="AG533" s="131"/>
      <c r="AH533" s="131"/>
      <c r="AI533" s="131"/>
      <c r="AJ533" s="131"/>
      <c r="AK533" s="131"/>
      <c r="AL533" s="131"/>
      <c r="AM533" s="131"/>
      <c r="AN533" s="131"/>
      <c r="AO533" s="142"/>
      <c r="AP533" s="131"/>
    </row>
    <row r="534" ht="13.5" customHeight="1">
      <c r="A534" s="142"/>
      <c r="B534" s="142"/>
      <c r="C534" s="142"/>
      <c r="D534" s="142"/>
      <c r="E534" s="132"/>
      <c r="F534" s="131"/>
      <c r="G534" s="131"/>
      <c r="H534" s="131"/>
      <c r="I534" s="131"/>
      <c r="J534" s="219"/>
      <c r="K534" s="198"/>
      <c r="L534" s="131"/>
      <c r="M534" s="142"/>
      <c r="N534" s="131"/>
      <c r="O534" s="131"/>
      <c r="P534" s="131"/>
      <c r="Q534" s="131"/>
      <c r="R534" s="131"/>
      <c r="S534" s="131"/>
      <c r="T534" s="131"/>
      <c r="U534" s="131"/>
      <c r="V534" s="131"/>
      <c r="W534" s="131"/>
      <c r="X534" s="131"/>
      <c r="Y534" s="131"/>
      <c r="Z534" s="131"/>
      <c r="AA534" s="131"/>
      <c r="AB534" s="330"/>
      <c r="AC534" s="331"/>
      <c r="AD534" s="332"/>
      <c r="AE534" s="131"/>
      <c r="AF534" s="131"/>
      <c r="AG534" s="131"/>
      <c r="AH534" s="131"/>
      <c r="AI534" s="131"/>
      <c r="AJ534" s="131"/>
      <c r="AK534" s="131"/>
      <c r="AL534" s="131"/>
      <c r="AM534" s="131"/>
      <c r="AN534" s="131"/>
      <c r="AO534" s="142"/>
      <c r="AP534" s="131"/>
    </row>
    <row r="535" ht="13.5" customHeight="1">
      <c r="A535" s="142"/>
      <c r="B535" s="142"/>
      <c r="C535" s="142"/>
      <c r="D535" s="142"/>
      <c r="E535" s="132"/>
      <c r="F535" s="131"/>
      <c r="G535" s="131"/>
      <c r="H535" s="131"/>
      <c r="I535" s="131"/>
      <c r="J535" s="219"/>
      <c r="K535" s="198"/>
      <c r="L535" s="131"/>
      <c r="M535" s="142"/>
      <c r="N535" s="131"/>
      <c r="O535" s="131"/>
      <c r="P535" s="131"/>
      <c r="Q535" s="131"/>
      <c r="R535" s="131"/>
      <c r="S535" s="131"/>
      <c r="T535" s="131"/>
      <c r="U535" s="131"/>
      <c r="V535" s="131"/>
      <c r="W535" s="131"/>
      <c r="X535" s="131"/>
      <c r="Y535" s="131"/>
      <c r="Z535" s="131"/>
      <c r="AA535" s="131"/>
      <c r="AB535" s="330"/>
      <c r="AC535" s="331"/>
      <c r="AD535" s="332"/>
      <c r="AE535" s="131"/>
      <c r="AF535" s="131"/>
      <c r="AG535" s="131"/>
      <c r="AH535" s="131"/>
      <c r="AI535" s="131"/>
      <c r="AJ535" s="131"/>
      <c r="AK535" s="131"/>
      <c r="AL535" s="131"/>
      <c r="AM535" s="131"/>
      <c r="AN535" s="131"/>
      <c r="AO535" s="142"/>
      <c r="AP535" s="131"/>
    </row>
    <row r="536" ht="13.5" customHeight="1">
      <c r="A536" s="142"/>
      <c r="B536" s="142"/>
      <c r="C536" s="142"/>
      <c r="D536" s="142"/>
      <c r="E536" s="132"/>
      <c r="F536" s="131"/>
      <c r="G536" s="131"/>
      <c r="H536" s="131"/>
      <c r="I536" s="131"/>
      <c r="J536" s="219"/>
      <c r="K536" s="198"/>
      <c r="L536" s="131"/>
      <c r="M536" s="142"/>
      <c r="N536" s="131"/>
      <c r="O536" s="131"/>
      <c r="P536" s="131"/>
      <c r="Q536" s="131"/>
      <c r="R536" s="131"/>
      <c r="S536" s="131"/>
      <c r="T536" s="131"/>
      <c r="U536" s="131"/>
      <c r="V536" s="131"/>
      <c r="W536" s="131"/>
      <c r="X536" s="131"/>
      <c r="Y536" s="131"/>
      <c r="Z536" s="131"/>
      <c r="AA536" s="131"/>
      <c r="AB536" s="330"/>
      <c r="AC536" s="331"/>
      <c r="AD536" s="332"/>
      <c r="AE536" s="131"/>
      <c r="AF536" s="131"/>
      <c r="AG536" s="131"/>
      <c r="AH536" s="131"/>
      <c r="AI536" s="131"/>
      <c r="AJ536" s="131"/>
      <c r="AK536" s="131"/>
      <c r="AL536" s="131"/>
      <c r="AM536" s="131"/>
      <c r="AN536" s="131"/>
      <c r="AO536" s="142"/>
      <c r="AP536" s="131"/>
    </row>
    <row r="537" ht="13.5" customHeight="1">
      <c r="A537" s="142"/>
      <c r="B537" s="142"/>
      <c r="C537" s="142"/>
      <c r="D537" s="142"/>
      <c r="E537" s="132"/>
      <c r="F537" s="131"/>
      <c r="G537" s="131"/>
      <c r="H537" s="131"/>
      <c r="I537" s="131"/>
      <c r="J537" s="219"/>
      <c r="K537" s="198"/>
      <c r="L537" s="131"/>
      <c r="M537" s="142"/>
      <c r="N537" s="131"/>
      <c r="O537" s="131"/>
      <c r="P537" s="131"/>
      <c r="Q537" s="131"/>
      <c r="R537" s="131"/>
      <c r="S537" s="131"/>
      <c r="T537" s="131"/>
      <c r="U537" s="131"/>
      <c r="V537" s="131"/>
      <c r="W537" s="131"/>
      <c r="X537" s="131"/>
      <c r="Y537" s="131"/>
      <c r="Z537" s="131"/>
      <c r="AA537" s="131"/>
      <c r="AB537" s="330"/>
      <c r="AC537" s="331"/>
      <c r="AD537" s="332"/>
      <c r="AE537" s="131"/>
      <c r="AF537" s="131"/>
      <c r="AG537" s="131"/>
      <c r="AH537" s="131"/>
      <c r="AI537" s="131"/>
      <c r="AJ537" s="131"/>
      <c r="AK537" s="131"/>
      <c r="AL537" s="131"/>
      <c r="AM537" s="131"/>
      <c r="AN537" s="131"/>
      <c r="AO537" s="142"/>
      <c r="AP537" s="131"/>
    </row>
    <row r="538" ht="13.5" customHeight="1">
      <c r="A538" s="142"/>
      <c r="B538" s="142"/>
      <c r="C538" s="142"/>
      <c r="D538" s="142"/>
      <c r="E538" s="132"/>
      <c r="F538" s="131"/>
      <c r="G538" s="131"/>
      <c r="H538" s="131"/>
      <c r="I538" s="131"/>
      <c r="J538" s="219"/>
      <c r="K538" s="198"/>
      <c r="L538" s="131"/>
      <c r="M538" s="142"/>
      <c r="N538" s="131"/>
      <c r="O538" s="131"/>
      <c r="P538" s="131"/>
      <c r="Q538" s="131"/>
      <c r="R538" s="131"/>
      <c r="S538" s="131"/>
      <c r="T538" s="131"/>
      <c r="U538" s="131"/>
      <c r="V538" s="131"/>
      <c r="W538" s="131"/>
      <c r="X538" s="131"/>
      <c r="Y538" s="131"/>
      <c r="Z538" s="131"/>
      <c r="AA538" s="131"/>
      <c r="AB538" s="330"/>
      <c r="AC538" s="331"/>
      <c r="AD538" s="332"/>
      <c r="AE538" s="131"/>
      <c r="AF538" s="131"/>
      <c r="AG538" s="131"/>
      <c r="AH538" s="131"/>
      <c r="AI538" s="131"/>
      <c r="AJ538" s="131"/>
      <c r="AK538" s="131"/>
      <c r="AL538" s="131"/>
      <c r="AM538" s="131"/>
      <c r="AN538" s="131"/>
      <c r="AO538" s="142"/>
      <c r="AP538" s="131"/>
    </row>
    <row r="539" ht="13.5" customHeight="1">
      <c r="A539" s="142"/>
      <c r="B539" s="142"/>
      <c r="C539" s="142"/>
      <c r="D539" s="142"/>
      <c r="E539" s="132"/>
      <c r="F539" s="131"/>
      <c r="G539" s="131"/>
      <c r="H539" s="131"/>
      <c r="I539" s="131"/>
      <c r="J539" s="219"/>
      <c r="K539" s="198"/>
      <c r="L539" s="131"/>
      <c r="M539" s="142"/>
      <c r="N539" s="131"/>
      <c r="O539" s="131"/>
      <c r="P539" s="131"/>
      <c r="Q539" s="131"/>
      <c r="R539" s="131"/>
      <c r="S539" s="131"/>
      <c r="T539" s="131"/>
      <c r="U539" s="131"/>
      <c r="V539" s="131"/>
      <c r="W539" s="131"/>
      <c r="X539" s="131"/>
      <c r="Y539" s="131"/>
      <c r="Z539" s="131"/>
      <c r="AA539" s="131"/>
      <c r="AB539" s="330"/>
      <c r="AC539" s="331"/>
      <c r="AD539" s="332"/>
      <c r="AE539" s="131"/>
      <c r="AF539" s="131"/>
      <c r="AG539" s="131"/>
      <c r="AH539" s="131"/>
      <c r="AI539" s="131"/>
      <c r="AJ539" s="131"/>
      <c r="AK539" s="131"/>
      <c r="AL539" s="131"/>
      <c r="AM539" s="131"/>
      <c r="AN539" s="131"/>
      <c r="AO539" s="142"/>
      <c r="AP539" s="131"/>
    </row>
    <row r="540" ht="13.5" customHeight="1">
      <c r="A540" s="142"/>
      <c r="B540" s="142"/>
      <c r="C540" s="142"/>
      <c r="D540" s="142"/>
      <c r="E540" s="132"/>
      <c r="F540" s="131"/>
      <c r="G540" s="131"/>
      <c r="H540" s="131"/>
      <c r="I540" s="131"/>
      <c r="J540" s="219"/>
      <c r="K540" s="198"/>
      <c r="L540" s="131"/>
      <c r="M540" s="142"/>
      <c r="N540" s="131"/>
      <c r="O540" s="131"/>
      <c r="P540" s="131"/>
      <c r="Q540" s="131"/>
      <c r="R540" s="131"/>
      <c r="S540" s="131"/>
      <c r="T540" s="131"/>
      <c r="U540" s="131"/>
      <c r="V540" s="131"/>
      <c r="W540" s="131"/>
      <c r="X540" s="131"/>
      <c r="Y540" s="131"/>
      <c r="Z540" s="131"/>
      <c r="AA540" s="131"/>
      <c r="AB540" s="330"/>
      <c r="AC540" s="331"/>
      <c r="AD540" s="332"/>
      <c r="AE540" s="131"/>
      <c r="AF540" s="131"/>
      <c r="AG540" s="131"/>
      <c r="AH540" s="131"/>
      <c r="AI540" s="131"/>
      <c r="AJ540" s="131"/>
      <c r="AK540" s="131"/>
      <c r="AL540" s="131"/>
      <c r="AM540" s="131"/>
      <c r="AN540" s="131"/>
      <c r="AO540" s="142"/>
      <c r="AP540" s="131"/>
    </row>
    <row r="541" ht="13.5" customHeight="1">
      <c r="A541" s="142"/>
      <c r="B541" s="142"/>
      <c r="C541" s="142"/>
      <c r="D541" s="142"/>
      <c r="E541" s="132"/>
      <c r="F541" s="131"/>
      <c r="G541" s="131"/>
      <c r="H541" s="131"/>
      <c r="I541" s="131"/>
      <c r="J541" s="219"/>
      <c r="K541" s="198"/>
      <c r="L541" s="131"/>
      <c r="M541" s="142"/>
      <c r="N541" s="131"/>
      <c r="O541" s="131"/>
      <c r="P541" s="131"/>
      <c r="Q541" s="131"/>
      <c r="R541" s="131"/>
      <c r="S541" s="131"/>
      <c r="T541" s="131"/>
      <c r="U541" s="131"/>
      <c r="V541" s="131"/>
      <c r="W541" s="131"/>
      <c r="X541" s="131"/>
      <c r="Y541" s="131"/>
      <c r="Z541" s="131"/>
      <c r="AA541" s="131"/>
      <c r="AB541" s="330"/>
      <c r="AC541" s="331"/>
      <c r="AD541" s="332"/>
      <c r="AE541" s="131"/>
      <c r="AF541" s="131"/>
      <c r="AG541" s="131"/>
      <c r="AH541" s="131"/>
      <c r="AI541" s="131"/>
      <c r="AJ541" s="131"/>
      <c r="AK541" s="131"/>
      <c r="AL541" s="131"/>
      <c r="AM541" s="131"/>
      <c r="AN541" s="131"/>
      <c r="AO541" s="142"/>
      <c r="AP541" s="131"/>
    </row>
    <row r="542" ht="13.5" customHeight="1">
      <c r="A542" s="142"/>
      <c r="B542" s="142"/>
      <c r="C542" s="142"/>
      <c r="D542" s="142"/>
      <c r="E542" s="132"/>
      <c r="F542" s="131"/>
      <c r="G542" s="131"/>
      <c r="H542" s="131"/>
      <c r="I542" s="131"/>
      <c r="J542" s="219"/>
      <c r="K542" s="198"/>
      <c r="L542" s="131"/>
      <c r="M542" s="142"/>
      <c r="N542" s="131"/>
      <c r="O542" s="131"/>
      <c r="P542" s="131"/>
      <c r="Q542" s="131"/>
      <c r="R542" s="131"/>
      <c r="S542" s="131"/>
      <c r="T542" s="131"/>
      <c r="U542" s="131"/>
      <c r="V542" s="131"/>
      <c r="W542" s="131"/>
      <c r="X542" s="131"/>
      <c r="Y542" s="131"/>
      <c r="Z542" s="131"/>
      <c r="AA542" s="131"/>
      <c r="AB542" s="330"/>
      <c r="AC542" s="331"/>
      <c r="AD542" s="332"/>
      <c r="AE542" s="131"/>
      <c r="AF542" s="131"/>
      <c r="AG542" s="131"/>
      <c r="AH542" s="131"/>
      <c r="AI542" s="131"/>
      <c r="AJ542" s="131"/>
      <c r="AK542" s="131"/>
      <c r="AL542" s="131"/>
      <c r="AM542" s="131"/>
      <c r="AN542" s="131"/>
      <c r="AO542" s="142"/>
      <c r="AP542" s="131"/>
    </row>
    <row r="543" ht="13.5" customHeight="1">
      <c r="A543" s="142"/>
      <c r="B543" s="142"/>
      <c r="C543" s="142"/>
      <c r="D543" s="142"/>
      <c r="E543" s="132"/>
      <c r="F543" s="131"/>
      <c r="G543" s="131"/>
      <c r="H543" s="131"/>
      <c r="I543" s="131"/>
      <c r="J543" s="219"/>
      <c r="K543" s="198"/>
      <c r="L543" s="131"/>
      <c r="M543" s="142"/>
      <c r="N543" s="131"/>
      <c r="O543" s="131"/>
      <c r="P543" s="131"/>
      <c r="Q543" s="131"/>
      <c r="R543" s="131"/>
      <c r="S543" s="131"/>
      <c r="T543" s="131"/>
      <c r="U543" s="131"/>
      <c r="V543" s="131"/>
      <c r="W543" s="131"/>
      <c r="X543" s="131"/>
      <c r="Y543" s="131"/>
      <c r="Z543" s="131"/>
      <c r="AA543" s="131"/>
      <c r="AB543" s="330"/>
      <c r="AC543" s="331"/>
      <c r="AD543" s="332"/>
      <c r="AE543" s="131"/>
      <c r="AF543" s="131"/>
      <c r="AG543" s="131"/>
      <c r="AH543" s="131"/>
      <c r="AI543" s="131"/>
      <c r="AJ543" s="131"/>
      <c r="AK543" s="131"/>
      <c r="AL543" s="131"/>
      <c r="AM543" s="131"/>
      <c r="AN543" s="131"/>
      <c r="AO543" s="142"/>
      <c r="AP543" s="131"/>
    </row>
    <row r="544" ht="13.5" customHeight="1">
      <c r="A544" s="142"/>
      <c r="B544" s="142"/>
      <c r="C544" s="142"/>
      <c r="D544" s="142"/>
      <c r="E544" s="132"/>
      <c r="F544" s="131"/>
      <c r="G544" s="131"/>
      <c r="H544" s="131"/>
      <c r="I544" s="131"/>
      <c r="J544" s="219"/>
      <c r="K544" s="198"/>
      <c r="L544" s="131"/>
      <c r="M544" s="142"/>
      <c r="N544" s="131"/>
      <c r="O544" s="131"/>
      <c r="P544" s="131"/>
      <c r="Q544" s="131"/>
      <c r="R544" s="131"/>
      <c r="S544" s="131"/>
      <c r="T544" s="131"/>
      <c r="U544" s="131"/>
      <c r="V544" s="131"/>
      <c r="W544" s="131"/>
      <c r="X544" s="131"/>
      <c r="Y544" s="131"/>
      <c r="Z544" s="131"/>
      <c r="AA544" s="131"/>
      <c r="AB544" s="330"/>
      <c r="AC544" s="331"/>
      <c r="AD544" s="332"/>
      <c r="AE544" s="131"/>
      <c r="AF544" s="131"/>
      <c r="AG544" s="131"/>
      <c r="AH544" s="131"/>
      <c r="AI544" s="131"/>
      <c r="AJ544" s="131"/>
      <c r="AK544" s="131"/>
      <c r="AL544" s="131"/>
      <c r="AM544" s="131"/>
      <c r="AN544" s="131"/>
      <c r="AO544" s="142"/>
      <c r="AP544" s="131"/>
    </row>
    <row r="545" ht="13.5" customHeight="1">
      <c r="A545" s="142"/>
      <c r="B545" s="142"/>
      <c r="C545" s="142"/>
      <c r="D545" s="142"/>
      <c r="E545" s="132"/>
      <c r="F545" s="131"/>
      <c r="G545" s="131"/>
      <c r="H545" s="131"/>
      <c r="I545" s="131"/>
      <c r="J545" s="219"/>
      <c r="K545" s="198"/>
      <c r="L545" s="131"/>
      <c r="M545" s="142"/>
      <c r="N545" s="131"/>
      <c r="O545" s="131"/>
      <c r="P545" s="131"/>
      <c r="Q545" s="131"/>
      <c r="R545" s="131"/>
      <c r="S545" s="131"/>
      <c r="T545" s="131"/>
      <c r="U545" s="131"/>
      <c r="V545" s="131"/>
      <c r="W545" s="131"/>
      <c r="X545" s="131"/>
      <c r="Y545" s="131"/>
      <c r="Z545" s="131"/>
      <c r="AA545" s="131"/>
      <c r="AB545" s="330"/>
      <c r="AC545" s="331"/>
      <c r="AD545" s="332"/>
      <c r="AE545" s="131"/>
      <c r="AF545" s="131"/>
      <c r="AG545" s="131"/>
      <c r="AH545" s="131"/>
      <c r="AI545" s="131"/>
      <c r="AJ545" s="131"/>
      <c r="AK545" s="131"/>
      <c r="AL545" s="131"/>
      <c r="AM545" s="131"/>
      <c r="AN545" s="131"/>
      <c r="AO545" s="142"/>
      <c r="AP545" s="131"/>
    </row>
    <row r="546" ht="13.5" customHeight="1">
      <c r="A546" s="142"/>
      <c r="B546" s="142"/>
      <c r="C546" s="142"/>
      <c r="D546" s="142"/>
      <c r="E546" s="132"/>
      <c r="F546" s="131"/>
      <c r="G546" s="131"/>
      <c r="H546" s="131"/>
      <c r="I546" s="131"/>
      <c r="J546" s="219"/>
      <c r="K546" s="198"/>
      <c r="L546" s="131"/>
      <c r="M546" s="142"/>
      <c r="N546" s="131"/>
      <c r="O546" s="131"/>
      <c r="P546" s="131"/>
      <c r="Q546" s="131"/>
      <c r="R546" s="131"/>
      <c r="S546" s="131"/>
      <c r="T546" s="131"/>
      <c r="U546" s="131"/>
      <c r="V546" s="131"/>
      <c r="W546" s="131"/>
      <c r="X546" s="131"/>
      <c r="Y546" s="131"/>
      <c r="Z546" s="131"/>
      <c r="AA546" s="131"/>
      <c r="AB546" s="330"/>
      <c r="AC546" s="331"/>
      <c r="AD546" s="332"/>
      <c r="AE546" s="131"/>
      <c r="AF546" s="131"/>
      <c r="AG546" s="131"/>
      <c r="AH546" s="131"/>
      <c r="AI546" s="131"/>
      <c r="AJ546" s="131"/>
      <c r="AK546" s="131"/>
      <c r="AL546" s="131"/>
      <c r="AM546" s="131"/>
      <c r="AN546" s="131"/>
      <c r="AO546" s="142"/>
      <c r="AP546" s="131"/>
    </row>
    <row r="547" ht="13.5" customHeight="1">
      <c r="A547" s="142"/>
      <c r="B547" s="142"/>
      <c r="C547" s="142"/>
      <c r="D547" s="142"/>
      <c r="E547" s="132"/>
      <c r="F547" s="131"/>
      <c r="G547" s="131"/>
      <c r="H547" s="131"/>
      <c r="I547" s="131"/>
      <c r="J547" s="219"/>
      <c r="K547" s="198"/>
      <c r="L547" s="131"/>
      <c r="M547" s="142"/>
      <c r="N547" s="131"/>
      <c r="O547" s="131"/>
      <c r="P547" s="131"/>
      <c r="Q547" s="131"/>
      <c r="R547" s="131"/>
      <c r="S547" s="131"/>
      <c r="T547" s="131"/>
      <c r="U547" s="131"/>
      <c r="V547" s="131"/>
      <c r="W547" s="131"/>
      <c r="X547" s="131"/>
      <c r="Y547" s="131"/>
      <c r="Z547" s="131"/>
      <c r="AA547" s="131"/>
      <c r="AB547" s="330"/>
      <c r="AC547" s="331"/>
      <c r="AD547" s="332"/>
      <c r="AE547" s="131"/>
      <c r="AF547" s="131"/>
      <c r="AG547" s="131"/>
      <c r="AH547" s="131"/>
      <c r="AI547" s="131"/>
      <c r="AJ547" s="131"/>
      <c r="AK547" s="131"/>
      <c r="AL547" s="131"/>
      <c r="AM547" s="131"/>
      <c r="AN547" s="131"/>
      <c r="AO547" s="142"/>
      <c r="AP547" s="131"/>
    </row>
    <row r="548" ht="13.5" customHeight="1">
      <c r="A548" s="142"/>
      <c r="B548" s="142"/>
      <c r="C548" s="142"/>
      <c r="D548" s="142"/>
      <c r="E548" s="132"/>
      <c r="F548" s="131"/>
      <c r="G548" s="131"/>
      <c r="H548" s="131"/>
      <c r="I548" s="131"/>
      <c r="J548" s="219"/>
      <c r="K548" s="198"/>
      <c r="L548" s="131"/>
      <c r="M548" s="142"/>
      <c r="N548" s="131"/>
      <c r="O548" s="131"/>
      <c r="P548" s="131"/>
      <c r="Q548" s="131"/>
      <c r="R548" s="131"/>
      <c r="S548" s="131"/>
      <c r="T548" s="131"/>
      <c r="U548" s="131"/>
      <c r="V548" s="131"/>
      <c r="W548" s="131"/>
      <c r="X548" s="131"/>
      <c r="Y548" s="131"/>
      <c r="Z548" s="131"/>
      <c r="AA548" s="131"/>
      <c r="AB548" s="330"/>
      <c r="AC548" s="331"/>
      <c r="AD548" s="332"/>
      <c r="AE548" s="131"/>
      <c r="AF548" s="131"/>
      <c r="AG548" s="131"/>
      <c r="AH548" s="131"/>
      <c r="AI548" s="131"/>
      <c r="AJ548" s="131"/>
      <c r="AK548" s="131"/>
      <c r="AL548" s="131"/>
      <c r="AM548" s="131"/>
      <c r="AN548" s="131"/>
      <c r="AO548" s="142"/>
      <c r="AP548" s="131"/>
    </row>
    <row r="549" ht="13.5" customHeight="1">
      <c r="A549" s="142"/>
      <c r="B549" s="142"/>
      <c r="C549" s="142"/>
      <c r="D549" s="142"/>
      <c r="E549" s="132"/>
      <c r="F549" s="131"/>
      <c r="G549" s="131"/>
      <c r="H549" s="131"/>
      <c r="I549" s="131"/>
      <c r="J549" s="219"/>
      <c r="K549" s="198"/>
      <c r="L549" s="131"/>
      <c r="M549" s="142"/>
      <c r="N549" s="131"/>
      <c r="O549" s="131"/>
      <c r="P549" s="131"/>
      <c r="Q549" s="131"/>
      <c r="R549" s="131"/>
      <c r="S549" s="131"/>
      <c r="T549" s="131"/>
      <c r="U549" s="131"/>
      <c r="V549" s="131"/>
      <c r="W549" s="131"/>
      <c r="X549" s="131"/>
      <c r="Y549" s="131"/>
      <c r="Z549" s="131"/>
      <c r="AA549" s="131"/>
      <c r="AB549" s="330"/>
      <c r="AC549" s="331"/>
      <c r="AD549" s="332"/>
      <c r="AE549" s="131"/>
      <c r="AF549" s="131"/>
      <c r="AG549" s="131"/>
      <c r="AH549" s="131"/>
      <c r="AI549" s="131"/>
      <c r="AJ549" s="131"/>
      <c r="AK549" s="131"/>
      <c r="AL549" s="131"/>
      <c r="AM549" s="131"/>
      <c r="AN549" s="131"/>
      <c r="AO549" s="142"/>
      <c r="AP549" s="131"/>
    </row>
    <row r="550" ht="13.5" customHeight="1">
      <c r="A550" s="142"/>
      <c r="B550" s="142"/>
      <c r="C550" s="142"/>
      <c r="D550" s="142"/>
      <c r="E550" s="132"/>
      <c r="F550" s="131"/>
      <c r="G550" s="131"/>
      <c r="H550" s="131"/>
      <c r="I550" s="131"/>
      <c r="J550" s="219"/>
      <c r="K550" s="198"/>
      <c r="L550" s="131"/>
      <c r="M550" s="142"/>
      <c r="N550" s="131"/>
      <c r="O550" s="131"/>
      <c r="P550" s="131"/>
      <c r="Q550" s="131"/>
      <c r="R550" s="131"/>
      <c r="S550" s="131"/>
      <c r="T550" s="131"/>
      <c r="U550" s="131"/>
      <c r="V550" s="131"/>
      <c r="W550" s="131"/>
      <c r="X550" s="131"/>
      <c r="Y550" s="131"/>
      <c r="Z550" s="131"/>
      <c r="AA550" s="131"/>
      <c r="AB550" s="330"/>
      <c r="AC550" s="331"/>
      <c r="AD550" s="332"/>
      <c r="AE550" s="131"/>
      <c r="AF550" s="131"/>
      <c r="AG550" s="131"/>
      <c r="AH550" s="131"/>
      <c r="AI550" s="131"/>
      <c r="AJ550" s="131"/>
      <c r="AK550" s="131"/>
      <c r="AL550" s="131"/>
      <c r="AM550" s="131"/>
      <c r="AN550" s="131"/>
      <c r="AO550" s="142"/>
      <c r="AP550" s="131"/>
    </row>
    <row r="551" ht="13.5" customHeight="1">
      <c r="A551" s="142"/>
      <c r="B551" s="142"/>
      <c r="C551" s="142"/>
      <c r="D551" s="142"/>
      <c r="E551" s="132"/>
      <c r="F551" s="131"/>
      <c r="G551" s="131"/>
      <c r="H551" s="131"/>
      <c r="I551" s="131"/>
      <c r="J551" s="219"/>
      <c r="K551" s="198"/>
      <c r="L551" s="131"/>
      <c r="M551" s="142"/>
      <c r="N551" s="131"/>
      <c r="O551" s="131"/>
      <c r="P551" s="131"/>
      <c r="Q551" s="131"/>
      <c r="R551" s="131"/>
      <c r="S551" s="131"/>
      <c r="T551" s="131"/>
      <c r="U551" s="131"/>
      <c r="V551" s="131"/>
      <c r="W551" s="131"/>
      <c r="X551" s="131"/>
      <c r="Y551" s="131"/>
      <c r="Z551" s="131"/>
      <c r="AA551" s="131"/>
      <c r="AB551" s="330"/>
      <c r="AC551" s="331"/>
      <c r="AD551" s="332"/>
      <c r="AE551" s="131"/>
      <c r="AF551" s="131"/>
      <c r="AG551" s="131"/>
      <c r="AH551" s="131"/>
      <c r="AI551" s="131"/>
      <c r="AJ551" s="131"/>
      <c r="AK551" s="131"/>
      <c r="AL551" s="131"/>
      <c r="AM551" s="131"/>
      <c r="AN551" s="131"/>
      <c r="AO551" s="142"/>
      <c r="AP551" s="131"/>
    </row>
    <row r="552" ht="13.5" customHeight="1">
      <c r="A552" s="142"/>
      <c r="B552" s="142"/>
      <c r="C552" s="142"/>
      <c r="D552" s="142"/>
      <c r="E552" s="132"/>
      <c r="F552" s="131"/>
      <c r="G552" s="131"/>
      <c r="H552" s="131"/>
      <c r="I552" s="131"/>
      <c r="J552" s="219"/>
      <c r="K552" s="198"/>
      <c r="L552" s="131"/>
      <c r="M552" s="142"/>
      <c r="N552" s="131"/>
      <c r="O552" s="131"/>
      <c r="P552" s="131"/>
      <c r="Q552" s="131"/>
      <c r="R552" s="131"/>
      <c r="S552" s="131"/>
      <c r="T552" s="131"/>
      <c r="U552" s="131"/>
      <c r="V552" s="131"/>
      <c r="W552" s="131"/>
      <c r="X552" s="131"/>
      <c r="Y552" s="131"/>
      <c r="Z552" s="131"/>
      <c r="AA552" s="131"/>
      <c r="AB552" s="330"/>
      <c r="AC552" s="331"/>
      <c r="AD552" s="332"/>
      <c r="AE552" s="131"/>
      <c r="AF552" s="131"/>
      <c r="AG552" s="131"/>
      <c r="AH552" s="131"/>
      <c r="AI552" s="131"/>
      <c r="AJ552" s="131"/>
      <c r="AK552" s="131"/>
      <c r="AL552" s="131"/>
      <c r="AM552" s="131"/>
      <c r="AN552" s="131"/>
      <c r="AO552" s="142"/>
      <c r="AP552" s="131"/>
    </row>
    <row r="553" ht="13.5" customHeight="1">
      <c r="A553" s="142"/>
      <c r="B553" s="142"/>
      <c r="C553" s="142"/>
      <c r="D553" s="142"/>
      <c r="E553" s="132"/>
      <c r="F553" s="131"/>
      <c r="G553" s="131"/>
      <c r="H553" s="131"/>
      <c r="I553" s="131"/>
      <c r="J553" s="219"/>
      <c r="K553" s="198"/>
      <c r="L553" s="131"/>
      <c r="M553" s="142"/>
      <c r="N553" s="131"/>
      <c r="O553" s="131"/>
      <c r="P553" s="131"/>
      <c r="Q553" s="131"/>
      <c r="R553" s="131"/>
      <c r="S553" s="131"/>
      <c r="T553" s="131"/>
      <c r="U553" s="131"/>
      <c r="V553" s="131"/>
      <c r="W553" s="131"/>
      <c r="X553" s="131"/>
      <c r="Y553" s="131"/>
      <c r="Z553" s="131"/>
      <c r="AA553" s="131"/>
      <c r="AB553" s="330"/>
      <c r="AC553" s="331"/>
      <c r="AD553" s="332"/>
      <c r="AE553" s="131"/>
      <c r="AF553" s="131"/>
      <c r="AG553" s="131"/>
      <c r="AH553" s="131"/>
      <c r="AI553" s="131"/>
      <c r="AJ553" s="131"/>
      <c r="AK553" s="131"/>
      <c r="AL553" s="131"/>
      <c r="AM553" s="131"/>
      <c r="AN553" s="131"/>
      <c r="AO553" s="142"/>
      <c r="AP553" s="131"/>
    </row>
    <row r="554" ht="13.5" customHeight="1">
      <c r="A554" s="142"/>
      <c r="B554" s="142"/>
      <c r="C554" s="142"/>
      <c r="D554" s="142"/>
      <c r="E554" s="132"/>
      <c r="F554" s="131"/>
      <c r="G554" s="131"/>
      <c r="H554" s="131"/>
      <c r="I554" s="131"/>
      <c r="J554" s="219"/>
      <c r="K554" s="198"/>
      <c r="L554" s="131"/>
      <c r="M554" s="142"/>
      <c r="N554" s="131"/>
      <c r="O554" s="131"/>
      <c r="P554" s="131"/>
      <c r="Q554" s="131"/>
      <c r="R554" s="131"/>
      <c r="S554" s="131"/>
      <c r="T554" s="131"/>
      <c r="U554" s="131"/>
      <c r="V554" s="131"/>
      <c r="W554" s="131"/>
      <c r="X554" s="131"/>
      <c r="Y554" s="131"/>
      <c r="Z554" s="131"/>
      <c r="AA554" s="131"/>
      <c r="AB554" s="330"/>
      <c r="AC554" s="331"/>
      <c r="AD554" s="332"/>
      <c r="AE554" s="131"/>
      <c r="AF554" s="131"/>
      <c r="AG554" s="131"/>
      <c r="AH554" s="131"/>
      <c r="AI554" s="131"/>
      <c r="AJ554" s="131"/>
      <c r="AK554" s="131"/>
      <c r="AL554" s="131"/>
      <c r="AM554" s="131"/>
      <c r="AN554" s="131"/>
      <c r="AO554" s="142"/>
      <c r="AP554" s="131"/>
    </row>
    <row r="555" ht="13.5" customHeight="1">
      <c r="A555" s="142"/>
      <c r="B555" s="142"/>
      <c r="C555" s="142"/>
      <c r="D555" s="142"/>
      <c r="E555" s="132"/>
      <c r="F555" s="131"/>
      <c r="G555" s="131"/>
      <c r="H555" s="131"/>
      <c r="I555" s="131"/>
      <c r="J555" s="219"/>
      <c r="K555" s="198"/>
      <c r="L555" s="131"/>
      <c r="M555" s="142"/>
      <c r="N555" s="131"/>
      <c r="O555" s="131"/>
      <c r="P555" s="131"/>
      <c r="Q555" s="131"/>
      <c r="R555" s="131"/>
      <c r="S555" s="131"/>
      <c r="T555" s="131"/>
      <c r="U555" s="131"/>
      <c r="V555" s="131"/>
      <c r="W555" s="131"/>
      <c r="X555" s="131"/>
      <c r="Y555" s="131"/>
      <c r="Z555" s="131"/>
      <c r="AA555" s="131"/>
      <c r="AB555" s="330"/>
      <c r="AC555" s="331"/>
      <c r="AD555" s="332"/>
      <c r="AE555" s="131"/>
      <c r="AF555" s="131"/>
      <c r="AG555" s="131"/>
      <c r="AH555" s="131"/>
      <c r="AI555" s="131"/>
      <c r="AJ555" s="131"/>
      <c r="AK555" s="131"/>
      <c r="AL555" s="131"/>
      <c r="AM555" s="131"/>
      <c r="AN555" s="131"/>
      <c r="AO555" s="142"/>
      <c r="AP555" s="131"/>
    </row>
    <row r="556" ht="13.5" customHeight="1">
      <c r="A556" s="142"/>
      <c r="B556" s="142"/>
      <c r="C556" s="142"/>
      <c r="D556" s="142"/>
      <c r="E556" s="132"/>
      <c r="F556" s="131"/>
      <c r="G556" s="131"/>
      <c r="H556" s="131"/>
      <c r="I556" s="131"/>
      <c r="J556" s="219"/>
      <c r="K556" s="198"/>
      <c r="L556" s="131"/>
      <c r="M556" s="142"/>
      <c r="N556" s="131"/>
      <c r="O556" s="131"/>
      <c r="P556" s="131"/>
      <c r="Q556" s="131"/>
      <c r="R556" s="131"/>
      <c r="S556" s="131"/>
      <c r="T556" s="131"/>
      <c r="U556" s="131"/>
      <c r="V556" s="131"/>
      <c r="W556" s="131"/>
      <c r="X556" s="131"/>
      <c r="Y556" s="131"/>
      <c r="Z556" s="131"/>
      <c r="AA556" s="131"/>
      <c r="AB556" s="330"/>
      <c r="AC556" s="331"/>
      <c r="AD556" s="332"/>
      <c r="AE556" s="131"/>
      <c r="AF556" s="131"/>
      <c r="AG556" s="131"/>
      <c r="AH556" s="131"/>
      <c r="AI556" s="131"/>
      <c r="AJ556" s="131"/>
      <c r="AK556" s="131"/>
      <c r="AL556" s="131"/>
      <c r="AM556" s="131"/>
      <c r="AN556" s="131"/>
      <c r="AO556" s="142"/>
      <c r="AP556" s="131"/>
    </row>
    <row r="557" ht="13.5" customHeight="1">
      <c r="A557" s="142"/>
      <c r="B557" s="142"/>
      <c r="C557" s="142"/>
      <c r="D557" s="142"/>
      <c r="E557" s="132"/>
      <c r="F557" s="131"/>
      <c r="G557" s="131"/>
      <c r="H557" s="131"/>
      <c r="I557" s="131"/>
      <c r="J557" s="219"/>
      <c r="K557" s="198"/>
      <c r="L557" s="131"/>
      <c r="M557" s="142"/>
      <c r="N557" s="131"/>
      <c r="O557" s="131"/>
      <c r="P557" s="131"/>
      <c r="Q557" s="131"/>
      <c r="R557" s="131"/>
      <c r="S557" s="131"/>
      <c r="T557" s="131"/>
      <c r="U557" s="131"/>
      <c r="V557" s="131"/>
      <c r="W557" s="131"/>
      <c r="X557" s="131"/>
      <c r="Y557" s="131"/>
      <c r="Z557" s="131"/>
      <c r="AA557" s="131"/>
      <c r="AB557" s="330"/>
      <c r="AC557" s="331"/>
      <c r="AD557" s="332"/>
      <c r="AE557" s="131"/>
      <c r="AF557" s="131"/>
      <c r="AG557" s="131"/>
      <c r="AH557" s="131"/>
      <c r="AI557" s="131"/>
      <c r="AJ557" s="131"/>
      <c r="AK557" s="131"/>
      <c r="AL557" s="131"/>
      <c r="AM557" s="131"/>
      <c r="AN557" s="131"/>
      <c r="AO557" s="142"/>
      <c r="AP557" s="131"/>
    </row>
    <row r="558" ht="13.5" customHeight="1">
      <c r="A558" s="142"/>
      <c r="B558" s="142"/>
      <c r="C558" s="142"/>
      <c r="D558" s="142"/>
      <c r="E558" s="132"/>
      <c r="F558" s="131"/>
      <c r="G558" s="131"/>
      <c r="H558" s="131"/>
      <c r="I558" s="131"/>
      <c r="J558" s="219"/>
      <c r="K558" s="198"/>
      <c r="L558" s="131"/>
      <c r="M558" s="142"/>
      <c r="N558" s="131"/>
      <c r="O558" s="131"/>
      <c r="P558" s="131"/>
      <c r="Q558" s="131"/>
      <c r="R558" s="131"/>
      <c r="S558" s="131"/>
      <c r="T558" s="131"/>
      <c r="U558" s="131"/>
      <c r="V558" s="131"/>
      <c r="W558" s="131"/>
      <c r="X558" s="131"/>
      <c r="Y558" s="131"/>
      <c r="Z558" s="131"/>
      <c r="AA558" s="131"/>
      <c r="AB558" s="330"/>
      <c r="AC558" s="331"/>
      <c r="AD558" s="332"/>
      <c r="AE558" s="131"/>
      <c r="AF558" s="131"/>
      <c r="AG558" s="131"/>
      <c r="AH558" s="131"/>
      <c r="AI558" s="131"/>
      <c r="AJ558" s="131"/>
      <c r="AK558" s="131"/>
      <c r="AL558" s="131"/>
      <c r="AM558" s="131"/>
      <c r="AN558" s="131"/>
      <c r="AO558" s="142"/>
      <c r="AP558" s="131"/>
    </row>
    <row r="559" ht="13.5" customHeight="1">
      <c r="A559" s="142"/>
      <c r="B559" s="142"/>
      <c r="C559" s="142"/>
      <c r="D559" s="142"/>
      <c r="E559" s="132"/>
      <c r="F559" s="131"/>
      <c r="G559" s="131"/>
      <c r="H559" s="131"/>
      <c r="I559" s="131"/>
      <c r="J559" s="219"/>
      <c r="K559" s="198"/>
      <c r="L559" s="131"/>
      <c r="M559" s="142"/>
      <c r="N559" s="131"/>
      <c r="O559" s="131"/>
      <c r="P559" s="131"/>
      <c r="Q559" s="131"/>
      <c r="R559" s="131"/>
      <c r="S559" s="131"/>
      <c r="T559" s="131"/>
      <c r="U559" s="131"/>
      <c r="V559" s="131"/>
      <c r="W559" s="131"/>
      <c r="X559" s="131"/>
      <c r="Y559" s="131"/>
      <c r="Z559" s="131"/>
      <c r="AA559" s="131"/>
      <c r="AB559" s="330"/>
      <c r="AC559" s="331"/>
      <c r="AD559" s="332"/>
      <c r="AE559" s="131"/>
      <c r="AF559" s="131"/>
      <c r="AG559" s="131"/>
      <c r="AH559" s="131"/>
      <c r="AI559" s="131"/>
      <c r="AJ559" s="131"/>
      <c r="AK559" s="131"/>
      <c r="AL559" s="131"/>
      <c r="AM559" s="131"/>
      <c r="AN559" s="131"/>
      <c r="AO559" s="142"/>
      <c r="AP559" s="131"/>
    </row>
    <row r="560" ht="13.5" customHeight="1">
      <c r="A560" s="142"/>
      <c r="B560" s="142"/>
      <c r="C560" s="142"/>
      <c r="D560" s="142"/>
      <c r="E560" s="132"/>
      <c r="F560" s="131"/>
      <c r="G560" s="131"/>
      <c r="H560" s="131"/>
      <c r="I560" s="131"/>
      <c r="J560" s="219"/>
      <c r="K560" s="198"/>
      <c r="L560" s="131"/>
      <c r="M560" s="142"/>
      <c r="N560" s="131"/>
      <c r="O560" s="131"/>
      <c r="P560" s="131"/>
      <c r="Q560" s="131"/>
      <c r="R560" s="131"/>
      <c r="S560" s="131"/>
      <c r="T560" s="131"/>
      <c r="U560" s="131"/>
      <c r="V560" s="131"/>
      <c r="W560" s="131"/>
      <c r="X560" s="131"/>
      <c r="Y560" s="131"/>
      <c r="Z560" s="131"/>
      <c r="AA560" s="131"/>
      <c r="AB560" s="330"/>
      <c r="AC560" s="331"/>
      <c r="AD560" s="332"/>
      <c r="AE560" s="131"/>
      <c r="AF560" s="131"/>
      <c r="AG560" s="131"/>
      <c r="AH560" s="131"/>
      <c r="AI560" s="131"/>
      <c r="AJ560" s="131"/>
      <c r="AK560" s="131"/>
      <c r="AL560" s="131"/>
      <c r="AM560" s="131"/>
      <c r="AN560" s="131"/>
      <c r="AO560" s="142"/>
      <c r="AP560" s="131"/>
    </row>
    <row r="561" ht="13.5" customHeight="1">
      <c r="A561" s="142"/>
      <c r="B561" s="142"/>
      <c r="C561" s="142"/>
      <c r="D561" s="142"/>
      <c r="E561" s="132"/>
      <c r="F561" s="131"/>
      <c r="G561" s="131"/>
      <c r="H561" s="131"/>
      <c r="I561" s="131"/>
      <c r="J561" s="219"/>
      <c r="K561" s="198"/>
      <c r="L561" s="131"/>
      <c r="M561" s="142"/>
      <c r="N561" s="131"/>
      <c r="O561" s="131"/>
      <c r="P561" s="131"/>
      <c r="Q561" s="131"/>
      <c r="R561" s="131"/>
      <c r="S561" s="131"/>
      <c r="T561" s="131"/>
      <c r="U561" s="131"/>
      <c r="V561" s="131"/>
      <c r="W561" s="131"/>
      <c r="X561" s="131"/>
      <c r="Y561" s="131"/>
      <c r="Z561" s="131"/>
      <c r="AA561" s="131"/>
      <c r="AB561" s="330"/>
      <c r="AC561" s="331"/>
      <c r="AD561" s="332"/>
      <c r="AE561" s="131"/>
      <c r="AF561" s="131"/>
      <c r="AG561" s="131"/>
      <c r="AH561" s="131"/>
      <c r="AI561" s="131"/>
      <c r="AJ561" s="131"/>
      <c r="AK561" s="131"/>
      <c r="AL561" s="131"/>
      <c r="AM561" s="131"/>
      <c r="AN561" s="131"/>
      <c r="AO561" s="142"/>
      <c r="AP561" s="131"/>
    </row>
    <row r="562" ht="13.5" customHeight="1">
      <c r="A562" s="142"/>
      <c r="B562" s="142"/>
      <c r="C562" s="142"/>
      <c r="D562" s="142"/>
      <c r="E562" s="132"/>
      <c r="F562" s="131"/>
      <c r="G562" s="131"/>
      <c r="H562" s="131"/>
      <c r="I562" s="131"/>
      <c r="J562" s="219"/>
      <c r="K562" s="198"/>
      <c r="L562" s="131"/>
      <c r="M562" s="142"/>
      <c r="N562" s="131"/>
      <c r="O562" s="131"/>
      <c r="P562" s="131"/>
      <c r="Q562" s="131"/>
      <c r="R562" s="131"/>
      <c r="S562" s="131"/>
      <c r="T562" s="131"/>
      <c r="U562" s="131"/>
      <c r="V562" s="131"/>
      <c r="W562" s="131"/>
      <c r="X562" s="131"/>
      <c r="Y562" s="131"/>
      <c r="Z562" s="131"/>
      <c r="AA562" s="131"/>
      <c r="AB562" s="330"/>
      <c r="AC562" s="331"/>
      <c r="AD562" s="332"/>
      <c r="AE562" s="131"/>
      <c r="AF562" s="131"/>
      <c r="AG562" s="131"/>
      <c r="AH562" s="131"/>
      <c r="AI562" s="131"/>
      <c r="AJ562" s="131"/>
      <c r="AK562" s="131"/>
      <c r="AL562" s="131"/>
      <c r="AM562" s="131"/>
      <c r="AN562" s="131"/>
      <c r="AO562" s="142"/>
      <c r="AP562" s="131"/>
    </row>
    <row r="563" ht="13.5" customHeight="1">
      <c r="A563" s="142"/>
      <c r="B563" s="142"/>
      <c r="C563" s="142"/>
      <c r="D563" s="142"/>
      <c r="E563" s="132"/>
      <c r="F563" s="131"/>
      <c r="G563" s="131"/>
      <c r="H563" s="131"/>
      <c r="I563" s="131"/>
      <c r="J563" s="219"/>
      <c r="K563" s="198"/>
      <c r="L563" s="131"/>
      <c r="M563" s="142"/>
      <c r="N563" s="131"/>
      <c r="O563" s="131"/>
      <c r="P563" s="131"/>
      <c r="Q563" s="131"/>
      <c r="R563" s="131"/>
      <c r="S563" s="131"/>
      <c r="T563" s="131"/>
      <c r="U563" s="131"/>
      <c r="V563" s="131"/>
      <c r="W563" s="131"/>
      <c r="X563" s="131"/>
      <c r="Y563" s="131"/>
      <c r="Z563" s="131"/>
      <c r="AA563" s="131"/>
      <c r="AB563" s="330"/>
      <c r="AC563" s="331"/>
      <c r="AD563" s="332"/>
      <c r="AE563" s="131"/>
      <c r="AF563" s="131"/>
      <c r="AG563" s="131"/>
      <c r="AH563" s="131"/>
      <c r="AI563" s="131"/>
      <c r="AJ563" s="131"/>
      <c r="AK563" s="131"/>
      <c r="AL563" s="131"/>
      <c r="AM563" s="131"/>
      <c r="AN563" s="131"/>
      <c r="AO563" s="142"/>
      <c r="AP563" s="131"/>
    </row>
    <row r="564" ht="13.5" customHeight="1">
      <c r="A564" s="142"/>
      <c r="B564" s="142"/>
      <c r="C564" s="142"/>
      <c r="D564" s="142"/>
      <c r="E564" s="132"/>
      <c r="F564" s="131"/>
      <c r="G564" s="131"/>
      <c r="H564" s="131"/>
      <c r="I564" s="131"/>
      <c r="J564" s="219"/>
      <c r="K564" s="198"/>
      <c r="L564" s="131"/>
      <c r="M564" s="142"/>
      <c r="N564" s="131"/>
      <c r="O564" s="131"/>
      <c r="P564" s="131"/>
      <c r="Q564" s="131"/>
      <c r="R564" s="131"/>
      <c r="S564" s="131"/>
      <c r="T564" s="131"/>
      <c r="U564" s="131"/>
      <c r="V564" s="131"/>
      <c r="W564" s="131"/>
      <c r="X564" s="131"/>
      <c r="Y564" s="131"/>
      <c r="Z564" s="131"/>
      <c r="AA564" s="131"/>
      <c r="AB564" s="330"/>
      <c r="AC564" s="331"/>
      <c r="AD564" s="332"/>
      <c r="AE564" s="131"/>
      <c r="AF564" s="131"/>
      <c r="AG564" s="131"/>
      <c r="AH564" s="131"/>
      <c r="AI564" s="131"/>
      <c r="AJ564" s="131"/>
      <c r="AK564" s="131"/>
      <c r="AL564" s="131"/>
      <c r="AM564" s="131"/>
      <c r="AN564" s="131"/>
      <c r="AO564" s="142"/>
      <c r="AP564" s="131"/>
    </row>
    <row r="565" ht="13.5" customHeight="1">
      <c r="A565" s="142"/>
      <c r="B565" s="142"/>
      <c r="C565" s="142"/>
      <c r="D565" s="142"/>
      <c r="E565" s="132"/>
      <c r="F565" s="131"/>
      <c r="G565" s="131"/>
      <c r="H565" s="131"/>
      <c r="I565" s="131"/>
      <c r="J565" s="219"/>
      <c r="K565" s="198"/>
      <c r="L565" s="131"/>
      <c r="M565" s="142"/>
      <c r="N565" s="131"/>
      <c r="O565" s="131"/>
      <c r="P565" s="131"/>
      <c r="Q565" s="131"/>
      <c r="R565" s="131"/>
      <c r="S565" s="131"/>
      <c r="T565" s="131"/>
      <c r="U565" s="131"/>
      <c r="V565" s="131"/>
      <c r="W565" s="131"/>
      <c r="X565" s="131"/>
      <c r="Y565" s="131"/>
      <c r="Z565" s="131"/>
      <c r="AA565" s="131"/>
      <c r="AB565" s="330"/>
      <c r="AC565" s="331"/>
      <c r="AD565" s="332"/>
      <c r="AE565" s="131"/>
      <c r="AF565" s="131"/>
      <c r="AG565" s="131"/>
      <c r="AH565" s="131"/>
      <c r="AI565" s="131"/>
      <c r="AJ565" s="131"/>
      <c r="AK565" s="131"/>
      <c r="AL565" s="131"/>
      <c r="AM565" s="131"/>
      <c r="AN565" s="131"/>
      <c r="AO565" s="142"/>
      <c r="AP565" s="131"/>
    </row>
    <row r="566" ht="13.5" customHeight="1">
      <c r="A566" s="142"/>
      <c r="B566" s="142"/>
      <c r="C566" s="142"/>
      <c r="D566" s="142"/>
      <c r="E566" s="132"/>
      <c r="F566" s="131"/>
      <c r="G566" s="131"/>
      <c r="H566" s="131"/>
      <c r="I566" s="131"/>
      <c r="J566" s="219"/>
      <c r="K566" s="198"/>
      <c r="L566" s="131"/>
      <c r="M566" s="142"/>
      <c r="N566" s="131"/>
      <c r="O566" s="131"/>
      <c r="P566" s="131"/>
      <c r="Q566" s="131"/>
      <c r="R566" s="131"/>
      <c r="S566" s="131"/>
      <c r="T566" s="131"/>
      <c r="U566" s="131"/>
      <c r="V566" s="131"/>
      <c r="W566" s="131"/>
      <c r="X566" s="131"/>
      <c r="Y566" s="131"/>
      <c r="Z566" s="131"/>
      <c r="AA566" s="131"/>
      <c r="AB566" s="330"/>
      <c r="AC566" s="331"/>
      <c r="AD566" s="332"/>
      <c r="AE566" s="131"/>
      <c r="AF566" s="131"/>
      <c r="AG566" s="131"/>
      <c r="AH566" s="131"/>
      <c r="AI566" s="131"/>
      <c r="AJ566" s="131"/>
      <c r="AK566" s="131"/>
      <c r="AL566" s="131"/>
      <c r="AM566" s="131"/>
      <c r="AN566" s="131"/>
      <c r="AO566" s="142"/>
      <c r="AP566" s="131"/>
    </row>
    <row r="567" ht="13.5" customHeight="1">
      <c r="A567" s="142"/>
      <c r="B567" s="142"/>
      <c r="C567" s="142"/>
      <c r="D567" s="142"/>
      <c r="E567" s="132"/>
      <c r="F567" s="131"/>
      <c r="G567" s="131"/>
      <c r="H567" s="131"/>
      <c r="I567" s="131"/>
      <c r="J567" s="219"/>
      <c r="K567" s="198"/>
      <c r="L567" s="131"/>
      <c r="M567" s="142"/>
      <c r="N567" s="131"/>
      <c r="O567" s="131"/>
      <c r="P567" s="131"/>
      <c r="Q567" s="131"/>
      <c r="R567" s="131"/>
      <c r="S567" s="131"/>
      <c r="T567" s="131"/>
      <c r="U567" s="131"/>
      <c r="V567" s="131"/>
      <c r="W567" s="131"/>
      <c r="X567" s="131"/>
      <c r="Y567" s="131"/>
      <c r="Z567" s="131"/>
      <c r="AA567" s="131"/>
      <c r="AB567" s="330"/>
      <c r="AC567" s="331"/>
      <c r="AD567" s="332"/>
      <c r="AE567" s="131"/>
      <c r="AF567" s="131"/>
      <c r="AG567" s="131"/>
      <c r="AH567" s="131"/>
      <c r="AI567" s="131"/>
      <c r="AJ567" s="131"/>
      <c r="AK567" s="131"/>
      <c r="AL567" s="131"/>
      <c r="AM567" s="131"/>
      <c r="AN567" s="131"/>
      <c r="AO567" s="142"/>
      <c r="AP567" s="131"/>
    </row>
    <row r="568" ht="13.5" customHeight="1">
      <c r="A568" s="142"/>
      <c r="B568" s="142"/>
      <c r="C568" s="142"/>
      <c r="D568" s="142"/>
      <c r="E568" s="132"/>
      <c r="F568" s="131"/>
      <c r="G568" s="131"/>
      <c r="H568" s="131"/>
      <c r="I568" s="131"/>
      <c r="J568" s="219"/>
      <c r="K568" s="198"/>
      <c r="L568" s="131"/>
      <c r="M568" s="142"/>
      <c r="N568" s="131"/>
      <c r="O568" s="131"/>
      <c r="P568" s="131"/>
      <c r="Q568" s="131"/>
      <c r="R568" s="131"/>
      <c r="S568" s="131"/>
      <c r="T568" s="131"/>
      <c r="U568" s="131"/>
      <c r="V568" s="131"/>
      <c r="W568" s="131"/>
      <c r="X568" s="131"/>
      <c r="Y568" s="131"/>
      <c r="Z568" s="131"/>
      <c r="AA568" s="131"/>
      <c r="AB568" s="330"/>
      <c r="AC568" s="331"/>
      <c r="AD568" s="332"/>
      <c r="AE568" s="131"/>
      <c r="AF568" s="131"/>
      <c r="AG568" s="131"/>
      <c r="AH568" s="131"/>
      <c r="AI568" s="131"/>
      <c r="AJ568" s="131"/>
      <c r="AK568" s="131"/>
      <c r="AL568" s="131"/>
      <c r="AM568" s="131"/>
      <c r="AN568" s="131"/>
      <c r="AO568" s="142"/>
      <c r="AP568" s="131"/>
    </row>
    <row r="569" ht="13.5" customHeight="1">
      <c r="A569" s="142"/>
      <c r="B569" s="142"/>
      <c r="C569" s="142"/>
      <c r="D569" s="142"/>
      <c r="E569" s="132"/>
      <c r="F569" s="131"/>
      <c r="G569" s="131"/>
      <c r="H569" s="131"/>
      <c r="I569" s="131"/>
      <c r="J569" s="219"/>
      <c r="K569" s="198"/>
      <c r="L569" s="131"/>
      <c r="M569" s="142"/>
      <c r="N569" s="131"/>
      <c r="O569" s="131"/>
      <c r="P569" s="131"/>
      <c r="Q569" s="131"/>
      <c r="R569" s="131"/>
      <c r="S569" s="131"/>
      <c r="T569" s="131"/>
      <c r="U569" s="131"/>
      <c r="V569" s="131"/>
      <c r="W569" s="131"/>
      <c r="X569" s="131"/>
      <c r="Y569" s="131"/>
      <c r="Z569" s="131"/>
      <c r="AA569" s="131"/>
      <c r="AB569" s="330"/>
      <c r="AC569" s="331"/>
      <c r="AD569" s="332"/>
      <c r="AE569" s="131"/>
      <c r="AF569" s="131"/>
      <c r="AG569" s="131"/>
      <c r="AH569" s="131"/>
      <c r="AI569" s="131"/>
      <c r="AJ569" s="131"/>
      <c r="AK569" s="131"/>
      <c r="AL569" s="131"/>
      <c r="AM569" s="131"/>
      <c r="AN569" s="131"/>
      <c r="AO569" s="142"/>
      <c r="AP569" s="131"/>
    </row>
    <row r="570" ht="13.5" customHeight="1">
      <c r="A570" s="142"/>
      <c r="B570" s="142"/>
      <c r="C570" s="142"/>
      <c r="D570" s="142"/>
      <c r="E570" s="132"/>
      <c r="F570" s="131"/>
      <c r="G570" s="131"/>
      <c r="H570" s="131"/>
      <c r="I570" s="131"/>
      <c r="J570" s="219"/>
      <c r="K570" s="198"/>
      <c r="L570" s="131"/>
      <c r="M570" s="142"/>
      <c r="N570" s="131"/>
      <c r="O570" s="131"/>
      <c r="P570" s="131"/>
      <c r="Q570" s="131"/>
      <c r="R570" s="131"/>
      <c r="S570" s="131"/>
      <c r="T570" s="131"/>
      <c r="U570" s="131"/>
      <c r="V570" s="131"/>
      <c r="W570" s="131"/>
      <c r="X570" s="131"/>
      <c r="Y570" s="131"/>
      <c r="Z570" s="131"/>
      <c r="AA570" s="131"/>
      <c r="AB570" s="330"/>
      <c r="AC570" s="331"/>
      <c r="AD570" s="332"/>
      <c r="AE570" s="131"/>
      <c r="AF570" s="131"/>
      <c r="AG570" s="131"/>
      <c r="AH570" s="131"/>
      <c r="AI570" s="131"/>
      <c r="AJ570" s="131"/>
      <c r="AK570" s="131"/>
      <c r="AL570" s="131"/>
      <c r="AM570" s="131"/>
      <c r="AN570" s="131"/>
      <c r="AO570" s="142"/>
      <c r="AP570" s="131"/>
    </row>
    <row r="571" ht="13.5" customHeight="1">
      <c r="A571" s="142"/>
      <c r="B571" s="142"/>
      <c r="C571" s="142"/>
      <c r="D571" s="142"/>
      <c r="E571" s="132"/>
      <c r="F571" s="131"/>
      <c r="G571" s="131"/>
      <c r="H571" s="131"/>
      <c r="I571" s="131"/>
      <c r="J571" s="219"/>
      <c r="K571" s="198"/>
      <c r="L571" s="131"/>
      <c r="M571" s="142"/>
      <c r="N571" s="131"/>
      <c r="O571" s="131"/>
      <c r="P571" s="131"/>
      <c r="Q571" s="131"/>
      <c r="R571" s="131"/>
      <c r="S571" s="131"/>
      <c r="T571" s="131"/>
      <c r="U571" s="131"/>
      <c r="V571" s="131"/>
      <c r="W571" s="131"/>
      <c r="X571" s="131"/>
      <c r="Y571" s="131"/>
      <c r="Z571" s="131"/>
      <c r="AA571" s="131"/>
      <c r="AB571" s="330"/>
      <c r="AC571" s="331"/>
      <c r="AD571" s="332"/>
      <c r="AE571" s="131"/>
      <c r="AF571" s="131"/>
      <c r="AG571" s="131"/>
      <c r="AH571" s="131"/>
      <c r="AI571" s="131"/>
      <c r="AJ571" s="131"/>
      <c r="AK571" s="131"/>
      <c r="AL571" s="131"/>
      <c r="AM571" s="131"/>
      <c r="AN571" s="131"/>
      <c r="AO571" s="142"/>
      <c r="AP571" s="131"/>
    </row>
    <row r="572" ht="13.5" customHeight="1">
      <c r="A572" s="142"/>
      <c r="B572" s="142"/>
      <c r="C572" s="142"/>
      <c r="D572" s="142"/>
      <c r="E572" s="132"/>
      <c r="F572" s="131"/>
      <c r="G572" s="131"/>
      <c r="H572" s="131"/>
      <c r="I572" s="131"/>
      <c r="J572" s="219"/>
      <c r="K572" s="198"/>
      <c r="L572" s="131"/>
      <c r="M572" s="142"/>
      <c r="N572" s="131"/>
      <c r="O572" s="131"/>
      <c r="P572" s="131"/>
      <c r="Q572" s="131"/>
      <c r="R572" s="131"/>
      <c r="S572" s="131"/>
      <c r="T572" s="131"/>
      <c r="U572" s="131"/>
      <c r="V572" s="131"/>
      <c r="W572" s="131"/>
      <c r="X572" s="131"/>
      <c r="Y572" s="131"/>
      <c r="Z572" s="131"/>
      <c r="AA572" s="131"/>
      <c r="AB572" s="330"/>
      <c r="AC572" s="331"/>
      <c r="AD572" s="332"/>
      <c r="AE572" s="131"/>
      <c r="AF572" s="131"/>
      <c r="AG572" s="131"/>
      <c r="AH572" s="131"/>
      <c r="AI572" s="131"/>
      <c r="AJ572" s="131"/>
      <c r="AK572" s="131"/>
      <c r="AL572" s="131"/>
      <c r="AM572" s="131"/>
      <c r="AN572" s="131"/>
      <c r="AO572" s="142"/>
      <c r="AP572" s="131"/>
    </row>
    <row r="573" ht="13.5" customHeight="1">
      <c r="A573" s="142"/>
      <c r="B573" s="142"/>
      <c r="C573" s="142"/>
      <c r="D573" s="142"/>
      <c r="E573" s="132"/>
      <c r="F573" s="131"/>
      <c r="G573" s="131"/>
      <c r="H573" s="131"/>
      <c r="I573" s="131"/>
      <c r="J573" s="219"/>
      <c r="K573" s="198"/>
      <c r="L573" s="131"/>
      <c r="M573" s="142"/>
      <c r="N573" s="131"/>
      <c r="O573" s="131"/>
      <c r="P573" s="131"/>
      <c r="Q573" s="131"/>
      <c r="R573" s="131"/>
      <c r="S573" s="131"/>
      <c r="T573" s="131"/>
      <c r="U573" s="131"/>
      <c r="V573" s="131"/>
      <c r="W573" s="131"/>
      <c r="X573" s="131"/>
      <c r="Y573" s="131"/>
      <c r="Z573" s="131"/>
      <c r="AA573" s="131"/>
      <c r="AB573" s="330"/>
      <c r="AC573" s="331"/>
      <c r="AD573" s="332"/>
      <c r="AE573" s="131"/>
      <c r="AF573" s="131"/>
      <c r="AG573" s="131"/>
      <c r="AH573" s="131"/>
      <c r="AI573" s="131"/>
      <c r="AJ573" s="131"/>
      <c r="AK573" s="131"/>
      <c r="AL573" s="131"/>
      <c r="AM573" s="131"/>
      <c r="AN573" s="131"/>
      <c r="AO573" s="142"/>
      <c r="AP573" s="131"/>
    </row>
    <row r="574" ht="13.5" customHeight="1">
      <c r="A574" s="142"/>
      <c r="B574" s="142"/>
      <c r="C574" s="142"/>
      <c r="D574" s="142"/>
      <c r="E574" s="132"/>
      <c r="F574" s="131"/>
      <c r="G574" s="131"/>
      <c r="H574" s="131"/>
      <c r="I574" s="131"/>
      <c r="J574" s="219"/>
      <c r="K574" s="198"/>
      <c r="L574" s="131"/>
      <c r="M574" s="142"/>
      <c r="N574" s="131"/>
      <c r="O574" s="131"/>
      <c r="P574" s="131"/>
      <c r="Q574" s="131"/>
      <c r="R574" s="131"/>
      <c r="S574" s="131"/>
      <c r="T574" s="131"/>
      <c r="U574" s="131"/>
      <c r="V574" s="131"/>
      <c r="W574" s="131"/>
      <c r="X574" s="131"/>
      <c r="Y574" s="131"/>
      <c r="Z574" s="131"/>
      <c r="AA574" s="131"/>
      <c r="AB574" s="330"/>
      <c r="AC574" s="331"/>
      <c r="AD574" s="332"/>
      <c r="AE574" s="131"/>
      <c r="AF574" s="131"/>
      <c r="AG574" s="131"/>
      <c r="AH574" s="131"/>
      <c r="AI574" s="131"/>
      <c r="AJ574" s="131"/>
      <c r="AK574" s="131"/>
      <c r="AL574" s="131"/>
      <c r="AM574" s="131"/>
      <c r="AN574" s="131"/>
      <c r="AO574" s="142"/>
      <c r="AP574" s="131"/>
    </row>
    <row r="575" ht="13.5" customHeight="1">
      <c r="A575" s="142"/>
      <c r="B575" s="142"/>
      <c r="C575" s="142"/>
      <c r="D575" s="142"/>
      <c r="E575" s="132"/>
      <c r="F575" s="131"/>
      <c r="G575" s="131"/>
      <c r="H575" s="131"/>
      <c r="I575" s="131"/>
      <c r="J575" s="219"/>
      <c r="K575" s="198"/>
      <c r="L575" s="131"/>
      <c r="M575" s="142"/>
      <c r="N575" s="131"/>
      <c r="O575" s="131"/>
      <c r="P575" s="131"/>
      <c r="Q575" s="131"/>
      <c r="R575" s="131"/>
      <c r="S575" s="131"/>
      <c r="T575" s="131"/>
      <c r="U575" s="131"/>
      <c r="V575" s="131"/>
      <c r="W575" s="131"/>
      <c r="X575" s="131"/>
      <c r="Y575" s="131"/>
      <c r="Z575" s="131"/>
      <c r="AA575" s="131"/>
      <c r="AB575" s="330"/>
      <c r="AC575" s="331"/>
      <c r="AD575" s="332"/>
      <c r="AE575" s="131"/>
      <c r="AF575" s="131"/>
      <c r="AG575" s="131"/>
      <c r="AH575" s="131"/>
      <c r="AI575" s="131"/>
      <c r="AJ575" s="131"/>
      <c r="AK575" s="131"/>
      <c r="AL575" s="131"/>
      <c r="AM575" s="131"/>
      <c r="AN575" s="131"/>
      <c r="AO575" s="142"/>
      <c r="AP575" s="131"/>
    </row>
    <row r="576" ht="13.5" customHeight="1">
      <c r="A576" s="142"/>
      <c r="B576" s="142"/>
      <c r="C576" s="142"/>
      <c r="D576" s="142"/>
      <c r="E576" s="132"/>
      <c r="F576" s="131"/>
      <c r="G576" s="131"/>
      <c r="H576" s="131"/>
      <c r="I576" s="131"/>
      <c r="J576" s="219"/>
      <c r="K576" s="198"/>
      <c r="L576" s="131"/>
      <c r="M576" s="142"/>
      <c r="N576" s="131"/>
      <c r="O576" s="131"/>
      <c r="P576" s="131"/>
      <c r="Q576" s="131"/>
      <c r="R576" s="131"/>
      <c r="S576" s="131"/>
      <c r="T576" s="131"/>
      <c r="U576" s="131"/>
      <c r="V576" s="131"/>
      <c r="W576" s="131"/>
      <c r="X576" s="131"/>
      <c r="Y576" s="131"/>
      <c r="Z576" s="131"/>
      <c r="AA576" s="131"/>
      <c r="AB576" s="330"/>
      <c r="AC576" s="331"/>
      <c r="AD576" s="332"/>
      <c r="AE576" s="131"/>
      <c r="AF576" s="131"/>
      <c r="AG576" s="131"/>
      <c r="AH576" s="131"/>
      <c r="AI576" s="131"/>
      <c r="AJ576" s="131"/>
      <c r="AK576" s="131"/>
      <c r="AL576" s="131"/>
      <c r="AM576" s="131"/>
      <c r="AN576" s="131"/>
      <c r="AO576" s="142"/>
      <c r="AP576" s="131"/>
    </row>
    <row r="577" ht="13.5" customHeight="1">
      <c r="A577" s="142"/>
      <c r="B577" s="142"/>
      <c r="C577" s="142"/>
      <c r="D577" s="142"/>
      <c r="E577" s="132"/>
      <c r="F577" s="131"/>
      <c r="G577" s="131"/>
      <c r="H577" s="131"/>
      <c r="I577" s="131"/>
      <c r="J577" s="219"/>
      <c r="K577" s="198"/>
      <c r="L577" s="131"/>
      <c r="M577" s="142"/>
      <c r="N577" s="131"/>
      <c r="O577" s="131"/>
      <c r="P577" s="131"/>
      <c r="Q577" s="131"/>
      <c r="R577" s="131"/>
      <c r="S577" s="131"/>
      <c r="T577" s="131"/>
      <c r="U577" s="131"/>
      <c r="V577" s="131"/>
      <c r="W577" s="131"/>
      <c r="X577" s="131"/>
      <c r="Y577" s="131"/>
      <c r="Z577" s="131"/>
      <c r="AA577" s="131"/>
      <c r="AB577" s="330"/>
      <c r="AC577" s="331"/>
      <c r="AD577" s="332"/>
      <c r="AE577" s="131"/>
      <c r="AF577" s="131"/>
      <c r="AG577" s="131"/>
      <c r="AH577" s="131"/>
      <c r="AI577" s="131"/>
      <c r="AJ577" s="131"/>
      <c r="AK577" s="131"/>
      <c r="AL577" s="131"/>
      <c r="AM577" s="131"/>
      <c r="AN577" s="131"/>
      <c r="AO577" s="142"/>
      <c r="AP577" s="131"/>
    </row>
    <row r="578" ht="13.5" customHeight="1">
      <c r="A578" s="142"/>
      <c r="B578" s="142"/>
      <c r="C578" s="142"/>
      <c r="D578" s="142"/>
      <c r="E578" s="132"/>
      <c r="F578" s="131"/>
      <c r="G578" s="131"/>
      <c r="H578" s="131"/>
      <c r="I578" s="131"/>
      <c r="J578" s="219"/>
      <c r="K578" s="198"/>
      <c r="L578" s="131"/>
      <c r="M578" s="142"/>
      <c r="N578" s="131"/>
      <c r="O578" s="131"/>
      <c r="P578" s="131"/>
      <c r="Q578" s="131"/>
      <c r="R578" s="131"/>
      <c r="S578" s="131"/>
      <c r="T578" s="131"/>
      <c r="U578" s="131"/>
      <c r="V578" s="131"/>
      <c r="W578" s="131"/>
      <c r="X578" s="131"/>
      <c r="Y578" s="131"/>
      <c r="Z578" s="131"/>
      <c r="AA578" s="131"/>
      <c r="AB578" s="330"/>
      <c r="AC578" s="331"/>
      <c r="AD578" s="332"/>
      <c r="AE578" s="131"/>
      <c r="AF578" s="131"/>
      <c r="AG578" s="131"/>
      <c r="AH578" s="131"/>
      <c r="AI578" s="131"/>
      <c r="AJ578" s="131"/>
      <c r="AK578" s="131"/>
      <c r="AL578" s="131"/>
      <c r="AM578" s="131"/>
      <c r="AN578" s="131"/>
      <c r="AO578" s="142"/>
      <c r="AP578" s="131"/>
    </row>
    <row r="579" ht="13.5" customHeight="1">
      <c r="A579" s="142"/>
      <c r="B579" s="142"/>
      <c r="C579" s="142"/>
      <c r="D579" s="142"/>
      <c r="E579" s="132"/>
      <c r="F579" s="131"/>
      <c r="G579" s="131"/>
      <c r="H579" s="131"/>
      <c r="I579" s="131"/>
      <c r="J579" s="219"/>
      <c r="K579" s="198"/>
      <c r="L579" s="131"/>
      <c r="M579" s="142"/>
      <c r="N579" s="131"/>
      <c r="O579" s="131"/>
      <c r="P579" s="131"/>
      <c r="Q579" s="131"/>
      <c r="R579" s="131"/>
      <c r="S579" s="131"/>
      <c r="T579" s="131"/>
      <c r="U579" s="131"/>
      <c r="V579" s="131"/>
      <c r="W579" s="131"/>
      <c r="X579" s="131"/>
      <c r="Y579" s="131"/>
      <c r="Z579" s="131"/>
      <c r="AA579" s="131"/>
      <c r="AB579" s="330"/>
      <c r="AC579" s="331"/>
      <c r="AD579" s="332"/>
      <c r="AE579" s="131"/>
      <c r="AF579" s="131"/>
      <c r="AG579" s="131"/>
      <c r="AH579" s="131"/>
      <c r="AI579" s="131"/>
      <c r="AJ579" s="131"/>
      <c r="AK579" s="131"/>
      <c r="AL579" s="131"/>
      <c r="AM579" s="131"/>
      <c r="AN579" s="131"/>
      <c r="AO579" s="142"/>
      <c r="AP579" s="131"/>
    </row>
    <row r="580" ht="13.5" customHeight="1">
      <c r="A580" s="142"/>
      <c r="B580" s="142"/>
      <c r="C580" s="142"/>
      <c r="D580" s="142"/>
      <c r="E580" s="132"/>
      <c r="F580" s="131"/>
      <c r="G580" s="131"/>
      <c r="H580" s="131"/>
      <c r="I580" s="131"/>
      <c r="J580" s="219"/>
      <c r="K580" s="198"/>
      <c r="L580" s="131"/>
      <c r="M580" s="142"/>
      <c r="N580" s="131"/>
      <c r="O580" s="131"/>
      <c r="P580" s="131"/>
      <c r="Q580" s="131"/>
      <c r="R580" s="131"/>
      <c r="S580" s="131"/>
      <c r="T580" s="131"/>
      <c r="U580" s="131"/>
      <c r="V580" s="131"/>
      <c r="W580" s="131"/>
      <c r="X580" s="131"/>
      <c r="Y580" s="131"/>
      <c r="Z580" s="131"/>
      <c r="AA580" s="131"/>
      <c r="AB580" s="330"/>
      <c r="AC580" s="331"/>
      <c r="AD580" s="332"/>
      <c r="AE580" s="131"/>
      <c r="AF580" s="131"/>
      <c r="AG580" s="131"/>
      <c r="AH580" s="131"/>
      <c r="AI580" s="131"/>
      <c r="AJ580" s="131"/>
      <c r="AK580" s="131"/>
      <c r="AL580" s="131"/>
      <c r="AM580" s="131"/>
      <c r="AN580" s="131"/>
      <c r="AO580" s="142"/>
      <c r="AP580" s="131"/>
    </row>
    <row r="581" ht="13.5" customHeight="1">
      <c r="A581" s="142"/>
      <c r="B581" s="142"/>
      <c r="C581" s="142"/>
      <c r="D581" s="142"/>
      <c r="E581" s="132"/>
      <c r="F581" s="131"/>
      <c r="G581" s="131"/>
      <c r="H581" s="131"/>
      <c r="I581" s="131"/>
      <c r="J581" s="219"/>
      <c r="K581" s="198"/>
      <c r="L581" s="131"/>
      <c r="M581" s="142"/>
      <c r="N581" s="131"/>
      <c r="O581" s="131"/>
      <c r="P581" s="131"/>
      <c r="Q581" s="131"/>
      <c r="R581" s="131"/>
      <c r="S581" s="131"/>
      <c r="T581" s="131"/>
      <c r="U581" s="131"/>
      <c r="V581" s="131"/>
      <c r="W581" s="131"/>
      <c r="X581" s="131"/>
      <c r="Y581" s="131"/>
      <c r="Z581" s="131"/>
      <c r="AA581" s="131"/>
      <c r="AB581" s="330"/>
      <c r="AC581" s="331"/>
      <c r="AD581" s="332"/>
      <c r="AE581" s="131"/>
      <c r="AF581" s="131"/>
      <c r="AG581" s="131"/>
      <c r="AH581" s="131"/>
      <c r="AI581" s="131"/>
      <c r="AJ581" s="131"/>
      <c r="AK581" s="131"/>
      <c r="AL581" s="131"/>
      <c r="AM581" s="131"/>
      <c r="AN581" s="131"/>
      <c r="AO581" s="142"/>
      <c r="AP581" s="131"/>
    </row>
    <row r="582" ht="13.5" customHeight="1">
      <c r="A582" s="142"/>
      <c r="B582" s="142"/>
      <c r="C582" s="142"/>
      <c r="D582" s="142"/>
      <c r="E582" s="132"/>
      <c r="F582" s="131"/>
      <c r="G582" s="131"/>
      <c r="H582" s="131"/>
      <c r="I582" s="131"/>
      <c r="J582" s="219"/>
      <c r="K582" s="198"/>
      <c r="L582" s="131"/>
      <c r="M582" s="142"/>
      <c r="N582" s="131"/>
      <c r="O582" s="131"/>
      <c r="P582" s="131"/>
      <c r="Q582" s="131"/>
      <c r="R582" s="131"/>
      <c r="S582" s="131"/>
      <c r="T582" s="131"/>
      <c r="U582" s="131"/>
      <c r="V582" s="131"/>
      <c r="W582" s="131"/>
      <c r="X582" s="131"/>
      <c r="Y582" s="131"/>
      <c r="Z582" s="131"/>
      <c r="AA582" s="131"/>
      <c r="AB582" s="330"/>
      <c r="AC582" s="331"/>
      <c r="AD582" s="332"/>
      <c r="AE582" s="131"/>
      <c r="AF582" s="131"/>
      <c r="AG582" s="131"/>
      <c r="AH582" s="131"/>
      <c r="AI582" s="131"/>
      <c r="AJ582" s="131"/>
      <c r="AK582" s="131"/>
      <c r="AL582" s="131"/>
      <c r="AM582" s="131"/>
      <c r="AN582" s="131"/>
      <c r="AO582" s="142"/>
      <c r="AP582" s="131"/>
    </row>
    <row r="583" ht="13.5" customHeight="1">
      <c r="A583" s="142"/>
      <c r="B583" s="142"/>
      <c r="C583" s="142"/>
      <c r="D583" s="142"/>
      <c r="E583" s="132"/>
      <c r="F583" s="131"/>
      <c r="G583" s="131"/>
      <c r="H583" s="131"/>
      <c r="I583" s="131"/>
      <c r="J583" s="219"/>
      <c r="K583" s="198"/>
      <c r="L583" s="131"/>
      <c r="M583" s="142"/>
      <c r="N583" s="131"/>
      <c r="O583" s="131"/>
      <c r="P583" s="131"/>
      <c r="Q583" s="131"/>
      <c r="R583" s="131"/>
      <c r="S583" s="131"/>
      <c r="T583" s="131"/>
      <c r="U583" s="131"/>
      <c r="V583" s="131"/>
      <c r="W583" s="131"/>
      <c r="X583" s="131"/>
      <c r="Y583" s="131"/>
      <c r="Z583" s="131"/>
      <c r="AA583" s="131"/>
      <c r="AB583" s="330"/>
      <c r="AC583" s="331"/>
      <c r="AD583" s="332"/>
      <c r="AE583" s="131"/>
      <c r="AF583" s="131"/>
      <c r="AG583" s="131"/>
      <c r="AH583" s="131"/>
      <c r="AI583" s="131"/>
      <c r="AJ583" s="131"/>
      <c r="AK583" s="131"/>
      <c r="AL583" s="131"/>
      <c r="AM583" s="131"/>
      <c r="AN583" s="131"/>
      <c r="AO583" s="142"/>
      <c r="AP583" s="131"/>
    </row>
    <row r="584" ht="13.5" customHeight="1">
      <c r="A584" s="142"/>
      <c r="B584" s="142"/>
      <c r="C584" s="142"/>
      <c r="D584" s="142"/>
      <c r="E584" s="132"/>
      <c r="F584" s="131"/>
      <c r="G584" s="131"/>
      <c r="H584" s="131"/>
      <c r="I584" s="131"/>
      <c r="J584" s="219"/>
      <c r="K584" s="198"/>
      <c r="L584" s="131"/>
      <c r="M584" s="142"/>
      <c r="N584" s="131"/>
      <c r="O584" s="131"/>
      <c r="P584" s="131"/>
      <c r="Q584" s="131"/>
      <c r="R584" s="131"/>
      <c r="S584" s="131"/>
      <c r="T584" s="131"/>
      <c r="U584" s="131"/>
      <c r="V584" s="131"/>
      <c r="W584" s="131"/>
      <c r="X584" s="131"/>
      <c r="Y584" s="131"/>
      <c r="Z584" s="131"/>
      <c r="AA584" s="131"/>
      <c r="AB584" s="330"/>
      <c r="AC584" s="331"/>
      <c r="AD584" s="332"/>
      <c r="AE584" s="131"/>
      <c r="AF584" s="131"/>
      <c r="AG584" s="131"/>
      <c r="AH584" s="131"/>
      <c r="AI584" s="131"/>
      <c r="AJ584" s="131"/>
      <c r="AK584" s="131"/>
      <c r="AL584" s="131"/>
      <c r="AM584" s="131"/>
      <c r="AN584" s="131"/>
      <c r="AO584" s="142"/>
      <c r="AP584" s="131"/>
    </row>
    <row r="585" ht="13.5" customHeight="1">
      <c r="A585" s="142"/>
      <c r="B585" s="142"/>
      <c r="C585" s="142"/>
      <c r="D585" s="142"/>
      <c r="E585" s="132"/>
      <c r="F585" s="131"/>
      <c r="G585" s="131"/>
      <c r="H585" s="131"/>
      <c r="I585" s="131"/>
      <c r="J585" s="219"/>
      <c r="K585" s="198"/>
      <c r="L585" s="131"/>
      <c r="M585" s="142"/>
      <c r="N585" s="131"/>
      <c r="O585" s="131"/>
      <c r="P585" s="131"/>
      <c r="Q585" s="131"/>
      <c r="R585" s="131"/>
      <c r="S585" s="131"/>
      <c r="T585" s="131"/>
      <c r="U585" s="131"/>
      <c r="V585" s="131"/>
      <c r="W585" s="131"/>
      <c r="X585" s="131"/>
      <c r="Y585" s="131"/>
      <c r="Z585" s="131"/>
      <c r="AA585" s="131"/>
      <c r="AB585" s="330"/>
      <c r="AC585" s="331"/>
      <c r="AD585" s="332"/>
      <c r="AE585" s="131"/>
      <c r="AF585" s="131"/>
      <c r="AG585" s="131"/>
      <c r="AH585" s="131"/>
      <c r="AI585" s="131"/>
      <c r="AJ585" s="131"/>
      <c r="AK585" s="131"/>
      <c r="AL585" s="131"/>
      <c r="AM585" s="131"/>
      <c r="AN585" s="131"/>
      <c r="AO585" s="142"/>
      <c r="AP585" s="131"/>
    </row>
    <row r="586" ht="13.5" customHeight="1">
      <c r="A586" s="142"/>
      <c r="B586" s="142"/>
      <c r="C586" s="142"/>
      <c r="D586" s="142"/>
      <c r="E586" s="132"/>
      <c r="F586" s="131"/>
      <c r="G586" s="131"/>
      <c r="H586" s="131"/>
      <c r="I586" s="131"/>
      <c r="J586" s="219"/>
      <c r="K586" s="198"/>
      <c r="L586" s="131"/>
      <c r="M586" s="142"/>
      <c r="N586" s="131"/>
      <c r="O586" s="131"/>
      <c r="P586" s="131"/>
      <c r="Q586" s="131"/>
      <c r="R586" s="131"/>
      <c r="S586" s="131"/>
      <c r="T586" s="131"/>
      <c r="U586" s="131"/>
      <c r="V586" s="131"/>
      <c r="W586" s="131"/>
      <c r="X586" s="131"/>
      <c r="Y586" s="131"/>
      <c r="Z586" s="131"/>
      <c r="AA586" s="131"/>
      <c r="AB586" s="330"/>
      <c r="AC586" s="331"/>
      <c r="AD586" s="332"/>
      <c r="AE586" s="131"/>
      <c r="AF586" s="131"/>
      <c r="AG586" s="131"/>
      <c r="AH586" s="131"/>
      <c r="AI586" s="131"/>
      <c r="AJ586" s="131"/>
      <c r="AK586" s="131"/>
      <c r="AL586" s="131"/>
      <c r="AM586" s="131"/>
      <c r="AN586" s="131"/>
      <c r="AO586" s="142"/>
      <c r="AP586" s="131"/>
    </row>
    <row r="587" ht="13.5" customHeight="1">
      <c r="A587" s="142"/>
      <c r="B587" s="142"/>
      <c r="C587" s="142"/>
      <c r="D587" s="142"/>
      <c r="E587" s="132"/>
      <c r="F587" s="131"/>
      <c r="G587" s="131"/>
      <c r="H587" s="131"/>
      <c r="I587" s="131"/>
      <c r="J587" s="219"/>
      <c r="K587" s="198"/>
      <c r="L587" s="131"/>
      <c r="M587" s="142"/>
      <c r="N587" s="131"/>
      <c r="O587" s="131"/>
      <c r="P587" s="131"/>
      <c r="Q587" s="131"/>
      <c r="R587" s="131"/>
      <c r="S587" s="131"/>
      <c r="T587" s="131"/>
      <c r="U587" s="131"/>
      <c r="V587" s="131"/>
      <c r="W587" s="131"/>
      <c r="X587" s="131"/>
      <c r="Y587" s="131"/>
      <c r="Z587" s="131"/>
      <c r="AA587" s="131"/>
      <c r="AB587" s="330"/>
      <c r="AC587" s="331"/>
      <c r="AD587" s="332"/>
      <c r="AE587" s="131"/>
      <c r="AF587" s="131"/>
      <c r="AG587" s="131"/>
      <c r="AH587" s="131"/>
      <c r="AI587" s="131"/>
      <c r="AJ587" s="131"/>
      <c r="AK587" s="131"/>
      <c r="AL587" s="131"/>
      <c r="AM587" s="131"/>
      <c r="AN587" s="131"/>
      <c r="AO587" s="142"/>
      <c r="AP587" s="131"/>
    </row>
    <row r="588" ht="13.5" customHeight="1">
      <c r="A588" s="142"/>
      <c r="B588" s="142"/>
      <c r="C588" s="142"/>
      <c r="D588" s="142"/>
      <c r="E588" s="132"/>
      <c r="F588" s="131"/>
      <c r="G588" s="131"/>
      <c r="H588" s="131"/>
      <c r="I588" s="131"/>
      <c r="J588" s="219"/>
      <c r="K588" s="198"/>
      <c r="L588" s="131"/>
      <c r="M588" s="142"/>
      <c r="N588" s="131"/>
      <c r="O588" s="131"/>
      <c r="P588" s="131"/>
      <c r="Q588" s="131"/>
      <c r="R588" s="131"/>
      <c r="S588" s="131"/>
      <c r="T588" s="131"/>
      <c r="U588" s="131"/>
      <c r="V588" s="131"/>
      <c r="W588" s="131"/>
      <c r="X588" s="131"/>
      <c r="Y588" s="131"/>
      <c r="Z588" s="131"/>
      <c r="AA588" s="131"/>
      <c r="AB588" s="330"/>
      <c r="AC588" s="331"/>
      <c r="AD588" s="332"/>
      <c r="AE588" s="131"/>
      <c r="AF588" s="131"/>
      <c r="AG588" s="131"/>
      <c r="AH588" s="131"/>
      <c r="AI588" s="131"/>
      <c r="AJ588" s="131"/>
      <c r="AK588" s="131"/>
      <c r="AL588" s="131"/>
      <c r="AM588" s="131"/>
      <c r="AN588" s="131"/>
      <c r="AO588" s="142"/>
      <c r="AP588" s="131"/>
    </row>
    <row r="589" ht="13.5" customHeight="1">
      <c r="A589" s="142"/>
      <c r="B589" s="142"/>
      <c r="C589" s="142"/>
      <c r="D589" s="142"/>
      <c r="E589" s="132"/>
      <c r="F589" s="131"/>
      <c r="G589" s="131"/>
      <c r="H589" s="131"/>
      <c r="I589" s="131"/>
      <c r="J589" s="219"/>
      <c r="K589" s="198"/>
      <c r="L589" s="131"/>
      <c r="M589" s="142"/>
      <c r="N589" s="131"/>
      <c r="O589" s="131"/>
      <c r="P589" s="131"/>
      <c r="Q589" s="131"/>
      <c r="R589" s="131"/>
      <c r="S589" s="131"/>
      <c r="T589" s="131"/>
      <c r="U589" s="131"/>
      <c r="V589" s="131"/>
      <c r="W589" s="131"/>
      <c r="X589" s="131"/>
      <c r="Y589" s="131"/>
      <c r="Z589" s="131"/>
      <c r="AA589" s="131"/>
      <c r="AB589" s="330"/>
      <c r="AC589" s="331"/>
      <c r="AD589" s="332"/>
      <c r="AE589" s="131"/>
      <c r="AF589" s="131"/>
      <c r="AG589" s="131"/>
      <c r="AH589" s="131"/>
      <c r="AI589" s="131"/>
      <c r="AJ589" s="131"/>
      <c r="AK589" s="131"/>
      <c r="AL589" s="131"/>
      <c r="AM589" s="131"/>
      <c r="AN589" s="131"/>
      <c r="AO589" s="142"/>
      <c r="AP589" s="131"/>
    </row>
    <row r="590" ht="13.5" customHeight="1">
      <c r="A590" s="142"/>
      <c r="B590" s="142"/>
      <c r="C590" s="142"/>
      <c r="D590" s="142"/>
      <c r="E590" s="132"/>
      <c r="F590" s="131"/>
      <c r="G590" s="131"/>
      <c r="H590" s="131"/>
      <c r="I590" s="131"/>
      <c r="J590" s="219"/>
      <c r="K590" s="198"/>
      <c r="L590" s="131"/>
      <c r="M590" s="142"/>
      <c r="N590" s="131"/>
      <c r="O590" s="131"/>
      <c r="P590" s="131"/>
      <c r="Q590" s="131"/>
      <c r="R590" s="131"/>
      <c r="S590" s="131"/>
      <c r="T590" s="131"/>
      <c r="U590" s="131"/>
      <c r="V590" s="131"/>
      <c r="W590" s="131"/>
      <c r="X590" s="131"/>
      <c r="Y590" s="131"/>
      <c r="Z590" s="131"/>
      <c r="AA590" s="131"/>
      <c r="AB590" s="330"/>
      <c r="AC590" s="331"/>
      <c r="AD590" s="332"/>
      <c r="AE590" s="131"/>
      <c r="AF590" s="131"/>
      <c r="AG590" s="131"/>
      <c r="AH590" s="131"/>
      <c r="AI590" s="131"/>
      <c r="AJ590" s="131"/>
      <c r="AK590" s="131"/>
      <c r="AL590" s="131"/>
      <c r="AM590" s="131"/>
      <c r="AN590" s="131"/>
      <c r="AO590" s="142"/>
      <c r="AP590" s="131"/>
    </row>
    <row r="591" ht="13.5" customHeight="1">
      <c r="A591" s="142"/>
      <c r="B591" s="142"/>
      <c r="C591" s="142"/>
      <c r="D591" s="142"/>
      <c r="E591" s="132"/>
      <c r="F591" s="131"/>
      <c r="G591" s="131"/>
      <c r="H591" s="131"/>
      <c r="I591" s="131"/>
      <c r="J591" s="219"/>
      <c r="K591" s="198"/>
      <c r="L591" s="131"/>
      <c r="M591" s="142"/>
      <c r="N591" s="131"/>
      <c r="O591" s="131"/>
      <c r="P591" s="131"/>
      <c r="Q591" s="131"/>
      <c r="R591" s="131"/>
      <c r="S591" s="131"/>
      <c r="T591" s="131"/>
      <c r="U591" s="131"/>
      <c r="V591" s="131"/>
      <c r="W591" s="131"/>
      <c r="X591" s="131"/>
      <c r="Y591" s="131"/>
      <c r="Z591" s="131"/>
      <c r="AA591" s="131"/>
      <c r="AB591" s="330"/>
      <c r="AC591" s="331"/>
      <c r="AD591" s="332"/>
      <c r="AE591" s="131"/>
      <c r="AF591" s="131"/>
      <c r="AG591" s="131"/>
      <c r="AH591" s="131"/>
      <c r="AI591" s="131"/>
      <c r="AJ591" s="131"/>
      <c r="AK591" s="131"/>
      <c r="AL591" s="131"/>
      <c r="AM591" s="131"/>
      <c r="AN591" s="131"/>
      <c r="AO591" s="142"/>
      <c r="AP591" s="131"/>
    </row>
    <row r="592" ht="13.5" customHeight="1">
      <c r="A592" s="142"/>
      <c r="B592" s="142"/>
      <c r="C592" s="142"/>
      <c r="D592" s="142"/>
      <c r="E592" s="132"/>
      <c r="F592" s="131"/>
      <c r="G592" s="131"/>
      <c r="H592" s="131"/>
      <c r="I592" s="131"/>
      <c r="J592" s="219"/>
      <c r="K592" s="198"/>
      <c r="L592" s="131"/>
      <c r="M592" s="142"/>
      <c r="N592" s="131"/>
      <c r="O592" s="131"/>
      <c r="P592" s="131"/>
      <c r="Q592" s="131"/>
      <c r="R592" s="131"/>
      <c r="S592" s="131"/>
      <c r="T592" s="131"/>
      <c r="U592" s="131"/>
      <c r="V592" s="131"/>
      <c r="W592" s="131"/>
      <c r="X592" s="131"/>
      <c r="Y592" s="131"/>
      <c r="Z592" s="131"/>
      <c r="AA592" s="131"/>
      <c r="AB592" s="330"/>
      <c r="AC592" s="331"/>
      <c r="AD592" s="332"/>
      <c r="AE592" s="131"/>
      <c r="AF592" s="131"/>
      <c r="AG592" s="131"/>
      <c r="AH592" s="131"/>
      <c r="AI592" s="131"/>
      <c r="AJ592" s="131"/>
      <c r="AK592" s="131"/>
      <c r="AL592" s="131"/>
      <c r="AM592" s="131"/>
      <c r="AN592" s="131"/>
      <c r="AO592" s="142"/>
      <c r="AP592" s="131"/>
    </row>
    <row r="593" ht="13.5" customHeight="1">
      <c r="A593" s="142"/>
      <c r="B593" s="142"/>
      <c r="C593" s="142"/>
      <c r="D593" s="142"/>
      <c r="E593" s="132"/>
      <c r="F593" s="131"/>
      <c r="G593" s="131"/>
      <c r="H593" s="131"/>
      <c r="I593" s="131"/>
      <c r="J593" s="219"/>
      <c r="K593" s="198"/>
      <c r="L593" s="131"/>
      <c r="M593" s="142"/>
      <c r="N593" s="131"/>
      <c r="O593" s="131"/>
      <c r="P593" s="131"/>
      <c r="Q593" s="131"/>
      <c r="R593" s="131"/>
      <c r="S593" s="131"/>
      <c r="T593" s="131"/>
      <c r="U593" s="131"/>
      <c r="V593" s="131"/>
      <c r="W593" s="131"/>
      <c r="X593" s="131"/>
      <c r="Y593" s="131"/>
      <c r="Z593" s="131"/>
      <c r="AA593" s="131"/>
      <c r="AB593" s="330"/>
      <c r="AC593" s="331"/>
      <c r="AD593" s="332"/>
      <c r="AE593" s="131"/>
      <c r="AF593" s="131"/>
      <c r="AG593" s="131"/>
      <c r="AH593" s="131"/>
      <c r="AI593" s="131"/>
      <c r="AJ593" s="131"/>
      <c r="AK593" s="131"/>
      <c r="AL593" s="131"/>
      <c r="AM593" s="131"/>
      <c r="AN593" s="131"/>
      <c r="AO593" s="142"/>
      <c r="AP593" s="131"/>
    </row>
    <row r="594" ht="13.5" customHeight="1">
      <c r="A594" s="142"/>
      <c r="B594" s="142"/>
      <c r="C594" s="142"/>
      <c r="D594" s="142"/>
      <c r="E594" s="132"/>
      <c r="F594" s="131"/>
      <c r="G594" s="131"/>
      <c r="H594" s="131"/>
      <c r="I594" s="131"/>
      <c r="J594" s="219"/>
      <c r="K594" s="198"/>
      <c r="L594" s="131"/>
      <c r="M594" s="142"/>
      <c r="N594" s="131"/>
      <c r="O594" s="131"/>
      <c r="P594" s="131"/>
      <c r="Q594" s="131"/>
      <c r="R594" s="131"/>
      <c r="S594" s="131"/>
      <c r="T594" s="131"/>
      <c r="U594" s="131"/>
      <c r="V594" s="131"/>
      <c r="W594" s="131"/>
      <c r="X594" s="131"/>
      <c r="Y594" s="131"/>
      <c r="Z594" s="131"/>
      <c r="AA594" s="131"/>
      <c r="AB594" s="330"/>
      <c r="AC594" s="331"/>
      <c r="AD594" s="332"/>
      <c r="AE594" s="131"/>
      <c r="AF594" s="131"/>
      <c r="AG594" s="131"/>
      <c r="AH594" s="131"/>
      <c r="AI594" s="131"/>
      <c r="AJ594" s="131"/>
      <c r="AK594" s="131"/>
      <c r="AL594" s="131"/>
      <c r="AM594" s="131"/>
      <c r="AN594" s="131"/>
      <c r="AO594" s="142"/>
      <c r="AP594" s="131"/>
    </row>
    <row r="595" ht="13.5" customHeight="1">
      <c r="A595" s="142"/>
      <c r="B595" s="142"/>
      <c r="C595" s="142"/>
      <c r="D595" s="142"/>
      <c r="E595" s="132"/>
      <c r="F595" s="131"/>
      <c r="G595" s="131"/>
      <c r="H595" s="131"/>
      <c r="I595" s="131"/>
      <c r="J595" s="219"/>
      <c r="K595" s="198"/>
      <c r="L595" s="131"/>
      <c r="M595" s="142"/>
      <c r="N595" s="131"/>
      <c r="O595" s="131"/>
      <c r="P595" s="131"/>
      <c r="Q595" s="131"/>
      <c r="R595" s="131"/>
      <c r="S595" s="131"/>
      <c r="T595" s="131"/>
      <c r="U595" s="131"/>
      <c r="V595" s="131"/>
      <c r="W595" s="131"/>
      <c r="X595" s="131"/>
      <c r="Y595" s="131"/>
      <c r="Z595" s="131"/>
      <c r="AA595" s="131"/>
      <c r="AB595" s="330"/>
      <c r="AC595" s="331"/>
      <c r="AD595" s="332"/>
      <c r="AE595" s="131"/>
      <c r="AF595" s="131"/>
      <c r="AG595" s="131"/>
      <c r="AH595" s="131"/>
      <c r="AI595" s="131"/>
      <c r="AJ595" s="131"/>
      <c r="AK595" s="131"/>
      <c r="AL595" s="131"/>
      <c r="AM595" s="131"/>
      <c r="AN595" s="131"/>
      <c r="AO595" s="142"/>
      <c r="AP595" s="131"/>
    </row>
    <row r="596" ht="13.5" customHeight="1">
      <c r="A596" s="142"/>
      <c r="B596" s="142"/>
      <c r="C596" s="142"/>
      <c r="D596" s="142"/>
      <c r="E596" s="132"/>
      <c r="F596" s="131"/>
      <c r="G596" s="131"/>
      <c r="H596" s="131"/>
      <c r="I596" s="131"/>
      <c r="J596" s="219"/>
      <c r="K596" s="198"/>
      <c r="L596" s="131"/>
      <c r="M596" s="142"/>
      <c r="N596" s="131"/>
      <c r="O596" s="131"/>
      <c r="P596" s="131"/>
      <c r="Q596" s="131"/>
      <c r="R596" s="131"/>
      <c r="S596" s="131"/>
      <c r="T596" s="131"/>
      <c r="U596" s="131"/>
      <c r="V596" s="131"/>
      <c r="W596" s="131"/>
      <c r="X596" s="131"/>
      <c r="Y596" s="131"/>
      <c r="Z596" s="131"/>
      <c r="AA596" s="131"/>
      <c r="AB596" s="330"/>
      <c r="AC596" s="331"/>
      <c r="AD596" s="332"/>
      <c r="AE596" s="131"/>
      <c r="AF596" s="131"/>
      <c r="AG596" s="131"/>
      <c r="AH596" s="131"/>
      <c r="AI596" s="131"/>
      <c r="AJ596" s="131"/>
      <c r="AK596" s="131"/>
      <c r="AL596" s="131"/>
      <c r="AM596" s="131"/>
      <c r="AN596" s="131"/>
      <c r="AO596" s="142"/>
      <c r="AP596" s="131"/>
    </row>
    <row r="597" ht="13.5" customHeight="1">
      <c r="A597" s="142"/>
      <c r="B597" s="142"/>
      <c r="C597" s="142"/>
      <c r="D597" s="142"/>
      <c r="E597" s="132"/>
      <c r="F597" s="131"/>
      <c r="G597" s="131"/>
      <c r="H597" s="131"/>
      <c r="I597" s="131"/>
      <c r="J597" s="219"/>
      <c r="K597" s="198"/>
      <c r="L597" s="131"/>
      <c r="M597" s="142"/>
      <c r="N597" s="131"/>
      <c r="O597" s="131"/>
      <c r="P597" s="131"/>
      <c r="Q597" s="131"/>
      <c r="R597" s="131"/>
      <c r="S597" s="131"/>
      <c r="T597" s="131"/>
      <c r="U597" s="131"/>
      <c r="V597" s="131"/>
      <c r="W597" s="131"/>
      <c r="X597" s="131"/>
      <c r="Y597" s="131"/>
      <c r="Z597" s="131"/>
      <c r="AA597" s="131"/>
      <c r="AB597" s="330"/>
      <c r="AC597" s="331"/>
      <c r="AD597" s="332"/>
      <c r="AE597" s="131"/>
      <c r="AF597" s="131"/>
      <c r="AG597" s="131"/>
      <c r="AH597" s="131"/>
      <c r="AI597" s="131"/>
      <c r="AJ597" s="131"/>
      <c r="AK597" s="131"/>
      <c r="AL597" s="131"/>
      <c r="AM597" s="131"/>
      <c r="AN597" s="131"/>
      <c r="AO597" s="142"/>
      <c r="AP597" s="131"/>
    </row>
    <row r="598" ht="13.5" customHeight="1">
      <c r="A598" s="142"/>
      <c r="B598" s="142"/>
      <c r="C598" s="142"/>
      <c r="D598" s="142"/>
      <c r="E598" s="132"/>
      <c r="F598" s="131"/>
      <c r="G598" s="131"/>
      <c r="H598" s="131"/>
      <c r="I598" s="131"/>
      <c r="J598" s="219"/>
      <c r="K598" s="198"/>
      <c r="L598" s="131"/>
      <c r="M598" s="142"/>
      <c r="N598" s="131"/>
      <c r="O598" s="131"/>
      <c r="P598" s="131"/>
      <c r="Q598" s="131"/>
      <c r="R598" s="131"/>
      <c r="S598" s="131"/>
      <c r="T598" s="131"/>
      <c r="U598" s="131"/>
      <c r="V598" s="131"/>
      <c r="W598" s="131"/>
      <c r="X598" s="131"/>
      <c r="Y598" s="131"/>
      <c r="Z598" s="131"/>
      <c r="AA598" s="131"/>
      <c r="AB598" s="330"/>
      <c r="AC598" s="331"/>
      <c r="AD598" s="332"/>
      <c r="AE598" s="131"/>
      <c r="AF598" s="131"/>
      <c r="AG598" s="131"/>
      <c r="AH598" s="131"/>
      <c r="AI598" s="131"/>
      <c r="AJ598" s="131"/>
      <c r="AK598" s="131"/>
      <c r="AL598" s="131"/>
      <c r="AM598" s="131"/>
      <c r="AN598" s="131"/>
      <c r="AO598" s="142"/>
      <c r="AP598" s="131"/>
    </row>
    <row r="599" ht="13.5" customHeight="1">
      <c r="A599" s="142"/>
      <c r="B599" s="142"/>
      <c r="C599" s="142"/>
      <c r="D599" s="142"/>
      <c r="E599" s="132"/>
      <c r="F599" s="131"/>
      <c r="G599" s="131"/>
      <c r="H599" s="131"/>
      <c r="I599" s="131"/>
      <c r="J599" s="219"/>
      <c r="K599" s="198"/>
      <c r="L599" s="131"/>
      <c r="M599" s="142"/>
      <c r="N599" s="131"/>
      <c r="O599" s="131"/>
      <c r="P599" s="131"/>
      <c r="Q599" s="131"/>
      <c r="R599" s="131"/>
      <c r="S599" s="131"/>
      <c r="T599" s="131"/>
      <c r="U599" s="131"/>
      <c r="V599" s="131"/>
      <c r="W599" s="131"/>
      <c r="X599" s="131"/>
      <c r="Y599" s="131"/>
      <c r="Z599" s="131"/>
      <c r="AA599" s="131"/>
      <c r="AB599" s="330"/>
      <c r="AC599" s="331"/>
      <c r="AD599" s="332"/>
      <c r="AE599" s="131"/>
      <c r="AF599" s="131"/>
      <c r="AG599" s="131"/>
      <c r="AH599" s="131"/>
      <c r="AI599" s="131"/>
      <c r="AJ599" s="131"/>
      <c r="AK599" s="131"/>
      <c r="AL599" s="131"/>
      <c r="AM599" s="131"/>
      <c r="AN599" s="131"/>
      <c r="AO599" s="142"/>
      <c r="AP599" s="131"/>
    </row>
    <row r="600" ht="13.5" customHeight="1">
      <c r="A600" s="142"/>
      <c r="B600" s="142"/>
      <c r="C600" s="142"/>
      <c r="D600" s="142"/>
      <c r="E600" s="132"/>
      <c r="F600" s="131"/>
      <c r="G600" s="131"/>
      <c r="H600" s="131"/>
      <c r="I600" s="131"/>
      <c r="J600" s="219"/>
      <c r="K600" s="198"/>
      <c r="L600" s="131"/>
      <c r="M600" s="142"/>
      <c r="N600" s="131"/>
      <c r="O600" s="131"/>
      <c r="P600" s="131"/>
      <c r="Q600" s="131"/>
      <c r="R600" s="131"/>
      <c r="S600" s="131"/>
      <c r="T600" s="131"/>
      <c r="U600" s="131"/>
      <c r="V600" s="131"/>
      <c r="W600" s="131"/>
      <c r="X600" s="131"/>
      <c r="Y600" s="131"/>
      <c r="Z600" s="131"/>
      <c r="AA600" s="131"/>
      <c r="AB600" s="330"/>
      <c r="AC600" s="331"/>
      <c r="AD600" s="332"/>
      <c r="AE600" s="131"/>
      <c r="AF600" s="131"/>
      <c r="AG600" s="131"/>
      <c r="AH600" s="131"/>
      <c r="AI600" s="131"/>
      <c r="AJ600" s="131"/>
      <c r="AK600" s="131"/>
      <c r="AL600" s="131"/>
      <c r="AM600" s="131"/>
      <c r="AN600" s="131"/>
      <c r="AO600" s="142"/>
      <c r="AP600" s="131"/>
    </row>
    <row r="601" ht="13.5" customHeight="1">
      <c r="A601" s="142"/>
      <c r="B601" s="142"/>
      <c r="C601" s="142"/>
      <c r="D601" s="142"/>
      <c r="E601" s="132"/>
      <c r="F601" s="131"/>
      <c r="G601" s="131"/>
      <c r="H601" s="131"/>
      <c r="I601" s="131"/>
      <c r="J601" s="219"/>
      <c r="K601" s="198"/>
      <c r="L601" s="131"/>
      <c r="M601" s="142"/>
      <c r="N601" s="131"/>
      <c r="O601" s="131"/>
      <c r="P601" s="131"/>
      <c r="Q601" s="131"/>
      <c r="R601" s="131"/>
      <c r="S601" s="131"/>
      <c r="T601" s="131"/>
      <c r="U601" s="131"/>
      <c r="V601" s="131"/>
      <c r="W601" s="131"/>
      <c r="X601" s="131"/>
      <c r="Y601" s="131"/>
      <c r="Z601" s="131"/>
      <c r="AA601" s="131"/>
      <c r="AB601" s="330"/>
      <c r="AC601" s="331"/>
      <c r="AD601" s="332"/>
      <c r="AE601" s="131"/>
      <c r="AF601" s="131"/>
      <c r="AG601" s="131"/>
      <c r="AH601" s="131"/>
      <c r="AI601" s="131"/>
      <c r="AJ601" s="131"/>
      <c r="AK601" s="131"/>
      <c r="AL601" s="131"/>
      <c r="AM601" s="131"/>
      <c r="AN601" s="131"/>
      <c r="AO601" s="142"/>
      <c r="AP601" s="131"/>
    </row>
    <row r="602" ht="13.5" customHeight="1">
      <c r="A602" s="142"/>
      <c r="B602" s="142"/>
      <c r="C602" s="142"/>
      <c r="D602" s="142"/>
      <c r="E602" s="132"/>
      <c r="F602" s="131"/>
      <c r="G602" s="131"/>
      <c r="H602" s="131"/>
      <c r="I602" s="131"/>
      <c r="J602" s="219"/>
      <c r="K602" s="198"/>
      <c r="L602" s="131"/>
      <c r="M602" s="142"/>
      <c r="N602" s="131"/>
      <c r="O602" s="131"/>
      <c r="P602" s="131"/>
      <c r="Q602" s="131"/>
      <c r="R602" s="131"/>
      <c r="S602" s="131"/>
      <c r="T602" s="131"/>
      <c r="U602" s="131"/>
      <c r="V602" s="131"/>
      <c r="W602" s="131"/>
      <c r="X602" s="131"/>
      <c r="Y602" s="131"/>
      <c r="Z602" s="131"/>
      <c r="AA602" s="131"/>
      <c r="AB602" s="330"/>
      <c r="AC602" s="331"/>
      <c r="AD602" s="332"/>
      <c r="AE602" s="131"/>
      <c r="AF602" s="131"/>
      <c r="AG602" s="131"/>
      <c r="AH602" s="131"/>
      <c r="AI602" s="131"/>
      <c r="AJ602" s="131"/>
      <c r="AK602" s="131"/>
      <c r="AL602" s="131"/>
      <c r="AM602" s="131"/>
      <c r="AN602" s="131"/>
      <c r="AO602" s="142"/>
      <c r="AP602" s="131"/>
    </row>
    <row r="603" ht="13.5" customHeight="1">
      <c r="A603" s="142"/>
      <c r="B603" s="142"/>
      <c r="C603" s="142"/>
      <c r="D603" s="142"/>
      <c r="E603" s="132"/>
      <c r="F603" s="131"/>
      <c r="G603" s="131"/>
      <c r="H603" s="131"/>
      <c r="I603" s="131"/>
      <c r="J603" s="219"/>
      <c r="K603" s="198"/>
      <c r="L603" s="131"/>
      <c r="M603" s="142"/>
      <c r="N603" s="131"/>
      <c r="O603" s="131"/>
      <c r="P603" s="131"/>
      <c r="Q603" s="131"/>
      <c r="R603" s="131"/>
      <c r="S603" s="131"/>
      <c r="T603" s="131"/>
      <c r="U603" s="131"/>
      <c r="V603" s="131"/>
      <c r="W603" s="131"/>
      <c r="X603" s="131"/>
      <c r="Y603" s="131"/>
      <c r="Z603" s="131"/>
      <c r="AA603" s="131"/>
      <c r="AB603" s="330"/>
      <c r="AC603" s="331"/>
      <c r="AD603" s="332"/>
      <c r="AE603" s="131"/>
      <c r="AF603" s="131"/>
      <c r="AG603" s="131"/>
      <c r="AH603" s="131"/>
      <c r="AI603" s="131"/>
      <c r="AJ603" s="131"/>
      <c r="AK603" s="131"/>
      <c r="AL603" s="131"/>
      <c r="AM603" s="131"/>
      <c r="AN603" s="131"/>
      <c r="AO603" s="142"/>
      <c r="AP603" s="131"/>
    </row>
    <row r="604" ht="13.5" customHeight="1">
      <c r="A604" s="142"/>
      <c r="B604" s="142"/>
      <c r="C604" s="142"/>
      <c r="D604" s="142"/>
      <c r="E604" s="132"/>
      <c r="F604" s="131"/>
      <c r="G604" s="131"/>
      <c r="H604" s="131"/>
      <c r="I604" s="131"/>
      <c r="J604" s="219"/>
      <c r="K604" s="198"/>
      <c r="L604" s="131"/>
      <c r="M604" s="142"/>
      <c r="N604" s="131"/>
      <c r="O604" s="131"/>
      <c r="P604" s="131"/>
      <c r="Q604" s="131"/>
      <c r="R604" s="131"/>
      <c r="S604" s="131"/>
      <c r="T604" s="131"/>
      <c r="U604" s="131"/>
      <c r="V604" s="131"/>
      <c r="W604" s="131"/>
      <c r="X604" s="131"/>
      <c r="Y604" s="131"/>
      <c r="Z604" s="131"/>
      <c r="AA604" s="131"/>
      <c r="AB604" s="330"/>
      <c r="AC604" s="331"/>
      <c r="AD604" s="332"/>
      <c r="AE604" s="131"/>
      <c r="AF604" s="131"/>
      <c r="AG604" s="131"/>
      <c r="AH604" s="131"/>
      <c r="AI604" s="131"/>
      <c r="AJ604" s="131"/>
      <c r="AK604" s="131"/>
      <c r="AL604" s="131"/>
      <c r="AM604" s="131"/>
      <c r="AN604" s="131"/>
      <c r="AO604" s="142"/>
      <c r="AP604" s="131"/>
    </row>
    <row r="605" ht="13.5" customHeight="1">
      <c r="A605" s="142"/>
      <c r="B605" s="142"/>
      <c r="C605" s="142"/>
      <c r="D605" s="142"/>
      <c r="E605" s="132"/>
      <c r="F605" s="131"/>
      <c r="G605" s="131"/>
      <c r="H605" s="131"/>
      <c r="I605" s="131"/>
      <c r="J605" s="219"/>
      <c r="K605" s="198"/>
      <c r="L605" s="131"/>
      <c r="M605" s="142"/>
      <c r="N605" s="131"/>
      <c r="O605" s="131"/>
      <c r="P605" s="131"/>
      <c r="Q605" s="131"/>
      <c r="R605" s="131"/>
      <c r="S605" s="131"/>
      <c r="T605" s="131"/>
      <c r="U605" s="131"/>
      <c r="V605" s="131"/>
      <c r="W605" s="131"/>
      <c r="X605" s="131"/>
      <c r="Y605" s="131"/>
      <c r="Z605" s="131"/>
      <c r="AA605" s="131"/>
      <c r="AB605" s="330"/>
      <c r="AC605" s="331"/>
      <c r="AD605" s="332"/>
      <c r="AE605" s="131"/>
      <c r="AF605" s="131"/>
      <c r="AG605" s="131"/>
      <c r="AH605" s="131"/>
      <c r="AI605" s="131"/>
      <c r="AJ605" s="131"/>
      <c r="AK605" s="131"/>
      <c r="AL605" s="131"/>
      <c r="AM605" s="131"/>
      <c r="AN605" s="131"/>
      <c r="AO605" s="142"/>
      <c r="AP605" s="131"/>
    </row>
    <row r="606" ht="13.5" customHeight="1">
      <c r="A606" s="142"/>
      <c r="B606" s="142"/>
      <c r="C606" s="142"/>
      <c r="D606" s="142"/>
      <c r="E606" s="132"/>
      <c r="F606" s="131"/>
      <c r="G606" s="131"/>
      <c r="H606" s="131"/>
      <c r="I606" s="131"/>
      <c r="J606" s="219"/>
      <c r="K606" s="198"/>
      <c r="L606" s="131"/>
      <c r="M606" s="142"/>
      <c r="N606" s="131"/>
      <c r="O606" s="131"/>
      <c r="P606" s="131"/>
      <c r="Q606" s="131"/>
      <c r="R606" s="131"/>
      <c r="S606" s="131"/>
      <c r="T606" s="131"/>
      <c r="U606" s="131"/>
      <c r="V606" s="131"/>
      <c r="W606" s="131"/>
      <c r="X606" s="131"/>
      <c r="Y606" s="131"/>
      <c r="Z606" s="131"/>
      <c r="AA606" s="131"/>
      <c r="AB606" s="330"/>
      <c r="AC606" s="331"/>
      <c r="AD606" s="332"/>
      <c r="AE606" s="131"/>
      <c r="AF606" s="131"/>
      <c r="AG606" s="131"/>
      <c r="AH606" s="131"/>
      <c r="AI606" s="131"/>
      <c r="AJ606" s="131"/>
      <c r="AK606" s="131"/>
      <c r="AL606" s="131"/>
      <c r="AM606" s="131"/>
      <c r="AN606" s="131"/>
      <c r="AO606" s="142"/>
      <c r="AP606" s="131"/>
    </row>
    <row r="607" ht="13.5" customHeight="1">
      <c r="A607" s="142"/>
      <c r="B607" s="142"/>
      <c r="C607" s="142"/>
      <c r="D607" s="142"/>
      <c r="E607" s="132"/>
      <c r="F607" s="131"/>
      <c r="G607" s="131"/>
      <c r="H607" s="131"/>
      <c r="I607" s="131"/>
      <c r="J607" s="219"/>
      <c r="K607" s="198"/>
      <c r="L607" s="131"/>
      <c r="M607" s="142"/>
      <c r="N607" s="131"/>
      <c r="O607" s="131"/>
      <c r="P607" s="131"/>
      <c r="Q607" s="131"/>
      <c r="R607" s="131"/>
      <c r="S607" s="131"/>
      <c r="T607" s="131"/>
      <c r="U607" s="131"/>
      <c r="V607" s="131"/>
      <c r="W607" s="131"/>
      <c r="X607" s="131"/>
      <c r="Y607" s="131"/>
      <c r="Z607" s="131"/>
      <c r="AA607" s="131"/>
      <c r="AB607" s="330"/>
      <c r="AC607" s="331"/>
      <c r="AD607" s="332"/>
      <c r="AE607" s="131"/>
      <c r="AF607" s="131"/>
      <c r="AG607" s="131"/>
      <c r="AH607" s="131"/>
      <c r="AI607" s="131"/>
      <c r="AJ607" s="131"/>
      <c r="AK607" s="131"/>
      <c r="AL607" s="131"/>
      <c r="AM607" s="131"/>
      <c r="AN607" s="131"/>
      <c r="AO607" s="142"/>
      <c r="AP607" s="131"/>
    </row>
    <row r="608" ht="13.5" customHeight="1">
      <c r="A608" s="142"/>
      <c r="B608" s="142"/>
      <c r="C608" s="142"/>
      <c r="D608" s="142"/>
      <c r="E608" s="132"/>
      <c r="F608" s="131"/>
      <c r="G608" s="131"/>
      <c r="H608" s="131"/>
      <c r="I608" s="131"/>
      <c r="J608" s="219"/>
      <c r="K608" s="198"/>
      <c r="L608" s="131"/>
      <c r="M608" s="142"/>
      <c r="N608" s="131"/>
      <c r="O608" s="131"/>
      <c r="P608" s="131"/>
      <c r="Q608" s="131"/>
      <c r="R608" s="131"/>
      <c r="S608" s="131"/>
      <c r="T608" s="131"/>
      <c r="U608" s="131"/>
      <c r="V608" s="131"/>
      <c r="W608" s="131"/>
      <c r="X608" s="131"/>
      <c r="Y608" s="131"/>
      <c r="Z608" s="131"/>
      <c r="AA608" s="131"/>
      <c r="AB608" s="330"/>
      <c r="AC608" s="331"/>
      <c r="AD608" s="332"/>
      <c r="AE608" s="131"/>
      <c r="AF608" s="131"/>
      <c r="AG608" s="131"/>
      <c r="AH608" s="131"/>
      <c r="AI608" s="131"/>
      <c r="AJ608" s="131"/>
      <c r="AK608" s="131"/>
      <c r="AL608" s="131"/>
      <c r="AM608" s="131"/>
      <c r="AN608" s="131"/>
      <c r="AO608" s="142"/>
      <c r="AP608" s="131"/>
    </row>
    <row r="609" ht="13.5" customHeight="1">
      <c r="A609" s="142"/>
      <c r="B609" s="142"/>
      <c r="C609" s="142"/>
      <c r="D609" s="142"/>
      <c r="E609" s="132"/>
      <c r="F609" s="131"/>
      <c r="G609" s="131"/>
      <c r="H609" s="131"/>
      <c r="I609" s="131"/>
      <c r="J609" s="219"/>
      <c r="K609" s="198"/>
      <c r="L609" s="131"/>
      <c r="M609" s="142"/>
      <c r="N609" s="131"/>
      <c r="O609" s="131"/>
      <c r="P609" s="131"/>
      <c r="Q609" s="131"/>
      <c r="R609" s="131"/>
      <c r="S609" s="131"/>
      <c r="T609" s="131"/>
      <c r="U609" s="131"/>
      <c r="V609" s="131"/>
      <c r="W609" s="131"/>
      <c r="X609" s="131"/>
      <c r="Y609" s="131"/>
      <c r="Z609" s="131"/>
      <c r="AA609" s="131"/>
      <c r="AB609" s="330"/>
      <c r="AC609" s="331"/>
      <c r="AD609" s="332"/>
      <c r="AE609" s="131"/>
      <c r="AF609" s="131"/>
      <c r="AG609" s="131"/>
      <c r="AH609" s="131"/>
      <c r="AI609" s="131"/>
      <c r="AJ609" s="131"/>
      <c r="AK609" s="131"/>
      <c r="AL609" s="131"/>
      <c r="AM609" s="131"/>
      <c r="AN609" s="131"/>
      <c r="AO609" s="142"/>
      <c r="AP609" s="131"/>
    </row>
    <row r="610" ht="13.5" customHeight="1">
      <c r="A610" s="142"/>
      <c r="B610" s="142"/>
      <c r="C610" s="142"/>
      <c r="D610" s="142"/>
      <c r="E610" s="132"/>
      <c r="F610" s="131"/>
      <c r="G610" s="131"/>
      <c r="H610" s="131"/>
      <c r="I610" s="131"/>
      <c r="J610" s="219"/>
      <c r="K610" s="198"/>
      <c r="L610" s="131"/>
      <c r="M610" s="142"/>
      <c r="N610" s="131"/>
      <c r="O610" s="131"/>
      <c r="P610" s="131"/>
      <c r="Q610" s="131"/>
      <c r="R610" s="131"/>
      <c r="S610" s="131"/>
      <c r="T610" s="131"/>
      <c r="U610" s="131"/>
      <c r="V610" s="131"/>
      <c r="W610" s="131"/>
      <c r="X610" s="131"/>
      <c r="Y610" s="131"/>
      <c r="Z610" s="131"/>
      <c r="AA610" s="131"/>
      <c r="AB610" s="330"/>
      <c r="AC610" s="331"/>
      <c r="AD610" s="332"/>
      <c r="AE610" s="131"/>
      <c r="AF610" s="131"/>
      <c r="AG610" s="131"/>
      <c r="AH610" s="131"/>
      <c r="AI610" s="131"/>
      <c r="AJ610" s="131"/>
      <c r="AK610" s="131"/>
      <c r="AL610" s="131"/>
      <c r="AM610" s="131"/>
      <c r="AN610" s="131"/>
      <c r="AO610" s="142"/>
      <c r="AP610" s="131"/>
    </row>
    <row r="611" ht="13.5" customHeight="1">
      <c r="A611" s="142"/>
      <c r="B611" s="142"/>
      <c r="C611" s="142"/>
      <c r="D611" s="142"/>
      <c r="E611" s="132"/>
      <c r="F611" s="131"/>
      <c r="G611" s="131"/>
      <c r="H611" s="131"/>
      <c r="I611" s="131"/>
      <c r="J611" s="219"/>
      <c r="K611" s="198"/>
      <c r="L611" s="131"/>
      <c r="M611" s="142"/>
      <c r="N611" s="131"/>
      <c r="O611" s="131"/>
      <c r="P611" s="131"/>
      <c r="Q611" s="131"/>
      <c r="R611" s="131"/>
      <c r="S611" s="131"/>
      <c r="T611" s="131"/>
      <c r="U611" s="131"/>
      <c r="V611" s="131"/>
      <c r="W611" s="131"/>
      <c r="X611" s="131"/>
      <c r="Y611" s="131"/>
      <c r="Z611" s="131"/>
      <c r="AA611" s="131"/>
      <c r="AB611" s="330"/>
      <c r="AC611" s="331"/>
      <c r="AD611" s="332"/>
      <c r="AE611" s="131"/>
      <c r="AF611" s="131"/>
      <c r="AG611" s="131"/>
      <c r="AH611" s="131"/>
      <c r="AI611" s="131"/>
      <c r="AJ611" s="131"/>
      <c r="AK611" s="131"/>
      <c r="AL611" s="131"/>
      <c r="AM611" s="131"/>
      <c r="AN611" s="131"/>
      <c r="AO611" s="142"/>
      <c r="AP611" s="131"/>
    </row>
    <row r="612" ht="13.5" customHeight="1">
      <c r="A612" s="142"/>
      <c r="B612" s="142"/>
      <c r="C612" s="142"/>
      <c r="D612" s="142"/>
      <c r="E612" s="132"/>
      <c r="F612" s="131"/>
      <c r="G612" s="131"/>
      <c r="H612" s="131"/>
      <c r="I612" s="131"/>
      <c r="J612" s="219"/>
      <c r="K612" s="198"/>
      <c r="L612" s="131"/>
      <c r="M612" s="142"/>
      <c r="N612" s="131"/>
      <c r="O612" s="131"/>
      <c r="P612" s="131"/>
      <c r="Q612" s="131"/>
      <c r="R612" s="131"/>
      <c r="S612" s="131"/>
      <c r="T612" s="131"/>
      <c r="U612" s="131"/>
      <c r="V612" s="131"/>
      <c r="W612" s="131"/>
      <c r="X612" s="131"/>
      <c r="Y612" s="131"/>
      <c r="Z612" s="131"/>
      <c r="AA612" s="131"/>
      <c r="AB612" s="330"/>
      <c r="AC612" s="331"/>
      <c r="AD612" s="332"/>
      <c r="AE612" s="131"/>
      <c r="AF612" s="131"/>
      <c r="AG612" s="131"/>
      <c r="AH612" s="131"/>
      <c r="AI612" s="131"/>
      <c r="AJ612" s="131"/>
      <c r="AK612" s="131"/>
      <c r="AL612" s="131"/>
      <c r="AM612" s="131"/>
      <c r="AN612" s="131"/>
      <c r="AO612" s="142"/>
      <c r="AP612" s="131"/>
    </row>
    <row r="613" ht="13.5" customHeight="1">
      <c r="A613" s="142"/>
      <c r="B613" s="142"/>
      <c r="C613" s="142"/>
      <c r="D613" s="142"/>
      <c r="E613" s="132"/>
      <c r="F613" s="131"/>
      <c r="G613" s="131"/>
      <c r="H613" s="131"/>
      <c r="I613" s="131"/>
      <c r="J613" s="219"/>
      <c r="K613" s="198"/>
      <c r="L613" s="131"/>
      <c r="M613" s="142"/>
      <c r="N613" s="131"/>
      <c r="O613" s="131"/>
      <c r="P613" s="131"/>
      <c r="Q613" s="131"/>
      <c r="R613" s="131"/>
      <c r="S613" s="131"/>
      <c r="T613" s="131"/>
      <c r="U613" s="131"/>
      <c r="V613" s="131"/>
      <c r="W613" s="131"/>
      <c r="X613" s="131"/>
      <c r="Y613" s="131"/>
      <c r="Z613" s="131"/>
      <c r="AA613" s="131"/>
      <c r="AB613" s="330"/>
      <c r="AC613" s="331"/>
      <c r="AD613" s="332"/>
      <c r="AE613" s="131"/>
      <c r="AF613" s="131"/>
      <c r="AG613" s="131"/>
      <c r="AH613" s="131"/>
      <c r="AI613" s="131"/>
      <c r="AJ613" s="131"/>
      <c r="AK613" s="131"/>
      <c r="AL613" s="131"/>
      <c r="AM613" s="131"/>
      <c r="AN613" s="131"/>
      <c r="AO613" s="142"/>
      <c r="AP613" s="131"/>
    </row>
    <row r="614" ht="13.5" customHeight="1">
      <c r="A614" s="142"/>
      <c r="B614" s="142"/>
      <c r="C614" s="142"/>
      <c r="D614" s="142"/>
      <c r="E614" s="132"/>
      <c r="F614" s="131"/>
      <c r="G614" s="131"/>
      <c r="H614" s="131"/>
      <c r="I614" s="131"/>
      <c r="J614" s="219"/>
      <c r="K614" s="198"/>
      <c r="L614" s="131"/>
      <c r="M614" s="142"/>
      <c r="N614" s="131"/>
      <c r="O614" s="131"/>
      <c r="P614" s="131"/>
      <c r="Q614" s="131"/>
      <c r="R614" s="131"/>
      <c r="S614" s="131"/>
      <c r="T614" s="131"/>
      <c r="U614" s="131"/>
      <c r="V614" s="131"/>
      <c r="W614" s="131"/>
      <c r="X614" s="131"/>
      <c r="Y614" s="131"/>
      <c r="Z614" s="131"/>
      <c r="AA614" s="131"/>
      <c r="AB614" s="330"/>
      <c r="AC614" s="331"/>
      <c r="AD614" s="332"/>
      <c r="AE614" s="131"/>
      <c r="AF614" s="131"/>
      <c r="AG614" s="131"/>
      <c r="AH614" s="131"/>
      <c r="AI614" s="131"/>
      <c r="AJ614" s="131"/>
      <c r="AK614" s="131"/>
      <c r="AL614" s="131"/>
      <c r="AM614" s="131"/>
      <c r="AN614" s="131"/>
      <c r="AO614" s="142"/>
      <c r="AP614" s="131"/>
    </row>
    <row r="615" ht="13.5" customHeight="1">
      <c r="A615" s="142"/>
      <c r="B615" s="142"/>
      <c r="C615" s="142"/>
      <c r="D615" s="142"/>
      <c r="E615" s="132"/>
      <c r="F615" s="131"/>
      <c r="G615" s="131"/>
      <c r="H615" s="131"/>
      <c r="I615" s="131"/>
      <c r="J615" s="219"/>
      <c r="K615" s="198"/>
      <c r="L615" s="131"/>
      <c r="M615" s="142"/>
      <c r="N615" s="131"/>
      <c r="O615" s="131"/>
      <c r="P615" s="131"/>
      <c r="Q615" s="131"/>
      <c r="R615" s="131"/>
      <c r="S615" s="131"/>
      <c r="T615" s="131"/>
      <c r="U615" s="131"/>
      <c r="V615" s="131"/>
      <c r="W615" s="131"/>
      <c r="X615" s="131"/>
      <c r="Y615" s="131"/>
      <c r="Z615" s="131"/>
      <c r="AA615" s="131"/>
      <c r="AB615" s="330"/>
      <c r="AC615" s="331"/>
      <c r="AD615" s="332"/>
      <c r="AE615" s="131"/>
      <c r="AF615" s="131"/>
      <c r="AG615" s="131"/>
      <c r="AH615" s="131"/>
      <c r="AI615" s="131"/>
      <c r="AJ615" s="131"/>
      <c r="AK615" s="131"/>
      <c r="AL615" s="131"/>
      <c r="AM615" s="131"/>
      <c r="AN615" s="131"/>
      <c r="AO615" s="142"/>
      <c r="AP615" s="131"/>
    </row>
    <row r="616" ht="13.5" customHeight="1">
      <c r="A616" s="142"/>
      <c r="B616" s="142"/>
      <c r="C616" s="142"/>
      <c r="D616" s="142"/>
      <c r="E616" s="132"/>
      <c r="F616" s="131"/>
      <c r="G616" s="131"/>
      <c r="H616" s="131"/>
      <c r="I616" s="131"/>
      <c r="J616" s="219"/>
      <c r="K616" s="198"/>
      <c r="L616" s="131"/>
      <c r="M616" s="142"/>
      <c r="N616" s="131"/>
      <c r="O616" s="131"/>
      <c r="P616" s="131"/>
      <c r="Q616" s="131"/>
      <c r="R616" s="131"/>
      <c r="S616" s="131"/>
      <c r="T616" s="131"/>
      <c r="U616" s="131"/>
      <c r="V616" s="131"/>
      <c r="W616" s="131"/>
      <c r="X616" s="131"/>
      <c r="Y616" s="131"/>
      <c r="Z616" s="131"/>
      <c r="AA616" s="131"/>
      <c r="AB616" s="330"/>
      <c r="AC616" s="331"/>
      <c r="AD616" s="332"/>
      <c r="AE616" s="131"/>
      <c r="AF616" s="131"/>
      <c r="AG616" s="131"/>
      <c r="AH616" s="131"/>
      <c r="AI616" s="131"/>
      <c r="AJ616" s="131"/>
      <c r="AK616" s="131"/>
      <c r="AL616" s="131"/>
      <c r="AM616" s="131"/>
      <c r="AN616" s="131"/>
      <c r="AO616" s="142"/>
      <c r="AP616" s="131"/>
    </row>
    <row r="617" ht="13.5" customHeight="1">
      <c r="A617" s="142"/>
      <c r="B617" s="142"/>
      <c r="C617" s="142"/>
      <c r="D617" s="142"/>
      <c r="E617" s="132"/>
      <c r="F617" s="131"/>
      <c r="G617" s="131"/>
      <c r="H617" s="131"/>
      <c r="I617" s="131"/>
      <c r="J617" s="219"/>
      <c r="K617" s="198"/>
      <c r="L617" s="131"/>
      <c r="M617" s="142"/>
      <c r="N617" s="131"/>
      <c r="O617" s="131"/>
      <c r="P617" s="131"/>
      <c r="Q617" s="131"/>
      <c r="R617" s="131"/>
      <c r="S617" s="131"/>
      <c r="T617" s="131"/>
      <c r="U617" s="131"/>
      <c r="V617" s="131"/>
      <c r="W617" s="131"/>
      <c r="X617" s="131"/>
      <c r="Y617" s="131"/>
      <c r="Z617" s="131"/>
      <c r="AA617" s="131"/>
      <c r="AB617" s="330"/>
      <c r="AC617" s="331"/>
      <c r="AD617" s="332"/>
      <c r="AE617" s="131"/>
      <c r="AF617" s="131"/>
      <c r="AG617" s="131"/>
      <c r="AH617" s="131"/>
      <c r="AI617" s="131"/>
      <c r="AJ617" s="131"/>
      <c r="AK617" s="131"/>
      <c r="AL617" s="131"/>
      <c r="AM617" s="131"/>
      <c r="AN617" s="131"/>
      <c r="AO617" s="142"/>
      <c r="AP617" s="131"/>
    </row>
    <row r="618" ht="13.5" customHeight="1">
      <c r="A618" s="142"/>
      <c r="B618" s="142"/>
      <c r="C618" s="142"/>
      <c r="D618" s="142"/>
      <c r="E618" s="132"/>
      <c r="F618" s="131"/>
      <c r="G618" s="131"/>
      <c r="H618" s="131"/>
      <c r="I618" s="131"/>
      <c r="J618" s="219"/>
      <c r="K618" s="198"/>
      <c r="L618" s="131"/>
      <c r="M618" s="142"/>
      <c r="N618" s="131"/>
      <c r="O618" s="131"/>
      <c r="P618" s="131"/>
      <c r="Q618" s="131"/>
      <c r="R618" s="131"/>
      <c r="S618" s="131"/>
      <c r="T618" s="131"/>
      <c r="U618" s="131"/>
      <c r="V618" s="131"/>
      <c r="W618" s="131"/>
      <c r="X618" s="131"/>
      <c r="Y618" s="131"/>
      <c r="Z618" s="131"/>
      <c r="AA618" s="131"/>
      <c r="AB618" s="330"/>
      <c r="AC618" s="331"/>
      <c r="AD618" s="332"/>
      <c r="AE618" s="131"/>
      <c r="AF618" s="131"/>
      <c r="AG618" s="131"/>
      <c r="AH618" s="131"/>
      <c r="AI618" s="131"/>
      <c r="AJ618" s="131"/>
      <c r="AK618" s="131"/>
      <c r="AL618" s="131"/>
      <c r="AM618" s="131"/>
      <c r="AN618" s="131"/>
      <c r="AO618" s="142"/>
      <c r="AP618" s="131"/>
    </row>
    <row r="619" ht="13.5" customHeight="1">
      <c r="A619" s="142"/>
      <c r="B619" s="142"/>
      <c r="C619" s="142"/>
      <c r="D619" s="142"/>
      <c r="E619" s="132"/>
      <c r="F619" s="131"/>
      <c r="G619" s="131"/>
      <c r="H619" s="131"/>
      <c r="I619" s="131"/>
      <c r="J619" s="219"/>
      <c r="K619" s="198"/>
      <c r="L619" s="131"/>
      <c r="M619" s="142"/>
      <c r="N619" s="131"/>
      <c r="O619" s="131"/>
      <c r="P619" s="131"/>
      <c r="Q619" s="131"/>
      <c r="R619" s="131"/>
      <c r="S619" s="131"/>
      <c r="T619" s="131"/>
      <c r="U619" s="131"/>
      <c r="V619" s="131"/>
      <c r="W619" s="131"/>
      <c r="X619" s="131"/>
      <c r="Y619" s="131"/>
      <c r="Z619" s="131"/>
      <c r="AA619" s="131"/>
      <c r="AB619" s="330"/>
      <c r="AC619" s="331"/>
      <c r="AD619" s="332"/>
      <c r="AE619" s="131"/>
      <c r="AF619" s="131"/>
      <c r="AG619" s="131"/>
      <c r="AH619" s="131"/>
      <c r="AI619" s="131"/>
      <c r="AJ619" s="131"/>
      <c r="AK619" s="131"/>
      <c r="AL619" s="131"/>
      <c r="AM619" s="131"/>
      <c r="AN619" s="131"/>
      <c r="AO619" s="142"/>
      <c r="AP619" s="131"/>
    </row>
    <row r="620" ht="13.5" customHeight="1">
      <c r="A620" s="142"/>
      <c r="B620" s="142"/>
      <c r="C620" s="142"/>
      <c r="D620" s="142"/>
      <c r="E620" s="132"/>
      <c r="F620" s="131"/>
      <c r="G620" s="131"/>
      <c r="H620" s="131"/>
      <c r="I620" s="131"/>
      <c r="J620" s="219"/>
      <c r="K620" s="198"/>
      <c r="L620" s="131"/>
      <c r="M620" s="142"/>
      <c r="N620" s="131"/>
      <c r="O620" s="131"/>
      <c r="P620" s="131"/>
      <c r="Q620" s="131"/>
      <c r="R620" s="131"/>
      <c r="S620" s="131"/>
      <c r="T620" s="131"/>
      <c r="U620" s="131"/>
      <c r="V620" s="131"/>
      <c r="W620" s="131"/>
      <c r="X620" s="131"/>
      <c r="Y620" s="131"/>
      <c r="Z620" s="131"/>
      <c r="AA620" s="131"/>
      <c r="AB620" s="330"/>
      <c r="AC620" s="331"/>
      <c r="AD620" s="332"/>
      <c r="AE620" s="131"/>
      <c r="AF620" s="131"/>
      <c r="AG620" s="131"/>
      <c r="AH620" s="131"/>
      <c r="AI620" s="131"/>
      <c r="AJ620" s="131"/>
      <c r="AK620" s="131"/>
      <c r="AL620" s="131"/>
      <c r="AM620" s="131"/>
      <c r="AN620" s="131"/>
      <c r="AO620" s="142"/>
      <c r="AP620" s="131"/>
    </row>
    <row r="621" ht="13.5" customHeight="1">
      <c r="A621" s="142"/>
      <c r="B621" s="142"/>
      <c r="C621" s="142"/>
      <c r="D621" s="142"/>
      <c r="E621" s="132"/>
      <c r="F621" s="131"/>
      <c r="G621" s="131"/>
      <c r="H621" s="131"/>
      <c r="I621" s="131"/>
      <c r="J621" s="219"/>
      <c r="K621" s="198"/>
      <c r="L621" s="131"/>
      <c r="M621" s="142"/>
      <c r="N621" s="131"/>
      <c r="O621" s="131"/>
      <c r="P621" s="131"/>
      <c r="Q621" s="131"/>
      <c r="R621" s="131"/>
      <c r="S621" s="131"/>
      <c r="T621" s="131"/>
      <c r="U621" s="131"/>
      <c r="V621" s="131"/>
      <c r="W621" s="131"/>
      <c r="X621" s="131"/>
      <c r="Y621" s="131"/>
      <c r="Z621" s="131"/>
      <c r="AA621" s="131"/>
      <c r="AB621" s="330"/>
      <c r="AC621" s="331"/>
      <c r="AD621" s="332"/>
      <c r="AE621" s="131"/>
      <c r="AF621" s="131"/>
      <c r="AG621" s="131"/>
      <c r="AH621" s="131"/>
      <c r="AI621" s="131"/>
      <c r="AJ621" s="131"/>
      <c r="AK621" s="131"/>
      <c r="AL621" s="131"/>
      <c r="AM621" s="131"/>
      <c r="AN621" s="131"/>
      <c r="AO621" s="142"/>
      <c r="AP621" s="131"/>
    </row>
    <row r="622" ht="13.5" customHeight="1">
      <c r="A622" s="142"/>
      <c r="B622" s="142"/>
      <c r="C622" s="142"/>
      <c r="D622" s="142"/>
      <c r="E622" s="132"/>
      <c r="F622" s="131"/>
      <c r="G622" s="131"/>
      <c r="H622" s="131"/>
      <c r="I622" s="131"/>
      <c r="J622" s="219"/>
      <c r="K622" s="198"/>
      <c r="L622" s="131"/>
      <c r="M622" s="142"/>
      <c r="N622" s="131"/>
      <c r="O622" s="131"/>
      <c r="P622" s="131"/>
      <c r="Q622" s="131"/>
      <c r="R622" s="131"/>
      <c r="S622" s="131"/>
      <c r="T622" s="131"/>
      <c r="U622" s="131"/>
      <c r="V622" s="131"/>
      <c r="W622" s="131"/>
      <c r="X622" s="131"/>
      <c r="Y622" s="131"/>
      <c r="Z622" s="131"/>
      <c r="AA622" s="131"/>
      <c r="AB622" s="330"/>
      <c r="AC622" s="331"/>
      <c r="AD622" s="332"/>
      <c r="AE622" s="131"/>
      <c r="AF622" s="131"/>
      <c r="AG622" s="131"/>
      <c r="AH622" s="131"/>
      <c r="AI622" s="131"/>
      <c r="AJ622" s="131"/>
      <c r="AK622" s="131"/>
      <c r="AL622" s="131"/>
      <c r="AM622" s="131"/>
      <c r="AN622" s="131"/>
      <c r="AO622" s="142"/>
      <c r="AP622" s="131"/>
    </row>
    <row r="623" ht="13.5" customHeight="1">
      <c r="A623" s="142"/>
      <c r="B623" s="142"/>
      <c r="C623" s="142"/>
      <c r="D623" s="142"/>
      <c r="E623" s="132"/>
      <c r="F623" s="131"/>
      <c r="G623" s="131"/>
      <c r="H623" s="131"/>
      <c r="I623" s="131"/>
      <c r="J623" s="219"/>
      <c r="K623" s="198"/>
      <c r="L623" s="131"/>
      <c r="M623" s="142"/>
      <c r="N623" s="131"/>
      <c r="O623" s="131"/>
      <c r="P623" s="131"/>
      <c r="Q623" s="131"/>
      <c r="R623" s="131"/>
      <c r="S623" s="131"/>
      <c r="T623" s="131"/>
      <c r="U623" s="131"/>
      <c r="V623" s="131"/>
      <c r="W623" s="131"/>
      <c r="X623" s="131"/>
      <c r="Y623" s="131"/>
      <c r="Z623" s="131"/>
      <c r="AA623" s="131"/>
      <c r="AB623" s="330"/>
      <c r="AC623" s="331"/>
      <c r="AD623" s="332"/>
      <c r="AE623" s="131"/>
      <c r="AF623" s="131"/>
      <c r="AG623" s="131"/>
      <c r="AH623" s="131"/>
      <c r="AI623" s="131"/>
      <c r="AJ623" s="131"/>
      <c r="AK623" s="131"/>
      <c r="AL623" s="131"/>
      <c r="AM623" s="131"/>
      <c r="AN623" s="131"/>
      <c r="AO623" s="142"/>
      <c r="AP623" s="131"/>
    </row>
    <row r="624" ht="13.5" customHeight="1">
      <c r="A624" s="142"/>
      <c r="B624" s="142"/>
      <c r="C624" s="142"/>
      <c r="D624" s="142"/>
      <c r="E624" s="132"/>
      <c r="F624" s="131"/>
      <c r="G624" s="131"/>
      <c r="H624" s="131"/>
      <c r="I624" s="131"/>
      <c r="J624" s="219"/>
      <c r="K624" s="198"/>
      <c r="L624" s="131"/>
      <c r="M624" s="142"/>
      <c r="N624" s="131"/>
      <c r="O624" s="131"/>
      <c r="P624" s="131"/>
      <c r="Q624" s="131"/>
      <c r="R624" s="131"/>
      <c r="S624" s="131"/>
      <c r="T624" s="131"/>
      <c r="U624" s="131"/>
      <c r="V624" s="131"/>
      <c r="W624" s="131"/>
      <c r="X624" s="131"/>
      <c r="Y624" s="131"/>
      <c r="Z624" s="131"/>
      <c r="AA624" s="131"/>
      <c r="AB624" s="330"/>
      <c r="AC624" s="331"/>
      <c r="AD624" s="332"/>
      <c r="AE624" s="131"/>
      <c r="AF624" s="131"/>
      <c r="AG624" s="131"/>
      <c r="AH624" s="131"/>
      <c r="AI624" s="131"/>
      <c r="AJ624" s="131"/>
      <c r="AK624" s="131"/>
      <c r="AL624" s="131"/>
      <c r="AM624" s="131"/>
      <c r="AN624" s="131"/>
      <c r="AO624" s="142"/>
      <c r="AP624" s="131"/>
    </row>
    <row r="625" ht="13.5" customHeight="1">
      <c r="A625" s="142"/>
      <c r="B625" s="142"/>
      <c r="C625" s="142"/>
      <c r="D625" s="142"/>
      <c r="E625" s="132"/>
      <c r="F625" s="131"/>
      <c r="G625" s="131"/>
      <c r="H625" s="131"/>
      <c r="I625" s="131"/>
      <c r="J625" s="219"/>
      <c r="K625" s="198"/>
      <c r="L625" s="131"/>
      <c r="M625" s="142"/>
      <c r="N625" s="131"/>
      <c r="O625" s="131"/>
      <c r="P625" s="131"/>
      <c r="Q625" s="131"/>
      <c r="R625" s="131"/>
      <c r="S625" s="131"/>
      <c r="T625" s="131"/>
      <c r="U625" s="131"/>
      <c r="V625" s="131"/>
      <c r="W625" s="131"/>
      <c r="X625" s="131"/>
      <c r="Y625" s="131"/>
      <c r="Z625" s="131"/>
      <c r="AA625" s="131"/>
      <c r="AB625" s="330"/>
      <c r="AC625" s="331"/>
      <c r="AD625" s="332"/>
      <c r="AE625" s="131"/>
      <c r="AF625" s="131"/>
      <c r="AG625" s="131"/>
      <c r="AH625" s="131"/>
      <c r="AI625" s="131"/>
      <c r="AJ625" s="131"/>
      <c r="AK625" s="131"/>
      <c r="AL625" s="131"/>
      <c r="AM625" s="131"/>
      <c r="AN625" s="131"/>
      <c r="AO625" s="142"/>
      <c r="AP625" s="131"/>
    </row>
    <row r="626" ht="13.5" customHeight="1">
      <c r="A626" s="142"/>
      <c r="B626" s="142"/>
      <c r="C626" s="142"/>
      <c r="D626" s="142"/>
      <c r="E626" s="132"/>
      <c r="F626" s="131"/>
      <c r="G626" s="131"/>
      <c r="H626" s="131"/>
      <c r="I626" s="131"/>
      <c r="J626" s="219"/>
      <c r="K626" s="198"/>
      <c r="L626" s="131"/>
      <c r="M626" s="142"/>
      <c r="N626" s="131"/>
      <c r="O626" s="131"/>
      <c r="P626" s="131"/>
      <c r="Q626" s="131"/>
      <c r="R626" s="131"/>
      <c r="S626" s="131"/>
      <c r="T626" s="131"/>
      <c r="U626" s="131"/>
      <c r="V626" s="131"/>
      <c r="W626" s="131"/>
      <c r="X626" s="131"/>
      <c r="Y626" s="131"/>
      <c r="Z626" s="131"/>
      <c r="AA626" s="131"/>
      <c r="AB626" s="330"/>
      <c r="AC626" s="331"/>
      <c r="AD626" s="332"/>
      <c r="AE626" s="131"/>
      <c r="AF626" s="131"/>
      <c r="AG626" s="131"/>
      <c r="AH626" s="131"/>
      <c r="AI626" s="131"/>
      <c r="AJ626" s="131"/>
      <c r="AK626" s="131"/>
      <c r="AL626" s="131"/>
      <c r="AM626" s="131"/>
      <c r="AN626" s="131"/>
      <c r="AO626" s="142"/>
      <c r="AP626" s="131"/>
    </row>
    <row r="627" ht="13.5" customHeight="1">
      <c r="A627" s="142"/>
      <c r="B627" s="142"/>
      <c r="C627" s="142"/>
      <c r="D627" s="142"/>
      <c r="E627" s="132"/>
      <c r="F627" s="131"/>
      <c r="G627" s="131"/>
      <c r="H627" s="131"/>
      <c r="I627" s="131"/>
      <c r="J627" s="219"/>
      <c r="K627" s="198"/>
      <c r="L627" s="131"/>
      <c r="M627" s="142"/>
      <c r="N627" s="131"/>
      <c r="O627" s="131"/>
      <c r="P627" s="131"/>
      <c r="Q627" s="131"/>
      <c r="R627" s="131"/>
      <c r="S627" s="131"/>
      <c r="T627" s="131"/>
      <c r="U627" s="131"/>
      <c r="V627" s="131"/>
      <c r="W627" s="131"/>
      <c r="X627" s="131"/>
      <c r="Y627" s="131"/>
      <c r="Z627" s="131"/>
      <c r="AA627" s="131"/>
      <c r="AB627" s="330"/>
      <c r="AC627" s="331"/>
      <c r="AD627" s="332"/>
      <c r="AE627" s="131"/>
      <c r="AF627" s="131"/>
      <c r="AG627" s="131"/>
      <c r="AH627" s="131"/>
      <c r="AI627" s="131"/>
      <c r="AJ627" s="131"/>
      <c r="AK627" s="131"/>
      <c r="AL627" s="131"/>
      <c r="AM627" s="131"/>
      <c r="AN627" s="131"/>
      <c r="AO627" s="142"/>
      <c r="AP627" s="131"/>
    </row>
    <row r="628" ht="13.5" customHeight="1">
      <c r="A628" s="142"/>
      <c r="B628" s="142"/>
      <c r="C628" s="142"/>
      <c r="D628" s="142"/>
      <c r="E628" s="132"/>
      <c r="F628" s="131"/>
      <c r="G628" s="131"/>
      <c r="H628" s="131"/>
      <c r="I628" s="131"/>
      <c r="J628" s="219"/>
      <c r="K628" s="198"/>
      <c r="L628" s="131"/>
      <c r="M628" s="142"/>
      <c r="N628" s="131"/>
      <c r="O628" s="131"/>
      <c r="P628" s="131"/>
      <c r="Q628" s="131"/>
      <c r="R628" s="131"/>
      <c r="S628" s="131"/>
      <c r="T628" s="131"/>
      <c r="U628" s="131"/>
      <c r="V628" s="131"/>
      <c r="W628" s="131"/>
      <c r="X628" s="131"/>
      <c r="Y628" s="131"/>
      <c r="Z628" s="131"/>
      <c r="AA628" s="131"/>
      <c r="AB628" s="330"/>
      <c r="AC628" s="331"/>
      <c r="AD628" s="332"/>
      <c r="AE628" s="131"/>
      <c r="AF628" s="131"/>
      <c r="AG628" s="131"/>
      <c r="AH628" s="131"/>
      <c r="AI628" s="131"/>
      <c r="AJ628" s="131"/>
      <c r="AK628" s="131"/>
      <c r="AL628" s="131"/>
      <c r="AM628" s="131"/>
      <c r="AN628" s="131"/>
      <c r="AO628" s="142"/>
      <c r="AP628" s="131"/>
    </row>
    <row r="629" ht="13.5" customHeight="1">
      <c r="A629" s="142"/>
      <c r="B629" s="142"/>
      <c r="C629" s="142"/>
      <c r="D629" s="142"/>
      <c r="E629" s="132"/>
      <c r="F629" s="131"/>
      <c r="G629" s="131"/>
      <c r="H629" s="131"/>
      <c r="I629" s="131"/>
      <c r="J629" s="219"/>
      <c r="K629" s="198"/>
      <c r="L629" s="131"/>
      <c r="M629" s="142"/>
      <c r="N629" s="131"/>
      <c r="O629" s="131"/>
      <c r="P629" s="131"/>
      <c r="Q629" s="131"/>
      <c r="R629" s="131"/>
      <c r="S629" s="131"/>
      <c r="T629" s="131"/>
      <c r="U629" s="131"/>
      <c r="V629" s="131"/>
      <c r="W629" s="131"/>
      <c r="X629" s="131"/>
      <c r="Y629" s="131"/>
      <c r="Z629" s="131"/>
      <c r="AA629" s="131"/>
      <c r="AB629" s="330"/>
      <c r="AC629" s="331"/>
      <c r="AD629" s="332"/>
      <c r="AE629" s="131"/>
      <c r="AF629" s="131"/>
      <c r="AG629" s="131"/>
      <c r="AH629" s="131"/>
      <c r="AI629" s="131"/>
      <c r="AJ629" s="131"/>
      <c r="AK629" s="131"/>
      <c r="AL629" s="131"/>
      <c r="AM629" s="131"/>
      <c r="AN629" s="131"/>
      <c r="AO629" s="142"/>
      <c r="AP629" s="131"/>
    </row>
    <row r="630" ht="13.5" customHeight="1">
      <c r="A630" s="142"/>
      <c r="B630" s="142"/>
      <c r="C630" s="142"/>
      <c r="D630" s="142"/>
      <c r="E630" s="132"/>
      <c r="F630" s="131"/>
      <c r="G630" s="131"/>
      <c r="H630" s="131"/>
      <c r="I630" s="131"/>
      <c r="J630" s="219"/>
      <c r="K630" s="198"/>
      <c r="L630" s="131"/>
      <c r="M630" s="142"/>
      <c r="N630" s="131"/>
      <c r="O630" s="131"/>
      <c r="P630" s="131"/>
      <c r="Q630" s="131"/>
      <c r="R630" s="131"/>
      <c r="S630" s="131"/>
      <c r="T630" s="131"/>
      <c r="U630" s="131"/>
      <c r="V630" s="131"/>
      <c r="W630" s="131"/>
      <c r="X630" s="131"/>
      <c r="Y630" s="131"/>
      <c r="Z630" s="131"/>
      <c r="AA630" s="131"/>
      <c r="AB630" s="330"/>
      <c r="AC630" s="331"/>
      <c r="AD630" s="332"/>
      <c r="AE630" s="131"/>
      <c r="AF630" s="131"/>
      <c r="AG630" s="131"/>
      <c r="AH630" s="131"/>
      <c r="AI630" s="131"/>
      <c r="AJ630" s="131"/>
      <c r="AK630" s="131"/>
      <c r="AL630" s="131"/>
      <c r="AM630" s="131"/>
      <c r="AN630" s="131"/>
      <c r="AO630" s="142"/>
      <c r="AP630" s="131"/>
    </row>
    <row r="631" ht="13.5" customHeight="1">
      <c r="A631" s="142"/>
      <c r="B631" s="142"/>
      <c r="C631" s="142"/>
      <c r="D631" s="142"/>
      <c r="E631" s="132"/>
      <c r="F631" s="131"/>
      <c r="G631" s="131"/>
      <c r="H631" s="131"/>
      <c r="I631" s="131"/>
      <c r="J631" s="219"/>
      <c r="K631" s="198"/>
      <c r="L631" s="131"/>
      <c r="M631" s="142"/>
      <c r="N631" s="131"/>
      <c r="O631" s="131"/>
      <c r="P631" s="131"/>
      <c r="Q631" s="131"/>
      <c r="R631" s="131"/>
      <c r="S631" s="131"/>
      <c r="T631" s="131"/>
      <c r="U631" s="131"/>
      <c r="V631" s="131"/>
      <c r="W631" s="131"/>
      <c r="X631" s="131"/>
      <c r="Y631" s="131"/>
      <c r="Z631" s="131"/>
      <c r="AA631" s="131"/>
      <c r="AB631" s="330"/>
      <c r="AC631" s="331"/>
      <c r="AD631" s="332"/>
      <c r="AE631" s="131"/>
      <c r="AF631" s="131"/>
      <c r="AG631" s="131"/>
      <c r="AH631" s="131"/>
      <c r="AI631" s="131"/>
      <c r="AJ631" s="131"/>
      <c r="AK631" s="131"/>
      <c r="AL631" s="131"/>
      <c r="AM631" s="131"/>
      <c r="AN631" s="131"/>
      <c r="AO631" s="142"/>
      <c r="AP631" s="131"/>
    </row>
    <row r="632" ht="13.5" customHeight="1">
      <c r="A632" s="142"/>
      <c r="B632" s="142"/>
      <c r="C632" s="142"/>
      <c r="D632" s="142"/>
      <c r="E632" s="132"/>
      <c r="F632" s="131"/>
      <c r="G632" s="131"/>
      <c r="H632" s="131"/>
      <c r="I632" s="131"/>
      <c r="J632" s="219"/>
      <c r="K632" s="198"/>
      <c r="L632" s="131"/>
      <c r="M632" s="142"/>
      <c r="N632" s="131"/>
      <c r="O632" s="131"/>
      <c r="P632" s="131"/>
      <c r="Q632" s="131"/>
      <c r="R632" s="131"/>
      <c r="S632" s="131"/>
      <c r="T632" s="131"/>
      <c r="U632" s="131"/>
      <c r="V632" s="131"/>
      <c r="W632" s="131"/>
      <c r="X632" s="131"/>
      <c r="Y632" s="131"/>
      <c r="Z632" s="131"/>
      <c r="AA632" s="131"/>
      <c r="AB632" s="330"/>
      <c r="AC632" s="331"/>
      <c r="AD632" s="332"/>
      <c r="AE632" s="131"/>
      <c r="AF632" s="131"/>
      <c r="AG632" s="131"/>
      <c r="AH632" s="131"/>
      <c r="AI632" s="131"/>
      <c r="AJ632" s="131"/>
      <c r="AK632" s="131"/>
      <c r="AL632" s="131"/>
      <c r="AM632" s="131"/>
      <c r="AN632" s="131"/>
      <c r="AO632" s="142"/>
      <c r="AP632" s="131"/>
    </row>
    <row r="633" ht="13.5" customHeight="1">
      <c r="A633" s="142"/>
      <c r="B633" s="142"/>
      <c r="C633" s="142"/>
      <c r="D633" s="142"/>
      <c r="E633" s="132"/>
      <c r="F633" s="131"/>
      <c r="G633" s="131"/>
      <c r="H633" s="131"/>
      <c r="I633" s="131"/>
      <c r="J633" s="219"/>
      <c r="K633" s="198"/>
      <c r="L633" s="131"/>
      <c r="M633" s="142"/>
      <c r="N633" s="131"/>
      <c r="O633" s="131"/>
      <c r="P633" s="131"/>
      <c r="Q633" s="131"/>
      <c r="R633" s="131"/>
      <c r="S633" s="131"/>
      <c r="T633" s="131"/>
      <c r="U633" s="131"/>
      <c r="V633" s="131"/>
      <c r="W633" s="131"/>
      <c r="X633" s="131"/>
      <c r="Y633" s="131"/>
      <c r="Z633" s="131"/>
      <c r="AA633" s="131"/>
      <c r="AB633" s="330"/>
      <c r="AC633" s="331"/>
      <c r="AD633" s="332"/>
      <c r="AE633" s="131"/>
      <c r="AF633" s="131"/>
      <c r="AG633" s="131"/>
      <c r="AH633" s="131"/>
      <c r="AI633" s="131"/>
      <c r="AJ633" s="131"/>
      <c r="AK633" s="131"/>
      <c r="AL633" s="131"/>
      <c r="AM633" s="131"/>
      <c r="AN633" s="131"/>
      <c r="AO633" s="142"/>
      <c r="AP633" s="131"/>
    </row>
    <row r="634" ht="13.5" customHeight="1">
      <c r="A634" s="142"/>
      <c r="B634" s="142"/>
      <c r="C634" s="142"/>
      <c r="D634" s="142"/>
      <c r="E634" s="132"/>
      <c r="F634" s="131"/>
      <c r="G634" s="131"/>
      <c r="H634" s="131"/>
      <c r="I634" s="131"/>
      <c r="J634" s="219"/>
      <c r="K634" s="198"/>
      <c r="L634" s="131"/>
      <c r="M634" s="142"/>
      <c r="N634" s="131"/>
      <c r="O634" s="131"/>
      <c r="P634" s="131"/>
      <c r="Q634" s="131"/>
      <c r="R634" s="131"/>
      <c r="S634" s="131"/>
      <c r="T634" s="131"/>
      <c r="U634" s="131"/>
      <c r="V634" s="131"/>
      <c r="W634" s="131"/>
      <c r="X634" s="131"/>
      <c r="Y634" s="131"/>
      <c r="Z634" s="131"/>
      <c r="AA634" s="131"/>
      <c r="AB634" s="330"/>
      <c r="AC634" s="331"/>
      <c r="AD634" s="332"/>
      <c r="AE634" s="131"/>
      <c r="AF634" s="131"/>
      <c r="AG634" s="131"/>
      <c r="AH634" s="131"/>
      <c r="AI634" s="131"/>
      <c r="AJ634" s="131"/>
      <c r="AK634" s="131"/>
      <c r="AL634" s="131"/>
      <c r="AM634" s="131"/>
      <c r="AN634" s="131"/>
      <c r="AO634" s="142"/>
      <c r="AP634" s="131"/>
    </row>
    <row r="635" ht="13.5" customHeight="1">
      <c r="A635" s="142"/>
      <c r="B635" s="142"/>
      <c r="C635" s="142"/>
      <c r="D635" s="142"/>
      <c r="E635" s="132"/>
      <c r="F635" s="131"/>
      <c r="G635" s="131"/>
      <c r="H635" s="131"/>
      <c r="I635" s="131"/>
      <c r="J635" s="219"/>
      <c r="K635" s="198"/>
      <c r="L635" s="131"/>
      <c r="M635" s="142"/>
      <c r="N635" s="131"/>
      <c r="O635" s="131"/>
      <c r="P635" s="131"/>
      <c r="Q635" s="131"/>
      <c r="R635" s="131"/>
      <c r="S635" s="131"/>
      <c r="T635" s="131"/>
      <c r="U635" s="131"/>
      <c r="V635" s="131"/>
      <c r="W635" s="131"/>
      <c r="X635" s="131"/>
      <c r="Y635" s="131"/>
      <c r="Z635" s="131"/>
      <c r="AA635" s="131"/>
      <c r="AB635" s="330"/>
      <c r="AC635" s="331"/>
      <c r="AD635" s="332"/>
      <c r="AE635" s="131"/>
      <c r="AF635" s="131"/>
      <c r="AG635" s="131"/>
      <c r="AH635" s="131"/>
      <c r="AI635" s="131"/>
      <c r="AJ635" s="131"/>
      <c r="AK635" s="131"/>
      <c r="AL635" s="131"/>
      <c r="AM635" s="131"/>
      <c r="AN635" s="131"/>
      <c r="AO635" s="142"/>
      <c r="AP635" s="131"/>
    </row>
    <row r="636" ht="13.5" customHeight="1">
      <c r="A636" s="142"/>
      <c r="B636" s="142"/>
      <c r="C636" s="142"/>
      <c r="D636" s="142"/>
      <c r="E636" s="132"/>
      <c r="F636" s="131"/>
      <c r="G636" s="131"/>
      <c r="H636" s="131"/>
      <c r="I636" s="131"/>
      <c r="J636" s="219"/>
      <c r="K636" s="198"/>
      <c r="L636" s="131"/>
      <c r="M636" s="142"/>
      <c r="N636" s="131"/>
      <c r="O636" s="131"/>
      <c r="P636" s="131"/>
      <c r="Q636" s="131"/>
      <c r="R636" s="131"/>
      <c r="S636" s="131"/>
      <c r="T636" s="131"/>
      <c r="U636" s="131"/>
      <c r="V636" s="131"/>
      <c r="W636" s="131"/>
      <c r="X636" s="131"/>
      <c r="Y636" s="131"/>
      <c r="Z636" s="131"/>
      <c r="AA636" s="131"/>
      <c r="AB636" s="330"/>
      <c r="AC636" s="331"/>
      <c r="AD636" s="332"/>
      <c r="AE636" s="131"/>
      <c r="AF636" s="131"/>
      <c r="AG636" s="131"/>
      <c r="AH636" s="131"/>
      <c r="AI636" s="131"/>
      <c r="AJ636" s="131"/>
      <c r="AK636" s="131"/>
      <c r="AL636" s="131"/>
      <c r="AM636" s="131"/>
      <c r="AN636" s="131"/>
      <c r="AO636" s="142"/>
      <c r="AP636" s="131"/>
    </row>
    <row r="637" ht="13.5" customHeight="1">
      <c r="A637" s="142"/>
      <c r="B637" s="142"/>
      <c r="C637" s="142"/>
      <c r="D637" s="142"/>
      <c r="E637" s="132"/>
      <c r="F637" s="131"/>
      <c r="G637" s="131"/>
      <c r="H637" s="131"/>
      <c r="I637" s="131"/>
      <c r="J637" s="219"/>
      <c r="K637" s="198"/>
      <c r="L637" s="131"/>
      <c r="M637" s="142"/>
      <c r="N637" s="131"/>
      <c r="O637" s="131"/>
      <c r="P637" s="131"/>
      <c r="Q637" s="131"/>
      <c r="R637" s="131"/>
      <c r="S637" s="131"/>
      <c r="T637" s="131"/>
      <c r="U637" s="131"/>
      <c r="V637" s="131"/>
      <c r="W637" s="131"/>
      <c r="X637" s="131"/>
      <c r="Y637" s="131"/>
      <c r="Z637" s="131"/>
      <c r="AA637" s="131"/>
      <c r="AB637" s="330"/>
      <c r="AC637" s="331"/>
      <c r="AD637" s="332"/>
      <c r="AE637" s="131"/>
      <c r="AF637" s="131"/>
      <c r="AG637" s="131"/>
      <c r="AH637" s="131"/>
      <c r="AI637" s="131"/>
      <c r="AJ637" s="131"/>
      <c r="AK637" s="131"/>
      <c r="AL637" s="131"/>
      <c r="AM637" s="131"/>
      <c r="AN637" s="131"/>
      <c r="AO637" s="142"/>
      <c r="AP637" s="131"/>
    </row>
    <row r="638" ht="13.5" customHeight="1">
      <c r="A638" s="142"/>
      <c r="B638" s="142"/>
      <c r="C638" s="142"/>
      <c r="D638" s="142"/>
      <c r="E638" s="132"/>
      <c r="F638" s="131"/>
      <c r="G638" s="131"/>
      <c r="H638" s="131"/>
      <c r="I638" s="131"/>
      <c r="J638" s="219"/>
      <c r="K638" s="198"/>
      <c r="L638" s="131"/>
      <c r="M638" s="142"/>
      <c r="N638" s="131"/>
      <c r="O638" s="131"/>
      <c r="P638" s="131"/>
      <c r="Q638" s="131"/>
      <c r="R638" s="131"/>
      <c r="S638" s="131"/>
      <c r="T638" s="131"/>
      <c r="U638" s="131"/>
      <c r="V638" s="131"/>
      <c r="W638" s="131"/>
      <c r="X638" s="131"/>
      <c r="Y638" s="131"/>
      <c r="Z638" s="131"/>
      <c r="AA638" s="131"/>
      <c r="AB638" s="330"/>
      <c r="AC638" s="331"/>
      <c r="AD638" s="332"/>
      <c r="AE638" s="131"/>
      <c r="AF638" s="131"/>
      <c r="AG638" s="131"/>
      <c r="AH638" s="131"/>
      <c r="AI638" s="131"/>
      <c r="AJ638" s="131"/>
      <c r="AK638" s="131"/>
      <c r="AL638" s="131"/>
      <c r="AM638" s="131"/>
      <c r="AN638" s="131"/>
      <c r="AO638" s="142"/>
      <c r="AP638" s="131"/>
    </row>
    <row r="639" ht="13.5" customHeight="1">
      <c r="A639" s="142"/>
      <c r="B639" s="142"/>
      <c r="C639" s="142"/>
      <c r="D639" s="142"/>
      <c r="E639" s="132"/>
      <c r="F639" s="131"/>
      <c r="G639" s="131"/>
      <c r="H639" s="131"/>
      <c r="I639" s="131"/>
      <c r="J639" s="219"/>
      <c r="K639" s="198"/>
      <c r="L639" s="131"/>
      <c r="M639" s="142"/>
      <c r="N639" s="131"/>
      <c r="O639" s="131"/>
      <c r="P639" s="131"/>
      <c r="Q639" s="131"/>
      <c r="R639" s="131"/>
      <c r="S639" s="131"/>
      <c r="T639" s="131"/>
      <c r="U639" s="131"/>
      <c r="V639" s="131"/>
      <c r="W639" s="131"/>
      <c r="X639" s="131"/>
      <c r="Y639" s="131"/>
      <c r="Z639" s="131"/>
      <c r="AA639" s="131"/>
      <c r="AB639" s="330"/>
      <c r="AC639" s="331"/>
      <c r="AD639" s="332"/>
      <c r="AE639" s="131"/>
      <c r="AF639" s="131"/>
      <c r="AG639" s="131"/>
      <c r="AH639" s="131"/>
      <c r="AI639" s="131"/>
      <c r="AJ639" s="131"/>
      <c r="AK639" s="131"/>
      <c r="AL639" s="131"/>
      <c r="AM639" s="131"/>
      <c r="AN639" s="131"/>
      <c r="AO639" s="142"/>
      <c r="AP639" s="131"/>
    </row>
    <row r="640" ht="13.5" customHeight="1">
      <c r="A640" s="142"/>
      <c r="B640" s="142"/>
      <c r="C640" s="142"/>
      <c r="D640" s="142"/>
      <c r="E640" s="132"/>
      <c r="F640" s="131"/>
      <c r="G640" s="131"/>
      <c r="H640" s="131"/>
      <c r="I640" s="131"/>
      <c r="J640" s="219"/>
      <c r="K640" s="198"/>
      <c r="L640" s="131"/>
      <c r="M640" s="142"/>
      <c r="N640" s="131"/>
      <c r="O640" s="131"/>
      <c r="P640" s="131"/>
      <c r="Q640" s="131"/>
      <c r="R640" s="131"/>
      <c r="S640" s="131"/>
      <c r="T640" s="131"/>
      <c r="U640" s="131"/>
      <c r="V640" s="131"/>
      <c r="W640" s="131"/>
      <c r="X640" s="131"/>
      <c r="Y640" s="131"/>
      <c r="Z640" s="131"/>
      <c r="AA640" s="131"/>
      <c r="AB640" s="330"/>
      <c r="AC640" s="331"/>
      <c r="AD640" s="332"/>
      <c r="AE640" s="131"/>
      <c r="AF640" s="131"/>
      <c r="AG640" s="131"/>
      <c r="AH640" s="131"/>
      <c r="AI640" s="131"/>
      <c r="AJ640" s="131"/>
      <c r="AK640" s="131"/>
      <c r="AL640" s="131"/>
      <c r="AM640" s="131"/>
      <c r="AN640" s="131"/>
      <c r="AO640" s="142"/>
      <c r="AP640" s="131"/>
    </row>
    <row r="641" ht="13.5" customHeight="1">
      <c r="A641" s="142"/>
      <c r="B641" s="142"/>
      <c r="C641" s="142"/>
      <c r="D641" s="142"/>
      <c r="E641" s="132"/>
      <c r="F641" s="131"/>
      <c r="G641" s="131"/>
      <c r="H641" s="131"/>
      <c r="I641" s="131"/>
      <c r="J641" s="219"/>
      <c r="K641" s="198"/>
      <c r="L641" s="131"/>
      <c r="M641" s="142"/>
      <c r="N641" s="131"/>
      <c r="O641" s="131"/>
      <c r="P641" s="131"/>
      <c r="Q641" s="131"/>
      <c r="R641" s="131"/>
      <c r="S641" s="131"/>
      <c r="T641" s="131"/>
      <c r="U641" s="131"/>
      <c r="V641" s="131"/>
      <c r="W641" s="131"/>
      <c r="X641" s="131"/>
      <c r="Y641" s="131"/>
      <c r="Z641" s="131"/>
      <c r="AA641" s="131"/>
      <c r="AB641" s="330"/>
      <c r="AC641" s="331"/>
      <c r="AD641" s="332"/>
      <c r="AE641" s="131"/>
      <c r="AF641" s="131"/>
      <c r="AG641" s="131"/>
      <c r="AH641" s="131"/>
      <c r="AI641" s="131"/>
      <c r="AJ641" s="131"/>
      <c r="AK641" s="131"/>
      <c r="AL641" s="131"/>
      <c r="AM641" s="131"/>
      <c r="AN641" s="131"/>
      <c r="AO641" s="142"/>
      <c r="AP641" s="131"/>
    </row>
    <row r="642" ht="13.5" customHeight="1">
      <c r="A642" s="142"/>
      <c r="B642" s="142"/>
      <c r="C642" s="142"/>
      <c r="D642" s="142"/>
      <c r="E642" s="132"/>
      <c r="F642" s="131"/>
      <c r="G642" s="131"/>
      <c r="H642" s="131"/>
      <c r="I642" s="131"/>
      <c r="J642" s="219"/>
      <c r="K642" s="198"/>
      <c r="L642" s="131"/>
      <c r="M642" s="142"/>
      <c r="N642" s="131"/>
      <c r="O642" s="131"/>
      <c r="P642" s="131"/>
      <c r="Q642" s="131"/>
      <c r="R642" s="131"/>
      <c r="S642" s="131"/>
      <c r="T642" s="131"/>
      <c r="U642" s="131"/>
      <c r="V642" s="131"/>
      <c r="W642" s="131"/>
      <c r="X642" s="131"/>
      <c r="Y642" s="131"/>
      <c r="Z642" s="131"/>
      <c r="AA642" s="131"/>
      <c r="AB642" s="330"/>
      <c r="AC642" s="331"/>
      <c r="AD642" s="332"/>
      <c r="AE642" s="131"/>
      <c r="AF642" s="131"/>
      <c r="AG642" s="131"/>
      <c r="AH642" s="131"/>
      <c r="AI642" s="131"/>
      <c r="AJ642" s="131"/>
      <c r="AK642" s="131"/>
      <c r="AL642" s="131"/>
      <c r="AM642" s="131"/>
      <c r="AN642" s="131"/>
      <c r="AO642" s="142"/>
      <c r="AP642" s="131"/>
    </row>
    <row r="643" ht="13.5" customHeight="1">
      <c r="A643" s="142"/>
      <c r="B643" s="142"/>
      <c r="C643" s="142"/>
      <c r="D643" s="142"/>
      <c r="E643" s="132"/>
      <c r="F643" s="131"/>
      <c r="G643" s="131"/>
      <c r="H643" s="131"/>
      <c r="I643" s="131"/>
      <c r="J643" s="219"/>
      <c r="K643" s="198"/>
      <c r="L643" s="131"/>
      <c r="M643" s="142"/>
      <c r="N643" s="131"/>
      <c r="O643" s="131"/>
      <c r="P643" s="131"/>
      <c r="Q643" s="131"/>
      <c r="R643" s="131"/>
      <c r="S643" s="131"/>
      <c r="T643" s="131"/>
      <c r="U643" s="131"/>
      <c r="V643" s="131"/>
      <c r="W643" s="131"/>
      <c r="X643" s="131"/>
      <c r="Y643" s="131"/>
      <c r="Z643" s="131"/>
      <c r="AA643" s="131"/>
      <c r="AB643" s="330"/>
      <c r="AC643" s="331"/>
      <c r="AD643" s="332"/>
      <c r="AE643" s="131"/>
      <c r="AF643" s="131"/>
      <c r="AG643" s="131"/>
      <c r="AH643" s="131"/>
      <c r="AI643" s="131"/>
      <c r="AJ643" s="131"/>
      <c r="AK643" s="131"/>
      <c r="AL643" s="131"/>
      <c r="AM643" s="131"/>
      <c r="AN643" s="131"/>
      <c r="AO643" s="142"/>
      <c r="AP643" s="131"/>
    </row>
    <row r="644" ht="13.5" customHeight="1">
      <c r="A644" s="142"/>
      <c r="B644" s="142"/>
      <c r="C644" s="142"/>
      <c r="D644" s="142"/>
      <c r="E644" s="132"/>
      <c r="F644" s="131"/>
      <c r="G644" s="131"/>
      <c r="H644" s="131"/>
      <c r="I644" s="131"/>
      <c r="J644" s="219"/>
      <c r="K644" s="198"/>
      <c r="L644" s="131"/>
      <c r="M644" s="142"/>
      <c r="N644" s="131"/>
      <c r="O644" s="131"/>
      <c r="P644" s="131"/>
      <c r="Q644" s="131"/>
      <c r="R644" s="131"/>
      <c r="S644" s="131"/>
      <c r="T644" s="131"/>
      <c r="U644" s="131"/>
      <c r="V644" s="131"/>
      <c r="W644" s="131"/>
      <c r="X644" s="131"/>
      <c r="Y644" s="131"/>
      <c r="Z644" s="131"/>
      <c r="AA644" s="131"/>
      <c r="AB644" s="330"/>
      <c r="AC644" s="331"/>
      <c r="AD644" s="332"/>
      <c r="AE644" s="131"/>
      <c r="AF644" s="131"/>
      <c r="AG644" s="131"/>
      <c r="AH644" s="131"/>
      <c r="AI644" s="131"/>
      <c r="AJ644" s="131"/>
      <c r="AK644" s="131"/>
      <c r="AL644" s="131"/>
      <c r="AM644" s="131"/>
      <c r="AN644" s="131"/>
      <c r="AO644" s="142"/>
      <c r="AP644" s="131"/>
    </row>
    <row r="645" ht="13.5" customHeight="1">
      <c r="A645" s="142"/>
      <c r="B645" s="142"/>
      <c r="C645" s="142"/>
      <c r="D645" s="142"/>
      <c r="E645" s="132"/>
      <c r="F645" s="131"/>
      <c r="G645" s="131"/>
      <c r="H645" s="131"/>
      <c r="I645" s="131"/>
      <c r="J645" s="219"/>
      <c r="K645" s="198"/>
      <c r="L645" s="131"/>
      <c r="M645" s="142"/>
      <c r="N645" s="131"/>
      <c r="O645" s="131"/>
      <c r="P645" s="131"/>
      <c r="Q645" s="131"/>
      <c r="R645" s="131"/>
      <c r="S645" s="131"/>
      <c r="T645" s="131"/>
      <c r="U645" s="131"/>
      <c r="V645" s="131"/>
      <c r="W645" s="131"/>
      <c r="X645" s="131"/>
      <c r="Y645" s="131"/>
      <c r="Z645" s="131"/>
      <c r="AA645" s="131"/>
      <c r="AB645" s="330"/>
      <c r="AC645" s="331"/>
      <c r="AD645" s="332"/>
      <c r="AE645" s="131"/>
      <c r="AF645" s="131"/>
      <c r="AG645" s="131"/>
      <c r="AH645" s="131"/>
      <c r="AI645" s="131"/>
      <c r="AJ645" s="131"/>
      <c r="AK645" s="131"/>
      <c r="AL645" s="131"/>
      <c r="AM645" s="131"/>
      <c r="AN645" s="131"/>
      <c r="AO645" s="142"/>
      <c r="AP645" s="131"/>
    </row>
    <row r="646" ht="13.5" customHeight="1">
      <c r="A646" s="142"/>
      <c r="B646" s="142"/>
      <c r="C646" s="142"/>
      <c r="D646" s="142"/>
      <c r="E646" s="132"/>
      <c r="F646" s="131"/>
      <c r="G646" s="131"/>
      <c r="H646" s="131"/>
      <c r="I646" s="131"/>
      <c r="J646" s="219"/>
      <c r="K646" s="198"/>
      <c r="L646" s="131"/>
      <c r="M646" s="142"/>
      <c r="N646" s="131"/>
      <c r="O646" s="131"/>
      <c r="P646" s="131"/>
      <c r="Q646" s="131"/>
      <c r="R646" s="131"/>
      <c r="S646" s="131"/>
      <c r="T646" s="131"/>
      <c r="U646" s="131"/>
      <c r="V646" s="131"/>
      <c r="W646" s="131"/>
      <c r="X646" s="131"/>
      <c r="Y646" s="131"/>
      <c r="Z646" s="131"/>
      <c r="AA646" s="131"/>
      <c r="AB646" s="330"/>
      <c r="AC646" s="331"/>
      <c r="AD646" s="332"/>
      <c r="AE646" s="131"/>
      <c r="AF646" s="131"/>
      <c r="AG646" s="131"/>
      <c r="AH646" s="131"/>
      <c r="AI646" s="131"/>
      <c r="AJ646" s="131"/>
      <c r="AK646" s="131"/>
      <c r="AL646" s="131"/>
      <c r="AM646" s="131"/>
      <c r="AN646" s="131"/>
      <c r="AO646" s="142"/>
      <c r="AP646" s="131"/>
    </row>
    <row r="647" ht="13.5" customHeight="1">
      <c r="A647" s="142"/>
      <c r="B647" s="142"/>
      <c r="C647" s="142"/>
      <c r="D647" s="142"/>
      <c r="E647" s="132"/>
      <c r="F647" s="131"/>
      <c r="G647" s="131"/>
      <c r="H647" s="131"/>
      <c r="I647" s="131"/>
      <c r="J647" s="219"/>
      <c r="K647" s="198"/>
      <c r="L647" s="131"/>
      <c r="M647" s="142"/>
      <c r="N647" s="131"/>
      <c r="O647" s="131"/>
      <c r="P647" s="131"/>
      <c r="Q647" s="131"/>
      <c r="R647" s="131"/>
      <c r="S647" s="131"/>
      <c r="T647" s="131"/>
      <c r="U647" s="131"/>
      <c r="V647" s="131"/>
      <c r="W647" s="131"/>
      <c r="X647" s="131"/>
      <c r="Y647" s="131"/>
      <c r="Z647" s="131"/>
      <c r="AA647" s="131"/>
      <c r="AB647" s="330"/>
      <c r="AC647" s="331"/>
      <c r="AD647" s="332"/>
      <c r="AE647" s="131"/>
      <c r="AF647" s="131"/>
      <c r="AG647" s="131"/>
      <c r="AH647" s="131"/>
      <c r="AI647" s="131"/>
      <c r="AJ647" s="131"/>
      <c r="AK647" s="131"/>
      <c r="AL647" s="131"/>
      <c r="AM647" s="131"/>
      <c r="AN647" s="131"/>
      <c r="AO647" s="142"/>
      <c r="AP647" s="131"/>
    </row>
    <row r="648" ht="13.5" customHeight="1">
      <c r="A648" s="142"/>
      <c r="B648" s="142"/>
      <c r="C648" s="142"/>
      <c r="D648" s="142"/>
      <c r="E648" s="132"/>
      <c r="F648" s="131"/>
      <c r="G648" s="131"/>
      <c r="H648" s="131"/>
      <c r="I648" s="131"/>
      <c r="J648" s="219"/>
      <c r="K648" s="198"/>
      <c r="L648" s="131"/>
      <c r="M648" s="142"/>
      <c r="N648" s="131"/>
      <c r="O648" s="131"/>
      <c r="P648" s="131"/>
      <c r="Q648" s="131"/>
      <c r="R648" s="131"/>
      <c r="S648" s="131"/>
      <c r="T648" s="131"/>
      <c r="U648" s="131"/>
      <c r="V648" s="131"/>
      <c r="W648" s="131"/>
      <c r="X648" s="131"/>
      <c r="Y648" s="131"/>
      <c r="Z648" s="131"/>
      <c r="AA648" s="131"/>
      <c r="AB648" s="330"/>
      <c r="AC648" s="331"/>
      <c r="AD648" s="332"/>
      <c r="AE648" s="131"/>
      <c r="AF648" s="131"/>
      <c r="AG648" s="131"/>
      <c r="AH648" s="131"/>
      <c r="AI648" s="131"/>
      <c r="AJ648" s="131"/>
      <c r="AK648" s="131"/>
      <c r="AL648" s="131"/>
      <c r="AM648" s="131"/>
      <c r="AN648" s="131"/>
      <c r="AO648" s="142"/>
      <c r="AP648" s="131"/>
    </row>
    <row r="649" ht="13.5" customHeight="1">
      <c r="A649" s="142"/>
      <c r="B649" s="142"/>
      <c r="C649" s="142"/>
      <c r="D649" s="142"/>
      <c r="E649" s="132"/>
      <c r="F649" s="131"/>
      <c r="G649" s="131"/>
      <c r="H649" s="131"/>
      <c r="I649" s="131"/>
      <c r="J649" s="219"/>
      <c r="K649" s="198"/>
      <c r="L649" s="131"/>
      <c r="M649" s="142"/>
      <c r="N649" s="131"/>
      <c r="O649" s="131"/>
      <c r="P649" s="131"/>
      <c r="Q649" s="131"/>
      <c r="R649" s="131"/>
      <c r="S649" s="131"/>
      <c r="T649" s="131"/>
      <c r="U649" s="131"/>
      <c r="V649" s="131"/>
      <c r="W649" s="131"/>
      <c r="X649" s="131"/>
      <c r="Y649" s="131"/>
      <c r="Z649" s="131"/>
      <c r="AA649" s="131"/>
      <c r="AB649" s="330"/>
      <c r="AC649" s="331"/>
      <c r="AD649" s="332"/>
      <c r="AE649" s="131"/>
      <c r="AF649" s="131"/>
      <c r="AG649" s="131"/>
      <c r="AH649" s="131"/>
      <c r="AI649" s="131"/>
      <c r="AJ649" s="131"/>
      <c r="AK649" s="131"/>
      <c r="AL649" s="131"/>
      <c r="AM649" s="131"/>
      <c r="AN649" s="131"/>
      <c r="AO649" s="142"/>
      <c r="AP649" s="131"/>
    </row>
    <row r="650" ht="13.5" customHeight="1">
      <c r="A650" s="142"/>
      <c r="B650" s="142"/>
      <c r="C650" s="142"/>
      <c r="D650" s="142"/>
      <c r="E650" s="132"/>
      <c r="F650" s="131"/>
      <c r="G650" s="131"/>
      <c r="H650" s="131"/>
      <c r="I650" s="131"/>
      <c r="J650" s="219"/>
      <c r="K650" s="198"/>
      <c r="L650" s="131"/>
      <c r="M650" s="142"/>
      <c r="N650" s="131"/>
      <c r="O650" s="131"/>
      <c r="P650" s="131"/>
      <c r="Q650" s="131"/>
      <c r="R650" s="131"/>
      <c r="S650" s="131"/>
      <c r="T650" s="131"/>
      <c r="U650" s="131"/>
      <c r="V650" s="131"/>
      <c r="W650" s="131"/>
      <c r="X650" s="131"/>
      <c r="Y650" s="131"/>
      <c r="Z650" s="131"/>
      <c r="AA650" s="131"/>
      <c r="AB650" s="330"/>
      <c r="AC650" s="331"/>
      <c r="AD650" s="332"/>
      <c r="AE650" s="131"/>
      <c r="AF650" s="131"/>
      <c r="AG650" s="131"/>
      <c r="AH650" s="131"/>
      <c r="AI650" s="131"/>
      <c r="AJ650" s="131"/>
      <c r="AK650" s="131"/>
      <c r="AL650" s="131"/>
      <c r="AM650" s="131"/>
      <c r="AN650" s="131"/>
      <c r="AO650" s="142"/>
      <c r="AP650" s="131"/>
    </row>
    <row r="651" ht="13.5" customHeight="1">
      <c r="A651" s="142"/>
      <c r="B651" s="142"/>
      <c r="C651" s="142"/>
      <c r="D651" s="142"/>
      <c r="E651" s="132"/>
      <c r="F651" s="131"/>
      <c r="G651" s="131"/>
      <c r="H651" s="131"/>
      <c r="I651" s="131"/>
      <c r="J651" s="219"/>
      <c r="K651" s="198"/>
      <c r="L651" s="131"/>
      <c r="M651" s="142"/>
      <c r="N651" s="131"/>
      <c r="O651" s="131"/>
      <c r="P651" s="131"/>
      <c r="Q651" s="131"/>
      <c r="R651" s="131"/>
      <c r="S651" s="131"/>
      <c r="T651" s="131"/>
      <c r="U651" s="131"/>
      <c r="V651" s="131"/>
      <c r="W651" s="131"/>
      <c r="X651" s="131"/>
      <c r="Y651" s="131"/>
      <c r="Z651" s="131"/>
      <c r="AA651" s="131"/>
      <c r="AB651" s="330"/>
      <c r="AC651" s="331"/>
      <c r="AD651" s="332"/>
      <c r="AE651" s="131"/>
      <c r="AF651" s="131"/>
      <c r="AG651" s="131"/>
      <c r="AH651" s="131"/>
      <c r="AI651" s="131"/>
      <c r="AJ651" s="131"/>
      <c r="AK651" s="131"/>
      <c r="AL651" s="131"/>
      <c r="AM651" s="131"/>
      <c r="AN651" s="131"/>
      <c r="AO651" s="142"/>
      <c r="AP651" s="131"/>
    </row>
    <row r="652" ht="13.5" customHeight="1">
      <c r="A652" s="142"/>
      <c r="B652" s="142"/>
      <c r="C652" s="142"/>
      <c r="D652" s="142"/>
      <c r="E652" s="132"/>
      <c r="F652" s="131"/>
      <c r="G652" s="131"/>
      <c r="H652" s="131"/>
      <c r="I652" s="131"/>
      <c r="J652" s="219"/>
      <c r="K652" s="198"/>
      <c r="L652" s="131"/>
      <c r="M652" s="142"/>
      <c r="N652" s="131"/>
      <c r="O652" s="131"/>
      <c r="P652" s="131"/>
      <c r="Q652" s="131"/>
      <c r="R652" s="131"/>
      <c r="S652" s="131"/>
      <c r="T652" s="131"/>
      <c r="U652" s="131"/>
      <c r="V652" s="131"/>
      <c r="W652" s="131"/>
      <c r="X652" s="131"/>
      <c r="Y652" s="131"/>
      <c r="Z652" s="131"/>
      <c r="AA652" s="131"/>
      <c r="AB652" s="330"/>
      <c r="AC652" s="331"/>
      <c r="AD652" s="332"/>
      <c r="AE652" s="131"/>
      <c r="AF652" s="131"/>
      <c r="AG652" s="131"/>
      <c r="AH652" s="131"/>
      <c r="AI652" s="131"/>
      <c r="AJ652" s="131"/>
      <c r="AK652" s="131"/>
      <c r="AL652" s="131"/>
      <c r="AM652" s="131"/>
      <c r="AN652" s="131"/>
      <c r="AO652" s="142"/>
      <c r="AP652" s="131"/>
    </row>
    <row r="653" ht="13.5" customHeight="1">
      <c r="A653" s="142"/>
      <c r="B653" s="142"/>
      <c r="C653" s="142"/>
      <c r="D653" s="142"/>
      <c r="E653" s="132"/>
      <c r="F653" s="131"/>
      <c r="G653" s="131"/>
      <c r="H653" s="131"/>
      <c r="I653" s="131"/>
      <c r="J653" s="219"/>
      <c r="K653" s="198"/>
      <c r="L653" s="131"/>
      <c r="M653" s="142"/>
      <c r="N653" s="131"/>
      <c r="O653" s="131"/>
      <c r="P653" s="131"/>
      <c r="Q653" s="131"/>
      <c r="R653" s="131"/>
      <c r="S653" s="131"/>
      <c r="T653" s="131"/>
      <c r="U653" s="131"/>
      <c r="V653" s="131"/>
      <c r="W653" s="131"/>
      <c r="X653" s="131"/>
      <c r="Y653" s="131"/>
      <c r="Z653" s="131"/>
      <c r="AA653" s="131"/>
      <c r="AB653" s="330"/>
      <c r="AC653" s="331"/>
      <c r="AD653" s="332"/>
      <c r="AE653" s="131"/>
      <c r="AF653" s="131"/>
      <c r="AG653" s="131"/>
      <c r="AH653" s="131"/>
      <c r="AI653" s="131"/>
      <c r="AJ653" s="131"/>
      <c r="AK653" s="131"/>
      <c r="AL653" s="131"/>
      <c r="AM653" s="131"/>
      <c r="AN653" s="131"/>
      <c r="AO653" s="142"/>
      <c r="AP653" s="131"/>
    </row>
    <row r="654" ht="13.5" customHeight="1">
      <c r="A654" s="142"/>
      <c r="B654" s="142"/>
      <c r="C654" s="142"/>
      <c r="D654" s="142"/>
      <c r="E654" s="132"/>
      <c r="F654" s="131"/>
      <c r="G654" s="131"/>
      <c r="H654" s="131"/>
      <c r="I654" s="131"/>
      <c r="J654" s="219"/>
      <c r="K654" s="198"/>
      <c r="L654" s="131"/>
      <c r="M654" s="142"/>
      <c r="N654" s="131"/>
      <c r="O654" s="131"/>
      <c r="P654" s="131"/>
      <c r="Q654" s="131"/>
      <c r="R654" s="131"/>
      <c r="S654" s="131"/>
      <c r="T654" s="131"/>
      <c r="U654" s="131"/>
      <c r="V654" s="131"/>
      <c r="W654" s="131"/>
      <c r="X654" s="131"/>
      <c r="Y654" s="131"/>
      <c r="Z654" s="131"/>
      <c r="AA654" s="131"/>
      <c r="AB654" s="330"/>
      <c r="AC654" s="331"/>
      <c r="AD654" s="332"/>
      <c r="AE654" s="131"/>
      <c r="AF654" s="131"/>
      <c r="AG654" s="131"/>
      <c r="AH654" s="131"/>
      <c r="AI654" s="131"/>
      <c r="AJ654" s="131"/>
      <c r="AK654" s="131"/>
      <c r="AL654" s="131"/>
      <c r="AM654" s="131"/>
      <c r="AN654" s="131"/>
      <c r="AO654" s="142"/>
      <c r="AP654" s="131"/>
    </row>
    <row r="655" ht="13.5" customHeight="1">
      <c r="A655" s="142"/>
      <c r="B655" s="142"/>
      <c r="C655" s="142"/>
      <c r="D655" s="142"/>
      <c r="E655" s="132"/>
      <c r="F655" s="131"/>
      <c r="G655" s="131"/>
      <c r="H655" s="131"/>
      <c r="I655" s="131"/>
      <c r="J655" s="219"/>
      <c r="K655" s="198"/>
      <c r="L655" s="131"/>
      <c r="M655" s="142"/>
      <c r="N655" s="131"/>
      <c r="O655" s="131"/>
      <c r="P655" s="131"/>
      <c r="Q655" s="131"/>
      <c r="R655" s="131"/>
      <c r="S655" s="131"/>
      <c r="T655" s="131"/>
      <c r="U655" s="131"/>
      <c r="V655" s="131"/>
      <c r="W655" s="131"/>
      <c r="X655" s="131"/>
      <c r="Y655" s="131"/>
      <c r="Z655" s="131"/>
      <c r="AA655" s="131"/>
      <c r="AB655" s="330"/>
      <c r="AC655" s="331"/>
      <c r="AD655" s="332"/>
      <c r="AE655" s="131"/>
      <c r="AF655" s="131"/>
      <c r="AG655" s="131"/>
      <c r="AH655" s="131"/>
      <c r="AI655" s="131"/>
      <c r="AJ655" s="131"/>
      <c r="AK655" s="131"/>
      <c r="AL655" s="131"/>
      <c r="AM655" s="131"/>
      <c r="AN655" s="131"/>
      <c r="AO655" s="142"/>
      <c r="AP655" s="131"/>
    </row>
    <row r="656" ht="13.5" customHeight="1">
      <c r="A656" s="142"/>
      <c r="B656" s="142"/>
      <c r="C656" s="142"/>
      <c r="D656" s="142"/>
      <c r="E656" s="132"/>
      <c r="F656" s="131"/>
      <c r="G656" s="131"/>
      <c r="H656" s="131"/>
      <c r="I656" s="131"/>
      <c r="J656" s="219"/>
      <c r="K656" s="198"/>
      <c r="L656" s="131"/>
      <c r="M656" s="142"/>
      <c r="N656" s="131"/>
      <c r="O656" s="131"/>
      <c r="P656" s="131"/>
      <c r="Q656" s="131"/>
      <c r="R656" s="131"/>
      <c r="S656" s="131"/>
      <c r="T656" s="131"/>
      <c r="U656" s="131"/>
      <c r="V656" s="131"/>
      <c r="W656" s="131"/>
      <c r="X656" s="131"/>
      <c r="Y656" s="131"/>
      <c r="Z656" s="131"/>
      <c r="AA656" s="131"/>
      <c r="AB656" s="330"/>
      <c r="AC656" s="331"/>
      <c r="AD656" s="332"/>
      <c r="AE656" s="131"/>
      <c r="AF656" s="131"/>
      <c r="AG656" s="131"/>
      <c r="AH656" s="131"/>
      <c r="AI656" s="131"/>
      <c r="AJ656" s="131"/>
      <c r="AK656" s="131"/>
      <c r="AL656" s="131"/>
      <c r="AM656" s="131"/>
      <c r="AN656" s="131"/>
      <c r="AO656" s="142"/>
      <c r="AP656" s="131"/>
    </row>
    <row r="657" ht="13.5" customHeight="1">
      <c r="A657" s="142"/>
      <c r="B657" s="142"/>
      <c r="C657" s="142"/>
      <c r="D657" s="142"/>
      <c r="E657" s="132"/>
      <c r="F657" s="131"/>
      <c r="G657" s="131"/>
      <c r="H657" s="131"/>
      <c r="I657" s="131"/>
      <c r="J657" s="219"/>
      <c r="K657" s="198"/>
      <c r="L657" s="131"/>
      <c r="M657" s="142"/>
      <c r="N657" s="131"/>
      <c r="O657" s="131"/>
      <c r="P657" s="131"/>
      <c r="Q657" s="131"/>
      <c r="R657" s="131"/>
      <c r="S657" s="131"/>
      <c r="T657" s="131"/>
      <c r="U657" s="131"/>
      <c r="V657" s="131"/>
      <c r="W657" s="131"/>
      <c r="X657" s="131"/>
      <c r="Y657" s="131"/>
      <c r="Z657" s="131"/>
      <c r="AA657" s="131"/>
      <c r="AB657" s="330"/>
      <c r="AC657" s="331"/>
      <c r="AD657" s="332"/>
      <c r="AE657" s="131"/>
      <c r="AF657" s="131"/>
      <c r="AG657" s="131"/>
      <c r="AH657" s="131"/>
      <c r="AI657" s="131"/>
      <c r="AJ657" s="131"/>
      <c r="AK657" s="131"/>
      <c r="AL657" s="131"/>
      <c r="AM657" s="131"/>
      <c r="AN657" s="131"/>
      <c r="AO657" s="142"/>
      <c r="AP657" s="131"/>
    </row>
    <row r="658" ht="13.5" customHeight="1">
      <c r="A658" s="142"/>
      <c r="B658" s="142"/>
      <c r="C658" s="142"/>
      <c r="D658" s="142"/>
      <c r="E658" s="132"/>
      <c r="F658" s="131"/>
      <c r="G658" s="131"/>
      <c r="H658" s="131"/>
      <c r="I658" s="131"/>
      <c r="J658" s="219"/>
      <c r="K658" s="198"/>
      <c r="L658" s="131"/>
      <c r="M658" s="142"/>
      <c r="N658" s="131"/>
      <c r="O658" s="131"/>
      <c r="P658" s="131"/>
      <c r="Q658" s="131"/>
      <c r="R658" s="131"/>
      <c r="S658" s="131"/>
      <c r="T658" s="131"/>
      <c r="U658" s="131"/>
      <c r="V658" s="131"/>
      <c r="W658" s="131"/>
      <c r="X658" s="131"/>
      <c r="Y658" s="131"/>
      <c r="Z658" s="131"/>
      <c r="AA658" s="131"/>
      <c r="AB658" s="330"/>
      <c r="AC658" s="331"/>
      <c r="AD658" s="332"/>
      <c r="AE658" s="131"/>
      <c r="AF658" s="131"/>
      <c r="AG658" s="131"/>
      <c r="AH658" s="131"/>
      <c r="AI658" s="131"/>
      <c r="AJ658" s="131"/>
      <c r="AK658" s="131"/>
      <c r="AL658" s="131"/>
      <c r="AM658" s="131"/>
      <c r="AN658" s="131"/>
      <c r="AO658" s="142"/>
      <c r="AP658" s="131"/>
    </row>
    <row r="659" ht="13.5" customHeight="1">
      <c r="A659" s="142"/>
      <c r="B659" s="142"/>
      <c r="C659" s="142"/>
      <c r="D659" s="142"/>
      <c r="E659" s="132"/>
      <c r="F659" s="131"/>
      <c r="G659" s="131"/>
      <c r="H659" s="131"/>
      <c r="I659" s="131"/>
      <c r="J659" s="219"/>
      <c r="K659" s="198"/>
      <c r="L659" s="131"/>
      <c r="M659" s="142"/>
      <c r="N659" s="131"/>
      <c r="O659" s="131"/>
      <c r="P659" s="131"/>
      <c r="Q659" s="131"/>
      <c r="R659" s="131"/>
      <c r="S659" s="131"/>
      <c r="T659" s="131"/>
      <c r="U659" s="131"/>
      <c r="V659" s="131"/>
      <c r="W659" s="131"/>
      <c r="X659" s="131"/>
      <c r="Y659" s="131"/>
      <c r="Z659" s="131"/>
      <c r="AA659" s="131"/>
      <c r="AB659" s="330"/>
      <c r="AC659" s="331"/>
      <c r="AD659" s="332"/>
      <c r="AE659" s="131"/>
      <c r="AF659" s="131"/>
      <c r="AG659" s="131"/>
      <c r="AH659" s="131"/>
      <c r="AI659" s="131"/>
      <c r="AJ659" s="131"/>
      <c r="AK659" s="131"/>
      <c r="AL659" s="131"/>
      <c r="AM659" s="131"/>
      <c r="AN659" s="131"/>
      <c r="AO659" s="142"/>
      <c r="AP659" s="131"/>
    </row>
    <row r="660" ht="13.5" customHeight="1">
      <c r="A660" s="142"/>
      <c r="B660" s="142"/>
      <c r="C660" s="142"/>
      <c r="D660" s="142"/>
      <c r="E660" s="132"/>
      <c r="F660" s="131"/>
      <c r="G660" s="131"/>
      <c r="H660" s="131"/>
      <c r="I660" s="131"/>
      <c r="J660" s="219"/>
      <c r="K660" s="198"/>
      <c r="L660" s="131"/>
      <c r="M660" s="142"/>
      <c r="N660" s="131"/>
      <c r="O660" s="131"/>
      <c r="P660" s="131"/>
      <c r="Q660" s="131"/>
      <c r="R660" s="131"/>
      <c r="S660" s="131"/>
      <c r="T660" s="131"/>
      <c r="U660" s="131"/>
      <c r="V660" s="131"/>
      <c r="W660" s="131"/>
      <c r="X660" s="131"/>
      <c r="Y660" s="131"/>
      <c r="Z660" s="131"/>
      <c r="AA660" s="131"/>
      <c r="AB660" s="330"/>
      <c r="AC660" s="331"/>
      <c r="AD660" s="332"/>
      <c r="AE660" s="131"/>
      <c r="AF660" s="131"/>
      <c r="AG660" s="131"/>
      <c r="AH660" s="131"/>
      <c r="AI660" s="131"/>
      <c r="AJ660" s="131"/>
      <c r="AK660" s="131"/>
      <c r="AL660" s="131"/>
      <c r="AM660" s="131"/>
      <c r="AN660" s="131"/>
      <c r="AO660" s="142"/>
      <c r="AP660" s="131"/>
    </row>
    <row r="661" ht="13.5" customHeight="1">
      <c r="A661" s="142"/>
      <c r="B661" s="142"/>
      <c r="C661" s="142"/>
      <c r="D661" s="142"/>
      <c r="E661" s="132"/>
      <c r="F661" s="131"/>
      <c r="G661" s="131"/>
      <c r="H661" s="131"/>
      <c r="I661" s="131"/>
      <c r="J661" s="219"/>
      <c r="K661" s="198"/>
      <c r="L661" s="131"/>
      <c r="M661" s="142"/>
      <c r="N661" s="131"/>
      <c r="O661" s="131"/>
      <c r="P661" s="131"/>
      <c r="Q661" s="131"/>
      <c r="R661" s="131"/>
      <c r="S661" s="131"/>
      <c r="T661" s="131"/>
      <c r="U661" s="131"/>
      <c r="V661" s="131"/>
      <c r="W661" s="131"/>
      <c r="X661" s="131"/>
      <c r="Y661" s="131"/>
      <c r="Z661" s="131"/>
      <c r="AA661" s="131"/>
      <c r="AB661" s="330"/>
      <c r="AC661" s="331"/>
      <c r="AD661" s="332"/>
      <c r="AE661" s="131"/>
      <c r="AF661" s="131"/>
      <c r="AG661" s="131"/>
      <c r="AH661" s="131"/>
      <c r="AI661" s="131"/>
      <c r="AJ661" s="131"/>
      <c r="AK661" s="131"/>
      <c r="AL661" s="131"/>
      <c r="AM661" s="131"/>
      <c r="AN661" s="131"/>
      <c r="AO661" s="142"/>
      <c r="AP661" s="131"/>
    </row>
    <row r="662" ht="13.5" customHeight="1">
      <c r="A662" s="142"/>
      <c r="B662" s="142"/>
      <c r="C662" s="142"/>
      <c r="D662" s="142"/>
      <c r="E662" s="132"/>
      <c r="F662" s="131"/>
      <c r="G662" s="131"/>
      <c r="H662" s="131"/>
      <c r="I662" s="131"/>
      <c r="J662" s="219"/>
      <c r="K662" s="198"/>
      <c r="L662" s="131"/>
      <c r="M662" s="142"/>
      <c r="N662" s="131"/>
      <c r="O662" s="131"/>
      <c r="P662" s="131"/>
      <c r="Q662" s="131"/>
      <c r="R662" s="131"/>
      <c r="S662" s="131"/>
      <c r="T662" s="131"/>
      <c r="U662" s="131"/>
      <c r="V662" s="131"/>
      <c r="W662" s="131"/>
      <c r="X662" s="131"/>
      <c r="Y662" s="131"/>
      <c r="Z662" s="131"/>
      <c r="AA662" s="131"/>
      <c r="AB662" s="330"/>
      <c r="AC662" s="331"/>
      <c r="AD662" s="332"/>
      <c r="AE662" s="131"/>
      <c r="AF662" s="131"/>
      <c r="AG662" s="131"/>
      <c r="AH662" s="131"/>
      <c r="AI662" s="131"/>
      <c r="AJ662" s="131"/>
      <c r="AK662" s="131"/>
      <c r="AL662" s="131"/>
      <c r="AM662" s="131"/>
      <c r="AN662" s="131"/>
      <c r="AO662" s="142"/>
      <c r="AP662" s="131"/>
    </row>
    <row r="663" ht="13.5" customHeight="1">
      <c r="A663" s="142"/>
      <c r="B663" s="142"/>
      <c r="C663" s="142"/>
      <c r="D663" s="142"/>
      <c r="E663" s="132"/>
      <c r="F663" s="131"/>
      <c r="G663" s="131"/>
      <c r="H663" s="131"/>
      <c r="I663" s="131"/>
      <c r="J663" s="219"/>
      <c r="K663" s="198"/>
      <c r="L663" s="131"/>
      <c r="M663" s="142"/>
      <c r="N663" s="131"/>
      <c r="O663" s="131"/>
      <c r="P663" s="131"/>
      <c r="Q663" s="131"/>
      <c r="R663" s="131"/>
      <c r="S663" s="131"/>
      <c r="T663" s="131"/>
      <c r="U663" s="131"/>
      <c r="V663" s="131"/>
      <c r="W663" s="131"/>
      <c r="X663" s="131"/>
      <c r="Y663" s="131"/>
      <c r="Z663" s="131"/>
      <c r="AA663" s="131"/>
      <c r="AB663" s="330"/>
      <c r="AC663" s="331"/>
      <c r="AD663" s="332"/>
      <c r="AE663" s="131"/>
      <c r="AF663" s="131"/>
      <c r="AG663" s="131"/>
      <c r="AH663" s="131"/>
      <c r="AI663" s="131"/>
      <c r="AJ663" s="131"/>
      <c r="AK663" s="131"/>
      <c r="AL663" s="131"/>
      <c r="AM663" s="131"/>
      <c r="AN663" s="131"/>
      <c r="AO663" s="142"/>
      <c r="AP663" s="131"/>
    </row>
    <row r="664" ht="13.5" customHeight="1">
      <c r="A664" s="142"/>
      <c r="B664" s="142"/>
      <c r="C664" s="142"/>
      <c r="D664" s="142"/>
      <c r="E664" s="132"/>
      <c r="F664" s="131"/>
      <c r="G664" s="131"/>
      <c r="H664" s="131"/>
      <c r="I664" s="131"/>
      <c r="J664" s="219"/>
      <c r="K664" s="198"/>
      <c r="L664" s="131"/>
      <c r="M664" s="142"/>
      <c r="N664" s="131"/>
      <c r="O664" s="131"/>
      <c r="P664" s="131"/>
      <c r="Q664" s="131"/>
      <c r="R664" s="131"/>
      <c r="S664" s="131"/>
      <c r="T664" s="131"/>
      <c r="U664" s="131"/>
      <c r="V664" s="131"/>
      <c r="W664" s="131"/>
      <c r="X664" s="131"/>
      <c r="Y664" s="131"/>
      <c r="Z664" s="131"/>
      <c r="AA664" s="131"/>
      <c r="AB664" s="330"/>
      <c r="AC664" s="331"/>
      <c r="AD664" s="332"/>
      <c r="AE664" s="131"/>
      <c r="AF664" s="131"/>
      <c r="AG664" s="131"/>
      <c r="AH664" s="131"/>
      <c r="AI664" s="131"/>
      <c r="AJ664" s="131"/>
      <c r="AK664" s="131"/>
      <c r="AL664" s="131"/>
      <c r="AM664" s="131"/>
      <c r="AN664" s="131"/>
      <c r="AO664" s="142"/>
      <c r="AP664" s="131"/>
    </row>
    <row r="665" ht="13.5" customHeight="1">
      <c r="A665" s="142"/>
      <c r="B665" s="142"/>
      <c r="C665" s="142"/>
      <c r="D665" s="142"/>
      <c r="E665" s="132"/>
      <c r="F665" s="131"/>
      <c r="G665" s="131"/>
      <c r="H665" s="131"/>
      <c r="I665" s="131"/>
      <c r="J665" s="219"/>
      <c r="K665" s="198"/>
      <c r="L665" s="131"/>
      <c r="M665" s="142"/>
      <c r="N665" s="131"/>
      <c r="O665" s="131"/>
      <c r="P665" s="131"/>
      <c r="Q665" s="131"/>
      <c r="R665" s="131"/>
      <c r="S665" s="131"/>
      <c r="T665" s="131"/>
      <c r="U665" s="131"/>
      <c r="V665" s="131"/>
      <c r="W665" s="131"/>
      <c r="X665" s="131"/>
      <c r="Y665" s="131"/>
      <c r="Z665" s="131"/>
      <c r="AA665" s="131"/>
      <c r="AB665" s="330"/>
      <c r="AC665" s="331"/>
      <c r="AD665" s="332"/>
      <c r="AE665" s="131"/>
      <c r="AF665" s="131"/>
      <c r="AG665" s="131"/>
      <c r="AH665" s="131"/>
      <c r="AI665" s="131"/>
      <c r="AJ665" s="131"/>
      <c r="AK665" s="131"/>
      <c r="AL665" s="131"/>
      <c r="AM665" s="131"/>
      <c r="AN665" s="131"/>
      <c r="AO665" s="142"/>
      <c r="AP665" s="131"/>
    </row>
    <row r="666" ht="13.5" customHeight="1">
      <c r="A666" s="142"/>
      <c r="B666" s="142"/>
      <c r="C666" s="142"/>
      <c r="D666" s="142"/>
      <c r="E666" s="132"/>
      <c r="F666" s="131"/>
      <c r="G666" s="131"/>
      <c r="H666" s="131"/>
      <c r="I666" s="131"/>
      <c r="J666" s="219"/>
      <c r="K666" s="198"/>
      <c r="L666" s="131"/>
      <c r="M666" s="142"/>
      <c r="N666" s="131"/>
      <c r="O666" s="131"/>
      <c r="P666" s="131"/>
      <c r="Q666" s="131"/>
      <c r="R666" s="131"/>
      <c r="S666" s="131"/>
      <c r="T666" s="131"/>
      <c r="U666" s="131"/>
      <c r="V666" s="131"/>
      <c r="W666" s="131"/>
      <c r="X666" s="131"/>
      <c r="Y666" s="131"/>
      <c r="Z666" s="131"/>
      <c r="AA666" s="131"/>
      <c r="AB666" s="330"/>
      <c r="AC666" s="331"/>
      <c r="AD666" s="332"/>
      <c r="AE666" s="131"/>
      <c r="AF666" s="131"/>
      <c r="AG666" s="131"/>
      <c r="AH666" s="131"/>
      <c r="AI666" s="131"/>
      <c r="AJ666" s="131"/>
      <c r="AK666" s="131"/>
      <c r="AL666" s="131"/>
      <c r="AM666" s="131"/>
      <c r="AN666" s="131"/>
      <c r="AO666" s="142"/>
      <c r="AP666" s="131"/>
    </row>
    <row r="667" ht="13.5" customHeight="1">
      <c r="A667" s="142"/>
      <c r="B667" s="142"/>
      <c r="C667" s="142"/>
      <c r="D667" s="142"/>
      <c r="E667" s="132"/>
      <c r="F667" s="131"/>
      <c r="G667" s="131"/>
      <c r="H667" s="131"/>
      <c r="I667" s="131"/>
      <c r="J667" s="219"/>
      <c r="K667" s="198"/>
      <c r="L667" s="131"/>
      <c r="M667" s="142"/>
      <c r="N667" s="131"/>
      <c r="O667" s="131"/>
      <c r="P667" s="131"/>
      <c r="Q667" s="131"/>
      <c r="R667" s="131"/>
      <c r="S667" s="131"/>
      <c r="T667" s="131"/>
      <c r="U667" s="131"/>
      <c r="V667" s="131"/>
      <c r="W667" s="131"/>
      <c r="X667" s="131"/>
      <c r="Y667" s="131"/>
      <c r="Z667" s="131"/>
      <c r="AA667" s="131"/>
      <c r="AB667" s="330"/>
      <c r="AC667" s="331"/>
      <c r="AD667" s="332"/>
      <c r="AE667" s="131"/>
      <c r="AF667" s="131"/>
      <c r="AG667" s="131"/>
      <c r="AH667" s="131"/>
      <c r="AI667" s="131"/>
      <c r="AJ667" s="131"/>
      <c r="AK667" s="131"/>
      <c r="AL667" s="131"/>
      <c r="AM667" s="131"/>
      <c r="AN667" s="131"/>
      <c r="AO667" s="142"/>
      <c r="AP667" s="131"/>
    </row>
    <row r="668" ht="13.5" customHeight="1">
      <c r="A668" s="142"/>
      <c r="B668" s="142"/>
      <c r="C668" s="142"/>
      <c r="D668" s="142"/>
      <c r="E668" s="132"/>
      <c r="F668" s="131"/>
      <c r="G668" s="131"/>
      <c r="H668" s="131"/>
      <c r="I668" s="131"/>
      <c r="J668" s="219"/>
      <c r="K668" s="198"/>
      <c r="L668" s="131"/>
      <c r="M668" s="142"/>
      <c r="N668" s="131"/>
      <c r="O668" s="131"/>
      <c r="P668" s="131"/>
      <c r="Q668" s="131"/>
      <c r="R668" s="131"/>
      <c r="S668" s="131"/>
      <c r="T668" s="131"/>
      <c r="U668" s="131"/>
      <c r="V668" s="131"/>
      <c r="W668" s="131"/>
      <c r="X668" s="131"/>
      <c r="Y668" s="131"/>
      <c r="Z668" s="131"/>
      <c r="AA668" s="131"/>
      <c r="AB668" s="330"/>
      <c r="AC668" s="331"/>
      <c r="AD668" s="332"/>
      <c r="AE668" s="131"/>
      <c r="AF668" s="131"/>
      <c r="AG668" s="131"/>
      <c r="AH668" s="131"/>
      <c r="AI668" s="131"/>
      <c r="AJ668" s="131"/>
      <c r="AK668" s="131"/>
      <c r="AL668" s="131"/>
      <c r="AM668" s="131"/>
      <c r="AN668" s="131"/>
      <c r="AO668" s="142"/>
      <c r="AP668" s="131"/>
    </row>
    <row r="669" ht="13.5" customHeight="1">
      <c r="A669" s="142"/>
      <c r="B669" s="142"/>
      <c r="C669" s="142"/>
      <c r="D669" s="142"/>
      <c r="E669" s="132"/>
      <c r="F669" s="131"/>
      <c r="G669" s="131"/>
      <c r="H669" s="131"/>
      <c r="I669" s="131"/>
      <c r="J669" s="219"/>
      <c r="K669" s="198"/>
      <c r="L669" s="131"/>
      <c r="M669" s="142"/>
      <c r="N669" s="131"/>
      <c r="O669" s="131"/>
      <c r="P669" s="131"/>
      <c r="Q669" s="131"/>
      <c r="R669" s="131"/>
      <c r="S669" s="131"/>
      <c r="T669" s="131"/>
      <c r="U669" s="131"/>
      <c r="V669" s="131"/>
      <c r="W669" s="131"/>
      <c r="X669" s="131"/>
      <c r="Y669" s="131"/>
      <c r="Z669" s="131"/>
      <c r="AA669" s="131"/>
      <c r="AB669" s="330"/>
      <c r="AC669" s="331"/>
      <c r="AD669" s="332"/>
      <c r="AE669" s="131"/>
      <c r="AF669" s="131"/>
      <c r="AG669" s="131"/>
      <c r="AH669" s="131"/>
      <c r="AI669" s="131"/>
      <c r="AJ669" s="131"/>
      <c r="AK669" s="131"/>
      <c r="AL669" s="131"/>
      <c r="AM669" s="131"/>
      <c r="AN669" s="131"/>
      <c r="AO669" s="142"/>
      <c r="AP669" s="131"/>
    </row>
    <row r="670" ht="13.5" customHeight="1">
      <c r="A670" s="142"/>
      <c r="B670" s="142"/>
      <c r="C670" s="142"/>
      <c r="D670" s="142"/>
      <c r="E670" s="132"/>
      <c r="F670" s="131"/>
      <c r="G670" s="131"/>
      <c r="H670" s="131"/>
      <c r="I670" s="131"/>
      <c r="J670" s="219"/>
      <c r="K670" s="198"/>
      <c r="L670" s="131"/>
      <c r="M670" s="142"/>
      <c r="N670" s="131"/>
      <c r="O670" s="131"/>
      <c r="P670" s="131"/>
      <c r="Q670" s="131"/>
      <c r="R670" s="131"/>
      <c r="S670" s="131"/>
      <c r="T670" s="131"/>
      <c r="U670" s="131"/>
      <c r="V670" s="131"/>
      <c r="W670" s="131"/>
      <c r="X670" s="131"/>
      <c r="Y670" s="131"/>
      <c r="Z670" s="131"/>
      <c r="AA670" s="131"/>
      <c r="AB670" s="330"/>
      <c r="AC670" s="331"/>
      <c r="AD670" s="332"/>
      <c r="AE670" s="131"/>
      <c r="AF670" s="131"/>
      <c r="AG670" s="131"/>
      <c r="AH670" s="131"/>
      <c r="AI670" s="131"/>
      <c r="AJ670" s="131"/>
      <c r="AK670" s="131"/>
      <c r="AL670" s="131"/>
      <c r="AM670" s="131"/>
      <c r="AN670" s="131"/>
      <c r="AO670" s="142"/>
      <c r="AP670" s="131"/>
    </row>
    <row r="671" ht="13.5" customHeight="1">
      <c r="A671" s="142"/>
      <c r="B671" s="142"/>
      <c r="C671" s="142"/>
      <c r="D671" s="142"/>
      <c r="E671" s="132"/>
      <c r="F671" s="131"/>
      <c r="G671" s="131"/>
      <c r="H671" s="131"/>
      <c r="I671" s="131"/>
      <c r="J671" s="219"/>
      <c r="K671" s="198"/>
      <c r="L671" s="131"/>
      <c r="M671" s="142"/>
      <c r="N671" s="131"/>
      <c r="O671" s="131"/>
      <c r="P671" s="131"/>
      <c r="Q671" s="131"/>
      <c r="R671" s="131"/>
      <c r="S671" s="131"/>
      <c r="T671" s="131"/>
      <c r="U671" s="131"/>
      <c r="V671" s="131"/>
      <c r="W671" s="131"/>
      <c r="X671" s="131"/>
      <c r="Y671" s="131"/>
      <c r="Z671" s="131"/>
      <c r="AA671" s="131"/>
      <c r="AB671" s="330"/>
      <c r="AC671" s="331"/>
      <c r="AD671" s="332"/>
      <c r="AE671" s="131"/>
      <c r="AF671" s="131"/>
      <c r="AG671" s="131"/>
      <c r="AH671" s="131"/>
      <c r="AI671" s="131"/>
      <c r="AJ671" s="131"/>
      <c r="AK671" s="131"/>
      <c r="AL671" s="131"/>
      <c r="AM671" s="131"/>
      <c r="AN671" s="131"/>
      <c r="AO671" s="142"/>
      <c r="AP671" s="131"/>
    </row>
    <row r="672" ht="13.5" customHeight="1">
      <c r="A672" s="142"/>
      <c r="B672" s="142"/>
      <c r="C672" s="142"/>
      <c r="D672" s="142"/>
      <c r="E672" s="132"/>
      <c r="F672" s="131"/>
      <c r="G672" s="131"/>
      <c r="H672" s="131"/>
      <c r="I672" s="131"/>
      <c r="J672" s="219"/>
      <c r="K672" s="198"/>
      <c r="L672" s="131"/>
      <c r="M672" s="142"/>
      <c r="N672" s="131"/>
      <c r="O672" s="131"/>
      <c r="P672" s="131"/>
      <c r="Q672" s="131"/>
      <c r="R672" s="131"/>
      <c r="S672" s="131"/>
      <c r="T672" s="131"/>
      <c r="U672" s="131"/>
      <c r="V672" s="131"/>
      <c r="W672" s="131"/>
      <c r="X672" s="131"/>
      <c r="Y672" s="131"/>
      <c r="Z672" s="131"/>
      <c r="AA672" s="131"/>
      <c r="AB672" s="330"/>
      <c r="AC672" s="331"/>
      <c r="AD672" s="332"/>
      <c r="AE672" s="131"/>
      <c r="AF672" s="131"/>
      <c r="AG672" s="131"/>
      <c r="AH672" s="131"/>
      <c r="AI672" s="131"/>
      <c r="AJ672" s="131"/>
      <c r="AK672" s="131"/>
      <c r="AL672" s="131"/>
      <c r="AM672" s="131"/>
      <c r="AN672" s="131"/>
      <c r="AO672" s="142"/>
      <c r="AP672" s="131"/>
    </row>
    <row r="673" ht="13.5" customHeight="1">
      <c r="A673" s="142"/>
      <c r="B673" s="142"/>
      <c r="C673" s="142"/>
      <c r="D673" s="142"/>
      <c r="E673" s="132"/>
      <c r="F673" s="131"/>
      <c r="G673" s="131"/>
      <c r="H673" s="131"/>
      <c r="I673" s="131"/>
      <c r="J673" s="219"/>
      <c r="K673" s="198"/>
      <c r="L673" s="131"/>
      <c r="M673" s="142"/>
      <c r="N673" s="131"/>
      <c r="O673" s="131"/>
      <c r="P673" s="131"/>
      <c r="Q673" s="131"/>
      <c r="R673" s="131"/>
      <c r="S673" s="131"/>
      <c r="T673" s="131"/>
      <c r="U673" s="131"/>
      <c r="V673" s="131"/>
      <c r="W673" s="131"/>
      <c r="X673" s="131"/>
      <c r="Y673" s="131"/>
      <c r="Z673" s="131"/>
      <c r="AA673" s="131"/>
      <c r="AB673" s="330"/>
      <c r="AC673" s="331"/>
      <c r="AD673" s="332"/>
      <c r="AE673" s="131"/>
      <c r="AF673" s="131"/>
      <c r="AG673" s="131"/>
      <c r="AH673" s="131"/>
      <c r="AI673" s="131"/>
      <c r="AJ673" s="131"/>
      <c r="AK673" s="131"/>
      <c r="AL673" s="131"/>
      <c r="AM673" s="131"/>
      <c r="AN673" s="131"/>
      <c r="AO673" s="142"/>
      <c r="AP673" s="131"/>
    </row>
    <row r="674" ht="13.5" customHeight="1">
      <c r="A674" s="142"/>
      <c r="B674" s="142"/>
      <c r="C674" s="142"/>
      <c r="D674" s="142"/>
      <c r="E674" s="132"/>
      <c r="F674" s="131"/>
      <c r="G674" s="131"/>
      <c r="H674" s="131"/>
      <c r="I674" s="131"/>
      <c r="J674" s="219"/>
      <c r="K674" s="198"/>
      <c r="L674" s="131"/>
      <c r="M674" s="142"/>
      <c r="N674" s="131"/>
      <c r="O674" s="131"/>
      <c r="P674" s="131"/>
      <c r="Q674" s="131"/>
      <c r="R674" s="131"/>
      <c r="S674" s="131"/>
      <c r="T674" s="131"/>
      <c r="U674" s="131"/>
      <c r="V674" s="131"/>
      <c r="W674" s="131"/>
      <c r="X674" s="131"/>
      <c r="Y674" s="131"/>
      <c r="Z674" s="131"/>
      <c r="AA674" s="131"/>
      <c r="AB674" s="330"/>
      <c r="AC674" s="331"/>
      <c r="AD674" s="332"/>
      <c r="AE674" s="131"/>
      <c r="AF674" s="131"/>
      <c r="AG674" s="131"/>
      <c r="AH674" s="131"/>
      <c r="AI674" s="131"/>
      <c r="AJ674" s="131"/>
      <c r="AK674" s="131"/>
      <c r="AL674" s="131"/>
      <c r="AM674" s="131"/>
      <c r="AN674" s="131"/>
      <c r="AO674" s="142"/>
      <c r="AP674" s="131"/>
    </row>
    <row r="675" ht="13.5" customHeight="1">
      <c r="A675" s="142"/>
      <c r="B675" s="142"/>
      <c r="C675" s="142"/>
      <c r="D675" s="142"/>
      <c r="E675" s="132"/>
      <c r="F675" s="131"/>
      <c r="G675" s="131"/>
      <c r="H675" s="131"/>
      <c r="I675" s="131"/>
      <c r="J675" s="219"/>
      <c r="K675" s="198"/>
      <c r="L675" s="131"/>
      <c r="M675" s="142"/>
      <c r="N675" s="131"/>
      <c r="O675" s="131"/>
      <c r="P675" s="131"/>
      <c r="Q675" s="131"/>
      <c r="R675" s="131"/>
      <c r="S675" s="131"/>
      <c r="T675" s="131"/>
      <c r="U675" s="131"/>
      <c r="V675" s="131"/>
      <c r="W675" s="131"/>
      <c r="X675" s="131"/>
      <c r="Y675" s="131"/>
      <c r="Z675" s="131"/>
      <c r="AA675" s="131"/>
      <c r="AB675" s="330"/>
      <c r="AC675" s="331"/>
      <c r="AD675" s="332"/>
      <c r="AE675" s="131"/>
      <c r="AF675" s="131"/>
      <c r="AG675" s="131"/>
      <c r="AH675" s="131"/>
      <c r="AI675" s="131"/>
      <c r="AJ675" s="131"/>
      <c r="AK675" s="131"/>
      <c r="AL675" s="131"/>
      <c r="AM675" s="131"/>
      <c r="AN675" s="131"/>
      <c r="AO675" s="142"/>
      <c r="AP675" s="131"/>
    </row>
    <row r="676" ht="13.5" customHeight="1">
      <c r="A676" s="142"/>
      <c r="B676" s="142"/>
      <c r="C676" s="142"/>
      <c r="D676" s="142"/>
      <c r="E676" s="132"/>
      <c r="F676" s="131"/>
      <c r="G676" s="131"/>
      <c r="H676" s="131"/>
      <c r="I676" s="131"/>
      <c r="J676" s="219"/>
      <c r="K676" s="198"/>
      <c r="L676" s="131"/>
      <c r="M676" s="142"/>
      <c r="N676" s="131"/>
      <c r="O676" s="131"/>
      <c r="P676" s="131"/>
      <c r="Q676" s="131"/>
      <c r="R676" s="131"/>
      <c r="S676" s="131"/>
      <c r="T676" s="131"/>
      <c r="U676" s="131"/>
      <c r="V676" s="131"/>
      <c r="W676" s="131"/>
      <c r="X676" s="131"/>
      <c r="Y676" s="131"/>
      <c r="Z676" s="131"/>
      <c r="AA676" s="131"/>
      <c r="AB676" s="330"/>
      <c r="AC676" s="331"/>
      <c r="AD676" s="332"/>
      <c r="AE676" s="131"/>
      <c r="AF676" s="131"/>
      <c r="AG676" s="131"/>
      <c r="AH676" s="131"/>
      <c r="AI676" s="131"/>
      <c r="AJ676" s="131"/>
      <c r="AK676" s="131"/>
      <c r="AL676" s="131"/>
      <c r="AM676" s="131"/>
      <c r="AN676" s="131"/>
      <c r="AO676" s="142"/>
      <c r="AP676" s="131"/>
    </row>
    <row r="677" ht="13.5" customHeight="1">
      <c r="A677" s="142"/>
      <c r="B677" s="142"/>
      <c r="C677" s="142"/>
      <c r="D677" s="142"/>
      <c r="E677" s="132"/>
      <c r="F677" s="131"/>
      <c r="G677" s="131"/>
      <c r="H677" s="131"/>
      <c r="I677" s="131"/>
      <c r="J677" s="219"/>
      <c r="K677" s="198"/>
      <c r="L677" s="131"/>
      <c r="M677" s="142"/>
      <c r="N677" s="131"/>
      <c r="O677" s="131"/>
      <c r="P677" s="131"/>
      <c r="Q677" s="131"/>
      <c r="R677" s="131"/>
      <c r="S677" s="131"/>
      <c r="T677" s="131"/>
      <c r="U677" s="131"/>
      <c r="V677" s="131"/>
      <c r="W677" s="131"/>
      <c r="X677" s="131"/>
      <c r="Y677" s="131"/>
      <c r="Z677" s="131"/>
      <c r="AA677" s="131"/>
      <c r="AB677" s="330"/>
      <c r="AC677" s="331"/>
      <c r="AD677" s="332"/>
      <c r="AE677" s="131"/>
      <c r="AF677" s="131"/>
      <c r="AG677" s="131"/>
      <c r="AH677" s="131"/>
      <c r="AI677" s="131"/>
      <c r="AJ677" s="131"/>
      <c r="AK677" s="131"/>
      <c r="AL677" s="131"/>
      <c r="AM677" s="131"/>
      <c r="AN677" s="131"/>
      <c r="AO677" s="142"/>
      <c r="AP677" s="131"/>
    </row>
    <row r="678" ht="13.5" customHeight="1">
      <c r="A678" s="142"/>
      <c r="B678" s="142"/>
      <c r="C678" s="142"/>
      <c r="D678" s="142"/>
      <c r="E678" s="132"/>
      <c r="F678" s="131"/>
      <c r="G678" s="131"/>
      <c r="H678" s="131"/>
      <c r="I678" s="131"/>
      <c r="J678" s="219"/>
      <c r="K678" s="198"/>
      <c r="L678" s="131"/>
      <c r="M678" s="142"/>
      <c r="N678" s="131"/>
      <c r="O678" s="131"/>
      <c r="P678" s="131"/>
      <c r="Q678" s="131"/>
      <c r="R678" s="131"/>
      <c r="S678" s="131"/>
      <c r="T678" s="131"/>
      <c r="U678" s="131"/>
      <c r="V678" s="131"/>
      <c r="W678" s="131"/>
      <c r="X678" s="131"/>
      <c r="Y678" s="131"/>
      <c r="Z678" s="131"/>
      <c r="AA678" s="131"/>
      <c r="AB678" s="330"/>
      <c r="AC678" s="331"/>
      <c r="AD678" s="332"/>
      <c r="AE678" s="131"/>
      <c r="AF678" s="131"/>
      <c r="AG678" s="131"/>
      <c r="AH678" s="131"/>
      <c r="AI678" s="131"/>
      <c r="AJ678" s="131"/>
      <c r="AK678" s="131"/>
      <c r="AL678" s="131"/>
      <c r="AM678" s="131"/>
      <c r="AN678" s="131"/>
      <c r="AO678" s="142"/>
      <c r="AP678" s="131"/>
    </row>
    <row r="679" ht="13.5" customHeight="1">
      <c r="A679" s="142"/>
      <c r="B679" s="142"/>
      <c r="C679" s="142"/>
      <c r="D679" s="142"/>
      <c r="E679" s="132"/>
      <c r="F679" s="131"/>
      <c r="G679" s="131"/>
      <c r="H679" s="131"/>
      <c r="I679" s="131"/>
      <c r="J679" s="219"/>
      <c r="K679" s="198"/>
      <c r="L679" s="131"/>
      <c r="M679" s="142"/>
      <c r="N679" s="131"/>
      <c r="O679" s="131"/>
      <c r="P679" s="131"/>
      <c r="Q679" s="131"/>
      <c r="R679" s="131"/>
      <c r="S679" s="131"/>
      <c r="T679" s="131"/>
      <c r="U679" s="131"/>
      <c r="V679" s="131"/>
      <c r="W679" s="131"/>
      <c r="X679" s="131"/>
      <c r="Y679" s="131"/>
      <c r="Z679" s="131"/>
      <c r="AA679" s="131"/>
      <c r="AB679" s="330"/>
      <c r="AC679" s="331"/>
      <c r="AD679" s="332"/>
      <c r="AE679" s="131"/>
      <c r="AF679" s="131"/>
      <c r="AG679" s="131"/>
      <c r="AH679" s="131"/>
      <c r="AI679" s="131"/>
      <c r="AJ679" s="131"/>
      <c r="AK679" s="131"/>
      <c r="AL679" s="131"/>
      <c r="AM679" s="131"/>
      <c r="AN679" s="131"/>
      <c r="AO679" s="142"/>
      <c r="AP679" s="131"/>
    </row>
    <row r="680" ht="13.5" customHeight="1">
      <c r="A680" s="142"/>
      <c r="B680" s="142"/>
      <c r="C680" s="142"/>
      <c r="D680" s="142"/>
      <c r="E680" s="132"/>
      <c r="F680" s="131"/>
      <c r="G680" s="131"/>
      <c r="H680" s="131"/>
      <c r="I680" s="131"/>
      <c r="J680" s="219"/>
      <c r="K680" s="198"/>
      <c r="L680" s="131"/>
      <c r="M680" s="142"/>
      <c r="N680" s="131"/>
      <c r="O680" s="131"/>
      <c r="P680" s="131"/>
      <c r="Q680" s="131"/>
      <c r="R680" s="131"/>
      <c r="S680" s="131"/>
      <c r="T680" s="131"/>
      <c r="U680" s="131"/>
      <c r="V680" s="131"/>
      <c r="W680" s="131"/>
      <c r="X680" s="131"/>
      <c r="Y680" s="131"/>
      <c r="Z680" s="131"/>
      <c r="AA680" s="131"/>
      <c r="AB680" s="330"/>
      <c r="AC680" s="331"/>
      <c r="AD680" s="332"/>
      <c r="AE680" s="131"/>
      <c r="AF680" s="131"/>
      <c r="AG680" s="131"/>
      <c r="AH680" s="131"/>
      <c r="AI680" s="131"/>
      <c r="AJ680" s="131"/>
      <c r="AK680" s="131"/>
      <c r="AL680" s="131"/>
      <c r="AM680" s="131"/>
      <c r="AN680" s="131"/>
      <c r="AO680" s="142"/>
      <c r="AP680" s="131"/>
    </row>
    <row r="681" ht="13.5" customHeight="1">
      <c r="A681" s="142"/>
      <c r="B681" s="142"/>
      <c r="C681" s="142"/>
      <c r="D681" s="142"/>
      <c r="E681" s="132"/>
      <c r="F681" s="131"/>
      <c r="G681" s="131"/>
      <c r="H681" s="131"/>
      <c r="I681" s="131"/>
      <c r="J681" s="219"/>
      <c r="K681" s="198"/>
      <c r="L681" s="131"/>
      <c r="M681" s="142"/>
      <c r="N681" s="131"/>
      <c r="O681" s="131"/>
      <c r="P681" s="131"/>
      <c r="Q681" s="131"/>
      <c r="R681" s="131"/>
      <c r="S681" s="131"/>
      <c r="T681" s="131"/>
      <c r="U681" s="131"/>
      <c r="V681" s="131"/>
      <c r="W681" s="131"/>
      <c r="X681" s="131"/>
      <c r="Y681" s="131"/>
      <c r="Z681" s="131"/>
      <c r="AA681" s="131"/>
      <c r="AB681" s="330"/>
      <c r="AC681" s="331"/>
      <c r="AD681" s="332"/>
      <c r="AE681" s="131"/>
      <c r="AF681" s="131"/>
      <c r="AG681" s="131"/>
      <c r="AH681" s="131"/>
      <c r="AI681" s="131"/>
      <c r="AJ681" s="131"/>
      <c r="AK681" s="131"/>
      <c r="AL681" s="131"/>
      <c r="AM681" s="131"/>
      <c r="AN681" s="131"/>
      <c r="AO681" s="142"/>
      <c r="AP681" s="131"/>
    </row>
    <row r="682" ht="13.5" customHeight="1">
      <c r="A682" s="142"/>
      <c r="B682" s="142"/>
      <c r="C682" s="142"/>
      <c r="D682" s="142"/>
      <c r="E682" s="132"/>
      <c r="F682" s="131"/>
      <c r="G682" s="131"/>
      <c r="H682" s="131"/>
      <c r="I682" s="131"/>
      <c r="J682" s="219"/>
      <c r="K682" s="198"/>
      <c r="L682" s="131"/>
      <c r="M682" s="142"/>
      <c r="N682" s="131"/>
      <c r="O682" s="131"/>
      <c r="P682" s="131"/>
      <c r="Q682" s="131"/>
      <c r="R682" s="131"/>
      <c r="S682" s="131"/>
      <c r="T682" s="131"/>
      <c r="U682" s="131"/>
      <c r="V682" s="131"/>
      <c r="W682" s="131"/>
      <c r="X682" s="131"/>
      <c r="Y682" s="131"/>
      <c r="Z682" s="131"/>
      <c r="AA682" s="131"/>
      <c r="AB682" s="330"/>
      <c r="AC682" s="331"/>
      <c r="AD682" s="332"/>
      <c r="AE682" s="131"/>
      <c r="AF682" s="131"/>
      <c r="AG682" s="131"/>
      <c r="AH682" s="131"/>
      <c r="AI682" s="131"/>
      <c r="AJ682" s="131"/>
      <c r="AK682" s="131"/>
      <c r="AL682" s="131"/>
      <c r="AM682" s="131"/>
      <c r="AN682" s="131"/>
      <c r="AO682" s="142"/>
      <c r="AP682" s="131"/>
    </row>
    <row r="683" ht="13.5" customHeight="1">
      <c r="A683" s="142"/>
      <c r="B683" s="142"/>
      <c r="C683" s="142"/>
      <c r="D683" s="142"/>
      <c r="E683" s="132"/>
      <c r="F683" s="131"/>
      <c r="G683" s="131"/>
      <c r="H683" s="131"/>
      <c r="I683" s="131"/>
      <c r="J683" s="219"/>
      <c r="K683" s="198"/>
      <c r="L683" s="131"/>
      <c r="M683" s="142"/>
      <c r="N683" s="131"/>
      <c r="O683" s="131"/>
      <c r="P683" s="131"/>
      <c r="Q683" s="131"/>
      <c r="R683" s="131"/>
      <c r="S683" s="131"/>
      <c r="T683" s="131"/>
      <c r="U683" s="131"/>
      <c r="V683" s="131"/>
      <c r="W683" s="131"/>
      <c r="X683" s="131"/>
      <c r="Y683" s="131"/>
      <c r="Z683" s="131"/>
      <c r="AA683" s="131"/>
      <c r="AB683" s="330"/>
      <c r="AC683" s="331"/>
      <c r="AD683" s="332"/>
      <c r="AE683" s="131"/>
      <c r="AF683" s="131"/>
      <c r="AG683" s="131"/>
      <c r="AH683" s="131"/>
      <c r="AI683" s="131"/>
      <c r="AJ683" s="131"/>
      <c r="AK683" s="131"/>
      <c r="AL683" s="131"/>
      <c r="AM683" s="131"/>
      <c r="AN683" s="131"/>
      <c r="AO683" s="142"/>
      <c r="AP683" s="131"/>
    </row>
    <row r="684" ht="13.5" customHeight="1">
      <c r="A684" s="142"/>
      <c r="B684" s="142"/>
      <c r="C684" s="142"/>
      <c r="D684" s="142"/>
      <c r="E684" s="132"/>
      <c r="F684" s="131"/>
      <c r="G684" s="131"/>
      <c r="H684" s="131"/>
      <c r="I684" s="131"/>
      <c r="J684" s="219"/>
      <c r="K684" s="198"/>
      <c r="L684" s="131"/>
      <c r="M684" s="142"/>
      <c r="N684" s="131"/>
      <c r="O684" s="131"/>
      <c r="P684" s="131"/>
      <c r="Q684" s="131"/>
      <c r="R684" s="131"/>
      <c r="S684" s="131"/>
      <c r="T684" s="131"/>
      <c r="U684" s="131"/>
      <c r="V684" s="131"/>
      <c r="W684" s="131"/>
      <c r="X684" s="131"/>
      <c r="Y684" s="131"/>
      <c r="Z684" s="131"/>
      <c r="AA684" s="131"/>
      <c r="AB684" s="330"/>
      <c r="AC684" s="331"/>
      <c r="AD684" s="332"/>
      <c r="AE684" s="131"/>
      <c r="AF684" s="131"/>
      <c r="AG684" s="131"/>
      <c r="AH684" s="131"/>
      <c r="AI684" s="131"/>
      <c r="AJ684" s="131"/>
      <c r="AK684" s="131"/>
      <c r="AL684" s="131"/>
      <c r="AM684" s="131"/>
      <c r="AN684" s="131"/>
      <c r="AO684" s="142"/>
      <c r="AP684" s="131"/>
    </row>
    <row r="685" ht="13.5" customHeight="1">
      <c r="A685" s="142"/>
      <c r="B685" s="142"/>
      <c r="C685" s="142"/>
      <c r="D685" s="142"/>
      <c r="E685" s="132"/>
      <c r="F685" s="131"/>
      <c r="G685" s="131"/>
      <c r="H685" s="131"/>
      <c r="I685" s="131"/>
      <c r="J685" s="219"/>
      <c r="K685" s="198"/>
      <c r="L685" s="131"/>
      <c r="M685" s="142"/>
      <c r="N685" s="131"/>
      <c r="O685" s="131"/>
      <c r="P685" s="131"/>
      <c r="Q685" s="131"/>
      <c r="R685" s="131"/>
      <c r="S685" s="131"/>
      <c r="T685" s="131"/>
      <c r="U685" s="131"/>
      <c r="V685" s="131"/>
      <c r="W685" s="131"/>
      <c r="X685" s="131"/>
      <c r="Y685" s="131"/>
      <c r="Z685" s="131"/>
      <c r="AA685" s="131"/>
      <c r="AB685" s="330"/>
      <c r="AC685" s="331"/>
      <c r="AD685" s="332"/>
      <c r="AE685" s="131"/>
      <c r="AF685" s="131"/>
      <c r="AG685" s="131"/>
      <c r="AH685" s="131"/>
      <c r="AI685" s="131"/>
      <c r="AJ685" s="131"/>
      <c r="AK685" s="131"/>
      <c r="AL685" s="131"/>
      <c r="AM685" s="131"/>
      <c r="AN685" s="131"/>
      <c r="AO685" s="142"/>
      <c r="AP685" s="131"/>
    </row>
    <row r="686" ht="13.5" customHeight="1">
      <c r="A686" s="142"/>
      <c r="B686" s="142"/>
      <c r="C686" s="142"/>
      <c r="D686" s="142"/>
      <c r="E686" s="132"/>
      <c r="F686" s="131"/>
      <c r="G686" s="131"/>
      <c r="H686" s="131"/>
      <c r="I686" s="131"/>
      <c r="J686" s="219"/>
      <c r="K686" s="198"/>
      <c r="L686" s="131"/>
      <c r="M686" s="142"/>
      <c r="N686" s="131"/>
      <c r="O686" s="131"/>
      <c r="P686" s="131"/>
      <c r="Q686" s="131"/>
      <c r="R686" s="131"/>
      <c r="S686" s="131"/>
      <c r="T686" s="131"/>
      <c r="U686" s="131"/>
      <c r="V686" s="131"/>
      <c r="W686" s="131"/>
      <c r="X686" s="131"/>
      <c r="Y686" s="131"/>
      <c r="Z686" s="131"/>
      <c r="AA686" s="131"/>
      <c r="AB686" s="330"/>
      <c r="AC686" s="331"/>
      <c r="AD686" s="332"/>
      <c r="AE686" s="131"/>
      <c r="AF686" s="131"/>
      <c r="AG686" s="131"/>
      <c r="AH686" s="131"/>
      <c r="AI686" s="131"/>
      <c r="AJ686" s="131"/>
      <c r="AK686" s="131"/>
      <c r="AL686" s="131"/>
      <c r="AM686" s="131"/>
      <c r="AN686" s="131"/>
      <c r="AO686" s="142"/>
      <c r="AP686" s="131"/>
    </row>
    <row r="687" ht="13.5" customHeight="1">
      <c r="A687" s="142"/>
      <c r="B687" s="142"/>
      <c r="C687" s="142"/>
      <c r="D687" s="142"/>
      <c r="E687" s="132"/>
      <c r="F687" s="131"/>
      <c r="G687" s="131"/>
      <c r="H687" s="131"/>
      <c r="I687" s="131"/>
      <c r="J687" s="219"/>
      <c r="K687" s="198"/>
      <c r="L687" s="131"/>
      <c r="M687" s="142"/>
      <c r="N687" s="131"/>
      <c r="O687" s="131"/>
      <c r="P687" s="131"/>
      <c r="Q687" s="131"/>
      <c r="R687" s="131"/>
      <c r="S687" s="131"/>
      <c r="T687" s="131"/>
      <c r="U687" s="131"/>
      <c r="V687" s="131"/>
      <c r="W687" s="131"/>
      <c r="X687" s="131"/>
      <c r="Y687" s="131"/>
      <c r="Z687" s="131"/>
      <c r="AA687" s="131"/>
      <c r="AB687" s="330"/>
      <c r="AC687" s="331"/>
      <c r="AD687" s="332"/>
      <c r="AE687" s="131"/>
      <c r="AF687" s="131"/>
      <c r="AG687" s="131"/>
      <c r="AH687" s="131"/>
      <c r="AI687" s="131"/>
      <c r="AJ687" s="131"/>
      <c r="AK687" s="131"/>
      <c r="AL687" s="131"/>
      <c r="AM687" s="131"/>
      <c r="AN687" s="131"/>
      <c r="AO687" s="142"/>
      <c r="AP687" s="131"/>
    </row>
    <row r="688" ht="13.5" customHeight="1">
      <c r="A688" s="142"/>
      <c r="B688" s="142"/>
      <c r="C688" s="142"/>
      <c r="D688" s="142"/>
      <c r="E688" s="132"/>
      <c r="F688" s="131"/>
      <c r="G688" s="131"/>
      <c r="H688" s="131"/>
      <c r="I688" s="131"/>
      <c r="J688" s="219"/>
      <c r="K688" s="198"/>
      <c r="L688" s="131"/>
      <c r="M688" s="142"/>
      <c r="N688" s="131"/>
      <c r="O688" s="131"/>
      <c r="P688" s="131"/>
      <c r="Q688" s="131"/>
      <c r="R688" s="131"/>
      <c r="S688" s="131"/>
      <c r="T688" s="131"/>
      <c r="U688" s="131"/>
      <c r="V688" s="131"/>
      <c r="W688" s="131"/>
      <c r="X688" s="131"/>
      <c r="Y688" s="131"/>
      <c r="Z688" s="131"/>
      <c r="AA688" s="131"/>
      <c r="AB688" s="330"/>
      <c r="AC688" s="331"/>
      <c r="AD688" s="332"/>
      <c r="AE688" s="131"/>
      <c r="AF688" s="131"/>
      <c r="AG688" s="131"/>
      <c r="AH688" s="131"/>
      <c r="AI688" s="131"/>
      <c r="AJ688" s="131"/>
      <c r="AK688" s="131"/>
      <c r="AL688" s="131"/>
      <c r="AM688" s="131"/>
      <c r="AN688" s="131"/>
      <c r="AO688" s="142"/>
      <c r="AP688" s="131"/>
    </row>
    <row r="689" ht="13.5" customHeight="1">
      <c r="A689" s="142"/>
      <c r="B689" s="142"/>
      <c r="C689" s="142"/>
      <c r="D689" s="142"/>
      <c r="E689" s="132"/>
      <c r="F689" s="131"/>
      <c r="G689" s="131"/>
      <c r="H689" s="131"/>
      <c r="I689" s="131"/>
      <c r="J689" s="219"/>
      <c r="K689" s="198"/>
      <c r="L689" s="131"/>
      <c r="M689" s="142"/>
      <c r="N689" s="131"/>
      <c r="O689" s="131"/>
      <c r="P689" s="131"/>
      <c r="Q689" s="131"/>
      <c r="R689" s="131"/>
      <c r="S689" s="131"/>
      <c r="T689" s="131"/>
      <c r="U689" s="131"/>
      <c r="V689" s="131"/>
      <c r="W689" s="131"/>
      <c r="X689" s="131"/>
      <c r="Y689" s="131"/>
      <c r="Z689" s="131"/>
      <c r="AA689" s="131"/>
      <c r="AB689" s="330"/>
      <c r="AC689" s="331"/>
      <c r="AD689" s="332"/>
      <c r="AE689" s="131"/>
      <c r="AF689" s="131"/>
      <c r="AG689" s="131"/>
      <c r="AH689" s="131"/>
      <c r="AI689" s="131"/>
      <c r="AJ689" s="131"/>
      <c r="AK689" s="131"/>
      <c r="AL689" s="131"/>
      <c r="AM689" s="131"/>
      <c r="AN689" s="131"/>
      <c r="AO689" s="142"/>
      <c r="AP689" s="131"/>
    </row>
    <row r="690" ht="13.5" customHeight="1">
      <c r="A690" s="142"/>
      <c r="B690" s="142"/>
      <c r="C690" s="142"/>
      <c r="D690" s="142"/>
      <c r="E690" s="132"/>
      <c r="F690" s="131"/>
      <c r="G690" s="131"/>
      <c r="H690" s="131"/>
      <c r="I690" s="131"/>
      <c r="J690" s="219"/>
      <c r="K690" s="198"/>
      <c r="L690" s="131"/>
      <c r="M690" s="142"/>
      <c r="N690" s="131"/>
      <c r="O690" s="131"/>
      <c r="P690" s="131"/>
      <c r="Q690" s="131"/>
      <c r="R690" s="131"/>
      <c r="S690" s="131"/>
      <c r="T690" s="131"/>
      <c r="U690" s="131"/>
      <c r="V690" s="131"/>
      <c r="W690" s="131"/>
      <c r="X690" s="131"/>
      <c r="Y690" s="131"/>
      <c r="Z690" s="131"/>
      <c r="AA690" s="131"/>
      <c r="AB690" s="330"/>
      <c r="AC690" s="331"/>
      <c r="AD690" s="332"/>
      <c r="AE690" s="131"/>
      <c r="AF690" s="131"/>
      <c r="AG690" s="131"/>
      <c r="AH690" s="131"/>
      <c r="AI690" s="131"/>
      <c r="AJ690" s="131"/>
      <c r="AK690" s="131"/>
      <c r="AL690" s="131"/>
      <c r="AM690" s="131"/>
      <c r="AN690" s="131"/>
      <c r="AO690" s="142"/>
      <c r="AP690" s="131"/>
    </row>
    <row r="691" ht="13.5" customHeight="1">
      <c r="A691" s="142"/>
      <c r="B691" s="142"/>
      <c r="C691" s="142"/>
      <c r="D691" s="142"/>
      <c r="E691" s="132"/>
      <c r="F691" s="131"/>
      <c r="G691" s="131"/>
      <c r="H691" s="131"/>
      <c r="I691" s="131"/>
      <c r="J691" s="219"/>
      <c r="K691" s="198"/>
      <c r="L691" s="131"/>
      <c r="M691" s="142"/>
      <c r="N691" s="131"/>
      <c r="O691" s="131"/>
      <c r="P691" s="131"/>
      <c r="Q691" s="131"/>
      <c r="R691" s="131"/>
      <c r="S691" s="131"/>
      <c r="T691" s="131"/>
      <c r="U691" s="131"/>
      <c r="V691" s="131"/>
      <c r="W691" s="131"/>
      <c r="X691" s="131"/>
      <c r="Y691" s="131"/>
      <c r="Z691" s="131"/>
      <c r="AA691" s="131"/>
      <c r="AB691" s="330"/>
      <c r="AC691" s="331"/>
      <c r="AD691" s="332"/>
      <c r="AE691" s="131"/>
      <c r="AF691" s="131"/>
      <c r="AG691" s="131"/>
      <c r="AH691" s="131"/>
      <c r="AI691" s="131"/>
      <c r="AJ691" s="131"/>
      <c r="AK691" s="131"/>
      <c r="AL691" s="131"/>
      <c r="AM691" s="131"/>
      <c r="AN691" s="131"/>
      <c r="AO691" s="142"/>
      <c r="AP691" s="131"/>
    </row>
    <row r="692" ht="13.5" customHeight="1">
      <c r="A692" s="142"/>
      <c r="B692" s="142"/>
      <c r="C692" s="142"/>
      <c r="D692" s="142"/>
      <c r="E692" s="132"/>
      <c r="F692" s="131"/>
      <c r="G692" s="131"/>
      <c r="H692" s="131"/>
      <c r="I692" s="131"/>
      <c r="J692" s="219"/>
      <c r="K692" s="198"/>
      <c r="L692" s="131"/>
      <c r="M692" s="142"/>
      <c r="N692" s="131"/>
      <c r="O692" s="131"/>
      <c r="P692" s="131"/>
      <c r="Q692" s="131"/>
      <c r="R692" s="131"/>
      <c r="S692" s="131"/>
      <c r="T692" s="131"/>
      <c r="U692" s="131"/>
      <c r="V692" s="131"/>
      <c r="W692" s="131"/>
      <c r="X692" s="131"/>
      <c r="Y692" s="131"/>
      <c r="Z692" s="131"/>
      <c r="AA692" s="131"/>
      <c r="AB692" s="330"/>
      <c r="AC692" s="331"/>
      <c r="AD692" s="332"/>
      <c r="AE692" s="131"/>
      <c r="AF692" s="131"/>
      <c r="AG692" s="131"/>
      <c r="AH692" s="131"/>
      <c r="AI692" s="131"/>
      <c r="AJ692" s="131"/>
      <c r="AK692" s="131"/>
      <c r="AL692" s="131"/>
      <c r="AM692" s="131"/>
      <c r="AN692" s="131"/>
      <c r="AO692" s="142"/>
      <c r="AP692" s="131"/>
    </row>
    <row r="693" ht="13.5" customHeight="1">
      <c r="A693" s="142"/>
      <c r="B693" s="142"/>
      <c r="C693" s="142"/>
      <c r="D693" s="142"/>
      <c r="E693" s="132"/>
      <c r="F693" s="131"/>
      <c r="G693" s="131"/>
      <c r="H693" s="131"/>
      <c r="I693" s="131"/>
      <c r="J693" s="219"/>
      <c r="K693" s="198"/>
      <c r="L693" s="131"/>
      <c r="M693" s="142"/>
      <c r="N693" s="131"/>
      <c r="O693" s="131"/>
      <c r="P693" s="131"/>
      <c r="Q693" s="131"/>
      <c r="R693" s="131"/>
      <c r="S693" s="131"/>
      <c r="T693" s="131"/>
      <c r="U693" s="131"/>
      <c r="V693" s="131"/>
      <c r="W693" s="131"/>
      <c r="X693" s="131"/>
      <c r="Y693" s="131"/>
      <c r="Z693" s="131"/>
      <c r="AA693" s="131"/>
      <c r="AB693" s="330"/>
      <c r="AC693" s="331"/>
      <c r="AD693" s="332"/>
      <c r="AE693" s="131"/>
      <c r="AF693" s="131"/>
      <c r="AG693" s="131"/>
      <c r="AH693" s="131"/>
      <c r="AI693" s="131"/>
      <c r="AJ693" s="131"/>
      <c r="AK693" s="131"/>
      <c r="AL693" s="131"/>
      <c r="AM693" s="131"/>
      <c r="AN693" s="131"/>
      <c r="AO693" s="142"/>
      <c r="AP693" s="131"/>
    </row>
    <row r="694" ht="13.5" customHeight="1">
      <c r="A694" s="142"/>
      <c r="B694" s="142"/>
      <c r="C694" s="142"/>
      <c r="D694" s="142"/>
      <c r="E694" s="132"/>
      <c r="F694" s="131"/>
      <c r="G694" s="131"/>
      <c r="H694" s="131"/>
      <c r="I694" s="131"/>
      <c r="J694" s="219"/>
      <c r="K694" s="198"/>
      <c r="L694" s="131"/>
      <c r="M694" s="142"/>
      <c r="N694" s="131"/>
      <c r="O694" s="131"/>
      <c r="P694" s="131"/>
      <c r="Q694" s="131"/>
      <c r="R694" s="131"/>
      <c r="S694" s="131"/>
      <c r="T694" s="131"/>
      <c r="U694" s="131"/>
      <c r="V694" s="131"/>
      <c r="W694" s="131"/>
      <c r="X694" s="131"/>
      <c r="Y694" s="131"/>
      <c r="Z694" s="131"/>
      <c r="AA694" s="131"/>
      <c r="AB694" s="330"/>
      <c r="AC694" s="331"/>
      <c r="AD694" s="332"/>
      <c r="AE694" s="131"/>
      <c r="AF694" s="131"/>
      <c r="AG694" s="131"/>
      <c r="AH694" s="131"/>
      <c r="AI694" s="131"/>
      <c r="AJ694" s="131"/>
      <c r="AK694" s="131"/>
      <c r="AL694" s="131"/>
      <c r="AM694" s="131"/>
      <c r="AN694" s="131"/>
      <c r="AO694" s="142"/>
      <c r="AP694" s="131"/>
    </row>
    <row r="695" ht="13.5" customHeight="1">
      <c r="A695" s="142"/>
      <c r="B695" s="142"/>
      <c r="C695" s="142"/>
      <c r="D695" s="142"/>
      <c r="E695" s="132"/>
      <c r="F695" s="131"/>
      <c r="G695" s="131"/>
      <c r="H695" s="131"/>
      <c r="I695" s="131"/>
      <c r="J695" s="219"/>
      <c r="K695" s="198"/>
      <c r="L695" s="131"/>
      <c r="M695" s="142"/>
      <c r="N695" s="131"/>
      <c r="O695" s="131"/>
      <c r="P695" s="131"/>
      <c r="Q695" s="131"/>
      <c r="R695" s="131"/>
      <c r="S695" s="131"/>
      <c r="T695" s="131"/>
      <c r="U695" s="131"/>
      <c r="V695" s="131"/>
      <c r="W695" s="131"/>
      <c r="X695" s="131"/>
      <c r="Y695" s="131"/>
      <c r="Z695" s="131"/>
      <c r="AA695" s="131"/>
      <c r="AB695" s="330"/>
      <c r="AC695" s="331"/>
      <c r="AD695" s="332"/>
      <c r="AE695" s="131"/>
      <c r="AF695" s="131"/>
      <c r="AG695" s="131"/>
      <c r="AH695" s="131"/>
      <c r="AI695" s="131"/>
      <c r="AJ695" s="131"/>
      <c r="AK695" s="131"/>
      <c r="AL695" s="131"/>
      <c r="AM695" s="131"/>
      <c r="AN695" s="131"/>
      <c r="AO695" s="142"/>
      <c r="AP695" s="131"/>
    </row>
    <row r="696" ht="13.5" customHeight="1">
      <c r="A696" s="142"/>
      <c r="B696" s="142"/>
      <c r="C696" s="142"/>
      <c r="D696" s="142"/>
      <c r="E696" s="132"/>
      <c r="F696" s="131"/>
      <c r="G696" s="131"/>
      <c r="H696" s="131"/>
      <c r="I696" s="131"/>
      <c r="J696" s="219"/>
      <c r="K696" s="198"/>
      <c r="L696" s="131"/>
      <c r="M696" s="142"/>
      <c r="N696" s="131"/>
      <c r="O696" s="131"/>
      <c r="P696" s="131"/>
      <c r="Q696" s="131"/>
      <c r="R696" s="131"/>
      <c r="S696" s="131"/>
      <c r="T696" s="131"/>
      <c r="U696" s="131"/>
      <c r="V696" s="131"/>
      <c r="W696" s="131"/>
      <c r="X696" s="131"/>
      <c r="Y696" s="131"/>
      <c r="Z696" s="131"/>
      <c r="AA696" s="131"/>
      <c r="AB696" s="330"/>
      <c r="AC696" s="331"/>
      <c r="AD696" s="332"/>
      <c r="AE696" s="131"/>
      <c r="AF696" s="131"/>
      <c r="AG696" s="131"/>
      <c r="AH696" s="131"/>
      <c r="AI696" s="131"/>
      <c r="AJ696" s="131"/>
      <c r="AK696" s="131"/>
      <c r="AL696" s="131"/>
      <c r="AM696" s="131"/>
      <c r="AN696" s="131"/>
      <c r="AO696" s="142"/>
      <c r="AP696" s="131"/>
    </row>
    <row r="697" ht="13.5" customHeight="1">
      <c r="A697" s="142"/>
      <c r="B697" s="142"/>
      <c r="C697" s="142"/>
      <c r="D697" s="142"/>
      <c r="E697" s="132"/>
      <c r="F697" s="131"/>
      <c r="G697" s="131"/>
      <c r="H697" s="131"/>
      <c r="I697" s="131"/>
      <c r="J697" s="219"/>
      <c r="K697" s="198"/>
      <c r="L697" s="131"/>
      <c r="M697" s="142"/>
      <c r="N697" s="131"/>
      <c r="O697" s="131"/>
      <c r="P697" s="131"/>
      <c r="Q697" s="131"/>
      <c r="R697" s="131"/>
      <c r="S697" s="131"/>
      <c r="T697" s="131"/>
      <c r="U697" s="131"/>
      <c r="V697" s="131"/>
      <c r="W697" s="131"/>
      <c r="X697" s="131"/>
      <c r="Y697" s="131"/>
      <c r="Z697" s="131"/>
      <c r="AA697" s="131"/>
      <c r="AB697" s="330"/>
      <c r="AC697" s="331"/>
      <c r="AD697" s="332"/>
      <c r="AE697" s="131"/>
      <c r="AF697" s="131"/>
      <c r="AG697" s="131"/>
      <c r="AH697" s="131"/>
      <c r="AI697" s="131"/>
      <c r="AJ697" s="131"/>
      <c r="AK697" s="131"/>
      <c r="AL697" s="131"/>
      <c r="AM697" s="131"/>
      <c r="AN697" s="131"/>
      <c r="AO697" s="142"/>
      <c r="AP697" s="131"/>
    </row>
    <row r="698" ht="13.5" customHeight="1">
      <c r="A698" s="142"/>
      <c r="B698" s="142"/>
      <c r="C698" s="142"/>
      <c r="D698" s="142"/>
      <c r="E698" s="132"/>
      <c r="F698" s="131"/>
      <c r="G698" s="131"/>
      <c r="H698" s="131"/>
      <c r="I698" s="131"/>
      <c r="J698" s="219"/>
      <c r="K698" s="198"/>
      <c r="L698" s="131"/>
      <c r="M698" s="142"/>
      <c r="N698" s="131"/>
      <c r="O698" s="131"/>
      <c r="P698" s="131"/>
      <c r="Q698" s="131"/>
      <c r="R698" s="131"/>
      <c r="S698" s="131"/>
      <c r="T698" s="131"/>
      <c r="U698" s="131"/>
      <c r="V698" s="131"/>
      <c r="W698" s="131"/>
      <c r="X698" s="131"/>
      <c r="Y698" s="131"/>
      <c r="Z698" s="131"/>
      <c r="AA698" s="131"/>
      <c r="AB698" s="330"/>
      <c r="AC698" s="331"/>
      <c r="AD698" s="332"/>
      <c r="AE698" s="131"/>
      <c r="AF698" s="131"/>
      <c r="AG698" s="131"/>
      <c r="AH698" s="131"/>
      <c r="AI698" s="131"/>
      <c r="AJ698" s="131"/>
      <c r="AK698" s="131"/>
      <c r="AL698" s="131"/>
      <c r="AM698" s="131"/>
      <c r="AN698" s="131"/>
      <c r="AO698" s="142"/>
      <c r="AP698" s="131"/>
    </row>
    <row r="699" ht="13.5" customHeight="1">
      <c r="A699" s="142"/>
      <c r="B699" s="142"/>
      <c r="C699" s="142"/>
      <c r="D699" s="142"/>
      <c r="E699" s="132"/>
      <c r="F699" s="131"/>
      <c r="G699" s="131"/>
      <c r="H699" s="131"/>
      <c r="I699" s="131"/>
      <c r="J699" s="219"/>
      <c r="K699" s="198"/>
      <c r="L699" s="131"/>
      <c r="M699" s="142"/>
      <c r="N699" s="131"/>
      <c r="O699" s="131"/>
      <c r="P699" s="131"/>
      <c r="Q699" s="131"/>
      <c r="R699" s="131"/>
      <c r="S699" s="131"/>
      <c r="T699" s="131"/>
      <c r="U699" s="131"/>
      <c r="V699" s="131"/>
      <c r="W699" s="131"/>
      <c r="X699" s="131"/>
      <c r="Y699" s="131"/>
      <c r="Z699" s="131"/>
      <c r="AA699" s="131"/>
      <c r="AB699" s="330"/>
      <c r="AC699" s="331"/>
      <c r="AD699" s="332"/>
      <c r="AE699" s="131"/>
      <c r="AF699" s="131"/>
      <c r="AG699" s="131"/>
      <c r="AH699" s="131"/>
      <c r="AI699" s="131"/>
      <c r="AJ699" s="131"/>
      <c r="AK699" s="131"/>
      <c r="AL699" s="131"/>
      <c r="AM699" s="131"/>
      <c r="AN699" s="131"/>
      <c r="AO699" s="142"/>
      <c r="AP699" s="131"/>
    </row>
    <row r="700" ht="13.5" customHeight="1">
      <c r="A700" s="142"/>
      <c r="B700" s="142"/>
      <c r="C700" s="142"/>
      <c r="D700" s="142"/>
      <c r="E700" s="132"/>
      <c r="F700" s="131"/>
      <c r="G700" s="131"/>
      <c r="H700" s="131"/>
      <c r="I700" s="131"/>
      <c r="J700" s="219"/>
      <c r="K700" s="198"/>
      <c r="L700" s="131"/>
      <c r="M700" s="142"/>
      <c r="N700" s="131"/>
      <c r="O700" s="131"/>
      <c r="P700" s="131"/>
      <c r="Q700" s="131"/>
      <c r="R700" s="131"/>
      <c r="S700" s="131"/>
      <c r="T700" s="131"/>
      <c r="U700" s="131"/>
      <c r="V700" s="131"/>
      <c r="W700" s="131"/>
      <c r="X700" s="131"/>
      <c r="Y700" s="131"/>
      <c r="Z700" s="131"/>
      <c r="AA700" s="131"/>
      <c r="AB700" s="330"/>
      <c r="AC700" s="331"/>
      <c r="AD700" s="332"/>
      <c r="AE700" s="131"/>
      <c r="AF700" s="131"/>
      <c r="AG700" s="131"/>
      <c r="AH700" s="131"/>
      <c r="AI700" s="131"/>
      <c r="AJ700" s="131"/>
      <c r="AK700" s="131"/>
      <c r="AL700" s="131"/>
      <c r="AM700" s="131"/>
      <c r="AN700" s="131"/>
      <c r="AO700" s="142"/>
      <c r="AP700" s="131"/>
    </row>
    <row r="701" ht="13.5" customHeight="1">
      <c r="A701" s="142"/>
      <c r="B701" s="142"/>
      <c r="C701" s="142"/>
      <c r="D701" s="142"/>
      <c r="E701" s="132"/>
      <c r="F701" s="131"/>
      <c r="G701" s="131"/>
      <c r="H701" s="131"/>
      <c r="I701" s="131"/>
      <c r="J701" s="219"/>
      <c r="K701" s="198"/>
      <c r="L701" s="131"/>
      <c r="M701" s="142"/>
      <c r="N701" s="131"/>
      <c r="O701" s="131"/>
      <c r="P701" s="131"/>
      <c r="Q701" s="131"/>
      <c r="R701" s="131"/>
      <c r="S701" s="131"/>
      <c r="T701" s="131"/>
      <c r="U701" s="131"/>
      <c r="V701" s="131"/>
      <c r="W701" s="131"/>
      <c r="X701" s="131"/>
      <c r="Y701" s="131"/>
      <c r="Z701" s="131"/>
      <c r="AA701" s="131"/>
      <c r="AB701" s="330"/>
      <c r="AC701" s="331"/>
      <c r="AD701" s="332"/>
      <c r="AE701" s="131"/>
      <c r="AF701" s="131"/>
      <c r="AG701" s="131"/>
      <c r="AH701" s="131"/>
      <c r="AI701" s="131"/>
      <c r="AJ701" s="131"/>
      <c r="AK701" s="131"/>
      <c r="AL701" s="131"/>
      <c r="AM701" s="131"/>
      <c r="AN701" s="131"/>
      <c r="AO701" s="142"/>
      <c r="AP701" s="131"/>
    </row>
    <row r="702" ht="13.5" customHeight="1">
      <c r="A702" s="142"/>
      <c r="B702" s="142"/>
      <c r="C702" s="142"/>
      <c r="D702" s="142"/>
      <c r="E702" s="132"/>
      <c r="F702" s="131"/>
      <c r="G702" s="131"/>
      <c r="H702" s="131"/>
      <c r="I702" s="131"/>
      <c r="J702" s="219"/>
      <c r="K702" s="198"/>
      <c r="L702" s="131"/>
      <c r="M702" s="142"/>
      <c r="N702" s="131"/>
      <c r="O702" s="131"/>
      <c r="P702" s="131"/>
      <c r="Q702" s="131"/>
      <c r="R702" s="131"/>
      <c r="S702" s="131"/>
      <c r="T702" s="131"/>
      <c r="U702" s="131"/>
      <c r="V702" s="131"/>
      <c r="W702" s="131"/>
      <c r="X702" s="131"/>
      <c r="Y702" s="131"/>
      <c r="Z702" s="131"/>
      <c r="AA702" s="131"/>
      <c r="AB702" s="330"/>
      <c r="AC702" s="331"/>
      <c r="AD702" s="332"/>
      <c r="AE702" s="131"/>
      <c r="AF702" s="131"/>
      <c r="AG702" s="131"/>
      <c r="AH702" s="131"/>
      <c r="AI702" s="131"/>
      <c r="AJ702" s="131"/>
      <c r="AK702" s="131"/>
      <c r="AL702" s="131"/>
      <c r="AM702" s="131"/>
      <c r="AN702" s="131"/>
      <c r="AO702" s="142"/>
      <c r="AP702" s="131"/>
    </row>
    <row r="703" ht="13.5" customHeight="1">
      <c r="A703" s="142"/>
      <c r="B703" s="142"/>
      <c r="C703" s="142"/>
      <c r="D703" s="142"/>
      <c r="E703" s="132"/>
      <c r="F703" s="131"/>
      <c r="G703" s="131"/>
      <c r="H703" s="131"/>
      <c r="I703" s="131"/>
      <c r="J703" s="219"/>
      <c r="K703" s="198"/>
      <c r="L703" s="131"/>
      <c r="M703" s="142"/>
      <c r="N703" s="131"/>
      <c r="O703" s="131"/>
      <c r="P703" s="131"/>
      <c r="Q703" s="131"/>
      <c r="R703" s="131"/>
      <c r="S703" s="131"/>
      <c r="T703" s="131"/>
      <c r="U703" s="131"/>
      <c r="V703" s="131"/>
      <c r="W703" s="131"/>
      <c r="X703" s="131"/>
      <c r="Y703" s="131"/>
      <c r="Z703" s="131"/>
      <c r="AA703" s="131"/>
      <c r="AB703" s="330"/>
      <c r="AC703" s="331"/>
      <c r="AD703" s="332"/>
      <c r="AE703" s="131"/>
      <c r="AF703" s="131"/>
      <c r="AG703" s="131"/>
      <c r="AH703" s="131"/>
      <c r="AI703" s="131"/>
      <c r="AJ703" s="131"/>
      <c r="AK703" s="131"/>
      <c r="AL703" s="131"/>
      <c r="AM703" s="131"/>
      <c r="AN703" s="131"/>
      <c r="AO703" s="142"/>
      <c r="AP703" s="131"/>
    </row>
    <row r="704" ht="13.5" customHeight="1">
      <c r="A704" s="142"/>
      <c r="B704" s="142"/>
      <c r="C704" s="142"/>
      <c r="D704" s="142"/>
      <c r="E704" s="132"/>
      <c r="F704" s="131"/>
      <c r="G704" s="131"/>
      <c r="H704" s="131"/>
      <c r="I704" s="131"/>
      <c r="J704" s="219"/>
      <c r="K704" s="198"/>
      <c r="L704" s="131"/>
      <c r="M704" s="142"/>
      <c r="N704" s="131"/>
      <c r="O704" s="131"/>
      <c r="P704" s="131"/>
      <c r="Q704" s="131"/>
      <c r="R704" s="131"/>
      <c r="S704" s="131"/>
      <c r="T704" s="131"/>
      <c r="U704" s="131"/>
      <c r="V704" s="131"/>
      <c r="W704" s="131"/>
      <c r="X704" s="131"/>
      <c r="Y704" s="131"/>
      <c r="Z704" s="131"/>
      <c r="AA704" s="131"/>
      <c r="AB704" s="330"/>
      <c r="AC704" s="331"/>
      <c r="AD704" s="332"/>
      <c r="AE704" s="131"/>
      <c r="AF704" s="131"/>
      <c r="AG704" s="131"/>
      <c r="AH704" s="131"/>
      <c r="AI704" s="131"/>
      <c r="AJ704" s="131"/>
      <c r="AK704" s="131"/>
      <c r="AL704" s="131"/>
      <c r="AM704" s="131"/>
      <c r="AN704" s="131"/>
      <c r="AO704" s="142"/>
      <c r="AP704" s="131"/>
    </row>
    <row r="705" ht="13.5" customHeight="1">
      <c r="A705" s="142"/>
      <c r="B705" s="142"/>
      <c r="C705" s="142"/>
      <c r="D705" s="142"/>
      <c r="E705" s="132"/>
      <c r="F705" s="131"/>
      <c r="G705" s="131"/>
      <c r="H705" s="131"/>
      <c r="I705" s="131"/>
      <c r="J705" s="219"/>
      <c r="K705" s="198"/>
      <c r="L705" s="131"/>
      <c r="M705" s="142"/>
      <c r="N705" s="131"/>
      <c r="O705" s="131"/>
      <c r="P705" s="131"/>
      <c r="Q705" s="131"/>
      <c r="R705" s="131"/>
      <c r="S705" s="131"/>
      <c r="T705" s="131"/>
      <c r="U705" s="131"/>
      <c r="V705" s="131"/>
      <c r="W705" s="131"/>
      <c r="X705" s="131"/>
      <c r="Y705" s="131"/>
      <c r="Z705" s="131"/>
      <c r="AA705" s="131"/>
      <c r="AB705" s="330"/>
      <c r="AC705" s="331"/>
      <c r="AD705" s="332"/>
      <c r="AE705" s="131"/>
      <c r="AF705" s="131"/>
      <c r="AG705" s="131"/>
      <c r="AH705" s="131"/>
      <c r="AI705" s="131"/>
      <c r="AJ705" s="131"/>
      <c r="AK705" s="131"/>
      <c r="AL705" s="131"/>
      <c r="AM705" s="131"/>
      <c r="AN705" s="131"/>
      <c r="AO705" s="142"/>
      <c r="AP705" s="131"/>
    </row>
    <row r="706" ht="13.5" customHeight="1">
      <c r="A706" s="142"/>
      <c r="B706" s="142"/>
      <c r="C706" s="142"/>
      <c r="D706" s="142"/>
      <c r="E706" s="132"/>
      <c r="F706" s="131"/>
      <c r="G706" s="131"/>
      <c r="H706" s="131"/>
      <c r="I706" s="131"/>
      <c r="J706" s="219"/>
      <c r="K706" s="198"/>
      <c r="L706" s="131"/>
      <c r="M706" s="142"/>
      <c r="N706" s="131"/>
      <c r="O706" s="131"/>
      <c r="P706" s="131"/>
      <c r="Q706" s="131"/>
      <c r="R706" s="131"/>
      <c r="S706" s="131"/>
      <c r="T706" s="131"/>
      <c r="U706" s="131"/>
      <c r="V706" s="131"/>
      <c r="W706" s="131"/>
      <c r="X706" s="131"/>
      <c r="Y706" s="131"/>
      <c r="Z706" s="131"/>
      <c r="AA706" s="131"/>
      <c r="AB706" s="330"/>
      <c r="AC706" s="331"/>
      <c r="AD706" s="332"/>
      <c r="AE706" s="131"/>
      <c r="AF706" s="131"/>
      <c r="AG706" s="131"/>
      <c r="AH706" s="131"/>
      <c r="AI706" s="131"/>
      <c r="AJ706" s="131"/>
      <c r="AK706" s="131"/>
      <c r="AL706" s="131"/>
      <c r="AM706" s="131"/>
      <c r="AN706" s="131"/>
      <c r="AO706" s="142"/>
      <c r="AP706" s="131"/>
    </row>
    <row r="707" ht="13.5" customHeight="1">
      <c r="A707" s="142"/>
      <c r="B707" s="142"/>
      <c r="C707" s="142"/>
      <c r="D707" s="142"/>
      <c r="E707" s="132"/>
      <c r="F707" s="131"/>
      <c r="G707" s="131"/>
      <c r="H707" s="131"/>
      <c r="I707" s="131"/>
      <c r="J707" s="219"/>
      <c r="K707" s="198"/>
      <c r="L707" s="131"/>
      <c r="M707" s="142"/>
      <c r="N707" s="131"/>
      <c r="O707" s="131"/>
      <c r="P707" s="131"/>
      <c r="Q707" s="131"/>
      <c r="R707" s="131"/>
      <c r="S707" s="131"/>
      <c r="T707" s="131"/>
      <c r="U707" s="131"/>
      <c r="V707" s="131"/>
      <c r="W707" s="131"/>
      <c r="X707" s="131"/>
      <c r="Y707" s="131"/>
      <c r="Z707" s="131"/>
      <c r="AA707" s="131"/>
      <c r="AB707" s="330"/>
      <c r="AC707" s="331"/>
      <c r="AD707" s="332"/>
      <c r="AE707" s="131"/>
      <c r="AF707" s="131"/>
      <c r="AG707" s="131"/>
      <c r="AH707" s="131"/>
      <c r="AI707" s="131"/>
      <c r="AJ707" s="131"/>
      <c r="AK707" s="131"/>
      <c r="AL707" s="131"/>
      <c r="AM707" s="131"/>
      <c r="AN707" s="131"/>
      <c r="AO707" s="142"/>
      <c r="AP707" s="131"/>
    </row>
    <row r="708" ht="13.5" customHeight="1">
      <c r="A708" s="142"/>
      <c r="B708" s="142"/>
      <c r="C708" s="142"/>
      <c r="D708" s="142"/>
      <c r="E708" s="132"/>
      <c r="F708" s="131"/>
      <c r="G708" s="131"/>
      <c r="H708" s="131"/>
      <c r="I708" s="131"/>
      <c r="J708" s="219"/>
      <c r="K708" s="198"/>
      <c r="L708" s="131"/>
      <c r="M708" s="142"/>
      <c r="N708" s="131"/>
      <c r="O708" s="131"/>
      <c r="P708" s="131"/>
      <c r="Q708" s="131"/>
      <c r="R708" s="131"/>
      <c r="S708" s="131"/>
      <c r="T708" s="131"/>
      <c r="U708" s="131"/>
      <c r="V708" s="131"/>
      <c r="W708" s="131"/>
      <c r="X708" s="131"/>
      <c r="Y708" s="131"/>
      <c r="Z708" s="131"/>
      <c r="AA708" s="131"/>
      <c r="AB708" s="330"/>
      <c r="AC708" s="331"/>
      <c r="AD708" s="332"/>
      <c r="AE708" s="131"/>
      <c r="AF708" s="131"/>
      <c r="AG708" s="131"/>
      <c r="AH708" s="131"/>
      <c r="AI708" s="131"/>
      <c r="AJ708" s="131"/>
      <c r="AK708" s="131"/>
      <c r="AL708" s="131"/>
      <c r="AM708" s="131"/>
      <c r="AN708" s="131"/>
      <c r="AO708" s="142"/>
      <c r="AP708" s="131"/>
    </row>
    <row r="709" ht="13.5" customHeight="1">
      <c r="A709" s="142"/>
      <c r="B709" s="142"/>
      <c r="C709" s="142"/>
      <c r="D709" s="142"/>
      <c r="E709" s="132"/>
      <c r="F709" s="131"/>
      <c r="G709" s="131"/>
      <c r="H709" s="131"/>
      <c r="I709" s="131"/>
      <c r="J709" s="219"/>
      <c r="K709" s="198"/>
      <c r="L709" s="131"/>
      <c r="M709" s="142"/>
      <c r="N709" s="131"/>
      <c r="O709" s="131"/>
      <c r="P709" s="131"/>
      <c r="Q709" s="131"/>
      <c r="R709" s="131"/>
      <c r="S709" s="131"/>
      <c r="T709" s="131"/>
      <c r="U709" s="131"/>
      <c r="V709" s="131"/>
      <c r="W709" s="131"/>
      <c r="X709" s="131"/>
      <c r="Y709" s="131"/>
      <c r="Z709" s="131"/>
      <c r="AA709" s="131"/>
      <c r="AB709" s="330"/>
      <c r="AC709" s="331"/>
      <c r="AD709" s="332"/>
      <c r="AE709" s="131"/>
      <c r="AF709" s="131"/>
      <c r="AG709" s="131"/>
      <c r="AH709" s="131"/>
      <c r="AI709" s="131"/>
      <c r="AJ709" s="131"/>
      <c r="AK709" s="131"/>
      <c r="AL709" s="131"/>
      <c r="AM709" s="131"/>
      <c r="AN709" s="131"/>
      <c r="AO709" s="142"/>
      <c r="AP709" s="131"/>
    </row>
    <row r="710" ht="13.5" customHeight="1">
      <c r="A710" s="142"/>
      <c r="B710" s="142"/>
      <c r="C710" s="142"/>
      <c r="D710" s="142"/>
      <c r="E710" s="132"/>
      <c r="F710" s="131"/>
      <c r="G710" s="131"/>
      <c r="H710" s="131"/>
      <c r="I710" s="131"/>
      <c r="J710" s="219"/>
      <c r="K710" s="198"/>
      <c r="L710" s="131"/>
      <c r="M710" s="142"/>
      <c r="N710" s="131"/>
      <c r="O710" s="131"/>
      <c r="P710" s="131"/>
      <c r="Q710" s="131"/>
      <c r="R710" s="131"/>
      <c r="S710" s="131"/>
      <c r="T710" s="131"/>
      <c r="U710" s="131"/>
      <c r="V710" s="131"/>
      <c r="W710" s="131"/>
      <c r="X710" s="131"/>
      <c r="Y710" s="131"/>
      <c r="Z710" s="131"/>
      <c r="AA710" s="131"/>
      <c r="AB710" s="330"/>
      <c r="AC710" s="331"/>
      <c r="AD710" s="332"/>
      <c r="AE710" s="131"/>
      <c r="AF710" s="131"/>
      <c r="AG710" s="131"/>
      <c r="AH710" s="131"/>
      <c r="AI710" s="131"/>
      <c r="AJ710" s="131"/>
      <c r="AK710" s="131"/>
      <c r="AL710" s="131"/>
      <c r="AM710" s="131"/>
      <c r="AN710" s="131"/>
      <c r="AO710" s="142"/>
      <c r="AP710" s="131"/>
    </row>
    <row r="711" ht="13.5" customHeight="1">
      <c r="A711" s="142"/>
      <c r="B711" s="142"/>
      <c r="C711" s="142"/>
      <c r="D711" s="142"/>
      <c r="E711" s="132"/>
      <c r="F711" s="131"/>
      <c r="G711" s="131"/>
      <c r="H711" s="131"/>
      <c r="I711" s="131"/>
      <c r="J711" s="219"/>
      <c r="K711" s="198"/>
      <c r="L711" s="131"/>
      <c r="M711" s="142"/>
      <c r="N711" s="131"/>
      <c r="O711" s="131"/>
      <c r="P711" s="131"/>
      <c r="Q711" s="131"/>
      <c r="R711" s="131"/>
      <c r="S711" s="131"/>
      <c r="T711" s="131"/>
      <c r="U711" s="131"/>
      <c r="V711" s="131"/>
      <c r="W711" s="131"/>
      <c r="X711" s="131"/>
      <c r="Y711" s="131"/>
      <c r="Z711" s="131"/>
      <c r="AA711" s="131"/>
      <c r="AB711" s="330"/>
      <c r="AC711" s="331"/>
      <c r="AD711" s="332"/>
      <c r="AE711" s="131"/>
      <c r="AF711" s="131"/>
      <c r="AG711" s="131"/>
      <c r="AH711" s="131"/>
      <c r="AI711" s="131"/>
      <c r="AJ711" s="131"/>
      <c r="AK711" s="131"/>
      <c r="AL711" s="131"/>
      <c r="AM711" s="131"/>
      <c r="AN711" s="131"/>
      <c r="AO711" s="142"/>
      <c r="AP711" s="131"/>
    </row>
    <row r="712" ht="13.5" customHeight="1">
      <c r="A712" s="142"/>
      <c r="B712" s="142"/>
      <c r="C712" s="142"/>
      <c r="D712" s="142"/>
      <c r="E712" s="132"/>
      <c r="F712" s="131"/>
      <c r="G712" s="131"/>
      <c r="H712" s="131"/>
      <c r="I712" s="131"/>
      <c r="J712" s="219"/>
      <c r="K712" s="198"/>
      <c r="L712" s="131"/>
      <c r="M712" s="142"/>
      <c r="N712" s="131"/>
      <c r="O712" s="131"/>
      <c r="P712" s="131"/>
      <c r="Q712" s="131"/>
      <c r="R712" s="131"/>
      <c r="S712" s="131"/>
      <c r="T712" s="131"/>
      <c r="U712" s="131"/>
      <c r="V712" s="131"/>
      <c r="W712" s="131"/>
      <c r="X712" s="131"/>
      <c r="Y712" s="131"/>
      <c r="Z712" s="131"/>
      <c r="AA712" s="131"/>
      <c r="AB712" s="330"/>
      <c r="AC712" s="331"/>
      <c r="AD712" s="332"/>
      <c r="AE712" s="131"/>
      <c r="AF712" s="131"/>
      <c r="AG712" s="131"/>
      <c r="AH712" s="131"/>
      <c r="AI712" s="131"/>
      <c r="AJ712" s="131"/>
      <c r="AK712" s="131"/>
      <c r="AL712" s="131"/>
      <c r="AM712" s="131"/>
      <c r="AN712" s="131"/>
      <c r="AO712" s="142"/>
      <c r="AP712" s="131"/>
    </row>
    <row r="713" ht="13.5" customHeight="1">
      <c r="A713" s="142"/>
      <c r="B713" s="142"/>
      <c r="C713" s="142"/>
      <c r="D713" s="142"/>
      <c r="E713" s="132"/>
      <c r="F713" s="131"/>
      <c r="G713" s="131"/>
      <c r="H713" s="131"/>
      <c r="I713" s="131"/>
      <c r="J713" s="219"/>
      <c r="K713" s="198"/>
      <c r="L713" s="131"/>
      <c r="M713" s="142"/>
      <c r="N713" s="131"/>
      <c r="O713" s="131"/>
      <c r="P713" s="131"/>
      <c r="Q713" s="131"/>
      <c r="R713" s="131"/>
      <c r="S713" s="131"/>
      <c r="T713" s="131"/>
      <c r="U713" s="131"/>
      <c r="V713" s="131"/>
      <c r="W713" s="131"/>
      <c r="X713" s="131"/>
      <c r="Y713" s="131"/>
      <c r="Z713" s="131"/>
      <c r="AA713" s="131"/>
      <c r="AB713" s="330"/>
      <c r="AC713" s="331"/>
      <c r="AD713" s="332"/>
      <c r="AE713" s="131"/>
      <c r="AF713" s="131"/>
      <c r="AG713" s="131"/>
      <c r="AH713" s="131"/>
      <c r="AI713" s="131"/>
      <c r="AJ713" s="131"/>
      <c r="AK713" s="131"/>
      <c r="AL713" s="131"/>
      <c r="AM713" s="131"/>
      <c r="AN713" s="131"/>
      <c r="AO713" s="142"/>
      <c r="AP713" s="131"/>
    </row>
    <row r="714" ht="13.5" customHeight="1">
      <c r="A714" s="142"/>
      <c r="B714" s="142"/>
      <c r="C714" s="142"/>
      <c r="D714" s="142"/>
      <c r="E714" s="132"/>
      <c r="F714" s="131"/>
      <c r="G714" s="131"/>
      <c r="H714" s="131"/>
      <c r="I714" s="131"/>
      <c r="J714" s="219"/>
      <c r="K714" s="198"/>
      <c r="L714" s="131"/>
      <c r="M714" s="142"/>
      <c r="N714" s="131"/>
      <c r="O714" s="131"/>
      <c r="P714" s="131"/>
      <c r="Q714" s="131"/>
      <c r="R714" s="131"/>
      <c r="S714" s="131"/>
      <c r="T714" s="131"/>
      <c r="U714" s="131"/>
      <c r="V714" s="131"/>
      <c r="W714" s="131"/>
      <c r="X714" s="131"/>
      <c r="Y714" s="131"/>
      <c r="Z714" s="131"/>
      <c r="AA714" s="131"/>
      <c r="AB714" s="330"/>
      <c r="AC714" s="331"/>
      <c r="AD714" s="332"/>
      <c r="AE714" s="131"/>
      <c r="AF714" s="131"/>
      <c r="AG714" s="131"/>
      <c r="AH714" s="131"/>
      <c r="AI714" s="131"/>
      <c r="AJ714" s="131"/>
      <c r="AK714" s="131"/>
      <c r="AL714" s="131"/>
      <c r="AM714" s="131"/>
      <c r="AN714" s="131"/>
      <c r="AO714" s="142"/>
      <c r="AP714" s="131"/>
    </row>
    <row r="715" ht="13.5" customHeight="1">
      <c r="A715" s="142"/>
      <c r="B715" s="142"/>
      <c r="C715" s="142"/>
      <c r="D715" s="142"/>
      <c r="E715" s="132"/>
      <c r="F715" s="131"/>
      <c r="G715" s="131"/>
      <c r="H715" s="131"/>
      <c r="I715" s="131"/>
      <c r="J715" s="219"/>
      <c r="K715" s="198"/>
      <c r="L715" s="131"/>
      <c r="M715" s="142"/>
      <c r="N715" s="131"/>
      <c r="O715" s="131"/>
      <c r="P715" s="131"/>
      <c r="Q715" s="131"/>
      <c r="R715" s="131"/>
      <c r="S715" s="131"/>
      <c r="T715" s="131"/>
      <c r="U715" s="131"/>
      <c r="V715" s="131"/>
      <c r="W715" s="131"/>
      <c r="X715" s="131"/>
      <c r="Y715" s="131"/>
      <c r="Z715" s="131"/>
      <c r="AA715" s="131"/>
      <c r="AB715" s="330"/>
      <c r="AC715" s="331"/>
      <c r="AD715" s="332"/>
      <c r="AE715" s="131"/>
      <c r="AF715" s="131"/>
      <c r="AG715" s="131"/>
      <c r="AH715" s="131"/>
      <c r="AI715" s="131"/>
      <c r="AJ715" s="131"/>
      <c r="AK715" s="131"/>
      <c r="AL715" s="131"/>
      <c r="AM715" s="131"/>
      <c r="AN715" s="131"/>
      <c r="AO715" s="142"/>
      <c r="AP715" s="131"/>
    </row>
    <row r="716" ht="13.5" customHeight="1">
      <c r="A716" s="142"/>
      <c r="B716" s="142"/>
      <c r="C716" s="142"/>
      <c r="D716" s="142"/>
      <c r="E716" s="132"/>
      <c r="F716" s="131"/>
      <c r="G716" s="131"/>
      <c r="H716" s="131"/>
      <c r="I716" s="131"/>
      <c r="J716" s="219"/>
      <c r="K716" s="198"/>
      <c r="L716" s="131"/>
      <c r="M716" s="142"/>
      <c r="N716" s="131"/>
      <c r="O716" s="131"/>
      <c r="P716" s="131"/>
      <c r="Q716" s="131"/>
      <c r="R716" s="131"/>
      <c r="S716" s="131"/>
      <c r="T716" s="131"/>
      <c r="U716" s="131"/>
      <c r="V716" s="131"/>
      <c r="W716" s="131"/>
      <c r="X716" s="131"/>
      <c r="Y716" s="131"/>
      <c r="Z716" s="131"/>
      <c r="AA716" s="131"/>
      <c r="AB716" s="330"/>
      <c r="AC716" s="331"/>
      <c r="AD716" s="332"/>
      <c r="AE716" s="131"/>
      <c r="AF716" s="131"/>
      <c r="AG716" s="131"/>
      <c r="AH716" s="131"/>
      <c r="AI716" s="131"/>
      <c r="AJ716" s="131"/>
      <c r="AK716" s="131"/>
      <c r="AL716" s="131"/>
      <c r="AM716" s="131"/>
      <c r="AN716" s="131"/>
      <c r="AO716" s="142"/>
      <c r="AP716" s="131"/>
    </row>
    <row r="717" ht="13.5" customHeight="1">
      <c r="A717" s="142"/>
      <c r="B717" s="142"/>
      <c r="C717" s="142"/>
      <c r="D717" s="142"/>
      <c r="E717" s="132"/>
      <c r="F717" s="131"/>
      <c r="G717" s="131"/>
      <c r="H717" s="131"/>
      <c r="I717" s="131"/>
      <c r="J717" s="219"/>
      <c r="K717" s="198"/>
      <c r="L717" s="131"/>
      <c r="M717" s="142"/>
      <c r="N717" s="131"/>
      <c r="O717" s="131"/>
      <c r="P717" s="131"/>
      <c r="Q717" s="131"/>
      <c r="R717" s="131"/>
      <c r="S717" s="131"/>
      <c r="T717" s="131"/>
      <c r="U717" s="131"/>
      <c r="V717" s="131"/>
      <c r="W717" s="131"/>
      <c r="X717" s="131"/>
      <c r="Y717" s="131"/>
      <c r="Z717" s="131"/>
      <c r="AA717" s="131"/>
      <c r="AB717" s="330"/>
      <c r="AC717" s="331"/>
      <c r="AD717" s="332"/>
      <c r="AE717" s="131"/>
      <c r="AF717" s="131"/>
      <c r="AG717" s="131"/>
      <c r="AH717" s="131"/>
      <c r="AI717" s="131"/>
      <c r="AJ717" s="131"/>
      <c r="AK717" s="131"/>
      <c r="AL717" s="131"/>
      <c r="AM717" s="131"/>
      <c r="AN717" s="131"/>
      <c r="AO717" s="142"/>
      <c r="AP717" s="131"/>
    </row>
    <row r="718" ht="13.5" customHeight="1">
      <c r="A718" s="142"/>
      <c r="B718" s="142"/>
      <c r="C718" s="142"/>
      <c r="D718" s="142"/>
      <c r="E718" s="132"/>
      <c r="F718" s="131"/>
      <c r="G718" s="131"/>
      <c r="H718" s="131"/>
      <c r="I718" s="131"/>
      <c r="J718" s="219"/>
      <c r="K718" s="198"/>
      <c r="L718" s="131"/>
      <c r="M718" s="142"/>
      <c r="N718" s="131"/>
      <c r="O718" s="131"/>
      <c r="P718" s="131"/>
      <c r="Q718" s="131"/>
      <c r="R718" s="131"/>
      <c r="S718" s="131"/>
      <c r="T718" s="131"/>
      <c r="U718" s="131"/>
      <c r="V718" s="131"/>
      <c r="W718" s="131"/>
      <c r="X718" s="131"/>
      <c r="Y718" s="131"/>
      <c r="Z718" s="131"/>
      <c r="AA718" s="131"/>
      <c r="AB718" s="330"/>
      <c r="AC718" s="331"/>
      <c r="AD718" s="332"/>
      <c r="AE718" s="131"/>
      <c r="AF718" s="131"/>
      <c r="AG718" s="131"/>
      <c r="AH718" s="131"/>
      <c r="AI718" s="131"/>
      <c r="AJ718" s="131"/>
      <c r="AK718" s="131"/>
      <c r="AL718" s="131"/>
      <c r="AM718" s="131"/>
      <c r="AN718" s="131"/>
      <c r="AO718" s="142"/>
      <c r="AP718" s="131"/>
    </row>
    <row r="719" ht="13.5" customHeight="1">
      <c r="A719" s="142"/>
      <c r="B719" s="142"/>
      <c r="C719" s="142"/>
      <c r="D719" s="142"/>
      <c r="E719" s="132"/>
      <c r="F719" s="131"/>
      <c r="G719" s="131"/>
      <c r="H719" s="131"/>
      <c r="I719" s="131"/>
      <c r="J719" s="219"/>
      <c r="K719" s="198"/>
      <c r="L719" s="131"/>
      <c r="M719" s="142"/>
      <c r="N719" s="131"/>
      <c r="O719" s="131"/>
      <c r="P719" s="131"/>
      <c r="Q719" s="131"/>
      <c r="R719" s="131"/>
      <c r="S719" s="131"/>
      <c r="T719" s="131"/>
      <c r="U719" s="131"/>
      <c r="V719" s="131"/>
      <c r="W719" s="131"/>
      <c r="X719" s="131"/>
      <c r="Y719" s="131"/>
      <c r="Z719" s="131"/>
      <c r="AA719" s="131"/>
      <c r="AB719" s="330"/>
      <c r="AC719" s="331"/>
      <c r="AD719" s="332"/>
      <c r="AE719" s="131"/>
      <c r="AF719" s="131"/>
      <c r="AG719" s="131"/>
      <c r="AH719" s="131"/>
      <c r="AI719" s="131"/>
      <c r="AJ719" s="131"/>
      <c r="AK719" s="131"/>
      <c r="AL719" s="131"/>
      <c r="AM719" s="131"/>
      <c r="AN719" s="131"/>
      <c r="AO719" s="142"/>
      <c r="AP719" s="131"/>
    </row>
    <row r="720" ht="13.5" customHeight="1">
      <c r="A720" s="142"/>
      <c r="B720" s="142"/>
      <c r="C720" s="142"/>
      <c r="D720" s="142"/>
      <c r="E720" s="132"/>
      <c r="F720" s="131"/>
      <c r="G720" s="131"/>
      <c r="H720" s="131"/>
      <c r="I720" s="131"/>
      <c r="J720" s="219"/>
      <c r="K720" s="198"/>
      <c r="L720" s="131"/>
      <c r="M720" s="142"/>
      <c r="N720" s="131"/>
      <c r="O720" s="131"/>
      <c r="P720" s="131"/>
      <c r="Q720" s="131"/>
      <c r="R720" s="131"/>
      <c r="S720" s="131"/>
      <c r="T720" s="131"/>
      <c r="U720" s="131"/>
      <c r="V720" s="131"/>
      <c r="W720" s="131"/>
      <c r="X720" s="131"/>
      <c r="Y720" s="131"/>
      <c r="Z720" s="131"/>
      <c r="AA720" s="131"/>
      <c r="AB720" s="330"/>
      <c r="AC720" s="331"/>
      <c r="AD720" s="332"/>
      <c r="AE720" s="131"/>
      <c r="AF720" s="131"/>
      <c r="AG720" s="131"/>
      <c r="AH720" s="131"/>
      <c r="AI720" s="131"/>
      <c r="AJ720" s="131"/>
      <c r="AK720" s="131"/>
      <c r="AL720" s="131"/>
      <c r="AM720" s="131"/>
      <c r="AN720" s="131"/>
      <c r="AO720" s="142"/>
      <c r="AP720" s="131"/>
    </row>
    <row r="721" ht="13.5" customHeight="1">
      <c r="A721" s="142"/>
      <c r="B721" s="142"/>
      <c r="C721" s="142"/>
      <c r="D721" s="142"/>
      <c r="E721" s="132"/>
      <c r="F721" s="131"/>
      <c r="G721" s="131"/>
      <c r="H721" s="131"/>
      <c r="I721" s="131"/>
      <c r="J721" s="219"/>
      <c r="K721" s="198"/>
      <c r="L721" s="131"/>
      <c r="M721" s="142"/>
      <c r="N721" s="131"/>
      <c r="O721" s="131"/>
      <c r="P721" s="131"/>
      <c r="Q721" s="131"/>
      <c r="R721" s="131"/>
      <c r="S721" s="131"/>
      <c r="T721" s="131"/>
      <c r="U721" s="131"/>
      <c r="V721" s="131"/>
      <c r="W721" s="131"/>
      <c r="X721" s="131"/>
      <c r="Y721" s="131"/>
      <c r="Z721" s="131"/>
      <c r="AA721" s="131"/>
      <c r="AB721" s="330"/>
      <c r="AC721" s="331"/>
      <c r="AD721" s="332"/>
      <c r="AE721" s="131"/>
      <c r="AF721" s="131"/>
      <c r="AG721" s="131"/>
      <c r="AH721" s="131"/>
      <c r="AI721" s="131"/>
      <c r="AJ721" s="131"/>
      <c r="AK721" s="131"/>
      <c r="AL721" s="131"/>
      <c r="AM721" s="131"/>
      <c r="AN721" s="131"/>
      <c r="AO721" s="142"/>
      <c r="AP721" s="131"/>
    </row>
    <row r="722" ht="13.5" customHeight="1">
      <c r="A722" s="142"/>
      <c r="B722" s="142"/>
      <c r="C722" s="142"/>
      <c r="D722" s="142"/>
      <c r="E722" s="132"/>
      <c r="F722" s="131"/>
      <c r="G722" s="131"/>
      <c r="H722" s="131"/>
      <c r="I722" s="131"/>
      <c r="J722" s="219"/>
      <c r="K722" s="198"/>
      <c r="L722" s="131"/>
      <c r="M722" s="142"/>
      <c r="N722" s="131"/>
      <c r="O722" s="131"/>
      <c r="P722" s="131"/>
      <c r="Q722" s="131"/>
      <c r="R722" s="131"/>
      <c r="S722" s="131"/>
      <c r="T722" s="131"/>
      <c r="U722" s="131"/>
      <c r="V722" s="131"/>
      <c r="W722" s="131"/>
      <c r="X722" s="131"/>
      <c r="Y722" s="131"/>
      <c r="Z722" s="131"/>
      <c r="AA722" s="131"/>
      <c r="AB722" s="330"/>
      <c r="AC722" s="331"/>
      <c r="AD722" s="332"/>
      <c r="AE722" s="131"/>
      <c r="AF722" s="131"/>
      <c r="AG722" s="131"/>
      <c r="AH722" s="131"/>
      <c r="AI722" s="131"/>
      <c r="AJ722" s="131"/>
      <c r="AK722" s="131"/>
      <c r="AL722" s="131"/>
      <c r="AM722" s="131"/>
      <c r="AN722" s="131"/>
      <c r="AO722" s="142"/>
      <c r="AP722" s="131"/>
    </row>
    <row r="723" ht="13.5" customHeight="1">
      <c r="A723" s="142"/>
      <c r="B723" s="142"/>
      <c r="C723" s="142"/>
      <c r="D723" s="142"/>
      <c r="E723" s="132"/>
      <c r="F723" s="131"/>
      <c r="G723" s="131"/>
      <c r="H723" s="131"/>
      <c r="I723" s="131"/>
      <c r="J723" s="219"/>
      <c r="K723" s="198"/>
      <c r="L723" s="131"/>
      <c r="M723" s="142"/>
      <c r="N723" s="131"/>
      <c r="O723" s="131"/>
      <c r="P723" s="131"/>
      <c r="Q723" s="131"/>
      <c r="R723" s="131"/>
      <c r="S723" s="131"/>
      <c r="T723" s="131"/>
      <c r="U723" s="131"/>
      <c r="V723" s="131"/>
      <c r="W723" s="131"/>
      <c r="X723" s="131"/>
      <c r="Y723" s="131"/>
      <c r="Z723" s="131"/>
      <c r="AA723" s="131"/>
      <c r="AB723" s="330"/>
      <c r="AC723" s="331"/>
      <c r="AD723" s="332"/>
      <c r="AE723" s="131"/>
      <c r="AF723" s="131"/>
      <c r="AG723" s="131"/>
      <c r="AH723" s="131"/>
      <c r="AI723" s="131"/>
      <c r="AJ723" s="131"/>
      <c r="AK723" s="131"/>
      <c r="AL723" s="131"/>
      <c r="AM723" s="131"/>
      <c r="AN723" s="131"/>
      <c r="AO723" s="142"/>
      <c r="AP723" s="131"/>
    </row>
    <row r="724" ht="13.5" customHeight="1">
      <c r="A724" s="142"/>
      <c r="B724" s="142"/>
      <c r="C724" s="142"/>
      <c r="D724" s="142"/>
      <c r="E724" s="132"/>
      <c r="F724" s="131"/>
      <c r="G724" s="131"/>
      <c r="H724" s="131"/>
      <c r="I724" s="131"/>
      <c r="J724" s="219"/>
      <c r="K724" s="198"/>
      <c r="L724" s="131"/>
      <c r="M724" s="142"/>
      <c r="N724" s="131"/>
      <c r="O724" s="131"/>
      <c r="P724" s="131"/>
      <c r="Q724" s="131"/>
      <c r="R724" s="131"/>
      <c r="S724" s="131"/>
      <c r="T724" s="131"/>
      <c r="U724" s="131"/>
      <c r="V724" s="131"/>
      <c r="W724" s="131"/>
      <c r="X724" s="131"/>
      <c r="Y724" s="131"/>
      <c r="Z724" s="131"/>
      <c r="AA724" s="131"/>
      <c r="AB724" s="330"/>
      <c r="AC724" s="331"/>
      <c r="AD724" s="332"/>
      <c r="AE724" s="131"/>
      <c r="AF724" s="131"/>
      <c r="AG724" s="131"/>
      <c r="AH724" s="131"/>
      <c r="AI724" s="131"/>
      <c r="AJ724" s="131"/>
      <c r="AK724" s="131"/>
      <c r="AL724" s="131"/>
      <c r="AM724" s="131"/>
      <c r="AN724" s="131"/>
      <c r="AO724" s="142"/>
      <c r="AP724" s="131"/>
    </row>
    <row r="725" ht="13.5" customHeight="1">
      <c r="A725" s="142"/>
      <c r="B725" s="142"/>
      <c r="C725" s="142"/>
      <c r="D725" s="142"/>
      <c r="E725" s="132"/>
      <c r="F725" s="131"/>
      <c r="G725" s="131"/>
      <c r="H725" s="131"/>
      <c r="I725" s="131"/>
      <c r="J725" s="219"/>
      <c r="K725" s="198"/>
      <c r="L725" s="131"/>
      <c r="M725" s="142"/>
      <c r="N725" s="131"/>
      <c r="O725" s="131"/>
      <c r="P725" s="131"/>
      <c r="Q725" s="131"/>
      <c r="R725" s="131"/>
      <c r="S725" s="131"/>
      <c r="T725" s="131"/>
      <c r="U725" s="131"/>
      <c r="V725" s="131"/>
      <c r="W725" s="131"/>
      <c r="X725" s="131"/>
      <c r="Y725" s="131"/>
      <c r="Z725" s="131"/>
      <c r="AA725" s="131"/>
      <c r="AB725" s="330"/>
      <c r="AC725" s="331"/>
      <c r="AD725" s="332"/>
      <c r="AE725" s="131"/>
      <c r="AF725" s="131"/>
      <c r="AG725" s="131"/>
      <c r="AH725" s="131"/>
      <c r="AI725" s="131"/>
      <c r="AJ725" s="131"/>
      <c r="AK725" s="131"/>
      <c r="AL725" s="131"/>
      <c r="AM725" s="131"/>
      <c r="AN725" s="131"/>
      <c r="AO725" s="142"/>
      <c r="AP725" s="131"/>
    </row>
    <row r="726" ht="13.5" customHeight="1">
      <c r="A726" s="142"/>
      <c r="B726" s="142"/>
      <c r="C726" s="142"/>
      <c r="D726" s="142"/>
      <c r="E726" s="132"/>
      <c r="F726" s="131"/>
      <c r="G726" s="131"/>
      <c r="H726" s="131"/>
      <c r="I726" s="131"/>
      <c r="J726" s="219"/>
      <c r="K726" s="198"/>
      <c r="L726" s="131"/>
      <c r="M726" s="142"/>
      <c r="N726" s="131"/>
      <c r="O726" s="131"/>
      <c r="P726" s="131"/>
      <c r="Q726" s="131"/>
      <c r="R726" s="131"/>
      <c r="S726" s="131"/>
      <c r="T726" s="131"/>
      <c r="U726" s="131"/>
      <c r="V726" s="131"/>
      <c r="W726" s="131"/>
      <c r="X726" s="131"/>
      <c r="Y726" s="131"/>
      <c r="Z726" s="131"/>
      <c r="AA726" s="131"/>
      <c r="AB726" s="330"/>
      <c r="AC726" s="331"/>
      <c r="AD726" s="332"/>
      <c r="AE726" s="131"/>
      <c r="AF726" s="131"/>
      <c r="AG726" s="131"/>
      <c r="AH726" s="131"/>
      <c r="AI726" s="131"/>
      <c r="AJ726" s="131"/>
      <c r="AK726" s="131"/>
      <c r="AL726" s="131"/>
      <c r="AM726" s="131"/>
      <c r="AN726" s="131"/>
      <c r="AO726" s="142"/>
      <c r="AP726" s="131"/>
    </row>
    <row r="727" ht="13.5" customHeight="1">
      <c r="A727" s="142"/>
      <c r="B727" s="142"/>
      <c r="C727" s="142"/>
      <c r="D727" s="142"/>
      <c r="E727" s="132"/>
      <c r="F727" s="131"/>
      <c r="G727" s="131"/>
      <c r="H727" s="131"/>
      <c r="I727" s="131"/>
      <c r="J727" s="219"/>
      <c r="K727" s="198"/>
      <c r="L727" s="131"/>
      <c r="M727" s="142"/>
      <c r="N727" s="131"/>
      <c r="O727" s="131"/>
      <c r="P727" s="131"/>
      <c r="Q727" s="131"/>
      <c r="R727" s="131"/>
      <c r="S727" s="131"/>
      <c r="T727" s="131"/>
      <c r="U727" s="131"/>
      <c r="V727" s="131"/>
      <c r="W727" s="131"/>
      <c r="X727" s="131"/>
      <c r="Y727" s="131"/>
      <c r="Z727" s="131"/>
      <c r="AA727" s="131"/>
      <c r="AB727" s="330"/>
      <c r="AC727" s="331"/>
      <c r="AD727" s="332"/>
      <c r="AE727" s="131"/>
      <c r="AF727" s="131"/>
      <c r="AG727" s="131"/>
      <c r="AH727" s="131"/>
      <c r="AI727" s="131"/>
      <c r="AJ727" s="131"/>
      <c r="AK727" s="131"/>
      <c r="AL727" s="131"/>
      <c r="AM727" s="131"/>
      <c r="AN727" s="131"/>
      <c r="AO727" s="142"/>
      <c r="AP727" s="131"/>
    </row>
    <row r="728" ht="13.5" customHeight="1">
      <c r="A728" s="142"/>
      <c r="B728" s="142"/>
      <c r="C728" s="142"/>
      <c r="D728" s="142"/>
      <c r="E728" s="132"/>
      <c r="F728" s="131"/>
      <c r="G728" s="131"/>
      <c r="H728" s="131"/>
      <c r="I728" s="131"/>
      <c r="J728" s="219"/>
      <c r="K728" s="198"/>
      <c r="L728" s="131"/>
      <c r="M728" s="142"/>
      <c r="N728" s="131"/>
      <c r="O728" s="131"/>
      <c r="P728" s="131"/>
      <c r="Q728" s="131"/>
      <c r="R728" s="131"/>
      <c r="S728" s="131"/>
      <c r="T728" s="131"/>
      <c r="U728" s="131"/>
      <c r="V728" s="131"/>
      <c r="W728" s="131"/>
      <c r="X728" s="131"/>
      <c r="Y728" s="131"/>
      <c r="Z728" s="131"/>
      <c r="AA728" s="131"/>
      <c r="AB728" s="330"/>
      <c r="AC728" s="331"/>
      <c r="AD728" s="332"/>
      <c r="AE728" s="131"/>
      <c r="AF728" s="131"/>
      <c r="AG728" s="131"/>
      <c r="AH728" s="131"/>
      <c r="AI728" s="131"/>
      <c r="AJ728" s="131"/>
      <c r="AK728" s="131"/>
      <c r="AL728" s="131"/>
      <c r="AM728" s="131"/>
      <c r="AN728" s="131"/>
      <c r="AO728" s="142"/>
      <c r="AP728" s="131"/>
    </row>
    <row r="729" ht="13.5" customHeight="1">
      <c r="A729" s="142"/>
      <c r="B729" s="142"/>
      <c r="C729" s="142"/>
      <c r="D729" s="142"/>
      <c r="E729" s="132"/>
      <c r="F729" s="131"/>
      <c r="G729" s="131"/>
      <c r="H729" s="131"/>
      <c r="I729" s="131"/>
      <c r="J729" s="219"/>
      <c r="K729" s="198"/>
      <c r="L729" s="131"/>
      <c r="M729" s="142"/>
      <c r="N729" s="131"/>
      <c r="O729" s="131"/>
      <c r="P729" s="131"/>
      <c r="Q729" s="131"/>
      <c r="R729" s="131"/>
      <c r="S729" s="131"/>
      <c r="T729" s="131"/>
      <c r="U729" s="131"/>
      <c r="V729" s="131"/>
      <c r="W729" s="131"/>
      <c r="X729" s="131"/>
      <c r="Y729" s="131"/>
      <c r="Z729" s="131"/>
      <c r="AA729" s="131"/>
      <c r="AB729" s="330"/>
      <c r="AC729" s="331"/>
      <c r="AD729" s="332"/>
      <c r="AE729" s="131"/>
      <c r="AF729" s="131"/>
      <c r="AG729" s="131"/>
      <c r="AH729" s="131"/>
      <c r="AI729" s="131"/>
      <c r="AJ729" s="131"/>
      <c r="AK729" s="131"/>
      <c r="AL729" s="131"/>
      <c r="AM729" s="131"/>
      <c r="AN729" s="131"/>
      <c r="AO729" s="142"/>
      <c r="AP729" s="131"/>
    </row>
    <row r="730" ht="13.5" customHeight="1">
      <c r="A730" s="142"/>
      <c r="B730" s="142"/>
      <c r="C730" s="142"/>
      <c r="D730" s="142"/>
      <c r="E730" s="132"/>
      <c r="F730" s="131"/>
      <c r="G730" s="131"/>
      <c r="H730" s="131"/>
      <c r="I730" s="131"/>
      <c r="J730" s="219"/>
      <c r="K730" s="198"/>
      <c r="L730" s="131"/>
      <c r="M730" s="142"/>
      <c r="N730" s="131"/>
      <c r="O730" s="131"/>
      <c r="P730" s="131"/>
      <c r="Q730" s="131"/>
      <c r="R730" s="131"/>
      <c r="S730" s="131"/>
      <c r="T730" s="131"/>
      <c r="U730" s="131"/>
      <c r="V730" s="131"/>
      <c r="W730" s="131"/>
      <c r="X730" s="131"/>
      <c r="Y730" s="131"/>
      <c r="Z730" s="131"/>
      <c r="AA730" s="131"/>
      <c r="AB730" s="330"/>
      <c r="AC730" s="331"/>
      <c r="AD730" s="332"/>
      <c r="AE730" s="131"/>
      <c r="AF730" s="131"/>
      <c r="AG730" s="131"/>
      <c r="AH730" s="131"/>
      <c r="AI730" s="131"/>
      <c r="AJ730" s="131"/>
      <c r="AK730" s="131"/>
      <c r="AL730" s="131"/>
      <c r="AM730" s="131"/>
      <c r="AN730" s="131"/>
      <c r="AO730" s="142"/>
      <c r="AP730" s="131"/>
    </row>
    <row r="731" ht="13.5" customHeight="1">
      <c r="A731" s="142"/>
      <c r="B731" s="142"/>
      <c r="C731" s="142"/>
      <c r="D731" s="142"/>
      <c r="E731" s="132"/>
      <c r="F731" s="131"/>
      <c r="G731" s="131"/>
      <c r="H731" s="131"/>
      <c r="I731" s="131"/>
      <c r="J731" s="219"/>
      <c r="K731" s="198"/>
      <c r="L731" s="131"/>
      <c r="M731" s="142"/>
      <c r="N731" s="131"/>
      <c r="O731" s="131"/>
      <c r="P731" s="131"/>
      <c r="Q731" s="131"/>
      <c r="R731" s="131"/>
      <c r="S731" s="131"/>
      <c r="T731" s="131"/>
      <c r="U731" s="131"/>
      <c r="V731" s="131"/>
      <c r="W731" s="131"/>
      <c r="X731" s="131"/>
      <c r="Y731" s="131"/>
      <c r="Z731" s="131"/>
      <c r="AA731" s="131"/>
      <c r="AB731" s="330"/>
      <c r="AC731" s="331"/>
      <c r="AD731" s="332"/>
      <c r="AE731" s="131"/>
      <c r="AF731" s="131"/>
      <c r="AG731" s="131"/>
      <c r="AH731" s="131"/>
      <c r="AI731" s="131"/>
      <c r="AJ731" s="131"/>
      <c r="AK731" s="131"/>
      <c r="AL731" s="131"/>
      <c r="AM731" s="131"/>
      <c r="AN731" s="131"/>
      <c r="AO731" s="142"/>
      <c r="AP731" s="131"/>
    </row>
    <row r="732" ht="13.5" customHeight="1">
      <c r="A732" s="142"/>
      <c r="B732" s="142"/>
      <c r="C732" s="142"/>
      <c r="D732" s="142"/>
      <c r="E732" s="132"/>
      <c r="F732" s="131"/>
      <c r="G732" s="131"/>
      <c r="H732" s="131"/>
      <c r="I732" s="131"/>
      <c r="J732" s="219"/>
      <c r="K732" s="198"/>
      <c r="L732" s="131"/>
      <c r="M732" s="142"/>
      <c r="N732" s="131"/>
      <c r="O732" s="131"/>
      <c r="P732" s="131"/>
      <c r="Q732" s="131"/>
      <c r="R732" s="131"/>
      <c r="S732" s="131"/>
      <c r="T732" s="131"/>
      <c r="U732" s="131"/>
      <c r="V732" s="131"/>
      <c r="W732" s="131"/>
      <c r="X732" s="131"/>
      <c r="Y732" s="131"/>
      <c r="Z732" s="131"/>
      <c r="AA732" s="131"/>
      <c r="AB732" s="330"/>
      <c r="AC732" s="331"/>
      <c r="AD732" s="332"/>
      <c r="AE732" s="131"/>
      <c r="AF732" s="131"/>
      <c r="AG732" s="131"/>
      <c r="AH732" s="131"/>
      <c r="AI732" s="131"/>
      <c r="AJ732" s="131"/>
      <c r="AK732" s="131"/>
      <c r="AL732" s="131"/>
      <c r="AM732" s="131"/>
      <c r="AN732" s="131"/>
      <c r="AO732" s="142"/>
      <c r="AP732" s="131"/>
    </row>
    <row r="733" ht="13.5" customHeight="1">
      <c r="A733" s="142"/>
      <c r="B733" s="142"/>
      <c r="C733" s="142"/>
      <c r="D733" s="142"/>
      <c r="E733" s="132"/>
      <c r="F733" s="131"/>
      <c r="G733" s="131"/>
      <c r="H733" s="131"/>
      <c r="I733" s="131"/>
      <c r="J733" s="219"/>
      <c r="K733" s="198"/>
      <c r="L733" s="131"/>
      <c r="M733" s="142"/>
      <c r="N733" s="131"/>
      <c r="O733" s="131"/>
      <c r="P733" s="131"/>
      <c r="Q733" s="131"/>
      <c r="R733" s="131"/>
      <c r="S733" s="131"/>
      <c r="T733" s="131"/>
      <c r="U733" s="131"/>
      <c r="V733" s="131"/>
      <c r="W733" s="131"/>
      <c r="X733" s="131"/>
      <c r="Y733" s="131"/>
      <c r="Z733" s="131"/>
      <c r="AA733" s="131"/>
      <c r="AB733" s="330"/>
      <c r="AC733" s="331"/>
      <c r="AD733" s="332"/>
      <c r="AE733" s="131"/>
      <c r="AF733" s="131"/>
      <c r="AG733" s="131"/>
      <c r="AH733" s="131"/>
      <c r="AI733" s="131"/>
      <c r="AJ733" s="131"/>
      <c r="AK733" s="131"/>
      <c r="AL733" s="131"/>
      <c r="AM733" s="131"/>
      <c r="AN733" s="131"/>
      <c r="AO733" s="142"/>
      <c r="AP733" s="131"/>
    </row>
    <row r="734" ht="13.5" customHeight="1">
      <c r="A734" s="142"/>
      <c r="B734" s="142"/>
      <c r="C734" s="142"/>
      <c r="D734" s="142"/>
      <c r="E734" s="132"/>
      <c r="F734" s="131"/>
      <c r="G734" s="131"/>
      <c r="H734" s="131"/>
      <c r="I734" s="131"/>
      <c r="J734" s="219"/>
      <c r="K734" s="198"/>
      <c r="L734" s="131"/>
      <c r="M734" s="142"/>
      <c r="N734" s="131"/>
      <c r="O734" s="131"/>
      <c r="P734" s="131"/>
      <c r="Q734" s="131"/>
      <c r="R734" s="131"/>
      <c r="S734" s="131"/>
      <c r="T734" s="131"/>
      <c r="U734" s="131"/>
      <c r="V734" s="131"/>
      <c r="W734" s="131"/>
      <c r="X734" s="131"/>
      <c r="Y734" s="131"/>
      <c r="Z734" s="131"/>
      <c r="AA734" s="131"/>
      <c r="AB734" s="330"/>
      <c r="AC734" s="331"/>
      <c r="AD734" s="332"/>
      <c r="AE734" s="131"/>
      <c r="AF734" s="131"/>
      <c r="AG734" s="131"/>
      <c r="AH734" s="131"/>
      <c r="AI734" s="131"/>
      <c r="AJ734" s="131"/>
      <c r="AK734" s="131"/>
      <c r="AL734" s="131"/>
      <c r="AM734" s="131"/>
      <c r="AN734" s="131"/>
      <c r="AO734" s="142"/>
      <c r="AP734" s="131"/>
    </row>
    <row r="735" ht="13.5" customHeight="1">
      <c r="A735" s="142"/>
      <c r="B735" s="142"/>
      <c r="C735" s="142"/>
      <c r="D735" s="142"/>
      <c r="E735" s="132"/>
      <c r="F735" s="131"/>
      <c r="G735" s="131"/>
      <c r="H735" s="131"/>
      <c r="I735" s="131"/>
      <c r="J735" s="219"/>
      <c r="K735" s="198"/>
      <c r="L735" s="131"/>
      <c r="M735" s="142"/>
      <c r="N735" s="131"/>
      <c r="O735" s="131"/>
      <c r="P735" s="131"/>
      <c r="Q735" s="131"/>
      <c r="R735" s="131"/>
      <c r="S735" s="131"/>
      <c r="T735" s="131"/>
      <c r="U735" s="131"/>
      <c r="V735" s="131"/>
      <c r="W735" s="131"/>
      <c r="X735" s="131"/>
      <c r="Y735" s="131"/>
      <c r="Z735" s="131"/>
      <c r="AA735" s="131"/>
      <c r="AB735" s="330"/>
      <c r="AC735" s="331"/>
      <c r="AD735" s="332"/>
      <c r="AE735" s="131"/>
      <c r="AF735" s="131"/>
      <c r="AG735" s="131"/>
      <c r="AH735" s="131"/>
      <c r="AI735" s="131"/>
      <c r="AJ735" s="131"/>
      <c r="AK735" s="131"/>
      <c r="AL735" s="131"/>
      <c r="AM735" s="131"/>
      <c r="AN735" s="131"/>
      <c r="AO735" s="142"/>
      <c r="AP735" s="131"/>
    </row>
    <row r="736" ht="13.5" customHeight="1">
      <c r="A736" s="142"/>
      <c r="B736" s="142"/>
      <c r="C736" s="142"/>
      <c r="D736" s="142"/>
      <c r="E736" s="132"/>
      <c r="F736" s="131"/>
      <c r="G736" s="131"/>
      <c r="H736" s="131"/>
      <c r="I736" s="131"/>
      <c r="J736" s="219"/>
      <c r="K736" s="198"/>
      <c r="L736" s="131"/>
      <c r="M736" s="142"/>
      <c r="N736" s="131"/>
      <c r="O736" s="131"/>
      <c r="P736" s="131"/>
      <c r="Q736" s="131"/>
      <c r="R736" s="131"/>
      <c r="S736" s="131"/>
      <c r="T736" s="131"/>
      <c r="U736" s="131"/>
      <c r="V736" s="131"/>
      <c r="W736" s="131"/>
      <c r="X736" s="131"/>
      <c r="Y736" s="131"/>
      <c r="Z736" s="131"/>
      <c r="AA736" s="131"/>
      <c r="AB736" s="330"/>
      <c r="AC736" s="331"/>
      <c r="AD736" s="332"/>
      <c r="AE736" s="131"/>
      <c r="AF736" s="131"/>
      <c r="AG736" s="131"/>
      <c r="AH736" s="131"/>
      <c r="AI736" s="131"/>
      <c r="AJ736" s="131"/>
      <c r="AK736" s="131"/>
      <c r="AL736" s="131"/>
      <c r="AM736" s="131"/>
      <c r="AN736" s="131"/>
      <c r="AO736" s="142"/>
      <c r="AP736" s="131"/>
    </row>
    <row r="737" ht="13.5" customHeight="1">
      <c r="A737" s="142"/>
      <c r="B737" s="142"/>
      <c r="C737" s="142"/>
      <c r="D737" s="142"/>
      <c r="E737" s="132"/>
      <c r="F737" s="131"/>
      <c r="G737" s="131"/>
      <c r="H737" s="131"/>
      <c r="I737" s="131"/>
      <c r="J737" s="219"/>
      <c r="K737" s="198"/>
      <c r="L737" s="131"/>
      <c r="M737" s="142"/>
      <c r="N737" s="131"/>
      <c r="O737" s="131"/>
      <c r="P737" s="131"/>
      <c r="Q737" s="131"/>
      <c r="R737" s="131"/>
      <c r="S737" s="131"/>
      <c r="T737" s="131"/>
      <c r="U737" s="131"/>
      <c r="V737" s="131"/>
      <c r="W737" s="131"/>
      <c r="X737" s="131"/>
      <c r="Y737" s="131"/>
      <c r="Z737" s="131"/>
      <c r="AA737" s="131"/>
      <c r="AB737" s="330"/>
      <c r="AC737" s="331"/>
      <c r="AD737" s="332"/>
      <c r="AE737" s="131"/>
      <c r="AF737" s="131"/>
      <c r="AG737" s="131"/>
      <c r="AH737" s="131"/>
      <c r="AI737" s="131"/>
      <c r="AJ737" s="131"/>
      <c r="AK737" s="131"/>
      <c r="AL737" s="131"/>
      <c r="AM737" s="131"/>
      <c r="AN737" s="131"/>
      <c r="AO737" s="142"/>
      <c r="AP737" s="131"/>
    </row>
    <row r="738" ht="13.5" customHeight="1">
      <c r="A738" s="142"/>
      <c r="B738" s="142"/>
      <c r="C738" s="142"/>
      <c r="D738" s="142"/>
      <c r="E738" s="132"/>
      <c r="F738" s="131"/>
      <c r="G738" s="131"/>
      <c r="H738" s="131"/>
      <c r="I738" s="131"/>
      <c r="J738" s="219"/>
      <c r="K738" s="198"/>
      <c r="L738" s="131"/>
      <c r="M738" s="142"/>
      <c r="N738" s="131"/>
      <c r="O738" s="131"/>
      <c r="P738" s="131"/>
      <c r="Q738" s="131"/>
      <c r="R738" s="131"/>
      <c r="S738" s="131"/>
      <c r="T738" s="131"/>
      <c r="U738" s="131"/>
      <c r="V738" s="131"/>
      <c r="W738" s="131"/>
      <c r="X738" s="131"/>
      <c r="Y738" s="131"/>
      <c r="Z738" s="131"/>
      <c r="AA738" s="131"/>
      <c r="AB738" s="330"/>
      <c r="AC738" s="331"/>
      <c r="AD738" s="332"/>
      <c r="AE738" s="131"/>
      <c r="AF738" s="131"/>
      <c r="AG738" s="131"/>
      <c r="AH738" s="131"/>
      <c r="AI738" s="131"/>
      <c r="AJ738" s="131"/>
      <c r="AK738" s="131"/>
      <c r="AL738" s="131"/>
      <c r="AM738" s="131"/>
      <c r="AN738" s="131"/>
      <c r="AO738" s="142"/>
      <c r="AP738" s="131"/>
    </row>
    <row r="739" ht="13.5" customHeight="1">
      <c r="A739" s="142"/>
      <c r="B739" s="142"/>
      <c r="C739" s="142"/>
      <c r="D739" s="142"/>
      <c r="E739" s="132"/>
      <c r="F739" s="131"/>
      <c r="G739" s="131"/>
      <c r="H739" s="131"/>
      <c r="I739" s="131"/>
      <c r="J739" s="219"/>
      <c r="K739" s="198"/>
      <c r="L739" s="131"/>
      <c r="M739" s="142"/>
      <c r="N739" s="131"/>
      <c r="O739" s="131"/>
      <c r="P739" s="131"/>
      <c r="Q739" s="131"/>
      <c r="R739" s="131"/>
      <c r="S739" s="131"/>
      <c r="T739" s="131"/>
      <c r="U739" s="131"/>
      <c r="V739" s="131"/>
      <c r="W739" s="131"/>
      <c r="X739" s="131"/>
      <c r="Y739" s="131"/>
      <c r="Z739" s="131"/>
      <c r="AA739" s="131"/>
      <c r="AB739" s="330"/>
      <c r="AC739" s="331"/>
      <c r="AD739" s="332"/>
      <c r="AE739" s="131"/>
      <c r="AF739" s="131"/>
      <c r="AG739" s="131"/>
      <c r="AH739" s="131"/>
      <c r="AI739" s="131"/>
      <c r="AJ739" s="131"/>
      <c r="AK739" s="131"/>
      <c r="AL739" s="131"/>
      <c r="AM739" s="131"/>
      <c r="AN739" s="131"/>
      <c r="AO739" s="142"/>
      <c r="AP739" s="131"/>
    </row>
    <row r="740" ht="13.5" customHeight="1">
      <c r="A740" s="142"/>
      <c r="B740" s="142"/>
      <c r="C740" s="142"/>
      <c r="D740" s="142"/>
      <c r="E740" s="132"/>
      <c r="F740" s="131"/>
      <c r="G740" s="131"/>
      <c r="H740" s="131"/>
      <c r="I740" s="131"/>
      <c r="J740" s="219"/>
      <c r="K740" s="198"/>
      <c r="L740" s="131"/>
      <c r="M740" s="142"/>
      <c r="N740" s="131"/>
      <c r="O740" s="131"/>
      <c r="P740" s="131"/>
      <c r="Q740" s="131"/>
      <c r="R740" s="131"/>
      <c r="S740" s="131"/>
      <c r="T740" s="131"/>
      <c r="U740" s="131"/>
      <c r="V740" s="131"/>
      <c r="W740" s="131"/>
      <c r="X740" s="131"/>
      <c r="Y740" s="131"/>
      <c r="Z740" s="131"/>
      <c r="AA740" s="131"/>
      <c r="AB740" s="330"/>
      <c r="AC740" s="331"/>
      <c r="AD740" s="332"/>
      <c r="AE740" s="131"/>
      <c r="AF740" s="131"/>
      <c r="AG740" s="131"/>
      <c r="AH740" s="131"/>
      <c r="AI740" s="131"/>
      <c r="AJ740" s="131"/>
      <c r="AK740" s="131"/>
      <c r="AL740" s="131"/>
      <c r="AM740" s="131"/>
      <c r="AN740" s="131"/>
      <c r="AO740" s="142"/>
      <c r="AP740" s="131"/>
    </row>
    <row r="741" ht="13.5" customHeight="1">
      <c r="A741" s="142"/>
      <c r="B741" s="142"/>
      <c r="C741" s="142"/>
      <c r="D741" s="142"/>
      <c r="E741" s="132"/>
      <c r="F741" s="131"/>
      <c r="G741" s="131"/>
      <c r="H741" s="131"/>
      <c r="I741" s="131"/>
      <c r="J741" s="219"/>
      <c r="K741" s="198"/>
      <c r="L741" s="131"/>
      <c r="M741" s="142"/>
      <c r="N741" s="131"/>
      <c r="O741" s="131"/>
      <c r="P741" s="131"/>
      <c r="Q741" s="131"/>
      <c r="R741" s="131"/>
      <c r="S741" s="131"/>
      <c r="T741" s="131"/>
      <c r="U741" s="131"/>
      <c r="V741" s="131"/>
      <c r="W741" s="131"/>
      <c r="X741" s="131"/>
      <c r="Y741" s="131"/>
      <c r="Z741" s="131"/>
      <c r="AA741" s="131"/>
      <c r="AB741" s="330"/>
      <c r="AC741" s="331"/>
      <c r="AD741" s="332"/>
      <c r="AE741" s="131"/>
      <c r="AF741" s="131"/>
      <c r="AG741" s="131"/>
      <c r="AH741" s="131"/>
      <c r="AI741" s="131"/>
      <c r="AJ741" s="131"/>
      <c r="AK741" s="131"/>
      <c r="AL741" s="131"/>
      <c r="AM741" s="131"/>
      <c r="AN741" s="131"/>
      <c r="AO741" s="142"/>
      <c r="AP741" s="131"/>
    </row>
    <row r="742" ht="13.5" customHeight="1">
      <c r="A742" s="142"/>
      <c r="B742" s="142"/>
      <c r="C742" s="142"/>
      <c r="D742" s="142"/>
      <c r="E742" s="132"/>
      <c r="F742" s="131"/>
      <c r="G742" s="131"/>
      <c r="H742" s="131"/>
      <c r="I742" s="131"/>
      <c r="J742" s="219"/>
      <c r="K742" s="198"/>
      <c r="L742" s="131"/>
      <c r="M742" s="142"/>
      <c r="N742" s="131"/>
      <c r="O742" s="131"/>
      <c r="P742" s="131"/>
      <c r="Q742" s="131"/>
      <c r="R742" s="131"/>
      <c r="S742" s="131"/>
      <c r="T742" s="131"/>
      <c r="U742" s="131"/>
      <c r="V742" s="131"/>
      <c r="W742" s="131"/>
      <c r="X742" s="131"/>
      <c r="Y742" s="131"/>
      <c r="Z742" s="131"/>
      <c r="AA742" s="131"/>
      <c r="AB742" s="330"/>
      <c r="AC742" s="331"/>
      <c r="AD742" s="332"/>
      <c r="AE742" s="131"/>
      <c r="AF742" s="131"/>
      <c r="AG742" s="131"/>
      <c r="AH742" s="131"/>
      <c r="AI742" s="131"/>
      <c r="AJ742" s="131"/>
      <c r="AK742" s="131"/>
      <c r="AL742" s="131"/>
      <c r="AM742" s="131"/>
      <c r="AN742" s="131"/>
      <c r="AO742" s="142"/>
      <c r="AP742" s="131"/>
    </row>
    <row r="743" ht="13.5" customHeight="1">
      <c r="A743" s="142"/>
      <c r="B743" s="142"/>
      <c r="C743" s="142"/>
      <c r="D743" s="142"/>
      <c r="E743" s="132"/>
      <c r="F743" s="131"/>
      <c r="G743" s="131"/>
      <c r="H743" s="131"/>
      <c r="I743" s="131"/>
      <c r="J743" s="219"/>
      <c r="K743" s="198"/>
      <c r="L743" s="131"/>
      <c r="M743" s="142"/>
      <c r="N743" s="131"/>
      <c r="O743" s="131"/>
      <c r="P743" s="131"/>
      <c r="Q743" s="131"/>
      <c r="R743" s="131"/>
      <c r="S743" s="131"/>
      <c r="T743" s="131"/>
      <c r="U743" s="131"/>
      <c r="V743" s="131"/>
      <c r="W743" s="131"/>
      <c r="X743" s="131"/>
      <c r="Y743" s="131"/>
      <c r="Z743" s="131"/>
      <c r="AA743" s="131"/>
      <c r="AB743" s="330"/>
      <c r="AC743" s="331"/>
      <c r="AD743" s="332"/>
      <c r="AE743" s="131"/>
      <c r="AF743" s="131"/>
      <c r="AG743" s="131"/>
      <c r="AH743" s="131"/>
      <c r="AI743" s="131"/>
      <c r="AJ743" s="131"/>
      <c r="AK743" s="131"/>
      <c r="AL743" s="131"/>
      <c r="AM743" s="131"/>
      <c r="AN743" s="131"/>
      <c r="AO743" s="142"/>
      <c r="AP743" s="131"/>
    </row>
    <row r="744" ht="13.5" customHeight="1">
      <c r="A744" s="142"/>
      <c r="B744" s="142"/>
      <c r="C744" s="142"/>
      <c r="D744" s="142"/>
      <c r="E744" s="132"/>
      <c r="F744" s="131"/>
      <c r="G744" s="131"/>
      <c r="H744" s="131"/>
      <c r="I744" s="131"/>
      <c r="J744" s="219"/>
      <c r="K744" s="198"/>
      <c r="L744" s="131"/>
      <c r="M744" s="142"/>
      <c r="N744" s="131"/>
      <c r="O744" s="131"/>
      <c r="P744" s="131"/>
      <c r="Q744" s="131"/>
      <c r="R744" s="131"/>
      <c r="S744" s="131"/>
      <c r="T744" s="131"/>
      <c r="U744" s="131"/>
      <c r="V744" s="131"/>
      <c r="W744" s="131"/>
      <c r="X744" s="131"/>
      <c r="Y744" s="131"/>
      <c r="Z744" s="131"/>
      <c r="AA744" s="131"/>
      <c r="AB744" s="330"/>
      <c r="AC744" s="331"/>
      <c r="AD744" s="332"/>
      <c r="AE744" s="131"/>
      <c r="AF744" s="131"/>
      <c r="AG744" s="131"/>
      <c r="AH744" s="131"/>
      <c r="AI744" s="131"/>
      <c r="AJ744" s="131"/>
      <c r="AK744" s="131"/>
      <c r="AL744" s="131"/>
      <c r="AM744" s="131"/>
      <c r="AN744" s="131"/>
      <c r="AO744" s="142"/>
      <c r="AP744" s="131"/>
    </row>
    <row r="745" ht="13.5" customHeight="1">
      <c r="A745" s="142"/>
      <c r="B745" s="142"/>
      <c r="C745" s="142"/>
      <c r="D745" s="142"/>
      <c r="E745" s="132"/>
      <c r="F745" s="131"/>
      <c r="G745" s="131"/>
      <c r="H745" s="131"/>
      <c r="I745" s="131"/>
      <c r="J745" s="219"/>
      <c r="K745" s="198"/>
      <c r="L745" s="131"/>
      <c r="M745" s="142"/>
      <c r="N745" s="131"/>
      <c r="O745" s="131"/>
      <c r="P745" s="131"/>
      <c r="Q745" s="131"/>
      <c r="R745" s="131"/>
      <c r="S745" s="131"/>
      <c r="T745" s="131"/>
      <c r="U745" s="131"/>
      <c r="V745" s="131"/>
      <c r="W745" s="131"/>
      <c r="X745" s="131"/>
      <c r="Y745" s="131"/>
      <c r="Z745" s="131"/>
      <c r="AA745" s="131"/>
      <c r="AB745" s="330"/>
      <c r="AC745" s="331"/>
      <c r="AD745" s="332"/>
      <c r="AE745" s="131"/>
      <c r="AF745" s="131"/>
      <c r="AG745" s="131"/>
      <c r="AH745" s="131"/>
      <c r="AI745" s="131"/>
      <c r="AJ745" s="131"/>
      <c r="AK745" s="131"/>
      <c r="AL745" s="131"/>
      <c r="AM745" s="131"/>
      <c r="AN745" s="131"/>
      <c r="AO745" s="142"/>
      <c r="AP745" s="131"/>
    </row>
    <row r="746" ht="13.5" customHeight="1">
      <c r="A746" s="142"/>
      <c r="B746" s="142"/>
      <c r="C746" s="142"/>
      <c r="D746" s="142"/>
      <c r="E746" s="132"/>
      <c r="F746" s="131"/>
      <c r="G746" s="131"/>
      <c r="H746" s="131"/>
      <c r="I746" s="131"/>
      <c r="J746" s="219"/>
      <c r="K746" s="198"/>
      <c r="L746" s="131"/>
      <c r="M746" s="142"/>
      <c r="N746" s="131"/>
      <c r="O746" s="131"/>
      <c r="P746" s="131"/>
      <c r="Q746" s="131"/>
      <c r="R746" s="131"/>
      <c r="S746" s="131"/>
      <c r="T746" s="131"/>
      <c r="U746" s="131"/>
      <c r="V746" s="131"/>
      <c r="W746" s="131"/>
      <c r="X746" s="131"/>
      <c r="Y746" s="131"/>
      <c r="Z746" s="131"/>
      <c r="AA746" s="131"/>
      <c r="AB746" s="330"/>
      <c r="AC746" s="331"/>
      <c r="AD746" s="332"/>
      <c r="AE746" s="131"/>
      <c r="AF746" s="131"/>
      <c r="AG746" s="131"/>
      <c r="AH746" s="131"/>
      <c r="AI746" s="131"/>
      <c r="AJ746" s="131"/>
      <c r="AK746" s="131"/>
      <c r="AL746" s="131"/>
      <c r="AM746" s="131"/>
      <c r="AN746" s="131"/>
      <c r="AO746" s="142"/>
      <c r="AP746" s="131"/>
    </row>
    <row r="747" ht="13.5" customHeight="1">
      <c r="A747" s="142"/>
      <c r="B747" s="142"/>
      <c r="C747" s="142"/>
      <c r="D747" s="142"/>
      <c r="E747" s="132"/>
      <c r="F747" s="131"/>
      <c r="G747" s="131"/>
      <c r="H747" s="131"/>
      <c r="I747" s="131"/>
      <c r="J747" s="219"/>
      <c r="K747" s="198"/>
      <c r="L747" s="131"/>
      <c r="M747" s="142"/>
      <c r="N747" s="131"/>
      <c r="O747" s="131"/>
      <c r="P747" s="131"/>
      <c r="Q747" s="131"/>
      <c r="R747" s="131"/>
      <c r="S747" s="131"/>
      <c r="T747" s="131"/>
      <c r="U747" s="131"/>
      <c r="V747" s="131"/>
      <c r="W747" s="131"/>
      <c r="X747" s="131"/>
      <c r="Y747" s="131"/>
      <c r="Z747" s="131"/>
      <c r="AA747" s="131"/>
      <c r="AB747" s="330"/>
      <c r="AC747" s="331"/>
      <c r="AD747" s="332"/>
      <c r="AE747" s="131"/>
      <c r="AF747" s="131"/>
      <c r="AG747" s="131"/>
      <c r="AH747" s="131"/>
      <c r="AI747" s="131"/>
      <c r="AJ747" s="131"/>
      <c r="AK747" s="131"/>
      <c r="AL747" s="131"/>
      <c r="AM747" s="131"/>
      <c r="AN747" s="131"/>
      <c r="AO747" s="142"/>
      <c r="AP747" s="131"/>
    </row>
    <row r="748" ht="13.5" customHeight="1">
      <c r="A748" s="142"/>
      <c r="B748" s="142"/>
      <c r="C748" s="142"/>
      <c r="D748" s="142"/>
      <c r="E748" s="132"/>
      <c r="F748" s="131"/>
      <c r="G748" s="131"/>
      <c r="H748" s="131"/>
      <c r="I748" s="131"/>
      <c r="J748" s="219"/>
      <c r="K748" s="198"/>
      <c r="L748" s="131"/>
      <c r="M748" s="142"/>
      <c r="N748" s="131"/>
      <c r="O748" s="131"/>
      <c r="P748" s="131"/>
      <c r="Q748" s="131"/>
      <c r="R748" s="131"/>
      <c r="S748" s="131"/>
      <c r="T748" s="131"/>
      <c r="U748" s="131"/>
      <c r="V748" s="131"/>
      <c r="W748" s="131"/>
      <c r="X748" s="131"/>
      <c r="Y748" s="131"/>
      <c r="Z748" s="131"/>
      <c r="AA748" s="131"/>
      <c r="AB748" s="330"/>
      <c r="AC748" s="331"/>
      <c r="AD748" s="332"/>
      <c r="AE748" s="131"/>
      <c r="AF748" s="131"/>
      <c r="AG748" s="131"/>
      <c r="AH748" s="131"/>
      <c r="AI748" s="131"/>
      <c r="AJ748" s="131"/>
      <c r="AK748" s="131"/>
      <c r="AL748" s="131"/>
      <c r="AM748" s="131"/>
      <c r="AN748" s="131"/>
      <c r="AO748" s="142"/>
      <c r="AP748" s="131"/>
    </row>
    <row r="749" ht="13.5" customHeight="1">
      <c r="A749" s="142"/>
      <c r="B749" s="142"/>
      <c r="C749" s="142"/>
      <c r="D749" s="142"/>
      <c r="E749" s="132"/>
      <c r="F749" s="131"/>
      <c r="G749" s="131"/>
      <c r="H749" s="131"/>
      <c r="I749" s="131"/>
      <c r="J749" s="219"/>
      <c r="K749" s="198"/>
      <c r="L749" s="131"/>
      <c r="M749" s="142"/>
      <c r="N749" s="131"/>
      <c r="O749" s="131"/>
      <c r="P749" s="131"/>
      <c r="Q749" s="131"/>
      <c r="R749" s="131"/>
      <c r="S749" s="131"/>
      <c r="T749" s="131"/>
      <c r="U749" s="131"/>
      <c r="V749" s="131"/>
      <c r="W749" s="131"/>
      <c r="X749" s="131"/>
      <c r="Y749" s="131"/>
      <c r="Z749" s="131"/>
      <c r="AA749" s="131"/>
      <c r="AB749" s="330"/>
      <c r="AC749" s="331"/>
      <c r="AD749" s="332"/>
      <c r="AE749" s="131"/>
      <c r="AF749" s="131"/>
      <c r="AG749" s="131"/>
      <c r="AH749" s="131"/>
      <c r="AI749" s="131"/>
      <c r="AJ749" s="131"/>
      <c r="AK749" s="131"/>
      <c r="AL749" s="131"/>
      <c r="AM749" s="131"/>
      <c r="AN749" s="131"/>
      <c r="AO749" s="142"/>
      <c r="AP749" s="131"/>
    </row>
    <row r="750" ht="13.5" customHeight="1">
      <c r="A750" s="142"/>
      <c r="B750" s="142"/>
      <c r="C750" s="142"/>
      <c r="D750" s="142"/>
      <c r="E750" s="132"/>
      <c r="F750" s="131"/>
      <c r="G750" s="131"/>
      <c r="H750" s="131"/>
      <c r="I750" s="131"/>
      <c r="J750" s="219"/>
      <c r="K750" s="198"/>
      <c r="L750" s="131"/>
      <c r="M750" s="142"/>
      <c r="N750" s="131"/>
      <c r="O750" s="131"/>
      <c r="P750" s="131"/>
      <c r="Q750" s="131"/>
      <c r="R750" s="131"/>
      <c r="S750" s="131"/>
      <c r="T750" s="131"/>
      <c r="U750" s="131"/>
      <c r="V750" s="131"/>
      <c r="W750" s="131"/>
      <c r="X750" s="131"/>
      <c r="Y750" s="131"/>
      <c r="Z750" s="131"/>
      <c r="AA750" s="131"/>
      <c r="AB750" s="330"/>
      <c r="AC750" s="331"/>
      <c r="AD750" s="332"/>
      <c r="AE750" s="131"/>
      <c r="AF750" s="131"/>
      <c r="AG750" s="131"/>
      <c r="AH750" s="131"/>
      <c r="AI750" s="131"/>
      <c r="AJ750" s="131"/>
      <c r="AK750" s="131"/>
      <c r="AL750" s="131"/>
      <c r="AM750" s="131"/>
      <c r="AN750" s="131"/>
      <c r="AO750" s="142"/>
      <c r="AP750" s="131"/>
    </row>
    <row r="751" ht="13.5" customHeight="1">
      <c r="A751" s="142"/>
      <c r="B751" s="142"/>
      <c r="C751" s="142"/>
      <c r="D751" s="142"/>
      <c r="E751" s="132"/>
      <c r="F751" s="131"/>
      <c r="G751" s="131"/>
      <c r="H751" s="131"/>
      <c r="I751" s="131"/>
      <c r="J751" s="219"/>
      <c r="K751" s="198"/>
      <c r="L751" s="131"/>
      <c r="M751" s="142"/>
      <c r="N751" s="131"/>
      <c r="O751" s="131"/>
      <c r="P751" s="131"/>
      <c r="Q751" s="131"/>
      <c r="R751" s="131"/>
      <c r="S751" s="131"/>
      <c r="T751" s="131"/>
      <c r="U751" s="131"/>
      <c r="V751" s="131"/>
      <c r="W751" s="131"/>
      <c r="X751" s="131"/>
      <c r="Y751" s="131"/>
      <c r="Z751" s="131"/>
      <c r="AA751" s="131"/>
      <c r="AB751" s="330"/>
      <c r="AC751" s="331"/>
      <c r="AD751" s="332"/>
      <c r="AE751" s="131"/>
      <c r="AF751" s="131"/>
      <c r="AG751" s="131"/>
      <c r="AH751" s="131"/>
      <c r="AI751" s="131"/>
      <c r="AJ751" s="131"/>
      <c r="AK751" s="131"/>
      <c r="AL751" s="131"/>
      <c r="AM751" s="131"/>
      <c r="AN751" s="131"/>
      <c r="AO751" s="142"/>
      <c r="AP751" s="131"/>
    </row>
    <row r="752" ht="13.5" customHeight="1">
      <c r="A752" s="142"/>
      <c r="B752" s="142"/>
      <c r="C752" s="142"/>
      <c r="D752" s="142"/>
      <c r="E752" s="132"/>
      <c r="F752" s="131"/>
      <c r="G752" s="131"/>
      <c r="H752" s="131"/>
      <c r="I752" s="131"/>
      <c r="J752" s="219"/>
      <c r="K752" s="198"/>
      <c r="L752" s="131"/>
      <c r="M752" s="142"/>
      <c r="N752" s="131"/>
      <c r="O752" s="131"/>
      <c r="P752" s="131"/>
      <c r="Q752" s="131"/>
      <c r="R752" s="131"/>
      <c r="S752" s="131"/>
      <c r="T752" s="131"/>
      <c r="U752" s="131"/>
      <c r="V752" s="131"/>
      <c r="W752" s="131"/>
      <c r="X752" s="131"/>
      <c r="Y752" s="131"/>
      <c r="Z752" s="131"/>
      <c r="AA752" s="131"/>
      <c r="AB752" s="330"/>
      <c r="AC752" s="331"/>
      <c r="AD752" s="332"/>
      <c r="AE752" s="131"/>
      <c r="AF752" s="131"/>
      <c r="AG752" s="131"/>
      <c r="AH752" s="131"/>
      <c r="AI752" s="131"/>
      <c r="AJ752" s="131"/>
      <c r="AK752" s="131"/>
      <c r="AL752" s="131"/>
      <c r="AM752" s="131"/>
      <c r="AN752" s="131"/>
      <c r="AO752" s="142"/>
      <c r="AP752" s="131"/>
    </row>
    <row r="753" ht="13.5" customHeight="1">
      <c r="A753" s="142"/>
      <c r="B753" s="142"/>
      <c r="C753" s="142"/>
      <c r="D753" s="142"/>
      <c r="E753" s="132"/>
      <c r="F753" s="131"/>
      <c r="G753" s="131"/>
      <c r="H753" s="131"/>
      <c r="I753" s="131"/>
      <c r="J753" s="219"/>
      <c r="K753" s="198"/>
      <c r="L753" s="131"/>
      <c r="M753" s="142"/>
      <c r="N753" s="131"/>
      <c r="O753" s="131"/>
      <c r="P753" s="131"/>
      <c r="Q753" s="131"/>
      <c r="R753" s="131"/>
      <c r="S753" s="131"/>
      <c r="T753" s="131"/>
      <c r="U753" s="131"/>
      <c r="V753" s="131"/>
      <c r="W753" s="131"/>
      <c r="X753" s="131"/>
      <c r="Y753" s="131"/>
      <c r="Z753" s="131"/>
      <c r="AA753" s="131"/>
      <c r="AB753" s="330"/>
      <c r="AC753" s="331"/>
      <c r="AD753" s="332"/>
      <c r="AE753" s="131"/>
      <c r="AF753" s="131"/>
      <c r="AG753" s="131"/>
      <c r="AH753" s="131"/>
      <c r="AI753" s="131"/>
      <c r="AJ753" s="131"/>
      <c r="AK753" s="131"/>
      <c r="AL753" s="131"/>
      <c r="AM753" s="131"/>
      <c r="AN753" s="131"/>
      <c r="AO753" s="142"/>
      <c r="AP753" s="131"/>
    </row>
    <row r="754" ht="13.5" customHeight="1">
      <c r="A754" s="142"/>
      <c r="B754" s="142"/>
      <c r="C754" s="142"/>
      <c r="D754" s="142"/>
      <c r="E754" s="132"/>
      <c r="F754" s="131"/>
      <c r="G754" s="131"/>
      <c r="H754" s="131"/>
      <c r="I754" s="131"/>
      <c r="J754" s="219"/>
      <c r="K754" s="198"/>
      <c r="L754" s="131"/>
      <c r="M754" s="142"/>
      <c r="N754" s="131"/>
      <c r="O754" s="131"/>
      <c r="P754" s="131"/>
      <c r="Q754" s="131"/>
      <c r="R754" s="131"/>
      <c r="S754" s="131"/>
      <c r="T754" s="131"/>
      <c r="U754" s="131"/>
      <c r="V754" s="131"/>
      <c r="W754" s="131"/>
      <c r="X754" s="131"/>
      <c r="Y754" s="131"/>
      <c r="Z754" s="131"/>
      <c r="AA754" s="131"/>
      <c r="AB754" s="330"/>
      <c r="AC754" s="331"/>
      <c r="AD754" s="332"/>
      <c r="AE754" s="131"/>
      <c r="AF754" s="131"/>
      <c r="AG754" s="131"/>
      <c r="AH754" s="131"/>
      <c r="AI754" s="131"/>
      <c r="AJ754" s="131"/>
      <c r="AK754" s="131"/>
      <c r="AL754" s="131"/>
      <c r="AM754" s="131"/>
      <c r="AN754" s="131"/>
      <c r="AO754" s="142"/>
      <c r="AP754" s="131"/>
    </row>
    <row r="755" ht="13.5" customHeight="1">
      <c r="A755" s="142"/>
      <c r="B755" s="142"/>
      <c r="C755" s="142"/>
      <c r="D755" s="142"/>
      <c r="E755" s="132"/>
      <c r="F755" s="131"/>
      <c r="G755" s="131"/>
      <c r="H755" s="131"/>
      <c r="I755" s="131"/>
      <c r="J755" s="219"/>
      <c r="K755" s="198"/>
      <c r="L755" s="131"/>
      <c r="M755" s="142"/>
      <c r="N755" s="131"/>
      <c r="O755" s="131"/>
      <c r="P755" s="131"/>
      <c r="Q755" s="131"/>
      <c r="R755" s="131"/>
      <c r="S755" s="131"/>
      <c r="T755" s="131"/>
      <c r="U755" s="131"/>
      <c r="V755" s="131"/>
      <c r="W755" s="131"/>
      <c r="X755" s="131"/>
      <c r="Y755" s="131"/>
      <c r="Z755" s="131"/>
      <c r="AA755" s="131"/>
      <c r="AB755" s="330"/>
      <c r="AC755" s="331"/>
      <c r="AD755" s="332"/>
      <c r="AE755" s="131"/>
      <c r="AF755" s="131"/>
      <c r="AG755" s="131"/>
      <c r="AH755" s="131"/>
      <c r="AI755" s="131"/>
      <c r="AJ755" s="131"/>
      <c r="AK755" s="131"/>
      <c r="AL755" s="131"/>
      <c r="AM755" s="131"/>
      <c r="AN755" s="131"/>
      <c r="AO755" s="142"/>
      <c r="AP755" s="131"/>
    </row>
    <row r="756" ht="13.5" customHeight="1">
      <c r="A756" s="142"/>
      <c r="B756" s="142"/>
      <c r="C756" s="142"/>
      <c r="D756" s="142"/>
      <c r="E756" s="132"/>
      <c r="F756" s="131"/>
      <c r="G756" s="131"/>
      <c r="H756" s="131"/>
      <c r="I756" s="131"/>
      <c r="J756" s="219"/>
      <c r="K756" s="198"/>
      <c r="L756" s="131"/>
      <c r="M756" s="142"/>
      <c r="N756" s="131"/>
      <c r="O756" s="131"/>
      <c r="P756" s="131"/>
      <c r="Q756" s="131"/>
      <c r="R756" s="131"/>
      <c r="S756" s="131"/>
      <c r="T756" s="131"/>
      <c r="U756" s="131"/>
      <c r="V756" s="131"/>
      <c r="W756" s="131"/>
      <c r="X756" s="131"/>
      <c r="Y756" s="131"/>
      <c r="Z756" s="131"/>
      <c r="AA756" s="131"/>
      <c r="AB756" s="330"/>
      <c r="AC756" s="331"/>
      <c r="AD756" s="332"/>
      <c r="AE756" s="131"/>
      <c r="AF756" s="131"/>
      <c r="AG756" s="131"/>
      <c r="AH756" s="131"/>
      <c r="AI756" s="131"/>
      <c r="AJ756" s="131"/>
      <c r="AK756" s="131"/>
      <c r="AL756" s="131"/>
      <c r="AM756" s="131"/>
      <c r="AN756" s="131"/>
      <c r="AO756" s="142"/>
      <c r="AP756" s="131"/>
    </row>
    <row r="757" ht="13.5" customHeight="1">
      <c r="A757" s="142"/>
      <c r="B757" s="142"/>
      <c r="C757" s="142"/>
      <c r="D757" s="142"/>
      <c r="E757" s="132"/>
      <c r="F757" s="131"/>
      <c r="G757" s="131"/>
      <c r="H757" s="131"/>
      <c r="I757" s="131"/>
      <c r="J757" s="219"/>
      <c r="K757" s="198"/>
      <c r="L757" s="131"/>
      <c r="M757" s="142"/>
      <c r="N757" s="131"/>
      <c r="O757" s="131"/>
      <c r="P757" s="131"/>
      <c r="Q757" s="131"/>
      <c r="R757" s="131"/>
      <c r="S757" s="131"/>
      <c r="T757" s="131"/>
      <c r="U757" s="131"/>
      <c r="V757" s="131"/>
      <c r="W757" s="131"/>
      <c r="X757" s="131"/>
      <c r="Y757" s="131"/>
      <c r="Z757" s="131"/>
      <c r="AA757" s="131"/>
      <c r="AB757" s="330"/>
      <c r="AC757" s="331"/>
      <c r="AD757" s="332"/>
      <c r="AE757" s="131"/>
      <c r="AF757" s="131"/>
      <c r="AG757" s="131"/>
      <c r="AH757" s="131"/>
      <c r="AI757" s="131"/>
      <c r="AJ757" s="131"/>
      <c r="AK757" s="131"/>
      <c r="AL757" s="131"/>
      <c r="AM757" s="131"/>
      <c r="AN757" s="131"/>
      <c r="AO757" s="142"/>
      <c r="AP757" s="131"/>
    </row>
    <row r="758" ht="13.5" customHeight="1">
      <c r="A758" s="142"/>
      <c r="B758" s="142"/>
      <c r="C758" s="142"/>
      <c r="D758" s="142"/>
      <c r="E758" s="132"/>
      <c r="F758" s="131"/>
      <c r="G758" s="131"/>
      <c r="H758" s="131"/>
      <c r="I758" s="131"/>
      <c r="J758" s="219"/>
      <c r="K758" s="198"/>
      <c r="L758" s="131"/>
      <c r="M758" s="142"/>
      <c r="N758" s="131"/>
      <c r="O758" s="131"/>
      <c r="P758" s="131"/>
      <c r="Q758" s="131"/>
      <c r="R758" s="131"/>
      <c r="S758" s="131"/>
      <c r="T758" s="131"/>
      <c r="U758" s="131"/>
      <c r="V758" s="131"/>
      <c r="W758" s="131"/>
      <c r="X758" s="131"/>
      <c r="Y758" s="131"/>
      <c r="Z758" s="131"/>
      <c r="AA758" s="131"/>
      <c r="AB758" s="330"/>
      <c r="AC758" s="331"/>
      <c r="AD758" s="332"/>
      <c r="AE758" s="131"/>
      <c r="AF758" s="131"/>
      <c r="AG758" s="131"/>
      <c r="AH758" s="131"/>
      <c r="AI758" s="131"/>
      <c r="AJ758" s="131"/>
      <c r="AK758" s="131"/>
      <c r="AL758" s="131"/>
      <c r="AM758" s="131"/>
      <c r="AN758" s="131"/>
      <c r="AO758" s="142"/>
      <c r="AP758" s="131"/>
    </row>
    <row r="759" ht="13.5" customHeight="1">
      <c r="A759" s="142"/>
      <c r="B759" s="142"/>
      <c r="C759" s="142"/>
      <c r="D759" s="142"/>
      <c r="E759" s="132"/>
      <c r="F759" s="131"/>
      <c r="G759" s="131"/>
      <c r="H759" s="131"/>
      <c r="I759" s="131"/>
      <c r="J759" s="219"/>
      <c r="K759" s="198"/>
      <c r="L759" s="131"/>
      <c r="M759" s="142"/>
      <c r="N759" s="131"/>
      <c r="O759" s="131"/>
      <c r="P759" s="131"/>
      <c r="Q759" s="131"/>
      <c r="R759" s="131"/>
      <c r="S759" s="131"/>
      <c r="T759" s="131"/>
      <c r="U759" s="131"/>
      <c r="V759" s="131"/>
      <c r="W759" s="131"/>
      <c r="X759" s="131"/>
      <c r="Y759" s="131"/>
      <c r="Z759" s="131"/>
      <c r="AA759" s="131"/>
      <c r="AB759" s="330"/>
      <c r="AC759" s="331"/>
      <c r="AD759" s="332"/>
      <c r="AE759" s="131"/>
      <c r="AF759" s="131"/>
      <c r="AG759" s="131"/>
      <c r="AH759" s="131"/>
      <c r="AI759" s="131"/>
      <c r="AJ759" s="131"/>
      <c r="AK759" s="131"/>
      <c r="AL759" s="131"/>
      <c r="AM759" s="131"/>
      <c r="AN759" s="131"/>
      <c r="AO759" s="142"/>
      <c r="AP759" s="131"/>
    </row>
    <row r="760" ht="13.5" customHeight="1">
      <c r="A760" s="142"/>
      <c r="B760" s="142"/>
      <c r="C760" s="142"/>
      <c r="D760" s="142"/>
      <c r="E760" s="132"/>
      <c r="F760" s="131"/>
      <c r="G760" s="131"/>
      <c r="H760" s="131"/>
      <c r="I760" s="131"/>
      <c r="J760" s="219"/>
      <c r="K760" s="198"/>
      <c r="L760" s="131"/>
      <c r="M760" s="142"/>
      <c r="N760" s="131"/>
      <c r="O760" s="131"/>
      <c r="P760" s="131"/>
      <c r="Q760" s="131"/>
      <c r="R760" s="131"/>
      <c r="S760" s="131"/>
      <c r="T760" s="131"/>
      <c r="U760" s="131"/>
      <c r="V760" s="131"/>
      <c r="W760" s="131"/>
      <c r="X760" s="131"/>
      <c r="Y760" s="131"/>
      <c r="Z760" s="131"/>
      <c r="AA760" s="131"/>
      <c r="AB760" s="330"/>
      <c r="AC760" s="331"/>
      <c r="AD760" s="332"/>
      <c r="AE760" s="131"/>
      <c r="AF760" s="131"/>
      <c r="AG760" s="131"/>
      <c r="AH760" s="131"/>
      <c r="AI760" s="131"/>
      <c r="AJ760" s="131"/>
      <c r="AK760" s="131"/>
      <c r="AL760" s="131"/>
      <c r="AM760" s="131"/>
      <c r="AN760" s="131"/>
      <c r="AO760" s="142"/>
      <c r="AP760" s="131"/>
    </row>
    <row r="761" ht="13.5" customHeight="1">
      <c r="A761" s="142"/>
      <c r="B761" s="142"/>
      <c r="C761" s="142"/>
      <c r="D761" s="142"/>
      <c r="E761" s="132"/>
      <c r="F761" s="131"/>
      <c r="G761" s="131"/>
      <c r="H761" s="131"/>
      <c r="I761" s="131"/>
      <c r="J761" s="219"/>
      <c r="K761" s="198"/>
      <c r="L761" s="131"/>
      <c r="M761" s="142"/>
      <c r="N761" s="131"/>
      <c r="O761" s="131"/>
      <c r="P761" s="131"/>
      <c r="Q761" s="131"/>
      <c r="R761" s="131"/>
      <c r="S761" s="131"/>
      <c r="T761" s="131"/>
      <c r="U761" s="131"/>
      <c r="V761" s="131"/>
      <c r="W761" s="131"/>
      <c r="X761" s="131"/>
      <c r="Y761" s="131"/>
      <c r="Z761" s="131"/>
      <c r="AA761" s="131"/>
      <c r="AB761" s="330"/>
      <c r="AC761" s="331"/>
      <c r="AD761" s="332"/>
      <c r="AE761" s="131"/>
      <c r="AF761" s="131"/>
      <c r="AG761" s="131"/>
      <c r="AH761" s="131"/>
      <c r="AI761" s="131"/>
      <c r="AJ761" s="131"/>
      <c r="AK761" s="131"/>
      <c r="AL761" s="131"/>
      <c r="AM761" s="131"/>
      <c r="AN761" s="131"/>
      <c r="AO761" s="142"/>
      <c r="AP761" s="131"/>
    </row>
    <row r="762" ht="13.5" customHeight="1">
      <c r="A762" s="142"/>
      <c r="B762" s="142"/>
      <c r="C762" s="142"/>
      <c r="D762" s="142"/>
      <c r="E762" s="132"/>
      <c r="F762" s="131"/>
      <c r="G762" s="131"/>
      <c r="H762" s="131"/>
      <c r="I762" s="131"/>
      <c r="J762" s="219"/>
      <c r="K762" s="198"/>
      <c r="L762" s="131"/>
      <c r="M762" s="142"/>
      <c r="N762" s="131"/>
      <c r="O762" s="131"/>
      <c r="P762" s="131"/>
      <c r="Q762" s="131"/>
      <c r="R762" s="131"/>
      <c r="S762" s="131"/>
      <c r="T762" s="131"/>
      <c r="U762" s="131"/>
      <c r="V762" s="131"/>
      <c r="W762" s="131"/>
      <c r="X762" s="131"/>
      <c r="Y762" s="131"/>
      <c r="Z762" s="131"/>
      <c r="AA762" s="131"/>
      <c r="AB762" s="330"/>
      <c r="AC762" s="331"/>
      <c r="AD762" s="332"/>
      <c r="AE762" s="131"/>
      <c r="AF762" s="131"/>
      <c r="AG762" s="131"/>
      <c r="AH762" s="131"/>
      <c r="AI762" s="131"/>
      <c r="AJ762" s="131"/>
      <c r="AK762" s="131"/>
      <c r="AL762" s="131"/>
      <c r="AM762" s="131"/>
      <c r="AN762" s="131"/>
      <c r="AO762" s="142"/>
      <c r="AP762" s="131"/>
    </row>
    <row r="763" ht="13.5" customHeight="1">
      <c r="A763" s="142"/>
      <c r="B763" s="142"/>
      <c r="C763" s="142"/>
      <c r="D763" s="142"/>
      <c r="E763" s="132"/>
      <c r="F763" s="131"/>
      <c r="G763" s="131"/>
      <c r="H763" s="131"/>
      <c r="I763" s="131"/>
      <c r="J763" s="219"/>
      <c r="K763" s="198"/>
      <c r="L763" s="131"/>
      <c r="M763" s="142"/>
      <c r="N763" s="131"/>
      <c r="O763" s="131"/>
      <c r="P763" s="131"/>
      <c r="Q763" s="131"/>
      <c r="R763" s="131"/>
      <c r="S763" s="131"/>
      <c r="T763" s="131"/>
      <c r="U763" s="131"/>
      <c r="V763" s="131"/>
      <c r="W763" s="131"/>
      <c r="X763" s="131"/>
      <c r="Y763" s="131"/>
      <c r="Z763" s="131"/>
      <c r="AA763" s="131"/>
      <c r="AB763" s="330"/>
      <c r="AC763" s="331"/>
      <c r="AD763" s="332"/>
      <c r="AE763" s="131"/>
      <c r="AF763" s="131"/>
      <c r="AG763" s="131"/>
      <c r="AH763" s="131"/>
      <c r="AI763" s="131"/>
      <c r="AJ763" s="131"/>
      <c r="AK763" s="131"/>
      <c r="AL763" s="131"/>
      <c r="AM763" s="131"/>
      <c r="AN763" s="131"/>
      <c r="AO763" s="142"/>
      <c r="AP763" s="131"/>
    </row>
    <row r="764" ht="13.5" customHeight="1">
      <c r="A764" s="142"/>
      <c r="B764" s="142"/>
      <c r="C764" s="142"/>
      <c r="D764" s="142"/>
      <c r="E764" s="132"/>
      <c r="F764" s="131"/>
      <c r="G764" s="131"/>
      <c r="H764" s="131"/>
      <c r="I764" s="131"/>
      <c r="J764" s="219"/>
      <c r="K764" s="198"/>
      <c r="L764" s="131"/>
      <c r="M764" s="142"/>
      <c r="N764" s="131"/>
      <c r="O764" s="131"/>
      <c r="P764" s="131"/>
      <c r="Q764" s="131"/>
      <c r="R764" s="131"/>
      <c r="S764" s="131"/>
      <c r="T764" s="131"/>
      <c r="U764" s="131"/>
      <c r="V764" s="131"/>
      <c r="W764" s="131"/>
      <c r="X764" s="131"/>
      <c r="Y764" s="131"/>
      <c r="Z764" s="131"/>
      <c r="AA764" s="131"/>
      <c r="AB764" s="330"/>
      <c r="AC764" s="331"/>
      <c r="AD764" s="332"/>
      <c r="AE764" s="131"/>
      <c r="AF764" s="131"/>
      <c r="AG764" s="131"/>
      <c r="AH764" s="131"/>
      <c r="AI764" s="131"/>
      <c r="AJ764" s="131"/>
      <c r="AK764" s="131"/>
      <c r="AL764" s="131"/>
      <c r="AM764" s="131"/>
      <c r="AN764" s="131"/>
      <c r="AO764" s="142"/>
      <c r="AP764" s="131"/>
    </row>
    <row r="765" ht="13.5" customHeight="1">
      <c r="A765" s="142"/>
      <c r="B765" s="142"/>
      <c r="C765" s="142"/>
      <c r="D765" s="142"/>
      <c r="E765" s="132"/>
      <c r="F765" s="131"/>
      <c r="G765" s="131"/>
      <c r="H765" s="131"/>
      <c r="I765" s="131"/>
      <c r="J765" s="219"/>
      <c r="K765" s="198"/>
      <c r="L765" s="131"/>
      <c r="M765" s="142"/>
      <c r="N765" s="131"/>
      <c r="O765" s="131"/>
      <c r="P765" s="131"/>
      <c r="Q765" s="131"/>
      <c r="R765" s="131"/>
      <c r="S765" s="131"/>
      <c r="T765" s="131"/>
      <c r="U765" s="131"/>
      <c r="V765" s="131"/>
      <c r="W765" s="131"/>
      <c r="X765" s="131"/>
      <c r="Y765" s="131"/>
      <c r="Z765" s="131"/>
      <c r="AA765" s="131"/>
      <c r="AB765" s="330"/>
      <c r="AC765" s="331"/>
      <c r="AD765" s="332"/>
      <c r="AE765" s="131"/>
      <c r="AF765" s="131"/>
      <c r="AG765" s="131"/>
      <c r="AH765" s="131"/>
      <c r="AI765" s="131"/>
      <c r="AJ765" s="131"/>
      <c r="AK765" s="131"/>
      <c r="AL765" s="131"/>
      <c r="AM765" s="131"/>
      <c r="AN765" s="131"/>
      <c r="AO765" s="142"/>
      <c r="AP765" s="131"/>
    </row>
    <row r="766" ht="13.5" customHeight="1">
      <c r="A766" s="142"/>
      <c r="B766" s="142"/>
      <c r="C766" s="142"/>
      <c r="D766" s="142"/>
      <c r="E766" s="132"/>
      <c r="F766" s="131"/>
      <c r="G766" s="131"/>
      <c r="H766" s="131"/>
      <c r="I766" s="131"/>
      <c r="J766" s="219"/>
      <c r="K766" s="198"/>
      <c r="L766" s="131"/>
      <c r="M766" s="142"/>
      <c r="N766" s="131"/>
      <c r="O766" s="131"/>
      <c r="P766" s="131"/>
      <c r="Q766" s="131"/>
      <c r="R766" s="131"/>
      <c r="S766" s="131"/>
      <c r="T766" s="131"/>
      <c r="U766" s="131"/>
      <c r="V766" s="131"/>
      <c r="W766" s="131"/>
      <c r="X766" s="131"/>
      <c r="Y766" s="131"/>
      <c r="Z766" s="131"/>
      <c r="AA766" s="131"/>
      <c r="AB766" s="330"/>
      <c r="AC766" s="331"/>
      <c r="AD766" s="332"/>
      <c r="AE766" s="131"/>
      <c r="AF766" s="131"/>
      <c r="AG766" s="131"/>
      <c r="AH766" s="131"/>
      <c r="AI766" s="131"/>
      <c r="AJ766" s="131"/>
      <c r="AK766" s="131"/>
      <c r="AL766" s="131"/>
      <c r="AM766" s="131"/>
      <c r="AN766" s="131"/>
      <c r="AO766" s="142"/>
      <c r="AP766" s="131"/>
    </row>
    <row r="767" ht="13.5" customHeight="1">
      <c r="A767" s="142"/>
      <c r="B767" s="142"/>
      <c r="C767" s="142"/>
      <c r="D767" s="142"/>
      <c r="E767" s="132"/>
      <c r="F767" s="131"/>
      <c r="G767" s="131"/>
      <c r="H767" s="131"/>
      <c r="I767" s="131"/>
      <c r="J767" s="219"/>
      <c r="K767" s="198"/>
      <c r="L767" s="131"/>
      <c r="M767" s="142"/>
      <c r="N767" s="131"/>
      <c r="O767" s="131"/>
      <c r="P767" s="131"/>
      <c r="Q767" s="131"/>
      <c r="R767" s="131"/>
      <c r="S767" s="131"/>
      <c r="T767" s="131"/>
      <c r="U767" s="131"/>
      <c r="V767" s="131"/>
      <c r="W767" s="131"/>
      <c r="X767" s="131"/>
      <c r="Y767" s="131"/>
      <c r="Z767" s="131"/>
      <c r="AA767" s="131"/>
      <c r="AB767" s="330"/>
      <c r="AC767" s="331"/>
      <c r="AD767" s="332"/>
      <c r="AE767" s="131"/>
      <c r="AF767" s="131"/>
      <c r="AG767" s="131"/>
      <c r="AH767" s="131"/>
      <c r="AI767" s="131"/>
      <c r="AJ767" s="131"/>
      <c r="AK767" s="131"/>
      <c r="AL767" s="131"/>
      <c r="AM767" s="131"/>
      <c r="AN767" s="131"/>
      <c r="AO767" s="142"/>
      <c r="AP767" s="131"/>
    </row>
    <row r="768" ht="13.5" customHeight="1">
      <c r="A768" s="142"/>
      <c r="B768" s="142"/>
      <c r="C768" s="142"/>
      <c r="D768" s="142"/>
      <c r="E768" s="132"/>
      <c r="F768" s="131"/>
      <c r="G768" s="131"/>
      <c r="H768" s="131"/>
      <c r="I768" s="131"/>
      <c r="J768" s="219"/>
      <c r="K768" s="198"/>
      <c r="L768" s="131"/>
      <c r="M768" s="142"/>
      <c r="N768" s="131"/>
      <c r="O768" s="131"/>
      <c r="P768" s="131"/>
      <c r="Q768" s="131"/>
      <c r="R768" s="131"/>
      <c r="S768" s="131"/>
      <c r="T768" s="131"/>
      <c r="U768" s="131"/>
      <c r="V768" s="131"/>
      <c r="W768" s="131"/>
      <c r="X768" s="131"/>
      <c r="Y768" s="131"/>
      <c r="Z768" s="131"/>
      <c r="AA768" s="131"/>
      <c r="AB768" s="330"/>
      <c r="AC768" s="331"/>
      <c r="AD768" s="332"/>
      <c r="AE768" s="131"/>
      <c r="AF768" s="131"/>
      <c r="AG768" s="131"/>
      <c r="AH768" s="131"/>
      <c r="AI768" s="131"/>
      <c r="AJ768" s="131"/>
      <c r="AK768" s="131"/>
      <c r="AL768" s="131"/>
      <c r="AM768" s="131"/>
      <c r="AN768" s="131"/>
      <c r="AO768" s="142"/>
      <c r="AP768" s="131"/>
    </row>
    <row r="769" ht="13.5" customHeight="1">
      <c r="A769" s="142"/>
      <c r="B769" s="142"/>
      <c r="C769" s="142"/>
      <c r="D769" s="142"/>
      <c r="E769" s="132"/>
      <c r="F769" s="131"/>
      <c r="G769" s="131"/>
      <c r="H769" s="131"/>
      <c r="I769" s="131"/>
      <c r="J769" s="219"/>
      <c r="K769" s="198"/>
      <c r="L769" s="131"/>
      <c r="M769" s="142"/>
      <c r="N769" s="131"/>
      <c r="O769" s="131"/>
      <c r="P769" s="131"/>
      <c r="Q769" s="131"/>
      <c r="R769" s="131"/>
      <c r="S769" s="131"/>
      <c r="T769" s="131"/>
      <c r="U769" s="131"/>
      <c r="V769" s="131"/>
      <c r="W769" s="131"/>
      <c r="X769" s="131"/>
      <c r="Y769" s="131"/>
      <c r="Z769" s="131"/>
      <c r="AA769" s="131"/>
      <c r="AB769" s="330"/>
      <c r="AC769" s="331"/>
      <c r="AD769" s="332"/>
      <c r="AE769" s="131"/>
      <c r="AF769" s="131"/>
      <c r="AG769" s="131"/>
      <c r="AH769" s="131"/>
      <c r="AI769" s="131"/>
      <c r="AJ769" s="131"/>
      <c r="AK769" s="131"/>
      <c r="AL769" s="131"/>
      <c r="AM769" s="131"/>
      <c r="AN769" s="131"/>
      <c r="AO769" s="142"/>
      <c r="AP769" s="131"/>
    </row>
    <row r="770" ht="13.5" customHeight="1">
      <c r="A770" s="142"/>
      <c r="B770" s="142"/>
      <c r="C770" s="142"/>
      <c r="D770" s="142"/>
      <c r="E770" s="132"/>
      <c r="F770" s="131"/>
      <c r="G770" s="131"/>
      <c r="H770" s="131"/>
      <c r="I770" s="131"/>
      <c r="J770" s="219"/>
      <c r="K770" s="198"/>
      <c r="L770" s="131"/>
      <c r="M770" s="142"/>
      <c r="N770" s="131"/>
      <c r="O770" s="131"/>
      <c r="P770" s="131"/>
      <c r="Q770" s="131"/>
      <c r="R770" s="131"/>
      <c r="S770" s="131"/>
      <c r="T770" s="131"/>
      <c r="U770" s="131"/>
      <c r="V770" s="131"/>
      <c r="W770" s="131"/>
      <c r="X770" s="131"/>
      <c r="Y770" s="131"/>
      <c r="Z770" s="131"/>
      <c r="AA770" s="131"/>
      <c r="AB770" s="330"/>
      <c r="AC770" s="331"/>
      <c r="AD770" s="332"/>
      <c r="AE770" s="131"/>
      <c r="AF770" s="131"/>
      <c r="AG770" s="131"/>
      <c r="AH770" s="131"/>
      <c r="AI770" s="131"/>
      <c r="AJ770" s="131"/>
      <c r="AK770" s="131"/>
      <c r="AL770" s="131"/>
      <c r="AM770" s="131"/>
      <c r="AN770" s="131"/>
      <c r="AO770" s="142"/>
      <c r="AP770" s="131"/>
    </row>
    <row r="771" ht="13.5" customHeight="1">
      <c r="A771" s="142"/>
      <c r="B771" s="142"/>
      <c r="C771" s="142"/>
      <c r="D771" s="142"/>
      <c r="E771" s="132"/>
      <c r="F771" s="131"/>
      <c r="G771" s="131"/>
      <c r="H771" s="131"/>
      <c r="I771" s="131"/>
      <c r="J771" s="219"/>
      <c r="K771" s="198"/>
      <c r="L771" s="131"/>
      <c r="M771" s="142"/>
      <c r="N771" s="131"/>
      <c r="O771" s="131"/>
      <c r="P771" s="131"/>
      <c r="Q771" s="131"/>
      <c r="R771" s="131"/>
      <c r="S771" s="131"/>
      <c r="T771" s="131"/>
      <c r="U771" s="131"/>
      <c r="V771" s="131"/>
      <c r="W771" s="131"/>
      <c r="X771" s="131"/>
      <c r="Y771" s="131"/>
      <c r="Z771" s="131"/>
      <c r="AA771" s="131"/>
      <c r="AB771" s="330"/>
      <c r="AC771" s="331"/>
      <c r="AD771" s="332"/>
      <c r="AE771" s="131"/>
      <c r="AF771" s="131"/>
      <c r="AG771" s="131"/>
      <c r="AH771" s="131"/>
      <c r="AI771" s="131"/>
      <c r="AJ771" s="131"/>
      <c r="AK771" s="131"/>
      <c r="AL771" s="131"/>
      <c r="AM771" s="131"/>
      <c r="AN771" s="131"/>
      <c r="AO771" s="142"/>
      <c r="AP771" s="131"/>
    </row>
    <row r="772" ht="13.5" customHeight="1">
      <c r="A772" s="142"/>
      <c r="B772" s="142"/>
      <c r="C772" s="142"/>
      <c r="D772" s="142"/>
      <c r="E772" s="132"/>
      <c r="F772" s="131"/>
      <c r="G772" s="131"/>
      <c r="H772" s="131"/>
      <c r="I772" s="131"/>
      <c r="J772" s="219"/>
      <c r="K772" s="198"/>
      <c r="L772" s="131"/>
      <c r="M772" s="142"/>
      <c r="N772" s="131"/>
      <c r="O772" s="131"/>
      <c r="P772" s="131"/>
      <c r="Q772" s="131"/>
      <c r="R772" s="131"/>
      <c r="S772" s="131"/>
      <c r="T772" s="131"/>
      <c r="U772" s="131"/>
      <c r="V772" s="131"/>
      <c r="W772" s="131"/>
      <c r="X772" s="131"/>
      <c r="Y772" s="131"/>
      <c r="Z772" s="131"/>
      <c r="AA772" s="131"/>
      <c r="AB772" s="330"/>
      <c r="AC772" s="331"/>
      <c r="AD772" s="332"/>
      <c r="AE772" s="131"/>
      <c r="AF772" s="131"/>
      <c r="AG772" s="131"/>
      <c r="AH772" s="131"/>
      <c r="AI772" s="131"/>
      <c r="AJ772" s="131"/>
      <c r="AK772" s="131"/>
      <c r="AL772" s="131"/>
      <c r="AM772" s="131"/>
      <c r="AN772" s="131"/>
      <c r="AO772" s="142"/>
      <c r="AP772" s="131"/>
    </row>
    <row r="773" ht="13.5" customHeight="1">
      <c r="A773" s="142"/>
      <c r="B773" s="142"/>
      <c r="C773" s="142"/>
      <c r="D773" s="142"/>
      <c r="E773" s="132"/>
      <c r="F773" s="131"/>
      <c r="G773" s="131"/>
      <c r="H773" s="131"/>
      <c r="I773" s="131"/>
      <c r="J773" s="219"/>
      <c r="K773" s="198"/>
      <c r="L773" s="131"/>
      <c r="M773" s="142"/>
      <c r="N773" s="131"/>
      <c r="O773" s="131"/>
      <c r="P773" s="131"/>
      <c r="Q773" s="131"/>
      <c r="R773" s="131"/>
      <c r="S773" s="131"/>
      <c r="T773" s="131"/>
      <c r="U773" s="131"/>
      <c r="V773" s="131"/>
      <c r="W773" s="131"/>
      <c r="X773" s="131"/>
      <c r="Y773" s="131"/>
      <c r="Z773" s="131"/>
      <c r="AA773" s="131"/>
      <c r="AB773" s="330"/>
      <c r="AC773" s="331"/>
      <c r="AD773" s="332"/>
      <c r="AE773" s="131"/>
      <c r="AF773" s="131"/>
      <c r="AG773" s="131"/>
      <c r="AH773" s="131"/>
      <c r="AI773" s="131"/>
      <c r="AJ773" s="131"/>
      <c r="AK773" s="131"/>
      <c r="AL773" s="131"/>
      <c r="AM773" s="131"/>
      <c r="AN773" s="131"/>
      <c r="AO773" s="142"/>
      <c r="AP773" s="131"/>
    </row>
    <row r="774" ht="13.5" customHeight="1">
      <c r="A774" s="142"/>
      <c r="B774" s="142"/>
      <c r="C774" s="142"/>
      <c r="D774" s="142"/>
      <c r="E774" s="132"/>
      <c r="F774" s="131"/>
      <c r="G774" s="131"/>
      <c r="H774" s="131"/>
      <c r="I774" s="131"/>
      <c r="J774" s="219"/>
      <c r="K774" s="198"/>
      <c r="L774" s="131"/>
      <c r="M774" s="142"/>
      <c r="N774" s="131"/>
      <c r="O774" s="131"/>
      <c r="P774" s="131"/>
      <c r="Q774" s="131"/>
      <c r="R774" s="131"/>
      <c r="S774" s="131"/>
      <c r="T774" s="131"/>
      <c r="U774" s="131"/>
      <c r="V774" s="131"/>
      <c r="W774" s="131"/>
      <c r="X774" s="131"/>
      <c r="Y774" s="131"/>
      <c r="Z774" s="131"/>
      <c r="AA774" s="131"/>
      <c r="AB774" s="330"/>
      <c r="AC774" s="331"/>
      <c r="AD774" s="332"/>
      <c r="AE774" s="131"/>
      <c r="AF774" s="131"/>
      <c r="AG774" s="131"/>
      <c r="AH774" s="131"/>
      <c r="AI774" s="131"/>
      <c r="AJ774" s="131"/>
      <c r="AK774" s="131"/>
      <c r="AL774" s="131"/>
      <c r="AM774" s="131"/>
      <c r="AN774" s="131"/>
      <c r="AO774" s="142"/>
      <c r="AP774" s="131"/>
    </row>
    <row r="775" ht="13.5" customHeight="1">
      <c r="A775" s="142"/>
      <c r="B775" s="142"/>
      <c r="C775" s="142"/>
      <c r="D775" s="142"/>
      <c r="E775" s="132"/>
      <c r="F775" s="131"/>
      <c r="G775" s="131"/>
      <c r="H775" s="131"/>
      <c r="I775" s="131"/>
      <c r="J775" s="219"/>
      <c r="K775" s="198"/>
      <c r="L775" s="131"/>
      <c r="M775" s="142"/>
      <c r="N775" s="131"/>
      <c r="O775" s="131"/>
      <c r="P775" s="131"/>
      <c r="Q775" s="131"/>
      <c r="R775" s="131"/>
      <c r="S775" s="131"/>
      <c r="T775" s="131"/>
      <c r="U775" s="131"/>
      <c r="V775" s="131"/>
      <c r="W775" s="131"/>
      <c r="X775" s="131"/>
      <c r="Y775" s="131"/>
      <c r="Z775" s="131"/>
      <c r="AA775" s="131"/>
      <c r="AB775" s="330"/>
      <c r="AC775" s="331"/>
      <c r="AD775" s="332"/>
      <c r="AE775" s="131"/>
      <c r="AF775" s="131"/>
      <c r="AG775" s="131"/>
      <c r="AH775" s="131"/>
      <c r="AI775" s="131"/>
      <c r="AJ775" s="131"/>
      <c r="AK775" s="131"/>
      <c r="AL775" s="131"/>
      <c r="AM775" s="131"/>
      <c r="AN775" s="131"/>
      <c r="AO775" s="142"/>
      <c r="AP775" s="131"/>
    </row>
    <row r="776" ht="13.5" customHeight="1">
      <c r="A776" s="142"/>
      <c r="B776" s="142"/>
      <c r="C776" s="142"/>
      <c r="D776" s="142"/>
      <c r="E776" s="132"/>
      <c r="F776" s="131"/>
      <c r="G776" s="131"/>
      <c r="H776" s="131"/>
      <c r="I776" s="131"/>
      <c r="J776" s="219"/>
      <c r="K776" s="198"/>
      <c r="L776" s="131"/>
      <c r="M776" s="142"/>
      <c r="N776" s="131"/>
      <c r="O776" s="131"/>
      <c r="P776" s="131"/>
      <c r="Q776" s="131"/>
      <c r="R776" s="131"/>
      <c r="S776" s="131"/>
      <c r="T776" s="131"/>
      <c r="U776" s="131"/>
      <c r="V776" s="131"/>
      <c r="W776" s="131"/>
      <c r="X776" s="131"/>
      <c r="Y776" s="131"/>
      <c r="Z776" s="131"/>
      <c r="AA776" s="131"/>
      <c r="AB776" s="330"/>
      <c r="AC776" s="331"/>
      <c r="AD776" s="332"/>
      <c r="AE776" s="131"/>
      <c r="AF776" s="131"/>
      <c r="AG776" s="131"/>
      <c r="AH776" s="131"/>
      <c r="AI776" s="131"/>
      <c r="AJ776" s="131"/>
      <c r="AK776" s="131"/>
      <c r="AL776" s="131"/>
      <c r="AM776" s="131"/>
      <c r="AN776" s="131"/>
      <c r="AO776" s="142"/>
      <c r="AP776" s="131"/>
    </row>
    <row r="777" ht="13.5" customHeight="1">
      <c r="A777" s="142"/>
      <c r="B777" s="142"/>
      <c r="C777" s="142"/>
      <c r="D777" s="142"/>
      <c r="E777" s="132"/>
      <c r="F777" s="131"/>
      <c r="G777" s="131"/>
      <c r="H777" s="131"/>
      <c r="I777" s="131"/>
      <c r="J777" s="219"/>
      <c r="K777" s="198"/>
      <c r="L777" s="131"/>
      <c r="M777" s="142"/>
      <c r="N777" s="131"/>
      <c r="O777" s="131"/>
      <c r="P777" s="131"/>
      <c r="Q777" s="131"/>
      <c r="R777" s="131"/>
      <c r="S777" s="131"/>
      <c r="T777" s="131"/>
      <c r="U777" s="131"/>
      <c r="V777" s="131"/>
      <c r="W777" s="131"/>
      <c r="X777" s="131"/>
      <c r="Y777" s="131"/>
      <c r="Z777" s="131"/>
      <c r="AA777" s="131"/>
      <c r="AB777" s="330"/>
      <c r="AC777" s="331"/>
      <c r="AD777" s="332"/>
      <c r="AE777" s="131"/>
      <c r="AF777" s="131"/>
      <c r="AG777" s="131"/>
      <c r="AH777" s="131"/>
      <c r="AI777" s="131"/>
      <c r="AJ777" s="131"/>
      <c r="AK777" s="131"/>
      <c r="AL777" s="131"/>
      <c r="AM777" s="131"/>
      <c r="AN777" s="131"/>
      <c r="AO777" s="142"/>
      <c r="AP777" s="131"/>
    </row>
    <row r="778" ht="13.5" customHeight="1">
      <c r="A778" s="142"/>
      <c r="B778" s="142"/>
      <c r="C778" s="142"/>
      <c r="D778" s="142"/>
      <c r="E778" s="132"/>
      <c r="F778" s="131"/>
      <c r="G778" s="131"/>
      <c r="H778" s="131"/>
      <c r="I778" s="131"/>
      <c r="J778" s="219"/>
      <c r="K778" s="198"/>
      <c r="L778" s="131"/>
      <c r="M778" s="142"/>
      <c r="N778" s="131"/>
      <c r="O778" s="131"/>
      <c r="P778" s="131"/>
      <c r="Q778" s="131"/>
      <c r="R778" s="131"/>
      <c r="S778" s="131"/>
      <c r="T778" s="131"/>
      <c r="U778" s="131"/>
      <c r="V778" s="131"/>
      <c r="W778" s="131"/>
      <c r="X778" s="131"/>
      <c r="Y778" s="131"/>
      <c r="Z778" s="131"/>
      <c r="AA778" s="131"/>
      <c r="AB778" s="330"/>
      <c r="AC778" s="331"/>
      <c r="AD778" s="332"/>
      <c r="AE778" s="131"/>
      <c r="AF778" s="131"/>
      <c r="AG778" s="131"/>
      <c r="AH778" s="131"/>
      <c r="AI778" s="131"/>
      <c r="AJ778" s="131"/>
      <c r="AK778" s="131"/>
      <c r="AL778" s="131"/>
      <c r="AM778" s="131"/>
      <c r="AN778" s="131"/>
      <c r="AO778" s="142"/>
      <c r="AP778" s="131"/>
    </row>
    <row r="779" ht="13.5" customHeight="1">
      <c r="A779" s="142"/>
      <c r="B779" s="142"/>
      <c r="C779" s="142"/>
      <c r="D779" s="142"/>
      <c r="E779" s="132"/>
      <c r="F779" s="131"/>
      <c r="G779" s="131"/>
      <c r="H779" s="131"/>
      <c r="I779" s="131"/>
      <c r="J779" s="219"/>
      <c r="K779" s="198"/>
      <c r="L779" s="131"/>
      <c r="M779" s="142"/>
      <c r="N779" s="131"/>
      <c r="O779" s="131"/>
      <c r="P779" s="131"/>
      <c r="Q779" s="131"/>
      <c r="R779" s="131"/>
      <c r="S779" s="131"/>
      <c r="T779" s="131"/>
      <c r="U779" s="131"/>
      <c r="V779" s="131"/>
      <c r="W779" s="131"/>
      <c r="X779" s="131"/>
      <c r="Y779" s="131"/>
      <c r="Z779" s="131"/>
      <c r="AA779" s="131"/>
      <c r="AB779" s="330"/>
      <c r="AC779" s="331"/>
      <c r="AD779" s="332"/>
      <c r="AE779" s="131"/>
      <c r="AF779" s="131"/>
      <c r="AG779" s="131"/>
      <c r="AH779" s="131"/>
      <c r="AI779" s="131"/>
      <c r="AJ779" s="131"/>
      <c r="AK779" s="131"/>
      <c r="AL779" s="131"/>
      <c r="AM779" s="131"/>
      <c r="AN779" s="131"/>
      <c r="AO779" s="142"/>
      <c r="AP779" s="131"/>
    </row>
    <row r="780" ht="13.5" customHeight="1">
      <c r="A780" s="142"/>
      <c r="B780" s="142"/>
      <c r="C780" s="142"/>
      <c r="D780" s="142"/>
      <c r="E780" s="132"/>
      <c r="F780" s="131"/>
      <c r="G780" s="131"/>
      <c r="H780" s="131"/>
      <c r="I780" s="131"/>
      <c r="J780" s="219"/>
      <c r="K780" s="198"/>
      <c r="L780" s="131"/>
      <c r="M780" s="142"/>
      <c r="N780" s="131"/>
      <c r="O780" s="131"/>
      <c r="P780" s="131"/>
      <c r="Q780" s="131"/>
      <c r="R780" s="131"/>
      <c r="S780" s="131"/>
      <c r="T780" s="131"/>
      <c r="U780" s="131"/>
      <c r="V780" s="131"/>
      <c r="W780" s="131"/>
      <c r="X780" s="131"/>
      <c r="Y780" s="131"/>
      <c r="Z780" s="131"/>
      <c r="AA780" s="131"/>
      <c r="AB780" s="330"/>
      <c r="AC780" s="331"/>
      <c r="AD780" s="332"/>
      <c r="AE780" s="131"/>
      <c r="AF780" s="131"/>
      <c r="AG780" s="131"/>
      <c r="AH780" s="131"/>
      <c r="AI780" s="131"/>
      <c r="AJ780" s="131"/>
      <c r="AK780" s="131"/>
      <c r="AL780" s="131"/>
      <c r="AM780" s="131"/>
      <c r="AN780" s="131"/>
      <c r="AO780" s="142"/>
      <c r="AP780" s="131"/>
    </row>
    <row r="781" ht="13.5" customHeight="1">
      <c r="A781" s="142"/>
      <c r="B781" s="142"/>
      <c r="C781" s="142"/>
      <c r="D781" s="142"/>
      <c r="E781" s="132"/>
      <c r="F781" s="131"/>
      <c r="G781" s="131"/>
      <c r="H781" s="131"/>
      <c r="I781" s="131"/>
      <c r="J781" s="219"/>
      <c r="K781" s="198"/>
      <c r="L781" s="131"/>
      <c r="M781" s="142"/>
      <c r="N781" s="131"/>
      <c r="O781" s="131"/>
      <c r="P781" s="131"/>
      <c r="Q781" s="131"/>
      <c r="R781" s="131"/>
      <c r="S781" s="131"/>
      <c r="T781" s="131"/>
      <c r="U781" s="131"/>
      <c r="V781" s="131"/>
      <c r="W781" s="131"/>
      <c r="X781" s="131"/>
      <c r="Y781" s="131"/>
      <c r="Z781" s="131"/>
      <c r="AA781" s="131"/>
      <c r="AB781" s="330"/>
      <c r="AC781" s="331"/>
      <c r="AD781" s="332"/>
      <c r="AE781" s="131"/>
      <c r="AF781" s="131"/>
      <c r="AG781" s="131"/>
      <c r="AH781" s="131"/>
      <c r="AI781" s="131"/>
      <c r="AJ781" s="131"/>
      <c r="AK781" s="131"/>
      <c r="AL781" s="131"/>
      <c r="AM781" s="131"/>
      <c r="AN781" s="131"/>
      <c r="AO781" s="142"/>
      <c r="AP781" s="131"/>
    </row>
    <row r="782" ht="13.5" customHeight="1">
      <c r="A782" s="142"/>
      <c r="B782" s="142"/>
      <c r="C782" s="142"/>
      <c r="D782" s="142"/>
      <c r="E782" s="132"/>
      <c r="F782" s="131"/>
      <c r="G782" s="131"/>
      <c r="H782" s="131"/>
      <c r="I782" s="131"/>
      <c r="J782" s="219"/>
      <c r="K782" s="198"/>
      <c r="L782" s="131"/>
      <c r="M782" s="142"/>
      <c r="N782" s="131"/>
      <c r="O782" s="131"/>
      <c r="P782" s="131"/>
      <c r="Q782" s="131"/>
      <c r="R782" s="131"/>
      <c r="S782" s="131"/>
      <c r="T782" s="131"/>
      <c r="U782" s="131"/>
      <c r="V782" s="131"/>
      <c r="W782" s="131"/>
      <c r="X782" s="131"/>
      <c r="Y782" s="131"/>
      <c r="Z782" s="131"/>
      <c r="AA782" s="131"/>
      <c r="AB782" s="330"/>
      <c r="AC782" s="331"/>
      <c r="AD782" s="332"/>
      <c r="AE782" s="131"/>
      <c r="AF782" s="131"/>
      <c r="AG782" s="131"/>
      <c r="AH782" s="131"/>
      <c r="AI782" s="131"/>
      <c r="AJ782" s="131"/>
      <c r="AK782" s="131"/>
      <c r="AL782" s="131"/>
      <c r="AM782" s="131"/>
      <c r="AN782" s="131"/>
      <c r="AO782" s="142"/>
      <c r="AP782" s="131"/>
    </row>
    <row r="783" ht="13.5" customHeight="1">
      <c r="A783" s="142"/>
      <c r="B783" s="142"/>
      <c r="C783" s="142"/>
      <c r="D783" s="142"/>
      <c r="E783" s="132"/>
      <c r="F783" s="131"/>
      <c r="G783" s="131"/>
      <c r="H783" s="131"/>
      <c r="I783" s="131"/>
      <c r="J783" s="219"/>
      <c r="K783" s="198"/>
      <c r="L783" s="131"/>
      <c r="M783" s="142"/>
      <c r="N783" s="131"/>
      <c r="O783" s="131"/>
      <c r="P783" s="131"/>
      <c r="Q783" s="131"/>
      <c r="R783" s="131"/>
      <c r="S783" s="131"/>
      <c r="T783" s="131"/>
      <c r="U783" s="131"/>
      <c r="V783" s="131"/>
      <c r="W783" s="131"/>
      <c r="X783" s="131"/>
      <c r="Y783" s="131"/>
      <c r="Z783" s="131"/>
      <c r="AA783" s="131"/>
      <c r="AB783" s="330"/>
      <c r="AC783" s="331"/>
      <c r="AD783" s="332"/>
      <c r="AE783" s="131"/>
      <c r="AF783" s="131"/>
      <c r="AG783" s="131"/>
      <c r="AH783" s="131"/>
      <c r="AI783" s="131"/>
      <c r="AJ783" s="131"/>
      <c r="AK783" s="131"/>
      <c r="AL783" s="131"/>
      <c r="AM783" s="131"/>
      <c r="AN783" s="131"/>
      <c r="AO783" s="142"/>
      <c r="AP783" s="131"/>
    </row>
    <row r="784" ht="13.5" customHeight="1">
      <c r="A784" s="142"/>
      <c r="B784" s="142"/>
      <c r="C784" s="142"/>
      <c r="D784" s="142"/>
      <c r="E784" s="132"/>
      <c r="F784" s="131"/>
      <c r="G784" s="131"/>
      <c r="H784" s="131"/>
      <c r="I784" s="131"/>
      <c r="J784" s="219"/>
      <c r="K784" s="198"/>
      <c r="L784" s="131"/>
      <c r="M784" s="142"/>
      <c r="N784" s="131"/>
      <c r="O784" s="131"/>
      <c r="P784" s="131"/>
      <c r="Q784" s="131"/>
      <c r="R784" s="131"/>
      <c r="S784" s="131"/>
      <c r="T784" s="131"/>
      <c r="U784" s="131"/>
      <c r="V784" s="131"/>
      <c r="W784" s="131"/>
      <c r="X784" s="131"/>
      <c r="Y784" s="131"/>
      <c r="Z784" s="131"/>
      <c r="AA784" s="131"/>
      <c r="AB784" s="330"/>
      <c r="AC784" s="331"/>
      <c r="AD784" s="332"/>
      <c r="AE784" s="131"/>
      <c r="AF784" s="131"/>
      <c r="AG784" s="131"/>
      <c r="AH784" s="131"/>
      <c r="AI784" s="131"/>
      <c r="AJ784" s="131"/>
      <c r="AK784" s="131"/>
      <c r="AL784" s="131"/>
      <c r="AM784" s="131"/>
      <c r="AN784" s="131"/>
      <c r="AO784" s="142"/>
      <c r="AP784" s="131"/>
    </row>
    <row r="785" ht="13.5" customHeight="1">
      <c r="A785" s="142"/>
      <c r="B785" s="142"/>
      <c r="C785" s="142"/>
      <c r="D785" s="142"/>
      <c r="E785" s="132"/>
      <c r="F785" s="131"/>
      <c r="G785" s="131"/>
      <c r="H785" s="131"/>
      <c r="I785" s="131"/>
      <c r="J785" s="219"/>
      <c r="K785" s="198"/>
      <c r="L785" s="131"/>
      <c r="M785" s="142"/>
      <c r="N785" s="131"/>
      <c r="O785" s="131"/>
      <c r="P785" s="131"/>
      <c r="Q785" s="131"/>
      <c r="R785" s="131"/>
      <c r="S785" s="131"/>
      <c r="T785" s="131"/>
      <c r="U785" s="131"/>
      <c r="V785" s="131"/>
      <c r="W785" s="131"/>
      <c r="X785" s="131"/>
      <c r="Y785" s="131"/>
      <c r="Z785" s="131"/>
      <c r="AA785" s="131"/>
      <c r="AB785" s="330"/>
      <c r="AC785" s="331"/>
      <c r="AD785" s="332"/>
      <c r="AE785" s="131"/>
      <c r="AF785" s="131"/>
      <c r="AG785" s="131"/>
      <c r="AH785" s="131"/>
      <c r="AI785" s="131"/>
      <c r="AJ785" s="131"/>
      <c r="AK785" s="131"/>
      <c r="AL785" s="131"/>
      <c r="AM785" s="131"/>
      <c r="AN785" s="131"/>
      <c r="AO785" s="142"/>
      <c r="AP785" s="131"/>
    </row>
    <row r="786" ht="13.5" customHeight="1">
      <c r="A786" s="142"/>
      <c r="B786" s="142"/>
      <c r="C786" s="142"/>
      <c r="D786" s="142"/>
      <c r="E786" s="132"/>
      <c r="F786" s="131"/>
      <c r="G786" s="131"/>
      <c r="H786" s="131"/>
      <c r="I786" s="131"/>
      <c r="J786" s="219"/>
      <c r="K786" s="198"/>
      <c r="L786" s="131"/>
      <c r="M786" s="142"/>
      <c r="N786" s="131"/>
      <c r="O786" s="131"/>
      <c r="P786" s="131"/>
      <c r="Q786" s="131"/>
      <c r="R786" s="131"/>
      <c r="S786" s="131"/>
      <c r="T786" s="131"/>
      <c r="U786" s="131"/>
      <c r="V786" s="131"/>
      <c r="W786" s="131"/>
      <c r="X786" s="131"/>
      <c r="Y786" s="131"/>
      <c r="Z786" s="131"/>
      <c r="AA786" s="131"/>
      <c r="AB786" s="330"/>
      <c r="AC786" s="331"/>
      <c r="AD786" s="332"/>
      <c r="AE786" s="131"/>
      <c r="AF786" s="131"/>
      <c r="AG786" s="131"/>
      <c r="AH786" s="131"/>
      <c r="AI786" s="131"/>
      <c r="AJ786" s="131"/>
      <c r="AK786" s="131"/>
      <c r="AL786" s="131"/>
      <c r="AM786" s="131"/>
      <c r="AN786" s="131"/>
      <c r="AO786" s="142"/>
      <c r="AP786" s="131"/>
    </row>
    <row r="787" ht="13.5" customHeight="1">
      <c r="A787" s="142"/>
      <c r="B787" s="142"/>
      <c r="C787" s="142"/>
      <c r="D787" s="142"/>
      <c r="E787" s="132"/>
      <c r="F787" s="131"/>
      <c r="G787" s="131"/>
      <c r="H787" s="131"/>
      <c r="I787" s="131"/>
      <c r="J787" s="219"/>
      <c r="K787" s="198"/>
      <c r="L787" s="131"/>
      <c r="M787" s="142"/>
      <c r="N787" s="131"/>
      <c r="O787" s="131"/>
      <c r="P787" s="131"/>
      <c r="Q787" s="131"/>
      <c r="R787" s="131"/>
      <c r="S787" s="131"/>
      <c r="T787" s="131"/>
      <c r="U787" s="131"/>
      <c r="V787" s="131"/>
      <c r="W787" s="131"/>
      <c r="X787" s="131"/>
      <c r="Y787" s="131"/>
      <c r="Z787" s="131"/>
      <c r="AA787" s="131"/>
      <c r="AB787" s="330"/>
      <c r="AC787" s="331"/>
      <c r="AD787" s="332"/>
      <c r="AE787" s="131"/>
      <c r="AF787" s="131"/>
      <c r="AG787" s="131"/>
      <c r="AH787" s="131"/>
      <c r="AI787" s="131"/>
      <c r="AJ787" s="131"/>
      <c r="AK787" s="131"/>
      <c r="AL787" s="131"/>
      <c r="AM787" s="131"/>
      <c r="AN787" s="131"/>
      <c r="AO787" s="142"/>
      <c r="AP787" s="131"/>
    </row>
    <row r="788" ht="13.5" customHeight="1">
      <c r="A788" s="142"/>
      <c r="B788" s="142"/>
      <c r="C788" s="142"/>
      <c r="D788" s="142"/>
      <c r="E788" s="132"/>
      <c r="F788" s="131"/>
      <c r="G788" s="131"/>
      <c r="H788" s="131"/>
      <c r="I788" s="131"/>
      <c r="J788" s="219"/>
      <c r="K788" s="198"/>
      <c r="L788" s="131"/>
      <c r="M788" s="142"/>
      <c r="N788" s="131"/>
      <c r="O788" s="131"/>
      <c r="P788" s="131"/>
      <c r="Q788" s="131"/>
      <c r="R788" s="131"/>
      <c r="S788" s="131"/>
      <c r="T788" s="131"/>
      <c r="U788" s="131"/>
      <c r="V788" s="131"/>
      <c r="W788" s="131"/>
      <c r="X788" s="131"/>
      <c r="Y788" s="131"/>
      <c r="Z788" s="131"/>
      <c r="AA788" s="131"/>
      <c r="AB788" s="330"/>
      <c r="AC788" s="331"/>
      <c r="AD788" s="332"/>
      <c r="AE788" s="131"/>
      <c r="AF788" s="131"/>
      <c r="AG788" s="131"/>
      <c r="AH788" s="131"/>
      <c r="AI788" s="131"/>
      <c r="AJ788" s="131"/>
      <c r="AK788" s="131"/>
      <c r="AL788" s="131"/>
      <c r="AM788" s="131"/>
      <c r="AN788" s="131"/>
      <c r="AO788" s="142"/>
      <c r="AP788" s="131"/>
    </row>
    <row r="789" ht="13.5" customHeight="1">
      <c r="A789" s="142"/>
      <c r="B789" s="142"/>
      <c r="C789" s="142"/>
      <c r="D789" s="142"/>
      <c r="E789" s="132"/>
      <c r="F789" s="131"/>
      <c r="G789" s="131"/>
      <c r="H789" s="131"/>
      <c r="I789" s="131"/>
      <c r="J789" s="219"/>
      <c r="K789" s="198"/>
      <c r="L789" s="131"/>
      <c r="M789" s="142"/>
      <c r="N789" s="131"/>
      <c r="O789" s="131"/>
      <c r="P789" s="131"/>
      <c r="Q789" s="131"/>
      <c r="R789" s="131"/>
      <c r="S789" s="131"/>
      <c r="T789" s="131"/>
      <c r="U789" s="131"/>
      <c r="V789" s="131"/>
      <c r="W789" s="131"/>
      <c r="X789" s="131"/>
      <c r="Y789" s="131"/>
      <c r="Z789" s="131"/>
      <c r="AA789" s="131"/>
      <c r="AB789" s="330"/>
      <c r="AC789" s="331"/>
      <c r="AD789" s="332"/>
      <c r="AE789" s="131"/>
      <c r="AF789" s="131"/>
      <c r="AG789" s="131"/>
      <c r="AH789" s="131"/>
      <c r="AI789" s="131"/>
      <c r="AJ789" s="131"/>
      <c r="AK789" s="131"/>
      <c r="AL789" s="131"/>
      <c r="AM789" s="131"/>
      <c r="AN789" s="131"/>
      <c r="AO789" s="142"/>
      <c r="AP789" s="131"/>
    </row>
    <row r="790" ht="13.5" customHeight="1">
      <c r="A790" s="142"/>
      <c r="B790" s="142"/>
      <c r="C790" s="142"/>
      <c r="D790" s="142"/>
      <c r="E790" s="132"/>
      <c r="F790" s="131"/>
      <c r="G790" s="131"/>
      <c r="H790" s="131"/>
      <c r="I790" s="131"/>
      <c r="J790" s="219"/>
      <c r="K790" s="198"/>
      <c r="L790" s="131"/>
      <c r="M790" s="142"/>
      <c r="N790" s="131"/>
      <c r="O790" s="131"/>
      <c r="P790" s="131"/>
      <c r="Q790" s="131"/>
      <c r="R790" s="131"/>
      <c r="S790" s="131"/>
      <c r="T790" s="131"/>
      <c r="U790" s="131"/>
      <c r="V790" s="131"/>
      <c r="W790" s="131"/>
      <c r="X790" s="131"/>
      <c r="Y790" s="131"/>
      <c r="Z790" s="131"/>
      <c r="AA790" s="131"/>
      <c r="AB790" s="330"/>
      <c r="AC790" s="331"/>
      <c r="AD790" s="332"/>
      <c r="AE790" s="131"/>
      <c r="AF790" s="131"/>
      <c r="AG790" s="131"/>
      <c r="AH790" s="131"/>
      <c r="AI790" s="131"/>
      <c r="AJ790" s="131"/>
      <c r="AK790" s="131"/>
      <c r="AL790" s="131"/>
      <c r="AM790" s="131"/>
      <c r="AN790" s="131"/>
      <c r="AO790" s="142"/>
      <c r="AP790" s="131"/>
    </row>
    <row r="791" ht="13.5" customHeight="1">
      <c r="A791" s="142"/>
      <c r="B791" s="142"/>
      <c r="C791" s="142"/>
      <c r="D791" s="142"/>
      <c r="E791" s="132"/>
      <c r="F791" s="131"/>
      <c r="G791" s="131"/>
      <c r="H791" s="131"/>
      <c r="I791" s="131"/>
      <c r="J791" s="219"/>
      <c r="K791" s="198"/>
      <c r="L791" s="131"/>
      <c r="M791" s="142"/>
      <c r="N791" s="131"/>
      <c r="O791" s="131"/>
      <c r="P791" s="131"/>
      <c r="Q791" s="131"/>
      <c r="R791" s="131"/>
      <c r="S791" s="131"/>
      <c r="T791" s="131"/>
      <c r="U791" s="131"/>
      <c r="V791" s="131"/>
      <c r="W791" s="131"/>
      <c r="X791" s="131"/>
      <c r="Y791" s="131"/>
      <c r="Z791" s="131"/>
      <c r="AA791" s="131"/>
      <c r="AB791" s="330"/>
      <c r="AC791" s="331"/>
      <c r="AD791" s="332"/>
      <c r="AE791" s="131"/>
      <c r="AF791" s="131"/>
      <c r="AG791" s="131"/>
      <c r="AH791" s="131"/>
      <c r="AI791" s="131"/>
      <c r="AJ791" s="131"/>
      <c r="AK791" s="131"/>
      <c r="AL791" s="131"/>
      <c r="AM791" s="131"/>
      <c r="AN791" s="131"/>
      <c r="AO791" s="142"/>
      <c r="AP791" s="131"/>
    </row>
    <row r="792" ht="13.5" customHeight="1">
      <c r="A792" s="142"/>
      <c r="B792" s="142"/>
      <c r="C792" s="142"/>
      <c r="D792" s="142"/>
      <c r="E792" s="132"/>
      <c r="F792" s="131"/>
      <c r="G792" s="131"/>
      <c r="H792" s="131"/>
      <c r="I792" s="131"/>
      <c r="J792" s="219"/>
      <c r="K792" s="198"/>
      <c r="L792" s="131"/>
      <c r="M792" s="142"/>
      <c r="N792" s="131"/>
      <c r="O792" s="131"/>
      <c r="P792" s="131"/>
      <c r="Q792" s="131"/>
      <c r="R792" s="131"/>
      <c r="S792" s="131"/>
      <c r="T792" s="131"/>
      <c r="U792" s="131"/>
      <c r="V792" s="131"/>
      <c r="W792" s="131"/>
      <c r="X792" s="131"/>
      <c r="Y792" s="131"/>
      <c r="Z792" s="131"/>
      <c r="AA792" s="131"/>
      <c r="AB792" s="330"/>
      <c r="AC792" s="331"/>
      <c r="AD792" s="332"/>
      <c r="AE792" s="131"/>
      <c r="AF792" s="131"/>
      <c r="AG792" s="131"/>
      <c r="AH792" s="131"/>
      <c r="AI792" s="131"/>
      <c r="AJ792" s="131"/>
      <c r="AK792" s="131"/>
      <c r="AL792" s="131"/>
      <c r="AM792" s="131"/>
      <c r="AN792" s="131"/>
      <c r="AO792" s="142"/>
      <c r="AP792" s="131"/>
    </row>
    <row r="793" ht="13.5" customHeight="1">
      <c r="A793" s="142"/>
      <c r="B793" s="142"/>
      <c r="C793" s="142"/>
      <c r="D793" s="142"/>
      <c r="E793" s="132"/>
      <c r="F793" s="131"/>
      <c r="G793" s="131"/>
      <c r="H793" s="131"/>
      <c r="I793" s="131"/>
      <c r="J793" s="219"/>
      <c r="K793" s="198"/>
      <c r="L793" s="131"/>
      <c r="M793" s="142"/>
      <c r="N793" s="131"/>
      <c r="O793" s="131"/>
      <c r="P793" s="131"/>
      <c r="Q793" s="131"/>
      <c r="R793" s="131"/>
      <c r="S793" s="131"/>
      <c r="T793" s="131"/>
      <c r="U793" s="131"/>
      <c r="V793" s="131"/>
      <c r="W793" s="131"/>
      <c r="X793" s="131"/>
      <c r="Y793" s="131"/>
      <c r="Z793" s="131"/>
      <c r="AA793" s="131"/>
      <c r="AB793" s="330"/>
      <c r="AC793" s="331"/>
      <c r="AD793" s="332"/>
      <c r="AE793" s="131"/>
      <c r="AF793" s="131"/>
      <c r="AG793" s="131"/>
      <c r="AH793" s="131"/>
      <c r="AI793" s="131"/>
      <c r="AJ793" s="131"/>
      <c r="AK793" s="131"/>
      <c r="AL793" s="131"/>
      <c r="AM793" s="131"/>
      <c r="AN793" s="131"/>
      <c r="AO793" s="142"/>
      <c r="AP793" s="131"/>
    </row>
    <row r="794" ht="13.5" customHeight="1">
      <c r="A794" s="142"/>
      <c r="B794" s="142"/>
      <c r="C794" s="142"/>
      <c r="D794" s="142"/>
      <c r="E794" s="132"/>
      <c r="F794" s="131"/>
      <c r="G794" s="131"/>
      <c r="H794" s="131"/>
      <c r="I794" s="131"/>
      <c r="J794" s="219"/>
      <c r="K794" s="198"/>
      <c r="L794" s="131"/>
      <c r="M794" s="142"/>
      <c r="N794" s="131"/>
      <c r="O794" s="131"/>
      <c r="P794" s="131"/>
      <c r="Q794" s="131"/>
      <c r="R794" s="131"/>
      <c r="S794" s="131"/>
      <c r="T794" s="131"/>
      <c r="U794" s="131"/>
      <c r="V794" s="131"/>
      <c r="W794" s="131"/>
      <c r="X794" s="131"/>
      <c r="Y794" s="131"/>
      <c r="Z794" s="131"/>
      <c r="AA794" s="131"/>
      <c r="AB794" s="330"/>
      <c r="AC794" s="331"/>
      <c r="AD794" s="332"/>
      <c r="AE794" s="131"/>
      <c r="AF794" s="131"/>
      <c r="AG794" s="131"/>
      <c r="AH794" s="131"/>
      <c r="AI794" s="131"/>
      <c r="AJ794" s="131"/>
      <c r="AK794" s="131"/>
      <c r="AL794" s="131"/>
      <c r="AM794" s="131"/>
      <c r="AN794" s="131"/>
      <c r="AO794" s="142"/>
      <c r="AP794" s="131"/>
    </row>
    <row r="795" ht="13.5" customHeight="1">
      <c r="A795" s="142"/>
      <c r="B795" s="142"/>
      <c r="C795" s="142"/>
      <c r="D795" s="142"/>
      <c r="E795" s="132"/>
      <c r="F795" s="131"/>
      <c r="G795" s="131"/>
      <c r="H795" s="131"/>
      <c r="I795" s="131"/>
      <c r="J795" s="219"/>
      <c r="K795" s="198"/>
      <c r="L795" s="131"/>
      <c r="M795" s="142"/>
      <c r="N795" s="131"/>
      <c r="O795" s="131"/>
      <c r="P795" s="131"/>
      <c r="Q795" s="131"/>
      <c r="R795" s="131"/>
      <c r="S795" s="131"/>
      <c r="T795" s="131"/>
      <c r="U795" s="131"/>
      <c r="V795" s="131"/>
      <c r="W795" s="131"/>
      <c r="X795" s="131"/>
      <c r="Y795" s="131"/>
      <c r="Z795" s="131"/>
      <c r="AA795" s="131"/>
      <c r="AB795" s="330"/>
      <c r="AC795" s="331"/>
      <c r="AD795" s="332"/>
      <c r="AE795" s="131"/>
      <c r="AF795" s="131"/>
      <c r="AG795" s="131"/>
      <c r="AH795" s="131"/>
      <c r="AI795" s="131"/>
      <c r="AJ795" s="131"/>
      <c r="AK795" s="131"/>
      <c r="AL795" s="131"/>
      <c r="AM795" s="131"/>
      <c r="AN795" s="131"/>
      <c r="AO795" s="142"/>
      <c r="AP795" s="131"/>
    </row>
    <row r="796" ht="13.5" customHeight="1">
      <c r="A796" s="142"/>
      <c r="B796" s="142"/>
      <c r="C796" s="142"/>
      <c r="D796" s="142"/>
      <c r="E796" s="132"/>
      <c r="F796" s="131"/>
      <c r="G796" s="131"/>
      <c r="H796" s="131"/>
      <c r="I796" s="131"/>
      <c r="J796" s="219"/>
      <c r="K796" s="198"/>
      <c r="L796" s="131"/>
      <c r="M796" s="142"/>
      <c r="N796" s="131"/>
      <c r="O796" s="131"/>
      <c r="P796" s="131"/>
      <c r="Q796" s="131"/>
      <c r="R796" s="131"/>
      <c r="S796" s="131"/>
      <c r="T796" s="131"/>
      <c r="U796" s="131"/>
      <c r="V796" s="131"/>
      <c r="W796" s="131"/>
      <c r="X796" s="131"/>
      <c r="Y796" s="131"/>
      <c r="Z796" s="131"/>
      <c r="AA796" s="131"/>
      <c r="AB796" s="330"/>
      <c r="AC796" s="331"/>
      <c r="AD796" s="332"/>
      <c r="AE796" s="131"/>
      <c r="AF796" s="131"/>
      <c r="AG796" s="131"/>
      <c r="AH796" s="131"/>
      <c r="AI796" s="131"/>
      <c r="AJ796" s="131"/>
      <c r="AK796" s="131"/>
      <c r="AL796" s="131"/>
      <c r="AM796" s="131"/>
      <c r="AN796" s="131"/>
      <c r="AO796" s="142"/>
      <c r="AP796" s="131"/>
    </row>
    <row r="797" ht="13.5" customHeight="1">
      <c r="A797" s="142"/>
      <c r="B797" s="142"/>
      <c r="C797" s="142"/>
      <c r="D797" s="142"/>
      <c r="E797" s="132"/>
      <c r="F797" s="131"/>
      <c r="G797" s="131"/>
      <c r="H797" s="131"/>
      <c r="I797" s="131"/>
      <c r="J797" s="219"/>
      <c r="K797" s="198"/>
      <c r="L797" s="131"/>
      <c r="M797" s="142"/>
      <c r="N797" s="131"/>
      <c r="O797" s="131"/>
      <c r="P797" s="131"/>
      <c r="Q797" s="131"/>
      <c r="R797" s="131"/>
      <c r="S797" s="131"/>
      <c r="T797" s="131"/>
      <c r="U797" s="131"/>
      <c r="V797" s="131"/>
      <c r="W797" s="131"/>
      <c r="X797" s="131"/>
      <c r="Y797" s="131"/>
      <c r="Z797" s="131"/>
      <c r="AA797" s="131"/>
      <c r="AB797" s="330"/>
      <c r="AC797" s="331"/>
      <c r="AD797" s="332"/>
      <c r="AE797" s="131"/>
      <c r="AF797" s="131"/>
      <c r="AG797" s="131"/>
      <c r="AH797" s="131"/>
      <c r="AI797" s="131"/>
      <c r="AJ797" s="131"/>
      <c r="AK797" s="131"/>
      <c r="AL797" s="131"/>
      <c r="AM797" s="131"/>
      <c r="AN797" s="131"/>
      <c r="AO797" s="142"/>
      <c r="AP797" s="131"/>
    </row>
    <row r="798" ht="13.5" customHeight="1">
      <c r="A798" s="142"/>
      <c r="B798" s="142"/>
      <c r="C798" s="142"/>
      <c r="D798" s="142"/>
      <c r="E798" s="132"/>
      <c r="F798" s="131"/>
      <c r="G798" s="131"/>
      <c r="H798" s="131"/>
      <c r="I798" s="131"/>
      <c r="J798" s="219"/>
      <c r="K798" s="198"/>
      <c r="L798" s="131"/>
      <c r="M798" s="142"/>
      <c r="N798" s="131"/>
      <c r="O798" s="131"/>
      <c r="P798" s="131"/>
      <c r="Q798" s="131"/>
      <c r="R798" s="131"/>
      <c r="S798" s="131"/>
      <c r="T798" s="131"/>
      <c r="U798" s="131"/>
      <c r="V798" s="131"/>
      <c r="W798" s="131"/>
      <c r="X798" s="131"/>
      <c r="Y798" s="131"/>
      <c r="Z798" s="131"/>
      <c r="AA798" s="131"/>
      <c r="AB798" s="330"/>
      <c r="AC798" s="331"/>
      <c r="AD798" s="332"/>
      <c r="AE798" s="131"/>
      <c r="AF798" s="131"/>
      <c r="AG798" s="131"/>
      <c r="AH798" s="131"/>
      <c r="AI798" s="131"/>
      <c r="AJ798" s="131"/>
      <c r="AK798" s="131"/>
      <c r="AL798" s="131"/>
      <c r="AM798" s="131"/>
      <c r="AN798" s="131"/>
      <c r="AO798" s="142"/>
      <c r="AP798" s="131"/>
    </row>
    <row r="799" ht="13.5" customHeight="1">
      <c r="A799" s="142"/>
      <c r="B799" s="142"/>
      <c r="C799" s="142"/>
      <c r="D799" s="142"/>
      <c r="E799" s="132"/>
      <c r="F799" s="131"/>
      <c r="G799" s="131"/>
      <c r="H799" s="131"/>
      <c r="I799" s="131"/>
      <c r="J799" s="219"/>
      <c r="K799" s="198"/>
      <c r="L799" s="131"/>
      <c r="M799" s="142"/>
      <c r="N799" s="131"/>
      <c r="O799" s="131"/>
      <c r="P799" s="131"/>
      <c r="Q799" s="131"/>
      <c r="R799" s="131"/>
      <c r="S799" s="131"/>
      <c r="T799" s="131"/>
      <c r="U799" s="131"/>
      <c r="V799" s="131"/>
      <c r="W799" s="131"/>
      <c r="X799" s="131"/>
      <c r="Y799" s="131"/>
      <c r="Z799" s="131"/>
      <c r="AA799" s="131"/>
      <c r="AB799" s="330"/>
      <c r="AC799" s="331"/>
      <c r="AD799" s="332"/>
      <c r="AE799" s="131"/>
      <c r="AF799" s="131"/>
      <c r="AG799" s="131"/>
      <c r="AH799" s="131"/>
      <c r="AI799" s="131"/>
      <c r="AJ799" s="131"/>
      <c r="AK799" s="131"/>
      <c r="AL799" s="131"/>
      <c r="AM799" s="131"/>
      <c r="AN799" s="131"/>
      <c r="AO799" s="142"/>
      <c r="AP799" s="131"/>
    </row>
    <row r="800" ht="13.5" customHeight="1">
      <c r="A800" s="142"/>
      <c r="B800" s="142"/>
      <c r="C800" s="142"/>
      <c r="D800" s="142"/>
      <c r="E800" s="132"/>
      <c r="F800" s="131"/>
      <c r="G800" s="131"/>
      <c r="H800" s="131"/>
      <c r="I800" s="131"/>
      <c r="J800" s="219"/>
      <c r="K800" s="198"/>
      <c r="L800" s="131"/>
      <c r="M800" s="142"/>
      <c r="N800" s="131"/>
      <c r="O800" s="131"/>
      <c r="P800" s="131"/>
      <c r="Q800" s="131"/>
      <c r="R800" s="131"/>
      <c r="S800" s="131"/>
      <c r="T800" s="131"/>
      <c r="U800" s="131"/>
      <c r="V800" s="131"/>
      <c r="W800" s="131"/>
      <c r="X800" s="131"/>
      <c r="Y800" s="131"/>
      <c r="Z800" s="131"/>
      <c r="AA800" s="131"/>
      <c r="AB800" s="330"/>
      <c r="AC800" s="331"/>
      <c r="AD800" s="332"/>
      <c r="AE800" s="131"/>
      <c r="AF800" s="131"/>
      <c r="AG800" s="131"/>
      <c r="AH800" s="131"/>
      <c r="AI800" s="131"/>
      <c r="AJ800" s="131"/>
      <c r="AK800" s="131"/>
      <c r="AL800" s="131"/>
      <c r="AM800" s="131"/>
      <c r="AN800" s="131"/>
      <c r="AO800" s="142"/>
      <c r="AP800" s="131"/>
    </row>
    <row r="801" ht="13.5" customHeight="1">
      <c r="A801" s="142"/>
      <c r="B801" s="142"/>
      <c r="C801" s="142"/>
      <c r="D801" s="142"/>
      <c r="E801" s="132"/>
      <c r="F801" s="131"/>
      <c r="G801" s="131"/>
      <c r="H801" s="131"/>
      <c r="I801" s="131"/>
      <c r="J801" s="219"/>
      <c r="K801" s="198"/>
      <c r="L801" s="131"/>
      <c r="M801" s="142"/>
      <c r="N801" s="131"/>
      <c r="O801" s="131"/>
      <c r="P801" s="131"/>
      <c r="Q801" s="131"/>
      <c r="R801" s="131"/>
      <c r="S801" s="131"/>
      <c r="T801" s="131"/>
      <c r="U801" s="131"/>
      <c r="V801" s="131"/>
      <c r="W801" s="131"/>
      <c r="X801" s="131"/>
      <c r="Y801" s="131"/>
      <c r="Z801" s="131"/>
      <c r="AA801" s="131"/>
      <c r="AB801" s="330"/>
      <c r="AC801" s="331"/>
      <c r="AD801" s="332"/>
      <c r="AE801" s="131"/>
      <c r="AF801" s="131"/>
      <c r="AG801" s="131"/>
      <c r="AH801" s="131"/>
      <c r="AI801" s="131"/>
      <c r="AJ801" s="131"/>
      <c r="AK801" s="131"/>
      <c r="AL801" s="131"/>
      <c r="AM801" s="131"/>
      <c r="AN801" s="131"/>
      <c r="AO801" s="142"/>
      <c r="AP801" s="131"/>
    </row>
    <row r="802" ht="13.5" customHeight="1">
      <c r="A802" s="142"/>
      <c r="B802" s="142"/>
      <c r="C802" s="142"/>
      <c r="D802" s="142"/>
      <c r="E802" s="132"/>
      <c r="F802" s="131"/>
      <c r="G802" s="131"/>
      <c r="H802" s="131"/>
      <c r="I802" s="131"/>
      <c r="J802" s="219"/>
      <c r="K802" s="198"/>
      <c r="L802" s="131"/>
      <c r="M802" s="142"/>
      <c r="N802" s="131"/>
      <c r="O802" s="131"/>
      <c r="P802" s="131"/>
      <c r="Q802" s="131"/>
      <c r="R802" s="131"/>
      <c r="S802" s="131"/>
      <c r="T802" s="131"/>
      <c r="U802" s="131"/>
      <c r="V802" s="131"/>
      <c r="W802" s="131"/>
      <c r="X802" s="131"/>
      <c r="Y802" s="131"/>
      <c r="Z802" s="131"/>
      <c r="AA802" s="131"/>
      <c r="AB802" s="330"/>
      <c r="AC802" s="331"/>
      <c r="AD802" s="332"/>
      <c r="AE802" s="131"/>
      <c r="AF802" s="131"/>
      <c r="AG802" s="131"/>
      <c r="AH802" s="131"/>
      <c r="AI802" s="131"/>
      <c r="AJ802" s="131"/>
      <c r="AK802" s="131"/>
      <c r="AL802" s="131"/>
      <c r="AM802" s="131"/>
      <c r="AN802" s="131"/>
      <c r="AO802" s="142"/>
      <c r="AP802" s="131"/>
    </row>
    <row r="803" ht="13.5" customHeight="1">
      <c r="A803" s="142"/>
      <c r="B803" s="142"/>
      <c r="C803" s="142"/>
      <c r="D803" s="142"/>
      <c r="E803" s="132"/>
      <c r="F803" s="131"/>
      <c r="G803" s="131"/>
      <c r="H803" s="131"/>
      <c r="I803" s="131"/>
      <c r="J803" s="219"/>
      <c r="K803" s="198"/>
      <c r="L803" s="131"/>
      <c r="M803" s="142"/>
      <c r="N803" s="131"/>
      <c r="O803" s="131"/>
      <c r="P803" s="131"/>
      <c r="Q803" s="131"/>
      <c r="R803" s="131"/>
      <c r="S803" s="131"/>
      <c r="T803" s="131"/>
      <c r="U803" s="131"/>
      <c r="V803" s="131"/>
      <c r="W803" s="131"/>
      <c r="X803" s="131"/>
      <c r="Y803" s="131"/>
      <c r="Z803" s="131"/>
      <c r="AA803" s="131"/>
      <c r="AB803" s="330"/>
      <c r="AC803" s="331"/>
      <c r="AD803" s="332"/>
      <c r="AE803" s="131"/>
      <c r="AF803" s="131"/>
      <c r="AG803" s="131"/>
      <c r="AH803" s="131"/>
      <c r="AI803" s="131"/>
      <c r="AJ803" s="131"/>
      <c r="AK803" s="131"/>
      <c r="AL803" s="131"/>
      <c r="AM803" s="131"/>
      <c r="AN803" s="131"/>
      <c r="AO803" s="142"/>
      <c r="AP803" s="131"/>
    </row>
    <row r="804" ht="13.5" customHeight="1">
      <c r="A804" s="142"/>
      <c r="B804" s="142"/>
      <c r="C804" s="142"/>
      <c r="D804" s="142"/>
      <c r="E804" s="132"/>
      <c r="F804" s="131"/>
      <c r="G804" s="131"/>
      <c r="H804" s="131"/>
      <c r="I804" s="131"/>
      <c r="J804" s="219"/>
      <c r="K804" s="198"/>
      <c r="L804" s="131"/>
      <c r="M804" s="142"/>
      <c r="N804" s="131"/>
      <c r="O804" s="131"/>
      <c r="P804" s="131"/>
      <c r="Q804" s="131"/>
      <c r="R804" s="131"/>
      <c r="S804" s="131"/>
      <c r="T804" s="131"/>
      <c r="U804" s="131"/>
      <c r="V804" s="131"/>
      <c r="W804" s="131"/>
      <c r="X804" s="131"/>
      <c r="Y804" s="131"/>
      <c r="Z804" s="131"/>
      <c r="AA804" s="131"/>
      <c r="AB804" s="330"/>
      <c r="AC804" s="331"/>
      <c r="AD804" s="332"/>
      <c r="AE804" s="131"/>
      <c r="AF804" s="131"/>
      <c r="AG804" s="131"/>
      <c r="AH804" s="131"/>
      <c r="AI804" s="131"/>
      <c r="AJ804" s="131"/>
      <c r="AK804" s="131"/>
      <c r="AL804" s="131"/>
      <c r="AM804" s="131"/>
      <c r="AN804" s="131"/>
      <c r="AO804" s="142"/>
      <c r="AP804" s="131"/>
    </row>
    <row r="805" ht="13.5" customHeight="1">
      <c r="A805" s="142"/>
      <c r="B805" s="142"/>
      <c r="C805" s="142"/>
      <c r="D805" s="142"/>
      <c r="E805" s="132"/>
      <c r="F805" s="131"/>
      <c r="G805" s="131"/>
      <c r="H805" s="131"/>
      <c r="I805" s="131"/>
      <c r="J805" s="219"/>
      <c r="K805" s="198"/>
      <c r="L805" s="131"/>
      <c r="M805" s="142"/>
      <c r="N805" s="131"/>
      <c r="O805" s="131"/>
      <c r="P805" s="131"/>
      <c r="Q805" s="131"/>
      <c r="R805" s="131"/>
      <c r="S805" s="131"/>
      <c r="T805" s="131"/>
      <c r="U805" s="131"/>
      <c r="V805" s="131"/>
      <c r="W805" s="131"/>
      <c r="X805" s="131"/>
      <c r="Y805" s="131"/>
      <c r="Z805" s="131"/>
      <c r="AA805" s="131"/>
      <c r="AB805" s="330"/>
      <c r="AC805" s="331"/>
      <c r="AD805" s="332"/>
      <c r="AE805" s="131"/>
      <c r="AF805" s="131"/>
      <c r="AG805" s="131"/>
      <c r="AH805" s="131"/>
      <c r="AI805" s="131"/>
      <c r="AJ805" s="131"/>
      <c r="AK805" s="131"/>
      <c r="AL805" s="131"/>
      <c r="AM805" s="131"/>
      <c r="AN805" s="131"/>
      <c r="AO805" s="142"/>
      <c r="AP805" s="131"/>
    </row>
    <row r="806" ht="13.5" customHeight="1">
      <c r="A806" s="142"/>
      <c r="B806" s="142"/>
      <c r="C806" s="142"/>
      <c r="D806" s="142"/>
      <c r="E806" s="132"/>
      <c r="F806" s="131"/>
      <c r="G806" s="131"/>
      <c r="H806" s="131"/>
      <c r="I806" s="131"/>
      <c r="J806" s="219"/>
      <c r="K806" s="198"/>
      <c r="L806" s="131"/>
      <c r="M806" s="142"/>
      <c r="N806" s="131"/>
      <c r="O806" s="131"/>
      <c r="P806" s="131"/>
      <c r="Q806" s="131"/>
      <c r="R806" s="131"/>
      <c r="S806" s="131"/>
      <c r="T806" s="131"/>
      <c r="U806" s="131"/>
      <c r="V806" s="131"/>
      <c r="W806" s="131"/>
      <c r="X806" s="131"/>
      <c r="Y806" s="131"/>
      <c r="Z806" s="131"/>
      <c r="AA806" s="131"/>
      <c r="AB806" s="330"/>
      <c r="AC806" s="331"/>
      <c r="AD806" s="332"/>
      <c r="AE806" s="131"/>
      <c r="AF806" s="131"/>
      <c r="AG806" s="131"/>
      <c r="AH806" s="131"/>
      <c r="AI806" s="131"/>
      <c r="AJ806" s="131"/>
      <c r="AK806" s="131"/>
      <c r="AL806" s="131"/>
      <c r="AM806" s="131"/>
      <c r="AN806" s="131"/>
      <c r="AO806" s="142"/>
      <c r="AP806" s="131"/>
    </row>
    <row r="807" ht="13.5" customHeight="1">
      <c r="A807" s="142"/>
      <c r="B807" s="142"/>
      <c r="C807" s="142"/>
      <c r="D807" s="142"/>
      <c r="E807" s="132"/>
      <c r="F807" s="131"/>
      <c r="G807" s="131"/>
      <c r="H807" s="131"/>
      <c r="I807" s="131"/>
      <c r="J807" s="219"/>
      <c r="K807" s="198"/>
      <c r="L807" s="131"/>
      <c r="M807" s="142"/>
      <c r="N807" s="131"/>
      <c r="O807" s="131"/>
      <c r="P807" s="131"/>
      <c r="Q807" s="131"/>
      <c r="R807" s="131"/>
      <c r="S807" s="131"/>
      <c r="T807" s="131"/>
      <c r="U807" s="131"/>
      <c r="V807" s="131"/>
      <c r="W807" s="131"/>
      <c r="X807" s="131"/>
      <c r="Y807" s="131"/>
      <c r="Z807" s="131"/>
      <c r="AA807" s="131"/>
      <c r="AB807" s="330"/>
      <c r="AC807" s="331"/>
      <c r="AD807" s="332"/>
      <c r="AE807" s="131"/>
      <c r="AF807" s="131"/>
      <c r="AG807" s="131"/>
      <c r="AH807" s="131"/>
      <c r="AI807" s="131"/>
      <c r="AJ807" s="131"/>
      <c r="AK807" s="131"/>
      <c r="AL807" s="131"/>
      <c r="AM807" s="131"/>
      <c r="AN807" s="131"/>
      <c r="AO807" s="142"/>
      <c r="AP807" s="131"/>
    </row>
    <row r="808" ht="13.5" customHeight="1">
      <c r="A808" s="142"/>
      <c r="B808" s="142"/>
      <c r="C808" s="142"/>
      <c r="D808" s="142"/>
      <c r="E808" s="132"/>
      <c r="F808" s="131"/>
      <c r="G808" s="131"/>
      <c r="H808" s="131"/>
      <c r="I808" s="131"/>
      <c r="J808" s="219"/>
      <c r="K808" s="198"/>
      <c r="L808" s="131"/>
      <c r="M808" s="142"/>
      <c r="N808" s="131"/>
      <c r="O808" s="131"/>
      <c r="P808" s="131"/>
      <c r="Q808" s="131"/>
      <c r="R808" s="131"/>
      <c r="S808" s="131"/>
      <c r="T808" s="131"/>
      <c r="U808" s="131"/>
      <c r="V808" s="131"/>
      <c r="W808" s="131"/>
      <c r="X808" s="131"/>
      <c r="Y808" s="131"/>
      <c r="Z808" s="131"/>
      <c r="AA808" s="131"/>
      <c r="AB808" s="330"/>
      <c r="AC808" s="331"/>
      <c r="AD808" s="332"/>
      <c r="AE808" s="131"/>
      <c r="AF808" s="131"/>
      <c r="AG808" s="131"/>
      <c r="AH808" s="131"/>
      <c r="AI808" s="131"/>
      <c r="AJ808" s="131"/>
      <c r="AK808" s="131"/>
      <c r="AL808" s="131"/>
      <c r="AM808" s="131"/>
      <c r="AN808" s="131"/>
      <c r="AO808" s="142"/>
      <c r="AP808" s="131"/>
    </row>
    <row r="809" ht="13.5" customHeight="1">
      <c r="A809" s="142"/>
      <c r="B809" s="142"/>
      <c r="C809" s="142"/>
      <c r="D809" s="142"/>
      <c r="E809" s="132"/>
      <c r="F809" s="131"/>
      <c r="G809" s="131"/>
      <c r="H809" s="131"/>
      <c r="I809" s="131"/>
      <c r="J809" s="219"/>
      <c r="K809" s="198"/>
      <c r="L809" s="131"/>
      <c r="M809" s="142"/>
      <c r="N809" s="131"/>
      <c r="O809" s="131"/>
      <c r="P809" s="131"/>
      <c r="Q809" s="131"/>
      <c r="R809" s="131"/>
      <c r="S809" s="131"/>
      <c r="T809" s="131"/>
      <c r="U809" s="131"/>
      <c r="V809" s="131"/>
      <c r="W809" s="131"/>
      <c r="X809" s="131"/>
      <c r="Y809" s="131"/>
      <c r="Z809" s="131"/>
      <c r="AA809" s="131"/>
      <c r="AB809" s="330"/>
      <c r="AC809" s="331"/>
      <c r="AD809" s="332"/>
      <c r="AE809" s="131"/>
      <c r="AF809" s="131"/>
      <c r="AG809" s="131"/>
      <c r="AH809" s="131"/>
      <c r="AI809" s="131"/>
      <c r="AJ809" s="131"/>
      <c r="AK809" s="131"/>
      <c r="AL809" s="131"/>
      <c r="AM809" s="131"/>
      <c r="AN809" s="131"/>
      <c r="AO809" s="142"/>
      <c r="AP809" s="131"/>
    </row>
    <row r="810" ht="13.5" customHeight="1">
      <c r="A810" s="142"/>
      <c r="B810" s="142"/>
      <c r="C810" s="142"/>
      <c r="D810" s="142"/>
      <c r="E810" s="132"/>
      <c r="F810" s="131"/>
      <c r="G810" s="131"/>
      <c r="H810" s="131"/>
      <c r="I810" s="131"/>
      <c r="J810" s="219"/>
      <c r="K810" s="198"/>
      <c r="L810" s="131"/>
      <c r="M810" s="142"/>
      <c r="N810" s="131"/>
      <c r="O810" s="131"/>
      <c r="P810" s="131"/>
      <c r="Q810" s="131"/>
      <c r="R810" s="131"/>
      <c r="S810" s="131"/>
      <c r="T810" s="131"/>
      <c r="U810" s="131"/>
      <c r="V810" s="131"/>
      <c r="W810" s="131"/>
      <c r="X810" s="131"/>
      <c r="Y810" s="131"/>
      <c r="Z810" s="131"/>
      <c r="AA810" s="131"/>
      <c r="AB810" s="330"/>
      <c r="AC810" s="331"/>
      <c r="AD810" s="332"/>
      <c r="AE810" s="131"/>
      <c r="AF810" s="131"/>
      <c r="AG810" s="131"/>
      <c r="AH810" s="131"/>
      <c r="AI810" s="131"/>
      <c r="AJ810" s="131"/>
      <c r="AK810" s="131"/>
      <c r="AL810" s="131"/>
      <c r="AM810" s="131"/>
      <c r="AN810" s="131"/>
      <c r="AO810" s="142"/>
      <c r="AP810" s="131"/>
    </row>
    <row r="811" ht="13.5" customHeight="1">
      <c r="A811" s="142"/>
      <c r="B811" s="142"/>
      <c r="C811" s="142"/>
      <c r="D811" s="142"/>
      <c r="E811" s="132"/>
      <c r="F811" s="131"/>
      <c r="G811" s="131"/>
      <c r="H811" s="131"/>
      <c r="I811" s="131"/>
      <c r="J811" s="219"/>
      <c r="K811" s="198"/>
      <c r="L811" s="131"/>
      <c r="M811" s="142"/>
      <c r="N811" s="131"/>
      <c r="O811" s="131"/>
      <c r="P811" s="131"/>
      <c r="Q811" s="131"/>
      <c r="R811" s="131"/>
      <c r="S811" s="131"/>
      <c r="T811" s="131"/>
      <c r="U811" s="131"/>
      <c r="V811" s="131"/>
      <c r="W811" s="131"/>
      <c r="X811" s="131"/>
      <c r="Y811" s="131"/>
      <c r="Z811" s="131"/>
      <c r="AA811" s="131"/>
      <c r="AB811" s="330"/>
      <c r="AC811" s="331"/>
      <c r="AD811" s="332"/>
      <c r="AE811" s="131"/>
      <c r="AF811" s="131"/>
      <c r="AG811" s="131"/>
      <c r="AH811" s="131"/>
      <c r="AI811" s="131"/>
      <c r="AJ811" s="131"/>
      <c r="AK811" s="131"/>
      <c r="AL811" s="131"/>
      <c r="AM811" s="131"/>
      <c r="AN811" s="131"/>
      <c r="AO811" s="142"/>
      <c r="AP811" s="131"/>
    </row>
    <row r="812" ht="13.5" customHeight="1">
      <c r="A812" s="142"/>
      <c r="B812" s="142"/>
      <c r="C812" s="142"/>
      <c r="D812" s="142"/>
      <c r="E812" s="132"/>
      <c r="F812" s="131"/>
      <c r="G812" s="131"/>
      <c r="H812" s="131"/>
      <c r="I812" s="131"/>
      <c r="J812" s="219"/>
      <c r="K812" s="198"/>
      <c r="L812" s="131"/>
      <c r="M812" s="142"/>
      <c r="N812" s="131"/>
      <c r="O812" s="131"/>
      <c r="P812" s="131"/>
      <c r="Q812" s="131"/>
      <c r="R812" s="131"/>
      <c r="S812" s="131"/>
      <c r="T812" s="131"/>
      <c r="U812" s="131"/>
      <c r="V812" s="131"/>
      <c r="W812" s="131"/>
      <c r="X812" s="131"/>
      <c r="Y812" s="131"/>
      <c r="Z812" s="131"/>
      <c r="AA812" s="131"/>
      <c r="AB812" s="330"/>
      <c r="AC812" s="331"/>
      <c r="AD812" s="332"/>
      <c r="AE812" s="131"/>
      <c r="AF812" s="131"/>
      <c r="AG812" s="131"/>
      <c r="AH812" s="131"/>
      <c r="AI812" s="131"/>
      <c r="AJ812" s="131"/>
      <c r="AK812" s="131"/>
      <c r="AL812" s="131"/>
      <c r="AM812" s="131"/>
      <c r="AN812" s="131"/>
      <c r="AO812" s="142"/>
      <c r="AP812" s="131"/>
    </row>
    <row r="813" ht="13.5" customHeight="1">
      <c r="A813" s="142"/>
      <c r="B813" s="142"/>
      <c r="C813" s="142"/>
      <c r="D813" s="142"/>
      <c r="E813" s="132"/>
      <c r="F813" s="131"/>
      <c r="G813" s="131"/>
      <c r="H813" s="131"/>
      <c r="I813" s="131"/>
      <c r="J813" s="219"/>
      <c r="K813" s="198"/>
      <c r="L813" s="131"/>
      <c r="M813" s="142"/>
      <c r="N813" s="131"/>
      <c r="O813" s="131"/>
      <c r="P813" s="131"/>
      <c r="Q813" s="131"/>
      <c r="R813" s="131"/>
      <c r="S813" s="131"/>
      <c r="T813" s="131"/>
      <c r="U813" s="131"/>
      <c r="V813" s="131"/>
      <c r="W813" s="131"/>
      <c r="X813" s="131"/>
      <c r="Y813" s="131"/>
      <c r="Z813" s="131"/>
      <c r="AA813" s="131"/>
      <c r="AB813" s="330"/>
      <c r="AC813" s="331"/>
      <c r="AD813" s="332"/>
      <c r="AE813" s="131"/>
      <c r="AF813" s="131"/>
      <c r="AG813" s="131"/>
      <c r="AH813" s="131"/>
      <c r="AI813" s="131"/>
      <c r="AJ813" s="131"/>
      <c r="AK813" s="131"/>
      <c r="AL813" s="131"/>
      <c r="AM813" s="131"/>
      <c r="AN813" s="131"/>
      <c r="AO813" s="142"/>
      <c r="AP813" s="131"/>
    </row>
    <row r="814" ht="13.5" customHeight="1">
      <c r="A814" s="142"/>
      <c r="B814" s="142"/>
      <c r="C814" s="142"/>
      <c r="D814" s="142"/>
      <c r="E814" s="132"/>
      <c r="F814" s="131"/>
      <c r="G814" s="131"/>
      <c r="H814" s="131"/>
      <c r="I814" s="131"/>
      <c r="J814" s="219"/>
      <c r="K814" s="198"/>
      <c r="L814" s="131"/>
      <c r="M814" s="142"/>
      <c r="N814" s="131"/>
      <c r="O814" s="131"/>
      <c r="P814" s="131"/>
      <c r="Q814" s="131"/>
      <c r="R814" s="131"/>
      <c r="S814" s="131"/>
      <c r="T814" s="131"/>
      <c r="U814" s="131"/>
      <c r="V814" s="131"/>
      <c r="W814" s="131"/>
      <c r="X814" s="131"/>
      <c r="Y814" s="131"/>
      <c r="Z814" s="131"/>
      <c r="AA814" s="131"/>
      <c r="AB814" s="330"/>
      <c r="AC814" s="331"/>
      <c r="AD814" s="332"/>
      <c r="AE814" s="131"/>
      <c r="AF814" s="131"/>
      <c r="AG814" s="131"/>
      <c r="AH814" s="131"/>
      <c r="AI814" s="131"/>
      <c r="AJ814" s="131"/>
      <c r="AK814" s="131"/>
      <c r="AL814" s="131"/>
      <c r="AM814" s="131"/>
      <c r="AN814" s="131"/>
      <c r="AO814" s="142"/>
      <c r="AP814" s="131"/>
    </row>
    <row r="815" ht="13.5" customHeight="1">
      <c r="A815" s="142"/>
      <c r="B815" s="142"/>
      <c r="C815" s="142"/>
      <c r="D815" s="142"/>
      <c r="E815" s="132"/>
      <c r="F815" s="131"/>
      <c r="G815" s="131"/>
      <c r="H815" s="131"/>
      <c r="I815" s="131"/>
      <c r="J815" s="219"/>
      <c r="K815" s="198"/>
      <c r="L815" s="131"/>
      <c r="M815" s="142"/>
      <c r="N815" s="131"/>
      <c r="O815" s="131"/>
      <c r="P815" s="131"/>
      <c r="Q815" s="131"/>
      <c r="R815" s="131"/>
      <c r="S815" s="131"/>
      <c r="T815" s="131"/>
      <c r="U815" s="131"/>
      <c r="V815" s="131"/>
      <c r="W815" s="131"/>
      <c r="X815" s="131"/>
      <c r="Y815" s="131"/>
      <c r="Z815" s="131"/>
      <c r="AA815" s="131"/>
      <c r="AB815" s="330"/>
      <c r="AC815" s="331"/>
      <c r="AD815" s="332"/>
      <c r="AE815" s="131"/>
      <c r="AF815" s="131"/>
      <c r="AG815" s="131"/>
      <c r="AH815" s="131"/>
      <c r="AI815" s="131"/>
      <c r="AJ815" s="131"/>
      <c r="AK815" s="131"/>
      <c r="AL815" s="131"/>
      <c r="AM815" s="131"/>
      <c r="AN815" s="131"/>
      <c r="AO815" s="142"/>
      <c r="AP815" s="131"/>
    </row>
    <row r="816" ht="13.5" customHeight="1">
      <c r="A816" s="142"/>
      <c r="B816" s="142"/>
      <c r="C816" s="142"/>
      <c r="D816" s="142"/>
      <c r="E816" s="132"/>
      <c r="F816" s="131"/>
      <c r="G816" s="131"/>
      <c r="H816" s="131"/>
      <c r="I816" s="131"/>
      <c r="J816" s="219"/>
      <c r="K816" s="198"/>
      <c r="L816" s="131"/>
      <c r="M816" s="142"/>
      <c r="N816" s="131"/>
      <c r="O816" s="131"/>
      <c r="P816" s="131"/>
      <c r="Q816" s="131"/>
      <c r="R816" s="131"/>
      <c r="S816" s="131"/>
      <c r="T816" s="131"/>
      <c r="U816" s="131"/>
      <c r="V816" s="131"/>
      <c r="W816" s="131"/>
      <c r="X816" s="131"/>
      <c r="Y816" s="131"/>
      <c r="Z816" s="131"/>
      <c r="AA816" s="131"/>
      <c r="AB816" s="330"/>
      <c r="AC816" s="331"/>
      <c r="AD816" s="332"/>
      <c r="AE816" s="131"/>
      <c r="AF816" s="131"/>
      <c r="AG816" s="131"/>
      <c r="AH816" s="131"/>
      <c r="AI816" s="131"/>
      <c r="AJ816" s="131"/>
      <c r="AK816" s="131"/>
      <c r="AL816" s="131"/>
      <c r="AM816" s="131"/>
      <c r="AN816" s="131"/>
      <c r="AO816" s="142"/>
      <c r="AP816" s="131"/>
    </row>
    <row r="817" ht="13.5" customHeight="1">
      <c r="A817" s="142"/>
      <c r="B817" s="142"/>
      <c r="C817" s="142"/>
      <c r="D817" s="142"/>
      <c r="E817" s="132"/>
      <c r="F817" s="131"/>
      <c r="G817" s="131"/>
      <c r="H817" s="131"/>
      <c r="I817" s="131"/>
      <c r="J817" s="219"/>
      <c r="K817" s="198"/>
      <c r="L817" s="131"/>
      <c r="M817" s="142"/>
      <c r="N817" s="131"/>
      <c r="O817" s="131"/>
      <c r="P817" s="131"/>
      <c r="Q817" s="131"/>
      <c r="R817" s="131"/>
      <c r="S817" s="131"/>
      <c r="T817" s="131"/>
      <c r="U817" s="131"/>
      <c r="V817" s="131"/>
      <c r="W817" s="131"/>
      <c r="X817" s="131"/>
      <c r="Y817" s="131"/>
      <c r="Z817" s="131"/>
      <c r="AA817" s="131"/>
      <c r="AB817" s="330"/>
      <c r="AC817" s="331"/>
      <c r="AD817" s="332"/>
      <c r="AE817" s="131"/>
      <c r="AF817" s="131"/>
      <c r="AG817" s="131"/>
      <c r="AH817" s="131"/>
      <c r="AI817" s="131"/>
      <c r="AJ817" s="131"/>
      <c r="AK817" s="131"/>
      <c r="AL817" s="131"/>
      <c r="AM817" s="131"/>
      <c r="AN817" s="131"/>
      <c r="AO817" s="142"/>
      <c r="AP817" s="131"/>
    </row>
    <row r="818" ht="13.5" customHeight="1">
      <c r="A818" s="142"/>
      <c r="B818" s="142"/>
      <c r="C818" s="142"/>
      <c r="D818" s="142"/>
      <c r="E818" s="132"/>
      <c r="F818" s="131"/>
      <c r="G818" s="131"/>
      <c r="H818" s="131"/>
      <c r="I818" s="131"/>
      <c r="J818" s="219"/>
      <c r="K818" s="198"/>
      <c r="L818" s="131"/>
      <c r="M818" s="142"/>
      <c r="N818" s="131"/>
      <c r="O818" s="131"/>
      <c r="P818" s="131"/>
      <c r="Q818" s="131"/>
      <c r="R818" s="131"/>
      <c r="S818" s="131"/>
      <c r="T818" s="131"/>
      <c r="U818" s="131"/>
      <c r="V818" s="131"/>
      <c r="W818" s="131"/>
      <c r="X818" s="131"/>
      <c r="Y818" s="131"/>
      <c r="Z818" s="131"/>
      <c r="AA818" s="131"/>
      <c r="AB818" s="330"/>
      <c r="AC818" s="331"/>
      <c r="AD818" s="332"/>
      <c r="AE818" s="131"/>
      <c r="AF818" s="131"/>
      <c r="AG818" s="131"/>
      <c r="AH818" s="131"/>
      <c r="AI818" s="131"/>
      <c r="AJ818" s="131"/>
      <c r="AK818" s="131"/>
      <c r="AL818" s="131"/>
      <c r="AM818" s="131"/>
      <c r="AN818" s="131"/>
      <c r="AO818" s="142"/>
      <c r="AP818" s="131"/>
    </row>
    <row r="819" ht="13.5" customHeight="1">
      <c r="A819" s="142"/>
      <c r="B819" s="142"/>
      <c r="C819" s="142"/>
      <c r="D819" s="142"/>
      <c r="E819" s="132"/>
      <c r="F819" s="131"/>
      <c r="G819" s="131"/>
      <c r="H819" s="131"/>
      <c r="I819" s="131"/>
      <c r="J819" s="219"/>
      <c r="K819" s="198"/>
      <c r="L819" s="131"/>
      <c r="M819" s="142"/>
      <c r="N819" s="131"/>
      <c r="O819" s="131"/>
      <c r="P819" s="131"/>
      <c r="Q819" s="131"/>
      <c r="R819" s="131"/>
      <c r="S819" s="131"/>
      <c r="T819" s="131"/>
      <c r="U819" s="131"/>
      <c r="V819" s="131"/>
      <c r="W819" s="131"/>
      <c r="X819" s="131"/>
      <c r="Y819" s="131"/>
      <c r="Z819" s="131"/>
      <c r="AA819" s="131"/>
      <c r="AB819" s="330"/>
      <c r="AC819" s="331"/>
      <c r="AD819" s="332"/>
      <c r="AE819" s="131"/>
      <c r="AF819" s="131"/>
      <c r="AG819" s="131"/>
      <c r="AH819" s="131"/>
      <c r="AI819" s="131"/>
      <c r="AJ819" s="131"/>
      <c r="AK819" s="131"/>
      <c r="AL819" s="131"/>
      <c r="AM819" s="131"/>
      <c r="AN819" s="131"/>
      <c r="AO819" s="142"/>
      <c r="AP819" s="131"/>
    </row>
    <row r="820" ht="13.5" customHeight="1">
      <c r="A820" s="142"/>
      <c r="B820" s="142"/>
      <c r="C820" s="142"/>
      <c r="D820" s="142"/>
      <c r="E820" s="132"/>
      <c r="F820" s="131"/>
      <c r="G820" s="131"/>
      <c r="H820" s="131"/>
      <c r="I820" s="131"/>
      <c r="J820" s="219"/>
      <c r="K820" s="198"/>
      <c r="L820" s="131"/>
      <c r="M820" s="142"/>
      <c r="N820" s="131"/>
      <c r="O820" s="131"/>
      <c r="P820" s="131"/>
      <c r="Q820" s="131"/>
      <c r="R820" s="131"/>
      <c r="S820" s="131"/>
      <c r="T820" s="131"/>
      <c r="U820" s="131"/>
      <c r="V820" s="131"/>
      <c r="W820" s="131"/>
      <c r="X820" s="131"/>
      <c r="Y820" s="131"/>
      <c r="Z820" s="131"/>
      <c r="AA820" s="131"/>
      <c r="AB820" s="330"/>
      <c r="AC820" s="331"/>
      <c r="AD820" s="332"/>
      <c r="AE820" s="131"/>
      <c r="AF820" s="131"/>
      <c r="AG820" s="131"/>
      <c r="AH820" s="131"/>
      <c r="AI820" s="131"/>
      <c r="AJ820" s="131"/>
      <c r="AK820" s="131"/>
      <c r="AL820" s="131"/>
      <c r="AM820" s="131"/>
      <c r="AN820" s="131"/>
      <c r="AO820" s="142"/>
      <c r="AP820" s="131"/>
    </row>
    <row r="821" ht="13.5" customHeight="1">
      <c r="A821" s="142"/>
      <c r="B821" s="142"/>
      <c r="C821" s="142"/>
      <c r="D821" s="142"/>
      <c r="E821" s="132"/>
      <c r="F821" s="131"/>
      <c r="G821" s="131"/>
      <c r="H821" s="131"/>
      <c r="I821" s="131"/>
      <c r="J821" s="219"/>
      <c r="K821" s="198"/>
      <c r="L821" s="131"/>
      <c r="M821" s="142"/>
      <c r="N821" s="131"/>
      <c r="O821" s="131"/>
      <c r="P821" s="131"/>
      <c r="Q821" s="131"/>
      <c r="R821" s="131"/>
      <c r="S821" s="131"/>
      <c r="T821" s="131"/>
      <c r="U821" s="131"/>
      <c r="V821" s="131"/>
      <c r="W821" s="131"/>
      <c r="X821" s="131"/>
      <c r="Y821" s="131"/>
      <c r="Z821" s="131"/>
      <c r="AA821" s="131"/>
      <c r="AB821" s="330"/>
      <c r="AC821" s="331"/>
      <c r="AD821" s="332"/>
      <c r="AE821" s="131"/>
      <c r="AF821" s="131"/>
      <c r="AG821" s="131"/>
      <c r="AH821" s="131"/>
      <c r="AI821" s="131"/>
      <c r="AJ821" s="131"/>
      <c r="AK821" s="131"/>
      <c r="AL821" s="131"/>
      <c r="AM821" s="131"/>
      <c r="AN821" s="131"/>
      <c r="AO821" s="142"/>
      <c r="AP821" s="131"/>
    </row>
    <row r="822" ht="13.5" customHeight="1">
      <c r="A822" s="142"/>
      <c r="B822" s="142"/>
      <c r="C822" s="142"/>
      <c r="D822" s="142"/>
      <c r="E822" s="132"/>
      <c r="F822" s="131"/>
      <c r="G822" s="131"/>
      <c r="H822" s="131"/>
      <c r="I822" s="131"/>
      <c r="J822" s="219"/>
      <c r="K822" s="198"/>
      <c r="L822" s="131"/>
      <c r="M822" s="142"/>
      <c r="N822" s="131"/>
      <c r="O822" s="131"/>
      <c r="P822" s="131"/>
      <c r="Q822" s="131"/>
      <c r="R822" s="131"/>
      <c r="S822" s="131"/>
      <c r="T822" s="131"/>
      <c r="U822" s="131"/>
      <c r="V822" s="131"/>
      <c r="W822" s="131"/>
      <c r="X822" s="131"/>
      <c r="Y822" s="131"/>
      <c r="Z822" s="131"/>
      <c r="AA822" s="131"/>
      <c r="AB822" s="330"/>
      <c r="AC822" s="331"/>
      <c r="AD822" s="332"/>
      <c r="AE822" s="131"/>
      <c r="AF822" s="131"/>
      <c r="AG822" s="131"/>
      <c r="AH822" s="131"/>
      <c r="AI822" s="131"/>
      <c r="AJ822" s="131"/>
      <c r="AK822" s="131"/>
      <c r="AL822" s="131"/>
      <c r="AM822" s="131"/>
      <c r="AN822" s="131"/>
      <c r="AO822" s="142"/>
      <c r="AP822" s="131"/>
    </row>
    <row r="823" ht="13.5" customHeight="1">
      <c r="A823" s="142"/>
      <c r="B823" s="142"/>
      <c r="C823" s="142"/>
      <c r="D823" s="142"/>
      <c r="E823" s="132"/>
      <c r="F823" s="131"/>
      <c r="G823" s="131"/>
      <c r="H823" s="131"/>
      <c r="I823" s="131"/>
      <c r="J823" s="219"/>
      <c r="K823" s="198"/>
      <c r="L823" s="131"/>
      <c r="M823" s="142"/>
      <c r="N823" s="131"/>
      <c r="O823" s="131"/>
      <c r="P823" s="131"/>
      <c r="Q823" s="131"/>
      <c r="R823" s="131"/>
      <c r="S823" s="131"/>
      <c r="T823" s="131"/>
      <c r="U823" s="131"/>
      <c r="V823" s="131"/>
      <c r="W823" s="131"/>
      <c r="X823" s="131"/>
      <c r="Y823" s="131"/>
      <c r="Z823" s="131"/>
      <c r="AA823" s="131"/>
      <c r="AB823" s="330"/>
      <c r="AC823" s="331"/>
      <c r="AD823" s="332"/>
      <c r="AE823" s="131"/>
      <c r="AF823" s="131"/>
      <c r="AG823" s="131"/>
      <c r="AH823" s="131"/>
      <c r="AI823" s="131"/>
      <c r="AJ823" s="131"/>
      <c r="AK823" s="131"/>
      <c r="AL823" s="131"/>
      <c r="AM823" s="131"/>
      <c r="AN823" s="131"/>
      <c r="AO823" s="142"/>
      <c r="AP823" s="131"/>
    </row>
    <row r="824" ht="13.5" customHeight="1">
      <c r="A824" s="142"/>
      <c r="B824" s="142"/>
      <c r="C824" s="142"/>
      <c r="D824" s="142"/>
      <c r="E824" s="132"/>
      <c r="F824" s="131"/>
      <c r="G824" s="131"/>
      <c r="H824" s="131"/>
      <c r="I824" s="131"/>
      <c r="J824" s="219"/>
      <c r="K824" s="198"/>
      <c r="L824" s="131"/>
      <c r="M824" s="142"/>
      <c r="N824" s="131"/>
      <c r="O824" s="131"/>
      <c r="P824" s="131"/>
      <c r="Q824" s="131"/>
      <c r="R824" s="131"/>
      <c r="S824" s="131"/>
      <c r="T824" s="131"/>
      <c r="U824" s="131"/>
      <c r="V824" s="131"/>
      <c r="W824" s="131"/>
      <c r="X824" s="131"/>
      <c r="Y824" s="131"/>
      <c r="Z824" s="131"/>
      <c r="AA824" s="131"/>
      <c r="AB824" s="330"/>
      <c r="AC824" s="331"/>
      <c r="AD824" s="332"/>
      <c r="AE824" s="131"/>
      <c r="AF824" s="131"/>
      <c r="AG824" s="131"/>
      <c r="AH824" s="131"/>
      <c r="AI824" s="131"/>
      <c r="AJ824" s="131"/>
      <c r="AK824" s="131"/>
      <c r="AL824" s="131"/>
      <c r="AM824" s="131"/>
      <c r="AN824" s="131"/>
      <c r="AO824" s="142"/>
      <c r="AP824" s="131"/>
    </row>
    <row r="825" ht="13.5" customHeight="1">
      <c r="A825" s="142"/>
      <c r="B825" s="142"/>
      <c r="C825" s="142"/>
      <c r="D825" s="142"/>
      <c r="E825" s="132"/>
      <c r="F825" s="131"/>
      <c r="G825" s="131"/>
      <c r="H825" s="131"/>
      <c r="I825" s="131"/>
      <c r="J825" s="219"/>
      <c r="K825" s="198"/>
      <c r="L825" s="131"/>
      <c r="M825" s="142"/>
      <c r="N825" s="131"/>
      <c r="O825" s="131"/>
      <c r="P825" s="131"/>
      <c r="Q825" s="131"/>
      <c r="R825" s="131"/>
      <c r="S825" s="131"/>
      <c r="T825" s="131"/>
      <c r="U825" s="131"/>
      <c r="V825" s="131"/>
      <c r="W825" s="131"/>
      <c r="X825" s="131"/>
      <c r="Y825" s="131"/>
      <c r="Z825" s="131"/>
      <c r="AA825" s="131"/>
      <c r="AB825" s="330"/>
      <c r="AC825" s="331"/>
      <c r="AD825" s="332"/>
      <c r="AE825" s="131"/>
      <c r="AF825" s="131"/>
      <c r="AG825" s="131"/>
      <c r="AH825" s="131"/>
      <c r="AI825" s="131"/>
      <c r="AJ825" s="131"/>
      <c r="AK825" s="131"/>
      <c r="AL825" s="131"/>
      <c r="AM825" s="131"/>
      <c r="AN825" s="131"/>
      <c r="AO825" s="142"/>
      <c r="AP825" s="131"/>
    </row>
    <row r="826" ht="13.5" customHeight="1">
      <c r="A826" s="142"/>
      <c r="B826" s="142"/>
      <c r="C826" s="142"/>
      <c r="D826" s="142"/>
      <c r="E826" s="132"/>
      <c r="F826" s="131"/>
      <c r="G826" s="131"/>
      <c r="H826" s="131"/>
      <c r="I826" s="131"/>
      <c r="J826" s="219"/>
      <c r="K826" s="198"/>
      <c r="L826" s="131"/>
      <c r="M826" s="142"/>
      <c r="N826" s="131"/>
      <c r="O826" s="131"/>
      <c r="P826" s="131"/>
      <c r="Q826" s="131"/>
      <c r="R826" s="131"/>
      <c r="S826" s="131"/>
      <c r="T826" s="131"/>
      <c r="U826" s="131"/>
      <c r="V826" s="131"/>
      <c r="W826" s="131"/>
      <c r="X826" s="131"/>
      <c r="Y826" s="131"/>
      <c r="Z826" s="131"/>
      <c r="AA826" s="131"/>
      <c r="AB826" s="330"/>
      <c r="AC826" s="331"/>
      <c r="AD826" s="332"/>
      <c r="AE826" s="131"/>
      <c r="AF826" s="131"/>
      <c r="AG826" s="131"/>
      <c r="AH826" s="131"/>
      <c r="AI826" s="131"/>
      <c r="AJ826" s="131"/>
      <c r="AK826" s="131"/>
      <c r="AL826" s="131"/>
      <c r="AM826" s="131"/>
      <c r="AN826" s="131"/>
      <c r="AO826" s="142"/>
      <c r="AP826" s="131"/>
    </row>
    <row r="827" ht="13.5" customHeight="1">
      <c r="A827" s="142"/>
      <c r="B827" s="142"/>
      <c r="C827" s="142"/>
      <c r="D827" s="142"/>
      <c r="E827" s="132"/>
      <c r="F827" s="131"/>
      <c r="G827" s="131"/>
      <c r="H827" s="131"/>
      <c r="I827" s="131"/>
      <c r="J827" s="219"/>
      <c r="K827" s="198"/>
      <c r="L827" s="131"/>
      <c r="M827" s="142"/>
      <c r="N827" s="131"/>
      <c r="O827" s="131"/>
      <c r="P827" s="131"/>
      <c r="Q827" s="131"/>
      <c r="R827" s="131"/>
      <c r="S827" s="131"/>
      <c r="T827" s="131"/>
      <c r="U827" s="131"/>
      <c r="V827" s="131"/>
      <c r="W827" s="131"/>
      <c r="X827" s="131"/>
      <c r="Y827" s="131"/>
      <c r="Z827" s="131"/>
      <c r="AA827" s="131"/>
      <c r="AB827" s="330"/>
      <c r="AC827" s="331"/>
      <c r="AD827" s="332"/>
      <c r="AE827" s="131"/>
      <c r="AF827" s="131"/>
      <c r="AG827" s="131"/>
      <c r="AH827" s="131"/>
      <c r="AI827" s="131"/>
      <c r="AJ827" s="131"/>
      <c r="AK827" s="131"/>
      <c r="AL827" s="131"/>
      <c r="AM827" s="131"/>
      <c r="AN827" s="131"/>
      <c r="AO827" s="142"/>
      <c r="AP827" s="131"/>
    </row>
    <row r="828" ht="13.5" customHeight="1">
      <c r="A828" s="142"/>
      <c r="B828" s="142"/>
      <c r="C828" s="142"/>
      <c r="D828" s="142"/>
      <c r="E828" s="132"/>
      <c r="F828" s="131"/>
      <c r="G828" s="131"/>
      <c r="H828" s="131"/>
      <c r="I828" s="131"/>
      <c r="J828" s="219"/>
      <c r="K828" s="198"/>
      <c r="L828" s="131"/>
      <c r="M828" s="142"/>
      <c r="N828" s="131"/>
      <c r="O828" s="131"/>
      <c r="P828" s="131"/>
      <c r="Q828" s="131"/>
      <c r="R828" s="131"/>
      <c r="S828" s="131"/>
      <c r="T828" s="131"/>
      <c r="U828" s="131"/>
      <c r="V828" s="131"/>
      <c r="W828" s="131"/>
      <c r="X828" s="131"/>
      <c r="Y828" s="131"/>
      <c r="Z828" s="131"/>
      <c r="AA828" s="131"/>
      <c r="AB828" s="330"/>
      <c r="AC828" s="331"/>
      <c r="AD828" s="332"/>
      <c r="AE828" s="131"/>
      <c r="AF828" s="131"/>
      <c r="AG828" s="131"/>
      <c r="AH828" s="131"/>
      <c r="AI828" s="131"/>
      <c r="AJ828" s="131"/>
      <c r="AK828" s="131"/>
      <c r="AL828" s="131"/>
      <c r="AM828" s="131"/>
      <c r="AN828" s="131"/>
      <c r="AO828" s="142"/>
      <c r="AP828" s="131"/>
    </row>
    <row r="829" ht="13.5" customHeight="1">
      <c r="A829" s="142"/>
      <c r="B829" s="142"/>
      <c r="C829" s="142"/>
      <c r="D829" s="142"/>
      <c r="E829" s="132"/>
      <c r="F829" s="131"/>
      <c r="G829" s="131"/>
      <c r="H829" s="131"/>
      <c r="I829" s="131"/>
      <c r="J829" s="219"/>
      <c r="K829" s="198"/>
      <c r="L829" s="131"/>
      <c r="M829" s="142"/>
      <c r="N829" s="131"/>
      <c r="O829" s="131"/>
      <c r="P829" s="131"/>
      <c r="Q829" s="131"/>
      <c r="R829" s="131"/>
      <c r="S829" s="131"/>
      <c r="T829" s="131"/>
      <c r="U829" s="131"/>
      <c r="V829" s="131"/>
      <c r="W829" s="131"/>
      <c r="X829" s="131"/>
      <c r="Y829" s="131"/>
      <c r="Z829" s="131"/>
      <c r="AA829" s="131"/>
      <c r="AB829" s="330"/>
      <c r="AC829" s="331"/>
      <c r="AD829" s="332"/>
      <c r="AE829" s="131"/>
      <c r="AF829" s="131"/>
      <c r="AG829" s="131"/>
      <c r="AH829" s="131"/>
      <c r="AI829" s="131"/>
      <c r="AJ829" s="131"/>
      <c r="AK829" s="131"/>
      <c r="AL829" s="131"/>
      <c r="AM829" s="131"/>
      <c r="AN829" s="131"/>
      <c r="AO829" s="142"/>
      <c r="AP829" s="131"/>
    </row>
    <row r="830" ht="13.5" customHeight="1">
      <c r="A830" s="142"/>
      <c r="B830" s="142"/>
      <c r="C830" s="142"/>
      <c r="D830" s="142"/>
      <c r="E830" s="132"/>
      <c r="F830" s="131"/>
      <c r="G830" s="131"/>
      <c r="H830" s="131"/>
      <c r="I830" s="131"/>
      <c r="J830" s="219"/>
      <c r="K830" s="198"/>
      <c r="L830" s="131"/>
      <c r="M830" s="142"/>
      <c r="N830" s="131"/>
      <c r="O830" s="131"/>
      <c r="P830" s="131"/>
      <c r="Q830" s="131"/>
      <c r="R830" s="131"/>
      <c r="S830" s="131"/>
      <c r="T830" s="131"/>
      <c r="U830" s="131"/>
      <c r="V830" s="131"/>
      <c r="W830" s="131"/>
      <c r="X830" s="131"/>
      <c r="Y830" s="131"/>
      <c r="Z830" s="131"/>
      <c r="AA830" s="131"/>
      <c r="AB830" s="330"/>
      <c r="AC830" s="331"/>
      <c r="AD830" s="332"/>
      <c r="AE830" s="131"/>
      <c r="AF830" s="131"/>
      <c r="AG830" s="131"/>
      <c r="AH830" s="131"/>
      <c r="AI830" s="131"/>
      <c r="AJ830" s="131"/>
      <c r="AK830" s="131"/>
      <c r="AL830" s="131"/>
      <c r="AM830" s="131"/>
      <c r="AN830" s="131"/>
      <c r="AO830" s="142"/>
      <c r="AP830" s="131"/>
    </row>
    <row r="831" ht="13.5" customHeight="1">
      <c r="A831" s="142"/>
      <c r="B831" s="142"/>
      <c r="C831" s="142"/>
      <c r="D831" s="142"/>
      <c r="E831" s="132"/>
      <c r="F831" s="131"/>
      <c r="G831" s="131"/>
      <c r="H831" s="131"/>
      <c r="I831" s="131"/>
      <c r="J831" s="219"/>
      <c r="K831" s="198"/>
      <c r="L831" s="131"/>
      <c r="M831" s="142"/>
      <c r="N831" s="131"/>
      <c r="O831" s="131"/>
      <c r="P831" s="131"/>
      <c r="Q831" s="131"/>
      <c r="R831" s="131"/>
      <c r="S831" s="131"/>
      <c r="T831" s="131"/>
      <c r="U831" s="131"/>
      <c r="V831" s="131"/>
      <c r="W831" s="131"/>
      <c r="X831" s="131"/>
      <c r="Y831" s="131"/>
      <c r="Z831" s="131"/>
      <c r="AA831" s="131"/>
      <c r="AB831" s="330"/>
      <c r="AC831" s="331"/>
      <c r="AD831" s="332"/>
      <c r="AE831" s="131"/>
      <c r="AF831" s="131"/>
      <c r="AG831" s="131"/>
      <c r="AH831" s="131"/>
      <c r="AI831" s="131"/>
      <c r="AJ831" s="131"/>
      <c r="AK831" s="131"/>
      <c r="AL831" s="131"/>
      <c r="AM831" s="131"/>
      <c r="AN831" s="131"/>
      <c r="AO831" s="142"/>
      <c r="AP831" s="131"/>
    </row>
    <row r="832" ht="13.5" customHeight="1">
      <c r="A832" s="142"/>
      <c r="B832" s="142"/>
      <c r="C832" s="142"/>
      <c r="D832" s="142"/>
      <c r="E832" s="132"/>
      <c r="F832" s="131"/>
      <c r="G832" s="131"/>
      <c r="H832" s="131"/>
      <c r="I832" s="131"/>
      <c r="J832" s="219"/>
      <c r="K832" s="198"/>
      <c r="L832" s="131"/>
      <c r="M832" s="142"/>
      <c r="N832" s="131"/>
      <c r="O832" s="131"/>
      <c r="P832" s="131"/>
      <c r="Q832" s="131"/>
      <c r="R832" s="131"/>
      <c r="S832" s="131"/>
      <c r="T832" s="131"/>
      <c r="U832" s="131"/>
      <c r="V832" s="131"/>
      <c r="W832" s="131"/>
      <c r="X832" s="131"/>
      <c r="Y832" s="131"/>
      <c r="Z832" s="131"/>
      <c r="AA832" s="131"/>
      <c r="AB832" s="330"/>
      <c r="AC832" s="331"/>
      <c r="AD832" s="332"/>
      <c r="AE832" s="131"/>
      <c r="AF832" s="131"/>
      <c r="AG832" s="131"/>
      <c r="AH832" s="131"/>
      <c r="AI832" s="131"/>
      <c r="AJ832" s="131"/>
      <c r="AK832" s="131"/>
      <c r="AL832" s="131"/>
      <c r="AM832" s="131"/>
      <c r="AN832" s="131"/>
      <c r="AO832" s="142"/>
      <c r="AP832" s="131"/>
    </row>
    <row r="833" ht="13.5" customHeight="1">
      <c r="A833" s="142"/>
      <c r="B833" s="142"/>
      <c r="C833" s="142"/>
      <c r="D833" s="142"/>
      <c r="E833" s="132"/>
      <c r="F833" s="131"/>
      <c r="G833" s="131"/>
      <c r="H833" s="131"/>
      <c r="I833" s="131"/>
      <c r="J833" s="219"/>
      <c r="K833" s="198"/>
      <c r="L833" s="131"/>
      <c r="M833" s="142"/>
      <c r="N833" s="131"/>
      <c r="O833" s="131"/>
      <c r="P833" s="131"/>
      <c r="Q833" s="131"/>
      <c r="R833" s="131"/>
      <c r="S833" s="131"/>
      <c r="T833" s="131"/>
      <c r="U833" s="131"/>
      <c r="V833" s="131"/>
      <c r="W833" s="131"/>
      <c r="X833" s="131"/>
      <c r="Y833" s="131"/>
      <c r="Z833" s="131"/>
      <c r="AA833" s="131"/>
      <c r="AB833" s="330"/>
      <c r="AC833" s="331"/>
      <c r="AD833" s="332"/>
      <c r="AE833" s="131"/>
      <c r="AF833" s="131"/>
      <c r="AG833" s="131"/>
      <c r="AH833" s="131"/>
      <c r="AI833" s="131"/>
      <c r="AJ833" s="131"/>
      <c r="AK833" s="131"/>
      <c r="AL833" s="131"/>
      <c r="AM833" s="131"/>
      <c r="AN833" s="131"/>
      <c r="AO833" s="142"/>
      <c r="AP833" s="131"/>
    </row>
    <row r="834" ht="13.5" customHeight="1">
      <c r="A834" s="142"/>
      <c r="B834" s="142"/>
      <c r="C834" s="142"/>
      <c r="D834" s="142"/>
      <c r="E834" s="132"/>
      <c r="F834" s="131"/>
      <c r="G834" s="131"/>
      <c r="H834" s="131"/>
      <c r="I834" s="131"/>
      <c r="J834" s="219"/>
      <c r="K834" s="198"/>
      <c r="L834" s="131"/>
      <c r="M834" s="142"/>
      <c r="N834" s="131"/>
      <c r="O834" s="131"/>
      <c r="P834" s="131"/>
      <c r="Q834" s="131"/>
      <c r="R834" s="131"/>
      <c r="S834" s="131"/>
      <c r="T834" s="131"/>
      <c r="U834" s="131"/>
      <c r="V834" s="131"/>
      <c r="W834" s="131"/>
      <c r="X834" s="131"/>
      <c r="Y834" s="131"/>
      <c r="Z834" s="131"/>
      <c r="AA834" s="131"/>
      <c r="AB834" s="330"/>
      <c r="AC834" s="331"/>
      <c r="AD834" s="332"/>
      <c r="AE834" s="131"/>
      <c r="AF834" s="131"/>
      <c r="AG834" s="131"/>
      <c r="AH834" s="131"/>
      <c r="AI834" s="131"/>
      <c r="AJ834" s="131"/>
      <c r="AK834" s="131"/>
      <c r="AL834" s="131"/>
      <c r="AM834" s="131"/>
      <c r="AN834" s="131"/>
      <c r="AO834" s="142"/>
      <c r="AP834" s="131"/>
    </row>
    <row r="835" ht="13.5" customHeight="1">
      <c r="A835" s="142"/>
      <c r="B835" s="142"/>
      <c r="C835" s="142"/>
      <c r="D835" s="142"/>
      <c r="E835" s="132"/>
      <c r="F835" s="131"/>
      <c r="G835" s="131"/>
      <c r="H835" s="131"/>
      <c r="I835" s="131"/>
      <c r="J835" s="219"/>
      <c r="K835" s="198"/>
      <c r="L835" s="131"/>
      <c r="M835" s="142"/>
      <c r="N835" s="131"/>
      <c r="O835" s="131"/>
      <c r="P835" s="131"/>
      <c r="Q835" s="131"/>
      <c r="R835" s="131"/>
      <c r="S835" s="131"/>
      <c r="T835" s="131"/>
      <c r="U835" s="131"/>
      <c r="V835" s="131"/>
      <c r="W835" s="131"/>
      <c r="X835" s="131"/>
      <c r="Y835" s="131"/>
      <c r="Z835" s="131"/>
      <c r="AA835" s="131"/>
      <c r="AB835" s="330"/>
      <c r="AC835" s="331"/>
      <c r="AD835" s="332"/>
      <c r="AE835" s="131"/>
      <c r="AF835" s="131"/>
      <c r="AG835" s="131"/>
      <c r="AH835" s="131"/>
      <c r="AI835" s="131"/>
      <c r="AJ835" s="131"/>
      <c r="AK835" s="131"/>
      <c r="AL835" s="131"/>
      <c r="AM835" s="131"/>
      <c r="AN835" s="131"/>
      <c r="AO835" s="142"/>
      <c r="AP835" s="131"/>
    </row>
    <row r="836" ht="13.5" customHeight="1">
      <c r="A836" s="142"/>
      <c r="B836" s="142"/>
      <c r="C836" s="142"/>
      <c r="D836" s="142"/>
      <c r="E836" s="132"/>
      <c r="F836" s="131"/>
      <c r="G836" s="131"/>
      <c r="H836" s="131"/>
      <c r="I836" s="131"/>
      <c r="J836" s="219"/>
      <c r="K836" s="198"/>
      <c r="L836" s="131"/>
      <c r="M836" s="142"/>
      <c r="N836" s="131"/>
      <c r="O836" s="131"/>
      <c r="P836" s="131"/>
      <c r="Q836" s="131"/>
      <c r="R836" s="131"/>
      <c r="S836" s="131"/>
      <c r="T836" s="131"/>
      <c r="U836" s="131"/>
      <c r="V836" s="131"/>
      <c r="W836" s="131"/>
      <c r="X836" s="131"/>
      <c r="Y836" s="131"/>
      <c r="Z836" s="131"/>
      <c r="AA836" s="131"/>
      <c r="AB836" s="330"/>
      <c r="AC836" s="331"/>
      <c r="AD836" s="332"/>
      <c r="AE836" s="131"/>
      <c r="AF836" s="131"/>
      <c r="AG836" s="131"/>
      <c r="AH836" s="131"/>
      <c r="AI836" s="131"/>
      <c r="AJ836" s="131"/>
      <c r="AK836" s="131"/>
      <c r="AL836" s="131"/>
      <c r="AM836" s="131"/>
      <c r="AN836" s="131"/>
      <c r="AO836" s="142"/>
      <c r="AP836" s="131"/>
    </row>
    <row r="837" ht="13.5" customHeight="1">
      <c r="A837" s="142"/>
      <c r="B837" s="142"/>
      <c r="C837" s="142"/>
      <c r="D837" s="142"/>
      <c r="E837" s="132"/>
      <c r="F837" s="131"/>
      <c r="G837" s="131"/>
      <c r="H837" s="131"/>
      <c r="I837" s="131"/>
      <c r="J837" s="219"/>
      <c r="K837" s="198"/>
      <c r="L837" s="131"/>
      <c r="M837" s="142"/>
      <c r="N837" s="131"/>
      <c r="O837" s="131"/>
      <c r="P837" s="131"/>
      <c r="Q837" s="131"/>
      <c r="R837" s="131"/>
      <c r="S837" s="131"/>
      <c r="T837" s="131"/>
      <c r="U837" s="131"/>
      <c r="V837" s="131"/>
      <c r="W837" s="131"/>
      <c r="X837" s="131"/>
      <c r="Y837" s="131"/>
      <c r="Z837" s="131"/>
      <c r="AA837" s="131"/>
      <c r="AB837" s="330"/>
      <c r="AC837" s="331"/>
      <c r="AD837" s="332"/>
      <c r="AE837" s="131"/>
      <c r="AF837" s="131"/>
      <c r="AG837" s="131"/>
      <c r="AH837" s="131"/>
      <c r="AI837" s="131"/>
      <c r="AJ837" s="131"/>
      <c r="AK837" s="131"/>
      <c r="AL837" s="131"/>
      <c r="AM837" s="131"/>
      <c r="AN837" s="131"/>
      <c r="AO837" s="142"/>
      <c r="AP837" s="131"/>
    </row>
    <row r="838" ht="13.5" customHeight="1">
      <c r="A838" s="142"/>
      <c r="B838" s="142"/>
      <c r="C838" s="142"/>
      <c r="D838" s="142"/>
      <c r="E838" s="132"/>
      <c r="F838" s="131"/>
      <c r="G838" s="131"/>
      <c r="H838" s="131"/>
      <c r="I838" s="131"/>
      <c r="J838" s="219"/>
      <c r="K838" s="198"/>
      <c r="L838" s="131"/>
      <c r="M838" s="142"/>
      <c r="N838" s="131"/>
      <c r="O838" s="131"/>
      <c r="P838" s="131"/>
      <c r="Q838" s="131"/>
      <c r="R838" s="131"/>
      <c r="S838" s="131"/>
      <c r="T838" s="131"/>
      <c r="U838" s="131"/>
      <c r="V838" s="131"/>
      <c r="W838" s="131"/>
      <c r="X838" s="131"/>
      <c r="Y838" s="131"/>
      <c r="Z838" s="131"/>
      <c r="AA838" s="131"/>
      <c r="AB838" s="330"/>
      <c r="AC838" s="331"/>
      <c r="AD838" s="332"/>
      <c r="AE838" s="131"/>
      <c r="AF838" s="131"/>
      <c r="AG838" s="131"/>
      <c r="AH838" s="131"/>
      <c r="AI838" s="131"/>
      <c r="AJ838" s="131"/>
      <c r="AK838" s="131"/>
      <c r="AL838" s="131"/>
      <c r="AM838" s="131"/>
      <c r="AN838" s="131"/>
      <c r="AO838" s="142"/>
      <c r="AP838" s="131"/>
    </row>
    <row r="839" ht="13.5" customHeight="1">
      <c r="A839" s="142"/>
      <c r="B839" s="142"/>
      <c r="C839" s="142"/>
      <c r="D839" s="142"/>
      <c r="E839" s="132"/>
      <c r="F839" s="131"/>
      <c r="G839" s="131"/>
      <c r="H839" s="131"/>
      <c r="I839" s="131"/>
      <c r="J839" s="219"/>
      <c r="K839" s="198"/>
      <c r="L839" s="131"/>
      <c r="M839" s="142"/>
      <c r="N839" s="131"/>
      <c r="O839" s="131"/>
      <c r="P839" s="131"/>
      <c r="Q839" s="131"/>
      <c r="R839" s="131"/>
      <c r="S839" s="131"/>
      <c r="T839" s="131"/>
      <c r="U839" s="131"/>
      <c r="V839" s="131"/>
      <c r="W839" s="131"/>
      <c r="X839" s="131"/>
      <c r="Y839" s="131"/>
      <c r="Z839" s="131"/>
      <c r="AA839" s="131"/>
      <c r="AB839" s="330"/>
      <c r="AC839" s="331"/>
      <c r="AD839" s="332"/>
      <c r="AE839" s="131"/>
      <c r="AF839" s="131"/>
      <c r="AG839" s="131"/>
      <c r="AH839" s="131"/>
      <c r="AI839" s="131"/>
      <c r="AJ839" s="131"/>
      <c r="AK839" s="131"/>
      <c r="AL839" s="131"/>
      <c r="AM839" s="131"/>
      <c r="AN839" s="131"/>
      <c r="AO839" s="142"/>
      <c r="AP839" s="131"/>
    </row>
    <row r="840" ht="13.5" customHeight="1">
      <c r="A840" s="142"/>
      <c r="B840" s="142"/>
      <c r="C840" s="142"/>
      <c r="D840" s="142"/>
      <c r="E840" s="132"/>
      <c r="F840" s="131"/>
      <c r="G840" s="131"/>
      <c r="H840" s="131"/>
      <c r="I840" s="131"/>
      <c r="J840" s="219"/>
      <c r="K840" s="198"/>
      <c r="L840" s="131"/>
      <c r="M840" s="142"/>
      <c r="N840" s="131"/>
      <c r="O840" s="131"/>
      <c r="P840" s="131"/>
      <c r="Q840" s="131"/>
      <c r="R840" s="131"/>
      <c r="S840" s="131"/>
      <c r="T840" s="131"/>
      <c r="U840" s="131"/>
      <c r="V840" s="131"/>
      <c r="W840" s="131"/>
      <c r="X840" s="131"/>
      <c r="Y840" s="131"/>
      <c r="Z840" s="131"/>
      <c r="AA840" s="131"/>
      <c r="AB840" s="330"/>
      <c r="AC840" s="331"/>
      <c r="AD840" s="332"/>
      <c r="AE840" s="131"/>
      <c r="AF840" s="131"/>
      <c r="AG840" s="131"/>
      <c r="AH840" s="131"/>
      <c r="AI840" s="131"/>
      <c r="AJ840" s="131"/>
      <c r="AK840" s="131"/>
      <c r="AL840" s="131"/>
      <c r="AM840" s="131"/>
      <c r="AN840" s="131"/>
      <c r="AO840" s="142"/>
      <c r="AP840" s="131"/>
    </row>
    <row r="841" ht="13.5" customHeight="1">
      <c r="A841" s="142"/>
      <c r="B841" s="142"/>
      <c r="C841" s="142"/>
      <c r="D841" s="142"/>
      <c r="E841" s="132"/>
      <c r="F841" s="131"/>
      <c r="G841" s="131"/>
      <c r="H841" s="131"/>
      <c r="I841" s="131"/>
      <c r="J841" s="219"/>
      <c r="K841" s="198"/>
      <c r="L841" s="131"/>
      <c r="M841" s="142"/>
      <c r="N841" s="131"/>
      <c r="O841" s="131"/>
      <c r="P841" s="131"/>
      <c r="Q841" s="131"/>
      <c r="R841" s="131"/>
      <c r="S841" s="131"/>
      <c r="T841" s="131"/>
      <c r="U841" s="131"/>
      <c r="V841" s="131"/>
      <c r="W841" s="131"/>
      <c r="X841" s="131"/>
      <c r="Y841" s="131"/>
      <c r="Z841" s="131"/>
      <c r="AA841" s="131"/>
      <c r="AB841" s="330"/>
      <c r="AC841" s="331"/>
      <c r="AD841" s="332"/>
      <c r="AE841" s="131"/>
      <c r="AF841" s="131"/>
      <c r="AG841" s="131"/>
      <c r="AH841" s="131"/>
      <c r="AI841" s="131"/>
      <c r="AJ841" s="131"/>
      <c r="AK841" s="131"/>
      <c r="AL841" s="131"/>
      <c r="AM841" s="131"/>
      <c r="AN841" s="131"/>
      <c r="AO841" s="142"/>
      <c r="AP841" s="131"/>
    </row>
    <row r="842" ht="13.5" customHeight="1">
      <c r="A842" s="142"/>
      <c r="B842" s="142"/>
      <c r="C842" s="142"/>
      <c r="D842" s="142"/>
      <c r="E842" s="132"/>
      <c r="F842" s="131"/>
      <c r="G842" s="131"/>
      <c r="H842" s="131"/>
      <c r="I842" s="131"/>
      <c r="J842" s="219"/>
      <c r="K842" s="198"/>
      <c r="L842" s="131"/>
      <c r="M842" s="142"/>
      <c r="N842" s="131"/>
      <c r="O842" s="131"/>
      <c r="P842" s="131"/>
      <c r="Q842" s="131"/>
      <c r="R842" s="131"/>
      <c r="S842" s="131"/>
      <c r="T842" s="131"/>
      <c r="U842" s="131"/>
      <c r="V842" s="131"/>
      <c r="W842" s="131"/>
      <c r="X842" s="131"/>
      <c r="Y842" s="131"/>
      <c r="Z842" s="131"/>
      <c r="AA842" s="131"/>
      <c r="AB842" s="330"/>
      <c r="AC842" s="331"/>
      <c r="AD842" s="332"/>
      <c r="AE842" s="131"/>
      <c r="AF842" s="131"/>
      <c r="AG842" s="131"/>
      <c r="AH842" s="131"/>
      <c r="AI842" s="131"/>
      <c r="AJ842" s="131"/>
      <c r="AK842" s="131"/>
      <c r="AL842" s="131"/>
      <c r="AM842" s="131"/>
      <c r="AN842" s="131"/>
      <c r="AO842" s="142"/>
      <c r="AP842" s="131"/>
    </row>
    <row r="843" ht="13.5" customHeight="1">
      <c r="A843" s="142"/>
      <c r="B843" s="142"/>
      <c r="C843" s="142"/>
      <c r="D843" s="142"/>
      <c r="E843" s="132"/>
      <c r="F843" s="131"/>
      <c r="G843" s="131"/>
      <c r="H843" s="131"/>
      <c r="I843" s="131"/>
      <c r="J843" s="219"/>
      <c r="K843" s="198"/>
      <c r="L843" s="131"/>
      <c r="M843" s="142"/>
      <c r="N843" s="131"/>
      <c r="O843" s="131"/>
      <c r="P843" s="131"/>
      <c r="Q843" s="131"/>
      <c r="R843" s="131"/>
      <c r="S843" s="131"/>
      <c r="T843" s="131"/>
      <c r="U843" s="131"/>
      <c r="V843" s="131"/>
      <c r="W843" s="131"/>
      <c r="X843" s="131"/>
      <c r="Y843" s="131"/>
      <c r="Z843" s="131"/>
      <c r="AA843" s="131"/>
      <c r="AB843" s="330"/>
      <c r="AC843" s="331"/>
      <c r="AD843" s="332"/>
      <c r="AE843" s="131"/>
      <c r="AF843" s="131"/>
      <c r="AG843" s="131"/>
      <c r="AH843" s="131"/>
      <c r="AI843" s="131"/>
      <c r="AJ843" s="131"/>
      <c r="AK843" s="131"/>
      <c r="AL843" s="131"/>
      <c r="AM843" s="131"/>
      <c r="AN843" s="131"/>
      <c r="AO843" s="142"/>
      <c r="AP843" s="131"/>
    </row>
    <row r="844" ht="13.5" customHeight="1">
      <c r="A844" s="142"/>
      <c r="B844" s="142"/>
      <c r="C844" s="142"/>
      <c r="D844" s="142"/>
      <c r="E844" s="132"/>
      <c r="F844" s="131"/>
      <c r="G844" s="131"/>
      <c r="H844" s="131"/>
      <c r="I844" s="131"/>
      <c r="J844" s="219"/>
      <c r="K844" s="198"/>
      <c r="L844" s="131"/>
      <c r="M844" s="142"/>
      <c r="N844" s="131"/>
      <c r="O844" s="131"/>
      <c r="P844" s="131"/>
      <c r="Q844" s="131"/>
      <c r="R844" s="131"/>
      <c r="S844" s="131"/>
      <c r="T844" s="131"/>
      <c r="U844" s="131"/>
      <c r="V844" s="131"/>
      <c r="W844" s="131"/>
      <c r="X844" s="131"/>
      <c r="Y844" s="131"/>
      <c r="Z844" s="131"/>
      <c r="AA844" s="131"/>
      <c r="AB844" s="330"/>
      <c r="AC844" s="331"/>
      <c r="AD844" s="332"/>
      <c r="AE844" s="131"/>
      <c r="AF844" s="131"/>
      <c r="AG844" s="131"/>
      <c r="AH844" s="131"/>
      <c r="AI844" s="131"/>
      <c r="AJ844" s="131"/>
      <c r="AK844" s="131"/>
      <c r="AL844" s="131"/>
      <c r="AM844" s="131"/>
      <c r="AN844" s="131"/>
      <c r="AO844" s="142"/>
      <c r="AP844" s="131"/>
    </row>
    <row r="845" ht="13.5" customHeight="1">
      <c r="A845" s="142"/>
      <c r="B845" s="142"/>
      <c r="C845" s="142"/>
      <c r="D845" s="142"/>
      <c r="E845" s="132"/>
      <c r="F845" s="131"/>
      <c r="G845" s="131"/>
      <c r="H845" s="131"/>
      <c r="I845" s="131"/>
      <c r="J845" s="219"/>
      <c r="K845" s="198"/>
      <c r="L845" s="131"/>
      <c r="M845" s="142"/>
      <c r="N845" s="131"/>
      <c r="O845" s="131"/>
      <c r="P845" s="131"/>
      <c r="Q845" s="131"/>
      <c r="R845" s="131"/>
      <c r="S845" s="131"/>
      <c r="T845" s="131"/>
      <c r="U845" s="131"/>
      <c r="V845" s="131"/>
      <c r="W845" s="131"/>
      <c r="X845" s="131"/>
      <c r="Y845" s="131"/>
      <c r="Z845" s="131"/>
      <c r="AA845" s="131"/>
      <c r="AB845" s="330"/>
      <c r="AC845" s="331"/>
      <c r="AD845" s="332"/>
      <c r="AE845" s="131"/>
      <c r="AF845" s="131"/>
      <c r="AG845" s="131"/>
      <c r="AH845" s="131"/>
      <c r="AI845" s="131"/>
      <c r="AJ845" s="131"/>
      <c r="AK845" s="131"/>
      <c r="AL845" s="131"/>
      <c r="AM845" s="131"/>
      <c r="AN845" s="131"/>
      <c r="AO845" s="142"/>
      <c r="AP845" s="131"/>
    </row>
    <row r="846" ht="13.5" customHeight="1">
      <c r="A846" s="142"/>
      <c r="B846" s="142"/>
      <c r="C846" s="142"/>
      <c r="D846" s="142"/>
      <c r="E846" s="132"/>
      <c r="F846" s="131"/>
      <c r="G846" s="131"/>
      <c r="H846" s="131"/>
      <c r="I846" s="131"/>
      <c r="J846" s="219"/>
      <c r="K846" s="198"/>
      <c r="L846" s="131"/>
      <c r="M846" s="142"/>
      <c r="N846" s="131"/>
      <c r="O846" s="131"/>
      <c r="P846" s="131"/>
      <c r="Q846" s="131"/>
      <c r="R846" s="131"/>
      <c r="S846" s="131"/>
      <c r="T846" s="131"/>
      <c r="U846" s="131"/>
      <c r="V846" s="131"/>
      <c r="W846" s="131"/>
      <c r="X846" s="131"/>
      <c r="Y846" s="131"/>
      <c r="Z846" s="131"/>
      <c r="AA846" s="131"/>
      <c r="AB846" s="330"/>
      <c r="AC846" s="331"/>
      <c r="AD846" s="332"/>
      <c r="AE846" s="131"/>
      <c r="AF846" s="131"/>
      <c r="AG846" s="131"/>
      <c r="AH846" s="131"/>
      <c r="AI846" s="131"/>
      <c r="AJ846" s="131"/>
      <c r="AK846" s="131"/>
      <c r="AL846" s="131"/>
      <c r="AM846" s="131"/>
      <c r="AN846" s="131"/>
      <c r="AO846" s="142"/>
      <c r="AP846" s="131"/>
    </row>
    <row r="847" ht="13.5" customHeight="1">
      <c r="A847" s="142"/>
      <c r="B847" s="142"/>
      <c r="C847" s="142"/>
      <c r="D847" s="142"/>
      <c r="E847" s="132"/>
      <c r="F847" s="131"/>
      <c r="G847" s="131"/>
      <c r="H847" s="131"/>
      <c r="I847" s="131"/>
      <c r="J847" s="219"/>
      <c r="K847" s="198"/>
      <c r="L847" s="131"/>
      <c r="M847" s="142"/>
      <c r="N847" s="131"/>
      <c r="O847" s="131"/>
      <c r="P847" s="131"/>
      <c r="Q847" s="131"/>
      <c r="R847" s="131"/>
      <c r="S847" s="131"/>
      <c r="T847" s="131"/>
      <c r="U847" s="131"/>
      <c r="V847" s="131"/>
      <c r="W847" s="131"/>
      <c r="X847" s="131"/>
      <c r="Y847" s="131"/>
      <c r="Z847" s="131"/>
      <c r="AA847" s="131"/>
      <c r="AB847" s="330"/>
      <c r="AC847" s="331"/>
      <c r="AD847" s="332"/>
      <c r="AE847" s="131"/>
      <c r="AF847" s="131"/>
      <c r="AG847" s="131"/>
      <c r="AH847" s="131"/>
      <c r="AI847" s="131"/>
      <c r="AJ847" s="131"/>
      <c r="AK847" s="131"/>
      <c r="AL847" s="131"/>
      <c r="AM847" s="131"/>
      <c r="AN847" s="131"/>
      <c r="AO847" s="142"/>
      <c r="AP847" s="131"/>
    </row>
    <row r="848" ht="13.5" customHeight="1">
      <c r="A848" s="142"/>
      <c r="B848" s="142"/>
      <c r="C848" s="142"/>
      <c r="D848" s="142"/>
      <c r="E848" s="132"/>
      <c r="F848" s="131"/>
      <c r="G848" s="131"/>
      <c r="H848" s="131"/>
      <c r="I848" s="131"/>
      <c r="J848" s="219"/>
      <c r="K848" s="198"/>
      <c r="L848" s="131"/>
      <c r="M848" s="142"/>
      <c r="N848" s="131"/>
      <c r="O848" s="131"/>
      <c r="P848" s="131"/>
      <c r="Q848" s="131"/>
      <c r="R848" s="131"/>
      <c r="S848" s="131"/>
      <c r="T848" s="131"/>
      <c r="U848" s="131"/>
      <c r="V848" s="131"/>
      <c r="W848" s="131"/>
      <c r="X848" s="131"/>
      <c r="Y848" s="131"/>
      <c r="Z848" s="131"/>
      <c r="AA848" s="131"/>
      <c r="AB848" s="330"/>
      <c r="AC848" s="331"/>
      <c r="AD848" s="332"/>
      <c r="AE848" s="131"/>
      <c r="AF848" s="131"/>
      <c r="AG848" s="131"/>
      <c r="AH848" s="131"/>
      <c r="AI848" s="131"/>
      <c r="AJ848" s="131"/>
      <c r="AK848" s="131"/>
      <c r="AL848" s="131"/>
      <c r="AM848" s="131"/>
      <c r="AN848" s="131"/>
      <c r="AO848" s="142"/>
      <c r="AP848" s="131"/>
    </row>
    <row r="849" ht="13.5" customHeight="1">
      <c r="A849" s="142"/>
      <c r="B849" s="142"/>
      <c r="C849" s="142"/>
      <c r="D849" s="142"/>
      <c r="E849" s="132"/>
      <c r="F849" s="131"/>
      <c r="G849" s="131"/>
      <c r="H849" s="131"/>
      <c r="I849" s="131"/>
      <c r="J849" s="219"/>
      <c r="K849" s="198"/>
      <c r="L849" s="131"/>
      <c r="M849" s="142"/>
      <c r="N849" s="131"/>
      <c r="O849" s="131"/>
      <c r="P849" s="131"/>
      <c r="Q849" s="131"/>
      <c r="R849" s="131"/>
      <c r="S849" s="131"/>
      <c r="T849" s="131"/>
      <c r="U849" s="131"/>
      <c r="V849" s="131"/>
      <c r="W849" s="131"/>
      <c r="X849" s="131"/>
      <c r="Y849" s="131"/>
      <c r="Z849" s="131"/>
      <c r="AA849" s="131"/>
      <c r="AB849" s="330"/>
      <c r="AC849" s="331"/>
      <c r="AD849" s="332"/>
      <c r="AE849" s="131"/>
      <c r="AF849" s="131"/>
      <c r="AG849" s="131"/>
      <c r="AH849" s="131"/>
      <c r="AI849" s="131"/>
      <c r="AJ849" s="131"/>
      <c r="AK849" s="131"/>
      <c r="AL849" s="131"/>
      <c r="AM849" s="131"/>
      <c r="AN849" s="131"/>
      <c r="AO849" s="142"/>
      <c r="AP849" s="131"/>
    </row>
    <row r="850" ht="13.5" customHeight="1">
      <c r="A850" s="142"/>
      <c r="B850" s="142"/>
      <c r="C850" s="142"/>
      <c r="D850" s="142"/>
      <c r="E850" s="132"/>
      <c r="F850" s="131"/>
      <c r="G850" s="131"/>
      <c r="H850" s="131"/>
      <c r="I850" s="131"/>
      <c r="J850" s="219"/>
      <c r="K850" s="198"/>
      <c r="L850" s="131"/>
      <c r="M850" s="142"/>
      <c r="N850" s="131"/>
      <c r="O850" s="131"/>
      <c r="P850" s="131"/>
      <c r="Q850" s="131"/>
      <c r="R850" s="131"/>
      <c r="S850" s="131"/>
      <c r="T850" s="131"/>
      <c r="U850" s="131"/>
      <c r="V850" s="131"/>
      <c r="W850" s="131"/>
      <c r="X850" s="131"/>
      <c r="Y850" s="131"/>
      <c r="Z850" s="131"/>
      <c r="AA850" s="131"/>
      <c r="AB850" s="330"/>
      <c r="AC850" s="331"/>
      <c r="AD850" s="332"/>
      <c r="AE850" s="131"/>
      <c r="AF850" s="131"/>
      <c r="AG850" s="131"/>
      <c r="AH850" s="131"/>
      <c r="AI850" s="131"/>
      <c r="AJ850" s="131"/>
      <c r="AK850" s="131"/>
      <c r="AL850" s="131"/>
      <c r="AM850" s="131"/>
      <c r="AN850" s="131"/>
      <c r="AO850" s="142"/>
      <c r="AP850" s="131"/>
    </row>
    <row r="851" ht="13.5" customHeight="1">
      <c r="A851" s="142"/>
      <c r="B851" s="142"/>
      <c r="C851" s="142"/>
      <c r="D851" s="142"/>
      <c r="E851" s="132"/>
      <c r="F851" s="131"/>
      <c r="G851" s="131"/>
      <c r="H851" s="131"/>
      <c r="I851" s="131"/>
      <c r="J851" s="219"/>
      <c r="K851" s="198"/>
      <c r="L851" s="131"/>
      <c r="M851" s="142"/>
      <c r="N851" s="131"/>
      <c r="O851" s="131"/>
      <c r="P851" s="131"/>
      <c r="Q851" s="131"/>
      <c r="R851" s="131"/>
      <c r="S851" s="131"/>
      <c r="T851" s="131"/>
      <c r="U851" s="131"/>
      <c r="V851" s="131"/>
      <c r="W851" s="131"/>
      <c r="X851" s="131"/>
      <c r="Y851" s="131"/>
      <c r="Z851" s="131"/>
      <c r="AA851" s="131"/>
      <c r="AB851" s="330"/>
      <c r="AC851" s="331"/>
      <c r="AD851" s="332"/>
      <c r="AE851" s="131"/>
      <c r="AF851" s="131"/>
      <c r="AG851" s="131"/>
      <c r="AH851" s="131"/>
      <c r="AI851" s="131"/>
      <c r="AJ851" s="131"/>
      <c r="AK851" s="131"/>
      <c r="AL851" s="131"/>
      <c r="AM851" s="131"/>
      <c r="AN851" s="131"/>
      <c r="AO851" s="142"/>
      <c r="AP851" s="131"/>
    </row>
    <row r="852" ht="13.5" customHeight="1">
      <c r="A852" s="142"/>
      <c r="B852" s="142"/>
      <c r="C852" s="142"/>
      <c r="D852" s="142"/>
      <c r="E852" s="132"/>
      <c r="F852" s="131"/>
      <c r="G852" s="131"/>
      <c r="H852" s="131"/>
      <c r="I852" s="131"/>
      <c r="J852" s="219"/>
      <c r="K852" s="198"/>
      <c r="L852" s="131"/>
      <c r="M852" s="142"/>
      <c r="N852" s="131"/>
      <c r="O852" s="131"/>
      <c r="P852" s="131"/>
      <c r="Q852" s="131"/>
      <c r="R852" s="131"/>
      <c r="S852" s="131"/>
      <c r="T852" s="131"/>
      <c r="U852" s="131"/>
      <c r="V852" s="131"/>
      <c r="W852" s="131"/>
      <c r="X852" s="131"/>
      <c r="Y852" s="131"/>
      <c r="Z852" s="131"/>
      <c r="AA852" s="131"/>
      <c r="AB852" s="330"/>
      <c r="AC852" s="331"/>
      <c r="AD852" s="332"/>
      <c r="AE852" s="131"/>
      <c r="AF852" s="131"/>
      <c r="AG852" s="131"/>
      <c r="AH852" s="131"/>
      <c r="AI852" s="131"/>
      <c r="AJ852" s="131"/>
      <c r="AK852" s="131"/>
      <c r="AL852" s="131"/>
      <c r="AM852" s="131"/>
      <c r="AN852" s="131"/>
      <c r="AO852" s="142"/>
      <c r="AP852" s="131"/>
    </row>
    <row r="853" ht="13.5" customHeight="1">
      <c r="A853" s="142"/>
      <c r="B853" s="142"/>
      <c r="C853" s="142"/>
      <c r="D853" s="142"/>
      <c r="E853" s="132"/>
      <c r="F853" s="131"/>
      <c r="G853" s="131"/>
      <c r="H853" s="131"/>
      <c r="I853" s="131"/>
      <c r="J853" s="219"/>
      <c r="K853" s="198"/>
      <c r="L853" s="131"/>
      <c r="M853" s="142"/>
      <c r="N853" s="131"/>
      <c r="O853" s="131"/>
      <c r="P853" s="131"/>
      <c r="Q853" s="131"/>
      <c r="R853" s="131"/>
      <c r="S853" s="131"/>
      <c r="T853" s="131"/>
      <c r="U853" s="131"/>
      <c r="V853" s="131"/>
      <c r="W853" s="131"/>
      <c r="X853" s="131"/>
      <c r="Y853" s="131"/>
      <c r="Z853" s="131"/>
      <c r="AA853" s="131"/>
      <c r="AB853" s="330"/>
      <c r="AC853" s="331"/>
      <c r="AD853" s="332"/>
      <c r="AE853" s="131"/>
      <c r="AF853" s="131"/>
      <c r="AG853" s="131"/>
      <c r="AH853" s="131"/>
      <c r="AI853" s="131"/>
      <c r="AJ853" s="131"/>
      <c r="AK853" s="131"/>
      <c r="AL853" s="131"/>
      <c r="AM853" s="131"/>
      <c r="AN853" s="131"/>
      <c r="AO853" s="142"/>
      <c r="AP853" s="131"/>
    </row>
    <row r="854" ht="13.5" customHeight="1">
      <c r="A854" s="142"/>
      <c r="B854" s="142"/>
      <c r="C854" s="142"/>
      <c r="D854" s="142"/>
      <c r="E854" s="132"/>
      <c r="F854" s="131"/>
      <c r="G854" s="131"/>
      <c r="H854" s="131"/>
      <c r="I854" s="131"/>
      <c r="J854" s="219"/>
      <c r="K854" s="198"/>
      <c r="L854" s="131"/>
      <c r="M854" s="142"/>
      <c r="N854" s="131"/>
      <c r="O854" s="131"/>
      <c r="P854" s="131"/>
      <c r="Q854" s="131"/>
      <c r="R854" s="131"/>
      <c r="S854" s="131"/>
      <c r="T854" s="131"/>
      <c r="U854" s="131"/>
      <c r="V854" s="131"/>
      <c r="W854" s="131"/>
      <c r="X854" s="131"/>
      <c r="Y854" s="131"/>
      <c r="Z854" s="131"/>
      <c r="AA854" s="131"/>
      <c r="AB854" s="330"/>
      <c r="AC854" s="331"/>
      <c r="AD854" s="332"/>
      <c r="AE854" s="131"/>
      <c r="AF854" s="131"/>
      <c r="AG854" s="131"/>
      <c r="AH854" s="131"/>
      <c r="AI854" s="131"/>
      <c r="AJ854" s="131"/>
      <c r="AK854" s="131"/>
      <c r="AL854" s="131"/>
      <c r="AM854" s="131"/>
      <c r="AN854" s="131"/>
      <c r="AO854" s="142"/>
      <c r="AP854" s="131"/>
    </row>
    <row r="855" ht="13.5" customHeight="1">
      <c r="A855" s="142"/>
      <c r="B855" s="142"/>
      <c r="C855" s="142"/>
      <c r="D855" s="142"/>
      <c r="E855" s="132"/>
      <c r="F855" s="131"/>
      <c r="G855" s="131"/>
      <c r="H855" s="131"/>
      <c r="I855" s="131"/>
      <c r="J855" s="219"/>
      <c r="K855" s="198"/>
      <c r="L855" s="131"/>
      <c r="M855" s="142"/>
      <c r="N855" s="131"/>
      <c r="O855" s="131"/>
      <c r="P855" s="131"/>
      <c r="Q855" s="131"/>
      <c r="R855" s="131"/>
      <c r="S855" s="131"/>
      <c r="T855" s="131"/>
      <c r="U855" s="131"/>
      <c r="V855" s="131"/>
      <c r="W855" s="131"/>
      <c r="X855" s="131"/>
      <c r="Y855" s="131"/>
      <c r="Z855" s="131"/>
      <c r="AA855" s="131"/>
      <c r="AB855" s="330"/>
      <c r="AC855" s="331"/>
      <c r="AD855" s="332"/>
      <c r="AE855" s="131"/>
      <c r="AF855" s="131"/>
      <c r="AG855" s="131"/>
      <c r="AH855" s="131"/>
      <c r="AI855" s="131"/>
      <c r="AJ855" s="131"/>
      <c r="AK855" s="131"/>
      <c r="AL855" s="131"/>
      <c r="AM855" s="131"/>
      <c r="AN855" s="131"/>
      <c r="AO855" s="142"/>
      <c r="AP855" s="131"/>
    </row>
    <row r="856" ht="13.5" customHeight="1">
      <c r="A856" s="142"/>
      <c r="B856" s="142"/>
      <c r="C856" s="142"/>
      <c r="D856" s="142"/>
      <c r="E856" s="132"/>
      <c r="F856" s="131"/>
      <c r="G856" s="131"/>
      <c r="H856" s="131"/>
      <c r="I856" s="131"/>
      <c r="J856" s="219"/>
      <c r="K856" s="198"/>
      <c r="L856" s="131"/>
      <c r="M856" s="142"/>
      <c r="N856" s="131"/>
      <c r="O856" s="131"/>
      <c r="P856" s="131"/>
      <c r="Q856" s="131"/>
      <c r="R856" s="131"/>
      <c r="S856" s="131"/>
      <c r="T856" s="131"/>
      <c r="U856" s="131"/>
      <c r="V856" s="131"/>
      <c r="W856" s="131"/>
      <c r="X856" s="131"/>
      <c r="Y856" s="131"/>
      <c r="Z856" s="131"/>
      <c r="AA856" s="131"/>
      <c r="AB856" s="330"/>
      <c r="AC856" s="331"/>
      <c r="AD856" s="332"/>
      <c r="AE856" s="131"/>
      <c r="AF856" s="131"/>
      <c r="AG856" s="131"/>
      <c r="AH856" s="131"/>
      <c r="AI856" s="131"/>
      <c r="AJ856" s="131"/>
      <c r="AK856" s="131"/>
      <c r="AL856" s="131"/>
      <c r="AM856" s="131"/>
      <c r="AN856" s="131"/>
      <c r="AO856" s="142"/>
      <c r="AP856" s="131"/>
    </row>
    <row r="857" ht="13.5" customHeight="1">
      <c r="A857" s="142"/>
      <c r="B857" s="142"/>
      <c r="C857" s="142"/>
      <c r="D857" s="142"/>
      <c r="E857" s="132"/>
      <c r="F857" s="131"/>
      <c r="G857" s="131"/>
      <c r="H857" s="131"/>
      <c r="I857" s="131"/>
      <c r="J857" s="219"/>
      <c r="K857" s="198"/>
      <c r="L857" s="131"/>
      <c r="M857" s="142"/>
      <c r="N857" s="131"/>
      <c r="O857" s="131"/>
      <c r="P857" s="131"/>
      <c r="Q857" s="131"/>
      <c r="R857" s="131"/>
      <c r="S857" s="131"/>
      <c r="T857" s="131"/>
      <c r="U857" s="131"/>
      <c r="V857" s="131"/>
      <c r="W857" s="131"/>
      <c r="X857" s="131"/>
      <c r="Y857" s="131"/>
      <c r="Z857" s="131"/>
      <c r="AA857" s="131"/>
      <c r="AB857" s="330"/>
      <c r="AC857" s="331"/>
      <c r="AD857" s="332"/>
      <c r="AE857" s="131"/>
      <c r="AF857" s="131"/>
      <c r="AG857" s="131"/>
      <c r="AH857" s="131"/>
      <c r="AI857" s="131"/>
      <c r="AJ857" s="131"/>
      <c r="AK857" s="131"/>
      <c r="AL857" s="131"/>
      <c r="AM857" s="131"/>
      <c r="AN857" s="131"/>
      <c r="AO857" s="142"/>
      <c r="AP857" s="131"/>
    </row>
    <row r="858" ht="13.5" customHeight="1">
      <c r="A858" s="142"/>
      <c r="B858" s="142"/>
      <c r="C858" s="142"/>
      <c r="D858" s="142"/>
      <c r="E858" s="132"/>
      <c r="F858" s="131"/>
      <c r="G858" s="131"/>
      <c r="H858" s="131"/>
      <c r="I858" s="131"/>
      <c r="J858" s="219"/>
      <c r="K858" s="198"/>
      <c r="L858" s="131"/>
      <c r="M858" s="142"/>
      <c r="N858" s="131"/>
      <c r="O858" s="131"/>
      <c r="P858" s="131"/>
      <c r="Q858" s="131"/>
      <c r="R858" s="131"/>
      <c r="S858" s="131"/>
      <c r="T858" s="131"/>
      <c r="U858" s="131"/>
      <c r="V858" s="131"/>
      <c r="W858" s="131"/>
      <c r="X858" s="131"/>
      <c r="Y858" s="131"/>
      <c r="Z858" s="131"/>
      <c r="AA858" s="131"/>
      <c r="AB858" s="330"/>
      <c r="AC858" s="331"/>
      <c r="AD858" s="332"/>
      <c r="AE858" s="131"/>
      <c r="AF858" s="131"/>
      <c r="AG858" s="131"/>
      <c r="AH858" s="131"/>
      <c r="AI858" s="131"/>
      <c r="AJ858" s="131"/>
      <c r="AK858" s="131"/>
      <c r="AL858" s="131"/>
      <c r="AM858" s="131"/>
      <c r="AN858" s="131"/>
      <c r="AO858" s="142"/>
      <c r="AP858" s="131"/>
    </row>
    <row r="859" ht="13.5" customHeight="1">
      <c r="A859" s="142"/>
      <c r="B859" s="142"/>
      <c r="C859" s="142"/>
      <c r="D859" s="142"/>
      <c r="E859" s="132"/>
      <c r="F859" s="131"/>
      <c r="G859" s="131"/>
      <c r="H859" s="131"/>
      <c r="I859" s="131"/>
      <c r="J859" s="219"/>
      <c r="K859" s="198"/>
      <c r="L859" s="131"/>
      <c r="M859" s="142"/>
      <c r="N859" s="131"/>
      <c r="O859" s="131"/>
      <c r="P859" s="131"/>
      <c r="Q859" s="131"/>
      <c r="R859" s="131"/>
      <c r="S859" s="131"/>
      <c r="T859" s="131"/>
      <c r="U859" s="131"/>
      <c r="V859" s="131"/>
      <c r="W859" s="131"/>
      <c r="X859" s="131"/>
      <c r="Y859" s="131"/>
      <c r="Z859" s="131"/>
      <c r="AA859" s="131"/>
      <c r="AB859" s="330"/>
      <c r="AC859" s="331"/>
      <c r="AD859" s="332"/>
      <c r="AE859" s="131"/>
      <c r="AF859" s="131"/>
      <c r="AG859" s="131"/>
      <c r="AH859" s="131"/>
      <c r="AI859" s="131"/>
      <c r="AJ859" s="131"/>
      <c r="AK859" s="131"/>
      <c r="AL859" s="131"/>
      <c r="AM859" s="131"/>
      <c r="AN859" s="131"/>
      <c r="AO859" s="142"/>
      <c r="AP859" s="131"/>
    </row>
    <row r="860" ht="13.5" customHeight="1">
      <c r="A860" s="142"/>
      <c r="B860" s="142"/>
      <c r="C860" s="142"/>
      <c r="D860" s="142"/>
      <c r="E860" s="132"/>
      <c r="F860" s="131"/>
      <c r="G860" s="131"/>
      <c r="H860" s="131"/>
      <c r="I860" s="131"/>
      <c r="J860" s="219"/>
      <c r="K860" s="198"/>
      <c r="L860" s="131"/>
      <c r="M860" s="142"/>
      <c r="N860" s="131"/>
      <c r="O860" s="131"/>
      <c r="P860" s="131"/>
      <c r="Q860" s="131"/>
      <c r="R860" s="131"/>
      <c r="S860" s="131"/>
      <c r="T860" s="131"/>
      <c r="U860" s="131"/>
      <c r="V860" s="131"/>
      <c r="W860" s="131"/>
      <c r="X860" s="131"/>
      <c r="Y860" s="131"/>
      <c r="Z860" s="131"/>
      <c r="AA860" s="131"/>
      <c r="AB860" s="330"/>
      <c r="AC860" s="331"/>
      <c r="AD860" s="332"/>
      <c r="AE860" s="131"/>
      <c r="AF860" s="131"/>
      <c r="AG860" s="131"/>
      <c r="AH860" s="131"/>
      <c r="AI860" s="131"/>
      <c r="AJ860" s="131"/>
      <c r="AK860" s="131"/>
      <c r="AL860" s="131"/>
      <c r="AM860" s="131"/>
      <c r="AN860" s="131"/>
      <c r="AO860" s="142"/>
      <c r="AP860" s="131"/>
    </row>
    <row r="861" ht="13.5" customHeight="1">
      <c r="A861" s="142"/>
      <c r="B861" s="142"/>
      <c r="C861" s="142"/>
      <c r="D861" s="142"/>
      <c r="E861" s="132"/>
      <c r="F861" s="131"/>
      <c r="G861" s="131"/>
      <c r="H861" s="131"/>
      <c r="I861" s="131"/>
      <c r="J861" s="219"/>
      <c r="K861" s="198"/>
      <c r="L861" s="131"/>
      <c r="M861" s="142"/>
      <c r="N861" s="131"/>
      <c r="O861" s="131"/>
      <c r="P861" s="131"/>
      <c r="Q861" s="131"/>
      <c r="R861" s="131"/>
      <c r="S861" s="131"/>
      <c r="T861" s="131"/>
      <c r="U861" s="131"/>
      <c r="V861" s="131"/>
      <c r="W861" s="131"/>
      <c r="X861" s="131"/>
      <c r="Y861" s="131"/>
      <c r="Z861" s="131"/>
      <c r="AA861" s="131"/>
      <c r="AB861" s="330"/>
      <c r="AC861" s="331"/>
      <c r="AD861" s="332"/>
      <c r="AE861" s="131"/>
      <c r="AF861" s="131"/>
      <c r="AG861" s="131"/>
      <c r="AH861" s="131"/>
      <c r="AI861" s="131"/>
      <c r="AJ861" s="131"/>
      <c r="AK861" s="131"/>
      <c r="AL861" s="131"/>
      <c r="AM861" s="131"/>
      <c r="AN861" s="131"/>
      <c r="AO861" s="142"/>
      <c r="AP861" s="131"/>
    </row>
    <row r="862" ht="13.5" customHeight="1">
      <c r="A862" s="142"/>
      <c r="B862" s="142"/>
      <c r="C862" s="142"/>
      <c r="D862" s="142"/>
      <c r="E862" s="132"/>
      <c r="F862" s="131"/>
      <c r="G862" s="131"/>
      <c r="H862" s="131"/>
      <c r="I862" s="131"/>
      <c r="J862" s="219"/>
      <c r="K862" s="198"/>
      <c r="L862" s="131"/>
      <c r="M862" s="142"/>
      <c r="N862" s="131"/>
      <c r="O862" s="131"/>
      <c r="P862" s="131"/>
      <c r="Q862" s="131"/>
      <c r="R862" s="131"/>
      <c r="S862" s="131"/>
      <c r="T862" s="131"/>
      <c r="U862" s="131"/>
      <c r="V862" s="131"/>
      <c r="W862" s="131"/>
      <c r="X862" s="131"/>
      <c r="Y862" s="131"/>
      <c r="Z862" s="131"/>
      <c r="AA862" s="131"/>
      <c r="AB862" s="330"/>
      <c r="AC862" s="331"/>
      <c r="AD862" s="332"/>
      <c r="AE862" s="131"/>
      <c r="AF862" s="131"/>
      <c r="AG862" s="131"/>
      <c r="AH862" s="131"/>
      <c r="AI862" s="131"/>
      <c r="AJ862" s="131"/>
      <c r="AK862" s="131"/>
      <c r="AL862" s="131"/>
      <c r="AM862" s="131"/>
      <c r="AN862" s="131"/>
      <c r="AO862" s="142"/>
      <c r="AP862" s="131"/>
    </row>
    <row r="863" ht="13.5" customHeight="1">
      <c r="A863" s="142"/>
      <c r="B863" s="142"/>
      <c r="C863" s="142"/>
      <c r="D863" s="142"/>
      <c r="E863" s="132"/>
      <c r="F863" s="131"/>
      <c r="G863" s="131"/>
      <c r="H863" s="131"/>
      <c r="I863" s="131"/>
      <c r="J863" s="219"/>
      <c r="K863" s="198"/>
      <c r="L863" s="131"/>
      <c r="M863" s="142"/>
      <c r="N863" s="131"/>
      <c r="O863" s="131"/>
      <c r="P863" s="131"/>
      <c r="Q863" s="131"/>
      <c r="R863" s="131"/>
      <c r="S863" s="131"/>
      <c r="T863" s="131"/>
      <c r="U863" s="131"/>
      <c r="V863" s="131"/>
      <c r="W863" s="131"/>
      <c r="X863" s="131"/>
      <c r="Y863" s="131"/>
      <c r="Z863" s="131"/>
      <c r="AA863" s="131"/>
      <c r="AB863" s="330"/>
      <c r="AC863" s="331"/>
      <c r="AD863" s="332"/>
      <c r="AE863" s="131"/>
      <c r="AF863" s="131"/>
      <c r="AG863" s="131"/>
      <c r="AH863" s="131"/>
      <c r="AI863" s="131"/>
      <c r="AJ863" s="131"/>
      <c r="AK863" s="131"/>
      <c r="AL863" s="131"/>
      <c r="AM863" s="131"/>
      <c r="AN863" s="131"/>
      <c r="AO863" s="142"/>
      <c r="AP863" s="131"/>
    </row>
    <row r="864" ht="13.5" customHeight="1">
      <c r="A864" s="142"/>
      <c r="B864" s="142"/>
      <c r="C864" s="142"/>
      <c r="D864" s="142"/>
      <c r="E864" s="132"/>
      <c r="F864" s="131"/>
      <c r="G864" s="131"/>
      <c r="H864" s="131"/>
      <c r="I864" s="131"/>
      <c r="J864" s="219"/>
      <c r="K864" s="198"/>
      <c r="L864" s="131"/>
      <c r="M864" s="142"/>
      <c r="N864" s="131"/>
      <c r="O864" s="131"/>
      <c r="P864" s="131"/>
      <c r="Q864" s="131"/>
      <c r="R864" s="131"/>
      <c r="S864" s="131"/>
      <c r="T864" s="131"/>
      <c r="U864" s="131"/>
      <c r="V864" s="131"/>
      <c r="W864" s="131"/>
      <c r="X864" s="131"/>
      <c r="Y864" s="131"/>
      <c r="Z864" s="131"/>
      <c r="AA864" s="131"/>
      <c r="AB864" s="330"/>
      <c r="AC864" s="331"/>
      <c r="AD864" s="332"/>
      <c r="AE864" s="131"/>
      <c r="AF864" s="131"/>
      <c r="AG864" s="131"/>
      <c r="AH864" s="131"/>
      <c r="AI864" s="131"/>
      <c r="AJ864" s="131"/>
      <c r="AK864" s="131"/>
      <c r="AL864" s="131"/>
      <c r="AM864" s="131"/>
      <c r="AN864" s="131"/>
      <c r="AO864" s="142"/>
      <c r="AP864" s="131"/>
    </row>
    <row r="865" ht="13.5" customHeight="1">
      <c r="A865" s="142"/>
      <c r="B865" s="142"/>
      <c r="C865" s="142"/>
      <c r="D865" s="142"/>
      <c r="E865" s="132"/>
      <c r="F865" s="131"/>
      <c r="G865" s="131"/>
      <c r="H865" s="131"/>
      <c r="I865" s="131"/>
      <c r="J865" s="219"/>
      <c r="K865" s="198"/>
      <c r="L865" s="131"/>
      <c r="M865" s="142"/>
      <c r="N865" s="131"/>
      <c r="O865" s="131"/>
      <c r="P865" s="131"/>
      <c r="Q865" s="131"/>
      <c r="R865" s="131"/>
      <c r="S865" s="131"/>
      <c r="T865" s="131"/>
      <c r="U865" s="131"/>
      <c r="V865" s="131"/>
      <c r="W865" s="131"/>
      <c r="X865" s="131"/>
      <c r="Y865" s="131"/>
      <c r="Z865" s="131"/>
      <c r="AA865" s="131"/>
      <c r="AB865" s="330"/>
      <c r="AC865" s="331"/>
      <c r="AD865" s="332"/>
      <c r="AE865" s="131"/>
      <c r="AF865" s="131"/>
      <c r="AG865" s="131"/>
      <c r="AH865" s="131"/>
      <c r="AI865" s="131"/>
      <c r="AJ865" s="131"/>
      <c r="AK865" s="131"/>
      <c r="AL865" s="131"/>
      <c r="AM865" s="131"/>
      <c r="AN865" s="131"/>
      <c r="AO865" s="142"/>
      <c r="AP865" s="131"/>
    </row>
    <row r="866" ht="13.5" customHeight="1">
      <c r="A866" s="142"/>
      <c r="B866" s="142"/>
      <c r="C866" s="142"/>
      <c r="D866" s="142"/>
      <c r="E866" s="132"/>
      <c r="F866" s="131"/>
      <c r="G866" s="131"/>
      <c r="H866" s="131"/>
      <c r="I866" s="131"/>
      <c r="J866" s="219"/>
      <c r="K866" s="198"/>
      <c r="L866" s="131"/>
      <c r="M866" s="142"/>
      <c r="N866" s="131"/>
      <c r="O866" s="131"/>
      <c r="P866" s="131"/>
      <c r="Q866" s="131"/>
      <c r="R866" s="131"/>
      <c r="S866" s="131"/>
      <c r="T866" s="131"/>
      <c r="U866" s="131"/>
      <c r="V866" s="131"/>
      <c r="W866" s="131"/>
      <c r="X866" s="131"/>
      <c r="Y866" s="131"/>
      <c r="Z866" s="131"/>
      <c r="AA866" s="131"/>
      <c r="AB866" s="330"/>
      <c r="AC866" s="331"/>
      <c r="AD866" s="332"/>
      <c r="AE866" s="131"/>
      <c r="AF866" s="131"/>
      <c r="AG866" s="131"/>
      <c r="AH866" s="131"/>
      <c r="AI866" s="131"/>
      <c r="AJ866" s="131"/>
      <c r="AK866" s="131"/>
      <c r="AL866" s="131"/>
      <c r="AM866" s="131"/>
      <c r="AN866" s="131"/>
      <c r="AO866" s="142"/>
      <c r="AP866" s="131"/>
    </row>
    <row r="867" ht="13.5" customHeight="1">
      <c r="A867" s="142"/>
      <c r="B867" s="142"/>
      <c r="C867" s="142"/>
      <c r="D867" s="142"/>
      <c r="E867" s="132"/>
      <c r="F867" s="131"/>
      <c r="G867" s="131"/>
      <c r="H867" s="131"/>
      <c r="I867" s="131"/>
      <c r="J867" s="219"/>
      <c r="K867" s="198"/>
      <c r="L867" s="131"/>
      <c r="M867" s="142"/>
      <c r="N867" s="131"/>
      <c r="O867" s="131"/>
      <c r="P867" s="131"/>
      <c r="Q867" s="131"/>
      <c r="R867" s="131"/>
      <c r="S867" s="131"/>
      <c r="T867" s="131"/>
      <c r="U867" s="131"/>
      <c r="V867" s="131"/>
      <c r="W867" s="131"/>
      <c r="X867" s="131"/>
      <c r="Y867" s="131"/>
      <c r="Z867" s="131"/>
      <c r="AA867" s="131"/>
      <c r="AB867" s="330"/>
      <c r="AC867" s="331"/>
      <c r="AD867" s="332"/>
      <c r="AE867" s="131"/>
      <c r="AF867" s="131"/>
      <c r="AG867" s="131"/>
      <c r="AH867" s="131"/>
      <c r="AI867" s="131"/>
      <c r="AJ867" s="131"/>
      <c r="AK867" s="131"/>
      <c r="AL867" s="131"/>
      <c r="AM867" s="131"/>
      <c r="AN867" s="131"/>
      <c r="AO867" s="142"/>
      <c r="AP867" s="131"/>
    </row>
    <row r="868" ht="13.5" customHeight="1">
      <c r="A868" s="142"/>
      <c r="B868" s="142"/>
      <c r="C868" s="142"/>
      <c r="D868" s="142"/>
      <c r="E868" s="132"/>
      <c r="F868" s="131"/>
      <c r="G868" s="131"/>
      <c r="H868" s="131"/>
      <c r="I868" s="131"/>
      <c r="J868" s="219"/>
      <c r="K868" s="198"/>
      <c r="L868" s="131"/>
      <c r="M868" s="142"/>
      <c r="N868" s="131"/>
      <c r="O868" s="131"/>
      <c r="P868" s="131"/>
      <c r="Q868" s="131"/>
      <c r="R868" s="131"/>
      <c r="S868" s="131"/>
      <c r="T868" s="131"/>
      <c r="U868" s="131"/>
      <c r="V868" s="131"/>
      <c r="W868" s="131"/>
      <c r="X868" s="131"/>
      <c r="Y868" s="131"/>
      <c r="Z868" s="131"/>
      <c r="AA868" s="131"/>
      <c r="AB868" s="330"/>
      <c r="AC868" s="331"/>
      <c r="AD868" s="332"/>
      <c r="AE868" s="131"/>
      <c r="AF868" s="131"/>
      <c r="AG868" s="131"/>
      <c r="AH868" s="131"/>
      <c r="AI868" s="131"/>
      <c r="AJ868" s="131"/>
      <c r="AK868" s="131"/>
      <c r="AL868" s="131"/>
      <c r="AM868" s="131"/>
      <c r="AN868" s="131"/>
      <c r="AO868" s="142"/>
      <c r="AP868" s="131"/>
    </row>
    <row r="869" ht="13.5" customHeight="1">
      <c r="A869" s="142"/>
      <c r="B869" s="142"/>
      <c r="C869" s="142"/>
      <c r="D869" s="142"/>
      <c r="E869" s="132"/>
      <c r="F869" s="131"/>
      <c r="G869" s="131"/>
      <c r="H869" s="131"/>
      <c r="I869" s="131"/>
      <c r="J869" s="219"/>
      <c r="K869" s="198"/>
      <c r="L869" s="131"/>
      <c r="M869" s="142"/>
      <c r="N869" s="131"/>
      <c r="O869" s="131"/>
      <c r="P869" s="131"/>
      <c r="Q869" s="131"/>
      <c r="R869" s="131"/>
      <c r="S869" s="131"/>
      <c r="T869" s="131"/>
      <c r="U869" s="131"/>
      <c r="V869" s="131"/>
      <c r="W869" s="131"/>
      <c r="X869" s="131"/>
      <c r="Y869" s="131"/>
      <c r="Z869" s="131"/>
      <c r="AA869" s="131"/>
      <c r="AB869" s="330"/>
      <c r="AC869" s="331"/>
      <c r="AD869" s="332"/>
      <c r="AE869" s="131"/>
      <c r="AF869" s="131"/>
      <c r="AG869" s="131"/>
      <c r="AH869" s="131"/>
      <c r="AI869" s="131"/>
      <c r="AJ869" s="131"/>
      <c r="AK869" s="131"/>
      <c r="AL869" s="131"/>
      <c r="AM869" s="131"/>
      <c r="AN869" s="131"/>
      <c r="AO869" s="142"/>
      <c r="AP869" s="131"/>
    </row>
    <row r="870" ht="13.5" customHeight="1">
      <c r="A870" s="142"/>
      <c r="B870" s="142"/>
      <c r="C870" s="142"/>
      <c r="D870" s="142"/>
      <c r="E870" s="132"/>
      <c r="F870" s="131"/>
      <c r="G870" s="131"/>
      <c r="H870" s="131"/>
      <c r="I870" s="131"/>
      <c r="J870" s="219"/>
      <c r="K870" s="198"/>
      <c r="L870" s="131"/>
      <c r="M870" s="142"/>
      <c r="N870" s="131"/>
      <c r="O870" s="131"/>
      <c r="P870" s="131"/>
      <c r="Q870" s="131"/>
      <c r="R870" s="131"/>
      <c r="S870" s="131"/>
      <c r="T870" s="131"/>
      <c r="U870" s="131"/>
      <c r="V870" s="131"/>
      <c r="W870" s="131"/>
      <c r="X870" s="131"/>
      <c r="Y870" s="131"/>
      <c r="Z870" s="131"/>
      <c r="AA870" s="131"/>
      <c r="AB870" s="330"/>
      <c r="AC870" s="331"/>
      <c r="AD870" s="332"/>
      <c r="AE870" s="131"/>
      <c r="AF870" s="131"/>
      <c r="AG870" s="131"/>
      <c r="AH870" s="131"/>
      <c r="AI870" s="131"/>
      <c r="AJ870" s="131"/>
      <c r="AK870" s="131"/>
      <c r="AL870" s="131"/>
      <c r="AM870" s="131"/>
      <c r="AN870" s="131"/>
      <c r="AO870" s="142"/>
      <c r="AP870" s="131"/>
    </row>
    <row r="871" ht="13.5" customHeight="1">
      <c r="A871" s="142"/>
      <c r="B871" s="142"/>
      <c r="C871" s="142"/>
      <c r="D871" s="142"/>
      <c r="E871" s="132"/>
      <c r="F871" s="131"/>
      <c r="G871" s="131"/>
      <c r="H871" s="131"/>
      <c r="I871" s="131"/>
      <c r="J871" s="219"/>
      <c r="K871" s="198"/>
      <c r="L871" s="131"/>
      <c r="M871" s="142"/>
      <c r="N871" s="131"/>
      <c r="O871" s="131"/>
      <c r="P871" s="131"/>
      <c r="Q871" s="131"/>
      <c r="R871" s="131"/>
      <c r="S871" s="131"/>
      <c r="T871" s="131"/>
      <c r="U871" s="131"/>
      <c r="V871" s="131"/>
      <c r="W871" s="131"/>
      <c r="X871" s="131"/>
      <c r="Y871" s="131"/>
      <c r="Z871" s="131"/>
      <c r="AA871" s="131"/>
      <c r="AB871" s="330"/>
      <c r="AC871" s="331"/>
      <c r="AD871" s="332"/>
      <c r="AE871" s="131"/>
      <c r="AF871" s="131"/>
      <c r="AG871" s="131"/>
      <c r="AH871" s="131"/>
      <c r="AI871" s="131"/>
      <c r="AJ871" s="131"/>
      <c r="AK871" s="131"/>
      <c r="AL871" s="131"/>
      <c r="AM871" s="131"/>
      <c r="AN871" s="131"/>
      <c r="AO871" s="142"/>
      <c r="AP871" s="131"/>
    </row>
    <row r="872" ht="13.5" customHeight="1">
      <c r="A872" s="142"/>
      <c r="B872" s="142"/>
      <c r="C872" s="142"/>
      <c r="D872" s="142"/>
      <c r="E872" s="132"/>
      <c r="F872" s="131"/>
      <c r="G872" s="131"/>
      <c r="H872" s="131"/>
      <c r="I872" s="131"/>
      <c r="J872" s="219"/>
      <c r="K872" s="198"/>
      <c r="L872" s="131"/>
      <c r="M872" s="142"/>
      <c r="N872" s="131"/>
      <c r="O872" s="131"/>
      <c r="P872" s="131"/>
      <c r="Q872" s="131"/>
      <c r="R872" s="131"/>
      <c r="S872" s="131"/>
      <c r="T872" s="131"/>
      <c r="U872" s="131"/>
      <c r="V872" s="131"/>
      <c r="W872" s="131"/>
      <c r="X872" s="131"/>
      <c r="Y872" s="131"/>
      <c r="Z872" s="131"/>
      <c r="AA872" s="131"/>
      <c r="AB872" s="330"/>
      <c r="AC872" s="331"/>
      <c r="AD872" s="332"/>
      <c r="AE872" s="131"/>
      <c r="AF872" s="131"/>
      <c r="AG872" s="131"/>
      <c r="AH872" s="131"/>
      <c r="AI872" s="131"/>
      <c r="AJ872" s="131"/>
      <c r="AK872" s="131"/>
      <c r="AL872" s="131"/>
      <c r="AM872" s="131"/>
      <c r="AN872" s="131"/>
      <c r="AO872" s="142"/>
      <c r="AP872" s="131"/>
    </row>
    <row r="873" ht="13.5" customHeight="1">
      <c r="A873" s="142"/>
      <c r="B873" s="142"/>
      <c r="C873" s="142"/>
      <c r="D873" s="142"/>
      <c r="E873" s="132"/>
      <c r="F873" s="131"/>
      <c r="G873" s="131"/>
      <c r="H873" s="131"/>
      <c r="I873" s="131"/>
      <c r="J873" s="219"/>
      <c r="K873" s="198"/>
      <c r="L873" s="131"/>
      <c r="M873" s="142"/>
      <c r="N873" s="131"/>
      <c r="O873" s="131"/>
      <c r="P873" s="131"/>
      <c r="Q873" s="131"/>
      <c r="R873" s="131"/>
      <c r="S873" s="131"/>
      <c r="T873" s="131"/>
      <c r="U873" s="131"/>
      <c r="V873" s="131"/>
      <c r="W873" s="131"/>
      <c r="X873" s="131"/>
      <c r="Y873" s="131"/>
      <c r="Z873" s="131"/>
      <c r="AA873" s="131"/>
      <c r="AB873" s="330"/>
      <c r="AC873" s="331"/>
      <c r="AD873" s="332"/>
      <c r="AE873" s="131"/>
      <c r="AF873" s="131"/>
      <c r="AG873" s="131"/>
      <c r="AH873" s="131"/>
      <c r="AI873" s="131"/>
      <c r="AJ873" s="131"/>
      <c r="AK873" s="131"/>
      <c r="AL873" s="131"/>
      <c r="AM873" s="131"/>
      <c r="AN873" s="131"/>
      <c r="AO873" s="142"/>
      <c r="AP873" s="131"/>
    </row>
    <row r="874" ht="13.5" customHeight="1">
      <c r="A874" s="142"/>
      <c r="B874" s="142"/>
      <c r="C874" s="142"/>
      <c r="D874" s="142"/>
      <c r="E874" s="132"/>
      <c r="F874" s="131"/>
      <c r="G874" s="131"/>
      <c r="H874" s="131"/>
      <c r="I874" s="131"/>
      <c r="J874" s="219"/>
      <c r="K874" s="198"/>
      <c r="L874" s="131"/>
      <c r="M874" s="142"/>
      <c r="N874" s="131"/>
      <c r="O874" s="131"/>
      <c r="P874" s="131"/>
      <c r="Q874" s="131"/>
      <c r="R874" s="131"/>
      <c r="S874" s="131"/>
      <c r="T874" s="131"/>
      <c r="U874" s="131"/>
      <c r="V874" s="131"/>
      <c r="W874" s="131"/>
      <c r="X874" s="131"/>
      <c r="Y874" s="131"/>
      <c r="Z874" s="131"/>
      <c r="AA874" s="131"/>
      <c r="AB874" s="330"/>
      <c r="AC874" s="331"/>
      <c r="AD874" s="332"/>
      <c r="AE874" s="131"/>
      <c r="AF874" s="131"/>
      <c r="AG874" s="131"/>
      <c r="AH874" s="131"/>
      <c r="AI874" s="131"/>
      <c r="AJ874" s="131"/>
      <c r="AK874" s="131"/>
      <c r="AL874" s="131"/>
      <c r="AM874" s="131"/>
      <c r="AN874" s="131"/>
      <c r="AO874" s="142"/>
      <c r="AP874" s="131"/>
    </row>
    <row r="875" ht="13.5" customHeight="1">
      <c r="A875" s="142"/>
      <c r="B875" s="142"/>
      <c r="C875" s="142"/>
      <c r="D875" s="142"/>
      <c r="E875" s="132"/>
      <c r="F875" s="131"/>
      <c r="G875" s="131"/>
      <c r="H875" s="131"/>
      <c r="I875" s="131"/>
      <c r="J875" s="219"/>
      <c r="K875" s="198"/>
      <c r="L875" s="131"/>
      <c r="M875" s="142"/>
      <c r="N875" s="131"/>
      <c r="O875" s="131"/>
      <c r="P875" s="131"/>
      <c r="Q875" s="131"/>
      <c r="R875" s="131"/>
      <c r="S875" s="131"/>
      <c r="T875" s="131"/>
      <c r="U875" s="131"/>
      <c r="V875" s="131"/>
      <c r="W875" s="131"/>
      <c r="X875" s="131"/>
      <c r="Y875" s="131"/>
      <c r="Z875" s="131"/>
      <c r="AA875" s="131"/>
      <c r="AB875" s="330"/>
      <c r="AC875" s="331"/>
      <c r="AD875" s="332"/>
      <c r="AE875" s="131"/>
      <c r="AF875" s="131"/>
      <c r="AG875" s="131"/>
      <c r="AH875" s="131"/>
      <c r="AI875" s="131"/>
      <c r="AJ875" s="131"/>
      <c r="AK875" s="131"/>
      <c r="AL875" s="131"/>
      <c r="AM875" s="131"/>
      <c r="AN875" s="131"/>
      <c r="AO875" s="142"/>
      <c r="AP875" s="131"/>
    </row>
    <row r="876" ht="13.5" customHeight="1">
      <c r="A876" s="142"/>
      <c r="B876" s="142"/>
      <c r="C876" s="142"/>
      <c r="D876" s="142"/>
      <c r="E876" s="132"/>
      <c r="F876" s="131"/>
      <c r="G876" s="131"/>
      <c r="H876" s="131"/>
      <c r="I876" s="131"/>
      <c r="J876" s="219"/>
      <c r="K876" s="198"/>
      <c r="L876" s="131"/>
      <c r="M876" s="142"/>
      <c r="N876" s="131"/>
      <c r="O876" s="131"/>
      <c r="P876" s="131"/>
      <c r="Q876" s="131"/>
      <c r="R876" s="131"/>
      <c r="S876" s="131"/>
      <c r="T876" s="131"/>
      <c r="U876" s="131"/>
      <c r="V876" s="131"/>
      <c r="W876" s="131"/>
      <c r="X876" s="131"/>
      <c r="Y876" s="131"/>
      <c r="Z876" s="131"/>
      <c r="AA876" s="131"/>
      <c r="AB876" s="330"/>
      <c r="AC876" s="331"/>
      <c r="AD876" s="332"/>
      <c r="AE876" s="131"/>
      <c r="AF876" s="131"/>
      <c r="AG876" s="131"/>
      <c r="AH876" s="131"/>
      <c r="AI876" s="131"/>
      <c r="AJ876" s="131"/>
      <c r="AK876" s="131"/>
      <c r="AL876" s="131"/>
      <c r="AM876" s="131"/>
      <c r="AN876" s="131"/>
      <c r="AO876" s="142"/>
      <c r="AP876" s="131"/>
    </row>
    <row r="877" ht="13.5" customHeight="1">
      <c r="A877" s="142"/>
      <c r="B877" s="142"/>
      <c r="C877" s="142"/>
      <c r="D877" s="142"/>
      <c r="E877" s="132"/>
      <c r="F877" s="131"/>
      <c r="G877" s="131"/>
      <c r="H877" s="131"/>
      <c r="I877" s="131"/>
      <c r="J877" s="219"/>
      <c r="K877" s="198"/>
      <c r="L877" s="131"/>
      <c r="M877" s="142"/>
      <c r="N877" s="131"/>
      <c r="O877" s="131"/>
      <c r="P877" s="131"/>
      <c r="Q877" s="131"/>
      <c r="R877" s="131"/>
      <c r="S877" s="131"/>
      <c r="T877" s="131"/>
      <c r="U877" s="131"/>
      <c r="V877" s="131"/>
      <c r="W877" s="131"/>
      <c r="X877" s="131"/>
      <c r="Y877" s="131"/>
      <c r="Z877" s="131"/>
      <c r="AA877" s="131"/>
      <c r="AB877" s="330"/>
      <c r="AC877" s="331"/>
      <c r="AD877" s="332"/>
      <c r="AE877" s="131"/>
      <c r="AF877" s="131"/>
      <c r="AG877" s="131"/>
      <c r="AH877" s="131"/>
      <c r="AI877" s="131"/>
      <c r="AJ877" s="131"/>
      <c r="AK877" s="131"/>
      <c r="AL877" s="131"/>
      <c r="AM877" s="131"/>
      <c r="AN877" s="131"/>
      <c r="AO877" s="142"/>
      <c r="AP877" s="131"/>
    </row>
    <row r="878" ht="13.5" customHeight="1">
      <c r="A878" s="142"/>
      <c r="B878" s="142"/>
      <c r="C878" s="142"/>
      <c r="D878" s="142"/>
      <c r="E878" s="132"/>
      <c r="F878" s="131"/>
      <c r="G878" s="131"/>
      <c r="H878" s="131"/>
      <c r="I878" s="131"/>
      <c r="J878" s="219"/>
      <c r="K878" s="198"/>
      <c r="L878" s="131"/>
      <c r="M878" s="142"/>
      <c r="N878" s="131"/>
      <c r="O878" s="131"/>
      <c r="P878" s="131"/>
      <c r="Q878" s="131"/>
      <c r="R878" s="131"/>
      <c r="S878" s="131"/>
      <c r="T878" s="131"/>
      <c r="U878" s="131"/>
      <c r="V878" s="131"/>
      <c r="W878" s="131"/>
      <c r="X878" s="131"/>
      <c r="Y878" s="131"/>
      <c r="Z878" s="131"/>
      <c r="AA878" s="131"/>
      <c r="AB878" s="330"/>
      <c r="AC878" s="331"/>
      <c r="AD878" s="332"/>
      <c r="AE878" s="131"/>
      <c r="AF878" s="131"/>
      <c r="AG878" s="131"/>
      <c r="AH878" s="131"/>
      <c r="AI878" s="131"/>
      <c r="AJ878" s="131"/>
      <c r="AK878" s="131"/>
      <c r="AL878" s="131"/>
      <c r="AM878" s="131"/>
      <c r="AN878" s="131"/>
      <c r="AO878" s="142"/>
      <c r="AP878" s="131"/>
    </row>
    <row r="879" ht="13.5" customHeight="1">
      <c r="A879" s="142"/>
      <c r="B879" s="142"/>
      <c r="C879" s="142"/>
      <c r="D879" s="142"/>
      <c r="E879" s="132"/>
      <c r="F879" s="131"/>
      <c r="G879" s="131"/>
      <c r="H879" s="131"/>
      <c r="I879" s="131"/>
      <c r="J879" s="219"/>
      <c r="K879" s="198"/>
      <c r="L879" s="131"/>
      <c r="M879" s="142"/>
      <c r="N879" s="131"/>
      <c r="O879" s="131"/>
      <c r="P879" s="131"/>
      <c r="Q879" s="131"/>
      <c r="R879" s="131"/>
      <c r="S879" s="131"/>
      <c r="T879" s="131"/>
      <c r="U879" s="131"/>
      <c r="V879" s="131"/>
      <c r="W879" s="131"/>
      <c r="X879" s="131"/>
      <c r="Y879" s="131"/>
      <c r="Z879" s="131"/>
      <c r="AA879" s="131"/>
      <c r="AB879" s="330"/>
      <c r="AC879" s="331"/>
      <c r="AD879" s="332"/>
      <c r="AE879" s="131"/>
      <c r="AF879" s="131"/>
      <c r="AG879" s="131"/>
      <c r="AH879" s="131"/>
      <c r="AI879" s="131"/>
      <c r="AJ879" s="131"/>
      <c r="AK879" s="131"/>
      <c r="AL879" s="131"/>
      <c r="AM879" s="131"/>
      <c r="AN879" s="131"/>
      <c r="AO879" s="142"/>
      <c r="AP879" s="131"/>
    </row>
    <row r="880" ht="13.5" customHeight="1">
      <c r="A880" s="142"/>
      <c r="B880" s="142"/>
      <c r="C880" s="142"/>
      <c r="D880" s="142"/>
      <c r="E880" s="132"/>
      <c r="F880" s="131"/>
      <c r="G880" s="131"/>
      <c r="H880" s="131"/>
      <c r="I880" s="131"/>
      <c r="J880" s="219"/>
      <c r="K880" s="198"/>
      <c r="L880" s="131"/>
      <c r="M880" s="142"/>
      <c r="N880" s="131"/>
      <c r="O880" s="131"/>
      <c r="P880" s="131"/>
      <c r="Q880" s="131"/>
      <c r="R880" s="131"/>
      <c r="S880" s="131"/>
      <c r="T880" s="131"/>
      <c r="U880" s="131"/>
      <c r="V880" s="131"/>
      <c r="W880" s="131"/>
      <c r="X880" s="131"/>
      <c r="Y880" s="131"/>
      <c r="Z880" s="131"/>
      <c r="AA880" s="131"/>
      <c r="AB880" s="330"/>
      <c r="AC880" s="331"/>
      <c r="AD880" s="332"/>
      <c r="AE880" s="131"/>
      <c r="AF880" s="131"/>
      <c r="AG880" s="131"/>
      <c r="AH880" s="131"/>
      <c r="AI880" s="131"/>
      <c r="AJ880" s="131"/>
      <c r="AK880" s="131"/>
      <c r="AL880" s="131"/>
      <c r="AM880" s="131"/>
      <c r="AN880" s="131"/>
      <c r="AO880" s="142"/>
      <c r="AP880" s="131"/>
    </row>
    <row r="881" ht="13.5" customHeight="1">
      <c r="A881" s="142"/>
      <c r="B881" s="142"/>
      <c r="C881" s="142"/>
      <c r="D881" s="142"/>
      <c r="E881" s="132"/>
      <c r="F881" s="131"/>
      <c r="G881" s="131"/>
      <c r="H881" s="131"/>
      <c r="I881" s="131"/>
      <c r="J881" s="219"/>
      <c r="K881" s="198"/>
      <c r="L881" s="131"/>
      <c r="M881" s="142"/>
      <c r="N881" s="131"/>
      <c r="O881" s="131"/>
      <c r="P881" s="131"/>
      <c r="Q881" s="131"/>
      <c r="R881" s="131"/>
      <c r="S881" s="131"/>
      <c r="T881" s="131"/>
      <c r="U881" s="131"/>
      <c r="V881" s="131"/>
      <c r="W881" s="131"/>
      <c r="X881" s="131"/>
      <c r="Y881" s="131"/>
      <c r="Z881" s="131"/>
      <c r="AA881" s="131"/>
      <c r="AB881" s="330"/>
      <c r="AC881" s="331"/>
      <c r="AD881" s="332"/>
      <c r="AE881" s="131"/>
      <c r="AF881" s="131"/>
      <c r="AG881" s="131"/>
      <c r="AH881" s="131"/>
      <c r="AI881" s="131"/>
      <c r="AJ881" s="131"/>
      <c r="AK881" s="131"/>
      <c r="AL881" s="131"/>
      <c r="AM881" s="131"/>
      <c r="AN881" s="131"/>
      <c r="AO881" s="142"/>
      <c r="AP881" s="131"/>
    </row>
    <row r="882" ht="13.5" customHeight="1">
      <c r="A882" s="142"/>
      <c r="B882" s="142"/>
      <c r="C882" s="142"/>
      <c r="D882" s="142"/>
      <c r="E882" s="132"/>
      <c r="F882" s="131"/>
      <c r="G882" s="131"/>
      <c r="H882" s="131"/>
      <c r="I882" s="131"/>
      <c r="J882" s="219"/>
      <c r="K882" s="198"/>
      <c r="L882" s="131"/>
      <c r="M882" s="142"/>
      <c r="N882" s="131"/>
      <c r="O882" s="131"/>
      <c r="P882" s="131"/>
      <c r="Q882" s="131"/>
      <c r="R882" s="131"/>
      <c r="S882" s="131"/>
      <c r="T882" s="131"/>
      <c r="U882" s="131"/>
      <c r="V882" s="131"/>
      <c r="W882" s="131"/>
      <c r="X882" s="131"/>
      <c r="Y882" s="131"/>
      <c r="Z882" s="131"/>
      <c r="AA882" s="131"/>
      <c r="AB882" s="330"/>
      <c r="AC882" s="331"/>
      <c r="AD882" s="332"/>
      <c r="AE882" s="131"/>
      <c r="AF882" s="131"/>
      <c r="AG882" s="131"/>
      <c r="AH882" s="131"/>
      <c r="AI882" s="131"/>
      <c r="AJ882" s="131"/>
      <c r="AK882" s="131"/>
      <c r="AL882" s="131"/>
      <c r="AM882" s="131"/>
      <c r="AN882" s="131"/>
      <c r="AO882" s="142"/>
      <c r="AP882" s="131"/>
    </row>
    <row r="883" ht="13.5" customHeight="1">
      <c r="A883" s="142"/>
      <c r="B883" s="142"/>
      <c r="C883" s="142"/>
      <c r="D883" s="142"/>
      <c r="E883" s="132"/>
      <c r="F883" s="131"/>
      <c r="G883" s="131"/>
      <c r="H883" s="131"/>
      <c r="I883" s="131"/>
      <c r="J883" s="219"/>
      <c r="K883" s="198"/>
      <c r="L883" s="131"/>
      <c r="M883" s="142"/>
      <c r="N883" s="131"/>
      <c r="O883" s="131"/>
      <c r="P883" s="131"/>
      <c r="Q883" s="131"/>
      <c r="R883" s="131"/>
      <c r="S883" s="131"/>
      <c r="T883" s="131"/>
      <c r="U883" s="131"/>
      <c r="V883" s="131"/>
      <c r="W883" s="131"/>
      <c r="X883" s="131"/>
      <c r="Y883" s="131"/>
      <c r="Z883" s="131"/>
      <c r="AA883" s="131"/>
      <c r="AB883" s="330"/>
      <c r="AC883" s="331"/>
      <c r="AD883" s="332"/>
      <c r="AE883" s="131"/>
      <c r="AF883" s="131"/>
      <c r="AG883" s="131"/>
      <c r="AH883" s="131"/>
      <c r="AI883" s="131"/>
      <c r="AJ883" s="131"/>
      <c r="AK883" s="131"/>
      <c r="AL883" s="131"/>
      <c r="AM883" s="131"/>
      <c r="AN883" s="131"/>
      <c r="AO883" s="142"/>
      <c r="AP883" s="131"/>
    </row>
    <row r="884" ht="13.5" customHeight="1">
      <c r="A884" s="142"/>
      <c r="B884" s="142"/>
      <c r="C884" s="142"/>
      <c r="D884" s="142"/>
      <c r="E884" s="132"/>
      <c r="F884" s="131"/>
      <c r="G884" s="131"/>
      <c r="H884" s="131"/>
      <c r="I884" s="131"/>
      <c r="J884" s="219"/>
      <c r="K884" s="198"/>
      <c r="L884" s="131"/>
      <c r="M884" s="142"/>
      <c r="N884" s="131"/>
      <c r="O884" s="131"/>
      <c r="P884" s="131"/>
      <c r="Q884" s="131"/>
      <c r="R884" s="131"/>
      <c r="S884" s="131"/>
      <c r="T884" s="131"/>
      <c r="U884" s="131"/>
      <c r="V884" s="131"/>
      <c r="W884" s="131"/>
      <c r="X884" s="131"/>
      <c r="Y884" s="131"/>
      <c r="Z884" s="131"/>
      <c r="AA884" s="131"/>
      <c r="AB884" s="330"/>
      <c r="AC884" s="331"/>
      <c r="AD884" s="332"/>
      <c r="AE884" s="131"/>
      <c r="AF884" s="131"/>
      <c r="AG884" s="131"/>
      <c r="AH884" s="131"/>
      <c r="AI884" s="131"/>
      <c r="AJ884" s="131"/>
      <c r="AK884" s="131"/>
      <c r="AL884" s="131"/>
      <c r="AM884" s="131"/>
      <c r="AN884" s="131"/>
      <c r="AO884" s="142"/>
      <c r="AP884" s="131"/>
    </row>
    <row r="885" ht="13.5" customHeight="1">
      <c r="A885" s="142"/>
      <c r="B885" s="142"/>
      <c r="C885" s="142"/>
      <c r="D885" s="142"/>
      <c r="E885" s="132"/>
      <c r="F885" s="131"/>
      <c r="G885" s="131"/>
      <c r="H885" s="131"/>
      <c r="I885" s="131"/>
      <c r="J885" s="219"/>
      <c r="K885" s="198"/>
      <c r="L885" s="131"/>
      <c r="M885" s="142"/>
      <c r="N885" s="131"/>
      <c r="O885" s="131"/>
      <c r="P885" s="131"/>
      <c r="Q885" s="131"/>
      <c r="R885" s="131"/>
      <c r="S885" s="131"/>
      <c r="T885" s="131"/>
      <c r="U885" s="131"/>
      <c r="V885" s="131"/>
      <c r="W885" s="131"/>
      <c r="X885" s="131"/>
      <c r="Y885" s="131"/>
      <c r="Z885" s="131"/>
      <c r="AA885" s="131"/>
      <c r="AB885" s="330"/>
      <c r="AC885" s="331"/>
      <c r="AD885" s="332"/>
      <c r="AE885" s="131"/>
      <c r="AF885" s="131"/>
      <c r="AG885" s="131"/>
      <c r="AH885" s="131"/>
      <c r="AI885" s="131"/>
      <c r="AJ885" s="131"/>
      <c r="AK885" s="131"/>
      <c r="AL885" s="131"/>
      <c r="AM885" s="131"/>
      <c r="AN885" s="131"/>
      <c r="AO885" s="142"/>
      <c r="AP885" s="131"/>
    </row>
    <row r="886" ht="13.5" customHeight="1">
      <c r="A886" s="142"/>
      <c r="B886" s="142"/>
      <c r="C886" s="142"/>
      <c r="D886" s="142"/>
      <c r="E886" s="132"/>
      <c r="F886" s="131"/>
      <c r="G886" s="131"/>
      <c r="H886" s="131"/>
      <c r="I886" s="131"/>
      <c r="J886" s="219"/>
      <c r="K886" s="198"/>
      <c r="L886" s="131"/>
      <c r="M886" s="142"/>
      <c r="N886" s="131"/>
      <c r="O886" s="131"/>
      <c r="P886" s="131"/>
      <c r="Q886" s="131"/>
      <c r="R886" s="131"/>
      <c r="S886" s="131"/>
      <c r="T886" s="131"/>
      <c r="U886" s="131"/>
      <c r="V886" s="131"/>
      <c r="W886" s="131"/>
      <c r="X886" s="131"/>
      <c r="Y886" s="131"/>
      <c r="Z886" s="131"/>
      <c r="AA886" s="131"/>
      <c r="AB886" s="330"/>
      <c r="AC886" s="331"/>
      <c r="AD886" s="332"/>
      <c r="AE886" s="131"/>
      <c r="AF886" s="131"/>
      <c r="AG886" s="131"/>
      <c r="AH886" s="131"/>
      <c r="AI886" s="131"/>
      <c r="AJ886" s="131"/>
      <c r="AK886" s="131"/>
      <c r="AL886" s="131"/>
      <c r="AM886" s="131"/>
      <c r="AN886" s="131"/>
      <c r="AO886" s="142"/>
      <c r="AP886" s="131"/>
    </row>
    <row r="887" ht="13.5" customHeight="1">
      <c r="A887" s="142"/>
      <c r="B887" s="142"/>
      <c r="C887" s="142"/>
      <c r="D887" s="142"/>
      <c r="E887" s="132"/>
      <c r="F887" s="131"/>
      <c r="G887" s="131"/>
      <c r="H887" s="131"/>
      <c r="I887" s="131"/>
      <c r="J887" s="219"/>
      <c r="K887" s="198"/>
      <c r="L887" s="131"/>
      <c r="M887" s="142"/>
      <c r="N887" s="131"/>
      <c r="O887" s="131"/>
      <c r="P887" s="131"/>
      <c r="Q887" s="131"/>
      <c r="R887" s="131"/>
      <c r="S887" s="131"/>
      <c r="T887" s="131"/>
      <c r="U887" s="131"/>
      <c r="V887" s="131"/>
      <c r="W887" s="131"/>
      <c r="X887" s="131"/>
      <c r="Y887" s="131"/>
      <c r="Z887" s="131"/>
      <c r="AA887" s="131"/>
      <c r="AB887" s="330"/>
      <c r="AC887" s="331"/>
      <c r="AD887" s="332"/>
      <c r="AE887" s="131"/>
      <c r="AF887" s="131"/>
      <c r="AG887" s="131"/>
      <c r="AH887" s="131"/>
      <c r="AI887" s="131"/>
      <c r="AJ887" s="131"/>
      <c r="AK887" s="131"/>
      <c r="AL887" s="131"/>
      <c r="AM887" s="131"/>
      <c r="AN887" s="131"/>
      <c r="AO887" s="142"/>
      <c r="AP887" s="131"/>
    </row>
    <row r="888" ht="13.5" customHeight="1">
      <c r="A888" s="142"/>
      <c r="B888" s="142"/>
      <c r="C888" s="142"/>
      <c r="D888" s="142"/>
      <c r="E888" s="132"/>
      <c r="F888" s="131"/>
      <c r="G888" s="131"/>
      <c r="H888" s="131"/>
      <c r="I888" s="131"/>
      <c r="J888" s="219"/>
      <c r="K888" s="198"/>
      <c r="L888" s="131"/>
      <c r="M888" s="142"/>
      <c r="N888" s="131"/>
      <c r="O888" s="131"/>
      <c r="P888" s="131"/>
      <c r="Q888" s="131"/>
      <c r="R888" s="131"/>
      <c r="S888" s="131"/>
      <c r="T888" s="131"/>
      <c r="U888" s="131"/>
      <c r="V888" s="131"/>
      <c r="W888" s="131"/>
      <c r="X888" s="131"/>
      <c r="Y888" s="131"/>
      <c r="Z888" s="131"/>
      <c r="AA888" s="131"/>
      <c r="AB888" s="330"/>
      <c r="AC888" s="331"/>
      <c r="AD888" s="332"/>
      <c r="AE888" s="131"/>
      <c r="AF888" s="131"/>
      <c r="AG888" s="131"/>
      <c r="AH888" s="131"/>
      <c r="AI888" s="131"/>
      <c r="AJ888" s="131"/>
      <c r="AK888" s="131"/>
      <c r="AL888" s="131"/>
      <c r="AM888" s="131"/>
      <c r="AN888" s="131"/>
      <c r="AO888" s="142"/>
      <c r="AP888" s="131"/>
    </row>
    <row r="889" ht="13.5" customHeight="1">
      <c r="A889" s="142"/>
      <c r="B889" s="142"/>
      <c r="C889" s="142"/>
      <c r="D889" s="142"/>
      <c r="E889" s="132"/>
      <c r="F889" s="131"/>
      <c r="G889" s="131"/>
      <c r="H889" s="131"/>
      <c r="I889" s="131"/>
      <c r="J889" s="219"/>
      <c r="K889" s="198"/>
      <c r="L889" s="131"/>
      <c r="M889" s="142"/>
      <c r="N889" s="131"/>
      <c r="O889" s="131"/>
      <c r="P889" s="131"/>
      <c r="Q889" s="131"/>
      <c r="R889" s="131"/>
      <c r="S889" s="131"/>
      <c r="T889" s="131"/>
      <c r="U889" s="131"/>
      <c r="V889" s="131"/>
      <c r="W889" s="131"/>
      <c r="X889" s="131"/>
      <c r="Y889" s="131"/>
      <c r="Z889" s="131"/>
      <c r="AA889" s="131"/>
      <c r="AB889" s="330"/>
      <c r="AC889" s="331"/>
      <c r="AD889" s="332"/>
      <c r="AE889" s="131"/>
      <c r="AF889" s="131"/>
      <c r="AG889" s="131"/>
      <c r="AH889" s="131"/>
      <c r="AI889" s="131"/>
      <c r="AJ889" s="131"/>
      <c r="AK889" s="131"/>
      <c r="AL889" s="131"/>
      <c r="AM889" s="131"/>
      <c r="AN889" s="131"/>
      <c r="AO889" s="142"/>
      <c r="AP889" s="131"/>
    </row>
    <row r="890" ht="13.5" customHeight="1">
      <c r="A890" s="142"/>
      <c r="B890" s="142"/>
      <c r="C890" s="142"/>
      <c r="D890" s="142"/>
      <c r="E890" s="132"/>
      <c r="F890" s="131"/>
      <c r="G890" s="131"/>
      <c r="H890" s="131"/>
      <c r="I890" s="131"/>
      <c r="J890" s="219"/>
      <c r="K890" s="198"/>
      <c r="L890" s="131"/>
      <c r="M890" s="142"/>
      <c r="N890" s="131"/>
      <c r="O890" s="131"/>
      <c r="P890" s="131"/>
      <c r="Q890" s="131"/>
      <c r="R890" s="131"/>
      <c r="S890" s="131"/>
      <c r="T890" s="131"/>
      <c r="U890" s="131"/>
      <c r="V890" s="131"/>
      <c r="W890" s="131"/>
      <c r="X890" s="131"/>
      <c r="Y890" s="131"/>
      <c r="Z890" s="131"/>
      <c r="AA890" s="131"/>
      <c r="AB890" s="330"/>
      <c r="AC890" s="331"/>
      <c r="AD890" s="332"/>
      <c r="AE890" s="131"/>
      <c r="AF890" s="131"/>
      <c r="AG890" s="131"/>
      <c r="AH890" s="131"/>
      <c r="AI890" s="131"/>
      <c r="AJ890" s="131"/>
      <c r="AK890" s="131"/>
      <c r="AL890" s="131"/>
      <c r="AM890" s="131"/>
      <c r="AN890" s="131"/>
      <c r="AO890" s="142"/>
      <c r="AP890" s="131"/>
    </row>
    <row r="891" ht="13.5" customHeight="1">
      <c r="A891" s="142"/>
      <c r="B891" s="142"/>
      <c r="C891" s="142"/>
      <c r="D891" s="142"/>
      <c r="E891" s="132"/>
      <c r="F891" s="131"/>
      <c r="G891" s="131"/>
      <c r="H891" s="131"/>
      <c r="I891" s="131"/>
      <c r="J891" s="219"/>
      <c r="K891" s="198"/>
      <c r="L891" s="131"/>
      <c r="M891" s="142"/>
      <c r="N891" s="131"/>
      <c r="O891" s="131"/>
      <c r="P891" s="131"/>
      <c r="Q891" s="131"/>
      <c r="R891" s="131"/>
      <c r="S891" s="131"/>
      <c r="T891" s="131"/>
      <c r="U891" s="131"/>
      <c r="V891" s="131"/>
      <c r="W891" s="131"/>
      <c r="X891" s="131"/>
      <c r="Y891" s="131"/>
      <c r="Z891" s="131"/>
      <c r="AA891" s="131"/>
      <c r="AB891" s="330"/>
      <c r="AC891" s="331"/>
      <c r="AD891" s="332"/>
      <c r="AE891" s="131"/>
      <c r="AF891" s="131"/>
      <c r="AG891" s="131"/>
      <c r="AH891" s="131"/>
      <c r="AI891" s="131"/>
      <c r="AJ891" s="131"/>
      <c r="AK891" s="131"/>
      <c r="AL891" s="131"/>
      <c r="AM891" s="131"/>
      <c r="AN891" s="131"/>
      <c r="AO891" s="142"/>
      <c r="AP891" s="131"/>
    </row>
    <row r="892" ht="13.5" customHeight="1">
      <c r="A892" s="142"/>
      <c r="B892" s="142"/>
      <c r="C892" s="142"/>
      <c r="D892" s="142"/>
      <c r="E892" s="132"/>
      <c r="F892" s="131"/>
      <c r="G892" s="131"/>
      <c r="H892" s="131"/>
      <c r="I892" s="131"/>
      <c r="J892" s="219"/>
      <c r="K892" s="198"/>
      <c r="L892" s="131"/>
      <c r="M892" s="142"/>
      <c r="N892" s="131"/>
      <c r="O892" s="131"/>
      <c r="P892" s="131"/>
      <c r="Q892" s="131"/>
      <c r="R892" s="131"/>
      <c r="S892" s="131"/>
      <c r="T892" s="131"/>
      <c r="U892" s="131"/>
      <c r="V892" s="131"/>
      <c r="W892" s="131"/>
      <c r="X892" s="131"/>
      <c r="Y892" s="131"/>
      <c r="Z892" s="131"/>
      <c r="AA892" s="131"/>
      <c r="AB892" s="330"/>
      <c r="AC892" s="331"/>
      <c r="AD892" s="332"/>
      <c r="AE892" s="131"/>
      <c r="AF892" s="131"/>
      <c r="AG892" s="131"/>
      <c r="AH892" s="131"/>
      <c r="AI892" s="131"/>
      <c r="AJ892" s="131"/>
      <c r="AK892" s="131"/>
      <c r="AL892" s="131"/>
      <c r="AM892" s="131"/>
      <c r="AN892" s="131"/>
      <c r="AO892" s="142"/>
      <c r="AP892" s="131"/>
    </row>
    <row r="893" ht="13.5" customHeight="1">
      <c r="A893" s="142"/>
      <c r="B893" s="142"/>
      <c r="C893" s="142"/>
      <c r="D893" s="142"/>
      <c r="E893" s="132"/>
      <c r="F893" s="131"/>
      <c r="G893" s="131"/>
      <c r="H893" s="131"/>
      <c r="I893" s="131"/>
      <c r="J893" s="219"/>
      <c r="K893" s="198"/>
      <c r="L893" s="131"/>
      <c r="M893" s="142"/>
      <c r="N893" s="131"/>
      <c r="O893" s="131"/>
      <c r="P893" s="131"/>
      <c r="Q893" s="131"/>
      <c r="R893" s="131"/>
      <c r="S893" s="131"/>
      <c r="T893" s="131"/>
      <c r="U893" s="131"/>
      <c r="V893" s="131"/>
      <c r="W893" s="131"/>
      <c r="X893" s="131"/>
      <c r="Y893" s="131"/>
      <c r="Z893" s="131"/>
      <c r="AA893" s="131"/>
      <c r="AB893" s="330"/>
      <c r="AC893" s="331"/>
      <c r="AD893" s="332"/>
      <c r="AE893" s="131"/>
      <c r="AF893" s="131"/>
      <c r="AG893" s="131"/>
      <c r="AH893" s="131"/>
      <c r="AI893" s="131"/>
      <c r="AJ893" s="131"/>
      <c r="AK893" s="131"/>
      <c r="AL893" s="131"/>
      <c r="AM893" s="131"/>
      <c r="AN893" s="131"/>
      <c r="AO893" s="142"/>
      <c r="AP893" s="131"/>
    </row>
    <row r="894" ht="13.5" customHeight="1">
      <c r="A894" s="142"/>
      <c r="B894" s="142"/>
      <c r="C894" s="142"/>
      <c r="D894" s="142"/>
      <c r="E894" s="132"/>
      <c r="F894" s="131"/>
      <c r="G894" s="131"/>
      <c r="H894" s="131"/>
      <c r="I894" s="131"/>
      <c r="J894" s="219"/>
      <c r="K894" s="198"/>
      <c r="L894" s="131"/>
      <c r="M894" s="142"/>
      <c r="N894" s="131"/>
      <c r="O894" s="131"/>
      <c r="P894" s="131"/>
      <c r="Q894" s="131"/>
      <c r="R894" s="131"/>
      <c r="S894" s="131"/>
      <c r="T894" s="131"/>
      <c r="U894" s="131"/>
      <c r="V894" s="131"/>
      <c r="W894" s="131"/>
      <c r="X894" s="131"/>
      <c r="Y894" s="131"/>
      <c r="Z894" s="131"/>
      <c r="AA894" s="131"/>
      <c r="AB894" s="330"/>
      <c r="AC894" s="331"/>
      <c r="AD894" s="332"/>
      <c r="AE894" s="131"/>
      <c r="AF894" s="131"/>
      <c r="AG894" s="131"/>
      <c r="AH894" s="131"/>
      <c r="AI894" s="131"/>
      <c r="AJ894" s="131"/>
      <c r="AK894" s="131"/>
      <c r="AL894" s="131"/>
      <c r="AM894" s="131"/>
      <c r="AN894" s="131"/>
      <c r="AO894" s="142"/>
      <c r="AP894" s="131"/>
    </row>
    <row r="895" ht="13.5" customHeight="1">
      <c r="A895" s="142"/>
      <c r="B895" s="142"/>
      <c r="C895" s="142"/>
      <c r="D895" s="142"/>
      <c r="E895" s="132"/>
      <c r="F895" s="131"/>
      <c r="G895" s="131"/>
      <c r="H895" s="131"/>
      <c r="I895" s="131"/>
      <c r="J895" s="219"/>
      <c r="K895" s="198"/>
      <c r="L895" s="131"/>
      <c r="M895" s="142"/>
      <c r="N895" s="131"/>
      <c r="O895" s="131"/>
      <c r="P895" s="131"/>
      <c r="Q895" s="131"/>
      <c r="R895" s="131"/>
      <c r="S895" s="131"/>
      <c r="T895" s="131"/>
      <c r="U895" s="131"/>
      <c r="V895" s="131"/>
      <c r="W895" s="131"/>
      <c r="X895" s="131"/>
      <c r="Y895" s="131"/>
      <c r="Z895" s="131"/>
      <c r="AA895" s="131"/>
      <c r="AB895" s="330"/>
      <c r="AC895" s="331"/>
      <c r="AD895" s="332"/>
      <c r="AE895" s="131"/>
      <c r="AF895" s="131"/>
      <c r="AG895" s="131"/>
      <c r="AH895" s="131"/>
      <c r="AI895" s="131"/>
      <c r="AJ895" s="131"/>
      <c r="AK895" s="131"/>
      <c r="AL895" s="131"/>
      <c r="AM895" s="131"/>
      <c r="AN895" s="131"/>
      <c r="AO895" s="142"/>
      <c r="AP895" s="131"/>
    </row>
    <row r="896" ht="13.5" customHeight="1">
      <c r="A896" s="142"/>
      <c r="B896" s="142"/>
      <c r="C896" s="142"/>
      <c r="D896" s="142"/>
      <c r="E896" s="132"/>
      <c r="F896" s="131"/>
      <c r="G896" s="131"/>
      <c r="H896" s="131"/>
      <c r="I896" s="131"/>
      <c r="J896" s="219"/>
      <c r="K896" s="198"/>
      <c r="L896" s="131"/>
      <c r="M896" s="142"/>
      <c r="N896" s="131"/>
      <c r="O896" s="131"/>
      <c r="P896" s="131"/>
      <c r="Q896" s="131"/>
      <c r="R896" s="131"/>
      <c r="S896" s="131"/>
      <c r="T896" s="131"/>
      <c r="U896" s="131"/>
      <c r="V896" s="131"/>
      <c r="W896" s="131"/>
      <c r="X896" s="131"/>
      <c r="Y896" s="131"/>
      <c r="Z896" s="131"/>
      <c r="AA896" s="131"/>
      <c r="AB896" s="330"/>
      <c r="AC896" s="331"/>
      <c r="AD896" s="332"/>
      <c r="AE896" s="131"/>
      <c r="AF896" s="131"/>
      <c r="AG896" s="131"/>
      <c r="AH896" s="131"/>
      <c r="AI896" s="131"/>
      <c r="AJ896" s="131"/>
      <c r="AK896" s="131"/>
      <c r="AL896" s="131"/>
      <c r="AM896" s="131"/>
      <c r="AN896" s="131"/>
      <c r="AO896" s="142"/>
      <c r="AP896" s="131"/>
    </row>
    <row r="897" ht="13.5" customHeight="1">
      <c r="A897" s="142"/>
      <c r="B897" s="142"/>
      <c r="C897" s="142"/>
      <c r="D897" s="142"/>
      <c r="E897" s="132"/>
      <c r="F897" s="131"/>
      <c r="G897" s="131"/>
      <c r="H897" s="131"/>
      <c r="I897" s="131"/>
      <c r="J897" s="219"/>
      <c r="K897" s="198"/>
      <c r="L897" s="131"/>
      <c r="M897" s="142"/>
      <c r="N897" s="131"/>
      <c r="O897" s="131"/>
      <c r="P897" s="131"/>
      <c r="Q897" s="131"/>
      <c r="R897" s="131"/>
      <c r="S897" s="131"/>
      <c r="T897" s="131"/>
      <c r="U897" s="131"/>
      <c r="V897" s="131"/>
      <c r="W897" s="131"/>
      <c r="X897" s="131"/>
      <c r="Y897" s="131"/>
      <c r="Z897" s="131"/>
      <c r="AA897" s="131"/>
      <c r="AB897" s="330"/>
      <c r="AC897" s="331"/>
      <c r="AD897" s="332"/>
      <c r="AE897" s="131"/>
      <c r="AF897" s="131"/>
      <c r="AG897" s="131"/>
      <c r="AH897" s="131"/>
      <c r="AI897" s="131"/>
      <c r="AJ897" s="131"/>
      <c r="AK897" s="131"/>
      <c r="AL897" s="131"/>
      <c r="AM897" s="131"/>
      <c r="AN897" s="131"/>
      <c r="AO897" s="142"/>
      <c r="AP897" s="131"/>
    </row>
    <row r="898" ht="13.5" customHeight="1">
      <c r="A898" s="142"/>
      <c r="B898" s="142"/>
      <c r="C898" s="142"/>
      <c r="D898" s="142"/>
      <c r="E898" s="132"/>
      <c r="F898" s="131"/>
      <c r="G898" s="131"/>
      <c r="H898" s="131"/>
      <c r="I898" s="131"/>
      <c r="J898" s="219"/>
      <c r="K898" s="198"/>
      <c r="L898" s="131"/>
      <c r="M898" s="142"/>
      <c r="N898" s="131"/>
      <c r="O898" s="131"/>
      <c r="P898" s="131"/>
      <c r="Q898" s="131"/>
      <c r="R898" s="131"/>
      <c r="S898" s="131"/>
      <c r="T898" s="131"/>
      <c r="U898" s="131"/>
      <c r="V898" s="131"/>
      <c r="W898" s="131"/>
      <c r="X898" s="131"/>
      <c r="Y898" s="131"/>
      <c r="Z898" s="131"/>
      <c r="AA898" s="131"/>
      <c r="AB898" s="330"/>
      <c r="AC898" s="331"/>
      <c r="AD898" s="332"/>
      <c r="AE898" s="131"/>
      <c r="AF898" s="131"/>
      <c r="AG898" s="131"/>
      <c r="AH898" s="131"/>
      <c r="AI898" s="131"/>
      <c r="AJ898" s="131"/>
      <c r="AK898" s="131"/>
      <c r="AL898" s="131"/>
      <c r="AM898" s="131"/>
      <c r="AN898" s="131"/>
      <c r="AO898" s="142"/>
      <c r="AP898" s="131"/>
    </row>
    <row r="899" ht="13.5" customHeight="1">
      <c r="A899" s="142"/>
      <c r="B899" s="142"/>
      <c r="C899" s="142"/>
      <c r="D899" s="142"/>
      <c r="E899" s="132"/>
      <c r="F899" s="131"/>
      <c r="G899" s="131"/>
      <c r="H899" s="131"/>
      <c r="I899" s="131"/>
      <c r="J899" s="219"/>
      <c r="K899" s="198"/>
      <c r="L899" s="131"/>
      <c r="M899" s="142"/>
      <c r="N899" s="131"/>
      <c r="O899" s="131"/>
      <c r="P899" s="131"/>
      <c r="Q899" s="131"/>
      <c r="R899" s="131"/>
      <c r="S899" s="131"/>
      <c r="T899" s="131"/>
      <c r="U899" s="131"/>
      <c r="V899" s="131"/>
      <c r="W899" s="131"/>
      <c r="X899" s="131"/>
      <c r="Y899" s="131"/>
      <c r="Z899" s="131"/>
      <c r="AA899" s="131"/>
      <c r="AB899" s="330"/>
      <c r="AC899" s="331"/>
      <c r="AD899" s="332"/>
      <c r="AE899" s="131"/>
      <c r="AF899" s="131"/>
      <c r="AG899" s="131"/>
      <c r="AH899" s="131"/>
      <c r="AI899" s="131"/>
      <c r="AJ899" s="131"/>
      <c r="AK899" s="131"/>
      <c r="AL899" s="131"/>
      <c r="AM899" s="131"/>
      <c r="AN899" s="131"/>
      <c r="AO899" s="142"/>
      <c r="AP899" s="131"/>
    </row>
    <row r="900" ht="13.5" customHeight="1">
      <c r="A900" s="142"/>
      <c r="B900" s="142"/>
      <c r="C900" s="142"/>
      <c r="D900" s="142"/>
      <c r="E900" s="132"/>
      <c r="F900" s="131"/>
      <c r="G900" s="131"/>
      <c r="H900" s="131"/>
      <c r="I900" s="131"/>
      <c r="J900" s="219"/>
      <c r="K900" s="198"/>
      <c r="L900" s="131"/>
      <c r="M900" s="142"/>
      <c r="N900" s="131"/>
      <c r="O900" s="131"/>
      <c r="P900" s="131"/>
      <c r="Q900" s="131"/>
      <c r="R900" s="131"/>
      <c r="S900" s="131"/>
      <c r="T900" s="131"/>
      <c r="U900" s="131"/>
      <c r="V900" s="131"/>
      <c r="W900" s="131"/>
      <c r="X900" s="131"/>
      <c r="Y900" s="131"/>
      <c r="Z900" s="131"/>
      <c r="AA900" s="131"/>
      <c r="AB900" s="330"/>
      <c r="AC900" s="331"/>
      <c r="AD900" s="332"/>
      <c r="AE900" s="131"/>
      <c r="AF900" s="131"/>
      <c r="AG900" s="131"/>
      <c r="AH900" s="131"/>
      <c r="AI900" s="131"/>
      <c r="AJ900" s="131"/>
      <c r="AK900" s="131"/>
      <c r="AL900" s="131"/>
      <c r="AM900" s="131"/>
      <c r="AN900" s="131"/>
      <c r="AO900" s="142"/>
      <c r="AP900" s="131"/>
    </row>
    <row r="901" ht="13.5" customHeight="1">
      <c r="A901" s="142"/>
      <c r="B901" s="142"/>
      <c r="C901" s="142"/>
      <c r="D901" s="142"/>
      <c r="E901" s="132"/>
      <c r="F901" s="131"/>
      <c r="G901" s="131"/>
      <c r="H901" s="131"/>
      <c r="I901" s="131"/>
      <c r="J901" s="219"/>
      <c r="K901" s="198"/>
      <c r="L901" s="131"/>
      <c r="M901" s="142"/>
      <c r="N901" s="131"/>
      <c r="O901" s="131"/>
      <c r="P901" s="131"/>
      <c r="Q901" s="131"/>
      <c r="R901" s="131"/>
      <c r="S901" s="131"/>
      <c r="T901" s="131"/>
      <c r="U901" s="131"/>
      <c r="V901" s="131"/>
      <c r="W901" s="131"/>
      <c r="X901" s="131"/>
      <c r="Y901" s="131"/>
      <c r="Z901" s="131"/>
      <c r="AA901" s="131"/>
      <c r="AB901" s="330"/>
      <c r="AC901" s="331"/>
      <c r="AD901" s="332"/>
      <c r="AE901" s="131"/>
      <c r="AF901" s="131"/>
      <c r="AG901" s="131"/>
      <c r="AH901" s="131"/>
      <c r="AI901" s="131"/>
      <c r="AJ901" s="131"/>
      <c r="AK901" s="131"/>
      <c r="AL901" s="131"/>
      <c r="AM901" s="131"/>
      <c r="AN901" s="131"/>
      <c r="AO901" s="142"/>
      <c r="AP901" s="131"/>
    </row>
    <row r="902" ht="13.5" customHeight="1">
      <c r="A902" s="142"/>
      <c r="B902" s="142"/>
      <c r="C902" s="142"/>
      <c r="D902" s="142"/>
      <c r="E902" s="132"/>
      <c r="F902" s="131"/>
      <c r="G902" s="131"/>
      <c r="H902" s="131"/>
      <c r="I902" s="131"/>
      <c r="J902" s="219"/>
      <c r="K902" s="198"/>
      <c r="L902" s="131"/>
      <c r="M902" s="142"/>
      <c r="N902" s="131"/>
      <c r="O902" s="131"/>
      <c r="P902" s="131"/>
      <c r="Q902" s="131"/>
      <c r="R902" s="131"/>
      <c r="S902" s="131"/>
      <c r="T902" s="131"/>
      <c r="U902" s="131"/>
      <c r="V902" s="131"/>
      <c r="W902" s="131"/>
      <c r="X902" s="131"/>
      <c r="Y902" s="131"/>
      <c r="Z902" s="131"/>
      <c r="AA902" s="131"/>
      <c r="AB902" s="330"/>
      <c r="AC902" s="331"/>
      <c r="AD902" s="332"/>
      <c r="AE902" s="131"/>
      <c r="AF902" s="131"/>
      <c r="AG902" s="131"/>
      <c r="AH902" s="131"/>
      <c r="AI902" s="131"/>
      <c r="AJ902" s="131"/>
      <c r="AK902" s="131"/>
      <c r="AL902" s="131"/>
      <c r="AM902" s="131"/>
      <c r="AN902" s="131"/>
      <c r="AO902" s="142"/>
      <c r="AP902" s="131"/>
    </row>
    <row r="903" ht="13.5" customHeight="1">
      <c r="A903" s="142"/>
      <c r="B903" s="142"/>
      <c r="C903" s="142"/>
      <c r="D903" s="142"/>
      <c r="E903" s="132"/>
      <c r="F903" s="131"/>
      <c r="G903" s="131"/>
      <c r="H903" s="131"/>
      <c r="I903" s="131"/>
      <c r="J903" s="219"/>
      <c r="K903" s="198"/>
      <c r="L903" s="131"/>
      <c r="M903" s="142"/>
      <c r="N903" s="131"/>
      <c r="O903" s="131"/>
      <c r="P903" s="131"/>
      <c r="Q903" s="131"/>
      <c r="R903" s="131"/>
      <c r="S903" s="131"/>
      <c r="T903" s="131"/>
      <c r="U903" s="131"/>
      <c r="V903" s="131"/>
      <c r="W903" s="131"/>
      <c r="X903" s="131"/>
      <c r="Y903" s="131"/>
      <c r="Z903" s="131"/>
      <c r="AA903" s="131"/>
      <c r="AB903" s="330"/>
      <c r="AC903" s="331"/>
      <c r="AD903" s="332"/>
      <c r="AE903" s="131"/>
      <c r="AF903" s="131"/>
      <c r="AG903" s="131"/>
      <c r="AH903" s="131"/>
      <c r="AI903" s="131"/>
      <c r="AJ903" s="131"/>
      <c r="AK903" s="131"/>
      <c r="AL903" s="131"/>
      <c r="AM903" s="131"/>
      <c r="AN903" s="131"/>
      <c r="AO903" s="142"/>
      <c r="AP903" s="131"/>
    </row>
    <row r="904" ht="13.5" customHeight="1">
      <c r="A904" s="142"/>
      <c r="B904" s="142"/>
      <c r="C904" s="142"/>
      <c r="D904" s="142"/>
      <c r="E904" s="132"/>
      <c r="F904" s="131"/>
      <c r="G904" s="131"/>
      <c r="H904" s="131"/>
      <c r="I904" s="131"/>
      <c r="J904" s="219"/>
      <c r="K904" s="198"/>
      <c r="L904" s="131"/>
      <c r="M904" s="142"/>
      <c r="N904" s="131"/>
      <c r="O904" s="131"/>
      <c r="P904" s="131"/>
      <c r="Q904" s="131"/>
      <c r="R904" s="131"/>
      <c r="S904" s="131"/>
      <c r="T904" s="131"/>
      <c r="U904" s="131"/>
      <c r="V904" s="131"/>
      <c r="W904" s="131"/>
      <c r="X904" s="131"/>
      <c r="Y904" s="131"/>
      <c r="Z904" s="131"/>
      <c r="AA904" s="131"/>
      <c r="AB904" s="330"/>
      <c r="AC904" s="331"/>
      <c r="AD904" s="332"/>
      <c r="AE904" s="131"/>
      <c r="AF904" s="131"/>
      <c r="AG904" s="131"/>
      <c r="AH904" s="131"/>
      <c r="AI904" s="131"/>
      <c r="AJ904" s="131"/>
      <c r="AK904" s="131"/>
      <c r="AL904" s="131"/>
      <c r="AM904" s="131"/>
      <c r="AN904" s="131"/>
      <c r="AO904" s="142"/>
      <c r="AP904" s="131"/>
    </row>
    <row r="905" ht="13.5" customHeight="1">
      <c r="A905" s="142"/>
      <c r="B905" s="142"/>
      <c r="C905" s="142"/>
      <c r="D905" s="142"/>
      <c r="E905" s="132"/>
      <c r="F905" s="131"/>
      <c r="G905" s="131"/>
      <c r="H905" s="131"/>
      <c r="I905" s="131"/>
      <c r="J905" s="219"/>
      <c r="K905" s="198"/>
      <c r="L905" s="131"/>
      <c r="M905" s="142"/>
      <c r="N905" s="131"/>
      <c r="O905" s="131"/>
      <c r="P905" s="131"/>
      <c r="Q905" s="131"/>
      <c r="R905" s="131"/>
      <c r="S905" s="131"/>
      <c r="T905" s="131"/>
      <c r="U905" s="131"/>
      <c r="V905" s="131"/>
      <c r="W905" s="131"/>
      <c r="X905" s="131"/>
      <c r="Y905" s="131"/>
      <c r="Z905" s="131"/>
      <c r="AA905" s="131"/>
      <c r="AB905" s="330"/>
      <c r="AC905" s="331"/>
      <c r="AD905" s="332"/>
      <c r="AE905" s="131"/>
      <c r="AF905" s="131"/>
      <c r="AG905" s="131"/>
      <c r="AH905" s="131"/>
      <c r="AI905" s="131"/>
      <c r="AJ905" s="131"/>
      <c r="AK905" s="131"/>
      <c r="AL905" s="131"/>
      <c r="AM905" s="131"/>
      <c r="AN905" s="131"/>
      <c r="AO905" s="142"/>
      <c r="AP905" s="131"/>
    </row>
    <row r="906" ht="13.5" customHeight="1">
      <c r="A906" s="142"/>
      <c r="B906" s="142"/>
      <c r="C906" s="142"/>
      <c r="D906" s="142"/>
      <c r="E906" s="132"/>
      <c r="F906" s="131"/>
      <c r="G906" s="131"/>
      <c r="H906" s="131"/>
      <c r="I906" s="131"/>
      <c r="J906" s="219"/>
      <c r="K906" s="198"/>
      <c r="L906" s="131"/>
      <c r="M906" s="142"/>
      <c r="N906" s="131"/>
      <c r="O906" s="131"/>
      <c r="P906" s="131"/>
      <c r="Q906" s="131"/>
      <c r="R906" s="131"/>
      <c r="S906" s="131"/>
      <c r="T906" s="131"/>
      <c r="U906" s="131"/>
      <c r="V906" s="131"/>
      <c r="W906" s="131"/>
      <c r="X906" s="131"/>
      <c r="Y906" s="131"/>
      <c r="Z906" s="131"/>
      <c r="AA906" s="131"/>
      <c r="AB906" s="330"/>
      <c r="AC906" s="331"/>
      <c r="AD906" s="332"/>
      <c r="AE906" s="131"/>
      <c r="AF906" s="131"/>
      <c r="AG906" s="131"/>
      <c r="AH906" s="131"/>
      <c r="AI906" s="131"/>
      <c r="AJ906" s="131"/>
      <c r="AK906" s="131"/>
      <c r="AL906" s="131"/>
      <c r="AM906" s="131"/>
      <c r="AN906" s="131"/>
      <c r="AO906" s="142"/>
      <c r="AP906" s="131"/>
    </row>
    <row r="907" ht="13.5" customHeight="1">
      <c r="A907" s="142"/>
      <c r="B907" s="142"/>
      <c r="C907" s="142"/>
      <c r="D907" s="142"/>
      <c r="E907" s="132"/>
      <c r="F907" s="131"/>
      <c r="G907" s="131"/>
      <c r="H907" s="131"/>
      <c r="I907" s="131"/>
      <c r="J907" s="219"/>
      <c r="K907" s="198"/>
      <c r="L907" s="131"/>
      <c r="M907" s="142"/>
      <c r="N907" s="131"/>
      <c r="O907" s="131"/>
      <c r="P907" s="131"/>
      <c r="Q907" s="131"/>
      <c r="R907" s="131"/>
      <c r="S907" s="131"/>
      <c r="T907" s="131"/>
      <c r="U907" s="131"/>
      <c r="V907" s="131"/>
      <c r="W907" s="131"/>
      <c r="X907" s="131"/>
      <c r="Y907" s="131"/>
      <c r="Z907" s="131"/>
      <c r="AA907" s="131"/>
      <c r="AB907" s="330"/>
      <c r="AC907" s="331"/>
      <c r="AD907" s="332"/>
      <c r="AE907" s="131"/>
      <c r="AF907" s="131"/>
      <c r="AG907" s="131"/>
      <c r="AH907" s="131"/>
      <c r="AI907" s="131"/>
      <c r="AJ907" s="131"/>
      <c r="AK907" s="131"/>
      <c r="AL907" s="131"/>
      <c r="AM907" s="131"/>
      <c r="AN907" s="131"/>
      <c r="AO907" s="142"/>
      <c r="AP907" s="131"/>
    </row>
    <row r="908" ht="13.5" customHeight="1">
      <c r="A908" s="142"/>
      <c r="B908" s="142"/>
      <c r="C908" s="142"/>
      <c r="D908" s="142"/>
      <c r="E908" s="132"/>
      <c r="F908" s="131"/>
      <c r="G908" s="131"/>
      <c r="H908" s="131"/>
      <c r="I908" s="131"/>
      <c r="J908" s="219"/>
      <c r="K908" s="198"/>
      <c r="L908" s="131"/>
      <c r="M908" s="142"/>
      <c r="N908" s="131"/>
      <c r="O908" s="131"/>
      <c r="P908" s="131"/>
      <c r="Q908" s="131"/>
      <c r="R908" s="131"/>
      <c r="S908" s="131"/>
      <c r="T908" s="131"/>
      <c r="U908" s="131"/>
      <c r="V908" s="131"/>
      <c r="W908" s="131"/>
      <c r="X908" s="131"/>
      <c r="Y908" s="131"/>
      <c r="Z908" s="131"/>
      <c r="AA908" s="131"/>
      <c r="AB908" s="330"/>
      <c r="AC908" s="331"/>
      <c r="AD908" s="332"/>
      <c r="AE908" s="131"/>
      <c r="AF908" s="131"/>
      <c r="AG908" s="131"/>
      <c r="AH908" s="131"/>
      <c r="AI908" s="131"/>
      <c r="AJ908" s="131"/>
      <c r="AK908" s="131"/>
      <c r="AL908" s="131"/>
      <c r="AM908" s="131"/>
      <c r="AN908" s="131"/>
      <c r="AO908" s="142"/>
      <c r="AP908" s="131"/>
    </row>
    <row r="909" ht="13.5" customHeight="1">
      <c r="A909" s="142"/>
      <c r="B909" s="142"/>
      <c r="C909" s="142"/>
      <c r="D909" s="142"/>
      <c r="E909" s="132"/>
      <c r="F909" s="131"/>
      <c r="G909" s="131"/>
      <c r="H909" s="131"/>
      <c r="I909" s="131"/>
      <c r="J909" s="219"/>
      <c r="K909" s="198"/>
      <c r="L909" s="131"/>
      <c r="M909" s="142"/>
      <c r="N909" s="131"/>
      <c r="O909" s="131"/>
      <c r="P909" s="131"/>
      <c r="Q909" s="131"/>
      <c r="R909" s="131"/>
      <c r="S909" s="131"/>
      <c r="T909" s="131"/>
      <c r="U909" s="131"/>
      <c r="V909" s="131"/>
      <c r="W909" s="131"/>
      <c r="X909" s="131"/>
      <c r="Y909" s="131"/>
      <c r="Z909" s="131"/>
      <c r="AA909" s="131"/>
      <c r="AB909" s="330"/>
      <c r="AC909" s="331"/>
      <c r="AD909" s="332"/>
      <c r="AE909" s="131"/>
      <c r="AF909" s="131"/>
      <c r="AG909" s="131"/>
      <c r="AH909" s="131"/>
      <c r="AI909" s="131"/>
      <c r="AJ909" s="131"/>
      <c r="AK909" s="131"/>
      <c r="AL909" s="131"/>
      <c r="AM909" s="131"/>
      <c r="AN909" s="131"/>
      <c r="AO909" s="142"/>
      <c r="AP909" s="131"/>
    </row>
    <row r="910" ht="13.5" customHeight="1">
      <c r="A910" s="142"/>
      <c r="B910" s="142"/>
      <c r="C910" s="142"/>
      <c r="D910" s="142"/>
      <c r="E910" s="132"/>
      <c r="F910" s="131"/>
      <c r="G910" s="131"/>
      <c r="H910" s="131"/>
      <c r="I910" s="131"/>
      <c r="J910" s="219"/>
      <c r="K910" s="198"/>
      <c r="L910" s="131"/>
      <c r="M910" s="142"/>
      <c r="N910" s="131"/>
      <c r="O910" s="131"/>
      <c r="P910" s="131"/>
      <c r="Q910" s="131"/>
      <c r="R910" s="131"/>
      <c r="S910" s="131"/>
      <c r="T910" s="131"/>
      <c r="U910" s="131"/>
      <c r="V910" s="131"/>
      <c r="W910" s="131"/>
      <c r="X910" s="131"/>
      <c r="Y910" s="131"/>
      <c r="Z910" s="131"/>
      <c r="AA910" s="131"/>
      <c r="AB910" s="330"/>
      <c r="AC910" s="331"/>
      <c r="AD910" s="332"/>
      <c r="AE910" s="131"/>
      <c r="AF910" s="131"/>
      <c r="AG910" s="131"/>
      <c r="AH910" s="131"/>
      <c r="AI910" s="131"/>
      <c r="AJ910" s="131"/>
      <c r="AK910" s="131"/>
      <c r="AL910" s="131"/>
      <c r="AM910" s="131"/>
      <c r="AN910" s="131"/>
      <c r="AO910" s="142"/>
      <c r="AP910" s="131"/>
    </row>
    <row r="911" ht="13.5" customHeight="1">
      <c r="A911" s="142"/>
      <c r="B911" s="142"/>
      <c r="C911" s="142"/>
      <c r="D911" s="142"/>
      <c r="E911" s="132"/>
      <c r="F911" s="131"/>
      <c r="G911" s="131"/>
      <c r="H911" s="131"/>
      <c r="I911" s="131"/>
      <c r="J911" s="219"/>
      <c r="K911" s="198"/>
      <c r="L911" s="131"/>
      <c r="M911" s="142"/>
      <c r="N911" s="131"/>
      <c r="O911" s="131"/>
      <c r="P911" s="131"/>
      <c r="Q911" s="131"/>
      <c r="R911" s="131"/>
      <c r="S911" s="131"/>
      <c r="T911" s="131"/>
      <c r="U911" s="131"/>
      <c r="V911" s="131"/>
      <c r="W911" s="131"/>
      <c r="X911" s="131"/>
      <c r="Y911" s="131"/>
      <c r="Z911" s="131"/>
      <c r="AA911" s="131"/>
      <c r="AB911" s="330"/>
      <c r="AC911" s="331"/>
      <c r="AD911" s="332"/>
      <c r="AE911" s="131"/>
      <c r="AF911" s="131"/>
      <c r="AG911" s="131"/>
      <c r="AH911" s="131"/>
      <c r="AI911" s="131"/>
      <c r="AJ911" s="131"/>
      <c r="AK911" s="131"/>
      <c r="AL911" s="131"/>
      <c r="AM911" s="131"/>
      <c r="AN911" s="131"/>
      <c r="AO911" s="142"/>
      <c r="AP911" s="131"/>
    </row>
    <row r="912" ht="13.5" customHeight="1">
      <c r="A912" s="142"/>
      <c r="B912" s="142"/>
      <c r="C912" s="142"/>
      <c r="D912" s="142"/>
      <c r="E912" s="132"/>
      <c r="F912" s="131"/>
      <c r="G912" s="131"/>
      <c r="H912" s="131"/>
      <c r="I912" s="131"/>
      <c r="J912" s="219"/>
      <c r="K912" s="198"/>
      <c r="L912" s="131"/>
      <c r="M912" s="142"/>
      <c r="N912" s="131"/>
      <c r="O912" s="131"/>
      <c r="P912" s="131"/>
      <c r="Q912" s="131"/>
      <c r="R912" s="131"/>
      <c r="S912" s="131"/>
      <c r="T912" s="131"/>
      <c r="U912" s="131"/>
      <c r="V912" s="131"/>
      <c r="W912" s="131"/>
      <c r="X912" s="131"/>
      <c r="Y912" s="131"/>
      <c r="Z912" s="131"/>
      <c r="AA912" s="131"/>
      <c r="AB912" s="330"/>
      <c r="AC912" s="331"/>
      <c r="AD912" s="332"/>
      <c r="AE912" s="131"/>
      <c r="AF912" s="131"/>
      <c r="AG912" s="131"/>
      <c r="AH912" s="131"/>
      <c r="AI912" s="131"/>
      <c r="AJ912" s="131"/>
      <c r="AK912" s="131"/>
      <c r="AL912" s="131"/>
      <c r="AM912" s="131"/>
      <c r="AN912" s="131"/>
      <c r="AO912" s="142"/>
      <c r="AP912" s="131"/>
    </row>
    <row r="913" ht="13.5" customHeight="1">
      <c r="A913" s="142"/>
      <c r="B913" s="142"/>
      <c r="C913" s="142"/>
      <c r="D913" s="142"/>
      <c r="E913" s="132"/>
      <c r="F913" s="131"/>
      <c r="G913" s="131"/>
      <c r="H913" s="131"/>
      <c r="I913" s="131"/>
      <c r="J913" s="219"/>
      <c r="K913" s="198"/>
      <c r="L913" s="131"/>
      <c r="M913" s="142"/>
      <c r="N913" s="131"/>
      <c r="O913" s="131"/>
      <c r="P913" s="131"/>
      <c r="Q913" s="131"/>
      <c r="R913" s="131"/>
      <c r="S913" s="131"/>
      <c r="T913" s="131"/>
      <c r="U913" s="131"/>
      <c r="V913" s="131"/>
      <c r="W913" s="131"/>
      <c r="X913" s="131"/>
      <c r="Y913" s="131"/>
      <c r="Z913" s="131"/>
      <c r="AA913" s="131"/>
      <c r="AB913" s="330"/>
      <c r="AC913" s="331"/>
      <c r="AD913" s="332"/>
      <c r="AE913" s="131"/>
      <c r="AF913" s="131"/>
      <c r="AG913" s="131"/>
      <c r="AH913" s="131"/>
      <c r="AI913" s="131"/>
      <c r="AJ913" s="131"/>
      <c r="AK913" s="131"/>
      <c r="AL913" s="131"/>
      <c r="AM913" s="131"/>
      <c r="AN913" s="131"/>
      <c r="AO913" s="142"/>
      <c r="AP913" s="131"/>
    </row>
    <row r="914" ht="13.5" customHeight="1">
      <c r="A914" s="142"/>
      <c r="B914" s="142"/>
      <c r="C914" s="142"/>
      <c r="D914" s="142"/>
      <c r="E914" s="132"/>
      <c r="F914" s="131"/>
      <c r="G914" s="131"/>
      <c r="H914" s="131"/>
      <c r="I914" s="131"/>
      <c r="J914" s="219"/>
      <c r="K914" s="198"/>
      <c r="L914" s="131"/>
      <c r="M914" s="142"/>
      <c r="N914" s="131"/>
      <c r="O914" s="131"/>
      <c r="P914" s="131"/>
      <c r="Q914" s="131"/>
      <c r="R914" s="131"/>
      <c r="S914" s="131"/>
      <c r="T914" s="131"/>
      <c r="U914" s="131"/>
      <c r="V914" s="131"/>
      <c r="W914" s="131"/>
      <c r="X914" s="131"/>
      <c r="Y914" s="131"/>
      <c r="Z914" s="131"/>
      <c r="AA914" s="131"/>
      <c r="AB914" s="330"/>
      <c r="AC914" s="331"/>
      <c r="AD914" s="332"/>
      <c r="AE914" s="131"/>
      <c r="AF914" s="131"/>
      <c r="AG914" s="131"/>
      <c r="AH914" s="131"/>
      <c r="AI914" s="131"/>
      <c r="AJ914" s="131"/>
      <c r="AK914" s="131"/>
      <c r="AL914" s="131"/>
      <c r="AM914" s="131"/>
      <c r="AN914" s="131"/>
      <c r="AO914" s="142"/>
      <c r="AP914" s="131"/>
    </row>
    <row r="915" ht="13.5" customHeight="1">
      <c r="A915" s="142"/>
      <c r="B915" s="142"/>
      <c r="C915" s="142"/>
      <c r="D915" s="142"/>
      <c r="E915" s="132"/>
      <c r="F915" s="131"/>
      <c r="G915" s="131"/>
      <c r="H915" s="131"/>
      <c r="I915" s="131"/>
      <c r="J915" s="219"/>
      <c r="K915" s="198"/>
      <c r="L915" s="131"/>
      <c r="M915" s="142"/>
      <c r="N915" s="131"/>
      <c r="O915" s="131"/>
      <c r="P915" s="131"/>
      <c r="Q915" s="131"/>
      <c r="R915" s="131"/>
      <c r="S915" s="131"/>
      <c r="T915" s="131"/>
      <c r="U915" s="131"/>
      <c r="V915" s="131"/>
      <c r="W915" s="131"/>
      <c r="X915" s="131"/>
      <c r="Y915" s="131"/>
      <c r="Z915" s="131"/>
      <c r="AA915" s="131"/>
      <c r="AB915" s="330"/>
      <c r="AC915" s="331"/>
      <c r="AD915" s="332"/>
      <c r="AE915" s="131"/>
      <c r="AF915" s="131"/>
      <c r="AG915" s="131"/>
      <c r="AH915" s="131"/>
      <c r="AI915" s="131"/>
      <c r="AJ915" s="131"/>
      <c r="AK915" s="131"/>
      <c r="AL915" s="131"/>
      <c r="AM915" s="131"/>
      <c r="AN915" s="131"/>
      <c r="AO915" s="142"/>
      <c r="AP915" s="131"/>
    </row>
    <row r="916" ht="13.5" customHeight="1">
      <c r="A916" s="142"/>
      <c r="B916" s="142"/>
      <c r="C916" s="142"/>
      <c r="D916" s="142"/>
      <c r="E916" s="132"/>
      <c r="F916" s="131"/>
      <c r="G916" s="131"/>
      <c r="H916" s="131"/>
      <c r="I916" s="131"/>
      <c r="J916" s="219"/>
      <c r="K916" s="198"/>
      <c r="L916" s="131"/>
      <c r="M916" s="142"/>
      <c r="N916" s="131"/>
      <c r="O916" s="131"/>
      <c r="P916" s="131"/>
      <c r="Q916" s="131"/>
      <c r="R916" s="131"/>
      <c r="S916" s="131"/>
      <c r="T916" s="131"/>
      <c r="U916" s="131"/>
      <c r="V916" s="131"/>
      <c r="W916" s="131"/>
      <c r="X916" s="131"/>
      <c r="Y916" s="131"/>
      <c r="Z916" s="131"/>
      <c r="AA916" s="131"/>
      <c r="AB916" s="330"/>
      <c r="AC916" s="331"/>
      <c r="AD916" s="332"/>
      <c r="AE916" s="131"/>
      <c r="AF916" s="131"/>
      <c r="AG916" s="131"/>
      <c r="AH916" s="131"/>
      <c r="AI916" s="131"/>
      <c r="AJ916" s="131"/>
      <c r="AK916" s="131"/>
      <c r="AL916" s="131"/>
      <c r="AM916" s="131"/>
      <c r="AN916" s="131"/>
      <c r="AO916" s="142"/>
      <c r="AP916" s="131"/>
    </row>
    <row r="917" ht="13.5" customHeight="1">
      <c r="A917" s="142"/>
      <c r="B917" s="142"/>
      <c r="C917" s="142"/>
      <c r="D917" s="142"/>
      <c r="E917" s="132"/>
      <c r="F917" s="131"/>
      <c r="G917" s="131"/>
      <c r="H917" s="131"/>
      <c r="I917" s="131"/>
      <c r="J917" s="219"/>
      <c r="K917" s="198"/>
      <c r="L917" s="131"/>
      <c r="M917" s="142"/>
      <c r="N917" s="131"/>
      <c r="O917" s="131"/>
      <c r="P917" s="131"/>
      <c r="Q917" s="131"/>
      <c r="R917" s="131"/>
      <c r="S917" s="131"/>
      <c r="T917" s="131"/>
      <c r="U917" s="131"/>
      <c r="V917" s="131"/>
      <c r="W917" s="131"/>
      <c r="X917" s="131"/>
      <c r="Y917" s="131"/>
      <c r="Z917" s="131"/>
      <c r="AA917" s="131"/>
      <c r="AB917" s="330"/>
      <c r="AC917" s="331"/>
      <c r="AD917" s="332"/>
      <c r="AE917" s="131"/>
      <c r="AF917" s="131"/>
      <c r="AG917" s="131"/>
      <c r="AH917" s="131"/>
      <c r="AI917" s="131"/>
      <c r="AJ917" s="131"/>
      <c r="AK917" s="131"/>
      <c r="AL917" s="131"/>
      <c r="AM917" s="131"/>
      <c r="AN917" s="131"/>
      <c r="AO917" s="142"/>
      <c r="AP917" s="131"/>
    </row>
    <row r="918" ht="13.5" customHeight="1">
      <c r="A918" s="142"/>
      <c r="B918" s="142"/>
      <c r="C918" s="142"/>
      <c r="D918" s="142"/>
      <c r="E918" s="132"/>
      <c r="F918" s="131"/>
      <c r="G918" s="131"/>
      <c r="H918" s="131"/>
      <c r="I918" s="131"/>
      <c r="J918" s="219"/>
      <c r="K918" s="198"/>
      <c r="L918" s="131"/>
      <c r="M918" s="142"/>
      <c r="N918" s="131"/>
      <c r="O918" s="131"/>
      <c r="P918" s="131"/>
      <c r="Q918" s="131"/>
      <c r="R918" s="131"/>
      <c r="S918" s="131"/>
      <c r="T918" s="131"/>
      <c r="U918" s="131"/>
      <c r="V918" s="131"/>
      <c r="W918" s="131"/>
      <c r="X918" s="131"/>
      <c r="Y918" s="131"/>
      <c r="Z918" s="131"/>
      <c r="AA918" s="131"/>
      <c r="AB918" s="330"/>
      <c r="AC918" s="331"/>
      <c r="AD918" s="332"/>
      <c r="AE918" s="131"/>
      <c r="AF918" s="131"/>
      <c r="AG918" s="131"/>
      <c r="AH918" s="131"/>
      <c r="AI918" s="131"/>
      <c r="AJ918" s="131"/>
      <c r="AK918" s="131"/>
      <c r="AL918" s="131"/>
      <c r="AM918" s="131"/>
      <c r="AN918" s="131"/>
      <c r="AO918" s="142"/>
      <c r="AP918" s="131"/>
    </row>
    <row r="919" ht="13.5" customHeight="1">
      <c r="A919" s="142"/>
      <c r="B919" s="142"/>
      <c r="C919" s="142"/>
      <c r="D919" s="142"/>
      <c r="E919" s="132"/>
      <c r="F919" s="131"/>
      <c r="G919" s="131"/>
      <c r="H919" s="131"/>
      <c r="I919" s="131"/>
      <c r="J919" s="219"/>
      <c r="K919" s="198"/>
      <c r="L919" s="131"/>
      <c r="M919" s="142"/>
      <c r="N919" s="131"/>
      <c r="O919" s="131"/>
      <c r="P919" s="131"/>
      <c r="Q919" s="131"/>
      <c r="R919" s="131"/>
      <c r="S919" s="131"/>
      <c r="T919" s="131"/>
      <c r="U919" s="131"/>
      <c r="V919" s="131"/>
      <c r="W919" s="131"/>
      <c r="X919" s="131"/>
      <c r="Y919" s="131"/>
      <c r="Z919" s="131"/>
      <c r="AA919" s="131"/>
      <c r="AB919" s="330"/>
      <c r="AC919" s="331"/>
      <c r="AD919" s="332"/>
      <c r="AE919" s="131"/>
      <c r="AF919" s="131"/>
      <c r="AG919" s="131"/>
      <c r="AH919" s="131"/>
      <c r="AI919" s="131"/>
      <c r="AJ919" s="131"/>
      <c r="AK919" s="131"/>
      <c r="AL919" s="131"/>
      <c r="AM919" s="131"/>
      <c r="AN919" s="131"/>
      <c r="AO919" s="142"/>
      <c r="AP919" s="131"/>
    </row>
    <row r="920" ht="13.5" customHeight="1">
      <c r="A920" s="142"/>
      <c r="B920" s="142"/>
      <c r="C920" s="142"/>
      <c r="D920" s="142"/>
      <c r="E920" s="132"/>
      <c r="F920" s="131"/>
      <c r="G920" s="131"/>
      <c r="H920" s="131"/>
      <c r="I920" s="131"/>
      <c r="J920" s="219"/>
      <c r="K920" s="198"/>
      <c r="L920" s="131"/>
      <c r="M920" s="142"/>
      <c r="N920" s="131"/>
      <c r="O920" s="131"/>
      <c r="P920" s="131"/>
      <c r="Q920" s="131"/>
      <c r="R920" s="131"/>
      <c r="S920" s="131"/>
      <c r="T920" s="131"/>
      <c r="U920" s="131"/>
      <c r="V920" s="131"/>
      <c r="W920" s="131"/>
      <c r="X920" s="131"/>
      <c r="Y920" s="131"/>
      <c r="Z920" s="131"/>
      <c r="AA920" s="131"/>
      <c r="AB920" s="330"/>
      <c r="AC920" s="331"/>
      <c r="AD920" s="332"/>
      <c r="AE920" s="131"/>
      <c r="AF920" s="131"/>
      <c r="AG920" s="131"/>
      <c r="AH920" s="131"/>
      <c r="AI920" s="131"/>
      <c r="AJ920" s="131"/>
      <c r="AK920" s="131"/>
      <c r="AL920" s="131"/>
      <c r="AM920" s="131"/>
      <c r="AN920" s="131"/>
      <c r="AO920" s="142"/>
      <c r="AP920" s="131"/>
    </row>
    <row r="921" ht="13.5" customHeight="1">
      <c r="A921" s="142"/>
      <c r="B921" s="142"/>
      <c r="C921" s="142"/>
      <c r="D921" s="142"/>
      <c r="E921" s="132"/>
      <c r="F921" s="131"/>
      <c r="G921" s="131"/>
      <c r="H921" s="131"/>
      <c r="I921" s="131"/>
      <c r="J921" s="219"/>
      <c r="K921" s="198"/>
      <c r="L921" s="131"/>
      <c r="M921" s="142"/>
      <c r="N921" s="131"/>
      <c r="O921" s="131"/>
      <c r="P921" s="131"/>
      <c r="Q921" s="131"/>
      <c r="R921" s="131"/>
      <c r="S921" s="131"/>
      <c r="T921" s="131"/>
      <c r="U921" s="131"/>
      <c r="V921" s="131"/>
      <c r="W921" s="131"/>
      <c r="X921" s="131"/>
      <c r="Y921" s="131"/>
      <c r="Z921" s="131"/>
      <c r="AA921" s="131"/>
      <c r="AB921" s="330"/>
      <c r="AC921" s="331"/>
      <c r="AD921" s="332"/>
      <c r="AE921" s="131"/>
      <c r="AF921" s="131"/>
      <c r="AG921" s="131"/>
      <c r="AH921" s="131"/>
      <c r="AI921" s="131"/>
      <c r="AJ921" s="131"/>
      <c r="AK921" s="131"/>
      <c r="AL921" s="131"/>
      <c r="AM921" s="131"/>
      <c r="AN921" s="131"/>
      <c r="AO921" s="142"/>
      <c r="AP921" s="131"/>
    </row>
    <row r="922" ht="13.5" customHeight="1">
      <c r="A922" s="142"/>
      <c r="B922" s="142"/>
      <c r="C922" s="142"/>
      <c r="D922" s="142"/>
      <c r="E922" s="132"/>
      <c r="F922" s="131"/>
      <c r="G922" s="131"/>
      <c r="H922" s="131"/>
      <c r="I922" s="131"/>
      <c r="J922" s="219"/>
      <c r="K922" s="198"/>
      <c r="L922" s="131"/>
      <c r="M922" s="142"/>
      <c r="N922" s="131"/>
      <c r="O922" s="131"/>
      <c r="P922" s="131"/>
      <c r="Q922" s="131"/>
      <c r="R922" s="131"/>
      <c r="S922" s="131"/>
      <c r="T922" s="131"/>
      <c r="U922" s="131"/>
      <c r="V922" s="131"/>
      <c r="W922" s="131"/>
      <c r="X922" s="131"/>
      <c r="Y922" s="131"/>
      <c r="Z922" s="131"/>
      <c r="AA922" s="131"/>
      <c r="AB922" s="330"/>
      <c r="AC922" s="331"/>
      <c r="AD922" s="332"/>
      <c r="AE922" s="131"/>
      <c r="AF922" s="131"/>
      <c r="AG922" s="131"/>
      <c r="AH922" s="131"/>
      <c r="AI922" s="131"/>
      <c r="AJ922" s="131"/>
      <c r="AK922" s="131"/>
      <c r="AL922" s="131"/>
      <c r="AM922" s="131"/>
      <c r="AN922" s="131"/>
      <c r="AO922" s="142"/>
      <c r="AP922" s="131"/>
    </row>
    <row r="923" ht="13.5" customHeight="1">
      <c r="A923" s="142"/>
      <c r="B923" s="142"/>
      <c r="C923" s="142"/>
      <c r="D923" s="142"/>
      <c r="E923" s="132"/>
      <c r="F923" s="131"/>
      <c r="G923" s="131"/>
      <c r="H923" s="131"/>
      <c r="I923" s="131"/>
      <c r="J923" s="219"/>
      <c r="K923" s="198"/>
      <c r="L923" s="131"/>
      <c r="M923" s="142"/>
      <c r="N923" s="131"/>
      <c r="O923" s="131"/>
      <c r="P923" s="131"/>
      <c r="Q923" s="131"/>
      <c r="R923" s="131"/>
      <c r="S923" s="131"/>
      <c r="T923" s="131"/>
      <c r="U923" s="131"/>
      <c r="V923" s="131"/>
      <c r="W923" s="131"/>
      <c r="X923" s="131"/>
      <c r="Y923" s="131"/>
      <c r="Z923" s="131"/>
      <c r="AA923" s="131"/>
      <c r="AB923" s="330"/>
      <c r="AC923" s="331"/>
      <c r="AD923" s="332"/>
      <c r="AE923" s="131"/>
      <c r="AF923" s="131"/>
      <c r="AG923" s="131"/>
      <c r="AH923" s="131"/>
      <c r="AI923" s="131"/>
      <c r="AJ923" s="131"/>
      <c r="AK923" s="131"/>
      <c r="AL923" s="131"/>
      <c r="AM923" s="131"/>
      <c r="AN923" s="131"/>
      <c r="AO923" s="142"/>
      <c r="AP923" s="131"/>
    </row>
    <row r="924" ht="13.5" customHeight="1">
      <c r="A924" s="142"/>
      <c r="B924" s="142"/>
      <c r="C924" s="142"/>
      <c r="D924" s="142"/>
      <c r="E924" s="132"/>
      <c r="F924" s="131"/>
      <c r="G924" s="131"/>
      <c r="H924" s="131"/>
      <c r="I924" s="131"/>
      <c r="J924" s="219"/>
      <c r="K924" s="198"/>
      <c r="L924" s="131"/>
      <c r="M924" s="142"/>
      <c r="N924" s="131"/>
      <c r="O924" s="131"/>
      <c r="P924" s="131"/>
      <c r="Q924" s="131"/>
      <c r="R924" s="131"/>
      <c r="S924" s="131"/>
      <c r="T924" s="131"/>
      <c r="U924" s="131"/>
      <c r="V924" s="131"/>
      <c r="W924" s="131"/>
      <c r="X924" s="131"/>
      <c r="Y924" s="131"/>
      <c r="Z924" s="131"/>
      <c r="AA924" s="131"/>
      <c r="AB924" s="330"/>
      <c r="AC924" s="331"/>
      <c r="AD924" s="332"/>
      <c r="AE924" s="131"/>
      <c r="AF924" s="131"/>
      <c r="AG924" s="131"/>
      <c r="AH924" s="131"/>
      <c r="AI924" s="131"/>
      <c r="AJ924" s="131"/>
      <c r="AK924" s="131"/>
      <c r="AL924" s="131"/>
      <c r="AM924" s="131"/>
      <c r="AN924" s="131"/>
      <c r="AO924" s="142"/>
      <c r="AP924" s="131"/>
    </row>
    <row r="925" ht="13.5" customHeight="1">
      <c r="A925" s="142"/>
      <c r="B925" s="142"/>
      <c r="C925" s="142"/>
      <c r="D925" s="142"/>
      <c r="E925" s="132"/>
      <c r="F925" s="131"/>
      <c r="G925" s="131"/>
      <c r="H925" s="131"/>
      <c r="I925" s="131"/>
      <c r="J925" s="219"/>
      <c r="K925" s="198"/>
      <c r="L925" s="131"/>
      <c r="M925" s="142"/>
      <c r="N925" s="131"/>
      <c r="O925" s="131"/>
      <c r="P925" s="131"/>
      <c r="Q925" s="131"/>
      <c r="R925" s="131"/>
      <c r="S925" s="131"/>
      <c r="T925" s="131"/>
      <c r="U925" s="131"/>
      <c r="V925" s="131"/>
      <c r="W925" s="131"/>
      <c r="X925" s="131"/>
      <c r="Y925" s="131"/>
      <c r="Z925" s="131"/>
      <c r="AA925" s="131"/>
      <c r="AB925" s="330"/>
      <c r="AC925" s="331"/>
      <c r="AD925" s="332"/>
      <c r="AE925" s="131"/>
      <c r="AF925" s="131"/>
      <c r="AG925" s="131"/>
      <c r="AH925" s="131"/>
      <c r="AI925" s="131"/>
      <c r="AJ925" s="131"/>
      <c r="AK925" s="131"/>
      <c r="AL925" s="131"/>
      <c r="AM925" s="131"/>
      <c r="AN925" s="131"/>
      <c r="AO925" s="142"/>
      <c r="AP925" s="131"/>
    </row>
    <row r="926" ht="13.5" customHeight="1">
      <c r="A926" s="142"/>
      <c r="B926" s="142"/>
      <c r="C926" s="142"/>
      <c r="D926" s="142"/>
      <c r="E926" s="132"/>
      <c r="F926" s="131"/>
      <c r="G926" s="131"/>
      <c r="H926" s="131"/>
      <c r="I926" s="131"/>
      <c r="J926" s="219"/>
      <c r="K926" s="198"/>
      <c r="L926" s="131"/>
      <c r="M926" s="142"/>
      <c r="N926" s="131"/>
      <c r="O926" s="131"/>
      <c r="P926" s="131"/>
      <c r="Q926" s="131"/>
      <c r="R926" s="131"/>
      <c r="S926" s="131"/>
      <c r="T926" s="131"/>
      <c r="U926" s="131"/>
      <c r="V926" s="131"/>
      <c r="W926" s="131"/>
      <c r="X926" s="131"/>
      <c r="Y926" s="131"/>
      <c r="Z926" s="131"/>
      <c r="AA926" s="131"/>
      <c r="AB926" s="330"/>
      <c r="AC926" s="331"/>
      <c r="AD926" s="332"/>
      <c r="AE926" s="131"/>
      <c r="AF926" s="131"/>
      <c r="AG926" s="131"/>
      <c r="AH926" s="131"/>
      <c r="AI926" s="131"/>
      <c r="AJ926" s="131"/>
      <c r="AK926" s="131"/>
      <c r="AL926" s="131"/>
      <c r="AM926" s="131"/>
      <c r="AN926" s="131"/>
      <c r="AO926" s="142"/>
      <c r="AP926" s="131"/>
    </row>
    <row r="927" ht="13.5" customHeight="1">
      <c r="A927" s="142"/>
      <c r="B927" s="142"/>
      <c r="C927" s="142"/>
      <c r="D927" s="142"/>
      <c r="E927" s="132"/>
      <c r="F927" s="131"/>
      <c r="G927" s="131"/>
      <c r="H927" s="131"/>
      <c r="I927" s="131"/>
      <c r="J927" s="219"/>
      <c r="K927" s="198"/>
      <c r="L927" s="131"/>
      <c r="M927" s="142"/>
      <c r="N927" s="131"/>
      <c r="O927" s="131"/>
      <c r="P927" s="131"/>
      <c r="Q927" s="131"/>
      <c r="R927" s="131"/>
      <c r="S927" s="131"/>
      <c r="T927" s="131"/>
      <c r="U927" s="131"/>
      <c r="V927" s="131"/>
      <c r="W927" s="131"/>
      <c r="X927" s="131"/>
      <c r="Y927" s="131"/>
      <c r="Z927" s="131"/>
      <c r="AA927" s="131"/>
      <c r="AB927" s="330"/>
      <c r="AC927" s="331"/>
      <c r="AD927" s="332"/>
      <c r="AE927" s="131"/>
      <c r="AF927" s="131"/>
      <c r="AG927" s="131"/>
      <c r="AH927" s="131"/>
      <c r="AI927" s="131"/>
      <c r="AJ927" s="131"/>
      <c r="AK927" s="131"/>
      <c r="AL927" s="131"/>
      <c r="AM927" s="131"/>
      <c r="AN927" s="131"/>
      <c r="AO927" s="142"/>
      <c r="AP927" s="131"/>
    </row>
    <row r="928" ht="13.5" customHeight="1">
      <c r="A928" s="142"/>
      <c r="B928" s="142"/>
      <c r="C928" s="142"/>
      <c r="D928" s="142"/>
      <c r="E928" s="132"/>
      <c r="F928" s="131"/>
      <c r="G928" s="131"/>
      <c r="H928" s="131"/>
      <c r="I928" s="131"/>
      <c r="J928" s="219"/>
      <c r="K928" s="198"/>
      <c r="L928" s="131"/>
      <c r="M928" s="142"/>
      <c r="N928" s="131"/>
      <c r="O928" s="131"/>
      <c r="P928" s="131"/>
      <c r="Q928" s="131"/>
      <c r="R928" s="131"/>
      <c r="S928" s="131"/>
      <c r="T928" s="131"/>
      <c r="U928" s="131"/>
      <c r="V928" s="131"/>
      <c r="W928" s="131"/>
      <c r="X928" s="131"/>
      <c r="Y928" s="131"/>
      <c r="Z928" s="131"/>
      <c r="AA928" s="131"/>
      <c r="AB928" s="330"/>
      <c r="AC928" s="331"/>
      <c r="AD928" s="332"/>
      <c r="AE928" s="131"/>
      <c r="AF928" s="131"/>
      <c r="AG928" s="131"/>
      <c r="AH928" s="131"/>
      <c r="AI928" s="131"/>
      <c r="AJ928" s="131"/>
      <c r="AK928" s="131"/>
      <c r="AL928" s="131"/>
      <c r="AM928" s="131"/>
      <c r="AN928" s="131"/>
      <c r="AO928" s="142"/>
      <c r="AP928" s="131"/>
    </row>
    <row r="929" ht="13.5" customHeight="1">
      <c r="A929" s="142"/>
      <c r="B929" s="142"/>
      <c r="C929" s="142"/>
      <c r="D929" s="142"/>
      <c r="E929" s="132"/>
      <c r="F929" s="131"/>
      <c r="G929" s="131"/>
      <c r="H929" s="131"/>
      <c r="I929" s="131"/>
      <c r="J929" s="219"/>
      <c r="K929" s="198"/>
      <c r="L929" s="131"/>
      <c r="M929" s="142"/>
      <c r="N929" s="131"/>
      <c r="O929" s="131"/>
      <c r="P929" s="131"/>
      <c r="Q929" s="131"/>
      <c r="R929" s="131"/>
      <c r="S929" s="131"/>
      <c r="T929" s="131"/>
      <c r="U929" s="131"/>
      <c r="V929" s="131"/>
      <c r="W929" s="131"/>
      <c r="X929" s="131"/>
      <c r="Y929" s="131"/>
      <c r="Z929" s="131"/>
      <c r="AA929" s="131"/>
      <c r="AB929" s="330"/>
      <c r="AC929" s="331"/>
      <c r="AD929" s="332"/>
      <c r="AE929" s="131"/>
      <c r="AF929" s="131"/>
      <c r="AG929" s="131"/>
      <c r="AH929" s="131"/>
      <c r="AI929" s="131"/>
      <c r="AJ929" s="131"/>
      <c r="AK929" s="131"/>
      <c r="AL929" s="131"/>
      <c r="AM929" s="131"/>
      <c r="AN929" s="131"/>
      <c r="AO929" s="142"/>
      <c r="AP929" s="131"/>
    </row>
    <row r="930" ht="13.5" customHeight="1">
      <c r="A930" s="142"/>
      <c r="B930" s="142"/>
      <c r="C930" s="142"/>
      <c r="D930" s="142"/>
      <c r="E930" s="132"/>
      <c r="F930" s="131"/>
      <c r="G930" s="131"/>
      <c r="H930" s="131"/>
      <c r="I930" s="131"/>
      <c r="J930" s="219"/>
      <c r="K930" s="198"/>
      <c r="L930" s="131"/>
      <c r="M930" s="142"/>
      <c r="N930" s="131"/>
      <c r="O930" s="131"/>
      <c r="P930" s="131"/>
      <c r="Q930" s="131"/>
      <c r="R930" s="131"/>
      <c r="S930" s="131"/>
      <c r="T930" s="131"/>
      <c r="U930" s="131"/>
      <c r="V930" s="131"/>
      <c r="W930" s="131"/>
      <c r="X930" s="131"/>
      <c r="Y930" s="131"/>
      <c r="Z930" s="131"/>
      <c r="AA930" s="131"/>
      <c r="AB930" s="330"/>
      <c r="AC930" s="331"/>
      <c r="AD930" s="332"/>
      <c r="AE930" s="131"/>
      <c r="AF930" s="131"/>
      <c r="AG930" s="131"/>
      <c r="AH930" s="131"/>
      <c r="AI930" s="131"/>
      <c r="AJ930" s="131"/>
      <c r="AK930" s="131"/>
      <c r="AL930" s="131"/>
      <c r="AM930" s="131"/>
      <c r="AN930" s="131"/>
      <c r="AO930" s="142"/>
      <c r="AP930" s="131"/>
    </row>
    <row r="931" ht="13.5" customHeight="1">
      <c r="A931" s="142"/>
      <c r="B931" s="142"/>
      <c r="C931" s="142"/>
      <c r="D931" s="142"/>
      <c r="E931" s="132"/>
      <c r="F931" s="131"/>
      <c r="G931" s="131"/>
      <c r="H931" s="131"/>
      <c r="I931" s="131"/>
      <c r="J931" s="219"/>
      <c r="K931" s="198"/>
      <c r="L931" s="131"/>
      <c r="M931" s="142"/>
      <c r="N931" s="131"/>
      <c r="O931" s="131"/>
      <c r="P931" s="131"/>
      <c r="Q931" s="131"/>
      <c r="R931" s="131"/>
      <c r="S931" s="131"/>
      <c r="T931" s="131"/>
      <c r="U931" s="131"/>
      <c r="V931" s="131"/>
      <c r="W931" s="131"/>
      <c r="X931" s="131"/>
      <c r="Y931" s="131"/>
      <c r="Z931" s="131"/>
      <c r="AA931" s="131"/>
      <c r="AB931" s="330"/>
      <c r="AC931" s="331"/>
      <c r="AD931" s="332"/>
      <c r="AE931" s="131"/>
      <c r="AF931" s="131"/>
      <c r="AG931" s="131"/>
      <c r="AH931" s="131"/>
      <c r="AI931" s="131"/>
      <c r="AJ931" s="131"/>
      <c r="AK931" s="131"/>
      <c r="AL931" s="131"/>
      <c r="AM931" s="131"/>
      <c r="AN931" s="131"/>
      <c r="AO931" s="142"/>
      <c r="AP931" s="131"/>
    </row>
    <row r="932" ht="13.5" customHeight="1">
      <c r="A932" s="142"/>
      <c r="B932" s="142"/>
      <c r="C932" s="142"/>
      <c r="D932" s="142"/>
      <c r="E932" s="132"/>
      <c r="F932" s="131"/>
      <c r="G932" s="131"/>
      <c r="H932" s="131"/>
      <c r="I932" s="131"/>
      <c r="J932" s="219"/>
      <c r="K932" s="198"/>
      <c r="L932" s="131"/>
      <c r="M932" s="142"/>
      <c r="N932" s="131"/>
      <c r="O932" s="131"/>
      <c r="P932" s="131"/>
      <c r="Q932" s="131"/>
      <c r="R932" s="131"/>
      <c r="S932" s="131"/>
      <c r="T932" s="131"/>
      <c r="U932" s="131"/>
      <c r="V932" s="131"/>
      <c r="W932" s="131"/>
      <c r="X932" s="131"/>
      <c r="Y932" s="131"/>
      <c r="Z932" s="131"/>
      <c r="AA932" s="131"/>
      <c r="AB932" s="330"/>
      <c r="AC932" s="331"/>
      <c r="AD932" s="332"/>
      <c r="AE932" s="131"/>
      <c r="AF932" s="131"/>
      <c r="AG932" s="131"/>
      <c r="AH932" s="131"/>
      <c r="AI932" s="131"/>
      <c r="AJ932" s="131"/>
      <c r="AK932" s="131"/>
      <c r="AL932" s="131"/>
      <c r="AM932" s="131"/>
      <c r="AN932" s="131"/>
      <c r="AO932" s="142"/>
      <c r="AP932" s="131"/>
    </row>
    <row r="933" ht="13.5" customHeight="1">
      <c r="A933" s="142"/>
      <c r="B933" s="142"/>
      <c r="C933" s="142"/>
      <c r="D933" s="142"/>
      <c r="E933" s="132"/>
      <c r="F933" s="131"/>
      <c r="G933" s="131"/>
      <c r="H933" s="131"/>
      <c r="I933" s="131"/>
      <c r="J933" s="219"/>
      <c r="K933" s="198"/>
      <c r="L933" s="131"/>
      <c r="M933" s="142"/>
      <c r="N933" s="131"/>
      <c r="O933" s="131"/>
      <c r="P933" s="131"/>
      <c r="Q933" s="131"/>
      <c r="R933" s="131"/>
      <c r="S933" s="131"/>
      <c r="T933" s="131"/>
      <c r="U933" s="131"/>
      <c r="V933" s="131"/>
      <c r="W933" s="131"/>
      <c r="X933" s="131"/>
      <c r="Y933" s="131"/>
      <c r="Z933" s="131"/>
      <c r="AA933" s="131"/>
      <c r="AB933" s="330"/>
      <c r="AC933" s="331"/>
      <c r="AD933" s="332"/>
      <c r="AE933" s="131"/>
      <c r="AF933" s="131"/>
      <c r="AG933" s="131"/>
      <c r="AH933" s="131"/>
      <c r="AI933" s="131"/>
      <c r="AJ933" s="131"/>
      <c r="AK933" s="131"/>
      <c r="AL933" s="131"/>
      <c r="AM933" s="131"/>
      <c r="AN933" s="131"/>
      <c r="AO933" s="142"/>
      <c r="AP933" s="131"/>
    </row>
    <row r="934" ht="13.5" customHeight="1">
      <c r="A934" s="142"/>
      <c r="B934" s="142"/>
      <c r="C934" s="142"/>
      <c r="D934" s="142"/>
      <c r="E934" s="132"/>
      <c r="F934" s="131"/>
      <c r="G934" s="131"/>
      <c r="H934" s="131"/>
      <c r="I934" s="131"/>
      <c r="J934" s="219"/>
      <c r="K934" s="198"/>
      <c r="L934" s="131"/>
      <c r="M934" s="142"/>
      <c r="N934" s="131"/>
      <c r="O934" s="131"/>
      <c r="P934" s="131"/>
      <c r="Q934" s="131"/>
      <c r="R934" s="131"/>
      <c r="S934" s="131"/>
      <c r="T934" s="131"/>
      <c r="U934" s="131"/>
      <c r="V934" s="131"/>
      <c r="W934" s="131"/>
      <c r="X934" s="131"/>
      <c r="Y934" s="131"/>
      <c r="Z934" s="131"/>
      <c r="AA934" s="131"/>
      <c r="AB934" s="330"/>
      <c r="AC934" s="331"/>
      <c r="AD934" s="332"/>
      <c r="AE934" s="131"/>
      <c r="AF934" s="131"/>
      <c r="AG934" s="131"/>
      <c r="AH934" s="131"/>
      <c r="AI934" s="131"/>
      <c r="AJ934" s="131"/>
      <c r="AK934" s="131"/>
      <c r="AL934" s="131"/>
      <c r="AM934" s="131"/>
      <c r="AN934" s="131"/>
      <c r="AO934" s="142"/>
      <c r="AP934" s="131"/>
    </row>
    <row r="935" ht="13.5" customHeight="1">
      <c r="A935" s="142"/>
      <c r="B935" s="142"/>
      <c r="C935" s="142"/>
      <c r="D935" s="142"/>
      <c r="E935" s="132"/>
      <c r="F935" s="131"/>
      <c r="G935" s="131"/>
      <c r="H935" s="131"/>
      <c r="I935" s="131"/>
      <c r="J935" s="219"/>
      <c r="K935" s="198"/>
      <c r="L935" s="131"/>
      <c r="M935" s="142"/>
      <c r="N935" s="131"/>
      <c r="O935" s="131"/>
      <c r="P935" s="131"/>
      <c r="Q935" s="131"/>
      <c r="R935" s="131"/>
      <c r="S935" s="131"/>
      <c r="T935" s="131"/>
      <c r="U935" s="131"/>
      <c r="V935" s="131"/>
      <c r="W935" s="131"/>
      <c r="X935" s="131"/>
      <c r="Y935" s="131"/>
      <c r="Z935" s="131"/>
      <c r="AA935" s="131"/>
      <c r="AB935" s="330"/>
      <c r="AC935" s="331"/>
      <c r="AD935" s="332"/>
      <c r="AE935" s="131"/>
      <c r="AF935" s="131"/>
      <c r="AG935" s="131"/>
      <c r="AH935" s="131"/>
      <c r="AI935" s="131"/>
      <c r="AJ935" s="131"/>
      <c r="AK935" s="131"/>
      <c r="AL935" s="131"/>
      <c r="AM935" s="131"/>
      <c r="AN935" s="131"/>
      <c r="AO935" s="142"/>
      <c r="AP935" s="131"/>
    </row>
    <row r="936" ht="13.5" customHeight="1">
      <c r="A936" s="142"/>
      <c r="B936" s="142"/>
      <c r="C936" s="142"/>
      <c r="D936" s="142"/>
      <c r="E936" s="132"/>
      <c r="F936" s="131"/>
      <c r="G936" s="131"/>
      <c r="H936" s="131"/>
      <c r="I936" s="131"/>
      <c r="J936" s="219"/>
      <c r="K936" s="198"/>
      <c r="L936" s="131"/>
      <c r="M936" s="142"/>
      <c r="N936" s="131"/>
      <c r="O936" s="131"/>
      <c r="P936" s="131"/>
      <c r="Q936" s="131"/>
      <c r="R936" s="131"/>
      <c r="S936" s="131"/>
      <c r="T936" s="131"/>
      <c r="U936" s="131"/>
      <c r="V936" s="131"/>
      <c r="W936" s="131"/>
      <c r="X936" s="131"/>
      <c r="Y936" s="131"/>
      <c r="Z936" s="131"/>
      <c r="AA936" s="131"/>
      <c r="AB936" s="330"/>
      <c r="AC936" s="331"/>
      <c r="AD936" s="332"/>
      <c r="AE936" s="131"/>
      <c r="AF936" s="131"/>
      <c r="AG936" s="131"/>
      <c r="AH936" s="131"/>
      <c r="AI936" s="131"/>
      <c r="AJ936" s="131"/>
      <c r="AK936" s="131"/>
      <c r="AL936" s="131"/>
      <c r="AM936" s="131"/>
      <c r="AN936" s="131"/>
      <c r="AO936" s="142"/>
      <c r="AP936" s="131"/>
    </row>
    <row r="937" ht="13.5" customHeight="1">
      <c r="A937" s="142"/>
      <c r="B937" s="142"/>
      <c r="C937" s="142"/>
      <c r="D937" s="142"/>
      <c r="E937" s="132"/>
      <c r="F937" s="131"/>
      <c r="G937" s="131"/>
      <c r="H937" s="131"/>
      <c r="I937" s="131"/>
      <c r="J937" s="219"/>
      <c r="K937" s="198"/>
      <c r="L937" s="131"/>
      <c r="M937" s="142"/>
      <c r="N937" s="131"/>
      <c r="O937" s="131"/>
      <c r="P937" s="131"/>
      <c r="Q937" s="131"/>
      <c r="R937" s="131"/>
      <c r="S937" s="131"/>
      <c r="T937" s="131"/>
      <c r="U937" s="131"/>
      <c r="V937" s="131"/>
      <c r="W937" s="131"/>
      <c r="X937" s="131"/>
      <c r="Y937" s="131"/>
      <c r="Z937" s="131"/>
      <c r="AA937" s="131"/>
      <c r="AB937" s="330"/>
      <c r="AC937" s="331"/>
      <c r="AD937" s="332"/>
      <c r="AE937" s="131"/>
      <c r="AF937" s="131"/>
      <c r="AG937" s="131"/>
      <c r="AH937" s="131"/>
      <c r="AI937" s="131"/>
      <c r="AJ937" s="131"/>
      <c r="AK937" s="131"/>
      <c r="AL937" s="131"/>
      <c r="AM937" s="131"/>
      <c r="AN937" s="131"/>
      <c r="AO937" s="142"/>
      <c r="AP937" s="131"/>
    </row>
    <row r="938" ht="13.5" customHeight="1">
      <c r="A938" s="142"/>
      <c r="B938" s="142"/>
      <c r="C938" s="142"/>
      <c r="D938" s="142"/>
      <c r="E938" s="132"/>
      <c r="F938" s="131"/>
      <c r="G938" s="131"/>
      <c r="H938" s="131"/>
      <c r="I938" s="131"/>
      <c r="J938" s="219"/>
      <c r="K938" s="198"/>
      <c r="L938" s="131"/>
      <c r="M938" s="142"/>
      <c r="N938" s="131"/>
      <c r="O938" s="131"/>
      <c r="P938" s="131"/>
      <c r="Q938" s="131"/>
      <c r="R938" s="131"/>
      <c r="S938" s="131"/>
      <c r="T938" s="131"/>
      <c r="U938" s="131"/>
      <c r="V938" s="131"/>
      <c r="W938" s="131"/>
      <c r="X938" s="131"/>
      <c r="Y938" s="131"/>
      <c r="Z938" s="131"/>
      <c r="AA938" s="131"/>
      <c r="AB938" s="330"/>
      <c r="AC938" s="331"/>
      <c r="AD938" s="332"/>
      <c r="AE938" s="131"/>
      <c r="AF938" s="131"/>
      <c r="AG938" s="131"/>
      <c r="AH938" s="131"/>
      <c r="AI938" s="131"/>
      <c r="AJ938" s="131"/>
      <c r="AK938" s="131"/>
      <c r="AL938" s="131"/>
      <c r="AM938" s="131"/>
      <c r="AN938" s="131"/>
      <c r="AO938" s="142"/>
      <c r="AP938" s="131"/>
    </row>
    <row r="939" ht="13.5" customHeight="1">
      <c r="A939" s="142"/>
      <c r="B939" s="142"/>
      <c r="C939" s="142"/>
      <c r="D939" s="142"/>
      <c r="E939" s="132"/>
      <c r="F939" s="131"/>
      <c r="G939" s="131"/>
      <c r="H939" s="131"/>
      <c r="I939" s="131"/>
      <c r="J939" s="219"/>
      <c r="K939" s="198"/>
      <c r="L939" s="131"/>
      <c r="M939" s="142"/>
      <c r="N939" s="131"/>
      <c r="O939" s="131"/>
      <c r="P939" s="131"/>
      <c r="Q939" s="131"/>
      <c r="R939" s="131"/>
      <c r="S939" s="131"/>
      <c r="T939" s="131"/>
      <c r="U939" s="131"/>
      <c r="V939" s="131"/>
      <c r="W939" s="131"/>
      <c r="X939" s="131"/>
      <c r="Y939" s="131"/>
      <c r="Z939" s="131"/>
      <c r="AA939" s="131"/>
      <c r="AB939" s="330"/>
      <c r="AC939" s="331"/>
      <c r="AD939" s="332"/>
      <c r="AE939" s="131"/>
      <c r="AF939" s="131"/>
      <c r="AG939" s="131"/>
      <c r="AH939" s="131"/>
      <c r="AI939" s="131"/>
      <c r="AJ939" s="131"/>
      <c r="AK939" s="131"/>
      <c r="AL939" s="131"/>
      <c r="AM939" s="131"/>
      <c r="AN939" s="131"/>
      <c r="AO939" s="142"/>
      <c r="AP939" s="131"/>
    </row>
    <row r="940" ht="13.5" customHeight="1">
      <c r="A940" s="142"/>
      <c r="B940" s="142"/>
      <c r="C940" s="142"/>
      <c r="D940" s="142"/>
      <c r="E940" s="132"/>
      <c r="F940" s="131"/>
      <c r="G940" s="131"/>
      <c r="H940" s="131"/>
      <c r="I940" s="131"/>
      <c r="J940" s="219"/>
      <c r="K940" s="198"/>
      <c r="L940" s="131"/>
      <c r="M940" s="142"/>
      <c r="N940" s="131"/>
      <c r="O940" s="131"/>
      <c r="P940" s="131"/>
      <c r="Q940" s="131"/>
      <c r="R940" s="131"/>
      <c r="S940" s="131"/>
      <c r="T940" s="131"/>
      <c r="U940" s="131"/>
      <c r="V940" s="131"/>
      <c r="W940" s="131"/>
      <c r="X940" s="131"/>
      <c r="Y940" s="131"/>
      <c r="Z940" s="131"/>
      <c r="AA940" s="131"/>
      <c r="AB940" s="330"/>
      <c r="AC940" s="331"/>
      <c r="AD940" s="332"/>
      <c r="AE940" s="131"/>
      <c r="AF940" s="131"/>
      <c r="AG940" s="131"/>
      <c r="AH940" s="131"/>
      <c r="AI940" s="131"/>
      <c r="AJ940" s="131"/>
      <c r="AK940" s="131"/>
      <c r="AL940" s="131"/>
      <c r="AM940" s="131"/>
      <c r="AN940" s="131"/>
      <c r="AO940" s="142"/>
      <c r="AP940" s="131"/>
    </row>
    <row r="941" ht="13.5" customHeight="1">
      <c r="A941" s="142"/>
      <c r="B941" s="142"/>
      <c r="C941" s="142"/>
      <c r="D941" s="142"/>
      <c r="E941" s="132"/>
      <c r="F941" s="131"/>
      <c r="G941" s="131"/>
      <c r="H941" s="131"/>
      <c r="I941" s="131"/>
      <c r="J941" s="219"/>
      <c r="K941" s="198"/>
      <c r="L941" s="131"/>
      <c r="M941" s="142"/>
      <c r="N941" s="131"/>
      <c r="O941" s="131"/>
      <c r="P941" s="131"/>
      <c r="Q941" s="131"/>
      <c r="R941" s="131"/>
      <c r="S941" s="131"/>
      <c r="T941" s="131"/>
      <c r="U941" s="131"/>
      <c r="V941" s="131"/>
      <c r="W941" s="131"/>
      <c r="X941" s="131"/>
      <c r="Y941" s="131"/>
      <c r="Z941" s="131"/>
      <c r="AA941" s="131"/>
      <c r="AB941" s="330"/>
      <c r="AC941" s="331"/>
      <c r="AD941" s="332"/>
      <c r="AE941" s="131"/>
      <c r="AF941" s="131"/>
      <c r="AG941" s="131"/>
      <c r="AH941" s="131"/>
      <c r="AI941" s="131"/>
      <c r="AJ941" s="131"/>
      <c r="AK941" s="131"/>
      <c r="AL941" s="131"/>
      <c r="AM941" s="131"/>
      <c r="AN941" s="131"/>
      <c r="AO941" s="142"/>
      <c r="AP941" s="131"/>
    </row>
    <row r="942" ht="13.5" customHeight="1">
      <c r="A942" s="142"/>
      <c r="B942" s="142"/>
      <c r="C942" s="142"/>
      <c r="D942" s="142"/>
      <c r="E942" s="132"/>
      <c r="F942" s="131"/>
      <c r="G942" s="131"/>
      <c r="H942" s="131"/>
      <c r="I942" s="131"/>
      <c r="J942" s="219"/>
      <c r="K942" s="198"/>
      <c r="L942" s="131"/>
      <c r="M942" s="142"/>
      <c r="N942" s="131"/>
      <c r="O942" s="131"/>
      <c r="P942" s="131"/>
      <c r="Q942" s="131"/>
      <c r="R942" s="131"/>
      <c r="S942" s="131"/>
      <c r="T942" s="131"/>
      <c r="U942" s="131"/>
      <c r="V942" s="131"/>
      <c r="W942" s="131"/>
      <c r="X942" s="131"/>
      <c r="Y942" s="131"/>
      <c r="Z942" s="131"/>
      <c r="AA942" s="131"/>
      <c r="AB942" s="330"/>
      <c r="AC942" s="331"/>
      <c r="AD942" s="332"/>
      <c r="AE942" s="131"/>
      <c r="AF942" s="131"/>
      <c r="AG942" s="131"/>
      <c r="AH942" s="131"/>
      <c r="AI942" s="131"/>
      <c r="AJ942" s="131"/>
      <c r="AK942" s="131"/>
      <c r="AL942" s="131"/>
      <c r="AM942" s="131"/>
      <c r="AN942" s="131"/>
      <c r="AO942" s="142"/>
      <c r="AP942" s="131"/>
    </row>
    <row r="943" ht="13.5" customHeight="1">
      <c r="A943" s="142"/>
      <c r="B943" s="142"/>
      <c r="C943" s="142"/>
      <c r="D943" s="142"/>
      <c r="E943" s="132"/>
      <c r="F943" s="131"/>
      <c r="G943" s="131"/>
      <c r="H943" s="131"/>
      <c r="I943" s="131"/>
      <c r="J943" s="219"/>
      <c r="K943" s="198"/>
      <c r="L943" s="131"/>
      <c r="M943" s="142"/>
      <c r="N943" s="131"/>
      <c r="O943" s="131"/>
      <c r="P943" s="131"/>
      <c r="Q943" s="131"/>
      <c r="R943" s="131"/>
      <c r="S943" s="131"/>
      <c r="T943" s="131"/>
      <c r="U943" s="131"/>
      <c r="V943" s="131"/>
      <c r="W943" s="131"/>
      <c r="X943" s="131"/>
      <c r="Y943" s="131"/>
      <c r="Z943" s="131"/>
      <c r="AA943" s="131"/>
      <c r="AB943" s="330"/>
      <c r="AC943" s="331"/>
      <c r="AD943" s="332"/>
      <c r="AE943" s="131"/>
      <c r="AF943" s="131"/>
      <c r="AG943" s="131"/>
      <c r="AH943" s="131"/>
      <c r="AI943" s="131"/>
      <c r="AJ943" s="131"/>
      <c r="AK943" s="131"/>
      <c r="AL943" s="131"/>
      <c r="AM943" s="131"/>
      <c r="AN943" s="131"/>
      <c r="AO943" s="142"/>
      <c r="AP943" s="131"/>
    </row>
    <row r="944" ht="13.5" customHeight="1">
      <c r="A944" s="142"/>
      <c r="B944" s="142"/>
      <c r="C944" s="142"/>
      <c r="D944" s="142"/>
      <c r="E944" s="132"/>
      <c r="F944" s="131"/>
      <c r="G944" s="131"/>
      <c r="H944" s="131"/>
      <c r="I944" s="131"/>
      <c r="J944" s="219"/>
      <c r="K944" s="198"/>
      <c r="L944" s="131"/>
      <c r="M944" s="142"/>
      <c r="N944" s="131"/>
      <c r="O944" s="131"/>
      <c r="P944" s="131"/>
      <c r="Q944" s="131"/>
      <c r="R944" s="131"/>
      <c r="S944" s="131"/>
      <c r="T944" s="131"/>
      <c r="U944" s="131"/>
      <c r="V944" s="131"/>
      <c r="W944" s="131"/>
      <c r="X944" s="131"/>
      <c r="Y944" s="131"/>
      <c r="Z944" s="131"/>
      <c r="AA944" s="131"/>
      <c r="AB944" s="330"/>
      <c r="AC944" s="331"/>
      <c r="AD944" s="332"/>
      <c r="AE944" s="131"/>
      <c r="AF944" s="131"/>
      <c r="AG944" s="131"/>
      <c r="AH944" s="131"/>
      <c r="AI944" s="131"/>
      <c r="AJ944" s="131"/>
      <c r="AK944" s="131"/>
      <c r="AL944" s="131"/>
      <c r="AM944" s="131"/>
      <c r="AN944" s="131"/>
      <c r="AO944" s="142"/>
      <c r="AP944" s="131"/>
    </row>
    <row r="945" ht="13.5" customHeight="1">
      <c r="A945" s="142"/>
      <c r="B945" s="142"/>
      <c r="C945" s="142"/>
      <c r="D945" s="142"/>
      <c r="E945" s="132"/>
      <c r="F945" s="131"/>
      <c r="G945" s="131"/>
      <c r="H945" s="131"/>
      <c r="I945" s="131"/>
      <c r="J945" s="219"/>
      <c r="K945" s="198"/>
      <c r="L945" s="131"/>
      <c r="M945" s="142"/>
      <c r="N945" s="131"/>
      <c r="O945" s="131"/>
      <c r="P945" s="131"/>
      <c r="Q945" s="131"/>
      <c r="R945" s="131"/>
      <c r="S945" s="131"/>
      <c r="T945" s="131"/>
      <c r="U945" s="131"/>
      <c r="V945" s="131"/>
      <c r="W945" s="131"/>
      <c r="X945" s="131"/>
      <c r="Y945" s="131"/>
      <c r="Z945" s="131"/>
      <c r="AA945" s="131"/>
      <c r="AB945" s="330"/>
      <c r="AC945" s="331"/>
      <c r="AD945" s="332"/>
      <c r="AE945" s="131"/>
      <c r="AF945" s="131"/>
      <c r="AG945" s="131"/>
      <c r="AH945" s="131"/>
      <c r="AI945" s="131"/>
      <c r="AJ945" s="131"/>
      <c r="AK945" s="131"/>
      <c r="AL945" s="131"/>
      <c r="AM945" s="131"/>
      <c r="AN945" s="131"/>
      <c r="AO945" s="142"/>
      <c r="AP945" s="131"/>
    </row>
    <row r="946" ht="13.5" customHeight="1">
      <c r="A946" s="142"/>
      <c r="B946" s="142"/>
      <c r="C946" s="142"/>
      <c r="D946" s="142"/>
      <c r="E946" s="132"/>
      <c r="F946" s="131"/>
      <c r="G946" s="131"/>
      <c r="H946" s="131"/>
      <c r="I946" s="131"/>
      <c r="J946" s="219"/>
      <c r="K946" s="198"/>
      <c r="L946" s="131"/>
      <c r="M946" s="142"/>
      <c r="N946" s="131"/>
      <c r="O946" s="131"/>
      <c r="P946" s="131"/>
      <c r="Q946" s="131"/>
      <c r="R946" s="131"/>
      <c r="S946" s="131"/>
      <c r="T946" s="131"/>
      <c r="U946" s="131"/>
      <c r="V946" s="131"/>
      <c r="W946" s="131"/>
      <c r="X946" s="131"/>
      <c r="Y946" s="131"/>
      <c r="Z946" s="131"/>
      <c r="AA946" s="131"/>
      <c r="AB946" s="330"/>
      <c r="AC946" s="331"/>
      <c r="AD946" s="332"/>
      <c r="AE946" s="131"/>
      <c r="AF946" s="131"/>
      <c r="AG946" s="131"/>
      <c r="AH946" s="131"/>
      <c r="AI946" s="131"/>
      <c r="AJ946" s="131"/>
      <c r="AK946" s="131"/>
      <c r="AL946" s="131"/>
      <c r="AM946" s="131"/>
      <c r="AN946" s="131"/>
      <c r="AO946" s="142"/>
      <c r="AP946" s="131"/>
    </row>
    <row r="947" ht="13.5" customHeight="1">
      <c r="A947" s="142"/>
      <c r="B947" s="142"/>
      <c r="C947" s="142"/>
      <c r="D947" s="142"/>
      <c r="E947" s="132"/>
      <c r="F947" s="131"/>
      <c r="G947" s="131"/>
      <c r="H947" s="131"/>
      <c r="I947" s="131"/>
      <c r="J947" s="219"/>
      <c r="K947" s="198"/>
      <c r="L947" s="131"/>
      <c r="M947" s="142"/>
      <c r="N947" s="131"/>
      <c r="O947" s="131"/>
      <c r="P947" s="131"/>
      <c r="Q947" s="131"/>
      <c r="R947" s="131"/>
      <c r="S947" s="131"/>
      <c r="T947" s="131"/>
      <c r="U947" s="131"/>
      <c r="V947" s="131"/>
      <c r="W947" s="131"/>
      <c r="X947" s="131"/>
      <c r="Y947" s="131"/>
      <c r="Z947" s="131"/>
      <c r="AA947" s="131"/>
      <c r="AB947" s="330"/>
      <c r="AC947" s="331"/>
      <c r="AD947" s="332"/>
      <c r="AE947" s="131"/>
      <c r="AF947" s="131"/>
      <c r="AG947" s="131"/>
      <c r="AH947" s="131"/>
      <c r="AI947" s="131"/>
      <c r="AJ947" s="131"/>
      <c r="AK947" s="131"/>
      <c r="AL947" s="131"/>
      <c r="AM947" s="131"/>
      <c r="AN947" s="131"/>
      <c r="AO947" s="142"/>
      <c r="AP947" s="131"/>
    </row>
    <row r="948" ht="13.5" customHeight="1">
      <c r="A948" s="142"/>
      <c r="B948" s="142"/>
      <c r="C948" s="142"/>
      <c r="D948" s="142"/>
      <c r="E948" s="132"/>
      <c r="F948" s="131"/>
      <c r="G948" s="131"/>
      <c r="H948" s="131"/>
      <c r="I948" s="131"/>
      <c r="J948" s="219"/>
      <c r="K948" s="198"/>
      <c r="L948" s="131"/>
      <c r="M948" s="142"/>
      <c r="N948" s="131"/>
      <c r="O948" s="131"/>
      <c r="P948" s="131"/>
      <c r="Q948" s="131"/>
      <c r="R948" s="131"/>
      <c r="S948" s="131"/>
      <c r="T948" s="131"/>
      <c r="U948" s="131"/>
      <c r="V948" s="131"/>
      <c r="W948" s="131"/>
      <c r="X948" s="131"/>
      <c r="Y948" s="131"/>
      <c r="Z948" s="131"/>
      <c r="AA948" s="131"/>
      <c r="AB948" s="330"/>
      <c r="AC948" s="331"/>
      <c r="AD948" s="332"/>
      <c r="AE948" s="131"/>
      <c r="AF948" s="131"/>
      <c r="AG948" s="131"/>
      <c r="AH948" s="131"/>
      <c r="AI948" s="131"/>
      <c r="AJ948" s="131"/>
      <c r="AK948" s="131"/>
      <c r="AL948" s="131"/>
      <c r="AM948" s="131"/>
      <c r="AN948" s="131"/>
      <c r="AO948" s="142"/>
      <c r="AP948" s="131"/>
    </row>
    <row r="949" ht="13.5" customHeight="1">
      <c r="A949" s="142"/>
      <c r="B949" s="142"/>
      <c r="C949" s="142"/>
      <c r="D949" s="142"/>
      <c r="E949" s="132"/>
      <c r="F949" s="131"/>
      <c r="G949" s="131"/>
      <c r="H949" s="131"/>
      <c r="I949" s="131"/>
      <c r="J949" s="219"/>
      <c r="K949" s="198"/>
      <c r="L949" s="131"/>
      <c r="M949" s="142"/>
      <c r="N949" s="131"/>
      <c r="O949" s="131"/>
      <c r="P949" s="131"/>
      <c r="Q949" s="131"/>
      <c r="R949" s="131"/>
      <c r="S949" s="131"/>
      <c r="T949" s="131"/>
      <c r="U949" s="131"/>
      <c r="V949" s="131"/>
      <c r="W949" s="131"/>
      <c r="X949" s="131"/>
      <c r="Y949" s="131"/>
      <c r="Z949" s="131"/>
      <c r="AA949" s="131"/>
      <c r="AB949" s="330"/>
      <c r="AC949" s="331"/>
      <c r="AD949" s="332"/>
      <c r="AE949" s="131"/>
      <c r="AF949" s="131"/>
      <c r="AG949" s="131"/>
      <c r="AH949" s="131"/>
      <c r="AI949" s="131"/>
      <c r="AJ949" s="131"/>
      <c r="AK949" s="131"/>
      <c r="AL949" s="131"/>
      <c r="AM949" s="131"/>
      <c r="AN949" s="131"/>
      <c r="AO949" s="142"/>
      <c r="AP949" s="131"/>
    </row>
    <row r="950" ht="13.5" customHeight="1">
      <c r="A950" s="142"/>
      <c r="B950" s="142"/>
      <c r="C950" s="142"/>
      <c r="D950" s="142"/>
      <c r="E950" s="132"/>
      <c r="F950" s="131"/>
      <c r="G950" s="131"/>
      <c r="H950" s="131"/>
      <c r="I950" s="131"/>
      <c r="J950" s="219"/>
      <c r="K950" s="198"/>
      <c r="L950" s="131"/>
      <c r="M950" s="142"/>
      <c r="N950" s="131"/>
      <c r="O950" s="131"/>
      <c r="P950" s="131"/>
      <c r="Q950" s="131"/>
      <c r="R950" s="131"/>
      <c r="S950" s="131"/>
      <c r="T950" s="131"/>
      <c r="U950" s="131"/>
      <c r="V950" s="131"/>
      <c r="W950" s="131"/>
      <c r="X950" s="131"/>
      <c r="Y950" s="131"/>
      <c r="Z950" s="131"/>
      <c r="AA950" s="131"/>
      <c r="AB950" s="330"/>
      <c r="AC950" s="331"/>
      <c r="AD950" s="332"/>
      <c r="AE950" s="131"/>
      <c r="AF950" s="131"/>
      <c r="AG950" s="131"/>
      <c r="AH950" s="131"/>
      <c r="AI950" s="131"/>
      <c r="AJ950" s="131"/>
      <c r="AK950" s="131"/>
      <c r="AL950" s="131"/>
      <c r="AM950" s="131"/>
      <c r="AN950" s="131"/>
      <c r="AO950" s="142"/>
      <c r="AP950" s="131"/>
    </row>
    <row r="951" ht="13.5" customHeight="1">
      <c r="A951" s="142"/>
      <c r="B951" s="142"/>
      <c r="C951" s="142"/>
      <c r="D951" s="142"/>
      <c r="E951" s="132"/>
      <c r="F951" s="131"/>
      <c r="G951" s="131"/>
      <c r="H951" s="131"/>
      <c r="I951" s="131"/>
      <c r="J951" s="219"/>
      <c r="K951" s="198"/>
      <c r="L951" s="131"/>
      <c r="M951" s="142"/>
      <c r="N951" s="131"/>
      <c r="O951" s="131"/>
      <c r="P951" s="131"/>
      <c r="Q951" s="131"/>
      <c r="R951" s="131"/>
      <c r="S951" s="131"/>
      <c r="T951" s="131"/>
      <c r="U951" s="131"/>
      <c r="V951" s="131"/>
      <c r="W951" s="131"/>
      <c r="X951" s="131"/>
      <c r="Y951" s="131"/>
      <c r="Z951" s="131"/>
      <c r="AA951" s="131"/>
      <c r="AB951" s="330"/>
      <c r="AC951" s="331"/>
      <c r="AD951" s="332"/>
      <c r="AE951" s="131"/>
      <c r="AF951" s="131"/>
      <c r="AG951" s="131"/>
      <c r="AH951" s="131"/>
      <c r="AI951" s="131"/>
      <c r="AJ951" s="131"/>
      <c r="AK951" s="131"/>
      <c r="AL951" s="131"/>
      <c r="AM951" s="131"/>
      <c r="AN951" s="131"/>
      <c r="AO951" s="142"/>
      <c r="AP951" s="131"/>
    </row>
    <row r="952" ht="13.5" customHeight="1">
      <c r="A952" s="142"/>
      <c r="B952" s="142"/>
      <c r="C952" s="142"/>
      <c r="D952" s="142"/>
      <c r="E952" s="132"/>
      <c r="F952" s="131"/>
      <c r="G952" s="131"/>
      <c r="H952" s="131"/>
      <c r="I952" s="131"/>
      <c r="J952" s="219"/>
      <c r="K952" s="198"/>
      <c r="L952" s="131"/>
      <c r="M952" s="142"/>
      <c r="N952" s="131"/>
      <c r="O952" s="131"/>
      <c r="P952" s="131"/>
      <c r="Q952" s="131"/>
      <c r="R952" s="131"/>
      <c r="S952" s="131"/>
      <c r="T952" s="131"/>
      <c r="U952" s="131"/>
      <c r="V952" s="131"/>
      <c r="W952" s="131"/>
      <c r="X952" s="131"/>
      <c r="Y952" s="131"/>
      <c r="Z952" s="131"/>
      <c r="AA952" s="131"/>
      <c r="AB952" s="330"/>
      <c r="AC952" s="331"/>
      <c r="AD952" s="332"/>
      <c r="AE952" s="131"/>
      <c r="AF952" s="131"/>
      <c r="AG952" s="131"/>
      <c r="AH952" s="131"/>
      <c r="AI952" s="131"/>
      <c r="AJ952" s="131"/>
      <c r="AK952" s="131"/>
      <c r="AL952" s="131"/>
      <c r="AM952" s="131"/>
      <c r="AN952" s="131"/>
      <c r="AO952" s="142"/>
      <c r="AP952" s="131"/>
    </row>
    <row r="953" ht="13.5" customHeight="1">
      <c r="A953" s="142"/>
      <c r="B953" s="142"/>
      <c r="C953" s="142"/>
      <c r="D953" s="142"/>
      <c r="E953" s="132"/>
      <c r="F953" s="131"/>
      <c r="G953" s="131"/>
      <c r="H953" s="131"/>
      <c r="I953" s="131"/>
      <c r="J953" s="219"/>
      <c r="K953" s="198"/>
      <c r="L953" s="131"/>
      <c r="M953" s="142"/>
      <c r="N953" s="131"/>
      <c r="O953" s="131"/>
      <c r="P953" s="131"/>
      <c r="Q953" s="131"/>
      <c r="R953" s="131"/>
      <c r="S953" s="131"/>
      <c r="T953" s="131"/>
      <c r="U953" s="131"/>
      <c r="V953" s="131"/>
      <c r="W953" s="131"/>
      <c r="X953" s="131"/>
      <c r="Y953" s="131"/>
      <c r="Z953" s="131"/>
      <c r="AA953" s="131"/>
      <c r="AB953" s="330"/>
      <c r="AC953" s="331"/>
      <c r="AD953" s="332"/>
      <c r="AE953" s="131"/>
      <c r="AF953" s="131"/>
      <c r="AG953" s="131"/>
      <c r="AH953" s="131"/>
      <c r="AI953" s="131"/>
      <c r="AJ953" s="131"/>
      <c r="AK953" s="131"/>
      <c r="AL953" s="131"/>
      <c r="AM953" s="131"/>
      <c r="AN953" s="131"/>
      <c r="AO953" s="142"/>
      <c r="AP953" s="131"/>
    </row>
    <row r="954" ht="13.5" customHeight="1">
      <c r="A954" s="142"/>
      <c r="B954" s="142"/>
      <c r="C954" s="142"/>
      <c r="D954" s="142"/>
      <c r="E954" s="132"/>
      <c r="F954" s="131"/>
      <c r="G954" s="131"/>
      <c r="H954" s="131"/>
      <c r="I954" s="131"/>
      <c r="J954" s="219"/>
      <c r="K954" s="198"/>
      <c r="L954" s="131"/>
      <c r="M954" s="142"/>
      <c r="N954" s="131"/>
      <c r="O954" s="131"/>
      <c r="P954" s="131"/>
      <c r="Q954" s="131"/>
      <c r="R954" s="131"/>
      <c r="S954" s="131"/>
      <c r="T954" s="131"/>
      <c r="U954" s="131"/>
      <c r="V954" s="131"/>
      <c r="W954" s="131"/>
      <c r="X954" s="131"/>
      <c r="Y954" s="131"/>
      <c r="Z954" s="131"/>
      <c r="AA954" s="131"/>
      <c r="AB954" s="330"/>
      <c r="AC954" s="331"/>
      <c r="AD954" s="332"/>
      <c r="AE954" s="131"/>
      <c r="AF954" s="131"/>
      <c r="AG954" s="131"/>
      <c r="AH954" s="131"/>
      <c r="AI954" s="131"/>
      <c r="AJ954" s="131"/>
      <c r="AK954" s="131"/>
      <c r="AL954" s="131"/>
      <c r="AM954" s="131"/>
      <c r="AN954" s="131"/>
      <c r="AO954" s="142"/>
      <c r="AP954" s="131"/>
    </row>
    <row r="955" ht="13.5" customHeight="1">
      <c r="A955" s="142"/>
      <c r="B955" s="142"/>
      <c r="C955" s="142"/>
      <c r="D955" s="142"/>
      <c r="E955" s="132"/>
      <c r="F955" s="131"/>
      <c r="G955" s="131"/>
      <c r="H955" s="131"/>
      <c r="I955" s="131"/>
      <c r="J955" s="219"/>
      <c r="K955" s="198"/>
      <c r="L955" s="131"/>
      <c r="M955" s="142"/>
      <c r="N955" s="131"/>
      <c r="O955" s="131"/>
      <c r="P955" s="131"/>
      <c r="Q955" s="131"/>
      <c r="R955" s="131"/>
      <c r="S955" s="131"/>
      <c r="T955" s="131"/>
      <c r="U955" s="131"/>
      <c r="V955" s="131"/>
      <c r="W955" s="131"/>
      <c r="X955" s="131"/>
      <c r="Y955" s="131"/>
      <c r="Z955" s="131"/>
      <c r="AA955" s="131"/>
      <c r="AB955" s="330"/>
      <c r="AC955" s="331"/>
      <c r="AD955" s="332"/>
      <c r="AE955" s="131"/>
      <c r="AF955" s="131"/>
      <c r="AG955" s="131"/>
      <c r="AH955" s="131"/>
      <c r="AI955" s="131"/>
      <c r="AJ955" s="131"/>
      <c r="AK955" s="131"/>
      <c r="AL955" s="131"/>
      <c r="AM955" s="131"/>
      <c r="AN955" s="131"/>
      <c r="AO955" s="142"/>
      <c r="AP955" s="131"/>
    </row>
    <row r="956" ht="13.5" customHeight="1">
      <c r="A956" s="142"/>
      <c r="B956" s="142"/>
      <c r="C956" s="142"/>
      <c r="D956" s="142"/>
      <c r="E956" s="132"/>
      <c r="F956" s="131"/>
      <c r="G956" s="131"/>
      <c r="H956" s="131"/>
      <c r="I956" s="131"/>
      <c r="J956" s="219"/>
      <c r="K956" s="198"/>
      <c r="L956" s="131"/>
      <c r="M956" s="142"/>
      <c r="N956" s="131"/>
      <c r="O956" s="131"/>
      <c r="P956" s="131"/>
      <c r="Q956" s="131"/>
      <c r="R956" s="131"/>
      <c r="S956" s="131"/>
      <c r="T956" s="131"/>
      <c r="U956" s="131"/>
      <c r="V956" s="131"/>
      <c r="W956" s="131"/>
      <c r="X956" s="131"/>
      <c r="Y956" s="131"/>
      <c r="Z956" s="131"/>
      <c r="AA956" s="131"/>
      <c r="AB956" s="330"/>
      <c r="AC956" s="331"/>
      <c r="AD956" s="332"/>
      <c r="AE956" s="131"/>
      <c r="AF956" s="131"/>
      <c r="AG956" s="131"/>
      <c r="AH956" s="131"/>
      <c r="AI956" s="131"/>
      <c r="AJ956" s="131"/>
      <c r="AK956" s="131"/>
      <c r="AL956" s="131"/>
      <c r="AM956" s="131"/>
      <c r="AN956" s="131"/>
      <c r="AO956" s="142"/>
      <c r="AP956" s="131"/>
    </row>
    <row r="957" ht="13.5" customHeight="1">
      <c r="A957" s="142"/>
      <c r="B957" s="142"/>
      <c r="C957" s="142"/>
      <c r="D957" s="142"/>
      <c r="E957" s="132"/>
      <c r="F957" s="131"/>
      <c r="G957" s="131"/>
      <c r="H957" s="131"/>
      <c r="I957" s="131"/>
      <c r="J957" s="219"/>
      <c r="K957" s="198"/>
      <c r="L957" s="131"/>
      <c r="M957" s="142"/>
      <c r="N957" s="131"/>
      <c r="O957" s="131"/>
      <c r="P957" s="131"/>
      <c r="Q957" s="131"/>
      <c r="R957" s="131"/>
      <c r="S957" s="131"/>
      <c r="T957" s="131"/>
      <c r="U957" s="131"/>
      <c r="V957" s="131"/>
      <c r="W957" s="131"/>
      <c r="X957" s="131"/>
      <c r="Y957" s="131"/>
      <c r="Z957" s="131"/>
      <c r="AA957" s="131"/>
      <c r="AB957" s="330"/>
      <c r="AC957" s="331"/>
      <c r="AD957" s="332"/>
      <c r="AE957" s="131"/>
      <c r="AF957" s="131"/>
      <c r="AG957" s="131"/>
      <c r="AH957" s="131"/>
      <c r="AI957" s="131"/>
      <c r="AJ957" s="131"/>
      <c r="AK957" s="131"/>
      <c r="AL957" s="131"/>
      <c r="AM957" s="131"/>
      <c r="AN957" s="131"/>
      <c r="AO957" s="142"/>
      <c r="AP957" s="131"/>
    </row>
    <row r="958" ht="13.5" customHeight="1">
      <c r="A958" s="142"/>
      <c r="B958" s="142"/>
      <c r="C958" s="142"/>
      <c r="D958" s="142"/>
      <c r="E958" s="132"/>
      <c r="F958" s="131"/>
      <c r="G958" s="131"/>
      <c r="H958" s="131"/>
      <c r="I958" s="131"/>
      <c r="J958" s="219"/>
      <c r="K958" s="198"/>
      <c r="L958" s="131"/>
      <c r="M958" s="142"/>
      <c r="N958" s="131"/>
      <c r="O958" s="131"/>
      <c r="P958" s="131"/>
      <c r="Q958" s="131"/>
      <c r="R958" s="131"/>
      <c r="S958" s="131"/>
      <c r="T958" s="131"/>
      <c r="U958" s="131"/>
      <c r="V958" s="131"/>
      <c r="W958" s="131"/>
      <c r="X958" s="131"/>
      <c r="Y958" s="131"/>
      <c r="Z958" s="131"/>
      <c r="AA958" s="131"/>
      <c r="AB958" s="330"/>
      <c r="AC958" s="331"/>
      <c r="AD958" s="332"/>
      <c r="AE958" s="131"/>
      <c r="AF958" s="131"/>
      <c r="AG958" s="131"/>
      <c r="AH958" s="131"/>
      <c r="AI958" s="131"/>
      <c r="AJ958" s="131"/>
      <c r="AK958" s="131"/>
      <c r="AL958" s="131"/>
      <c r="AM958" s="131"/>
      <c r="AN958" s="131"/>
      <c r="AO958" s="142"/>
      <c r="AP958" s="131"/>
    </row>
    <row r="959" ht="13.5" customHeight="1">
      <c r="A959" s="142"/>
      <c r="B959" s="142"/>
      <c r="C959" s="142"/>
      <c r="D959" s="142"/>
      <c r="E959" s="132"/>
      <c r="F959" s="131"/>
      <c r="G959" s="131"/>
      <c r="H959" s="131"/>
      <c r="I959" s="131"/>
      <c r="J959" s="219"/>
      <c r="K959" s="198"/>
      <c r="L959" s="131"/>
      <c r="M959" s="142"/>
      <c r="N959" s="131"/>
      <c r="O959" s="131"/>
      <c r="P959" s="131"/>
      <c r="Q959" s="131"/>
      <c r="R959" s="131"/>
      <c r="S959" s="131"/>
      <c r="T959" s="131"/>
      <c r="U959" s="131"/>
      <c r="V959" s="131"/>
      <c r="W959" s="131"/>
      <c r="X959" s="131"/>
      <c r="Y959" s="131"/>
      <c r="Z959" s="131"/>
      <c r="AA959" s="131"/>
      <c r="AB959" s="330"/>
      <c r="AC959" s="331"/>
      <c r="AD959" s="332"/>
      <c r="AE959" s="131"/>
      <c r="AF959" s="131"/>
      <c r="AG959" s="131"/>
      <c r="AH959" s="131"/>
      <c r="AI959" s="131"/>
      <c r="AJ959" s="131"/>
      <c r="AK959" s="131"/>
      <c r="AL959" s="131"/>
      <c r="AM959" s="131"/>
      <c r="AN959" s="131"/>
      <c r="AO959" s="142"/>
      <c r="AP959" s="131"/>
    </row>
    <row r="960" ht="13.5" customHeight="1">
      <c r="A960" s="142"/>
      <c r="B960" s="142"/>
      <c r="C960" s="142"/>
      <c r="D960" s="142"/>
      <c r="E960" s="132"/>
      <c r="F960" s="131"/>
      <c r="G960" s="131"/>
      <c r="H960" s="131"/>
      <c r="I960" s="131"/>
      <c r="J960" s="219"/>
      <c r="K960" s="198"/>
      <c r="L960" s="131"/>
      <c r="M960" s="142"/>
      <c r="N960" s="131"/>
      <c r="O960" s="131"/>
      <c r="P960" s="131"/>
      <c r="Q960" s="131"/>
      <c r="R960" s="131"/>
      <c r="S960" s="131"/>
      <c r="T960" s="131"/>
      <c r="U960" s="131"/>
      <c r="V960" s="131"/>
      <c r="W960" s="131"/>
      <c r="X960" s="131"/>
      <c r="Y960" s="131"/>
      <c r="Z960" s="131"/>
      <c r="AA960" s="131"/>
      <c r="AB960" s="330"/>
      <c r="AC960" s="331"/>
      <c r="AD960" s="332"/>
      <c r="AE960" s="131"/>
      <c r="AF960" s="131"/>
      <c r="AG960" s="131"/>
      <c r="AH960" s="131"/>
      <c r="AI960" s="131"/>
      <c r="AJ960" s="131"/>
      <c r="AK960" s="131"/>
      <c r="AL960" s="131"/>
      <c r="AM960" s="131"/>
      <c r="AN960" s="131"/>
      <c r="AO960" s="142"/>
      <c r="AP960" s="131"/>
    </row>
    <row r="961" ht="13.5" customHeight="1">
      <c r="A961" s="142"/>
      <c r="B961" s="142"/>
      <c r="C961" s="142"/>
      <c r="D961" s="142"/>
      <c r="E961" s="132"/>
      <c r="F961" s="131"/>
      <c r="G961" s="131"/>
      <c r="H961" s="131"/>
      <c r="I961" s="131"/>
      <c r="J961" s="219"/>
      <c r="K961" s="198"/>
      <c r="L961" s="131"/>
      <c r="M961" s="142"/>
      <c r="N961" s="131"/>
      <c r="O961" s="131"/>
      <c r="P961" s="131"/>
      <c r="Q961" s="131"/>
      <c r="R961" s="131"/>
      <c r="S961" s="131"/>
      <c r="T961" s="131"/>
      <c r="U961" s="131"/>
      <c r="V961" s="131"/>
      <c r="W961" s="131"/>
      <c r="X961" s="131"/>
      <c r="Y961" s="131"/>
      <c r="Z961" s="131"/>
      <c r="AA961" s="131"/>
      <c r="AB961" s="330"/>
      <c r="AC961" s="331"/>
      <c r="AD961" s="332"/>
      <c r="AE961" s="131"/>
      <c r="AF961" s="131"/>
      <c r="AG961" s="131"/>
      <c r="AH961" s="131"/>
      <c r="AI961" s="131"/>
      <c r="AJ961" s="131"/>
      <c r="AK961" s="131"/>
      <c r="AL961" s="131"/>
      <c r="AM961" s="131"/>
      <c r="AN961" s="131"/>
      <c r="AO961" s="142"/>
      <c r="AP961" s="131"/>
    </row>
    <row r="962" ht="13.5" customHeight="1">
      <c r="A962" s="142"/>
      <c r="B962" s="142"/>
      <c r="C962" s="142"/>
      <c r="D962" s="142"/>
      <c r="E962" s="132"/>
      <c r="F962" s="131"/>
      <c r="G962" s="131"/>
      <c r="H962" s="131"/>
      <c r="I962" s="131"/>
      <c r="J962" s="219"/>
      <c r="K962" s="198"/>
      <c r="L962" s="131"/>
      <c r="M962" s="142"/>
      <c r="N962" s="131"/>
      <c r="O962" s="131"/>
      <c r="P962" s="131"/>
      <c r="Q962" s="131"/>
      <c r="R962" s="131"/>
      <c r="S962" s="131"/>
      <c r="T962" s="131"/>
      <c r="U962" s="131"/>
      <c r="V962" s="131"/>
      <c r="W962" s="131"/>
      <c r="X962" s="131"/>
      <c r="Y962" s="131"/>
      <c r="Z962" s="131"/>
      <c r="AA962" s="131"/>
      <c r="AB962" s="330"/>
      <c r="AC962" s="331"/>
      <c r="AD962" s="332"/>
      <c r="AE962" s="131"/>
      <c r="AF962" s="131"/>
      <c r="AG962" s="131"/>
      <c r="AH962" s="131"/>
      <c r="AI962" s="131"/>
      <c r="AJ962" s="131"/>
      <c r="AK962" s="131"/>
      <c r="AL962" s="131"/>
      <c r="AM962" s="131"/>
      <c r="AN962" s="131"/>
      <c r="AO962" s="142"/>
      <c r="AP962" s="131"/>
    </row>
    <row r="963" ht="13.5" customHeight="1">
      <c r="A963" s="142"/>
      <c r="B963" s="142"/>
      <c r="C963" s="142"/>
      <c r="D963" s="142"/>
      <c r="E963" s="132"/>
      <c r="F963" s="131"/>
      <c r="G963" s="131"/>
      <c r="H963" s="131"/>
      <c r="I963" s="131"/>
      <c r="J963" s="219"/>
      <c r="K963" s="198"/>
      <c r="L963" s="131"/>
      <c r="M963" s="142"/>
      <c r="N963" s="131"/>
      <c r="O963" s="131"/>
      <c r="P963" s="131"/>
      <c r="Q963" s="131"/>
      <c r="R963" s="131"/>
      <c r="S963" s="131"/>
      <c r="T963" s="131"/>
      <c r="U963" s="131"/>
      <c r="V963" s="131"/>
      <c r="W963" s="131"/>
      <c r="X963" s="131"/>
      <c r="Y963" s="131"/>
      <c r="Z963" s="131"/>
      <c r="AA963" s="131"/>
      <c r="AB963" s="330"/>
      <c r="AC963" s="331"/>
      <c r="AD963" s="332"/>
      <c r="AE963" s="131"/>
      <c r="AF963" s="131"/>
      <c r="AG963" s="131"/>
      <c r="AH963" s="131"/>
      <c r="AI963" s="131"/>
      <c r="AJ963" s="131"/>
      <c r="AK963" s="131"/>
      <c r="AL963" s="131"/>
      <c r="AM963" s="131"/>
      <c r="AN963" s="131"/>
      <c r="AO963" s="142"/>
      <c r="AP963" s="131"/>
    </row>
    <row r="964" ht="13.5" customHeight="1">
      <c r="A964" s="142"/>
      <c r="B964" s="142"/>
      <c r="C964" s="142"/>
      <c r="D964" s="142"/>
      <c r="E964" s="132"/>
      <c r="F964" s="131"/>
      <c r="G964" s="131"/>
      <c r="H964" s="131"/>
      <c r="I964" s="131"/>
      <c r="J964" s="219"/>
      <c r="K964" s="198"/>
      <c r="L964" s="131"/>
      <c r="M964" s="142"/>
      <c r="N964" s="131"/>
      <c r="O964" s="131"/>
      <c r="P964" s="131"/>
      <c r="Q964" s="131"/>
      <c r="R964" s="131"/>
      <c r="S964" s="131"/>
      <c r="T964" s="131"/>
      <c r="U964" s="131"/>
      <c r="V964" s="131"/>
      <c r="W964" s="131"/>
      <c r="X964" s="131"/>
      <c r="Y964" s="131"/>
      <c r="Z964" s="131"/>
      <c r="AA964" s="131"/>
      <c r="AB964" s="330"/>
      <c r="AC964" s="331"/>
      <c r="AD964" s="332"/>
      <c r="AE964" s="131"/>
      <c r="AF964" s="131"/>
      <c r="AG964" s="131"/>
      <c r="AH964" s="131"/>
      <c r="AI964" s="131"/>
      <c r="AJ964" s="131"/>
      <c r="AK964" s="131"/>
      <c r="AL964" s="131"/>
      <c r="AM964" s="131"/>
      <c r="AN964" s="131"/>
      <c r="AO964" s="142"/>
      <c r="AP964" s="131"/>
    </row>
    <row r="965" ht="13.5" customHeight="1">
      <c r="A965" s="142"/>
      <c r="B965" s="142"/>
      <c r="C965" s="142"/>
      <c r="D965" s="142"/>
      <c r="E965" s="132"/>
      <c r="F965" s="131"/>
      <c r="G965" s="131"/>
      <c r="H965" s="131"/>
      <c r="I965" s="131"/>
      <c r="J965" s="219"/>
      <c r="K965" s="198"/>
      <c r="L965" s="131"/>
      <c r="M965" s="142"/>
      <c r="N965" s="131"/>
      <c r="O965" s="131"/>
      <c r="P965" s="131"/>
      <c r="Q965" s="131"/>
      <c r="R965" s="131"/>
      <c r="S965" s="131"/>
      <c r="T965" s="131"/>
      <c r="U965" s="131"/>
      <c r="V965" s="131"/>
      <c r="W965" s="131"/>
      <c r="X965" s="131"/>
      <c r="Y965" s="131"/>
      <c r="Z965" s="131"/>
      <c r="AA965" s="131"/>
      <c r="AB965" s="330"/>
      <c r="AC965" s="331"/>
      <c r="AD965" s="332"/>
      <c r="AE965" s="131"/>
      <c r="AF965" s="131"/>
      <c r="AG965" s="131"/>
      <c r="AH965" s="131"/>
      <c r="AI965" s="131"/>
      <c r="AJ965" s="131"/>
      <c r="AK965" s="131"/>
      <c r="AL965" s="131"/>
      <c r="AM965" s="131"/>
      <c r="AN965" s="131"/>
      <c r="AO965" s="142"/>
      <c r="AP965" s="131"/>
    </row>
    <row r="966" ht="13.5" customHeight="1">
      <c r="A966" s="142"/>
      <c r="B966" s="142"/>
      <c r="C966" s="142"/>
      <c r="D966" s="142"/>
      <c r="E966" s="132"/>
      <c r="F966" s="131"/>
      <c r="G966" s="131"/>
      <c r="H966" s="131"/>
      <c r="I966" s="131"/>
      <c r="J966" s="219"/>
      <c r="K966" s="198"/>
      <c r="L966" s="131"/>
      <c r="M966" s="142"/>
      <c r="N966" s="131"/>
      <c r="O966" s="131"/>
      <c r="P966" s="131"/>
      <c r="Q966" s="131"/>
      <c r="R966" s="131"/>
      <c r="S966" s="131"/>
      <c r="T966" s="131"/>
      <c r="U966" s="131"/>
      <c r="V966" s="131"/>
      <c r="W966" s="131"/>
      <c r="X966" s="131"/>
      <c r="Y966" s="131"/>
      <c r="Z966" s="131"/>
      <c r="AA966" s="131"/>
      <c r="AB966" s="330"/>
      <c r="AC966" s="331"/>
      <c r="AD966" s="332"/>
      <c r="AE966" s="131"/>
      <c r="AF966" s="131"/>
      <c r="AG966" s="131"/>
      <c r="AH966" s="131"/>
      <c r="AI966" s="131"/>
      <c r="AJ966" s="131"/>
      <c r="AK966" s="131"/>
      <c r="AL966" s="131"/>
      <c r="AM966" s="131"/>
      <c r="AN966" s="131"/>
      <c r="AO966" s="142"/>
      <c r="AP966" s="131"/>
    </row>
    <row r="967" ht="13.5" customHeight="1">
      <c r="A967" s="142"/>
      <c r="B967" s="142"/>
      <c r="C967" s="142"/>
      <c r="D967" s="142"/>
      <c r="E967" s="132"/>
      <c r="F967" s="131"/>
      <c r="G967" s="131"/>
      <c r="H967" s="131"/>
      <c r="I967" s="131"/>
      <c r="J967" s="219"/>
      <c r="K967" s="198"/>
      <c r="L967" s="131"/>
      <c r="M967" s="142"/>
      <c r="N967" s="131"/>
      <c r="O967" s="131"/>
      <c r="P967" s="131"/>
      <c r="Q967" s="131"/>
      <c r="R967" s="131"/>
      <c r="S967" s="131"/>
      <c r="T967" s="131"/>
      <c r="U967" s="131"/>
      <c r="V967" s="131"/>
      <c r="W967" s="131"/>
      <c r="X967" s="131"/>
      <c r="Y967" s="131"/>
      <c r="Z967" s="131"/>
      <c r="AA967" s="131"/>
      <c r="AB967" s="330"/>
      <c r="AC967" s="331"/>
      <c r="AD967" s="332"/>
      <c r="AE967" s="131"/>
      <c r="AF967" s="131"/>
      <c r="AG967" s="131"/>
      <c r="AH967" s="131"/>
      <c r="AI967" s="131"/>
      <c r="AJ967" s="131"/>
      <c r="AK967" s="131"/>
      <c r="AL967" s="131"/>
      <c r="AM967" s="131"/>
      <c r="AN967" s="131"/>
      <c r="AO967" s="142"/>
      <c r="AP967" s="131"/>
    </row>
    <row r="968" ht="13.5" customHeight="1">
      <c r="A968" s="142"/>
      <c r="B968" s="142"/>
      <c r="C968" s="142"/>
      <c r="D968" s="142"/>
      <c r="E968" s="132"/>
      <c r="F968" s="131"/>
      <c r="G968" s="131"/>
      <c r="H968" s="131"/>
      <c r="I968" s="131"/>
      <c r="J968" s="219"/>
      <c r="K968" s="198"/>
      <c r="L968" s="131"/>
      <c r="M968" s="142"/>
      <c r="N968" s="131"/>
      <c r="O968" s="131"/>
      <c r="P968" s="131"/>
      <c r="Q968" s="131"/>
      <c r="R968" s="131"/>
      <c r="S968" s="131"/>
      <c r="T968" s="131"/>
      <c r="U968" s="131"/>
      <c r="V968" s="131"/>
      <c r="W968" s="131"/>
      <c r="X968" s="131"/>
      <c r="Y968" s="131"/>
      <c r="Z968" s="131"/>
      <c r="AA968" s="131"/>
      <c r="AB968" s="330"/>
      <c r="AC968" s="331"/>
      <c r="AD968" s="332"/>
      <c r="AE968" s="131"/>
      <c r="AF968" s="131"/>
      <c r="AG968" s="131"/>
      <c r="AH968" s="131"/>
      <c r="AI968" s="131"/>
      <c r="AJ968" s="131"/>
      <c r="AK968" s="131"/>
      <c r="AL968" s="131"/>
      <c r="AM968" s="131"/>
      <c r="AN968" s="131"/>
      <c r="AO968" s="142"/>
      <c r="AP968" s="131"/>
    </row>
    <row r="969" ht="13.5" customHeight="1">
      <c r="A969" s="142"/>
      <c r="B969" s="142"/>
      <c r="C969" s="142"/>
      <c r="D969" s="142"/>
      <c r="E969" s="132"/>
      <c r="F969" s="131"/>
      <c r="G969" s="131"/>
      <c r="H969" s="131"/>
      <c r="I969" s="131"/>
      <c r="J969" s="219"/>
      <c r="K969" s="198"/>
      <c r="L969" s="131"/>
      <c r="M969" s="142"/>
      <c r="N969" s="131"/>
      <c r="O969" s="131"/>
      <c r="P969" s="131"/>
      <c r="Q969" s="131"/>
      <c r="R969" s="131"/>
      <c r="S969" s="131"/>
      <c r="T969" s="131"/>
      <c r="U969" s="131"/>
      <c r="V969" s="131"/>
      <c r="W969" s="131"/>
      <c r="X969" s="131"/>
      <c r="Y969" s="131"/>
      <c r="Z969" s="131"/>
      <c r="AA969" s="131"/>
      <c r="AB969" s="330"/>
      <c r="AC969" s="331"/>
      <c r="AD969" s="332"/>
      <c r="AE969" s="131"/>
      <c r="AF969" s="131"/>
      <c r="AG969" s="131"/>
      <c r="AH969" s="131"/>
      <c r="AI969" s="131"/>
      <c r="AJ969" s="131"/>
      <c r="AK969" s="131"/>
      <c r="AL969" s="131"/>
      <c r="AM969" s="131"/>
      <c r="AN969" s="131"/>
      <c r="AO969" s="142"/>
      <c r="AP969" s="131"/>
    </row>
    <row r="970" ht="13.5" customHeight="1">
      <c r="A970" s="142"/>
      <c r="B970" s="142"/>
      <c r="C970" s="142"/>
      <c r="D970" s="142"/>
      <c r="E970" s="132"/>
      <c r="F970" s="131"/>
      <c r="G970" s="131"/>
      <c r="H970" s="131"/>
      <c r="I970" s="131"/>
      <c r="J970" s="219"/>
      <c r="K970" s="198"/>
      <c r="L970" s="131"/>
      <c r="M970" s="142"/>
      <c r="N970" s="131"/>
      <c r="O970" s="131"/>
      <c r="P970" s="131"/>
      <c r="Q970" s="131"/>
      <c r="R970" s="131"/>
      <c r="S970" s="131"/>
      <c r="T970" s="131"/>
      <c r="U970" s="131"/>
      <c r="V970" s="131"/>
      <c r="W970" s="131"/>
      <c r="X970" s="131"/>
      <c r="Y970" s="131"/>
      <c r="Z970" s="131"/>
      <c r="AA970" s="131"/>
      <c r="AB970" s="330"/>
      <c r="AC970" s="331"/>
      <c r="AD970" s="332"/>
      <c r="AE970" s="131"/>
      <c r="AF970" s="131"/>
      <c r="AG970" s="131"/>
      <c r="AH970" s="131"/>
      <c r="AI970" s="131"/>
      <c r="AJ970" s="131"/>
      <c r="AK970" s="131"/>
      <c r="AL970" s="131"/>
      <c r="AM970" s="131"/>
      <c r="AN970" s="131"/>
      <c r="AO970" s="142"/>
      <c r="AP970" s="131"/>
    </row>
    <row r="971" ht="13.5" customHeight="1">
      <c r="A971" s="142"/>
      <c r="B971" s="142"/>
      <c r="C971" s="142"/>
      <c r="D971" s="142"/>
      <c r="E971" s="132"/>
      <c r="F971" s="131"/>
      <c r="G971" s="131"/>
      <c r="H971" s="131"/>
      <c r="I971" s="131"/>
      <c r="J971" s="219"/>
      <c r="K971" s="198"/>
      <c r="L971" s="131"/>
      <c r="M971" s="142"/>
      <c r="N971" s="131"/>
      <c r="O971" s="131"/>
      <c r="P971" s="131"/>
      <c r="Q971" s="131"/>
      <c r="R971" s="131"/>
      <c r="S971" s="131"/>
      <c r="T971" s="131"/>
      <c r="U971" s="131"/>
      <c r="V971" s="131"/>
      <c r="W971" s="131"/>
      <c r="X971" s="131"/>
      <c r="Y971" s="131"/>
      <c r="Z971" s="131"/>
      <c r="AA971" s="131"/>
      <c r="AB971" s="330"/>
      <c r="AC971" s="331"/>
      <c r="AD971" s="332"/>
      <c r="AE971" s="131"/>
      <c r="AF971" s="131"/>
      <c r="AG971" s="131"/>
      <c r="AH971" s="131"/>
      <c r="AI971" s="131"/>
      <c r="AJ971" s="131"/>
      <c r="AK971" s="131"/>
      <c r="AL971" s="131"/>
      <c r="AM971" s="131"/>
      <c r="AN971" s="131"/>
      <c r="AO971" s="142"/>
      <c r="AP971" s="131"/>
    </row>
    <row r="972" ht="13.5" customHeight="1">
      <c r="A972" s="142"/>
      <c r="B972" s="142"/>
      <c r="C972" s="142"/>
      <c r="D972" s="142"/>
      <c r="E972" s="132"/>
      <c r="F972" s="131"/>
      <c r="G972" s="131"/>
      <c r="H972" s="131"/>
      <c r="I972" s="131"/>
      <c r="J972" s="219"/>
      <c r="K972" s="198"/>
      <c r="L972" s="131"/>
      <c r="M972" s="142"/>
      <c r="N972" s="131"/>
      <c r="O972" s="131"/>
      <c r="P972" s="131"/>
      <c r="Q972" s="131"/>
      <c r="R972" s="131"/>
      <c r="S972" s="131"/>
      <c r="T972" s="131"/>
      <c r="U972" s="131"/>
      <c r="V972" s="131"/>
      <c r="W972" s="131"/>
      <c r="X972" s="131"/>
      <c r="Y972" s="131"/>
      <c r="Z972" s="131"/>
      <c r="AA972" s="131"/>
      <c r="AB972" s="330"/>
      <c r="AC972" s="331"/>
      <c r="AD972" s="332"/>
      <c r="AE972" s="131"/>
      <c r="AF972" s="131"/>
      <c r="AG972" s="131"/>
      <c r="AH972" s="131"/>
      <c r="AI972" s="131"/>
      <c r="AJ972" s="131"/>
      <c r="AK972" s="131"/>
      <c r="AL972" s="131"/>
      <c r="AM972" s="131"/>
      <c r="AN972" s="131"/>
      <c r="AO972" s="142"/>
      <c r="AP972" s="131"/>
    </row>
    <row r="973" ht="13.5" customHeight="1">
      <c r="A973" s="142"/>
      <c r="B973" s="142"/>
      <c r="C973" s="142"/>
      <c r="D973" s="142"/>
      <c r="E973" s="132"/>
      <c r="F973" s="131"/>
      <c r="G973" s="131"/>
      <c r="H973" s="131"/>
      <c r="I973" s="131"/>
      <c r="J973" s="219"/>
      <c r="K973" s="198"/>
      <c r="L973" s="131"/>
      <c r="M973" s="142"/>
      <c r="N973" s="131"/>
      <c r="O973" s="131"/>
      <c r="P973" s="131"/>
      <c r="Q973" s="131"/>
      <c r="R973" s="131"/>
      <c r="S973" s="131"/>
      <c r="T973" s="131"/>
      <c r="U973" s="131"/>
      <c r="V973" s="131"/>
      <c r="W973" s="131"/>
      <c r="X973" s="131"/>
      <c r="Y973" s="131"/>
      <c r="Z973" s="131"/>
      <c r="AA973" s="131"/>
      <c r="AB973" s="330"/>
      <c r="AC973" s="331"/>
      <c r="AD973" s="332"/>
      <c r="AE973" s="131"/>
      <c r="AF973" s="131"/>
      <c r="AG973" s="131"/>
      <c r="AH973" s="131"/>
      <c r="AI973" s="131"/>
      <c r="AJ973" s="131"/>
      <c r="AK973" s="131"/>
      <c r="AL973" s="131"/>
      <c r="AM973" s="131"/>
      <c r="AN973" s="131"/>
      <c r="AO973" s="142"/>
      <c r="AP973" s="131"/>
    </row>
    <row r="974" ht="13.5" customHeight="1">
      <c r="A974" s="142"/>
      <c r="B974" s="142"/>
      <c r="C974" s="142"/>
      <c r="D974" s="142"/>
      <c r="E974" s="132"/>
      <c r="F974" s="131"/>
      <c r="G974" s="131"/>
      <c r="H974" s="131"/>
      <c r="I974" s="131"/>
      <c r="J974" s="219"/>
      <c r="K974" s="198"/>
      <c r="L974" s="131"/>
      <c r="M974" s="142"/>
      <c r="N974" s="131"/>
      <c r="O974" s="131"/>
      <c r="P974" s="131"/>
      <c r="Q974" s="131"/>
      <c r="R974" s="131"/>
      <c r="S974" s="131"/>
      <c r="T974" s="131"/>
      <c r="U974" s="131"/>
      <c r="V974" s="131"/>
      <c r="W974" s="131"/>
      <c r="X974" s="131"/>
      <c r="Y974" s="131"/>
      <c r="Z974" s="131"/>
      <c r="AA974" s="131"/>
      <c r="AB974" s="330"/>
      <c r="AC974" s="331"/>
      <c r="AD974" s="332"/>
      <c r="AE974" s="131"/>
      <c r="AF974" s="131"/>
      <c r="AG974" s="131"/>
      <c r="AH974" s="131"/>
      <c r="AI974" s="131"/>
      <c r="AJ974" s="131"/>
      <c r="AK974" s="131"/>
      <c r="AL974" s="131"/>
      <c r="AM974" s="131"/>
      <c r="AN974" s="131"/>
      <c r="AO974" s="142"/>
      <c r="AP974" s="131"/>
    </row>
    <row r="975" ht="13.5" customHeight="1">
      <c r="A975" s="142"/>
      <c r="B975" s="142"/>
      <c r="C975" s="142"/>
      <c r="D975" s="142"/>
      <c r="E975" s="132"/>
      <c r="F975" s="131"/>
      <c r="G975" s="131"/>
      <c r="H975" s="131"/>
      <c r="I975" s="131"/>
      <c r="J975" s="219"/>
      <c r="K975" s="198"/>
      <c r="L975" s="131"/>
      <c r="M975" s="142"/>
      <c r="N975" s="131"/>
      <c r="O975" s="131"/>
      <c r="P975" s="131"/>
      <c r="Q975" s="131"/>
      <c r="R975" s="131"/>
      <c r="S975" s="131"/>
      <c r="T975" s="131"/>
      <c r="U975" s="131"/>
      <c r="V975" s="131"/>
      <c r="W975" s="131"/>
      <c r="X975" s="131"/>
      <c r="Y975" s="131"/>
      <c r="Z975" s="131"/>
      <c r="AA975" s="131"/>
      <c r="AB975" s="330"/>
      <c r="AC975" s="331"/>
      <c r="AD975" s="332"/>
      <c r="AE975" s="131"/>
      <c r="AF975" s="131"/>
      <c r="AG975" s="131"/>
      <c r="AH975" s="131"/>
      <c r="AI975" s="131"/>
      <c r="AJ975" s="131"/>
      <c r="AK975" s="131"/>
      <c r="AL975" s="131"/>
      <c r="AM975" s="131"/>
      <c r="AN975" s="131"/>
      <c r="AO975" s="142"/>
      <c r="AP975" s="131"/>
    </row>
    <row r="976" ht="13.5" customHeight="1">
      <c r="A976" s="142"/>
      <c r="B976" s="142"/>
      <c r="C976" s="142"/>
      <c r="D976" s="142"/>
      <c r="E976" s="132"/>
      <c r="F976" s="131"/>
      <c r="G976" s="131"/>
      <c r="H976" s="131"/>
      <c r="I976" s="131"/>
      <c r="J976" s="219"/>
      <c r="K976" s="198"/>
      <c r="L976" s="131"/>
      <c r="M976" s="142"/>
      <c r="N976" s="131"/>
      <c r="O976" s="131"/>
      <c r="P976" s="131"/>
      <c r="Q976" s="131"/>
      <c r="R976" s="131"/>
      <c r="S976" s="131"/>
      <c r="T976" s="131"/>
      <c r="U976" s="131"/>
      <c r="V976" s="131"/>
      <c r="W976" s="131"/>
      <c r="X976" s="131"/>
      <c r="Y976" s="131"/>
      <c r="Z976" s="131"/>
      <c r="AA976" s="131"/>
      <c r="AB976" s="330"/>
      <c r="AC976" s="331"/>
      <c r="AD976" s="332"/>
      <c r="AE976" s="131"/>
      <c r="AF976" s="131"/>
      <c r="AG976" s="131"/>
      <c r="AH976" s="131"/>
      <c r="AI976" s="131"/>
      <c r="AJ976" s="131"/>
      <c r="AK976" s="131"/>
      <c r="AL976" s="131"/>
      <c r="AM976" s="131"/>
      <c r="AN976" s="131"/>
      <c r="AO976" s="142"/>
      <c r="AP976" s="131"/>
    </row>
    <row r="977" ht="13.5" customHeight="1">
      <c r="A977" s="142"/>
      <c r="B977" s="142"/>
      <c r="C977" s="142"/>
      <c r="D977" s="142"/>
      <c r="E977" s="132"/>
      <c r="F977" s="131"/>
      <c r="G977" s="131"/>
      <c r="H977" s="131"/>
      <c r="I977" s="131"/>
      <c r="J977" s="219"/>
      <c r="K977" s="198"/>
      <c r="L977" s="131"/>
      <c r="M977" s="142"/>
      <c r="N977" s="131"/>
      <c r="O977" s="131"/>
      <c r="P977" s="131"/>
      <c r="Q977" s="131"/>
      <c r="R977" s="131"/>
      <c r="S977" s="131"/>
      <c r="T977" s="131"/>
      <c r="U977" s="131"/>
      <c r="V977" s="131"/>
      <c r="W977" s="131"/>
      <c r="X977" s="131"/>
      <c r="Y977" s="131"/>
      <c r="Z977" s="131"/>
      <c r="AA977" s="131"/>
      <c r="AB977" s="330"/>
      <c r="AC977" s="331"/>
      <c r="AD977" s="332"/>
      <c r="AE977" s="131"/>
      <c r="AF977" s="131"/>
      <c r="AG977" s="131"/>
      <c r="AH977" s="131"/>
      <c r="AI977" s="131"/>
      <c r="AJ977" s="131"/>
      <c r="AK977" s="131"/>
      <c r="AL977" s="131"/>
      <c r="AM977" s="131"/>
      <c r="AN977" s="131"/>
      <c r="AO977" s="142"/>
      <c r="AP977" s="131"/>
    </row>
    <row r="978" ht="13.5" customHeight="1">
      <c r="A978" s="142"/>
      <c r="B978" s="142"/>
      <c r="C978" s="142"/>
      <c r="D978" s="142"/>
      <c r="E978" s="132"/>
      <c r="F978" s="131"/>
      <c r="G978" s="131"/>
      <c r="H978" s="131"/>
      <c r="I978" s="131"/>
      <c r="J978" s="219"/>
      <c r="K978" s="198"/>
      <c r="L978" s="131"/>
      <c r="M978" s="142"/>
      <c r="N978" s="131"/>
      <c r="O978" s="131"/>
      <c r="P978" s="131"/>
      <c r="Q978" s="131"/>
      <c r="R978" s="131"/>
      <c r="S978" s="131"/>
      <c r="T978" s="131"/>
      <c r="U978" s="131"/>
      <c r="V978" s="131"/>
      <c r="W978" s="131"/>
      <c r="X978" s="131"/>
      <c r="Y978" s="131"/>
      <c r="Z978" s="131"/>
      <c r="AA978" s="131"/>
      <c r="AB978" s="330"/>
      <c r="AC978" s="331"/>
      <c r="AD978" s="332"/>
      <c r="AE978" s="131"/>
      <c r="AF978" s="131"/>
      <c r="AG978" s="131"/>
      <c r="AH978" s="131"/>
      <c r="AI978" s="131"/>
      <c r="AJ978" s="131"/>
      <c r="AK978" s="131"/>
      <c r="AL978" s="131"/>
      <c r="AM978" s="131"/>
      <c r="AN978" s="131"/>
      <c r="AO978" s="142"/>
      <c r="AP978" s="131"/>
    </row>
    <row r="979" ht="13.5" customHeight="1">
      <c r="A979" s="142"/>
      <c r="B979" s="142"/>
      <c r="C979" s="142"/>
      <c r="D979" s="142"/>
      <c r="E979" s="132"/>
      <c r="F979" s="131"/>
      <c r="G979" s="131"/>
      <c r="H979" s="131"/>
      <c r="I979" s="131"/>
      <c r="J979" s="219"/>
      <c r="K979" s="198"/>
      <c r="L979" s="131"/>
      <c r="M979" s="142"/>
      <c r="N979" s="131"/>
      <c r="O979" s="131"/>
      <c r="P979" s="131"/>
      <c r="Q979" s="131"/>
      <c r="R979" s="131"/>
      <c r="S979" s="131"/>
      <c r="T979" s="131"/>
      <c r="U979" s="131"/>
      <c r="V979" s="131"/>
      <c r="W979" s="131"/>
      <c r="X979" s="131"/>
      <c r="Y979" s="131"/>
      <c r="Z979" s="131"/>
      <c r="AA979" s="131"/>
      <c r="AB979" s="330"/>
      <c r="AC979" s="331"/>
      <c r="AD979" s="332"/>
      <c r="AE979" s="131"/>
      <c r="AF979" s="131"/>
      <c r="AG979" s="131"/>
      <c r="AH979" s="131"/>
      <c r="AI979" s="131"/>
      <c r="AJ979" s="131"/>
      <c r="AK979" s="131"/>
      <c r="AL979" s="131"/>
      <c r="AM979" s="131"/>
      <c r="AN979" s="131"/>
      <c r="AO979" s="142"/>
      <c r="AP979" s="131"/>
    </row>
    <row r="980" ht="13.5" customHeight="1">
      <c r="A980" s="142"/>
      <c r="B980" s="142"/>
      <c r="C980" s="142"/>
      <c r="D980" s="142"/>
      <c r="E980" s="132"/>
      <c r="F980" s="131"/>
      <c r="G980" s="131"/>
      <c r="H980" s="131"/>
      <c r="I980" s="131"/>
      <c r="J980" s="219"/>
      <c r="K980" s="198"/>
      <c r="L980" s="131"/>
      <c r="M980" s="142"/>
      <c r="N980" s="131"/>
      <c r="O980" s="131"/>
      <c r="P980" s="131"/>
      <c r="Q980" s="131"/>
      <c r="R980" s="131"/>
      <c r="S980" s="131"/>
      <c r="T980" s="131"/>
      <c r="U980" s="131"/>
      <c r="V980" s="131"/>
      <c r="W980" s="131"/>
      <c r="X980" s="131"/>
      <c r="Y980" s="131"/>
      <c r="Z980" s="131"/>
      <c r="AA980" s="131"/>
      <c r="AB980" s="330"/>
      <c r="AC980" s="331"/>
      <c r="AD980" s="332"/>
      <c r="AE980" s="131"/>
      <c r="AF980" s="131"/>
      <c r="AG980" s="131"/>
      <c r="AH980" s="131"/>
      <c r="AI980" s="131"/>
      <c r="AJ980" s="131"/>
      <c r="AK980" s="131"/>
      <c r="AL980" s="131"/>
      <c r="AM980" s="131"/>
      <c r="AN980" s="131"/>
      <c r="AO980" s="142"/>
      <c r="AP980" s="131"/>
    </row>
    <row r="981" ht="13.5" customHeight="1">
      <c r="A981" s="142"/>
      <c r="B981" s="142"/>
      <c r="C981" s="142"/>
      <c r="D981" s="142"/>
      <c r="E981" s="132"/>
      <c r="F981" s="131"/>
      <c r="G981" s="131"/>
      <c r="H981" s="131"/>
      <c r="I981" s="131"/>
      <c r="J981" s="219"/>
      <c r="K981" s="198"/>
      <c r="L981" s="131"/>
      <c r="M981" s="142"/>
      <c r="N981" s="131"/>
      <c r="O981" s="131"/>
      <c r="P981" s="131"/>
      <c r="Q981" s="131"/>
      <c r="R981" s="131"/>
      <c r="S981" s="131"/>
      <c r="T981" s="131"/>
      <c r="U981" s="131"/>
      <c r="V981" s="131"/>
      <c r="W981" s="131"/>
      <c r="X981" s="131"/>
      <c r="Y981" s="131"/>
      <c r="Z981" s="131"/>
      <c r="AA981" s="131"/>
      <c r="AB981" s="330"/>
      <c r="AC981" s="331"/>
      <c r="AD981" s="332"/>
      <c r="AE981" s="131"/>
      <c r="AF981" s="131"/>
      <c r="AG981" s="131"/>
      <c r="AH981" s="131"/>
      <c r="AI981" s="131"/>
      <c r="AJ981" s="131"/>
      <c r="AK981" s="131"/>
      <c r="AL981" s="131"/>
      <c r="AM981" s="131"/>
      <c r="AN981" s="131"/>
      <c r="AO981" s="142"/>
      <c r="AP981" s="131"/>
    </row>
    <row r="982" ht="13.5" customHeight="1">
      <c r="A982" s="142"/>
      <c r="B982" s="142"/>
      <c r="C982" s="142"/>
      <c r="D982" s="142"/>
      <c r="E982" s="132"/>
      <c r="F982" s="131"/>
      <c r="G982" s="131"/>
      <c r="H982" s="131"/>
      <c r="I982" s="131"/>
      <c r="J982" s="219"/>
      <c r="K982" s="198"/>
      <c r="L982" s="131"/>
      <c r="M982" s="142"/>
      <c r="N982" s="131"/>
      <c r="O982" s="131"/>
      <c r="P982" s="131"/>
      <c r="Q982" s="131"/>
      <c r="R982" s="131"/>
      <c r="S982" s="131"/>
      <c r="T982" s="131"/>
      <c r="U982" s="131"/>
      <c r="V982" s="131"/>
      <c r="W982" s="131"/>
      <c r="X982" s="131"/>
      <c r="Y982" s="131"/>
      <c r="Z982" s="131"/>
      <c r="AA982" s="131"/>
      <c r="AB982" s="330"/>
      <c r="AC982" s="331"/>
      <c r="AD982" s="332"/>
      <c r="AE982" s="131"/>
      <c r="AF982" s="131"/>
      <c r="AG982" s="131"/>
      <c r="AH982" s="131"/>
      <c r="AI982" s="131"/>
      <c r="AJ982" s="131"/>
      <c r="AK982" s="131"/>
      <c r="AL982" s="131"/>
      <c r="AM982" s="131"/>
      <c r="AN982" s="131"/>
      <c r="AO982" s="142"/>
      <c r="AP982" s="131"/>
    </row>
    <row r="983" ht="13.5" customHeight="1">
      <c r="A983" s="142"/>
      <c r="B983" s="142"/>
      <c r="C983" s="142"/>
      <c r="D983" s="142"/>
      <c r="E983" s="132"/>
      <c r="F983" s="131"/>
      <c r="G983" s="131"/>
      <c r="H983" s="131"/>
      <c r="I983" s="131"/>
      <c r="J983" s="219"/>
      <c r="K983" s="198"/>
      <c r="L983" s="131"/>
      <c r="M983" s="142"/>
      <c r="N983" s="131"/>
      <c r="O983" s="131"/>
      <c r="P983" s="131"/>
      <c r="Q983" s="131"/>
      <c r="R983" s="131"/>
      <c r="S983" s="131"/>
      <c r="T983" s="131"/>
      <c r="U983" s="131"/>
      <c r="V983" s="131"/>
      <c r="W983" s="131"/>
      <c r="X983" s="131"/>
      <c r="Y983" s="131"/>
      <c r="Z983" s="131"/>
      <c r="AA983" s="131"/>
      <c r="AB983" s="330"/>
      <c r="AC983" s="331"/>
      <c r="AD983" s="332"/>
      <c r="AE983" s="131"/>
      <c r="AF983" s="131"/>
      <c r="AG983" s="131"/>
      <c r="AH983" s="131"/>
      <c r="AI983" s="131"/>
      <c r="AJ983" s="131"/>
      <c r="AK983" s="131"/>
      <c r="AL983" s="131"/>
      <c r="AM983" s="131"/>
      <c r="AN983" s="131"/>
      <c r="AO983" s="142"/>
      <c r="AP983" s="131"/>
    </row>
    <row r="984" ht="13.5" customHeight="1">
      <c r="A984" s="142"/>
      <c r="B984" s="142"/>
      <c r="C984" s="142"/>
      <c r="D984" s="142"/>
      <c r="E984" s="132"/>
      <c r="F984" s="131"/>
      <c r="G984" s="131"/>
      <c r="H984" s="131"/>
      <c r="I984" s="131"/>
      <c r="J984" s="219"/>
      <c r="K984" s="198"/>
      <c r="L984" s="131"/>
      <c r="M984" s="142"/>
      <c r="N984" s="131"/>
      <c r="O984" s="131"/>
      <c r="P984" s="131"/>
      <c r="Q984" s="131"/>
      <c r="R984" s="131"/>
      <c r="S984" s="131"/>
      <c r="T984" s="131"/>
      <c r="U984" s="131"/>
      <c r="V984" s="131"/>
      <c r="W984" s="131"/>
      <c r="X984" s="131"/>
      <c r="Y984" s="131"/>
      <c r="Z984" s="131"/>
      <c r="AA984" s="131"/>
      <c r="AB984" s="330"/>
      <c r="AC984" s="331"/>
      <c r="AD984" s="332"/>
      <c r="AE984" s="131"/>
      <c r="AF984" s="131"/>
      <c r="AG984" s="131"/>
      <c r="AH984" s="131"/>
      <c r="AI984" s="131"/>
      <c r="AJ984" s="131"/>
      <c r="AK984" s="131"/>
      <c r="AL984" s="131"/>
      <c r="AM984" s="131"/>
      <c r="AN984" s="131"/>
      <c r="AO984" s="142"/>
      <c r="AP984" s="131"/>
    </row>
    <row r="985" ht="13.5" customHeight="1">
      <c r="A985" s="142"/>
      <c r="B985" s="142"/>
      <c r="C985" s="142"/>
      <c r="D985" s="142"/>
      <c r="E985" s="132"/>
      <c r="F985" s="131"/>
      <c r="G985" s="131"/>
      <c r="H985" s="131"/>
      <c r="I985" s="131"/>
      <c r="J985" s="219"/>
      <c r="K985" s="198"/>
      <c r="L985" s="131"/>
      <c r="M985" s="142"/>
      <c r="N985" s="131"/>
      <c r="O985" s="131"/>
      <c r="P985" s="131"/>
      <c r="Q985" s="131"/>
      <c r="R985" s="131"/>
      <c r="S985" s="131"/>
      <c r="T985" s="131"/>
      <c r="U985" s="131"/>
      <c r="V985" s="131"/>
      <c r="W985" s="131"/>
      <c r="X985" s="131"/>
      <c r="Y985" s="131"/>
      <c r="Z985" s="131"/>
      <c r="AA985" s="131"/>
      <c r="AB985" s="330"/>
      <c r="AC985" s="331"/>
      <c r="AD985" s="332"/>
      <c r="AE985" s="131"/>
      <c r="AF985" s="131"/>
      <c r="AG985" s="131"/>
      <c r="AH985" s="131"/>
      <c r="AI985" s="131"/>
      <c r="AJ985" s="131"/>
      <c r="AK985" s="131"/>
      <c r="AL985" s="131"/>
      <c r="AM985" s="131"/>
      <c r="AN985" s="131"/>
      <c r="AO985" s="142"/>
      <c r="AP985" s="131"/>
    </row>
    <row r="986" ht="13.5" customHeight="1">
      <c r="A986" s="142"/>
      <c r="B986" s="142"/>
      <c r="C986" s="142"/>
      <c r="D986" s="142"/>
      <c r="E986" s="132"/>
      <c r="F986" s="131"/>
      <c r="G986" s="131"/>
      <c r="H986" s="131"/>
      <c r="I986" s="131"/>
      <c r="J986" s="219"/>
      <c r="K986" s="198"/>
      <c r="L986" s="131"/>
      <c r="M986" s="142"/>
      <c r="N986" s="131"/>
      <c r="O986" s="131"/>
      <c r="P986" s="131"/>
      <c r="Q986" s="131"/>
      <c r="R986" s="131"/>
      <c r="S986" s="131"/>
      <c r="T986" s="131"/>
      <c r="U986" s="131"/>
      <c r="V986" s="131"/>
      <c r="W986" s="131"/>
      <c r="X986" s="131"/>
      <c r="Y986" s="131"/>
      <c r="Z986" s="131"/>
      <c r="AA986" s="131"/>
      <c r="AB986" s="330"/>
      <c r="AC986" s="331"/>
      <c r="AD986" s="332"/>
      <c r="AE986" s="131"/>
      <c r="AF986" s="131"/>
      <c r="AG986" s="131"/>
      <c r="AH986" s="131"/>
      <c r="AI986" s="131"/>
      <c r="AJ986" s="131"/>
      <c r="AK986" s="131"/>
      <c r="AL986" s="131"/>
      <c r="AM986" s="131"/>
      <c r="AN986" s="131"/>
      <c r="AO986" s="142"/>
      <c r="AP986" s="131"/>
    </row>
    <row r="987" ht="13.5" customHeight="1">
      <c r="A987" s="142"/>
      <c r="B987" s="142"/>
      <c r="C987" s="142"/>
      <c r="D987" s="142"/>
      <c r="E987" s="132"/>
      <c r="F987" s="131"/>
      <c r="G987" s="131"/>
      <c r="H987" s="131"/>
      <c r="I987" s="131"/>
      <c r="J987" s="219"/>
      <c r="K987" s="198"/>
      <c r="L987" s="131"/>
      <c r="M987" s="142"/>
      <c r="N987" s="131"/>
      <c r="O987" s="131"/>
      <c r="P987" s="131"/>
      <c r="Q987" s="131"/>
      <c r="R987" s="131"/>
      <c r="S987" s="131"/>
      <c r="T987" s="131"/>
      <c r="U987" s="131"/>
      <c r="V987" s="131"/>
      <c r="W987" s="131"/>
      <c r="X987" s="131"/>
      <c r="Y987" s="131"/>
      <c r="Z987" s="131"/>
      <c r="AA987" s="131"/>
      <c r="AB987" s="330"/>
      <c r="AC987" s="331"/>
      <c r="AD987" s="332"/>
      <c r="AE987" s="131"/>
      <c r="AF987" s="131"/>
      <c r="AG987" s="131"/>
      <c r="AH987" s="131"/>
      <c r="AI987" s="131"/>
      <c r="AJ987" s="131"/>
      <c r="AK987" s="131"/>
      <c r="AL987" s="131"/>
      <c r="AM987" s="131"/>
      <c r="AN987" s="131"/>
      <c r="AO987" s="142"/>
      <c r="AP987" s="131"/>
    </row>
    <row r="988" ht="13.5" customHeight="1">
      <c r="A988" s="142"/>
      <c r="B988" s="142"/>
      <c r="C988" s="142"/>
      <c r="D988" s="142"/>
      <c r="E988" s="132"/>
      <c r="F988" s="131"/>
      <c r="G988" s="131"/>
      <c r="H988" s="131"/>
      <c r="I988" s="131"/>
      <c r="J988" s="219"/>
      <c r="K988" s="198"/>
      <c r="L988" s="131"/>
      <c r="M988" s="142"/>
      <c r="N988" s="131"/>
      <c r="O988" s="131"/>
      <c r="P988" s="131"/>
      <c r="Q988" s="131"/>
      <c r="R988" s="131"/>
      <c r="S988" s="131"/>
      <c r="T988" s="131"/>
      <c r="U988" s="131"/>
      <c r="V988" s="131"/>
      <c r="W988" s="131"/>
      <c r="X988" s="131"/>
      <c r="Y988" s="131"/>
      <c r="Z988" s="131"/>
      <c r="AA988" s="131"/>
      <c r="AB988" s="330"/>
      <c r="AC988" s="331"/>
      <c r="AD988" s="332"/>
      <c r="AE988" s="131"/>
      <c r="AF988" s="131"/>
      <c r="AG988" s="131"/>
      <c r="AH988" s="131"/>
      <c r="AI988" s="131"/>
      <c r="AJ988" s="131"/>
      <c r="AK988" s="131"/>
      <c r="AL988" s="131"/>
      <c r="AM988" s="131"/>
      <c r="AN988" s="131"/>
      <c r="AO988" s="142"/>
      <c r="AP988" s="131"/>
    </row>
    <row r="989" ht="13.5" customHeight="1">
      <c r="A989" s="142"/>
      <c r="B989" s="142"/>
      <c r="C989" s="142"/>
      <c r="D989" s="142"/>
      <c r="E989" s="132"/>
      <c r="F989" s="131"/>
      <c r="G989" s="131"/>
      <c r="H989" s="131"/>
      <c r="I989" s="131"/>
      <c r="J989" s="219"/>
      <c r="K989" s="198"/>
      <c r="L989" s="131"/>
      <c r="M989" s="142"/>
      <c r="N989" s="131"/>
      <c r="O989" s="131"/>
      <c r="P989" s="131"/>
      <c r="Q989" s="131"/>
      <c r="R989" s="131"/>
      <c r="S989" s="131"/>
      <c r="T989" s="131"/>
      <c r="U989" s="131"/>
      <c r="V989" s="131"/>
      <c r="W989" s="131"/>
      <c r="X989" s="131"/>
      <c r="Y989" s="131"/>
      <c r="Z989" s="131"/>
      <c r="AA989" s="131"/>
      <c r="AB989" s="330"/>
      <c r="AC989" s="331"/>
      <c r="AD989" s="332"/>
      <c r="AE989" s="131"/>
      <c r="AF989" s="131"/>
      <c r="AG989" s="131"/>
      <c r="AH989" s="131"/>
      <c r="AI989" s="131"/>
      <c r="AJ989" s="131"/>
      <c r="AK989" s="131"/>
      <c r="AL989" s="131"/>
      <c r="AM989" s="131"/>
      <c r="AN989" s="131"/>
      <c r="AO989" s="142"/>
      <c r="AP989" s="131"/>
    </row>
    <row r="990" ht="13.5" customHeight="1">
      <c r="A990" s="142"/>
      <c r="B990" s="142"/>
      <c r="C990" s="142"/>
      <c r="D990" s="142"/>
      <c r="E990" s="132"/>
      <c r="F990" s="131"/>
      <c r="G990" s="131"/>
      <c r="H990" s="131"/>
      <c r="I990" s="131"/>
      <c r="J990" s="219"/>
      <c r="K990" s="198"/>
      <c r="L990" s="131"/>
      <c r="M990" s="142"/>
      <c r="N990" s="131"/>
      <c r="O990" s="131"/>
      <c r="P990" s="131"/>
      <c r="Q990" s="131"/>
      <c r="R990" s="131"/>
      <c r="S990" s="131"/>
      <c r="T990" s="131"/>
      <c r="U990" s="131"/>
      <c r="V990" s="131"/>
      <c r="W990" s="131"/>
      <c r="X990" s="131"/>
      <c r="Y990" s="131"/>
      <c r="Z990" s="131"/>
      <c r="AA990" s="131"/>
      <c r="AB990" s="330"/>
      <c r="AC990" s="331"/>
      <c r="AD990" s="332"/>
      <c r="AE990" s="131"/>
      <c r="AF990" s="131"/>
      <c r="AG990" s="131"/>
      <c r="AH990" s="131"/>
      <c r="AI990" s="131"/>
      <c r="AJ990" s="131"/>
      <c r="AK990" s="131"/>
      <c r="AL990" s="131"/>
      <c r="AM990" s="131"/>
      <c r="AN990" s="131"/>
      <c r="AO990" s="142"/>
      <c r="AP990" s="131"/>
    </row>
    <row r="991" ht="13.5" customHeight="1">
      <c r="A991" s="142"/>
      <c r="B991" s="142"/>
      <c r="C991" s="142"/>
      <c r="D991" s="142"/>
      <c r="E991" s="132"/>
      <c r="F991" s="131"/>
      <c r="G991" s="131"/>
      <c r="H991" s="131"/>
      <c r="I991" s="131"/>
      <c r="J991" s="219"/>
      <c r="K991" s="198"/>
      <c r="L991" s="131"/>
      <c r="M991" s="142"/>
      <c r="N991" s="131"/>
      <c r="O991" s="131"/>
      <c r="P991" s="131"/>
      <c r="Q991" s="131"/>
      <c r="R991" s="131"/>
      <c r="S991" s="131"/>
      <c r="T991" s="131"/>
      <c r="U991" s="131"/>
      <c r="V991" s="131"/>
      <c r="W991" s="131"/>
      <c r="X991" s="131"/>
      <c r="Y991" s="131"/>
      <c r="Z991" s="131"/>
      <c r="AA991" s="131"/>
      <c r="AB991" s="330"/>
      <c r="AC991" s="331"/>
      <c r="AD991" s="332"/>
      <c r="AE991" s="131"/>
      <c r="AF991" s="131"/>
      <c r="AG991" s="131"/>
      <c r="AH991" s="131"/>
      <c r="AI991" s="131"/>
      <c r="AJ991" s="131"/>
      <c r="AK991" s="131"/>
      <c r="AL991" s="131"/>
      <c r="AM991" s="131"/>
      <c r="AN991" s="131"/>
      <c r="AO991" s="142"/>
      <c r="AP991" s="131"/>
    </row>
    <row r="992" ht="13.5" customHeight="1">
      <c r="A992" s="142"/>
      <c r="B992" s="142"/>
      <c r="C992" s="142"/>
      <c r="D992" s="142"/>
      <c r="E992" s="132"/>
      <c r="F992" s="131"/>
      <c r="G992" s="131"/>
      <c r="H992" s="131"/>
      <c r="I992" s="131"/>
      <c r="J992" s="219"/>
      <c r="K992" s="198"/>
      <c r="L992" s="131"/>
      <c r="M992" s="142"/>
      <c r="N992" s="131"/>
      <c r="O992" s="131"/>
      <c r="P992" s="131"/>
      <c r="Q992" s="131"/>
      <c r="R992" s="131"/>
      <c r="S992" s="131"/>
      <c r="T992" s="131"/>
      <c r="U992" s="131"/>
      <c r="V992" s="131"/>
      <c r="W992" s="131"/>
      <c r="X992" s="131"/>
      <c r="Y992" s="131"/>
      <c r="Z992" s="131"/>
      <c r="AA992" s="131"/>
      <c r="AB992" s="330"/>
      <c r="AC992" s="331"/>
      <c r="AD992" s="332"/>
      <c r="AE992" s="131"/>
      <c r="AF992" s="131"/>
      <c r="AG992" s="131"/>
      <c r="AH992" s="131"/>
      <c r="AI992" s="131"/>
      <c r="AJ992" s="131"/>
      <c r="AK992" s="131"/>
      <c r="AL992" s="131"/>
      <c r="AM992" s="131"/>
      <c r="AN992" s="131"/>
      <c r="AO992" s="142"/>
      <c r="AP992" s="131"/>
    </row>
    <row r="993" ht="13.5" customHeight="1">
      <c r="A993" s="142"/>
      <c r="B993" s="142"/>
      <c r="C993" s="142"/>
      <c r="D993" s="142"/>
      <c r="E993" s="132"/>
      <c r="F993" s="131"/>
      <c r="G993" s="131"/>
      <c r="H993" s="131"/>
      <c r="I993" s="131"/>
      <c r="J993" s="219"/>
      <c r="K993" s="198"/>
      <c r="L993" s="131"/>
      <c r="M993" s="142"/>
      <c r="N993" s="131"/>
      <c r="O993" s="131"/>
      <c r="P993" s="131"/>
      <c r="Q993" s="131"/>
      <c r="R993" s="131"/>
      <c r="S993" s="131"/>
      <c r="T993" s="131"/>
      <c r="U993" s="131"/>
      <c r="V993" s="131"/>
      <c r="W993" s="131"/>
      <c r="X993" s="131"/>
      <c r="Y993" s="131"/>
      <c r="Z993" s="131"/>
      <c r="AA993" s="131"/>
      <c r="AB993" s="330"/>
      <c r="AC993" s="331"/>
      <c r="AD993" s="332"/>
      <c r="AE993" s="131"/>
      <c r="AF993" s="131"/>
      <c r="AG993" s="131"/>
      <c r="AH993" s="131"/>
      <c r="AI993" s="131"/>
      <c r="AJ993" s="131"/>
      <c r="AK993" s="131"/>
      <c r="AL993" s="131"/>
      <c r="AM993" s="131"/>
      <c r="AN993" s="131"/>
      <c r="AO993" s="142"/>
      <c r="AP993" s="131"/>
    </row>
    <row r="994" ht="13.5" customHeight="1">
      <c r="A994" s="142"/>
      <c r="B994" s="142"/>
      <c r="C994" s="142"/>
      <c r="D994" s="142"/>
      <c r="E994" s="132"/>
      <c r="F994" s="131"/>
      <c r="G994" s="131"/>
      <c r="H994" s="131"/>
      <c r="I994" s="131"/>
      <c r="J994" s="219"/>
      <c r="K994" s="198"/>
      <c r="L994" s="131"/>
      <c r="M994" s="142"/>
      <c r="N994" s="131"/>
      <c r="O994" s="131"/>
      <c r="P994" s="131"/>
      <c r="Q994" s="131"/>
      <c r="R994" s="131"/>
      <c r="S994" s="131"/>
      <c r="T994" s="131"/>
      <c r="U994" s="131"/>
      <c r="V994" s="131"/>
      <c r="W994" s="131"/>
      <c r="X994" s="131"/>
      <c r="Y994" s="131"/>
      <c r="Z994" s="131"/>
      <c r="AA994" s="131"/>
      <c r="AB994" s="330"/>
      <c r="AC994" s="331"/>
      <c r="AD994" s="332"/>
      <c r="AE994" s="131"/>
      <c r="AF994" s="131"/>
      <c r="AG994" s="131"/>
      <c r="AH994" s="131"/>
      <c r="AI994" s="131"/>
      <c r="AJ994" s="131"/>
      <c r="AK994" s="131"/>
      <c r="AL994" s="131"/>
      <c r="AM994" s="131"/>
      <c r="AN994" s="131"/>
      <c r="AO994" s="142"/>
      <c r="AP994" s="131"/>
    </row>
    <row r="995" ht="13.5" customHeight="1">
      <c r="A995" s="142"/>
      <c r="B995" s="142"/>
      <c r="C995" s="142"/>
      <c r="D995" s="142"/>
      <c r="E995" s="132"/>
      <c r="F995" s="131"/>
      <c r="G995" s="131"/>
      <c r="H995" s="131"/>
      <c r="I995" s="131"/>
      <c r="J995" s="219"/>
      <c r="K995" s="198"/>
      <c r="L995" s="131"/>
      <c r="M995" s="142"/>
      <c r="N995" s="131"/>
      <c r="O995" s="131"/>
      <c r="P995" s="131"/>
      <c r="Q995" s="131"/>
      <c r="R995" s="131"/>
      <c r="S995" s="131"/>
      <c r="T995" s="131"/>
      <c r="U995" s="131"/>
      <c r="V995" s="131"/>
      <c r="W995" s="131"/>
      <c r="X995" s="131"/>
      <c r="Y995" s="131"/>
      <c r="Z995" s="131"/>
      <c r="AA995" s="131"/>
      <c r="AB995" s="330"/>
      <c r="AC995" s="331"/>
      <c r="AD995" s="332"/>
      <c r="AE995" s="131"/>
      <c r="AF995" s="131"/>
      <c r="AG995" s="131"/>
      <c r="AH995" s="131"/>
      <c r="AI995" s="131"/>
      <c r="AJ995" s="131"/>
      <c r="AK995" s="131"/>
      <c r="AL995" s="131"/>
      <c r="AM995" s="131"/>
      <c r="AN995" s="131"/>
      <c r="AO995" s="142"/>
      <c r="AP995" s="131"/>
    </row>
    <row r="996" ht="13.5" customHeight="1">
      <c r="A996" s="142"/>
      <c r="B996" s="142"/>
      <c r="C996" s="142"/>
      <c r="D996" s="142"/>
      <c r="E996" s="132"/>
      <c r="F996" s="131"/>
      <c r="G996" s="131"/>
      <c r="H996" s="131"/>
      <c r="I996" s="131"/>
      <c r="J996" s="219"/>
      <c r="K996" s="198"/>
      <c r="L996" s="131"/>
      <c r="M996" s="142"/>
      <c r="N996" s="131"/>
      <c r="O996" s="131"/>
      <c r="P996" s="131"/>
      <c r="Q996" s="131"/>
      <c r="R996" s="131"/>
      <c r="S996" s="131"/>
      <c r="T996" s="131"/>
      <c r="U996" s="131"/>
      <c r="V996" s="131"/>
      <c r="W996" s="131"/>
      <c r="X996" s="131"/>
      <c r="Y996" s="131"/>
      <c r="Z996" s="131"/>
      <c r="AA996" s="131"/>
      <c r="AB996" s="330"/>
      <c r="AC996" s="331"/>
      <c r="AD996" s="332"/>
      <c r="AE996" s="131"/>
      <c r="AF996" s="131"/>
      <c r="AG996" s="131"/>
      <c r="AH996" s="131"/>
      <c r="AI996" s="131"/>
      <c r="AJ996" s="131"/>
      <c r="AK996" s="131"/>
      <c r="AL996" s="131"/>
      <c r="AM996" s="131"/>
      <c r="AN996" s="131"/>
      <c r="AO996" s="142"/>
      <c r="AP996" s="131"/>
    </row>
    <row r="997" ht="13.5" customHeight="1">
      <c r="A997" s="142"/>
      <c r="B997" s="142"/>
      <c r="C997" s="142"/>
      <c r="D997" s="142"/>
      <c r="E997" s="132"/>
      <c r="F997" s="131"/>
      <c r="G997" s="131"/>
      <c r="H997" s="131"/>
      <c r="I997" s="131"/>
      <c r="J997" s="219"/>
      <c r="K997" s="198"/>
      <c r="L997" s="131"/>
      <c r="M997" s="142"/>
      <c r="N997" s="131"/>
      <c r="O997" s="131"/>
      <c r="P997" s="131"/>
      <c r="Q997" s="131"/>
      <c r="R997" s="131"/>
      <c r="S997" s="131"/>
      <c r="T997" s="131"/>
      <c r="U997" s="131"/>
      <c r="V997" s="131"/>
      <c r="W997" s="131"/>
      <c r="X997" s="131"/>
      <c r="Y997" s="131"/>
      <c r="Z997" s="131"/>
      <c r="AA997" s="131"/>
      <c r="AB997" s="330"/>
      <c r="AC997" s="331"/>
      <c r="AD997" s="332"/>
      <c r="AE997" s="131"/>
      <c r="AF997" s="131"/>
      <c r="AG997" s="131"/>
      <c r="AH997" s="131"/>
      <c r="AI997" s="131"/>
      <c r="AJ997" s="131"/>
      <c r="AK997" s="131"/>
      <c r="AL997" s="131"/>
      <c r="AM997" s="131"/>
      <c r="AN997" s="131"/>
      <c r="AO997" s="142"/>
      <c r="AP997" s="131"/>
    </row>
    <row r="998" ht="13.5" customHeight="1">
      <c r="A998" s="142"/>
      <c r="B998" s="142"/>
      <c r="C998" s="142"/>
      <c r="D998" s="142"/>
      <c r="E998" s="132"/>
      <c r="F998" s="131"/>
      <c r="G998" s="131"/>
      <c r="H998" s="131"/>
      <c r="I998" s="131"/>
      <c r="J998" s="219"/>
      <c r="K998" s="198"/>
      <c r="L998" s="131"/>
      <c r="M998" s="142"/>
      <c r="N998" s="131"/>
      <c r="O998" s="131"/>
      <c r="P998" s="131"/>
      <c r="Q998" s="131"/>
      <c r="R998" s="131"/>
      <c r="S998" s="131"/>
      <c r="T998" s="131"/>
      <c r="U998" s="131"/>
      <c r="V998" s="131"/>
      <c r="W998" s="131"/>
      <c r="X998" s="131"/>
      <c r="Y998" s="131"/>
      <c r="Z998" s="131"/>
      <c r="AA998" s="131"/>
      <c r="AB998" s="330"/>
      <c r="AC998" s="331"/>
      <c r="AD998" s="332"/>
      <c r="AE998" s="131"/>
      <c r="AF998" s="131"/>
      <c r="AG998" s="131"/>
      <c r="AH998" s="131"/>
      <c r="AI998" s="131"/>
      <c r="AJ998" s="131"/>
      <c r="AK998" s="131"/>
      <c r="AL998" s="131"/>
      <c r="AM998" s="131"/>
      <c r="AN998" s="131"/>
      <c r="AO998" s="142"/>
      <c r="AP998" s="131"/>
    </row>
    <row r="999" ht="13.5" customHeight="1">
      <c r="A999" s="142"/>
      <c r="B999" s="142"/>
      <c r="C999" s="142"/>
      <c r="D999" s="142"/>
      <c r="E999" s="132"/>
      <c r="F999" s="131"/>
      <c r="G999" s="131"/>
      <c r="H999" s="131"/>
      <c r="I999" s="131"/>
      <c r="J999" s="219"/>
      <c r="K999" s="198"/>
      <c r="L999" s="131"/>
      <c r="M999" s="142"/>
      <c r="N999" s="131"/>
      <c r="O999" s="131"/>
      <c r="P999" s="131"/>
      <c r="Q999" s="131"/>
      <c r="R999" s="131"/>
      <c r="S999" s="131"/>
      <c r="T999" s="131"/>
      <c r="U999" s="131"/>
      <c r="V999" s="131"/>
      <c r="W999" s="131"/>
      <c r="X999" s="131"/>
      <c r="Y999" s="131"/>
      <c r="Z999" s="131"/>
      <c r="AA999" s="131"/>
      <c r="AB999" s="330"/>
      <c r="AC999" s="331"/>
      <c r="AD999" s="332"/>
      <c r="AE999" s="131"/>
      <c r="AF999" s="131"/>
      <c r="AG999" s="131"/>
      <c r="AH999" s="131"/>
      <c r="AI999" s="131"/>
      <c r="AJ999" s="131"/>
      <c r="AK999" s="131"/>
      <c r="AL999" s="131"/>
      <c r="AM999" s="131"/>
      <c r="AN999" s="131"/>
      <c r="AO999" s="142"/>
      <c r="AP999" s="131"/>
    </row>
    <row r="1000" ht="13.5" customHeight="1">
      <c r="A1000" s="142"/>
      <c r="B1000" s="142"/>
      <c r="C1000" s="142"/>
      <c r="D1000" s="142"/>
      <c r="E1000" s="132"/>
      <c r="F1000" s="131"/>
      <c r="G1000" s="131"/>
      <c r="H1000" s="131"/>
      <c r="I1000" s="131"/>
      <c r="J1000" s="219"/>
      <c r="K1000" s="198"/>
      <c r="L1000" s="131"/>
      <c r="M1000" s="142"/>
      <c r="N1000" s="131"/>
      <c r="O1000" s="131"/>
      <c r="P1000" s="131"/>
      <c r="Q1000" s="131"/>
      <c r="R1000" s="131"/>
      <c r="S1000" s="131"/>
      <c r="T1000" s="131"/>
      <c r="U1000" s="131"/>
      <c r="V1000" s="131"/>
      <c r="W1000" s="131"/>
      <c r="X1000" s="131"/>
      <c r="Y1000" s="131"/>
      <c r="Z1000" s="131"/>
      <c r="AA1000" s="131"/>
      <c r="AB1000" s="330"/>
      <c r="AC1000" s="331"/>
      <c r="AD1000" s="332"/>
      <c r="AE1000" s="131"/>
      <c r="AF1000" s="131"/>
      <c r="AG1000" s="131"/>
      <c r="AH1000" s="131"/>
      <c r="AI1000" s="131"/>
      <c r="AJ1000" s="131"/>
      <c r="AK1000" s="131"/>
      <c r="AL1000" s="131"/>
      <c r="AM1000" s="131"/>
      <c r="AN1000" s="131"/>
      <c r="AO1000" s="142"/>
      <c r="AP1000" s="131"/>
    </row>
  </sheetData>
  <mergeCells count="4">
    <mergeCell ref="J1:K1"/>
    <mergeCell ref="AA2:AA44"/>
    <mergeCell ref="AH2:AH44"/>
    <mergeCell ref="L7:L9"/>
  </mergeCells>
  <conditionalFormatting sqref="J2:K22 J24:K44">
    <cfRule type="cellIs" dxfId="21" priority="1" operator="equal">
      <formula>"/"</formula>
    </cfRule>
  </conditionalFormatting>
  <conditionalFormatting sqref="J2:K22 J24:K44">
    <cfRule type="cellIs" dxfId="4" priority="2" operator="lessThan">
      <formula>0</formula>
    </cfRule>
  </conditionalFormatting>
  <conditionalFormatting sqref="J2:K22 J24:K44">
    <cfRule type="cellIs" dxfId="22" priority="3" operator="greaterThan">
      <formula>0</formula>
    </cfRule>
  </conditionalFormatting>
  <conditionalFormatting sqref="F2:F22 F24:F44">
    <cfRule type="expression" dxfId="27" priority="4">
      <formula>$J$1="差距(UQ)"</formula>
    </cfRule>
  </conditionalFormatting>
  <conditionalFormatting sqref="G2:G22 G24:G44">
    <cfRule type="expression" dxfId="23" priority="5">
      <formula>$J$1="差距(Median)"</formula>
    </cfRule>
  </conditionalFormatting>
  <conditionalFormatting sqref="H2:H22 H24:H44">
    <cfRule type="expression" dxfId="23" priority="6">
      <formula>$J$1="差距(LQ)"</formula>
    </cfRule>
  </conditionalFormatting>
  <conditionalFormatting sqref="F23">
    <cfRule type="expression" dxfId="27" priority="7">
      <formula>$J$1="差距(UQ)"</formula>
    </cfRule>
  </conditionalFormatting>
  <conditionalFormatting sqref="G23">
    <cfRule type="expression" dxfId="23" priority="8">
      <formula>$J$1="差距(Median)"</formula>
    </cfRule>
  </conditionalFormatting>
  <conditionalFormatting sqref="H23">
    <cfRule type="expression" dxfId="23" priority="9">
      <formula>$J$1="差距(LQ)"</formula>
    </cfRule>
  </conditionalFormatting>
  <conditionalFormatting sqref="J23:K23">
    <cfRule type="cellIs" dxfId="21" priority="10" operator="equal">
      <formula>"/"</formula>
    </cfRule>
  </conditionalFormatting>
  <conditionalFormatting sqref="J23:K23">
    <cfRule type="cellIs" dxfId="4" priority="11" operator="lessThan">
      <formula>0</formula>
    </cfRule>
  </conditionalFormatting>
  <conditionalFormatting sqref="J23:K23">
    <cfRule type="cellIs" dxfId="22" priority="12" operator="greaterThan">
      <formula>0</formula>
    </cfRule>
  </conditionalFormatting>
  <conditionalFormatting sqref="AA2">
    <cfRule type="expression" dxfId="28" priority="13">
      <formula>MOD(ROW(),2)=0</formula>
    </cfRule>
  </conditionalFormatting>
  <conditionalFormatting sqref="AA2 AH2 AO2:AO44">
    <cfRule type="expression" dxfId="7" priority="14">
      <formula>TRUE</formula>
    </cfRule>
  </conditionalFormatting>
  <conditionalFormatting sqref="E7:E13">
    <cfRule type="expression" dxfId="19" priority="15">
      <formula>MOD(ROW(),2)=0</formula>
    </cfRule>
  </conditionalFormatting>
  <conditionalFormatting sqref="M2:M44 U2:Z44">
    <cfRule type="cellIs" dxfId="24" priority="16" operator="equal">
      <formula>2</formula>
    </cfRule>
  </conditionalFormatting>
  <conditionalFormatting sqref="M2:M44 U2:Z44">
    <cfRule type="cellIs" dxfId="26" priority="17" operator="equal">
      <formula>1</formula>
    </cfRule>
  </conditionalFormatting>
  <conditionalFormatting sqref="M2:M44 U2:Z44">
    <cfRule type="cellIs" dxfId="25" priority="18" operator="equal">
      <formula>0</formula>
    </cfRule>
  </conditionalFormatting>
  <dataValidations>
    <dataValidation type="list" allowBlank="1" showErrorMessage="1" sqref="AA2">
      <formula1>'選單'!$I$1:$I$3</formula1>
    </dataValidation>
    <dataValidation type="list" allowBlank="1" showErrorMessage="1" sqref="J1">
      <formula1>'選單'!$J$1:$J$3</formula1>
    </dataValidation>
  </dataValidations>
  <hyperlinks>
    <hyperlink r:id="rId2" ref="A64"/>
    <hyperlink r:id="rId3" ref="A65"/>
    <hyperlink r:id="rId4" ref="A66"/>
    <hyperlink r:id="rId5" ref="A67"/>
    <hyperlink r:id="rId6" ref="A68"/>
  </hyperlinks>
  <printOptions/>
  <pageMargins bottom="0.75" footer="0.0" header="0.0" left="0.7" right="0.7" top="0.75"/>
  <pageSetup paperSize="9" orientation="portrait"/>
  <drawing r:id="rId7"/>
  <legacyDrawing r:id="rId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8" width="7.78"/>
    <col customWidth="1" min="9" max="10" width="7.67"/>
    <col customWidth="1" min="11" max="11" width="4.89"/>
    <col customWidth="1" min="12" max="12" width="4.67"/>
    <col customWidth="1" min="13" max="13" width="9.78"/>
    <col customWidth="1" min="14" max="23" width="2.22"/>
    <col customWidth="1" min="24" max="24" width="9.0"/>
    <col customWidth="1" min="25" max="30" width="6.33"/>
    <col customWidth="1" min="31" max="31" width="9.0"/>
    <col customWidth="1" min="32" max="37" width="6.33"/>
    <col customWidth="1" min="38" max="38" width="3.78"/>
    <col customWidth="1" min="39" max="39" width="8.11"/>
  </cols>
  <sheetData>
    <row r="1" ht="18.0" customHeight="1">
      <c r="A1" s="333" t="s">
        <v>1056</v>
      </c>
      <c r="B1" s="333" t="s">
        <v>1066</v>
      </c>
      <c r="C1" s="333" t="s">
        <v>1057</v>
      </c>
      <c r="D1" s="333"/>
      <c r="E1" s="334" t="s">
        <v>44</v>
      </c>
      <c r="F1" s="334" t="s">
        <v>46</v>
      </c>
      <c r="G1" s="334" t="s">
        <v>47</v>
      </c>
      <c r="H1" s="334" t="s">
        <v>48</v>
      </c>
      <c r="I1" s="335" t="s">
        <v>157</v>
      </c>
      <c r="J1" s="185"/>
      <c r="K1" s="334" t="s">
        <v>49</v>
      </c>
      <c r="L1" s="334" t="s">
        <v>955</v>
      </c>
      <c r="M1" s="334" t="s">
        <v>1067</v>
      </c>
      <c r="N1" s="334" t="s">
        <v>1058</v>
      </c>
      <c r="O1" s="334" t="s">
        <v>1059</v>
      </c>
      <c r="P1" s="334" t="s">
        <v>1060</v>
      </c>
      <c r="Q1" s="334" t="s">
        <v>1061</v>
      </c>
      <c r="R1" s="334" t="s">
        <v>218</v>
      </c>
      <c r="S1" s="334" t="s">
        <v>1058</v>
      </c>
      <c r="T1" s="334" t="s">
        <v>1059</v>
      </c>
      <c r="U1" s="334" t="s">
        <v>1060</v>
      </c>
      <c r="V1" s="334" t="s">
        <v>1061</v>
      </c>
      <c r="W1" s="334" t="s">
        <v>218</v>
      </c>
      <c r="X1" s="334" t="s">
        <v>50</v>
      </c>
      <c r="Y1" s="334" t="s">
        <v>1068</v>
      </c>
      <c r="Z1" s="334" t="s">
        <v>39</v>
      </c>
      <c r="AA1" s="334" t="s">
        <v>1069</v>
      </c>
      <c r="AB1" s="334" t="s">
        <v>1070</v>
      </c>
      <c r="AC1" s="334" t="s">
        <v>1071</v>
      </c>
      <c r="AD1" s="334" t="s">
        <v>1072</v>
      </c>
      <c r="AE1" s="334" t="s">
        <v>1073</v>
      </c>
      <c r="AF1" s="334" t="s">
        <v>1068</v>
      </c>
      <c r="AG1" s="334" t="s">
        <v>39</v>
      </c>
      <c r="AH1" s="334" t="s">
        <v>1069</v>
      </c>
      <c r="AI1" s="334" t="s">
        <v>1070</v>
      </c>
      <c r="AJ1" s="334" t="s">
        <v>1071</v>
      </c>
      <c r="AK1" s="334" t="s">
        <v>1072</v>
      </c>
      <c r="AL1" s="336"/>
      <c r="AM1" s="336"/>
    </row>
    <row r="2" ht="18.0" customHeight="1">
      <c r="A2" s="337" t="s">
        <v>1567</v>
      </c>
      <c r="B2" s="337" t="s">
        <v>971</v>
      </c>
      <c r="C2" s="337" t="s">
        <v>702</v>
      </c>
      <c r="D2" s="337" t="s">
        <v>1568</v>
      </c>
      <c r="E2" s="338" t="s">
        <v>21</v>
      </c>
      <c r="F2" s="339">
        <v>26.5</v>
      </c>
      <c r="G2" s="339">
        <v>26.0</v>
      </c>
      <c r="H2" s="340">
        <f>'計分版'!D301</f>
        <v>0.00000000395</v>
      </c>
      <c r="I2" s="341">
        <f t="shared" ref="I2:I13" si="1">IF(I$1="差距(Median)",H2-F2,IF(I$1="差距(LQ)",H2-G2))</f>
        <v>-26.5</v>
      </c>
      <c r="J2" s="342">
        <f t="shared" ref="J2:J13" si="2">IF(I$1="差距(Median)",(H2-F2)/H2,IF(I$1="差距(LQ)",(H2-G2)/H2))</f>
        <v>-6708860758</v>
      </c>
      <c r="K2" s="338">
        <v>45.0</v>
      </c>
      <c r="L2" s="343">
        <f>'入學要求'!S285</f>
        <v>0</v>
      </c>
      <c r="M2" s="210" t="s">
        <v>1077</v>
      </c>
      <c r="N2" s="344">
        <v>3.0</v>
      </c>
      <c r="O2" s="344">
        <v>3.0</v>
      </c>
      <c r="P2" s="344">
        <v>3.0</v>
      </c>
      <c r="Q2" s="344">
        <v>3.0</v>
      </c>
      <c r="R2" s="344">
        <v>3.0</v>
      </c>
      <c r="S2" s="345">
        <f>'入學要求'!L285</f>
        <v>0</v>
      </c>
      <c r="T2" s="345">
        <f>'入學要求'!M285</f>
        <v>0</v>
      </c>
      <c r="U2" s="345">
        <f>'入學要求'!N285</f>
        <v>0</v>
      </c>
      <c r="V2" s="345">
        <f>'入學要求'!O285</f>
        <v>0</v>
      </c>
      <c r="W2" s="345">
        <f>'入學要求'!P285</f>
        <v>0</v>
      </c>
      <c r="X2" s="196" t="s">
        <v>38</v>
      </c>
      <c r="Y2" s="338">
        <f>IF($X$2="2018年",'Offer Statistics'!DN2,IF($X$2="2019年",'Offer Statistics'!DN15,IF($X$2="2020年",'Offer Statistics'!DN28)))</f>
        <v>50</v>
      </c>
      <c r="Z2" s="346">
        <f>IF($X$2="2018年",'Offer Statistics'!DI2,IF($X$2="2019年",'Offer Statistics'!DI15,IF($X$2="2020年",'Offer Statistics'!DI28)))</f>
        <v>39</v>
      </c>
      <c r="AA2" s="346">
        <f>IF($X$2="2018年",'Offer Statistics'!DJ2,IF($X$2="2019年",'Offer Statistics'!DJ15,IF($X$2="2020年",'Offer Statistics'!DJ28)))</f>
        <v>11</v>
      </c>
      <c r="AB2" s="346">
        <f>IF($X$2="2018年",'Offer Statistics'!DK2,IF($X$2="2019年",'Offer Statistics'!DK15,IF($X$2="2020年",'Offer Statistics'!DK28)))</f>
        <v>0</v>
      </c>
      <c r="AC2" s="346">
        <f>IF($X$2="2018年",'Offer Statistics'!DL2,IF($X$2="2019年",'Offer Statistics'!DL15,IF($X$2="2020年",'Offer Statistics'!DL28)))</f>
        <v>0</v>
      </c>
      <c r="AD2" s="346">
        <f>IF($X$2="2018年",'Offer Statistics'!DM2,IF($X$2="2019年",'Offer Statistics'!DM15,IF($X$2="2020年",'Offer Statistics'!DM28)))</f>
        <v>0</v>
      </c>
      <c r="AE2" s="196" t="str">
        <f>X2</f>
        <v>2020年</v>
      </c>
      <c r="AF2" s="338">
        <f>IF($X$2="2018年",'Offer Statistics'!DF2,IF($X$2="2019年",'Offer Statistics'!DF15,IF($X$2="2020年",'Offer Statistics'!DF28)))</f>
        <v>2233</v>
      </c>
      <c r="AG2" s="346">
        <f>IF($X$2="2018年",'Offer Statistics'!DA2,IF($X$2="2019年",'Offer Statistics'!DA15,IF($X$2="2020年",'Offer Statistics'!DA28)))</f>
        <v>338</v>
      </c>
      <c r="AH2" s="346">
        <f>IF($X$2="2018年",'Offer Statistics'!DB2,IF($X$2="2019年",'Offer Statistics'!DB15,IF($X$2="2020年",'Offer Statistics'!DB28)))</f>
        <v>429</v>
      </c>
      <c r="AI2" s="346">
        <f>IF($X$2="2018年",'Offer Statistics'!DC2,IF($X$2="2019年",'Offer Statistics'!DC15,IF($X$2="2020年",'Offer Statistics'!DC28)))</f>
        <v>503</v>
      </c>
      <c r="AJ2" s="346">
        <f>IF($X$2="2018年",'Offer Statistics'!DD2,IF($X$2="2019年",'Offer Statistics'!DD15,IF($X$2="2020年",'Offer Statistics'!DD28)))</f>
        <v>546</v>
      </c>
      <c r="AK2" s="346">
        <f>IF($X$2="2018年",'Offer Statistics'!DE2,IF($X$2="2019年",'Offer Statistics'!DE15,IF($X$2="2020年",'Offer Statistics'!DE28)))</f>
        <v>417</v>
      </c>
      <c r="AL2" s="344"/>
      <c r="AM2" s="344" t="str">
        <f t="shared" ref="AM2:AM13" si="3">A2</f>
        <v>JS7101</v>
      </c>
    </row>
    <row r="3" ht="18.0" customHeight="1">
      <c r="A3" s="142" t="s">
        <v>1569</v>
      </c>
      <c r="B3" s="142" t="s">
        <v>1570</v>
      </c>
      <c r="C3" s="142" t="s">
        <v>704</v>
      </c>
      <c r="D3" s="142" t="s">
        <v>1571</v>
      </c>
      <c r="E3" s="132" t="s">
        <v>21</v>
      </c>
      <c r="F3" s="199">
        <v>25.0</v>
      </c>
      <c r="G3" s="199">
        <v>24.0</v>
      </c>
      <c r="H3" s="200">
        <f>'計分版'!D302</f>
        <v>0.00000000395</v>
      </c>
      <c r="I3" s="201">
        <f t="shared" si="1"/>
        <v>-25</v>
      </c>
      <c r="J3" s="202">
        <f t="shared" si="2"/>
        <v>-6329113923</v>
      </c>
      <c r="K3" s="132">
        <v>15.0</v>
      </c>
      <c r="L3" s="203">
        <f>'入學要求'!S286</f>
        <v>0</v>
      </c>
      <c r="M3" s="205"/>
      <c r="N3" s="163">
        <v>3.0</v>
      </c>
      <c r="O3" s="163">
        <v>3.0</v>
      </c>
      <c r="P3" s="163">
        <v>3.0</v>
      </c>
      <c r="Q3" s="163">
        <v>3.0</v>
      </c>
      <c r="R3" s="163">
        <v>3.0</v>
      </c>
      <c r="S3" s="292">
        <f>'入學要求'!L286</f>
        <v>0</v>
      </c>
      <c r="T3" s="292">
        <f>'入學要求'!M286</f>
        <v>0</v>
      </c>
      <c r="U3" s="292">
        <f>'入學要求'!N286</f>
        <v>0</v>
      </c>
      <c r="V3" s="292">
        <f>'入學要求'!O286</f>
        <v>0</v>
      </c>
      <c r="W3" s="292">
        <f>'入學要求'!P286</f>
        <v>0</v>
      </c>
      <c r="X3" s="205"/>
      <c r="Y3" s="132">
        <f>IF($X$2="2018年",'Offer Statistics'!DN3,IF($X$2="2019年",'Offer Statistics'!DN16,IF($X$2="2020年",'Offer Statistics'!DN29)))</f>
        <v>18</v>
      </c>
      <c r="Z3" s="206">
        <f>IF($X$2="2018年",'Offer Statistics'!DI3,IF($X$2="2019年",'Offer Statistics'!DI16,IF($X$2="2020年",'Offer Statistics'!DI29)))</f>
        <v>18</v>
      </c>
      <c r="AA3" s="206">
        <f>IF($X$2="2018年",'Offer Statistics'!DJ3,IF($X$2="2019年",'Offer Statistics'!DJ16,IF($X$2="2020年",'Offer Statistics'!DJ29)))</f>
        <v>0</v>
      </c>
      <c r="AB3" s="206">
        <f>IF($X$2="2018年",'Offer Statistics'!DK3,IF($X$2="2019年",'Offer Statistics'!DK16,IF($X$2="2020年",'Offer Statistics'!DK29)))</f>
        <v>0</v>
      </c>
      <c r="AC3" s="206">
        <f>IF($X$2="2018年",'Offer Statistics'!DL3,IF($X$2="2019年",'Offer Statistics'!DL16,IF($X$2="2020年",'Offer Statistics'!DL29)))</f>
        <v>0</v>
      </c>
      <c r="AD3" s="206">
        <f>IF($X$2="2018年",'Offer Statistics'!DM3,IF($X$2="2019年",'Offer Statistics'!DM16,IF($X$2="2020年",'Offer Statistics'!DM29)))</f>
        <v>0</v>
      </c>
      <c r="AE3" s="205"/>
      <c r="AF3" s="132">
        <f>IF($X$2="2018年",'Offer Statistics'!DF3,IF($X$2="2019年",'Offer Statistics'!DF16,IF($X$2="2020年",'Offer Statistics'!DF29)))</f>
        <v>1560</v>
      </c>
      <c r="AG3" s="206">
        <f>IF($X$2="2018年",'Offer Statistics'!DA3,IF($X$2="2019年",'Offer Statistics'!DA16,IF($X$2="2020年",'Offer Statistics'!DA29)))</f>
        <v>435</v>
      </c>
      <c r="AH3" s="206">
        <f>IF($X$2="2018年",'Offer Statistics'!DB3,IF($X$2="2019年",'Offer Statistics'!DB16,IF($X$2="2020年",'Offer Statistics'!DB29)))</f>
        <v>354</v>
      </c>
      <c r="AI3" s="206">
        <f>IF($X$2="2018年",'Offer Statistics'!DC3,IF($X$2="2019年",'Offer Statistics'!DC16,IF($X$2="2020年",'Offer Statistics'!DC29)))</f>
        <v>280</v>
      </c>
      <c r="AJ3" s="206">
        <f>IF($X$2="2018年",'Offer Statistics'!DD3,IF($X$2="2019年",'Offer Statistics'!DD16,IF($X$2="2020年",'Offer Statistics'!DD29)))</f>
        <v>282</v>
      </c>
      <c r="AK3" s="206">
        <f>IF($X$2="2018年",'Offer Statistics'!DE3,IF($X$2="2019年",'Offer Statistics'!DE16,IF($X$2="2020年",'Offer Statistics'!DE29)))</f>
        <v>209</v>
      </c>
      <c r="AL3" s="131"/>
      <c r="AM3" s="131" t="str">
        <f t="shared" si="3"/>
        <v>JS7123</v>
      </c>
    </row>
    <row r="4" ht="18.0" customHeight="1">
      <c r="A4" s="337" t="s">
        <v>1572</v>
      </c>
      <c r="B4" s="337" t="s">
        <v>1051</v>
      </c>
      <c r="C4" s="337" t="s">
        <v>707</v>
      </c>
      <c r="D4" s="337" t="s">
        <v>1573</v>
      </c>
      <c r="E4" s="338" t="s">
        <v>21</v>
      </c>
      <c r="F4" s="339">
        <v>24.5</v>
      </c>
      <c r="G4" s="339">
        <v>24.0</v>
      </c>
      <c r="H4" s="340">
        <f>'計分版'!D303</f>
        <v>0.00000000395</v>
      </c>
      <c r="I4" s="341">
        <f t="shared" si="1"/>
        <v>-24.5</v>
      </c>
      <c r="J4" s="342">
        <f t="shared" si="2"/>
        <v>-6202531645</v>
      </c>
      <c r="K4" s="338">
        <v>144.0</v>
      </c>
      <c r="L4" s="347">
        <f>'入學要求'!S287</f>
        <v>0</v>
      </c>
      <c r="M4" s="205"/>
      <c r="N4" s="344">
        <v>3.0</v>
      </c>
      <c r="O4" s="344">
        <v>3.0</v>
      </c>
      <c r="P4" s="344">
        <v>3.0</v>
      </c>
      <c r="Q4" s="344">
        <v>3.0</v>
      </c>
      <c r="R4" s="344">
        <v>3.0</v>
      </c>
      <c r="S4" s="345">
        <f>'入學要求'!L287</f>
        <v>0</v>
      </c>
      <c r="T4" s="345">
        <f>'入學要求'!M287</f>
        <v>0</v>
      </c>
      <c r="U4" s="345">
        <f>'入學要求'!N287</f>
        <v>0</v>
      </c>
      <c r="V4" s="345">
        <f>'入學要求'!O287</f>
        <v>0</v>
      </c>
      <c r="W4" s="345">
        <f>'入學要求'!P287</f>
        <v>0</v>
      </c>
      <c r="X4" s="205"/>
      <c r="Y4" s="338">
        <f>IF($X$2="2018年",'Offer Statistics'!DN4,IF($X$2="2019年",'Offer Statistics'!DN17,IF($X$2="2020年",'Offer Statistics'!DN30)))</f>
        <v>189</v>
      </c>
      <c r="Z4" s="346">
        <f>IF($X$2="2018年",'Offer Statistics'!DI4,IF($X$2="2019年",'Offer Statistics'!DI17,IF($X$2="2020年",'Offer Statistics'!DI30)))</f>
        <v>115</v>
      </c>
      <c r="AA4" s="346">
        <f>IF($X$2="2018年",'Offer Statistics'!DJ4,IF($X$2="2019年",'Offer Statistics'!DJ17,IF($X$2="2020年",'Offer Statistics'!DJ30)))</f>
        <v>48</v>
      </c>
      <c r="AB4" s="346">
        <f>IF($X$2="2018年",'Offer Statistics'!DK4,IF($X$2="2019年",'Offer Statistics'!DK17,IF($X$2="2020年",'Offer Statistics'!DK30)))</f>
        <v>12</v>
      </c>
      <c r="AC4" s="346">
        <f>IF($X$2="2018年",'Offer Statistics'!DL4,IF($X$2="2019年",'Offer Statistics'!DL17,IF($X$2="2020年",'Offer Statistics'!DL30)))</f>
        <v>5</v>
      </c>
      <c r="AD4" s="346">
        <f>IF($X$2="2018年",'Offer Statistics'!DM4,IF($X$2="2019年",'Offer Statistics'!DM17,IF($X$2="2020年",'Offer Statistics'!DM30)))</f>
        <v>9</v>
      </c>
      <c r="AE4" s="205"/>
      <c r="AF4" s="338">
        <f>IF($X$2="2018年",'Offer Statistics'!DF4,IF($X$2="2019年",'Offer Statistics'!DF17,IF($X$2="2020年",'Offer Statistics'!DF30)))</f>
        <v>4634</v>
      </c>
      <c r="AG4" s="346">
        <f>IF($X$2="2018年",'Offer Statistics'!DA4,IF($X$2="2019年",'Offer Statistics'!DA17,IF($X$2="2020年",'Offer Statistics'!DA30)))</f>
        <v>811</v>
      </c>
      <c r="AH4" s="346">
        <f>IF($X$2="2018年",'Offer Statistics'!DB4,IF($X$2="2019年",'Offer Statistics'!DB17,IF($X$2="2020年",'Offer Statistics'!DB30)))</f>
        <v>938</v>
      </c>
      <c r="AI4" s="346">
        <f>IF($X$2="2018年",'Offer Statistics'!DC4,IF($X$2="2019年",'Offer Statistics'!DC17,IF($X$2="2020年",'Offer Statistics'!DC30)))</f>
        <v>966</v>
      </c>
      <c r="AJ4" s="346">
        <f>IF($X$2="2018年",'Offer Statistics'!DD4,IF($X$2="2019年",'Offer Statistics'!DD17,IF($X$2="2020年",'Offer Statistics'!DD30)))</f>
        <v>1013</v>
      </c>
      <c r="AK4" s="346">
        <f>IF($X$2="2018年",'Offer Statistics'!DE4,IF($X$2="2019年",'Offer Statistics'!DE17,IF($X$2="2020年",'Offer Statistics'!DE30)))</f>
        <v>906</v>
      </c>
      <c r="AL4" s="344"/>
      <c r="AM4" s="344" t="str">
        <f t="shared" si="3"/>
        <v>JS7200</v>
      </c>
    </row>
    <row r="5" ht="18.0" customHeight="1">
      <c r="A5" s="142" t="s">
        <v>1574</v>
      </c>
      <c r="B5" s="142" t="s">
        <v>971</v>
      </c>
      <c r="C5" s="142" t="s">
        <v>709</v>
      </c>
      <c r="D5" s="142" t="s">
        <v>1575</v>
      </c>
      <c r="E5" s="132" t="s">
        <v>21</v>
      </c>
      <c r="F5" s="199">
        <v>26.5</v>
      </c>
      <c r="G5" s="199">
        <v>26.0</v>
      </c>
      <c r="H5" s="200">
        <f>'計分版'!D304</f>
        <v>0.00000000395</v>
      </c>
      <c r="I5" s="201">
        <f t="shared" si="1"/>
        <v>-26.5</v>
      </c>
      <c r="J5" s="202">
        <f t="shared" si="2"/>
        <v>-6708860758</v>
      </c>
      <c r="K5" s="132">
        <v>43.0</v>
      </c>
      <c r="L5" s="203">
        <f>'入學要求'!S288</f>
        <v>0</v>
      </c>
      <c r="M5" s="205"/>
      <c r="N5" s="163">
        <v>3.0</v>
      </c>
      <c r="O5" s="163">
        <v>3.0</v>
      </c>
      <c r="P5" s="163">
        <v>3.0</v>
      </c>
      <c r="Q5" s="163">
        <v>3.0</v>
      </c>
      <c r="R5" s="163">
        <v>3.0</v>
      </c>
      <c r="S5" s="292">
        <f>'入學要求'!L288</f>
        <v>0</v>
      </c>
      <c r="T5" s="292">
        <f>'入學要求'!M288</f>
        <v>0</v>
      </c>
      <c r="U5" s="292">
        <f>'入學要求'!N288</f>
        <v>0</v>
      </c>
      <c r="V5" s="292">
        <f>'入學要求'!O288</f>
        <v>0</v>
      </c>
      <c r="W5" s="292">
        <f>'入學要求'!P288</f>
        <v>0</v>
      </c>
      <c r="X5" s="205"/>
      <c r="Y5" s="132">
        <f>IF($X$2="2018年",'Offer Statistics'!DN5,IF($X$2="2019年",'Offer Statistics'!DN18,IF($X$2="2020年",'Offer Statistics'!DN31)))</f>
        <v>37</v>
      </c>
      <c r="Z5" s="206">
        <f>IF($X$2="2018年",'Offer Statistics'!DI5,IF($X$2="2019年",'Offer Statistics'!DI18,IF($X$2="2020年",'Offer Statistics'!DI31)))</f>
        <v>27</v>
      </c>
      <c r="AA5" s="206">
        <f>IF($X$2="2018年",'Offer Statistics'!DJ5,IF($X$2="2019年",'Offer Statistics'!DJ18,IF($X$2="2020年",'Offer Statistics'!DJ31)))</f>
        <v>5</v>
      </c>
      <c r="AB5" s="206">
        <f>IF($X$2="2018年",'Offer Statistics'!DK5,IF($X$2="2019年",'Offer Statistics'!DK18,IF($X$2="2020年",'Offer Statistics'!DK31)))</f>
        <v>1</v>
      </c>
      <c r="AC5" s="206">
        <f>IF($X$2="2018年",'Offer Statistics'!DL5,IF($X$2="2019年",'Offer Statistics'!DL18,IF($X$2="2020年",'Offer Statistics'!DL31)))</f>
        <v>3</v>
      </c>
      <c r="AD5" s="206">
        <f>IF($X$2="2018年",'Offer Statistics'!DM5,IF($X$2="2019年",'Offer Statistics'!DM18,IF($X$2="2020年",'Offer Statistics'!DM31)))</f>
        <v>1</v>
      </c>
      <c r="AE5" s="205"/>
      <c r="AF5" s="132">
        <f>IF($X$2="2018年",'Offer Statistics'!DF5,IF($X$2="2019年",'Offer Statistics'!DF18,IF($X$2="2020年",'Offer Statistics'!DF31)))</f>
        <v>2012</v>
      </c>
      <c r="AG5" s="206">
        <f>IF($X$2="2018年",'Offer Statistics'!DA5,IF($X$2="2019年",'Offer Statistics'!DA18,IF($X$2="2020年",'Offer Statistics'!DA31)))</f>
        <v>208</v>
      </c>
      <c r="AH5" s="206">
        <f>IF($X$2="2018年",'Offer Statistics'!DB5,IF($X$2="2019年",'Offer Statistics'!DB18,IF($X$2="2020年",'Offer Statistics'!DB31)))</f>
        <v>333</v>
      </c>
      <c r="AI5" s="206">
        <f>IF($X$2="2018年",'Offer Statistics'!DC5,IF($X$2="2019年",'Offer Statistics'!DC18,IF($X$2="2020年",'Offer Statistics'!DC31)))</f>
        <v>453</v>
      </c>
      <c r="AJ5" s="206">
        <f>IF($X$2="2018年",'Offer Statistics'!DD5,IF($X$2="2019年",'Offer Statistics'!DD18,IF($X$2="2020年",'Offer Statistics'!DD31)))</f>
        <v>538</v>
      </c>
      <c r="AK5" s="206">
        <f>IF($X$2="2018年",'Offer Statistics'!DE5,IF($X$2="2019年",'Offer Statistics'!DE18,IF($X$2="2020年",'Offer Statistics'!DE31)))</f>
        <v>480</v>
      </c>
      <c r="AL5" s="131"/>
      <c r="AM5" s="131" t="str">
        <f t="shared" si="3"/>
        <v>JS7204</v>
      </c>
    </row>
    <row r="6" ht="18.0" customHeight="1">
      <c r="A6" s="337" t="s">
        <v>1576</v>
      </c>
      <c r="B6" s="337" t="s">
        <v>1051</v>
      </c>
      <c r="C6" s="337" t="s">
        <v>711</v>
      </c>
      <c r="D6" s="337" t="s">
        <v>1577</v>
      </c>
      <c r="E6" s="338" t="s">
        <v>21</v>
      </c>
      <c r="F6" s="339">
        <v>24.0</v>
      </c>
      <c r="G6" s="339">
        <v>23.5</v>
      </c>
      <c r="H6" s="340">
        <f>'計分版'!D305</f>
        <v>0.00000000395</v>
      </c>
      <c r="I6" s="341">
        <f t="shared" si="1"/>
        <v>-24</v>
      </c>
      <c r="J6" s="342">
        <f t="shared" si="2"/>
        <v>-6075949366</v>
      </c>
      <c r="K6" s="338">
        <v>25.0</v>
      </c>
      <c r="L6" s="347">
        <f>'入學要求'!S289</f>
        <v>0</v>
      </c>
      <c r="M6" s="205"/>
      <c r="N6" s="344">
        <v>3.0</v>
      </c>
      <c r="O6" s="344">
        <v>3.0</v>
      </c>
      <c r="P6" s="344">
        <v>3.0</v>
      </c>
      <c r="Q6" s="344">
        <v>3.0</v>
      </c>
      <c r="R6" s="344">
        <v>3.0</v>
      </c>
      <c r="S6" s="345">
        <f>'入學要求'!L289</f>
        <v>0</v>
      </c>
      <c r="T6" s="345">
        <f>'入學要求'!M289</f>
        <v>0</v>
      </c>
      <c r="U6" s="345">
        <f>'入學要求'!N289</f>
        <v>0</v>
      </c>
      <c r="V6" s="345">
        <f>'入學要求'!O289</f>
        <v>0</v>
      </c>
      <c r="W6" s="345">
        <f>'入學要求'!P289</f>
        <v>0</v>
      </c>
      <c r="X6" s="205"/>
      <c r="Y6" s="338">
        <f>IF($X$2="2018年",'Offer Statistics'!DN6,IF($X$2="2019年",'Offer Statistics'!DN19,IF($X$2="2020年",'Offer Statistics'!DN32)))</f>
        <v>36</v>
      </c>
      <c r="Z6" s="346">
        <f>IF($X$2="2018年",'Offer Statistics'!DI6,IF($X$2="2019年",'Offer Statistics'!DI19,IF($X$2="2020年",'Offer Statistics'!DI32)))</f>
        <v>18</v>
      </c>
      <c r="AA6" s="346">
        <f>IF($X$2="2018年",'Offer Statistics'!DJ6,IF($X$2="2019年",'Offer Statistics'!DJ19,IF($X$2="2020年",'Offer Statistics'!DJ32)))</f>
        <v>11</v>
      </c>
      <c r="AB6" s="346">
        <f>IF($X$2="2018年",'Offer Statistics'!DK6,IF($X$2="2019年",'Offer Statistics'!DK19,IF($X$2="2020年",'Offer Statistics'!DK32)))</f>
        <v>6</v>
      </c>
      <c r="AC6" s="346">
        <f>IF($X$2="2018年",'Offer Statistics'!DL6,IF($X$2="2019年",'Offer Statistics'!DL19,IF($X$2="2020年",'Offer Statistics'!DL32)))</f>
        <v>1</v>
      </c>
      <c r="AD6" s="346">
        <f>IF($X$2="2018年",'Offer Statistics'!DM6,IF($X$2="2019年",'Offer Statistics'!DM19,IF($X$2="2020年",'Offer Statistics'!DM32)))</f>
        <v>0</v>
      </c>
      <c r="AE6" s="205"/>
      <c r="AF6" s="338">
        <f>IF($X$2="2018年",'Offer Statistics'!DF6,IF($X$2="2019年",'Offer Statistics'!DF19,IF($X$2="2020年",'Offer Statistics'!DF32)))</f>
        <v>2299</v>
      </c>
      <c r="AG6" s="346">
        <f>IF($X$2="2018年",'Offer Statistics'!DA6,IF($X$2="2019年",'Offer Statistics'!DA19,IF($X$2="2020年",'Offer Statistics'!DA32)))</f>
        <v>203</v>
      </c>
      <c r="AH6" s="346">
        <f>IF($X$2="2018年",'Offer Statistics'!DB6,IF($X$2="2019年",'Offer Statistics'!DB19,IF($X$2="2020年",'Offer Statistics'!DB32)))</f>
        <v>379</v>
      </c>
      <c r="AI6" s="346">
        <f>IF($X$2="2018年",'Offer Statistics'!DC6,IF($X$2="2019年",'Offer Statistics'!DC19,IF($X$2="2020年",'Offer Statistics'!DC32)))</f>
        <v>499</v>
      </c>
      <c r="AJ6" s="346">
        <f>IF($X$2="2018年",'Offer Statistics'!DD6,IF($X$2="2019年",'Offer Statistics'!DD19,IF($X$2="2020年",'Offer Statistics'!DD32)))</f>
        <v>628</v>
      </c>
      <c r="AK6" s="346">
        <f>IF($X$2="2018年",'Offer Statistics'!DE6,IF($X$2="2019年",'Offer Statistics'!DE19,IF($X$2="2020年",'Offer Statistics'!DE32)))</f>
        <v>590</v>
      </c>
      <c r="AL6" s="344"/>
      <c r="AM6" s="344" t="str">
        <f t="shared" si="3"/>
        <v>JS7216</v>
      </c>
    </row>
    <row r="7" ht="18.0" customHeight="1">
      <c r="A7" s="142" t="s">
        <v>712</v>
      </c>
      <c r="B7" s="142" t="s">
        <v>1051</v>
      </c>
      <c r="C7" s="142" t="s">
        <v>713</v>
      </c>
      <c r="D7" s="142" t="s">
        <v>1578</v>
      </c>
      <c r="E7" s="132" t="s">
        <v>21</v>
      </c>
      <c r="F7" s="199">
        <v>29.0</v>
      </c>
      <c r="G7" s="199">
        <v>28.0</v>
      </c>
      <c r="H7" s="200">
        <f>'計分版'!D306</f>
        <v>0.00000000395</v>
      </c>
      <c r="I7" s="201">
        <f t="shared" si="1"/>
        <v>-29</v>
      </c>
      <c r="J7" s="202">
        <f t="shared" si="2"/>
        <v>-7341772151</v>
      </c>
      <c r="K7" s="132">
        <v>25.0</v>
      </c>
      <c r="L7" s="203">
        <f>'入學要求'!S290</f>
        <v>0</v>
      </c>
      <c r="M7" s="205"/>
      <c r="N7" s="163">
        <v>3.0</v>
      </c>
      <c r="O7" s="163">
        <v>3.0</v>
      </c>
      <c r="P7" s="163">
        <v>3.0</v>
      </c>
      <c r="Q7" s="163">
        <v>3.0</v>
      </c>
      <c r="R7" s="163">
        <v>3.0</v>
      </c>
      <c r="S7" s="292">
        <f>'入學要求'!L290</f>
        <v>0</v>
      </c>
      <c r="T7" s="292">
        <f>'入學要求'!M290</f>
        <v>0</v>
      </c>
      <c r="U7" s="292">
        <f>'入學要求'!N290</f>
        <v>0</v>
      </c>
      <c r="V7" s="292">
        <f>'入學要求'!O290</f>
        <v>0</v>
      </c>
      <c r="W7" s="292">
        <f>'入學要求'!P290</f>
        <v>0</v>
      </c>
      <c r="X7" s="205"/>
      <c r="Y7" s="132">
        <f>IF($X$2="2018年",'Offer Statistics'!DN7,IF($X$2="2019年",'Offer Statistics'!DN20,IF($X$2="2020年",'Offer Statistics'!DN33)))</f>
        <v>26</v>
      </c>
      <c r="Z7" s="206">
        <f>IF($X$2="2018年",'Offer Statistics'!DI7,IF($X$2="2019年",'Offer Statistics'!DI20,IF($X$2="2020年",'Offer Statistics'!DI33)))</f>
        <v>20</v>
      </c>
      <c r="AA7" s="206">
        <f>IF($X$2="2018年",'Offer Statistics'!DJ7,IF($X$2="2019年",'Offer Statistics'!DJ20,IF($X$2="2020年",'Offer Statistics'!DJ33)))</f>
        <v>5</v>
      </c>
      <c r="AB7" s="206">
        <f>IF($X$2="2018年",'Offer Statistics'!DK7,IF($X$2="2019年",'Offer Statistics'!DK20,IF($X$2="2020年",'Offer Statistics'!DK33)))</f>
        <v>0</v>
      </c>
      <c r="AC7" s="206">
        <f>IF($X$2="2018年",'Offer Statistics'!DL7,IF($X$2="2019年",'Offer Statistics'!DL20,IF($X$2="2020年",'Offer Statistics'!DL33)))</f>
        <v>1</v>
      </c>
      <c r="AD7" s="206">
        <f>IF($X$2="2018年",'Offer Statistics'!DM7,IF($X$2="2019年",'Offer Statistics'!DM20,IF($X$2="2020年",'Offer Statistics'!DM33)))</f>
        <v>0</v>
      </c>
      <c r="AE7" s="205"/>
      <c r="AF7" s="132">
        <f>IF($X$2="2018年",'Offer Statistics'!DF7,IF($X$2="2019年",'Offer Statistics'!DF20,IF($X$2="2020年",'Offer Statistics'!DF33)))</f>
        <v>1420</v>
      </c>
      <c r="AG7" s="206">
        <f>IF($X$2="2018年",'Offer Statistics'!DA7,IF($X$2="2019年",'Offer Statistics'!DA20,IF($X$2="2020年",'Offer Statistics'!DA33)))</f>
        <v>169</v>
      </c>
      <c r="AH7" s="206">
        <f>IF($X$2="2018年",'Offer Statistics'!DB7,IF($X$2="2019年",'Offer Statistics'!DB20,IF($X$2="2020年",'Offer Statistics'!DB33)))</f>
        <v>236</v>
      </c>
      <c r="AI7" s="206">
        <f>IF($X$2="2018年",'Offer Statistics'!DC7,IF($X$2="2019年",'Offer Statistics'!DC20,IF($X$2="2020年",'Offer Statistics'!DC33)))</f>
        <v>264</v>
      </c>
      <c r="AJ7" s="206">
        <f>IF($X$2="2018年",'Offer Statistics'!DD7,IF($X$2="2019年",'Offer Statistics'!DD20,IF($X$2="2020年",'Offer Statistics'!DD33)))</f>
        <v>387</v>
      </c>
      <c r="AK7" s="206">
        <f>IF($X$2="2018年",'Offer Statistics'!DE7,IF($X$2="2019年",'Offer Statistics'!DE20,IF($X$2="2020年",'Offer Statistics'!DE33)))</f>
        <v>364</v>
      </c>
      <c r="AL7" s="131"/>
      <c r="AM7" s="131" t="str">
        <f t="shared" si="3"/>
        <v>JS7225</v>
      </c>
    </row>
    <row r="8" ht="18.0" customHeight="1">
      <c r="A8" s="337" t="s">
        <v>714</v>
      </c>
      <c r="B8" s="337" t="s">
        <v>1033</v>
      </c>
      <c r="C8" s="337" t="s">
        <v>715</v>
      </c>
      <c r="D8" s="337" t="s">
        <v>1579</v>
      </c>
      <c r="E8" s="338" t="s">
        <v>21</v>
      </c>
      <c r="F8" s="339">
        <v>26.5</v>
      </c>
      <c r="G8" s="339">
        <v>25.5</v>
      </c>
      <c r="H8" s="340">
        <f>'計分版'!D307</f>
        <v>0.00000000395</v>
      </c>
      <c r="I8" s="341">
        <f t="shared" si="1"/>
        <v>-26.5</v>
      </c>
      <c r="J8" s="342">
        <f t="shared" si="2"/>
        <v>-6708860758</v>
      </c>
      <c r="K8" s="338">
        <v>98.0</v>
      </c>
      <c r="L8" s="347">
        <f>'入學要求'!S291</f>
        <v>0</v>
      </c>
      <c r="M8" s="205"/>
      <c r="N8" s="344">
        <v>3.0</v>
      </c>
      <c r="O8" s="344">
        <v>3.0</v>
      </c>
      <c r="P8" s="344">
        <v>3.0</v>
      </c>
      <c r="Q8" s="344">
        <v>3.0</v>
      </c>
      <c r="R8" s="344">
        <v>3.0</v>
      </c>
      <c r="S8" s="345">
        <f>'入學要求'!L291</f>
        <v>0</v>
      </c>
      <c r="T8" s="345">
        <f>'入學要求'!M291</f>
        <v>0</v>
      </c>
      <c r="U8" s="345">
        <f>'入學要求'!N291</f>
        <v>0</v>
      </c>
      <c r="V8" s="345">
        <f>'入學要求'!O291</f>
        <v>0</v>
      </c>
      <c r="W8" s="345">
        <f>'入學要求'!P291</f>
        <v>0</v>
      </c>
      <c r="X8" s="205"/>
      <c r="Y8" s="338">
        <f>IF($X$2="2018年",'Offer Statistics'!DN8,IF($X$2="2019年",'Offer Statistics'!DN21,IF($X$2="2020年",'Offer Statistics'!DN34)))</f>
        <v>132</v>
      </c>
      <c r="Z8" s="346">
        <f>IF($X$2="2018年",'Offer Statistics'!DI8,IF($X$2="2019年",'Offer Statistics'!DI21,IF($X$2="2020年",'Offer Statistics'!DI34)))</f>
        <v>75</v>
      </c>
      <c r="AA8" s="346">
        <f>IF($X$2="2018年",'Offer Statistics'!DJ8,IF($X$2="2019年",'Offer Statistics'!DJ21,IF($X$2="2020年",'Offer Statistics'!DJ34)))</f>
        <v>42</v>
      </c>
      <c r="AB8" s="346">
        <f>IF($X$2="2018年",'Offer Statistics'!DK8,IF($X$2="2019年",'Offer Statistics'!DK21,IF($X$2="2020年",'Offer Statistics'!DK34)))</f>
        <v>15</v>
      </c>
      <c r="AC8" s="346">
        <f>IF($X$2="2018年",'Offer Statistics'!DL8,IF($X$2="2019年",'Offer Statistics'!DL21,IF($X$2="2020年",'Offer Statistics'!DL34)))</f>
        <v>0</v>
      </c>
      <c r="AD8" s="346">
        <f>IF($X$2="2018年",'Offer Statistics'!DM8,IF($X$2="2019年",'Offer Statistics'!DM21,IF($X$2="2020年",'Offer Statistics'!DM34)))</f>
        <v>0</v>
      </c>
      <c r="AE8" s="205"/>
      <c r="AF8" s="338">
        <f>IF($X$2="2018年",'Offer Statistics'!DF8,IF($X$2="2019年",'Offer Statistics'!DF21,IF($X$2="2020年",'Offer Statistics'!DF34)))</f>
        <v>4625</v>
      </c>
      <c r="AG8" s="346">
        <f>IF($X$2="2018年",'Offer Statistics'!DA8,IF($X$2="2019年",'Offer Statistics'!DA21,IF($X$2="2020年",'Offer Statistics'!DA34)))</f>
        <v>573</v>
      </c>
      <c r="AH8" s="346">
        <f>IF($X$2="2018年",'Offer Statistics'!DB8,IF($X$2="2019年",'Offer Statistics'!DB21,IF($X$2="2020年",'Offer Statistics'!DB34)))</f>
        <v>822</v>
      </c>
      <c r="AI8" s="346">
        <f>IF($X$2="2018年",'Offer Statistics'!DC8,IF($X$2="2019年",'Offer Statistics'!DC21,IF($X$2="2020年",'Offer Statistics'!DC34)))</f>
        <v>1039</v>
      </c>
      <c r="AJ8" s="346">
        <f>IF($X$2="2018年",'Offer Statistics'!DD8,IF($X$2="2019年",'Offer Statistics'!DD21,IF($X$2="2020年",'Offer Statistics'!DD34)))</f>
        <v>1159</v>
      </c>
      <c r="AK8" s="346">
        <f>IF($X$2="2018年",'Offer Statistics'!DE8,IF($X$2="2019年",'Offer Statistics'!DE21,IF($X$2="2020年",'Offer Statistics'!DE34)))</f>
        <v>1032</v>
      </c>
      <c r="AL8" s="344"/>
      <c r="AM8" s="344" t="str">
        <f t="shared" si="3"/>
        <v>JS7300</v>
      </c>
    </row>
    <row r="9" ht="18.0" customHeight="1">
      <c r="A9" s="142" t="s">
        <v>1580</v>
      </c>
      <c r="B9" s="142" t="s">
        <v>971</v>
      </c>
      <c r="C9" s="142" t="s">
        <v>717</v>
      </c>
      <c r="D9" s="142" t="s">
        <v>1581</v>
      </c>
      <c r="E9" s="134" t="s">
        <v>21</v>
      </c>
      <c r="F9" s="199">
        <v>25.5</v>
      </c>
      <c r="G9" s="199">
        <v>25.0</v>
      </c>
      <c r="H9" s="200">
        <f>'計分版'!D308</f>
        <v>0.00000000395</v>
      </c>
      <c r="I9" s="201">
        <f t="shared" si="1"/>
        <v>-25.5</v>
      </c>
      <c r="J9" s="202">
        <f t="shared" si="2"/>
        <v>-6455696202</v>
      </c>
      <c r="K9" s="132">
        <v>29.0</v>
      </c>
      <c r="L9" s="203">
        <f>'入學要求'!S292</f>
        <v>0</v>
      </c>
      <c r="M9" s="205"/>
      <c r="N9" s="163">
        <v>3.0</v>
      </c>
      <c r="O9" s="163">
        <v>3.0</v>
      </c>
      <c r="P9" s="163">
        <v>3.0</v>
      </c>
      <c r="Q9" s="163">
        <v>3.0</v>
      </c>
      <c r="R9" s="163">
        <v>3.0</v>
      </c>
      <c r="S9" s="292">
        <f>'入學要求'!L292</f>
        <v>0</v>
      </c>
      <c r="T9" s="292">
        <f>'入學要求'!M292</f>
        <v>0</v>
      </c>
      <c r="U9" s="292">
        <f>'入學要求'!N292</f>
        <v>0</v>
      </c>
      <c r="V9" s="292">
        <f>'入學要求'!O292</f>
        <v>0</v>
      </c>
      <c r="W9" s="292">
        <f>'入學要求'!P292</f>
        <v>0</v>
      </c>
      <c r="X9" s="205"/>
      <c r="Y9" s="132">
        <f>IF($X$2="2018年",'Offer Statistics'!DN9,IF($X$2="2019年",'Offer Statistics'!DN22,IF($X$2="2020年",'Offer Statistics'!DN35)))</f>
        <v>22</v>
      </c>
      <c r="Z9" s="206">
        <f>IF($X$2="2018年",'Offer Statistics'!DI9,IF($X$2="2019年",'Offer Statistics'!DI22,IF($X$2="2020年",'Offer Statistics'!DI35)))</f>
        <v>14</v>
      </c>
      <c r="AA9" s="206">
        <f>IF($X$2="2018年",'Offer Statistics'!DJ9,IF($X$2="2019年",'Offer Statistics'!DJ22,IF($X$2="2020年",'Offer Statistics'!DJ35)))</f>
        <v>4</v>
      </c>
      <c r="AB9" s="206">
        <f>IF($X$2="2018年",'Offer Statistics'!DK9,IF($X$2="2019年",'Offer Statistics'!DK22,IF($X$2="2020年",'Offer Statistics'!DK35)))</f>
        <v>0</v>
      </c>
      <c r="AC9" s="206">
        <f>IF($X$2="2018年",'Offer Statistics'!DL9,IF($X$2="2019年",'Offer Statistics'!DL22,IF($X$2="2020年",'Offer Statistics'!DL35)))</f>
        <v>2</v>
      </c>
      <c r="AD9" s="206">
        <f>IF($X$2="2018年",'Offer Statistics'!DM9,IF($X$2="2019年",'Offer Statistics'!DM22,IF($X$2="2020年",'Offer Statistics'!DM35)))</f>
        <v>2</v>
      </c>
      <c r="AE9" s="205"/>
      <c r="AF9" s="132">
        <f>IF($X$2="2018年",'Offer Statistics'!DF9,IF($X$2="2019年",'Offer Statistics'!DF22,IF($X$2="2020年",'Offer Statistics'!DF35)))</f>
        <v>913</v>
      </c>
      <c r="AG9" s="206">
        <f>IF($X$2="2018年",'Offer Statistics'!DA9,IF($X$2="2019年",'Offer Statistics'!DA22,IF($X$2="2020年",'Offer Statistics'!DA35)))</f>
        <v>95</v>
      </c>
      <c r="AH9" s="206">
        <f>IF($X$2="2018年",'Offer Statistics'!DB9,IF($X$2="2019年",'Offer Statistics'!DB22,IF($X$2="2020年",'Offer Statistics'!DB35)))</f>
        <v>161</v>
      </c>
      <c r="AI9" s="206">
        <f>IF($X$2="2018年",'Offer Statistics'!DC9,IF($X$2="2019年",'Offer Statistics'!DC22,IF($X$2="2020年",'Offer Statistics'!DC35)))</f>
        <v>204</v>
      </c>
      <c r="AJ9" s="206">
        <f>IF($X$2="2018年",'Offer Statistics'!DD9,IF($X$2="2019年",'Offer Statistics'!DD22,IF($X$2="2020年",'Offer Statistics'!DD35)))</f>
        <v>240</v>
      </c>
      <c r="AK9" s="206">
        <f>IF($X$2="2018年",'Offer Statistics'!DE9,IF($X$2="2019年",'Offer Statistics'!DE22,IF($X$2="2020年",'Offer Statistics'!DE35)))</f>
        <v>213</v>
      </c>
      <c r="AL9" s="131"/>
      <c r="AM9" s="131" t="str">
        <f t="shared" si="3"/>
        <v>JS7503</v>
      </c>
    </row>
    <row r="10" ht="18.0" customHeight="1">
      <c r="A10" s="337" t="s">
        <v>60</v>
      </c>
      <c r="B10" s="337" t="s">
        <v>971</v>
      </c>
      <c r="C10" s="337" t="s">
        <v>719</v>
      </c>
      <c r="D10" s="337" t="s">
        <v>1582</v>
      </c>
      <c r="E10" s="338" t="s">
        <v>21</v>
      </c>
      <c r="F10" s="339">
        <v>26.0</v>
      </c>
      <c r="G10" s="339">
        <v>25.0</v>
      </c>
      <c r="H10" s="340">
        <f>'計分版'!D309</f>
        <v>0.00000000395</v>
      </c>
      <c r="I10" s="341">
        <f t="shared" si="1"/>
        <v>-26</v>
      </c>
      <c r="J10" s="342">
        <f t="shared" si="2"/>
        <v>-6582278480</v>
      </c>
      <c r="K10" s="338">
        <v>25.0</v>
      </c>
      <c r="L10" s="347">
        <f>'入學要求'!S293</f>
        <v>0</v>
      </c>
      <c r="M10" s="205"/>
      <c r="N10" s="344">
        <v>3.0</v>
      </c>
      <c r="O10" s="344">
        <v>3.0</v>
      </c>
      <c r="P10" s="344">
        <v>3.0</v>
      </c>
      <c r="Q10" s="344">
        <v>3.0</v>
      </c>
      <c r="R10" s="344">
        <v>3.0</v>
      </c>
      <c r="S10" s="345">
        <f>'入學要求'!L293</f>
        <v>0</v>
      </c>
      <c r="T10" s="345">
        <f>'入學要求'!M293</f>
        <v>0</v>
      </c>
      <c r="U10" s="345">
        <f>'入學要求'!N293</f>
        <v>0</v>
      </c>
      <c r="V10" s="345">
        <f>'入學要求'!O293</f>
        <v>0</v>
      </c>
      <c r="W10" s="345">
        <f>'入學要求'!P293</f>
        <v>0</v>
      </c>
      <c r="X10" s="205"/>
      <c r="Y10" s="338">
        <f>IF($X$2="2018年",'Offer Statistics'!DN10,IF($X$2="2019年",'Offer Statistics'!DN23,IF($X$2="2020年",'Offer Statistics'!DN36)))</f>
        <v>26</v>
      </c>
      <c r="Z10" s="346">
        <f>IF($X$2="2018年",'Offer Statistics'!DI10,IF($X$2="2019年",'Offer Statistics'!DI23,IF($X$2="2020年",'Offer Statistics'!DI36)))</f>
        <v>21</v>
      </c>
      <c r="AA10" s="346">
        <f>IF($X$2="2018年",'Offer Statistics'!DJ10,IF($X$2="2019年",'Offer Statistics'!DJ23,IF($X$2="2020年",'Offer Statistics'!DJ36)))</f>
        <v>3</v>
      </c>
      <c r="AB10" s="346">
        <f>IF($X$2="2018年",'Offer Statistics'!DK10,IF($X$2="2019年",'Offer Statistics'!DK23,IF($X$2="2020年",'Offer Statistics'!DK36)))</f>
        <v>1</v>
      </c>
      <c r="AC10" s="346">
        <f>IF($X$2="2018年",'Offer Statistics'!DL10,IF($X$2="2019年",'Offer Statistics'!DL23,IF($X$2="2020年",'Offer Statistics'!DL36)))</f>
        <v>0</v>
      </c>
      <c r="AD10" s="346">
        <f>IF($X$2="2018年",'Offer Statistics'!DM10,IF($X$2="2019年",'Offer Statistics'!DM23,IF($X$2="2020年",'Offer Statistics'!DM36)))</f>
        <v>1</v>
      </c>
      <c r="AE10" s="205"/>
      <c r="AF10" s="338">
        <f>IF($X$2="2018年",'Offer Statistics'!DF10,IF($X$2="2019年",'Offer Statistics'!DF23,IF($X$2="2020年",'Offer Statistics'!DF36)))</f>
        <v>2713</v>
      </c>
      <c r="AG10" s="346">
        <f>IF($X$2="2018年",'Offer Statistics'!DA10,IF($X$2="2019年",'Offer Statistics'!DA23,IF($X$2="2020年",'Offer Statistics'!DA36)))</f>
        <v>303</v>
      </c>
      <c r="AH10" s="346">
        <f>IF($X$2="2018年",'Offer Statistics'!DB10,IF($X$2="2019年",'Offer Statistics'!DB23,IF($X$2="2020年",'Offer Statistics'!DB36)))</f>
        <v>432</v>
      </c>
      <c r="AI10" s="346">
        <f>IF($X$2="2018年",'Offer Statistics'!DC10,IF($X$2="2019年",'Offer Statistics'!DC23,IF($X$2="2020年",'Offer Statistics'!DC36)))</f>
        <v>599</v>
      </c>
      <c r="AJ10" s="346">
        <f>IF($X$2="2018年",'Offer Statistics'!DD10,IF($X$2="2019年",'Offer Statistics'!DD23,IF($X$2="2020年",'Offer Statistics'!DD36)))</f>
        <v>770</v>
      </c>
      <c r="AK10" s="346">
        <f>IF($X$2="2018年",'Offer Statistics'!DE10,IF($X$2="2019年",'Offer Statistics'!DE23,IF($X$2="2020年",'Offer Statistics'!DE36)))</f>
        <v>609</v>
      </c>
      <c r="AL10" s="344"/>
      <c r="AM10" s="344" t="str">
        <f t="shared" si="3"/>
        <v>JS7606</v>
      </c>
    </row>
    <row r="11" ht="18.0" customHeight="1">
      <c r="A11" s="142" t="s">
        <v>1583</v>
      </c>
      <c r="B11" s="142" t="s">
        <v>971</v>
      </c>
      <c r="C11" s="142" t="s">
        <v>721</v>
      </c>
      <c r="D11" s="142" t="s">
        <v>1584</v>
      </c>
      <c r="E11" s="132" t="s">
        <v>21</v>
      </c>
      <c r="F11" s="199">
        <v>26.0</v>
      </c>
      <c r="G11" s="199">
        <v>25.6</v>
      </c>
      <c r="H11" s="200">
        <f>'計分版'!D310</f>
        <v>0.00000000395</v>
      </c>
      <c r="I11" s="201">
        <f t="shared" si="1"/>
        <v>-26</v>
      </c>
      <c r="J11" s="202">
        <f t="shared" si="2"/>
        <v>-6582278480</v>
      </c>
      <c r="K11" s="132">
        <v>30.0</v>
      </c>
      <c r="L11" s="203">
        <f>'入學要求'!S294</f>
        <v>0</v>
      </c>
      <c r="M11" s="205"/>
      <c r="N11" s="163">
        <v>3.0</v>
      </c>
      <c r="O11" s="163">
        <v>3.0</v>
      </c>
      <c r="P11" s="163">
        <v>3.0</v>
      </c>
      <c r="Q11" s="163">
        <v>3.0</v>
      </c>
      <c r="R11" s="163">
        <v>3.0</v>
      </c>
      <c r="S11" s="292">
        <f>'入學要求'!L294</f>
        <v>0</v>
      </c>
      <c r="T11" s="292">
        <f>'入學要求'!M294</f>
        <v>0</v>
      </c>
      <c r="U11" s="292">
        <f>'入學要求'!N294</f>
        <v>0</v>
      </c>
      <c r="V11" s="292">
        <f>'入學要求'!O294</f>
        <v>0</v>
      </c>
      <c r="W11" s="292">
        <f>'入學要求'!P294</f>
        <v>0</v>
      </c>
      <c r="X11" s="205"/>
      <c r="Y11" s="132">
        <f>IF($X$2="2018年",'Offer Statistics'!DN11,IF($X$2="2019年",'Offer Statistics'!DN24,IF($X$2="2020年",'Offer Statistics'!DN37)))</f>
        <v>35</v>
      </c>
      <c r="Z11" s="206">
        <f>IF($X$2="2018年",'Offer Statistics'!DI11,IF($X$2="2019年",'Offer Statistics'!DI24,IF($X$2="2020年",'Offer Statistics'!DI37)))</f>
        <v>28</v>
      </c>
      <c r="AA11" s="206">
        <f>IF($X$2="2018年",'Offer Statistics'!DJ11,IF($X$2="2019年",'Offer Statistics'!DJ24,IF($X$2="2020年",'Offer Statistics'!DJ37)))</f>
        <v>4</v>
      </c>
      <c r="AB11" s="206">
        <f>IF($X$2="2018年",'Offer Statistics'!DK11,IF($X$2="2019年",'Offer Statistics'!DK24,IF($X$2="2020年",'Offer Statistics'!DK37)))</f>
        <v>2</v>
      </c>
      <c r="AC11" s="206">
        <f>IF($X$2="2018年",'Offer Statistics'!DL11,IF($X$2="2019年",'Offer Statistics'!DL24,IF($X$2="2020年",'Offer Statistics'!DL37)))</f>
        <v>1</v>
      </c>
      <c r="AD11" s="206">
        <f>IF($X$2="2018年",'Offer Statistics'!DM11,IF($X$2="2019年",'Offer Statistics'!DM24,IF($X$2="2020年",'Offer Statistics'!DM37)))</f>
        <v>0</v>
      </c>
      <c r="AE11" s="205"/>
      <c r="AF11" s="132">
        <f>IF($X$2="2018年",'Offer Statistics'!DF11,IF($X$2="2019年",'Offer Statistics'!DF24,IF($X$2="2020年",'Offer Statistics'!DF37)))</f>
        <v>2290</v>
      </c>
      <c r="AG11" s="206">
        <f>IF($X$2="2018年",'Offer Statistics'!DA11,IF($X$2="2019年",'Offer Statistics'!DA24,IF($X$2="2020年",'Offer Statistics'!DA37)))</f>
        <v>331</v>
      </c>
      <c r="AH11" s="206">
        <f>IF($X$2="2018年",'Offer Statistics'!DB11,IF($X$2="2019年",'Offer Statistics'!DB24,IF($X$2="2020年",'Offer Statistics'!DB37)))</f>
        <v>388</v>
      </c>
      <c r="AI11" s="206">
        <f>IF($X$2="2018年",'Offer Statistics'!DC11,IF($X$2="2019年",'Offer Statistics'!DC24,IF($X$2="2020年",'Offer Statistics'!DC37)))</f>
        <v>546</v>
      </c>
      <c r="AJ11" s="206">
        <f>IF($X$2="2018年",'Offer Statistics'!DD11,IF($X$2="2019年",'Offer Statistics'!DD24,IF($X$2="2020年",'Offer Statistics'!DD37)))</f>
        <v>582</v>
      </c>
      <c r="AK11" s="206">
        <f>IF($X$2="2018年",'Offer Statistics'!DE11,IF($X$2="2019年",'Offer Statistics'!DE24,IF($X$2="2020年",'Offer Statistics'!DE37)))</f>
        <v>443</v>
      </c>
      <c r="AL11" s="131"/>
      <c r="AM11" s="131" t="str">
        <f t="shared" si="3"/>
        <v>JS7709</v>
      </c>
    </row>
    <row r="12" ht="18.0" customHeight="1">
      <c r="A12" s="337" t="s">
        <v>1585</v>
      </c>
      <c r="B12" s="337" t="s">
        <v>971</v>
      </c>
      <c r="C12" s="337" t="s">
        <v>723</v>
      </c>
      <c r="D12" s="337" t="s">
        <v>1586</v>
      </c>
      <c r="E12" s="338" t="s">
        <v>21</v>
      </c>
      <c r="F12" s="339">
        <v>26.0</v>
      </c>
      <c r="G12" s="339">
        <v>26.0</v>
      </c>
      <c r="H12" s="340">
        <f>'計分版'!D311</f>
        <v>0.00000000395</v>
      </c>
      <c r="I12" s="341">
        <f t="shared" si="1"/>
        <v>-26</v>
      </c>
      <c r="J12" s="342">
        <f t="shared" si="2"/>
        <v>-6582278480</v>
      </c>
      <c r="K12" s="338">
        <v>29.0</v>
      </c>
      <c r="L12" s="347">
        <f>'入學要求'!S295</f>
        <v>0</v>
      </c>
      <c r="M12" s="205"/>
      <c r="N12" s="344">
        <v>3.0</v>
      </c>
      <c r="O12" s="344">
        <v>3.0</v>
      </c>
      <c r="P12" s="344">
        <v>3.0</v>
      </c>
      <c r="Q12" s="344">
        <v>3.0</v>
      </c>
      <c r="R12" s="344">
        <v>3.0</v>
      </c>
      <c r="S12" s="345">
        <f>'入學要求'!L295</f>
        <v>0</v>
      </c>
      <c r="T12" s="345">
        <f>'入學要求'!M295</f>
        <v>0</v>
      </c>
      <c r="U12" s="345">
        <f>'入學要求'!N295</f>
        <v>0</v>
      </c>
      <c r="V12" s="345">
        <f>'入學要求'!O295</f>
        <v>0</v>
      </c>
      <c r="W12" s="345">
        <f>'入學要求'!P295</f>
        <v>0</v>
      </c>
      <c r="X12" s="205"/>
      <c r="Y12" s="338">
        <f>IF($X$2="2018年",'Offer Statistics'!DN12,IF($X$2="2019年",'Offer Statistics'!DN25,IF($X$2="2020年",'Offer Statistics'!DN38)))</f>
        <v>33</v>
      </c>
      <c r="Z12" s="346">
        <f>IF($X$2="2018年",'Offer Statistics'!DI12,IF($X$2="2019年",'Offer Statistics'!DI25,IF($X$2="2020年",'Offer Statistics'!DI38)))</f>
        <v>26</v>
      </c>
      <c r="AA12" s="346">
        <f>IF($X$2="2018年",'Offer Statistics'!DJ12,IF($X$2="2019年",'Offer Statistics'!DJ25,IF($X$2="2020年",'Offer Statistics'!DJ38)))</f>
        <v>3</v>
      </c>
      <c r="AB12" s="346">
        <f>IF($X$2="2018年",'Offer Statistics'!DK12,IF($X$2="2019年",'Offer Statistics'!DK25,IF($X$2="2020年",'Offer Statistics'!DK38)))</f>
        <v>2</v>
      </c>
      <c r="AC12" s="346">
        <f>IF($X$2="2018年",'Offer Statistics'!DL12,IF($X$2="2019年",'Offer Statistics'!DL25,IF($X$2="2020年",'Offer Statistics'!DL38)))</f>
        <v>1</v>
      </c>
      <c r="AD12" s="346">
        <f>IF($X$2="2018年",'Offer Statistics'!DM12,IF($X$2="2019年",'Offer Statistics'!DM25,IF($X$2="2020年",'Offer Statistics'!DM38)))</f>
        <v>1</v>
      </c>
      <c r="AE12" s="205"/>
      <c r="AF12" s="338">
        <f>IF($X$2="2018年",'Offer Statistics'!DF12,IF($X$2="2019年",'Offer Statistics'!DF25,IF($X$2="2020年",'Offer Statistics'!DF38)))</f>
        <v>2518</v>
      </c>
      <c r="AG12" s="346">
        <f>IF($X$2="2018年",'Offer Statistics'!DA12,IF($X$2="2019年",'Offer Statistics'!DA25,IF($X$2="2020年",'Offer Statistics'!DA38)))</f>
        <v>506</v>
      </c>
      <c r="AH12" s="346">
        <f>IF($X$2="2018年",'Offer Statistics'!DB12,IF($X$2="2019年",'Offer Statistics'!DB25,IF($X$2="2020年",'Offer Statistics'!DB38)))</f>
        <v>485</v>
      </c>
      <c r="AI12" s="346">
        <f>IF($X$2="2018年",'Offer Statistics'!DC12,IF($X$2="2019年",'Offer Statistics'!DC25,IF($X$2="2020年",'Offer Statistics'!DC38)))</f>
        <v>449</v>
      </c>
      <c r="AJ12" s="346">
        <f>IF($X$2="2018年",'Offer Statistics'!DD12,IF($X$2="2019年",'Offer Statistics'!DD25,IF($X$2="2020年",'Offer Statistics'!DD38)))</f>
        <v>582</v>
      </c>
      <c r="AK12" s="346">
        <f>IF($X$2="2018年",'Offer Statistics'!DE12,IF($X$2="2019年",'Offer Statistics'!DE25,IF($X$2="2020年",'Offer Statistics'!DE38)))</f>
        <v>496</v>
      </c>
      <c r="AL12" s="344"/>
      <c r="AM12" s="344" t="str">
        <f t="shared" si="3"/>
        <v>JS7802</v>
      </c>
    </row>
    <row r="13" ht="18.0" customHeight="1">
      <c r="A13" s="142" t="s">
        <v>1587</v>
      </c>
      <c r="B13" s="142" t="s">
        <v>971</v>
      </c>
      <c r="C13" s="142" t="s">
        <v>725</v>
      </c>
      <c r="D13" s="142" t="s">
        <v>1588</v>
      </c>
      <c r="E13" s="132" t="s">
        <v>21</v>
      </c>
      <c r="F13" s="199">
        <v>24.0</v>
      </c>
      <c r="G13" s="199">
        <v>24.0</v>
      </c>
      <c r="H13" s="200">
        <f>'計分版'!D312</f>
        <v>0.00000000395</v>
      </c>
      <c r="I13" s="201">
        <f t="shared" si="1"/>
        <v>-24</v>
      </c>
      <c r="J13" s="202">
        <f t="shared" si="2"/>
        <v>-6075949366</v>
      </c>
      <c r="K13" s="132">
        <v>29.0</v>
      </c>
      <c r="L13" s="218">
        <f>'入學要求'!S296</f>
        <v>0</v>
      </c>
      <c r="M13" s="205"/>
      <c r="N13" s="163">
        <v>3.0</v>
      </c>
      <c r="O13" s="163">
        <v>3.0</v>
      </c>
      <c r="P13" s="163">
        <v>3.0</v>
      </c>
      <c r="Q13" s="163">
        <v>3.0</v>
      </c>
      <c r="R13" s="163">
        <v>3.0</v>
      </c>
      <c r="S13" s="292">
        <f>'入學要求'!L296</f>
        <v>0</v>
      </c>
      <c r="T13" s="292">
        <f>'入學要求'!M296</f>
        <v>0</v>
      </c>
      <c r="U13" s="292">
        <f>'入學要求'!N296</f>
        <v>0</v>
      </c>
      <c r="V13" s="292">
        <f>'入學要求'!O296</f>
        <v>0</v>
      </c>
      <c r="W13" s="292">
        <f>'入學要求'!P296</f>
        <v>0</v>
      </c>
      <c r="X13" s="205"/>
      <c r="Y13" s="132">
        <f>IF($X$2="2018年",'Offer Statistics'!DN13,IF($X$2="2019年",'Offer Statistics'!DN26,IF($X$2="2020年",'Offer Statistics'!DN39)))</f>
        <v>28</v>
      </c>
      <c r="Z13" s="206">
        <f>IF($X$2="2018年",'Offer Statistics'!DI13,IF($X$2="2019年",'Offer Statistics'!DI26,IF($X$2="2020年",'Offer Statistics'!DI39)))</f>
        <v>26</v>
      </c>
      <c r="AA13" s="206">
        <f>IF($X$2="2018年",'Offer Statistics'!DJ13,IF($X$2="2019年",'Offer Statistics'!DJ26,IF($X$2="2020年",'Offer Statistics'!DJ39)))</f>
        <v>0</v>
      </c>
      <c r="AB13" s="206">
        <f>IF($X$2="2018年",'Offer Statistics'!DK13,IF($X$2="2019年",'Offer Statistics'!DK26,IF($X$2="2020年",'Offer Statistics'!DK39)))</f>
        <v>2</v>
      </c>
      <c r="AC13" s="206">
        <f>IF($X$2="2018年",'Offer Statistics'!DL13,IF($X$2="2019年",'Offer Statistics'!DL26,IF($X$2="2020年",'Offer Statistics'!DL39)))</f>
        <v>0</v>
      </c>
      <c r="AD13" s="206">
        <f>IF($X$2="2018年",'Offer Statistics'!DM13,IF($X$2="2019年",'Offer Statistics'!DM26,IF($X$2="2020年",'Offer Statistics'!DM39)))</f>
        <v>0</v>
      </c>
      <c r="AE13" s="205"/>
      <c r="AF13" s="132">
        <f>IF($X$2="2018年",'Offer Statistics'!DF13,IF($X$2="2019年",'Offer Statistics'!DF26,IF($X$2="2020年",'Offer Statistics'!DF39)))</f>
        <v>1822</v>
      </c>
      <c r="AG13" s="206">
        <f>IF($X$2="2018年",'Offer Statistics'!DA13,IF($X$2="2019年",'Offer Statistics'!DA26,IF($X$2="2020年",'Offer Statistics'!DA39)))</f>
        <v>270</v>
      </c>
      <c r="AH13" s="206">
        <f>IF($X$2="2018年",'Offer Statistics'!DB13,IF($X$2="2019年",'Offer Statistics'!DB26,IF($X$2="2020年",'Offer Statistics'!DB39)))</f>
        <v>371</v>
      </c>
      <c r="AI13" s="206">
        <f>IF($X$2="2018年",'Offer Statistics'!DC13,IF($X$2="2019年",'Offer Statistics'!DC26,IF($X$2="2020年",'Offer Statistics'!DC39)))</f>
        <v>432</v>
      </c>
      <c r="AJ13" s="206">
        <f>IF($X$2="2018年",'Offer Statistics'!DD13,IF($X$2="2019年",'Offer Statistics'!DD26,IF($X$2="2020年",'Offer Statistics'!DD39)))</f>
        <v>421</v>
      </c>
      <c r="AK13" s="206">
        <f>IF($X$2="2018年",'Offer Statistics'!DE13,IF($X$2="2019年",'Offer Statistics'!DE26,IF($X$2="2020年",'Offer Statistics'!DE39)))</f>
        <v>328</v>
      </c>
      <c r="AL13" s="131"/>
      <c r="AM13" s="131" t="str">
        <f t="shared" si="3"/>
        <v>JS7905</v>
      </c>
    </row>
    <row r="14" ht="18.0" customHeight="1">
      <c r="A14" s="142"/>
      <c r="B14" s="142"/>
      <c r="C14" s="142"/>
      <c r="D14" s="142"/>
      <c r="E14" s="131"/>
      <c r="F14" s="131"/>
      <c r="G14" s="131"/>
      <c r="H14" s="142"/>
      <c r="I14" s="142"/>
      <c r="J14" s="142"/>
      <c r="K14" s="142"/>
      <c r="L14" s="131"/>
      <c r="M14" s="142"/>
      <c r="N14" s="142"/>
      <c r="O14" s="142"/>
      <c r="P14" s="142"/>
      <c r="Q14" s="142"/>
      <c r="R14" s="142"/>
      <c r="S14" s="142"/>
      <c r="T14" s="142"/>
      <c r="U14" s="142"/>
      <c r="V14" s="142"/>
      <c r="W14" s="142"/>
      <c r="X14" s="131"/>
      <c r="Y14" s="131"/>
      <c r="Z14" s="131"/>
      <c r="AA14" s="131"/>
      <c r="AB14" s="131"/>
      <c r="AC14" s="131"/>
      <c r="AD14" s="131"/>
      <c r="AE14" s="131"/>
      <c r="AF14" s="131"/>
      <c r="AG14" s="131"/>
      <c r="AH14" s="131"/>
      <c r="AI14" s="131"/>
      <c r="AJ14" s="131"/>
      <c r="AK14" s="131"/>
      <c r="AL14" s="131"/>
      <c r="AM14" s="131"/>
    </row>
    <row r="15" ht="18.0" customHeight="1">
      <c r="A15" s="142" t="s">
        <v>1589</v>
      </c>
      <c r="B15" s="142"/>
      <c r="C15" s="142"/>
      <c r="D15" s="142"/>
      <c r="E15" s="132"/>
      <c r="F15" s="131"/>
      <c r="G15" s="131"/>
      <c r="H15" s="131"/>
      <c r="I15" s="219"/>
      <c r="J15" s="198"/>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row>
    <row r="16" ht="18.0" customHeight="1">
      <c r="A16" s="142" t="s">
        <v>1590</v>
      </c>
      <c r="B16" s="142"/>
      <c r="C16" s="142"/>
      <c r="D16" s="142"/>
      <c r="E16" s="132"/>
      <c r="F16" s="131"/>
      <c r="G16" s="131"/>
      <c r="H16" s="131"/>
      <c r="I16" s="219"/>
      <c r="J16" s="198"/>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1"/>
      <c r="AK16" s="131"/>
      <c r="AL16" s="131"/>
      <c r="AM16" s="131"/>
    </row>
    <row r="17" ht="18.0" customHeight="1">
      <c r="A17" s="142"/>
      <c r="B17" s="142"/>
      <c r="C17" s="198"/>
      <c r="D17" s="142"/>
      <c r="E17" s="131"/>
      <c r="F17" s="142"/>
      <c r="G17" s="142"/>
      <c r="H17" s="131"/>
      <c r="I17" s="142"/>
      <c r="J17" s="142"/>
      <c r="K17" s="132"/>
      <c r="L17" s="131"/>
      <c r="M17" s="142"/>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row>
    <row r="18" ht="18.0" customHeight="1">
      <c r="A18" s="142" t="s">
        <v>1229</v>
      </c>
      <c r="B18" s="142"/>
      <c r="C18" s="142"/>
      <c r="D18" s="142"/>
      <c r="E18" s="132"/>
      <c r="F18" s="131"/>
      <c r="G18" s="131"/>
      <c r="H18" s="131"/>
      <c r="I18" s="131"/>
      <c r="J18" s="219"/>
      <c r="K18" s="198"/>
      <c r="L18" s="131"/>
      <c r="M18" s="142"/>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row>
    <row r="19" ht="18.0" customHeight="1">
      <c r="A19" s="142"/>
      <c r="B19" s="142"/>
      <c r="C19" s="142"/>
      <c r="D19" s="142"/>
      <c r="E19" s="132"/>
      <c r="F19" s="131"/>
      <c r="G19" s="131"/>
      <c r="H19" s="131"/>
      <c r="I19" s="219"/>
      <c r="J19" s="198"/>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row>
    <row r="20" ht="18.0" customHeight="1">
      <c r="A20" s="220" t="s">
        <v>1230</v>
      </c>
      <c r="B20" s="142"/>
      <c r="C20" s="142"/>
      <c r="D20" s="142"/>
      <c r="E20" s="132"/>
      <c r="F20" s="131"/>
      <c r="G20" s="131"/>
      <c r="H20" s="131"/>
      <c r="I20" s="219"/>
      <c r="J20" s="198"/>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row>
    <row r="21" ht="18.0" customHeight="1">
      <c r="A21" s="142" t="s">
        <v>1591</v>
      </c>
      <c r="B21" s="142"/>
      <c r="C21" s="142"/>
      <c r="D21" s="142"/>
      <c r="E21" s="132"/>
      <c r="F21" s="131"/>
      <c r="G21" s="131"/>
      <c r="H21" s="131"/>
      <c r="I21" s="219"/>
      <c r="J21" s="198"/>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row>
    <row r="22" ht="18.0" customHeight="1">
      <c r="A22" s="142"/>
      <c r="B22" s="142"/>
      <c r="C22" s="142"/>
      <c r="D22" s="142"/>
      <c r="E22" s="132"/>
      <c r="F22" s="131"/>
      <c r="G22" s="131"/>
      <c r="H22" s="131"/>
      <c r="I22" s="219"/>
      <c r="J22" s="198"/>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row>
    <row r="23" ht="18.0" customHeight="1">
      <c r="A23" s="220" t="s">
        <v>1232</v>
      </c>
      <c r="B23" s="142"/>
      <c r="C23" s="142"/>
      <c r="D23" s="142"/>
      <c r="E23" s="132"/>
      <c r="F23" s="131"/>
      <c r="G23" s="131"/>
      <c r="H23" s="131"/>
      <c r="I23" s="219"/>
      <c r="J23" s="198"/>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row>
    <row r="24" ht="18.0" customHeight="1">
      <c r="A24" s="221" t="s">
        <v>1592</v>
      </c>
      <c r="B24" s="142"/>
      <c r="C24" s="142"/>
      <c r="D24" s="142"/>
      <c r="E24" s="132"/>
      <c r="F24" s="131"/>
      <c r="G24" s="131"/>
      <c r="H24" s="131"/>
      <c r="I24" s="219"/>
      <c r="J24" s="198"/>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row>
    <row r="25" ht="18.0" customHeight="1">
      <c r="A25" s="221" t="s">
        <v>1593</v>
      </c>
      <c r="B25" s="142"/>
      <c r="C25" s="142"/>
      <c r="D25" s="142"/>
      <c r="E25" s="131"/>
      <c r="F25" s="131"/>
      <c r="G25" s="131"/>
      <c r="H25" s="142"/>
      <c r="I25" s="142"/>
      <c r="J25" s="142"/>
      <c r="K25" s="142"/>
      <c r="L25" s="131"/>
      <c r="M25" s="142"/>
      <c r="N25" s="142"/>
      <c r="O25" s="142"/>
      <c r="P25" s="142"/>
      <c r="Q25" s="142"/>
      <c r="R25" s="142"/>
      <c r="S25" s="142"/>
      <c r="T25" s="142"/>
      <c r="U25" s="142"/>
      <c r="V25" s="142"/>
      <c r="W25" s="142"/>
      <c r="X25" s="131"/>
      <c r="Y25" s="131"/>
      <c r="Z25" s="131"/>
      <c r="AA25" s="131"/>
      <c r="AB25" s="131"/>
      <c r="AC25" s="131"/>
      <c r="AD25" s="131"/>
      <c r="AE25" s="131"/>
      <c r="AF25" s="131"/>
      <c r="AG25" s="131"/>
      <c r="AH25" s="131"/>
      <c r="AI25" s="131"/>
      <c r="AJ25" s="131"/>
      <c r="AK25" s="131"/>
      <c r="AL25" s="131"/>
      <c r="AM25" s="131"/>
    </row>
    <row r="26" ht="18.0" customHeight="1">
      <c r="A26" s="221" t="s">
        <v>1594</v>
      </c>
      <c r="B26" s="142"/>
      <c r="C26" s="142"/>
      <c r="D26" s="142"/>
      <c r="E26" s="131"/>
      <c r="F26" s="131"/>
      <c r="G26" s="131"/>
      <c r="H26" s="142"/>
      <c r="I26" s="142"/>
      <c r="J26" s="142"/>
      <c r="K26" s="142"/>
      <c r="L26" s="131"/>
      <c r="M26" s="142"/>
      <c r="N26" s="142"/>
      <c r="O26" s="142"/>
      <c r="P26" s="142"/>
      <c r="Q26" s="142"/>
      <c r="R26" s="142"/>
      <c r="S26" s="142"/>
      <c r="T26" s="142"/>
      <c r="U26" s="142"/>
      <c r="V26" s="142"/>
      <c r="W26" s="142"/>
      <c r="X26" s="131"/>
      <c r="Y26" s="131"/>
      <c r="Z26" s="131"/>
      <c r="AA26" s="131"/>
      <c r="AB26" s="131"/>
      <c r="AC26" s="131"/>
      <c r="AD26" s="131"/>
      <c r="AE26" s="131"/>
      <c r="AF26" s="131"/>
      <c r="AG26" s="131"/>
      <c r="AH26" s="131"/>
      <c r="AI26" s="131"/>
      <c r="AJ26" s="131"/>
      <c r="AK26" s="131"/>
      <c r="AL26" s="131"/>
      <c r="AM26" s="131"/>
    </row>
    <row r="27" ht="18.0" customHeight="1">
      <c r="A27" s="221" t="s">
        <v>1595</v>
      </c>
      <c r="B27" s="142"/>
      <c r="C27" s="142"/>
      <c r="D27" s="142"/>
      <c r="E27" s="131"/>
      <c r="F27" s="131"/>
      <c r="G27" s="131"/>
      <c r="H27" s="142"/>
      <c r="I27" s="142"/>
      <c r="J27" s="142"/>
      <c r="K27" s="142"/>
      <c r="L27" s="131"/>
      <c r="M27" s="142"/>
      <c r="N27" s="142"/>
      <c r="O27" s="142"/>
      <c r="P27" s="142"/>
      <c r="Q27" s="142"/>
      <c r="R27" s="142"/>
      <c r="S27" s="142"/>
      <c r="T27" s="142"/>
      <c r="U27" s="142"/>
      <c r="V27" s="142"/>
      <c r="W27" s="142"/>
      <c r="X27" s="131"/>
      <c r="Y27" s="131"/>
      <c r="Z27" s="131"/>
      <c r="AA27" s="131"/>
      <c r="AB27" s="131"/>
      <c r="AC27" s="131"/>
      <c r="AD27" s="131"/>
      <c r="AE27" s="131"/>
      <c r="AF27" s="131"/>
      <c r="AG27" s="131"/>
      <c r="AH27" s="131"/>
      <c r="AI27" s="131"/>
      <c r="AJ27" s="131"/>
      <c r="AK27" s="131"/>
      <c r="AL27" s="131"/>
      <c r="AM27" s="131"/>
    </row>
    <row r="28" ht="18.0" customHeight="1">
      <c r="A28" s="142"/>
      <c r="B28" s="142"/>
      <c r="C28" s="142"/>
      <c r="D28" s="142"/>
      <c r="E28" s="131"/>
      <c r="F28" s="131"/>
      <c r="G28" s="131"/>
      <c r="H28" s="142"/>
      <c r="I28" s="142"/>
      <c r="J28" s="142"/>
      <c r="K28" s="142"/>
      <c r="L28" s="131"/>
      <c r="M28" s="142"/>
      <c r="N28" s="142"/>
      <c r="O28" s="142"/>
      <c r="P28" s="142"/>
      <c r="Q28" s="142"/>
      <c r="R28" s="142"/>
      <c r="S28" s="142"/>
      <c r="T28" s="142"/>
      <c r="U28" s="142"/>
      <c r="V28" s="142"/>
      <c r="W28" s="142"/>
      <c r="X28" s="131"/>
      <c r="Y28" s="131"/>
      <c r="Z28" s="131"/>
      <c r="AA28" s="131"/>
      <c r="AB28" s="131"/>
      <c r="AC28" s="131"/>
      <c r="AD28" s="131"/>
      <c r="AE28" s="131"/>
      <c r="AF28" s="131"/>
      <c r="AG28" s="131"/>
      <c r="AH28" s="131"/>
      <c r="AI28" s="131"/>
      <c r="AJ28" s="131"/>
      <c r="AK28" s="131"/>
      <c r="AL28" s="131"/>
      <c r="AM28" s="131"/>
    </row>
    <row r="29" ht="13.5" hidden="1" customHeight="1">
      <c r="A29" s="142"/>
      <c r="B29" s="142"/>
      <c r="C29" s="142"/>
      <c r="D29" s="142"/>
      <c r="E29" s="131"/>
      <c r="F29" s="131"/>
      <c r="G29" s="131"/>
      <c r="H29" s="142"/>
      <c r="I29" s="142"/>
      <c r="J29" s="142"/>
      <c r="K29" s="142"/>
      <c r="L29" s="131"/>
      <c r="M29" s="142"/>
      <c r="N29" s="142"/>
      <c r="O29" s="142"/>
      <c r="P29" s="142"/>
      <c r="Q29" s="142"/>
      <c r="R29" s="142"/>
      <c r="S29" s="142"/>
      <c r="T29" s="142"/>
      <c r="U29" s="142"/>
      <c r="V29" s="142"/>
      <c r="W29" s="142"/>
      <c r="X29" s="131"/>
      <c r="Y29" s="163"/>
      <c r="Z29" s="131"/>
      <c r="AA29" s="131"/>
      <c r="AB29" s="131"/>
      <c r="AC29" s="131"/>
      <c r="AD29" s="131"/>
      <c r="AE29" s="163"/>
      <c r="AF29" s="163"/>
      <c r="AG29" s="163"/>
      <c r="AH29" s="163"/>
      <c r="AI29" s="163"/>
      <c r="AJ29" s="163"/>
      <c r="AK29" s="163"/>
      <c r="AL29" s="163"/>
      <c r="AM29" s="163"/>
    </row>
    <row r="30" ht="13.5" hidden="1" customHeight="1">
      <c r="A30" s="142"/>
      <c r="B30" s="142"/>
      <c r="C30" s="142"/>
      <c r="D30" s="142"/>
      <c r="E30" s="131"/>
      <c r="F30" s="131"/>
      <c r="G30" s="131"/>
      <c r="H30" s="142"/>
      <c r="I30" s="142"/>
      <c r="J30" s="142"/>
      <c r="K30" s="142"/>
      <c r="L30" s="131"/>
      <c r="M30" s="142"/>
      <c r="N30" s="142"/>
      <c r="O30" s="142"/>
      <c r="P30" s="142"/>
      <c r="Q30" s="142"/>
      <c r="R30" s="142"/>
      <c r="S30" s="142"/>
      <c r="T30" s="142"/>
      <c r="U30" s="142"/>
      <c r="V30" s="142"/>
      <c r="W30" s="142"/>
      <c r="X30" s="131"/>
      <c r="Y30" s="163"/>
      <c r="Z30" s="131"/>
      <c r="AA30" s="131"/>
      <c r="AB30" s="131"/>
      <c r="AC30" s="131"/>
      <c r="AD30" s="131"/>
      <c r="AE30" s="163"/>
      <c r="AF30" s="163"/>
      <c r="AG30" s="163"/>
      <c r="AH30" s="163"/>
      <c r="AI30" s="163"/>
      <c r="AJ30" s="163"/>
      <c r="AK30" s="163"/>
      <c r="AL30" s="163"/>
      <c r="AM30" s="163"/>
    </row>
    <row r="31" ht="13.5" hidden="1" customHeight="1">
      <c r="A31" s="142"/>
      <c r="B31" s="142"/>
      <c r="C31" s="142"/>
      <c r="D31" s="142"/>
      <c r="E31" s="131"/>
      <c r="F31" s="131"/>
      <c r="G31" s="131"/>
      <c r="H31" s="142"/>
      <c r="I31" s="142"/>
      <c r="J31" s="142"/>
      <c r="K31" s="142"/>
      <c r="L31" s="131"/>
      <c r="M31" s="142"/>
      <c r="N31" s="142"/>
      <c r="O31" s="142"/>
      <c r="P31" s="142"/>
      <c r="Q31" s="142"/>
      <c r="R31" s="142"/>
      <c r="S31" s="142"/>
      <c r="T31" s="142"/>
      <c r="U31" s="142"/>
      <c r="V31" s="142"/>
      <c r="W31" s="142"/>
      <c r="X31" s="131"/>
      <c r="Y31" s="163"/>
      <c r="Z31" s="131"/>
      <c r="AA31" s="131"/>
      <c r="AB31" s="131"/>
      <c r="AC31" s="131"/>
      <c r="AD31" s="131"/>
      <c r="AE31" s="163"/>
      <c r="AF31" s="163"/>
      <c r="AG31" s="163"/>
      <c r="AH31" s="163"/>
      <c r="AI31" s="163"/>
      <c r="AJ31" s="163"/>
      <c r="AK31" s="163"/>
      <c r="AL31" s="163"/>
      <c r="AM31" s="163"/>
    </row>
    <row r="32" ht="13.5" hidden="1" customHeight="1">
      <c r="A32" s="142"/>
      <c r="B32" s="142"/>
      <c r="C32" s="142"/>
      <c r="D32" s="142"/>
      <c r="E32" s="131"/>
      <c r="F32" s="131"/>
      <c r="G32" s="131"/>
      <c r="H32" s="142"/>
      <c r="I32" s="142"/>
      <c r="J32" s="142"/>
      <c r="K32" s="142"/>
      <c r="L32" s="131"/>
      <c r="M32" s="142"/>
      <c r="N32" s="142"/>
      <c r="O32" s="142"/>
      <c r="P32" s="142"/>
      <c r="Q32" s="142"/>
      <c r="R32" s="142"/>
      <c r="S32" s="142"/>
      <c r="T32" s="142"/>
      <c r="U32" s="142"/>
      <c r="V32" s="142"/>
      <c r="W32" s="142"/>
      <c r="X32" s="131"/>
      <c r="Y32" s="163"/>
      <c r="Z32" s="131"/>
      <c r="AA32" s="131"/>
      <c r="AB32" s="131"/>
      <c r="AC32" s="131"/>
      <c r="AD32" s="131"/>
      <c r="AE32" s="163"/>
      <c r="AF32" s="163"/>
      <c r="AG32" s="163"/>
      <c r="AH32" s="163"/>
      <c r="AI32" s="163"/>
      <c r="AJ32" s="163"/>
      <c r="AK32" s="163"/>
      <c r="AL32" s="163"/>
      <c r="AM32" s="163"/>
    </row>
    <row r="33" ht="13.5" hidden="1" customHeight="1">
      <c r="A33" s="142"/>
      <c r="B33" s="142"/>
      <c r="C33" s="142"/>
      <c r="D33" s="142"/>
      <c r="E33" s="131"/>
      <c r="F33" s="131"/>
      <c r="G33" s="131"/>
      <c r="H33" s="142"/>
      <c r="I33" s="142"/>
      <c r="J33" s="142"/>
      <c r="K33" s="142"/>
      <c r="L33" s="131"/>
      <c r="M33" s="142"/>
      <c r="N33" s="142"/>
      <c r="O33" s="142"/>
      <c r="P33" s="142"/>
      <c r="Q33" s="142"/>
      <c r="R33" s="142"/>
      <c r="S33" s="142"/>
      <c r="T33" s="142"/>
      <c r="U33" s="142"/>
      <c r="V33" s="142"/>
      <c r="W33" s="142"/>
      <c r="X33" s="131"/>
      <c r="Y33" s="163"/>
      <c r="Z33" s="131"/>
      <c r="AA33" s="131"/>
      <c r="AB33" s="131"/>
      <c r="AC33" s="131"/>
      <c r="AD33" s="131"/>
      <c r="AE33" s="163"/>
      <c r="AF33" s="163"/>
      <c r="AG33" s="163"/>
      <c r="AH33" s="163"/>
      <c r="AI33" s="163"/>
      <c r="AJ33" s="163"/>
      <c r="AK33" s="163"/>
      <c r="AL33" s="163"/>
      <c r="AM33" s="163"/>
    </row>
    <row r="34" ht="13.5" hidden="1" customHeight="1">
      <c r="A34" s="142"/>
      <c r="B34" s="142"/>
      <c r="C34" s="142"/>
      <c r="D34" s="142"/>
      <c r="E34" s="131"/>
      <c r="F34" s="131"/>
      <c r="G34" s="131"/>
      <c r="H34" s="142"/>
      <c r="I34" s="142"/>
      <c r="J34" s="142"/>
      <c r="K34" s="142"/>
      <c r="L34" s="131"/>
      <c r="M34" s="142"/>
      <c r="N34" s="142"/>
      <c r="O34" s="142"/>
      <c r="P34" s="142"/>
      <c r="Q34" s="142"/>
      <c r="R34" s="142"/>
      <c r="S34" s="142"/>
      <c r="T34" s="142"/>
      <c r="U34" s="142"/>
      <c r="V34" s="142"/>
      <c r="W34" s="142"/>
      <c r="X34" s="131"/>
      <c r="Y34" s="163"/>
      <c r="Z34" s="131"/>
      <c r="AA34" s="131"/>
      <c r="AB34" s="131"/>
      <c r="AC34" s="131"/>
      <c r="AD34" s="131"/>
      <c r="AE34" s="163"/>
      <c r="AF34" s="163"/>
      <c r="AG34" s="163"/>
      <c r="AH34" s="163"/>
      <c r="AI34" s="163"/>
      <c r="AJ34" s="163"/>
      <c r="AK34" s="163"/>
      <c r="AL34" s="163"/>
      <c r="AM34" s="163"/>
    </row>
    <row r="35" ht="13.5" hidden="1" customHeight="1">
      <c r="A35" s="142"/>
      <c r="B35" s="142"/>
      <c r="C35" s="142"/>
      <c r="D35" s="142"/>
      <c r="E35" s="131"/>
      <c r="F35" s="131"/>
      <c r="G35" s="131"/>
      <c r="H35" s="142"/>
      <c r="I35" s="142"/>
      <c r="J35" s="142"/>
      <c r="K35" s="142"/>
      <c r="L35" s="131"/>
      <c r="M35" s="142"/>
      <c r="N35" s="142"/>
      <c r="O35" s="142"/>
      <c r="P35" s="142"/>
      <c r="Q35" s="142"/>
      <c r="R35" s="142"/>
      <c r="S35" s="142"/>
      <c r="T35" s="142"/>
      <c r="U35" s="142"/>
      <c r="V35" s="142"/>
      <c r="W35" s="142"/>
      <c r="X35" s="131"/>
      <c r="Y35" s="163"/>
      <c r="Z35" s="131"/>
      <c r="AA35" s="131"/>
      <c r="AB35" s="131"/>
      <c r="AC35" s="131"/>
      <c r="AD35" s="131"/>
      <c r="AE35" s="163"/>
      <c r="AF35" s="163"/>
      <c r="AG35" s="163"/>
      <c r="AH35" s="163"/>
      <c r="AI35" s="163"/>
      <c r="AJ35" s="163"/>
      <c r="AK35" s="163"/>
      <c r="AL35" s="163"/>
      <c r="AM35" s="163"/>
    </row>
    <row r="36" ht="13.5" hidden="1" customHeight="1">
      <c r="A36" s="142"/>
      <c r="B36" s="142"/>
      <c r="C36" s="142"/>
      <c r="D36" s="142"/>
      <c r="E36" s="131"/>
      <c r="F36" s="131"/>
      <c r="G36" s="131"/>
      <c r="H36" s="142"/>
      <c r="I36" s="142"/>
      <c r="J36" s="142"/>
      <c r="K36" s="142"/>
      <c r="L36" s="131"/>
      <c r="M36" s="142"/>
      <c r="N36" s="142"/>
      <c r="O36" s="142"/>
      <c r="P36" s="142"/>
      <c r="Q36" s="142"/>
      <c r="R36" s="142"/>
      <c r="S36" s="142"/>
      <c r="T36" s="142"/>
      <c r="U36" s="142"/>
      <c r="V36" s="142"/>
      <c r="W36" s="142"/>
      <c r="X36" s="131"/>
      <c r="Y36" s="163"/>
      <c r="Z36" s="131"/>
      <c r="AA36" s="131"/>
      <c r="AB36" s="131"/>
      <c r="AC36" s="131"/>
      <c r="AD36" s="131"/>
      <c r="AE36" s="163"/>
      <c r="AF36" s="163"/>
      <c r="AG36" s="163"/>
      <c r="AH36" s="163"/>
      <c r="AI36" s="163"/>
      <c r="AJ36" s="163"/>
      <c r="AK36" s="163"/>
      <c r="AL36" s="163"/>
      <c r="AM36" s="163"/>
    </row>
    <row r="37" ht="13.5" hidden="1" customHeight="1">
      <c r="A37" s="142"/>
      <c r="B37" s="142"/>
      <c r="C37" s="142"/>
      <c r="D37" s="142"/>
      <c r="E37" s="131"/>
      <c r="F37" s="131"/>
      <c r="G37" s="131"/>
      <c r="H37" s="142"/>
      <c r="I37" s="142"/>
      <c r="J37" s="142"/>
      <c r="K37" s="142"/>
      <c r="L37" s="131"/>
      <c r="M37" s="142"/>
      <c r="N37" s="142"/>
      <c r="O37" s="142"/>
      <c r="P37" s="142"/>
      <c r="Q37" s="142"/>
      <c r="R37" s="142"/>
      <c r="S37" s="142"/>
      <c r="T37" s="142"/>
      <c r="U37" s="142"/>
      <c r="V37" s="142"/>
      <c r="W37" s="142"/>
      <c r="X37" s="131"/>
      <c r="Y37" s="163"/>
      <c r="Z37" s="131"/>
      <c r="AA37" s="131"/>
      <c r="AB37" s="131"/>
      <c r="AC37" s="131"/>
      <c r="AD37" s="131"/>
      <c r="AE37" s="163"/>
      <c r="AF37" s="163"/>
      <c r="AG37" s="163"/>
      <c r="AH37" s="163"/>
      <c r="AI37" s="163"/>
      <c r="AJ37" s="163"/>
      <c r="AK37" s="163"/>
      <c r="AL37" s="163"/>
      <c r="AM37" s="163"/>
    </row>
    <row r="38" ht="13.5" hidden="1" customHeight="1">
      <c r="A38" s="142"/>
      <c r="B38" s="142"/>
      <c r="C38" s="142"/>
      <c r="D38" s="142"/>
      <c r="E38" s="131"/>
      <c r="F38" s="131"/>
      <c r="G38" s="131"/>
      <c r="H38" s="142"/>
      <c r="I38" s="142"/>
      <c r="J38" s="142"/>
      <c r="K38" s="142"/>
      <c r="L38" s="131"/>
      <c r="M38" s="142"/>
      <c r="N38" s="142"/>
      <c r="O38" s="142"/>
      <c r="P38" s="142"/>
      <c r="Q38" s="142"/>
      <c r="R38" s="142"/>
      <c r="S38" s="142"/>
      <c r="T38" s="142"/>
      <c r="U38" s="142"/>
      <c r="V38" s="142"/>
      <c r="W38" s="142"/>
      <c r="X38" s="131"/>
      <c r="Y38" s="163"/>
      <c r="Z38" s="131"/>
      <c r="AA38" s="131"/>
      <c r="AB38" s="131"/>
      <c r="AC38" s="131"/>
      <c r="AD38" s="131"/>
      <c r="AE38" s="163"/>
      <c r="AF38" s="163"/>
      <c r="AG38" s="163"/>
      <c r="AH38" s="163"/>
      <c r="AI38" s="163"/>
      <c r="AJ38" s="163"/>
      <c r="AK38" s="163"/>
      <c r="AL38" s="163"/>
      <c r="AM38" s="163"/>
    </row>
    <row r="39" ht="13.5" hidden="1" customHeight="1">
      <c r="A39" s="142"/>
      <c r="B39" s="142"/>
      <c r="C39" s="142"/>
      <c r="D39" s="142"/>
      <c r="E39" s="131"/>
      <c r="F39" s="131"/>
      <c r="G39" s="131"/>
      <c r="H39" s="142"/>
      <c r="I39" s="142"/>
      <c r="J39" s="142"/>
      <c r="K39" s="142"/>
      <c r="L39" s="131"/>
      <c r="M39" s="142"/>
      <c r="N39" s="142"/>
      <c r="O39" s="142"/>
      <c r="P39" s="142"/>
      <c r="Q39" s="142"/>
      <c r="R39" s="142"/>
      <c r="S39" s="142"/>
      <c r="T39" s="142"/>
      <c r="U39" s="142"/>
      <c r="V39" s="142"/>
      <c r="W39" s="142"/>
      <c r="X39" s="131"/>
      <c r="Y39" s="163"/>
      <c r="Z39" s="131"/>
      <c r="AA39" s="131"/>
      <c r="AB39" s="131"/>
      <c r="AC39" s="131"/>
      <c r="AD39" s="131"/>
      <c r="AE39" s="163"/>
      <c r="AF39" s="163"/>
      <c r="AG39" s="163"/>
      <c r="AH39" s="163"/>
      <c r="AI39" s="163"/>
      <c r="AJ39" s="163"/>
      <c r="AK39" s="163"/>
      <c r="AL39" s="163"/>
      <c r="AM39" s="163"/>
    </row>
    <row r="40" ht="13.5" hidden="1" customHeight="1">
      <c r="A40" s="142"/>
      <c r="B40" s="142"/>
      <c r="C40" s="142"/>
      <c r="D40" s="142"/>
      <c r="E40" s="131"/>
      <c r="F40" s="131"/>
      <c r="G40" s="131"/>
      <c r="H40" s="142"/>
      <c r="I40" s="142"/>
      <c r="J40" s="142"/>
      <c r="K40" s="142"/>
      <c r="L40" s="131"/>
      <c r="M40" s="142"/>
      <c r="N40" s="142"/>
      <c r="O40" s="142"/>
      <c r="P40" s="142"/>
      <c r="Q40" s="142"/>
      <c r="R40" s="142"/>
      <c r="S40" s="142"/>
      <c r="T40" s="142"/>
      <c r="U40" s="142"/>
      <c r="V40" s="142"/>
      <c r="W40" s="142"/>
      <c r="X40" s="131"/>
      <c r="Y40" s="163"/>
      <c r="Z40" s="131"/>
      <c r="AA40" s="131"/>
      <c r="AB40" s="131"/>
      <c r="AC40" s="131"/>
      <c r="AD40" s="131"/>
      <c r="AE40" s="163"/>
      <c r="AF40" s="163"/>
      <c r="AG40" s="163"/>
      <c r="AH40" s="163"/>
      <c r="AI40" s="163"/>
      <c r="AJ40" s="163"/>
      <c r="AK40" s="163"/>
      <c r="AL40" s="163"/>
      <c r="AM40" s="163"/>
    </row>
    <row r="41" ht="13.5" hidden="1" customHeight="1">
      <c r="A41" s="142"/>
      <c r="B41" s="142"/>
      <c r="C41" s="142"/>
      <c r="D41" s="142"/>
      <c r="E41" s="131"/>
      <c r="F41" s="131"/>
      <c r="G41" s="131"/>
      <c r="H41" s="142"/>
      <c r="I41" s="142"/>
      <c r="J41" s="142"/>
      <c r="K41" s="142"/>
      <c r="L41" s="131"/>
      <c r="M41" s="142"/>
      <c r="N41" s="142"/>
      <c r="O41" s="142"/>
      <c r="P41" s="142"/>
      <c r="Q41" s="142"/>
      <c r="R41" s="142"/>
      <c r="S41" s="142"/>
      <c r="T41" s="142"/>
      <c r="U41" s="142"/>
      <c r="V41" s="142"/>
      <c r="W41" s="142"/>
      <c r="X41" s="131"/>
      <c r="Y41" s="163"/>
      <c r="Z41" s="131"/>
      <c r="AA41" s="131"/>
      <c r="AB41" s="131"/>
      <c r="AC41" s="131"/>
      <c r="AD41" s="131"/>
      <c r="AE41" s="163"/>
      <c r="AF41" s="163"/>
      <c r="AG41" s="163"/>
      <c r="AH41" s="163"/>
      <c r="AI41" s="163"/>
      <c r="AJ41" s="163"/>
      <c r="AK41" s="163"/>
      <c r="AL41" s="163"/>
      <c r="AM41" s="163"/>
    </row>
    <row r="42" ht="13.5" hidden="1" customHeight="1">
      <c r="A42" s="142"/>
      <c r="B42" s="142"/>
      <c r="C42" s="142"/>
      <c r="D42" s="142"/>
      <c r="E42" s="131"/>
      <c r="F42" s="131"/>
      <c r="G42" s="131"/>
      <c r="H42" s="142"/>
      <c r="I42" s="142"/>
      <c r="J42" s="142"/>
      <c r="K42" s="142"/>
      <c r="L42" s="131"/>
      <c r="M42" s="142"/>
      <c r="N42" s="142"/>
      <c r="O42" s="142"/>
      <c r="P42" s="142"/>
      <c r="Q42" s="142"/>
      <c r="R42" s="142"/>
      <c r="S42" s="142"/>
      <c r="T42" s="142"/>
      <c r="U42" s="142"/>
      <c r="V42" s="142"/>
      <c r="W42" s="142"/>
      <c r="X42" s="131"/>
      <c r="Y42" s="163"/>
      <c r="Z42" s="131"/>
      <c r="AA42" s="131"/>
      <c r="AB42" s="131"/>
      <c r="AC42" s="131"/>
      <c r="AD42" s="131"/>
      <c r="AE42" s="163"/>
      <c r="AF42" s="163"/>
      <c r="AG42" s="163"/>
      <c r="AH42" s="163"/>
      <c r="AI42" s="163"/>
      <c r="AJ42" s="163"/>
      <c r="AK42" s="163"/>
      <c r="AL42" s="163"/>
      <c r="AM42" s="163"/>
    </row>
    <row r="43" ht="13.5" hidden="1" customHeight="1">
      <c r="A43" s="142"/>
      <c r="B43" s="142"/>
      <c r="C43" s="142"/>
      <c r="D43" s="142"/>
      <c r="E43" s="131"/>
      <c r="F43" s="131"/>
      <c r="G43" s="131"/>
      <c r="H43" s="142"/>
      <c r="I43" s="142"/>
      <c r="J43" s="142"/>
      <c r="K43" s="142"/>
      <c r="L43" s="131"/>
      <c r="M43" s="142"/>
      <c r="N43" s="142"/>
      <c r="O43" s="142"/>
      <c r="P43" s="142"/>
      <c r="Q43" s="142"/>
      <c r="R43" s="142"/>
      <c r="S43" s="142"/>
      <c r="T43" s="142"/>
      <c r="U43" s="142"/>
      <c r="V43" s="142"/>
      <c r="W43" s="142"/>
      <c r="X43" s="131"/>
      <c r="Y43" s="163"/>
      <c r="Z43" s="131"/>
      <c r="AA43" s="131"/>
      <c r="AB43" s="131"/>
      <c r="AC43" s="131"/>
      <c r="AD43" s="131"/>
      <c r="AE43" s="163"/>
      <c r="AF43" s="163"/>
      <c r="AG43" s="163"/>
      <c r="AH43" s="163"/>
      <c r="AI43" s="163"/>
      <c r="AJ43" s="163"/>
      <c r="AK43" s="163"/>
      <c r="AL43" s="163"/>
      <c r="AM43" s="163"/>
    </row>
    <row r="44" ht="13.5" hidden="1" customHeight="1">
      <c r="A44" s="142"/>
      <c r="B44" s="142"/>
      <c r="C44" s="142"/>
      <c r="D44" s="142"/>
      <c r="E44" s="131"/>
      <c r="F44" s="131"/>
      <c r="G44" s="131"/>
      <c r="H44" s="142"/>
      <c r="I44" s="142"/>
      <c r="J44" s="142"/>
      <c r="K44" s="142"/>
      <c r="L44" s="131"/>
      <c r="M44" s="142"/>
      <c r="N44" s="142"/>
      <c r="O44" s="142"/>
      <c r="P44" s="142"/>
      <c r="Q44" s="142"/>
      <c r="R44" s="142"/>
      <c r="S44" s="142"/>
      <c r="T44" s="142"/>
      <c r="U44" s="142"/>
      <c r="V44" s="142"/>
      <c r="W44" s="142"/>
      <c r="X44" s="131"/>
      <c r="Y44" s="163"/>
      <c r="Z44" s="131"/>
      <c r="AA44" s="131"/>
      <c r="AB44" s="131"/>
      <c r="AC44" s="131"/>
      <c r="AD44" s="131"/>
      <c r="AE44" s="163"/>
      <c r="AF44" s="163"/>
      <c r="AG44" s="163"/>
      <c r="AH44" s="163"/>
      <c r="AI44" s="163"/>
      <c r="AJ44" s="163"/>
      <c r="AK44" s="163"/>
      <c r="AL44" s="163"/>
      <c r="AM44" s="163"/>
    </row>
    <row r="45" ht="13.5" hidden="1" customHeight="1">
      <c r="A45" s="142"/>
      <c r="B45" s="142"/>
      <c r="C45" s="142"/>
      <c r="D45" s="142"/>
      <c r="E45" s="131"/>
      <c r="F45" s="131"/>
      <c r="G45" s="131"/>
      <c r="H45" s="142"/>
      <c r="I45" s="142"/>
      <c r="J45" s="142"/>
      <c r="K45" s="142"/>
      <c r="L45" s="131"/>
      <c r="M45" s="142"/>
      <c r="N45" s="142"/>
      <c r="O45" s="142"/>
      <c r="P45" s="142"/>
      <c r="Q45" s="142"/>
      <c r="R45" s="142"/>
      <c r="S45" s="142"/>
      <c r="T45" s="142"/>
      <c r="U45" s="142"/>
      <c r="V45" s="142"/>
      <c r="W45" s="142"/>
      <c r="X45" s="131"/>
      <c r="Y45" s="163"/>
      <c r="Z45" s="131"/>
      <c r="AA45" s="131"/>
      <c r="AB45" s="131"/>
      <c r="AC45" s="131"/>
      <c r="AD45" s="131"/>
      <c r="AE45" s="163"/>
      <c r="AF45" s="163"/>
      <c r="AG45" s="163"/>
      <c r="AH45" s="163"/>
      <c r="AI45" s="163"/>
      <c r="AJ45" s="163"/>
      <c r="AK45" s="163"/>
      <c r="AL45" s="163"/>
      <c r="AM45" s="163"/>
    </row>
    <row r="46" ht="13.5" hidden="1" customHeight="1">
      <c r="A46" s="142"/>
      <c r="B46" s="142"/>
      <c r="C46" s="142"/>
      <c r="D46" s="142"/>
      <c r="E46" s="131"/>
      <c r="F46" s="131"/>
      <c r="G46" s="131"/>
      <c r="H46" s="142"/>
      <c r="I46" s="142"/>
      <c r="J46" s="142"/>
      <c r="K46" s="142"/>
      <c r="L46" s="131"/>
      <c r="M46" s="142"/>
      <c r="N46" s="142"/>
      <c r="O46" s="142"/>
      <c r="P46" s="142"/>
      <c r="Q46" s="142"/>
      <c r="R46" s="142"/>
      <c r="S46" s="142"/>
      <c r="T46" s="142"/>
      <c r="U46" s="142"/>
      <c r="V46" s="142"/>
      <c r="W46" s="142"/>
      <c r="X46" s="131"/>
      <c r="Y46" s="163"/>
      <c r="Z46" s="131"/>
      <c r="AA46" s="131"/>
      <c r="AB46" s="131"/>
      <c r="AC46" s="131"/>
      <c r="AD46" s="131"/>
      <c r="AE46" s="163"/>
      <c r="AF46" s="163"/>
      <c r="AG46" s="163"/>
      <c r="AH46" s="163"/>
      <c r="AI46" s="163"/>
      <c r="AJ46" s="163"/>
      <c r="AK46" s="163"/>
      <c r="AL46" s="163"/>
      <c r="AM46" s="163"/>
    </row>
    <row r="47" ht="13.5" hidden="1" customHeight="1">
      <c r="A47" s="142"/>
      <c r="B47" s="142"/>
      <c r="C47" s="142"/>
      <c r="D47" s="142"/>
      <c r="E47" s="131"/>
      <c r="F47" s="131"/>
      <c r="G47" s="131"/>
      <c r="H47" s="142"/>
      <c r="I47" s="142"/>
      <c r="J47" s="142"/>
      <c r="K47" s="142"/>
      <c r="L47" s="131"/>
      <c r="M47" s="142"/>
      <c r="N47" s="142"/>
      <c r="O47" s="142"/>
      <c r="P47" s="142"/>
      <c r="Q47" s="142"/>
      <c r="R47" s="142"/>
      <c r="S47" s="142"/>
      <c r="T47" s="142"/>
      <c r="U47" s="142"/>
      <c r="V47" s="142"/>
      <c r="W47" s="142"/>
      <c r="X47" s="131"/>
      <c r="Y47" s="163"/>
      <c r="Z47" s="131"/>
      <c r="AA47" s="131"/>
      <c r="AB47" s="131"/>
      <c r="AC47" s="131"/>
      <c r="AD47" s="131"/>
      <c r="AE47" s="163"/>
      <c r="AF47" s="163"/>
      <c r="AG47" s="163"/>
      <c r="AH47" s="163"/>
      <c r="AI47" s="163"/>
      <c r="AJ47" s="163"/>
      <c r="AK47" s="163"/>
      <c r="AL47" s="163"/>
      <c r="AM47" s="163"/>
    </row>
    <row r="48" ht="13.5" hidden="1" customHeight="1">
      <c r="A48" s="142"/>
      <c r="B48" s="142"/>
      <c r="C48" s="142"/>
      <c r="D48" s="142"/>
      <c r="E48" s="131"/>
      <c r="F48" s="131"/>
      <c r="G48" s="131"/>
      <c r="H48" s="142"/>
      <c r="I48" s="142"/>
      <c r="J48" s="142"/>
      <c r="K48" s="142"/>
      <c r="L48" s="131"/>
      <c r="M48" s="142"/>
      <c r="N48" s="142"/>
      <c r="O48" s="142"/>
      <c r="P48" s="142"/>
      <c r="Q48" s="142"/>
      <c r="R48" s="142"/>
      <c r="S48" s="142"/>
      <c r="T48" s="142"/>
      <c r="U48" s="142"/>
      <c r="V48" s="142"/>
      <c r="W48" s="142"/>
      <c r="X48" s="131"/>
      <c r="Y48" s="163"/>
      <c r="Z48" s="131"/>
      <c r="AA48" s="131"/>
      <c r="AB48" s="131"/>
      <c r="AC48" s="131"/>
      <c r="AD48" s="131"/>
      <c r="AE48" s="163"/>
      <c r="AF48" s="163"/>
      <c r="AG48" s="163"/>
      <c r="AH48" s="163"/>
      <c r="AI48" s="163"/>
      <c r="AJ48" s="163"/>
      <c r="AK48" s="163"/>
      <c r="AL48" s="163"/>
      <c r="AM48" s="163"/>
    </row>
    <row r="49" ht="13.5" hidden="1" customHeight="1">
      <c r="A49" s="142"/>
      <c r="B49" s="142"/>
      <c r="C49" s="142"/>
      <c r="D49" s="142"/>
      <c r="E49" s="131"/>
      <c r="F49" s="131"/>
      <c r="G49" s="131"/>
      <c r="H49" s="142"/>
      <c r="I49" s="142"/>
      <c r="J49" s="142"/>
      <c r="K49" s="142"/>
      <c r="L49" s="131"/>
      <c r="M49" s="142"/>
      <c r="N49" s="142"/>
      <c r="O49" s="142"/>
      <c r="P49" s="142"/>
      <c r="Q49" s="142"/>
      <c r="R49" s="142"/>
      <c r="S49" s="142"/>
      <c r="T49" s="142"/>
      <c r="U49" s="142"/>
      <c r="V49" s="142"/>
      <c r="W49" s="142"/>
      <c r="X49" s="131"/>
      <c r="Y49" s="163"/>
      <c r="Z49" s="131"/>
      <c r="AA49" s="131"/>
      <c r="AB49" s="131"/>
      <c r="AC49" s="131"/>
      <c r="AD49" s="131"/>
      <c r="AE49" s="163"/>
      <c r="AF49" s="163"/>
      <c r="AG49" s="163"/>
      <c r="AH49" s="163"/>
      <c r="AI49" s="163"/>
      <c r="AJ49" s="163"/>
      <c r="AK49" s="163"/>
      <c r="AL49" s="163"/>
      <c r="AM49" s="163"/>
    </row>
    <row r="50" ht="13.5" hidden="1" customHeight="1">
      <c r="A50" s="142"/>
      <c r="B50" s="142"/>
      <c r="C50" s="142"/>
      <c r="D50" s="142"/>
      <c r="E50" s="131"/>
      <c r="F50" s="131"/>
      <c r="G50" s="131"/>
      <c r="H50" s="142"/>
      <c r="I50" s="142"/>
      <c r="J50" s="142"/>
      <c r="K50" s="142"/>
      <c r="L50" s="131"/>
      <c r="M50" s="142"/>
      <c r="N50" s="142"/>
      <c r="O50" s="142"/>
      <c r="P50" s="142"/>
      <c r="Q50" s="142"/>
      <c r="R50" s="142"/>
      <c r="S50" s="142"/>
      <c r="T50" s="142"/>
      <c r="U50" s="142"/>
      <c r="V50" s="142"/>
      <c r="W50" s="142"/>
      <c r="X50" s="131"/>
      <c r="Y50" s="163"/>
      <c r="Z50" s="131"/>
      <c r="AA50" s="131"/>
      <c r="AB50" s="131"/>
      <c r="AC50" s="131"/>
      <c r="AD50" s="131"/>
      <c r="AE50" s="163"/>
      <c r="AF50" s="163"/>
      <c r="AG50" s="163"/>
      <c r="AH50" s="163"/>
      <c r="AI50" s="163"/>
      <c r="AJ50" s="163"/>
      <c r="AK50" s="163"/>
      <c r="AL50" s="163"/>
      <c r="AM50" s="163"/>
    </row>
    <row r="51" ht="13.5" hidden="1" customHeight="1">
      <c r="A51" s="142"/>
      <c r="B51" s="142"/>
      <c r="C51" s="142"/>
      <c r="D51" s="142"/>
      <c r="E51" s="131"/>
      <c r="F51" s="131"/>
      <c r="G51" s="131"/>
      <c r="H51" s="142"/>
      <c r="I51" s="142"/>
      <c r="J51" s="142"/>
      <c r="K51" s="142"/>
      <c r="L51" s="131"/>
      <c r="M51" s="142"/>
      <c r="N51" s="142"/>
      <c r="O51" s="142"/>
      <c r="P51" s="142"/>
      <c r="Q51" s="142"/>
      <c r="R51" s="142"/>
      <c r="S51" s="142"/>
      <c r="T51" s="142"/>
      <c r="U51" s="142"/>
      <c r="V51" s="142"/>
      <c r="W51" s="142"/>
      <c r="X51" s="131"/>
      <c r="Y51" s="163"/>
      <c r="Z51" s="131"/>
      <c r="AA51" s="131"/>
      <c r="AB51" s="131"/>
      <c r="AC51" s="131"/>
      <c r="AD51" s="131"/>
      <c r="AE51" s="163"/>
      <c r="AF51" s="163"/>
      <c r="AG51" s="163"/>
      <c r="AH51" s="163"/>
      <c r="AI51" s="163"/>
      <c r="AJ51" s="163"/>
      <c r="AK51" s="163"/>
      <c r="AL51" s="163"/>
      <c r="AM51" s="163"/>
    </row>
    <row r="52" ht="13.5" hidden="1" customHeight="1">
      <c r="A52" s="142"/>
      <c r="B52" s="142"/>
      <c r="C52" s="142"/>
      <c r="D52" s="142"/>
      <c r="E52" s="131"/>
      <c r="F52" s="131"/>
      <c r="G52" s="131"/>
      <c r="H52" s="142"/>
      <c r="I52" s="142"/>
      <c r="J52" s="142"/>
      <c r="K52" s="142"/>
      <c r="L52" s="131"/>
      <c r="M52" s="142"/>
      <c r="N52" s="142"/>
      <c r="O52" s="142"/>
      <c r="P52" s="142"/>
      <c r="Q52" s="142"/>
      <c r="R52" s="142"/>
      <c r="S52" s="142"/>
      <c r="T52" s="142"/>
      <c r="U52" s="142"/>
      <c r="V52" s="142"/>
      <c r="W52" s="142"/>
      <c r="X52" s="131"/>
      <c r="Y52" s="163"/>
      <c r="Z52" s="131"/>
      <c r="AA52" s="131"/>
      <c r="AB52" s="131"/>
      <c r="AC52" s="131"/>
      <c r="AD52" s="131"/>
      <c r="AE52" s="163"/>
      <c r="AF52" s="163"/>
      <c r="AG52" s="163"/>
      <c r="AH52" s="163"/>
      <c r="AI52" s="163"/>
      <c r="AJ52" s="163"/>
      <c r="AK52" s="163"/>
      <c r="AL52" s="163"/>
      <c r="AM52" s="163"/>
    </row>
    <row r="53" ht="13.5" hidden="1" customHeight="1">
      <c r="A53" s="142"/>
      <c r="B53" s="142"/>
      <c r="C53" s="142"/>
      <c r="D53" s="142"/>
      <c r="E53" s="131"/>
      <c r="F53" s="131"/>
      <c r="G53" s="131"/>
      <c r="H53" s="142"/>
      <c r="I53" s="142"/>
      <c r="J53" s="142"/>
      <c r="K53" s="142"/>
      <c r="L53" s="131"/>
      <c r="M53" s="142"/>
      <c r="N53" s="142"/>
      <c r="O53" s="142"/>
      <c r="P53" s="142"/>
      <c r="Q53" s="142"/>
      <c r="R53" s="142"/>
      <c r="S53" s="142"/>
      <c r="T53" s="142"/>
      <c r="U53" s="142"/>
      <c r="V53" s="142"/>
      <c r="W53" s="142"/>
      <c r="X53" s="131"/>
      <c r="Y53" s="163"/>
      <c r="Z53" s="131"/>
      <c r="AA53" s="131"/>
      <c r="AB53" s="131"/>
      <c r="AC53" s="131"/>
      <c r="AD53" s="131"/>
      <c r="AE53" s="163"/>
      <c r="AF53" s="163"/>
      <c r="AG53" s="163"/>
      <c r="AH53" s="163"/>
      <c r="AI53" s="163"/>
      <c r="AJ53" s="163"/>
      <c r="AK53" s="163"/>
      <c r="AL53" s="163"/>
      <c r="AM53" s="163"/>
    </row>
    <row r="54" ht="13.5" hidden="1" customHeight="1">
      <c r="A54" s="142"/>
      <c r="B54" s="142"/>
      <c r="C54" s="142"/>
      <c r="D54" s="142"/>
      <c r="E54" s="131"/>
      <c r="F54" s="131"/>
      <c r="G54" s="131"/>
      <c r="H54" s="142"/>
      <c r="I54" s="142"/>
      <c r="J54" s="142"/>
      <c r="K54" s="142"/>
      <c r="L54" s="131"/>
      <c r="M54" s="142"/>
      <c r="N54" s="142"/>
      <c r="O54" s="142"/>
      <c r="P54" s="142"/>
      <c r="Q54" s="142"/>
      <c r="R54" s="142"/>
      <c r="S54" s="142"/>
      <c r="T54" s="142"/>
      <c r="U54" s="142"/>
      <c r="V54" s="142"/>
      <c r="W54" s="142"/>
      <c r="X54" s="131"/>
      <c r="Y54" s="163"/>
      <c r="Z54" s="131"/>
      <c r="AA54" s="131"/>
      <c r="AB54" s="131"/>
      <c r="AC54" s="131"/>
      <c r="AD54" s="131"/>
      <c r="AE54" s="163"/>
      <c r="AF54" s="163"/>
      <c r="AG54" s="163"/>
      <c r="AH54" s="163"/>
      <c r="AI54" s="163"/>
      <c r="AJ54" s="163"/>
      <c r="AK54" s="163"/>
      <c r="AL54" s="163"/>
      <c r="AM54" s="163"/>
    </row>
    <row r="55" ht="13.5" hidden="1" customHeight="1">
      <c r="A55" s="142"/>
      <c r="B55" s="142"/>
      <c r="C55" s="142"/>
      <c r="D55" s="142"/>
      <c r="E55" s="131"/>
      <c r="F55" s="131"/>
      <c r="G55" s="131"/>
      <c r="H55" s="142"/>
      <c r="I55" s="142"/>
      <c r="J55" s="142"/>
      <c r="K55" s="142"/>
      <c r="L55" s="131"/>
      <c r="M55" s="142"/>
      <c r="N55" s="142"/>
      <c r="O55" s="142"/>
      <c r="P55" s="142"/>
      <c r="Q55" s="142"/>
      <c r="R55" s="142"/>
      <c r="S55" s="142"/>
      <c r="T55" s="142"/>
      <c r="U55" s="142"/>
      <c r="V55" s="142"/>
      <c r="W55" s="142"/>
      <c r="X55" s="131"/>
      <c r="Y55" s="163"/>
      <c r="Z55" s="131"/>
      <c r="AA55" s="131"/>
      <c r="AB55" s="131"/>
      <c r="AC55" s="131"/>
      <c r="AD55" s="131"/>
      <c r="AE55" s="163"/>
      <c r="AF55" s="163"/>
      <c r="AG55" s="163"/>
      <c r="AH55" s="163"/>
      <c r="AI55" s="163"/>
      <c r="AJ55" s="163"/>
      <c r="AK55" s="163"/>
      <c r="AL55" s="163"/>
      <c r="AM55" s="163"/>
    </row>
    <row r="56" ht="13.5" hidden="1" customHeight="1">
      <c r="A56" s="142"/>
      <c r="B56" s="142"/>
      <c r="C56" s="142"/>
      <c r="D56" s="142"/>
      <c r="E56" s="131"/>
      <c r="F56" s="131"/>
      <c r="G56" s="131"/>
      <c r="H56" s="142"/>
      <c r="I56" s="142"/>
      <c r="J56" s="142"/>
      <c r="K56" s="142"/>
      <c r="L56" s="131"/>
      <c r="M56" s="142"/>
      <c r="N56" s="142"/>
      <c r="O56" s="142"/>
      <c r="P56" s="142"/>
      <c r="Q56" s="142"/>
      <c r="R56" s="142"/>
      <c r="S56" s="142"/>
      <c r="T56" s="142"/>
      <c r="U56" s="142"/>
      <c r="V56" s="142"/>
      <c r="W56" s="142"/>
      <c r="X56" s="131"/>
      <c r="Y56" s="163"/>
      <c r="Z56" s="131"/>
      <c r="AA56" s="131"/>
      <c r="AB56" s="131"/>
      <c r="AC56" s="131"/>
      <c r="AD56" s="131"/>
      <c r="AE56" s="163"/>
      <c r="AF56" s="163"/>
      <c r="AG56" s="163"/>
      <c r="AH56" s="163"/>
      <c r="AI56" s="163"/>
      <c r="AJ56" s="163"/>
      <c r="AK56" s="163"/>
      <c r="AL56" s="163"/>
      <c r="AM56" s="163"/>
    </row>
    <row r="57" ht="13.5" hidden="1" customHeight="1">
      <c r="A57" s="142"/>
      <c r="B57" s="142"/>
      <c r="C57" s="142"/>
      <c r="D57" s="142"/>
      <c r="E57" s="131"/>
      <c r="F57" s="131"/>
      <c r="G57" s="131"/>
      <c r="H57" s="142"/>
      <c r="I57" s="142"/>
      <c r="J57" s="142"/>
      <c r="K57" s="142"/>
      <c r="L57" s="131"/>
      <c r="M57" s="142"/>
      <c r="N57" s="142"/>
      <c r="O57" s="142"/>
      <c r="P57" s="142"/>
      <c r="Q57" s="142"/>
      <c r="R57" s="142"/>
      <c r="S57" s="142"/>
      <c r="T57" s="142"/>
      <c r="U57" s="142"/>
      <c r="V57" s="142"/>
      <c r="W57" s="142"/>
      <c r="X57" s="131"/>
      <c r="Y57" s="163"/>
      <c r="Z57" s="131"/>
      <c r="AA57" s="131"/>
      <c r="AB57" s="131"/>
      <c r="AC57" s="131"/>
      <c r="AD57" s="131"/>
      <c r="AE57" s="163"/>
      <c r="AF57" s="163"/>
      <c r="AG57" s="163"/>
      <c r="AH57" s="163"/>
      <c r="AI57" s="163"/>
      <c r="AJ57" s="163"/>
      <c r="AK57" s="163"/>
      <c r="AL57" s="163"/>
      <c r="AM57" s="163"/>
    </row>
    <row r="58" ht="13.5" hidden="1" customHeight="1">
      <c r="A58" s="142"/>
      <c r="B58" s="142"/>
      <c r="C58" s="142"/>
      <c r="D58" s="142"/>
      <c r="E58" s="131"/>
      <c r="F58" s="131"/>
      <c r="G58" s="131"/>
      <c r="H58" s="142"/>
      <c r="I58" s="142"/>
      <c r="J58" s="142"/>
      <c r="K58" s="142"/>
      <c r="L58" s="131"/>
      <c r="M58" s="142"/>
      <c r="N58" s="142"/>
      <c r="O58" s="142"/>
      <c r="P58" s="142"/>
      <c r="Q58" s="142"/>
      <c r="R58" s="142"/>
      <c r="S58" s="142"/>
      <c r="T58" s="142"/>
      <c r="U58" s="142"/>
      <c r="V58" s="142"/>
      <c r="W58" s="142"/>
      <c r="X58" s="131"/>
      <c r="Y58" s="163"/>
      <c r="Z58" s="131"/>
      <c r="AA58" s="131"/>
      <c r="AB58" s="131"/>
      <c r="AC58" s="131"/>
      <c r="AD58" s="131"/>
      <c r="AE58" s="163"/>
      <c r="AF58" s="163"/>
      <c r="AG58" s="163"/>
      <c r="AH58" s="163"/>
      <c r="AI58" s="163"/>
      <c r="AJ58" s="163"/>
      <c r="AK58" s="163"/>
      <c r="AL58" s="163"/>
      <c r="AM58" s="163"/>
    </row>
    <row r="59" ht="13.5" hidden="1" customHeight="1">
      <c r="A59" s="142"/>
      <c r="B59" s="142"/>
      <c r="C59" s="142"/>
      <c r="D59" s="142"/>
      <c r="E59" s="131"/>
      <c r="F59" s="131"/>
      <c r="G59" s="131"/>
      <c r="H59" s="142"/>
      <c r="I59" s="142"/>
      <c r="J59" s="142"/>
      <c r="K59" s="142"/>
      <c r="L59" s="131"/>
      <c r="M59" s="142"/>
      <c r="N59" s="142"/>
      <c r="O59" s="142"/>
      <c r="P59" s="142"/>
      <c r="Q59" s="142"/>
      <c r="R59" s="142"/>
      <c r="S59" s="142"/>
      <c r="T59" s="142"/>
      <c r="U59" s="142"/>
      <c r="V59" s="142"/>
      <c r="W59" s="142"/>
      <c r="X59" s="131"/>
      <c r="Y59" s="163"/>
      <c r="Z59" s="131"/>
      <c r="AA59" s="131"/>
      <c r="AB59" s="131"/>
      <c r="AC59" s="131"/>
      <c r="AD59" s="131"/>
      <c r="AE59" s="163"/>
      <c r="AF59" s="163"/>
      <c r="AG59" s="163"/>
      <c r="AH59" s="163"/>
      <c r="AI59" s="163"/>
      <c r="AJ59" s="163"/>
      <c r="AK59" s="163"/>
      <c r="AL59" s="163"/>
      <c r="AM59" s="163"/>
    </row>
    <row r="60" ht="13.5" hidden="1" customHeight="1">
      <c r="A60" s="142"/>
      <c r="B60" s="142"/>
      <c r="C60" s="142"/>
      <c r="D60" s="142"/>
      <c r="E60" s="131"/>
      <c r="F60" s="131"/>
      <c r="G60" s="131"/>
      <c r="H60" s="142"/>
      <c r="I60" s="142"/>
      <c r="J60" s="142"/>
      <c r="K60" s="142"/>
      <c r="L60" s="131"/>
      <c r="M60" s="142"/>
      <c r="N60" s="142"/>
      <c r="O60" s="142"/>
      <c r="P60" s="142"/>
      <c r="Q60" s="142"/>
      <c r="R60" s="142"/>
      <c r="S60" s="142"/>
      <c r="T60" s="142"/>
      <c r="U60" s="142"/>
      <c r="V60" s="142"/>
      <c r="W60" s="142"/>
      <c r="X60" s="131"/>
      <c r="Y60" s="163"/>
      <c r="Z60" s="131"/>
      <c r="AA60" s="131"/>
      <c r="AB60" s="131"/>
      <c r="AC60" s="131"/>
      <c r="AD60" s="131"/>
      <c r="AE60" s="163"/>
      <c r="AF60" s="163"/>
      <c r="AG60" s="163"/>
      <c r="AH60" s="163"/>
      <c r="AI60" s="163"/>
      <c r="AJ60" s="163"/>
      <c r="AK60" s="163"/>
      <c r="AL60" s="163"/>
      <c r="AM60" s="163"/>
    </row>
    <row r="61" ht="13.5" hidden="1" customHeight="1">
      <c r="A61" s="142"/>
      <c r="B61" s="142"/>
      <c r="C61" s="142"/>
      <c r="D61" s="142"/>
      <c r="E61" s="131"/>
      <c r="F61" s="131"/>
      <c r="G61" s="131"/>
      <c r="H61" s="142"/>
      <c r="I61" s="142"/>
      <c r="J61" s="142"/>
      <c r="K61" s="142"/>
      <c r="L61" s="131"/>
      <c r="M61" s="142"/>
      <c r="N61" s="142"/>
      <c r="O61" s="142"/>
      <c r="P61" s="142"/>
      <c r="Q61" s="142"/>
      <c r="R61" s="142"/>
      <c r="S61" s="142"/>
      <c r="T61" s="142"/>
      <c r="U61" s="142"/>
      <c r="V61" s="142"/>
      <c r="W61" s="142"/>
      <c r="X61" s="163"/>
      <c r="Y61" s="163"/>
      <c r="Z61" s="163"/>
      <c r="AA61" s="163"/>
      <c r="AB61" s="163"/>
      <c r="AC61" s="131"/>
      <c r="AD61" s="131"/>
      <c r="AE61" s="163"/>
      <c r="AF61" s="163"/>
      <c r="AG61" s="163"/>
      <c r="AH61" s="163"/>
      <c r="AI61" s="163"/>
      <c r="AJ61" s="163"/>
      <c r="AK61" s="163"/>
      <c r="AL61" s="163"/>
      <c r="AM61" s="163"/>
    </row>
    <row r="62" ht="13.5" hidden="1" customHeight="1">
      <c r="A62" s="142"/>
      <c r="B62" s="142"/>
      <c r="C62" s="142"/>
      <c r="D62" s="142"/>
      <c r="E62" s="131"/>
      <c r="F62" s="131"/>
      <c r="G62" s="131"/>
      <c r="H62" s="142"/>
      <c r="I62" s="142"/>
      <c r="J62" s="142"/>
      <c r="K62" s="142"/>
      <c r="L62" s="131"/>
      <c r="M62" s="142"/>
      <c r="N62" s="142"/>
      <c r="O62" s="142"/>
      <c r="P62" s="142"/>
      <c r="Q62" s="142"/>
      <c r="R62" s="142"/>
      <c r="S62" s="142"/>
      <c r="T62" s="142"/>
      <c r="U62" s="142"/>
      <c r="V62" s="142"/>
      <c r="W62" s="142"/>
      <c r="X62" s="163"/>
      <c r="Y62" s="163"/>
      <c r="Z62" s="163"/>
      <c r="AA62" s="163"/>
      <c r="AB62" s="163"/>
      <c r="AC62" s="131"/>
      <c r="AD62" s="131"/>
      <c r="AE62" s="163"/>
      <c r="AF62" s="163"/>
      <c r="AG62" s="163"/>
      <c r="AH62" s="163"/>
      <c r="AI62" s="163"/>
      <c r="AJ62" s="163"/>
      <c r="AK62" s="163"/>
      <c r="AL62" s="163"/>
      <c r="AM62" s="163"/>
    </row>
    <row r="63" ht="13.5" hidden="1" customHeight="1">
      <c r="A63" s="142"/>
      <c r="B63" s="142"/>
      <c r="C63" s="142"/>
      <c r="D63" s="142"/>
      <c r="E63" s="131"/>
      <c r="F63" s="131"/>
      <c r="G63" s="131"/>
      <c r="H63" s="142"/>
      <c r="I63" s="142"/>
      <c r="J63" s="142"/>
      <c r="K63" s="142"/>
      <c r="L63" s="131"/>
      <c r="M63" s="142"/>
      <c r="N63" s="142"/>
      <c r="O63" s="142"/>
      <c r="P63" s="142"/>
      <c r="Q63" s="142"/>
      <c r="R63" s="142"/>
      <c r="S63" s="142"/>
      <c r="T63" s="142"/>
      <c r="U63" s="142"/>
      <c r="V63" s="142"/>
      <c r="W63" s="142"/>
      <c r="X63" s="163"/>
      <c r="Y63" s="163"/>
      <c r="Z63" s="163"/>
      <c r="AA63" s="163"/>
      <c r="AB63" s="163"/>
      <c r="AC63" s="131"/>
      <c r="AD63" s="131"/>
      <c r="AE63" s="163"/>
      <c r="AF63" s="163"/>
      <c r="AG63" s="163"/>
      <c r="AH63" s="163"/>
      <c r="AI63" s="163"/>
      <c r="AJ63" s="163"/>
      <c r="AK63" s="163"/>
      <c r="AL63" s="163"/>
      <c r="AM63" s="163"/>
    </row>
    <row r="64" ht="13.5" hidden="1" customHeight="1">
      <c r="A64" s="142"/>
      <c r="B64" s="142"/>
      <c r="C64" s="142"/>
      <c r="D64" s="142"/>
      <c r="E64" s="131"/>
      <c r="F64" s="131"/>
      <c r="G64" s="131"/>
      <c r="H64" s="142"/>
      <c r="I64" s="142"/>
      <c r="J64" s="142"/>
      <c r="K64" s="142"/>
      <c r="L64" s="131"/>
      <c r="M64" s="142"/>
      <c r="N64" s="142"/>
      <c r="O64" s="142"/>
      <c r="P64" s="142"/>
      <c r="Q64" s="142"/>
      <c r="R64" s="142"/>
      <c r="S64" s="142"/>
      <c r="T64" s="142"/>
      <c r="U64" s="142"/>
      <c r="V64" s="142"/>
      <c r="W64" s="142"/>
      <c r="X64" s="163"/>
      <c r="Y64" s="163"/>
      <c r="Z64" s="163"/>
      <c r="AA64" s="163"/>
      <c r="AB64" s="163"/>
      <c r="AC64" s="131"/>
      <c r="AD64" s="131"/>
      <c r="AE64" s="163"/>
      <c r="AF64" s="163"/>
      <c r="AG64" s="163"/>
      <c r="AH64" s="163"/>
      <c r="AI64" s="163"/>
      <c r="AJ64" s="163"/>
      <c r="AK64" s="163"/>
      <c r="AL64" s="163"/>
      <c r="AM64" s="163"/>
    </row>
    <row r="65" ht="13.5" hidden="1" customHeight="1">
      <c r="A65" s="142"/>
      <c r="B65" s="142"/>
      <c r="C65" s="142"/>
      <c r="D65" s="142"/>
      <c r="E65" s="131"/>
      <c r="F65" s="131"/>
      <c r="G65" s="131"/>
      <c r="H65" s="142"/>
      <c r="I65" s="142"/>
      <c r="J65" s="142"/>
      <c r="K65" s="142"/>
      <c r="L65" s="131"/>
      <c r="M65" s="142"/>
      <c r="N65" s="142"/>
      <c r="O65" s="142"/>
      <c r="P65" s="142"/>
      <c r="Q65" s="142"/>
      <c r="R65" s="142"/>
      <c r="S65" s="142"/>
      <c r="T65" s="142"/>
      <c r="U65" s="142"/>
      <c r="V65" s="142"/>
      <c r="W65" s="142"/>
      <c r="X65" s="163"/>
      <c r="Y65" s="163"/>
      <c r="Z65" s="163"/>
      <c r="AA65" s="163"/>
      <c r="AB65" s="163"/>
      <c r="AC65" s="131"/>
      <c r="AD65" s="131"/>
      <c r="AE65" s="163"/>
      <c r="AF65" s="163"/>
      <c r="AG65" s="163"/>
      <c r="AH65" s="163"/>
      <c r="AI65" s="163"/>
      <c r="AJ65" s="163"/>
      <c r="AK65" s="163"/>
      <c r="AL65" s="163"/>
      <c r="AM65" s="163"/>
    </row>
    <row r="66" ht="13.5" hidden="1" customHeight="1">
      <c r="A66" s="142"/>
      <c r="B66" s="142"/>
      <c r="C66" s="142"/>
      <c r="D66" s="142"/>
      <c r="E66" s="131"/>
      <c r="F66" s="131"/>
      <c r="G66" s="131"/>
      <c r="H66" s="142"/>
      <c r="I66" s="142"/>
      <c r="J66" s="142"/>
      <c r="K66" s="142"/>
      <c r="L66" s="131"/>
      <c r="M66" s="142"/>
      <c r="N66" s="142"/>
      <c r="O66" s="142"/>
      <c r="P66" s="142"/>
      <c r="Q66" s="142"/>
      <c r="R66" s="142"/>
      <c r="S66" s="142"/>
      <c r="T66" s="142"/>
      <c r="U66" s="142"/>
      <c r="V66" s="142"/>
      <c r="W66" s="142"/>
      <c r="X66" s="163"/>
      <c r="Y66" s="163"/>
      <c r="Z66" s="163"/>
      <c r="AA66" s="163"/>
      <c r="AB66" s="163"/>
      <c r="AC66" s="131"/>
      <c r="AD66" s="131"/>
      <c r="AE66" s="163"/>
      <c r="AF66" s="163"/>
      <c r="AG66" s="163"/>
      <c r="AH66" s="163"/>
      <c r="AI66" s="163"/>
      <c r="AJ66" s="163"/>
      <c r="AK66" s="163"/>
      <c r="AL66" s="163"/>
      <c r="AM66" s="163"/>
    </row>
    <row r="67" ht="13.5" hidden="1" customHeight="1">
      <c r="A67" s="142"/>
      <c r="B67" s="142"/>
      <c r="C67" s="142"/>
      <c r="D67" s="142"/>
      <c r="E67" s="131"/>
      <c r="F67" s="131"/>
      <c r="G67" s="131"/>
      <c r="H67" s="142"/>
      <c r="I67" s="142"/>
      <c r="J67" s="142"/>
      <c r="K67" s="142"/>
      <c r="L67" s="131"/>
      <c r="M67" s="142"/>
      <c r="N67" s="142"/>
      <c r="O67" s="142"/>
      <c r="P67" s="142"/>
      <c r="Q67" s="142"/>
      <c r="R67" s="142"/>
      <c r="S67" s="142"/>
      <c r="T67" s="142"/>
      <c r="U67" s="142"/>
      <c r="V67" s="142"/>
      <c r="W67" s="142"/>
      <c r="X67" s="163"/>
      <c r="Y67" s="163"/>
      <c r="Z67" s="163"/>
      <c r="AA67" s="163"/>
      <c r="AB67" s="163"/>
      <c r="AC67" s="131"/>
      <c r="AD67" s="131"/>
      <c r="AE67" s="163"/>
      <c r="AF67" s="163"/>
      <c r="AG67" s="163"/>
      <c r="AH67" s="163"/>
      <c r="AI67" s="163"/>
      <c r="AJ67" s="163"/>
      <c r="AK67" s="163"/>
      <c r="AL67" s="163"/>
      <c r="AM67" s="163"/>
    </row>
    <row r="68" ht="13.5" hidden="1" customHeight="1">
      <c r="A68" s="142"/>
      <c r="B68" s="142"/>
      <c r="C68" s="142"/>
      <c r="D68" s="142"/>
      <c r="E68" s="131"/>
      <c r="F68" s="131"/>
      <c r="G68" s="131"/>
      <c r="H68" s="142"/>
      <c r="I68" s="142"/>
      <c r="J68" s="142"/>
      <c r="K68" s="142"/>
      <c r="L68" s="131"/>
      <c r="M68" s="142"/>
      <c r="N68" s="142"/>
      <c r="O68" s="142"/>
      <c r="P68" s="142"/>
      <c r="Q68" s="142"/>
      <c r="R68" s="142"/>
      <c r="S68" s="142"/>
      <c r="T68" s="142"/>
      <c r="U68" s="142"/>
      <c r="V68" s="142"/>
      <c r="W68" s="142"/>
      <c r="X68" s="163"/>
      <c r="Y68" s="163"/>
      <c r="Z68" s="163"/>
      <c r="AA68" s="163"/>
      <c r="AB68" s="163"/>
      <c r="AC68" s="131"/>
      <c r="AD68" s="131"/>
      <c r="AE68" s="163"/>
      <c r="AF68" s="163"/>
      <c r="AG68" s="163"/>
      <c r="AH68" s="163"/>
      <c r="AI68" s="163"/>
      <c r="AJ68" s="163"/>
      <c r="AK68" s="163"/>
      <c r="AL68" s="163"/>
      <c r="AM68" s="163"/>
    </row>
    <row r="69" ht="13.5" hidden="1" customHeight="1">
      <c r="A69" s="142"/>
      <c r="B69" s="142"/>
      <c r="C69" s="142"/>
      <c r="D69" s="142"/>
      <c r="E69" s="131"/>
      <c r="F69" s="131"/>
      <c r="G69" s="131"/>
      <c r="H69" s="142"/>
      <c r="I69" s="142"/>
      <c r="J69" s="142"/>
      <c r="K69" s="142"/>
      <c r="L69" s="131"/>
      <c r="M69" s="142"/>
      <c r="N69" s="142"/>
      <c r="O69" s="142"/>
      <c r="P69" s="142"/>
      <c r="Q69" s="142"/>
      <c r="R69" s="142"/>
      <c r="S69" s="142"/>
      <c r="T69" s="142"/>
      <c r="U69" s="142"/>
      <c r="V69" s="142"/>
      <c r="W69" s="142"/>
      <c r="X69" s="163"/>
      <c r="Y69" s="163"/>
      <c r="Z69" s="163"/>
      <c r="AA69" s="163"/>
      <c r="AB69" s="163"/>
      <c r="AC69" s="131"/>
      <c r="AD69" s="131"/>
      <c r="AE69" s="163"/>
      <c r="AF69" s="163"/>
      <c r="AG69" s="163"/>
      <c r="AH69" s="163"/>
      <c r="AI69" s="163"/>
      <c r="AJ69" s="163"/>
      <c r="AK69" s="163"/>
      <c r="AL69" s="163"/>
      <c r="AM69" s="163"/>
    </row>
    <row r="70" ht="13.5" hidden="1" customHeight="1">
      <c r="A70" s="142"/>
      <c r="B70" s="142"/>
      <c r="C70" s="142"/>
      <c r="D70" s="142"/>
      <c r="E70" s="131"/>
      <c r="F70" s="131"/>
      <c r="G70" s="131"/>
      <c r="H70" s="142"/>
      <c r="I70" s="142"/>
      <c r="J70" s="142"/>
      <c r="K70" s="142"/>
      <c r="L70" s="131"/>
      <c r="M70" s="142"/>
      <c r="N70" s="142"/>
      <c r="O70" s="142"/>
      <c r="P70" s="142"/>
      <c r="Q70" s="142"/>
      <c r="R70" s="142"/>
      <c r="S70" s="142"/>
      <c r="T70" s="142"/>
      <c r="U70" s="142"/>
      <c r="V70" s="142"/>
      <c r="W70" s="142"/>
      <c r="X70" s="163"/>
      <c r="Y70" s="163"/>
      <c r="Z70" s="163"/>
      <c r="AA70" s="163"/>
      <c r="AB70" s="163"/>
      <c r="AC70" s="131"/>
      <c r="AD70" s="131"/>
      <c r="AE70" s="163"/>
      <c r="AF70" s="163"/>
      <c r="AG70" s="163"/>
      <c r="AH70" s="163"/>
      <c r="AI70" s="163"/>
      <c r="AJ70" s="163"/>
      <c r="AK70" s="163"/>
      <c r="AL70" s="163"/>
      <c r="AM70" s="163"/>
    </row>
    <row r="71" ht="13.5" hidden="1" customHeight="1">
      <c r="A71" s="142"/>
      <c r="B71" s="142"/>
      <c r="C71" s="142"/>
      <c r="D71" s="142"/>
      <c r="E71" s="131"/>
      <c r="F71" s="131"/>
      <c r="G71" s="131"/>
      <c r="H71" s="142"/>
      <c r="I71" s="142"/>
      <c r="J71" s="142"/>
      <c r="K71" s="142"/>
      <c r="L71" s="131"/>
      <c r="M71" s="142"/>
      <c r="N71" s="142"/>
      <c r="O71" s="142"/>
      <c r="P71" s="142"/>
      <c r="Q71" s="142"/>
      <c r="R71" s="142"/>
      <c r="S71" s="142"/>
      <c r="T71" s="142"/>
      <c r="U71" s="142"/>
      <c r="V71" s="142"/>
      <c r="W71" s="142"/>
      <c r="X71" s="163"/>
      <c r="Y71" s="163"/>
      <c r="Z71" s="163"/>
      <c r="AA71" s="163"/>
      <c r="AB71" s="163"/>
      <c r="AC71" s="131"/>
      <c r="AD71" s="131"/>
      <c r="AE71" s="163"/>
      <c r="AF71" s="163"/>
      <c r="AG71" s="163"/>
      <c r="AH71" s="163"/>
      <c r="AI71" s="163"/>
      <c r="AJ71" s="163"/>
      <c r="AK71" s="163"/>
      <c r="AL71" s="163"/>
      <c r="AM71" s="163"/>
    </row>
    <row r="72" ht="13.5" hidden="1" customHeight="1">
      <c r="A72" s="142"/>
      <c r="B72" s="142"/>
      <c r="C72" s="142"/>
      <c r="D72" s="142"/>
      <c r="E72" s="131"/>
      <c r="F72" s="131"/>
      <c r="G72" s="131"/>
      <c r="H72" s="142"/>
      <c r="I72" s="142"/>
      <c r="J72" s="142"/>
      <c r="K72" s="142"/>
      <c r="L72" s="131"/>
      <c r="M72" s="142"/>
      <c r="N72" s="142"/>
      <c r="O72" s="142"/>
      <c r="P72" s="142"/>
      <c r="Q72" s="142"/>
      <c r="R72" s="142"/>
      <c r="S72" s="142"/>
      <c r="T72" s="142"/>
      <c r="U72" s="142"/>
      <c r="V72" s="142"/>
      <c r="W72" s="142"/>
      <c r="X72" s="163"/>
      <c r="Y72" s="163"/>
      <c r="Z72" s="163"/>
      <c r="AA72" s="163"/>
      <c r="AB72" s="163"/>
      <c r="AC72" s="131"/>
      <c r="AD72" s="131"/>
      <c r="AE72" s="163"/>
      <c r="AF72" s="163"/>
      <c r="AG72" s="163"/>
      <c r="AH72" s="163"/>
      <c r="AI72" s="163"/>
      <c r="AJ72" s="163"/>
      <c r="AK72" s="163"/>
      <c r="AL72" s="163"/>
      <c r="AM72" s="163"/>
    </row>
    <row r="73" ht="13.5" customHeight="1">
      <c r="A73" s="130"/>
      <c r="B73" s="130"/>
      <c r="C73" s="130"/>
      <c r="D73" s="130"/>
      <c r="E73" s="163"/>
      <c r="F73" s="163"/>
      <c r="G73" s="163"/>
      <c r="H73" s="130"/>
      <c r="I73" s="130"/>
      <c r="J73" s="130"/>
      <c r="K73" s="130"/>
      <c r="L73" s="163"/>
      <c r="M73" s="130"/>
      <c r="N73" s="130"/>
      <c r="O73" s="130"/>
      <c r="P73" s="130"/>
      <c r="Q73" s="130"/>
      <c r="R73" s="130"/>
      <c r="S73" s="130"/>
      <c r="T73" s="130"/>
      <c r="U73" s="130"/>
      <c r="V73" s="130"/>
      <c r="W73" s="130"/>
      <c r="X73" s="163"/>
      <c r="Y73" s="163"/>
      <c r="Z73" s="163"/>
      <c r="AA73" s="163"/>
      <c r="AB73" s="163"/>
      <c r="AC73" s="163"/>
      <c r="AD73" s="163"/>
      <c r="AE73" s="163"/>
      <c r="AF73" s="163"/>
      <c r="AG73" s="163"/>
      <c r="AH73" s="163"/>
      <c r="AI73" s="163"/>
      <c r="AJ73" s="163"/>
      <c r="AK73" s="163"/>
      <c r="AL73" s="163"/>
      <c r="AM73" s="163"/>
    </row>
    <row r="74" ht="13.5" customHeight="1">
      <c r="A74" s="130"/>
      <c r="B74" s="130"/>
      <c r="C74" s="130"/>
      <c r="D74" s="130"/>
      <c r="E74" s="163"/>
      <c r="F74" s="163"/>
      <c r="G74" s="163"/>
      <c r="H74" s="130"/>
      <c r="I74" s="130"/>
      <c r="J74" s="130"/>
      <c r="K74" s="130"/>
      <c r="L74" s="163"/>
      <c r="M74" s="130"/>
      <c r="N74" s="130"/>
      <c r="O74" s="130"/>
      <c r="P74" s="130"/>
      <c r="Q74" s="130"/>
      <c r="R74" s="130"/>
      <c r="S74" s="130"/>
      <c r="T74" s="130"/>
      <c r="U74" s="130"/>
      <c r="V74" s="130"/>
      <c r="W74" s="130"/>
      <c r="X74" s="163"/>
      <c r="Y74" s="163"/>
      <c r="Z74" s="163"/>
      <c r="AA74" s="163"/>
      <c r="AB74" s="163"/>
      <c r="AC74" s="163"/>
      <c r="AD74" s="163"/>
      <c r="AE74" s="163"/>
      <c r="AF74" s="163"/>
      <c r="AG74" s="163"/>
      <c r="AH74" s="163"/>
      <c r="AI74" s="163"/>
      <c r="AJ74" s="163"/>
      <c r="AK74" s="163"/>
      <c r="AL74" s="163"/>
      <c r="AM74" s="163"/>
    </row>
    <row r="75" ht="13.5" customHeight="1">
      <c r="A75" s="130"/>
      <c r="B75" s="130"/>
      <c r="C75" s="130"/>
      <c r="D75" s="130"/>
      <c r="E75" s="163"/>
      <c r="F75" s="163"/>
      <c r="G75" s="163"/>
      <c r="H75" s="130"/>
      <c r="I75" s="130"/>
      <c r="J75" s="130"/>
      <c r="K75" s="130"/>
      <c r="L75" s="163"/>
      <c r="M75" s="130"/>
      <c r="N75" s="130"/>
      <c r="O75" s="130"/>
      <c r="P75" s="130"/>
      <c r="Q75" s="130"/>
      <c r="R75" s="130"/>
      <c r="S75" s="130"/>
      <c r="T75" s="130"/>
      <c r="U75" s="130"/>
      <c r="V75" s="130"/>
      <c r="W75" s="130"/>
      <c r="X75" s="163"/>
      <c r="Y75" s="163"/>
      <c r="Z75" s="163"/>
      <c r="AA75" s="163"/>
      <c r="AB75" s="163"/>
      <c r="AC75" s="163"/>
      <c r="AD75" s="163"/>
      <c r="AE75" s="163"/>
      <c r="AF75" s="163"/>
      <c r="AG75" s="163"/>
      <c r="AH75" s="163"/>
      <c r="AI75" s="163"/>
      <c r="AJ75" s="163"/>
      <c r="AK75" s="163"/>
      <c r="AL75" s="163"/>
      <c r="AM75" s="163"/>
    </row>
    <row r="76" ht="13.5" customHeight="1">
      <c r="A76" s="130"/>
      <c r="B76" s="130"/>
      <c r="C76" s="130"/>
      <c r="D76" s="130"/>
      <c r="E76" s="163"/>
      <c r="F76" s="163"/>
      <c r="G76" s="163"/>
      <c r="H76" s="130"/>
      <c r="I76" s="130"/>
      <c r="J76" s="130"/>
      <c r="K76" s="130"/>
      <c r="L76" s="163"/>
      <c r="M76" s="130"/>
      <c r="N76" s="130"/>
      <c r="O76" s="130"/>
      <c r="P76" s="130"/>
      <c r="Q76" s="130"/>
      <c r="R76" s="130"/>
      <c r="S76" s="130"/>
      <c r="T76" s="130"/>
      <c r="U76" s="130"/>
      <c r="V76" s="130"/>
      <c r="W76" s="130"/>
      <c r="X76" s="163"/>
      <c r="Y76" s="163"/>
      <c r="Z76" s="163"/>
      <c r="AA76" s="163"/>
      <c r="AB76" s="163"/>
      <c r="AC76" s="163"/>
      <c r="AD76" s="163"/>
      <c r="AE76" s="163"/>
      <c r="AF76" s="163"/>
      <c r="AG76" s="163"/>
      <c r="AH76" s="163"/>
      <c r="AI76" s="163"/>
      <c r="AJ76" s="163"/>
      <c r="AK76" s="163"/>
      <c r="AL76" s="163"/>
      <c r="AM76" s="163"/>
    </row>
    <row r="77" ht="13.5" customHeight="1">
      <c r="A77" s="130"/>
      <c r="B77" s="130"/>
      <c r="C77" s="130"/>
      <c r="D77" s="130"/>
      <c r="E77" s="163"/>
      <c r="F77" s="163"/>
      <c r="G77" s="163"/>
      <c r="H77" s="130"/>
      <c r="I77" s="130"/>
      <c r="J77" s="130"/>
      <c r="K77" s="130"/>
      <c r="L77" s="163"/>
      <c r="M77" s="130"/>
      <c r="N77" s="130"/>
      <c r="O77" s="130"/>
      <c r="P77" s="130"/>
      <c r="Q77" s="130"/>
      <c r="R77" s="130"/>
      <c r="S77" s="130"/>
      <c r="T77" s="130"/>
      <c r="U77" s="130"/>
      <c r="V77" s="130"/>
      <c r="W77" s="130"/>
      <c r="X77" s="163"/>
      <c r="Y77" s="163"/>
      <c r="Z77" s="163"/>
      <c r="AA77" s="163"/>
      <c r="AB77" s="163"/>
      <c r="AC77" s="163"/>
      <c r="AD77" s="163"/>
      <c r="AE77" s="163"/>
      <c r="AF77" s="163"/>
      <c r="AG77" s="163"/>
      <c r="AH77" s="163"/>
      <c r="AI77" s="163"/>
      <c r="AJ77" s="163"/>
      <c r="AK77" s="163"/>
      <c r="AL77" s="163"/>
      <c r="AM77" s="163"/>
    </row>
    <row r="78" ht="13.5" customHeight="1">
      <c r="A78" s="130"/>
      <c r="B78" s="130"/>
      <c r="C78" s="130"/>
      <c r="D78" s="130"/>
      <c r="E78" s="163"/>
      <c r="F78" s="163"/>
      <c r="G78" s="163"/>
      <c r="H78" s="130"/>
      <c r="I78" s="130"/>
      <c r="J78" s="130"/>
      <c r="K78" s="130"/>
      <c r="L78" s="163"/>
      <c r="M78" s="130"/>
      <c r="N78" s="130"/>
      <c r="O78" s="130"/>
      <c r="P78" s="130"/>
      <c r="Q78" s="130"/>
      <c r="R78" s="130"/>
      <c r="S78" s="130"/>
      <c r="T78" s="130"/>
      <c r="U78" s="130"/>
      <c r="V78" s="130"/>
      <c r="W78" s="130"/>
      <c r="X78" s="163"/>
      <c r="Y78" s="163"/>
      <c r="Z78" s="163"/>
      <c r="AA78" s="163"/>
      <c r="AB78" s="163"/>
      <c r="AC78" s="163"/>
      <c r="AD78" s="163"/>
      <c r="AE78" s="163"/>
      <c r="AF78" s="163"/>
      <c r="AG78" s="163"/>
      <c r="AH78" s="163"/>
      <c r="AI78" s="163"/>
      <c r="AJ78" s="163"/>
      <c r="AK78" s="163"/>
      <c r="AL78" s="163"/>
      <c r="AM78" s="163"/>
    </row>
    <row r="79" ht="13.5" customHeight="1">
      <c r="A79" s="130"/>
      <c r="B79" s="130"/>
      <c r="C79" s="130"/>
      <c r="D79" s="130"/>
      <c r="E79" s="163"/>
      <c r="F79" s="163"/>
      <c r="G79" s="163"/>
      <c r="H79" s="130"/>
      <c r="I79" s="130"/>
      <c r="J79" s="130"/>
      <c r="K79" s="130"/>
      <c r="L79" s="163"/>
      <c r="M79" s="130"/>
      <c r="N79" s="130"/>
      <c r="O79" s="130"/>
      <c r="P79" s="130"/>
      <c r="Q79" s="130"/>
      <c r="R79" s="130"/>
      <c r="S79" s="130"/>
      <c r="T79" s="130"/>
      <c r="U79" s="130"/>
      <c r="V79" s="130"/>
      <c r="W79" s="130"/>
      <c r="X79" s="163"/>
      <c r="Y79" s="163"/>
      <c r="Z79" s="163"/>
      <c r="AA79" s="163"/>
      <c r="AB79" s="163"/>
      <c r="AC79" s="163"/>
      <c r="AD79" s="163"/>
      <c r="AE79" s="163"/>
      <c r="AF79" s="163"/>
      <c r="AG79" s="163"/>
      <c r="AH79" s="163"/>
      <c r="AI79" s="163"/>
      <c r="AJ79" s="163"/>
      <c r="AK79" s="163"/>
      <c r="AL79" s="163"/>
      <c r="AM79" s="163"/>
    </row>
    <row r="80" ht="13.5" customHeight="1">
      <c r="A80" s="130"/>
      <c r="B80" s="130"/>
      <c r="C80" s="130"/>
      <c r="D80" s="130"/>
      <c r="E80" s="163"/>
      <c r="F80" s="163"/>
      <c r="G80" s="163"/>
      <c r="H80" s="130"/>
      <c r="I80" s="130"/>
      <c r="J80" s="130"/>
      <c r="K80" s="130"/>
      <c r="L80" s="163"/>
      <c r="M80" s="130"/>
      <c r="N80" s="130"/>
      <c r="O80" s="130"/>
      <c r="P80" s="130"/>
      <c r="Q80" s="130"/>
      <c r="R80" s="130"/>
      <c r="S80" s="130"/>
      <c r="T80" s="130"/>
      <c r="U80" s="130"/>
      <c r="V80" s="130"/>
      <c r="W80" s="130"/>
      <c r="X80" s="163"/>
      <c r="Y80" s="163"/>
      <c r="Z80" s="163"/>
      <c r="AA80" s="163"/>
      <c r="AB80" s="163"/>
      <c r="AC80" s="163"/>
      <c r="AD80" s="163"/>
      <c r="AE80" s="163"/>
      <c r="AF80" s="163"/>
      <c r="AG80" s="163"/>
      <c r="AH80" s="163"/>
      <c r="AI80" s="163"/>
      <c r="AJ80" s="163"/>
      <c r="AK80" s="163"/>
      <c r="AL80" s="163"/>
      <c r="AM80" s="163"/>
    </row>
    <row r="81" ht="13.5" customHeight="1">
      <c r="A81" s="130"/>
      <c r="B81" s="130"/>
      <c r="C81" s="130"/>
      <c r="D81" s="130"/>
      <c r="E81" s="163"/>
      <c r="F81" s="163"/>
      <c r="G81" s="163"/>
      <c r="H81" s="130"/>
      <c r="I81" s="130"/>
      <c r="J81" s="130"/>
      <c r="K81" s="130"/>
      <c r="L81" s="163"/>
      <c r="M81" s="130"/>
      <c r="N81" s="130"/>
      <c r="O81" s="130"/>
      <c r="P81" s="130"/>
      <c r="Q81" s="130"/>
      <c r="R81" s="130"/>
      <c r="S81" s="130"/>
      <c r="T81" s="130"/>
      <c r="U81" s="130"/>
      <c r="V81" s="130"/>
      <c r="W81" s="130"/>
      <c r="X81" s="163"/>
      <c r="Y81" s="163"/>
      <c r="Z81" s="163"/>
      <c r="AA81" s="163"/>
      <c r="AB81" s="163"/>
      <c r="AC81" s="163"/>
      <c r="AD81" s="163"/>
      <c r="AE81" s="163"/>
      <c r="AF81" s="163"/>
      <c r="AG81" s="163"/>
      <c r="AH81" s="163"/>
      <c r="AI81" s="163"/>
      <c r="AJ81" s="163"/>
      <c r="AK81" s="163"/>
      <c r="AL81" s="163"/>
      <c r="AM81" s="163"/>
    </row>
    <row r="82" ht="13.5" customHeight="1">
      <c r="A82" s="130"/>
      <c r="B82" s="130"/>
      <c r="C82" s="130"/>
      <c r="D82" s="130"/>
      <c r="E82" s="163"/>
      <c r="F82" s="163"/>
      <c r="G82" s="163"/>
      <c r="H82" s="130"/>
      <c r="I82" s="130"/>
      <c r="J82" s="130"/>
      <c r="K82" s="130"/>
      <c r="L82" s="163"/>
      <c r="M82" s="130"/>
      <c r="N82" s="130"/>
      <c r="O82" s="130"/>
      <c r="P82" s="130"/>
      <c r="Q82" s="130"/>
      <c r="R82" s="130"/>
      <c r="S82" s="130"/>
      <c r="T82" s="130"/>
      <c r="U82" s="130"/>
      <c r="V82" s="130"/>
      <c r="W82" s="130"/>
      <c r="X82" s="163"/>
      <c r="Y82" s="163"/>
      <c r="Z82" s="163"/>
      <c r="AA82" s="163"/>
      <c r="AB82" s="163"/>
      <c r="AC82" s="163"/>
      <c r="AD82" s="163"/>
      <c r="AE82" s="163"/>
      <c r="AF82" s="163"/>
      <c r="AG82" s="163"/>
      <c r="AH82" s="163"/>
      <c r="AI82" s="163"/>
      <c r="AJ82" s="163"/>
      <c r="AK82" s="163"/>
      <c r="AL82" s="163"/>
      <c r="AM82" s="163"/>
    </row>
    <row r="83" ht="13.5" customHeight="1">
      <c r="A83" s="130"/>
      <c r="B83" s="130"/>
      <c r="C83" s="130"/>
      <c r="D83" s="130"/>
      <c r="E83" s="163"/>
      <c r="F83" s="163"/>
      <c r="G83" s="163"/>
      <c r="H83" s="130"/>
      <c r="I83" s="130"/>
      <c r="J83" s="130"/>
      <c r="K83" s="130"/>
      <c r="L83" s="163"/>
      <c r="M83" s="130"/>
      <c r="N83" s="130"/>
      <c r="O83" s="130"/>
      <c r="P83" s="130"/>
      <c r="Q83" s="130"/>
      <c r="R83" s="130"/>
      <c r="S83" s="130"/>
      <c r="T83" s="130"/>
      <c r="U83" s="130"/>
      <c r="V83" s="130"/>
      <c r="W83" s="130"/>
      <c r="X83" s="163"/>
      <c r="Y83" s="163"/>
      <c r="Z83" s="163"/>
      <c r="AA83" s="163"/>
      <c r="AB83" s="163"/>
      <c r="AC83" s="163"/>
      <c r="AD83" s="163"/>
      <c r="AE83" s="163"/>
      <c r="AF83" s="163"/>
      <c r="AG83" s="163"/>
      <c r="AH83" s="163"/>
      <c r="AI83" s="163"/>
      <c r="AJ83" s="163"/>
      <c r="AK83" s="163"/>
      <c r="AL83" s="163"/>
      <c r="AM83" s="163"/>
    </row>
    <row r="84" ht="13.5" customHeight="1">
      <c r="A84" s="130"/>
      <c r="B84" s="130"/>
      <c r="C84" s="130"/>
      <c r="D84" s="130"/>
      <c r="E84" s="163"/>
      <c r="F84" s="163"/>
      <c r="G84" s="163"/>
      <c r="H84" s="130"/>
      <c r="I84" s="130"/>
      <c r="J84" s="130"/>
      <c r="K84" s="130"/>
      <c r="L84" s="163"/>
      <c r="M84" s="130"/>
      <c r="N84" s="130"/>
      <c r="O84" s="130"/>
      <c r="P84" s="130"/>
      <c r="Q84" s="130"/>
      <c r="R84" s="130"/>
      <c r="S84" s="130"/>
      <c r="T84" s="130"/>
      <c r="U84" s="130"/>
      <c r="V84" s="130"/>
      <c r="W84" s="130"/>
      <c r="X84" s="163"/>
      <c r="Y84" s="163"/>
      <c r="Z84" s="163"/>
      <c r="AA84" s="163"/>
      <c r="AB84" s="163"/>
      <c r="AC84" s="163"/>
      <c r="AD84" s="163"/>
      <c r="AE84" s="163"/>
      <c r="AF84" s="163"/>
      <c r="AG84" s="163"/>
      <c r="AH84" s="163"/>
      <c r="AI84" s="163"/>
      <c r="AJ84" s="163"/>
      <c r="AK84" s="163"/>
      <c r="AL84" s="163"/>
      <c r="AM84" s="163"/>
    </row>
    <row r="85" ht="13.5" customHeight="1">
      <c r="A85" s="130"/>
      <c r="B85" s="130"/>
      <c r="C85" s="130"/>
      <c r="D85" s="130"/>
      <c r="E85" s="163"/>
      <c r="F85" s="163"/>
      <c r="G85" s="163"/>
      <c r="H85" s="130"/>
      <c r="I85" s="130"/>
      <c r="J85" s="130"/>
      <c r="K85" s="130"/>
      <c r="L85" s="163"/>
      <c r="M85" s="130"/>
      <c r="N85" s="130"/>
      <c r="O85" s="130"/>
      <c r="P85" s="130"/>
      <c r="Q85" s="130"/>
      <c r="R85" s="130"/>
      <c r="S85" s="130"/>
      <c r="T85" s="130"/>
      <c r="U85" s="130"/>
      <c r="V85" s="130"/>
      <c r="W85" s="130"/>
      <c r="X85" s="163"/>
      <c r="Y85" s="163"/>
      <c r="Z85" s="163"/>
      <c r="AA85" s="163"/>
      <c r="AB85" s="163"/>
      <c r="AC85" s="163"/>
      <c r="AD85" s="163"/>
      <c r="AE85" s="163"/>
      <c r="AF85" s="163"/>
      <c r="AG85" s="163"/>
      <c r="AH85" s="163"/>
      <c r="AI85" s="163"/>
      <c r="AJ85" s="163"/>
      <c r="AK85" s="163"/>
      <c r="AL85" s="163"/>
      <c r="AM85" s="163"/>
    </row>
    <row r="86" ht="13.5" customHeight="1">
      <c r="A86" s="130"/>
      <c r="B86" s="130"/>
      <c r="C86" s="130"/>
      <c r="D86" s="130"/>
      <c r="E86" s="163"/>
      <c r="F86" s="163"/>
      <c r="G86" s="163"/>
      <c r="H86" s="130"/>
      <c r="I86" s="130"/>
      <c r="J86" s="130"/>
      <c r="K86" s="130"/>
      <c r="L86" s="163"/>
      <c r="M86" s="130"/>
      <c r="N86" s="130"/>
      <c r="O86" s="130"/>
      <c r="P86" s="130"/>
      <c r="Q86" s="130"/>
      <c r="R86" s="130"/>
      <c r="S86" s="130"/>
      <c r="T86" s="130"/>
      <c r="U86" s="130"/>
      <c r="V86" s="130"/>
      <c r="W86" s="130"/>
      <c r="X86" s="163"/>
      <c r="Y86" s="163"/>
      <c r="Z86" s="163"/>
      <c r="AA86" s="163"/>
      <c r="AB86" s="163"/>
      <c r="AC86" s="163"/>
      <c r="AD86" s="163"/>
      <c r="AE86" s="163"/>
      <c r="AF86" s="163"/>
      <c r="AG86" s="163"/>
      <c r="AH86" s="163"/>
      <c r="AI86" s="163"/>
      <c r="AJ86" s="163"/>
      <c r="AK86" s="163"/>
      <c r="AL86" s="163"/>
      <c r="AM86" s="163"/>
    </row>
    <row r="87" ht="13.5" customHeight="1">
      <c r="A87" s="130"/>
      <c r="B87" s="130"/>
      <c r="C87" s="130"/>
      <c r="D87" s="130"/>
      <c r="E87" s="163"/>
      <c r="F87" s="163"/>
      <c r="G87" s="163"/>
      <c r="H87" s="130"/>
      <c r="I87" s="130"/>
      <c r="J87" s="130"/>
      <c r="K87" s="130"/>
      <c r="L87" s="163"/>
      <c r="M87" s="130"/>
      <c r="N87" s="130"/>
      <c r="O87" s="130"/>
      <c r="P87" s="130"/>
      <c r="Q87" s="130"/>
      <c r="R87" s="130"/>
      <c r="S87" s="130"/>
      <c r="T87" s="130"/>
      <c r="U87" s="130"/>
      <c r="V87" s="130"/>
      <c r="W87" s="130"/>
      <c r="X87" s="163"/>
      <c r="Y87" s="163"/>
      <c r="Z87" s="163"/>
      <c r="AA87" s="163"/>
      <c r="AB87" s="163"/>
      <c r="AC87" s="163"/>
      <c r="AD87" s="163"/>
      <c r="AE87" s="163"/>
      <c r="AF87" s="163"/>
      <c r="AG87" s="163"/>
      <c r="AH87" s="163"/>
      <c r="AI87" s="163"/>
      <c r="AJ87" s="163"/>
      <c r="AK87" s="163"/>
      <c r="AL87" s="163"/>
      <c r="AM87" s="163"/>
    </row>
    <row r="88" ht="13.5" customHeight="1">
      <c r="A88" s="130"/>
      <c r="B88" s="130"/>
      <c r="C88" s="130"/>
      <c r="D88" s="130"/>
      <c r="E88" s="163"/>
      <c r="F88" s="163"/>
      <c r="G88" s="163"/>
      <c r="H88" s="130"/>
      <c r="I88" s="130"/>
      <c r="J88" s="130"/>
      <c r="K88" s="130"/>
      <c r="L88" s="163"/>
      <c r="M88" s="130"/>
      <c r="N88" s="130"/>
      <c r="O88" s="130"/>
      <c r="P88" s="130"/>
      <c r="Q88" s="130"/>
      <c r="R88" s="130"/>
      <c r="S88" s="130"/>
      <c r="T88" s="130"/>
      <c r="U88" s="130"/>
      <c r="V88" s="130"/>
      <c r="W88" s="130"/>
      <c r="X88" s="163"/>
      <c r="Y88" s="163"/>
      <c r="Z88" s="163"/>
      <c r="AA88" s="163"/>
      <c r="AB88" s="163"/>
      <c r="AC88" s="163"/>
      <c r="AD88" s="163"/>
      <c r="AE88" s="163"/>
      <c r="AF88" s="163"/>
      <c r="AG88" s="163"/>
      <c r="AH88" s="163"/>
      <c r="AI88" s="163"/>
      <c r="AJ88" s="163"/>
      <c r="AK88" s="163"/>
      <c r="AL88" s="163"/>
      <c r="AM88" s="163"/>
    </row>
    <row r="89" ht="13.5" customHeight="1">
      <c r="A89" s="130"/>
      <c r="B89" s="130"/>
      <c r="C89" s="130"/>
      <c r="D89" s="130"/>
      <c r="E89" s="163"/>
      <c r="F89" s="163"/>
      <c r="G89" s="163"/>
      <c r="H89" s="130"/>
      <c r="I89" s="130"/>
      <c r="J89" s="130"/>
      <c r="K89" s="130"/>
      <c r="L89" s="163"/>
      <c r="M89" s="130"/>
      <c r="N89" s="130"/>
      <c r="O89" s="130"/>
      <c r="P89" s="130"/>
      <c r="Q89" s="130"/>
      <c r="R89" s="130"/>
      <c r="S89" s="130"/>
      <c r="T89" s="130"/>
      <c r="U89" s="130"/>
      <c r="V89" s="130"/>
      <c r="W89" s="130"/>
      <c r="X89" s="163"/>
      <c r="Y89" s="163"/>
      <c r="Z89" s="163"/>
      <c r="AA89" s="163"/>
      <c r="AB89" s="163"/>
      <c r="AC89" s="163"/>
      <c r="AD89" s="163"/>
      <c r="AE89" s="163"/>
      <c r="AF89" s="163"/>
      <c r="AG89" s="163"/>
      <c r="AH89" s="163"/>
      <c r="AI89" s="163"/>
      <c r="AJ89" s="163"/>
      <c r="AK89" s="163"/>
      <c r="AL89" s="163"/>
      <c r="AM89" s="163"/>
    </row>
    <row r="90" ht="13.5" customHeight="1">
      <c r="A90" s="130"/>
      <c r="B90" s="130"/>
      <c r="C90" s="130"/>
      <c r="D90" s="130"/>
      <c r="E90" s="163"/>
      <c r="F90" s="163"/>
      <c r="G90" s="163"/>
      <c r="H90" s="130"/>
      <c r="I90" s="130"/>
      <c r="J90" s="130"/>
      <c r="K90" s="130"/>
      <c r="L90" s="163"/>
      <c r="M90" s="130"/>
      <c r="N90" s="130"/>
      <c r="O90" s="130"/>
      <c r="P90" s="130"/>
      <c r="Q90" s="130"/>
      <c r="R90" s="130"/>
      <c r="S90" s="130"/>
      <c r="T90" s="130"/>
      <c r="U90" s="130"/>
      <c r="V90" s="130"/>
      <c r="W90" s="130"/>
      <c r="X90" s="163"/>
      <c r="Y90" s="163"/>
      <c r="Z90" s="163"/>
      <c r="AA90" s="163"/>
      <c r="AB90" s="163"/>
      <c r="AC90" s="163"/>
      <c r="AD90" s="163"/>
      <c r="AE90" s="163"/>
      <c r="AF90" s="163"/>
      <c r="AG90" s="163"/>
      <c r="AH90" s="163"/>
      <c r="AI90" s="163"/>
      <c r="AJ90" s="163"/>
      <c r="AK90" s="163"/>
      <c r="AL90" s="163"/>
      <c r="AM90" s="163"/>
    </row>
    <row r="91" ht="13.5" customHeight="1">
      <c r="A91" s="130"/>
      <c r="B91" s="130"/>
      <c r="C91" s="130"/>
      <c r="D91" s="130"/>
      <c r="E91" s="163"/>
      <c r="F91" s="163"/>
      <c r="G91" s="163"/>
      <c r="H91" s="130"/>
      <c r="I91" s="130"/>
      <c r="J91" s="130"/>
      <c r="K91" s="130"/>
      <c r="L91" s="163"/>
      <c r="M91" s="130"/>
      <c r="N91" s="130"/>
      <c r="O91" s="130"/>
      <c r="P91" s="130"/>
      <c r="Q91" s="130"/>
      <c r="R91" s="130"/>
      <c r="S91" s="130"/>
      <c r="T91" s="130"/>
      <c r="U91" s="130"/>
      <c r="V91" s="130"/>
      <c r="W91" s="130"/>
      <c r="X91" s="163"/>
      <c r="Y91" s="163"/>
      <c r="Z91" s="163"/>
      <c r="AA91" s="163"/>
      <c r="AB91" s="163"/>
      <c r="AC91" s="163"/>
      <c r="AD91" s="163"/>
      <c r="AE91" s="163"/>
      <c r="AF91" s="163"/>
      <c r="AG91" s="163"/>
      <c r="AH91" s="163"/>
      <c r="AI91" s="163"/>
      <c r="AJ91" s="163"/>
      <c r="AK91" s="163"/>
      <c r="AL91" s="163"/>
      <c r="AM91" s="163"/>
    </row>
    <row r="92" ht="13.5" customHeight="1">
      <c r="A92" s="130"/>
      <c r="B92" s="130"/>
      <c r="C92" s="130"/>
      <c r="D92" s="130"/>
      <c r="E92" s="163"/>
      <c r="F92" s="163"/>
      <c r="G92" s="163"/>
      <c r="H92" s="130"/>
      <c r="I92" s="130"/>
      <c r="J92" s="130"/>
      <c r="K92" s="130"/>
      <c r="L92" s="163"/>
      <c r="M92" s="130"/>
      <c r="N92" s="130"/>
      <c r="O92" s="130"/>
      <c r="P92" s="130"/>
      <c r="Q92" s="130"/>
      <c r="R92" s="130"/>
      <c r="S92" s="130"/>
      <c r="T92" s="130"/>
      <c r="U92" s="130"/>
      <c r="V92" s="130"/>
      <c r="W92" s="130"/>
      <c r="X92" s="163"/>
      <c r="Y92" s="163"/>
      <c r="Z92" s="163"/>
      <c r="AA92" s="163"/>
      <c r="AB92" s="163"/>
      <c r="AC92" s="163"/>
      <c r="AD92" s="163"/>
      <c r="AE92" s="163"/>
      <c r="AF92" s="163"/>
      <c r="AG92" s="163"/>
      <c r="AH92" s="163"/>
      <c r="AI92" s="163"/>
      <c r="AJ92" s="163"/>
      <c r="AK92" s="163"/>
      <c r="AL92" s="163"/>
      <c r="AM92" s="163"/>
    </row>
    <row r="93" ht="13.5" customHeight="1">
      <c r="A93" s="130"/>
      <c r="B93" s="130"/>
      <c r="C93" s="130"/>
      <c r="D93" s="130"/>
      <c r="E93" s="163"/>
      <c r="F93" s="163"/>
      <c r="G93" s="163"/>
      <c r="H93" s="130"/>
      <c r="I93" s="130"/>
      <c r="J93" s="130"/>
      <c r="K93" s="130"/>
      <c r="L93" s="163"/>
      <c r="M93" s="130"/>
      <c r="N93" s="130"/>
      <c r="O93" s="130"/>
      <c r="P93" s="130"/>
      <c r="Q93" s="130"/>
      <c r="R93" s="130"/>
      <c r="S93" s="130"/>
      <c r="T93" s="130"/>
      <c r="U93" s="130"/>
      <c r="V93" s="130"/>
      <c r="W93" s="130"/>
      <c r="X93" s="163"/>
      <c r="Y93" s="163"/>
      <c r="Z93" s="163"/>
      <c r="AA93" s="163"/>
      <c r="AB93" s="163"/>
      <c r="AC93" s="163"/>
      <c r="AD93" s="163"/>
      <c r="AE93" s="163"/>
      <c r="AF93" s="163"/>
      <c r="AG93" s="163"/>
      <c r="AH93" s="163"/>
      <c r="AI93" s="163"/>
      <c r="AJ93" s="163"/>
      <c r="AK93" s="163"/>
      <c r="AL93" s="163"/>
      <c r="AM93" s="163"/>
    </row>
    <row r="94" ht="13.5" customHeight="1">
      <c r="A94" s="130"/>
      <c r="B94" s="130"/>
      <c r="C94" s="130"/>
      <c r="D94" s="130"/>
      <c r="E94" s="163"/>
      <c r="F94" s="163"/>
      <c r="G94" s="163"/>
      <c r="H94" s="130"/>
      <c r="I94" s="130"/>
      <c r="J94" s="130"/>
      <c r="K94" s="130"/>
      <c r="L94" s="163"/>
      <c r="M94" s="130"/>
      <c r="N94" s="130"/>
      <c r="O94" s="130"/>
      <c r="P94" s="130"/>
      <c r="Q94" s="130"/>
      <c r="R94" s="130"/>
      <c r="S94" s="130"/>
      <c r="T94" s="130"/>
      <c r="U94" s="130"/>
      <c r="V94" s="130"/>
      <c r="W94" s="130"/>
      <c r="X94" s="163"/>
      <c r="Y94" s="163"/>
      <c r="Z94" s="163"/>
      <c r="AA94" s="163"/>
      <c r="AB94" s="163"/>
      <c r="AC94" s="163"/>
      <c r="AD94" s="163"/>
      <c r="AE94" s="163"/>
      <c r="AF94" s="163"/>
      <c r="AG94" s="163"/>
      <c r="AH94" s="163"/>
      <c r="AI94" s="163"/>
      <c r="AJ94" s="163"/>
      <c r="AK94" s="163"/>
      <c r="AL94" s="163"/>
      <c r="AM94" s="163"/>
    </row>
    <row r="95" ht="13.5" customHeight="1">
      <c r="A95" s="130"/>
      <c r="B95" s="130"/>
      <c r="C95" s="130"/>
      <c r="D95" s="130"/>
      <c r="E95" s="163"/>
      <c r="F95" s="163"/>
      <c r="G95" s="163"/>
      <c r="H95" s="130"/>
      <c r="I95" s="130"/>
      <c r="J95" s="130"/>
      <c r="K95" s="130"/>
      <c r="L95" s="163"/>
      <c r="M95" s="130"/>
      <c r="N95" s="130"/>
      <c r="O95" s="130"/>
      <c r="P95" s="130"/>
      <c r="Q95" s="130"/>
      <c r="R95" s="130"/>
      <c r="S95" s="130"/>
      <c r="T95" s="130"/>
      <c r="U95" s="130"/>
      <c r="V95" s="130"/>
      <c r="W95" s="130"/>
      <c r="X95" s="163"/>
      <c r="Y95" s="163"/>
      <c r="Z95" s="163"/>
      <c r="AA95" s="163"/>
      <c r="AB95" s="163"/>
      <c r="AC95" s="163"/>
      <c r="AD95" s="163"/>
      <c r="AE95" s="163"/>
      <c r="AF95" s="163"/>
      <c r="AG95" s="163"/>
      <c r="AH95" s="163"/>
      <c r="AI95" s="163"/>
      <c r="AJ95" s="163"/>
      <c r="AK95" s="163"/>
      <c r="AL95" s="163"/>
      <c r="AM95" s="163"/>
    </row>
    <row r="96" ht="13.5" customHeight="1">
      <c r="A96" s="130"/>
      <c r="B96" s="130"/>
      <c r="C96" s="130"/>
      <c r="D96" s="130"/>
      <c r="E96" s="163"/>
      <c r="F96" s="163"/>
      <c r="G96" s="163"/>
      <c r="H96" s="130"/>
      <c r="I96" s="130"/>
      <c r="J96" s="130"/>
      <c r="K96" s="130"/>
      <c r="L96" s="163"/>
      <c r="M96" s="130"/>
      <c r="N96" s="130"/>
      <c r="O96" s="130"/>
      <c r="P96" s="130"/>
      <c r="Q96" s="130"/>
      <c r="R96" s="130"/>
      <c r="S96" s="130"/>
      <c r="T96" s="130"/>
      <c r="U96" s="130"/>
      <c r="V96" s="130"/>
      <c r="W96" s="130"/>
      <c r="X96" s="163"/>
      <c r="Y96" s="163"/>
      <c r="Z96" s="163"/>
      <c r="AA96" s="163"/>
      <c r="AB96" s="163"/>
      <c r="AC96" s="163"/>
      <c r="AD96" s="163"/>
      <c r="AE96" s="163"/>
      <c r="AF96" s="163"/>
      <c r="AG96" s="163"/>
      <c r="AH96" s="163"/>
      <c r="AI96" s="163"/>
      <c r="AJ96" s="163"/>
      <c r="AK96" s="163"/>
      <c r="AL96" s="163"/>
      <c r="AM96" s="163"/>
    </row>
    <row r="97" ht="13.5" customHeight="1">
      <c r="A97" s="130"/>
      <c r="B97" s="130"/>
      <c r="C97" s="130"/>
      <c r="D97" s="130"/>
      <c r="E97" s="163"/>
      <c r="F97" s="163"/>
      <c r="G97" s="163"/>
      <c r="H97" s="130"/>
      <c r="I97" s="130"/>
      <c r="J97" s="130"/>
      <c r="K97" s="130"/>
      <c r="L97" s="163"/>
      <c r="M97" s="130"/>
      <c r="N97" s="130"/>
      <c r="O97" s="130"/>
      <c r="P97" s="130"/>
      <c r="Q97" s="130"/>
      <c r="R97" s="130"/>
      <c r="S97" s="130"/>
      <c r="T97" s="130"/>
      <c r="U97" s="130"/>
      <c r="V97" s="130"/>
      <c r="W97" s="130"/>
      <c r="X97" s="163"/>
      <c r="Y97" s="163"/>
      <c r="Z97" s="163"/>
      <c r="AA97" s="163"/>
      <c r="AB97" s="163"/>
      <c r="AC97" s="163"/>
      <c r="AD97" s="163"/>
      <c r="AE97" s="163"/>
      <c r="AF97" s="163"/>
      <c r="AG97" s="163"/>
      <c r="AH97" s="163"/>
      <c r="AI97" s="163"/>
      <c r="AJ97" s="163"/>
      <c r="AK97" s="163"/>
      <c r="AL97" s="163"/>
      <c r="AM97" s="163"/>
    </row>
    <row r="98" ht="13.5" customHeight="1">
      <c r="A98" s="130"/>
      <c r="B98" s="130"/>
      <c r="C98" s="130"/>
      <c r="D98" s="130"/>
      <c r="E98" s="163"/>
      <c r="F98" s="163"/>
      <c r="G98" s="163"/>
      <c r="H98" s="130"/>
      <c r="I98" s="130"/>
      <c r="J98" s="130"/>
      <c r="K98" s="130"/>
      <c r="L98" s="163"/>
      <c r="M98" s="130"/>
      <c r="N98" s="130"/>
      <c r="O98" s="130"/>
      <c r="P98" s="130"/>
      <c r="Q98" s="130"/>
      <c r="R98" s="130"/>
      <c r="S98" s="130"/>
      <c r="T98" s="130"/>
      <c r="U98" s="130"/>
      <c r="V98" s="130"/>
      <c r="W98" s="130"/>
      <c r="X98" s="163"/>
      <c r="Y98" s="163"/>
      <c r="Z98" s="163"/>
      <c r="AA98" s="163"/>
      <c r="AB98" s="163"/>
      <c r="AC98" s="163"/>
      <c r="AD98" s="163"/>
      <c r="AE98" s="163"/>
      <c r="AF98" s="163"/>
      <c r="AG98" s="163"/>
      <c r="AH98" s="163"/>
      <c r="AI98" s="163"/>
      <c r="AJ98" s="163"/>
      <c r="AK98" s="163"/>
      <c r="AL98" s="163"/>
      <c r="AM98" s="163"/>
    </row>
    <row r="99" ht="13.5" customHeight="1">
      <c r="A99" s="130"/>
      <c r="B99" s="130"/>
      <c r="C99" s="130"/>
      <c r="D99" s="130"/>
      <c r="E99" s="163"/>
      <c r="F99" s="163"/>
      <c r="G99" s="163"/>
      <c r="H99" s="130"/>
      <c r="I99" s="130"/>
      <c r="J99" s="130"/>
      <c r="K99" s="130"/>
      <c r="L99" s="163"/>
      <c r="M99" s="130"/>
      <c r="N99" s="130"/>
      <c r="O99" s="130"/>
      <c r="P99" s="130"/>
      <c r="Q99" s="130"/>
      <c r="R99" s="130"/>
      <c r="S99" s="130"/>
      <c r="T99" s="130"/>
      <c r="U99" s="130"/>
      <c r="V99" s="130"/>
      <c r="W99" s="130"/>
      <c r="X99" s="163"/>
      <c r="Y99" s="163"/>
      <c r="Z99" s="163"/>
      <c r="AA99" s="163"/>
      <c r="AB99" s="163"/>
      <c r="AC99" s="163"/>
      <c r="AD99" s="163"/>
      <c r="AE99" s="163"/>
      <c r="AF99" s="163"/>
      <c r="AG99" s="163"/>
      <c r="AH99" s="163"/>
      <c r="AI99" s="163"/>
      <c r="AJ99" s="163"/>
      <c r="AK99" s="163"/>
      <c r="AL99" s="163"/>
      <c r="AM99" s="163"/>
    </row>
    <row r="100" ht="13.5" customHeight="1">
      <c r="A100" s="130"/>
      <c r="B100" s="130"/>
      <c r="C100" s="130"/>
      <c r="D100" s="130"/>
      <c r="E100" s="163"/>
      <c r="F100" s="163"/>
      <c r="G100" s="163"/>
      <c r="H100" s="130"/>
      <c r="I100" s="130"/>
      <c r="J100" s="130"/>
      <c r="K100" s="130"/>
      <c r="L100" s="163"/>
      <c r="M100" s="130"/>
      <c r="N100" s="130"/>
      <c r="O100" s="130"/>
      <c r="P100" s="130"/>
      <c r="Q100" s="130"/>
      <c r="R100" s="130"/>
      <c r="S100" s="130"/>
      <c r="T100" s="130"/>
      <c r="U100" s="130"/>
      <c r="V100" s="130"/>
      <c r="W100" s="130"/>
      <c r="X100" s="163"/>
      <c r="Y100" s="163"/>
      <c r="Z100" s="163"/>
      <c r="AA100" s="163"/>
      <c r="AB100" s="163"/>
      <c r="AC100" s="163"/>
      <c r="AD100" s="163"/>
      <c r="AE100" s="163"/>
      <c r="AF100" s="163"/>
      <c r="AG100" s="163"/>
      <c r="AH100" s="163"/>
      <c r="AI100" s="163"/>
      <c r="AJ100" s="163"/>
      <c r="AK100" s="163"/>
      <c r="AL100" s="163"/>
      <c r="AM100" s="163"/>
    </row>
    <row r="101" ht="13.5" customHeight="1">
      <c r="A101" s="130"/>
      <c r="B101" s="130"/>
      <c r="C101" s="130"/>
      <c r="D101" s="130"/>
      <c r="E101" s="163"/>
      <c r="F101" s="163"/>
      <c r="G101" s="163"/>
      <c r="H101" s="130"/>
      <c r="I101" s="130"/>
      <c r="J101" s="130"/>
      <c r="K101" s="130"/>
      <c r="L101" s="163"/>
      <c r="M101" s="130"/>
      <c r="N101" s="130"/>
      <c r="O101" s="130"/>
      <c r="P101" s="130"/>
      <c r="Q101" s="130"/>
      <c r="R101" s="130"/>
      <c r="S101" s="130"/>
      <c r="T101" s="130"/>
      <c r="U101" s="130"/>
      <c r="V101" s="130"/>
      <c r="W101" s="130"/>
      <c r="X101" s="163"/>
      <c r="Y101" s="163"/>
      <c r="Z101" s="163"/>
      <c r="AA101" s="163"/>
      <c r="AB101" s="163"/>
      <c r="AC101" s="163"/>
      <c r="AD101" s="163"/>
      <c r="AE101" s="163"/>
      <c r="AF101" s="163"/>
      <c r="AG101" s="163"/>
      <c r="AH101" s="163"/>
      <c r="AI101" s="163"/>
      <c r="AJ101" s="163"/>
      <c r="AK101" s="163"/>
      <c r="AL101" s="163"/>
      <c r="AM101" s="163"/>
    </row>
    <row r="102" ht="13.5" customHeight="1">
      <c r="A102" s="130"/>
      <c r="B102" s="130"/>
      <c r="C102" s="130"/>
      <c r="D102" s="130"/>
      <c r="E102" s="163"/>
      <c r="F102" s="163"/>
      <c r="G102" s="163"/>
      <c r="H102" s="130"/>
      <c r="I102" s="130"/>
      <c r="J102" s="130"/>
      <c r="K102" s="130"/>
      <c r="L102" s="163"/>
      <c r="M102" s="130"/>
      <c r="N102" s="130"/>
      <c r="O102" s="130"/>
      <c r="P102" s="130"/>
      <c r="Q102" s="130"/>
      <c r="R102" s="130"/>
      <c r="S102" s="130"/>
      <c r="T102" s="130"/>
      <c r="U102" s="130"/>
      <c r="V102" s="130"/>
      <c r="W102" s="130"/>
      <c r="X102" s="163"/>
      <c r="Y102" s="163"/>
      <c r="Z102" s="163"/>
      <c r="AA102" s="163"/>
      <c r="AB102" s="163"/>
      <c r="AC102" s="163"/>
      <c r="AD102" s="163"/>
      <c r="AE102" s="163"/>
      <c r="AF102" s="163"/>
      <c r="AG102" s="163"/>
      <c r="AH102" s="163"/>
      <c r="AI102" s="163"/>
      <c r="AJ102" s="163"/>
      <c r="AK102" s="163"/>
      <c r="AL102" s="163"/>
      <c r="AM102" s="163"/>
    </row>
    <row r="103" ht="13.5" customHeight="1">
      <c r="A103" s="130"/>
      <c r="B103" s="130"/>
      <c r="C103" s="130"/>
      <c r="D103" s="130"/>
      <c r="E103" s="163"/>
      <c r="F103" s="163"/>
      <c r="G103" s="163"/>
      <c r="H103" s="130"/>
      <c r="I103" s="130"/>
      <c r="J103" s="130"/>
      <c r="K103" s="130"/>
      <c r="L103" s="163"/>
      <c r="M103" s="130"/>
      <c r="N103" s="130"/>
      <c r="O103" s="130"/>
      <c r="P103" s="130"/>
      <c r="Q103" s="130"/>
      <c r="R103" s="130"/>
      <c r="S103" s="130"/>
      <c r="T103" s="130"/>
      <c r="U103" s="130"/>
      <c r="V103" s="130"/>
      <c r="W103" s="130"/>
      <c r="X103" s="163"/>
      <c r="Y103" s="163"/>
      <c r="Z103" s="163"/>
      <c r="AA103" s="163"/>
      <c r="AB103" s="163"/>
      <c r="AC103" s="163"/>
      <c r="AD103" s="163"/>
      <c r="AE103" s="163"/>
      <c r="AF103" s="163"/>
      <c r="AG103" s="163"/>
      <c r="AH103" s="163"/>
      <c r="AI103" s="163"/>
      <c r="AJ103" s="163"/>
      <c r="AK103" s="163"/>
      <c r="AL103" s="163"/>
      <c r="AM103" s="163"/>
    </row>
    <row r="104" ht="13.5" customHeight="1">
      <c r="A104" s="130"/>
      <c r="B104" s="130"/>
      <c r="C104" s="130"/>
      <c r="D104" s="130"/>
      <c r="E104" s="163"/>
      <c r="F104" s="163"/>
      <c r="G104" s="163"/>
      <c r="H104" s="130"/>
      <c r="I104" s="130"/>
      <c r="J104" s="130"/>
      <c r="K104" s="130"/>
      <c r="L104" s="163"/>
      <c r="M104" s="130"/>
      <c r="N104" s="130"/>
      <c r="O104" s="130"/>
      <c r="P104" s="130"/>
      <c r="Q104" s="130"/>
      <c r="R104" s="130"/>
      <c r="S104" s="130"/>
      <c r="T104" s="130"/>
      <c r="U104" s="130"/>
      <c r="V104" s="130"/>
      <c r="W104" s="130"/>
      <c r="X104" s="163"/>
      <c r="Y104" s="163"/>
      <c r="Z104" s="163"/>
      <c r="AA104" s="163"/>
      <c r="AB104" s="163"/>
      <c r="AC104" s="163"/>
      <c r="AD104" s="163"/>
      <c r="AE104" s="163"/>
      <c r="AF104" s="163"/>
      <c r="AG104" s="163"/>
      <c r="AH104" s="163"/>
      <c r="AI104" s="163"/>
      <c r="AJ104" s="163"/>
      <c r="AK104" s="163"/>
      <c r="AL104" s="163"/>
      <c r="AM104" s="163"/>
    </row>
    <row r="105" ht="13.5" customHeight="1">
      <c r="A105" s="130"/>
      <c r="B105" s="130"/>
      <c r="C105" s="130"/>
      <c r="D105" s="130"/>
      <c r="E105" s="163"/>
      <c r="F105" s="163"/>
      <c r="G105" s="163"/>
      <c r="H105" s="130"/>
      <c r="I105" s="130"/>
      <c r="J105" s="130"/>
      <c r="K105" s="130"/>
      <c r="L105" s="163"/>
      <c r="M105" s="130"/>
      <c r="N105" s="130"/>
      <c r="O105" s="130"/>
      <c r="P105" s="130"/>
      <c r="Q105" s="130"/>
      <c r="R105" s="130"/>
      <c r="S105" s="130"/>
      <c r="T105" s="130"/>
      <c r="U105" s="130"/>
      <c r="V105" s="130"/>
      <c r="W105" s="130"/>
      <c r="X105" s="163"/>
      <c r="Y105" s="163"/>
      <c r="Z105" s="163"/>
      <c r="AA105" s="163"/>
      <c r="AB105" s="163"/>
      <c r="AC105" s="163"/>
      <c r="AD105" s="163"/>
      <c r="AE105" s="163"/>
      <c r="AF105" s="163"/>
      <c r="AG105" s="163"/>
      <c r="AH105" s="163"/>
      <c r="AI105" s="163"/>
      <c r="AJ105" s="163"/>
      <c r="AK105" s="163"/>
      <c r="AL105" s="163"/>
      <c r="AM105" s="163"/>
    </row>
    <row r="106" ht="13.5" customHeight="1">
      <c r="A106" s="130"/>
      <c r="B106" s="130"/>
      <c r="C106" s="130"/>
      <c r="D106" s="130"/>
      <c r="E106" s="163"/>
      <c r="F106" s="163"/>
      <c r="G106" s="163"/>
      <c r="H106" s="130"/>
      <c r="I106" s="130"/>
      <c r="J106" s="130"/>
      <c r="K106" s="130"/>
      <c r="L106" s="163"/>
      <c r="M106" s="130"/>
      <c r="N106" s="130"/>
      <c r="O106" s="130"/>
      <c r="P106" s="130"/>
      <c r="Q106" s="130"/>
      <c r="R106" s="130"/>
      <c r="S106" s="130"/>
      <c r="T106" s="130"/>
      <c r="U106" s="130"/>
      <c r="V106" s="130"/>
      <c r="W106" s="130"/>
      <c r="X106" s="163"/>
      <c r="Y106" s="163"/>
      <c r="Z106" s="163"/>
      <c r="AA106" s="163"/>
      <c r="AB106" s="163"/>
      <c r="AC106" s="163"/>
      <c r="AD106" s="163"/>
      <c r="AE106" s="163"/>
      <c r="AF106" s="163"/>
      <c r="AG106" s="163"/>
      <c r="AH106" s="163"/>
      <c r="AI106" s="163"/>
      <c r="AJ106" s="163"/>
      <c r="AK106" s="163"/>
      <c r="AL106" s="163"/>
      <c r="AM106" s="163"/>
    </row>
    <row r="107" ht="13.5" customHeight="1">
      <c r="A107" s="130"/>
      <c r="B107" s="130"/>
      <c r="C107" s="130"/>
      <c r="D107" s="130"/>
      <c r="E107" s="163"/>
      <c r="F107" s="163"/>
      <c r="G107" s="163"/>
      <c r="H107" s="130"/>
      <c r="I107" s="130"/>
      <c r="J107" s="130"/>
      <c r="K107" s="130"/>
      <c r="L107" s="163"/>
      <c r="M107" s="130"/>
      <c r="N107" s="130"/>
      <c r="O107" s="130"/>
      <c r="P107" s="130"/>
      <c r="Q107" s="130"/>
      <c r="R107" s="130"/>
      <c r="S107" s="130"/>
      <c r="T107" s="130"/>
      <c r="U107" s="130"/>
      <c r="V107" s="130"/>
      <c r="W107" s="130"/>
      <c r="X107" s="163"/>
      <c r="Y107" s="163"/>
      <c r="Z107" s="163"/>
      <c r="AA107" s="163"/>
      <c r="AB107" s="163"/>
      <c r="AC107" s="163"/>
      <c r="AD107" s="163"/>
      <c r="AE107" s="163"/>
      <c r="AF107" s="163"/>
      <c r="AG107" s="163"/>
      <c r="AH107" s="163"/>
      <c r="AI107" s="163"/>
      <c r="AJ107" s="163"/>
      <c r="AK107" s="163"/>
      <c r="AL107" s="163"/>
      <c r="AM107" s="163"/>
    </row>
    <row r="108" ht="13.5" customHeight="1">
      <c r="A108" s="130"/>
      <c r="B108" s="130"/>
      <c r="C108" s="130"/>
      <c r="D108" s="130"/>
      <c r="E108" s="163"/>
      <c r="F108" s="163"/>
      <c r="G108" s="163"/>
      <c r="H108" s="130"/>
      <c r="I108" s="130"/>
      <c r="J108" s="130"/>
      <c r="K108" s="130"/>
      <c r="L108" s="163"/>
      <c r="M108" s="130"/>
      <c r="N108" s="130"/>
      <c r="O108" s="130"/>
      <c r="P108" s="130"/>
      <c r="Q108" s="130"/>
      <c r="R108" s="130"/>
      <c r="S108" s="130"/>
      <c r="T108" s="130"/>
      <c r="U108" s="130"/>
      <c r="V108" s="130"/>
      <c r="W108" s="130"/>
      <c r="X108" s="163"/>
      <c r="Y108" s="163"/>
      <c r="Z108" s="163"/>
      <c r="AA108" s="163"/>
      <c r="AB108" s="163"/>
      <c r="AC108" s="163"/>
      <c r="AD108" s="163"/>
      <c r="AE108" s="163"/>
      <c r="AF108" s="163"/>
      <c r="AG108" s="163"/>
      <c r="AH108" s="163"/>
      <c r="AI108" s="163"/>
      <c r="AJ108" s="163"/>
      <c r="AK108" s="163"/>
      <c r="AL108" s="163"/>
      <c r="AM108" s="163"/>
    </row>
    <row r="109" ht="13.5" customHeight="1">
      <c r="A109" s="130"/>
      <c r="B109" s="130"/>
      <c r="C109" s="130"/>
      <c r="D109" s="130"/>
      <c r="E109" s="163"/>
      <c r="F109" s="163"/>
      <c r="G109" s="163"/>
      <c r="H109" s="130"/>
      <c r="I109" s="130"/>
      <c r="J109" s="130"/>
      <c r="K109" s="130"/>
      <c r="L109" s="163"/>
      <c r="M109" s="130"/>
      <c r="N109" s="130"/>
      <c r="O109" s="130"/>
      <c r="P109" s="130"/>
      <c r="Q109" s="130"/>
      <c r="R109" s="130"/>
      <c r="S109" s="130"/>
      <c r="T109" s="130"/>
      <c r="U109" s="130"/>
      <c r="V109" s="130"/>
      <c r="W109" s="130"/>
      <c r="X109" s="163"/>
      <c r="Y109" s="163"/>
      <c r="Z109" s="163"/>
      <c r="AA109" s="163"/>
      <c r="AB109" s="163"/>
      <c r="AC109" s="163"/>
      <c r="AD109" s="163"/>
      <c r="AE109" s="163"/>
      <c r="AF109" s="163"/>
      <c r="AG109" s="163"/>
      <c r="AH109" s="163"/>
      <c r="AI109" s="163"/>
      <c r="AJ109" s="163"/>
      <c r="AK109" s="163"/>
      <c r="AL109" s="163"/>
      <c r="AM109" s="163"/>
    </row>
    <row r="110" ht="13.5" customHeight="1">
      <c r="A110" s="130"/>
      <c r="B110" s="130"/>
      <c r="C110" s="130"/>
      <c r="D110" s="130"/>
      <c r="E110" s="163"/>
      <c r="F110" s="163"/>
      <c r="G110" s="163"/>
      <c r="H110" s="130"/>
      <c r="I110" s="130"/>
      <c r="J110" s="130"/>
      <c r="K110" s="130"/>
      <c r="L110" s="163"/>
      <c r="M110" s="130"/>
      <c r="N110" s="130"/>
      <c r="O110" s="130"/>
      <c r="P110" s="130"/>
      <c r="Q110" s="130"/>
      <c r="R110" s="130"/>
      <c r="S110" s="130"/>
      <c r="T110" s="130"/>
      <c r="U110" s="130"/>
      <c r="V110" s="130"/>
      <c r="W110" s="130"/>
      <c r="X110" s="163"/>
      <c r="Y110" s="163"/>
      <c r="Z110" s="163"/>
      <c r="AA110" s="163"/>
      <c r="AB110" s="163"/>
      <c r="AC110" s="163"/>
      <c r="AD110" s="163"/>
      <c r="AE110" s="163"/>
      <c r="AF110" s="163"/>
      <c r="AG110" s="163"/>
      <c r="AH110" s="163"/>
      <c r="AI110" s="163"/>
      <c r="AJ110" s="163"/>
      <c r="AK110" s="163"/>
      <c r="AL110" s="163"/>
      <c r="AM110" s="163"/>
    </row>
    <row r="111" ht="13.5" customHeight="1">
      <c r="A111" s="130"/>
      <c r="B111" s="130"/>
      <c r="C111" s="130"/>
      <c r="D111" s="130"/>
      <c r="E111" s="163"/>
      <c r="F111" s="163"/>
      <c r="G111" s="163"/>
      <c r="H111" s="130"/>
      <c r="I111" s="130"/>
      <c r="J111" s="130"/>
      <c r="K111" s="130"/>
      <c r="L111" s="163"/>
      <c r="M111" s="130"/>
      <c r="N111" s="130"/>
      <c r="O111" s="130"/>
      <c r="P111" s="130"/>
      <c r="Q111" s="130"/>
      <c r="R111" s="130"/>
      <c r="S111" s="130"/>
      <c r="T111" s="130"/>
      <c r="U111" s="130"/>
      <c r="V111" s="130"/>
      <c r="W111" s="130"/>
      <c r="X111" s="163"/>
      <c r="Y111" s="163"/>
      <c r="Z111" s="163"/>
      <c r="AA111" s="163"/>
      <c r="AB111" s="163"/>
      <c r="AC111" s="163"/>
      <c r="AD111" s="163"/>
      <c r="AE111" s="163"/>
      <c r="AF111" s="163"/>
      <c r="AG111" s="163"/>
      <c r="AH111" s="163"/>
      <c r="AI111" s="163"/>
      <c r="AJ111" s="163"/>
      <c r="AK111" s="163"/>
      <c r="AL111" s="163"/>
      <c r="AM111" s="163"/>
    </row>
    <row r="112" ht="13.5" customHeight="1">
      <c r="A112" s="130"/>
      <c r="B112" s="130"/>
      <c r="C112" s="130"/>
      <c r="D112" s="130"/>
      <c r="E112" s="163"/>
      <c r="F112" s="163"/>
      <c r="G112" s="163"/>
      <c r="H112" s="130"/>
      <c r="I112" s="130"/>
      <c r="J112" s="130"/>
      <c r="K112" s="130"/>
      <c r="L112" s="163"/>
      <c r="M112" s="130"/>
      <c r="N112" s="130"/>
      <c r="O112" s="130"/>
      <c r="P112" s="130"/>
      <c r="Q112" s="130"/>
      <c r="R112" s="130"/>
      <c r="S112" s="130"/>
      <c r="T112" s="130"/>
      <c r="U112" s="130"/>
      <c r="V112" s="130"/>
      <c r="W112" s="130"/>
      <c r="X112" s="163"/>
      <c r="Y112" s="163"/>
      <c r="Z112" s="163"/>
      <c r="AA112" s="163"/>
      <c r="AB112" s="163"/>
      <c r="AC112" s="163"/>
      <c r="AD112" s="163"/>
      <c r="AE112" s="163"/>
      <c r="AF112" s="163"/>
      <c r="AG112" s="163"/>
      <c r="AH112" s="163"/>
      <c r="AI112" s="163"/>
      <c r="AJ112" s="163"/>
      <c r="AK112" s="163"/>
      <c r="AL112" s="163"/>
      <c r="AM112" s="163"/>
    </row>
    <row r="113" ht="13.5" customHeight="1">
      <c r="A113" s="130"/>
      <c r="B113" s="130"/>
      <c r="C113" s="130"/>
      <c r="D113" s="130"/>
      <c r="E113" s="163"/>
      <c r="F113" s="163"/>
      <c r="G113" s="163"/>
      <c r="H113" s="130"/>
      <c r="I113" s="130"/>
      <c r="J113" s="130"/>
      <c r="K113" s="130"/>
      <c r="L113" s="163"/>
      <c r="M113" s="130"/>
      <c r="N113" s="130"/>
      <c r="O113" s="130"/>
      <c r="P113" s="130"/>
      <c r="Q113" s="130"/>
      <c r="R113" s="130"/>
      <c r="S113" s="130"/>
      <c r="T113" s="130"/>
      <c r="U113" s="130"/>
      <c r="V113" s="130"/>
      <c r="W113" s="130"/>
      <c r="X113" s="163"/>
      <c r="Y113" s="163"/>
      <c r="Z113" s="163"/>
      <c r="AA113" s="163"/>
      <c r="AB113" s="163"/>
      <c r="AC113" s="163"/>
      <c r="AD113" s="163"/>
      <c r="AE113" s="163"/>
      <c r="AF113" s="163"/>
      <c r="AG113" s="163"/>
      <c r="AH113" s="163"/>
      <c r="AI113" s="163"/>
      <c r="AJ113" s="163"/>
      <c r="AK113" s="163"/>
      <c r="AL113" s="163"/>
      <c r="AM113" s="163"/>
    </row>
    <row r="114" ht="13.5" customHeight="1">
      <c r="A114" s="130"/>
      <c r="B114" s="130"/>
      <c r="C114" s="130"/>
      <c r="D114" s="130"/>
      <c r="E114" s="163"/>
      <c r="F114" s="163"/>
      <c r="G114" s="163"/>
      <c r="H114" s="130"/>
      <c r="I114" s="130"/>
      <c r="J114" s="130"/>
      <c r="K114" s="130"/>
      <c r="L114" s="163"/>
      <c r="M114" s="130"/>
      <c r="N114" s="130"/>
      <c r="O114" s="130"/>
      <c r="P114" s="130"/>
      <c r="Q114" s="130"/>
      <c r="R114" s="130"/>
      <c r="S114" s="130"/>
      <c r="T114" s="130"/>
      <c r="U114" s="130"/>
      <c r="V114" s="130"/>
      <c r="W114" s="130"/>
      <c r="X114" s="163"/>
      <c r="Y114" s="163"/>
      <c r="Z114" s="163"/>
      <c r="AA114" s="163"/>
      <c r="AB114" s="163"/>
      <c r="AC114" s="163"/>
      <c r="AD114" s="163"/>
      <c r="AE114" s="163"/>
      <c r="AF114" s="163"/>
      <c r="AG114" s="163"/>
      <c r="AH114" s="163"/>
      <c r="AI114" s="163"/>
      <c r="AJ114" s="163"/>
      <c r="AK114" s="163"/>
      <c r="AL114" s="163"/>
      <c r="AM114" s="163"/>
    </row>
    <row r="115" ht="13.5" customHeight="1">
      <c r="A115" s="130"/>
      <c r="B115" s="130"/>
      <c r="C115" s="130"/>
      <c r="D115" s="130"/>
      <c r="E115" s="163"/>
      <c r="F115" s="163"/>
      <c r="G115" s="163"/>
      <c r="H115" s="130"/>
      <c r="I115" s="130"/>
      <c r="J115" s="130"/>
      <c r="K115" s="130"/>
      <c r="L115" s="163"/>
      <c r="M115" s="130"/>
      <c r="N115" s="130"/>
      <c r="O115" s="130"/>
      <c r="P115" s="130"/>
      <c r="Q115" s="130"/>
      <c r="R115" s="130"/>
      <c r="S115" s="130"/>
      <c r="T115" s="130"/>
      <c r="U115" s="130"/>
      <c r="V115" s="130"/>
      <c r="W115" s="130"/>
      <c r="X115" s="163"/>
      <c r="Y115" s="163"/>
      <c r="Z115" s="163"/>
      <c r="AA115" s="163"/>
      <c r="AB115" s="163"/>
      <c r="AC115" s="163"/>
      <c r="AD115" s="163"/>
      <c r="AE115" s="163"/>
      <c r="AF115" s="163"/>
      <c r="AG115" s="163"/>
      <c r="AH115" s="163"/>
      <c r="AI115" s="163"/>
      <c r="AJ115" s="163"/>
      <c r="AK115" s="163"/>
      <c r="AL115" s="163"/>
      <c r="AM115" s="163"/>
    </row>
    <row r="116" ht="13.5" customHeight="1">
      <c r="A116" s="130"/>
      <c r="B116" s="130"/>
      <c r="C116" s="130"/>
      <c r="D116" s="130"/>
      <c r="E116" s="163"/>
      <c r="F116" s="163"/>
      <c r="G116" s="163"/>
      <c r="H116" s="130"/>
      <c r="I116" s="130"/>
      <c r="J116" s="130"/>
      <c r="K116" s="130"/>
      <c r="L116" s="163"/>
      <c r="M116" s="130"/>
      <c r="N116" s="130"/>
      <c r="O116" s="130"/>
      <c r="P116" s="130"/>
      <c r="Q116" s="130"/>
      <c r="R116" s="130"/>
      <c r="S116" s="130"/>
      <c r="T116" s="130"/>
      <c r="U116" s="130"/>
      <c r="V116" s="130"/>
      <c r="W116" s="130"/>
      <c r="X116" s="163"/>
      <c r="Y116" s="163"/>
      <c r="Z116" s="163"/>
      <c r="AA116" s="163"/>
      <c r="AB116" s="163"/>
      <c r="AC116" s="163"/>
      <c r="AD116" s="163"/>
      <c r="AE116" s="163"/>
      <c r="AF116" s="163"/>
      <c r="AG116" s="163"/>
      <c r="AH116" s="163"/>
      <c r="AI116" s="163"/>
      <c r="AJ116" s="163"/>
      <c r="AK116" s="163"/>
      <c r="AL116" s="163"/>
      <c r="AM116" s="163"/>
    </row>
    <row r="117" ht="13.5" customHeight="1">
      <c r="A117" s="130"/>
      <c r="B117" s="130"/>
      <c r="C117" s="130"/>
      <c r="D117" s="130"/>
      <c r="E117" s="163"/>
      <c r="F117" s="163"/>
      <c r="G117" s="163"/>
      <c r="H117" s="130"/>
      <c r="I117" s="130"/>
      <c r="J117" s="130"/>
      <c r="K117" s="130"/>
      <c r="L117" s="163"/>
      <c r="M117" s="130"/>
      <c r="N117" s="130"/>
      <c r="O117" s="130"/>
      <c r="P117" s="130"/>
      <c r="Q117" s="130"/>
      <c r="R117" s="130"/>
      <c r="S117" s="130"/>
      <c r="T117" s="130"/>
      <c r="U117" s="130"/>
      <c r="V117" s="130"/>
      <c r="W117" s="130"/>
      <c r="X117" s="163"/>
      <c r="Y117" s="163"/>
      <c r="Z117" s="163"/>
      <c r="AA117" s="163"/>
      <c r="AB117" s="163"/>
      <c r="AC117" s="163"/>
      <c r="AD117" s="163"/>
      <c r="AE117" s="163"/>
      <c r="AF117" s="163"/>
      <c r="AG117" s="163"/>
      <c r="AH117" s="163"/>
      <c r="AI117" s="163"/>
      <c r="AJ117" s="163"/>
      <c r="AK117" s="163"/>
      <c r="AL117" s="163"/>
      <c r="AM117" s="163"/>
    </row>
    <row r="118" ht="13.5" customHeight="1">
      <c r="A118" s="130"/>
      <c r="B118" s="130"/>
      <c r="C118" s="130"/>
      <c r="D118" s="130"/>
      <c r="E118" s="163"/>
      <c r="F118" s="163"/>
      <c r="G118" s="163"/>
      <c r="H118" s="130"/>
      <c r="I118" s="130"/>
      <c r="J118" s="130"/>
      <c r="K118" s="130"/>
      <c r="L118" s="163"/>
      <c r="M118" s="130"/>
      <c r="N118" s="130"/>
      <c r="O118" s="130"/>
      <c r="P118" s="130"/>
      <c r="Q118" s="130"/>
      <c r="R118" s="130"/>
      <c r="S118" s="130"/>
      <c r="T118" s="130"/>
      <c r="U118" s="130"/>
      <c r="V118" s="130"/>
      <c r="W118" s="130"/>
      <c r="X118" s="163"/>
      <c r="Y118" s="163"/>
      <c r="Z118" s="163"/>
      <c r="AA118" s="163"/>
      <c r="AB118" s="163"/>
      <c r="AC118" s="163"/>
      <c r="AD118" s="163"/>
      <c r="AE118" s="163"/>
      <c r="AF118" s="163"/>
      <c r="AG118" s="163"/>
      <c r="AH118" s="163"/>
      <c r="AI118" s="163"/>
      <c r="AJ118" s="163"/>
      <c r="AK118" s="163"/>
      <c r="AL118" s="163"/>
      <c r="AM118" s="163"/>
    </row>
    <row r="119" ht="13.5" customHeight="1">
      <c r="A119" s="130"/>
      <c r="B119" s="130"/>
      <c r="C119" s="130"/>
      <c r="D119" s="130"/>
      <c r="E119" s="163"/>
      <c r="F119" s="163"/>
      <c r="G119" s="163"/>
      <c r="H119" s="130"/>
      <c r="I119" s="130"/>
      <c r="J119" s="130"/>
      <c r="K119" s="130"/>
      <c r="L119" s="163"/>
      <c r="M119" s="130"/>
      <c r="N119" s="130"/>
      <c r="O119" s="130"/>
      <c r="P119" s="130"/>
      <c r="Q119" s="130"/>
      <c r="R119" s="130"/>
      <c r="S119" s="130"/>
      <c r="T119" s="130"/>
      <c r="U119" s="130"/>
      <c r="V119" s="130"/>
      <c r="W119" s="130"/>
      <c r="X119" s="163"/>
      <c r="Y119" s="163"/>
      <c r="Z119" s="163"/>
      <c r="AA119" s="163"/>
      <c r="AB119" s="163"/>
      <c r="AC119" s="163"/>
      <c r="AD119" s="163"/>
      <c r="AE119" s="163"/>
      <c r="AF119" s="163"/>
      <c r="AG119" s="163"/>
      <c r="AH119" s="163"/>
      <c r="AI119" s="163"/>
      <c r="AJ119" s="163"/>
      <c r="AK119" s="163"/>
      <c r="AL119" s="163"/>
      <c r="AM119" s="163"/>
    </row>
    <row r="120" ht="13.5" customHeight="1">
      <c r="A120" s="130"/>
      <c r="B120" s="130"/>
      <c r="C120" s="130"/>
      <c r="D120" s="130"/>
      <c r="E120" s="163"/>
      <c r="F120" s="163"/>
      <c r="G120" s="163"/>
      <c r="H120" s="130"/>
      <c r="I120" s="130"/>
      <c r="J120" s="130"/>
      <c r="K120" s="130"/>
      <c r="L120" s="163"/>
      <c r="M120" s="130"/>
      <c r="N120" s="130"/>
      <c r="O120" s="130"/>
      <c r="P120" s="130"/>
      <c r="Q120" s="130"/>
      <c r="R120" s="130"/>
      <c r="S120" s="130"/>
      <c r="T120" s="130"/>
      <c r="U120" s="130"/>
      <c r="V120" s="130"/>
      <c r="W120" s="130"/>
      <c r="X120" s="163"/>
      <c r="Y120" s="163"/>
      <c r="Z120" s="163"/>
      <c r="AA120" s="163"/>
      <c r="AB120" s="163"/>
      <c r="AC120" s="163"/>
      <c r="AD120" s="163"/>
      <c r="AE120" s="163"/>
      <c r="AF120" s="163"/>
      <c r="AG120" s="163"/>
      <c r="AH120" s="163"/>
      <c r="AI120" s="163"/>
      <c r="AJ120" s="163"/>
      <c r="AK120" s="163"/>
      <c r="AL120" s="163"/>
      <c r="AM120" s="163"/>
    </row>
    <row r="121" ht="13.5" customHeight="1">
      <c r="A121" s="130"/>
      <c r="B121" s="130"/>
      <c r="C121" s="130"/>
      <c r="D121" s="130"/>
      <c r="E121" s="163"/>
      <c r="F121" s="163"/>
      <c r="G121" s="163"/>
      <c r="H121" s="130"/>
      <c r="I121" s="130"/>
      <c r="J121" s="130"/>
      <c r="K121" s="130"/>
      <c r="L121" s="163"/>
      <c r="M121" s="130"/>
      <c r="N121" s="130"/>
      <c r="O121" s="130"/>
      <c r="P121" s="130"/>
      <c r="Q121" s="130"/>
      <c r="R121" s="130"/>
      <c r="S121" s="130"/>
      <c r="T121" s="130"/>
      <c r="U121" s="130"/>
      <c r="V121" s="130"/>
      <c r="W121" s="130"/>
      <c r="X121" s="163"/>
      <c r="Y121" s="163"/>
      <c r="Z121" s="163"/>
      <c r="AA121" s="163"/>
      <c r="AB121" s="163"/>
      <c r="AC121" s="163"/>
      <c r="AD121" s="163"/>
      <c r="AE121" s="163"/>
      <c r="AF121" s="163"/>
      <c r="AG121" s="163"/>
      <c r="AH121" s="163"/>
      <c r="AI121" s="163"/>
      <c r="AJ121" s="163"/>
      <c r="AK121" s="163"/>
      <c r="AL121" s="163"/>
      <c r="AM121" s="163"/>
    </row>
    <row r="122" ht="13.5" customHeight="1">
      <c r="A122" s="130"/>
      <c r="B122" s="130"/>
      <c r="C122" s="130"/>
      <c r="D122" s="130"/>
      <c r="E122" s="163"/>
      <c r="F122" s="163"/>
      <c r="G122" s="163"/>
      <c r="H122" s="130"/>
      <c r="I122" s="130"/>
      <c r="J122" s="130"/>
      <c r="K122" s="130"/>
      <c r="L122" s="163"/>
      <c r="M122" s="130"/>
      <c r="N122" s="130"/>
      <c r="O122" s="130"/>
      <c r="P122" s="130"/>
      <c r="Q122" s="130"/>
      <c r="R122" s="130"/>
      <c r="S122" s="130"/>
      <c r="T122" s="130"/>
      <c r="U122" s="130"/>
      <c r="V122" s="130"/>
      <c r="W122" s="130"/>
      <c r="X122" s="163"/>
      <c r="Y122" s="163"/>
      <c r="Z122" s="163"/>
      <c r="AA122" s="163"/>
      <c r="AB122" s="163"/>
      <c r="AC122" s="163"/>
      <c r="AD122" s="163"/>
      <c r="AE122" s="163"/>
      <c r="AF122" s="163"/>
      <c r="AG122" s="163"/>
      <c r="AH122" s="163"/>
      <c r="AI122" s="163"/>
      <c r="AJ122" s="163"/>
      <c r="AK122" s="163"/>
      <c r="AL122" s="163"/>
      <c r="AM122" s="163"/>
    </row>
    <row r="123" ht="13.5" customHeight="1">
      <c r="A123" s="130"/>
      <c r="B123" s="130"/>
      <c r="C123" s="130"/>
      <c r="D123" s="130"/>
      <c r="E123" s="163"/>
      <c r="F123" s="163"/>
      <c r="G123" s="163"/>
      <c r="H123" s="130"/>
      <c r="I123" s="130"/>
      <c r="J123" s="130"/>
      <c r="K123" s="130"/>
      <c r="L123" s="163"/>
      <c r="M123" s="130"/>
      <c r="N123" s="130"/>
      <c r="O123" s="130"/>
      <c r="P123" s="130"/>
      <c r="Q123" s="130"/>
      <c r="R123" s="130"/>
      <c r="S123" s="130"/>
      <c r="T123" s="130"/>
      <c r="U123" s="130"/>
      <c r="V123" s="130"/>
      <c r="W123" s="130"/>
      <c r="X123" s="163"/>
      <c r="Y123" s="163"/>
      <c r="Z123" s="163"/>
      <c r="AA123" s="163"/>
      <c r="AB123" s="163"/>
      <c r="AC123" s="163"/>
      <c r="AD123" s="163"/>
      <c r="AE123" s="163"/>
      <c r="AF123" s="163"/>
      <c r="AG123" s="163"/>
      <c r="AH123" s="163"/>
      <c r="AI123" s="163"/>
      <c r="AJ123" s="163"/>
      <c r="AK123" s="163"/>
      <c r="AL123" s="163"/>
      <c r="AM123" s="163"/>
    </row>
    <row r="124" ht="13.5" customHeight="1">
      <c r="A124" s="130"/>
      <c r="B124" s="130"/>
      <c r="C124" s="130"/>
      <c r="D124" s="130"/>
      <c r="E124" s="163"/>
      <c r="F124" s="163"/>
      <c r="G124" s="163"/>
      <c r="H124" s="130"/>
      <c r="I124" s="130"/>
      <c r="J124" s="130"/>
      <c r="K124" s="130"/>
      <c r="L124" s="163"/>
      <c r="M124" s="130"/>
      <c r="N124" s="130"/>
      <c r="O124" s="130"/>
      <c r="P124" s="130"/>
      <c r="Q124" s="130"/>
      <c r="R124" s="130"/>
      <c r="S124" s="130"/>
      <c r="T124" s="130"/>
      <c r="U124" s="130"/>
      <c r="V124" s="130"/>
      <c r="W124" s="130"/>
      <c r="X124" s="163"/>
      <c r="Y124" s="163"/>
      <c r="Z124" s="163"/>
      <c r="AA124" s="163"/>
      <c r="AB124" s="163"/>
      <c r="AC124" s="163"/>
      <c r="AD124" s="163"/>
      <c r="AE124" s="163"/>
      <c r="AF124" s="163"/>
      <c r="AG124" s="163"/>
      <c r="AH124" s="163"/>
      <c r="AI124" s="163"/>
      <c r="AJ124" s="163"/>
      <c r="AK124" s="163"/>
      <c r="AL124" s="163"/>
      <c r="AM124" s="163"/>
    </row>
    <row r="125" ht="13.5" customHeight="1">
      <c r="A125" s="130"/>
      <c r="B125" s="130"/>
      <c r="C125" s="130"/>
      <c r="D125" s="130"/>
      <c r="E125" s="163"/>
      <c r="F125" s="163"/>
      <c r="G125" s="163"/>
      <c r="H125" s="130"/>
      <c r="I125" s="130"/>
      <c r="J125" s="130"/>
      <c r="K125" s="130"/>
      <c r="L125" s="163"/>
      <c r="M125" s="130"/>
      <c r="N125" s="130"/>
      <c r="O125" s="130"/>
      <c r="P125" s="130"/>
      <c r="Q125" s="130"/>
      <c r="R125" s="130"/>
      <c r="S125" s="130"/>
      <c r="T125" s="130"/>
      <c r="U125" s="130"/>
      <c r="V125" s="130"/>
      <c r="W125" s="130"/>
      <c r="X125" s="163"/>
      <c r="Y125" s="163"/>
      <c r="Z125" s="163"/>
      <c r="AA125" s="163"/>
      <c r="AB125" s="163"/>
      <c r="AC125" s="163"/>
      <c r="AD125" s="163"/>
      <c r="AE125" s="163"/>
      <c r="AF125" s="163"/>
      <c r="AG125" s="163"/>
      <c r="AH125" s="163"/>
      <c r="AI125" s="163"/>
      <c r="AJ125" s="163"/>
      <c r="AK125" s="163"/>
      <c r="AL125" s="163"/>
      <c r="AM125" s="163"/>
    </row>
    <row r="126" ht="13.5" customHeight="1">
      <c r="A126" s="130"/>
      <c r="B126" s="130"/>
      <c r="C126" s="130"/>
      <c r="D126" s="130"/>
      <c r="E126" s="163"/>
      <c r="F126" s="163"/>
      <c r="G126" s="163"/>
      <c r="H126" s="130"/>
      <c r="I126" s="130"/>
      <c r="J126" s="130"/>
      <c r="K126" s="130"/>
      <c r="L126" s="163"/>
      <c r="M126" s="130"/>
      <c r="N126" s="130"/>
      <c r="O126" s="130"/>
      <c r="P126" s="130"/>
      <c r="Q126" s="130"/>
      <c r="R126" s="130"/>
      <c r="S126" s="130"/>
      <c r="T126" s="130"/>
      <c r="U126" s="130"/>
      <c r="V126" s="130"/>
      <c r="W126" s="130"/>
      <c r="X126" s="163"/>
      <c r="Y126" s="163"/>
      <c r="Z126" s="163"/>
      <c r="AA126" s="163"/>
      <c r="AB126" s="163"/>
      <c r="AC126" s="163"/>
      <c r="AD126" s="163"/>
      <c r="AE126" s="163"/>
      <c r="AF126" s="163"/>
      <c r="AG126" s="163"/>
      <c r="AH126" s="163"/>
      <c r="AI126" s="163"/>
      <c r="AJ126" s="163"/>
      <c r="AK126" s="163"/>
      <c r="AL126" s="163"/>
      <c r="AM126" s="163"/>
    </row>
    <row r="127" ht="13.5" customHeight="1">
      <c r="A127" s="130"/>
      <c r="B127" s="130"/>
      <c r="C127" s="130"/>
      <c r="D127" s="130"/>
      <c r="E127" s="163"/>
      <c r="F127" s="163"/>
      <c r="G127" s="163"/>
      <c r="H127" s="130"/>
      <c r="I127" s="130"/>
      <c r="J127" s="130"/>
      <c r="K127" s="130"/>
      <c r="L127" s="163"/>
      <c r="M127" s="130"/>
      <c r="N127" s="130"/>
      <c r="O127" s="130"/>
      <c r="P127" s="130"/>
      <c r="Q127" s="130"/>
      <c r="R127" s="130"/>
      <c r="S127" s="130"/>
      <c r="T127" s="130"/>
      <c r="U127" s="130"/>
      <c r="V127" s="130"/>
      <c r="W127" s="130"/>
      <c r="X127" s="163"/>
      <c r="Y127" s="163"/>
      <c r="Z127" s="163"/>
      <c r="AA127" s="163"/>
      <c r="AB127" s="163"/>
      <c r="AC127" s="163"/>
      <c r="AD127" s="163"/>
      <c r="AE127" s="163"/>
      <c r="AF127" s="163"/>
      <c r="AG127" s="163"/>
      <c r="AH127" s="163"/>
      <c r="AI127" s="163"/>
      <c r="AJ127" s="163"/>
      <c r="AK127" s="163"/>
      <c r="AL127" s="163"/>
      <c r="AM127" s="163"/>
    </row>
    <row r="128" ht="13.5" customHeight="1">
      <c r="A128" s="130"/>
      <c r="B128" s="130"/>
      <c r="C128" s="130"/>
      <c r="D128" s="130"/>
      <c r="E128" s="163"/>
      <c r="F128" s="163"/>
      <c r="G128" s="163"/>
      <c r="H128" s="130"/>
      <c r="I128" s="130"/>
      <c r="J128" s="130"/>
      <c r="K128" s="130"/>
      <c r="L128" s="163"/>
      <c r="M128" s="130"/>
      <c r="N128" s="130"/>
      <c r="O128" s="130"/>
      <c r="P128" s="130"/>
      <c r="Q128" s="130"/>
      <c r="R128" s="130"/>
      <c r="S128" s="130"/>
      <c r="T128" s="130"/>
      <c r="U128" s="130"/>
      <c r="V128" s="130"/>
      <c r="W128" s="130"/>
      <c r="X128" s="163"/>
      <c r="Y128" s="163"/>
      <c r="Z128" s="163"/>
      <c r="AA128" s="163"/>
      <c r="AB128" s="163"/>
      <c r="AC128" s="163"/>
      <c r="AD128" s="163"/>
      <c r="AE128" s="163"/>
      <c r="AF128" s="163"/>
      <c r="AG128" s="163"/>
      <c r="AH128" s="163"/>
      <c r="AI128" s="163"/>
      <c r="AJ128" s="163"/>
      <c r="AK128" s="163"/>
      <c r="AL128" s="163"/>
      <c r="AM128" s="163"/>
    </row>
    <row r="129" ht="13.5" customHeight="1">
      <c r="A129" s="130"/>
      <c r="B129" s="130"/>
      <c r="C129" s="130"/>
      <c r="D129" s="130"/>
      <c r="E129" s="163"/>
      <c r="F129" s="163"/>
      <c r="G129" s="163"/>
      <c r="H129" s="130"/>
      <c r="I129" s="130"/>
      <c r="J129" s="130"/>
      <c r="K129" s="130"/>
      <c r="L129" s="163"/>
      <c r="M129" s="130"/>
      <c r="N129" s="130"/>
      <c r="O129" s="130"/>
      <c r="P129" s="130"/>
      <c r="Q129" s="130"/>
      <c r="R129" s="130"/>
      <c r="S129" s="130"/>
      <c r="T129" s="130"/>
      <c r="U129" s="130"/>
      <c r="V129" s="130"/>
      <c r="W129" s="130"/>
      <c r="X129" s="163"/>
      <c r="Y129" s="163"/>
      <c r="Z129" s="163"/>
      <c r="AA129" s="163"/>
      <c r="AB129" s="163"/>
      <c r="AC129" s="163"/>
      <c r="AD129" s="163"/>
      <c r="AE129" s="163"/>
      <c r="AF129" s="163"/>
      <c r="AG129" s="163"/>
      <c r="AH129" s="163"/>
      <c r="AI129" s="163"/>
      <c r="AJ129" s="163"/>
      <c r="AK129" s="163"/>
      <c r="AL129" s="163"/>
      <c r="AM129" s="163"/>
    </row>
    <row r="130" ht="13.5" customHeight="1">
      <c r="A130" s="130"/>
      <c r="B130" s="130"/>
      <c r="C130" s="130"/>
      <c r="D130" s="130"/>
      <c r="E130" s="163"/>
      <c r="F130" s="163"/>
      <c r="G130" s="163"/>
      <c r="H130" s="130"/>
      <c r="I130" s="130"/>
      <c r="J130" s="130"/>
      <c r="K130" s="130"/>
      <c r="L130" s="163"/>
      <c r="M130" s="130"/>
      <c r="N130" s="130"/>
      <c r="O130" s="130"/>
      <c r="P130" s="130"/>
      <c r="Q130" s="130"/>
      <c r="R130" s="130"/>
      <c r="S130" s="130"/>
      <c r="T130" s="130"/>
      <c r="U130" s="130"/>
      <c r="V130" s="130"/>
      <c r="W130" s="130"/>
      <c r="X130" s="163"/>
      <c r="Y130" s="163"/>
      <c r="Z130" s="163"/>
      <c r="AA130" s="163"/>
      <c r="AB130" s="163"/>
      <c r="AC130" s="163"/>
      <c r="AD130" s="163"/>
      <c r="AE130" s="163"/>
      <c r="AF130" s="163"/>
      <c r="AG130" s="163"/>
      <c r="AH130" s="163"/>
      <c r="AI130" s="163"/>
      <c r="AJ130" s="163"/>
      <c r="AK130" s="163"/>
      <c r="AL130" s="163"/>
      <c r="AM130" s="163"/>
    </row>
    <row r="131" ht="13.5" customHeight="1">
      <c r="A131" s="130"/>
      <c r="B131" s="130"/>
      <c r="C131" s="130"/>
      <c r="D131" s="130"/>
      <c r="E131" s="163"/>
      <c r="F131" s="163"/>
      <c r="G131" s="163"/>
      <c r="H131" s="130"/>
      <c r="I131" s="130"/>
      <c r="J131" s="130"/>
      <c r="K131" s="130"/>
      <c r="L131" s="163"/>
      <c r="M131" s="130"/>
      <c r="N131" s="130"/>
      <c r="O131" s="130"/>
      <c r="P131" s="130"/>
      <c r="Q131" s="130"/>
      <c r="R131" s="130"/>
      <c r="S131" s="130"/>
      <c r="T131" s="130"/>
      <c r="U131" s="130"/>
      <c r="V131" s="130"/>
      <c r="W131" s="130"/>
      <c r="X131" s="163"/>
      <c r="Y131" s="163"/>
      <c r="Z131" s="163"/>
      <c r="AA131" s="163"/>
      <c r="AB131" s="163"/>
      <c r="AC131" s="163"/>
      <c r="AD131" s="163"/>
      <c r="AE131" s="163"/>
      <c r="AF131" s="163"/>
      <c r="AG131" s="163"/>
      <c r="AH131" s="163"/>
      <c r="AI131" s="163"/>
      <c r="AJ131" s="163"/>
      <c r="AK131" s="163"/>
      <c r="AL131" s="163"/>
      <c r="AM131" s="163"/>
    </row>
    <row r="132" ht="13.5" customHeight="1">
      <c r="A132" s="130"/>
      <c r="B132" s="130"/>
      <c r="C132" s="130"/>
      <c r="D132" s="130"/>
      <c r="E132" s="163"/>
      <c r="F132" s="163"/>
      <c r="G132" s="163"/>
      <c r="H132" s="130"/>
      <c r="I132" s="130"/>
      <c r="J132" s="130"/>
      <c r="K132" s="130"/>
      <c r="L132" s="163"/>
      <c r="M132" s="130"/>
      <c r="N132" s="130"/>
      <c r="O132" s="130"/>
      <c r="P132" s="130"/>
      <c r="Q132" s="130"/>
      <c r="R132" s="130"/>
      <c r="S132" s="130"/>
      <c r="T132" s="130"/>
      <c r="U132" s="130"/>
      <c r="V132" s="130"/>
      <c r="W132" s="130"/>
      <c r="X132" s="163"/>
      <c r="Y132" s="163"/>
      <c r="Z132" s="163"/>
      <c r="AA132" s="163"/>
      <c r="AB132" s="163"/>
      <c r="AC132" s="163"/>
      <c r="AD132" s="163"/>
      <c r="AE132" s="163"/>
      <c r="AF132" s="163"/>
      <c r="AG132" s="163"/>
      <c r="AH132" s="163"/>
      <c r="AI132" s="163"/>
      <c r="AJ132" s="163"/>
      <c r="AK132" s="163"/>
      <c r="AL132" s="163"/>
      <c r="AM132" s="163"/>
    </row>
    <row r="133" ht="13.5" customHeight="1">
      <c r="A133" s="130"/>
      <c r="B133" s="130"/>
      <c r="C133" s="130"/>
      <c r="D133" s="130"/>
      <c r="E133" s="163"/>
      <c r="F133" s="163"/>
      <c r="G133" s="163"/>
      <c r="H133" s="130"/>
      <c r="I133" s="130"/>
      <c r="J133" s="130"/>
      <c r="K133" s="130"/>
      <c r="L133" s="163"/>
      <c r="M133" s="130"/>
      <c r="N133" s="130"/>
      <c r="O133" s="130"/>
      <c r="P133" s="130"/>
      <c r="Q133" s="130"/>
      <c r="R133" s="130"/>
      <c r="S133" s="130"/>
      <c r="T133" s="130"/>
      <c r="U133" s="130"/>
      <c r="V133" s="130"/>
      <c r="W133" s="130"/>
      <c r="X133" s="163"/>
      <c r="Y133" s="163"/>
      <c r="Z133" s="163"/>
      <c r="AA133" s="163"/>
      <c r="AB133" s="163"/>
      <c r="AC133" s="163"/>
      <c r="AD133" s="163"/>
      <c r="AE133" s="163"/>
      <c r="AF133" s="163"/>
      <c r="AG133" s="163"/>
      <c r="AH133" s="163"/>
      <c r="AI133" s="163"/>
      <c r="AJ133" s="163"/>
      <c r="AK133" s="163"/>
      <c r="AL133" s="163"/>
      <c r="AM133" s="163"/>
    </row>
    <row r="134" ht="13.5" customHeight="1">
      <c r="A134" s="130"/>
      <c r="B134" s="130"/>
      <c r="C134" s="130"/>
      <c r="D134" s="130"/>
      <c r="E134" s="163"/>
      <c r="F134" s="163"/>
      <c r="G134" s="163"/>
      <c r="H134" s="130"/>
      <c r="I134" s="130"/>
      <c r="J134" s="130"/>
      <c r="K134" s="130"/>
      <c r="L134" s="163"/>
      <c r="M134" s="130"/>
      <c r="N134" s="130"/>
      <c r="O134" s="130"/>
      <c r="P134" s="130"/>
      <c r="Q134" s="130"/>
      <c r="R134" s="130"/>
      <c r="S134" s="130"/>
      <c r="T134" s="130"/>
      <c r="U134" s="130"/>
      <c r="V134" s="130"/>
      <c r="W134" s="130"/>
      <c r="X134" s="163"/>
      <c r="Y134" s="163"/>
      <c r="Z134" s="163"/>
      <c r="AA134" s="163"/>
      <c r="AB134" s="163"/>
      <c r="AC134" s="163"/>
      <c r="AD134" s="163"/>
      <c r="AE134" s="163"/>
      <c r="AF134" s="163"/>
      <c r="AG134" s="163"/>
      <c r="AH134" s="163"/>
      <c r="AI134" s="163"/>
      <c r="AJ134" s="163"/>
      <c r="AK134" s="163"/>
      <c r="AL134" s="163"/>
      <c r="AM134" s="163"/>
    </row>
    <row r="135" ht="13.5" customHeight="1">
      <c r="A135" s="130"/>
      <c r="B135" s="130"/>
      <c r="C135" s="130"/>
      <c r="D135" s="130"/>
      <c r="E135" s="163"/>
      <c r="F135" s="163"/>
      <c r="G135" s="163"/>
      <c r="H135" s="130"/>
      <c r="I135" s="130"/>
      <c r="J135" s="130"/>
      <c r="K135" s="130"/>
      <c r="L135" s="163"/>
      <c r="M135" s="130"/>
      <c r="N135" s="130"/>
      <c r="O135" s="130"/>
      <c r="P135" s="130"/>
      <c r="Q135" s="130"/>
      <c r="R135" s="130"/>
      <c r="S135" s="130"/>
      <c r="T135" s="130"/>
      <c r="U135" s="130"/>
      <c r="V135" s="130"/>
      <c r="W135" s="130"/>
      <c r="X135" s="163"/>
      <c r="Y135" s="163"/>
      <c r="Z135" s="163"/>
      <c r="AA135" s="163"/>
      <c r="AB135" s="163"/>
      <c r="AC135" s="163"/>
      <c r="AD135" s="163"/>
      <c r="AE135" s="163"/>
      <c r="AF135" s="163"/>
      <c r="AG135" s="163"/>
      <c r="AH135" s="163"/>
      <c r="AI135" s="163"/>
      <c r="AJ135" s="163"/>
      <c r="AK135" s="163"/>
      <c r="AL135" s="163"/>
      <c r="AM135" s="163"/>
    </row>
    <row r="136" ht="13.5" customHeight="1">
      <c r="A136" s="130"/>
      <c r="B136" s="130"/>
      <c r="C136" s="130"/>
      <c r="D136" s="130"/>
      <c r="E136" s="163"/>
      <c r="F136" s="163"/>
      <c r="G136" s="163"/>
      <c r="H136" s="130"/>
      <c r="I136" s="130"/>
      <c r="J136" s="130"/>
      <c r="K136" s="130"/>
      <c r="L136" s="163"/>
      <c r="M136" s="130"/>
      <c r="N136" s="130"/>
      <c r="O136" s="130"/>
      <c r="P136" s="130"/>
      <c r="Q136" s="130"/>
      <c r="R136" s="130"/>
      <c r="S136" s="130"/>
      <c r="T136" s="130"/>
      <c r="U136" s="130"/>
      <c r="V136" s="130"/>
      <c r="W136" s="130"/>
      <c r="X136" s="163"/>
      <c r="Y136" s="163"/>
      <c r="Z136" s="163"/>
      <c r="AA136" s="163"/>
      <c r="AB136" s="163"/>
      <c r="AC136" s="163"/>
      <c r="AD136" s="163"/>
      <c r="AE136" s="163"/>
      <c r="AF136" s="163"/>
      <c r="AG136" s="163"/>
      <c r="AH136" s="163"/>
      <c r="AI136" s="163"/>
      <c r="AJ136" s="163"/>
      <c r="AK136" s="163"/>
      <c r="AL136" s="163"/>
      <c r="AM136" s="163"/>
    </row>
    <row r="137" ht="13.5" customHeight="1">
      <c r="A137" s="130"/>
      <c r="B137" s="130"/>
      <c r="C137" s="130"/>
      <c r="D137" s="130"/>
      <c r="E137" s="163"/>
      <c r="F137" s="163"/>
      <c r="G137" s="163"/>
      <c r="H137" s="130"/>
      <c r="I137" s="130"/>
      <c r="J137" s="130"/>
      <c r="K137" s="130"/>
      <c r="L137" s="163"/>
      <c r="M137" s="130"/>
      <c r="N137" s="130"/>
      <c r="O137" s="130"/>
      <c r="P137" s="130"/>
      <c r="Q137" s="130"/>
      <c r="R137" s="130"/>
      <c r="S137" s="130"/>
      <c r="T137" s="130"/>
      <c r="U137" s="130"/>
      <c r="V137" s="130"/>
      <c r="W137" s="130"/>
      <c r="X137" s="163"/>
      <c r="Y137" s="163"/>
      <c r="Z137" s="163"/>
      <c r="AA137" s="163"/>
      <c r="AB137" s="163"/>
      <c r="AC137" s="163"/>
      <c r="AD137" s="163"/>
      <c r="AE137" s="163"/>
      <c r="AF137" s="163"/>
      <c r="AG137" s="163"/>
      <c r="AH137" s="163"/>
      <c r="AI137" s="163"/>
      <c r="AJ137" s="163"/>
      <c r="AK137" s="163"/>
      <c r="AL137" s="163"/>
      <c r="AM137" s="163"/>
    </row>
    <row r="138" ht="13.5" customHeight="1">
      <c r="A138" s="130"/>
      <c r="B138" s="130"/>
      <c r="C138" s="130"/>
      <c r="D138" s="130"/>
      <c r="E138" s="163"/>
      <c r="F138" s="163"/>
      <c r="G138" s="163"/>
      <c r="H138" s="130"/>
      <c r="I138" s="130"/>
      <c r="J138" s="130"/>
      <c r="K138" s="130"/>
      <c r="L138" s="163"/>
      <c r="M138" s="130"/>
      <c r="N138" s="130"/>
      <c r="O138" s="130"/>
      <c r="P138" s="130"/>
      <c r="Q138" s="130"/>
      <c r="R138" s="130"/>
      <c r="S138" s="130"/>
      <c r="T138" s="130"/>
      <c r="U138" s="130"/>
      <c r="V138" s="130"/>
      <c r="W138" s="130"/>
      <c r="X138" s="163"/>
      <c r="Y138" s="163"/>
      <c r="Z138" s="163"/>
      <c r="AA138" s="163"/>
      <c r="AB138" s="163"/>
      <c r="AC138" s="163"/>
      <c r="AD138" s="163"/>
      <c r="AE138" s="163"/>
      <c r="AF138" s="163"/>
      <c r="AG138" s="163"/>
      <c r="AH138" s="163"/>
      <c r="AI138" s="163"/>
      <c r="AJ138" s="163"/>
      <c r="AK138" s="163"/>
      <c r="AL138" s="163"/>
      <c r="AM138" s="163"/>
    </row>
    <row r="139" ht="13.5" customHeight="1">
      <c r="A139" s="130"/>
      <c r="B139" s="130"/>
      <c r="C139" s="130"/>
      <c r="D139" s="130"/>
      <c r="E139" s="163"/>
      <c r="F139" s="163"/>
      <c r="G139" s="163"/>
      <c r="H139" s="130"/>
      <c r="I139" s="130"/>
      <c r="J139" s="130"/>
      <c r="K139" s="130"/>
      <c r="L139" s="163"/>
      <c r="M139" s="130"/>
      <c r="N139" s="130"/>
      <c r="O139" s="130"/>
      <c r="P139" s="130"/>
      <c r="Q139" s="130"/>
      <c r="R139" s="130"/>
      <c r="S139" s="130"/>
      <c r="T139" s="130"/>
      <c r="U139" s="130"/>
      <c r="V139" s="130"/>
      <c r="W139" s="130"/>
      <c r="X139" s="163"/>
      <c r="Y139" s="163"/>
      <c r="Z139" s="163"/>
      <c r="AA139" s="163"/>
      <c r="AB139" s="163"/>
      <c r="AC139" s="163"/>
      <c r="AD139" s="163"/>
      <c r="AE139" s="163"/>
      <c r="AF139" s="163"/>
      <c r="AG139" s="163"/>
      <c r="AH139" s="163"/>
      <c r="AI139" s="163"/>
      <c r="AJ139" s="163"/>
      <c r="AK139" s="163"/>
      <c r="AL139" s="163"/>
      <c r="AM139" s="163"/>
    </row>
    <row r="140" ht="13.5" customHeight="1">
      <c r="A140" s="130"/>
      <c r="B140" s="130"/>
      <c r="C140" s="130"/>
      <c r="D140" s="130"/>
      <c r="E140" s="163"/>
      <c r="F140" s="163"/>
      <c r="G140" s="163"/>
      <c r="H140" s="130"/>
      <c r="I140" s="130"/>
      <c r="J140" s="130"/>
      <c r="K140" s="130"/>
      <c r="L140" s="163"/>
      <c r="M140" s="130"/>
      <c r="N140" s="130"/>
      <c r="O140" s="130"/>
      <c r="P140" s="130"/>
      <c r="Q140" s="130"/>
      <c r="R140" s="130"/>
      <c r="S140" s="130"/>
      <c r="T140" s="130"/>
      <c r="U140" s="130"/>
      <c r="V140" s="130"/>
      <c r="W140" s="130"/>
      <c r="X140" s="163"/>
      <c r="Y140" s="163"/>
      <c r="Z140" s="163"/>
      <c r="AA140" s="163"/>
      <c r="AB140" s="163"/>
      <c r="AC140" s="163"/>
      <c r="AD140" s="163"/>
      <c r="AE140" s="163"/>
      <c r="AF140" s="163"/>
      <c r="AG140" s="163"/>
      <c r="AH140" s="163"/>
      <c r="AI140" s="163"/>
      <c r="AJ140" s="163"/>
      <c r="AK140" s="163"/>
      <c r="AL140" s="163"/>
      <c r="AM140" s="163"/>
    </row>
    <row r="141" ht="13.5" customHeight="1">
      <c r="A141" s="130"/>
      <c r="B141" s="130"/>
      <c r="C141" s="130"/>
      <c r="D141" s="130"/>
      <c r="E141" s="163"/>
      <c r="F141" s="163"/>
      <c r="G141" s="163"/>
      <c r="H141" s="130"/>
      <c r="I141" s="130"/>
      <c r="J141" s="130"/>
      <c r="K141" s="130"/>
      <c r="L141" s="163"/>
      <c r="M141" s="130"/>
      <c r="N141" s="130"/>
      <c r="O141" s="130"/>
      <c r="P141" s="130"/>
      <c r="Q141" s="130"/>
      <c r="R141" s="130"/>
      <c r="S141" s="130"/>
      <c r="T141" s="130"/>
      <c r="U141" s="130"/>
      <c r="V141" s="130"/>
      <c r="W141" s="130"/>
      <c r="X141" s="163"/>
      <c r="Y141" s="163"/>
      <c r="Z141" s="163"/>
      <c r="AA141" s="163"/>
      <c r="AB141" s="163"/>
      <c r="AC141" s="163"/>
      <c r="AD141" s="163"/>
      <c r="AE141" s="163"/>
      <c r="AF141" s="163"/>
      <c r="AG141" s="163"/>
      <c r="AH141" s="163"/>
      <c r="AI141" s="163"/>
      <c r="AJ141" s="163"/>
      <c r="AK141" s="163"/>
      <c r="AL141" s="163"/>
      <c r="AM141" s="163"/>
    </row>
    <row r="142" ht="13.5" customHeight="1">
      <c r="A142" s="130"/>
      <c r="B142" s="130"/>
      <c r="C142" s="130"/>
      <c r="D142" s="130"/>
      <c r="E142" s="163"/>
      <c r="F142" s="163"/>
      <c r="G142" s="163"/>
      <c r="H142" s="130"/>
      <c r="I142" s="130"/>
      <c r="J142" s="130"/>
      <c r="K142" s="130"/>
      <c r="L142" s="163"/>
      <c r="M142" s="130"/>
      <c r="N142" s="130"/>
      <c r="O142" s="130"/>
      <c r="P142" s="130"/>
      <c r="Q142" s="130"/>
      <c r="R142" s="130"/>
      <c r="S142" s="130"/>
      <c r="T142" s="130"/>
      <c r="U142" s="130"/>
      <c r="V142" s="130"/>
      <c r="W142" s="130"/>
      <c r="X142" s="163"/>
      <c r="Y142" s="163"/>
      <c r="Z142" s="163"/>
      <c r="AA142" s="163"/>
      <c r="AB142" s="163"/>
      <c r="AC142" s="163"/>
      <c r="AD142" s="163"/>
      <c r="AE142" s="163"/>
      <c r="AF142" s="163"/>
      <c r="AG142" s="163"/>
      <c r="AH142" s="163"/>
      <c r="AI142" s="163"/>
      <c r="AJ142" s="163"/>
      <c r="AK142" s="163"/>
      <c r="AL142" s="163"/>
      <c r="AM142" s="163"/>
    </row>
    <row r="143" ht="13.5" customHeight="1">
      <c r="A143" s="130"/>
      <c r="B143" s="130"/>
      <c r="C143" s="130"/>
      <c r="D143" s="130"/>
      <c r="E143" s="163"/>
      <c r="F143" s="163"/>
      <c r="G143" s="163"/>
      <c r="H143" s="130"/>
      <c r="I143" s="130"/>
      <c r="J143" s="130"/>
      <c r="K143" s="130"/>
      <c r="L143" s="163"/>
      <c r="M143" s="130"/>
      <c r="N143" s="130"/>
      <c r="O143" s="130"/>
      <c r="P143" s="130"/>
      <c r="Q143" s="130"/>
      <c r="R143" s="130"/>
      <c r="S143" s="130"/>
      <c r="T143" s="130"/>
      <c r="U143" s="130"/>
      <c r="V143" s="130"/>
      <c r="W143" s="130"/>
      <c r="X143" s="163"/>
      <c r="Y143" s="163"/>
      <c r="Z143" s="163"/>
      <c r="AA143" s="163"/>
      <c r="AB143" s="163"/>
      <c r="AC143" s="163"/>
      <c r="AD143" s="163"/>
      <c r="AE143" s="163"/>
      <c r="AF143" s="163"/>
      <c r="AG143" s="163"/>
      <c r="AH143" s="163"/>
      <c r="AI143" s="163"/>
      <c r="AJ143" s="163"/>
      <c r="AK143" s="163"/>
      <c r="AL143" s="163"/>
      <c r="AM143" s="163"/>
    </row>
    <row r="144" ht="13.5" customHeight="1">
      <c r="A144" s="130"/>
      <c r="B144" s="130"/>
      <c r="C144" s="130"/>
      <c r="D144" s="130"/>
      <c r="E144" s="163"/>
      <c r="F144" s="163"/>
      <c r="G144" s="163"/>
      <c r="H144" s="130"/>
      <c r="I144" s="130"/>
      <c r="J144" s="130"/>
      <c r="K144" s="130"/>
      <c r="L144" s="163"/>
      <c r="M144" s="130"/>
      <c r="N144" s="130"/>
      <c r="O144" s="130"/>
      <c r="P144" s="130"/>
      <c r="Q144" s="130"/>
      <c r="R144" s="130"/>
      <c r="S144" s="130"/>
      <c r="T144" s="130"/>
      <c r="U144" s="130"/>
      <c r="V144" s="130"/>
      <c r="W144" s="130"/>
      <c r="X144" s="163"/>
      <c r="Y144" s="163"/>
      <c r="Z144" s="163"/>
      <c r="AA144" s="163"/>
      <c r="AB144" s="163"/>
      <c r="AC144" s="163"/>
      <c r="AD144" s="163"/>
      <c r="AE144" s="163"/>
      <c r="AF144" s="163"/>
      <c r="AG144" s="163"/>
      <c r="AH144" s="163"/>
      <c r="AI144" s="163"/>
      <c r="AJ144" s="163"/>
      <c r="AK144" s="163"/>
      <c r="AL144" s="163"/>
      <c r="AM144" s="163"/>
    </row>
    <row r="145" ht="13.5" customHeight="1">
      <c r="A145" s="130"/>
      <c r="B145" s="130"/>
      <c r="C145" s="130"/>
      <c r="D145" s="130"/>
      <c r="E145" s="163"/>
      <c r="F145" s="163"/>
      <c r="G145" s="163"/>
      <c r="H145" s="130"/>
      <c r="I145" s="130"/>
      <c r="J145" s="130"/>
      <c r="K145" s="130"/>
      <c r="L145" s="163"/>
      <c r="M145" s="130"/>
      <c r="N145" s="130"/>
      <c r="O145" s="130"/>
      <c r="P145" s="130"/>
      <c r="Q145" s="130"/>
      <c r="R145" s="130"/>
      <c r="S145" s="130"/>
      <c r="T145" s="130"/>
      <c r="U145" s="130"/>
      <c r="V145" s="130"/>
      <c r="W145" s="130"/>
      <c r="X145" s="163"/>
      <c r="Y145" s="163"/>
      <c r="Z145" s="163"/>
      <c r="AA145" s="163"/>
      <c r="AB145" s="163"/>
      <c r="AC145" s="163"/>
      <c r="AD145" s="163"/>
      <c r="AE145" s="163"/>
      <c r="AF145" s="163"/>
      <c r="AG145" s="163"/>
      <c r="AH145" s="163"/>
      <c r="AI145" s="163"/>
      <c r="AJ145" s="163"/>
      <c r="AK145" s="163"/>
      <c r="AL145" s="163"/>
      <c r="AM145" s="163"/>
    </row>
    <row r="146" ht="13.5" customHeight="1">
      <c r="A146" s="130"/>
      <c r="B146" s="130"/>
      <c r="C146" s="130"/>
      <c r="D146" s="130"/>
      <c r="E146" s="163"/>
      <c r="F146" s="163"/>
      <c r="G146" s="163"/>
      <c r="H146" s="130"/>
      <c r="I146" s="130"/>
      <c r="J146" s="130"/>
      <c r="K146" s="130"/>
      <c r="L146" s="163"/>
      <c r="M146" s="130"/>
      <c r="N146" s="130"/>
      <c r="O146" s="130"/>
      <c r="P146" s="130"/>
      <c r="Q146" s="130"/>
      <c r="R146" s="130"/>
      <c r="S146" s="130"/>
      <c r="T146" s="130"/>
      <c r="U146" s="130"/>
      <c r="V146" s="130"/>
      <c r="W146" s="130"/>
      <c r="X146" s="163"/>
      <c r="Y146" s="163"/>
      <c r="Z146" s="163"/>
      <c r="AA146" s="163"/>
      <c r="AB146" s="163"/>
      <c r="AC146" s="163"/>
      <c r="AD146" s="163"/>
      <c r="AE146" s="163"/>
      <c r="AF146" s="163"/>
      <c r="AG146" s="163"/>
      <c r="AH146" s="163"/>
      <c r="AI146" s="163"/>
      <c r="AJ146" s="163"/>
      <c r="AK146" s="163"/>
      <c r="AL146" s="163"/>
      <c r="AM146" s="163"/>
    </row>
    <row r="147" ht="13.5" customHeight="1">
      <c r="A147" s="130"/>
      <c r="B147" s="130"/>
      <c r="C147" s="130"/>
      <c r="D147" s="130"/>
      <c r="E147" s="163"/>
      <c r="F147" s="163"/>
      <c r="G147" s="163"/>
      <c r="H147" s="130"/>
      <c r="I147" s="130"/>
      <c r="J147" s="130"/>
      <c r="K147" s="130"/>
      <c r="L147" s="163"/>
      <c r="M147" s="130"/>
      <c r="N147" s="130"/>
      <c r="O147" s="130"/>
      <c r="P147" s="130"/>
      <c r="Q147" s="130"/>
      <c r="R147" s="130"/>
      <c r="S147" s="130"/>
      <c r="T147" s="130"/>
      <c r="U147" s="130"/>
      <c r="V147" s="130"/>
      <c r="W147" s="130"/>
      <c r="X147" s="163"/>
      <c r="Y147" s="163"/>
      <c r="Z147" s="163"/>
      <c r="AA147" s="163"/>
      <c r="AB147" s="163"/>
      <c r="AC147" s="163"/>
      <c r="AD147" s="163"/>
      <c r="AE147" s="163"/>
      <c r="AF147" s="163"/>
      <c r="AG147" s="163"/>
      <c r="AH147" s="163"/>
      <c r="AI147" s="163"/>
      <c r="AJ147" s="163"/>
      <c r="AK147" s="163"/>
      <c r="AL147" s="163"/>
      <c r="AM147" s="163"/>
    </row>
    <row r="148" ht="13.5" customHeight="1">
      <c r="A148" s="130"/>
      <c r="B148" s="130"/>
      <c r="C148" s="130"/>
      <c r="D148" s="130"/>
      <c r="E148" s="163"/>
      <c r="F148" s="163"/>
      <c r="G148" s="163"/>
      <c r="H148" s="130"/>
      <c r="I148" s="130"/>
      <c r="J148" s="130"/>
      <c r="K148" s="130"/>
      <c r="L148" s="163"/>
      <c r="M148" s="130"/>
      <c r="N148" s="130"/>
      <c r="O148" s="130"/>
      <c r="P148" s="130"/>
      <c r="Q148" s="130"/>
      <c r="R148" s="130"/>
      <c r="S148" s="130"/>
      <c r="T148" s="130"/>
      <c r="U148" s="130"/>
      <c r="V148" s="130"/>
      <c r="W148" s="130"/>
      <c r="X148" s="163"/>
      <c r="Y148" s="163"/>
      <c r="Z148" s="163"/>
      <c r="AA148" s="163"/>
      <c r="AB148" s="163"/>
      <c r="AC148" s="163"/>
      <c r="AD148" s="163"/>
      <c r="AE148" s="163"/>
      <c r="AF148" s="163"/>
      <c r="AG148" s="163"/>
      <c r="AH148" s="163"/>
      <c r="AI148" s="163"/>
      <c r="AJ148" s="163"/>
      <c r="AK148" s="163"/>
      <c r="AL148" s="163"/>
      <c r="AM148" s="163"/>
    </row>
    <row r="149" ht="13.5" customHeight="1">
      <c r="A149" s="130"/>
      <c r="B149" s="130"/>
      <c r="C149" s="130"/>
      <c r="D149" s="130"/>
      <c r="E149" s="163"/>
      <c r="F149" s="163"/>
      <c r="G149" s="163"/>
      <c r="H149" s="130"/>
      <c r="I149" s="130"/>
      <c r="J149" s="130"/>
      <c r="K149" s="130"/>
      <c r="L149" s="163"/>
      <c r="M149" s="130"/>
      <c r="N149" s="130"/>
      <c r="O149" s="130"/>
      <c r="P149" s="130"/>
      <c r="Q149" s="130"/>
      <c r="R149" s="130"/>
      <c r="S149" s="130"/>
      <c r="T149" s="130"/>
      <c r="U149" s="130"/>
      <c r="V149" s="130"/>
      <c r="W149" s="130"/>
      <c r="X149" s="163"/>
      <c r="Y149" s="163"/>
      <c r="Z149" s="163"/>
      <c r="AA149" s="163"/>
      <c r="AB149" s="163"/>
      <c r="AC149" s="163"/>
      <c r="AD149" s="163"/>
      <c r="AE149" s="163"/>
      <c r="AF149" s="163"/>
      <c r="AG149" s="163"/>
      <c r="AH149" s="163"/>
      <c r="AI149" s="163"/>
      <c r="AJ149" s="163"/>
      <c r="AK149" s="163"/>
      <c r="AL149" s="163"/>
      <c r="AM149" s="163"/>
    </row>
    <row r="150" ht="13.5" customHeight="1">
      <c r="A150" s="130"/>
      <c r="B150" s="130"/>
      <c r="C150" s="130"/>
      <c r="D150" s="130"/>
      <c r="E150" s="163"/>
      <c r="F150" s="163"/>
      <c r="G150" s="163"/>
      <c r="H150" s="130"/>
      <c r="I150" s="130"/>
      <c r="J150" s="130"/>
      <c r="K150" s="130"/>
      <c r="L150" s="163"/>
      <c r="M150" s="130"/>
      <c r="N150" s="130"/>
      <c r="O150" s="130"/>
      <c r="P150" s="130"/>
      <c r="Q150" s="130"/>
      <c r="R150" s="130"/>
      <c r="S150" s="130"/>
      <c r="T150" s="130"/>
      <c r="U150" s="130"/>
      <c r="V150" s="130"/>
      <c r="W150" s="130"/>
      <c r="X150" s="163"/>
      <c r="Y150" s="163"/>
      <c r="Z150" s="163"/>
      <c r="AA150" s="163"/>
      <c r="AB150" s="163"/>
      <c r="AC150" s="163"/>
      <c r="AD150" s="163"/>
      <c r="AE150" s="163"/>
      <c r="AF150" s="163"/>
      <c r="AG150" s="163"/>
      <c r="AH150" s="163"/>
      <c r="AI150" s="163"/>
      <c r="AJ150" s="163"/>
      <c r="AK150" s="163"/>
      <c r="AL150" s="163"/>
      <c r="AM150" s="163"/>
    </row>
    <row r="151" ht="13.5" customHeight="1">
      <c r="A151" s="130"/>
      <c r="B151" s="130"/>
      <c r="C151" s="130"/>
      <c r="D151" s="130"/>
      <c r="E151" s="163"/>
      <c r="F151" s="163"/>
      <c r="G151" s="163"/>
      <c r="H151" s="130"/>
      <c r="I151" s="130"/>
      <c r="J151" s="130"/>
      <c r="K151" s="130"/>
      <c r="L151" s="163"/>
      <c r="M151" s="130"/>
      <c r="N151" s="130"/>
      <c r="O151" s="130"/>
      <c r="P151" s="130"/>
      <c r="Q151" s="130"/>
      <c r="R151" s="130"/>
      <c r="S151" s="130"/>
      <c r="T151" s="130"/>
      <c r="U151" s="130"/>
      <c r="V151" s="130"/>
      <c r="W151" s="130"/>
      <c r="X151" s="163"/>
      <c r="Y151" s="163"/>
      <c r="Z151" s="163"/>
      <c r="AA151" s="163"/>
      <c r="AB151" s="163"/>
      <c r="AC151" s="163"/>
      <c r="AD151" s="163"/>
      <c r="AE151" s="163"/>
      <c r="AF151" s="163"/>
      <c r="AG151" s="163"/>
      <c r="AH151" s="163"/>
      <c r="AI151" s="163"/>
      <c r="AJ151" s="163"/>
      <c r="AK151" s="163"/>
      <c r="AL151" s="163"/>
      <c r="AM151" s="163"/>
    </row>
    <row r="152" ht="13.5" customHeight="1">
      <c r="A152" s="130"/>
      <c r="B152" s="130"/>
      <c r="C152" s="130"/>
      <c r="D152" s="130"/>
      <c r="E152" s="163"/>
      <c r="F152" s="163"/>
      <c r="G152" s="163"/>
      <c r="H152" s="130"/>
      <c r="I152" s="130"/>
      <c r="J152" s="130"/>
      <c r="K152" s="130"/>
      <c r="L152" s="163"/>
      <c r="M152" s="130"/>
      <c r="N152" s="130"/>
      <c r="O152" s="130"/>
      <c r="P152" s="130"/>
      <c r="Q152" s="130"/>
      <c r="R152" s="130"/>
      <c r="S152" s="130"/>
      <c r="T152" s="130"/>
      <c r="U152" s="130"/>
      <c r="V152" s="130"/>
      <c r="W152" s="130"/>
      <c r="X152" s="163"/>
      <c r="Y152" s="163"/>
      <c r="Z152" s="163"/>
      <c r="AA152" s="163"/>
      <c r="AB152" s="163"/>
      <c r="AC152" s="163"/>
      <c r="AD152" s="163"/>
      <c r="AE152" s="163"/>
      <c r="AF152" s="163"/>
      <c r="AG152" s="163"/>
      <c r="AH152" s="163"/>
      <c r="AI152" s="163"/>
      <c r="AJ152" s="163"/>
      <c r="AK152" s="163"/>
      <c r="AL152" s="163"/>
      <c r="AM152" s="163"/>
    </row>
    <row r="153" ht="13.5" customHeight="1">
      <c r="A153" s="130"/>
      <c r="B153" s="130"/>
      <c r="C153" s="130"/>
      <c r="D153" s="130"/>
      <c r="E153" s="163"/>
      <c r="F153" s="163"/>
      <c r="G153" s="163"/>
      <c r="H153" s="130"/>
      <c r="I153" s="130"/>
      <c r="J153" s="130"/>
      <c r="K153" s="130"/>
      <c r="L153" s="163"/>
      <c r="M153" s="130"/>
      <c r="N153" s="130"/>
      <c r="O153" s="130"/>
      <c r="P153" s="130"/>
      <c r="Q153" s="130"/>
      <c r="R153" s="130"/>
      <c r="S153" s="130"/>
      <c r="T153" s="130"/>
      <c r="U153" s="130"/>
      <c r="V153" s="130"/>
      <c r="W153" s="130"/>
      <c r="X153" s="163"/>
      <c r="Y153" s="163"/>
      <c r="Z153" s="163"/>
      <c r="AA153" s="163"/>
      <c r="AB153" s="163"/>
      <c r="AC153" s="163"/>
      <c r="AD153" s="163"/>
      <c r="AE153" s="163"/>
      <c r="AF153" s="163"/>
      <c r="AG153" s="163"/>
      <c r="AH153" s="163"/>
      <c r="AI153" s="163"/>
      <c r="AJ153" s="163"/>
      <c r="AK153" s="163"/>
      <c r="AL153" s="163"/>
      <c r="AM153" s="163"/>
    </row>
    <row r="154" ht="13.5" customHeight="1">
      <c r="A154" s="130"/>
      <c r="B154" s="130"/>
      <c r="C154" s="130"/>
      <c r="D154" s="130"/>
      <c r="E154" s="163"/>
      <c r="F154" s="163"/>
      <c r="G154" s="163"/>
      <c r="H154" s="130"/>
      <c r="I154" s="130"/>
      <c r="J154" s="130"/>
      <c r="K154" s="130"/>
      <c r="L154" s="163"/>
      <c r="M154" s="130"/>
      <c r="N154" s="130"/>
      <c r="O154" s="130"/>
      <c r="P154" s="130"/>
      <c r="Q154" s="130"/>
      <c r="R154" s="130"/>
      <c r="S154" s="130"/>
      <c r="T154" s="130"/>
      <c r="U154" s="130"/>
      <c r="V154" s="130"/>
      <c r="W154" s="130"/>
      <c r="X154" s="163"/>
      <c r="Y154" s="163"/>
      <c r="Z154" s="163"/>
      <c r="AA154" s="163"/>
      <c r="AB154" s="163"/>
      <c r="AC154" s="163"/>
      <c r="AD154" s="163"/>
      <c r="AE154" s="163"/>
      <c r="AF154" s="163"/>
      <c r="AG154" s="163"/>
      <c r="AH154" s="163"/>
      <c r="AI154" s="163"/>
      <c r="AJ154" s="163"/>
      <c r="AK154" s="163"/>
      <c r="AL154" s="163"/>
      <c r="AM154" s="163"/>
    </row>
    <row r="155" ht="13.5" customHeight="1">
      <c r="A155" s="130"/>
      <c r="B155" s="130"/>
      <c r="C155" s="130"/>
      <c r="D155" s="130"/>
      <c r="E155" s="163"/>
      <c r="F155" s="163"/>
      <c r="G155" s="163"/>
      <c r="H155" s="130"/>
      <c r="I155" s="130"/>
      <c r="J155" s="130"/>
      <c r="K155" s="130"/>
      <c r="L155" s="163"/>
      <c r="M155" s="130"/>
      <c r="N155" s="130"/>
      <c r="O155" s="130"/>
      <c r="P155" s="130"/>
      <c r="Q155" s="130"/>
      <c r="R155" s="130"/>
      <c r="S155" s="130"/>
      <c r="T155" s="130"/>
      <c r="U155" s="130"/>
      <c r="V155" s="130"/>
      <c r="W155" s="130"/>
      <c r="X155" s="163"/>
      <c r="Y155" s="163"/>
      <c r="Z155" s="163"/>
      <c r="AA155" s="163"/>
      <c r="AB155" s="163"/>
      <c r="AC155" s="163"/>
      <c r="AD155" s="163"/>
      <c r="AE155" s="163"/>
      <c r="AF155" s="163"/>
      <c r="AG155" s="163"/>
      <c r="AH155" s="163"/>
      <c r="AI155" s="163"/>
      <c r="AJ155" s="163"/>
      <c r="AK155" s="163"/>
      <c r="AL155" s="163"/>
      <c r="AM155" s="163"/>
    </row>
    <row r="156" ht="13.5" customHeight="1">
      <c r="A156" s="130"/>
      <c r="B156" s="130"/>
      <c r="C156" s="130"/>
      <c r="D156" s="130"/>
      <c r="E156" s="163"/>
      <c r="F156" s="163"/>
      <c r="G156" s="163"/>
      <c r="H156" s="130"/>
      <c r="I156" s="130"/>
      <c r="J156" s="130"/>
      <c r="K156" s="130"/>
      <c r="L156" s="163"/>
      <c r="M156" s="130"/>
      <c r="N156" s="130"/>
      <c r="O156" s="130"/>
      <c r="P156" s="130"/>
      <c r="Q156" s="130"/>
      <c r="R156" s="130"/>
      <c r="S156" s="130"/>
      <c r="T156" s="130"/>
      <c r="U156" s="130"/>
      <c r="V156" s="130"/>
      <c r="W156" s="130"/>
      <c r="X156" s="163"/>
      <c r="Y156" s="163"/>
      <c r="Z156" s="163"/>
      <c r="AA156" s="163"/>
      <c r="AB156" s="163"/>
      <c r="AC156" s="163"/>
      <c r="AD156" s="163"/>
      <c r="AE156" s="163"/>
      <c r="AF156" s="163"/>
      <c r="AG156" s="163"/>
      <c r="AH156" s="163"/>
      <c r="AI156" s="163"/>
      <c r="AJ156" s="163"/>
      <c r="AK156" s="163"/>
      <c r="AL156" s="163"/>
      <c r="AM156" s="163"/>
    </row>
    <row r="157" ht="13.5" customHeight="1">
      <c r="A157" s="130"/>
      <c r="B157" s="130"/>
      <c r="C157" s="130"/>
      <c r="D157" s="130"/>
      <c r="E157" s="163"/>
      <c r="F157" s="163"/>
      <c r="G157" s="163"/>
      <c r="H157" s="130"/>
      <c r="I157" s="130"/>
      <c r="J157" s="130"/>
      <c r="K157" s="130"/>
      <c r="L157" s="163"/>
      <c r="M157" s="130"/>
      <c r="N157" s="130"/>
      <c r="O157" s="130"/>
      <c r="P157" s="130"/>
      <c r="Q157" s="130"/>
      <c r="R157" s="130"/>
      <c r="S157" s="130"/>
      <c r="T157" s="130"/>
      <c r="U157" s="130"/>
      <c r="V157" s="130"/>
      <c r="W157" s="130"/>
      <c r="X157" s="163"/>
      <c r="Y157" s="163"/>
      <c r="Z157" s="163"/>
      <c r="AA157" s="163"/>
      <c r="AB157" s="163"/>
      <c r="AC157" s="163"/>
      <c r="AD157" s="163"/>
      <c r="AE157" s="163"/>
      <c r="AF157" s="163"/>
      <c r="AG157" s="163"/>
      <c r="AH157" s="163"/>
      <c r="AI157" s="163"/>
      <c r="AJ157" s="163"/>
      <c r="AK157" s="163"/>
      <c r="AL157" s="163"/>
      <c r="AM157" s="163"/>
    </row>
    <row r="158" ht="13.5" customHeight="1">
      <c r="A158" s="130"/>
      <c r="B158" s="130"/>
      <c r="C158" s="130"/>
      <c r="D158" s="130"/>
      <c r="E158" s="163"/>
      <c r="F158" s="163"/>
      <c r="G158" s="163"/>
      <c r="H158" s="130"/>
      <c r="I158" s="130"/>
      <c r="J158" s="130"/>
      <c r="K158" s="130"/>
      <c r="L158" s="163"/>
      <c r="M158" s="130"/>
      <c r="N158" s="130"/>
      <c r="O158" s="130"/>
      <c r="P158" s="130"/>
      <c r="Q158" s="130"/>
      <c r="R158" s="130"/>
      <c r="S158" s="130"/>
      <c r="T158" s="130"/>
      <c r="U158" s="130"/>
      <c r="V158" s="130"/>
      <c r="W158" s="130"/>
      <c r="X158" s="163"/>
      <c r="Y158" s="163"/>
      <c r="Z158" s="163"/>
      <c r="AA158" s="163"/>
      <c r="AB158" s="163"/>
      <c r="AC158" s="163"/>
      <c r="AD158" s="163"/>
      <c r="AE158" s="163"/>
      <c r="AF158" s="163"/>
      <c r="AG158" s="163"/>
      <c r="AH158" s="163"/>
      <c r="AI158" s="163"/>
      <c r="AJ158" s="163"/>
      <c r="AK158" s="163"/>
      <c r="AL158" s="163"/>
      <c r="AM158" s="163"/>
    </row>
    <row r="159" ht="13.5" customHeight="1">
      <c r="A159" s="130"/>
      <c r="B159" s="130"/>
      <c r="C159" s="130"/>
      <c r="D159" s="130"/>
      <c r="E159" s="163"/>
      <c r="F159" s="163"/>
      <c r="G159" s="163"/>
      <c r="H159" s="130"/>
      <c r="I159" s="130"/>
      <c r="J159" s="130"/>
      <c r="K159" s="130"/>
      <c r="L159" s="163"/>
      <c r="M159" s="130"/>
      <c r="N159" s="130"/>
      <c r="O159" s="130"/>
      <c r="P159" s="130"/>
      <c r="Q159" s="130"/>
      <c r="R159" s="130"/>
      <c r="S159" s="130"/>
      <c r="T159" s="130"/>
      <c r="U159" s="130"/>
      <c r="V159" s="130"/>
      <c r="W159" s="130"/>
      <c r="X159" s="163"/>
      <c r="Y159" s="163"/>
      <c r="Z159" s="163"/>
      <c r="AA159" s="163"/>
      <c r="AB159" s="163"/>
      <c r="AC159" s="163"/>
      <c r="AD159" s="163"/>
      <c r="AE159" s="163"/>
      <c r="AF159" s="163"/>
      <c r="AG159" s="163"/>
      <c r="AH159" s="163"/>
      <c r="AI159" s="163"/>
      <c r="AJ159" s="163"/>
      <c r="AK159" s="163"/>
      <c r="AL159" s="163"/>
      <c r="AM159" s="163"/>
    </row>
    <row r="160" ht="13.5" customHeight="1">
      <c r="A160" s="130"/>
      <c r="B160" s="130"/>
      <c r="C160" s="130"/>
      <c r="D160" s="130"/>
      <c r="E160" s="163"/>
      <c r="F160" s="163"/>
      <c r="G160" s="163"/>
      <c r="H160" s="130"/>
      <c r="I160" s="130"/>
      <c r="J160" s="130"/>
      <c r="K160" s="130"/>
      <c r="L160" s="163"/>
      <c r="M160" s="130"/>
      <c r="N160" s="130"/>
      <c r="O160" s="130"/>
      <c r="P160" s="130"/>
      <c r="Q160" s="130"/>
      <c r="R160" s="130"/>
      <c r="S160" s="130"/>
      <c r="T160" s="130"/>
      <c r="U160" s="130"/>
      <c r="V160" s="130"/>
      <c r="W160" s="130"/>
      <c r="X160" s="163"/>
      <c r="Y160" s="163"/>
      <c r="Z160" s="163"/>
      <c r="AA160" s="163"/>
      <c r="AB160" s="163"/>
      <c r="AC160" s="163"/>
      <c r="AD160" s="163"/>
      <c r="AE160" s="163"/>
      <c r="AF160" s="163"/>
      <c r="AG160" s="163"/>
      <c r="AH160" s="163"/>
      <c r="AI160" s="163"/>
      <c r="AJ160" s="163"/>
      <c r="AK160" s="163"/>
      <c r="AL160" s="163"/>
      <c r="AM160" s="163"/>
    </row>
    <row r="161" ht="13.5" customHeight="1">
      <c r="A161" s="130"/>
      <c r="B161" s="130"/>
      <c r="C161" s="130"/>
      <c r="D161" s="130"/>
      <c r="E161" s="163"/>
      <c r="F161" s="163"/>
      <c r="G161" s="163"/>
      <c r="H161" s="130"/>
      <c r="I161" s="130"/>
      <c r="J161" s="130"/>
      <c r="K161" s="130"/>
      <c r="L161" s="163"/>
      <c r="M161" s="130"/>
      <c r="N161" s="130"/>
      <c r="O161" s="130"/>
      <c r="P161" s="130"/>
      <c r="Q161" s="130"/>
      <c r="R161" s="130"/>
      <c r="S161" s="130"/>
      <c r="T161" s="130"/>
      <c r="U161" s="130"/>
      <c r="V161" s="130"/>
      <c r="W161" s="130"/>
      <c r="X161" s="163"/>
      <c r="Y161" s="163"/>
      <c r="Z161" s="163"/>
      <c r="AA161" s="163"/>
      <c r="AB161" s="163"/>
      <c r="AC161" s="163"/>
      <c r="AD161" s="163"/>
      <c r="AE161" s="163"/>
      <c r="AF161" s="163"/>
      <c r="AG161" s="163"/>
      <c r="AH161" s="163"/>
      <c r="AI161" s="163"/>
      <c r="AJ161" s="163"/>
      <c r="AK161" s="163"/>
      <c r="AL161" s="163"/>
      <c r="AM161" s="163"/>
    </row>
    <row r="162" ht="13.5" customHeight="1">
      <c r="A162" s="130"/>
      <c r="B162" s="130"/>
      <c r="C162" s="130"/>
      <c r="D162" s="130"/>
      <c r="E162" s="163"/>
      <c r="F162" s="163"/>
      <c r="G162" s="163"/>
      <c r="H162" s="130"/>
      <c r="I162" s="130"/>
      <c r="J162" s="130"/>
      <c r="K162" s="130"/>
      <c r="L162" s="163"/>
      <c r="M162" s="130"/>
      <c r="N162" s="130"/>
      <c r="O162" s="130"/>
      <c r="P162" s="130"/>
      <c r="Q162" s="130"/>
      <c r="R162" s="130"/>
      <c r="S162" s="130"/>
      <c r="T162" s="130"/>
      <c r="U162" s="130"/>
      <c r="V162" s="130"/>
      <c r="W162" s="130"/>
      <c r="X162" s="163"/>
      <c r="Y162" s="163"/>
      <c r="Z162" s="163"/>
      <c r="AA162" s="163"/>
      <c r="AB162" s="163"/>
      <c r="AC162" s="163"/>
      <c r="AD162" s="163"/>
      <c r="AE162" s="163"/>
      <c r="AF162" s="163"/>
      <c r="AG162" s="163"/>
      <c r="AH162" s="163"/>
      <c r="AI162" s="163"/>
      <c r="AJ162" s="163"/>
      <c r="AK162" s="163"/>
      <c r="AL162" s="163"/>
      <c r="AM162" s="163"/>
    </row>
    <row r="163" ht="13.5" customHeight="1">
      <c r="A163" s="130"/>
      <c r="B163" s="130"/>
      <c r="C163" s="130"/>
      <c r="D163" s="130"/>
      <c r="E163" s="163"/>
      <c r="F163" s="163"/>
      <c r="G163" s="163"/>
      <c r="H163" s="130"/>
      <c r="I163" s="130"/>
      <c r="J163" s="130"/>
      <c r="K163" s="130"/>
      <c r="L163" s="163"/>
      <c r="M163" s="130"/>
      <c r="N163" s="130"/>
      <c r="O163" s="130"/>
      <c r="P163" s="130"/>
      <c r="Q163" s="130"/>
      <c r="R163" s="130"/>
      <c r="S163" s="130"/>
      <c r="T163" s="130"/>
      <c r="U163" s="130"/>
      <c r="V163" s="130"/>
      <c r="W163" s="130"/>
      <c r="X163" s="163"/>
      <c r="Y163" s="163"/>
      <c r="Z163" s="163"/>
      <c r="AA163" s="163"/>
      <c r="AB163" s="163"/>
      <c r="AC163" s="163"/>
      <c r="AD163" s="163"/>
      <c r="AE163" s="163"/>
      <c r="AF163" s="163"/>
      <c r="AG163" s="163"/>
      <c r="AH163" s="163"/>
      <c r="AI163" s="163"/>
      <c r="AJ163" s="163"/>
      <c r="AK163" s="163"/>
      <c r="AL163" s="163"/>
      <c r="AM163" s="163"/>
    </row>
    <row r="164" ht="13.5" customHeight="1">
      <c r="A164" s="130"/>
      <c r="B164" s="130"/>
      <c r="C164" s="130"/>
      <c r="D164" s="130"/>
      <c r="E164" s="163"/>
      <c r="F164" s="163"/>
      <c r="G164" s="163"/>
      <c r="H164" s="130"/>
      <c r="I164" s="130"/>
      <c r="J164" s="130"/>
      <c r="K164" s="130"/>
      <c r="L164" s="163"/>
      <c r="M164" s="130"/>
      <c r="N164" s="130"/>
      <c r="O164" s="130"/>
      <c r="P164" s="130"/>
      <c r="Q164" s="130"/>
      <c r="R164" s="130"/>
      <c r="S164" s="130"/>
      <c r="T164" s="130"/>
      <c r="U164" s="130"/>
      <c r="V164" s="130"/>
      <c r="W164" s="130"/>
      <c r="X164" s="163"/>
      <c r="Y164" s="163"/>
      <c r="Z164" s="163"/>
      <c r="AA164" s="163"/>
      <c r="AB164" s="163"/>
      <c r="AC164" s="163"/>
      <c r="AD164" s="163"/>
      <c r="AE164" s="163"/>
      <c r="AF164" s="163"/>
      <c r="AG164" s="163"/>
      <c r="AH164" s="163"/>
      <c r="AI164" s="163"/>
      <c r="AJ164" s="163"/>
      <c r="AK164" s="163"/>
      <c r="AL164" s="163"/>
      <c r="AM164" s="163"/>
    </row>
    <row r="165" ht="13.5" customHeight="1">
      <c r="A165" s="130"/>
      <c r="B165" s="130"/>
      <c r="C165" s="130"/>
      <c r="D165" s="130"/>
      <c r="E165" s="163"/>
      <c r="F165" s="163"/>
      <c r="G165" s="163"/>
      <c r="H165" s="130"/>
      <c r="I165" s="130"/>
      <c r="J165" s="130"/>
      <c r="K165" s="130"/>
      <c r="L165" s="163"/>
      <c r="M165" s="130"/>
      <c r="N165" s="130"/>
      <c r="O165" s="130"/>
      <c r="P165" s="130"/>
      <c r="Q165" s="130"/>
      <c r="R165" s="130"/>
      <c r="S165" s="130"/>
      <c r="T165" s="130"/>
      <c r="U165" s="130"/>
      <c r="V165" s="130"/>
      <c r="W165" s="130"/>
      <c r="X165" s="163"/>
      <c r="Y165" s="163"/>
      <c r="Z165" s="163"/>
      <c r="AA165" s="163"/>
      <c r="AB165" s="163"/>
      <c r="AC165" s="163"/>
      <c r="AD165" s="163"/>
      <c r="AE165" s="163"/>
      <c r="AF165" s="163"/>
      <c r="AG165" s="163"/>
      <c r="AH165" s="163"/>
      <c r="AI165" s="163"/>
      <c r="AJ165" s="163"/>
      <c r="AK165" s="163"/>
      <c r="AL165" s="163"/>
      <c r="AM165" s="163"/>
    </row>
    <row r="166" ht="13.5" customHeight="1">
      <c r="A166" s="130"/>
      <c r="B166" s="130"/>
      <c r="C166" s="130"/>
      <c r="D166" s="130"/>
      <c r="E166" s="163"/>
      <c r="F166" s="163"/>
      <c r="G166" s="163"/>
      <c r="H166" s="130"/>
      <c r="I166" s="130"/>
      <c r="J166" s="130"/>
      <c r="K166" s="130"/>
      <c r="L166" s="163"/>
      <c r="M166" s="130"/>
      <c r="N166" s="130"/>
      <c r="O166" s="130"/>
      <c r="P166" s="130"/>
      <c r="Q166" s="130"/>
      <c r="R166" s="130"/>
      <c r="S166" s="130"/>
      <c r="T166" s="130"/>
      <c r="U166" s="130"/>
      <c r="V166" s="130"/>
      <c r="W166" s="130"/>
      <c r="X166" s="163"/>
      <c r="Y166" s="163"/>
      <c r="Z166" s="163"/>
      <c r="AA166" s="163"/>
      <c r="AB166" s="163"/>
      <c r="AC166" s="163"/>
      <c r="AD166" s="163"/>
      <c r="AE166" s="163"/>
      <c r="AF166" s="163"/>
      <c r="AG166" s="163"/>
      <c r="AH166" s="163"/>
      <c r="AI166" s="163"/>
      <c r="AJ166" s="163"/>
      <c r="AK166" s="163"/>
      <c r="AL166" s="163"/>
      <c r="AM166" s="163"/>
    </row>
    <row r="167" ht="13.5" customHeight="1">
      <c r="A167" s="130"/>
      <c r="B167" s="130"/>
      <c r="C167" s="130"/>
      <c r="D167" s="130"/>
      <c r="E167" s="163"/>
      <c r="F167" s="163"/>
      <c r="G167" s="163"/>
      <c r="H167" s="130"/>
      <c r="I167" s="130"/>
      <c r="J167" s="130"/>
      <c r="K167" s="130"/>
      <c r="L167" s="163"/>
      <c r="M167" s="130"/>
      <c r="N167" s="130"/>
      <c r="O167" s="130"/>
      <c r="P167" s="130"/>
      <c r="Q167" s="130"/>
      <c r="R167" s="130"/>
      <c r="S167" s="130"/>
      <c r="T167" s="130"/>
      <c r="U167" s="130"/>
      <c r="V167" s="130"/>
      <c r="W167" s="130"/>
      <c r="X167" s="163"/>
      <c r="Y167" s="163"/>
      <c r="Z167" s="163"/>
      <c r="AA167" s="163"/>
      <c r="AB167" s="163"/>
      <c r="AC167" s="163"/>
      <c r="AD167" s="163"/>
      <c r="AE167" s="163"/>
      <c r="AF167" s="163"/>
      <c r="AG167" s="163"/>
      <c r="AH167" s="163"/>
      <c r="AI167" s="163"/>
      <c r="AJ167" s="163"/>
      <c r="AK167" s="163"/>
      <c r="AL167" s="163"/>
      <c r="AM167" s="163"/>
    </row>
    <row r="168" ht="13.5" customHeight="1">
      <c r="A168" s="130"/>
      <c r="B168" s="130"/>
      <c r="C168" s="130"/>
      <c r="D168" s="130"/>
      <c r="E168" s="163"/>
      <c r="F168" s="163"/>
      <c r="G168" s="163"/>
      <c r="H168" s="130"/>
      <c r="I168" s="130"/>
      <c r="J168" s="130"/>
      <c r="K168" s="130"/>
      <c r="L168" s="163"/>
      <c r="M168" s="130"/>
      <c r="N168" s="130"/>
      <c r="O168" s="130"/>
      <c r="P168" s="130"/>
      <c r="Q168" s="130"/>
      <c r="R168" s="130"/>
      <c r="S168" s="130"/>
      <c r="T168" s="130"/>
      <c r="U168" s="130"/>
      <c r="V168" s="130"/>
      <c r="W168" s="130"/>
      <c r="X168" s="163"/>
      <c r="Y168" s="163"/>
      <c r="Z168" s="163"/>
      <c r="AA168" s="163"/>
      <c r="AB168" s="163"/>
      <c r="AC168" s="163"/>
      <c r="AD168" s="163"/>
      <c r="AE168" s="163"/>
      <c r="AF168" s="163"/>
      <c r="AG168" s="163"/>
      <c r="AH168" s="163"/>
      <c r="AI168" s="163"/>
      <c r="AJ168" s="163"/>
      <c r="AK168" s="163"/>
      <c r="AL168" s="163"/>
      <c r="AM168" s="163"/>
    </row>
    <row r="169" ht="13.5" customHeight="1">
      <c r="A169" s="130"/>
      <c r="B169" s="130"/>
      <c r="C169" s="130"/>
      <c r="D169" s="130"/>
      <c r="E169" s="163"/>
      <c r="F169" s="163"/>
      <c r="G169" s="163"/>
      <c r="H169" s="130"/>
      <c r="I169" s="130"/>
      <c r="J169" s="130"/>
      <c r="K169" s="130"/>
      <c r="L169" s="163"/>
      <c r="M169" s="130"/>
      <c r="N169" s="130"/>
      <c r="O169" s="130"/>
      <c r="P169" s="130"/>
      <c r="Q169" s="130"/>
      <c r="R169" s="130"/>
      <c r="S169" s="130"/>
      <c r="T169" s="130"/>
      <c r="U169" s="130"/>
      <c r="V169" s="130"/>
      <c r="W169" s="130"/>
      <c r="X169" s="163"/>
      <c r="Y169" s="163"/>
      <c r="Z169" s="163"/>
      <c r="AA169" s="163"/>
      <c r="AB169" s="163"/>
      <c r="AC169" s="163"/>
      <c r="AD169" s="163"/>
      <c r="AE169" s="163"/>
      <c r="AF169" s="163"/>
      <c r="AG169" s="163"/>
      <c r="AH169" s="163"/>
      <c r="AI169" s="163"/>
      <c r="AJ169" s="163"/>
      <c r="AK169" s="163"/>
      <c r="AL169" s="163"/>
      <c r="AM169" s="163"/>
    </row>
    <row r="170" ht="13.5" customHeight="1">
      <c r="A170" s="130"/>
      <c r="B170" s="130"/>
      <c r="C170" s="130"/>
      <c r="D170" s="130"/>
      <c r="E170" s="163"/>
      <c r="F170" s="163"/>
      <c r="G170" s="163"/>
      <c r="H170" s="130"/>
      <c r="I170" s="130"/>
      <c r="J170" s="130"/>
      <c r="K170" s="130"/>
      <c r="L170" s="163"/>
      <c r="M170" s="130"/>
      <c r="N170" s="130"/>
      <c r="O170" s="130"/>
      <c r="P170" s="130"/>
      <c r="Q170" s="130"/>
      <c r="R170" s="130"/>
      <c r="S170" s="130"/>
      <c r="T170" s="130"/>
      <c r="U170" s="130"/>
      <c r="V170" s="130"/>
      <c r="W170" s="130"/>
      <c r="X170" s="163"/>
      <c r="Y170" s="163"/>
      <c r="Z170" s="163"/>
      <c r="AA170" s="163"/>
      <c r="AB170" s="163"/>
      <c r="AC170" s="163"/>
      <c r="AD170" s="163"/>
      <c r="AE170" s="163"/>
      <c r="AF170" s="163"/>
      <c r="AG170" s="163"/>
      <c r="AH170" s="163"/>
      <c r="AI170" s="163"/>
      <c r="AJ170" s="163"/>
      <c r="AK170" s="163"/>
      <c r="AL170" s="163"/>
      <c r="AM170" s="163"/>
    </row>
    <row r="171" ht="13.5" customHeight="1">
      <c r="A171" s="130"/>
      <c r="B171" s="130"/>
      <c r="C171" s="130"/>
      <c r="D171" s="130"/>
      <c r="E171" s="163"/>
      <c r="F171" s="163"/>
      <c r="G171" s="163"/>
      <c r="H171" s="130"/>
      <c r="I171" s="130"/>
      <c r="J171" s="130"/>
      <c r="K171" s="130"/>
      <c r="L171" s="163"/>
      <c r="M171" s="130"/>
      <c r="N171" s="130"/>
      <c r="O171" s="130"/>
      <c r="P171" s="130"/>
      <c r="Q171" s="130"/>
      <c r="R171" s="130"/>
      <c r="S171" s="130"/>
      <c r="T171" s="130"/>
      <c r="U171" s="130"/>
      <c r="V171" s="130"/>
      <c r="W171" s="130"/>
      <c r="X171" s="163"/>
      <c r="Y171" s="163"/>
      <c r="Z171" s="163"/>
      <c r="AA171" s="163"/>
      <c r="AB171" s="163"/>
      <c r="AC171" s="163"/>
      <c r="AD171" s="163"/>
      <c r="AE171" s="163"/>
      <c r="AF171" s="163"/>
      <c r="AG171" s="163"/>
      <c r="AH171" s="163"/>
      <c r="AI171" s="163"/>
      <c r="AJ171" s="163"/>
      <c r="AK171" s="163"/>
      <c r="AL171" s="163"/>
      <c r="AM171" s="163"/>
    </row>
    <row r="172" ht="13.5" customHeight="1">
      <c r="A172" s="130"/>
      <c r="B172" s="130"/>
      <c r="C172" s="130"/>
      <c r="D172" s="130"/>
      <c r="E172" s="163"/>
      <c r="F172" s="163"/>
      <c r="G172" s="163"/>
      <c r="H172" s="130"/>
      <c r="I172" s="130"/>
      <c r="J172" s="130"/>
      <c r="K172" s="130"/>
      <c r="L172" s="163"/>
      <c r="M172" s="130"/>
      <c r="N172" s="130"/>
      <c r="O172" s="130"/>
      <c r="P172" s="130"/>
      <c r="Q172" s="130"/>
      <c r="R172" s="130"/>
      <c r="S172" s="130"/>
      <c r="T172" s="130"/>
      <c r="U172" s="130"/>
      <c r="V172" s="130"/>
      <c r="W172" s="130"/>
      <c r="X172" s="163"/>
      <c r="Y172" s="163"/>
      <c r="Z172" s="163"/>
      <c r="AA172" s="163"/>
      <c r="AB172" s="163"/>
      <c r="AC172" s="163"/>
      <c r="AD172" s="163"/>
      <c r="AE172" s="163"/>
      <c r="AF172" s="163"/>
      <c r="AG172" s="163"/>
      <c r="AH172" s="163"/>
      <c r="AI172" s="163"/>
      <c r="AJ172" s="163"/>
      <c r="AK172" s="163"/>
      <c r="AL172" s="163"/>
      <c r="AM172" s="163"/>
    </row>
    <row r="173" ht="13.5" customHeight="1">
      <c r="A173" s="130"/>
      <c r="B173" s="130"/>
      <c r="C173" s="130"/>
      <c r="D173" s="130"/>
      <c r="E173" s="163"/>
      <c r="F173" s="163"/>
      <c r="G173" s="163"/>
      <c r="H173" s="130"/>
      <c r="I173" s="130"/>
      <c r="J173" s="130"/>
      <c r="K173" s="130"/>
      <c r="L173" s="163"/>
      <c r="M173" s="130"/>
      <c r="N173" s="130"/>
      <c r="O173" s="130"/>
      <c r="P173" s="130"/>
      <c r="Q173" s="130"/>
      <c r="R173" s="130"/>
      <c r="S173" s="130"/>
      <c r="T173" s="130"/>
      <c r="U173" s="130"/>
      <c r="V173" s="130"/>
      <c r="W173" s="130"/>
      <c r="X173" s="163"/>
      <c r="Y173" s="163"/>
      <c r="Z173" s="163"/>
      <c r="AA173" s="163"/>
      <c r="AB173" s="163"/>
      <c r="AC173" s="163"/>
      <c r="AD173" s="163"/>
      <c r="AE173" s="163"/>
      <c r="AF173" s="163"/>
      <c r="AG173" s="163"/>
      <c r="AH173" s="163"/>
      <c r="AI173" s="163"/>
      <c r="AJ173" s="163"/>
      <c r="AK173" s="163"/>
      <c r="AL173" s="163"/>
      <c r="AM173" s="163"/>
    </row>
    <row r="174" ht="13.5" customHeight="1">
      <c r="A174" s="130"/>
      <c r="B174" s="130"/>
      <c r="C174" s="130"/>
      <c r="D174" s="130"/>
      <c r="E174" s="163"/>
      <c r="F174" s="163"/>
      <c r="G174" s="163"/>
      <c r="H174" s="130"/>
      <c r="I174" s="130"/>
      <c r="J174" s="130"/>
      <c r="K174" s="130"/>
      <c r="L174" s="163"/>
      <c r="M174" s="130"/>
      <c r="N174" s="130"/>
      <c r="O174" s="130"/>
      <c r="P174" s="130"/>
      <c r="Q174" s="130"/>
      <c r="R174" s="130"/>
      <c r="S174" s="130"/>
      <c r="T174" s="130"/>
      <c r="U174" s="130"/>
      <c r="V174" s="130"/>
      <c r="W174" s="130"/>
      <c r="X174" s="163"/>
      <c r="Y174" s="163"/>
      <c r="Z174" s="163"/>
      <c r="AA174" s="163"/>
      <c r="AB174" s="163"/>
      <c r="AC174" s="163"/>
      <c r="AD174" s="163"/>
      <c r="AE174" s="163"/>
      <c r="AF174" s="163"/>
      <c r="AG174" s="163"/>
      <c r="AH174" s="163"/>
      <c r="AI174" s="163"/>
      <c r="AJ174" s="163"/>
      <c r="AK174" s="163"/>
      <c r="AL174" s="163"/>
      <c r="AM174" s="163"/>
    </row>
    <row r="175" ht="13.5" customHeight="1">
      <c r="A175" s="130"/>
      <c r="B175" s="130"/>
      <c r="C175" s="130"/>
      <c r="D175" s="130"/>
      <c r="E175" s="163"/>
      <c r="F175" s="163"/>
      <c r="G175" s="163"/>
      <c r="H175" s="130"/>
      <c r="I175" s="130"/>
      <c r="J175" s="130"/>
      <c r="K175" s="130"/>
      <c r="L175" s="163"/>
      <c r="M175" s="130"/>
      <c r="N175" s="130"/>
      <c r="O175" s="130"/>
      <c r="P175" s="130"/>
      <c r="Q175" s="130"/>
      <c r="R175" s="130"/>
      <c r="S175" s="130"/>
      <c r="T175" s="130"/>
      <c r="U175" s="130"/>
      <c r="V175" s="130"/>
      <c r="W175" s="130"/>
      <c r="X175" s="163"/>
      <c r="Y175" s="163"/>
      <c r="Z175" s="163"/>
      <c r="AA175" s="163"/>
      <c r="AB175" s="163"/>
      <c r="AC175" s="163"/>
      <c r="AD175" s="163"/>
      <c r="AE175" s="163"/>
      <c r="AF175" s="163"/>
      <c r="AG175" s="163"/>
      <c r="AH175" s="163"/>
      <c r="AI175" s="163"/>
      <c r="AJ175" s="163"/>
      <c r="AK175" s="163"/>
      <c r="AL175" s="163"/>
      <c r="AM175" s="163"/>
    </row>
    <row r="176" ht="13.5" customHeight="1">
      <c r="A176" s="130"/>
      <c r="B176" s="130"/>
      <c r="C176" s="130"/>
      <c r="D176" s="130"/>
      <c r="E176" s="163"/>
      <c r="F176" s="163"/>
      <c r="G176" s="163"/>
      <c r="H176" s="130"/>
      <c r="I176" s="130"/>
      <c r="J176" s="130"/>
      <c r="K176" s="130"/>
      <c r="L176" s="163"/>
      <c r="M176" s="130"/>
      <c r="N176" s="130"/>
      <c r="O176" s="130"/>
      <c r="P176" s="130"/>
      <c r="Q176" s="130"/>
      <c r="R176" s="130"/>
      <c r="S176" s="130"/>
      <c r="T176" s="130"/>
      <c r="U176" s="130"/>
      <c r="V176" s="130"/>
      <c r="W176" s="130"/>
      <c r="X176" s="163"/>
      <c r="Y176" s="163"/>
      <c r="Z176" s="163"/>
      <c r="AA176" s="163"/>
      <c r="AB176" s="163"/>
      <c r="AC176" s="163"/>
      <c r="AD176" s="163"/>
      <c r="AE176" s="163"/>
      <c r="AF176" s="163"/>
      <c r="AG176" s="163"/>
      <c r="AH176" s="163"/>
      <c r="AI176" s="163"/>
      <c r="AJ176" s="163"/>
      <c r="AK176" s="163"/>
      <c r="AL176" s="163"/>
      <c r="AM176" s="163"/>
    </row>
    <row r="177" ht="13.5" customHeight="1">
      <c r="A177" s="130"/>
      <c r="B177" s="130"/>
      <c r="C177" s="130"/>
      <c r="D177" s="130"/>
      <c r="E177" s="163"/>
      <c r="F177" s="163"/>
      <c r="G177" s="163"/>
      <c r="H177" s="130"/>
      <c r="I177" s="130"/>
      <c r="J177" s="130"/>
      <c r="K177" s="130"/>
      <c r="L177" s="163"/>
      <c r="M177" s="130"/>
      <c r="N177" s="130"/>
      <c r="O177" s="130"/>
      <c r="P177" s="130"/>
      <c r="Q177" s="130"/>
      <c r="R177" s="130"/>
      <c r="S177" s="130"/>
      <c r="T177" s="130"/>
      <c r="U177" s="130"/>
      <c r="V177" s="130"/>
      <c r="W177" s="130"/>
      <c r="X177" s="163"/>
      <c r="Y177" s="163"/>
      <c r="Z177" s="163"/>
      <c r="AA177" s="163"/>
      <c r="AB177" s="163"/>
      <c r="AC177" s="163"/>
      <c r="AD177" s="163"/>
      <c r="AE177" s="163"/>
      <c r="AF177" s="163"/>
      <c r="AG177" s="163"/>
      <c r="AH177" s="163"/>
      <c r="AI177" s="163"/>
      <c r="AJ177" s="163"/>
      <c r="AK177" s="163"/>
      <c r="AL177" s="163"/>
      <c r="AM177" s="163"/>
    </row>
    <row r="178" ht="13.5" customHeight="1">
      <c r="A178" s="130"/>
      <c r="B178" s="130"/>
      <c r="C178" s="130"/>
      <c r="D178" s="130"/>
      <c r="E178" s="163"/>
      <c r="F178" s="163"/>
      <c r="G178" s="163"/>
      <c r="H178" s="130"/>
      <c r="I178" s="130"/>
      <c r="J178" s="130"/>
      <c r="K178" s="130"/>
      <c r="L178" s="163"/>
      <c r="M178" s="130"/>
      <c r="N178" s="130"/>
      <c r="O178" s="130"/>
      <c r="P178" s="130"/>
      <c r="Q178" s="130"/>
      <c r="R178" s="130"/>
      <c r="S178" s="130"/>
      <c r="T178" s="130"/>
      <c r="U178" s="130"/>
      <c r="V178" s="130"/>
      <c r="W178" s="130"/>
      <c r="X178" s="163"/>
      <c r="Y178" s="163"/>
      <c r="Z178" s="163"/>
      <c r="AA178" s="163"/>
      <c r="AB178" s="163"/>
      <c r="AC178" s="163"/>
      <c r="AD178" s="163"/>
      <c r="AE178" s="163"/>
      <c r="AF178" s="163"/>
      <c r="AG178" s="163"/>
      <c r="AH178" s="163"/>
      <c r="AI178" s="163"/>
      <c r="AJ178" s="163"/>
      <c r="AK178" s="163"/>
      <c r="AL178" s="163"/>
      <c r="AM178" s="163"/>
    </row>
    <row r="179" ht="13.5" customHeight="1">
      <c r="A179" s="130"/>
      <c r="B179" s="130"/>
      <c r="C179" s="130"/>
      <c r="D179" s="130"/>
      <c r="E179" s="163"/>
      <c r="F179" s="163"/>
      <c r="G179" s="163"/>
      <c r="H179" s="130"/>
      <c r="I179" s="130"/>
      <c r="J179" s="130"/>
      <c r="K179" s="130"/>
      <c r="L179" s="163"/>
      <c r="M179" s="130"/>
      <c r="N179" s="130"/>
      <c r="O179" s="130"/>
      <c r="P179" s="130"/>
      <c r="Q179" s="130"/>
      <c r="R179" s="130"/>
      <c r="S179" s="130"/>
      <c r="T179" s="130"/>
      <c r="U179" s="130"/>
      <c r="V179" s="130"/>
      <c r="W179" s="130"/>
      <c r="X179" s="163"/>
      <c r="Y179" s="163"/>
      <c r="Z179" s="163"/>
      <c r="AA179" s="163"/>
      <c r="AB179" s="163"/>
      <c r="AC179" s="163"/>
      <c r="AD179" s="163"/>
      <c r="AE179" s="163"/>
      <c r="AF179" s="163"/>
      <c r="AG179" s="163"/>
      <c r="AH179" s="163"/>
      <c r="AI179" s="163"/>
      <c r="AJ179" s="163"/>
      <c r="AK179" s="163"/>
      <c r="AL179" s="163"/>
      <c r="AM179" s="163"/>
    </row>
    <row r="180" ht="13.5" customHeight="1">
      <c r="A180" s="130"/>
      <c r="B180" s="130"/>
      <c r="C180" s="130"/>
      <c r="D180" s="130"/>
      <c r="E180" s="163"/>
      <c r="F180" s="163"/>
      <c r="G180" s="163"/>
      <c r="H180" s="130"/>
      <c r="I180" s="130"/>
      <c r="J180" s="130"/>
      <c r="K180" s="130"/>
      <c r="L180" s="163"/>
      <c r="M180" s="130"/>
      <c r="N180" s="130"/>
      <c r="O180" s="130"/>
      <c r="P180" s="130"/>
      <c r="Q180" s="130"/>
      <c r="R180" s="130"/>
      <c r="S180" s="130"/>
      <c r="T180" s="130"/>
      <c r="U180" s="130"/>
      <c r="V180" s="130"/>
      <c r="W180" s="130"/>
      <c r="X180" s="163"/>
      <c r="Y180" s="163"/>
      <c r="Z180" s="163"/>
      <c r="AA180" s="163"/>
      <c r="AB180" s="163"/>
      <c r="AC180" s="163"/>
      <c r="AD180" s="163"/>
      <c r="AE180" s="163"/>
      <c r="AF180" s="163"/>
      <c r="AG180" s="163"/>
      <c r="AH180" s="163"/>
      <c r="AI180" s="163"/>
      <c r="AJ180" s="163"/>
      <c r="AK180" s="163"/>
      <c r="AL180" s="163"/>
      <c r="AM180" s="163"/>
    </row>
    <row r="181" ht="13.5" customHeight="1">
      <c r="A181" s="130"/>
      <c r="B181" s="130"/>
      <c r="C181" s="130"/>
      <c r="D181" s="130"/>
      <c r="E181" s="163"/>
      <c r="F181" s="163"/>
      <c r="G181" s="163"/>
      <c r="H181" s="130"/>
      <c r="I181" s="130"/>
      <c r="J181" s="130"/>
      <c r="K181" s="130"/>
      <c r="L181" s="163"/>
      <c r="M181" s="130"/>
      <c r="N181" s="130"/>
      <c r="O181" s="130"/>
      <c r="P181" s="130"/>
      <c r="Q181" s="130"/>
      <c r="R181" s="130"/>
      <c r="S181" s="130"/>
      <c r="T181" s="130"/>
      <c r="U181" s="130"/>
      <c r="V181" s="130"/>
      <c r="W181" s="130"/>
      <c r="X181" s="163"/>
      <c r="Y181" s="163"/>
      <c r="Z181" s="163"/>
      <c r="AA181" s="163"/>
      <c r="AB181" s="163"/>
      <c r="AC181" s="163"/>
      <c r="AD181" s="163"/>
      <c r="AE181" s="163"/>
      <c r="AF181" s="163"/>
      <c r="AG181" s="163"/>
      <c r="AH181" s="163"/>
      <c r="AI181" s="163"/>
      <c r="AJ181" s="163"/>
      <c r="AK181" s="163"/>
      <c r="AL181" s="163"/>
      <c r="AM181" s="163"/>
    </row>
    <row r="182" ht="13.5" customHeight="1">
      <c r="A182" s="130"/>
      <c r="B182" s="130"/>
      <c r="C182" s="130"/>
      <c r="D182" s="130"/>
      <c r="E182" s="163"/>
      <c r="F182" s="163"/>
      <c r="G182" s="163"/>
      <c r="H182" s="130"/>
      <c r="I182" s="130"/>
      <c r="J182" s="130"/>
      <c r="K182" s="130"/>
      <c r="L182" s="163"/>
      <c r="M182" s="130"/>
      <c r="N182" s="130"/>
      <c r="O182" s="130"/>
      <c r="P182" s="130"/>
      <c r="Q182" s="130"/>
      <c r="R182" s="130"/>
      <c r="S182" s="130"/>
      <c r="T182" s="130"/>
      <c r="U182" s="130"/>
      <c r="V182" s="130"/>
      <c r="W182" s="130"/>
      <c r="X182" s="163"/>
      <c r="Y182" s="163"/>
      <c r="Z182" s="163"/>
      <c r="AA182" s="163"/>
      <c r="AB182" s="163"/>
      <c r="AC182" s="163"/>
      <c r="AD182" s="163"/>
      <c r="AE182" s="163"/>
      <c r="AF182" s="163"/>
      <c r="AG182" s="163"/>
      <c r="AH182" s="163"/>
      <c r="AI182" s="163"/>
      <c r="AJ182" s="163"/>
      <c r="AK182" s="163"/>
      <c r="AL182" s="163"/>
      <c r="AM182" s="163"/>
    </row>
    <row r="183" ht="13.5" customHeight="1">
      <c r="A183" s="130"/>
      <c r="B183" s="130"/>
      <c r="C183" s="130"/>
      <c r="D183" s="130"/>
      <c r="E183" s="163"/>
      <c r="F183" s="163"/>
      <c r="G183" s="163"/>
      <c r="H183" s="130"/>
      <c r="I183" s="130"/>
      <c r="J183" s="130"/>
      <c r="K183" s="130"/>
      <c r="L183" s="163"/>
      <c r="M183" s="130"/>
      <c r="N183" s="130"/>
      <c r="O183" s="130"/>
      <c r="P183" s="130"/>
      <c r="Q183" s="130"/>
      <c r="R183" s="130"/>
      <c r="S183" s="130"/>
      <c r="T183" s="130"/>
      <c r="U183" s="130"/>
      <c r="V183" s="130"/>
      <c r="W183" s="130"/>
      <c r="X183" s="163"/>
      <c r="Y183" s="163"/>
      <c r="Z183" s="163"/>
      <c r="AA183" s="163"/>
      <c r="AB183" s="163"/>
      <c r="AC183" s="163"/>
      <c r="AD183" s="163"/>
      <c r="AE183" s="163"/>
      <c r="AF183" s="163"/>
      <c r="AG183" s="163"/>
      <c r="AH183" s="163"/>
      <c r="AI183" s="163"/>
      <c r="AJ183" s="163"/>
      <c r="AK183" s="163"/>
      <c r="AL183" s="163"/>
      <c r="AM183" s="163"/>
    </row>
    <row r="184" ht="13.5" customHeight="1">
      <c r="A184" s="130"/>
      <c r="B184" s="130"/>
      <c r="C184" s="130"/>
      <c r="D184" s="130"/>
      <c r="E184" s="163"/>
      <c r="F184" s="163"/>
      <c r="G184" s="163"/>
      <c r="H184" s="130"/>
      <c r="I184" s="130"/>
      <c r="J184" s="130"/>
      <c r="K184" s="130"/>
      <c r="L184" s="163"/>
      <c r="M184" s="130"/>
      <c r="N184" s="130"/>
      <c r="O184" s="130"/>
      <c r="P184" s="130"/>
      <c r="Q184" s="130"/>
      <c r="R184" s="130"/>
      <c r="S184" s="130"/>
      <c r="T184" s="130"/>
      <c r="U184" s="130"/>
      <c r="V184" s="130"/>
      <c r="W184" s="130"/>
      <c r="X184" s="163"/>
      <c r="Y184" s="163"/>
      <c r="Z184" s="163"/>
      <c r="AA184" s="163"/>
      <c r="AB184" s="163"/>
      <c r="AC184" s="163"/>
      <c r="AD184" s="163"/>
      <c r="AE184" s="163"/>
      <c r="AF184" s="163"/>
      <c r="AG184" s="163"/>
      <c r="AH184" s="163"/>
      <c r="AI184" s="163"/>
      <c r="AJ184" s="163"/>
      <c r="AK184" s="163"/>
      <c r="AL184" s="163"/>
      <c r="AM184" s="163"/>
    </row>
    <row r="185" ht="13.5" customHeight="1">
      <c r="A185" s="130"/>
      <c r="B185" s="130"/>
      <c r="C185" s="130"/>
      <c r="D185" s="130"/>
      <c r="E185" s="163"/>
      <c r="F185" s="163"/>
      <c r="G185" s="163"/>
      <c r="H185" s="130"/>
      <c r="I185" s="130"/>
      <c r="J185" s="130"/>
      <c r="K185" s="130"/>
      <c r="L185" s="163"/>
      <c r="M185" s="130"/>
      <c r="N185" s="130"/>
      <c r="O185" s="130"/>
      <c r="P185" s="130"/>
      <c r="Q185" s="130"/>
      <c r="R185" s="130"/>
      <c r="S185" s="130"/>
      <c r="T185" s="130"/>
      <c r="U185" s="130"/>
      <c r="V185" s="130"/>
      <c r="W185" s="130"/>
      <c r="X185" s="163"/>
      <c r="Y185" s="163"/>
      <c r="Z185" s="163"/>
      <c r="AA185" s="163"/>
      <c r="AB185" s="163"/>
      <c r="AC185" s="163"/>
      <c r="AD185" s="163"/>
      <c r="AE185" s="163"/>
      <c r="AF185" s="163"/>
      <c r="AG185" s="163"/>
      <c r="AH185" s="163"/>
      <c r="AI185" s="163"/>
      <c r="AJ185" s="163"/>
      <c r="AK185" s="163"/>
      <c r="AL185" s="163"/>
      <c r="AM185" s="163"/>
    </row>
    <row r="186" ht="13.5" customHeight="1">
      <c r="A186" s="130"/>
      <c r="B186" s="130"/>
      <c r="C186" s="130"/>
      <c r="D186" s="130"/>
      <c r="E186" s="163"/>
      <c r="F186" s="163"/>
      <c r="G186" s="163"/>
      <c r="H186" s="130"/>
      <c r="I186" s="130"/>
      <c r="J186" s="130"/>
      <c r="K186" s="130"/>
      <c r="L186" s="163"/>
      <c r="M186" s="130"/>
      <c r="N186" s="130"/>
      <c r="O186" s="130"/>
      <c r="P186" s="130"/>
      <c r="Q186" s="130"/>
      <c r="R186" s="130"/>
      <c r="S186" s="130"/>
      <c r="T186" s="130"/>
      <c r="U186" s="130"/>
      <c r="V186" s="130"/>
      <c r="W186" s="130"/>
      <c r="X186" s="163"/>
      <c r="Y186" s="163"/>
      <c r="Z186" s="163"/>
      <c r="AA186" s="163"/>
      <c r="AB186" s="163"/>
      <c r="AC186" s="163"/>
      <c r="AD186" s="163"/>
      <c r="AE186" s="163"/>
      <c r="AF186" s="163"/>
      <c r="AG186" s="163"/>
      <c r="AH186" s="163"/>
      <c r="AI186" s="163"/>
      <c r="AJ186" s="163"/>
      <c r="AK186" s="163"/>
      <c r="AL186" s="163"/>
      <c r="AM186" s="163"/>
    </row>
    <row r="187" ht="13.5" customHeight="1">
      <c r="A187" s="130"/>
      <c r="B187" s="130"/>
      <c r="C187" s="130"/>
      <c r="D187" s="130"/>
      <c r="E187" s="163"/>
      <c r="F187" s="163"/>
      <c r="G187" s="163"/>
      <c r="H187" s="130"/>
      <c r="I187" s="130"/>
      <c r="J187" s="130"/>
      <c r="K187" s="130"/>
      <c r="L187" s="163"/>
      <c r="M187" s="130"/>
      <c r="N187" s="130"/>
      <c r="O187" s="130"/>
      <c r="P187" s="130"/>
      <c r="Q187" s="130"/>
      <c r="R187" s="130"/>
      <c r="S187" s="130"/>
      <c r="T187" s="130"/>
      <c r="U187" s="130"/>
      <c r="V187" s="130"/>
      <c r="W187" s="130"/>
      <c r="X187" s="163"/>
      <c r="Y187" s="163"/>
      <c r="Z187" s="163"/>
      <c r="AA187" s="163"/>
      <c r="AB187" s="163"/>
      <c r="AC187" s="163"/>
      <c r="AD187" s="163"/>
      <c r="AE187" s="163"/>
      <c r="AF187" s="163"/>
      <c r="AG187" s="163"/>
      <c r="AH187" s="163"/>
      <c r="AI187" s="163"/>
      <c r="AJ187" s="163"/>
      <c r="AK187" s="163"/>
      <c r="AL187" s="163"/>
      <c r="AM187" s="163"/>
    </row>
    <row r="188" ht="13.5" customHeight="1">
      <c r="A188" s="130"/>
      <c r="B188" s="130"/>
      <c r="C188" s="130"/>
      <c r="D188" s="130"/>
      <c r="E188" s="163"/>
      <c r="F188" s="163"/>
      <c r="G188" s="163"/>
      <c r="H188" s="130"/>
      <c r="I188" s="130"/>
      <c r="J188" s="130"/>
      <c r="K188" s="130"/>
      <c r="L188" s="163"/>
      <c r="M188" s="130"/>
      <c r="N188" s="130"/>
      <c r="O188" s="130"/>
      <c r="P188" s="130"/>
      <c r="Q188" s="130"/>
      <c r="R188" s="130"/>
      <c r="S188" s="130"/>
      <c r="T188" s="130"/>
      <c r="U188" s="130"/>
      <c r="V188" s="130"/>
      <c r="W188" s="130"/>
      <c r="X188" s="163"/>
      <c r="Y188" s="163"/>
      <c r="Z188" s="163"/>
      <c r="AA188" s="163"/>
      <c r="AB188" s="163"/>
      <c r="AC188" s="163"/>
      <c r="AD188" s="163"/>
      <c r="AE188" s="163"/>
      <c r="AF188" s="163"/>
      <c r="AG188" s="163"/>
      <c r="AH188" s="163"/>
      <c r="AI188" s="163"/>
      <c r="AJ188" s="163"/>
      <c r="AK188" s="163"/>
      <c r="AL188" s="163"/>
      <c r="AM188" s="163"/>
    </row>
    <row r="189" ht="13.5" customHeight="1">
      <c r="A189" s="130"/>
      <c r="B189" s="130"/>
      <c r="C189" s="130"/>
      <c r="D189" s="130"/>
      <c r="E189" s="163"/>
      <c r="F189" s="163"/>
      <c r="G189" s="163"/>
      <c r="H189" s="130"/>
      <c r="I189" s="130"/>
      <c r="J189" s="130"/>
      <c r="K189" s="130"/>
      <c r="L189" s="163"/>
      <c r="M189" s="130"/>
      <c r="N189" s="130"/>
      <c r="O189" s="130"/>
      <c r="P189" s="130"/>
      <c r="Q189" s="130"/>
      <c r="R189" s="130"/>
      <c r="S189" s="130"/>
      <c r="T189" s="130"/>
      <c r="U189" s="130"/>
      <c r="V189" s="130"/>
      <c r="W189" s="130"/>
      <c r="X189" s="163"/>
      <c r="Y189" s="163"/>
      <c r="Z189" s="163"/>
      <c r="AA189" s="163"/>
      <c r="AB189" s="163"/>
      <c r="AC189" s="163"/>
      <c r="AD189" s="163"/>
      <c r="AE189" s="163"/>
      <c r="AF189" s="163"/>
      <c r="AG189" s="163"/>
      <c r="AH189" s="163"/>
      <c r="AI189" s="163"/>
      <c r="AJ189" s="163"/>
      <c r="AK189" s="163"/>
      <c r="AL189" s="163"/>
      <c r="AM189" s="163"/>
    </row>
    <row r="190" ht="13.5" customHeight="1">
      <c r="A190" s="130"/>
      <c r="B190" s="130"/>
      <c r="C190" s="130"/>
      <c r="D190" s="130"/>
      <c r="E190" s="163"/>
      <c r="F190" s="163"/>
      <c r="G190" s="163"/>
      <c r="H190" s="130"/>
      <c r="I190" s="130"/>
      <c r="J190" s="130"/>
      <c r="K190" s="130"/>
      <c r="L190" s="163"/>
      <c r="M190" s="130"/>
      <c r="N190" s="130"/>
      <c r="O190" s="130"/>
      <c r="P190" s="130"/>
      <c r="Q190" s="130"/>
      <c r="R190" s="130"/>
      <c r="S190" s="130"/>
      <c r="T190" s="130"/>
      <c r="U190" s="130"/>
      <c r="V190" s="130"/>
      <c r="W190" s="130"/>
      <c r="X190" s="163"/>
      <c r="Y190" s="163"/>
      <c r="Z190" s="163"/>
      <c r="AA190" s="163"/>
      <c r="AB190" s="163"/>
      <c r="AC190" s="163"/>
      <c r="AD190" s="163"/>
      <c r="AE190" s="163"/>
      <c r="AF190" s="163"/>
      <c r="AG190" s="163"/>
      <c r="AH190" s="163"/>
      <c r="AI190" s="163"/>
      <c r="AJ190" s="163"/>
      <c r="AK190" s="163"/>
      <c r="AL190" s="163"/>
      <c r="AM190" s="163"/>
    </row>
    <row r="191" ht="13.5" customHeight="1">
      <c r="A191" s="130"/>
      <c r="B191" s="130"/>
      <c r="C191" s="130"/>
      <c r="D191" s="130"/>
      <c r="E191" s="163"/>
      <c r="F191" s="163"/>
      <c r="G191" s="163"/>
      <c r="H191" s="130"/>
      <c r="I191" s="130"/>
      <c r="J191" s="130"/>
      <c r="K191" s="130"/>
      <c r="L191" s="163"/>
      <c r="M191" s="130"/>
      <c r="N191" s="130"/>
      <c r="O191" s="130"/>
      <c r="P191" s="130"/>
      <c r="Q191" s="130"/>
      <c r="R191" s="130"/>
      <c r="S191" s="130"/>
      <c r="T191" s="130"/>
      <c r="U191" s="130"/>
      <c r="V191" s="130"/>
      <c r="W191" s="130"/>
      <c r="X191" s="163"/>
      <c r="Y191" s="163"/>
      <c r="Z191" s="163"/>
      <c r="AA191" s="163"/>
      <c r="AB191" s="163"/>
      <c r="AC191" s="163"/>
      <c r="AD191" s="163"/>
      <c r="AE191" s="163"/>
      <c r="AF191" s="163"/>
      <c r="AG191" s="163"/>
      <c r="AH191" s="163"/>
      <c r="AI191" s="163"/>
      <c r="AJ191" s="163"/>
      <c r="AK191" s="163"/>
      <c r="AL191" s="163"/>
      <c r="AM191" s="163"/>
    </row>
    <row r="192" ht="13.5" customHeight="1">
      <c r="A192" s="130"/>
      <c r="B192" s="130"/>
      <c r="C192" s="130"/>
      <c r="D192" s="130"/>
      <c r="E192" s="163"/>
      <c r="F192" s="163"/>
      <c r="G192" s="163"/>
      <c r="H192" s="130"/>
      <c r="I192" s="130"/>
      <c r="J192" s="130"/>
      <c r="K192" s="130"/>
      <c r="L192" s="163"/>
      <c r="M192" s="130"/>
      <c r="N192" s="130"/>
      <c r="O192" s="130"/>
      <c r="P192" s="130"/>
      <c r="Q192" s="130"/>
      <c r="R192" s="130"/>
      <c r="S192" s="130"/>
      <c r="T192" s="130"/>
      <c r="U192" s="130"/>
      <c r="V192" s="130"/>
      <c r="W192" s="130"/>
      <c r="X192" s="163"/>
      <c r="Y192" s="163"/>
      <c r="Z192" s="163"/>
      <c r="AA192" s="163"/>
      <c r="AB192" s="163"/>
      <c r="AC192" s="163"/>
      <c r="AD192" s="163"/>
      <c r="AE192" s="163"/>
      <c r="AF192" s="163"/>
      <c r="AG192" s="163"/>
      <c r="AH192" s="163"/>
      <c r="AI192" s="163"/>
      <c r="AJ192" s="163"/>
      <c r="AK192" s="163"/>
      <c r="AL192" s="163"/>
      <c r="AM192" s="163"/>
    </row>
    <row r="193" ht="13.5" customHeight="1">
      <c r="A193" s="130"/>
      <c r="B193" s="130"/>
      <c r="C193" s="130"/>
      <c r="D193" s="130"/>
      <c r="E193" s="163"/>
      <c r="F193" s="163"/>
      <c r="G193" s="163"/>
      <c r="H193" s="130"/>
      <c r="I193" s="130"/>
      <c r="J193" s="130"/>
      <c r="K193" s="130"/>
      <c r="L193" s="163"/>
      <c r="M193" s="130"/>
      <c r="N193" s="130"/>
      <c r="O193" s="130"/>
      <c r="P193" s="130"/>
      <c r="Q193" s="130"/>
      <c r="R193" s="130"/>
      <c r="S193" s="130"/>
      <c r="T193" s="130"/>
      <c r="U193" s="130"/>
      <c r="V193" s="130"/>
      <c r="W193" s="130"/>
      <c r="X193" s="163"/>
      <c r="Y193" s="163"/>
      <c r="Z193" s="163"/>
      <c r="AA193" s="163"/>
      <c r="AB193" s="163"/>
      <c r="AC193" s="163"/>
      <c r="AD193" s="163"/>
      <c r="AE193" s="163"/>
      <c r="AF193" s="163"/>
      <c r="AG193" s="163"/>
      <c r="AH193" s="163"/>
      <c r="AI193" s="163"/>
      <c r="AJ193" s="163"/>
      <c r="AK193" s="163"/>
      <c r="AL193" s="163"/>
      <c r="AM193" s="163"/>
    </row>
    <row r="194" ht="13.5" customHeight="1">
      <c r="A194" s="130"/>
      <c r="B194" s="130"/>
      <c r="C194" s="130"/>
      <c r="D194" s="130"/>
      <c r="E194" s="163"/>
      <c r="F194" s="163"/>
      <c r="G194" s="163"/>
      <c r="H194" s="130"/>
      <c r="I194" s="130"/>
      <c r="J194" s="130"/>
      <c r="K194" s="130"/>
      <c r="L194" s="163"/>
      <c r="M194" s="130"/>
      <c r="N194" s="130"/>
      <c r="O194" s="130"/>
      <c r="P194" s="130"/>
      <c r="Q194" s="130"/>
      <c r="R194" s="130"/>
      <c r="S194" s="130"/>
      <c r="T194" s="130"/>
      <c r="U194" s="130"/>
      <c r="V194" s="130"/>
      <c r="W194" s="130"/>
      <c r="X194" s="163"/>
      <c r="Y194" s="163"/>
      <c r="Z194" s="163"/>
      <c r="AA194" s="163"/>
      <c r="AB194" s="163"/>
      <c r="AC194" s="163"/>
      <c r="AD194" s="163"/>
      <c r="AE194" s="163"/>
      <c r="AF194" s="163"/>
      <c r="AG194" s="163"/>
      <c r="AH194" s="163"/>
      <c r="AI194" s="163"/>
      <c r="AJ194" s="163"/>
      <c r="AK194" s="163"/>
      <c r="AL194" s="163"/>
      <c r="AM194" s="163"/>
    </row>
    <row r="195" ht="13.5" customHeight="1">
      <c r="A195" s="130"/>
      <c r="B195" s="130"/>
      <c r="C195" s="130"/>
      <c r="D195" s="130"/>
      <c r="E195" s="163"/>
      <c r="F195" s="163"/>
      <c r="G195" s="163"/>
      <c r="H195" s="130"/>
      <c r="I195" s="130"/>
      <c r="J195" s="130"/>
      <c r="K195" s="130"/>
      <c r="L195" s="163"/>
      <c r="M195" s="130"/>
      <c r="N195" s="130"/>
      <c r="O195" s="130"/>
      <c r="P195" s="130"/>
      <c r="Q195" s="130"/>
      <c r="R195" s="130"/>
      <c r="S195" s="130"/>
      <c r="T195" s="130"/>
      <c r="U195" s="130"/>
      <c r="V195" s="130"/>
      <c r="W195" s="130"/>
      <c r="X195" s="163"/>
      <c r="Y195" s="163"/>
      <c r="Z195" s="163"/>
      <c r="AA195" s="163"/>
      <c r="AB195" s="163"/>
      <c r="AC195" s="163"/>
      <c r="AD195" s="163"/>
      <c r="AE195" s="163"/>
      <c r="AF195" s="163"/>
      <c r="AG195" s="163"/>
      <c r="AH195" s="163"/>
      <c r="AI195" s="163"/>
      <c r="AJ195" s="163"/>
      <c r="AK195" s="163"/>
      <c r="AL195" s="163"/>
      <c r="AM195" s="163"/>
    </row>
    <row r="196" ht="13.5" customHeight="1">
      <c r="A196" s="130"/>
      <c r="B196" s="130"/>
      <c r="C196" s="130"/>
      <c r="D196" s="130"/>
      <c r="E196" s="163"/>
      <c r="F196" s="163"/>
      <c r="G196" s="163"/>
      <c r="H196" s="130"/>
      <c r="I196" s="130"/>
      <c r="J196" s="130"/>
      <c r="K196" s="130"/>
      <c r="L196" s="163"/>
      <c r="M196" s="130"/>
      <c r="N196" s="130"/>
      <c r="O196" s="130"/>
      <c r="P196" s="130"/>
      <c r="Q196" s="130"/>
      <c r="R196" s="130"/>
      <c r="S196" s="130"/>
      <c r="T196" s="130"/>
      <c r="U196" s="130"/>
      <c r="V196" s="130"/>
      <c r="W196" s="130"/>
      <c r="X196" s="163"/>
      <c r="Y196" s="163"/>
      <c r="Z196" s="163"/>
      <c r="AA196" s="163"/>
      <c r="AB196" s="163"/>
      <c r="AC196" s="163"/>
      <c r="AD196" s="163"/>
      <c r="AE196" s="163"/>
      <c r="AF196" s="163"/>
      <c r="AG196" s="163"/>
      <c r="AH196" s="163"/>
      <c r="AI196" s="163"/>
      <c r="AJ196" s="163"/>
      <c r="AK196" s="163"/>
      <c r="AL196" s="163"/>
      <c r="AM196" s="163"/>
    </row>
    <row r="197" ht="13.5" customHeight="1">
      <c r="A197" s="130"/>
      <c r="B197" s="130"/>
      <c r="C197" s="130"/>
      <c r="D197" s="130"/>
      <c r="E197" s="163"/>
      <c r="F197" s="163"/>
      <c r="G197" s="163"/>
      <c r="H197" s="130"/>
      <c r="I197" s="130"/>
      <c r="J197" s="130"/>
      <c r="K197" s="130"/>
      <c r="L197" s="163"/>
      <c r="M197" s="130"/>
      <c r="N197" s="130"/>
      <c r="O197" s="130"/>
      <c r="P197" s="130"/>
      <c r="Q197" s="130"/>
      <c r="R197" s="130"/>
      <c r="S197" s="130"/>
      <c r="T197" s="130"/>
      <c r="U197" s="130"/>
      <c r="V197" s="130"/>
      <c r="W197" s="130"/>
      <c r="X197" s="163"/>
      <c r="Y197" s="163"/>
      <c r="Z197" s="163"/>
      <c r="AA197" s="163"/>
      <c r="AB197" s="163"/>
      <c r="AC197" s="163"/>
      <c r="AD197" s="163"/>
      <c r="AE197" s="163"/>
      <c r="AF197" s="163"/>
      <c r="AG197" s="163"/>
      <c r="AH197" s="163"/>
      <c r="AI197" s="163"/>
      <c r="AJ197" s="163"/>
      <c r="AK197" s="163"/>
      <c r="AL197" s="163"/>
      <c r="AM197" s="163"/>
    </row>
    <row r="198" ht="13.5" customHeight="1">
      <c r="A198" s="130"/>
      <c r="B198" s="130"/>
      <c r="C198" s="130"/>
      <c r="D198" s="130"/>
      <c r="E198" s="163"/>
      <c r="F198" s="163"/>
      <c r="G198" s="163"/>
      <c r="H198" s="130"/>
      <c r="I198" s="130"/>
      <c r="J198" s="130"/>
      <c r="K198" s="130"/>
      <c r="L198" s="163"/>
      <c r="M198" s="130"/>
      <c r="N198" s="130"/>
      <c r="O198" s="130"/>
      <c r="P198" s="130"/>
      <c r="Q198" s="130"/>
      <c r="R198" s="130"/>
      <c r="S198" s="130"/>
      <c r="T198" s="130"/>
      <c r="U198" s="130"/>
      <c r="V198" s="130"/>
      <c r="W198" s="130"/>
      <c r="X198" s="163"/>
      <c r="Y198" s="163"/>
      <c r="Z198" s="163"/>
      <c r="AA198" s="163"/>
      <c r="AB198" s="163"/>
      <c r="AC198" s="163"/>
      <c r="AD198" s="163"/>
      <c r="AE198" s="163"/>
      <c r="AF198" s="163"/>
      <c r="AG198" s="163"/>
      <c r="AH198" s="163"/>
      <c r="AI198" s="163"/>
      <c r="AJ198" s="163"/>
      <c r="AK198" s="163"/>
      <c r="AL198" s="163"/>
      <c r="AM198" s="163"/>
    </row>
    <row r="199" ht="13.5" customHeight="1">
      <c r="A199" s="130"/>
      <c r="B199" s="130"/>
      <c r="C199" s="130"/>
      <c r="D199" s="130"/>
      <c r="E199" s="163"/>
      <c r="F199" s="163"/>
      <c r="G199" s="163"/>
      <c r="H199" s="130"/>
      <c r="I199" s="130"/>
      <c r="J199" s="130"/>
      <c r="K199" s="130"/>
      <c r="L199" s="163"/>
      <c r="M199" s="130"/>
      <c r="N199" s="130"/>
      <c r="O199" s="130"/>
      <c r="P199" s="130"/>
      <c r="Q199" s="130"/>
      <c r="R199" s="130"/>
      <c r="S199" s="130"/>
      <c r="T199" s="130"/>
      <c r="U199" s="130"/>
      <c r="V199" s="130"/>
      <c r="W199" s="130"/>
      <c r="X199" s="163"/>
      <c r="Y199" s="163"/>
      <c r="Z199" s="163"/>
      <c r="AA199" s="163"/>
      <c r="AB199" s="163"/>
      <c r="AC199" s="163"/>
      <c r="AD199" s="163"/>
      <c r="AE199" s="163"/>
      <c r="AF199" s="163"/>
      <c r="AG199" s="163"/>
      <c r="AH199" s="163"/>
      <c r="AI199" s="163"/>
      <c r="AJ199" s="163"/>
      <c r="AK199" s="163"/>
      <c r="AL199" s="163"/>
      <c r="AM199" s="163"/>
    </row>
    <row r="200" ht="13.5" customHeight="1">
      <c r="A200" s="130"/>
      <c r="B200" s="130"/>
      <c r="C200" s="130"/>
      <c r="D200" s="130"/>
      <c r="E200" s="163"/>
      <c r="F200" s="163"/>
      <c r="G200" s="163"/>
      <c r="H200" s="130"/>
      <c r="I200" s="130"/>
      <c r="J200" s="130"/>
      <c r="K200" s="130"/>
      <c r="L200" s="163"/>
      <c r="M200" s="130"/>
      <c r="N200" s="130"/>
      <c r="O200" s="130"/>
      <c r="P200" s="130"/>
      <c r="Q200" s="130"/>
      <c r="R200" s="130"/>
      <c r="S200" s="130"/>
      <c r="T200" s="130"/>
      <c r="U200" s="130"/>
      <c r="V200" s="130"/>
      <c r="W200" s="130"/>
      <c r="X200" s="163"/>
      <c r="Y200" s="163"/>
      <c r="Z200" s="163"/>
      <c r="AA200" s="163"/>
      <c r="AB200" s="163"/>
      <c r="AC200" s="163"/>
      <c r="AD200" s="163"/>
      <c r="AE200" s="163"/>
      <c r="AF200" s="163"/>
      <c r="AG200" s="163"/>
      <c r="AH200" s="163"/>
      <c r="AI200" s="163"/>
      <c r="AJ200" s="163"/>
      <c r="AK200" s="163"/>
      <c r="AL200" s="163"/>
      <c r="AM200" s="163"/>
    </row>
    <row r="201" ht="13.5" customHeight="1">
      <c r="A201" s="130"/>
      <c r="B201" s="130"/>
      <c r="C201" s="130"/>
      <c r="D201" s="130"/>
      <c r="E201" s="163"/>
      <c r="F201" s="163"/>
      <c r="G201" s="163"/>
      <c r="H201" s="130"/>
      <c r="I201" s="130"/>
      <c r="J201" s="130"/>
      <c r="K201" s="130"/>
      <c r="L201" s="163"/>
      <c r="M201" s="130"/>
      <c r="N201" s="130"/>
      <c r="O201" s="130"/>
      <c r="P201" s="130"/>
      <c r="Q201" s="130"/>
      <c r="R201" s="130"/>
      <c r="S201" s="130"/>
      <c r="T201" s="130"/>
      <c r="U201" s="130"/>
      <c r="V201" s="130"/>
      <c r="W201" s="130"/>
      <c r="X201" s="163"/>
      <c r="Y201" s="163"/>
      <c r="Z201" s="163"/>
      <c r="AA201" s="163"/>
      <c r="AB201" s="163"/>
      <c r="AC201" s="163"/>
      <c r="AD201" s="163"/>
      <c r="AE201" s="163"/>
      <c r="AF201" s="163"/>
      <c r="AG201" s="163"/>
      <c r="AH201" s="163"/>
      <c r="AI201" s="163"/>
      <c r="AJ201" s="163"/>
      <c r="AK201" s="163"/>
      <c r="AL201" s="163"/>
      <c r="AM201" s="163"/>
    </row>
    <row r="202" ht="13.5" customHeight="1">
      <c r="A202" s="130"/>
      <c r="B202" s="130"/>
      <c r="C202" s="130"/>
      <c r="D202" s="130"/>
      <c r="E202" s="163"/>
      <c r="F202" s="163"/>
      <c r="G202" s="163"/>
      <c r="H202" s="130"/>
      <c r="I202" s="130"/>
      <c r="J202" s="130"/>
      <c r="K202" s="130"/>
      <c r="L202" s="163"/>
      <c r="M202" s="130"/>
      <c r="N202" s="130"/>
      <c r="O202" s="130"/>
      <c r="P202" s="130"/>
      <c r="Q202" s="130"/>
      <c r="R202" s="130"/>
      <c r="S202" s="130"/>
      <c r="T202" s="130"/>
      <c r="U202" s="130"/>
      <c r="V202" s="130"/>
      <c r="W202" s="130"/>
      <c r="X202" s="163"/>
      <c r="Y202" s="163"/>
      <c r="Z202" s="163"/>
      <c r="AA202" s="163"/>
      <c r="AB202" s="163"/>
      <c r="AC202" s="163"/>
      <c r="AD202" s="163"/>
      <c r="AE202" s="163"/>
      <c r="AF202" s="163"/>
      <c r="AG202" s="163"/>
      <c r="AH202" s="163"/>
      <c r="AI202" s="163"/>
      <c r="AJ202" s="163"/>
      <c r="AK202" s="163"/>
      <c r="AL202" s="163"/>
      <c r="AM202" s="163"/>
    </row>
    <row r="203" ht="13.5" customHeight="1">
      <c r="A203" s="130"/>
      <c r="B203" s="130"/>
      <c r="C203" s="130"/>
      <c r="D203" s="130"/>
      <c r="E203" s="163"/>
      <c r="F203" s="163"/>
      <c r="G203" s="163"/>
      <c r="H203" s="130"/>
      <c r="I203" s="130"/>
      <c r="J203" s="130"/>
      <c r="K203" s="130"/>
      <c r="L203" s="163"/>
      <c r="M203" s="130"/>
      <c r="N203" s="130"/>
      <c r="O203" s="130"/>
      <c r="P203" s="130"/>
      <c r="Q203" s="130"/>
      <c r="R203" s="130"/>
      <c r="S203" s="130"/>
      <c r="T203" s="130"/>
      <c r="U203" s="130"/>
      <c r="V203" s="130"/>
      <c r="W203" s="130"/>
      <c r="X203" s="163"/>
      <c r="Y203" s="163"/>
      <c r="Z203" s="163"/>
      <c r="AA203" s="163"/>
      <c r="AB203" s="163"/>
      <c r="AC203" s="163"/>
      <c r="AD203" s="163"/>
      <c r="AE203" s="163"/>
      <c r="AF203" s="163"/>
      <c r="AG203" s="163"/>
      <c r="AH203" s="163"/>
      <c r="AI203" s="163"/>
      <c r="AJ203" s="163"/>
      <c r="AK203" s="163"/>
      <c r="AL203" s="163"/>
      <c r="AM203" s="163"/>
    </row>
    <row r="204" ht="13.5" customHeight="1">
      <c r="A204" s="130"/>
      <c r="B204" s="130"/>
      <c r="C204" s="130"/>
      <c r="D204" s="130"/>
      <c r="E204" s="163"/>
      <c r="F204" s="163"/>
      <c r="G204" s="163"/>
      <c r="H204" s="130"/>
      <c r="I204" s="130"/>
      <c r="J204" s="130"/>
      <c r="K204" s="130"/>
      <c r="L204" s="163"/>
      <c r="M204" s="130"/>
      <c r="N204" s="130"/>
      <c r="O204" s="130"/>
      <c r="P204" s="130"/>
      <c r="Q204" s="130"/>
      <c r="R204" s="130"/>
      <c r="S204" s="130"/>
      <c r="T204" s="130"/>
      <c r="U204" s="130"/>
      <c r="V204" s="130"/>
      <c r="W204" s="130"/>
      <c r="X204" s="163"/>
      <c r="Y204" s="163"/>
      <c r="Z204" s="163"/>
      <c r="AA204" s="163"/>
      <c r="AB204" s="163"/>
      <c r="AC204" s="163"/>
      <c r="AD204" s="163"/>
      <c r="AE204" s="163"/>
      <c r="AF204" s="163"/>
      <c r="AG204" s="163"/>
      <c r="AH204" s="163"/>
      <c r="AI204" s="163"/>
      <c r="AJ204" s="163"/>
      <c r="AK204" s="163"/>
      <c r="AL204" s="163"/>
      <c r="AM204" s="163"/>
    </row>
    <row r="205" ht="13.5" customHeight="1">
      <c r="A205" s="130"/>
      <c r="B205" s="130"/>
      <c r="C205" s="130"/>
      <c r="D205" s="130"/>
      <c r="E205" s="163"/>
      <c r="F205" s="163"/>
      <c r="G205" s="163"/>
      <c r="H205" s="130"/>
      <c r="I205" s="130"/>
      <c r="J205" s="130"/>
      <c r="K205" s="130"/>
      <c r="L205" s="163"/>
      <c r="M205" s="130"/>
      <c r="N205" s="130"/>
      <c r="O205" s="130"/>
      <c r="P205" s="130"/>
      <c r="Q205" s="130"/>
      <c r="R205" s="130"/>
      <c r="S205" s="130"/>
      <c r="T205" s="130"/>
      <c r="U205" s="130"/>
      <c r="V205" s="130"/>
      <c r="W205" s="130"/>
      <c r="X205" s="163"/>
      <c r="Y205" s="163"/>
      <c r="Z205" s="163"/>
      <c r="AA205" s="163"/>
      <c r="AB205" s="163"/>
      <c r="AC205" s="163"/>
      <c r="AD205" s="163"/>
      <c r="AE205" s="163"/>
      <c r="AF205" s="163"/>
      <c r="AG205" s="163"/>
      <c r="AH205" s="163"/>
      <c r="AI205" s="163"/>
      <c r="AJ205" s="163"/>
      <c r="AK205" s="163"/>
      <c r="AL205" s="163"/>
      <c r="AM205" s="163"/>
    </row>
    <row r="206" ht="13.5" customHeight="1">
      <c r="A206" s="130"/>
      <c r="B206" s="130"/>
      <c r="C206" s="130"/>
      <c r="D206" s="130"/>
      <c r="E206" s="163"/>
      <c r="F206" s="163"/>
      <c r="G206" s="163"/>
      <c r="H206" s="130"/>
      <c r="I206" s="130"/>
      <c r="J206" s="130"/>
      <c r="K206" s="130"/>
      <c r="L206" s="163"/>
      <c r="M206" s="130"/>
      <c r="N206" s="130"/>
      <c r="O206" s="130"/>
      <c r="P206" s="130"/>
      <c r="Q206" s="130"/>
      <c r="R206" s="130"/>
      <c r="S206" s="130"/>
      <c r="T206" s="130"/>
      <c r="U206" s="130"/>
      <c r="V206" s="130"/>
      <c r="W206" s="130"/>
      <c r="X206" s="163"/>
      <c r="Y206" s="163"/>
      <c r="Z206" s="163"/>
      <c r="AA206" s="163"/>
      <c r="AB206" s="163"/>
      <c r="AC206" s="163"/>
      <c r="AD206" s="163"/>
      <c r="AE206" s="163"/>
      <c r="AF206" s="163"/>
      <c r="AG206" s="163"/>
      <c r="AH206" s="163"/>
      <c r="AI206" s="163"/>
      <c r="AJ206" s="163"/>
      <c r="AK206" s="163"/>
      <c r="AL206" s="163"/>
      <c r="AM206" s="163"/>
    </row>
    <row r="207" ht="13.5" customHeight="1">
      <c r="A207" s="130"/>
      <c r="B207" s="130"/>
      <c r="C207" s="130"/>
      <c r="D207" s="130"/>
      <c r="E207" s="163"/>
      <c r="F207" s="163"/>
      <c r="G207" s="163"/>
      <c r="H207" s="130"/>
      <c r="I207" s="130"/>
      <c r="J207" s="130"/>
      <c r="K207" s="130"/>
      <c r="L207" s="163"/>
      <c r="M207" s="130"/>
      <c r="N207" s="130"/>
      <c r="O207" s="130"/>
      <c r="P207" s="130"/>
      <c r="Q207" s="130"/>
      <c r="R207" s="130"/>
      <c r="S207" s="130"/>
      <c r="T207" s="130"/>
      <c r="U207" s="130"/>
      <c r="V207" s="130"/>
      <c r="W207" s="130"/>
      <c r="X207" s="163"/>
      <c r="Y207" s="163"/>
      <c r="Z207" s="163"/>
      <c r="AA207" s="163"/>
      <c r="AB207" s="163"/>
      <c r="AC207" s="163"/>
      <c r="AD207" s="163"/>
      <c r="AE207" s="163"/>
      <c r="AF207" s="163"/>
      <c r="AG207" s="163"/>
      <c r="AH207" s="163"/>
      <c r="AI207" s="163"/>
      <c r="AJ207" s="163"/>
      <c r="AK207" s="163"/>
      <c r="AL207" s="163"/>
      <c r="AM207" s="163"/>
    </row>
    <row r="208" ht="13.5" customHeight="1">
      <c r="A208" s="130"/>
      <c r="B208" s="130"/>
      <c r="C208" s="130"/>
      <c r="D208" s="130"/>
      <c r="E208" s="163"/>
      <c r="F208" s="163"/>
      <c r="G208" s="163"/>
      <c r="H208" s="130"/>
      <c r="I208" s="130"/>
      <c r="J208" s="130"/>
      <c r="K208" s="130"/>
      <c r="L208" s="163"/>
      <c r="M208" s="130"/>
      <c r="N208" s="130"/>
      <c r="O208" s="130"/>
      <c r="P208" s="130"/>
      <c r="Q208" s="130"/>
      <c r="R208" s="130"/>
      <c r="S208" s="130"/>
      <c r="T208" s="130"/>
      <c r="U208" s="130"/>
      <c r="V208" s="130"/>
      <c r="W208" s="130"/>
      <c r="X208" s="163"/>
      <c r="Y208" s="163"/>
      <c r="Z208" s="163"/>
      <c r="AA208" s="163"/>
      <c r="AB208" s="163"/>
      <c r="AC208" s="163"/>
      <c r="AD208" s="163"/>
      <c r="AE208" s="163"/>
      <c r="AF208" s="163"/>
      <c r="AG208" s="163"/>
      <c r="AH208" s="163"/>
      <c r="AI208" s="163"/>
      <c r="AJ208" s="163"/>
      <c r="AK208" s="163"/>
      <c r="AL208" s="163"/>
      <c r="AM208" s="163"/>
    </row>
    <row r="209" ht="13.5" customHeight="1">
      <c r="A209" s="130"/>
      <c r="B209" s="130"/>
      <c r="C209" s="130"/>
      <c r="D209" s="130"/>
      <c r="E209" s="163"/>
      <c r="F209" s="163"/>
      <c r="G209" s="163"/>
      <c r="H209" s="130"/>
      <c r="I209" s="130"/>
      <c r="J209" s="130"/>
      <c r="K209" s="130"/>
      <c r="L209" s="163"/>
      <c r="M209" s="130"/>
      <c r="N209" s="130"/>
      <c r="O209" s="130"/>
      <c r="P209" s="130"/>
      <c r="Q209" s="130"/>
      <c r="R209" s="130"/>
      <c r="S209" s="130"/>
      <c r="T209" s="130"/>
      <c r="U209" s="130"/>
      <c r="V209" s="130"/>
      <c r="W209" s="130"/>
      <c r="X209" s="163"/>
      <c r="Y209" s="163"/>
      <c r="Z209" s="163"/>
      <c r="AA209" s="163"/>
      <c r="AB209" s="163"/>
      <c r="AC209" s="163"/>
      <c r="AD209" s="163"/>
      <c r="AE209" s="163"/>
      <c r="AF209" s="163"/>
      <c r="AG209" s="163"/>
      <c r="AH209" s="163"/>
      <c r="AI209" s="163"/>
      <c r="AJ209" s="163"/>
      <c r="AK209" s="163"/>
      <c r="AL209" s="163"/>
      <c r="AM209" s="163"/>
    </row>
    <row r="210" ht="13.5" customHeight="1">
      <c r="A210" s="130"/>
      <c r="B210" s="130"/>
      <c r="C210" s="130"/>
      <c r="D210" s="130"/>
      <c r="E210" s="163"/>
      <c r="F210" s="163"/>
      <c r="G210" s="163"/>
      <c r="H210" s="130"/>
      <c r="I210" s="130"/>
      <c r="J210" s="130"/>
      <c r="K210" s="130"/>
      <c r="L210" s="163"/>
      <c r="M210" s="130"/>
      <c r="N210" s="130"/>
      <c r="O210" s="130"/>
      <c r="P210" s="130"/>
      <c r="Q210" s="130"/>
      <c r="R210" s="130"/>
      <c r="S210" s="130"/>
      <c r="T210" s="130"/>
      <c r="U210" s="130"/>
      <c r="V210" s="130"/>
      <c r="W210" s="130"/>
      <c r="X210" s="163"/>
      <c r="Y210" s="163"/>
      <c r="Z210" s="163"/>
      <c r="AA210" s="163"/>
      <c r="AB210" s="163"/>
      <c r="AC210" s="163"/>
      <c r="AD210" s="163"/>
      <c r="AE210" s="163"/>
      <c r="AF210" s="163"/>
      <c r="AG210" s="163"/>
      <c r="AH210" s="163"/>
      <c r="AI210" s="163"/>
      <c r="AJ210" s="163"/>
      <c r="AK210" s="163"/>
      <c r="AL210" s="163"/>
      <c r="AM210" s="163"/>
    </row>
    <row r="211" ht="13.5" customHeight="1">
      <c r="A211" s="130"/>
      <c r="B211" s="130"/>
      <c r="C211" s="130"/>
      <c r="D211" s="130"/>
      <c r="E211" s="163"/>
      <c r="F211" s="163"/>
      <c r="G211" s="163"/>
      <c r="H211" s="130"/>
      <c r="I211" s="130"/>
      <c r="J211" s="130"/>
      <c r="K211" s="130"/>
      <c r="L211" s="163"/>
      <c r="M211" s="130"/>
      <c r="N211" s="130"/>
      <c r="O211" s="130"/>
      <c r="P211" s="130"/>
      <c r="Q211" s="130"/>
      <c r="R211" s="130"/>
      <c r="S211" s="130"/>
      <c r="T211" s="130"/>
      <c r="U211" s="130"/>
      <c r="V211" s="130"/>
      <c r="W211" s="130"/>
      <c r="X211" s="163"/>
      <c r="Y211" s="163"/>
      <c r="Z211" s="163"/>
      <c r="AA211" s="163"/>
      <c r="AB211" s="163"/>
      <c r="AC211" s="163"/>
      <c r="AD211" s="163"/>
      <c r="AE211" s="163"/>
      <c r="AF211" s="163"/>
      <c r="AG211" s="163"/>
      <c r="AH211" s="163"/>
      <c r="AI211" s="163"/>
      <c r="AJ211" s="163"/>
      <c r="AK211" s="163"/>
      <c r="AL211" s="163"/>
      <c r="AM211" s="163"/>
    </row>
    <row r="212" ht="13.5" customHeight="1">
      <c r="A212" s="130"/>
      <c r="B212" s="130"/>
      <c r="C212" s="130"/>
      <c r="D212" s="130"/>
      <c r="E212" s="163"/>
      <c r="F212" s="163"/>
      <c r="G212" s="163"/>
      <c r="H212" s="130"/>
      <c r="I212" s="130"/>
      <c r="J212" s="130"/>
      <c r="K212" s="130"/>
      <c r="L212" s="163"/>
      <c r="M212" s="130"/>
      <c r="N212" s="130"/>
      <c r="O212" s="130"/>
      <c r="P212" s="130"/>
      <c r="Q212" s="130"/>
      <c r="R212" s="130"/>
      <c r="S212" s="130"/>
      <c r="T212" s="130"/>
      <c r="U212" s="130"/>
      <c r="V212" s="130"/>
      <c r="W212" s="130"/>
      <c r="X212" s="163"/>
      <c r="Y212" s="163"/>
      <c r="Z212" s="163"/>
      <c r="AA212" s="163"/>
      <c r="AB212" s="163"/>
      <c r="AC212" s="163"/>
      <c r="AD212" s="163"/>
      <c r="AE212" s="163"/>
      <c r="AF212" s="163"/>
      <c r="AG212" s="163"/>
      <c r="AH212" s="163"/>
      <c r="AI212" s="163"/>
      <c r="AJ212" s="163"/>
      <c r="AK212" s="163"/>
      <c r="AL212" s="163"/>
      <c r="AM212" s="163"/>
    </row>
    <row r="213" ht="13.5" customHeight="1">
      <c r="A213" s="130"/>
      <c r="B213" s="130"/>
      <c r="C213" s="130"/>
      <c r="D213" s="130"/>
      <c r="E213" s="163"/>
      <c r="F213" s="163"/>
      <c r="G213" s="163"/>
      <c r="H213" s="130"/>
      <c r="I213" s="130"/>
      <c r="J213" s="130"/>
      <c r="K213" s="130"/>
      <c r="L213" s="163"/>
      <c r="M213" s="130"/>
      <c r="N213" s="130"/>
      <c r="O213" s="130"/>
      <c r="P213" s="130"/>
      <c r="Q213" s="130"/>
      <c r="R213" s="130"/>
      <c r="S213" s="130"/>
      <c r="T213" s="130"/>
      <c r="U213" s="130"/>
      <c r="V213" s="130"/>
      <c r="W213" s="130"/>
      <c r="X213" s="163"/>
      <c r="Y213" s="163"/>
      <c r="Z213" s="163"/>
      <c r="AA213" s="163"/>
      <c r="AB213" s="163"/>
      <c r="AC213" s="163"/>
      <c r="AD213" s="163"/>
      <c r="AE213" s="163"/>
      <c r="AF213" s="163"/>
      <c r="AG213" s="163"/>
      <c r="AH213" s="163"/>
      <c r="AI213" s="163"/>
      <c r="AJ213" s="163"/>
      <c r="AK213" s="163"/>
      <c r="AL213" s="163"/>
      <c r="AM213" s="163"/>
    </row>
    <row r="214" ht="13.5" customHeight="1">
      <c r="A214" s="130"/>
      <c r="B214" s="130"/>
      <c r="C214" s="130"/>
      <c r="D214" s="130"/>
      <c r="E214" s="163"/>
      <c r="F214" s="163"/>
      <c r="G214" s="163"/>
      <c r="H214" s="130"/>
      <c r="I214" s="130"/>
      <c r="J214" s="130"/>
      <c r="K214" s="130"/>
      <c r="L214" s="163"/>
      <c r="M214" s="130"/>
      <c r="N214" s="130"/>
      <c r="O214" s="130"/>
      <c r="P214" s="130"/>
      <c r="Q214" s="130"/>
      <c r="R214" s="130"/>
      <c r="S214" s="130"/>
      <c r="T214" s="130"/>
      <c r="U214" s="130"/>
      <c r="V214" s="130"/>
      <c r="W214" s="130"/>
      <c r="X214" s="163"/>
      <c r="Y214" s="163"/>
      <c r="Z214" s="163"/>
      <c r="AA214" s="163"/>
      <c r="AB214" s="163"/>
      <c r="AC214" s="163"/>
      <c r="AD214" s="163"/>
      <c r="AE214" s="163"/>
      <c r="AF214" s="163"/>
      <c r="AG214" s="163"/>
      <c r="AH214" s="163"/>
      <c r="AI214" s="163"/>
      <c r="AJ214" s="163"/>
      <c r="AK214" s="163"/>
      <c r="AL214" s="163"/>
      <c r="AM214" s="163"/>
    </row>
    <row r="215" ht="13.5" customHeight="1">
      <c r="A215" s="130"/>
      <c r="B215" s="130"/>
      <c r="C215" s="130"/>
      <c r="D215" s="130"/>
      <c r="E215" s="163"/>
      <c r="F215" s="163"/>
      <c r="G215" s="163"/>
      <c r="H215" s="130"/>
      <c r="I215" s="130"/>
      <c r="J215" s="130"/>
      <c r="K215" s="130"/>
      <c r="L215" s="163"/>
      <c r="M215" s="130"/>
      <c r="N215" s="130"/>
      <c r="O215" s="130"/>
      <c r="P215" s="130"/>
      <c r="Q215" s="130"/>
      <c r="R215" s="130"/>
      <c r="S215" s="130"/>
      <c r="T215" s="130"/>
      <c r="U215" s="130"/>
      <c r="V215" s="130"/>
      <c r="W215" s="130"/>
      <c r="X215" s="163"/>
      <c r="Y215" s="163"/>
      <c r="Z215" s="163"/>
      <c r="AA215" s="163"/>
      <c r="AB215" s="163"/>
      <c r="AC215" s="163"/>
      <c r="AD215" s="163"/>
      <c r="AE215" s="163"/>
      <c r="AF215" s="163"/>
      <c r="AG215" s="163"/>
      <c r="AH215" s="163"/>
      <c r="AI215" s="163"/>
      <c r="AJ215" s="163"/>
      <c r="AK215" s="163"/>
      <c r="AL215" s="163"/>
      <c r="AM215" s="163"/>
    </row>
    <row r="216" ht="13.5" customHeight="1">
      <c r="A216" s="130"/>
      <c r="B216" s="130"/>
      <c r="C216" s="130"/>
      <c r="D216" s="130"/>
      <c r="E216" s="163"/>
      <c r="F216" s="163"/>
      <c r="G216" s="163"/>
      <c r="H216" s="130"/>
      <c r="I216" s="130"/>
      <c r="J216" s="130"/>
      <c r="K216" s="130"/>
      <c r="L216" s="163"/>
      <c r="M216" s="130"/>
      <c r="N216" s="130"/>
      <c r="O216" s="130"/>
      <c r="P216" s="130"/>
      <c r="Q216" s="130"/>
      <c r="R216" s="130"/>
      <c r="S216" s="130"/>
      <c r="T216" s="130"/>
      <c r="U216" s="130"/>
      <c r="V216" s="130"/>
      <c r="W216" s="130"/>
      <c r="X216" s="163"/>
      <c r="Y216" s="163"/>
      <c r="Z216" s="163"/>
      <c r="AA216" s="163"/>
      <c r="AB216" s="163"/>
      <c r="AC216" s="163"/>
      <c r="AD216" s="163"/>
      <c r="AE216" s="163"/>
      <c r="AF216" s="163"/>
      <c r="AG216" s="163"/>
      <c r="AH216" s="163"/>
      <c r="AI216" s="163"/>
      <c r="AJ216" s="163"/>
      <c r="AK216" s="163"/>
      <c r="AL216" s="163"/>
      <c r="AM216" s="163"/>
    </row>
    <row r="217" ht="13.5" customHeight="1">
      <c r="A217" s="130"/>
      <c r="B217" s="130"/>
      <c r="C217" s="130"/>
      <c r="D217" s="130"/>
      <c r="E217" s="163"/>
      <c r="F217" s="163"/>
      <c r="G217" s="163"/>
      <c r="H217" s="130"/>
      <c r="I217" s="130"/>
      <c r="J217" s="130"/>
      <c r="K217" s="130"/>
      <c r="L217" s="163"/>
      <c r="M217" s="130"/>
      <c r="N217" s="130"/>
      <c r="O217" s="130"/>
      <c r="P217" s="130"/>
      <c r="Q217" s="130"/>
      <c r="R217" s="130"/>
      <c r="S217" s="130"/>
      <c r="T217" s="130"/>
      <c r="U217" s="130"/>
      <c r="V217" s="130"/>
      <c r="W217" s="130"/>
      <c r="X217" s="163"/>
      <c r="Y217" s="163"/>
      <c r="Z217" s="163"/>
      <c r="AA217" s="163"/>
      <c r="AB217" s="163"/>
      <c r="AC217" s="163"/>
      <c r="AD217" s="163"/>
      <c r="AE217" s="163"/>
      <c r="AF217" s="163"/>
      <c r="AG217" s="163"/>
      <c r="AH217" s="163"/>
      <c r="AI217" s="163"/>
      <c r="AJ217" s="163"/>
      <c r="AK217" s="163"/>
      <c r="AL217" s="163"/>
      <c r="AM217" s="163"/>
    </row>
    <row r="218" ht="13.5" customHeight="1">
      <c r="A218" s="130"/>
      <c r="B218" s="130"/>
      <c r="C218" s="130"/>
      <c r="D218" s="130"/>
      <c r="E218" s="163"/>
      <c r="F218" s="163"/>
      <c r="G218" s="163"/>
      <c r="H218" s="130"/>
      <c r="I218" s="130"/>
      <c r="J218" s="130"/>
      <c r="K218" s="130"/>
      <c r="L218" s="163"/>
      <c r="M218" s="130"/>
      <c r="N218" s="130"/>
      <c r="O218" s="130"/>
      <c r="P218" s="130"/>
      <c r="Q218" s="130"/>
      <c r="R218" s="130"/>
      <c r="S218" s="130"/>
      <c r="T218" s="130"/>
      <c r="U218" s="130"/>
      <c r="V218" s="130"/>
      <c r="W218" s="130"/>
      <c r="X218" s="163"/>
      <c r="Y218" s="163"/>
      <c r="Z218" s="163"/>
      <c r="AA218" s="163"/>
      <c r="AB218" s="163"/>
      <c r="AC218" s="163"/>
      <c r="AD218" s="163"/>
      <c r="AE218" s="163"/>
      <c r="AF218" s="163"/>
      <c r="AG218" s="163"/>
      <c r="AH218" s="163"/>
      <c r="AI218" s="163"/>
      <c r="AJ218" s="163"/>
      <c r="AK218" s="163"/>
      <c r="AL218" s="163"/>
      <c r="AM218" s="163"/>
    </row>
    <row r="219" ht="13.5" customHeight="1">
      <c r="A219" s="130"/>
      <c r="B219" s="130"/>
      <c r="C219" s="130"/>
      <c r="D219" s="130"/>
      <c r="E219" s="163"/>
      <c r="F219" s="163"/>
      <c r="G219" s="163"/>
      <c r="H219" s="130"/>
      <c r="I219" s="130"/>
      <c r="J219" s="130"/>
      <c r="K219" s="130"/>
      <c r="L219" s="163"/>
      <c r="M219" s="130"/>
      <c r="N219" s="130"/>
      <c r="O219" s="130"/>
      <c r="P219" s="130"/>
      <c r="Q219" s="130"/>
      <c r="R219" s="130"/>
      <c r="S219" s="130"/>
      <c r="T219" s="130"/>
      <c r="U219" s="130"/>
      <c r="V219" s="130"/>
      <c r="W219" s="130"/>
      <c r="X219" s="163"/>
      <c r="Y219" s="163"/>
      <c r="Z219" s="163"/>
      <c r="AA219" s="163"/>
      <c r="AB219" s="163"/>
      <c r="AC219" s="163"/>
      <c r="AD219" s="163"/>
      <c r="AE219" s="163"/>
      <c r="AF219" s="163"/>
      <c r="AG219" s="163"/>
      <c r="AH219" s="163"/>
      <c r="AI219" s="163"/>
      <c r="AJ219" s="163"/>
      <c r="AK219" s="163"/>
      <c r="AL219" s="163"/>
      <c r="AM219" s="163"/>
    </row>
    <row r="220" ht="13.5" customHeight="1">
      <c r="A220" s="130"/>
      <c r="B220" s="130"/>
      <c r="C220" s="130"/>
      <c r="D220" s="130"/>
      <c r="E220" s="163"/>
      <c r="F220" s="163"/>
      <c r="G220" s="163"/>
      <c r="H220" s="130"/>
      <c r="I220" s="130"/>
      <c r="J220" s="130"/>
      <c r="K220" s="130"/>
      <c r="L220" s="163"/>
      <c r="M220" s="130"/>
      <c r="N220" s="130"/>
      <c r="O220" s="130"/>
      <c r="P220" s="130"/>
      <c r="Q220" s="130"/>
      <c r="R220" s="130"/>
      <c r="S220" s="130"/>
      <c r="T220" s="130"/>
      <c r="U220" s="130"/>
      <c r="V220" s="130"/>
      <c r="W220" s="130"/>
      <c r="X220" s="163"/>
      <c r="Y220" s="163"/>
      <c r="Z220" s="163"/>
      <c r="AA220" s="163"/>
      <c r="AB220" s="163"/>
      <c r="AC220" s="163"/>
      <c r="AD220" s="163"/>
      <c r="AE220" s="163"/>
      <c r="AF220" s="163"/>
      <c r="AG220" s="163"/>
      <c r="AH220" s="163"/>
      <c r="AI220" s="163"/>
      <c r="AJ220" s="163"/>
      <c r="AK220" s="163"/>
      <c r="AL220" s="163"/>
      <c r="AM220" s="163"/>
    </row>
    <row r="221" ht="13.5" customHeight="1">
      <c r="A221" s="130"/>
      <c r="B221" s="130"/>
      <c r="C221" s="130"/>
      <c r="D221" s="130"/>
      <c r="E221" s="163"/>
      <c r="F221" s="163"/>
      <c r="G221" s="163"/>
      <c r="H221" s="130"/>
      <c r="I221" s="130"/>
      <c r="J221" s="130"/>
      <c r="K221" s="130"/>
      <c r="L221" s="163"/>
      <c r="M221" s="130"/>
      <c r="N221" s="130"/>
      <c r="O221" s="130"/>
      <c r="P221" s="130"/>
      <c r="Q221" s="130"/>
      <c r="R221" s="130"/>
      <c r="S221" s="130"/>
      <c r="T221" s="130"/>
      <c r="U221" s="130"/>
      <c r="V221" s="130"/>
      <c r="W221" s="130"/>
      <c r="X221" s="163"/>
      <c r="Y221" s="163"/>
      <c r="Z221" s="163"/>
      <c r="AA221" s="163"/>
      <c r="AB221" s="163"/>
      <c r="AC221" s="163"/>
      <c r="AD221" s="163"/>
      <c r="AE221" s="163"/>
      <c r="AF221" s="163"/>
      <c r="AG221" s="163"/>
      <c r="AH221" s="163"/>
      <c r="AI221" s="163"/>
      <c r="AJ221" s="163"/>
      <c r="AK221" s="163"/>
      <c r="AL221" s="163"/>
      <c r="AM221" s="163"/>
    </row>
    <row r="222" ht="13.5" customHeight="1">
      <c r="A222" s="130"/>
      <c r="B222" s="130"/>
      <c r="C222" s="130"/>
      <c r="D222" s="130"/>
      <c r="E222" s="163"/>
      <c r="F222" s="163"/>
      <c r="G222" s="163"/>
      <c r="H222" s="130"/>
      <c r="I222" s="130"/>
      <c r="J222" s="130"/>
      <c r="K222" s="130"/>
      <c r="L222" s="163"/>
      <c r="M222" s="130"/>
      <c r="N222" s="130"/>
      <c r="O222" s="130"/>
      <c r="P222" s="130"/>
      <c r="Q222" s="130"/>
      <c r="R222" s="130"/>
      <c r="S222" s="130"/>
      <c r="T222" s="130"/>
      <c r="U222" s="130"/>
      <c r="V222" s="130"/>
      <c r="W222" s="130"/>
      <c r="X222" s="163"/>
      <c r="Y222" s="163"/>
      <c r="Z222" s="163"/>
      <c r="AA222" s="163"/>
      <c r="AB222" s="163"/>
      <c r="AC222" s="163"/>
      <c r="AD222" s="163"/>
      <c r="AE222" s="163"/>
      <c r="AF222" s="163"/>
      <c r="AG222" s="163"/>
      <c r="AH222" s="163"/>
      <c r="AI222" s="163"/>
      <c r="AJ222" s="163"/>
      <c r="AK222" s="163"/>
      <c r="AL222" s="163"/>
      <c r="AM222" s="163"/>
    </row>
    <row r="223" ht="13.5" customHeight="1">
      <c r="A223" s="130"/>
      <c r="B223" s="130"/>
      <c r="C223" s="130"/>
      <c r="D223" s="130"/>
      <c r="E223" s="163"/>
      <c r="F223" s="163"/>
      <c r="G223" s="163"/>
      <c r="H223" s="130"/>
      <c r="I223" s="130"/>
      <c r="J223" s="130"/>
      <c r="K223" s="130"/>
      <c r="L223" s="163"/>
      <c r="M223" s="130"/>
      <c r="N223" s="130"/>
      <c r="O223" s="130"/>
      <c r="P223" s="130"/>
      <c r="Q223" s="130"/>
      <c r="R223" s="130"/>
      <c r="S223" s="130"/>
      <c r="T223" s="130"/>
      <c r="U223" s="130"/>
      <c r="V223" s="130"/>
      <c r="W223" s="130"/>
      <c r="X223" s="163"/>
      <c r="Y223" s="163"/>
      <c r="Z223" s="163"/>
      <c r="AA223" s="163"/>
      <c r="AB223" s="163"/>
      <c r="AC223" s="163"/>
      <c r="AD223" s="163"/>
      <c r="AE223" s="163"/>
      <c r="AF223" s="163"/>
      <c r="AG223" s="163"/>
      <c r="AH223" s="163"/>
      <c r="AI223" s="163"/>
      <c r="AJ223" s="163"/>
      <c r="AK223" s="163"/>
      <c r="AL223" s="163"/>
      <c r="AM223" s="163"/>
    </row>
    <row r="224" ht="13.5" customHeight="1">
      <c r="A224" s="130"/>
      <c r="B224" s="130"/>
      <c r="C224" s="130"/>
      <c r="D224" s="130"/>
      <c r="E224" s="163"/>
      <c r="F224" s="163"/>
      <c r="G224" s="163"/>
      <c r="H224" s="130"/>
      <c r="I224" s="130"/>
      <c r="J224" s="130"/>
      <c r="K224" s="130"/>
      <c r="L224" s="163"/>
      <c r="M224" s="130"/>
      <c r="N224" s="130"/>
      <c r="O224" s="130"/>
      <c r="P224" s="130"/>
      <c r="Q224" s="130"/>
      <c r="R224" s="130"/>
      <c r="S224" s="130"/>
      <c r="T224" s="130"/>
      <c r="U224" s="130"/>
      <c r="V224" s="130"/>
      <c r="W224" s="130"/>
      <c r="X224" s="163"/>
      <c r="Y224" s="163"/>
      <c r="Z224" s="163"/>
      <c r="AA224" s="163"/>
      <c r="AB224" s="163"/>
      <c r="AC224" s="163"/>
      <c r="AD224" s="163"/>
      <c r="AE224" s="163"/>
      <c r="AF224" s="163"/>
      <c r="AG224" s="163"/>
      <c r="AH224" s="163"/>
      <c r="AI224" s="163"/>
      <c r="AJ224" s="163"/>
      <c r="AK224" s="163"/>
      <c r="AL224" s="163"/>
      <c r="AM224" s="163"/>
    </row>
    <row r="225" ht="13.5" customHeight="1">
      <c r="A225" s="130"/>
      <c r="B225" s="130"/>
      <c r="C225" s="130"/>
      <c r="D225" s="130"/>
      <c r="E225" s="163"/>
      <c r="F225" s="163"/>
      <c r="G225" s="163"/>
      <c r="H225" s="130"/>
      <c r="I225" s="130"/>
      <c r="J225" s="130"/>
      <c r="K225" s="130"/>
      <c r="L225" s="163"/>
      <c r="M225" s="130"/>
      <c r="N225" s="130"/>
      <c r="O225" s="130"/>
      <c r="P225" s="130"/>
      <c r="Q225" s="130"/>
      <c r="R225" s="130"/>
      <c r="S225" s="130"/>
      <c r="T225" s="130"/>
      <c r="U225" s="130"/>
      <c r="V225" s="130"/>
      <c r="W225" s="130"/>
      <c r="X225" s="163"/>
      <c r="Y225" s="163"/>
      <c r="Z225" s="163"/>
      <c r="AA225" s="163"/>
      <c r="AB225" s="163"/>
      <c r="AC225" s="163"/>
      <c r="AD225" s="163"/>
      <c r="AE225" s="163"/>
      <c r="AF225" s="163"/>
      <c r="AG225" s="163"/>
      <c r="AH225" s="163"/>
      <c r="AI225" s="163"/>
      <c r="AJ225" s="163"/>
      <c r="AK225" s="163"/>
      <c r="AL225" s="163"/>
      <c r="AM225" s="163"/>
    </row>
    <row r="226" ht="13.5" customHeight="1">
      <c r="A226" s="130"/>
      <c r="B226" s="130"/>
      <c r="C226" s="130"/>
      <c r="D226" s="130"/>
      <c r="E226" s="163"/>
      <c r="F226" s="163"/>
      <c r="G226" s="163"/>
      <c r="H226" s="130"/>
      <c r="I226" s="130"/>
      <c r="J226" s="130"/>
      <c r="K226" s="130"/>
      <c r="L226" s="163"/>
      <c r="M226" s="130"/>
      <c r="N226" s="130"/>
      <c r="O226" s="130"/>
      <c r="P226" s="130"/>
      <c r="Q226" s="130"/>
      <c r="R226" s="130"/>
      <c r="S226" s="130"/>
      <c r="T226" s="130"/>
      <c r="U226" s="130"/>
      <c r="V226" s="130"/>
      <c r="W226" s="130"/>
      <c r="X226" s="163"/>
      <c r="Y226" s="163"/>
      <c r="Z226" s="163"/>
      <c r="AA226" s="163"/>
      <c r="AB226" s="163"/>
      <c r="AC226" s="163"/>
      <c r="AD226" s="163"/>
      <c r="AE226" s="163"/>
      <c r="AF226" s="163"/>
      <c r="AG226" s="163"/>
      <c r="AH226" s="163"/>
      <c r="AI226" s="163"/>
      <c r="AJ226" s="163"/>
      <c r="AK226" s="163"/>
      <c r="AL226" s="163"/>
      <c r="AM226" s="163"/>
    </row>
    <row r="227" ht="13.5" customHeight="1">
      <c r="A227" s="130"/>
      <c r="B227" s="130"/>
      <c r="C227" s="130"/>
      <c r="D227" s="130"/>
      <c r="E227" s="163"/>
      <c r="F227" s="163"/>
      <c r="G227" s="163"/>
      <c r="H227" s="130"/>
      <c r="I227" s="130"/>
      <c r="J227" s="130"/>
      <c r="K227" s="130"/>
      <c r="L227" s="163"/>
      <c r="M227" s="130"/>
      <c r="N227" s="130"/>
      <c r="O227" s="130"/>
      <c r="P227" s="130"/>
      <c r="Q227" s="130"/>
      <c r="R227" s="130"/>
      <c r="S227" s="130"/>
      <c r="T227" s="130"/>
      <c r="U227" s="130"/>
      <c r="V227" s="130"/>
      <c r="W227" s="130"/>
      <c r="X227" s="163"/>
      <c r="Y227" s="163"/>
      <c r="Z227" s="163"/>
      <c r="AA227" s="163"/>
      <c r="AB227" s="163"/>
      <c r="AC227" s="163"/>
      <c r="AD227" s="163"/>
      <c r="AE227" s="163"/>
      <c r="AF227" s="163"/>
      <c r="AG227" s="163"/>
      <c r="AH227" s="163"/>
      <c r="AI227" s="163"/>
      <c r="AJ227" s="163"/>
      <c r="AK227" s="163"/>
      <c r="AL227" s="163"/>
      <c r="AM227" s="163"/>
    </row>
    <row r="228" ht="13.5" customHeight="1">
      <c r="A228" s="130"/>
      <c r="B228" s="130"/>
      <c r="C228" s="130"/>
      <c r="D228" s="130"/>
      <c r="E228" s="163"/>
      <c r="F228" s="163"/>
      <c r="G228" s="163"/>
      <c r="H228" s="130"/>
      <c r="I228" s="130"/>
      <c r="J228" s="130"/>
      <c r="K228" s="130"/>
      <c r="L228" s="163"/>
      <c r="M228" s="130"/>
      <c r="N228" s="130"/>
      <c r="O228" s="130"/>
      <c r="P228" s="130"/>
      <c r="Q228" s="130"/>
      <c r="R228" s="130"/>
      <c r="S228" s="130"/>
      <c r="T228" s="130"/>
      <c r="U228" s="130"/>
      <c r="V228" s="130"/>
      <c r="W228" s="130"/>
      <c r="X228" s="163"/>
      <c r="Y228" s="163"/>
      <c r="Z228" s="163"/>
      <c r="AA228" s="163"/>
      <c r="AB228" s="163"/>
      <c r="AC228" s="163"/>
      <c r="AD228" s="163"/>
      <c r="AE228" s="163"/>
      <c r="AF228" s="163"/>
      <c r="AG228" s="163"/>
      <c r="AH228" s="163"/>
      <c r="AI228" s="163"/>
      <c r="AJ228" s="163"/>
      <c r="AK228" s="163"/>
      <c r="AL228" s="163"/>
      <c r="AM228" s="163"/>
    </row>
    <row r="229" ht="13.5" customHeight="1">
      <c r="A229" s="130"/>
      <c r="B229" s="130"/>
      <c r="C229" s="130"/>
      <c r="D229" s="130"/>
      <c r="E229" s="163"/>
      <c r="F229" s="163"/>
      <c r="G229" s="163"/>
      <c r="H229" s="130"/>
      <c r="I229" s="130"/>
      <c r="J229" s="130"/>
      <c r="K229" s="130"/>
      <c r="L229" s="163"/>
      <c r="M229" s="130"/>
      <c r="N229" s="130"/>
      <c r="O229" s="130"/>
      <c r="P229" s="130"/>
      <c r="Q229" s="130"/>
      <c r="R229" s="130"/>
      <c r="S229" s="130"/>
      <c r="T229" s="130"/>
      <c r="U229" s="130"/>
      <c r="V229" s="130"/>
      <c r="W229" s="130"/>
      <c r="X229" s="163"/>
      <c r="Y229" s="163"/>
      <c r="Z229" s="163"/>
      <c r="AA229" s="163"/>
      <c r="AB229" s="163"/>
      <c r="AC229" s="163"/>
      <c r="AD229" s="163"/>
      <c r="AE229" s="163"/>
      <c r="AF229" s="163"/>
      <c r="AG229" s="163"/>
      <c r="AH229" s="163"/>
      <c r="AI229" s="163"/>
      <c r="AJ229" s="163"/>
      <c r="AK229" s="163"/>
      <c r="AL229" s="163"/>
      <c r="AM229" s="163"/>
    </row>
    <row r="230" ht="13.5" customHeight="1">
      <c r="A230" s="130"/>
      <c r="B230" s="130"/>
      <c r="C230" s="130"/>
      <c r="D230" s="130"/>
      <c r="E230" s="163"/>
      <c r="F230" s="163"/>
      <c r="G230" s="163"/>
      <c r="H230" s="130"/>
      <c r="I230" s="130"/>
      <c r="J230" s="130"/>
      <c r="K230" s="130"/>
      <c r="L230" s="163"/>
      <c r="M230" s="130"/>
      <c r="N230" s="130"/>
      <c r="O230" s="130"/>
      <c r="P230" s="130"/>
      <c r="Q230" s="130"/>
      <c r="R230" s="130"/>
      <c r="S230" s="130"/>
      <c r="T230" s="130"/>
      <c r="U230" s="130"/>
      <c r="V230" s="130"/>
      <c r="W230" s="130"/>
      <c r="X230" s="163"/>
      <c r="Y230" s="163"/>
      <c r="Z230" s="163"/>
      <c r="AA230" s="163"/>
      <c r="AB230" s="163"/>
      <c r="AC230" s="163"/>
      <c r="AD230" s="163"/>
      <c r="AE230" s="163"/>
      <c r="AF230" s="163"/>
      <c r="AG230" s="163"/>
      <c r="AH230" s="163"/>
      <c r="AI230" s="163"/>
      <c r="AJ230" s="163"/>
      <c r="AK230" s="163"/>
      <c r="AL230" s="163"/>
      <c r="AM230" s="163"/>
    </row>
    <row r="231" ht="13.5" customHeight="1">
      <c r="A231" s="130"/>
      <c r="B231" s="130"/>
      <c r="C231" s="130"/>
      <c r="D231" s="130"/>
      <c r="E231" s="163"/>
      <c r="F231" s="163"/>
      <c r="G231" s="163"/>
      <c r="H231" s="130"/>
      <c r="I231" s="130"/>
      <c r="J231" s="130"/>
      <c r="K231" s="130"/>
      <c r="L231" s="163"/>
      <c r="M231" s="130"/>
      <c r="N231" s="130"/>
      <c r="O231" s="130"/>
      <c r="P231" s="130"/>
      <c r="Q231" s="130"/>
      <c r="R231" s="130"/>
      <c r="S231" s="130"/>
      <c r="T231" s="130"/>
      <c r="U231" s="130"/>
      <c r="V231" s="130"/>
      <c r="W231" s="130"/>
      <c r="X231" s="163"/>
      <c r="Y231" s="163"/>
      <c r="Z231" s="163"/>
      <c r="AA231" s="163"/>
      <c r="AB231" s="163"/>
      <c r="AC231" s="163"/>
      <c r="AD231" s="163"/>
      <c r="AE231" s="163"/>
      <c r="AF231" s="163"/>
      <c r="AG231" s="163"/>
      <c r="AH231" s="163"/>
      <c r="AI231" s="163"/>
      <c r="AJ231" s="163"/>
      <c r="AK231" s="163"/>
      <c r="AL231" s="163"/>
      <c r="AM231" s="163"/>
    </row>
    <row r="232" ht="13.5" customHeight="1">
      <c r="A232" s="130"/>
      <c r="B232" s="130"/>
      <c r="C232" s="130"/>
      <c r="D232" s="130"/>
      <c r="E232" s="163"/>
      <c r="F232" s="163"/>
      <c r="G232" s="163"/>
      <c r="H232" s="130"/>
      <c r="I232" s="130"/>
      <c r="J232" s="130"/>
      <c r="K232" s="130"/>
      <c r="L232" s="163"/>
      <c r="M232" s="130"/>
      <c r="N232" s="130"/>
      <c r="O232" s="130"/>
      <c r="P232" s="130"/>
      <c r="Q232" s="130"/>
      <c r="R232" s="130"/>
      <c r="S232" s="130"/>
      <c r="T232" s="130"/>
      <c r="U232" s="130"/>
      <c r="V232" s="130"/>
      <c r="W232" s="130"/>
      <c r="X232" s="163"/>
      <c r="Y232" s="163"/>
      <c r="Z232" s="163"/>
      <c r="AA232" s="163"/>
      <c r="AB232" s="163"/>
      <c r="AC232" s="163"/>
      <c r="AD232" s="163"/>
      <c r="AE232" s="163"/>
      <c r="AF232" s="163"/>
      <c r="AG232" s="163"/>
      <c r="AH232" s="163"/>
      <c r="AI232" s="163"/>
      <c r="AJ232" s="163"/>
      <c r="AK232" s="163"/>
      <c r="AL232" s="163"/>
      <c r="AM232" s="163"/>
    </row>
    <row r="233" ht="13.5" customHeight="1">
      <c r="A233" s="130"/>
      <c r="B233" s="130"/>
      <c r="C233" s="130"/>
      <c r="D233" s="130"/>
      <c r="E233" s="163"/>
      <c r="F233" s="163"/>
      <c r="G233" s="163"/>
      <c r="H233" s="130"/>
      <c r="I233" s="130"/>
      <c r="J233" s="130"/>
      <c r="K233" s="130"/>
      <c r="L233" s="163"/>
      <c r="M233" s="130"/>
      <c r="N233" s="130"/>
      <c r="O233" s="130"/>
      <c r="P233" s="130"/>
      <c r="Q233" s="130"/>
      <c r="R233" s="130"/>
      <c r="S233" s="130"/>
      <c r="T233" s="130"/>
      <c r="U233" s="130"/>
      <c r="V233" s="130"/>
      <c r="W233" s="130"/>
      <c r="X233" s="163"/>
      <c r="Y233" s="163"/>
      <c r="Z233" s="163"/>
      <c r="AA233" s="163"/>
      <c r="AB233" s="163"/>
      <c r="AC233" s="163"/>
      <c r="AD233" s="163"/>
      <c r="AE233" s="163"/>
      <c r="AF233" s="163"/>
      <c r="AG233" s="163"/>
      <c r="AH233" s="163"/>
      <c r="AI233" s="163"/>
      <c r="AJ233" s="163"/>
      <c r="AK233" s="163"/>
      <c r="AL233" s="163"/>
      <c r="AM233" s="163"/>
    </row>
    <row r="234" ht="13.5" customHeight="1">
      <c r="A234" s="130"/>
      <c r="B234" s="130"/>
      <c r="C234" s="130"/>
      <c r="D234" s="130"/>
      <c r="E234" s="163"/>
      <c r="F234" s="163"/>
      <c r="G234" s="163"/>
      <c r="H234" s="130"/>
      <c r="I234" s="130"/>
      <c r="J234" s="130"/>
      <c r="K234" s="130"/>
      <c r="L234" s="163"/>
      <c r="M234" s="130"/>
      <c r="N234" s="130"/>
      <c r="O234" s="130"/>
      <c r="P234" s="130"/>
      <c r="Q234" s="130"/>
      <c r="R234" s="130"/>
      <c r="S234" s="130"/>
      <c r="T234" s="130"/>
      <c r="U234" s="130"/>
      <c r="V234" s="130"/>
      <c r="W234" s="130"/>
      <c r="X234" s="163"/>
      <c r="Y234" s="163"/>
      <c r="Z234" s="163"/>
      <c r="AA234" s="163"/>
      <c r="AB234" s="163"/>
      <c r="AC234" s="163"/>
      <c r="AD234" s="163"/>
      <c r="AE234" s="163"/>
      <c r="AF234" s="163"/>
      <c r="AG234" s="163"/>
      <c r="AH234" s="163"/>
      <c r="AI234" s="163"/>
      <c r="AJ234" s="163"/>
      <c r="AK234" s="163"/>
      <c r="AL234" s="163"/>
      <c r="AM234" s="163"/>
    </row>
    <row r="235" ht="13.5" customHeight="1">
      <c r="A235" s="130"/>
      <c r="B235" s="130"/>
      <c r="C235" s="130"/>
      <c r="D235" s="130"/>
      <c r="E235" s="163"/>
      <c r="F235" s="163"/>
      <c r="G235" s="163"/>
      <c r="H235" s="130"/>
      <c r="I235" s="130"/>
      <c r="J235" s="130"/>
      <c r="K235" s="130"/>
      <c r="L235" s="163"/>
      <c r="M235" s="130"/>
      <c r="N235" s="130"/>
      <c r="O235" s="130"/>
      <c r="P235" s="130"/>
      <c r="Q235" s="130"/>
      <c r="R235" s="130"/>
      <c r="S235" s="130"/>
      <c r="T235" s="130"/>
      <c r="U235" s="130"/>
      <c r="V235" s="130"/>
      <c r="W235" s="130"/>
      <c r="X235" s="163"/>
      <c r="Y235" s="163"/>
      <c r="Z235" s="163"/>
      <c r="AA235" s="163"/>
      <c r="AB235" s="163"/>
      <c r="AC235" s="163"/>
      <c r="AD235" s="163"/>
      <c r="AE235" s="163"/>
      <c r="AF235" s="163"/>
      <c r="AG235" s="163"/>
      <c r="AH235" s="163"/>
      <c r="AI235" s="163"/>
      <c r="AJ235" s="163"/>
      <c r="AK235" s="163"/>
      <c r="AL235" s="163"/>
      <c r="AM235" s="163"/>
    </row>
    <row r="236" ht="13.5" customHeight="1">
      <c r="A236" s="130"/>
      <c r="B236" s="130"/>
      <c r="C236" s="130"/>
      <c r="D236" s="130"/>
      <c r="E236" s="163"/>
      <c r="F236" s="163"/>
      <c r="G236" s="163"/>
      <c r="H236" s="130"/>
      <c r="I236" s="130"/>
      <c r="J236" s="130"/>
      <c r="K236" s="130"/>
      <c r="L236" s="163"/>
      <c r="M236" s="130"/>
      <c r="N236" s="130"/>
      <c r="O236" s="130"/>
      <c r="P236" s="130"/>
      <c r="Q236" s="130"/>
      <c r="R236" s="130"/>
      <c r="S236" s="130"/>
      <c r="T236" s="130"/>
      <c r="U236" s="130"/>
      <c r="V236" s="130"/>
      <c r="W236" s="130"/>
      <c r="X236" s="163"/>
      <c r="Y236" s="163"/>
      <c r="Z236" s="163"/>
      <c r="AA236" s="163"/>
      <c r="AB236" s="163"/>
      <c r="AC236" s="163"/>
      <c r="AD236" s="163"/>
      <c r="AE236" s="163"/>
      <c r="AF236" s="163"/>
      <c r="AG236" s="163"/>
      <c r="AH236" s="163"/>
      <c r="AI236" s="163"/>
      <c r="AJ236" s="163"/>
      <c r="AK236" s="163"/>
      <c r="AL236" s="163"/>
      <c r="AM236" s="163"/>
    </row>
    <row r="237" ht="13.5" customHeight="1">
      <c r="A237" s="130"/>
      <c r="B237" s="130"/>
      <c r="C237" s="130"/>
      <c r="D237" s="130"/>
      <c r="E237" s="163"/>
      <c r="F237" s="163"/>
      <c r="G237" s="163"/>
      <c r="H237" s="130"/>
      <c r="I237" s="130"/>
      <c r="J237" s="130"/>
      <c r="K237" s="130"/>
      <c r="L237" s="163"/>
      <c r="M237" s="130"/>
      <c r="N237" s="130"/>
      <c r="O237" s="130"/>
      <c r="P237" s="130"/>
      <c r="Q237" s="130"/>
      <c r="R237" s="130"/>
      <c r="S237" s="130"/>
      <c r="T237" s="130"/>
      <c r="U237" s="130"/>
      <c r="V237" s="130"/>
      <c r="W237" s="130"/>
      <c r="X237" s="163"/>
      <c r="Y237" s="163"/>
      <c r="Z237" s="163"/>
      <c r="AA237" s="163"/>
      <c r="AB237" s="163"/>
      <c r="AC237" s="163"/>
      <c r="AD237" s="163"/>
      <c r="AE237" s="163"/>
      <c r="AF237" s="163"/>
      <c r="AG237" s="163"/>
      <c r="AH237" s="163"/>
      <c r="AI237" s="163"/>
      <c r="AJ237" s="163"/>
      <c r="AK237" s="163"/>
      <c r="AL237" s="163"/>
      <c r="AM237" s="163"/>
    </row>
    <row r="238" ht="13.5" customHeight="1">
      <c r="A238" s="130"/>
      <c r="B238" s="130"/>
      <c r="C238" s="130"/>
      <c r="D238" s="130"/>
      <c r="E238" s="163"/>
      <c r="F238" s="163"/>
      <c r="G238" s="163"/>
      <c r="H238" s="130"/>
      <c r="I238" s="130"/>
      <c r="J238" s="130"/>
      <c r="K238" s="130"/>
      <c r="L238" s="163"/>
      <c r="M238" s="130"/>
      <c r="N238" s="130"/>
      <c r="O238" s="130"/>
      <c r="P238" s="130"/>
      <c r="Q238" s="130"/>
      <c r="R238" s="130"/>
      <c r="S238" s="130"/>
      <c r="T238" s="130"/>
      <c r="U238" s="130"/>
      <c r="V238" s="130"/>
      <c r="W238" s="130"/>
      <c r="X238" s="163"/>
      <c r="Y238" s="163"/>
      <c r="Z238" s="163"/>
      <c r="AA238" s="163"/>
      <c r="AB238" s="163"/>
      <c r="AC238" s="163"/>
      <c r="AD238" s="163"/>
      <c r="AE238" s="163"/>
      <c r="AF238" s="163"/>
      <c r="AG238" s="163"/>
      <c r="AH238" s="163"/>
      <c r="AI238" s="163"/>
      <c r="AJ238" s="163"/>
      <c r="AK238" s="163"/>
      <c r="AL238" s="163"/>
      <c r="AM238" s="163"/>
    </row>
    <row r="239" ht="13.5" customHeight="1">
      <c r="A239" s="130"/>
      <c r="B239" s="130"/>
      <c r="C239" s="130"/>
      <c r="D239" s="130"/>
      <c r="E239" s="163"/>
      <c r="F239" s="163"/>
      <c r="G239" s="163"/>
      <c r="H239" s="130"/>
      <c r="I239" s="130"/>
      <c r="J239" s="130"/>
      <c r="K239" s="130"/>
      <c r="L239" s="163"/>
      <c r="M239" s="130"/>
      <c r="N239" s="130"/>
      <c r="O239" s="130"/>
      <c r="P239" s="130"/>
      <c r="Q239" s="130"/>
      <c r="R239" s="130"/>
      <c r="S239" s="130"/>
      <c r="T239" s="130"/>
      <c r="U239" s="130"/>
      <c r="V239" s="130"/>
      <c r="W239" s="130"/>
      <c r="X239" s="163"/>
      <c r="Y239" s="163"/>
      <c r="Z239" s="163"/>
      <c r="AA239" s="163"/>
      <c r="AB239" s="163"/>
      <c r="AC239" s="163"/>
      <c r="AD239" s="163"/>
      <c r="AE239" s="163"/>
      <c r="AF239" s="163"/>
      <c r="AG239" s="163"/>
      <c r="AH239" s="163"/>
      <c r="AI239" s="163"/>
      <c r="AJ239" s="163"/>
      <c r="AK239" s="163"/>
      <c r="AL239" s="163"/>
      <c r="AM239" s="163"/>
    </row>
    <row r="240" ht="13.5" customHeight="1">
      <c r="A240" s="130"/>
      <c r="B240" s="130"/>
      <c r="C240" s="130"/>
      <c r="D240" s="130"/>
      <c r="E240" s="163"/>
      <c r="F240" s="163"/>
      <c r="G240" s="163"/>
      <c r="H240" s="130"/>
      <c r="I240" s="130"/>
      <c r="J240" s="130"/>
      <c r="K240" s="130"/>
      <c r="L240" s="163"/>
      <c r="M240" s="130"/>
      <c r="N240" s="130"/>
      <c r="O240" s="130"/>
      <c r="P240" s="130"/>
      <c r="Q240" s="130"/>
      <c r="R240" s="130"/>
      <c r="S240" s="130"/>
      <c r="T240" s="130"/>
      <c r="U240" s="130"/>
      <c r="V240" s="130"/>
      <c r="W240" s="130"/>
      <c r="X240" s="163"/>
      <c r="Y240" s="163"/>
      <c r="Z240" s="163"/>
      <c r="AA240" s="163"/>
      <c r="AB240" s="163"/>
      <c r="AC240" s="163"/>
      <c r="AD240" s="163"/>
      <c r="AE240" s="163"/>
      <c r="AF240" s="163"/>
      <c r="AG240" s="163"/>
      <c r="AH240" s="163"/>
      <c r="AI240" s="163"/>
      <c r="AJ240" s="163"/>
      <c r="AK240" s="163"/>
      <c r="AL240" s="163"/>
      <c r="AM240" s="163"/>
    </row>
    <row r="241" ht="13.5" customHeight="1">
      <c r="A241" s="130"/>
      <c r="B241" s="130"/>
      <c r="C241" s="130"/>
      <c r="D241" s="130"/>
      <c r="E241" s="163"/>
      <c r="F241" s="163"/>
      <c r="G241" s="163"/>
      <c r="H241" s="130"/>
      <c r="I241" s="130"/>
      <c r="J241" s="130"/>
      <c r="K241" s="130"/>
      <c r="L241" s="163"/>
      <c r="M241" s="130"/>
      <c r="N241" s="130"/>
      <c r="O241" s="130"/>
      <c r="P241" s="130"/>
      <c r="Q241" s="130"/>
      <c r="R241" s="130"/>
      <c r="S241" s="130"/>
      <c r="T241" s="130"/>
      <c r="U241" s="130"/>
      <c r="V241" s="130"/>
      <c r="W241" s="130"/>
      <c r="X241" s="163"/>
      <c r="Y241" s="163"/>
      <c r="Z241" s="163"/>
      <c r="AA241" s="163"/>
      <c r="AB241" s="163"/>
      <c r="AC241" s="163"/>
      <c r="AD241" s="163"/>
      <c r="AE241" s="163"/>
      <c r="AF241" s="163"/>
      <c r="AG241" s="163"/>
      <c r="AH241" s="163"/>
      <c r="AI241" s="163"/>
      <c r="AJ241" s="163"/>
      <c r="AK241" s="163"/>
      <c r="AL241" s="163"/>
      <c r="AM241" s="163"/>
    </row>
    <row r="242" ht="13.5" customHeight="1">
      <c r="A242" s="130"/>
      <c r="B242" s="130"/>
      <c r="C242" s="130"/>
      <c r="D242" s="130"/>
      <c r="E242" s="163"/>
      <c r="F242" s="163"/>
      <c r="G242" s="163"/>
      <c r="H242" s="130"/>
      <c r="I242" s="130"/>
      <c r="J242" s="130"/>
      <c r="K242" s="130"/>
      <c r="L242" s="163"/>
      <c r="M242" s="130"/>
      <c r="N242" s="130"/>
      <c r="O242" s="130"/>
      <c r="P242" s="130"/>
      <c r="Q242" s="130"/>
      <c r="R242" s="130"/>
      <c r="S242" s="130"/>
      <c r="T242" s="130"/>
      <c r="U242" s="130"/>
      <c r="V242" s="130"/>
      <c r="W242" s="130"/>
      <c r="X242" s="163"/>
      <c r="Y242" s="163"/>
      <c r="Z242" s="163"/>
      <c r="AA242" s="163"/>
      <c r="AB242" s="163"/>
      <c r="AC242" s="163"/>
      <c r="AD242" s="163"/>
      <c r="AE242" s="163"/>
      <c r="AF242" s="163"/>
      <c r="AG242" s="163"/>
      <c r="AH242" s="163"/>
      <c r="AI242" s="163"/>
      <c r="AJ242" s="163"/>
      <c r="AK242" s="163"/>
      <c r="AL242" s="163"/>
      <c r="AM242" s="163"/>
    </row>
    <row r="243" ht="13.5" customHeight="1">
      <c r="A243" s="130"/>
      <c r="B243" s="130"/>
      <c r="C243" s="130"/>
      <c r="D243" s="130"/>
      <c r="E243" s="163"/>
      <c r="F243" s="163"/>
      <c r="G243" s="163"/>
      <c r="H243" s="130"/>
      <c r="I243" s="130"/>
      <c r="J243" s="130"/>
      <c r="K243" s="130"/>
      <c r="L243" s="163"/>
      <c r="M243" s="130"/>
      <c r="N243" s="130"/>
      <c r="O243" s="130"/>
      <c r="P243" s="130"/>
      <c r="Q243" s="130"/>
      <c r="R243" s="130"/>
      <c r="S243" s="130"/>
      <c r="T243" s="130"/>
      <c r="U243" s="130"/>
      <c r="V243" s="130"/>
      <c r="W243" s="130"/>
      <c r="X243" s="163"/>
      <c r="Y243" s="163"/>
      <c r="Z243" s="163"/>
      <c r="AA243" s="163"/>
      <c r="AB243" s="163"/>
      <c r="AC243" s="163"/>
      <c r="AD243" s="163"/>
      <c r="AE243" s="163"/>
      <c r="AF243" s="163"/>
      <c r="AG243" s="163"/>
      <c r="AH243" s="163"/>
      <c r="AI243" s="163"/>
      <c r="AJ243" s="163"/>
      <c r="AK243" s="163"/>
      <c r="AL243" s="163"/>
      <c r="AM243" s="163"/>
    </row>
    <row r="244" ht="13.5" customHeight="1">
      <c r="A244" s="130"/>
      <c r="B244" s="130"/>
      <c r="C244" s="130"/>
      <c r="D244" s="130"/>
      <c r="E244" s="163"/>
      <c r="F244" s="163"/>
      <c r="G244" s="163"/>
      <c r="H244" s="130"/>
      <c r="I244" s="130"/>
      <c r="J244" s="130"/>
      <c r="K244" s="130"/>
      <c r="L244" s="163"/>
      <c r="M244" s="130"/>
      <c r="N244" s="130"/>
      <c r="O244" s="130"/>
      <c r="P244" s="130"/>
      <c r="Q244" s="130"/>
      <c r="R244" s="130"/>
      <c r="S244" s="130"/>
      <c r="T244" s="130"/>
      <c r="U244" s="130"/>
      <c r="V244" s="130"/>
      <c r="W244" s="130"/>
      <c r="X244" s="163"/>
      <c r="Y244" s="163"/>
      <c r="Z244" s="163"/>
      <c r="AA244" s="163"/>
      <c r="AB244" s="163"/>
      <c r="AC244" s="163"/>
      <c r="AD244" s="163"/>
      <c r="AE244" s="163"/>
      <c r="AF244" s="163"/>
      <c r="AG244" s="163"/>
      <c r="AH244" s="163"/>
      <c r="AI244" s="163"/>
      <c r="AJ244" s="163"/>
      <c r="AK244" s="163"/>
      <c r="AL244" s="163"/>
      <c r="AM244" s="163"/>
    </row>
    <row r="245" ht="13.5" customHeight="1">
      <c r="A245" s="130"/>
      <c r="B245" s="130"/>
      <c r="C245" s="130"/>
      <c r="D245" s="130"/>
      <c r="E245" s="163"/>
      <c r="F245" s="163"/>
      <c r="G245" s="163"/>
      <c r="H245" s="130"/>
      <c r="I245" s="130"/>
      <c r="J245" s="130"/>
      <c r="K245" s="130"/>
      <c r="L245" s="163"/>
      <c r="M245" s="130"/>
      <c r="N245" s="130"/>
      <c r="O245" s="130"/>
      <c r="P245" s="130"/>
      <c r="Q245" s="130"/>
      <c r="R245" s="130"/>
      <c r="S245" s="130"/>
      <c r="T245" s="130"/>
      <c r="U245" s="130"/>
      <c r="V245" s="130"/>
      <c r="W245" s="130"/>
      <c r="X245" s="163"/>
      <c r="Y245" s="163"/>
      <c r="Z245" s="163"/>
      <c r="AA245" s="163"/>
      <c r="AB245" s="163"/>
      <c r="AC245" s="163"/>
      <c r="AD245" s="163"/>
      <c r="AE245" s="163"/>
      <c r="AF245" s="163"/>
      <c r="AG245" s="163"/>
      <c r="AH245" s="163"/>
      <c r="AI245" s="163"/>
      <c r="AJ245" s="163"/>
      <c r="AK245" s="163"/>
      <c r="AL245" s="163"/>
      <c r="AM245" s="163"/>
    </row>
    <row r="246" ht="13.5" customHeight="1">
      <c r="A246" s="130"/>
      <c r="B246" s="130"/>
      <c r="C246" s="130"/>
      <c r="D246" s="130"/>
      <c r="E246" s="163"/>
      <c r="F246" s="163"/>
      <c r="G246" s="163"/>
      <c r="H246" s="130"/>
      <c r="I246" s="130"/>
      <c r="J246" s="130"/>
      <c r="K246" s="130"/>
      <c r="L246" s="163"/>
      <c r="M246" s="130"/>
      <c r="N246" s="130"/>
      <c r="O246" s="130"/>
      <c r="P246" s="130"/>
      <c r="Q246" s="130"/>
      <c r="R246" s="130"/>
      <c r="S246" s="130"/>
      <c r="T246" s="130"/>
      <c r="U246" s="130"/>
      <c r="V246" s="130"/>
      <c r="W246" s="130"/>
      <c r="X246" s="163"/>
      <c r="Y246" s="163"/>
      <c r="Z246" s="163"/>
      <c r="AA246" s="163"/>
      <c r="AB246" s="163"/>
      <c r="AC246" s="163"/>
      <c r="AD246" s="163"/>
      <c r="AE246" s="163"/>
      <c r="AF246" s="163"/>
      <c r="AG246" s="163"/>
      <c r="AH246" s="163"/>
      <c r="AI246" s="163"/>
      <c r="AJ246" s="163"/>
      <c r="AK246" s="163"/>
      <c r="AL246" s="163"/>
      <c r="AM246" s="163"/>
    </row>
    <row r="247" ht="13.5" customHeight="1">
      <c r="A247" s="130"/>
      <c r="B247" s="130"/>
      <c r="C247" s="130"/>
      <c r="D247" s="130"/>
      <c r="E247" s="163"/>
      <c r="F247" s="163"/>
      <c r="G247" s="163"/>
      <c r="H247" s="130"/>
      <c r="I247" s="130"/>
      <c r="J247" s="130"/>
      <c r="K247" s="130"/>
      <c r="L247" s="163"/>
      <c r="M247" s="130"/>
      <c r="N247" s="130"/>
      <c r="O247" s="130"/>
      <c r="P247" s="130"/>
      <c r="Q247" s="130"/>
      <c r="R247" s="130"/>
      <c r="S247" s="130"/>
      <c r="T247" s="130"/>
      <c r="U247" s="130"/>
      <c r="V247" s="130"/>
      <c r="W247" s="130"/>
      <c r="X247" s="163"/>
      <c r="Y247" s="163"/>
      <c r="Z247" s="163"/>
      <c r="AA247" s="163"/>
      <c r="AB247" s="163"/>
      <c r="AC247" s="163"/>
      <c r="AD247" s="163"/>
      <c r="AE247" s="163"/>
      <c r="AF247" s="163"/>
      <c r="AG247" s="163"/>
      <c r="AH247" s="163"/>
      <c r="AI247" s="163"/>
      <c r="AJ247" s="163"/>
      <c r="AK247" s="163"/>
      <c r="AL247" s="163"/>
      <c r="AM247" s="163"/>
    </row>
    <row r="248" ht="13.5" customHeight="1">
      <c r="A248" s="130"/>
      <c r="B248" s="130"/>
      <c r="C248" s="130"/>
      <c r="D248" s="130"/>
      <c r="E248" s="163"/>
      <c r="F248" s="163"/>
      <c r="G248" s="163"/>
      <c r="H248" s="130"/>
      <c r="I248" s="130"/>
      <c r="J248" s="130"/>
      <c r="K248" s="130"/>
      <c r="L248" s="163"/>
      <c r="M248" s="130"/>
      <c r="N248" s="130"/>
      <c r="O248" s="130"/>
      <c r="P248" s="130"/>
      <c r="Q248" s="130"/>
      <c r="R248" s="130"/>
      <c r="S248" s="130"/>
      <c r="T248" s="130"/>
      <c r="U248" s="130"/>
      <c r="V248" s="130"/>
      <c r="W248" s="130"/>
      <c r="X248" s="163"/>
      <c r="Y248" s="163"/>
      <c r="Z248" s="163"/>
      <c r="AA248" s="163"/>
      <c r="AB248" s="163"/>
      <c r="AC248" s="163"/>
      <c r="AD248" s="163"/>
      <c r="AE248" s="163"/>
      <c r="AF248" s="163"/>
      <c r="AG248" s="163"/>
      <c r="AH248" s="163"/>
      <c r="AI248" s="163"/>
      <c r="AJ248" s="163"/>
      <c r="AK248" s="163"/>
      <c r="AL248" s="163"/>
      <c r="AM248" s="163"/>
    </row>
    <row r="249" ht="13.5" customHeight="1">
      <c r="A249" s="130"/>
      <c r="B249" s="130"/>
      <c r="C249" s="130"/>
      <c r="D249" s="130"/>
      <c r="E249" s="163"/>
      <c r="F249" s="163"/>
      <c r="G249" s="163"/>
      <c r="H249" s="130"/>
      <c r="I249" s="130"/>
      <c r="J249" s="130"/>
      <c r="K249" s="130"/>
      <c r="L249" s="163"/>
      <c r="M249" s="130"/>
      <c r="N249" s="130"/>
      <c r="O249" s="130"/>
      <c r="P249" s="130"/>
      <c r="Q249" s="130"/>
      <c r="R249" s="130"/>
      <c r="S249" s="130"/>
      <c r="T249" s="130"/>
      <c r="U249" s="130"/>
      <c r="V249" s="130"/>
      <c r="W249" s="130"/>
      <c r="X249" s="163"/>
      <c r="Y249" s="163"/>
      <c r="Z249" s="163"/>
      <c r="AA249" s="163"/>
      <c r="AB249" s="163"/>
      <c r="AC249" s="163"/>
      <c r="AD249" s="163"/>
      <c r="AE249" s="163"/>
      <c r="AF249" s="163"/>
      <c r="AG249" s="163"/>
      <c r="AH249" s="163"/>
      <c r="AI249" s="163"/>
      <c r="AJ249" s="163"/>
      <c r="AK249" s="163"/>
      <c r="AL249" s="163"/>
      <c r="AM249" s="163"/>
    </row>
    <row r="250" ht="13.5" customHeight="1">
      <c r="A250" s="130"/>
      <c r="B250" s="130"/>
      <c r="C250" s="130"/>
      <c r="D250" s="130"/>
      <c r="E250" s="163"/>
      <c r="F250" s="163"/>
      <c r="G250" s="163"/>
      <c r="H250" s="130"/>
      <c r="I250" s="130"/>
      <c r="J250" s="130"/>
      <c r="K250" s="130"/>
      <c r="L250" s="163"/>
      <c r="M250" s="130"/>
      <c r="N250" s="130"/>
      <c r="O250" s="130"/>
      <c r="P250" s="130"/>
      <c r="Q250" s="130"/>
      <c r="R250" s="130"/>
      <c r="S250" s="130"/>
      <c r="T250" s="130"/>
      <c r="U250" s="130"/>
      <c r="V250" s="130"/>
      <c r="W250" s="130"/>
      <c r="X250" s="163"/>
      <c r="Y250" s="163"/>
      <c r="Z250" s="163"/>
      <c r="AA250" s="163"/>
      <c r="AB250" s="163"/>
      <c r="AC250" s="163"/>
      <c r="AD250" s="163"/>
      <c r="AE250" s="163"/>
      <c r="AF250" s="163"/>
      <c r="AG250" s="163"/>
      <c r="AH250" s="163"/>
      <c r="AI250" s="163"/>
      <c r="AJ250" s="163"/>
      <c r="AK250" s="163"/>
      <c r="AL250" s="163"/>
      <c r="AM250" s="163"/>
    </row>
    <row r="251" ht="13.5" customHeight="1">
      <c r="A251" s="130"/>
      <c r="B251" s="130"/>
      <c r="C251" s="130"/>
      <c r="D251" s="130"/>
      <c r="E251" s="163"/>
      <c r="F251" s="163"/>
      <c r="G251" s="163"/>
      <c r="H251" s="130"/>
      <c r="I251" s="130"/>
      <c r="J251" s="130"/>
      <c r="K251" s="130"/>
      <c r="L251" s="163"/>
      <c r="M251" s="130"/>
      <c r="N251" s="130"/>
      <c r="O251" s="130"/>
      <c r="P251" s="130"/>
      <c r="Q251" s="130"/>
      <c r="R251" s="130"/>
      <c r="S251" s="130"/>
      <c r="T251" s="130"/>
      <c r="U251" s="130"/>
      <c r="V251" s="130"/>
      <c r="W251" s="130"/>
      <c r="X251" s="163"/>
      <c r="Y251" s="163"/>
      <c r="Z251" s="163"/>
      <c r="AA251" s="163"/>
      <c r="AB251" s="163"/>
      <c r="AC251" s="163"/>
      <c r="AD251" s="163"/>
      <c r="AE251" s="163"/>
      <c r="AF251" s="163"/>
      <c r="AG251" s="163"/>
      <c r="AH251" s="163"/>
      <c r="AI251" s="163"/>
      <c r="AJ251" s="163"/>
      <c r="AK251" s="163"/>
      <c r="AL251" s="163"/>
      <c r="AM251" s="163"/>
    </row>
    <row r="252" ht="13.5" customHeight="1">
      <c r="A252" s="130"/>
      <c r="B252" s="130"/>
      <c r="C252" s="130"/>
      <c r="D252" s="130"/>
      <c r="E252" s="163"/>
      <c r="F252" s="163"/>
      <c r="G252" s="163"/>
      <c r="H252" s="130"/>
      <c r="I252" s="130"/>
      <c r="J252" s="130"/>
      <c r="K252" s="130"/>
      <c r="L252" s="163"/>
      <c r="M252" s="130"/>
      <c r="N252" s="130"/>
      <c r="O252" s="130"/>
      <c r="P252" s="130"/>
      <c r="Q252" s="130"/>
      <c r="R252" s="130"/>
      <c r="S252" s="130"/>
      <c r="T252" s="130"/>
      <c r="U252" s="130"/>
      <c r="V252" s="130"/>
      <c r="W252" s="130"/>
      <c r="X252" s="163"/>
      <c r="Y252" s="163"/>
      <c r="Z252" s="163"/>
      <c r="AA252" s="163"/>
      <c r="AB252" s="163"/>
      <c r="AC252" s="163"/>
      <c r="AD252" s="163"/>
      <c r="AE252" s="163"/>
      <c r="AF252" s="163"/>
      <c r="AG252" s="163"/>
      <c r="AH252" s="163"/>
      <c r="AI252" s="163"/>
      <c r="AJ252" s="163"/>
      <c r="AK252" s="163"/>
      <c r="AL252" s="163"/>
      <c r="AM252" s="163"/>
    </row>
    <row r="253" ht="13.5" customHeight="1">
      <c r="A253" s="130"/>
      <c r="B253" s="130"/>
      <c r="C253" s="130"/>
      <c r="D253" s="130"/>
      <c r="E253" s="163"/>
      <c r="F253" s="163"/>
      <c r="G253" s="163"/>
      <c r="H253" s="130"/>
      <c r="I253" s="130"/>
      <c r="J253" s="130"/>
      <c r="K253" s="130"/>
      <c r="L253" s="163"/>
      <c r="M253" s="130"/>
      <c r="N253" s="130"/>
      <c r="O253" s="130"/>
      <c r="P253" s="130"/>
      <c r="Q253" s="130"/>
      <c r="R253" s="130"/>
      <c r="S253" s="130"/>
      <c r="T253" s="130"/>
      <c r="U253" s="130"/>
      <c r="V253" s="130"/>
      <c r="W253" s="130"/>
      <c r="X253" s="163"/>
      <c r="Y253" s="163"/>
      <c r="Z253" s="163"/>
      <c r="AA253" s="163"/>
      <c r="AB253" s="163"/>
      <c r="AC253" s="163"/>
      <c r="AD253" s="163"/>
      <c r="AE253" s="163"/>
      <c r="AF253" s="163"/>
      <c r="AG253" s="163"/>
      <c r="AH253" s="163"/>
      <c r="AI253" s="163"/>
      <c r="AJ253" s="163"/>
      <c r="AK253" s="163"/>
      <c r="AL253" s="163"/>
      <c r="AM253" s="163"/>
    </row>
    <row r="254" ht="13.5" customHeight="1">
      <c r="A254" s="130"/>
      <c r="B254" s="130"/>
      <c r="C254" s="130"/>
      <c r="D254" s="130"/>
      <c r="E254" s="163"/>
      <c r="F254" s="163"/>
      <c r="G254" s="163"/>
      <c r="H254" s="130"/>
      <c r="I254" s="130"/>
      <c r="J254" s="130"/>
      <c r="K254" s="130"/>
      <c r="L254" s="163"/>
      <c r="M254" s="130"/>
      <c r="N254" s="130"/>
      <c r="O254" s="130"/>
      <c r="P254" s="130"/>
      <c r="Q254" s="130"/>
      <c r="R254" s="130"/>
      <c r="S254" s="130"/>
      <c r="T254" s="130"/>
      <c r="U254" s="130"/>
      <c r="V254" s="130"/>
      <c r="W254" s="130"/>
      <c r="X254" s="163"/>
      <c r="Y254" s="163"/>
      <c r="Z254" s="163"/>
      <c r="AA254" s="163"/>
      <c r="AB254" s="163"/>
      <c r="AC254" s="163"/>
      <c r="AD254" s="163"/>
      <c r="AE254" s="163"/>
      <c r="AF254" s="163"/>
      <c r="AG254" s="163"/>
      <c r="AH254" s="163"/>
      <c r="AI254" s="163"/>
      <c r="AJ254" s="163"/>
      <c r="AK254" s="163"/>
      <c r="AL254" s="163"/>
      <c r="AM254" s="163"/>
    </row>
    <row r="255" ht="13.5" customHeight="1">
      <c r="A255" s="130"/>
      <c r="B255" s="130"/>
      <c r="C255" s="130"/>
      <c r="D255" s="130"/>
      <c r="E255" s="163"/>
      <c r="F255" s="163"/>
      <c r="G255" s="163"/>
      <c r="H255" s="130"/>
      <c r="I255" s="130"/>
      <c r="J255" s="130"/>
      <c r="K255" s="130"/>
      <c r="L255" s="163"/>
      <c r="M255" s="130"/>
      <c r="N255" s="130"/>
      <c r="O255" s="130"/>
      <c r="P255" s="130"/>
      <c r="Q255" s="130"/>
      <c r="R255" s="130"/>
      <c r="S255" s="130"/>
      <c r="T255" s="130"/>
      <c r="U255" s="130"/>
      <c r="V255" s="130"/>
      <c r="W255" s="130"/>
      <c r="X255" s="163"/>
      <c r="Y255" s="163"/>
      <c r="Z255" s="163"/>
      <c r="AA255" s="163"/>
      <c r="AB255" s="163"/>
      <c r="AC255" s="163"/>
      <c r="AD255" s="163"/>
      <c r="AE255" s="163"/>
      <c r="AF255" s="163"/>
      <c r="AG255" s="163"/>
      <c r="AH255" s="163"/>
      <c r="AI255" s="163"/>
      <c r="AJ255" s="163"/>
      <c r="AK255" s="163"/>
      <c r="AL255" s="163"/>
      <c r="AM255" s="163"/>
    </row>
    <row r="256" ht="13.5" customHeight="1">
      <c r="A256" s="130"/>
      <c r="B256" s="130"/>
      <c r="C256" s="130"/>
      <c r="D256" s="130"/>
      <c r="E256" s="163"/>
      <c r="F256" s="163"/>
      <c r="G256" s="163"/>
      <c r="H256" s="130"/>
      <c r="I256" s="130"/>
      <c r="J256" s="130"/>
      <c r="K256" s="130"/>
      <c r="L256" s="163"/>
      <c r="M256" s="130"/>
      <c r="N256" s="130"/>
      <c r="O256" s="130"/>
      <c r="P256" s="130"/>
      <c r="Q256" s="130"/>
      <c r="R256" s="130"/>
      <c r="S256" s="130"/>
      <c r="T256" s="130"/>
      <c r="U256" s="130"/>
      <c r="V256" s="130"/>
      <c r="W256" s="130"/>
      <c r="X256" s="163"/>
      <c r="Y256" s="163"/>
      <c r="Z256" s="163"/>
      <c r="AA256" s="163"/>
      <c r="AB256" s="163"/>
      <c r="AC256" s="163"/>
      <c r="AD256" s="163"/>
      <c r="AE256" s="163"/>
      <c r="AF256" s="163"/>
      <c r="AG256" s="163"/>
      <c r="AH256" s="163"/>
      <c r="AI256" s="163"/>
      <c r="AJ256" s="163"/>
      <c r="AK256" s="163"/>
      <c r="AL256" s="163"/>
      <c r="AM256" s="163"/>
    </row>
    <row r="257" ht="13.5" customHeight="1">
      <c r="A257" s="130"/>
      <c r="B257" s="130"/>
      <c r="C257" s="130"/>
      <c r="D257" s="130"/>
      <c r="E257" s="163"/>
      <c r="F257" s="163"/>
      <c r="G257" s="163"/>
      <c r="H257" s="130"/>
      <c r="I257" s="130"/>
      <c r="J257" s="130"/>
      <c r="K257" s="130"/>
      <c r="L257" s="163"/>
      <c r="M257" s="130"/>
      <c r="N257" s="130"/>
      <c r="O257" s="130"/>
      <c r="P257" s="130"/>
      <c r="Q257" s="130"/>
      <c r="R257" s="130"/>
      <c r="S257" s="130"/>
      <c r="T257" s="130"/>
      <c r="U257" s="130"/>
      <c r="V257" s="130"/>
      <c r="W257" s="130"/>
      <c r="X257" s="163"/>
      <c r="Y257" s="163"/>
      <c r="Z257" s="163"/>
      <c r="AA257" s="163"/>
      <c r="AB257" s="163"/>
      <c r="AC257" s="163"/>
      <c r="AD257" s="163"/>
      <c r="AE257" s="163"/>
      <c r="AF257" s="163"/>
      <c r="AG257" s="163"/>
      <c r="AH257" s="163"/>
      <c r="AI257" s="163"/>
      <c r="AJ257" s="163"/>
      <c r="AK257" s="163"/>
      <c r="AL257" s="163"/>
      <c r="AM257" s="163"/>
    </row>
    <row r="258" ht="13.5" customHeight="1">
      <c r="A258" s="130"/>
      <c r="B258" s="130"/>
      <c r="C258" s="130"/>
      <c r="D258" s="130"/>
      <c r="E258" s="163"/>
      <c r="F258" s="163"/>
      <c r="G258" s="163"/>
      <c r="H258" s="130"/>
      <c r="I258" s="130"/>
      <c r="J258" s="130"/>
      <c r="K258" s="130"/>
      <c r="L258" s="163"/>
      <c r="M258" s="130"/>
      <c r="N258" s="130"/>
      <c r="O258" s="130"/>
      <c r="P258" s="130"/>
      <c r="Q258" s="130"/>
      <c r="R258" s="130"/>
      <c r="S258" s="130"/>
      <c r="T258" s="130"/>
      <c r="U258" s="130"/>
      <c r="V258" s="130"/>
      <c r="W258" s="130"/>
      <c r="X258" s="163"/>
      <c r="Y258" s="163"/>
      <c r="Z258" s="163"/>
      <c r="AA258" s="163"/>
      <c r="AB258" s="163"/>
      <c r="AC258" s="163"/>
      <c r="AD258" s="163"/>
      <c r="AE258" s="163"/>
      <c r="AF258" s="163"/>
      <c r="AG258" s="163"/>
      <c r="AH258" s="163"/>
      <c r="AI258" s="163"/>
      <c r="AJ258" s="163"/>
      <c r="AK258" s="163"/>
      <c r="AL258" s="163"/>
      <c r="AM258" s="163"/>
    </row>
    <row r="259" ht="13.5" customHeight="1">
      <c r="A259" s="130"/>
      <c r="B259" s="130"/>
      <c r="C259" s="130"/>
      <c r="D259" s="130"/>
      <c r="E259" s="163"/>
      <c r="F259" s="163"/>
      <c r="G259" s="163"/>
      <c r="H259" s="130"/>
      <c r="I259" s="130"/>
      <c r="J259" s="130"/>
      <c r="K259" s="130"/>
      <c r="L259" s="163"/>
      <c r="M259" s="130"/>
      <c r="N259" s="130"/>
      <c r="O259" s="130"/>
      <c r="P259" s="130"/>
      <c r="Q259" s="130"/>
      <c r="R259" s="130"/>
      <c r="S259" s="130"/>
      <c r="T259" s="130"/>
      <c r="U259" s="130"/>
      <c r="V259" s="130"/>
      <c r="W259" s="130"/>
      <c r="X259" s="163"/>
      <c r="Y259" s="163"/>
      <c r="Z259" s="163"/>
      <c r="AA259" s="163"/>
      <c r="AB259" s="163"/>
      <c r="AC259" s="163"/>
      <c r="AD259" s="163"/>
      <c r="AE259" s="163"/>
      <c r="AF259" s="163"/>
      <c r="AG259" s="163"/>
      <c r="AH259" s="163"/>
      <c r="AI259" s="163"/>
      <c r="AJ259" s="163"/>
      <c r="AK259" s="163"/>
      <c r="AL259" s="163"/>
      <c r="AM259" s="163"/>
    </row>
    <row r="260" ht="13.5" customHeight="1">
      <c r="A260" s="130"/>
      <c r="B260" s="130"/>
      <c r="C260" s="130"/>
      <c r="D260" s="130"/>
      <c r="E260" s="163"/>
      <c r="F260" s="163"/>
      <c r="G260" s="163"/>
      <c r="H260" s="130"/>
      <c r="I260" s="130"/>
      <c r="J260" s="130"/>
      <c r="K260" s="130"/>
      <c r="L260" s="163"/>
      <c r="M260" s="130"/>
      <c r="N260" s="130"/>
      <c r="O260" s="130"/>
      <c r="P260" s="130"/>
      <c r="Q260" s="130"/>
      <c r="R260" s="130"/>
      <c r="S260" s="130"/>
      <c r="T260" s="130"/>
      <c r="U260" s="130"/>
      <c r="V260" s="130"/>
      <c r="W260" s="130"/>
      <c r="X260" s="163"/>
      <c r="Y260" s="163"/>
      <c r="Z260" s="163"/>
      <c r="AA260" s="163"/>
      <c r="AB260" s="163"/>
      <c r="AC260" s="163"/>
      <c r="AD260" s="163"/>
      <c r="AE260" s="163"/>
      <c r="AF260" s="163"/>
      <c r="AG260" s="163"/>
      <c r="AH260" s="163"/>
      <c r="AI260" s="163"/>
      <c r="AJ260" s="163"/>
      <c r="AK260" s="163"/>
      <c r="AL260" s="163"/>
      <c r="AM260" s="163"/>
    </row>
    <row r="261" ht="13.5" customHeight="1">
      <c r="A261" s="130"/>
      <c r="B261" s="130"/>
      <c r="C261" s="130"/>
      <c r="D261" s="130"/>
      <c r="E261" s="163"/>
      <c r="F261" s="163"/>
      <c r="G261" s="163"/>
      <c r="H261" s="130"/>
      <c r="I261" s="130"/>
      <c r="J261" s="130"/>
      <c r="K261" s="130"/>
      <c r="L261" s="163"/>
      <c r="M261" s="130"/>
      <c r="N261" s="130"/>
      <c r="O261" s="130"/>
      <c r="P261" s="130"/>
      <c r="Q261" s="130"/>
      <c r="R261" s="130"/>
      <c r="S261" s="130"/>
      <c r="T261" s="130"/>
      <c r="U261" s="130"/>
      <c r="V261" s="130"/>
      <c r="W261" s="130"/>
      <c r="X261" s="163"/>
      <c r="Y261" s="163"/>
      <c r="Z261" s="163"/>
      <c r="AA261" s="163"/>
      <c r="AB261" s="163"/>
      <c r="AC261" s="163"/>
      <c r="AD261" s="163"/>
      <c r="AE261" s="163"/>
      <c r="AF261" s="163"/>
      <c r="AG261" s="163"/>
      <c r="AH261" s="163"/>
      <c r="AI261" s="163"/>
      <c r="AJ261" s="163"/>
      <c r="AK261" s="163"/>
      <c r="AL261" s="163"/>
      <c r="AM261" s="163"/>
    </row>
    <row r="262" ht="13.5" customHeight="1">
      <c r="A262" s="130"/>
      <c r="B262" s="130"/>
      <c r="C262" s="130"/>
      <c r="D262" s="130"/>
      <c r="E262" s="163"/>
      <c r="F262" s="163"/>
      <c r="G262" s="163"/>
      <c r="H262" s="130"/>
      <c r="I262" s="130"/>
      <c r="J262" s="130"/>
      <c r="K262" s="130"/>
      <c r="L262" s="163"/>
      <c r="M262" s="130"/>
      <c r="N262" s="130"/>
      <c r="O262" s="130"/>
      <c r="P262" s="130"/>
      <c r="Q262" s="130"/>
      <c r="R262" s="130"/>
      <c r="S262" s="130"/>
      <c r="T262" s="130"/>
      <c r="U262" s="130"/>
      <c r="V262" s="130"/>
      <c r="W262" s="130"/>
      <c r="X262" s="163"/>
      <c r="Y262" s="163"/>
      <c r="Z262" s="163"/>
      <c r="AA262" s="163"/>
      <c r="AB262" s="163"/>
      <c r="AC262" s="163"/>
      <c r="AD262" s="163"/>
      <c r="AE262" s="163"/>
      <c r="AF262" s="163"/>
      <c r="AG262" s="163"/>
      <c r="AH262" s="163"/>
      <c r="AI262" s="163"/>
      <c r="AJ262" s="163"/>
      <c r="AK262" s="163"/>
      <c r="AL262" s="163"/>
      <c r="AM262" s="163"/>
    </row>
    <row r="263" ht="13.5" customHeight="1">
      <c r="A263" s="130"/>
      <c r="B263" s="130"/>
      <c r="C263" s="130"/>
      <c r="D263" s="130"/>
      <c r="E263" s="163"/>
      <c r="F263" s="163"/>
      <c r="G263" s="163"/>
      <c r="H263" s="130"/>
      <c r="I263" s="130"/>
      <c r="J263" s="130"/>
      <c r="K263" s="130"/>
      <c r="L263" s="163"/>
      <c r="M263" s="130"/>
      <c r="N263" s="130"/>
      <c r="O263" s="130"/>
      <c r="P263" s="130"/>
      <c r="Q263" s="130"/>
      <c r="R263" s="130"/>
      <c r="S263" s="130"/>
      <c r="T263" s="130"/>
      <c r="U263" s="130"/>
      <c r="V263" s="130"/>
      <c r="W263" s="130"/>
      <c r="X263" s="163"/>
      <c r="Y263" s="163"/>
      <c r="Z263" s="163"/>
      <c r="AA263" s="163"/>
      <c r="AB263" s="163"/>
      <c r="AC263" s="163"/>
      <c r="AD263" s="163"/>
      <c r="AE263" s="163"/>
      <c r="AF263" s="163"/>
      <c r="AG263" s="163"/>
      <c r="AH263" s="163"/>
      <c r="AI263" s="163"/>
      <c r="AJ263" s="163"/>
      <c r="AK263" s="163"/>
      <c r="AL263" s="163"/>
      <c r="AM263" s="163"/>
    </row>
    <row r="264" ht="13.5" customHeight="1">
      <c r="A264" s="130"/>
      <c r="B264" s="130"/>
      <c r="C264" s="130"/>
      <c r="D264" s="130"/>
      <c r="E264" s="163"/>
      <c r="F264" s="163"/>
      <c r="G264" s="163"/>
      <c r="H264" s="130"/>
      <c r="I264" s="130"/>
      <c r="J264" s="130"/>
      <c r="K264" s="130"/>
      <c r="L264" s="163"/>
      <c r="M264" s="130"/>
      <c r="N264" s="130"/>
      <c r="O264" s="130"/>
      <c r="P264" s="130"/>
      <c r="Q264" s="130"/>
      <c r="R264" s="130"/>
      <c r="S264" s="130"/>
      <c r="T264" s="130"/>
      <c r="U264" s="130"/>
      <c r="V264" s="130"/>
      <c r="W264" s="130"/>
      <c r="X264" s="163"/>
      <c r="Y264" s="163"/>
      <c r="Z264" s="163"/>
      <c r="AA264" s="163"/>
      <c r="AB264" s="163"/>
      <c r="AC264" s="163"/>
      <c r="AD264" s="163"/>
      <c r="AE264" s="163"/>
      <c r="AF264" s="163"/>
      <c r="AG264" s="163"/>
      <c r="AH264" s="163"/>
      <c r="AI264" s="163"/>
      <c r="AJ264" s="163"/>
      <c r="AK264" s="163"/>
      <c r="AL264" s="163"/>
      <c r="AM264" s="163"/>
    </row>
    <row r="265" ht="13.5" customHeight="1">
      <c r="A265" s="130"/>
      <c r="B265" s="130"/>
      <c r="C265" s="130"/>
      <c r="D265" s="130"/>
      <c r="E265" s="163"/>
      <c r="F265" s="163"/>
      <c r="G265" s="163"/>
      <c r="H265" s="130"/>
      <c r="I265" s="130"/>
      <c r="J265" s="130"/>
      <c r="K265" s="130"/>
      <c r="L265" s="163"/>
      <c r="M265" s="130"/>
      <c r="N265" s="130"/>
      <c r="O265" s="130"/>
      <c r="P265" s="130"/>
      <c r="Q265" s="130"/>
      <c r="R265" s="130"/>
      <c r="S265" s="130"/>
      <c r="T265" s="130"/>
      <c r="U265" s="130"/>
      <c r="V265" s="130"/>
      <c r="W265" s="130"/>
      <c r="X265" s="163"/>
      <c r="Y265" s="163"/>
      <c r="Z265" s="163"/>
      <c r="AA265" s="163"/>
      <c r="AB265" s="163"/>
      <c r="AC265" s="163"/>
      <c r="AD265" s="163"/>
      <c r="AE265" s="163"/>
      <c r="AF265" s="163"/>
      <c r="AG265" s="163"/>
      <c r="AH265" s="163"/>
      <c r="AI265" s="163"/>
      <c r="AJ265" s="163"/>
      <c r="AK265" s="163"/>
      <c r="AL265" s="163"/>
      <c r="AM265" s="163"/>
    </row>
    <row r="266" ht="13.5" customHeight="1">
      <c r="A266" s="130"/>
      <c r="B266" s="130"/>
      <c r="C266" s="130"/>
      <c r="D266" s="130"/>
      <c r="E266" s="163"/>
      <c r="F266" s="163"/>
      <c r="G266" s="163"/>
      <c r="H266" s="130"/>
      <c r="I266" s="130"/>
      <c r="J266" s="130"/>
      <c r="K266" s="130"/>
      <c r="L266" s="163"/>
      <c r="M266" s="130"/>
      <c r="N266" s="130"/>
      <c r="O266" s="130"/>
      <c r="P266" s="130"/>
      <c r="Q266" s="130"/>
      <c r="R266" s="130"/>
      <c r="S266" s="130"/>
      <c r="T266" s="130"/>
      <c r="U266" s="130"/>
      <c r="V266" s="130"/>
      <c r="W266" s="130"/>
      <c r="X266" s="163"/>
      <c r="Y266" s="163"/>
      <c r="Z266" s="163"/>
      <c r="AA266" s="163"/>
      <c r="AB266" s="163"/>
      <c r="AC266" s="163"/>
      <c r="AD266" s="163"/>
      <c r="AE266" s="163"/>
      <c r="AF266" s="163"/>
      <c r="AG266" s="163"/>
      <c r="AH266" s="163"/>
      <c r="AI266" s="163"/>
      <c r="AJ266" s="163"/>
      <c r="AK266" s="163"/>
      <c r="AL266" s="163"/>
      <c r="AM266" s="163"/>
    </row>
    <row r="267" ht="13.5" customHeight="1">
      <c r="A267" s="130"/>
      <c r="B267" s="130"/>
      <c r="C267" s="130"/>
      <c r="D267" s="130"/>
      <c r="E267" s="163"/>
      <c r="F267" s="163"/>
      <c r="G267" s="163"/>
      <c r="H267" s="130"/>
      <c r="I267" s="130"/>
      <c r="J267" s="130"/>
      <c r="K267" s="130"/>
      <c r="L267" s="163"/>
      <c r="M267" s="130"/>
      <c r="N267" s="130"/>
      <c r="O267" s="130"/>
      <c r="P267" s="130"/>
      <c r="Q267" s="130"/>
      <c r="R267" s="130"/>
      <c r="S267" s="130"/>
      <c r="T267" s="130"/>
      <c r="U267" s="130"/>
      <c r="V267" s="130"/>
      <c r="W267" s="130"/>
      <c r="X267" s="163"/>
      <c r="Y267" s="163"/>
      <c r="Z267" s="163"/>
      <c r="AA267" s="163"/>
      <c r="AB267" s="163"/>
      <c r="AC267" s="163"/>
      <c r="AD267" s="163"/>
      <c r="AE267" s="163"/>
      <c r="AF267" s="163"/>
      <c r="AG267" s="163"/>
      <c r="AH267" s="163"/>
      <c r="AI267" s="163"/>
      <c r="AJ267" s="163"/>
      <c r="AK267" s="163"/>
      <c r="AL267" s="163"/>
      <c r="AM267" s="163"/>
    </row>
    <row r="268" ht="13.5" customHeight="1">
      <c r="A268" s="130"/>
      <c r="B268" s="130"/>
      <c r="C268" s="130"/>
      <c r="D268" s="130"/>
      <c r="E268" s="163"/>
      <c r="F268" s="163"/>
      <c r="G268" s="163"/>
      <c r="H268" s="130"/>
      <c r="I268" s="130"/>
      <c r="J268" s="130"/>
      <c r="K268" s="130"/>
      <c r="L268" s="163"/>
      <c r="M268" s="130"/>
      <c r="N268" s="130"/>
      <c r="O268" s="130"/>
      <c r="P268" s="130"/>
      <c r="Q268" s="130"/>
      <c r="R268" s="130"/>
      <c r="S268" s="130"/>
      <c r="T268" s="130"/>
      <c r="U268" s="130"/>
      <c r="V268" s="130"/>
      <c r="W268" s="130"/>
      <c r="X268" s="163"/>
      <c r="Y268" s="163"/>
      <c r="Z268" s="163"/>
      <c r="AA268" s="163"/>
      <c r="AB268" s="163"/>
      <c r="AC268" s="163"/>
      <c r="AD268" s="163"/>
      <c r="AE268" s="163"/>
      <c r="AF268" s="163"/>
      <c r="AG268" s="163"/>
      <c r="AH268" s="163"/>
      <c r="AI268" s="163"/>
      <c r="AJ268" s="163"/>
      <c r="AK268" s="163"/>
      <c r="AL268" s="163"/>
      <c r="AM268" s="163"/>
    </row>
    <row r="269" ht="13.5" customHeight="1">
      <c r="A269" s="130"/>
      <c r="B269" s="130"/>
      <c r="C269" s="130"/>
      <c r="D269" s="130"/>
      <c r="E269" s="163"/>
      <c r="F269" s="163"/>
      <c r="G269" s="163"/>
      <c r="H269" s="130"/>
      <c r="I269" s="130"/>
      <c r="J269" s="130"/>
      <c r="K269" s="130"/>
      <c r="L269" s="163"/>
      <c r="M269" s="130"/>
      <c r="N269" s="130"/>
      <c r="O269" s="130"/>
      <c r="P269" s="130"/>
      <c r="Q269" s="130"/>
      <c r="R269" s="130"/>
      <c r="S269" s="130"/>
      <c r="T269" s="130"/>
      <c r="U269" s="130"/>
      <c r="V269" s="130"/>
      <c r="W269" s="130"/>
      <c r="X269" s="163"/>
      <c r="Y269" s="163"/>
      <c r="Z269" s="163"/>
      <c r="AA269" s="163"/>
      <c r="AB269" s="163"/>
      <c r="AC269" s="163"/>
      <c r="AD269" s="163"/>
      <c r="AE269" s="163"/>
      <c r="AF269" s="163"/>
      <c r="AG269" s="163"/>
      <c r="AH269" s="163"/>
      <c r="AI269" s="163"/>
      <c r="AJ269" s="163"/>
      <c r="AK269" s="163"/>
      <c r="AL269" s="163"/>
      <c r="AM269" s="163"/>
    </row>
    <row r="270" ht="13.5" customHeight="1">
      <c r="A270" s="130"/>
      <c r="B270" s="130"/>
      <c r="C270" s="130"/>
      <c r="D270" s="130"/>
      <c r="E270" s="163"/>
      <c r="F270" s="163"/>
      <c r="G270" s="163"/>
      <c r="H270" s="130"/>
      <c r="I270" s="130"/>
      <c r="J270" s="130"/>
      <c r="K270" s="130"/>
      <c r="L270" s="163"/>
      <c r="M270" s="130"/>
      <c r="N270" s="130"/>
      <c r="O270" s="130"/>
      <c r="P270" s="130"/>
      <c r="Q270" s="130"/>
      <c r="R270" s="130"/>
      <c r="S270" s="130"/>
      <c r="T270" s="130"/>
      <c r="U270" s="130"/>
      <c r="V270" s="130"/>
      <c r="W270" s="130"/>
      <c r="X270" s="163"/>
      <c r="Y270" s="163"/>
      <c r="Z270" s="163"/>
      <c r="AA270" s="163"/>
      <c r="AB270" s="163"/>
      <c r="AC270" s="163"/>
      <c r="AD270" s="163"/>
      <c r="AE270" s="163"/>
      <c r="AF270" s="163"/>
      <c r="AG270" s="163"/>
      <c r="AH270" s="163"/>
      <c r="AI270" s="163"/>
      <c r="AJ270" s="163"/>
      <c r="AK270" s="163"/>
      <c r="AL270" s="163"/>
      <c r="AM270" s="163"/>
    </row>
    <row r="271" ht="13.5" customHeight="1">
      <c r="A271" s="130"/>
      <c r="B271" s="130"/>
      <c r="C271" s="130"/>
      <c r="D271" s="130"/>
      <c r="E271" s="163"/>
      <c r="F271" s="163"/>
      <c r="G271" s="163"/>
      <c r="H271" s="130"/>
      <c r="I271" s="130"/>
      <c r="J271" s="130"/>
      <c r="K271" s="130"/>
      <c r="L271" s="163"/>
      <c r="M271" s="130"/>
      <c r="N271" s="130"/>
      <c r="O271" s="130"/>
      <c r="P271" s="130"/>
      <c r="Q271" s="130"/>
      <c r="R271" s="130"/>
      <c r="S271" s="130"/>
      <c r="T271" s="130"/>
      <c r="U271" s="130"/>
      <c r="V271" s="130"/>
      <c r="W271" s="130"/>
      <c r="X271" s="163"/>
      <c r="Y271" s="163"/>
      <c r="Z271" s="163"/>
      <c r="AA271" s="163"/>
      <c r="AB271" s="163"/>
      <c r="AC271" s="163"/>
      <c r="AD271" s="163"/>
      <c r="AE271" s="163"/>
      <c r="AF271" s="163"/>
      <c r="AG271" s="163"/>
      <c r="AH271" s="163"/>
      <c r="AI271" s="163"/>
      <c r="AJ271" s="163"/>
      <c r="AK271" s="163"/>
      <c r="AL271" s="163"/>
      <c r="AM271" s="163"/>
    </row>
    <row r="272" ht="13.5" customHeight="1">
      <c r="A272" s="130"/>
      <c r="B272" s="130"/>
      <c r="C272" s="130"/>
      <c r="D272" s="130"/>
      <c r="E272" s="163"/>
      <c r="F272" s="163"/>
      <c r="G272" s="163"/>
      <c r="H272" s="130"/>
      <c r="I272" s="130"/>
      <c r="J272" s="130"/>
      <c r="K272" s="130"/>
      <c r="L272" s="163"/>
      <c r="M272" s="130"/>
      <c r="N272" s="130"/>
      <c r="O272" s="130"/>
      <c r="P272" s="130"/>
      <c r="Q272" s="130"/>
      <c r="R272" s="130"/>
      <c r="S272" s="130"/>
      <c r="T272" s="130"/>
      <c r="U272" s="130"/>
      <c r="V272" s="130"/>
      <c r="W272" s="130"/>
      <c r="X272" s="163"/>
      <c r="Y272" s="163"/>
      <c r="Z272" s="163"/>
      <c r="AA272" s="163"/>
      <c r="AB272" s="163"/>
      <c r="AC272" s="163"/>
      <c r="AD272" s="163"/>
      <c r="AE272" s="163"/>
      <c r="AF272" s="163"/>
      <c r="AG272" s="163"/>
      <c r="AH272" s="163"/>
      <c r="AI272" s="163"/>
      <c r="AJ272" s="163"/>
      <c r="AK272" s="163"/>
      <c r="AL272" s="163"/>
      <c r="AM272" s="163"/>
    </row>
    <row r="273" ht="13.5" customHeight="1">
      <c r="A273" s="130"/>
      <c r="B273" s="130"/>
      <c r="C273" s="130"/>
      <c r="D273" s="130"/>
      <c r="E273" s="163"/>
      <c r="F273" s="163"/>
      <c r="G273" s="163"/>
      <c r="H273" s="130"/>
      <c r="I273" s="130"/>
      <c r="J273" s="130"/>
      <c r="K273" s="130"/>
      <c r="L273" s="163"/>
      <c r="M273" s="130"/>
      <c r="N273" s="130"/>
      <c r="O273" s="130"/>
      <c r="P273" s="130"/>
      <c r="Q273" s="130"/>
      <c r="R273" s="130"/>
      <c r="S273" s="130"/>
      <c r="T273" s="130"/>
      <c r="U273" s="130"/>
      <c r="V273" s="130"/>
      <c r="W273" s="130"/>
      <c r="X273" s="163"/>
      <c r="Y273" s="163"/>
      <c r="Z273" s="163"/>
      <c r="AA273" s="163"/>
      <c r="AB273" s="163"/>
      <c r="AC273" s="163"/>
      <c r="AD273" s="163"/>
      <c r="AE273" s="163"/>
      <c r="AF273" s="163"/>
      <c r="AG273" s="163"/>
      <c r="AH273" s="163"/>
      <c r="AI273" s="163"/>
      <c r="AJ273" s="163"/>
      <c r="AK273" s="163"/>
      <c r="AL273" s="163"/>
      <c r="AM273" s="163"/>
    </row>
    <row r="274" ht="13.5" customHeight="1">
      <c r="A274" s="130"/>
      <c r="B274" s="130"/>
      <c r="C274" s="130"/>
      <c r="D274" s="130"/>
      <c r="E274" s="163"/>
      <c r="F274" s="163"/>
      <c r="G274" s="163"/>
      <c r="H274" s="130"/>
      <c r="I274" s="130"/>
      <c r="J274" s="130"/>
      <c r="K274" s="130"/>
      <c r="L274" s="163"/>
      <c r="M274" s="130"/>
      <c r="N274" s="130"/>
      <c r="O274" s="130"/>
      <c r="P274" s="130"/>
      <c r="Q274" s="130"/>
      <c r="R274" s="130"/>
      <c r="S274" s="130"/>
      <c r="T274" s="130"/>
      <c r="U274" s="130"/>
      <c r="V274" s="130"/>
      <c r="W274" s="130"/>
      <c r="X274" s="163"/>
      <c r="Y274" s="163"/>
      <c r="Z274" s="163"/>
      <c r="AA274" s="163"/>
      <c r="AB274" s="163"/>
      <c r="AC274" s="163"/>
      <c r="AD274" s="163"/>
      <c r="AE274" s="163"/>
      <c r="AF274" s="163"/>
      <c r="AG274" s="163"/>
      <c r="AH274" s="163"/>
      <c r="AI274" s="163"/>
      <c r="AJ274" s="163"/>
      <c r="AK274" s="163"/>
      <c r="AL274" s="163"/>
      <c r="AM274" s="163"/>
    </row>
    <row r="275" ht="13.5" customHeight="1">
      <c r="A275" s="130"/>
      <c r="B275" s="130"/>
      <c r="C275" s="130"/>
      <c r="D275" s="130"/>
      <c r="E275" s="163"/>
      <c r="F275" s="163"/>
      <c r="G275" s="163"/>
      <c r="H275" s="130"/>
      <c r="I275" s="130"/>
      <c r="J275" s="130"/>
      <c r="K275" s="130"/>
      <c r="L275" s="163"/>
      <c r="M275" s="130"/>
      <c r="N275" s="130"/>
      <c r="O275" s="130"/>
      <c r="P275" s="130"/>
      <c r="Q275" s="130"/>
      <c r="R275" s="130"/>
      <c r="S275" s="130"/>
      <c r="T275" s="130"/>
      <c r="U275" s="130"/>
      <c r="V275" s="130"/>
      <c r="W275" s="130"/>
      <c r="X275" s="163"/>
      <c r="Y275" s="163"/>
      <c r="Z275" s="163"/>
      <c r="AA275" s="163"/>
      <c r="AB275" s="163"/>
      <c r="AC275" s="163"/>
      <c r="AD275" s="163"/>
      <c r="AE275" s="163"/>
      <c r="AF275" s="163"/>
      <c r="AG275" s="163"/>
      <c r="AH275" s="163"/>
      <c r="AI275" s="163"/>
      <c r="AJ275" s="163"/>
      <c r="AK275" s="163"/>
      <c r="AL275" s="163"/>
      <c r="AM275" s="163"/>
    </row>
    <row r="276" ht="13.5" customHeight="1">
      <c r="A276" s="130"/>
      <c r="B276" s="130"/>
      <c r="C276" s="130"/>
      <c r="D276" s="130"/>
      <c r="E276" s="163"/>
      <c r="F276" s="163"/>
      <c r="G276" s="163"/>
      <c r="H276" s="130"/>
      <c r="I276" s="130"/>
      <c r="J276" s="130"/>
      <c r="K276" s="130"/>
      <c r="L276" s="163"/>
      <c r="M276" s="130"/>
      <c r="N276" s="130"/>
      <c r="O276" s="130"/>
      <c r="P276" s="130"/>
      <c r="Q276" s="130"/>
      <c r="R276" s="130"/>
      <c r="S276" s="130"/>
      <c r="T276" s="130"/>
      <c r="U276" s="130"/>
      <c r="V276" s="130"/>
      <c r="W276" s="130"/>
      <c r="X276" s="163"/>
      <c r="Y276" s="163"/>
      <c r="Z276" s="163"/>
      <c r="AA276" s="163"/>
      <c r="AB276" s="163"/>
      <c r="AC276" s="163"/>
      <c r="AD276" s="163"/>
      <c r="AE276" s="163"/>
      <c r="AF276" s="163"/>
      <c r="AG276" s="163"/>
      <c r="AH276" s="163"/>
      <c r="AI276" s="163"/>
      <c r="AJ276" s="163"/>
      <c r="AK276" s="163"/>
      <c r="AL276" s="163"/>
      <c r="AM276" s="163"/>
    </row>
    <row r="277" ht="13.5" customHeight="1">
      <c r="A277" s="130"/>
      <c r="B277" s="130"/>
      <c r="C277" s="130"/>
      <c r="D277" s="130"/>
      <c r="E277" s="163"/>
      <c r="F277" s="163"/>
      <c r="G277" s="163"/>
      <c r="H277" s="130"/>
      <c r="I277" s="130"/>
      <c r="J277" s="130"/>
      <c r="K277" s="130"/>
      <c r="L277" s="163"/>
      <c r="M277" s="130"/>
      <c r="N277" s="130"/>
      <c r="O277" s="130"/>
      <c r="P277" s="130"/>
      <c r="Q277" s="130"/>
      <c r="R277" s="130"/>
      <c r="S277" s="130"/>
      <c r="T277" s="130"/>
      <c r="U277" s="130"/>
      <c r="V277" s="130"/>
      <c r="W277" s="130"/>
      <c r="X277" s="163"/>
      <c r="Y277" s="163"/>
      <c r="Z277" s="163"/>
      <c r="AA277" s="163"/>
      <c r="AB277" s="163"/>
      <c r="AC277" s="163"/>
      <c r="AD277" s="163"/>
      <c r="AE277" s="163"/>
      <c r="AF277" s="163"/>
      <c r="AG277" s="163"/>
      <c r="AH277" s="163"/>
      <c r="AI277" s="163"/>
      <c r="AJ277" s="163"/>
      <c r="AK277" s="163"/>
      <c r="AL277" s="163"/>
      <c r="AM277" s="163"/>
    </row>
    <row r="278" ht="13.5" customHeight="1">
      <c r="A278" s="130"/>
      <c r="B278" s="130"/>
      <c r="C278" s="130"/>
      <c r="D278" s="130"/>
      <c r="E278" s="163"/>
      <c r="F278" s="163"/>
      <c r="G278" s="163"/>
      <c r="H278" s="130"/>
      <c r="I278" s="130"/>
      <c r="J278" s="130"/>
      <c r="K278" s="130"/>
      <c r="L278" s="163"/>
      <c r="M278" s="130"/>
      <c r="N278" s="130"/>
      <c r="O278" s="130"/>
      <c r="P278" s="130"/>
      <c r="Q278" s="130"/>
      <c r="R278" s="130"/>
      <c r="S278" s="130"/>
      <c r="T278" s="130"/>
      <c r="U278" s="130"/>
      <c r="V278" s="130"/>
      <c r="W278" s="130"/>
      <c r="X278" s="163"/>
      <c r="Y278" s="163"/>
      <c r="Z278" s="163"/>
      <c r="AA278" s="163"/>
      <c r="AB278" s="163"/>
      <c r="AC278" s="163"/>
      <c r="AD278" s="163"/>
      <c r="AE278" s="163"/>
      <c r="AF278" s="163"/>
      <c r="AG278" s="163"/>
      <c r="AH278" s="163"/>
      <c r="AI278" s="163"/>
      <c r="AJ278" s="163"/>
      <c r="AK278" s="163"/>
      <c r="AL278" s="163"/>
      <c r="AM278" s="163"/>
    </row>
    <row r="279" ht="13.5" customHeight="1">
      <c r="A279" s="130"/>
      <c r="B279" s="130"/>
      <c r="C279" s="130"/>
      <c r="D279" s="130"/>
      <c r="E279" s="163"/>
      <c r="F279" s="163"/>
      <c r="G279" s="163"/>
      <c r="H279" s="130"/>
      <c r="I279" s="130"/>
      <c r="J279" s="130"/>
      <c r="K279" s="130"/>
      <c r="L279" s="163"/>
      <c r="M279" s="130"/>
      <c r="N279" s="130"/>
      <c r="O279" s="130"/>
      <c r="P279" s="130"/>
      <c r="Q279" s="130"/>
      <c r="R279" s="130"/>
      <c r="S279" s="130"/>
      <c r="T279" s="130"/>
      <c r="U279" s="130"/>
      <c r="V279" s="130"/>
      <c r="W279" s="130"/>
      <c r="X279" s="163"/>
      <c r="Y279" s="163"/>
      <c r="Z279" s="163"/>
      <c r="AA279" s="163"/>
      <c r="AB279" s="163"/>
      <c r="AC279" s="163"/>
      <c r="AD279" s="163"/>
      <c r="AE279" s="163"/>
      <c r="AF279" s="163"/>
      <c r="AG279" s="163"/>
      <c r="AH279" s="163"/>
      <c r="AI279" s="163"/>
      <c r="AJ279" s="163"/>
      <c r="AK279" s="163"/>
      <c r="AL279" s="163"/>
      <c r="AM279" s="163"/>
    </row>
    <row r="280" ht="13.5" customHeight="1">
      <c r="A280" s="130"/>
      <c r="B280" s="130"/>
      <c r="C280" s="130"/>
      <c r="D280" s="130"/>
      <c r="E280" s="163"/>
      <c r="F280" s="163"/>
      <c r="G280" s="163"/>
      <c r="H280" s="130"/>
      <c r="I280" s="130"/>
      <c r="J280" s="130"/>
      <c r="K280" s="130"/>
      <c r="L280" s="163"/>
      <c r="M280" s="130"/>
      <c r="N280" s="130"/>
      <c r="O280" s="130"/>
      <c r="P280" s="130"/>
      <c r="Q280" s="130"/>
      <c r="R280" s="130"/>
      <c r="S280" s="130"/>
      <c r="T280" s="130"/>
      <c r="U280" s="130"/>
      <c r="V280" s="130"/>
      <c r="W280" s="130"/>
      <c r="X280" s="163"/>
      <c r="Y280" s="163"/>
      <c r="Z280" s="163"/>
      <c r="AA280" s="163"/>
      <c r="AB280" s="163"/>
      <c r="AC280" s="163"/>
      <c r="AD280" s="163"/>
      <c r="AE280" s="163"/>
      <c r="AF280" s="163"/>
      <c r="AG280" s="163"/>
      <c r="AH280" s="163"/>
      <c r="AI280" s="163"/>
      <c r="AJ280" s="163"/>
      <c r="AK280" s="163"/>
      <c r="AL280" s="163"/>
      <c r="AM280" s="163"/>
    </row>
    <row r="281" ht="13.5" customHeight="1">
      <c r="A281" s="130"/>
      <c r="B281" s="130"/>
      <c r="C281" s="130"/>
      <c r="D281" s="130"/>
      <c r="E281" s="163"/>
      <c r="F281" s="163"/>
      <c r="G281" s="163"/>
      <c r="H281" s="130"/>
      <c r="I281" s="130"/>
      <c r="J281" s="130"/>
      <c r="K281" s="130"/>
      <c r="L281" s="163"/>
      <c r="M281" s="130"/>
      <c r="N281" s="130"/>
      <c r="O281" s="130"/>
      <c r="P281" s="130"/>
      <c r="Q281" s="130"/>
      <c r="R281" s="130"/>
      <c r="S281" s="130"/>
      <c r="T281" s="130"/>
      <c r="U281" s="130"/>
      <c r="V281" s="130"/>
      <c r="W281" s="130"/>
      <c r="X281" s="163"/>
      <c r="Y281" s="163"/>
      <c r="Z281" s="163"/>
      <c r="AA281" s="163"/>
      <c r="AB281" s="163"/>
      <c r="AC281" s="163"/>
      <c r="AD281" s="163"/>
      <c r="AE281" s="163"/>
      <c r="AF281" s="163"/>
      <c r="AG281" s="163"/>
      <c r="AH281" s="163"/>
      <c r="AI281" s="163"/>
      <c r="AJ281" s="163"/>
      <c r="AK281" s="163"/>
      <c r="AL281" s="163"/>
      <c r="AM281" s="163"/>
    </row>
    <row r="282" ht="13.5" customHeight="1">
      <c r="A282" s="130"/>
      <c r="B282" s="130"/>
      <c r="C282" s="130"/>
      <c r="D282" s="130"/>
      <c r="E282" s="163"/>
      <c r="F282" s="163"/>
      <c r="G282" s="163"/>
      <c r="H282" s="130"/>
      <c r="I282" s="130"/>
      <c r="J282" s="130"/>
      <c r="K282" s="130"/>
      <c r="L282" s="163"/>
      <c r="M282" s="130"/>
      <c r="N282" s="130"/>
      <c r="O282" s="130"/>
      <c r="P282" s="130"/>
      <c r="Q282" s="130"/>
      <c r="R282" s="130"/>
      <c r="S282" s="130"/>
      <c r="T282" s="130"/>
      <c r="U282" s="130"/>
      <c r="V282" s="130"/>
      <c r="W282" s="130"/>
      <c r="X282" s="163"/>
      <c r="Y282" s="163"/>
      <c r="Z282" s="163"/>
      <c r="AA282" s="163"/>
      <c r="AB282" s="163"/>
      <c r="AC282" s="163"/>
      <c r="AD282" s="163"/>
      <c r="AE282" s="163"/>
      <c r="AF282" s="163"/>
      <c r="AG282" s="163"/>
      <c r="AH282" s="163"/>
      <c r="AI282" s="163"/>
      <c r="AJ282" s="163"/>
      <c r="AK282" s="163"/>
      <c r="AL282" s="163"/>
      <c r="AM282" s="163"/>
    </row>
    <row r="283" ht="13.5" customHeight="1">
      <c r="A283" s="130"/>
      <c r="B283" s="130"/>
      <c r="C283" s="130"/>
      <c r="D283" s="130"/>
      <c r="E283" s="163"/>
      <c r="F283" s="163"/>
      <c r="G283" s="163"/>
      <c r="H283" s="130"/>
      <c r="I283" s="130"/>
      <c r="J283" s="130"/>
      <c r="K283" s="130"/>
      <c r="L283" s="163"/>
      <c r="M283" s="130"/>
      <c r="N283" s="130"/>
      <c r="O283" s="130"/>
      <c r="P283" s="130"/>
      <c r="Q283" s="130"/>
      <c r="R283" s="130"/>
      <c r="S283" s="130"/>
      <c r="T283" s="130"/>
      <c r="U283" s="130"/>
      <c r="V283" s="130"/>
      <c r="W283" s="130"/>
      <c r="X283" s="163"/>
      <c r="Y283" s="163"/>
      <c r="Z283" s="163"/>
      <c r="AA283" s="163"/>
      <c r="AB283" s="163"/>
      <c r="AC283" s="163"/>
      <c r="AD283" s="163"/>
      <c r="AE283" s="163"/>
      <c r="AF283" s="163"/>
      <c r="AG283" s="163"/>
      <c r="AH283" s="163"/>
      <c r="AI283" s="163"/>
      <c r="AJ283" s="163"/>
      <c r="AK283" s="163"/>
      <c r="AL283" s="163"/>
      <c r="AM283" s="163"/>
    </row>
    <row r="284" ht="13.5" customHeight="1">
      <c r="A284" s="130"/>
      <c r="B284" s="130"/>
      <c r="C284" s="130"/>
      <c r="D284" s="130"/>
      <c r="E284" s="163"/>
      <c r="F284" s="163"/>
      <c r="G284" s="163"/>
      <c r="H284" s="130"/>
      <c r="I284" s="130"/>
      <c r="J284" s="130"/>
      <c r="K284" s="130"/>
      <c r="L284" s="163"/>
      <c r="M284" s="130"/>
      <c r="N284" s="130"/>
      <c r="O284" s="130"/>
      <c r="P284" s="130"/>
      <c r="Q284" s="130"/>
      <c r="R284" s="130"/>
      <c r="S284" s="130"/>
      <c r="T284" s="130"/>
      <c r="U284" s="130"/>
      <c r="V284" s="130"/>
      <c r="W284" s="130"/>
      <c r="X284" s="163"/>
      <c r="Y284" s="163"/>
      <c r="Z284" s="163"/>
      <c r="AA284" s="163"/>
      <c r="AB284" s="163"/>
      <c r="AC284" s="163"/>
      <c r="AD284" s="163"/>
      <c r="AE284" s="163"/>
      <c r="AF284" s="163"/>
      <c r="AG284" s="163"/>
      <c r="AH284" s="163"/>
      <c r="AI284" s="163"/>
      <c r="AJ284" s="163"/>
      <c r="AK284" s="163"/>
      <c r="AL284" s="163"/>
      <c r="AM284" s="163"/>
    </row>
    <row r="285" ht="13.5" customHeight="1">
      <c r="A285" s="130"/>
      <c r="B285" s="130"/>
      <c r="C285" s="130"/>
      <c r="D285" s="130"/>
      <c r="E285" s="163"/>
      <c r="F285" s="163"/>
      <c r="G285" s="163"/>
      <c r="H285" s="130"/>
      <c r="I285" s="130"/>
      <c r="J285" s="130"/>
      <c r="K285" s="130"/>
      <c r="L285" s="163"/>
      <c r="M285" s="130"/>
      <c r="N285" s="130"/>
      <c r="O285" s="130"/>
      <c r="P285" s="130"/>
      <c r="Q285" s="130"/>
      <c r="R285" s="130"/>
      <c r="S285" s="130"/>
      <c r="T285" s="130"/>
      <c r="U285" s="130"/>
      <c r="V285" s="130"/>
      <c r="W285" s="130"/>
      <c r="X285" s="163"/>
      <c r="Y285" s="163"/>
      <c r="Z285" s="163"/>
      <c r="AA285" s="163"/>
      <c r="AB285" s="163"/>
      <c r="AC285" s="163"/>
      <c r="AD285" s="163"/>
      <c r="AE285" s="163"/>
      <c r="AF285" s="163"/>
      <c r="AG285" s="163"/>
      <c r="AH285" s="163"/>
      <c r="AI285" s="163"/>
      <c r="AJ285" s="163"/>
      <c r="AK285" s="163"/>
      <c r="AL285" s="163"/>
      <c r="AM285" s="163"/>
    </row>
    <row r="286" ht="13.5" customHeight="1">
      <c r="A286" s="130"/>
      <c r="B286" s="130"/>
      <c r="C286" s="130"/>
      <c r="D286" s="130"/>
      <c r="E286" s="163"/>
      <c r="F286" s="163"/>
      <c r="G286" s="163"/>
      <c r="H286" s="130"/>
      <c r="I286" s="130"/>
      <c r="J286" s="130"/>
      <c r="K286" s="130"/>
      <c r="L286" s="163"/>
      <c r="M286" s="130"/>
      <c r="N286" s="130"/>
      <c r="O286" s="130"/>
      <c r="P286" s="130"/>
      <c r="Q286" s="130"/>
      <c r="R286" s="130"/>
      <c r="S286" s="130"/>
      <c r="T286" s="130"/>
      <c r="U286" s="130"/>
      <c r="V286" s="130"/>
      <c r="W286" s="130"/>
      <c r="X286" s="163"/>
      <c r="Y286" s="163"/>
      <c r="Z286" s="163"/>
      <c r="AA286" s="163"/>
      <c r="AB286" s="163"/>
      <c r="AC286" s="163"/>
      <c r="AD286" s="163"/>
      <c r="AE286" s="163"/>
      <c r="AF286" s="163"/>
      <c r="AG286" s="163"/>
      <c r="AH286" s="163"/>
      <c r="AI286" s="163"/>
      <c r="AJ286" s="163"/>
      <c r="AK286" s="163"/>
      <c r="AL286" s="163"/>
      <c r="AM286" s="163"/>
    </row>
    <row r="287" ht="13.5" customHeight="1">
      <c r="A287" s="130"/>
      <c r="B287" s="130"/>
      <c r="C287" s="130"/>
      <c r="D287" s="130"/>
      <c r="E287" s="163"/>
      <c r="F287" s="163"/>
      <c r="G287" s="163"/>
      <c r="H287" s="130"/>
      <c r="I287" s="130"/>
      <c r="J287" s="130"/>
      <c r="K287" s="130"/>
      <c r="L287" s="163"/>
      <c r="M287" s="130"/>
      <c r="N287" s="130"/>
      <c r="O287" s="130"/>
      <c r="P287" s="130"/>
      <c r="Q287" s="130"/>
      <c r="R287" s="130"/>
      <c r="S287" s="130"/>
      <c r="T287" s="130"/>
      <c r="U287" s="130"/>
      <c r="V287" s="130"/>
      <c r="W287" s="130"/>
      <c r="X287" s="163"/>
      <c r="Y287" s="163"/>
      <c r="Z287" s="163"/>
      <c r="AA287" s="163"/>
      <c r="AB287" s="163"/>
      <c r="AC287" s="163"/>
      <c r="AD287" s="163"/>
      <c r="AE287" s="163"/>
      <c r="AF287" s="163"/>
      <c r="AG287" s="163"/>
      <c r="AH287" s="163"/>
      <c r="AI287" s="163"/>
      <c r="AJ287" s="163"/>
      <c r="AK287" s="163"/>
      <c r="AL287" s="163"/>
      <c r="AM287" s="163"/>
    </row>
    <row r="288" ht="13.5" customHeight="1">
      <c r="A288" s="130"/>
      <c r="B288" s="130"/>
      <c r="C288" s="130"/>
      <c r="D288" s="130"/>
      <c r="E288" s="163"/>
      <c r="F288" s="163"/>
      <c r="G288" s="163"/>
      <c r="H288" s="130"/>
      <c r="I288" s="130"/>
      <c r="J288" s="130"/>
      <c r="K288" s="130"/>
      <c r="L288" s="163"/>
      <c r="M288" s="130"/>
      <c r="N288" s="130"/>
      <c r="O288" s="130"/>
      <c r="P288" s="130"/>
      <c r="Q288" s="130"/>
      <c r="R288" s="130"/>
      <c r="S288" s="130"/>
      <c r="T288" s="130"/>
      <c r="U288" s="130"/>
      <c r="V288" s="130"/>
      <c r="W288" s="130"/>
      <c r="X288" s="163"/>
      <c r="Y288" s="163"/>
      <c r="Z288" s="163"/>
      <c r="AA288" s="163"/>
      <c r="AB288" s="163"/>
      <c r="AC288" s="163"/>
      <c r="AD288" s="163"/>
      <c r="AE288" s="163"/>
      <c r="AF288" s="163"/>
      <c r="AG288" s="163"/>
      <c r="AH288" s="163"/>
      <c r="AI288" s="163"/>
      <c r="AJ288" s="163"/>
      <c r="AK288" s="163"/>
      <c r="AL288" s="163"/>
      <c r="AM288" s="163"/>
    </row>
    <row r="289" ht="13.5" customHeight="1">
      <c r="A289" s="130"/>
      <c r="B289" s="130"/>
      <c r="C289" s="130"/>
      <c r="D289" s="130"/>
      <c r="E289" s="163"/>
      <c r="F289" s="163"/>
      <c r="G289" s="163"/>
      <c r="H289" s="130"/>
      <c r="I289" s="130"/>
      <c r="J289" s="130"/>
      <c r="K289" s="130"/>
      <c r="L289" s="163"/>
      <c r="M289" s="130"/>
      <c r="N289" s="130"/>
      <c r="O289" s="130"/>
      <c r="P289" s="130"/>
      <c r="Q289" s="130"/>
      <c r="R289" s="130"/>
      <c r="S289" s="130"/>
      <c r="T289" s="130"/>
      <c r="U289" s="130"/>
      <c r="V289" s="130"/>
      <c r="W289" s="130"/>
      <c r="X289" s="163"/>
      <c r="Y289" s="163"/>
      <c r="Z289" s="163"/>
      <c r="AA289" s="163"/>
      <c r="AB289" s="163"/>
      <c r="AC289" s="163"/>
      <c r="AD289" s="163"/>
      <c r="AE289" s="163"/>
      <c r="AF289" s="163"/>
      <c r="AG289" s="163"/>
      <c r="AH289" s="163"/>
      <c r="AI289" s="163"/>
      <c r="AJ289" s="163"/>
      <c r="AK289" s="163"/>
      <c r="AL289" s="163"/>
      <c r="AM289" s="163"/>
    </row>
    <row r="290" ht="13.5" customHeight="1">
      <c r="A290" s="130"/>
      <c r="B290" s="130"/>
      <c r="C290" s="130"/>
      <c r="D290" s="130"/>
      <c r="E290" s="163"/>
      <c r="F290" s="163"/>
      <c r="G290" s="163"/>
      <c r="H290" s="130"/>
      <c r="I290" s="130"/>
      <c r="J290" s="130"/>
      <c r="K290" s="130"/>
      <c r="L290" s="163"/>
      <c r="M290" s="130"/>
      <c r="N290" s="130"/>
      <c r="O290" s="130"/>
      <c r="P290" s="130"/>
      <c r="Q290" s="130"/>
      <c r="R290" s="130"/>
      <c r="S290" s="130"/>
      <c r="T290" s="130"/>
      <c r="U290" s="130"/>
      <c r="V290" s="130"/>
      <c r="W290" s="130"/>
      <c r="X290" s="163"/>
      <c r="Y290" s="163"/>
      <c r="Z290" s="163"/>
      <c r="AA290" s="163"/>
      <c r="AB290" s="163"/>
      <c r="AC290" s="163"/>
      <c r="AD290" s="163"/>
      <c r="AE290" s="163"/>
      <c r="AF290" s="163"/>
      <c r="AG290" s="163"/>
      <c r="AH290" s="163"/>
      <c r="AI290" s="163"/>
      <c r="AJ290" s="163"/>
      <c r="AK290" s="163"/>
      <c r="AL290" s="163"/>
      <c r="AM290" s="163"/>
    </row>
    <row r="291" ht="13.5" customHeight="1">
      <c r="A291" s="130"/>
      <c r="B291" s="130"/>
      <c r="C291" s="130"/>
      <c r="D291" s="130"/>
      <c r="E291" s="163"/>
      <c r="F291" s="163"/>
      <c r="G291" s="163"/>
      <c r="H291" s="130"/>
      <c r="I291" s="130"/>
      <c r="J291" s="130"/>
      <c r="K291" s="130"/>
      <c r="L291" s="163"/>
      <c r="M291" s="130"/>
      <c r="N291" s="130"/>
      <c r="O291" s="130"/>
      <c r="P291" s="130"/>
      <c r="Q291" s="130"/>
      <c r="R291" s="130"/>
      <c r="S291" s="130"/>
      <c r="T291" s="130"/>
      <c r="U291" s="130"/>
      <c r="V291" s="130"/>
      <c r="W291" s="130"/>
      <c r="X291" s="163"/>
      <c r="Y291" s="163"/>
      <c r="Z291" s="163"/>
      <c r="AA291" s="163"/>
      <c r="AB291" s="163"/>
      <c r="AC291" s="163"/>
      <c r="AD291" s="163"/>
      <c r="AE291" s="163"/>
      <c r="AF291" s="163"/>
      <c r="AG291" s="163"/>
      <c r="AH291" s="163"/>
      <c r="AI291" s="163"/>
      <c r="AJ291" s="163"/>
      <c r="AK291" s="163"/>
      <c r="AL291" s="163"/>
      <c r="AM291" s="163"/>
    </row>
    <row r="292" ht="13.5" customHeight="1">
      <c r="A292" s="130"/>
      <c r="B292" s="130"/>
      <c r="C292" s="130"/>
      <c r="D292" s="130"/>
      <c r="E292" s="163"/>
      <c r="F292" s="163"/>
      <c r="G292" s="163"/>
      <c r="H292" s="130"/>
      <c r="I292" s="130"/>
      <c r="J292" s="130"/>
      <c r="K292" s="130"/>
      <c r="L292" s="163"/>
      <c r="M292" s="130"/>
      <c r="N292" s="130"/>
      <c r="O292" s="130"/>
      <c r="P292" s="130"/>
      <c r="Q292" s="130"/>
      <c r="R292" s="130"/>
      <c r="S292" s="130"/>
      <c r="T292" s="130"/>
      <c r="U292" s="130"/>
      <c r="V292" s="130"/>
      <c r="W292" s="130"/>
      <c r="X292" s="163"/>
      <c r="Y292" s="163"/>
      <c r="Z292" s="163"/>
      <c r="AA292" s="163"/>
      <c r="AB292" s="163"/>
      <c r="AC292" s="163"/>
      <c r="AD292" s="163"/>
      <c r="AE292" s="163"/>
      <c r="AF292" s="163"/>
      <c r="AG292" s="163"/>
      <c r="AH292" s="163"/>
      <c r="AI292" s="163"/>
      <c r="AJ292" s="163"/>
      <c r="AK292" s="163"/>
      <c r="AL292" s="163"/>
      <c r="AM292" s="163"/>
    </row>
    <row r="293" ht="13.5" customHeight="1">
      <c r="A293" s="130"/>
      <c r="B293" s="130"/>
      <c r="C293" s="130"/>
      <c r="D293" s="130"/>
      <c r="E293" s="163"/>
      <c r="F293" s="163"/>
      <c r="G293" s="163"/>
      <c r="H293" s="130"/>
      <c r="I293" s="130"/>
      <c r="J293" s="130"/>
      <c r="K293" s="130"/>
      <c r="L293" s="163"/>
      <c r="M293" s="130"/>
      <c r="N293" s="130"/>
      <c r="O293" s="130"/>
      <c r="P293" s="130"/>
      <c r="Q293" s="130"/>
      <c r="R293" s="130"/>
      <c r="S293" s="130"/>
      <c r="T293" s="130"/>
      <c r="U293" s="130"/>
      <c r="V293" s="130"/>
      <c r="W293" s="130"/>
      <c r="X293" s="163"/>
      <c r="Y293" s="163"/>
      <c r="Z293" s="163"/>
      <c r="AA293" s="163"/>
      <c r="AB293" s="163"/>
      <c r="AC293" s="163"/>
      <c r="AD293" s="163"/>
      <c r="AE293" s="163"/>
      <c r="AF293" s="163"/>
      <c r="AG293" s="163"/>
      <c r="AH293" s="163"/>
      <c r="AI293" s="163"/>
      <c r="AJ293" s="163"/>
      <c r="AK293" s="163"/>
      <c r="AL293" s="163"/>
      <c r="AM293" s="163"/>
    </row>
    <row r="294" ht="13.5" customHeight="1">
      <c r="A294" s="130"/>
      <c r="B294" s="130"/>
      <c r="C294" s="130"/>
      <c r="D294" s="130"/>
      <c r="E294" s="163"/>
      <c r="F294" s="163"/>
      <c r="G294" s="163"/>
      <c r="H294" s="130"/>
      <c r="I294" s="130"/>
      <c r="J294" s="130"/>
      <c r="K294" s="130"/>
      <c r="L294" s="163"/>
      <c r="M294" s="130"/>
      <c r="N294" s="130"/>
      <c r="O294" s="130"/>
      <c r="P294" s="130"/>
      <c r="Q294" s="130"/>
      <c r="R294" s="130"/>
      <c r="S294" s="130"/>
      <c r="T294" s="130"/>
      <c r="U294" s="130"/>
      <c r="V294" s="130"/>
      <c r="W294" s="130"/>
      <c r="X294" s="163"/>
      <c r="Y294" s="163"/>
      <c r="Z294" s="163"/>
      <c r="AA294" s="163"/>
      <c r="AB294" s="163"/>
      <c r="AC294" s="163"/>
      <c r="AD294" s="163"/>
      <c r="AE294" s="163"/>
      <c r="AF294" s="163"/>
      <c r="AG294" s="163"/>
      <c r="AH294" s="163"/>
      <c r="AI294" s="163"/>
      <c r="AJ294" s="163"/>
      <c r="AK294" s="163"/>
      <c r="AL294" s="163"/>
      <c r="AM294" s="163"/>
    </row>
    <row r="295" ht="13.5" customHeight="1">
      <c r="A295" s="130"/>
      <c r="B295" s="130"/>
      <c r="C295" s="130"/>
      <c r="D295" s="130"/>
      <c r="E295" s="163"/>
      <c r="F295" s="163"/>
      <c r="G295" s="163"/>
      <c r="H295" s="130"/>
      <c r="I295" s="130"/>
      <c r="J295" s="130"/>
      <c r="K295" s="130"/>
      <c r="L295" s="163"/>
      <c r="M295" s="130"/>
      <c r="N295" s="130"/>
      <c r="O295" s="130"/>
      <c r="P295" s="130"/>
      <c r="Q295" s="130"/>
      <c r="R295" s="130"/>
      <c r="S295" s="130"/>
      <c r="T295" s="130"/>
      <c r="U295" s="130"/>
      <c r="V295" s="130"/>
      <c r="W295" s="130"/>
      <c r="X295" s="163"/>
      <c r="Y295" s="163"/>
      <c r="Z295" s="163"/>
      <c r="AA295" s="163"/>
      <c r="AB295" s="163"/>
      <c r="AC295" s="163"/>
      <c r="AD295" s="163"/>
      <c r="AE295" s="163"/>
      <c r="AF295" s="163"/>
      <c r="AG295" s="163"/>
      <c r="AH295" s="163"/>
      <c r="AI295" s="163"/>
      <c r="AJ295" s="163"/>
      <c r="AK295" s="163"/>
      <c r="AL295" s="163"/>
      <c r="AM295" s="163"/>
    </row>
    <row r="296" ht="13.5" customHeight="1">
      <c r="A296" s="130"/>
      <c r="B296" s="130"/>
      <c r="C296" s="130"/>
      <c r="D296" s="130"/>
      <c r="E296" s="163"/>
      <c r="F296" s="163"/>
      <c r="G296" s="163"/>
      <c r="H296" s="130"/>
      <c r="I296" s="130"/>
      <c r="J296" s="130"/>
      <c r="K296" s="130"/>
      <c r="L296" s="163"/>
      <c r="M296" s="130"/>
      <c r="N296" s="130"/>
      <c r="O296" s="130"/>
      <c r="P296" s="130"/>
      <c r="Q296" s="130"/>
      <c r="R296" s="130"/>
      <c r="S296" s="130"/>
      <c r="T296" s="130"/>
      <c r="U296" s="130"/>
      <c r="V296" s="130"/>
      <c r="W296" s="130"/>
      <c r="X296" s="163"/>
      <c r="Y296" s="163"/>
      <c r="Z296" s="163"/>
      <c r="AA296" s="163"/>
      <c r="AB296" s="163"/>
      <c r="AC296" s="163"/>
      <c r="AD296" s="163"/>
      <c r="AE296" s="163"/>
      <c r="AF296" s="163"/>
      <c r="AG296" s="163"/>
      <c r="AH296" s="163"/>
      <c r="AI296" s="163"/>
      <c r="AJ296" s="163"/>
      <c r="AK296" s="163"/>
      <c r="AL296" s="163"/>
      <c r="AM296" s="163"/>
    </row>
    <row r="297" ht="13.5" customHeight="1">
      <c r="A297" s="130"/>
      <c r="B297" s="130"/>
      <c r="C297" s="130"/>
      <c r="D297" s="130"/>
      <c r="E297" s="163"/>
      <c r="F297" s="163"/>
      <c r="G297" s="163"/>
      <c r="H297" s="130"/>
      <c r="I297" s="130"/>
      <c r="J297" s="130"/>
      <c r="K297" s="130"/>
      <c r="L297" s="163"/>
      <c r="M297" s="130"/>
      <c r="N297" s="130"/>
      <c r="O297" s="130"/>
      <c r="P297" s="130"/>
      <c r="Q297" s="130"/>
      <c r="R297" s="130"/>
      <c r="S297" s="130"/>
      <c r="T297" s="130"/>
      <c r="U297" s="130"/>
      <c r="V297" s="130"/>
      <c r="W297" s="130"/>
      <c r="X297" s="163"/>
      <c r="Y297" s="163"/>
      <c r="Z297" s="163"/>
      <c r="AA297" s="163"/>
      <c r="AB297" s="163"/>
      <c r="AC297" s="163"/>
      <c r="AD297" s="163"/>
      <c r="AE297" s="163"/>
      <c r="AF297" s="163"/>
      <c r="AG297" s="163"/>
      <c r="AH297" s="163"/>
      <c r="AI297" s="163"/>
      <c r="AJ297" s="163"/>
      <c r="AK297" s="163"/>
      <c r="AL297" s="163"/>
      <c r="AM297" s="163"/>
    </row>
    <row r="298" ht="13.5" customHeight="1">
      <c r="A298" s="130"/>
      <c r="B298" s="130"/>
      <c r="C298" s="130"/>
      <c r="D298" s="130"/>
      <c r="E298" s="163"/>
      <c r="F298" s="163"/>
      <c r="G298" s="163"/>
      <c r="H298" s="130"/>
      <c r="I298" s="130"/>
      <c r="J298" s="130"/>
      <c r="K298" s="130"/>
      <c r="L298" s="163"/>
      <c r="M298" s="130"/>
      <c r="N298" s="130"/>
      <c r="O298" s="130"/>
      <c r="P298" s="130"/>
      <c r="Q298" s="130"/>
      <c r="R298" s="130"/>
      <c r="S298" s="130"/>
      <c r="T298" s="130"/>
      <c r="U298" s="130"/>
      <c r="V298" s="130"/>
      <c r="W298" s="130"/>
      <c r="X298" s="163"/>
      <c r="Y298" s="163"/>
      <c r="Z298" s="163"/>
      <c r="AA298" s="163"/>
      <c r="AB298" s="163"/>
      <c r="AC298" s="163"/>
      <c r="AD298" s="163"/>
      <c r="AE298" s="163"/>
      <c r="AF298" s="163"/>
      <c r="AG298" s="163"/>
      <c r="AH298" s="163"/>
      <c r="AI298" s="163"/>
      <c r="AJ298" s="163"/>
      <c r="AK298" s="163"/>
      <c r="AL298" s="163"/>
      <c r="AM298" s="163"/>
    </row>
    <row r="299" ht="13.5" customHeight="1">
      <c r="A299" s="130"/>
      <c r="B299" s="130"/>
      <c r="C299" s="130"/>
      <c r="D299" s="130"/>
      <c r="E299" s="163"/>
      <c r="F299" s="163"/>
      <c r="G299" s="163"/>
      <c r="H299" s="130"/>
      <c r="I299" s="130"/>
      <c r="J299" s="130"/>
      <c r="K299" s="130"/>
      <c r="L299" s="163"/>
      <c r="M299" s="130"/>
      <c r="N299" s="130"/>
      <c r="O299" s="130"/>
      <c r="P299" s="130"/>
      <c r="Q299" s="130"/>
      <c r="R299" s="130"/>
      <c r="S299" s="130"/>
      <c r="T299" s="130"/>
      <c r="U299" s="130"/>
      <c r="V299" s="130"/>
      <c r="W299" s="130"/>
      <c r="X299" s="163"/>
      <c r="Y299" s="163"/>
      <c r="Z299" s="163"/>
      <c r="AA299" s="163"/>
      <c r="AB299" s="163"/>
      <c r="AC299" s="163"/>
      <c r="AD299" s="163"/>
      <c r="AE299" s="163"/>
      <c r="AF299" s="163"/>
      <c r="AG299" s="163"/>
      <c r="AH299" s="163"/>
      <c r="AI299" s="163"/>
      <c r="AJ299" s="163"/>
      <c r="AK299" s="163"/>
      <c r="AL299" s="163"/>
      <c r="AM299" s="163"/>
    </row>
    <row r="300" ht="13.5" customHeight="1">
      <c r="A300" s="130"/>
      <c r="B300" s="130"/>
      <c r="C300" s="130"/>
      <c r="D300" s="130"/>
      <c r="E300" s="163"/>
      <c r="F300" s="163"/>
      <c r="G300" s="163"/>
      <c r="H300" s="130"/>
      <c r="I300" s="130"/>
      <c r="J300" s="130"/>
      <c r="K300" s="130"/>
      <c r="L300" s="163"/>
      <c r="M300" s="130"/>
      <c r="N300" s="130"/>
      <c r="O300" s="130"/>
      <c r="P300" s="130"/>
      <c r="Q300" s="130"/>
      <c r="R300" s="130"/>
      <c r="S300" s="130"/>
      <c r="T300" s="130"/>
      <c r="U300" s="130"/>
      <c r="V300" s="130"/>
      <c r="W300" s="130"/>
      <c r="X300" s="163"/>
      <c r="Y300" s="163"/>
      <c r="Z300" s="163"/>
      <c r="AA300" s="163"/>
      <c r="AB300" s="163"/>
      <c r="AC300" s="163"/>
      <c r="AD300" s="163"/>
      <c r="AE300" s="163"/>
      <c r="AF300" s="163"/>
      <c r="AG300" s="163"/>
      <c r="AH300" s="163"/>
      <c r="AI300" s="163"/>
      <c r="AJ300" s="163"/>
      <c r="AK300" s="163"/>
      <c r="AL300" s="163"/>
      <c r="AM300" s="163"/>
    </row>
    <row r="301" ht="13.5" customHeight="1">
      <c r="A301" s="130"/>
      <c r="B301" s="130"/>
      <c r="C301" s="130"/>
      <c r="D301" s="130"/>
      <c r="E301" s="163"/>
      <c r="F301" s="163"/>
      <c r="G301" s="163"/>
      <c r="H301" s="130"/>
      <c r="I301" s="130"/>
      <c r="J301" s="130"/>
      <c r="K301" s="130"/>
      <c r="L301" s="163"/>
      <c r="M301" s="130"/>
      <c r="N301" s="130"/>
      <c r="O301" s="130"/>
      <c r="P301" s="130"/>
      <c r="Q301" s="130"/>
      <c r="R301" s="130"/>
      <c r="S301" s="130"/>
      <c r="T301" s="130"/>
      <c r="U301" s="130"/>
      <c r="V301" s="130"/>
      <c r="W301" s="130"/>
      <c r="X301" s="163"/>
      <c r="Y301" s="163"/>
      <c r="Z301" s="163"/>
      <c r="AA301" s="163"/>
      <c r="AB301" s="163"/>
      <c r="AC301" s="163"/>
      <c r="AD301" s="163"/>
      <c r="AE301" s="163"/>
      <c r="AF301" s="163"/>
      <c r="AG301" s="163"/>
      <c r="AH301" s="163"/>
      <c r="AI301" s="163"/>
      <c r="AJ301" s="163"/>
      <c r="AK301" s="163"/>
      <c r="AL301" s="163"/>
      <c r="AM301" s="163"/>
    </row>
    <row r="302" ht="13.5" customHeight="1">
      <c r="A302" s="130"/>
      <c r="B302" s="130"/>
      <c r="C302" s="130"/>
      <c r="D302" s="130"/>
      <c r="E302" s="163"/>
      <c r="F302" s="163"/>
      <c r="G302" s="163"/>
      <c r="H302" s="130"/>
      <c r="I302" s="130"/>
      <c r="J302" s="130"/>
      <c r="K302" s="130"/>
      <c r="L302" s="163"/>
      <c r="M302" s="130"/>
      <c r="N302" s="130"/>
      <c r="O302" s="130"/>
      <c r="P302" s="130"/>
      <c r="Q302" s="130"/>
      <c r="R302" s="130"/>
      <c r="S302" s="130"/>
      <c r="T302" s="130"/>
      <c r="U302" s="130"/>
      <c r="V302" s="130"/>
      <c r="W302" s="130"/>
      <c r="X302" s="163"/>
      <c r="Y302" s="163"/>
      <c r="Z302" s="163"/>
      <c r="AA302" s="163"/>
      <c r="AB302" s="163"/>
      <c r="AC302" s="163"/>
      <c r="AD302" s="163"/>
      <c r="AE302" s="163"/>
      <c r="AF302" s="163"/>
      <c r="AG302" s="163"/>
      <c r="AH302" s="163"/>
      <c r="AI302" s="163"/>
      <c r="AJ302" s="163"/>
      <c r="AK302" s="163"/>
      <c r="AL302" s="163"/>
      <c r="AM302" s="163"/>
    </row>
    <row r="303" ht="13.5" customHeight="1">
      <c r="A303" s="130"/>
      <c r="B303" s="130"/>
      <c r="C303" s="130"/>
      <c r="D303" s="130"/>
      <c r="E303" s="163"/>
      <c r="F303" s="163"/>
      <c r="G303" s="163"/>
      <c r="H303" s="130"/>
      <c r="I303" s="130"/>
      <c r="J303" s="130"/>
      <c r="K303" s="130"/>
      <c r="L303" s="163"/>
      <c r="M303" s="130"/>
      <c r="N303" s="130"/>
      <c r="O303" s="130"/>
      <c r="P303" s="130"/>
      <c r="Q303" s="130"/>
      <c r="R303" s="130"/>
      <c r="S303" s="130"/>
      <c r="T303" s="130"/>
      <c r="U303" s="130"/>
      <c r="V303" s="130"/>
      <c r="W303" s="130"/>
      <c r="X303" s="163"/>
      <c r="Y303" s="163"/>
      <c r="Z303" s="163"/>
      <c r="AA303" s="163"/>
      <c r="AB303" s="163"/>
      <c r="AC303" s="163"/>
      <c r="AD303" s="163"/>
      <c r="AE303" s="163"/>
      <c r="AF303" s="163"/>
      <c r="AG303" s="163"/>
      <c r="AH303" s="163"/>
      <c r="AI303" s="163"/>
      <c r="AJ303" s="163"/>
      <c r="AK303" s="163"/>
      <c r="AL303" s="163"/>
      <c r="AM303" s="163"/>
    </row>
    <row r="304" ht="13.5" customHeight="1">
      <c r="A304" s="130"/>
      <c r="B304" s="130"/>
      <c r="C304" s="130"/>
      <c r="D304" s="130"/>
      <c r="E304" s="163"/>
      <c r="F304" s="163"/>
      <c r="G304" s="163"/>
      <c r="H304" s="130"/>
      <c r="I304" s="130"/>
      <c r="J304" s="130"/>
      <c r="K304" s="130"/>
      <c r="L304" s="163"/>
      <c r="M304" s="130"/>
      <c r="N304" s="130"/>
      <c r="O304" s="130"/>
      <c r="P304" s="130"/>
      <c r="Q304" s="130"/>
      <c r="R304" s="130"/>
      <c r="S304" s="130"/>
      <c r="T304" s="130"/>
      <c r="U304" s="130"/>
      <c r="V304" s="130"/>
      <c r="W304" s="130"/>
      <c r="X304" s="163"/>
      <c r="Y304" s="163"/>
      <c r="Z304" s="163"/>
      <c r="AA304" s="163"/>
      <c r="AB304" s="163"/>
      <c r="AC304" s="163"/>
      <c r="AD304" s="163"/>
      <c r="AE304" s="163"/>
      <c r="AF304" s="163"/>
      <c r="AG304" s="163"/>
      <c r="AH304" s="163"/>
      <c r="AI304" s="163"/>
      <c r="AJ304" s="163"/>
      <c r="AK304" s="163"/>
      <c r="AL304" s="163"/>
      <c r="AM304" s="163"/>
    </row>
    <row r="305" ht="13.5" customHeight="1">
      <c r="A305" s="130"/>
      <c r="B305" s="130"/>
      <c r="C305" s="130"/>
      <c r="D305" s="130"/>
      <c r="E305" s="163"/>
      <c r="F305" s="163"/>
      <c r="G305" s="163"/>
      <c r="H305" s="130"/>
      <c r="I305" s="130"/>
      <c r="J305" s="130"/>
      <c r="K305" s="130"/>
      <c r="L305" s="163"/>
      <c r="M305" s="130"/>
      <c r="N305" s="130"/>
      <c r="O305" s="130"/>
      <c r="P305" s="130"/>
      <c r="Q305" s="130"/>
      <c r="R305" s="130"/>
      <c r="S305" s="130"/>
      <c r="T305" s="130"/>
      <c r="U305" s="130"/>
      <c r="V305" s="130"/>
      <c r="W305" s="130"/>
      <c r="X305" s="163"/>
      <c r="Y305" s="163"/>
      <c r="Z305" s="163"/>
      <c r="AA305" s="163"/>
      <c r="AB305" s="163"/>
      <c r="AC305" s="163"/>
      <c r="AD305" s="163"/>
      <c r="AE305" s="163"/>
      <c r="AF305" s="163"/>
      <c r="AG305" s="163"/>
      <c r="AH305" s="163"/>
      <c r="AI305" s="163"/>
      <c r="AJ305" s="163"/>
      <c r="AK305" s="163"/>
      <c r="AL305" s="163"/>
      <c r="AM305" s="163"/>
    </row>
    <row r="306" ht="13.5" customHeight="1">
      <c r="A306" s="130"/>
      <c r="B306" s="130"/>
      <c r="C306" s="130"/>
      <c r="D306" s="130"/>
      <c r="E306" s="163"/>
      <c r="F306" s="163"/>
      <c r="G306" s="163"/>
      <c r="H306" s="130"/>
      <c r="I306" s="130"/>
      <c r="J306" s="130"/>
      <c r="K306" s="130"/>
      <c r="L306" s="163"/>
      <c r="M306" s="130"/>
      <c r="N306" s="130"/>
      <c r="O306" s="130"/>
      <c r="P306" s="130"/>
      <c r="Q306" s="130"/>
      <c r="R306" s="130"/>
      <c r="S306" s="130"/>
      <c r="T306" s="130"/>
      <c r="U306" s="130"/>
      <c r="V306" s="130"/>
      <c r="W306" s="130"/>
      <c r="X306" s="163"/>
      <c r="Y306" s="163"/>
      <c r="Z306" s="163"/>
      <c r="AA306" s="163"/>
      <c r="AB306" s="163"/>
      <c r="AC306" s="163"/>
      <c r="AD306" s="163"/>
      <c r="AE306" s="163"/>
      <c r="AF306" s="163"/>
      <c r="AG306" s="163"/>
      <c r="AH306" s="163"/>
      <c r="AI306" s="163"/>
      <c r="AJ306" s="163"/>
      <c r="AK306" s="163"/>
      <c r="AL306" s="163"/>
      <c r="AM306" s="163"/>
    </row>
    <row r="307" ht="13.5" customHeight="1">
      <c r="A307" s="130"/>
      <c r="B307" s="130"/>
      <c r="C307" s="130"/>
      <c r="D307" s="130"/>
      <c r="E307" s="163"/>
      <c r="F307" s="163"/>
      <c r="G307" s="163"/>
      <c r="H307" s="130"/>
      <c r="I307" s="130"/>
      <c r="J307" s="130"/>
      <c r="K307" s="130"/>
      <c r="L307" s="163"/>
      <c r="M307" s="130"/>
      <c r="N307" s="130"/>
      <c r="O307" s="130"/>
      <c r="P307" s="130"/>
      <c r="Q307" s="130"/>
      <c r="R307" s="130"/>
      <c r="S307" s="130"/>
      <c r="T307" s="130"/>
      <c r="U307" s="130"/>
      <c r="V307" s="130"/>
      <c r="W307" s="130"/>
      <c r="X307" s="163"/>
      <c r="Y307" s="163"/>
      <c r="Z307" s="163"/>
      <c r="AA307" s="163"/>
      <c r="AB307" s="163"/>
      <c r="AC307" s="163"/>
      <c r="AD307" s="163"/>
      <c r="AE307" s="163"/>
      <c r="AF307" s="163"/>
      <c r="AG307" s="163"/>
      <c r="AH307" s="163"/>
      <c r="AI307" s="163"/>
      <c r="AJ307" s="163"/>
      <c r="AK307" s="163"/>
      <c r="AL307" s="163"/>
      <c r="AM307" s="163"/>
    </row>
    <row r="308" ht="13.5" customHeight="1">
      <c r="A308" s="130"/>
      <c r="B308" s="130"/>
      <c r="C308" s="130"/>
      <c r="D308" s="130"/>
      <c r="E308" s="163"/>
      <c r="F308" s="163"/>
      <c r="G308" s="163"/>
      <c r="H308" s="130"/>
      <c r="I308" s="130"/>
      <c r="J308" s="130"/>
      <c r="K308" s="130"/>
      <c r="L308" s="163"/>
      <c r="M308" s="130"/>
      <c r="N308" s="130"/>
      <c r="O308" s="130"/>
      <c r="P308" s="130"/>
      <c r="Q308" s="130"/>
      <c r="R308" s="130"/>
      <c r="S308" s="130"/>
      <c r="T308" s="130"/>
      <c r="U308" s="130"/>
      <c r="V308" s="130"/>
      <c r="W308" s="130"/>
      <c r="X308" s="163"/>
      <c r="Y308" s="163"/>
      <c r="Z308" s="163"/>
      <c r="AA308" s="163"/>
      <c r="AB308" s="163"/>
      <c r="AC308" s="163"/>
      <c r="AD308" s="163"/>
      <c r="AE308" s="163"/>
      <c r="AF308" s="163"/>
      <c r="AG308" s="163"/>
      <c r="AH308" s="163"/>
      <c r="AI308" s="163"/>
      <c r="AJ308" s="163"/>
      <c r="AK308" s="163"/>
      <c r="AL308" s="163"/>
      <c r="AM308" s="163"/>
    </row>
    <row r="309" ht="13.5" customHeight="1">
      <c r="A309" s="130"/>
      <c r="B309" s="130"/>
      <c r="C309" s="130"/>
      <c r="D309" s="130"/>
      <c r="E309" s="163"/>
      <c r="F309" s="163"/>
      <c r="G309" s="163"/>
      <c r="H309" s="130"/>
      <c r="I309" s="130"/>
      <c r="J309" s="130"/>
      <c r="K309" s="130"/>
      <c r="L309" s="163"/>
      <c r="M309" s="130"/>
      <c r="N309" s="130"/>
      <c r="O309" s="130"/>
      <c r="P309" s="130"/>
      <c r="Q309" s="130"/>
      <c r="R309" s="130"/>
      <c r="S309" s="130"/>
      <c r="T309" s="130"/>
      <c r="U309" s="130"/>
      <c r="V309" s="130"/>
      <c r="W309" s="130"/>
      <c r="X309" s="163"/>
      <c r="Y309" s="163"/>
      <c r="Z309" s="163"/>
      <c r="AA309" s="163"/>
      <c r="AB309" s="163"/>
      <c r="AC309" s="163"/>
      <c r="AD309" s="163"/>
      <c r="AE309" s="163"/>
      <c r="AF309" s="163"/>
      <c r="AG309" s="163"/>
      <c r="AH309" s="163"/>
      <c r="AI309" s="163"/>
      <c r="AJ309" s="163"/>
      <c r="AK309" s="163"/>
      <c r="AL309" s="163"/>
      <c r="AM309" s="163"/>
    </row>
    <row r="310" ht="13.5" customHeight="1">
      <c r="A310" s="130"/>
      <c r="B310" s="130"/>
      <c r="C310" s="130"/>
      <c r="D310" s="130"/>
      <c r="E310" s="163"/>
      <c r="F310" s="163"/>
      <c r="G310" s="163"/>
      <c r="H310" s="130"/>
      <c r="I310" s="130"/>
      <c r="J310" s="130"/>
      <c r="K310" s="130"/>
      <c r="L310" s="163"/>
      <c r="M310" s="130"/>
      <c r="N310" s="130"/>
      <c r="O310" s="130"/>
      <c r="P310" s="130"/>
      <c r="Q310" s="130"/>
      <c r="R310" s="130"/>
      <c r="S310" s="130"/>
      <c r="T310" s="130"/>
      <c r="U310" s="130"/>
      <c r="V310" s="130"/>
      <c r="W310" s="130"/>
      <c r="X310" s="163"/>
      <c r="Y310" s="163"/>
      <c r="Z310" s="163"/>
      <c r="AA310" s="163"/>
      <c r="AB310" s="163"/>
      <c r="AC310" s="163"/>
      <c r="AD310" s="163"/>
      <c r="AE310" s="163"/>
      <c r="AF310" s="163"/>
      <c r="AG310" s="163"/>
      <c r="AH310" s="163"/>
      <c r="AI310" s="163"/>
      <c r="AJ310" s="163"/>
      <c r="AK310" s="163"/>
      <c r="AL310" s="163"/>
      <c r="AM310" s="163"/>
    </row>
    <row r="311" ht="13.5" customHeight="1">
      <c r="A311" s="130"/>
      <c r="B311" s="130"/>
      <c r="C311" s="130"/>
      <c r="D311" s="130"/>
      <c r="E311" s="163"/>
      <c r="F311" s="163"/>
      <c r="G311" s="163"/>
      <c r="H311" s="130"/>
      <c r="I311" s="130"/>
      <c r="J311" s="130"/>
      <c r="K311" s="130"/>
      <c r="L311" s="163"/>
      <c r="M311" s="130"/>
      <c r="N311" s="130"/>
      <c r="O311" s="130"/>
      <c r="P311" s="130"/>
      <c r="Q311" s="130"/>
      <c r="R311" s="130"/>
      <c r="S311" s="130"/>
      <c r="T311" s="130"/>
      <c r="U311" s="130"/>
      <c r="V311" s="130"/>
      <c r="W311" s="130"/>
      <c r="X311" s="163"/>
      <c r="Y311" s="163"/>
      <c r="Z311" s="163"/>
      <c r="AA311" s="163"/>
      <c r="AB311" s="163"/>
      <c r="AC311" s="163"/>
      <c r="AD311" s="163"/>
      <c r="AE311" s="163"/>
      <c r="AF311" s="163"/>
      <c r="AG311" s="163"/>
      <c r="AH311" s="163"/>
      <c r="AI311" s="163"/>
      <c r="AJ311" s="163"/>
      <c r="AK311" s="163"/>
      <c r="AL311" s="163"/>
      <c r="AM311" s="163"/>
    </row>
    <row r="312" ht="13.5" customHeight="1">
      <c r="A312" s="130"/>
      <c r="B312" s="130"/>
      <c r="C312" s="130"/>
      <c r="D312" s="130"/>
      <c r="E312" s="163"/>
      <c r="F312" s="163"/>
      <c r="G312" s="163"/>
      <c r="H312" s="130"/>
      <c r="I312" s="130"/>
      <c r="J312" s="130"/>
      <c r="K312" s="130"/>
      <c r="L312" s="163"/>
      <c r="M312" s="130"/>
      <c r="N312" s="130"/>
      <c r="O312" s="130"/>
      <c r="P312" s="130"/>
      <c r="Q312" s="130"/>
      <c r="R312" s="130"/>
      <c r="S312" s="130"/>
      <c r="T312" s="130"/>
      <c r="U312" s="130"/>
      <c r="V312" s="130"/>
      <c r="W312" s="130"/>
      <c r="X312" s="163"/>
      <c r="Y312" s="163"/>
      <c r="Z312" s="163"/>
      <c r="AA312" s="163"/>
      <c r="AB312" s="163"/>
      <c r="AC312" s="163"/>
      <c r="AD312" s="163"/>
      <c r="AE312" s="163"/>
      <c r="AF312" s="163"/>
      <c r="AG312" s="163"/>
      <c r="AH312" s="163"/>
      <c r="AI312" s="163"/>
      <c r="AJ312" s="163"/>
      <c r="AK312" s="163"/>
      <c r="AL312" s="163"/>
      <c r="AM312" s="163"/>
    </row>
    <row r="313" ht="13.5" customHeight="1">
      <c r="A313" s="130"/>
      <c r="B313" s="130"/>
      <c r="C313" s="130"/>
      <c r="D313" s="130"/>
      <c r="E313" s="163"/>
      <c r="F313" s="163"/>
      <c r="G313" s="163"/>
      <c r="H313" s="130"/>
      <c r="I313" s="130"/>
      <c r="J313" s="130"/>
      <c r="K313" s="130"/>
      <c r="L313" s="163"/>
      <c r="M313" s="130"/>
      <c r="N313" s="130"/>
      <c r="O313" s="130"/>
      <c r="P313" s="130"/>
      <c r="Q313" s="130"/>
      <c r="R313" s="130"/>
      <c r="S313" s="130"/>
      <c r="T313" s="130"/>
      <c r="U313" s="130"/>
      <c r="V313" s="130"/>
      <c r="W313" s="130"/>
      <c r="X313" s="163"/>
      <c r="Y313" s="163"/>
      <c r="Z313" s="163"/>
      <c r="AA313" s="163"/>
      <c r="AB313" s="163"/>
      <c r="AC313" s="163"/>
      <c r="AD313" s="163"/>
      <c r="AE313" s="163"/>
      <c r="AF313" s="163"/>
      <c r="AG313" s="163"/>
      <c r="AH313" s="163"/>
      <c r="AI313" s="163"/>
      <c r="AJ313" s="163"/>
      <c r="AK313" s="163"/>
      <c r="AL313" s="163"/>
      <c r="AM313" s="163"/>
    </row>
    <row r="314" ht="13.5" customHeight="1">
      <c r="A314" s="130"/>
      <c r="B314" s="130"/>
      <c r="C314" s="130"/>
      <c r="D314" s="130"/>
      <c r="E314" s="163"/>
      <c r="F314" s="163"/>
      <c r="G314" s="163"/>
      <c r="H314" s="130"/>
      <c r="I314" s="130"/>
      <c r="J314" s="130"/>
      <c r="K314" s="130"/>
      <c r="L314" s="163"/>
      <c r="M314" s="130"/>
      <c r="N314" s="130"/>
      <c r="O314" s="130"/>
      <c r="P314" s="130"/>
      <c r="Q314" s="130"/>
      <c r="R314" s="130"/>
      <c r="S314" s="130"/>
      <c r="T314" s="130"/>
      <c r="U314" s="130"/>
      <c r="V314" s="130"/>
      <c r="W314" s="130"/>
      <c r="X314" s="163"/>
      <c r="Y314" s="163"/>
      <c r="Z314" s="163"/>
      <c r="AA314" s="163"/>
      <c r="AB314" s="163"/>
      <c r="AC314" s="163"/>
      <c r="AD314" s="163"/>
      <c r="AE314" s="163"/>
      <c r="AF314" s="163"/>
      <c r="AG314" s="163"/>
      <c r="AH314" s="163"/>
      <c r="AI314" s="163"/>
      <c r="AJ314" s="163"/>
      <c r="AK314" s="163"/>
      <c r="AL314" s="163"/>
      <c r="AM314" s="163"/>
    </row>
    <row r="315" ht="13.5" customHeight="1">
      <c r="A315" s="130"/>
      <c r="B315" s="130"/>
      <c r="C315" s="130"/>
      <c r="D315" s="130"/>
      <c r="E315" s="163"/>
      <c r="F315" s="163"/>
      <c r="G315" s="163"/>
      <c r="H315" s="130"/>
      <c r="I315" s="130"/>
      <c r="J315" s="130"/>
      <c r="K315" s="130"/>
      <c r="L315" s="163"/>
      <c r="M315" s="130"/>
      <c r="N315" s="130"/>
      <c r="O315" s="130"/>
      <c r="P315" s="130"/>
      <c r="Q315" s="130"/>
      <c r="R315" s="130"/>
      <c r="S315" s="130"/>
      <c r="T315" s="130"/>
      <c r="U315" s="130"/>
      <c r="V315" s="130"/>
      <c r="W315" s="130"/>
      <c r="X315" s="163"/>
      <c r="Y315" s="163"/>
      <c r="Z315" s="163"/>
      <c r="AA315" s="163"/>
      <c r="AB315" s="163"/>
      <c r="AC315" s="163"/>
      <c r="AD315" s="163"/>
      <c r="AE315" s="163"/>
      <c r="AF315" s="163"/>
      <c r="AG315" s="163"/>
      <c r="AH315" s="163"/>
      <c r="AI315" s="163"/>
      <c r="AJ315" s="163"/>
      <c r="AK315" s="163"/>
      <c r="AL315" s="163"/>
      <c r="AM315" s="163"/>
    </row>
    <row r="316" ht="13.5" customHeight="1">
      <c r="A316" s="130"/>
      <c r="B316" s="130"/>
      <c r="C316" s="130"/>
      <c r="D316" s="130"/>
      <c r="E316" s="163"/>
      <c r="F316" s="163"/>
      <c r="G316" s="163"/>
      <c r="H316" s="130"/>
      <c r="I316" s="130"/>
      <c r="J316" s="130"/>
      <c r="K316" s="130"/>
      <c r="L316" s="163"/>
      <c r="M316" s="130"/>
      <c r="N316" s="130"/>
      <c r="O316" s="130"/>
      <c r="P316" s="130"/>
      <c r="Q316" s="130"/>
      <c r="R316" s="130"/>
      <c r="S316" s="130"/>
      <c r="T316" s="130"/>
      <c r="U316" s="130"/>
      <c r="V316" s="130"/>
      <c r="W316" s="130"/>
      <c r="X316" s="163"/>
      <c r="Y316" s="163"/>
      <c r="Z316" s="163"/>
      <c r="AA316" s="163"/>
      <c r="AB316" s="163"/>
      <c r="AC316" s="163"/>
      <c r="AD316" s="163"/>
      <c r="AE316" s="163"/>
      <c r="AF316" s="163"/>
      <c r="AG316" s="163"/>
      <c r="AH316" s="163"/>
      <c r="AI316" s="163"/>
      <c r="AJ316" s="163"/>
      <c r="AK316" s="163"/>
      <c r="AL316" s="163"/>
      <c r="AM316" s="163"/>
    </row>
    <row r="317" ht="13.5" customHeight="1">
      <c r="A317" s="130"/>
      <c r="B317" s="130"/>
      <c r="C317" s="130"/>
      <c r="D317" s="130"/>
      <c r="E317" s="163"/>
      <c r="F317" s="163"/>
      <c r="G317" s="163"/>
      <c r="H317" s="130"/>
      <c r="I317" s="130"/>
      <c r="J317" s="130"/>
      <c r="K317" s="130"/>
      <c r="L317" s="163"/>
      <c r="M317" s="130"/>
      <c r="N317" s="130"/>
      <c r="O317" s="130"/>
      <c r="P317" s="130"/>
      <c r="Q317" s="130"/>
      <c r="R317" s="130"/>
      <c r="S317" s="130"/>
      <c r="T317" s="130"/>
      <c r="U317" s="130"/>
      <c r="V317" s="130"/>
      <c r="W317" s="130"/>
      <c r="X317" s="163"/>
      <c r="Y317" s="163"/>
      <c r="Z317" s="163"/>
      <c r="AA317" s="163"/>
      <c r="AB317" s="163"/>
      <c r="AC317" s="163"/>
      <c r="AD317" s="163"/>
      <c r="AE317" s="163"/>
      <c r="AF317" s="163"/>
      <c r="AG317" s="163"/>
      <c r="AH317" s="163"/>
      <c r="AI317" s="163"/>
      <c r="AJ317" s="163"/>
      <c r="AK317" s="163"/>
      <c r="AL317" s="163"/>
      <c r="AM317" s="163"/>
    </row>
    <row r="318" ht="13.5" customHeight="1">
      <c r="A318" s="130"/>
      <c r="B318" s="130"/>
      <c r="C318" s="130"/>
      <c r="D318" s="130"/>
      <c r="E318" s="163"/>
      <c r="F318" s="163"/>
      <c r="G318" s="163"/>
      <c r="H318" s="130"/>
      <c r="I318" s="130"/>
      <c r="J318" s="130"/>
      <c r="K318" s="130"/>
      <c r="L318" s="163"/>
      <c r="M318" s="130"/>
      <c r="N318" s="130"/>
      <c r="O318" s="130"/>
      <c r="P318" s="130"/>
      <c r="Q318" s="130"/>
      <c r="R318" s="130"/>
      <c r="S318" s="130"/>
      <c r="T318" s="130"/>
      <c r="U318" s="130"/>
      <c r="V318" s="130"/>
      <c r="W318" s="130"/>
      <c r="X318" s="163"/>
      <c r="Y318" s="163"/>
      <c r="Z318" s="163"/>
      <c r="AA318" s="163"/>
      <c r="AB318" s="163"/>
      <c r="AC318" s="163"/>
      <c r="AD318" s="163"/>
      <c r="AE318" s="163"/>
      <c r="AF318" s="163"/>
      <c r="AG318" s="163"/>
      <c r="AH318" s="163"/>
      <c r="AI318" s="163"/>
      <c r="AJ318" s="163"/>
      <c r="AK318" s="163"/>
      <c r="AL318" s="163"/>
      <c r="AM318" s="163"/>
    </row>
    <row r="319" ht="13.5" customHeight="1">
      <c r="A319" s="130"/>
      <c r="B319" s="130"/>
      <c r="C319" s="130"/>
      <c r="D319" s="130"/>
      <c r="E319" s="163"/>
      <c r="F319" s="163"/>
      <c r="G319" s="163"/>
      <c r="H319" s="130"/>
      <c r="I319" s="130"/>
      <c r="J319" s="130"/>
      <c r="K319" s="130"/>
      <c r="L319" s="163"/>
      <c r="M319" s="130"/>
      <c r="N319" s="130"/>
      <c r="O319" s="130"/>
      <c r="P319" s="130"/>
      <c r="Q319" s="130"/>
      <c r="R319" s="130"/>
      <c r="S319" s="130"/>
      <c r="T319" s="130"/>
      <c r="U319" s="130"/>
      <c r="V319" s="130"/>
      <c r="W319" s="130"/>
      <c r="X319" s="163"/>
      <c r="Y319" s="163"/>
      <c r="Z319" s="163"/>
      <c r="AA319" s="163"/>
      <c r="AB319" s="163"/>
      <c r="AC319" s="163"/>
      <c r="AD319" s="163"/>
      <c r="AE319" s="163"/>
      <c r="AF319" s="163"/>
      <c r="AG319" s="163"/>
      <c r="AH319" s="163"/>
      <c r="AI319" s="163"/>
      <c r="AJ319" s="163"/>
      <c r="AK319" s="163"/>
      <c r="AL319" s="163"/>
      <c r="AM319" s="163"/>
    </row>
    <row r="320" ht="13.5" customHeight="1">
      <c r="A320" s="130"/>
      <c r="B320" s="130"/>
      <c r="C320" s="130"/>
      <c r="D320" s="130"/>
      <c r="E320" s="163"/>
      <c r="F320" s="163"/>
      <c r="G320" s="163"/>
      <c r="H320" s="130"/>
      <c r="I320" s="130"/>
      <c r="J320" s="130"/>
      <c r="K320" s="130"/>
      <c r="L320" s="163"/>
      <c r="M320" s="130"/>
      <c r="N320" s="130"/>
      <c r="O320" s="130"/>
      <c r="P320" s="130"/>
      <c r="Q320" s="130"/>
      <c r="R320" s="130"/>
      <c r="S320" s="130"/>
      <c r="T320" s="130"/>
      <c r="U320" s="130"/>
      <c r="V320" s="130"/>
      <c r="W320" s="130"/>
      <c r="X320" s="163"/>
      <c r="Y320" s="163"/>
      <c r="Z320" s="163"/>
      <c r="AA320" s="163"/>
      <c r="AB320" s="163"/>
      <c r="AC320" s="163"/>
      <c r="AD320" s="163"/>
      <c r="AE320" s="163"/>
      <c r="AF320" s="163"/>
      <c r="AG320" s="163"/>
      <c r="AH320" s="163"/>
      <c r="AI320" s="163"/>
      <c r="AJ320" s="163"/>
      <c r="AK320" s="163"/>
      <c r="AL320" s="163"/>
      <c r="AM320" s="163"/>
    </row>
    <row r="321" ht="13.5" customHeight="1">
      <c r="A321" s="130"/>
      <c r="B321" s="130"/>
      <c r="C321" s="130"/>
      <c r="D321" s="130"/>
      <c r="E321" s="163"/>
      <c r="F321" s="163"/>
      <c r="G321" s="163"/>
      <c r="H321" s="130"/>
      <c r="I321" s="130"/>
      <c r="J321" s="130"/>
      <c r="K321" s="130"/>
      <c r="L321" s="163"/>
      <c r="M321" s="130"/>
      <c r="N321" s="130"/>
      <c r="O321" s="130"/>
      <c r="P321" s="130"/>
      <c r="Q321" s="130"/>
      <c r="R321" s="130"/>
      <c r="S321" s="130"/>
      <c r="T321" s="130"/>
      <c r="U321" s="130"/>
      <c r="V321" s="130"/>
      <c r="W321" s="130"/>
      <c r="X321" s="163"/>
      <c r="Y321" s="163"/>
      <c r="Z321" s="163"/>
      <c r="AA321" s="163"/>
      <c r="AB321" s="163"/>
      <c r="AC321" s="163"/>
      <c r="AD321" s="163"/>
      <c r="AE321" s="163"/>
      <c r="AF321" s="163"/>
      <c r="AG321" s="163"/>
      <c r="AH321" s="163"/>
      <c r="AI321" s="163"/>
      <c r="AJ321" s="163"/>
      <c r="AK321" s="163"/>
      <c r="AL321" s="163"/>
      <c r="AM321" s="163"/>
    </row>
    <row r="322" ht="13.5" customHeight="1">
      <c r="A322" s="130"/>
      <c r="B322" s="130"/>
      <c r="C322" s="130"/>
      <c r="D322" s="130"/>
      <c r="E322" s="163"/>
      <c r="F322" s="163"/>
      <c r="G322" s="163"/>
      <c r="H322" s="130"/>
      <c r="I322" s="130"/>
      <c r="J322" s="130"/>
      <c r="K322" s="130"/>
      <c r="L322" s="163"/>
      <c r="M322" s="130"/>
      <c r="N322" s="130"/>
      <c r="O322" s="130"/>
      <c r="P322" s="130"/>
      <c r="Q322" s="130"/>
      <c r="R322" s="130"/>
      <c r="S322" s="130"/>
      <c r="T322" s="130"/>
      <c r="U322" s="130"/>
      <c r="V322" s="130"/>
      <c r="W322" s="130"/>
      <c r="X322" s="163"/>
      <c r="Y322" s="163"/>
      <c r="Z322" s="163"/>
      <c r="AA322" s="163"/>
      <c r="AB322" s="163"/>
      <c r="AC322" s="163"/>
      <c r="AD322" s="163"/>
      <c r="AE322" s="163"/>
      <c r="AF322" s="163"/>
      <c r="AG322" s="163"/>
      <c r="AH322" s="163"/>
      <c r="AI322" s="163"/>
      <c r="AJ322" s="163"/>
      <c r="AK322" s="163"/>
      <c r="AL322" s="163"/>
      <c r="AM322" s="163"/>
    </row>
    <row r="323" ht="13.5" customHeight="1">
      <c r="A323" s="130"/>
      <c r="B323" s="130"/>
      <c r="C323" s="130"/>
      <c r="D323" s="130"/>
      <c r="E323" s="163"/>
      <c r="F323" s="163"/>
      <c r="G323" s="163"/>
      <c r="H323" s="130"/>
      <c r="I323" s="130"/>
      <c r="J323" s="130"/>
      <c r="K323" s="130"/>
      <c r="L323" s="163"/>
      <c r="M323" s="130"/>
      <c r="N323" s="130"/>
      <c r="O323" s="130"/>
      <c r="P323" s="130"/>
      <c r="Q323" s="130"/>
      <c r="R323" s="130"/>
      <c r="S323" s="130"/>
      <c r="T323" s="130"/>
      <c r="U323" s="130"/>
      <c r="V323" s="130"/>
      <c r="W323" s="130"/>
      <c r="X323" s="163"/>
      <c r="Y323" s="163"/>
      <c r="Z323" s="163"/>
      <c r="AA323" s="163"/>
      <c r="AB323" s="163"/>
      <c r="AC323" s="163"/>
      <c r="AD323" s="163"/>
      <c r="AE323" s="163"/>
      <c r="AF323" s="163"/>
      <c r="AG323" s="163"/>
      <c r="AH323" s="163"/>
      <c r="AI323" s="163"/>
      <c r="AJ323" s="163"/>
      <c r="AK323" s="163"/>
      <c r="AL323" s="163"/>
      <c r="AM323" s="163"/>
    </row>
    <row r="324" ht="13.5" customHeight="1">
      <c r="A324" s="130"/>
      <c r="B324" s="130"/>
      <c r="C324" s="130"/>
      <c r="D324" s="130"/>
      <c r="E324" s="163"/>
      <c r="F324" s="163"/>
      <c r="G324" s="163"/>
      <c r="H324" s="130"/>
      <c r="I324" s="130"/>
      <c r="J324" s="130"/>
      <c r="K324" s="130"/>
      <c r="L324" s="163"/>
      <c r="M324" s="130"/>
      <c r="N324" s="130"/>
      <c r="O324" s="130"/>
      <c r="P324" s="130"/>
      <c r="Q324" s="130"/>
      <c r="R324" s="130"/>
      <c r="S324" s="130"/>
      <c r="T324" s="130"/>
      <c r="U324" s="130"/>
      <c r="V324" s="130"/>
      <c r="W324" s="130"/>
      <c r="X324" s="163"/>
      <c r="Y324" s="163"/>
      <c r="Z324" s="163"/>
      <c r="AA324" s="163"/>
      <c r="AB324" s="163"/>
      <c r="AC324" s="163"/>
      <c r="AD324" s="163"/>
      <c r="AE324" s="163"/>
      <c r="AF324" s="163"/>
      <c r="AG324" s="163"/>
      <c r="AH324" s="163"/>
      <c r="AI324" s="163"/>
      <c r="AJ324" s="163"/>
      <c r="AK324" s="163"/>
      <c r="AL324" s="163"/>
      <c r="AM324" s="163"/>
    </row>
    <row r="325" ht="13.5" customHeight="1">
      <c r="A325" s="130"/>
      <c r="B325" s="130"/>
      <c r="C325" s="130"/>
      <c r="D325" s="130"/>
      <c r="E325" s="163"/>
      <c r="F325" s="163"/>
      <c r="G325" s="163"/>
      <c r="H325" s="130"/>
      <c r="I325" s="130"/>
      <c r="J325" s="130"/>
      <c r="K325" s="130"/>
      <c r="L325" s="163"/>
      <c r="M325" s="130"/>
      <c r="N325" s="130"/>
      <c r="O325" s="130"/>
      <c r="P325" s="130"/>
      <c r="Q325" s="130"/>
      <c r="R325" s="130"/>
      <c r="S325" s="130"/>
      <c r="T325" s="130"/>
      <c r="U325" s="130"/>
      <c r="V325" s="130"/>
      <c r="W325" s="130"/>
      <c r="X325" s="163"/>
      <c r="Y325" s="163"/>
      <c r="Z325" s="163"/>
      <c r="AA325" s="163"/>
      <c r="AB325" s="163"/>
      <c r="AC325" s="163"/>
      <c r="AD325" s="163"/>
      <c r="AE325" s="163"/>
      <c r="AF325" s="163"/>
      <c r="AG325" s="163"/>
      <c r="AH325" s="163"/>
      <c r="AI325" s="163"/>
      <c r="AJ325" s="163"/>
      <c r="AK325" s="163"/>
      <c r="AL325" s="163"/>
      <c r="AM325" s="163"/>
    </row>
    <row r="326" ht="13.5" customHeight="1">
      <c r="A326" s="130"/>
      <c r="B326" s="130"/>
      <c r="C326" s="130"/>
      <c r="D326" s="130"/>
      <c r="E326" s="163"/>
      <c r="F326" s="163"/>
      <c r="G326" s="163"/>
      <c r="H326" s="130"/>
      <c r="I326" s="130"/>
      <c r="J326" s="130"/>
      <c r="K326" s="130"/>
      <c r="L326" s="163"/>
      <c r="M326" s="130"/>
      <c r="N326" s="130"/>
      <c r="O326" s="130"/>
      <c r="P326" s="130"/>
      <c r="Q326" s="130"/>
      <c r="R326" s="130"/>
      <c r="S326" s="130"/>
      <c r="T326" s="130"/>
      <c r="U326" s="130"/>
      <c r="V326" s="130"/>
      <c r="W326" s="130"/>
      <c r="X326" s="163"/>
      <c r="Y326" s="163"/>
      <c r="Z326" s="163"/>
      <c r="AA326" s="163"/>
      <c r="AB326" s="163"/>
      <c r="AC326" s="163"/>
      <c r="AD326" s="163"/>
      <c r="AE326" s="163"/>
      <c r="AF326" s="163"/>
      <c r="AG326" s="163"/>
      <c r="AH326" s="163"/>
      <c r="AI326" s="163"/>
      <c r="AJ326" s="163"/>
      <c r="AK326" s="163"/>
      <c r="AL326" s="163"/>
      <c r="AM326" s="163"/>
    </row>
    <row r="327" ht="13.5" customHeight="1">
      <c r="A327" s="130"/>
      <c r="B327" s="130"/>
      <c r="C327" s="130"/>
      <c r="D327" s="130"/>
      <c r="E327" s="163"/>
      <c r="F327" s="163"/>
      <c r="G327" s="163"/>
      <c r="H327" s="130"/>
      <c r="I327" s="130"/>
      <c r="J327" s="130"/>
      <c r="K327" s="130"/>
      <c r="L327" s="163"/>
      <c r="M327" s="130"/>
      <c r="N327" s="130"/>
      <c r="O327" s="130"/>
      <c r="P327" s="130"/>
      <c r="Q327" s="130"/>
      <c r="R327" s="130"/>
      <c r="S327" s="130"/>
      <c r="T327" s="130"/>
      <c r="U327" s="130"/>
      <c r="V327" s="130"/>
      <c r="W327" s="130"/>
      <c r="X327" s="163"/>
      <c r="Y327" s="163"/>
      <c r="Z327" s="163"/>
      <c r="AA327" s="163"/>
      <c r="AB327" s="163"/>
      <c r="AC327" s="163"/>
      <c r="AD327" s="163"/>
      <c r="AE327" s="163"/>
      <c r="AF327" s="163"/>
      <c r="AG327" s="163"/>
      <c r="AH327" s="163"/>
      <c r="AI327" s="163"/>
      <c r="AJ327" s="163"/>
      <c r="AK327" s="163"/>
      <c r="AL327" s="163"/>
      <c r="AM327" s="163"/>
    </row>
    <row r="328" ht="13.5" customHeight="1">
      <c r="A328" s="130"/>
      <c r="B328" s="130"/>
      <c r="C328" s="130"/>
      <c r="D328" s="130"/>
      <c r="E328" s="163"/>
      <c r="F328" s="163"/>
      <c r="G328" s="163"/>
      <c r="H328" s="130"/>
      <c r="I328" s="130"/>
      <c r="J328" s="130"/>
      <c r="K328" s="130"/>
      <c r="L328" s="163"/>
      <c r="M328" s="130"/>
      <c r="N328" s="130"/>
      <c r="O328" s="130"/>
      <c r="P328" s="130"/>
      <c r="Q328" s="130"/>
      <c r="R328" s="130"/>
      <c r="S328" s="130"/>
      <c r="T328" s="130"/>
      <c r="U328" s="130"/>
      <c r="V328" s="130"/>
      <c r="W328" s="130"/>
      <c r="X328" s="163"/>
      <c r="Y328" s="163"/>
      <c r="Z328" s="163"/>
      <c r="AA328" s="163"/>
      <c r="AB328" s="163"/>
      <c r="AC328" s="163"/>
      <c r="AD328" s="163"/>
      <c r="AE328" s="163"/>
      <c r="AF328" s="163"/>
      <c r="AG328" s="163"/>
      <c r="AH328" s="163"/>
      <c r="AI328" s="163"/>
      <c r="AJ328" s="163"/>
      <c r="AK328" s="163"/>
      <c r="AL328" s="163"/>
      <c r="AM328" s="163"/>
    </row>
    <row r="329" ht="13.5" customHeight="1">
      <c r="A329" s="130"/>
      <c r="B329" s="130"/>
      <c r="C329" s="130"/>
      <c r="D329" s="130"/>
      <c r="E329" s="163"/>
      <c r="F329" s="163"/>
      <c r="G329" s="163"/>
      <c r="H329" s="130"/>
      <c r="I329" s="130"/>
      <c r="J329" s="130"/>
      <c r="K329" s="130"/>
      <c r="L329" s="163"/>
      <c r="M329" s="130"/>
      <c r="N329" s="130"/>
      <c r="O329" s="130"/>
      <c r="P329" s="130"/>
      <c r="Q329" s="130"/>
      <c r="R329" s="130"/>
      <c r="S329" s="130"/>
      <c r="T329" s="130"/>
      <c r="U329" s="130"/>
      <c r="V329" s="130"/>
      <c r="W329" s="130"/>
      <c r="X329" s="163"/>
      <c r="Y329" s="163"/>
      <c r="Z329" s="163"/>
      <c r="AA329" s="163"/>
      <c r="AB329" s="163"/>
      <c r="AC329" s="163"/>
      <c r="AD329" s="163"/>
      <c r="AE329" s="163"/>
      <c r="AF329" s="163"/>
      <c r="AG329" s="163"/>
      <c r="AH329" s="163"/>
      <c r="AI329" s="163"/>
      <c r="AJ329" s="163"/>
      <c r="AK329" s="163"/>
      <c r="AL329" s="163"/>
      <c r="AM329" s="163"/>
    </row>
    <row r="330" ht="13.5" customHeight="1">
      <c r="A330" s="130"/>
      <c r="B330" s="130"/>
      <c r="C330" s="130"/>
      <c r="D330" s="130"/>
      <c r="E330" s="163"/>
      <c r="F330" s="163"/>
      <c r="G330" s="163"/>
      <c r="H330" s="130"/>
      <c r="I330" s="130"/>
      <c r="J330" s="130"/>
      <c r="K330" s="130"/>
      <c r="L330" s="163"/>
      <c r="M330" s="130"/>
      <c r="N330" s="130"/>
      <c r="O330" s="130"/>
      <c r="P330" s="130"/>
      <c r="Q330" s="130"/>
      <c r="R330" s="130"/>
      <c r="S330" s="130"/>
      <c r="T330" s="130"/>
      <c r="U330" s="130"/>
      <c r="V330" s="130"/>
      <c r="W330" s="130"/>
      <c r="X330" s="163"/>
      <c r="Y330" s="163"/>
      <c r="Z330" s="163"/>
      <c r="AA330" s="163"/>
      <c r="AB330" s="163"/>
      <c r="AC330" s="163"/>
      <c r="AD330" s="163"/>
      <c r="AE330" s="163"/>
      <c r="AF330" s="163"/>
      <c r="AG330" s="163"/>
      <c r="AH330" s="163"/>
      <c r="AI330" s="163"/>
      <c r="AJ330" s="163"/>
      <c r="AK330" s="163"/>
      <c r="AL330" s="163"/>
      <c r="AM330" s="163"/>
    </row>
    <row r="331" ht="13.5" customHeight="1">
      <c r="A331" s="130"/>
      <c r="B331" s="130"/>
      <c r="C331" s="130"/>
      <c r="D331" s="130"/>
      <c r="E331" s="163"/>
      <c r="F331" s="163"/>
      <c r="G331" s="163"/>
      <c r="H331" s="130"/>
      <c r="I331" s="130"/>
      <c r="J331" s="130"/>
      <c r="K331" s="130"/>
      <c r="L331" s="163"/>
      <c r="M331" s="130"/>
      <c r="N331" s="130"/>
      <c r="O331" s="130"/>
      <c r="P331" s="130"/>
      <c r="Q331" s="130"/>
      <c r="R331" s="130"/>
      <c r="S331" s="130"/>
      <c r="T331" s="130"/>
      <c r="U331" s="130"/>
      <c r="V331" s="130"/>
      <c r="W331" s="130"/>
      <c r="X331" s="163"/>
      <c r="Y331" s="163"/>
      <c r="Z331" s="163"/>
      <c r="AA331" s="163"/>
      <c r="AB331" s="163"/>
      <c r="AC331" s="163"/>
      <c r="AD331" s="163"/>
      <c r="AE331" s="163"/>
      <c r="AF331" s="163"/>
      <c r="AG331" s="163"/>
      <c r="AH331" s="163"/>
      <c r="AI331" s="163"/>
      <c r="AJ331" s="163"/>
      <c r="AK331" s="163"/>
      <c r="AL331" s="163"/>
      <c r="AM331" s="163"/>
    </row>
    <row r="332" ht="13.5" customHeight="1">
      <c r="A332" s="130"/>
      <c r="B332" s="130"/>
      <c r="C332" s="130"/>
      <c r="D332" s="130"/>
      <c r="E332" s="163"/>
      <c r="F332" s="163"/>
      <c r="G332" s="163"/>
      <c r="H332" s="130"/>
      <c r="I332" s="130"/>
      <c r="J332" s="130"/>
      <c r="K332" s="130"/>
      <c r="L332" s="163"/>
      <c r="M332" s="130"/>
      <c r="N332" s="130"/>
      <c r="O332" s="130"/>
      <c r="P332" s="130"/>
      <c r="Q332" s="130"/>
      <c r="R332" s="130"/>
      <c r="S332" s="130"/>
      <c r="T332" s="130"/>
      <c r="U332" s="130"/>
      <c r="V332" s="130"/>
      <c r="W332" s="130"/>
      <c r="X332" s="163"/>
      <c r="Y332" s="163"/>
      <c r="Z332" s="163"/>
      <c r="AA332" s="163"/>
      <c r="AB332" s="163"/>
      <c r="AC332" s="163"/>
      <c r="AD332" s="163"/>
      <c r="AE332" s="163"/>
      <c r="AF332" s="163"/>
      <c r="AG332" s="163"/>
      <c r="AH332" s="163"/>
      <c r="AI332" s="163"/>
      <c r="AJ332" s="163"/>
      <c r="AK332" s="163"/>
      <c r="AL332" s="163"/>
      <c r="AM332" s="163"/>
    </row>
    <row r="333" ht="13.5" customHeight="1">
      <c r="A333" s="130"/>
      <c r="B333" s="130"/>
      <c r="C333" s="130"/>
      <c r="D333" s="130"/>
      <c r="E333" s="163"/>
      <c r="F333" s="163"/>
      <c r="G333" s="163"/>
      <c r="H333" s="130"/>
      <c r="I333" s="130"/>
      <c r="J333" s="130"/>
      <c r="K333" s="130"/>
      <c r="L333" s="163"/>
      <c r="M333" s="130"/>
      <c r="N333" s="130"/>
      <c r="O333" s="130"/>
      <c r="P333" s="130"/>
      <c r="Q333" s="130"/>
      <c r="R333" s="130"/>
      <c r="S333" s="130"/>
      <c r="T333" s="130"/>
      <c r="U333" s="130"/>
      <c r="V333" s="130"/>
      <c r="W333" s="130"/>
      <c r="X333" s="163"/>
      <c r="Y333" s="163"/>
      <c r="Z333" s="163"/>
      <c r="AA333" s="163"/>
      <c r="AB333" s="163"/>
      <c r="AC333" s="163"/>
      <c r="AD333" s="163"/>
      <c r="AE333" s="163"/>
      <c r="AF333" s="163"/>
      <c r="AG333" s="163"/>
      <c r="AH333" s="163"/>
      <c r="AI333" s="163"/>
      <c r="AJ333" s="163"/>
      <c r="AK333" s="163"/>
      <c r="AL333" s="163"/>
      <c r="AM333" s="163"/>
    </row>
    <row r="334" ht="13.5" customHeight="1">
      <c r="A334" s="130"/>
      <c r="B334" s="130"/>
      <c r="C334" s="130"/>
      <c r="D334" s="130"/>
      <c r="E334" s="163"/>
      <c r="F334" s="163"/>
      <c r="G334" s="163"/>
      <c r="H334" s="130"/>
      <c r="I334" s="130"/>
      <c r="J334" s="130"/>
      <c r="K334" s="130"/>
      <c r="L334" s="163"/>
      <c r="M334" s="130"/>
      <c r="N334" s="130"/>
      <c r="O334" s="130"/>
      <c r="P334" s="130"/>
      <c r="Q334" s="130"/>
      <c r="R334" s="130"/>
      <c r="S334" s="130"/>
      <c r="T334" s="130"/>
      <c r="U334" s="130"/>
      <c r="V334" s="130"/>
      <c r="W334" s="130"/>
      <c r="X334" s="163"/>
      <c r="Y334" s="163"/>
      <c r="Z334" s="163"/>
      <c r="AA334" s="163"/>
      <c r="AB334" s="163"/>
      <c r="AC334" s="163"/>
      <c r="AD334" s="163"/>
      <c r="AE334" s="163"/>
      <c r="AF334" s="163"/>
      <c r="AG334" s="163"/>
      <c r="AH334" s="163"/>
      <c r="AI334" s="163"/>
      <c r="AJ334" s="163"/>
      <c r="AK334" s="163"/>
      <c r="AL334" s="163"/>
      <c r="AM334" s="163"/>
    </row>
    <row r="335" ht="13.5" customHeight="1">
      <c r="A335" s="130"/>
      <c r="B335" s="130"/>
      <c r="C335" s="130"/>
      <c r="D335" s="130"/>
      <c r="E335" s="163"/>
      <c r="F335" s="163"/>
      <c r="G335" s="163"/>
      <c r="H335" s="130"/>
      <c r="I335" s="130"/>
      <c r="J335" s="130"/>
      <c r="K335" s="130"/>
      <c r="L335" s="163"/>
      <c r="M335" s="130"/>
      <c r="N335" s="130"/>
      <c r="O335" s="130"/>
      <c r="P335" s="130"/>
      <c r="Q335" s="130"/>
      <c r="R335" s="130"/>
      <c r="S335" s="130"/>
      <c r="T335" s="130"/>
      <c r="U335" s="130"/>
      <c r="V335" s="130"/>
      <c r="W335" s="130"/>
      <c r="X335" s="163"/>
      <c r="Y335" s="163"/>
      <c r="Z335" s="163"/>
      <c r="AA335" s="163"/>
      <c r="AB335" s="163"/>
      <c r="AC335" s="163"/>
      <c r="AD335" s="163"/>
      <c r="AE335" s="163"/>
      <c r="AF335" s="163"/>
      <c r="AG335" s="163"/>
      <c r="AH335" s="163"/>
      <c r="AI335" s="163"/>
      <c r="AJ335" s="163"/>
      <c r="AK335" s="163"/>
      <c r="AL335" s="163"/>
      <c r="AM335" s="163"/>
    </row>
    <row r="336" ht="13.5" customHeight="1">
      <c r="A336" s="130"/>
      <c r="B336" s="130"/>
      <c r="C336" s="130"/>
      <c r="D336" s="130"/>
      <c r="E336" s="163"/>
      <c r="F336" s="163"/>
      <c r="G336" s="163"/>
      <c r="H336" s="130"/>
      <c r="I336" s="130"/>
      <c r="J336" s="130"/>
      <c r="K336" s="130"/>
      <c r="L336" s="163"/>
      <c r="M336" s="130"/>
      <c r="N336" s="130"/>
      <c r="O336" s="130"/>
      <c r="P336" s="130"/>
      <c r="Q336" s="130"/>
      <c r="R336" s="130"/>
      <c r="S336" s="130"/>
      <c r="T336" s="130"/>
      <c r="U336" s="130"/>
      <c r="V336" s="130"/>
      <c r="W336" s="130"/>
      <c r="X336" s="163"/>
      <c r="Y336" s="163"/>
      <c r="Z336" s="163"/>
      <c r="AA336" s="163"/>
      <c r="AB336" s="163"/>
      <c r="AC336" s="163"/>
      <c r="AD336" s="163"/>
      <c r="AE336" s="163"/>
      <c r="AF336" s="163"/>
      <c r="AG336" s="163"/>
      <c r="AH336" s="163"/>
      <c r="AI336" s="163"/>
      <c r="AJ336" s="163"/>
      <c r="AK336" s="163"/>
      <c r="AL336" s="163"/>
      <c r="AM336" s="163"/>
    </row>
    <row r="337" ht="13.5" customHeight="1">
      <c r="A337" s="130"/>
      <c r="B337" s="130"/>
      <c r="C337" s="130"/>
      <c r="D337" s="130"/>
      <c r="E337" s="163"/>
      <c r="F337" s="163"/>
      <c r="G337" s="163"/>
      <c r="H337" s="130"/>
      <c r="I337" s="130"/>
      <c r="J337" s="130"/>
      <c r="K337" s="130"/>
      <c r="L337" s="163"/>
      <c r="M337" s="130"/>
      <c r="N337" s="130"/>
      <c r="O337" s="130"/>
      <c r="P337" s="130"/>
      <c r="Q337" s="130"/>
      <c r="R337" s="130"/>
      <c r="S337" s="130"/>
      <c r="T337" s="130"/>
      <c r="U337" s="130"/>
      <c r="V337" s="130"/>
      <c r="W337" s="130"/>
      <c r="X337" s="163"/>
      <c r="Y337" s="163"/>
      <c r="Z337" s="163"/>
      <c r="AA337" s="163"/>
      <c r="AB337" s="163"/>
      <c r="AC337" s="163"/>
      <c r="AD337" s="163"/>
      <c r="AE337" s="163"/>
      <c r="AF337" s="163"/>
      <c r="AG337" s="163"/>
      <c r="AH337" s="163"/>
      <c r="AI337" s="163"/>
      <c r="AJ337" s="163"/>
      <c r="AK337" s="163"/>
      <c r="AL337" s="163"/>
      <c r="AM337" s="163"/>
    </row>
    <row r="338" ht="13.5" customHeight="1">
      <c r="A338" s="130"/>
      <c r="B338" s="130"/>
      <c r="C338" s="130"/>
      <c r="D338" s="130"/>
      <c r="E338" s="163"/>
      <c r="F338" s="163"/>
      <c r="G338" s="163"/>
      <c r="H338" s="130"/>
      <c r="I338" s="130"/>
      <c r="J338" s="130"/>
      <c r="K338" s="130"/>
      <c r="L338" s="163"/>
      <c r="M338" s="130"/>
      <c r="N338" s="130"/>
      <c r="O338" s="130"/>
      <c r="P338" s="130"/>
      <c r="Q338" s="130"/>
      <c r="R338" s="130"/>
      <c r="S338" s="130"/>
      <c r="T338" s="130"/>
      <c r="U338" s="130"/>
      <c r="V338" s="130"/>
      <c r="W338" s="130"/>
      <c r="X338" s="163"/>
      <c r="Y338" s="163"/>
      <c r="Z338" s="163"/>
      <c r="AA338" s="163"/>
      <c r="AB338" s="163"/>
      <c r="AC338" s="163"/>
      <c r="AD338" s="163"/>
      <c r="AE338" s="163"/>
      <c r="AF338" s="163"/>
      <c r="AG338" s="163"/>
      <c r="AH338" s="163"/>
      <c r="AI338" s="163"/>
      <c r="AJ338" s="163"/>
      <c r="AK338" s="163"/>
      <c r="AL338" s="163"/>
      <c r="AM338" s="163"/>
    </row>
    <row r="339" ht="13.5" customHeight="1">
      <c r="A339" s="130"/>
      <c r="B339" s="130"/>
      <c r="C339" s="130"/>
      <c r="D339" s="130"/>
      <c r="E339" s="163"/>
      <c r="F339" s="163"/>
      <c r="G339" s="163"/>
      <c r="H339" s="130"/>
      <c r="I339" s="130"/>
      <c r="J339" s="130"/>
      <c r="K339" s="130"/>
      <c r="L339" s="163"/>
      <c r="M339" s="130"/>
      <c r="N339" s="130"/>
      <c r="O339" s="130"/>
      <c r="P339" s="130"/>
      <c r="Q339" s="130"/>
      <c r="R339" s="130"/>
      <c r="S339" s="130"/>
      <c r="T339" s="130"/>
      <c r="U339" s="130"/>
      <c r="V339" s="130"/>
      <c r="W339" s="130"/>
      <c r="X339" s="163"/>
      <c r="Y339" s="163"/>
      <c r="Z339" s="163"/>
      <c r="AA339" s="163"/>
      <c r="AB339" s="163"/>
      <c r="AC339" s="163"/>
      <c r="AD339" s="163"/>
      <c r="AE339" s="163"/>
      <c r="AF339" s="163"/>
      <c r="AG339" s="163"/>
      <c r="AH339" s="163"/>
      <c r="AI339" s="163"/>
      <c r="AJ339" s="163"/>
      <c r="AK339" s="163"/>
      <c r="AL339" s="163"/>
      <c r="AM339" s="163"/>
    </row>
    <row r="340" ht="13.5" customHeight="1">
      <c r="A340" s="130"/>
      <c r="B340" s="130"/>
      <c r="C340" s="130"/>
      <c r="D340" s="130"/>
      <c r="E340" s="163"/>
      <c r="F340" s="163"/>
      <c r="G340" s="163"/>
      <c r="H340" s="130"/>
      <c r="I340" s="130"/>
      <c r="J340" s="130"/>
      <c r="K340" s="130"/>
      <c r="L340" s="163"/>
      <c r="M340" s="130"/>
      <c r="N340" s="130"/>
      <c r="O340" s="130"/>
      <c r="P340" s="130"/>
      <c r="Q340" s="130"/>
      <c r="R340" s="130"/>
      <c r="S340" s="130"/>
      <c r="T340" s="130"/>
      <c r="U340" s="130"/>
      <c r="V340" s="130"/>
      <c r="W340" s="130"/>
      <c r="X340" s="163"/>
      <c r="Y340" s="163"/>
      <c r="Z340" s="163"/>
      <c r="AA340" s="163"/>
      <c r="AB340" s="163"/>
      <c r="AC340" s="163"/>
      <c r="AD340" s="163"/>
      <c r="AE340" s="163"/>
      <c r="AF340" s="163"/>
      <c r="AG340" s="163"/>
      <c r="AH340" s="163"/>
      <c r="AI340" s="163"/>
      <c r="AJ340" s="163"/>
      <c r="AK340" s="163"/>
      <c r="AL340" s="163"/>
      <c r="AM340" s="163"/>
    </row>
    <row r="341" ht="13.5" customHeight="1">
      <c r="A341" s="130"/>
      <c r="B341" s="130"/>
      <c r="C341" s="130"/>
      <c r="D341" s="130"/>
      <c r="E341" s="163"/>
      <c r="F341" s="163"/>
      <c r="G341" s="163"/>
      <c r="H341" s="130"/>
      <c r="I341" s="130"/>
      <c r="J341" s="130"/>
      <c r="K341" s="130"/>
      <c r="L341" s="163"/>
      <c r="M341" s="130"/>
      <c r="N341" s="130"/>
      <c r="O341" s="130"/>
      <c r="P341" s="130"/>
      <c r="Q341" s="130"/>
      <c r="R341" s="130"/>
      <c r="S341" s="130"/>
      <c r="T341" s="130"/>
      <c r="U341" s="130"/>
      <c r="V341" s="130"/>
      <c r="W341" s="130"/>
      <c r="X341" s="163"/>
      <c r="Y341" s="163"/>
      <c r="Z341" s="163"/>
      <c r="AA341" s="163"/>
      <c r="AB341" s="163"/>
      <c r="AC341" s="163"/>
      <c r="AD341" s="163"/>
      <c r="AE341" s="163"/>
      <c r="AF341" s="163"/>
      <c r="AG341" s="163"/>
      <c r="AH341" s="163"/>
      <c r="AI341" s="163"/>
      <c r="AJ341" s="163"/>
      <c r="AK341" s="163"/>
      <c r="AL341" s="163"/>
      <c r="AM341" s="163"/>
    </row>
    <row r="342" ht="13.5" customHeight="1">
      <c r="A342" s="130"/>
      <c r="B342" s="130"/>
      <c r="C342" s="130"/>
      <c r="D342" s="130"/>
      <c r="E342" s="163"/>
      <c r="F342" s="163"/>
      <c r="G342" s="163"/>
      <c r="H342" s="130"/>
      <c r="I342" s="130"/>
      <c r="J342" s="130"/>
      <c r="K342" s="130"/>
      <c r="L342" s="163"/>
      <c r="M342" s="130"/>
      <c r="N342" s="130"/>
      <c r="O342" s="130"/>
      <c r="P342" s="130"/>
      <c r="Q342" s="130"/>
      <c r="R342" s="130"/>
      <c r="S342" s="130"/>
      <c r="T342" s="130"/>
      <c r="U342" s="130"/>
      <c r="V342" s="130"/>
      <c r="W342" s="130"/>
      <c r="X342" s="163"/>
      <c r="Y342" s="163"/>
      <c r="Z342" s="163"/>
      <c r="AA342" s="163"/>
      <c r="AB342" s="163"/>
      <c r="AC342" s="163"/>
      <c r="AD342" s="163"/>
      <c r="AE342" s="163"/>
      <c r="AF342" s="163"/>
      <c r="AG342" s="163"/>
      <c r="AH342" s="163"/>
      <c r="AI342" s="163"/>
      <c r="AJ342" s="163"/>
      <c r="AK342" s="163"/>
      <c r="AL342" s="163"/>
      <c r="AM342" s="163"/>
    </row>
    <row r="343" ht="13.5" customHeight="1">
      <c r="A343" s="130"/>
      <c r="B343" s="130"/>
      <c r="C343" s="130"/>
      <c r="D343" s="130"/>
      <c r="E343" s="163"/>
      <c r="F343" s="163"/>
      <c r="G343" s="163"/>
      <c r="H343" s="130"/>
      <c r="I343" s="130"/>
      <c r="J343" s="130"/>
      <c r="K343" s="130"/>
      <c r="L343" s="163"/>
      <c r="M343" s="130"/>
      <c r="N343" s="130"/>
      <c r="O343" s="130"/>
      <c r="P343" s="130"/>
      <c r="Q343" s="130"/>
      <c r="R343" s="130"/>
      <c r="S343" s="130"/>
      <c r="T343" s="130"/>
      <c r="U343" s="130"/>
      <c r="V343" s="130"/>
      <c r="W343" s="130"/>
      <c r="X343" s="163"/>
      <c r="Y343" s="163"/>
      <c r="Z343" s="163"/>
      <c r="AA343" s="163"/>
      <c r="AB343" s="163"/>
      <c r="AC343" s="163"/>
      <c r="AD343" s="163"/>
      <c r="AE343" s="163"/>
      <c r="AF343" s="163"/>
      <c r="AG343" s="163"/>
      <c r="AH343" s="163"/>
      <c r="AI343" s="163"/>
      <c r="AJ343" s="163"/>
      <c r="AK343" s="163"/>
      <c r="AL343" s="163"/>
      <c r="AM343" s="163"/>
    </row>
    <row r="344" ht="13.5" customHeight="1">
      <c r="A344" s="130"/>
      <c r="B344" s="130"/>
      <c r="C344" s="130"/>
      <c r="D344" s="130"/>
      <c r="E344" s="163"/>
      <c r="F344" s="163"/>
      <c r="G344" s="163"/>
      <c r="H344" s="130"/>
      <c r="I344" s="130"/>
      <c r="J344" s="130"/>
      <c r="K344" s="130"/>
      <c r="L344" s="163"/>
      <c r="M344" s="130"/>
      <c r="N344" s="130"/>
      <c r="O344" s="130"/>
      <c r="P344" s="130"/>
      <c r="Q344" s="130"/>
      <c r="R344" s="130"/>
      <c r="S344" s="130"/>
      <c r="T344" s="130"/>
      <c r="U344" s="130"/>
      <c r="V344" s="130"/>
      <c r="W344" s="130"/>
      <c r="X344" s="163"/>
      <c r="Y344" s="163"/>
      <c r="Z344" s="163"/>
      <c r="AA344" s="163"/>
      <c r="AB344" s="163"/>
      <c r="AC344" s="163"/>
      <c r="AD344" s="163"/>
      <c r="AE344" s="163"/>
      <c r="AF344" s="163"/>
      <c r="AG344" s="163"/>
      <c r="AH344" s="163"/>
      <c r="AI344" s="163"/>
      <c r="AJ344" s="163"/>
      <c r="AK344" s="163"/>
      <c r="AL344" s="163"/>
      <c r="AM344" s="163"/>
    </row>
    <row r="345" ht="13.5" customHeight="1">
      <c r="A345" s="130"/>
      <c r="B345" s="130"/>
      <c r="C345" s="130"/>
      <c r="D345" s="130"/>
      <c r="E345" s="163"/>
      <c r="F345" s="163"/>
      <c r="G345" s="163"/>
      <c r="H345" s="130"/>
      <c r="I345" s="130"/>
      <c r="J345" s="130"/>
      <c r="K345" s="130"/>
      <c r="L345" s="163"/>
      <c r="M345" s="130"/>
      <c r="N345" s="130"/>
      <c r="O345" s="130"/>
      <c r="P345" s="130"/>
      <c r="Q345" s="130"/>
      <c r="R345" s="130"/>
      <c r="S345" s="130"/>
      <c r="T345" s="130"/>
      <c r="U345" s="130"/>
      <c r="V345" s="130"/>
      <c r="W345" s="130"/>
      <c r="X345" s="163"/>
      <c r="Y345" s="163"/>
      <c r="Z345" s="163"/>
      <c r="AA345" s="163"/>
      <c r="AB345" s="163"/>
      <c r="AC345" s="163"/>
      <c r="AD345" s="163"/>
      <c r="AE345" s="163"/>
      <c r="AF345" s="163"/>
      <c r="AG345" s="163"/>
      <c r="AH345" s="163"/>
      <c r="AI345" s="163"/>
      <c r="AJ345" s="163"/>
      <c r="AK345" s="163"/>
      <c r="AL345" s="163"/>
      <c r="AM345" s="163"/>
    </row>
    <row r="346" ht="13.5" customHeight="1">
      <c r="A346" s="130"/>
      <c r="B346" s="130"/>
      <c r="C346" s="130"/>
      <c r="D346" s="130"/>
      <c r="E346" s="163"/>
      <c r="F346" s="163"/>
      <c r="G346" s="163"/>
      <c r="H346" s="130"/>
      <c r="I346" s="130"/>
      <c r="J346" s="130"/>
      <c r="K346" s="130"/>
      <c r="L346" s="163"/>
      <c r="M346" s="130"/>
      <c r="N346" s="130"/>
      <c r="O346" s="130"/>
      <c r="P346" s="130"/>
      <c r="Q346" s="130"/>
      <c r="R346" s="130"/>
      <c r="S346" s="130"/>
      <c r="T346" s="130"/>
      <c r="U346" s="130"/>
      <c r="V346" s="130"/>
      <c r="W346" s="130"/>
      <c r="X346" s="163"/>
      <c r="Y346" s="163"/>
      <c r="Z346" s="163"/>
      <c r="AA346" s="163"/>
      <c r="AB346" s="163"/>
      <c r="AC346" s="163"/>
      <c r="AD346" s="163"/>
      <c r="AE346" s="163"/>
      <c r="AF346" s="163"/>
      <c r="AG346" s="163"/>
      <c r="AH346" s="163"/>
      <c r="AI346" s="163"/>
      <c r="AJ346" s="163"/>
      <c r="AK346" s="163"/>
      <c r="AL346" s="163"/>
      <c r="AM346" s="163"/>
    </row>
    <row r="347" ht="13.5" customHeight="1">
      <c r="A347" s="130"/>
      <c r="B347" s="130"/>
      <c r="C347" s="130"/>
      <c r="D347" s="130"/>
      <c r="E347" s="163"/>
      <c r="F347" s="163"/>
      <c r="G347" s="163"/>
      <c r="H347" s="130"/>
      <c r="I347" s="130"/>
      <c r="J347" s="130"/>
      <c r="K347" s="130"/>
      <c r="L347" s="163"/>
      <c r="M347" s="130"/>
      <c r="N347" s="130"/>
      <c r="O347" s="130"/>
      <c r="P347" s="130"/>
      <c r="Q347" s="130"/>
      <c r="R347" s="130"/>
      <c r="S347" s="130"/>
      <c r="T347" s="130"/>
      <c r="U347" s="130"/>
      <c r="V347" s="130"/>
      <c r="W347" s="130"/>
      <c r="X347" s="163"/>
      <c r="Y347" s="163"/>
      <c r="Z347" s="163"/>
      <c r="AA347" s="163"/>
      <c r="AB347" s="163"/>
      <c r="AC347" s="163"/>
      <c r="AD347" s="163"/>
      <c r="AE347" s="163"/>
      <c r="AF347" s="163"/>
      <c r="AG347" s="163"/>
      <c r="AH347" s="163"/>
      <c r="AI347" s="163"/>
      <c r="AJ347" s="163"/>
      <c r="AK347" s="163"/>
      <c r="AL347" s="163"/>
      <c r="AM347" s="163"/>
    </row>
    <row r="348" ht="13.5" customHeight="1">
      <c r="A348" s="130"/>
      <c r="B348" s="130"/>
      <c r="C348" s="130"/>
      <c r="D348" s="130"/>
      <c r="E348" s="163"/>
      <c r="F348" s="163"/>
      <c r="G348" s="163"/>
      <c r="H348" s="130"/>
      <c r="I348" s="130"/>
      <c r="J348" s="130"/>
      <c r="K348" s="130"/>
      <c r="L348" s="163"/>
      <c r="M348" s="130"/>
      <c r="N348" s="130"/>
      <c r="O348" s="130"/>
      <c r="P348" s="130"/>
      <c r="Q348" s="130"/>
      <c r="R348" s="130"/>
      <c r="S348" s="130"/>
      <c r="T348" s="130"/>
      <c r="U348" s="130"/>
      <c r="V348" s="130"/>
      <c r="W348" s="130"/>
      <c r="X348" s="163"/>
      <c r="Y348" s="163"/>
      <c r="Z348" s="163"/>
      <c r="AA348" s="163"/>
      <c r="AB348" s="163"/>
      <c r="AC348" s="163"/>
      <c r="AD348" s="163"/>
      <c r="AE348" s="163"/>
      <c r="AF348" s="163"/>
      <c r="AG348" s="163"/>
      <c r="AH348" s="163"/>
      <c r="AI348" s="163"/>
      <c r="AJ348" s="163"/>
      <c r="AK348" s="163"/>
      <c r="AL348" s="163"/>
      <c r="AM348" s="163"/>
    </row>
    <row r="349" ht="13.5" customHeight="1">
      <c r="A349" s="130"/>
      <c r="B349" s="130"/>
      <c r="C349" s="130"/>
      <c r="D349" s="130"/>
      <c r="E349" s="163"/>
      <c r="F349" s="163"/>
      <c r="G349" s="163"/>
      <c r="H349" s="130"/>
      <c r="I349" s="130"/>
      <c r="J349" s="130"/>
      <c r="K349" s="130"/>
      <c r="L349" s="163"/>
      <c r="M349" s="130"/>
      <c r="N349" s="130"/>
      <c r="O349" s="130"/>
      <c r="P349" s="130"/>
      <c r="Q349" s="130"/>
      <c r="R349" s="130"/>
      <c r="S349" s="130"/>
      <c r="T349" s="130"/>
      <c r="U349" s="130"/>
      <c r="V349" s="130"/>
      <c r="W349" s="130"/>
      <c r="X349" s="163"/>
      <c r="Y349" s="163"/>
      <c r="Z349" s="163"/>
      <c r="AA349" s="163"/>
      <c r="AB349" s="163"/>
      <c r="AC349" s="163"/>
      <c r="AD349" s="163"/>
      <c r="AE349" s="163"/>
      <c r="AF349" s="163"/>
      <c r="AG349" s="163"/>
      <c r="AH349" s="163"/>
      <c r="AI349" s="163"/>
      <c r="AJ349" s="163"/>
      <c r="AK349" s="163"/>
      <c r="AL349" s="163"/>
      <c r="AM349" s="163"/>
    </row>
    <row r="350" ht="13.5" customHeight="1">
      <c r="A350" s="130"/>
      <c r="B350" s="130"/>
      <c r="C350" s="130"/>
      <c r="D350" s="130"/>
      <c r="E350" s="163"/>
      <c r="F350" s="163"/>
      <c r="G350" s="163"/>
      <c r="H350" s="130"/>
      <c r="I350" s="130"/>
      <c r="J350" s="130"/>
      <c r="K350" s="130"/>
      <c r="L350" s="163"/>
      <c r="M350" s="130"/>
      <c r="N350" s="130"/>
      <c r="O350" s="130"/>
      <c r="P350" s="130"/>
      <c r="Q350" s="130"/>
      <c r="R350" s="130"/>
      <c r="S350" s="130"/>
      <c r="T350" s="130"/>
      <c r="U350" s="130"/>
      <c r="V350" s="130"/>
      <c r="W350" s="130"/>
      <c r="X350" s="163"/>
      <c r="Y350" s="163"/>
      <c r="Z350" s="163"/>
      <c r="AA350" s="163"/>
      <c r="AB350" s="163"/>
      <c r="AC350" s="163"/>
      <c r="AD350" s="163"/>
      <c r="AE350" s="163"/>
      <c r="AF350" s="163"/>
      <c r="AG350" s="163"/>
      <c r="AH350" s="163"/>
      <c r="AI350" s="163"/>
      <c r="AJ350" s="163"/>
      <c r="AK350" s="163"/>
      <c r="AL350" s="163"/>
      <c r="AM350" s="163"/>
    </row>
    <row r="351" ht="13.5" customHeight="1">
      <c r="A351" s="130"/>
      <c r="B351" s="130"/>
      <c r="C351" s="130"/>
      <c r="D351" s="130"/>
      <c r="E351" s="163"/>
      <c r="F351" s="163"/>
      <c r="G351" s="163"/>
      <c r="H351" s="130"/>
      <c r="I351" s="130"/>
      <c r="J351" s="130"/>
      <c r="K351" s="130"/>
      <c r="L351" s="163"/>
      <c r="M351" s="130"/>
      <c r="N351" s="130"/>
      <c r="O351" s="130"/>
      <c r="P351" s="130"/>
      <c r="Q351" s="130"/>
      <c r="R351" s="130"/>
      <c r="S351" s="130"/>
      <c r="T351" s="130"/>
      <c r="U351" s="130"/>
      <c r="V351" s="130"/>
      <c r="W351" s="130"/>
      <c r="X351" s="163"/>
      <c r="Y351" s="163"/>
      <c r="Z351" s="163"/>
      <c r="AA351" s="163"/>
      <c r="AB351" s="163"/>
      <c r="AC351" s="163"/>
      <c r="AD351" s="163"/>
      <c r="AE351" s="163"/>
      <c r="AF351" s="163"/>
      <c r="AG351" s="163"/>
      <c r="AH351" s="163"/>
      <c r="AI351" s="163"/>
      <c r="AJ351" s="163"/>
      <c r="AK351" s="163"/>
      <c r="AL351" s="163"/>
      <c r="AM351" s="163"/>
    </row>
    <row r="352" ht="13.5" customHeight="1">
      <c r="A352" s="130"/>
      <c r="B352" s="130"/>
      <c r="C352" s="130"/>
      <c r="D352" s="130"/>
      <c r="E352" s="163"/>
      <c r="F352" s="163"/>
      <c r="G352" s="163"/>
      <c r="H352" s="130"/>
      <c r="I352" s="130"/>
      <c r="J352" s="130"/>
      <c r="K352" s="130"/>
      <c r="L352" s="163"/>
      <c r="M352" s="130"/>
      <c r="N352" s="130"/>
      <c r="O352" s="130"/>
      <c r="P352" s="130"/>
      <c r="Q352" s="130"/>
      <c r="R352" s="130"/>
      <c r="S352" s="130"/>
      <c r="T352" s="130"/>
      <c r="U352" s="130"/>
      <c r="V352" s="130"/>
      <c r="W352" s="130"/>
      <c r="X352" s="163"/>
      <c r="Y352" s="163"/>
      <c r="Z352" s="163"/>
      <c r="AA352" s="163"/>
      <c r="AB352" s="163"/>
      <c r="AC352" s="163"/>
      <c r="AD352" s="163"/>
      <c r="AE352" s="163"/>
      <c r="AF352" s="163"/>
      <c r="AG352" s="163"/>
      <c r="AH352" s="163"/>
      <c r="AI352" s="163"/>
      <c r="AJ352" s="163"/>
      <c r="AK352" s="163"/>
      <c r="AL352" s="163"/>
      <c r="AM352" s="163"/>
    </row>
    <row r="353" ht="13.5" customHeight="1">
      <c r="A353" s="130"/>
      <c r="B353" s="130"/>
      <c r="C353" s="130"/>
      <c r="D353" s="130"/>
      <c r="E353" s="163"/>
      <c r="F353" s="163"/>
      <c r="G353" s="163"/>
      <c r="H353" s="130"/>
      <c r="I353" s="130"/>
      <c r="J353" s="130"/>
      <c r="K353" s="130"/>
      <c r="L353" s="163"/>
      <c r="M353" s="130"/>
      <c r="N353" s="130"/>
      <c r="O353" s="130"/>
      <c r="P353" s="130"/>
      <c r="Q353" s="130"/>
      <c r="R353" s="130"/>
      <c r="S353" s="130"/>
      <c r="T353" s="130"/>
      <c r="U353" s="130"/>
      <c r="V353" s="130"/>
      <c r="W353" s="130"/>
      <c r="X353" s="163"/>
      <c r="Y353" s="163"/>
      <c r="Z353" s="163"/>
      <c r="AA353" s="163"/>
      <c r="AB353" s="163"/>
      <c r="AC353" s="163"/>
      <c r="AD353" s="163"/>
      <c r="AE353" s="163"/>
      <c r="AF353" s="163"/>
      <c r="AG353" s="163"/>
      <c r="AH353" s="163"/>
      <c r="AI353" s="163"/>
      <c r="AJ353" s="163"/>
      <c r="AK353" s="163"/>
      <c r="AL353" s="163"/>
      <c r="AM353" s="163"/>
    </row>
    <row r="354" ht="13.5" customHeight="1">
      <c r="A354" s="130"/>
      <c r="B354" s="130"/>
      <c r="C354" s="130"/>
      <c r="D354" s="130"/>
      <c r="E354" s="163"/>
      <c r="F354" s="163"/>
      <c r="G354" s="163"/>
      <c r="H354" s="130"/>
      <c r="I354" s="130"/>
      <c r="J354" s="130"/>
      <c r="K354" s="130"/>
      <c r="L354" s="163"/>
      <c r="M354" s="130"/>
      <c r="N354" s="130"/>
      <c r="O354" s="130"/>
      <c r="P354" s="130"/>
      <c r="Q354" s="130"/>
      <c r="R354" s="130"/>
      <c r="S354" s="130"/>
      <c r="T354" s="130"/>
      <c r="U354" s="130"/>
      <c r="V354" s="130"/>
      <c r="W354" s="130"/>
      <c r="X354" s="163"/>
      <c r="Y354" s="163"/>
      <c r="Z354" s="163"/>
      <c r="AA354" s="163"/>
      <c r="AB354" s="163"/>
      <c r="AC354" s="163"/>
      <c r="AD354" s="163"/>
      <c r="AE354" s="163"/>
      <c r="AF354" s="163"/>
      <c r="AG354" s="163"/>
      <c r="AH354" s="163"/>
      <c r="AI354" s="163"/>
      <c r="AJ354" s="163"/>
      <c r="AK354" s="163"/>
      <c r="AL354" s="163"/>
      <c r="AM354" s="163"/>
    </row>
    <row r="355" ht="13.5" customHeight="1">
      <c r="A355" s="130"/>
      <c r="B355" s="130"/>
      <c r="C355" s="130"/>
      <c r="D355" s="130"/>
      <c r="E355" s="163"/>
      <c r="F355" s="163"/>
      <c r="G355" s="163"/>
      <c r="H355" s="130"/>
      <c r="I355" s="130"/>
      <c r="J355" s="130"/>
      <c r="K355" s="130"/>
      <c r="L355" s="163"/>
      <c r="M355" s="130"/>
      <c r="N355" s="130"/>
      <c r="O355" s="130"/>
      <c r="P355" s="130"/>
      <c r="Q355" s="130"/>
      <c r="R355" s="130"/>
      <c r="S355" s="130"/>
      <c r="T355" s="130"/>
      <c r="U355" s="130"/>
      <c r="V355" s="130"/>
      <c r="W355" s="130"/>
      <c r="X355" s="163"/>
      <c r="Y355" s="163"/>
      <c r="Z355" s="163"/>
      <c r="AA355" s="163"/>
      <c r="AB355" s="163"/>
      <c r="AC355" s="163"/>
      <c r="AD355" s="163"/>
      <c r="AE355" s="163"/>
      <c r="AF355" s="163"/>
      <c r="AG355" s="163"/>
      <c r="AH355" s="163"/>
      <c r="AI355" s="163"/>
      <c r="AJ355" s="163"/>
      <c r="AK355" s="163"/>
      <c r="AL355" s="163"/>
      <c r="AM355" s="163"/>
    </row>
    <row r="356" ht="13.5" customHeight="1">
      <c r="A356" s="130"/>
      <c r="B356" s="130"/>
      <c r="C356" s="130"/>
      <c r="D356" s="130"/>
      <c r="E356" s="163"/>
      <c r="F356" s="163"/>
      <c r="G356" s="163"/>
      <c r="H356" s="130"/>
      <c r="I356" s="130"/>
      <c r="J356" s="130"/>
      <c r="K356" s="130"/>
      <c r="L356" s="163"/>
      <c r="M356" s="130"/>
      <c r="N356" s="130"/>
      <c r="O356" s="130"/>
      <c r="P356" s="130"/>
      <c r="Q356" s="130"/>
      <c r="R356" s="130"/>
      <c r="S356" s="130"/>
      <c r="T356" s="130"/>
      <c r="U356" s="130"/>
      <c r="V356" s="130"/>
      <c r="W356" s="130"/>
      <c r="X356" s="163"/>
      <c r="Y356" s="163"/>
      <c r="Z356" s="163"/>
      <c r="AA356" s="163"/>
      <c r="AB356" s="163"/>
      <c r="AC356" s="163"/>
      <c r="AD356" s="163"/>
      <c r="AE356" s="163"/>
      <c r="AF356" s="163"/>
      <c r="AG356" s="163"/>
      <c r="AH356" s="163"/>
      <c r="AI356" s="163"/>
      <c r="AJ356" s="163"/>
      <c r="AK356" s="163"/>
      <c r="AL356" s="163"/>
      <c r="AM356" s="163"/>
    </row>
    <row r="357" ht="13.5" customHeight="1">
      <c r="A357" s="130"/>
      <c r="B357" s="130"/>
      <c r="C357" s="130"/>
      <c r="D357" s="130"/>
      <c r="E357" s="163"/>
      <c r="F357" s="163"/>
      <c r="G357" s="163"/>
      <c r="H357" s="130"/>
      <c r="I357" s="130"/>
      <c r="J357" s="130"/>
      <c r="K357" s="130"/>
      <c r="L357" s="163"/>
      <c r="M357" s="130"/>
      <c r="N357" s="130"/>
      <c r="O357" s="130"/>
      <c r="P357" s="130"/>
      <c r="Q357" s="130"/>
      <c r="R357" s="130"/>
      <c r="S357" s="130"/>
      <c r="T357" s="130"/>
      <c r="U357" s="130"/>
      <c r="V357" s="130"/>
      <c r="W357" s="130"/>
      <c r="X357" s="163"/>
      <c r="Y357" s="163"/>
      <c r="Z357" s="163"/>
      <c r="AA357" s="163"/>
      <c r="AB357" s="163"/>
      <c r="AC357" s="163"/>
      <c r="AD357" s="163"/>
      <c r="AE357" s="163"/>
      <c r="AF357" s="163"/>
      <c r="AG357" s="163"/>
      <c r="AH357" s="163"/>
      <c r="AI357" s="163"/>
      <c r="AJ357" s="163"/>
      <c r="AK357" s="163"/>
      <c r="AL357" s="163"/>
      <c r="AM357" s="163"/>
    </row>
    <row r="358" ht="13.5" customHeight="1">
      <c r="A358" s="130"/>
      <c r="B358" s="130"/>
      <c r="C358" s="130"/>
      <c r="D358" s="130"/>
      <c r="E358" s="163"/>
      <c r="F358" s="163"/>
      <c r="G358" s="163"/>
      <c r="H358" s="130"/>
      <c r="I358" s="130"/>
      <c r="J358" s="130"/>
      <c r="K358" s="130"/>
      <c r="L358" s="163"/>
      <c r="M358" s="130"/>
      <c r="N358" s="130"/>
      <c r="O358" s="130"/>
      <c r="P358" s="130"/>
      <c r="Q358" s="130"/>
      <c r="R358" s="130"/>
      <c r="S358" s="130"/>
      <c r="T358" s="130"/>
      <c r="U358" s="130"/>
      <c r="V358" s="130"/>
      <c r="W358" s="130"/>
      <c r="X358" s="163"/>
      <c r="Y358" s="163"/>
      <c r="Z358" s="163"/>
      <c r="AA358" s="163"/>
      <c r="AB358" s="163"/>
      <c r="AC358" s="163"/>
      <c r="AD358" s="163"/>
      <c r="AE358" s="163"/>
      <c r="AF358" s="163"/>
      <c r="AG358" s="163"/>
      <c r="AH358" s="163"/>
      <c r="AI358" s="163"/>
      <c r="AJ358" s="163"/>
      <c r="AK358" s="163"/>
      <c r="AL358" s="163"/>
      <c r="AM358" s="163"/>
    </row>
    <row r="359" ht="13.5" customHeight="1">
      <c r="A359" s="130"/>
      <c r="B359" s="130"/>
      <c r="C359" s="130"/>
      <c r="D359" s="130"/>
      <c r="E359" s="163"/>
      <c r="F359" s="163"/>
      <c r="G359" s="163"/>
      <c r="H359" s="130"/>
      <c r="I359" s="130"/>
      <c r="J359" s="130"/>
      <c r="K359" s="130"/>
      <c r="L359" s="163"/>
      <c r="M359" s="130"/>
      <c r="N359" s="130"/>
      <c r="O359" s="130"/>
      <c r="P359" s="130"/>
      <c r="Q359" s="130"/>
      <c r="R359" s="130"/>
      <c r="S359" s="130"/>
      <c r="T359" s="130"/>
      <c r="U359" s="130"/>
      <c r="V359" s="130"/>
      <c r="W359" s="130"/>
      <c r="X359" s="163"/>
      <c r="Y359" s="163"/>
      <c r="Z359" s="163"/>
      <c r="AA359" s="163"/>
      <c r="AB359" s="163"/>
      <c r="AC359" s="163"/>
      <c r="AD359" s="163"/>
      <c r="AE359" s="163"/>
      <c r="AF359" s="163"/>
      <c r="AG359" s="163"/>
      <c r="AH359" s="163"/>
      <c r="AI359" s="163"/>
      <c r="AJ359" s="163"/>
      <c r="AK359" s="163"/>
      <c r="AL359" s="163"/>
      <c r="AM359" s="163"/>
    </row>
    <row r="360" ht="13.5" customHeight="1">
      <c r="A360" s="130"/>
      <c r="B360" s="130"/>
      <c r="C360" s="130"/>
      <c r="D360" s="130"/>
      <c r="E360" s="163"/>
      <c r="F360" s="163"/>
      <c r="G360" s="163"/>
      <c r="H360" s="130"/>
      <c r="I360" s="130"/>
      <c r="J360" s="130"/>
      <c r="K360" s="130"/>
      <c r="L360" s="163"/>
      <c r="M360" s="130"/>
      <c r="N360" s="130"/>
      <c r="O360" s="130"/>
      <c r="P360" s="130"/>
      <c r="Q360" s="130"/>
      <c r="R360" s="130"/>
      <c r="S360" s="130"/>
      <c r="T360" s="130"/>
      <c r="U360" s="130"/>
      <c r="V360" s="130"/>
      <c r="W360" s="130"/>
      <c r="X360" s="163"/>
      <c r="Y360" s="163"/>
      <c r="Z360" s="163"/>
      <c r="AA360" s="163"/>
      <c r="AB360" s="163"/>
      <c r="AC360" s="163"/>
      <c r="AD360" s="163"/>
      <c r="AE360" s="163"/>
      <c r="AF360" s="163"/>
      <c r="AG360" s="163"/>
      <c r="AH360" s="163"/>
      <c r="AI360" s="163"/>
      <c r="AJ360" s="163"/>
      <c r="AK360" s="163"/>
      <c r="AL360" s="163"/>
      <c r="AM360" s="163"/>
    </row>
    <row r="361" ht="13.5" customHeight="1">
      <c r="A361" s="130"/>
      <c r="B361" s="130"/>
      <c r="C361" s="130"/>
      <c r="D361" s="130"/>
      <c r="E361" s="163"/>
      <c r="F361" s="163"/>
      <c r="G361" s="163"/>
      <c r="H361" s="130"/>
      <c r="I361" s="130"/>
      <c r="J361" s="130"/>
      <c r="K361" s="130"/>
      <c r="L361" s="163"/>
      <c r="M361" s="130"/>
      <c r="N361" s="130"/>
      <c r="O361" s="130"/>
      <c r="P361" s="130"/>
      <c r="Q361" s="130"/>
      <c r="R361" s="130"/>
      <c r="S361" s="130"/>
      <c r="T361" s="130"/>
      <c r="U361" s="130"/>
      <c r="V361" s="130"/>
      <c r="W361" s="130"/>
      <c r="X361" s="163"/>
      <c r="Y361" s="163"/>
      <c r="Z361" s="163"/>
      <c r="AA361" s="163"/>
      <c r="AB361" s="163"/>
      <c r="AC361" s="163"/>
      <c r="AD361" s="163"/>
      <c r="AE361" s="163"/>
      <c r="AF361" s="163"/>
      <c r="AG361" s="163"/>
      <c r="AH361" s="163"/>
      <c r="AI361" s="163"/>
      <c r="AJ361" s="163"/>
      <c r="AK361" s="163"/>
      <c r="AL361" s="163"/>
      <c r="AM361" s="163"/>
    </row>
    <row r="362" ht="13.5" customHeight="1">
      <c r="A362" s="130"/>
      <c r="B362" s="130"/>
      <c r="C362" s="130"/>
      <c r="D362" s="130"/>
      <c r="E362" s="163"/>
      <c r="F362" s="163"/>
      <c r="G362" s="163"/>
      <c r="H362" s="130"/>
      <c r="I362" s="130"/>
      <c r="J362" s="130"/>
      <c r="K362" s="130"/>
      <c r="L362" s="163"/>
      <c r="M362" s="130"/>
      <c r="N362" s="130"/>
      <c r="O362" s="130"/>
      <c r="P362" s="130"/>
      <c r="Q362" s="130"/>
      <c r="R362" s="130"/>
      <c r="S362" s="130"/>
      <c r="T362" s="130"/>
      <c r="U362" s="130"/>
      <c r="V362" s="130"/>
      <c r="W362" s="130"/>
      <c r="X362" s="163"/>
      <c r="Y362" s="163"/>
      <c r="Z362" s="163"/>
      <c r="AA362" s="163"/>
      <c r="AB362" s="163"/>
      <c r="AC362" s="163"/>
      <c r="AD362" s="163"/>
      <c r="AE362" s="163"/>
      <c r="AF362" s="163"/>
      <c r="AG362" s="163"/>
      <c r="AH362" s="163"/>
      <c r="AI362" s="163"/>
      <c r="AJ362" s="163"/>
      <c r="AK362" s="163"/>
      <c r="AL362" s="163"/>
      <c r="AM362" s="163"/>
    </row>
    <row r="363" ht="13.5" customHeight="1">
      <c r="A363" s="130"/>
      <c r="B363" s="130"/>
      <c r="C363" s="130"/>
      <c r="D363" s="130"/>
      <c r="E363" s="163"/>
      <c r="F363" s="163"/>
      <c r="G363" s="163"/>
      <c r="H363" s="130"/>
      <c r="I363" s="130"/>
      <c r="J363" s="130"/>
      <c r="K363" s="130"/>
      <c r="L363" s="163"/>
      <c r="M363" s="130"/>
      <c r="N363" s="130"/>
      <c r="O363" s="130"/>
      <c r="P363" s="130"/>
      <c r="Q363" s="130"/>
      <c r="R363" s="130"/>
      <c r="S363" s="130"/>
      <c r="T363" s="130"/>
      <c r="U363" s="130"/>
      <c r="V363" s="130"/>
      <c r="W363" s="130"/>
      <c r="X363" s="163"/>
      <c r="Y363" s="163"/>
      <c r="Z363" s="163"/>
      <c r="AA363" s="163"/>
      <c r="AB363" s="163"/>
      <c r="AC363" s="163"/>
      <c r="AD363" s="163"/>
      <c r="AE363" s="163"/>
      <c r="AF363" s="163"/>
      <c r="AG363" s="163"/>
      <c r="AH363" s="163"/>
      <c r="AI363" s="163"/>
      <c r="AJ363" s="163"/>
      <c r="AK363" s="163"/>
      <c r="AL363" s="163"/>
      <c r="AM363" s="163"/>
    </row>
    <row r="364" ht="13.5" customHeight="1">
      <c r="A364" s="130"/>
      <c r="B364" s="130"/>
      <c r="C364" s="130"/>
      <c r="D364" s="130"/>
      <c r="E364" s="163"/>
      <c r="F364" s="163"/>
      <c r="G364" s="163"/>
      <c r="H364" s="130"/>
      <c r="I364" s="130"/>
      <c r="J364" s="130"/>
      <c r="K364" s="130"/>
      <c r="L364" s="163"/>
      <c r="M364" s="130"/>
      <c r="N364" s="130"/>
      <c r="O364" s="130"/>
      <c r="P364" s="130"/>
      <c r="Q364" s="130"/>
      <c r="R364" s="130"/>
      <c r="S364" s="130"/>
      <c r="T364" s="130"/>
      <c r="U364" s="130"/>
      <c r="V364" s="130"/>
      <c r="W364" s="130"/>
      <c r="X364" s="163"/>
      <c r="Y364" s="163"/>
      <c r="Z364" s="163"/>
      <c r="AA364" s="163"/>
      <c r="AB364" s="163"/>
      <c r="AC364" s="163"/>
      <c r="AD364" s="163"/>
      <c r="AE364" s="163"/>
      <c r="AF364" s="163"/>
      <c r="AG364" s="163"/>
      <c r="AH364" s="163"/>
      <c r="AI364" s="163"/>
      <c r="AJ364" s="163"/>
      <c r="AK364" s="163"/>
      <c r="AL364" s="163"/>
      <c r="AM364" s="163"/>
    </row>
    <row r="365" ht="13.5" customHeight="1">
      <c r="A365" s="130"/>
      <c r="B365" s="130"/>
      <c r="C365" s="130"/>
      <c r="D365" s="130"/>
      <c r="E365" s="163"/>
      <c r="F365" s="163"/>
      <c r="G365" s="163"/>
      <c r="H365" s="130"/>
      <c r="I365" s="130"/>
      <c r="J365" s="130"/>
      <c r="K365" s="130"/>
      <c r="L365" s="163"/>
      <c r="M365" s="130"/>
      <c r="N365" s="130"/>
      <c r="O365" s="130"/>
      <c r="P365" s="130"/>
      <c r="Q365" s="130"/>
      <c r="R365" s="130"/>
      <c r="S365" s="130"/>
      <c r="T365" s="130"/>
      <c r="U365" s="130"/>
      <c r="V365" s="130"/>
      <c r="W365" s="130"/>
      <c r="X365" s="163"/>
      <c r="Y365" s="163"/>
      <c r="Z365" s="163"/>
      <c r="AA365" s="163"/>
      <c r="AB365" s="163"/>
      <c r="AC365" s="163"/>
      <c r="AD365" s="163"/>
      <c r="AE365" s="163"/>
      <c r="AF365" s="163"/>
      <c r="AG365" s="163"/>
      <c r="AH365" s="163"/>
      <c r="AI365" s="163"/>
      <c r="AJ365" s="163"/>
      <c r="AK365" s="163"/>
      <c r="AL365" s="163"/>
      <c r="AM365" s="163"/>
    </row>
    <row r="366" ht="13.5" customHeight="1">
      <c r="A366" s="130"/>
      <c r="B366" s="130"/>
      <c r="C366" s="130"/>
      <c r="D366" s="130"/>
      <c r="E366" s="163"/>
      <c r="F366" s="163"/>
      <c r="G366" s="163"/>
      <c r="H366" s="130"/>
      <c r="I366" s="130"/>
      <c r="J366" s="130"/>
      <c r="K366" s="130"/>
      <c r="L366" s="163"/>
      <c r="M366" s="130"/>
      <c r="N366" s="130"/>
      <c r="O366" s="130"/>
      <c r="P366" s="130"/>
      <c r="Q366" s="130"/>
      <c r="R366" s="130"/>
      <c r="S366" s="130"/>
      <c r="T366" s="130"/>
      <c r="U366" s="130"/>
      <c r="V366" s="130"/>
      <c r="W366" s="130"/>
      <c r="X366" s="163"/>
      <c r="Y366" s="163"/>
      <c r="Z366" s="163"/>
      <c r="AA366" s="163"/>
      <c r="AB366" s="163"/>
      <c r="AC366" s="163"/>
      <c r="AD366" s="163"/>
      <c r="AE366" s="163"/>
      <c r="AF366" s="163"/>
      <c r="AG366" s="163"/>
      <c r="AH366" s="163"/>
      <c r="AI366" s="163"/>
      <c r="AJ366" s="163"/>
      <c r="AK366" s="163"/>
      <c r="AL366" s="163"/>
      <c r="AM366" s="163"/>
    </row>
    <row r="367" ht="13.5" customHeight="1">
      <c r="A367" s="130"/>
      <c r="B367" s="130"/>
      <c r="C367" s="130"/>
      <c r="D367" s="130"/>
      <c r="E367" s="163"/>
      <c r="F367" s="163"/>
      <c r="G367" s="163"/>
      <c r="H367" s="130"/>
      <c r="I367" s="130"/>
      <c r="J367" s="130"/>
      <c r="K367" s="130"/>
      <c r="L367" s="163"/>
      <c r="M367" s="130"/>
      <c r="N367" s="130"/>
      <c r="O367" s="130"/>
      <c r="P367" s="130"/>
      <c r="Q367" s="130"/>
      <c r="R367" s="130"/>
      <c r="S367" s="130"/>
      <c r="T367" s="130"/>
      <c r="U367" s="130"/>
      <c r="V367" s="130"/>
      <c r="W367" s="130"/>
      <c r="X367" s="163"/>
      <c r="Y367" s="163"/>
      <c r="Z367" s="163"/>
      <c r="AA367" s="163"/>
      <c r="AB367" s="163"/>
      <c r="AC367" s="163"/>
      <c r="AD367" s="163"/>
      <c r="AE367" s="163"/>
      <c r="AF367" s="163"/>
      <c r="AG367" s="163"/>
      <c r="AH367" s="163"/>
      <c r="AI367" s="163"/>
      <c r="AJ367" s="163"/>
      <c r="AK367" s="163"/>
      <c r="AL367" s="163"/>
      <c r="AM367" s="163"/>
    </row>
    <row r="368" ht="13.5" customHeight="1">
      <c r="A368" s="130"/>
      <c r="B368" s="130"/>
      <c r="C368" s="130"/>
      <c r="D368" s="130"/>
      <c r="E368" s="163"/>
      <c r="F368" s="163"/>
      <c r="G368" s="163"/>
      <c r="H368" s="130"/>
      <c r="I368" s="130"/>
      <c r="J368" s="130"/>
      <c r="K368" s="130"/>
      <c r="L368" s="163"/>
      <c r="M368" s="130"/>
      <c r="N368" s="130"/>
      <c r="O368" s="130"/>
      <c r="P368" s="130"/>
      <c r="Q368" s="130"/>
      <c r="R368" s="130"/>
      <c r="S368" s="130"/>
      <c r="T368" s="130"/>
      <c r="U368" s="130"/>
      <c r="V368" s="130"/>
      <c r="W368" s="130"/>
      <c r="X368" s="163"/>
      <c r="Y368" s="163"/>
      <c r="Z368" s="163"/>
      <c r="AA368" s="163"/>
      <c r="AB368" s="163"/>
      <c r="AC368" s="163"/>
      <c r="AD368" s="163"/>
      <c r="AE368" s="163"/>
      <c r="AF368" s="163"/>
      <c r="AG368" s="163"/>
      <c r="AH368" s="163"/>
      <c r="AI368" s="163"/>
      <c r="AJ368" s="163"/>
      <c r="AK368" s="163"/>
      <c r="AL368" s="163"/>
      <c r="AM368" s="163"/>
    </row>
    <row r="369" ht="13.5" customHeight="1">
      <c r="A369" s="130"/>
      <c r="B369" s="130"/>
      <c r="C369" s="130"/>
      <c r="D369" s="130"/>
      <c r="E369" s="163"/>
      <c r="F369" s="163"/>
      <c r="G369" s="163"/>
      <c r="H369" s="130"/>
      <c r="I369" s="130"/>
      <c r="J369" s="130"/>
      <c r="K369" s="130"/>
      <c r="L369" s="163"/>
      <c r="M369" s="130"/>
      <c r="N369" s="130"/>
      <c r="O369" s="130"/>
      <c r="P369" s="130"/>
      <c r="Q369" s="130"/>
      <c r="R369" s="130"/>
      <c r="S369" s="130"/>
      <c r="T369" s="130"/>
      <c r="U369" s="130"/>
      <c r="V369" s="130"/>
      <c r="W369" s="130"/>
      <c r="X369" s="163"/>
      <c r="Y369" s="163"/>
      <c r="Z369" s="163"/>
      <c r="AA369" s="163"/>
      <c r="AB369" s="163"/>
      <c r="AC369" s="163"/>
      <c r="AD369" s="163"/>
      <c r="AE369" s="163"/>
      <c r="AF369" s="163"/>
      <c r="AG369" s="163"/>
      <c r="AH369" s="163"/>
      <c r="AI369" s="163"/>
      <c r="AJ369" s="163"/>
      <c r="AK369" s="163"/>
      <c r="AL369" s="163"/>
      <c r="AM369" s="163"/>
    </row>
    <row r="370" ht="13.5" customHeight="1">
      <c r="A370" s="130"/>
      <c r="B370" s="130"/>
      <c r="C370" s="130"/>
      <c r="D370" s="130"/>
      <c r="E370" s="163"/>
      <c r="F370" s="163"/>
      <c r="G370" s="163"/>
      <c r="H370" s="130"/>
      <c r="I370" s="130"/>
      <c r="J370" s="130"/>
      <c r="K370" s="130"/>
      <c r="L370" s="163"/>
      <c r="M370" s="130"/>
      <c r="N370" s="130"/>
      <c r="O370" s="130"/>
      <c r="P370" s="130"/>
      <c r="Q370" s="130"/>
      <c r="R370" s="130"/>
      <c r="S370" s="130"/>
      <c r="T370" s="130"/>
      <c r="U370" s="130"/>
      <c r="V370" s="130"/>
      <c r="W370" s="130"/>
      <c r="X370" s="163"/>
      <c r="Y370" s="163"/>
      <c r="Z370" s="163"/>
      <c r="AA370" s="163"/>
      <c r="AB370" s="163"/>
      <c r="AC370" s="163"/>
      <c r="AD370" s="163"/>
      <c r="AE370" s="163"/>
      <c r="AF370" s="163"/>
      <c r="AG370" s="163"/>
      <c r="AH370" s="163"/>
      <c r="AI370" s="163"/>
      <c r="AJ370" s="163"/>
      <c r="AK370" s="163"/>
      <c r="AL370" s="163"/>
      <c r="AM370" s="163"/>
    </row>
    <row r="371" ht="13.5" customHeight="1">
      <c r="A371" s="130"/>
      <c r="B371" s="130"/>
      <c r="C371" s="130"/>
      <c r="D371" s="130"/>
      <c r="E371" s="163"/>
      <c r="F371" s="163"/>
      <c r="G371" s="163"/>
      <c r="H371" s="130"/>
      <c r="I371" s="130"/>
      <c r="J371" s="130"/>
      <c r="K371" s="130"/>
      <c r="L371" s="163"/>
      <c r="M371" s="130"/>
      <c r="N371" s="130"/>
      <c r="O371" s="130"/>
      <c r="P371" s="130"/>
      <c r="Q371" s="130"/>
      <c r="R371" s="130"/>
      <c r="S371" s="130"/>
      <c r="T371" s="130"/>
      <c r="U371" s="130"/>
      <c r="V371" s="130"/>
      <c r="W371" s="130"/>
      <c r="X371" s="163"/>
      <c r="Y371" s="163"/>
      <c r="Z371" s="163"/>
      <c r="AA371" s="163"/>
      <c r="AB371" s="163"/>
      <c r="AC371" s="163"/>
      <c r="AD371" s="163"/>
      <c r="AE371" s="163"/>
      <c r="AF371" s="163"/>
      <c r="AG371" s="163"/>
      <c r="AH371" s="163"/>
      <c r="AI371" s="163"/>
      <c r="AJ371" s="163"/>
      <c r="AK371" s="163"/>
      <c r="AL371" s="163"/>
      <c r="AM371" s="163"/>
    </row>
    <row r="372" ht="13.5" customHeight="1">
      <c r="A372" s="130"/>
      <c r="B372" s="130"/>
      <c r="C372" s="130"/>
      <c r="D372" s="130"/>
      <c r="E372" s="163"/>
      <c r="F372" s="163"/>
      <c r="G372" s="163"/>
      <c r="H372" s="130"/>
      <c r="I372" s="130"/>
      <c r="J372" s="130"/>
      <c r="K372" s="130"/>
      <c r="L372" s="163"/>
      <c r="M372" s="130"/>
      <c r="N372" s="130"/>
      <c r="O372" s="130"/>
      <c r="P372" s="130"/>
      <c r="Q372" s="130"/>
      <c r="R372" s="130"/>
      <c r="S372" s="130"/>
      <c r="T372" s="130"/>
      <c r="U372" s="130"/>
      <c r="V372" s="130"/>
      <c r="W372" s="130"/>
      <c r="X372" s="163"/>
      <c r="Y372" s="163"/>
      <c r="Z372" s="163"/>
      <c r="AA372" s="163"/>
      <c r="AB372" s="163"/>
      <c r="AC372" s="163"/>
      <c r="AD372" s="163"/>
      <c r="AE372" s="163"/>
      <c r="AF372" s="163"/>
      <c r="AG372" s="163"/>
      <c r="AH372" s="163"/>
      <c r="AI372" s="163"/>
      <c r="AJ372" s="163"/>
      <c r="AK372" s="163"/>
      <c r="AL372" s="163"/>
      <c r="AM372" s="163"/>
    </row>
    <row r="373" ht="13.5" customHeight="1">
      <c r="A373" s="130"/>
      <c r="B373" s="130"/>
      <c r="C373" s="130"/>
      <c r="D373" s="130"/>
      <c r="E373" s="163"/>
      <c r="F373" s="163"/>
      <c r="G373" s="163"/>
      <c r="H373" s="130"/>
      <c r="I373" s="130"/>
      <c r="J373" s="130"/>
      <c r="K373" s="130"/>
      <c r="L373" s="163"/>
      <c r="M373" s="130"/>
      <c r="N373" s="130"/>
      <c r="O373" s="130"/>
      <c r="P373" s="130"/>
      <c r="Q373" s="130"/>
      <c r="R373" s="130"/>
      <c r="S373" s="130"/>
      <c r="T373" s="130"/>
      <c r="U373" s="130"/>
      <c r="V373" s="130"/>
      <c r="W373" s="130"/>
      <c r="X373" s="163"/>
      <c r="Y373" s="163"/>
      <c r="Z373" s="163"/>
      <c r="AA373" s="163"/>
      <c r="AB373" s="163"/>
      <c r="AC373" s="163"/>
      <c r="AD373" s="163"/>
      <c r="AE373" s="163"/>
      <c r="AF373" s="163"/>
      <c r="AG373" s="163"/>
      <c r="AH373" s="163"/>
      <c r="AI373" s="163"/>
      <c r="AJ373" s="163"/>
      <c r="AK373" s="163"/>
      <c r="AL373" s="163"/>
      <c r="AM373" s="163"/>
    </row>
    <row r="374" ht="13.5" customHeight="1">
      <c r="A374" s="130"/>
      <c r="B374" s="130"/>
      <c r="C374" s="130"/>
      <c r="D374" s="130"/>
      <c r="E374" s="163"/>
      <c r="F374" s="163"/>
      <c r="G374" s="163"/>
      <c r="H374" s="130"/>
      <c r="I374" s="130"/>
      <c r="J374" s="130"/>
      <c r="K374" s="130"/>
      <c r="L374" s="163"/>
      <c r="M374" s="130"/>
      <c r="N374" s="130"/>
      <c r="O374" s="130"/>
      <c r="P374" s="130"/>
      <c r="Q374" s="130"/>
      <c r="R374" s="130"/>
      <c r="S374" s="130"/>
      <c r="T374" s="130"/>
      <c r="U374" s="130"/>
      <c r="V374" s="130"/>
      <c r="W374" s="130"/>
      <c r="X374" s="163"/>
      <c r="Y374" s="163"/>
      <c r="Z374" s="163"/>
      <c r="AA374" s="163"/>
      <c r="AB374" s="163"/>
      <c r="AC374" s="163"/>
      <c r="AD374" s="163"/>
      <c r="AE374" s="163"/>
      <c r="AF374" s="163"/>
      <c r="AG374" s="163"/>
      <c r="AH374" s="163"/>
      <c r="AI374" s="163"/>
      <c r="AJ374" s="163"/>
      <c r="AK374" s="163"/>
      <c r="AL374" s="163"/>
      <c r="AM374" s="163"/>
    </row>
    <row r="375" ht="13.5" customHeight="1">
      <c r="A375" s="130"/>
      <c r="B375" s="130"/>
      <c r="C375" s="130"/>
      <c r="D375" s="130"/>
      <c r="E375" s="163"/>
      <c r="F375" s="163"/>
      <c r="G375" s="163"/>
      <c r="H375" s="130"/>
      <c r="I375" s="130"/>
      <c r="J375" s="130"/>
      <c r="K375" s="130"/>
      <c r="L375" s="163"/>
      <c r="M375" s="130"/>
      <c r="N375" s="130"/>
      <c r="O375" s="130"/>
      <c r="P375" s="130"/>
      <c r="Q375" s="130"/>
      <c r="R375" s="130"/>
      <c r="S375" s="130"/>
      <c r="T375" s="130"/>
      <c r="U375" s="130"/>
      <c r="V375" s="130"/>
      <c r="W375" s="130"/>
      <c r="X375" s="163"/>
      <c r="Y375" s="163"/>
      <c r="Z375" s="163"/>
      <c r="AA375" s="163"/>
      <c r="AB375" s="163"/>
      <c r="AC375" s="163"/>
      <c r="AD375" s="163"/>
      <c r="AE375" s="163"/>
      <c r="AF375" s="163"/>
      <c r="AG375" s="163"/>
      <c r="AH375" s="163"/>
      <c r="AI375" s="163"/>
      <c r="AJ375" s="163"/>
      <c r="AK375" s="163"/>
      <c r="AL375" s="163"/>
      <c r="AM375" s="163"/>
    </row>
    <row r="376" ht="13.5" customHeight="1">
      <c r="A376" s="130"/>
      <c r="B376" s="130"/>
      <c r="C376" s="130"/>
      <c r="D376" s="130"/>
      <c r="E376" s="163"/>
      <c r="F376" s="163"/>
      <c r="G376" s="163"/>
      <c r="H376" s="130"/>
      <c r="I376" s="130"/>
      <c r="J376" s="130"/>
      <c r="K376" s="130"/>
      <c r="L376" s="163"/>
      <c r="M376" s="130"/>
      <c r="N376" s="130"/>
      <c r="O376" s="130"/>
      <c r="P376" s="130"/>
      <c r="Q376" s="130"/>
      <c r="R376" s="130"/>
      <c r="S376" s="130"/>
      <c r="T376" s="130"/>
      <c r="U376" s="130"/>
      <c r="V376" s="130"/>
      <c r="W376" s="130"/>
      <c r="X376" s="163"/>
      <c r="Y376" s="163"/>
      <c r="Z376" s="163"/>
      <c r="AA376" s="163"/>
      <c r="AB376" s="163"/>
      <c r="AC376" s="163"/>
      <c r="AD376" s="163"/>
      <c r="AE376" s="163"/>
      <c r="AF376" s="163"/>
      <c r="AG376" s="163"/>
      <c r="AH376" s="163"/>
      <c r="AI376" s="163"/>
      <c r="AJ376" s="163"/>
      <c r="AK376" s="163"/>
      <c r="AL376" s="163"/>
      <c r="AM376" s="163"/>
    </row>
    <row r="377" ht="13.5" customHeight="1">
      <c r="A377" s="130"/>
      <c r="B377" s="130"/>
      <c r="C377" s="130"/>
      <c r="D377" s="130"/>
      <c r="E377" s="163"/>
      <c r="F377" s="163"/>
      <c r="G377" s="163"/>
      <c r="H377" s="130"/>
      <c r="I377" s="130"/>
      <c r="J377" s="130"/>
      <c r="K377" s="130"/>
      <c r="L377" s="163"/>
      <c r="M377" s="130"/>
      <c r="N377" s="130"/>
      <c r="O377" s="130"/>
      <c r="P377" s="130"/>
      <c r="Q377" s="130"/>
      <c r="R377" s="130"/>
      <c r="S377" s="130"/>
      <c r="T377" s="130"/>
      <c r="U377" s="130"/>
      <c r="V377" s="130"/>
      <c r="W377" s="130"/>
      <c r="X377" s="163"/>
      <c r="Y377" s="163"/>
      <c r="Z377" s="163"/>
      <c r="AA377" s="163"/>
      <c r="AB377" s="163"/>
      <c r="AC377" s="163"/>
      <c r="AD377" s="163"/>
      <c r="AE377" s="163"/>
      <c r="AF377" s="163"/>
      <c r="AG377" s="163"/>
      <c r="AH377" s="163"/>
      <c r="AI377" s="163"/>
      <c r="AJ377" s="163"/>
      <c r="AK377" s="163"/>
      <c r="AL377" s="163"/>
      <c r="AM377" s="163"/>
    </row>
    <row r="378" ht="13.5" customHeight="1">
      <c r="A378" s="130"/>
      <c r="B378" s="130"/>
      <c r="C378" s="130"/>
      <c r="D378" s="130"/>
      <c r="E378" s="163"/>
      <c r="F378" s="163"/>
      <c r="G378" s="163"/>
      <c r="H378" s="130"/>
      <c r="I378" s="130"/>
      <c r="J378" s="130"/>
      <c r="K378" s="130"/>
      <c r="L378" s="163"/>
      <c r="M378" s="130"/>
      <c r="N378" s="130"/>
      <c r="O378" s="130"/>
      <c r="P378" s="130"/>
      <c r="Q378" s="130"/>
      <c r="R378" s="130"/>
      <c r="S378" s="130"/>
      <c r="T378" s="130"/>
      <c r="U378" s="130"/>
      <c r="V378" s="130"/>
      <c r="W378" s="130"/>
      <c r="X378" s="163"/>
      <c r="Y378" s="163"/>
      <c r="Z378" s="163"/>
      <c r="AA378" s="163"/>
      <c r="AB378" s="163"/>
      <c r="AC378" s="163"/>
      <c r="AD378" s="163"/>
      <c r="AE378" s="163"/>
      <c r="AF378" s="163"/>
      <c r="AG378" s="163"/>
      <c r="AH378" s="163"/>
      <c r="AI378" s="163"/>
      <c r="AJ378" s="163"/>
      <c r="AK378" s="163"/>
      <c r="AL378" s="163"/>
      <c r="AM378" s="163"/>
    </row>
    <row r="379" ht="13.5" customHeight="1">
      <c r="A379" s="130"/>
      <c r="B379" s="130"/>
      <c r="C379" s="130"/>
      <c r="D379" s="130"/>
      <c r="E379" s="163"/>
      <c r="F379" s="163"/>
      <c r="G379" s="163"/>
      <c r="H379" s="130"/>
      <c r="I379" s="130"/>
      <c r="J379" s="130"/>
      <c r="K379" s="130"/>
      <c r="L379" s="163"/>
      <c r="M379" s="130"/>
      <c r="N379" s="130"/>
      <c r="O379" s="130"/>
      <c r="P379" s="130"/>
      <c r="Q379" s="130"/>
      <c r="R379" s="130"/>
      <c r="S379" s="130"/>
      <c r="T379" s="130"/>
      <c r="U379" s="130"/>
      <c r="V379" s="130"/>
      <c r="W379" s="130"/>
      <c r="X379" s="163"/>
      <c r="Y379" s="163"/>
      <c r="Z379" s="163"/>
      <c r="AA379" s="163"/>
      <c r="AB379" s="163"/>
      <c r="AC379" s="163"/>
      <c r="AD379" s="163"/>
      <c r="AE379" s="163"/>
      <c r="AF379" s="163"/>
      <c r="AG379" s="163"/>
      <c r="AH379" s="163"/>
      <c r="AI379" s="163"/>
      <c r="AJ379" s="163"/>
      <c r="AK379" s="163"/>
      <c r="AL379" s="163"/>
      <c r="AM379" s="163"/>
    </row>
    <row r="380" ht="13.5" customHeight="1">
      <c r="A380" s="130"/>
      <c r="B380" s="130"/>
      <c r="C380" s="130"/>
      <c r="D380" s="130"/>
      <c r="E380" s="163"/>
      <c r="F380" s="163"/>
      <c r="G380" s="163"/>
      <c r="H380" s="130"/>
      <c r="I380" s="130"/>
      <c r="J380" s="130"/>
      <c r="K380" s="130"/>
      <c r="L380" s="163"/>
      <c r="M380" s="130"/>
      <c r="N380" s="130"/>
      <c r="O380" s="130"/>
      <c r="P380" s="130"/>
      <c r="Q380" s="130"/>
      <c r="R380" s="130"/>
      <c r="S380" s="130"/>
      <c r="T380" s="130"/>
      <c r="U380" s="130"/>
      <c r="V380" s="130"/>
      <c r="W380" s="130"/>
      <c r="X380" s="163"/>
      <c r="Y380" s="163"/>
      <c r="Z380" s="163"/>
      <c r="AA380" s="163"/>
      <c r="AB380" s="163"/>
      <c r="AC380" s="163"/>
      <c r="AD380" s="163"/>
      <c r="AE380" s="163"/>
      <c r="AF380" s="163"/>
      <c r="AG380" s="163"/>
      <c r="AH380" s="163"/>
      <c r="AI380" s="163"/>
      <c r="AJ380" s="163"/>
      <c r="AK380" s="163"/>
      <c r="AL380" s="163"/>
      <c r="AM380" s="163"/>
    </row>
    <row r="381" ht="13.5" customHeight="1">
      <c r="A381" s="130"/>
      <c r="B381" s="130"/>
      <c r="C381" s="130"/>
      <c r="D381" s="130"/>
      <c r="E381" s="163"/>
      <c r="F381" s="163"/>
      <c r="G381" s="163"/>
      <c r="H381" s="130"/>
      <c r="I381" s="130"/>
      <c r="J381" s="130"/>
      <c r="K381" s="130"/>
      <c r="L381" s="163"/>
      <c r="M381" s="130"/>
      <c r="N381" s="130"/>
      <c r="O381" s="130"/>
      <c r="P381" s="130"/>
      <c r="Q381" s="130"/>
      <c r="R381" s="130"/>
      <c r="S381" s="130"/>
      <c r="T381" s="130"/>
      <c r="U381" s="130"/>
      <c r="V381" s="130"/>
      <c r="W381" s="130"/>
      <c r="X381" s="163"/>
      <c r="Y381" s="163"/>
      <c r="Z381" s="163"/>
      <c r="AA381" s="163"/>
      <c r="AB381" s="163"/>
      <c r="AC381" s="163"/>
      <c r="AD381" s="163"/>
      <c r="AE381" s="163"/>
      <c r="AF381" s="163"/>
      <c r="AG381" s="163"/>
      <c r="AH381" s="163"/>
      <c r="AI381" s="163"/>
      <c r="AJ381" s="163"/>
      <c r="AK381" s="163"/>
      <c r="AL381" s="163"/>
      <c r="AM381" s="163"/>
    </row>
    <row r="382" ht="13.5" customHeight="1">
      <c r="A382" s="130"/>
      <c r="B382" s="130"/>
      <c r="C382" s="130"/>
      <c r="D382" s="130"/>
      <c r="E382" s="163"/>
      <c r="F382" s="163"/>
      <c r="G382" s="163"/>
      <c r="H382" s="130"/>
      <c r="I382" s="130"/>
      <c r="J382" s="130"/>
      <c r="K382" s="130"/>
      <c r="L382" s="163"/>
      <c r="M382" s="130"/>
      <c r="N382" s="130"/>
      <c r="O382" s="130"/>
      <c r="P382" s="130"/>
      <c r="Q382" s="130"/>
      <c r="R382" s="130"/>
      <c r="S382" s="130"/>
      <c r="T382" s="130"/>
      <c r="U382" s="130"/>
      <c r="V382" s="130"/>
      <c r="W382" s="130"/>
      <c r="X382" s="163"/>
      <c r="Y382" s="163"/>
      <c r="Z382" s="163"/>
      <c r="AA382" s="163"/>
      <c r="AB382" s="163"/>
      <c r="AC382" s="163"/>
      <c r="AD382" s="163"/>
      <c r="AE382" s="163"/>
      <c r="AF382" s="163"/>
      <c r="AG382" s="163"/>
      <c r="AH382" s="163"/>
      <c r="AI382" s="163"/>
      <c r="AJ382" s="163"/>
      <c r="AK382" s="163"/>
      <c r="AL382" s="163"/>
      <c r="AM382" s="163"/>
    </row>
    <row r="383" ht="13.5" customHeight="1">
      <c r="A383" s="130"/>
      <c r="B383" s="130"/>
      <c r="C383" s="130"/>
      <c r="D383" s="130"/>
      <c r="E383" s="163"/>
      <c r="F383" s="163"/>
      <c r="G383" s="163"/>
      <c r="H383" s="130"/>
      <c r="I383" s="130"/>
      <c r="J383" s="130"/>
      <c r="K383" s="130"/>
      <c r="L383" s="163"/>
      <c r="M383" s="130"/>
      <c r="N383" s="130"/>
      <c r="O383" s="130"/>
      <c r="P383" s="130"/>
      <c r="Q383" s="130"/>
      <c r="R383" s="130"/>
      <c r="S383" s="130"/>
      <c r="T383" s="130"/>
      <c r="U383" s="130"/>
      <c r="V383" s="130"/>
      <c r="W383" s="130"/>
      <c r="X383" s="163"/>
      <c r="Y383" s="163"/>
      <c r="Z383" s="163"/>
      <c r="AA383" s="163"/>
      <c r="AB383" s="163"/>
      <c r="AC383" s="163"/>
      <c r="AD383" s="163"/>
      <c r="AE383" s="163"/>
      <c r="AF383" s="163"/>
      <c r="AG383" s="163"/>
      <c r="AH383" s="163"/>
      <c r="AI383" s="163"/>
      <c r="AJ383" s="163"/>
      <c r="AK383" s="163"/>
      <c r="AL383" s="163"/>
      <c r="AM383" s="163"/>
    </row>
    <row r="384" ht="13.5" customHeight="1">
      <c r="A384" s="130"/>
      <c r="B384" s="130"/>
      <c r="C384" s="130"/>
      <c r="D384" s="130"/>
      <c r="E384" s="163"/>
      <c r="F384" s="163"/>
      <c r="G384" s="163"/>
      <c r="H384" s="130"/>
      <c r="I384" s="130"/>
      <c r="J384" s="130"/>
      <c r="K384" s="130"/>
      <c r="L384" s="163"/>
      <c r="M384" s="130"/>
      <c r="N384" s="130"/>
      <c r="O384" s="130"/>
      <c r="P384" s="130"/>
      <c r="Q384" s="130"/>
      <c r="R384" s="130"/>
      <c r="S384" s="130"/>
      <c r="T384" s="130"/>
      <c r="U384" s="130"/>
      <c r="V384" s="130"/>
      <c r="W384" s="130"/>
      <c r="X384" s="163"/>
      <c r="Y384" s="163"/>
      <c r="Z384" s="163"/>
      <c r="AA384" s="163"/>
      <c r="AB384" s="163"/>
      <c r="AC384" s="163"/>
      <c r="AD384" s="163"/>
      <c r="AE384" s="163"/>
      <c r="AF384" s="163"/>
      <c r="AG384" s="163"/>
      <c r="AH384" s="163"/>
      <c r="AI384" s="163"/>
      <c r="AJ384" s="163"/>
      <c r="AK384" s="163"/>
      <c r="AL384" s="163"/>
      <c r="AM384" s="163"/>
    </row>
    <row r="385" ht="13.5" customHeight="1">
      <c r="A385" s="130"/>
      <c r="B385" s="130"/>
      <c r="C385" s="130"/>
      <c r="D385" s="130"/>
      <c r="E385" s="163"/>
      <c r="F385" s="163"/>
      <c r="G385" s="163"/>
      <c r="H385" s="130"/>
      <c r="I385" s="130"/>
      <c r="J385" s="130"/>
      <c r="K385" s="130"/>
      <c r="L385" s="163"/>
      <c r="M385" s="130"/>
      <c r="N385" s="130"/>
      <c r="O385" s="130"/>
      <c r="P385" s="130"/>
      <c r="Q385" s="130"/>
      <c r="R385" s="130"/>
      <c r="S385" s="130"/>
      <c r="T385" s="130"/>
      <c r="U385" s="130"/>
      <c r="V385" s="130"/>
      <c r="W385" s="130"/>
      <c r="X385" s="163"/>
      <c r="Y385" s="163"/>
      <c r="Z385" s="163"/>
      <c r="AA385" s="163"/>
      <c r="AB385" s="163"/>
      <c r="AC385" s="163"/>
      <c r="AD385" s="163"/>
      <c r="AE385" s="163"/>
      <c r="AF385" s="163"/>
      <c r="AG385" s="163"/>
      <c r="AH385" s="163"/>
      <c r="AI385" s="163"/>
      <c r="AJ385" s="163"/>
      <c r="AK385" s="163"/>
      <c r="AL385" s="163"/>
      <c r="AM385" s="163"/>
    </row>
    <row r="386" ht="13.5" customHeight="1">
      <c r="A386" s="130"/>
      <c r="B386" s="130"/>
      <c r="C386" s="130"/>
      <c r="D386" s="130"/>
      <c r="E386" s="163"/>
      <c r="F386" s="163"/>
      <c r="G386" s="163"/>
      <c r="H386" s="130"/>
      <c r="I386" s="130"/>
      <c r="J386" s="130"/>
      <c r="K386" s="130"/>
      <c r="L386" s="163"/>
      <c r="M386" s="130"/>
      <c r="N386" s="130"/>
      <c r="O386" s="130"/>
      <c r="P386" s="130"/>
      <c r="Q386" s="130"/>
      <c r="R386" s="130"/>
      <c r="S386" s="130"/>
      <c r="T386" s="130"/>
      <c r="U386" s="130"/>
      <c r="V386" s="130"/>
      <c r="W386" s="130"/>
      <c r="X386" s="163"/>
      <c r="Y386" s="163"/>
      <c r="Z386" s="163"/>
      <c r="AA386" s="163"/>
      <c r="AB386" s="163"/>
      <c r="AC386" s="163"/>
      <c r="AD386" s="163"/>
      <c r="AE386" s="163"/>
      <c r="AF386" s="163"/>
      <c r="AG386" s="163"/>
      <c r="AH386" s="163"/>
      <c r="AI386" s="163"/>
      <c r="AJ386" s="163"/>
      <c r="AK386" s="163"/>
      <c r="AL386" s="163"/>
      <c r="AM386" s="163"/>
    </row>
    <row r="387" ht="13.5" customHeight="1">
      <c r="A387" s="130"/>
      <c r="B387" s="130"/>
      <c r="C387" s="130"/>
      <c r="D387" s="130"/>
      <c r="E387" s="163"/>
      <c r="F387" s="163"/>
      <c r="G387" s="163"/>
      <c r="H387" s="130"/>
      <c r="I387" s="130"/>
      <c r="J387" s="130"/>
      <c r="K387" s="130"/>
      <c r="L387" s="163"/>
      <c r="M387" s="130"/>
      <c r="N387" s="130"/>
      <c r="O387" s="130"/>
      <c r="P387" s="130"/>
      <c r="Q387" s="130"/>
      <c r="R387" s="130"/>
      <c r="S387" s="130"/>
      <c r="T387" s="130"/>
      <c r="U387" s="130"/>
      <c r="V387" s="130"/>
      <c r="W387" s="130"/>
      <c r="X387" s="163"/>
      <c r="Y387" s="163"/>
      <c r="Z387" s="163"/>
      <c r="AA387" s="163"/>
      <c r="AB387" s="163"/>
      <c r="AC387" s="163"/>
      <c r="AD387" s="163"/>
      <c r="AE387" s="163"/>
      <c r="AF387" s="163"/>
      <c r="AG387" s="163"/>
      <c r="AH387" s="163"/>
      <c r="AI387" s="163"/>
      <c r="AJ387" s="163"/>
      <c r="AK387" s="163"/>
      <c r="AL387" s="163"/>
      <c r="AM387" s="163"/>
    </row>
    <row r="388" ht="13.5" customHeight="1">
      <c r="A388" s="130"/>
      <c r="B388" s="130"/>
      <c r="C388" s="130"/>
      <c r="D388" s="130"/>
      <c r="E388" s="163"/>
      <c r="F388" s="163"/>
      <c r="G388" s="163"/>
      <c r="H388" s="130"/>
      <c r="I388" s="130"/>
      <c r="J388" s="130"/>
      <c r="K388" s="130"/>
      <c r="L388" s="163"/>
      <c r="M388" s="130"/>
      <c r="N388" s="130"/>
      <c r="O388" s="130"/>
      <c r="P388" s="130"/>
      <c r="Q388" s="130"/>
      <c r="R388" s="130"/>
      <c r="S388" s="130"/>
      <c r="T388" s="130"/>
      <c r="U388" s="130"/>
      <c r="V388" s="130"/>
      <c r="W388" s="130"/>
      <c r="X388" s="163"/>
      <c r="Y388" s="163"/>
      <c r="Z388" s="163"/>
      <c r="AA388" s="163"/>
      <c r="AB388" s="163"/>
      <c r="AC388" s="163"/>
      <c r="AD388" s="163"/>
      <c r="AE388" s="163"/>
      <c r="AF388" s="163"/>
      <c r="AG388" s="163"/>
      <c r="AH388" s="163"/>
      <c r="AI388" s="163"/>
      <c r="AJ388" s="163"/>
      <c r="AK388" s="163"/>
      <c r="AL388" s="163"/>
      <c r="AM388" s="163"/>
    </row>
    <row r="389" ht="13.5" customHeight="1">
      <c r="A389" s="130"/>
      <c r="B389" s="130"/>
      <c r="C389" s="130"/>
      <c r="D389" s="130"/>
      <c r="E389" s="163"/>
      <c r="F389" s="163"/>
      <c r="G389" s="163"/>
      <c r="H389" s="130"/>
      <c r="I389" s="130"/>
      <c r="J389" s="130"/>
      <c r="K389" s="130"/>
      <c r="L389" s="163"/>
      <c r="M389" s="130"/>
      <c r="N389" s="130"/>
      <c r="O389" s="130"/>
      <c r="P389" s="130"/>
      <c r="Q389" s="130"/>
      <c r="R389" s="130"/>
      <c r="S389" s="130"/>
      <c r="T389" s="130"/>
      <c r="U389" s="130"/>
      <c r="V389" s="130"/>
      <c r="W389" s="130"/>
      <c r="X389" s="163"/>
      <c r="Y389" s="163"/>
      <c r="Z389" s="163"/>
      <c r="AA389" s="163"/>
      <c r="AB389" s="163"/>
      <c r="AC389" s="163"/>
      <c r="AD389" s="163"/>
      <c r="AE389" s="163"/>
      <c r="AF389" s="163"/>
      <c r="AG389" s="163"/>
      <c r="AH389" s="163"/>
      <c r="AI389" s="163"/>
      <c r="AJ389" s="163"/>
      <c r="AK389" s="163"/>
      <c r="AL389" s="163"/>
      <c r="AM389" s="163"/>
    </row>
    <row r="390" ht="13.5" customHeight="1">
      <c r="A390" s="130"/>
      <c r="B390" s="130"/>
      <c r="C390" s="130"/>
      <c r="D390" s="130"/>
      <c r="E390" s="163"/>
      <c r="F390" s="163"/>
      <c r="G390" s="163"/>
      <c r="H390" s="130"/>
      <c r="I390" s="130"/>
      <c r="J390" s="130"/>
      <c r="K390" s="130"/>
      <c r="L390" s="163"/>
      <c r="M390" s="130"/>
      <c r="N390" s="130"/>
      <c r="O390" s="130"/>
      <c r="P390" s="130"/>
      <c r="Q390" s="130"/>
      <c r="R390" s="130"/>
      <c r="S390" s="130"/>
      <c r="T390" s="130"/>
      <c r="U390" s="130"/>
      <c r="V390" s="130"/>
      <c r="W390" s="130"/>
      <c r="X390" s="163"/>
      <c r="Y390" s="163"/>
      <c r="Z390" s="163"/>
      <c r="AA390" s="163"/>
      <c r="AB390" s="163"/>
      <c r="AC390" s="163"/>
      <c r="AD390" s="163"/>
      <c r="AE390" s="163"/>
      <c r="AF390" s="163"/>
      <c r="AG390" s="163"/>
      <c r="AH390" s="163"/>
      <c r="AI390" s="163"/>
      <c r="AJ390" s="163"/>
      <c r="AK390" s="163"/>
      <c r="AL390" s="163"/>
      <c r="AM390" s="163"/>
    </row>
    <row r="391" ht="13.5" customHeight="1">
      <c r="A391" s="130"/>
      <c r="B391" s="130"/>
      <c r="C391" s="130"/>
      <c r="D391" s="130"/>
      <c r="E391" s="163"/>
      <c r="F391" s="163"/>
      <c r="G391" s="163"/>
      <c r="H391" s="130"/>
      <c r="I391" s="130"/>
      <c r="J391" s="130"/>
      <c r="K391" s="130"/>
      <c r="L391" s="163"/>
      <c r="M391" s="130"/>
      <c r="N391" s="130"/>
      <c r="O391" s="130"/>
      <c r="P391" s="130"/>
      <c r="Q391" s="130"/>
      <c r="R391" s="130"/>
      <c r="S391" s="130"/>
      <c r="T391" s="130"/>
      <c r="U391" s="130"/>
      <c r="V391" s="130"/>
      <c r="W391" s="130"/>
      <c r="X391" s="163"/>
      <c r="Y391" s="163"/>
      <c r="Z391" s="163"/>
      <c r="AA391" s="163"/>
      <c r="AB391" s="163"/>
      <c r="AC391" s="163"/>
      <c r="AD391" s="163"/>
      <c r="AE391" s="163"/>
      <c r="AF391" s="163"/>
      <c r="AG391" s="163"/>
      <c r="AH391" s="163"/>
      <c r="AI391" s="163"/>
      <c r="AJ391" s="163"/>
      <c r="AK391" s="163"/>
      <c r="AL391" s="163"/>
      <c r="AM391" s="163"/>
    </row>
    <row r="392" ht="13.5" customHeight="1">
      <c r="A392" s="130"/>
      <c r="B392" s="130"/>
      <c r="C392" s="130"/>
      <c r="D392" s="130"/>
      <c r="E392" s="163"/>
      <c r="F392" s="163"/>
      <c r="G392" s="163"/>
      <c r="H392" s="130"/>
      <c r="I392" s="130"/>
      <c r="J392" s="130"/>
      <c r="K392" s="130"/>
      <c r="L392" s="163"/>
      <c r="M392" s="130"/>
      <c r="N392" s="130"/>
      <c r="O392" s="130"/>
      <c r="P392" s="130"/>
      <c r="Q392" s="130"/>
      <c r="R392" s="130"/>
      <c r="S392" s="130"/>
      <c r="T392" s="130"/>
      <c r="U392" s="130"/>
      <c r="V392" s="130"/>
      <c r="W392" s="130"/>
      <c r="X392" s="163"/>
      <c r="Y392" s="163"/>
      <c r="Z392" s="163"/>
      <c r="AA392" s="163"/>
      <c r="AB392" s="163"/>
      <c r="AC392" s="163"/>
      <c r="AD392" s="163"/>
      <c r="AE392" s="163"/>
      <c r="AF392" s="163"/>
      <c r="AG392" s="163"/>
      <c r="AH392" s="163"/>
      <c r="AI392" s="163"/>
      <c r="AJ392" s="163"/>
      <c r="AK392" s="163"/>
      <c r="AL392" s="163"/>
      <c r="AM392" s="163"/>
    </row>
    <row r="393" ht="13.5" customHeight="1">
      <c r="A393" s="130"/>
      <c r="B393" s="130"/>
      <c r="C393" s="130"/>
      <c r="D393" s="130"/>
      <c r="E393" s="163"/>
      <c r="F393" s="163"/>
      <c r="G393" s="163"/>
      <c r="H393" s="130"/>
      <c r="I393" s="130"/>
      <c r="J393" s="130"/>
      <c r="K393" s="130"/>
      <c r="L393" s="163"/>
      <c r="M393" s="130"/>
      <c r="N393" s="130"/>
      <c r="O393" s="130"/>
      <c r="P393" s="130"/>
      <c r="Q393" s="130"/>
      <c r="R393" s="130"/>
      <c r="S393" s="130"/>
      <c r="T393" s="130"/>
      <c r="U393" s="130"/>
      <c r="V393" s="130"/>
      <c r="W393" s="130"/>
      <c r="X393" s="163"/>
      <c r="Y393" s="163"/>
      <c r="Z393" s="163"/>
      <c r="AA393" s="163"/>
      <c r="AB393" s="163"/>
      <c r="AC393" s="163"/>
      <c r="AD393" s="163"/>
      <c r="AE393" s="163"/>
      <c r="AF393" s="163"/>
      <c r="AG393" s="163"/>
      <c r="AH393" s="163"/>
      <c r="AI393" s="163"/>
      <c r="AJ393" s="163"/>
      <c r="AK393" s="163"/>
      <c r="AL393" s="163"/>
      <c r="AM393" s="163"/>
    </row>
    <row r="394" ht="13.5" customHeight="1">
      <c r="A394" s="130"/>
      <c r="B394" s="130"/>
      <c r="C394" s="130"/>
      <c r="D394" s="130"/>
      <c r="E394" s="163"/>
      <c r="F394" s="163"/>
      <c r="G394" s="163"/>
      <c r="H394" s="130"/>
      <c r="I394" s="130"/>
      <c r="J394" s="130"/>
      <c r="K394" s="130"/>
      <c r="L394" s="163"/>
      <c r="M394" s="130"/>
      <c r="N394" s="130"/>
      <c r="O394" s="130"/>
      <c r="P394" s="130"/>
      <c r="Q394" s="130"/>
      <c r="R394" s="130"/>
      <c r="S394" s="130"/>
      <c r="T394" s="130"/>
      <c r="U394" s="130"/>
      <c r="V394" s="130"/>
      <c r="W394" s="130"/>
      <c r="X394" s="163"/>
      <c r="Y394" s="163"/>
      <c r="Z394" s="163"/>
      <c r="AA394" s="163"/>
      <c r="AB394" s="163"/>
      <c r="AC394" s="163"/>
      <c r="AD394" s="163"/>
      <c r="AE394" s="163"/>
      <c r="AF394" s="163"/>
      <c r="AG394" s="163"/>
      <c r="AH394" s="163"/>
      <c r="AI394" s="163"/>
      <c r="AJ394" s="163"/>
      <c r="AK394" s="163"/>
      <c r="AL394" s="163"/>
      <c r="AM394" s="163"/>
    </row>
    <row r="395" ht="13.5" customHeight="1">
      <c r="A395" s="130"/>
      <c r="B395" s="130"/>
      <c r="C395" s="130"/>
      <c r="D395" s="130"/>
      <c r="E395" s="163"/>
      <c r="F395" s="163"/>
      <c r="G395" s="163"/>
      <c r="H395" s="130"/>
      <c r="I395" s="130"/>
      <c r="J395" s="130"/>
      <c r="K395" s="130"/>
      <c r="L395" s="163"/>
      <c r="M395" s="130"/>
      <c r="N395" s="130"/>
      <c r="O395" s="130"/>
      <c r="P395" s="130"/>
      <c r="Q395" s="130"/>
      <c r="R395" s="130"/>
      <c r="S395" s="130"/>
      <c r="T395" s="130"/>
      <c r="U395" s="130"/>
      <c r="V395" s="130"/>
      <c r="W395" s="130"/>
      <c r="X395" s="163"/>
      <c r="Y395" s="163"/>
      <c r="Z395" s="163"/>
      <c r="AA395" s="163"/>
      <c r="AB395" s="163"/>
      <c r="AC395" s="163"/>
      <c r="AD395" s="163"/>
      <c r="AE395" s="163"/>
      <c r="AF395" s="163"/>
      <c r="AG395" s="163"/>
      <c r="AH395" s="163"/>
      <c r="AI395" s="163"/>
      <c r="AJ395" s="163"/>
      <c r="AK395" s="163"/>
      <c r="AL395" s="163"/>
      <c r="AM395" s="163"/>
    </row>
    <row r="396" ht="13.5" customHeight="1">
      <c r="A396" s="130"/>
      <c r="B396" s="130"/>
      <c r="C396" s="130"/>
      <c r="D396" s="130"/>
      <c r="E396" s="163"/>
      <c r="F396" s="163"/>
      <c r="G396" s="163"/>
      <c r="H396" s="130"/>
      <c r="I396" s="130"/>
      <c r="J396" s="130"/>
      <c r="K396" s="130"/>
      <c r="L396" s="163"/>
      <c r="M396" s="130"/>
      <c r="N396" s="130"/>
      <c r="O396" s="130"/>
      <c r="P396" s="130"/>
      <c r="Q396" s="130"/>
      <c r="R396" s="130"/>
      <c r="S396" s="130"/>
      <c r="T396" s="130"/>
      <c r="U396" s="130"/>
      <c r="V396" s="130"/>
      <c r="W396" s="130"/>
      <c r="X396" s="163"/>
      <c r="Y396" s="163"/>
      <c r="Z396" s="163"/>
      <c r="AA396" s="163"/>
      <c r="AB396" s="163"/>
      <c r="AC396" s="163"/>
      <c r="AD396" s="163"/>
      <c r="AE396" s="163"/>
      <c r="AF396" s="163"/>
      <c r="AG396" s="163"/>
      <c r="AH396" s="163"/>
      <c r="AI396" s="163"/>
      <c r="AJ396" s="163"/>
      <c r="AK396" s="163"/>
      <c r="AL396" s="163"/>
      <c r="AM396" s="163"/>
    </row>
    <row r="397" ht="13.5" customHeight="1">
      <c r="A397" s="130"/>
      <c r="B397" s="130"/>
      <c r="C397" s="130"/>
      <c r="D397" s="130"/>
      <c r="E397" s="163"/>
      <c r="F397" s="163"/>
      <c r="G397" s="163"/>
      <c r="H397" s="130"/>
      <c r="I397" s="130"/>
      <c r="J397" s="130"/>
      <c r="K397" s="130"/>
      <c r="L397" s="163"/>
      <c r="M397" s="130"/>
      <c r="N397" s="130"/>
      <c r="O397" s="130"/>
      <c r="P397" s="130"/>
      <c r="Q397" s="130"/>
      <c r="R397" s="130"/>
      <c r="S397" s="130"/>
      <c r="T397" s="130"/>
      <c r="U397" s="130"/>
      <c r="V397" s="130"/>
      <c r="W397" s="130"/>
      <c r="X397" s="163"/>
      <c r="Y397" s="163"/>
      <c r="Z397" s="163"/>
      <c r="AA397" s="163"/>
      <c r="AB397" s="163"/>
      <c r="AC397" s="163"/>
      <c r="AD397" s="163"/>
      <c r="AE397" s="163"/>
      <c r="AF397" s="163"/>
      <c r="AG397" s="163"/>
      <c r="AH397" s="163"/>
      <c r="AI397" s="163"/>
      <c r="AJ397" s="163"/>
      <c r="AK397" s="163"/>
      <c r="AL397" s="163"/>
      <c r="AM397" s="163"/>
    </row>
    <row r="398" ht="13.5" customHeight="1">
      <c r="A398" s="130"/>
      <c r="B398" s="130"/>
      <c r="C398" s="130"/>
      <c r="D398" s="130"/>
      <c r="E398" s="163"/>
      <c r="F398" s="163"/>
      <c r="G398" s="163"/>
      <c r="H398" s="130"/>
      <c r="I398" s="130"/>
      <c r="J398" s="130"/>
      <c r="K398" s="130"/>
      <c r="L398" s="163"/>
      <c r="M398" s="130"/>
      <c r="N398" s="130"/>
      <c r="O398" s="130"/>
      <c r="P398" s="130"/>
      <c r="Q398" s="130"/>
      <c r="R398" s="130"/>
      <c r="S398" s="130"/>
      <c r="T398" s="130"/>
      <c r="U398" s="130"/>
      <c r="V398" s="130"/>
      <c r="W398" s="130"/>
      <c r="X398" s="163"/>
      <c r="Y398" s="163"/>
      <c r="Z398" s="163"/>
      <c r="AA398" s="163"/>
      <c r="AB398" s="163"/>
      <c r="AC398" s="163"/>
      <c r="AD398" s="163"/>
      <c r="AE398" s="163"/>
      <c r="AF398" s="163"/>
      <c r="AG398" s="163"/>
      <c r="AH398" s="163"/>
      <c r="AI398" s="163"/>
      <c r="AJ398" s="163"/>
      <c r="AK398" s="163"/>
      <c r="AL398" s="163"/>
      <c r="AM398" s="163"/>
    </row>
    <row r="399" ht="13.5" customHeight="1">
      <c r="A399" s="130"/>
      <c r="B399" s="130"/>
      <c r="C399" s="130"/>
      <c r="D399" s="130"/>
      <c r="E399" s="163"/>
      <c r="F399" s="163"/>
      <c r="G399" s="163"/>
      <c r="H399" s="130"/>
      <c r="I399" s="130"/>
      <c r="J399" s="130"/>
      <c r="K399" s="130"/>
      <c r="L399" s="163"/>
      <c r="M399" s="130"/>
      <c r="N399" s="130"/>
      <c r="O399" s="130"/>
      <c r="P399" s="130"/>
      <c r="Q399" s="130"/>
      <c r="R399" s="130"/>
      <c r="S399" s="130"/>
      <c r="T399" s="130"/>
      <c r="U399" s="130"/>
      <c r="V399" s="130"/>
      <c r="W399" s="130"/>
      <c r="X399" s="163"/>
      <c r="Y399" s="163"/>
      <c r="Z399" s="163"/>
      <c r="AA399" s="163"/>
      <c r="AB399" s="163"/>
      <c r="AC399" s="163"/>
      <c r="AD399" s="163"/>
      <c r="AE399" s="163"/>
      <c r="AF399" s="163"/>
      <c r="AG399" s="163"/>
      <c r="AH399" s="163"/>
      <c r="AI399" s="163"/>
      <c r="AJ399" s="163"/>
      <c r="AK399" s="163"/>
      <c r="AL399" s="163"/>
      <c r="AM399" s="163"/>
    </row>
    <row r="400" ht="13.5" customHeight="1">
      <c r="A400" s="130"/>
      <c r="B400" s="130"/>
      <c r="C400" s="130"/>
      <c r="D400" s="130"/>
      <c r="E400" s="163"/>
      <c r="F400" s="163"/>
      <c r="G400" s="163"/>
      <c r="H400" s="130"/>
      <c r="I400" s="130"/>
      <c r="J400" s="130"/>
      <c r="K400" s="130"/>
      <c r="L400" s="163"/>
      <c r="M400" s="130"/>
      <c r="N400" s="130"/>
      <c r="O400" s="130"/>
      <c r="P400" s="130"/>
      <c r="Q400" s="130"/>
      <c r="R400" s="130"/>
      <c r="S400" s="130"/>
      <c r="T400" s="130"/>
      <c r="U400" s="130"/>
      <c r="V400" s="130"/>
      <c r="W400" s="130"/>
      <c r="X400" s="163"/>
      <c r="Y400" s="163"/>
      <c r="Z400" s="163"/>
      <c r="AA400" s="163"/>
      <c r="AB400" s="163"/>
      <c r="AC400" s="163"/>
      <c r="AD400" s="163"/>
      <c r="AE400" s="163"/>
      <c r="AF400" s="163"/>
      <c r="AG400" s="163"/>
      <c r="AH400" s="163"/>
      <c r="AI400" s="163"/>
      <c r="AJ400" s="163"/>
      <c r="AK400" s="163"/>
      <c r="AL400" s="163"/>
      <c r="AM400" s="163"/>
    </row>
    <row r="401" ht="13.5" customHeight="1">
      <c r="A401" s="130"/>
      <c r="B401" s="130"/>
      <c r="C401" s="130"/>
      <c r="D401" s="130"/>
      <c r="E401" s="163"/>
      <c r="F401" s="163"/>
      <c r="G401" s="163"/>
      <c r="H401" s="130"/>
      <c r="I401" s="130"/>
      <c r="J401" s="130"/>
      <c r="K401" s="130"/>
      <c r="L401" s="163"/>
      <c r="M401" s="130"/>
      <c r="N401" s="130"/>
      <c r="O401" s="130"/>
      <c r="P401" s="130"/>
      <c r="Q401" s="130"/>
      <c r="R401" s="130"/>
      <c r="S401" s="130"/>
      <c r="T401" s="130"/>
      <c r="U401" s="130"/>
      <c r="V401" s="130"/>
      <c r="W401" s="130"/>
      <c r="X401" s="163"/>
      <c r="Y401" s="163"/>
      <c r="Z401" s="163"/>
      <c r="AA401" s="163"/>
      <c r="AB401" s="163"/>
      <c r="AC401" s="163"/>
      <c r="AD401" s="163"/>
      <c r="AE401" s="163"/>
      <c r="AF401" s="163"/>
      <c r="AG401" s="163"/>
      <c r="AH401" s="163"/>
      <c r="AI401" s="163"/>
      <c r="AJ401" s="163"/>
      <c r="AK401" s="163"/>
      <c r="AL401" s="163"/>
      <c r="AM401" s="163"/>
    </row>
    <row r="402" ht="13.5" customHeight="1">
      <c r="A402" s="130"/>
      <c r="B402" s="130"/>
      <c r="C402" s="130"/>
      <c r="D402" s="130"/>
      <c r="E402" s="163"/>
      <c r="F402" s="163"/>
      <c r="G402" s="163"/>
      <c r="H402" s="130"/>
      <c r="I402" s="130"/>
      <c r="J402" s="130"/>
      <c r="K402" s="130"/>
      <c r="L402" s="163"/>
      <c r="M402" s="130"/>
      <c r="N402" s="130"/>
      <c r="O402" s="130"/>
      <c r="P402" s="130"/>
      <c r="Q402" s="130"/>
      <c r="R402" s="130"/>
      <c r="S402" s="130"/>
      <c r="T402" s="130"/>
      <c r="U402" s="130"/>
      <c r="V402" s="130"/>
      <c r="W402" s="130"/>
      <c r="X402" s="163"/>
      <c r="Y402" s="163"/>
      <c r="Z402" s="163"/>
      <c r="AA402" s="163"/>
      <c r="AB402" s="163"/>
      <c r="AC402" s="163"/>
      <c r="AD402" s="163"/>
      <c r="AE402" s="163"/>
      <c r="AF402" s="163"/>
      <c r="AG402" s="163"/>
      <c r="AH402" s="163"/>
      <c r="AI402" s="163"/>
      <c r="AJ402" s="163"/>
      <c r="AK402" s="163"/>
      <c r="AL402" s="163"/>
      <c r="AM402" s="163"/>
    </row>
    <row r="403" ht="13.5" customHeight="1">
      <c r="A403" s="130"/>
      <c r="B403" s="130"/>
      <c r="C403" s="130"/>
      <c r="D403" s="130"/>
      <c r="E403" s="163"/>
      <c r="F403" s="163"/>
      <c r="G403" s="163"/>
      <c r="H403" s="130"/>
      <c r="I403" s="130"/>
      <c r="J403" s="130"/>
      <c r="K403" s="130"/>
      <c r="L403" s="163"/>
      <c r="M403" s="130"/>
      <c r="N403" s="130"/>
      <c r="O403" s="130"/>
      <c r="P403" s="130"/>
      <c r="Q403" s="130"/>
      <c r="R403" s="130"/>
      <c r="S403" s="130"/>
      <c r="T403" s="130"/>
      <c r="U403" s="130"/>
      <c r="V403" s="130"/>
      <c r="W403" s="130"/>
      <c r="X403" s="163"/>
      <c r="Y403" s="163"/>
      <c r="Z403" s="163"/>
      <c r="AA403" s="163"/>
      <c r="AB403" s="163"/>
      <c r="AC403" s="163"/>
      <c r="AD403" s="163"/>
      <c r="AE403" s="163"/>
      <c r="AF403" s="163"/>
      <c r="AG403" s="163"/>
      <c r="AH403" s="163"/>
      <c r="AI403" s="163"/>
      <c r="AJ403" s="163"/>
      <c r="AK403" s="163"/>
      <c r="AL403" s="163"/>
      <c r="AM403" s="163"/>
    </row>
    <row r="404" ht="13.5" customHeight="1">
      <c r="A404" s="130"/>
      <c r="B404" s="130"/>
      <c r="C404" s="130"/>
      <c r="D404" s="130"/>
      <c r="E404" s="163"/>
      <c r="F404" s="163"/>
      <c r="G404" s="163"/>
      <c r="H404" s="130"/>
      <c r="I404" s="130"/>
      <c r="J404" s="130"/>
      <c r="K404" s="130"/>
      <c r="L404" s="163"/>
      <c r="M404" s="130"/>
      <c r="N404" s="130"/>
      <c r="O404" s="130"/>
      <c r="P404" s="130"/>
      <c r="Q404" s="130"/>
      <c r="R404" s="130"/>
      <c r="S404" s="130"/>
      <c r="T404" s="130"/>
      <c r="U404" s="130"/>
      <c r="V404" s="130"/>
      <c r="W404" s="130"/>
      <c r="X404" s="163"/>
      <c r="Y404" s="163"/>
      <c r="Z404" s="163"/>
      <c r="AA404" s="163"/>
      <c r="AB404" s="163"/>
      <c r="AC404" s="163"/>
      <c r="AD404" s="163"/>
      <c r="AE404" s="163"/>
      <c r="AF404" s="163"/>
      <c r="AG404" s="163"/>
      <c r="AH404" s="163"/>
      <c r="AI404" s="163"/>
      <c r="AJ404" s="163"/>
      <c r="AK404" s="163"/>
      <c r="AL404" s="163"/>
      <c r="AM404" s="163"/>
    </row>
    <row r="405" ht="13.5" customHeight="1">
      <c r="A405" s="130"/>
      <c r="B405" s="130"/>
      <c r="C405" s="130"/>
      <c r="D405" s="130"/>
      <c r="E405" s="163"/>
      <c r="F405" s="163"/>
      <c r="G405" s="163"/>
      <c r="H405" s="130"/>
      <c r="I405" s="130"/>
      <c r="J405" s="130"/>
      <c r="K405" s="130"/>
      <c r="L405" s="163"/>
      <c r="M405" s="130"/>
      <c r="N405" s="130"/>
      <c r="O405" s="130"/>
      <c r="P405" s="130"/>
      <c r="Q405" s="130"/>
      <c r="R405" s="130"/>
      <c r="S405" s="130"/>
      <c r="T405" s="130"/>
      <c r="U405" s="130"/>
      <c r="V405" s="130"/>
      <c r="W405" s="130"/>
      <c r="X405" s="163"/>
      <c r="Y405" s="163"/>
      <c r="Z405" s="163"/>
      <c r="AA405" s="163"/>
      <c r="AB405" s="163"/>
      <c r="AC405" s="163"/>
      <c r="AD405" s="163"/>
      <c r="AE405" s="163"/>
      <c r="AF405" s="163"/>
      <c r="AG405" s="163"/>
      <c r="AH405" s="163"/>
      <c r="AI405" s="163"/>
      <c r="AJ405" s="163"/>
      <c r="AK405" s="163"/>
      <c r="AL405" s="163"/>
      <c r="AM405" s="163"/>
    </row>
    <row r="406" ht="13.5" customHeight="1">
      <c r="A406" s="130"/>
      <c r="B406" s="130"/>
      <c r="C406" s="130"/>
      <c r="D406" s="130"/>
      <c r="E406" s="163"/>
      <c r="F406" s="163"/>
      <c r="G406" s="163"/>
      <c r="H406" s="130"/>
      <c r="I406" s="130"/>
      <c r="J406" s="130"/>
      <c r="K406" s="130"/>
      <c r="L406" s="163"/>
      <c r="M406" s="130"/>
      <c r="N406" s="130"/>
      <c r="O406" s="130"/>
      <c r="P406" s="130"/>
      <c r="Q406" s="130"/>
      <c r="R406" s="130"/>
      <c r="S406" s="130"/>
      <c r="T406" s="130"/>
      <c r="U406" s="130"/>
      <c r="V406" s="130"/>
      <c r="W406" s="130"/>
      <c r="X406" s="163"/>
      <c r="Y406" s="163"/>
      <c r="Z406" s="163"/>
      <c r="AA406" s="163"/>
      <c r="AB406" s="163"/>
      <c r="AC406" s="163"/>
      <c r="AD406" s="163"/>
      <c r="AE406" s="163"/>
      <c r="AF406" s="163"/>
      <c r="AG406" s="163"/>
      <c r="AH406" s="163"/>
      <c r="AI406" s="163"/>
      <c r="AJ406" s="163"/>
      <c r="AK406" s="163"/>
      <c r="AL406" s="163"/>
      <c r="AM406" s="163"/>
    </row>
    <row r="407" ht="13.5" customHeight="1">
      <c r="A407" s="130"/>
      <c r="B407" s="130"/>
      <c r="C407" s="130"/>
      <c r="D407" s="130"/>
      <c r="E407" s="163"/>
      <c r="F407" s="163"/>
      <c r="G407" s="163"/>
      <c r="H407" s="130"/>
      <c r="I407" s="130"/>
      <c r="J407" s="130"/>
      <c r="K407" s="130"/>
      <c r="L407" s="163"/>
      <c r="M407" s="130"/>
      <c r="N407" s="130"/>
      <c r="O407" s="130"/>
      <c r="P407" s="130"/>
      <c r="Q407" s="130"/>
      <c r="R407" s="130"/>
      <c r="S407" s="130"/>
      <c r="T407" s="130"/>
      <c r="U407" s="130"/>
      <c r="V407" s="130"/>
      <c r="W407" s="130"/>
      <c r="X407" s="163"/>
      <c r="Y407" s="163"/>
      <c r="Z407" s="163"/>
      <c r="AA407" s="163"/>
      <c r="AB407" s="163"/>
      <c r="AC407" s="163"/>
      <c r="AD407" s="163"/>
      <c r="AE407" s="163"/>
      <c r="AF407" s="163"/>
      <c r="AG407" s="163"/>
      <c r="AH407" s="163"/>
      <c r="AI407" s="163"/>
      <c r="AJ407" s="163"/>
      <c r="AK407" s="163"/>
      <c r="AL407" s="163"/>
      <c r="AM407" s="163"/>
    </row>
    <row r="408" ht="13.5" customHeight="1">
      <c r="A408" s="130"/>
      <c r="B408" s="130"/>
      <c r="C408" s="130"/>
      <c r="D408" s="130"/>
      <c r="E408" s="163"/>
      <c r="F408" s="163"/>
      <c r="G408" s="163"/>
      <c r="H408" s="130"/>
      <c r="I408" s="130"/>
      <c r="J408" s="130"/>
      <c r="K408" s="130"/>
      <c r="L408" s="163"/>
      <c r="M408" s="130"/>
      <c r="N408" s="130"/>
      <c r="O408" s="130"/>
      <c r="P408" s="130"/>
      <c r="Q408" s="130"/>
      <c r="R408" s="130"/>
      <c r="S408" s="130"/>
      <c r="T408" s="130"/>
      <c r="U408" s="130"/>
      <c r="V408" s="130"/>
      <c r="W408" s="130"/>
      <c r="X408" s="163"/>
      <c r="Y408" s="163"/>
      <c r="Z408" s="163"/>
      <c r="AA408" s="163"/>
      <c r="AB408" s="163"/>
      <c r="AC408" s="163"/>
      <c r="AD408" s="163"/>
      <c r="AE408" s="163"/>
      <c r="AF408" s="163"/>
      <c r="AG408" s="163"/>
      <c r="AH408" s="163"/>
      <c r="AI408" s="163"/>
      <c r="AJ408" s="163"/>
      <c r="AK408" s="163"/>
      <c r="AL408" s="163"/>
      <c r="AM408" s="163"/>
    </row>
    <row r="409" ht="13.5" customHeight="1">
      <c r="A409" s="130"/>
      <c r="B409" s="130"/>
      <c r="C409" s="130"/>
      <c r="D409" s="130"/>
      <c r="E409" s="163"/>
      <c r="F409" s="163"/>
      <c r="G409" s="163"/>
      <c r="H409" s="130"/>
      <c r="I409" s="130"/>
      <c r="J409" s="130"/>
      <c r="K409" s="130"/>
      <c r="L409" s="163"/>
      <c r="M409" s="130"/>
      <c r="N409" s="130"/>
      <c r="O409" s="130"/>
      <c r="P409" s="130"/>
      <c r="Q409" s="130"/>
      <c r="R409" s="130"/>
      <c r="S409" s="130"/>
      <c r="T409" s="130"/>
      <c r="U409" s="130"/>
      <c r="V409" s="130"/>
      <c r="W409" s="130"/>
      <c r="X409" s="163"/>
      <c r="Y409" s="163"/>
      <c r="Z409" s="163"/>
      <c r="AA409" s="163"/>
      <c r="AB409" s="163"/>
      <c r="AC409" s="163"/>
      <c r="AD409" s="163"/>
      <c r="AE409" s="163"/>
      <c r="AF409" s="163"/>
      <c r="AG409" s="163"/>
      <c r="AH409" s="163"/>
      <c r="AI409" s="163"/>
      <c r="AJ409" s="163"/>
      <c r="AK409" s="163"/>
      <c r="AL409" s="163"/>
      <c r="AM409" s="163"/>
    </row>
    <row r="410" ht="13.5" customHeight="1">
      <c r="A410" s="130"/>
      <c r="B410" s="130"/>
      <c r="C410" s="130"/>
      <c r="D410" s="130"/>
      <c r="E410" s="163"/>
      <c r="F410" s="163"/>
      <c r="G410" s="163"/>
      <c r="H410" s="130"/>
      <c r="I410" s="130"/>
      <c r="J410" s="130"/>
      <c r="K410" s="130"/>
      <c r="L410" s="163"/>
      <c r="M410" s="130"/>
      <c r="N410" s="130"/>
      <c r="O410" s="130"/>
      <c r="P410" s="130"/>
      <c r="Q410" s="130"/>
      <c r="R410" s="130"/>
      <c r="S410" s="130"/>
      <c r="T410" s="130"/>
      <c r="U410" s="130"/>
      <c r="V410" s="130"/>
      <c r="W410" s="130"/>
      <c r="X410" s="163"/>
      <c r="Y410" s="163"/>
      <c r="Z410" s="163"/>
      <c r="AA410" s="163"/>
      <c r="AB410" s="163"/>
      <c r="AC410" s="163"/>
      <c r="AD410" s="163"/>
      <c r="AE410" s="163"/>
      <c r="AF410" s="163"/>
      <c r="AG410" s="163"/>
      <c r="AH410" s="163"/>
      <c r="AI410" s="163"/>
      <c r="AJ410" s="163"/>
      <c r="AK410" s="163"/>
      <c r="AL410" s="163"/>
      <c r="AM410" s="163"/>
    </row>
    <row r="411" ht="13.5" customHeight="1">
      <c r="A411" s="130"/>
      <c r="B411" s="130"/>
      <c r="C411" s="130"/>
      <c r="D411" s="130"/>
      <c r="E411" s="163"/>
      <c r="F411" s="163"/>
      <c r="G411" s="163"/>
      <c r="H411" s="130"/>
      <c r="I411" s="130"/>
      <c r="J411" s="130"/>
      <c r="K411" s="130"/>
      <c r="L411" s="163"/>
      <c r="M411" s="130"/>
      <c r="N411" s="130"/>
      <c r="O411" s="130"/>
      <c r="P411" s="130"/>
      <c r="Q411" s="130"/>
      <c r="R411" s="130"/>
      <c r="S411" s="130"/>
      <c r="T411" s="130"/>
      <c r="U411" s="130"/>
      <c r="V411" s="130"/>
      <c r="W411" s="130"/>
      <c r="X411" s="163"/>
      <c r="Y411" s="163"/>
      <c r="Z411" s="163"/>
      <c r="AA411" s="163"/>
      <c r="AB411" s="163"/>
      <c r="AC411" s="163"/>
      <c r="AD411" s="163"/>
      <c r="AE411" s="163"/>
      <c r="AF411" s="163"/>
      <c r="AG411" s="163"/>
      <c r="AH411" s="163"/>
      <c r="AI411" s="163"/>
      <c r="AJ411" s="163"/>
      <c r="AK411" s="163"/>
      <c r="AL411" s="163"/>
      <c r="AM411" s="163"/>
    </row>
    <row r="412" ht="13.5" customHeight="1">
      <c r="A412" s="130"/>
      <c r="B412" s="130"/>
      <c r="C412" s="130"/>
      <c r="D412" s="130"/>
      <c r="E412" s="163"/>
      <c r="F412" s="163"/>
      <c r="G412" s="163"/>
      <c r="H412" s="130"/>
      <c r="I412" s="130"/>
      <c r="J412" s="130"/>
      <c r="K412" s="130"/>
      <c r="L412" s="163"/>
      <c r="M412" s="130"/>
      <c r="N412" s="130"/>
      <c r="O412" s="130"/>
      <c r="P412" s="130"/>
      <c r="Q412" s="130"/>
      <c r="R412" s="130"/>
      <c r="S412" s="130"/>
      <c r="T412" s="130"/>
      <c r="U412" s="130"/>
      <c r="V412" s="130"/>
      <c r="W412" s="130"/>
      <c r="X412" s="163"/>
      <c r="Y412" s="163"/>
      <c r="Z412" s="163"/>
      <c r="AA412" s="163"/>
      <c r="AB412" s="163"/>
      <c r="AC412" s="163"/>
      <c r="AD412" s="163"/>
      <c r="AE412" s="163"/>
      <c r="AF412" s="163"/>
      <c r="AG412" s="163"/>
      <c r="AH412" s="163"/>
      <c r="AI412" s="163"/>
      <c r="AJ412" s="163"/>
      <c r="AK412" s="163"/>
      <c r="AL412" s="163"/>
      <c r="AM412" s="163"/>
    </row>
    <row r="413" ht="13.5" customHeight="1">
      <c r="A413" s="130"/>
      <c r="B413" s="130"/>
      <c r="C413" s="130"/>
      <c r="D413" s="130"/>
      <c r="E413" s="163"/>
      <c r="F413" s="163"/>
      <c r="G413" s="163"/>
      <c r="H413" s="130"/>
      <c r="I413" s="130"/>
      <c r="J413" s="130"/>
      <c r="K413" s="130"/>
      <c r="L413" s="163"/>
      <c r="M413" s="130"/>
      <c r="N413" s="130"/>
      <c r="O413" s="130"/>
      <c r="P413" s="130"/>
      <c r="Q413" s="130"/>
      <c r="R413" s="130"/>
      <c r="S413" s="130"/>
      <c r="T413" s="130"/>
      <c r="U413" s="130"/>
      <c r="V413" s="130"/>
      <c r="W413" s="130"/>
      <c r="X413" s="163"/>
      <c r="Y413" s="163"/>
      <c r="Z413" s="163"/>
      <c r="AA413" s="163"/>
      <c r="AB413" s="163"/>
      <c r="AC413" s="163"/>
      <c r="AD413" s="163"/>
      <c r="AE413" s="163"/>
      <c r="AF413" s="163"/>
      <c r="AG413" s="163"/>
      <c r="AH413" s="163"/>
      <c r="AI413" s="163"/>
      <c r="AJ413" s="163"/>
      <c r="AK413" s="163"/>
      <c r="AL413" s="163"/>
      <c r="AM413" s="163"/>
    </row>
    <row r="414" ht="13.5" customHeight="1">
      <c r="A414" s="130"/>
      <c r="B414" s="130"/>
      <c r="C414" s="130"/>
      <c r="D414" s="130"/>
      <c r="E414" s="163"/>
      <c r="F414" s="163"/>
      <c r="G414" s="163"/>
      <c r="H414" s="130"/>
      <c r="I414" s="130"/>
      <c r="J414" s="130"/>
      <c r="K414" s="130"/>
      <c r="L414" s="163"/>
      <c r="M414" s="130"/>
      <c r="N414" s="130"/>
      <c r="O414" s="130"/>
      <c r="P414" s="130"/>
      <c r="Q414" s="130"/>
      <c r="R414" s="130"/>
      <c r="S414" s="130"/>
      <c r="T414" s="130"/>
      <c r="U414" s="130"/>
      <c r="V414" s="130"/>
      <c r="W414" s="130"/>
      <c r="X414" s="163"/>
      <c r="Y414" s="163"/>
      <c r="Z414" s="163"/>
      <c r="AA414" s="163"/>
      <c r="AB414" s="163"/>
      <c r="AC414" s="163"/>
      <c r="AD414" s="163"/>
      <c r="AE414" s="163"/>
      <c r="AF414" s="163"/>
      <c r="AG414" s="163"/>
      <c r="AH414" s="163"/>
      <c r="AI414" s="163"/>
      <c r="AJ414" s="163"/>
      <c r="AK414" s="163"/>
      <c r="AL414" s="163"/>
      <c r="AM414" s="163"/>
    </row>
    <row r="415" ht="13.5" customHeight="1">
      <c r="A415" s="130"/>
      <c r="B415" s="130"/>
      <c r="C415" s="130"/>
      <c r="D415" s="130"/>
      <c r="E415" s="163"/>
      <c r="F415" s="163"/>
      <c r="G415" s="163"/>
      <c r="H415" s="130"/>
      <c r="I415" s="130"/>
      <c r="J415" s="130"/>
      <c r="K415" s="130"/>
      <c r="L415" s="163"/>
      <c r="M415" s="130"/>
      <c r="N415" s="130"/>
      <c r="O415" s="130"/>
      <c r="P415" s="130"/>
      <c r="Q415" s="130"/>
      <c r="R415" s="130"/>
      <c r="S415" s="130"/>
      <c r="T415" s="130"/>
      <c r="U415" s="130"/>
      <c r="V415" s="130"/>
      <c r="W415" s="130"/>
      <c r="X415" s="163"/>
      <c r="Y415" s="163"/>
      <c r="Z415" s="163"/>
      <c r="AA415" s="163"/>
      <c r="AB415" s="163"/>
      <c r="AC415" s="163"/>
      <c r="AD415" s="163"/>
      <c r="AE415" s="163"/>
      <c r="AF415" s="163"/>
      <c r="AG415" s="163"/>
      <c r="AH415" s="163"/>
      <c r="AI415" s="163"/>
      <c r="AJ415" s="163"/>
      <c r="AK415" s="163"/>
      <c r="AL415" s="163"/>
      <c r="AM415" s="163"/>
    </row>
    <row r="416" ht="13.5" customHeight="1">
      <c r="A416" s="130"/>
      <c r="B416" s="130"/>
      <c r="C416" s="130"/>
      <c r="D416" s="130"/>
      <c r="E416" s="163"/>
      <c r="F416" s="163"/>
      <c r="G416" s="163"/>
      <c r="H416" s="130"/>
      <c r="I416" s="130"/>
      <c r="J416" s="130"/>
      <c r="K416" s="130"/>
      <c r="L416" s="163"/>
      <c r="M416" s="130"/>
      <c r="N416" s="130"/>
      <c r="O416" s="130"/>
      <c r="P416" s="130"/>
      <c r="Q416" s="130"/>
      <c r="R416" s="130"/>
      <c r="S416" s="130"/>
      <c r="T416" s="130"/>
      <c r="U416" s="130"/>
      <c r="V416" s="130"/>
      <c r="W416" s="130"/>
      <c r="X416" s="163"/>
      <c r="Y416" s="163"/>
      <c r="Z416" s="163"/>
      <c r="AA416" s="163"/>
      <c r="AB416" s="163"/>
      <c r="AC416" s="163"/>
      <c r="AD416" s="163"/>
      <c r="AE416" s="163"/>
      <c r="AF416" s="163"/>
      <c r="AG416" s="163"/>
      <c r="AH416" s="163"/>
      <c r="AI416" s="163"/>
      <c r="AJ416" s="163"/>
      <c r="AK416" s="163"/>
      <c r="AL416" s="163"/>
      <c r="AM416" s="163"/>
    </row>
    <row r="417" ht="13.5" customHeight="1">
      <c r="A417" s="130"/>
      <c r="B417" s="130"/>
      <c r="C417" s="130"/>
      <c r="D417" s="130"/>
      <c r="E417" s="163"/>
      <c r="F417" s="163"/>
      <c r="G417" s="163"/>
      <c r="H417" s="130"/>
      <c r="I417" s="130"/>
      <c r="J417" s="130"/>
      <c r="K417" s="130"/>
      <c r="L417" s="163"/>
      <c r="M417" s="130"/>
      <c r="N417" s="130"/>
      <c r="O417" s="130"/>
      <c r="P417" s="130"/>
      <c r="Q417" s="130"/>
      <c r="R417" s="130"/>
      <c r="S417" s="130"/>
      <c r="T417" s="130"/>
      <c r="U417" s="130"/>
      <c r="V417" s="130"/>
      <c r="W417" s="130"/>
      <c r="X417" s="163"/>
      <c r="Y417" s="163"/>
      <c r="Z417" s="163"/>
      <c r="AA417" s="163"/>
      <c r="AB417" s="163"/>
      <c r="AC417" s="163"/>
      <c r="AD417" s="163"/>
      <c r="AE417" s="163"/>
      <c r="AF417" s="163"/>
      <c r="AG417" s="163"/>
      <c r="AH417" s="163"/>
      <c r="AI417" s="163"/>
      <c r="AJ417" s="163"/>
      <c r="AK417" s="163"/>
      <c r="AL417" s="163"/>
      <c r="AM417" s="163"/>
    </row>
    <row r="418" ht="13.5" customHeight="1">
      <c r="A418" s="130"/>
      <c r="B418" s="130"/>
      <c r="C418" s="130"/>
      <c r="D418" s="130"/>
      <c r="E418" s="163"/>
      <c r="F418" s="163"/>
      <c r="G418" s="163"/>
      <c r="H418" s="130"/>
      <c r="I418" s="130"/>
      <c r="J418" s="130"/>
      <c r="K418" s="130"/>
      <c r="L418" s="163"/>
      <c r="M418" s="130"/>
      <c r="N418" s="130"/>
      <c r="O418" s="130"/>
      <c r="P418" s="130"/>
      <c r="Q418" s="130"/>
      <c r="R418" s="130"/>
      <c r="S418" s="130"/>
      <c r="T418" s="130"/>
      <c r="U418" s="130"/>
      <c r="V418" s="130"/>
      <c r="W418" s="130"/>
      <c r="X418" s="163"/>
      <c r="Y418" s="163"/>
      <c r="Z418" s="163"/>
      <c r="AA418" s="163"/>
      <c r="AB418" s="163"/>
      <c r="AC418" s="163"/>
      <c r="AD418" s="163"/>
      <c r="AE418" s="163"/>
      <c r="AF418" s="163"/>
      <c r="AG418" s="163"/>
      <c r="AH418" s="163"/>
      <c r="AI418" s="163"/>
      <c r="AJ418" s="163"/>
      <c r="AK418" s="163"/>
      <c r="AL418" s="163"/>
      <c r="AM418" s="163"/>
    </row>
    <row r="419" ht="13.5" customHeight="1">
      <c r="A419" s="130"/>
      <c r="B419" s="130"/>
      <c r="C419" s="130"/>
      <c r="D419" s="130"/>
      <c r="E419" s="163"/>
      <c r="F419" s="163"/>
      <c r="G419" s="163"/>
      <c r="H419" s="130"/>
      <c r="I419" s="130"/>
      <c r="J419" s="130"/>
      <c r="K419" s="130"/>
      <c r="L419" s="163"/>
      <c r="M419" s="130"/>
      <c r="N419" s="130"/>
      <c r="O419" s="130"/>
      <c r="P419" s="130"/>
      <c r="Q419" s="130"/>
      <c r="R419" s="130"/>
      <c r="S419" s="130"/>
      <c r="T419" s="130"/>
      <c r="U419" s="130"/>
      <c r="V419" s="130"/>
      <c r="W419" s="130"/>
      <c r="X419" s="163"/>
      <c r="Y419" s="163"/>
      <c r="Z419" s="163"/>
      <c r="AA419" s="163"/>
      <c r="AB419" s="163"/>
      <c r="AC419" s="163"/>
      <c r="AD419" s="163"/>
      <c r="AE419" s="163"/>
      <c r="AF419" s="163"/>
      <c r="AG419" s="163"/>
      <c r="AH419" s="163"/>
      <c r="AI419" s="163"/>
      <c r="AJ419" s="163"/>
      <c r="AK419" s="163"/>
      <c r="AL419" s="163"/>
      <c r="AM419" s="163"/>
    </row>
    <row r="420" ht="13.5" customHeight="1">
      <c r="A420" s="130"/>
      <c r="B420" s="130"/>
      <c r="C420" s="130"/>
      <c r="D420" s="130"/>
      <c r="E420" s="163"/>
      <c r="F420" s="163"/>
      <c r="G420" s="163"/>
      <c r="H420" s="130"/>
      <c r="I420" s="130"/>
      <c r="J420" s="130"/>
      <c r="K420" s="130"/>
      <c r="L420" s="163"/>
      <c r="M420" s="130"/>
      <c r="N420" s="130"/>
      <c r="O420" s="130"/>
      <c r="P420" s="130"/>
      <c r="Q420" s="130"/>
      <c r="R420" s="130"/>
      <c r="S420" s="130"/>
      <c r="T420" s="130"/>
      <c r="U420" s="130"/>
      <c r="V420" s="130"/>
      <c r="W420" s="130"/>
      <c r="X420" s="163"/>
      <c r="Y420" s="163"/>
      <c r="Z420" s="163"/>
      <c r="AA420" s="163"/>
      <c r="AB420" s="163"/>
      <c r="AC420" s="163"/>
      <c r="AD420" s="163"/>
      <c r="AE420" s="163"/>
      <c r="AF420" s="163"/>
      <c r="AG420" s="163"/>
      <c r="AH420" s="163"/>
      <c r="AI420" s="163"/>
      <c r="AJ420" s="163"/>
      <c r="AK420" s="163"/>
      <c r="AL420" s="163"/>
      <c r="AM420" s="163"/>
    </row>
    <row r="421" ht="13.5" customHeight="1">
      <c r="A421" s="130"/>
      <c r="B421" s="130"/>
      <c r="C421" s="130"/>
      <c r="D421" s="130"/>
      <c r="E421" s="163"/>
      <c r="F421" s="163"/>
      <c r="G421" s="163"/>
      <c r="H421" s="130"/>
      <c r="I421" s="130"/>
      <c r="J421" s="130"/>
      <c r="K421" s="130"/>
      <c r="L421" s="163"/>
      <c r="M421" s="130"/>
      <c r="N421" s="130"/>
      <c r="O421" s="130"/>
      <c r="P421" s="130"/>
      <c r="Q421" s="130"/>
      <c r="R421" s="130"/>
      <c r="S421" s="130"/>
      <c r="T421" s="130"/>
      <c r="U421" s="130"/>
      <c r="V421" s="130"/>
      <c r="W421" s="130"/>
      <c r="X421" s="163"/>
      <c r="Y421" s="163"/>
      <c r="Z421" s="163"/>
      <c r="AA421" s="163"/>
      <c r="AB421" s="163"/>
      <c r="AC421" s="163"/>
      <c r="AD421" s="163"/>
      <c r="AE421" s="163"/>
      <c r="AF421" s="163"/>
      <c r="AG421" s="163"/>
      <c r="AH421" s="163"/>
      <c r="AI421" s="163"/>
      <c r="AJ421" s="163"/>
      <c r="AK421" s="163"/>
      <c r="AL421" s="163"/>
      <c r="AM421" s="163"/>
    </row>
    <row r="422" ht="13.5" customHeight="1">
      <c r="A422" s="130"/>
      <c r="B422" s="130"/>
      <c r="C422" s="130"/>
      <c r="D422" s="130"/>
      <c r="E422" s="163"/>
      <c r="F422" s="163"/>
      <c r="G422" s="163"/>
      <c r="H422" s="130"/>
      <c r="I422" s="130"/>
      <c r="J422" s="130"/>
      <c r="K422" s="130"/>
      <c r="L422" s="163"/>
      <c r="M422" s="130"/>
      <c r="N422" s="130"/>
      <c r="O422" s="130"/>
      <c r="P422" s="130"/>
      <c r="Q422" s="130"/>
      <c r="R422" s="130"/>
      <c r="S422" s="130"/>
      <c r="T422" s="130"/>
      <c r="U422" s="130"/>
      <c r="V422" s="130"/>
      <c r="W422" s="130"/>
      <c r="X422" s="163"/>
      <c r="Y422" s="163"/>
      <c r="Z422" s="163"/>
      <c r="AA422" s="163"/>
      <c r="AB422" s="163"/>
      <c r="AC422" s="163"/>
      <c r="AD422" s="163"/>
      <c r="AE422" s="163"/>
      <c r="AF422" s="163"/>
      <c r="AG422" s="163"/>
      <c r="AH422" s="163"/>
      <c r="AI422" s="163"/>
      <c r="AJ422" s="163"/>
      <c r="AK422" s="163"/>
      <c r="AL422" s="163"/>
      <c r="AM422" s="163"/>
    </row>
    <row r="423" ht="13.5" customHeight="1">
      <c r="A423" s="130"/>
      <c r="B423" s="130"/>
      <c r="C423" s="130"/>
      <c r="D423" s="130"/>
      <c r="E423" s="163"/>
      <c r="F423" s="163"/>
      <c r="G423" s="163"/>
      <c r="H423" s="130"/>
      <c r="I423" s="130"/>
      <c r="J423" s="130"/>
      <c r="K423" s="130"/>
      <c r="L423" s="163"/>
      <c r="M423" s="130"/>
      <c r="N423" s="130"/>
      <c r="O423" s="130"/>
      <c r="P423" s="130"/>
      <c r="Q423" s="130"/>
      <c r="R423" s="130"/>
      <c r="S423" s="130"/>
      <c r="T423" s="130"/>
      <c r="U423" s="130"/>
      <c r="V423" s="130"/>
      <c r="W423" s="130"/>
      <c r="X423" s="163"/>
      <c r="Y423" s="163"/>
      <c r="Z423" s="163"/>
      <c r="AA423" s="163"/>
      <c r="AB423" s="163"/>
      <c r="AC423" s="163"/>
      <c r="AD423" s="163"/>
      <c r="AE423" s="163"/>
      <c r="AF423" s="163"/>
      <c r="AG423" s="163"/>
      <c r="AH423" s="163"/>
      <c r="AI423" s="163"/>
      <c r="AJ423" s="163"/>
      <c r="AK423" s="163"/>
      <c r="AL423" s="163"/>
      <c r="AM423" s="163"/>
    </row>
    <row r="424" ht="13.5" customHeight="1">
      <c r="A424" s="130"/>
      <c r="B424" s="130"/>
      <c r="C424" s="130"/>
      <c r="D424" s="130"/>
      <c r="E424" s="163"/>
      <c r="F424" s="163"/>
      <c r="G424" s="163"/>
      <c r="H424" s="130"/>
      <c r="I424" s="130"/>
      <c r="J424" s="130"/>
      <c r="K424" s="130"/>
      <c r="L424" s="163"/>
      <c r="M424" s="130"/>
      <c r="N424" s="130"/>
      <c r="O424" s="130"/>
      <c r="P424" s="130"/>
      <c r="Q424" s="130"/>
      <c r="R424" s="130"/>
      <c r="S424" s="130"/>
      <c r="T424" s="130"/>
      <c r="U424" s="130"/>
      <c r="V424" s="130"/>
      <c r="W424" s="130"/>
      <c r="X424" s="163"/>
      <c r="Y424" s="163"/>
      <c r="Z424" s="163"/>
      <c r="AA424" s="163"/>
      <c r="AB424" s="163"/>
      <c r="AC424" s="163"/>
      <c r="AD424" s="163"/>
      <c r="AE424" s="163"/>
      <c r="AF424" s="163"/>
      <c r="AG424" s="163"/>
      <c r="AH424" s="163"/>
      <c r="AI424" s="163"/>
      <c r="AJ424" s="163"/>
      <c r="AK424" s="163"/>
      <c r="AL424" s="163"/>
      <c r="AM424" s="163"/>
    </row>
    <row r="425" ht="13.5" customHeight="1">
      <c r="A425" s="130"/>
      <c r="B425" s="130"/>
      <c r="C425" s="130"/>
      <c r="D425" s="130"/>
      <c r="E425" s="163"/>
      <c r="F425" s="163"/>
      <c r="G425" s="163"/>
      <c r="H425" s="130"/>
      <c r="I425" s="130"/>
      <c r="J425" s="130"/>
      <c r="K425" s="130"/>
      <c r="L425" s="163"/>
      <c r="M425" s="130"/>
      <c r="N425" s="130"/>
      <c r="O425" s="130"/>
      <c r="P425" s="130"/>
      <c r="Q425" s="130"/>
      <c r="R425" s="130"/>
      <c r="S425" s="130"/>
      <c r="T425" s="130"/>
      <c r="U425" s="130"/>
      <c r="V425" s="130"/>
      <c r="W425" s="130"/>
      <c r="X425" s="163"/>
      <c r="Y425" s="163"/>
      <c r="Z425" s="163"/>
      <c r="AA425" s="163"/>
      <c r="AB425" s="163"/>
      <c r="AC425" s="163"/>
      <c r="AD425" s="163"/>
      <c r="AE425" s="163"/>
      <c r="AF425" s="163"/>
      <c r="AG425" s="163"/>
      <c r="AH425" s="163"/>
      <c r="AI425" s="163"/>
      <c r="AJ425" s="163"/>
      <c r="AK425" s="163"/>
      <c r="AL425" s="163"/>
      <c r="AM425" s="163"/>
    </row>
    <row r="426" ht="13.5" customHeight="1">
      <c r="A426" s="130"/>
      <c r="B426" s="130"/>
      <c r="C426" s="130"/>
      <c r="D426" s="130"/>
      <c r="E426" s="163"/>
      <c r="F426" s="163"/>
      <c r="G426" s="163"/>
      <c r="H426" s="130"/>
      <c r="I426" s="130"/>
      <c r="J426" s="130"/>
      <c r="K426" s="130"/>
      <c r="L426" s="163"/>
      <c r="M426" s="130"/>
      <c r="N426" s="130"/>
      <c r="O426" s="130"/>
      <c r="P426" s="130"/>
      <c r="Q426" s="130"/>
      <c r="R426" s="130"/>
      <c r="S426" s="130"/>
      <c r="T426" s="130"/>
      <c r="U426" s="130"/>
      <c r="V426" s="130"/>
      <c r="W426" s="130"/>
      <c r="X426" s="163"/>
      <c r="Y426" s="163"/>
      <c r="Z426" s="163"/>
      <c r="AA426" s="163"/>
      <c r="AB426" s="163"/>
      <c r="AC426" s="163"/>
      <c r="AD426" s="163"/>
      <c r="AE426" s="163"/>
      <c r="AF426" s="163"/>
      <c r="AG426" s="163"/>
      <c r="AH426" s="163"/>
      <c r="AI426" s="163"/>
      <c r="AJ426" s="163"/>
      <c r="AK426" s="163"/>
      <c r="AL426" s="163"/>
      <c r="AM426" s="163"/>
    </row>
    <row r="427" ht="13.5" customHeight="1">
      <c r="A427" s="130"/>
      <c r="B427" s="130"/>
      <c r="C427" s="130"/>
      <c r="D427" s="130"/>
      <c r="E427" s="163"/>
      <c r="F427" s="163"/>
      <c r="G427" s="163"/>
      <c r="H427" s="130"/>
      <c r="I427" s="130"/>
      <c r="J427" s="130"/>
      <c r="K427" s="130"/>
      <c r="L427" s="163"/>
      <c r="M427" s="130"/>
      <c r="N427" s="130"/>
      <c r="O427" s="130"/>
      <c r="P427" s="130"/>
      <c r="Q427" s="130"/>
      <c r="R427" s="130"/>
      <c r="S427" s="130"/>
      <c r="T427" s="130"/>
      <c r="U427" s="130"/>
      <c r="V427" s="130"/>
      <c r="W427" s="130"/>
      <c r="X427" s="163"/>
      <c r="Y427" s="163"/>
      <c r="Z427" s="163"/>
      <c r="AA427" s="163"/>
      <c r="AB427" s="163"/>
      <c r="AC427" s="163"/>
      <c r="AD427" s="163"/>
      <c r="AE427" s="163"/>
      <c r="AF427" s="163"/>
      <c r="AG427" s="163"/>
      <c r="AH427" s="163"/>
      <c r="AI427" s="163"/>
      <c r="AJ427" s="163"/>
      <c r="AK427" s="163"/>
      <c r="AL427" s="163"/>
      <c r="AM427" s="163"/>
    </row>
    <row r="428" ht="13.5" customHeight="1">
      <c r="A428" s="130"/>
      <c r="B428" s="130"/>
      <c r="C428" s="130"/>
      <c r="D428" s="130"/>
      <c r="E428" s="163"/>
      <c r="F428" s="163"/>
      <c r="G428" s="163"/>
      <c r="H428" s="130"/>
      <c r="I428" s="130"/>
      <c r="J428" s="130"/>
      <c r="K428" s="130"/>
      <c r="L428" s="163"/>
      <c r="M428" s="130"/>
      <c r="N428" s="130"/>
      <c r="O428" s="130"/>
      <c r="P428" s="130"/>
      <c r="Q428" s="130"/>
      <c r="R428" s="130"/>
      <c r="S428" s="130"/>
      <c r="T428" s="130"/>
      <c r="U428" s="130"/>
      <c r="V428" s="130"/>
      <c r="W428" s="130"/>
      <c r="X428" s="163"/>
      <c r="Y428" s="163"/>
      <c r="Z428" s="163"/>
      <c r="AA428" s="163"/>
      <c r="AB428" s="163"/>
      <c r="AC428" s="163"/>
      <c r="AD428" s="163"/>
      <c r="AE428" s="163"/>
      <c r="AF428" s="163"/>
      <c r="AG428" s="163"/>
      <c r="AH428" s="163"/>
      <c r="AI428" s="163"/>
      <c r="AJ428" s="163"/>
      <c r="AK428" s="163"/>
      <c r="AL428" s="163"/>
      <c r="AM428" s="163"/>
    </row>
    <row r="429" ht="13.5" customHeight="1">
      <c r="A429" s="130"/>
      <c r="B429" s="130"/>
      <c r="C429" s="130"/>
      <c r="D429" s="130"/>
      <c r="E429" s="163"/>
      <c r="F429" s="163"/>
      <c r="G429" s="163"/>
      <c r="H429" s="130"/>
      <c r="I429" s="130"/>
      <c r="J429" s="130"/>
      <c r="K429" s="130"/>
      <c r="L429" s="163"/>
      <c r="M429" s="130"/>
      <c r="N429" s="130"/>
      <c r="O429" s="130"/>
      <c r="P429" s="130"/>
      <c r="Q429" s="130"/>
      <c r="R429" s="130"/>
      <c r="S429" s="130"/>
      <c r="T429" s="130"/>
      <c r="U429" s="130"/>
      <c r="V429" s="130"/>
      <c r="W429" s="130"/>
      <c r="X429" s="163"/>
      <c r="Y429" s="163"/>
      <c r="Z429" s="163"/>
      <c r="AA429" s="163"/>
      <c r="AB429" s="163"/>
      <c r="AC429" s="163"/>
      <c r="AD429" s="163"/>
      <c r="AE429" s="163"/>
      <c r="AF429" s="163"/>
      <c r="AG429" s="163"/>
      <c r="AH429" s="163"/>
      <c r="AI429" s="163"/>
      <c r="AJ429" s="163"/>
      <c r="AK429" s="163"/>
      <c r="AL429" s="163"/>
      <c r="AM429" s="163"/>
    </row>
    <row r="430" ht="13.5" customHeight="1">
      <c r="A430" s="130"/>
      <c r="B430" s="130"/>
      <c r="C430" s="130"/>
      <c r="D430" s="130"/>
      <c r="E430" s="163"/>
      <c r="F430" s="163"/>
      <c r="G430" s="163"/>
      <c r="H430" s="130"/>
      <c r="I430" s="130"/>
      <c r="J430" s="130"/>
      <c r="K430" s="130"/>
      <c r="L430" s="163"/>
      <c r="M430" s="130"/>
      <c r="N430" s="130"/>
      <c r="O430" s="130"/>
      <c r="P430" s="130"/>
      <c r="Q430" s="130"/>
      <c r="R430" s="130"/>
      <c r="S430" s="130"/>
      <c r="T430" s="130"/>
      <c r="U430" s="130"/>
      <c r="V430" s="130"/>
      <c r="W430" s="130"/>
      <c r="X430" s="163"/>
      <c r="Y430" s="163"/>
      <c r="Z430" s="163"/>
      <c r="AA430" s="163"/>
      <c r="AB430" s="163"/>
      <c r="AC430" s="163"/>
      <c r="AD430" s="163"/>
      <c r="AE430" s="163"/>
      <c r="AF430" s="163"/>
      <c r="AG430" s="163"/>
      <c r="AH430" s="163"/>
      <c r="AI430" s="163"/>
      <c r="AJ430" s="163"/>
      <c r="AK430" s="163"/>
      <c r="AL430" s="163"/>
      <c r="AM430" s="163"/>
    </row>
    <row r="431" ht="13.5" customHeight="1">
      <c r="A431" s="130"/>
      <c r="B431" s="130"/>
      <c r="C431" s="130"/>
      <c r="D431" s="130"/>
      <c r="E431" s="163"/>
      <c r="F431" s="163"/>
      <c r="G431" s="163"/>
      <c r="H431" s="130"/>
      <c r="I431" s="130"/>
      <c r="J431" s="130"/>
      <c r="K431" s="130"/>
      <c r="L431" s="163"/>
      <c r="M431" s="130"/>
      <c r="N431" s="130"/>
      <c r="O431" s="130"/>
      <c r="P431" s="130"/>
      <c r="Q431" s="130"/>
      <c r="R431" s="130"/>
      <c r="S431" s="130"/>
      <c r="T431" s="130"/>
      <c r="U431" s="130"/>
      <c r="V431" s="130"/>
      <c r="W431" s="130"/>
      <c r="X431" s="163"/>
      <c r="Y431" s="163"/>
      <c r="Z431" s="163"/>
      <c r="AA431" s="163"/>
      <c r="AB431" s="163"/>
      <c r="AC431" s="163"/>
      <c r="AD431" s="163"/>
      <c r="AE431" s="163"/>
      <c r="AF431" s="163"/>
      <c r="AG431" s="163"/>
      <c r="AH431" s="163"/>
      <c r="AI431" s="163"/>
      <c r="AJ431" s="163"/>
      <c r="AK431" s="163"/>
      <c r="AL431" s="163"/>
      <c r="AM431" s="163"/>
    </row>
    <row r="432" ht="13.5" customHeight="1">
      <c r="A432" s="130"/>
      <c r="B432" s="130"/>
      <c r="C432" s="130"/>
      <c r="D432" s="130"/>
      <c r="E432" s="163"/>
      <c r="F432" s="163"/>
      <c r="G432" s="163"/>
      <c r="H432" s="130"/>
      <c r="I432" s="130"/>
      <c r="J432" s="130"/>
      <c r="K432" s="130"/>
      <c r="L432" s="163"/>
      <c r="M432" s="130"/>
      <c r="N432" s="130"/>
      <c r="O432" s="130"/>
      <c r="P432" s="130"/>
      <c r="Q432" s="130"/>
      <c r="R432" s="130"/>
      <c r="S432" s="130"/>
      <c r="T432" s="130"/>
      <c r="U432" s="130"/>
      <c r="V432" s="130"/>
      <c r="W432" s="130"/>
      <c r="X432" s="163"/>
      <c r="Y432" s="163"/>
      <c r="Z432" s="163"/>
      <c r="AA432" s="163"/>
      <c r="AB432" s="163"/>
      <c r="AC432" s="163"/>
      <c r="AD432" s="163"/>
      <c r="AE432" s="163"/>
      <c r="AF432" s="163"/>
      <c r="AG432" s="163"/>
      <c r="AH432" s="163"/>
      <c r="AI432" s="163"/>
      <c r="AJ432" s="163"/>
      <c r="AK432" s="163"/>
      <c r="AL432" s="163"/>
      <c r="AM432" s="163"/>
    </row>
    <row r="433" ht="13.5" customHeight="1">
      <c r="A433" s="130"/>
      <c r="B433" s="130"/>
      <c r="C433" s="130"/>
      <c r="D433" s="130"/>
      <c r="E433" s="163"/>
      <c r="F433" s="163"/>
      <c r="G433" s="163"/>
      <c r="H433" s="130"/>
      <c r="I433" s="130"/>
      <c r="J433" s="130"/>
      <c r="K433" s="130"/>
      <c r="L433" s="163"/>
      <c r="M433" s="130"/>
      <c r="N433" s="130"/>
      <c r="O433" s="130"/>
      <c r="P433" s="130"/>
      <c r="Q433" s="130"/>
      <c r="R433" s="130"/>
      <c r="S433" s="130"/>
      <c r="T433" s="130"/>
      <c r="U433" s="130"/>
      <c r="V433" s="130"/>
      <c r="W433" s="130"/>
      <c r="X433" s="163"/>
      <c r="Y433" s="163"/>
      <c r="Z433" s="163"/>
      <c r="AA433" s="163"/>
      <c r="AB433" s="163"/>
      <c r="AC433" s="163"/>
      <c r="AD433" s="163"/>
      <c r="AE433" s="163"/>
      <c r="AF433" s="163"/>
      <c r="AG433" s="163"/>
      <c r="AH433" s="163"/>
      <c r="AI433" s="163"/>
      <c r="AJ433" s="163"/>
      <c r="AK433" s="163"/>
      <c r="AL433" s="163"/>
      <c r="AM433" s="163"/>
    </row>
    <row r="434" ht="13.5" customHeight="1">
      <c r="A434" s="130"/>
      <c r="B434" s="130"/>
      <c r="C434" s="130"/>
      <c r="D434" s="130"/>
      <c r="E434" s="163"/>
      <c r="F434" s="163"/>
      <c r="G434" s="163"/>
      <c r="H434" s="130"/>
      <c r="I434" s="130"/>
      <c r="J434" s="130"/>
      <c r="K434" s="130"/>
      <c r="L434" s="163"/>
      <c r="M434" s="130"/>
      <c r="N434" s="130"/>
      <c r="O434" s="130"/>
      <c r="P434" s="130"/>
      <c r="Q434" s="130"/>
      <c r="R434" s="130"/>
      <c r="S434" s="130"/>
      <c r="T434" s="130"/>
      <c r="U434" s="130"/>
      <c r="V434" s="130"/>
      <c r="W434" s="130"/>
      <c r="X434" s="163"/>
      <c r="Y434" s="163"/>
      <c r="Z434" s="163"/>
      <c r="AA434" s="163"/>
      <c r="AB434" s="163"/>
      <c r="AC434" s="163"/>
      <c r="AD434" s="163"/>
      <c r="AE434" s="163"/>
      <c r="AF434" s="163"/>
      <c r="AG434" s="163"/>
      <c r="AH434" s="163"/>
      <c r="AI434" s="163"/>
      <c r="AJ434" s="163"/>
      <c r="AK434" s="163"/>
      <c r="AL434" s="163"/>
      <c r="AM434" s="163"/>
    </row>
    <row r="435" ht="13.5" customHeight="1">
      <c r="A435" s="130"/>
      <c r="B435" s="130"/>
      <c r="C435" s="130"/>
      <c r="D435" s="130"/>
      <c r="E435" s="163"/>
      <c r="F435" s="163"/>
      <c r="G435" s="163"/>
      <c r="H435" s="130"/>
      <c r="I435" s="130"/>
      <c r="J435" s="130"/>
      <c r="K435" s="130"/>
      <c r="L435" s="163"/>
      <c r="M435" s="130"/>
      <c r="N435" s="130"/>
      <c r="O435" s="130"/>
      <c r="P435" s="130"/>
      <c r="Q435" s="130"/>
      <c r="R435" s="130"/>
      <c r="S435" s="130"/>
      <c r="T435" s="130"/>
      <c r="U435" s="130"/>
      <c r="V435" s="130"/>
      <c r="W435" s="130"/>
      <c r="X435" s="163"/>
      <c r="Y435" s="163"/>
      <c r="Z435" s="163"/>
      <c r="AA435" s="163"/>
      <c r="AB435" s="163"/>
      <c r="AC435" s="163"/>
      <c r="AD435" s="163"/>
      <c r="AE435" s="163"/>
      <c r="AF435" s="163"/>
      <c r="AG435" s="163"/>
      <c r="AH435" s="163"/>
      <c r="AI435" s="163"/>
      <c r="AJ435" s="163"/>
      <c r="AK435" s="163"/>
      <c r="AL435" s="163"/>
      <c r="AM435" s="163"/>
    </row>
    <row r="436" ht="13.5" customHeight="1">
      <c r="A436" s="130"/>
      <c r="B436" s="130"/>
      <c r="C436" s="130"/>
      <c r="D436" s="130"/>
      <c r="E436" s="163"/>
      <c r="F436" s="163"/>
      <c r="G436" s="163"/>
      <c r="H436" s="130"/>
      <c r="I436" s="130"/>
      <c r="J436" s="130"/>
      <c r="K436" s="130"/>
      <c r="L436" s="163"/>
      <c r="M436" s="130"/>
      <c r="N436" s="130"/>
      <c r="O436" s="130"/>
      <c r="P436" s="130"/>
      <c r="Q436" s="130"/>
      <c r="R436" s="130"/>
      <c r="S436" s="130"/>
      <c r="T436" s="130"/>
      <c r="U436" s="130"/>
      <c r="V436" s="130"/>
      <c r="W436" s="130"/>
      <c r="X436" s="163"/>
      <c r="Y436" s="163"/>
      <c r="Z436" s="163"/>
      <c r="AA436" s="163"/>
      <c r="AB436" s="163"/>
      <c r="AC436" s="163"/>
      <c r="AD436" s="163"/>
      <c r="AE436" s="163"/>
      <c r="AF436" s="163"/>
      <c r="AG436" s="163"/>
      <c r="AH436" s="163"/>
      <c r="AI436" s="163"/>
      <c r="AJ436" s="163"/>
      <c r="AK436" s="163"/>
      <c r="AL436" s="163"/>
      <c r="AM436" s="163"/>
    </row>
    <row r="437" ht="13.5" customHeight="1">
      <c r="A437" s="130"/>
      <c r="B437" s="130"/>
      <c r="C437" s="130"/>
      <c r="D437" s="130"/>
      <c r="E437" s="163"/>
      <c r="F437" s="163"/>
      <c r="G437" s="163"/>
      <c r="H437" s="130"/>
      <c r="I437" s="130"/>
      <c r="J437" s="130"/>
      <c r="K437" s="130"/>
      <c r="L437" s="163"/>
      <c r="M437" s="130"/>
      <c r="N437" s="130"/>
      <c r="O437" s="130"/>
      <c r="P437" s="130"/>
      <c r="Q437" s="130"/>
      <c r="R437" s="130"/>
      <c r="S437" s="130"/>
      <c r="T437" s="130"/>
      <c r="U437" s="130"/>
      <c r="V437" s="130"/>
      <c r="W437" s="130"/>
      <c r="X437" s="163"/>
      <c r="Y437" s="163"/>
      <c r="Z437" s="163"/>
      <c r="AA437" s="163"/>
      <c r="AB437" s="163"/>
      <c r="AC437" s="163"/>
      <c r="AD437" s="163"/>
      <c r="AE437" s="163"/>
      <c r="AF437" s="163"/>
      <c r="AG437" s="163"/>
      <c r="AH437" s="163"/>
      <c r="AI437" s="163"/>
      <c r="AJ437" s="163"/>
      <c r="AK437" s="163"/>
      <c r="AL437" s="163"/>
      <c r="AM437" s="163"/>
    </row>
    <row r="438" ht="13.5" customHeight="1">
      <c r="A438" s="130"/>
      <c r="B438" s="130"/>
      <c r="C438" s="130"/>
      <c r="D438" s="130"/>
      <c r="E438" s="163"/>
      <c r="F438" s="163"/>
      <c r="G438" s="163"/>
      <c r="H438" s="130"/>
      <c r="I438" s="130"/>
      <c r="J438" s="130"/>
      <c r="K438" s="130"/>
      <c r="L438" s="163"/>
      <c r="M438" s="130"/>
      <c r="N438" s="130"/>
      <c r="O438" s="130"/>
      <c r="P438" s="130"/>
      <c r="Q438" s="130"/>
      <c r="R438" s="130"/>
      <c r="S438" s="130"/>
      <c r="T438" s="130"/>
      <c r="U438" s="130"/>
      <c r="V438" s="130"/>
      <c r="W438" s="130"/>
      <c r="X438" s="163"/>
      <c r="Y438" s="163"/>
      <c r="Z438" s="163"/>
      <c r="AA438" s="163"/>
      <c r="AB438" s="163"/>
      <c r="AC438" s="163"/>
      <c r="AD438" s="163"/>
      <c r="AE438" s="163"/>
      <c r="AF438" s="163"/>
      <c r="AG438" s="163"/>
      <c r="AH438" s="163"/>
      <c r="AI438" s="163"/>
      <c r="AJ438" s="163"/>
      <c r="AK438" s="163"/>
      <c r="AL438" s="163"/>
      <c r="AM438" s="163"/>
    </row>
    <row r="439" ht="13.5" customHeight="1">
      <c r="A439" s="130"/>
      <c r="B439" s="130"/>
      <c r="C439" s="130"/>
      <c r="D439" s="130"/>
      <c r="E439" s="163"/>
      <c r="F439" s="163"/>
      <c r="G439" s="163"/>
      <c r="H439" s="130"/>
      <c r="I439" s="130"/>
      <c r="J439" s="130"/>
      <c r="K439" s="130"/>
      <c r="L439" s="163"/>
      <c r="M439" s="130"/>
      <c r="N439" s="130"/>
      <c r="O439" s="130"/>
      <c r="P439" s="130"/>
      <c r="Q439" s="130"/>
      <c r="R439" s="130"/>
      <c r="S439" s="130"/>
      <c r="T439" s="130"/>
      <c r="U439" s="130"/>
      <c r="V439" s="130"/>
      <c r="W439" s="130"/>
      <c r="X439" s="163"/>
      <c r="Y439" s="163"/>
      <c r="Z439" s="163"/>
      <c r="AA439" s="163"/>
      <c r="AB439" s="163"/>
      <c r="AC439" s="163"/>
      <c r="AD439" s="163"/>
      <c r="AE439" s="163"/>
      <c r="AF439" s="163"/>
      <c r="AG439" s="163"/>
      <c r="AH439" s="163"/>
      <c r="AI439" s="163"/>
      <c r="AJ439" s="163"/>
      <c r="AK439" s="163"/>
      <c r="AL439" s="163"/>
      <c r="AM439" s="163"/>
    </row>
    <row r="440" ht="13.5" customHeight="1">
      <c r="A440" s="130"/>
      <c r="B440" s="130"/>
      <c r="C440" s="130"/>
      <c r="D440" s="130"/>
      <c r="E440" s="163"/>
      <c r="F440" s="163"/>
      <c r="G440" s="163"/>
      <c r="H440" s="130"/>
      <c r="I440" s="130"/>
      <c r="J440" s="130"/>
      <c r="K440" s="130"/>
      <c r="L440" s="163"/>
      <c r="M440" s="130"/>
      <c r="N440" s="130"/>
      <c r="O440" s="130"/>
      <c r="P440" s="130"/>
      <c r="Q440" s="130"/>
      <c r="R440" s="130"/>
      <c r="S440" s="130"/>
      <c r="T440" s="130"/>
      <c r="U440" s="130"/>
      <c r="V440" s="130"/>
      <c r="W440" s="130"/>
      <c r="X440" s="163"/>
      <c r="Y440" s="163"/>
      <c r="Z440" s="163"/>
      <c r="AA440" s="163"/>
      <c r="AB440" s="163"/>
      <c r="AC440" s="163"/>
      <c r="AD440" s="163"/>
      <c r="AE440" s="163"/>
      <c r="AF440" s="163"/>
      <c r="AG440" s="163"/>
      <c r="AH440" s="163"/>
      <c r="AI440" s="163"/>
      <c r="AJ440" s="163"/>
      <c r="AK440" s="163"/>
      <c r="AL440" s="163"/>
      <c r="AM440" s="163"/>
    </row>
    <row r="441" ht="13.5" customHeight="1">
      <c r="A441" s="130"/>
      <c r="B441" s="130"/>
      <c r="C441" s="130"/>
      <c r="D441" s="130"/>
      <c r="E441" s="163"/>
      <c r="F441" s="163"/>
      <c r="G441" s="163"/>
      <c r="H441" s="130"/>
      <c r="I441" s="130"/>
      <c r="J441" s="130"/>
      <c r="K441" s="130"/>
      <c r="L441" s="163"/>
      <c r="M441" s="130"/>
      <c r="N441" s="130"/>
      <c r="O441" s="130"/>
      <c r="P441" s="130"/>
      <c r="Q441" s="130"/>
      <c r="R441" s="130"/>
      <c r="S441" s="130"/>
      <c r="T441" s="130"/>
      <c r="U441" s="130"/>
      <c r="V441" s="130"/>
      <c r="W441" s="130"/>
      <c r="X441" s="163"/>
      <c r="Y441" s="163"/>
      <c r="Z441" s="163"/>
      <c r="AA441" s="163"/>
      <c r="AB441" s="163"/>
      <c r="AC441" s="163"/>
      <c r="AD441" s="163"/>
      <c r="AE441" s="163"/>
      <c r="AF441" s="163"/>
      <c r="AG441" s="163"/>
      <c r="AH441" s="163"/>
      <c r="AI441" s="163"/>
      <c r="AJ441" s="163"/>
      <c r="AK441" s="163"/>
      <c r="AL441" s="163"/>
      <c r="AM441" s="163"/>
    </row>
    <row r="442" ht="13.5" customHeight="1">
      <c r="A442" s="130"/>
      <c r="B442" s="130"/>
      <c r="C442" s="130"/>
      <c r="D442" s="130"/>
      <c r="E442" s="163"/>
      <c r="F442" s="163"/>
      <c r="G442" s="163"/>
      <c r="H442" s="130"/>
      <c r="I442" s="130"/>
      <c r="J442" s="130"/>
      <c r="K442" s="130"/>
      <c r="L442" s="163"/>
      <c r="M442" s="130"/>
      <c r="N442" s="130"/>
      <c r="O442" s="130"/>
      <c r="P442" s="130"/>
      <c r="Q442" s="130"/>
      <c r="R442" s="130"/>
      <c r="S442" s="130"/>
      <c r="T442" s="130"/>
      <c r="U442" s="130"/>
      <c r="V442" s="130"/>
      <c r="W442" s="130"/>
      <c r="X442" s="163"/>
      <c r="Y442" s="163"/>
      <c r="Z442" s="163"/>
      <c r="AA442" s="163"/>
      <c r="AB442" s="163"/>
      <c r="AC442" s="163"/>
      <c r="AD442" s="163"/>
      <c r="AE442" s="163"/>
      <c r="AF442" s="163"/>
      <c r="AG442" s="163"/>
      <c r="AH442" s="163"/>
      <c r="AI442" s="163"/>
      <c r="AJ442" s="163"/>
      <c r="AK442" s="163"/>
      <c r="AL442" s="163"/>
      <c r="AM442" s="163"/>
    </row>
    <row r="443" ht="13.5" customHeight="1">
      <c r="A443" s="130"/>
      <c r="B443" s="130"/>
      <c r="C443" s="130"/>
      <c r="D443" s="130"/>
      <c r="E443" s="163"/>
      <c r="F443" s="163"/>
      <c r="G443" s="163"/>
      <c r="H443" s="130"/>
      <c r="I443" s="130"/>
      <c r="J443" s="130"/>
      <c r="K443" s="130"/>
      <c r="L443" s="163"/>
      <c r="M443" s="130"/>
      <c r="N443" s="130"/>
      <c r="O443" s="130"/>
      <c r="P443" s="130"/>
      <c r="Q443" s="130"/>
      <c r="R443" s="130"/>
      <c r="S443" s="130"/>
      <c r="T443" s="130"/>
      <c r="U443" s="130"/>
      <c r="V443" s="130"/>
      <c r="W443" s="130"/>
      <c r="X443" s="163"/>
      <c r="Y443" s="163"/>
      <c r="Z443" s="163"/>
      <c r="AA443" s="163"/>
      <c r="AB443" s="163"/>
      <c r="AC443" s="163"/>
      <c r="AD443" s="163"/>
      <c r="AE443" s="163"/>
      <c r="AF443" s="163"/>
      <c r="AG443" s="163"/>
      <c r="AH443" s="163"/>
      <c r="AI443" s="163"/>
      <c r="AJ443" s="163"/>
      <c r="AK443" s="163"/>
      <c r="AL443" s="163"/>
      <c r="AM443" s="163"/>
    </row>
    <row r="444" ht="13.5" customHeight="1">
      <c r="A444" s="130"/>
      <c r="B444" s="130"/>
      <c r="C444" s="130"/>
      <c r="D444" s="130"/>
      <c r="E444" s="163"/>
      <c r="F444" s="163"/>
      <c r="G444" s="163"/>
      <c r="H444" s="130"/>
      <c r="I444" s="130"/>
      <c r="J444" s="130"/>
      <c r="K444" s="130"/>
      <c r="L444" s="163"/>
      <c r="M444" s="130"/>
      <c r="N444" s="130"/>
      <c r="O444" s="130"/>
      <c r="P444" s="130"/>
      <c r="Q444" s="130"/>
      <c r="R444" s="130"/>
      <c r="S444" s="130"/>
      <c r="T444" s="130"/>
      <c r="U444" s="130"/>
      <c r="V444" s="130"/>
      <c r="W444" s="130"/>
      <c r="X444" s="163"/>
      <c r="Y444" s="163"/>
      <c r="Z444" s="163"/>
      <c r="AA444" s="163"/>
      <c r="AB444" s="163"/>
      <c r="AC444" s="163"/>
      <c r="AD444" s="163"/>
      <c r="AE444" s="163"/>
      <c r="AF444" s="163"/>
      <c r="AG444" s="163"/>
      <c r="AH444" s="163"/>
      <c r="AI444" s="163"/>
      <c r="AJ444" s="163"/>
      <c r="AK444" s="163"/>
      <c r="AL444" s="163"/>
      <c r="AM444" s="163"/>
    </row>
    <row r="445" ht="13.5" customHeight="1">
      <c r="A445" s="130"/>
      <c r="B445" s="130"/>
      <c r="C445" s="130"/>
      <c r="D445" s="130"/>
      <c r="E445" s="163"/>
      <c r="F445" s="163"/>
      <c r="G445" s="163"/>
      <c r="H445" s="130"/>
      <c r="I445" s="130"/>
      <c r="J445" s="130"/>
      <c r="K445" s="130"/>
      <c r="L445" s="163"/>
      <c r="M445" s="130"/>
      <c r="N445" s="130"/>
      <c r="O445" s="130"/>
      <c r="P445" s="130"/>
      <c r="Q445" s="130"/>
      <c r="R445" s="130"/>
      <c r="S445" s="130"/>
      <c r="T445" s="130"/>
      <c r="U445" s="130"/>
      <c r="V445" s="130"/>
      <c r="W445" s="130"/>
      <c r="X445" s="163"/>
      <c r="Y445" s="163"/>
      <c r="Z445" s="163"/>
      <c r="AA445" s="163"/>
      <c r="AB445" s="163"/>
      <c r="AC445" s="163"/>
      <c r="AD445" s="163"/>
      <c r="AE445" s="163"/>
      <c r="AF445" s="163"/>
      <c r="AG445" s="163"/>
      <c r="AH445" s="163"/>
      <c r="AI445" s="163"/>
      <c r="AJ445" s="163"/>
      <c r="AK445" s="163"/>
      <c r="AL445" s="163"/>
      <c r="AM445" s="163"/>
    </row>
    <row r="446" ht="13.5" customHeight="1">
      <c r="A446" s="130"/>
      <c r="B446" s="130"/>
      <c r="C446" s="130"/>
      <c r="D446" s="130"/>
      <c r="E446" s="163"/>
      <c r="F446" s="163"/>
      <c r="G446" s="163"/>
      <c r="H446" s="130"/>
      <c r="I446" s="130"/>
      <c r="J446" s="130"/>
      <c r="K446" s="130"/>
      <c r="L446" s="163"/>
      <c r="M446" s="130"/>
      <c r="N446" s="130"/>
      <c r="O446" s="130"/>
      <c r="P446" s="130"/>
      <c r="Q446" s="130"/>
      <c r="R446" s="130"/>
      <c r="S446" s="130"/>
      <c r="T446" s="130"/>
      <c r="U446" s="130"/>
      <c r="V446" s="130"/>
      <c r="W446" s="130"/>
      <c r="X446" s="163"/>
      <c r="Y446" s="163"/>
      <c r="Z446" s="163"/>
      <c r="AA446" s="163"/>
      <c r="AB446" s="163"/>
      <c r="AC446" s="163"/>
      <c r="AD446" s="163"/>
      <c r="AE446" s="163"/>
      <c r="AF446" s="163"/>
      <c r="AG446" s="163"/>
      <c r="AH446" s="163"/>
      <c r="AI446" s="163"/>
      <c r="AJ446" s="163"/>
      <c r="AK446" s="163"/>
      <c r="AL446" s="163"/>
      <c r="AM446" s="163"/>
    </row>
    <row r="447" ht="13.5" customHeight="1">
      <c r="A447" s="130"/>
      <c r="B447" s="130"/>
      <c r="C447" s="130"/>
      <c r="D447" s="130"/>
      <c r="E447" s="163"/>
      <c r="F447" s="163"/>
      <c r="G447" s="163"/>
      <c r="H447" s="130"/>
      <c r="I447" s="130"/>
      <c r="J447" s="130"/>
      <c r="K447" s="130"/>
      <c r="L447" s="163"/>
      <c r="M447" s="130"/>
      <c r="N447" s="130"/>
      <c r="O447" s="130"/>
      <c r="P447" s="130"/>
      <c r="Q447" s="130"/>
      <c r="R447" s="130"/>
      <c r="S447" s="130"/>
      <c r="T447" s="130"/>
      <c r="U447" s="130"/>
      <c r="V447" s="130"/>
      <c r="W447" s="130"/>
      <c r="X447" s="163"/>
      <c r="Y447" s="163"/>
      <c r="Z447" s="163"/>
      <c r="AA447" s="163"/>
      <c r="AB447" s="163"/>
      <c r="AC447" s="163"/>
      <c r="AD447" s="163"/>
      <c r="AE447" s="163"/>
      <c r="AF447" s="163"/>
      <c r="AG447" s="163"/>
      <c r="AH447" s="163"/>
      <c r="AI447" s="163"/>
      <c r="AJ447" s="163"/>
      <c r="AK447" s="163"/>
      <c r="AL447" s="163"/>
      <c r="AM447" s="163"/>
    </row>
    <row r="448" ht="13.5" customHeight="1">
      <c r="A448" s="130"/>
      <c r="B448" s="130"/>
      <c r="C448" s="130"/>
      <c r="D448" s="130"/>
      <c r="E448" s="163"/>
      <c r="F448" s="163"/>
      <c r="G448" s="163"/>
      <c r="H448" s="130"/>
      <c r="I448" s="130"/>
      <c r="J448" s="130"/>
      <c r="K448" s="130"/>
      <c r="L448" s="163"/>
      <c r="M448" s="130"/>
      <c r="N448" s="130"/>
      <c r="O448" s="130"/>
      <c r="P448" s="130"/>
      <c r="Q448" s="130"/>
      <c r="R448" s="130"/>
      <c r="S448" s="130"/>
      <c r="T448" s="130"/>
      <c r="U448" s="130"/>
      <c r="V448" s="130"/>
      <c r="W448" s="130"/>
      <c r="X448" s="163"/>
      <c r="Y448" s="163"/>
      <c r="Z448" s="163"/>
      <c r="AA448" s="163"/>
      <c r="AB448" s="163"/>
      <c r="AC448" s="163"/>
      <c r="AD448" s="163"/>
      <c r="AE448" s="163"/>
      <c r="AF448" s="163"/>
      <c r="AG448" s="163"/>
      <c r="AH448" s="163"/>
      <c r="AI448" s="163"/>
      <c r="AJ448" s="163"/>
      <c r="AK448" s="163"/>
      <c r="AL448" s="163"/>
      <c r="AM448" s="163"/>
    </row>
    <row r="449" ht="13.5" customHeight="1">
      <c r="A449" s="130"/>
      <c r="B449" s="130"/>
      <c r="C449" s="130"/>
      <c r="D449" s="130"/>
      <c r="E449" s="163"/>
      <c r="F449" s="163"/>
      <c r="G449" s="163"/>
      <c r="H449" s="130"/>
      <c r="I449" s="130"/>
      <c r="J449" s="130"/>
      <c r="K449" s="130"/>
      <c r="L449" s="163"/>
      <c r="M449" s="130"/>
      <c r="N449" s="130"/>
      <c r="O449" s="130"/>
      <c r="P449" s="130"/>
      <c r="Q449" s="130"/>
      <c r="R449" s="130"/>
      <c r="S449" s="130"/>
      <c r="T449" s="130"/>
      <c r="U449" s="130"/>
      <c r="V449" s="130"/>
      <c r="W449" s="130"/>
      <c r="X449" s="163"/>
      <c r="Y449" s="163"/>
      <c r="Z449" s="163"/>
      <c r="AA449" s="163"/>
      <c r="AB449" s="163"/>
      <c r="AC449" s="163"/>
      <c r="AD449" s="163"/>
      <c r="AE449" s="163"/>
      <c r="AF449" s="163"/>
      <c r="AG449" s="163"/>
      <c r="AH449" s="163"/>
      <c r="AI449" s="163"/>
      <c r="AJ449" s="163"/>
      <c r="AK449" s="163"/>
      <c r="AL449" s="163"/>
      <c r="AM449" s="163"/>
    </row>
    <row r="450" ht="13.5" customHeight="1">
      <c r="A450" s="130"/>
      <c r="B450" s="130"/>
      <c r="C450" s="130"/>
      <c r="D450" s="130"/>
      <c r="E450" s="163"/>
      <c r="F450" s="163"/>
      <c r="G450" s="163"/>
      <c r="H450" s="130"/>
      <c r="I450" s="130"/>
      <c r="J450" s="130"/>
      <c r="K450" s="130"/>
      <c r="L450" s="163"/>
      <c r="M450" s="130"/>
      <c r="N450" s="130"/>
      <c r="O450" s="130"/>
      <c r="P450" s="130"/>
      <c r="Q450" s="130"/>
      <c r="R450" s="130"/>
      <c r="S450" s="130"/>
      <c r="T450" s="130"/>
      <c r="U450" s="130"/>
      <c r="V450" s="130"/>
      <c r="W450" s="130"/>
      <c r="X450" s="163"/>
      <c r="Y450" s="163"/>
      <c r="Z450" s="163"/>
      <c r="AA450" s="163"/>
      <c r="AB450" s="163"/>
      <c r="AC450" s="163"/>
      <c r="AD450" s="163"/>
      <c r="AE450" s="163"/>
      <c r="AF450" s="163"/>
      <c r="AG450" s="163"/>
      <c r="AH450" s="163"/>
      <c r="AI450" s="163"/>
      <c r="AJ450" s="163"/>
      <c r="AK450" s="163"/>
      <c r="AL450" s="163"/>
      <c r="AM450" s="163"/>
    </row>
    <row r="451" ht="13.5" customHeight="1">
      <c r="A451" s="130"/>
      <c r="B451" s="130"/>
      <c r="C451" s="130"/>
      <c r="D451" s="130"/>
      <c r="E451" s="163"/>
      <c r="F451" s="163"/>
      <c r="G451" s="163"/>
      <c r="H451" s="130"/>
      <c r="I451" s="130"/>
      <c r="J451" s="130"/>
      <c r="K451" s="130"/>
      <c r="L451" s="163"/>
      <c r="M451" s="130"/>
      <c r="N451" s="130"/>
      <c r="O451" s="130"/>
      <c r="P451" s="130"/>
      <c r="Q451" s="130"/>
      <c r="R451" s="130"/>
      <c r="S451" s="130"/>
      <c r="T451" s="130"/>
      <c r="U451" s="130"/>
      <c r="V451" s="130"/>
      <c r="W451" s="130"/>
      <c r="X451" s="163"/>
      <c r="Y451" s="163"/>
      <c r="Z451" s="163"/>
      <c r="AA451" s="163"/>
      <c r="AB451" s="163"/>
      <c r="AC451" s="163"/>
      <c r="AD451" s="163"/>
      <c r="AE451" s="163"/>
      <c r="AF451" s="163"/>
      <c r="AG451" s="163"/>
      <c r="AH451" s="163"/>
      <c r="AI451" s="163"/>
      <c r="AJ451" s="163"/>
      <c r="AK451" s="163"/>
      <c r="AL451" s="163"/>
      <c r="AM451" s="163"/>
    </row>
    <row r="452" ht="13.5" customHeight="1">
      <c r="A452" s="130"/>
      <c r="B452" s="130"/>
      <c r="C452" s="130"/>
      <c r="D452" s="130"/>
      <c r="E452" s="163"/>
      <c r="F452" s="163"/>
      <c r="G452" s="163"/>
      <c r="H452" s="130"/>
      <c r="I452" s="130"/>
      <c r="J452" s="130"/>
      <c r="K452" s="130"/>
      <c r="L452" s="163"/>
      <c r="M452" s="130"/>
      <c r="N452" s="130"/>
      <c r="O452" s="130"/>
      <c r="P452" s="130"/>
      <c r="Q452" s="130"/>
      <c r="R452" s="130"/>
      <c r="S452" s="130"/>
      <c r="T452" s="130"/>
      <c r="U452" s="130"/>
      <c r="V452" s="130"/>
      <c r="W452" s="130"/>
      <c r="X452" s="163"/>
      <c r="Y452" s="163"/>
      <c r="Z452" s="163"/>
      <c r="AA452" s="163"/>
      <c r="AB452" s="163"/>
      <c r="AC452" s="163"/>
      <c r="AD452" s="163"/>
      <c r="AE452" s="163"/>
      <c r="AF452" s="163"/>
      <c r="AG452" s="163"/>
      <c r="AH452" s="163"/>
      <c r="AI452" s="163"/>
      <c r="AJ452" s="163"/>
      <c r="AK452" s="163"/>
      <c r="AL452" s="163"/>
      <c r="AM452" s="163"/>
    </row>
    <row r="453" ht="13.5" customHeight="1">
      <c r="A453" s="130"/>
      <c r="B453" s="130"/>
      <c r="C453" s="130"/>
      <c r="D453" s="130"/>
      <c r="E453" s="163"/>
      <c r="F453" s="163"/>
      <c r="G453" s="163"/>
      <c r="H453" s="130"/>
      <c r="I453" s="130"/>
      <c r="J453" s="130"/>
      <c r="K453" s="130"/>
      <c r="L453" s="163"/>
      <c r="M453" s="130"/>
      <c r="N453" s="130"/>
      <c r="O453" s="130"/>
      <c r="P453" s="130"/>
      <c r="Q453" s="130"/>
      <c r="R453" s="130"/>
      <c r="S453" s="130"/>
      <c r="T453" s="130"/>
      <c r="U453" s="130"/>
      <c r="V453" s="130"/>
      <c r="W453" s="130"/>
      <c r="X453" s="163"/>
      <c r="Y453" s="163"/>
      <c r="Z453" s="163"/>
      <c r="AA453" s="163"/>
      <c r="AB453" s="163"/>
      <c r="AC453" s="163"/>
      <c r="AD453" s="163"/>
      <c r="AE453" s="163"/>
      <c r="AF453" s="163"/>
      <c r="AG453" s="163"/>
      <c r="AH453" s="163"/>
      <c r="AI453" s="163"/>
      <c r="AJ453" s="163"/>
      <c r="AK453" s="163"/>
      <c r="AL453" s="163"/>
      <c r="AM453" s="163"/>
    </row>
    <row r="454" ht="13.5" customHeight="1">
      <c r="A454" s="130"/>
      <c r="B454" s="130"/>
      <c r="C454" s="130"/>
      <c r="D454" s="130"/>
      <c r="E454" s="163"/>
      <c r="F454" s="163"/>
      <c r="G454" s="163"/>
      <c r="H454" s="130"/>
      <c r="I454" s="130"/>
      <c r="J454" s="130"/>
      <c r="K454" s="130"/>
      <c r="L454" s="163"/>
      <c r="M454" s="130"/>
      <c r="N454" s="130"/>
      <c r="O454" s="130"/>
      <c r="P454" s="130"/>
      <c r="Q454" s="130"/>
      <c r="R454" s="130"/>
      <c r="S454" s="130"/>
      <c r="T454" s="130"/>
      <c r="U454" s="130"/>
      <c r="V454" s="130"/>
      <c r="W454" s="130"/>
      <c r="X454" s="163"/>
      <c r="Y454" s="163"/>
      <c r="Z454" s="163"/>
      <c r="AA454" s="163"/>
      <c r="AB454" s="163"/>
      <c r="AC454" s="163"/>
      <c r="AD454" s="163"/>
      <c r="AE454" s="163"/>
      <c r="AF454" s="163"/>
      <c r="AG454" s="163"/>
      <c r="AH454" s="163"/>
      <c r="AI454" s="163"/>
      <c r="AJ454" s="163"/>
      <c r="AK454" s="163"/>
      <c r="AL454" s="163"/>
      <c r="AM454" s="163"/>
    </row>
    <row r="455" ht="13.5" customHeight="1">
      <c r="A455" s="130"/>
      <c r="B455" s="130"/>
      <c r="C455" s="130"/>
      <c r="D455" s="130"/>
      <c r="E455" s="163"/>
      <c r="F455" s="163"/>
      <c r="G455" s="163"/>
      <c r="H455" s="130"/>
      <c r="I455" s="130"/>
      <c r="J455" s="130"/>
      <c r="K455" s="130"/>
      <c r="L455" s="163"/>
      <c r="M455" s="130"/>
      <c r="N455" s="130"/>
      <c r="O455" s="130"/>
      <c r="P455" s="130"/>
      <c r="Q455" s="130"/>
      <c r="R455" s="130"/>
      <c r="S455" s="130"/>
      <c r="T455" s="130"/>
      <c r="U455" s="130"/>
      <c r="V455" s="130"/>
      <c r="W455" s="130"/>
      <c r="X455" s="163"/>
      <c r="Y455" s="163"/>
      <c r="Z455" s="163"/>
      <c r="AA455" s="163"/>
      <c r="AB455" s="163"/>
      <c r="AC455" s="163"/>
      <c r="AD455" s="163"/>
      <c r="AE455" s="163"/>
      <c r="AF455" s="163"/>
      <c r="AG455" s="163"/>
      <c r="AH455" s="163"/>
      <c r="AI455" s="163"/>
      <c r="AJ455" s="163"/>
      <c r="AK455" s="163"/>
      <c r="AL455" s="163"/>
      <c r="AM455" s="163"/>
    </row>
    <row r="456" ht="13.5" customHeight="1">
      <c r="A456" s="130"/>
      <c r="B456" s="130"/>
      <c r="C456" s="130"/>
      <c r="D456" s="130"/>
      <c r="E456" s="163"/>
      <c r="F456" s="163"/>
      <c r="G456" s="163"/>
      <c r="H456" s="130"/>
      <c r="I456" s="130"/>
      <c r="J456" s="130"/>
      <c r="K456" s="130"/>
      <c r="L456" s="163"/>
      <c r="M456" s="130"/>
      <c r="N456" s="130"/>
      <c r="O456" s="130"/>
      <c r="P456" s="130"/>
      <c r="Q456" s="130"/>
      <c r="R456" s="130"/>
      <c r="S456" s="130"/>
      <c r="T456" s="130"/>
      <c r="U456" s="130"/>
      <c r="V456" s="130"/>
      <c r="W456" s="130"/>
      <c r="X456" s="163"/>
      <c r="Y456" s="163"/>
      <c r="Z456" s="163"/>
      <c r="AA456" s="163"/>
      <c r="AB456" s="163"/>
      <c r="AC456" s="163"/>
      <c r="AD456" s="163"/>
      <c r="AE456" s="163"/>
      <c r="AF456" s="163"/>
      <c r="AG456" s="163"/>
      <c r="AH456" s="163"/>
      <c r="AI456" s="163"/>
      <c r="AJ456" s="163"/>
      <c r="AK456" s="163"/>
      <c r="AL456" s="163"/>
      <c r="AM456" s="163"/>
    </row>
    <row r="457" ht="13.5" customHeight="1">
      <c r="A457" s="130"/>
      <c r="B457" s="130"/>
      <c r="C457" s="130"/>
      <c r="D457" s="130"/>
      <c r="E457" s="163"/>
      <c r="F457" s="163"/>
      <c r="G457" s="163"/>
      <c r="H457" s="130"/>
      <c r="I457" s="130"/>
      <c r="J457" s="130"/>
      <c r="K457" s="130"/>
      <c r="L457" s="163"/>
      <c r="M457" s="130"/>
      <c r="N457" s="130"/>
      <c r="O457" s="130"/>
      <c r="P457" s="130"/>
      <c r="Q457" s="130"/>
      <c r="R457" s="130"/>
      <c r="S457" s="130"/>
      <c r="T457" s="130"/>
      <c r="U457" s="130"/>
      <c r="V457" s="130"/>
      <c r="W457" s="130"/>
      <c r="X457" s="163"/>
      <c r="Y457" s="163"/>
      <c r="Z457" s="163"/>
      <c r="AA457" s="163"/>
      <c r="AB457" s="163"/>
      <c r="AC457" s="163"/>
      <c r="AD457" s="163"/>
      <c r="AE457" s="163"/>
      <c r="AF457" s="163"/>
      <c r="AG457" s="163"/>
      <c r="AH457" s="163"/>
      <c r="AI457" s="163"/>
      <c r="AJ457" s="163"/>
      <c r="AK457" s="163"/>
      <c r="AL457" s="163"/>
      <c r="AM457" s="163"/>
    </row>
    <row r="458" ht="13.5" customHeight="1">
      <c r="A458" s="130"/>
      <c r="B458" s="130"/>
      <c r="C458" s="130"/>
      <c r="D458" s="130"/>
      <c r="E458" s="163"/>
      <c r="F458" s="163"/>
      <c r="G458" s="163"/>
      <c r="H458" s="130"/>
      <c r="I458" s="130"/>
      <c r="J458" s="130"/>
      <c r="K458" s="130"/>
      <c r="L458" s="163"/>
      <c r="M458" s="130"/>
      <c r="N458" s="130"/>
      <c r="O458" s="130"/>
      <c r="P458" s="130"/>
      <c r="Q458" s="130"/>
      <c r="R458" s="130"/>
      <c r="S458" s="130"/>
      <c r="T458" s="130"/>
      <c r="U458" s="130"/>
      <c r="V458" s="130"/>
      <c r="W458" s="130"/>
      <c r="X458" s="163"/>
      <c r="Y458" s="163"/>
      <c r="Z458" s="163"/>
      <c r="AA458" s="163"/>
      <c r="AB458" s="163"/>
      <c r="AC458" s="163"/>
      <c r="AD458" s="163"/>
      <c r="AE458" s="163"/>
      <c r="AF458" s="163"/>
      <c r="AG458" s="163"/>
      <c r="AH458" s="163"/>
      <c r="AI458" s="163"/>
      <c r="AJ458" s="163"/>
      <c r="AK458" s="163"/>
      <c r="AL458" s="163"/>
      <c r="AM458" s="163"/>
    </row>
    <row r="459" ht="13.5" customHeight="1">
      <c r="A459" s="130"/>
      <c r="B459" s="130"/>
      <c r="C459" s="130"/>
      <c r="D459" s="130"/>
      <c r="E459" s="163"/>
      <c r="F459" s="163"/>
      <c r="G459" s="163"/>
      <c r="H459" s="130"/>
      <c r="I459" s="130"/>
      <c r="J459" s="130"/>
      <c r="K459" s="130"/>
      <c r="L459" s="163"/>
      <c r="M459" s="130"/>
      <c r="N459" s="130"/>
      <c r="O459" s="130"/>
      <c r="P459" s="130"/>
      <c r="Q459" s="130"/>
      <c r="R459" s="130"/>
      <c r="S459" s="130"/>
      <c r="T459" s="130"/>
      <c r="U459" s="130"/>
      <c r="V459" s="130"/>
      <c r="W459" s="130"/>
      <c r="X459" s="163"/>
      <c r="Y459" s="163"/>
      <c r="Z459" s="163"/>
      <c r="AA459" s="163"/>
      <c r="AB459" s="163"/>
      <c r="AC459" s="163"/>
      <c r="AD459" s="163"/>
      <c r="AE459" s="163"/>
      <c r="AF459" s="163"/>
      <c r="AG459" s="163"/>
      <c r="AH459" s="163"/>
      <c r="AI459" s="163"/>
      <c r="AJ459" s="163"/>
      <c r="AK459" s="163"/>
      <c r="AL459" s="163"/>
      <c r="AM459" s="163"/>
    </row>
    <row r="460" ht="13.5" customHeight="1">
      <c r="A460" s="130"/>
      <c r="B460" s="130"/>
      <c r="C460" s="130"/>
      <c r="D460" s="130"/>
      <c r="E460" s="163"/>
      <c r="F460" s="163"/>
      <c r="G460" s="163"/>
      <c r="H460" s="130"/>
      <c r="I460" s="130"/>
      <c r="J460" s="130"/>
      <c r="K460" s="130"/>
      <c r="L460" s="163"/>
      <c r="M460" s="130"/>
      <c r="N460" s="130"/>
      <c r="O460" s="130"/>
      <c r="P460" s="130"/>
      <c r="Q460" s="130"/>
      <c r="R460" s="130"/>
      <c r="S460" s="130"/>
      <c r="T460" s="130"/>
      <c r="U460" s="130"/>
      <c r="V460" s="130"/>
      <c r="W460" s="130"/>
      <c r="X460" s="163"/>
      <c r="Y460" s="163"/>
      <c r="Z460" s="163"/>
      <c r="AA460" s="163"/>
      <c r="AB460" s="163"/>
      <c r="AC460" s="163"/>
      <c r="AD460" s="163"/>
      <c r="AE460" s="163"/>
      <c r="AF460" s="163"/>
      <c r="AG460" s="163"/>
      <c r="AH460" s="163"/>
      <c r="AI460" s="163"/>
      <c r="AJ460" s="163"/>
      <c r="AK460" s="163"/>
      <c r="AL460" s="163"/>
      <c r="AM460" s="163"/>
    </row>
    <row r="461" ht="13.5" customHeight="1">
      <c r="A461" s="130"/>
      <c r="B461" s="130"/>
      <c r="C461" s="130"/>
      <c r="D461" s="130"/>
      <c r="E461" s="163"/>
      <c r="F461" s="163"/>
      <c r="G461" s="163"/>
      <c r="H461" s="130"/>
      <c r="I461" s="130"/>
      <c r="J461" s="130"/>
      <c r="K461" s="130"/>
      <c r="L461" s="163"/>
      <c r="M461" s="130"/>
      <c r="N461" s="130"/>
      <c r="O461" s="130"/>
      <c r="P461" s="130"/>
      <c r="Q461" s="130"/>
      <c r="R461" s="130"/>
      <c r="S461" s="130"/>
      <c r="T461" s="130"/>
      <c r="U461" s="130"/>
      <c r="V461" s="130"/>
      <c r="W461" s="130"/>
      <c r="X461" s="163"/>
      <c r="Y461" s="163"/>
      <c r="Z461" s="163"/>
      <c r="AA461" s="163"/>
      <c r="AB461" s="163"/>
      <c r="AC461" s="163"/>
      <c r="AD461" s="163"/>
      <c r="AE461" s="163"/>
      <c r="AF461" s="163"/>
      <c r="AG461" s="163"/>
      <c r="AH461" s="163"/>
      <c r="AI461" s="163"/>
      <c r="AJ461" s="163"/>
      <c r="AK461" s="163"/>
      <c r="AL461" s="163"/>
      <c r="AM461" s="163"/>
    </row>
    <row r="462" ht="13.5" customHeight="1">
      <c r="A462" s="130"/>
      <c r="B462" s="130"/>
      <c r="C462" s="130"/>
      <c r="D462" s="130"/>
      <c r="E462" s="163"/>
      <c r="F462" s="163"/>
      <c r="G462" s="163"/>
      <c r="H462" s="130"/>
      <c r="I462" s="130"/>
      <c r="J462" s="130"/>
      <c r="K462" s="130"/>
      <c r="L462" s="163"/>
      <c r="M462" s="130"/>
      <c r="N462" s="130"/>
      <c r="O462" s="130"/>
      <c r="P462" s="130"/>
      <c r="Q462" s="130"/>
      <c r="R462" s="130"/>
      <c r="S462" s="130"/>
      <c r="T462" s="130"/>
      <c r="U462" s="130"/>
      <c r="V462" s="130"/>
      <c r="W462" s="130"/>
      <c r="X462" s="163"/>
      <c r="Y462" s="163"/>
      <c r="Z462" s="163"/>
      <c r="AA462" s="163"/>
      <c r="AB462" s="163"/>
      <c r="AC462" s="163"/>
      <c r="AD462" s="163"/>
      <c r="AE462" s="163"/>
      <c r="AF462" s="163"/>
      <c r="AG462" s="163"/>
      <c r="AH462" s="163"/>
      <c r="AI462" s="163"/>
      <c r="AJ462" s="163"/>
      <c r="AK462" s="163"/>
      <c r="AL462" s="163"/>
      <c r="AM462" s="163"/>
    </row>
    <row r="463" ht="13.5" customHeight="1">
      <c r="A463" s="130"/>
      <c r="B463" s="130"/>
      <c r="C463" s="130"/>
      <c r="D463" s="130"/>
      <c r="E463" s="163"/>
      <c r="F463" s="163"/>
      <c r="G463" s="163"/>
      <c r="H463" s="130"/>
      <c r="I463" s="130"/>
      <c r="J463" s="130"/>
      <c r="K463" s="130"/>
      <c r="L463" s="163"/>
      <c r="M463" s="130"/>
      <c r="N463" s="130"/>
      <c r="O463" s="130"/>
      <c r="P463" s="130"/>
      <c r="Q463" s="130"/>
      <c r="R463" s="130"/>
      <c r="S463" s="130"/>
      <c r="T463" s="130"/>
      <c r="U463" s="130"/>
      <c r="V463" s="130"/>
      <c r="W463" s="130"/>
      <c r="X463" s="163"/>
      <c r="Y463" s="163"/>
      <c r="Z463" s="163"/>
      <c r="AA463" s="163"/>
      <c r="AB463" s="163"/>
      <c r="AC463" s="163"/>
      <c r="AD463" s="163"/>
      <c r="AE463" s="163"/>
      <c r="AF463" s="163"/>
      <c r="AG463" s="163"/>
      <c r="AH463" s="163"/>
      <c r="AI463" s="163"/>
      <c r="AJ463" s="163"/>
      <c r="AK463" s="163"/>
      <c r="AL463" s="163"/>
      <c r="AM463" s="163"/>
    </row>
    <row r="464" ht="13.5" customHeight="1">
      <c r="A464" s="130"/>
      <c r="B464" s="130"/>
      <c r="C464" s="130"/>
      <c r="D464" s="130"/>
      <c r="E464" s="163"/>
      <c r="F464" s="163"/>
      <c r="G464" s="163"/>
      <c r="H464" s="130"/>
      <c r="I464" s="130"/>
      <c r="J464" s="130"/>
      <c r="K464" s="130"/>
      <c r="L464" s="163"/>
      <c r="M464" s="130"/>
      <c r="N464" s="130"/>
      <c r="O464" s="130"/>
      <c r="P464" s="130"/>
      <c r="Q464" s="130"/>
      <c r="R464" s="130"/>
      <c r="S464" s="130"/>
      <c r="T464" s="130"/>
      <c r="U464" s="130"/>
      <c r="V464" s="130"/>
      <c r="W464" s="130"/>
      <c r="X464" s="163"/>
      <c r="Y464" s="163"/>
      <c r="Z464" s="163"/>
      <c r="AA464" s="163"/>
      <c r="AB464" s="163"/>
      <c r="AC464" s="163"/>
      <c r="AD464" s="163"/>
      <c r="AE464" s="163"/>
      <c r="AF464" s="163"/>
      <c r="AG464" s="163"/>
      <c r="AH464" s="163"/>
      <c r="AI464" s="163"/>
      <c r="AJ464" s="163"/>
      <c r="AK464" s="163"/>
      <c r="AL464" s="163"/>
      <c r="AM464" s="163"/>
    </row>
    <row r="465" ht="13.5" customHeight="1">
      <c r="A465" s="130"/>
      <c r="B465" s="130"/>
      <c r="C465" s="130"/>
      <c r="D465" s="130"/>
      <c r="E465" s="163"/>
      <c r="F465" s="163"/>
      <c r="G465" s="163"/>
      <c r="H465" s="130"/>
      <c r="I465" s="130"/>
      <c r="J465" s="130"/>
      <c r="K465" s="130"/>
      <c r="L465" s="163"/>
      <c r="M465" s="130"/>
      <c r="N465" s="130"/>
      <c r="O465" s="130"/>
      <c r="P465" s="130"/>
      <c r="Q465" s="130"/>
      <c r="R465" s="130"/>
      <c r="S465" s="130"/>
      <c r="T465" s="130"/>
      <c r="U465" s="130"/>
      <c r="V465" s="130"/>
      <c r="W465" s="130"/>
      <c r="X465" s="163"/>
      <c r="Y465" s="163"/>
      <c r="Z465" s="163"/>
      <c r="AA465" s="163"/>
      <c r="AB465" s="163"/>
      <c r="AC465" s="163"/>
      <c r="AD465" s="163"/>
      <c r="AE465" s="163"/>
      <c r="AF465" s="163"/>
      <c r="AG465" s="163"/>
      <c r="AH465" s="163"/>
      <c r="AI465" s="163"/>
      <c r="AJ465" s="163"/>
      <c r="AK465" s="163"/>
      <c r="AL465" s="163"/>
      <c r="AM465" s="163"/>
    </row>
    <row r="466" ht="13.5" customHeight="1">
      <c r="A466" s="130"/>
      <c r="B466" s="130"/>
      <c r="C466" s="130"/>
      <c r="D466" s="130"/>
      <c r="E466" s="163"/>
      <c r="F466" s="163"/>
      <c r="G466" s="163"/>
      <c r="H466" s="130"/>
      <c r="I466" s="130"/>
      <c r="J466" s="130"/>
      <c r="K466" s="130"/>
      <c r="L466" s="163"/>
      <c r="M466" s="130"/>
      <c r="N466" s="130"/>
      <c r="O466" s="130"/>
      <c r="P466" s="130"/>
      <c r="Q466" s="130"/>
      <c r="R466" s="130"/>
      <c r="S466" s="130"/>
      <c r="T466" s="130"/>
      <c r="U466" s="130"/>
      <c r="V466" s="130"/>
      <c r="W466" s="130"/>
      <c r="X466" s="163"/>
      <c r="Y466" s="163"/>
      <c r="Z466" s="163"/>
      <c r="AA466" s="163"/>
      <c r="AB466" s="163"/>
      <c r="AC466" s="163"/>
      <c r="AD466" s="163"/>
      <c r="AE466" s="163"/>
      <c r="AF466" s="163"/>
      <c r="AG466" s="163"/>
      <c r="AH466" s="163"/>
      <c r="AI466" s="163"/>
      <c r="AJ466" s="163"/>
      <c r="AK466" s="163"/>
      <c r="AL466" s="163"/>
      <c r="AM466" s="163"/>
    </row>
    <row r="467" ht="13.5" customHeight="1">
      <c r="A467" s="130"/>
      <c r="B467" s="130"/>
      <c r="C467" s="130"/>
      <c r="D467" s="130"/>
      <c r="E467" s="163"/>
      <c r="F467" s="163"/>
      <c r="G467" s="163"/>
      <c r="H467" s="130"/>
      <c r="I467" s="130"/>
      <c r="J467" s="130"/>
      <c r="K467" s="130"/>
      <c r="L467" s="163"/>
      <c r="M467" s="130"/>
      <c r="N467" s="130"/>
      <c r="O467" s="130"/>
      <c r="P467" s="130"/>
      <c r="Q467" s="130"/>
      <c r="R467" s="130"/>
      <c r="S467" s="130"/>
      <c r="T467" s="130"/>
      <c r="U467" s="130"/>
      <c r="V467" s="130"/>
      <c r="W467" s="130"/>
      <c r="X467" s="163"/>
      <c r="Y467" s="163"/>
      <c r="Z467" s="163"/>
      <c r="AA467" s="163"/>
      <c r="AB467" s="163"/>
      <c r="AC467" s="163"/>
      <c r="AD467" s="163"/>
      <c r="AE467" s="163"/>
      <c r="AF467" s="163"/>
      <c r="AG467" s="163"/>
      <c r="AH467" s="163"/>
      <c r="AI467" s="163"/>
      <c r="AJ467" s="163"/>
      <c r="AK467" s="163"/>
      <c r="AL467" s="163"/>
      <c r="AM467" s="163"/>
    </row>
    <row r="468" ht="13.5" customHeight="1">
      <c r="A468" s="130"/>
      <c r="B468" s="130"/>
      <c r="C468" s="130"/>
      <c r="D468" s="130"/>
      <c r="E468" s="163"/>
      <c r="F468" s="163"/>
      <c r="G468" s="163"/>
      <c r="H468" s="130"/>
      <c r="I468" s="130"/>
      <c r="J468" s="130"/>
      <c r="K468" s="130"/>
      <c r="L468" s="163"/>
      <c r="M468" s="130"/>
      <c r="N468" s="130"/>
      <c r="O468" s="130"/>
      <c r="P468" s="130"/>
      <c r="Q468" s="130"/>
      <c r="R468" s="130"/>
      <c r="S468" s="130"/>
      <c r="T468" s="130"/>
      <c r="U468" s="130"/>
      <c r="V468" s="130"/>
      <c r="W468" s="130"/>
      <c r="X468" s="163"/>
      <c r="Y468" s="163"/>
      <c r="Z468" s="163"/>
      <c r="AA468" s="163"/>
      <c r="AB468" s="163"/>
      <c r="AC468" s="163"/>
      <c r="AD468" s="163"/>
      <c r="AE468" s="163"/>
      <c r="AF468" s="163"/>
      <c r="AG468" s="163"/>
      <c r="AH468" s="163"/>
      <c r="AI468" s="163"/>
      <c r="AJ468" s="163"/>
      <c r="AK468" s="163"/>
      <c r="AL468" s="163"/>
      <c r="AM468" s="163"/>
    </row>
    <row r="469" ht="13.5" customHeight="1">
      <c r="A469" s="130"/>
      <c r="B469" s="130"/>
      <c r="C469" s="130"/>
      <c r="D469" s="130"/>
      <c r="E469" s="163"/>
      <c r="F469" s="163"/>
      <c r="G469" s="163"/>
      <c r="H469" s="130"/>
      <c r="I469" s="130"/>
      <c r="J469" s="130"/>
      <c r="K469" s="130"/>
      <c r="L469" s="163"/>
      <c r="M469" s="130"/>
      <c r="N469" s="130"/>
      <c r="O469" s="130"/>
      <c r="P469" s="130"/>
      <c r="Q469" s="130"/>
      <c r="R469" s="130"/>
      <c r="S469" s="130"/>
      <c r="T469" s="130"/>
      <c r="U469" s="130"/>
      <c r="V469" s="130"/>
      <c r="W469" s="130"/>
      <c r="X469" s="163"/>
      <c r="Y469" s="163"/>
      <c r="Z469" s="163"/>
      <c r="AA469" s="163"/>
      <c r="AB469" s="163"/>
      <c r="AC469" s="163"/>
      <c r="AD469" s="163"/>
      <c r="AE469" s="163"/>
      <c r="AF469" s="163"/>
      <c r="AG469" s="163"/>
      <c r="AH469" s="163"/>
      <c r="AI469" s="163"/>
      <c r="AJ469" s="163"/>
      <c r="AK469" s="163"/>
      <c r="AL469" s="163"/>
      <c r="AM469" s="163"/>
    </row>
    <row r="470" ht="13.5" customHeight="1">
      <c r="A470" s="130"/>
      <c r="B470" s="130"/>
      <c r="C470" s="130"/>
      <c r="D470" s="130"/>
      <c r="E470" s="163"/>
      <c r="F470" s="163"/>
      <c r="G470" s="163"/>
      <c r="H470" s="130"/>
      <c r="I470" s="130"/>
      <c r="J470" s="130"/>
      <c r="K470" s="130"/>
      <c r="L470" s="163"/>
      <c r="M470" s="130"/>
      <c r="N470" s="130"/>
      <c r="O470" s="130"/>
      <c r="P470" s="130"/>
      <c r="Q470" s="130"/>
      <c r="R470" s="130"/>
      <c r="S470" s="130"/>
      <c r="T470" s="130"/>
      <c r="U470" s="130"/>
      <c r="V470" s="130"/>
      <c r="W470" s="130"/>
      <c r="X470" s="163"/>
      <c r="Y470" s="163"/>
      <c r="Z470" s="163"/>
      <c r="AA470" s="163"/>
      <c r="AB470" s="163"/>
      <c r="AC470" s="163"/>
      <c r="AD470" s="163"/>
      <c r="AE470" s="163"/>
      <c r="AF470" s="163"/>
      <c r="AG470" s="163"/>
      <c r="AH470" s="163"/>
      <c r="AI470" s="163"/>
      <c r="AJ470" s="163"/>
      <c r="AK470" s="163"/>
      <c r="AL470" s="163"/>
      <c r="AM470" s="163"/>
    </row>
    <row r="471" ht="13.5" customHeight="1">
      <c r="A471" s="130"/>
      <c r="B471" s="130"/>
      <c r="C471" s="130"/>
      <c r="D471" s="130"/>
      <c r="E471" s="163"/>
      <c r="F471" s="163"/>
      <c r="G471" s="163"/>
      <c r="H471" s="130"/>
      <c r="I471" s="130"/>
      <c r="J471" s="130"/>
      <c r="K471" s="130"/>
      <c r="L471" s="163"/>
      <c r="M471" s="130"/>
      <c r="N471" s="130"/>
      <c r="O471" s="130"/>
      <c r="P471" s="130"/>
      <c r="Q471" s="130"/>
      <c r="R471" s="130"/>
      <c r="S471" s="130"/>
      <c r="T471" s="130"/>
      <c r="U471" s="130"/>
      <c r="V471" s="130"/>
      <c r="W471" s="130"/>
      <c r="X471" s="163"/>
      <c r="Y471" s="163"/>
      <c r="Z471" s="163"/>
      <c r="AA471" s="163"/>
      <c r="AB471" s="163"/>
      <c r="AC471" s="163"/>
      <c r="AD471" s="163"/>
      <c r="AE471" s="163"/>
      <c r="AF471" s="163"/>
      <c r="AG471" s="163"/>
      <c r="AH471" s="163"/>
      <c r="AI471" s="163"/>
      <c r="AJ471" s="163"/>
      <c r="AK471" s="163"/>
      <c r="AL471" s="163"/>
      <c r="AM471" s="163"/>
    </row>
    <row r="472" ht="13.5" customHeight="1">
      <c r="A472" s="130"/>
      <c r="B472" s="130"/>
      <c r="C472" s="130"/>
      <c r="D472" s="130"/>
      <c r="E472" s="163"/>
      <c r="F472" s="163"/>
      <c r="G472" s="163"/>
      <c r="H472" s="130"/>
      <c r="I472" s="130"/>
      <c r="J472" s="130"/>
      <c r="K472" s="130"/>
      <c r="L472" s="163"/>
      <c r="M472" s="130"/>
      <c r="N472" s="130"/>
      <c r="O472" s="130"/>
      <c r="P472" s="130"/>
      <c r="Q472" s="130"/>
      <c r="R472" s="130"/>
      <c r="S472" s="130"/>
      <c r="T472" s="130"/>
      <c r="U472" s="130"/>
      <c r="V472" s="130"/>
      <c r="W472" s="130"/>
      <c r="X472" s="163"/>
      <c r="Y472" s="163"/>
      <c r="Z472" s="163"/>
      <c r="AA472" s="163"/>
      <c r="AB472" s="163"/>
      <c r="AC472" s="163"/>
      <c r="AD472" s="163"/>
      <c r="AE472" s="163"/>
      <c r="AF472" s="163"/>
      <c r="AG472" s="163"/>
      <c r="AH472" s="163"/>
      <c r="AI472" s="163"/>
      <c r="AJ472" s="163"/>
      <c r="AK472" s="163"/>
      <c r="AL472" s="163"/>
      <c r="AM472" s="163"/>
    </row>
    <row r="473" ht="13.5" customHeight="1">
      <c r="A473" s="130"/>
      <c r="B473" s="130"/>
      <c r="C473" s="130"/>
      <c r="D473" s="130"/>
      <c r="E473" s="163"/>
      <c r="F473" s="163"/>
      <c r="G473" s="163"/>
      <c r="H473" s="130"/>
      <c r="I473" s="130"/>
      <c r="J473" s="130"/>
      <c r="K473" s="130"/>
      <c r="L473" s="163"/>
      <c r="M473" s="130"/>
      <c r="N473" s="130"/>
      <c r="O473" s="130"/>
      <c r="P473" s="130"/>
      <c r="Q473" s="130"/>
      <c r="R473" s="130"/>
      <c r="S473" s="130"/>
      <c r="T473" s="130"/>
      <c r="U473" s="130"/>
      <c r="V473" s="130"/>
      <c r="W473" s="130"/>
      <c r="X473" s="163"/>
      <c r="Y473" s="163"/>
      <c r="Z473" s="163"/>
      <c r="AA473" s="163"/>
      <c r="AB473" s="163"/>
      <c r="AC473" s="163"/>
      <c r="AD473" s="163"/>
      <c r="AE473" s="163"/>
      <c r="AF473" s="163"/>
      <c r="AG473" s="163"/>
      <c r="AH473" s="163"/>
      <c r="AI473" s="163"/>
      <c r="AJ473" s="163"/>
      <c r="AK473" s="163"/>
      <c r="AL473" s="163"/>
      <c r="AM473" s="163"/>
    </row>
    <row r="474" ht="13.5" customHeight="1">
      <c r="A474" s="130"/>
      <c r="B474" s="130"/>
      <c r="C474" s="130"/>
      <c r="D474" s="130"/>
      <c r="E474" s="163"/>
      <c r="F474" s="163"/>
      <c r="G474" s="163"/>
      <c r="H474" s="130"/>
      <c r="I474" s="130"/>
      <c r="J474" s="130"/>
      <c r="K474" s="130"/>
      <c r="L474" s="163"/>
      <c r="M474" s="130"/>
      <c r="N474" s="130"/>
      <c r="O474" s="130"/>
      <c r="P474" s="130"/>
      <c r="Q474" s="130"/>
      <c r="R474" s="130"/>
      <c r="S474" s="130"/>
      <c r="T474" s="130"/>
      <c r="U474" s="130"/>
      <c r="V474" s="130"/>
      <c r="W474" s="130"/>
      <c r="X474" s="163"/>
      <c r="Y474" s="163"/>
      <c r="Z474" s="163"/>
      <c r="AA474" s="163"/>
      <c r="AB474" s="163"/>
      <c r="AC474" s="163"/>
      <c r="AD474" s="163"/>
      <c r="AE474" s="163"/>
      <c r="AF474" s="163"/>
      <c r="AG474" s="163"/>
      <c r="AH474" s="163"/>
      <c r="AI474" s="163"/>
      <c r="AJ474" s="163"/>
      <c r="AK474" s="163"/>
      <c r="AL474" s="163"/>
      <c r="AM474" s="163"/>
    </row>
    <row r="475" ht="13.5" customHeight="1">
      <c r="A475" s="130"/>
      <c r="B475" s="130"/>
      <c r="C475" s="130"/>
      <c r="D475" s="130"/>
      <c r="E475" s="163"/>
      <c r="F475" s="163"/>
      <c r="G475" s="163"/>
      <c r="H475" s="130"/>
      <c r="I475" s="130"/>
      <c r="J475" s="130"/>
      <c r="K475" s="130"/>
      <c r="L475" s="163"/>
      <c r="M475" s="130"/>
      <c r="N475" s="130"/>
      <c r="O475" s="130"/>
      <c r="P475" s="130"/>
      <c r="Q475" s="130"/>
      <c r="R475" s="130"/>
      <c r="S475" s="130"/>
      <c r="T475" s="130"/>
      <c r="U475" s="130"/>
      <c r="V475" s="130"/>
      <c r="W475" s="130"/>
      <c r="X475" s="163"/>
      <c r="Y475" s="163"/>
      <c r="Z475" s="163"/>
      <c r="AA475" s="163"/>
      <c r="AB475" s="163"/>
      <c r="AC475" s="163"/>
      <c r="AD475" s="163"/>
      <c r="AE475" s="163"/>
      <c r="AF475" s="163"/>
      <c r="AG475" s="163"/>
      <c r="AH475" s="163"/>
      <c r="AI475" s="163"/>
      <c r="AJ475" s="163"/>
      <c r="AK475" s="163"/>
      <c r="AL475" s="163"/>
      <c r="AM475" s="163"/>
    </row>
    <row r="476" ht="13.5" customHeight="1">
      <c r="A476" s="130"/>
      <c r="B476" s="130"/>
      <c r="C476" s="130"/>
      <c r="D476" s="130"/>
      <c r="E476" s="163"/>
      <c r="F476" s="163"/>
      <c r="G476" s="163"/>
      <c r="H476" s="130"/>
      <c r="I476" s="130"/>
      <c r="J476" s="130"/>
      <c r="K476" s="130"/>
      <c r="L476" s="163"/>
      <c r="M476" s="130"/>
      <c r="N476" s="130"/>
      <c r="O476" s="130"/>
      <c r="P476" s="130"/>
      <c r="Q476" s="130"/>
      <c r="R476" s="130"/>
      <c r="S476" s="130"/>
      <c r="T476" s="130"/>
      <c r="U476" s="130"/>
      <c r="V476" s="130"/>
      <c r="W476" s="130"/>
      <c r="X476" s="163"/>
      <c r="Y476" s="163"/>
      <c r="Z476" s="163"/>
      <c r="AA476" s="163"/>
      <c r="AB476" s="163"/>
      <c r="AC476" s="163"/>
      <c r="AD476" s="163"/>
      <c r="AE476" s="163"/>
      <c r="AF476" s="163"/>
      <c r="AG476" s="163"/>
      <c r="AH476" s="163"/>
      <c r="AI476" s="163"/>
      <c r="AJ476" s="163"/>
      <c r="AK476" s="163"/>
      <c r="AL476" s="163"/>
      <c r="AM476" s="163"/>
    </row>
    <row r="477" ht="13.5" customHeight="1">
      <c r="A477" s="130"/>
      <c r="B477" s="130"/>
      <c r="C477" s="130"/>
      <c r="D477" s="130"/>
      <c r="E477" s="163"/>
      <c r="F477" s="163"/>
      <c r="G477" s="163"/>
      <c r="H477" s="130"/>
      <c r="I477" s="130"/>
      <c r="J477" s="130"/>
      <c r="K477" s="130"/>
      <c r="L477" s="163"/>
      <c r="M477" s="130"/>
      <c r="N477" s="130"/>
      <c r="O477" s="130"/>
      <c r="P477" s="130"/>
      <c r="Q477" s="130"/>
      <c r="R477" s="130"/>
      <c r="S477" s="130"/>
      <c r="T477" s="130"/>
      <c r="U477" s="130"/>
      <c r="V477" s="130"/>
      <c r="W477" s="130"/>
      <c r="X477" s="163"/>
      <c r="Y477" s="163"/>
      <c r="Z477" s="163"/>
      <c r="AA477" s="163"/>
      <c r="AB477" s="163"/>
      <c r="AC477" s="163"/>
      <c r="AD477" s="163"/>
      <c r="AE477" s="163"/>
      <c r="AF477" s="163"/>
      <c r="AG477" s="163"/>
      <c r="AH477" s="163"/>
      <c r="AI477" s="163"/>
      <c r="AJ477" s="163"/>
      <c r="AK477" s="163"/>
      <c r="AL477" s="163"/>
      <c r="AM477" s="163"/>
    </row>
    <row r="478" ht="13.5" customHeight="1">
      <c r="A478" s="130"/>
      <c r="B478" s="130"/>
      <c r="C478" s="130"/>
      <c r="D478" s="130"/>
      <c r="E478" s="163"/>
      <c r="F478" s="163"/>
      <c r="G478" s="163"/>
      <c r="H478" s="130"/>
      <c r="I478" s="130"/>
      <c r="J478" s="130"/>
      <c r="K478" s="130"/>
      <c r="L478" s="163"/>
      <c r="M478" s="130"/>
      <c r="N478" s="130"/>
      <c r="O478" s="130"/>
      <c r="P478" s="130"/>
      <c r="Q478" s="130"/>
      <c r="R478" s="130"/>
      <c r="S478" s="130"/>
      <c r="T478" s="130"/>
      <c r="U478" s="130"/>
      <c r="V478" s="130"/>
      <c r="W478" s="130"/>
      <c r="X478" s="163"/>
      <c r="Y478" s="163"/>
      <c r="Z478" s="163"/>
      <c r="AA478" s="163"/>
      <c r="AB478" s="163"/>
      <c r="AC478" s="163"/>
      <c r="AD478" s="163"/>
      <c r="AE478" s="163"/>
      <c r="AF478" s="163"/>
      <c r="AG478" s="163"/>
      <c r="AH478" s="163"/>
      <c r="AI478" s="163"/>
      <c r="AJ478" s="163"/>
      <c r="AK478" s="163"/>
      <c r="AL478" s="163"/>
      <c r="AM478" s="163"/>
    </row>
    <row r="479" ht="13.5" customHeight="1">
      <c r="A479" s="130"/>
      <c r="B479" s="130"/>
      <c r="C479" s="130"/>
      <c r="D479" s="130"/>
      <c r="E479" s="163"/>
      <c r="F479" s="163"/>
      <c r="G479" s="163"/>
      <c r="H479" s="130"/>
      <c r="I479" s="130"/>
      <c r="J479" s="130"/>
      <c r="K479" s="130"/>
      <c r="L479" s="163"/>
      <c r="M479" s="130"/>
      <c r="N479" s="130"/>
      <c r="O479" s="130"/>
      <c r="P479" s="130"/>
      <c r="Q479" s="130"/>
      <c r="R479" s="130"/>
      <c r="S479" s="130"/>
      <c r="T479" s="130"/>
      <c r="U479" s="130"/>
      <c r="V479" s="130"/>
      <c r="W479" s="130"/>
      <c r="X479" s="163"/>
      <c r="Y479" s="163"/>
      <c r="Z479" s="163"/>
      <c r="AA479" s="163"/>
      <c r="AB479" s="163"/>
      <c r="AC479" s="163"/>
      <c r="AD479" s="163"/>
      <c r="AE479" s="163"/>
      <c r="AF479" s="163"/>
      <c r="AG479" s="163"/>
      <c r="AH479" s="163"/>
      <c r="AI479" s="163"/>
      <c r="AJ479" s="163"/>
      <c r="AK479" s="163"/>
      <c r="AL479" s="163"/>
      <c r="AM479" s="163"/>
    </row>
    <row r="480" ht="13.5" customHeight="1">
      <c r="A480" s="130"/>
      <c r="B480" s="130"/>
      <c r="C480" s="130"/>
      <c r="D480" s="130"/>
      <c r="E480" s="163"/>
      <c r="F480" s="163"/>
      <c r="G480" s="163"/>
      <c r="H480" s="130"/>
      <c r="I480" s="130"/>
      <c r="J480" s="130"/>
      <c r="K480" s="130"/>
      <c r="L480" s="163"/>
      <c r="M480" s="130"/>
      <c r="N480" s="130"/>
      <c r="O480" s="130"/>
      <c r="P480" s="130"/>
      <c r="Q480" s="130"/>
      <c r="R480" s="130"/>
      <c r="S480" s="130"/>
      <c r="T480" s="130"/>
      <c r="U480" s="130"/>
      <c r="V480" s="130"/>
      <c r="W480" s="130"/>
      <c r="X480" s="163"/>
      <c r="Y480" s="163"/>
      <c r="Z480" s="163"/>
      <c r="AA480" s="163"/>
      <c r="AB480" s="163"/>
      <c r="AC480" s="163"/>
      <c r="AD480" s="163"/>
      <c r="AE480" s="163"/>
      <c r="AF480" s="163"/>
      <c r="AG480" s="163"/>
      <c r="AH480" s="163"/>
      <c r="AI480" s="163"/>
      <c r="AJ480" s="163"/>
      <c r="AK480" s="163"/>
      <c r="AL480" s="163"/>
      <c r="AM480" s="163"/>
    </row>
    <row r="481" ht="13.5" customHeight="1">
      <c r="A481" s="130"/>
      <c r="B481" s="130"/>
      <c r="C481" s="130"/>
      <c r="D481" s="130"/>
      <c r="E481" s="163"/>
      <c r="F481" s="163"/>
      <c r="G481" s="163"/>
      <c r="H481" s="130"/>
      <c r="I481" s="130"/>
      <c r="J481" s="130"/>
      <c r="K481" s="130"/>
      <c r="L481" s="163"/>
      <c r="M481" s="130"/>
      <c r="N481" s="130"/>
      <c r="O481" s="130"/>
      <c r="P481" s="130"/>
      <c r="Q481" s="130"/>
      <c r="R481" s="130"/>
      <c r="S481" s="130"/>
      <c r="T481" s="130"/>
      <c r="U481" s="130"/>
      <c r="V481" s="130"/>
      <c r="W481" s="130"/>
      <c r="X481" s="163"/>
      <c r="Y481" s="163"/>
      <c r="Z481" s="163"/>
      <c r="AA481" s="163"/>
      <c r="AB481" s="163"/>
      <c r="AC481" s="163"/>
      <c r="AD481" s="163"/>
      <c r="AE481" s="163"/>
      <c r="AF481" s="163"/>
      <c r="AG481" s="163"/>
      <c r="AH481" s="163"/>
      <c r="AI481" s="163"/>
      <c r="AJ481" s="163"/>
      <c r="AK481" s="163"/>
      <c r="AL481" s="163"/>
      <c r="AM481" s="163"/>
    </row>
    <row r="482" ht="13.5" customHeight="1">
      <c r="A482" s="130"/>
      <c r="B482" s="130"/>
      <c r="C482" s="130"/>
      <c r="D482" s="130"/>
      <c r="E482" s="163"/>
      <c r="F482" s="163"/>
      <c r="G482" s="163"/>
      <c r="H482" s="130"/>
      <c r="I482" s="130"/>
      <c r="J482" s="130"/>
      <c r="K482" s="130"/>
      <c r="L482" s="163"/>
      <c r="M482" s="130"/>
      <c r="N482" s="130"/>
      <c r="O482" s="130"/>
      <c r="P482" s="130"/>
      <c r="Q482" s="130"/>
      <c r="R482" s="130"/>
      <c r="S482" s="130"/>
      <c r="T482" s="130"/>
      <c r="U482" s="130"/>
      <c r="V482" s="130"/>
      <c r="W482" s="130"/>
      <c r="X482" s="163"/>
      <c r="Y482" s="163"/>
      <c r="Z482" s="163"/>
      <c r="AA482" s="163"/>
      <c r="AB482" s="163"/>
      <c r="AC482" s="163"/>
      <c r="AD482" s="163"/>
      <c r="AE482" s="163"/>
      <c r="AF482" s="163"/>
      <c r="AG482" s="163"/>
      <c r="AH482" s="163"/>
      <c r="AI482" s="163"/>
      <c r="AJ482" s="163"/>
      <c r="AK482" s="163"/>
      <c r="AL482" s="163"/>
      <c r="AM482" s="163"/>
    </row>
    <row r="483" ht="13.5" customHeight="1">
      <c r="A483" s="130"/>
      <c r="B483" s="130"/>
      <c r="C483" s="130"/>
      <c r="D483" s="130"/>
      <c r="E483" s="163"/>
      <c r="F483" s="163"/>
      <c r="G483" s="163"/>
      <c r="H483" s="130"/>
      <c r="I483" s="130"/>
      <c r="J483" s="130"/>
      <c r="K483" s="130"/>
      <c r="L483" s="163"/>
      <c r="M483" s="130"/>
      <c r="N483" s="130"/>
      <c r="O483" s="130"/>
      <c r="P483" s="130"/>
      <c r="Q483" s="130"/>
      <c r="R483" s="130"/>
      <c r="S483" s="130"/>
      <c r="T483" s="130"/>
      <c r="U483" s="130"/>
      <c r="V483" s="130"/>
      <c r="W483" s="130"/>
      <c r="X483" s="163"/>
      <c r="Y483" s="163"/>
      <c r="Z483" s="163"/>
      <c r="AA483" s="163"/>
      <c r="AB483" s="163"/>
      <c r="AC483" s="163"/>
      <c r="AD483" s="163"/>
      <c r="AE483" s="163"/>
      <c r="AF483" s="163"/>
      <c r="AG483" s="163"/>
      <c r="AH483" s="163"/>
      <c r="AI483" s="163"/>
      <c r="AJ483" s="163"/>
      <c r="AK483" s="163"/>
      <c r="AL483" s="163"/>
      <c r="AM483" s="163"/>
    </row>
    <row r="484" ht="13.5" customHeight="1">
      <c r="A484" s="130"/>
      <c r="B484" s="130"/>
      <c r="C484" s="130"/>
      <c r="D484" s="130"/>
      <c r="E484" s="163"/>
      <c r="F484" s="163"/>
      <c r="G484" s="163"/>
      <c r="H484" s="130"/>
      <c r="I484" s="130"/>
      <c r="J484" s="130"/>
      <c r="K484" s="130"/>
      <c r="L484" s="163"/>
      <c r="M484" s="130"/>
      <c r="N484" s="130"/>
      <c r="O484" s="130"/>
      <c r="P484" s="130"/>
      <c r="Q484" s="130"/>
      <c r="R484" s="130"/>
      <c r="S484" s="130"/>
      <c r="T484" s="130"/>
      <c r="U484" s="130"/>
      <c r="V484" s="130"/>
      <c r="W484" s="130"/>
      <c r="X484" s="163"/>
      <c r="Y484" s="163"/>
      <c r="Z484" s="163"/>
      <c r="AA484" s="163"/>
      <c r="AB484" s="163"/>
      <c r="AC484" s="163"/>
      <c r="AD484" s="163"/>
      <c r="AE484" s="163"/>
      <c r="AF484" s="163"/>
      <c r="AG484" s="163"/>
      <c r="AH484" s="163"/>
      <c r="AI484" s="163"/>
      <c r="AJ484" s="163"/>
      <c r="AK484" s="163"/>
      <c r="AL484" s="163"/>
      <c r="AM484" s="163"/>
    </row>
    <row r="485" ht="13.5" customHeight="1">
      <c r="A485" s="130"/>
      <c r="B485" s="130"/>
      <c r="C485" s="130"/>
      <c r="D485" s="130"/>
      <c r="E485" s="163"/>
      <c r="F485" s="163"/>
      <c r="G485" s="163"/>
      <c r="H485" s="130"/>
      <c r="I485" s="130"/>
      <c r="J485" s="130"/>
      <c r="K485" s="130"/>
      <c r="L485" s="163"/>
      <c r="M485" s="130"/>
      <c r="N485" s="130"/>
      <c r="O485" s="130"/>
      <c r="P485" s="130"/>
      <c r="Q485" s="130"/>
      <c r="R485" s="130"/>
      <c r="S485" s="130"/>
      <c r="T485" s="130"/>
      <c r="U485" s="130"/>
      <c r="V485" s="130"/>
      <c r="W485" s="130"/>
      <c r="X485" s="163"/>
      <c r="Y485" s="163"/>
      <c r="Z485" s="163"/>
      <c r="AA485" s="163"/>
      <c r="AB485" s="163"/>
      <c r="AC485" s="163"/>
      <c r="AD485" s="163"/>
      <c r="AE485" s="163"/>
      <c r="AF485" s="163"/>
      <c r="AG485" s="163"/>
      <c r="AH485" s="163"/>
      <c r="AI485" s="163"/>
      <c r="AJ485" s="163"/>
      <c r="AK485" s="163"/>
      <c r="AL485" s="163"/>
      <c r="AM485" s="163"/>
    </row>
    <row r="486" ht="13.5" customHeight="1">
      <c r="A486" s="130"/>
      <c r="B486" s="130"/>
      <c r="C486" s="130"/>
      <c r="D486" s="130"/>
      <c r="E486" s="163"/>
      <c r="F486" s="163"/>
      <c r="G486" s="163"/>
      <c r="H486" s="130"/>
      <c r="I486" s="130"/>
      <c r="J486" s="130"/>
      <c r="K486" s="130"/>
      <c r="L486" s="163"/>
      <c r="M486" s="130"/>
      <c r="N486" s="130"/>
      <c r="O486" s="130"/>
      <c r="P486" s="130"/>
      <c r="Q486" s="130"/>
      <c r="R486" s="130"/>
      <c r="S486" s="130"/>
      <c r="T486" s="130"/>
      <c r="U486" s="130"/>
      <c r="V486" s="130"/>
      <c r="W486" s="130"/>
      <c r="X486" s="163"/>
      <c r="Y486" s="163"/>
      <c r="Z486" s="163"/>
      <c r="AA486" s="163"/>
      <c r="AB486" s="163"/>
      <c r="AC486" s="163"/>
      <c r="AD486" s="163"/>
      <c r="AE486" s="163"/>
      <c r="AF486" s="163"/>
      <c r="AG486" s="163"/>
      <c r="AH486" s="163"/>
      <c r="AI486" s="163"/>
      <c r="AJ486" s="163"/>
      <c r="AK486" s="163"/>
      <c r="AL486" s="163"/>
      <c r="AM486" s="163"/>
    </row>
    <row r="487" ht="13.5" customHeight="1">
      <c r="A487" s="130"/>
      <c r="B487" s="130"/>
      <c r="C487" s="130"/>
      <c r="D487" s="130"/>
      <c r="E487" s="163"/>
      <c r="F487" s="163"/>
      <c r="G487" s="163"/>
      <c r="H487" s="130"/>
      <c r="I487" s="130"/>
      <c r="J487" s="130"/>
      <c r="K487" s="130"/>
      <c r="L487" s="163"/>
      <c r="M487" s="130"/>
      <c r="N487" s="130"/>
      <c r="O487" s="130"/>
      <c r="P487" s="130"/>
      <c r="Q487" s="130"/>
      <c r="R487" s="130"/>
      <c r="S487" s="130"/>
      <c r="T487" s="130"/>
      <c r="U487" s="130"/>
      <c r="V487" s="130"/>
      <c r="W487" s="130"/>
      <c r="X487" s="163"/>
      <c r="Y487" s="163"/>
      <c r="Z487" s="163"/>
      <c r="AA487" s="163"/>
      <c r="AB487" s="163"/>
      <c r="AC487" s="163"/>
      <c r="AD487" s="163"/>
      <c r="AE487" s="163"/>
      <c r="AF487" s="163"/>
      <c r="AG487" s="163"/>
      <c r="AH487" s="163"/>
      <c r="AI487" s="163"/>
      <c r="AJ487" s="163"/>
      <c r="AK487" s="163"/>
      <c r="AL487" s="163"/>
      <c r="AM487" s="163"/>
    </row>
    <row r="488" ht="13.5" customHeight="1">
      <c r="A488" s="130"/>
      <c r="B488" s="130"/>
      <c r="C488" s="130"/>
      <c r="D488" s="130"/>
      <c r="E488" s="163"/>
      <c r="F488" s="163"/>
      <c r="G488" s="163"/>
      <c r="H488" s="130"/>
      <c r="I488" s="130"/>
      <c r="J488" s="130"/>
      <c r="K488" s="130"/>
      <c r="L488" s="163"/>
      <c r="M488" s="130"/>
      <c r="N488" s="130"/>
      <c r="O488" s="130"/>
      <c r="P488" s="130"/>
      <c r="Q488" s="130"/>
      <c r="R488" s="130"/>
      <c r="S488" s="130"/>
      <c r="T488" s="130"/>
      <c r="U488" s="130"/>
      <c r="V488" s="130"/>
      <c r="W488" s="130"/>
      <c r="X488" s="163"/>
      <c r="Y488" s="163"/>
      <c r="Z488" s="163"/>
      <c r="AA488" s="163"/>
      <c r="AB488" s="163"/>
      <c r="AC488" s="163"/>
      <c r="AD488" s="163"/>
      <c r="AE488" s="163"/>
      <c r="AF488" s="163"/>
      <c r="AG488" s="163"/>
      <c r="AH488" s="163"/>
      <c r="AI488" s="163"/>
      <c r="AJ488" s="163"/>
      <c r="AK488" s="163"/>
      <c r="AL488" s="163"/>
      <c r="AM488" s="163"/>
    </row>
    <row r="489" ht="13.5" customHeight="1">
      <c r="A489" s="130"/>
      <c r="B489" s="130"/>
      <c r="C489" s="130"/>
      <c r="D489" s="130"/>
      <c r="E489" s="163"/>
      <c r="F489" s="163"/>
      <c r="G489" s="163"/>
      <c r="H489" s="130"/>
      <c r="I489" s="130"/>
      <c r="J489" s="130"/>
      <c r="K489" s="130"/>
      <c r="L489" s="163"/>
      <c r="M489" s="130"/>
      <c r="N489" s="130"/>
      <c r="O489" s="130"/>
      <c r="P489" s="130"/>
      <c r="Q489" s="130"/>
      <c r="R489" s="130"/>
      <c r="S489" s="130"/>
      <c r="T489" s="130"/>
      <c r="U489" s="130"/>
      <c r="V489" s="130"/>
      <c r="W489" s="130"/>
      <c r="X489" s="163"/>
      <c r="Y489" s="163"/>
      <c r="Z489" s="163"/>
      <c r="AA489" s="163"/>
      <c r="AB489" s="163"/>
      <c r="AC489" s="163"/>
      <c r="AD489" s="163"/>
      <c r="AE489" s="163"/>
      <c r="AF489" s="163"/>
      <c r="AG489" s="163"/>
      <c r="AH489" s="163"/>
      <c r="AI489" s="163"/>
      <c r="AJ489" s="163"/>
      <c r="AK489" s="163"/>
      <c r="AL489" s="163"/>
      <c r="AM489" s="163"/>
    </row>
    <row r="490" ht="13.5" customHeight="1">
      <c r="A490" s="130"/>
      <c r="B490" s="130"/>
      <c r="C490" s="130"/>
      <c r="D490" s="130"/>
      <c r="E490" s="163"/>
      <c r="F490" s="163"/>
      <c r="G490" s="163"/>
      <c r="H490" s="130"/>
      <c r="I490" s="130"/>
      <c r="J490" s="130"/>
      <c r="K490" s="130"/>
      <c r="L490" s="163"/>
      <c r="M490" s="130"/>
      <c r="N490" s="130"/>
      <c r="O490" s="130"/>
      <c r="P490" s="130"/>
      <c r="Q490" s="130"/>
      <c r="R490" s="130"/>
      <c r="S490" s="130"/>
      <c r="T490" s="130"/>
      <c r="U490" s="130"/>
      <c r="V490" s="130"/>
      <c r="W490" s="130"/>
      <c r="X490" s="163"/>
      <c r="Y490" s="163"/>
      <c r="Z490" s="163"/>
      <c r="AA490" s="163"/>
      <c r="AB490" s="163"/>
      <c r="AC490" s="163"/>
      <c r="AD490" s="163"/>
      <c r="AE490" s="163"/>
      <c r="AF490" s="163"/>
      <c r="AG490" s="163"/>
      <c r="AH490" s="163"/>
      <c r="AI490" s="163"/>
      <c r="AJ490" s="163"/>
      <c r="AK490" s="163"/>
      <c r="AL490" s="163"/>
      <c r="AM490" s="163"/>
    </row>
    <row r="491" ht="13.5" customHeight="1">
      <c r="A491" s="130"/>
      <c r="B491" s="130"/>
      <c r="C491" s="130"/>
      <c r="D491" s="130"/>
      <c r="E491" s="163"/>
      <c r="F491" s="163"/>
      <c r="G491" s="163"/>
      <c r="H491" s="130"/>
      <c r="I491" s="130"/>
      <c r="J491" s="130"/>
      <c r="K491" s="130"/>
      <c r="L491" s="163"/>
      <c r="M491" s="130"/>
      <c r="N491" s="130"/>
      <c r="O491" s="130"/>
      <c r="P491" s="130"/>
      <c r="Q491" s="130"/>
      <c r="R491" s="130"/>
      <c r="S491" s="130"/>
      <c r="T491" s="130"/>
      <c r="U491" s="130"/>
      <c r="V491" s="130"/>
      <c r="W491" s="130"/>
      <c r="X491" s="163"/>
      <c r="Y491" s="163"/>
      <c r="Z491" s="163"/>
      <c r="AA491" s="163"/>
      <c r="AB491" s="163"/>
      <c r="AC491" s="163"/>
      <c r="AD491" s="163"/>
      <c r="AE491" s="163"/>
      <c r="AF491" s="163"/>
      <c r="AG491" s="163"/>
      <c r="AH491" s="163"/>
      <c r="AI491" s="163"/>
      <c r="AJ491" s="163"/>
      <c r="AK491" s="163"/>
      <c r="AL491" s="163"/>
      <c r="AM491" s="163"/>
    </row>
    <row r="492" ht="13.5" customHeight="1">
      <c r="A492" s="130"/>
      <c r="B492" s="130"/>
      <c r="C492" s="130"/>
      <c r="D492" s="130"/>
      <c r="E492" s="163"/>
      <c r="F492" s="163"/>
      <c r="G492" s="163"/>
      <c r="H492" s="130"/>
      <c r="I492" s="130"/>
      <c r="J492" s="130"/>
      <c r="K492" s="130"/>
      <c r="L492" s="163"/>
      <c r="M492" s="130"/>
      <c r="N492" s="130"/>
      <c r="O492" s="130"/>
      <c r="P492" s="130"/>
      <c r="Q492" s="130"/>
      <c r="R492" s="130"/>
      <c r="S492" s="130"/>
      <c r="T492" s="130"/>
      <c r="U492" s="130"/>
      <c r="V492" s="130"/>
      <c r="W492" s="130"/>
      <c r="X492" s="163"/>
      <c r="Y492" s="163"/>
      <c r="Z492" s="163"/>
      <c r="AA492" s="163"/>
      <c r="AB492" s="163"/>
      <c r="AC492" s="163"/>
      <c r="AD492" s="163"/>
      <c r="AE492" s="163"/>
      <c r="AF492" s="163"/>
      <c r="AG492" s="163"/>
      <c r="AH492" s="163"/>
      <c r="AI492" s="163"/>
      <c r="AJ492" s="163"/>
      <c r="AK492" s="163"/>
      <c r="AL492" s="163"/>
      <c r="AM492" s="163"/>
    </row>
    <row r="493" ht="13.5" customHeight="1">
      <c r="A493" s="130"/>
      <c r="B493" s="130"/>
      <c r="C493" s="130"/>
      <c r="D493" s="130"/>
      <c r="E493" s="163"/>
      <c r="F493" s="163"/>
      <c r="G493" s="163"/>
      <c r="H493" s="130"/>
      <c r="I493" s="130"/>
      <c r="J493" s="130"/>
      <c r="K493" s="130"/>
      <c r="L493" s="163"/>
      <c r="M493" s="130"/>
      <c r="N493" s="130"/>
      <c r="O493" s="130"/>
      <c r="P493" s="130"/>
      <c r="Q493" s="130"/>
      <c r="R493" s="130"/>
      <c r="S493" s="130"/>
      <c r="T493" s="130"/>
      <c r="U493" s="130"/>
      <c r="V493" s="130"/>
      <c r="W493" s="130"/>
      <c r="X493" s="163"/>
      <c r="Y493" s="163"/>
      <c r="Z493" s="163"/>
      <c r="AA493" s="163"/>
      <c r="AB493" s="163"/>
      <c r="AC493" s="163"/>
      <c r="AD493" s="163"/>
      <c r="AE493" s="163"/>
      <c r="AF493" s="163"/>
      <c r="AG493" s="163"/>
      <c r="AH493" s="163"/>
      <c r="AI493" s="163"/>
      <c r="AJ493" s="163"/>
      <c r="AK493" s="163"/>
      <c r="AL493" s="163"/>
      <c r="AM493" s="163"/>
    </row>
    <row r="494" ht="13.5" customHeight="1">
      <c r="A494" s="130"/>
      <c r="B494" s="130"/>
      <c r="C494" s="130"/>
      <c r="D494" s="130"/>
      <c r="E494" s="163"/>
      <c r="F494" s="163"/>
      <c r="G494" s="163"/>
      <c r="H494" s="130"/>
      <c r="I494" s="130"/>
      <c r="J494" s="130"/>
      <c r="K494" s="130"/>
      <c r="L494" s="163"/>
      <c r="M494" s="130"/>
      <c r="N494" s="130"/>
      <c r="O494" s="130"/>
      <c r="P494" s="130"/>
      <c r="Q494" s="130"/>
      <c r="R494" s="130"/>
      <c r="S494" s="130"/>
      <c r="T494" s="130"/>
      <c r="U494" s="130"/>
      <c r="V494" s="130"/>
      <c r="W494" s="130"/>
      <c r="X494" s="163"/>
      <c r="Y494" s="163"/>
      <c r="Z494" s="163"/>
      <c r="AA494" s="163"/>
      <c r="AB494" s="163"/>
      <c r="AC494" s="163"/>
      <c r="AD494" s="163"/>
      <c r="AE494" s="163"/>
      <c r="AF494" s="163"/>
      <c r="AG494" s="163"/>
      <c r="AH494" s="163"/>
      <c r="AI494" s="163"/>
      <c r="AJ494" s="163"/>
      <c r="AK494" s="163"/>
      <c r="AL494" s="163"/>
      <c r="AM494" s="163"/>
    </row>
    <row r="495" ht="13.5" customHeight="1">
      <c r="A495" s="130"/>
      <c r="B495" s="130"/>
      <c r="C495" s="130"/>
      <c r="D495" s="130"/>
      <c r="E495" s="163"/>
      <c r="F495" s="163"/>
      <c r="G495" s="163"/>
      <c r="H495" s="130"/>
      <c r="I495" s="130"/>
      <c r="J495" s="130"/>
      <c r="K495" s="130"/>
      <c r="L495" s="163"/>
      <c r="M495" s="130"/>
      <c r="N495" s="130"/>
      <c r="O495" s="130"/>
      <c r="P495" s="130"/>
      <c r="Q495" s="130"/>
      <c r="R495" s="130"/>
      <c r="S495" s="130"/>
      <c r="T495" s="130"/>
      <c r="U495" s="130"/>
      <c r="V495" s="130"/>
      <c r="W495" s="130"/>
      <c r="X495" s="163"/>
      <c r="Y495" s="163"/>
      <c r="Z495" s="163"/>
      <c r="AA495" s="163"/>
      <c r="AB495" s="163"/>
      <c r="AC495" s="163"/>
      <c r="AD495" s="163"/>
      <c r="AE495" s="163"/>
      <c r="AF495" s="163"/>
      <c r="AG495" s="163"/>
      <c r="AH495" s="163"/>
      <c r="AI495" s="163"/>
      <c r="AJ495" s="163"/>
      <c r="AK495" s="163"/>
      <c r="AL495" s="163"/>
      <c r="AM495" s="163"/>
    </row>
    <row r="496" ht="13.5" customHeight="1">
      <c r="A496" s="130"/>
      <c r="B496" s="130"/>
      <c r="C496" s="130"/>
      <c r="D496" s="130"/>
      <c r="E496" s="163"/>
      <c r="F496" s="163"/>
      <c r="G496" s="163"/>
      <c r="H496" s="130"/>
      <c r="I496" s="130"/>
      <c r="J496" s="130"/>
      <c r="K496" s="130"/>
      <c r="L496" s="163"/>
      <c r="M496" s="130"/>
      <c r="N496" s="130"/>
      <c r="O496" s="130"/>
      <c r="P496" s="130"/>
      <c r="Q496" s="130"/>
      <c r="R496" s="130"/>
      <c r="S496" s="130"/>
      <c r="T496" s="130"/>
      <c r="U496" s="130"/>
      <c r="V496" s="130"/>
      <c r="W496" s="130"/>
      <c r="X496" s="163"/>
      <c r="Y496" s="163"/>
      <c r="Z496" s="163"/>
      <c r="AA496" s="163"/>
      <c r="AB496" s="163"/>
      <c r="AC496" s="163"/>
      <c r="AD496" s="163"/>
      <c r="AE496" s="163"/>
      <c r="AF496" s="163"/>
      <c r="AG496" s="163"/>
      <c r="AH496" s="163"/>
      <c r="AI496" s="163"/>
      <c r="AJ496" s="163"/>
      <c r="AK496" s="163"/>
      <c r="AL496" s="163"/>
      <c r="AM496" s="163"/>
    </row>
    <row r="497" ht="13.5" customHeight="1">
      <c r="A497" s="130"/>
      <c r="B497" s="130"/>
      <c r="C497" s="130"/>
      <c r="D497" s="130"/>
      <c r="E497" s="163"/>
      <c r="F497" s="163"/>
      <c r="G497" s="163"/>
      <c r="H497" s="130"/>
      <c r="I497" s="130"/>
      <c r="J497" s="130"/>
      <c r="K497" s="130"/>
      <c r="L497" s="163"/>
      <c r="M497" s="130"/>
      <c r="N497" s="130"/>
      <c r="O497" s="130"/>
      <c r="P497" s="130"/>
      <c r="Q497" s="130"/>
      <c r="R497" s="130"/>
      <c r="S497" s="130"/>
      <c r="T497" s="130"/>
      <c r="U497" s="130"/>
      <c r="V497" s="130"/>
      <c r="W497" s="130"/>
      <c r="X497" s="163"/>
      <c r="Y497" s="163"/>
      <c r="Z497" s="163"/>
      <c r="AA497" s="163"/>
      <c r="AB497" s="163"/>
      <c r="AC497" s="163"/>
      <c r="AD497" s="163"/>
      <c r="AE497" s="163"/>
      <c r="AF497" s="163"/>
      <c r="AG497" s="163"/>
      <c r="AH497" s="163"/>
      <c r="AI497" s="163"/>
      <c r="AJ497" s="163"/>
      <c r="AK497" s="163"/>
      <c r="AL497" s="163"/>
      <c r="AM497" s="163"/>
    </row>
    <row r="498" ht="13.5" customHeight="1">
      <c r="A498" s="130"/>
      <c r="B498" s="130"/>
      <c r="C498" s="130"/>
      <c r="D498" s="130"/>
      <c r="E498" s="163"/>
      <c r="F498" s="163"/>
      <c r="G498" s="163"/>
      <c r="H498" s="130"/>
      <c r="I498" s="130"/>
      <c r="J498" s="130"/>
      <c r="K498" s="130"/>
      <c r="L498" s="163"/>
      <c r="M498" s="130"/>
      <c r="N498" s="130"/>
      <c r="O498" s="130"/>
      <c r="P498" s="130"/>
      <c r="Q498" s="130"/>
      <c r="R498" s="130"/>
      <c r="S498" s="130"/>
      <c r="T498" s="130"/>
      <c r="U498" s="130"/>
      <c r="V498" s="130"/>
      <c r="W498" s="130"/>
      <c r="X498" s="163"/>
      <c r="Y498" s="163"/>
      <c r="Z498" s="163"/>
      <c r="AA498" s="163"/>
      <c r="AB498" s="163"/>
      <c r="AC498" s="163"/>
      <c r="AD498" s="163"/>
      <c r="AE498" s="163"/>
      <c r="AF498" s="163"/>
      <c r="AG498" s="163"/>
      <c r="AH498" s="163"/>
      <c r="AI498" s="163"/>
      <c r="AJ498" s="163"/>
      <c r="AK498" s="163"/>
      <c r="AL498" s="163"/>
      <c r="AM498" s="163"/>
    </row>
    <row r="499" ht="13.5" customHeight="1">
      <c r="A499" s="130"/>
      <c r="B499" s="130"/>
      <c r="C499" s="130"/>
      <c r="D499" s="130"/>
      <c r="E499" s="163"/>
      <c r="F499" s="163"/>
      <c r="G499" s="163"/>
      <c r="H499" s="130"/>
      <c r="I499" s="130"/>
      <c r="J499" s="130"/>
      <c r="K499" s="130"/>
      <c r="L499" s="163"/>
      <c r="M499" s="130"/>
      <c r="N499" s="130"/>
      <c r="O499" s="130"/>
      <c r="P499" s="130"/>
      <c r="Q499" s="130"/>
      <c r="R499" s="130"/>
      <c r="S499" s="130"/>
      <c r="T499" s="130"/>
      <c r="U499" s="130"/>
      <c r="V499" s="130"/>
      <c r="W499" s="130"/>
      <c r="X499" s="163"/>
      <c r="Y499" s="163"/>
      <c r="Z499" s="163"/>
      <c r="AA499" s="163"/>
      <c r="AB499" s="163"/>
      <c r="AC499" s="163"/>
      <c r="AD499" s="163"/>
      <c r="AE499" s="163"/>
      <c r="AF499" s="163"/>
      <c r="AG499" s="163"/>
      <c r="AH499" s="163"/>
      <c r="AI499" s="163"/>
      <c r="AJ499" s="163"/>
      <c r="AK499" s="163"/>
      <c r="AL499" s="163"/>
      <c r="AM499" s="163"/>
    </row>
    <row r="500" ht="13.5" customHeight="1">
      <c r="A500" s="130"/>
      <c r="B500" s="130"/>
      <c r="C500" s="130"/>
      <c r="D500" s="130"/>
      <c r="E500" s="163"/>
      <c r="F500" s="163"/>
      <c r="G500" s="163"/>
      <c r="H500" s="130"/>
      <c r="I500" s="130"/>
      <c r="J500" s="130"/>
      <c r="K500" s="130"/>
      <c r="L500" s="163"/>
      <c r="M500" s="130"/>
      <c r="N500" s="130"/>
      <c r="O500" s="130"/>
      <c r="P500" s="130"/>
      <c r="Q500" s="130"/>
      <c r="R500" s="130"/>
      <c r="S500" s="130"/>
      <c r="T500" s="130"/>
      <c r="U500" s="130"/>
      <c r="V500" s="130"/>
      <c r="W500" s="130"/>
      <c r="X500" s="163"/>
      <c r="Y500" s="163"/>
      <c r="Z500" s="163"/>
      <c r="AA500" s="163"/>
      <c r="AB500" s="163"/>
      <c r="AC500" s="163"/>
      <c r="AD500" s="163"/>
      <c r="AE500" s="163"/>
      <c r="AF500" s="163"/>
      <c r="AG500" s="163"/>
      <c r="AH500" s="163"/>
      <c r="AI500" s="163"/>
      <c r="AJ500" s="163"/>
      <c r="AK500" s="163"/>
      <c r="AL500" s="163"/>
      <c r="AM500" s="163"/>
    </row>
    <row r="501" ht="13.5" customHeight="1">
      <c r="A501" s="130"/>
      <c r="B501" s="130"/>
      <c r="C501" s="130"/>
      <c r="D501" s="130"/>
      <c r="E501" s="163"/>
      <c r="F501" s="163"/>
      <c r="G501" s="163"/>
      <c r="H501" s="130"/>
      <c r="I501" s="130"/>
      <c r="J501" s="130"/>
      <c r="K501" s="130"/>
      <c r="L501" s="163"/>
      <c r="M501" s="130"/>
      <c r="N501" s="130"/>
      <c r="O501" s="130"/>
      <c r="P501" s="130"/>
      <c r="Q501" s="130"/>
      <c r="R501" s="130"/>
      <c r="S501" s="130"/>
      <c r="T501" s="130"/>
      <c r="U501" s="130"/>
      <c r="V501" s="130"/>
      <c r="W501" s="130"/>
      <c r="X501" s="163"/>
      <c r="Y501" s="163"/>
      <c r="Z501" s="163"/>
      <c r="AA501" s="163"/>
      <c r="AB501" s="163"/>
      <c r="AC501" s="163"/>
      <c r="AD501" s="163"/>
      <c r="AE501" s="163"/>
      <c r="AF501" s="163"/>
      <c r="AG501" s="163"/>
      <c r="AH501" s="163"/>
      <c r="AI501" s="163"/>
      <c r="AJ501" s="163"/>
      <c r="AK501" s="163"/>
      <c r="AL501" s="163"/>
      <c r="AM501" s="163"/>
    </row>
    <row r="502" ht="13.5" customHeight="1">
      <c r="A502" s="130"/>
      <c r="B502" s="130"/>
      <c r="C502" s="130"/>
      <c r="D502" s="130"/>
      <c r="E502" s="163"/>
      <c r="F502" s="163"/>
      <c r="G502" s="163"/>
      <c r="H502" s="130"/>
      <c r="I502" s="130"/>
      <c r="J502" s="130"/>
      <c r="K502" s="130"/>
      <c r="L502" s="163"/>
      <c r="M502" s="130"/>
      <c r="N502" s="130"/>
      <c r="O502" s="130"/>
      <c r="P502" s="130"/>
      <c r="Q502" s="130"/>
      <c r="R502" s="130"/>
      <c r="S502" s="130"/>
      <c r="T502" s="130"/>
      <c r="U502" s="130"/>
      <c r="V502" s="130"/>
      <c r="W502" s="130"/>
      <c r="X502" s="163"/>
      <c r="Y502" s="163"/>
      <c r="Z502" s="163"/>
      <c r="AA502" s="163"/>
      <c r="AB502" s="163"/>
      <c r="AC502" s="163"/>
      <c r="AD502" s="163"/>
      <c r="AE502" s="163"/>
      <c r="AF502" s="163"/>
      <c r="AG502" s="163"/>
      <c r="AH502" s="163"/>
      <c r="AI502" s="163"/>
      <c r="AJ502" s="163"/>
      <c r="AK502" s="163"/>
      <c r="AL502" s="163"/>
      <c r="AM502" s="163"/>
    </row>
    <row r="503" ht="13.5" customHeight="1">
      <c r="A503" s="130"/>
      <c r="B503" s="130"/>
      <c r="C503" s="130"/>
      <c r="D503" s="130"/>
      <c r="E503" s="163"/>
      <c r="F503" s="163"/>
      <c r="G503" s="163"/>
      <c r="H503" s="130"/>
      <c r="I503" s="130"/>
      <c r="J503" s="130"/>
      <c r="K503" s="130"/>
      <c r="L503" s="163"/>
      <c r="M503" s="130"/>
      <c r="N503" s="130"/>
      <c r="O503" s="130"/>
      <c r="P503" s="130"/>
      <c r="Q503" s="130"/>
      <c r="R503" s="130"/>
      <c r="S503" s="130"/>
      <c r="T503" s="130"/>
      <c r="U503" s="130"/>
      <c r="V503" s="130"/>
      <c r="W503" s="130"/>
      <c r="X503" s="163"/>
      <c r="Y503" s="163"/>
      <c r="Z503" s="163"/>
      <c r="AA503" s="163"/>
      <c r="AB503" s="163"/>
      <c r="AC503" s="163"/>
      <c r="AD503" s="163"/>
      <c r="AE503" s="163"/>
      <c r="AF503" s="163"/>
      <c r="AG503" s="163"/>
      <c r="AH503" s="163"/>
      <c r="AI503" s="163"/>
      <c r="AJ503" s="163"/>
      <c r="AK503" s="163"/>
      <c r="AL503" s="163"/>
      <c r="AM503" s="163"/>
    </row>
    <row r="504" ht="13.5" customHeight="1">
      <c r="A504" s="130"/>
      <c r="B504" s="130"/>
      <c r="C504" s="130"/>
      <c r="D504" s="130"/>
      <c r="E504" s="163"/>
      <c r="F504" s="163"/>
      <c r="G504" s="163"/>
      <c r="H504" s="130"/>
      <c r="I504" s="130"/>
      <c r="J504" s="130"/>
      <c r="K504" s="130"/>
      <c r="L504" s="163"/>
      <c r="M504" s="130"/>
      <c r="N504" s="130"/>
      <c r="O504" s="130"/>
      <c r="P504" s="130"/>
      <c r="Q504" s="130"/>
      <c r="R504" s="130"/>
      <c r="S504" s="130"/>
      <c r="T504" s="130"/>
      <c r="U504" s="130"/>
      <c r="V504" s="130"/>
      <c r="W504" s="130"/>
      <c r="X504" s="163"/>
      <c r="Y504" s="163"/>
      <c r="Z504" s="163"/>
      <c r="AA504" s="163"/>
      <c r="AB504" s="163"/>
      <c r="AC504" s="163"/>
      <c r="AD504" s="163"/>
      <c r="AE504" s="163"/>
      <c r="AF504" s="163"/>
      <c r="AG504" s="163"/>
      <c r="AH504" s="163"/>
      <c r="AI504" s="163"/>
      <c r="AJ504" s="163"/>
      <c r="AK504" s="163"/>
      <c r="AL504" s="163"/>
      <c r="AM504" s="163"/>
    </row>
    <row r="505" ht="13.5" customHeight="1">
      <c r="A505" s="130"/>
      <c r="B505" s="130"/>
      <c r="C505" s="130"/>
      <c r="D505" s="130"/>
      <c r="E505" s="163"/>
      <c r="F505" s="163"/>
      <c r="G505" s="163"/>
      <c r="H505" s="130"/>
      <c r="I505" s="130"/>
      <c r="J505" s="130"/>
      <c r="K505" s="130"/>
      <c r="L505" s="163"/>
      <c r="M505" s="130"/>
      <c r="N505" s="130"/>
      <c r="O505" s="130"/>
      <c r="P505" s="130"/>
      <c r="Q505" s="130"/>
      <c r="R505" s="130"/>
      <c r="S505" s="130"/>
      <c r="T505" s="130"/>
      <c r="U505" s="130"/>
      <c r="V505" s="130"/>
      <c r="W505" s="130"/>
      <c r="X505" s="163"/>
      <c r="Y505" s="163"/>
      <c r="Z505" s="163"/>
      <c r="AA505" s="163"/>
      <c r="AB505" s="163"/>
      <c r="AC505" s="163"/>
      <c r="AD505" s="163"/>
      <c r="AE505" s="163"/>
      <c r="AF505" s="163"/>
      <c r="AG505" s="163"/>
      <c r="AH505" s="163"/>
      <c r="AI505" s="163"/>
      <c r="AJ505" s="163"/>
      <c r="AK505" s="163"/>
      <c r="AL505" s="163"/>
      <c r="AM505" s="163"/>
    </row>
    <row r="506" ht="13.5" customHeight="1">
      <c r="A506" s="130"/>
      <c r="B506" s="130"/>
      <c r="C506" s="130"/>
      <c r="D506" s="130"/>
      <c r="E506" s="163"/>
      <c r="F506" s="163"/>
      <c r="G506" s="163"/>
      <c r="H506" s="130"/>
      <c r="I506" s="130"/>
      <c r="J506" s="130"/>
      <c r="K506" s="130"/>
      <c r="L506" s="163"/>
      <c r="M506" s="130"/>
      <c r="N506" s="130"/>
      <c r="O506" s="130"/>
      <c r="P506" s="130"/>
      <c r="Q506" s="130"/>
      <c r="R506" s="130"/>
      <c r="S506" s="130"/>
      <c r="T506" s="130"/>
      <c r="U506" s="130"/>
      <c r="V506" s="130"/>
      <c r="W506" s="130"/>
      <c r="X506" s="163"/>
      <c r="Y506" s="163"/>
      <c r="Z506" s="163"/>
      <c r="AA506" s="163"/>
      <c r="AB506" s="163"/>
      <c r="AC506" s="163"/>
      <c r="AD506" s="163"/>
      <c r="AE506" s="163"/>
      <c r="AF506" s="163"/>
      <c r="AG506" s="163"/>
      <c r="AH506" s="163"/>
      <c r="AI506" s="163"/>
      <c r="AJ506" s="163"/>
      <c r="AK506" s="163"/>
      <c r="AL506" s="163"/>
      <c r="AM506" s="163"/>
    </row>
    <row r="507" ht="13.5" customHeight="1">
      <c r="A507" s="130"/>
      <c r="B507" s="130"/>
      <c r="C507" s="130"/>
      <c r="D507" s="130"/>
      <c r="E507" s="163"/>
      <c r="F507" s="163"/>
      <c r="G507" s="163"/>
      <c r="H507" s="130"/>
      <c r="I507" s="130"/>
      <c r="J507" s="130"/>
      <c r="K507" s="130"/>
      <c r="L507" s="163"/>
      <c r="M507" s="130"/>
      <c r="N507" s="130"/>
      <c r="O507" s="130"/>
      <c r="P507" s="130"/>
      <c r="Q507" s="130"/>
      <c r="R507" s="130"/>
      <c r="S507" s="130"/>
      <c r="T507" s="130"/>
      <c r="U507" s="130"/>
      <c r="V507" s="130"/>
      <c r="W507" s="130"/>
      <c r="X507" s="163"/>
      <c r="Y507" s="163"/>
      <c r="Z507" s="163"/>
      <c r="AA507" s="163"/>
      <c r="AB507" s="163"/>
      <c r="AC507" s="163"/>
      <c r="AD507" s="163"/>
      <c r="AE507" s="163"/>
      <c r="AF507" s="163"/>
      <c r="AG507" s="163"/>
      <c r="AH507" s="163"/>
      <c r="AI507" s="163"/>
      <c r="AJ507" s="163"/>
      <c r="AK507" s="163"/>
      <c r="AL507" s="163"/>
      <c r="AM507" s="163"/>
    </row>
    <row r="508" ht="13.5" customHeight="1">
      <c r="A508" s="130"/>
      <c r="B508" s="130"/>
      <c r="C508" s="130"/>
      <c r="D508" s="130"/>
      <c r="E508" s="163"/>
      <c r="F508" s="163"/>
      <c r="G508" s="163"/>
      <c r="H508" s="130"/>
      <c r="I508" s="130"/>
      <c r="J508" s="130"/>
      <c r="K508" s="130"/>
      <c r="L508" s="163"/>
      <c r="M508" s="130"/>
      <c r="N508" s="130"/>
      <c r="O508" s="130"/>
      <c r="P508" s="130"/>
      <c r="Q508" s="130"/>
      <c r="R508" s="130"/>
      <c r="S508" s="130"/>
      <c r="T508" s="130"/>
      <c r="U508" s="130"/>
      <c r="V508" s="130"/>
      <c r="W508" s="130"/>
      <c r="X508" s="163"/>
      <c r="Y508" s="163"/>
      <c r="Z508" s="163"/>
      <c r="AA508" s="163"/>
      <c r="AB508" s="163"/>
      <c r="AC508" s="163"/>
      <c r="AD508" s="163"/>
      <c r="AE508" s="163"/>
      <c r="AF508" s="163"/>
      <c r="AG508" s="163"/>
      <c r="AH508" s="163"/>
      <c r="AI508" s="163"/>
      <c r="AJ508" s="163"/>
      <c r="AK508" s="163"/>
      <c r="AL508" s="163"/>
      <c r="AM508" s="163"/>
    </row>
    <row r="509" ht="13.5" customHeight="1">
      <c r="A509" s="130"/>
      <c r="B509" s="130"/>
      <c r="C509" s="130"/>
      <c r="D509" s="130"/>
      <c r="E509" s="163"/>
      <c r="F509" s="163"/>
      <c r="G509" s="163"/>
      <c r="H509" s="130"/>
      <c r="I509" s="130"/>
      <c r="J509" s="130"/>
      <c r="K509" s="130"/>
      <c r="L509" s="163"/>
      <c r="M509" s="130"/>
      <c r="N509" s="130"/>
      <c r="O509" s="130"/>
      <c r="P509" s="130"/>
      <c r="Q509" s="130"/>
      <c r="R509" s="130"/>
      <c r="S509" s="130"/>
      <c r="T509" s="130"/>
      <c r="U509" s="130"/>
      <c r="V509" s="130"/>
      <c r="W509" s="130"/>
      <c r="X509" s="163"/>
      <c r="Y509" s="163"/>
      <c r="Z509" s="163"/>
      <c r="AA509" s="163"/>
      <c r="AB509" s="163"/>
      <c r="AC509" s="163"/>
      <c r="AD509" s="163"/>
      <c r="AE509" s="163"/>
      <c r="AF509" s="163"/>
      <c r="AG509" s="163"/>
      <c r="AH509" s="163"/>
      <c r="AI509" s="163"/>
      <c r="AJ509" s="163"/>
      <c r="AK509" s="163"/>
      <c r="AL509" s="163"/>
      <c r="AM509" s="163"/>
    </row>
    <row r="510" ht="13.5" customHeight="1">
      <c r="A510" s="130"/>
      <c r="B510" s="130"/>
      <c r="C510" s="130"/>
      <c r="D510" s="130"/>
      <c r="E510" s="163"/>
      <c r="F510" s="163"/>
      <c r="G510" s="163"/>
      <c r="H510" s="130"/>
      <c r="I510" s="130"/>
      <c r="J510" s="130"/>
      <c r="K510" s="130"/>
      <c r="L510" s="163"/>
      <c r="M510" s="130"/>
      <c r="N510" s="130"/>
      <c r="O510" s="130"/>
      <c r="P510" s="130"/>
      <c r="Q510" s="130"/>
      <c r="R510" s="130"/>
      <c r="S510" s="130"/>
      <c r="T510" s="130"/>
      <c r="U510" s="130"/>
      <c r="V510" s="130"/>
      <c r="W510" s="130"/>
      <c r="X510" s="163"/>
      <c r="Y510" s="163"/>
      <c r="Z510" s="163"/>
      <c r="AA510" s="163"/>
      <c r="AB510" s="163"/>
      <c r="AC510" s="163"/>
      <c r="AD510" s="163"/>
      <c r="AE510" s="163"/>
      <c r="AF510" s="163"/>
      <c r="AG510" s="163"/>
      <c r="AH510" s="163"/>
      <c r="AI510" s="163"/>
      <c r="AJ510" s="163"/>
      <c r="AK510" s="163"/>
      <c r="AL510" s="163"/>
      <c r="AM510" s="163"/>
    </row>
    <row r="511" ht="13.5" customHeight="1">
      <c r="A511" s="130"/>
      <c r="B511" s="130"/>
      <c r="C511" s="130"/>
      <c r="D511" s="130"/>
      <c r="E511" s="163"/>
      <c r="F511" s="163"/>
      <c r="G511" s="163"/>
      <c r="H511" s="130"/>
      <c r="I511" s="130"/>
      <c r="J511" s="130"/>
      <c r="K511" s="130"/>
      <c r="L511" s="163"/>
      <c r="M511" s="130"/>
      <c r="N511" s="130"/>
      <c r="O511" s="130"/>
      <c r="P511" s="130"/>
      <c r="Q511" s="130"/>
      <c r="R511" s="130"/>
      <c r="S511" s="130"/>
      <c r="T511" s="130"/>
      <c r="U511" s="130"/>
      <c r="V511" s="130"/>
      <c r="W511" s="130"/>
      <c r="X511" s="163"/>
      <c r="Y511" s="163"/>
      <c r="Z511" s="163"/>
      <c r="AA511" s="163"/>
      <c r="AB511" s="163"/>
      <c r="AC511" s="163"/>
      <c r="AD511" s="163"/>
      <c r="AE511" s="163"/>
      <c r="AF511" s="163"/>
      <c r="AG511" s="163"/>
      <c r="AH511" s="163"/>
      <c r="AI511" s="163"/>
      <c r="AJ511" s="163"/>
      <c r="AK511" s="163"/>
      <c r="AL511" s="163"/>
      <c r="AM511" s="163"/>
    </row>
    <row r="512" ht="13.5" customHeight="1">
      <c r="A512" s="130"/>
      <c r="B512" s="130"/>
      <c r="C512" s="130"/>
      <c r="D512" s="130"/>
      <c r="E512" s="163"/>
      <c r="F512" s="163"/>
      <c r="G512" s="163"/>
      <c r="H512" s="130"/>
      <c r="I512" s="130"/>
      <c r="J512" s="130"/>
      <c r="K512" s="130"/>
      <c r="L512" s="163"/>
      <c r="M512" s="130"/>
      <c r="N512" s="130"/>
      <c r="O512" s="130"/>
      <c r="P512" s="130"/>
      <c r="Q512" s="130"/>
      <c r="R512" s="130"/>
      <c r="S512" s="130"/>
      <c r="T512" s="130"/>
      <c r="U512" s="130"/>
      <c r="V512" s="130"/>
      <c r="W512" s="130"/>
      <c r="X512" s="163"/>
      <c r="Y512" s="163"/>
      <c r="Z512" s="163"/>
      <c r="AA512" s="163"/>
      <c r="AB512" s="163"/>
      <c r="AC512" s="163"/>
      <c r="AD512" s="163"/>
      <c r="AE512" s="163"/>
      <c r="AF512" s="163"/>
      <c r="AG512" s="163"/>
      <c r="AH512" s="163"/>
      <c r="AI512" s="163"/>
      <c r="AJ512" s="163"/>
      <c r="AK512" s="163"/>
      <c r="AL512" s="163"/>
      <c r="AM512" s="163"/>
    </row>
    <row r="513" ht="13.5" customHeight="1">
      <c r="A513" s="130"/>
      <c r="B513" s="130"/>
      <c r="C513" s="130"/>
      <c r="D513" s="130"/>
      <c r="E513" s="163"/>
      <c r="F513" s="163"/>
      <c r="G513" s="163"/>
      <c r="H513" s="130"/>
      <c r="I513" s="130"/>
      <c r="J513" s="130"/>
      <c r="K513" s="130"/>
      <c r="L513" s="163"/>
      <c r="M513" s="130"/>
      <c r="N513" s="130"/>
      <c r="O513" s="130"/>
      <c r="P513" s="130"/>
      <c r="Q513" s="130"/>
      <c r="R513" s="130"/>
      <c r="S513" s="130"/>
      <c r="T513" s="130"/>
      <c r="U513" s="130"/>
      <c r="V513" s="130"/>
      <c r="W513" s="130"/>
      <c r="X513" s="163"/>
      <c r="Y513" s="163"/>
      <c r="Z513" s="163"/>
      <c r="AA513" s="163"/>
      <c r="AB513" s="163"/>
      <c r="AC513" s="163"/>
      <c r="AD513" s="163"/>
      <c r="AE513" s="163"/>
      <c r="AF513" s="163"/>
      <c r="AG513" s="163"/>
      <c r="AH513" s="163"/>
      <c r="AI513" s="163"/>
      <c r="AJ513" s="163"/>
      <c r="AK513" s="163"/>
      <c r="AL513" s="163"/>
      <c r="AM513" s="163"/>
    </row>
    <row r="514" ht="13.5" customHeight="1">
      <c r="A514" s="130"/>
      <c r="B514" s="130"/>
      <c r="C514" s="130"/>
      <c r="D514" s="130"/>
      <c r="E514" s="163"/>
      <c r="F514" s="163"/>
      <c r="G514" s="163"/>
      <c r="H514" s="130"/>
      <c r="I514" s="130"/>
      <c r="J514" s="130"/>
      <c r="K514" s="130"/>
      <c r="L514" s="163"/>
      <c r="M514" s="130"/>
      <c r="N514" s="130"/>
      <c r="O514" s="130"/>
      <c r="P514" s="130"/>
      <c r="Q514" s="130"/>
      <c r="R514" s="130"/>
      <c r="S514" s="130"/>
      <c r="T514" s="130"/>
      <c r="U514" s="130"/>
      <c r="V514" s="130"/>
      <c r="W514" s="130"/>
      <c r="X514" s="163"/>
      <c r="Y514" s="163"/>
      <c r="Z514" s="163"/>
      <c r="AA514" s="163"/>
      <c r="AB514" s="163"/>
      <c r="AC514" s="163"/>
      <c r="AD514" s="163"/>
      <c r="AE514" s="163"/>
      <c r="AF514" s="163"/>
      <c r="AG514" s="163"/>
      <c r="AH514" s="163"/>
      <c r="AI514" s="163"/>
      <c r="AJ514" s="163"/>
      <c r="AK514" s="163"/>
      <c r="AL514" s="163"/>
      <c r="AM514" s="163"/>
    </row>
    <row r="515" ht="13.5" customHeight="1">
      <c r="A515" s="130"/>
      <c r="B515" s="130"/>
      <c r="C515" s="130"/>
      <c r="D515" s="130"/>
      <c r="E515" s="163"/>
      <c r="F515" s="163"/>
      <c r="G515" s="163"/>
      <c r="H515" s="130"/>
      <c r="I515" s="130"/>
      <c r="J515" s="130"/>
      <c r="K515" s="130"/>
      <c r="L515" s="163"/>
      <c r="M515" s="130"/>
      <c r="N515" s="130"/>
      <c r="O515" s="130"/>
      <c r="P515" s="130"/>
      <c r="Q515" s="130"/>
      <c r="R515" s="130"/>
      <c r="S515" s="130"/>
      <c r="T515" s="130"/>
      <c r="U515" s="130"/>
      <c r="V515" s="130"/>
      <c r="W515" s="130"/>
      <c r="X515" s="163"/>
      <c r="Y515" s="163"/>
      <c r="Z515" s="163"/>
      <c r="AA515" s="163"/>
      <c r="AB515" s="163"/>
      <c r="AC515" s="163"/>
      <c r="AD515" s="163"/>
      <c r="AE515" s="163"/>
      <c r="AF515" s="163"/>
      <c r="AG515" s="163"/>
      <c r="AH515" s="163"/>
      <c r="AI515" s="163"/>
      <c r="AJ515" s="163"/>
      <c r="AK515" s="163"/>
      <c r="AL515" s="163"/>
      <c r="AM515" s="163"/>
    </row>
    <row r="516" ht="13.5" customHeight="1">
      <c r="A516" s="130"/>
      <c r="B516" s="130"/>
      <c r="C516" s="130"/>
      <c r="D516" s="130"/>
      <c r="E516" s="163"/>
      <c r="F516" s="163"/>
      <c r="G516" s="163"/>
      <c r="H516" s="130"/>
      <c r="I516" s="130"/>
      <c r="J516" s="130"/>
      <c r="K516" s="130"/>
      <c r="L516" s="163"/>
      <c r="M516" s="130"/>
      <c r="N516" s="130"/>
      <c r="O516" s="130"/>
      <c r="P516" s="130"/>
      <c r="Q516" s="130"/>
      <c r="R516" s="130"/>
      <c r="S516" s="130"/>
      <c r="T516" s="130"/>
      <c r="U516" s="130"/>
      <c r="V516" s="130"/>
      <c r="W516" s="130"/>
      <c r="X516" s="163"/>
      <c r="Y516" s="163"/>
      <c r="Z516" s="163"/>
      <c r="AA516" s="163"/>
      <c r="AB516" s="163"/>
      <c r="AC516" s="163"/>
      <c r="AD516" s="163"/>
      <c r="AE516" s="163"/>
      <c r="AF516" s="163"/>
      <c r="AG516" s="163"/>
      <c r="AH516" s="163"/>
      <c r="AI516" s="163"/>
      <c r="AJ516" s="163"/>
      <c r="AK516" s="163"/>
      <c r="AL516" s="163"/>
      <c r="AM516" s="163"/>
    </row>
    <row r="517" ht="13.5" customHeight="1">
      <c r="A517" s="130"/>
      <c r="B517" s="130"/>
      <c r="C517" s="130"/>
      <c r="D517" s="130"/>
      <c r="E517" s="163"/>
      <c r="F517" s="163"/>
      <c r="G517" s="163"/>
      <c r="H517" s="130"/>
      <c r="I517" s="130"/>
      <c r="J517" s="130"/>
      <c r="K517" s="130"/>
      <c r="L517" s="163"/>
      <c r="M517" s="130"/>
      <c r="N517" s="130"/>
      <c r="O517" s="130"/>
      <c r="P517" s="130"/>
      <c r="Q517" s="130"/>
      <c r="R517" s="130"/>
      <c r="S517" s="130"/>
      <c r="T517" s="130"/>
      <c r="U517" s="130"/>
      <c r="V517" s="130"/>
      <c r="W517" s="130"/>
      <c r="X517" s="163"/>
      <c r="Y517" s="163"/>
      <c r="Z517" s="163"/>
      <c r="AA517" s="163"/>
      <c r="AB517" s="163"/>
      <c r="AC517" s="163"/>
      <c r="AD517" s="163"/>
      <c r="AE517" s="163"/>
      <c r="AF517" s="163"/>
      <c r="AG517" s="163"/>
      <c r="AH517" s="163"/>
      <c r="AI517" s="163"/>
      <c r="AJ517" s="163"/>
      <c r="AK517" s="163"/>
      <c r="AL517" s="163"/>
      <c r="AM517" s="163"/>
    </row>
    <row r="518" ht="13.5" customHeight="1">
      <c r="A518" s="130"/>
      <c r="B518" s="130"/>
      <c r="C518" s="130"/>
      <c r="D518" s="130"/>
      <c r="E518" s="163"/>
      <c r="F518" s="163"/>
      <c r="G518" s="163"/>
      <c r="H518" s="130"/>
      <c r="I518" s="130"/>
      <c r="J518" s="130"/>
      <c r="K518" s="130"/>
      <c r="L518" s="163"/>
      <c r="M518" s="130"/>
      <c r="N518" s="130"/>
      <c r="O518" s="130"/>
      <c r="P518" s="130"/>
      <c r="Q518" s="130"/>
      <c r="R518" s="130"/>
      <c r="S518" s="130"/>
      <c r="T518" s="130"/>
      <c r="U518" s="130"/>
      <c r="V518" s="130"/>
      <c r="W518" s="130"/>
      <c r="X518" s="163"/>
      <c r="Y518" s="163"/>
      <c r="Z518" s="163"/>
      <c r="AA518" s="163"/>
      <c r="AB518" s="163"/>
      <c r="AC518" s="163"/>
      <c r="AD518" s="163"/>
      <c r="AE518" s="163"/>
      <c r="AF518" s="163"/>
      <c r="AG518" s="163"/>
      <c r="AH518" s="163"/>
      <c r="AI518" s="163"/>
      <c r="AJ518" s="163"/>
      <c r="AK518" s="163"/>
      <c r="AL518" s="163"/>
      <c r="AM518" s="163"/>
    </row>
    <row r="519" ht="13.5" customHeight="1">
      <c r="A519" s="130"/>
      <c r="B519" s="130"/>
      <c r="C519" s="130"/>
      <c r="D519" s="130"/>
      <c r="E519" s="163"/>
      <c r="F519" s="163"/>
      <c r="G519" s="163"/>
      <c r="H519" s="130"/>
      <c r="I519" s="130"/>
      <c r="J519" s="130"/>
      <c r="K519" s="130"/>
      <c r="L519" s="163"/>
      <c r="M519" s="130"/>
      <c r="N519" s="130"/>
      <c r="O519" s="130"/>
      <c r="P519" s="130"/>
      <c r="Q519" s="130"/>
      <c r="R519" s="130"/>
      <c r="S519" s="130"/>
      <c r="T519" s="130"/>
      <c r="U519" s="130"/>
      <c r="V519" s="130"/>
      <c r="W519" s="130"/>
      <c r="X519" s="163"/>
      <c r="Y519" s="163"/>
      <c r="Z519" s="163"/>
      <c r="AA519" s="163"/>
      <c r="AB519" s="163"/>
      <c r="AC519" s="163"/>
      <c r="AD519" s="163"/>
      <c r="AE519" s="163"/>
      <c r="AF519" s="163"/>
      <c r="AG519" s="163"/>
      <c r="AH519" s="163"/>
      <c r="AI519" s="163"/>
      <c r="AJ519" s="163"/>
      <c r="AK519" s="163"/>
      <c r="AL519" s="163"/>
      <c r="AM519" s="163"/>
    </row>
    <row r="520" ht="13.5" customHeight="1">
      <c r="A520" s="130"/>
      <c r="B520" s="130"/>
      <c r="C520" s="130"/>
      <c r="D520" s="130"/>
      <c r="E520" s="163"/>
      <c r="F520" s="163"/>
      <c r="G520" s="163"/>
      <c r="H520" s="130"/>
      <c r="I520" s="130"/>
      <c r="J520" s="130"/>
      <c r="K520" s="130"/>
      <c r="L520" s="163"/>
      <c r="M520" s="130"/>
      <c r="N520" s="130"/>
      <c r="O520" s="130"/>
      <c r="P520" s="130"/>
      <c r="Q520" s="130"/>
      <c r="R520" s="130"/>
      <c r="S520" s="130"/>
      <c r="T520" s="130"/>
      <c r="U520" s="130"/>
      <c r="V520" s="130"/>
      <c r="W520" s="130"/>
      <c r="X520" s="163"/>
      <c r="Y520" s="163"/>
      <c r="Z520" s="163"/>
      <c r="AA520" s="163"/>
      <c r="AB520" s="163"/>
      <c r="AC520" s="163"/>
      <c r="AD520" s="163"/>
      <c r="AE520" s="163"/>
      <c r="AF520" s="163"/>
      <c r="AG520" s="163"/>
      <c r="AH520" s="163"/>
      <c r="AI520" s="163"/>
      <c r="AJ520" s="163"/>
      <c r="AK520" s="163"/>
      <c r="AL520" s="163"/>
      <c r="AM520" s="163"/>
    </row>
    <row r="521" ht="13.5" customHeight="1">
      <c r="A521" s="130"/>
      <c r="B521" s="130"/>
      <c r="C521" s="130"/>
      <c r="D521" s="130"/>
      <c r="E521" s="163"/>
      <c r="F521" s="163"/>
      <c r="G521" s="163"/>
      <c r="H521" s="130"/>
      <c r="I521" s="130"/>
      <c r="J521" s="130"/>
      <c r="K521" s="130"/>
      <c r="L521" s="163"/>
      <c r="M521" s="130"/>
      <c r="N521" s="130"/>
      <c r="O521" s="130"/>
      <c r="P521" s="130"/>
      <c r="Q521" s="130"/>
      <c r="R521" s="130"/>
      <c r="S521" s="130"/>
      <c r="T521" s="130"/>
      <c r="U521" s="130"/>
      <c r="V521" s="130"/>
      <c r="W521" s="130"/>
      <c r="X521" s="163"/>
      <c r="Y521" s="163"/>
      <c r="Z521" s="163"/>
      <c r="AA521" s="163"/>
      <c r="AB521" s="163"/>
      <c r="AC521" s="163"/>
      <c r="AD521" s="163"/>
      <c r="AE521" s="163"/>
      <c r="AF521" s="163"/>
      <c r="AG521" s="163"/>
      <c r="AH521" s="163"/>
      <c r="AI521" s="163"/>
      <c r="AJ521" s="163"/>
      <c r="AK521" s="163"/>
      <c r="AL521" s="163"/>
      <c r="AM521" s="163"/>
    </row>
    <row r="522" ht="13.5" customHeight="1">
      <c r="A522" s="130"/>
      <c r="B522" s="130"/>
      <c r="C522" s="130"/>
      <c r="D522" s="130"/>
      <c r="E522" s="163"/>
      <c r="F522" s="163"/>
      <c r="G522" s="163"/>
      <c r="H522" s="130"/>
      <c r="I522" s="130"/>
      <c r="J522" s="130"/>
      <c r="K522" s="130"/>
      <c r="L522" s="163"/>
      <c r="M522" s="130"/>
      <c r="N522" s="130"/>
      <c r="O522" s="130"/>
      <c r="P522" s="130"/>
      <c r="Q522" s="130"/>
      <c r="R522" s="130"/>
      <c r="S522" s="130"/>
      <c r="T522" s="130"/>
      <c r="U522" s="130"/>
      <c r="V522" s="130"/>
      <c r="W522" s="130"/>
      <c r="X522" s="163"/>
      <c r="Y522" s="163"/>
      <c r="Z522" s="163"/>
      <c r="AA522" s="163"/>
      <c r="AB522" s="163"/>
      <c r="AC522" s="163"/>
      <c r="AD522" s="163"/>
      <c r="AE522" s="163"/>
      <c r="AF522" s="163"/>
      <c r="AG522" s="163"/>
      <c r="AH522" s="163"/>
      <c r="AI522" s="163"/>
      <c r="AJ522" s="163"/>
      <c r="AK522" s="163"/>
      <c r="AL522" s="163"/>
      <c r="AM522" s="163"/>
    </row>
    <row r="523" ht="13.5" customHeight="1">
      <c r="A523" s="130"/>
      <c r="B523" s="130"/>
      <c r="C523" s="130"/>
      <c r="D523" s="130"/>
      <c r="E523" s="163"/>
      <c r="F523" s="163"/>
      <c r="G523" s="163"/>
      <c r="H523" s="130"/>
      <c r="I523" s="130"/>
      <c r="J523" s="130"/>
      <c r="K523" s="130"/>
      <c r="L523" s="163"/>
      <c r="M523" s="130"/>
      <c r="N523" s="130"/>
      <c r="O523" s="130"/>
      <c r="P523" s="130"/>
      <c r="Q523" s="130"/>
      <c r="R523" s="130"/>
      <c r="S523" s="130"/>
      <c r="T523" s="130"/>
      <c r="U523" s="130"/>
      <c r="V523" s="130"/>
      <c r="W523" s="130"/>
      <c r="X523" s="163"/>
      <c r="Y523" s="163"/>
      <c r="Z523" s="163"/>
      <c r="AA523" s="163"/>
      <c r="AB523" s="163"/>
      <c r="AC523" s="163"/>
      <c r="AD523" s="163"/>
      <c r="AE523" s="163"/>
      <c r="AF523" s="163"/>
      <c r="AG523" s="163"/>
      <c r="AH523" s="163"/>
      <c r="AI523" s="163"/>
      <c r="AJ523" s="163"/>
      <c r="AK523" s="163"/>
      <c r="AL523" s="163"/>
      <c r="AM523" s="163"/>
    </row>
    <row r="524" ht="13.5" customHeight="1">
      <c r="A524" s="130"/>
      <c r="B524" s="130"/>
      <c r="C524" s="130"/>
      <c r="D524" s="130"/>
      <c r="E524" s="163"/>
      <c r="F524" s="163"/>
      <c r="G524" s="163"/>
      <c r="H524" s="130"/>
      <c r="I524" s="130"/>
      <c r="J524" s="130"/>
      <c r="K524" s="130"/>
      <c r="L524" s="163"/>
      <c r="M524" s="130"/>
      <c r="N524" s="130"/>
      <c r="O524" s="130"/>
      <c r="P524" s="130"/>
      <c r="Q524" s="130"/>
      <c r="R524" s="130"/>
      <c r="S524" s="130"/>
      <c r="T524" s="130"/>
      <c r="U524" s="130"/>
      <c r="V524" s="130"/>
      <c r="W524" s="130"/>
      <c r="X524" s="163"/>
      <c r="Y524" s="163"/>
      <c r="Z524" s="163"/>
      <c r="AA524" s="163"/>
      <c r="AB524" s="163"/>
      <c r="AC524" s="163"/>
      <c r="AD524" s="163"/>
      <c r="AE524" s="163"/>
      <c r="AF524" s="163"/>
      <c r="AG524" s="163"/>
      <c r="AH524" s="163"/>
      <c r="AI524" s="163"/>
      <c r="AJ524" s="163"/>
      <c r="AK524" s="163"/>
      <c r="AL524" s="163"/>
      <c r="AM524" s="163"/>
    </row>
    <row r="525" ht="13.5" customHeight="1">
      <c r="A525" s="130"/>
      <c r="B525" s="130"/>
      <c r="C525" s="130"/>
      <c r="D525" s="130"/>
      <c r="E525" s="163"/>
      <c r="F525" s="163"/>
      <c r="G525" s="163"/>
      <c r="H525" s="130"/>
      <c r="I525" s="130"/>
      <c r="J525" s="130"/>
      <c r="K525" s="130"/>
      <c r="L525" s="163"/>
      <c r="M525" s="130"/>
      <c r="N525" s="130"/>
      <c r="O525" s="130"/>
      <c r="P525" s="130"/>
      <c r="Q525" s="130"/>
      <c r="R525" s="130"/>
      <c r="S525" s="130"/>
      <c r="T525" s="130"/>
      <c r="U525" s="130"/>
      <c r="V525" s="130"/>
      <c r="W525" s="130"/>
      <c r="X525" s="163"/>
      <c r="Y525" s="163"/>
      <c r="Z525" s="163"/>
      <c r="AA525" s="163"/>
      <c r="AB525" s="163"/>
      <c r="AC525" s="163"/>
      <c r="AD525" s="163"/>
      <c r="AE525" s="163"/>
      <c r="AF525" s="163"/>
      <c r="AG525" s="163"/>
      <c r="AH525" s="163"/>
      <c r="AI525" s="163"/>
      <c r="AJ525" s="163"/>
      <c r="AK525" s="163"/>
      <c r="AL525" s="163"/>
      <c r="AM525" s="163"/>
    </row>
    <row r="526" ht="13.5" customHeight="1">
      <c r="A526" s="130"/>
      <c r="B526" s="130"/>
      <c r="C526" s="130"/>
      <c r="D526" s="130"/>
      <c r="E526" s="163"/>
      <c r="F526" s="163"/>
      <c r="G526" s="163"/>
      <c r="H526" s="130"/>
      <c r="I526" s="130"/>
      <c r="J526" s="130"/>
      <c r="K526" s="130"/>
      <c r="L526" s="163"/>
      <c r="M526" s="130"/>
      <c r="N526" s="130"/>
      <c r="O526" s="130"/>
      <c r="P526" s="130"/>
      <c r="Q526" s="130"/>
      <c r="R526" s="130"/>
      <c r="S526" s="130"/>
      <c r="T526" s="130"/>
      <c r="U526" s="130"/>
      <c r="V526" s="130"/>
      <c r="W526" s="130"/>
      <c r="X526" s="163"/>
      <c r="Y526" s="163"/>
      <c r="Z526" s="163"/>
      <c r="AA526" s="163"/>
      <c r="AB526" s="163"/>
      <c r="AC526" s="163"/>
      <c r="AD526" s="163"/>
      <c r="AE526" s="163"/>
      <c r="AF526" s="163"/>
      <c r="AG526" s="163"/>
      <c r="AH526" s="163"/>
      <c r="AI526" s="163"/>
      <c r="AJ526" s="163"/>
      <c r="AK526" s="163"/>
      <c r="AL526" s="163"/>
      <c r="AM526" s="163"/>
    </row>
    <row r="527" ht="13.5" customHeight="1">
      <c r="A527" s="130"/>
      <c r="B527" s="130"/>
      <c r="C527" s="130"/>
      <c r="D527" s="130"/>
      <c r="E527" s="163"/>
      <c r="F527" s="163"/>
      <c r="G527" s="163"/>
      <c r="H527" s="130"/>
      <c r="I527" s="130"/>
      <c r="J527" s="130"/>
      <c r="K527" s="130"/>
      <c r="L527" s="163"/>
      <c r="M527" s="130"/>
      <c r="N527" s="130"/>
      <c r="O527" s="130"/>
      <c r="P527" s="130"/>
      <c r="Q527" s="130"/>
      <c r="R527" s="130"/>
      <c r="S527" s="130"/>
      <c r="T527" s="130"/>
      <c r="U527" s="130"/>
      <c r="V527" s="130"/>
      <c r="W527" s="130"/>
      <c r="X527" s="163"/>
      <c r="Y527" s="163"/>
      <c r="Z527" s="163"/>
      <c r="AA527" s="163"/>
      <c r="AB527" s="163"/>
      <c r="AC527" s="163"/>
      <c r="AD527" s="163"/>
      <c r="AE527" s="163"/>
      <c r="AF527" s="163"/>
      <c r="AG527" s="163"/>
      <c r="AH527" s="163"/>
      <c r="AI527" s="163"/>
      <c r="AJ527" s="163"/>
      <c r="AK527" s="163"/>
      <c r="AL527" s="163"/>
      <c r="AM527" s="163"/>
    </row>
    <row r="528" ht="13.5" customHeight="1">
      <c r="A528" s="130"/>
      <c r="B528" s="130"/>
      <c r="C528" s="130"/>
      <c r="D528" s="130"/>
      <c r="E528" s="163"/>
      <c r="F528" s="163"/>
      <c r="G528" s="163"/>
      <c r="H528" s="130"/>
      <c r="I528" s="130"/>
      <c r="J528" s="130"/>
      <c r="K528" s="130"/>
      <c r="L528" s="163"/>
      <c r="M528" s="130"/>
      <c r="N528" s="130"/>
      <c r="O528" s="130"/>
      <c r="P528" s="130"/>
      <c r="Q528" s="130"/>
      <c r="R528" s="130"/>
      <c r="S528" s="130"/>
      <c r="T528" s="130"/>
      <c r="U528" s="130"/>
      <c r="V528" s="130"/>
      <c r="W528" s="130"/>
      <c r="X528" s="163"/>
      <c r="Y528" s="163"/>
      <c r="Z528" s="163"/>
      <c r="AA528" s="163"/>
      <c r="AB528" s="163"/>
      <c r="AC528" s="163"/>
      <c r="AD528" s="163"/>
      <c r="AE528" s="163"/>
      <c r="AF528" s="163"/>
      <c r="AG528" s="163"/>
      <c r="AH528" s="163"/>
      <c r="AI528" s="163"/>
      <c r="AJ528" s="163"/>
      <c r="AK528" s="163"/>
      <c r="AL528" s="163"/>
      <c r="AM528" s="163"/>
    </row>
    <row r="529" ht="13.5" customHeight="1">
      <c r="A529" s="130"/>
      <c r="B529" s="130"/>
      <c r="C529" s="130"/>
      <c r="D529" s="130"/>
      <c r="E529" s="163"/>
      <c r="F529" s="163"/>
      <c r="G529" s="163"/>
      <c r="H529" s="130"/>
      <c r="I529" s="130"/>
      <c r="J529" s="130"/>
      <c r="K529" s="130"/>
      <c r="L529" s="163"/>
      <c r="M529" s="130"/>
      <c r="N529" s="130"/>
      <c r="O529" s="130"/>
      <c r="P529" s="130"/>
      <c r="Q529" s="130"/>
      <c r="R529" s="130"/>
      <c r="S529" s="130"/>
      <c r="T529" s="130"/>
      <c r="U529" s="130"/>
      <c r="V529" s="130"/>
      <c r="W529" s="130"/>
      <c r="X529" s="163"/>
      <c r="Y529" s="163"/>
      <c r="Z529" s="163"/>
      <c r="AA529" s="163"/>
      <c r="AB529" s="163"/>
      <c r="AC529" s="163"/>
      <c r="AD529" s="163"/>
      <c r="AE529" s="163"/>
      <c r="AF529" s="163"/>
      <c r="AG529" s="163"/>
      <c r="AH529" s="163"/>
      <c r="AI529" s="163"/>
      <c r="AJ529" s="163"/>
      <c r="AK529" s="163"/>
      <c r="AL529" s="163"/>
      <c r="AM529" s="163"/>
    </row>
    <row r="530" ht="13.5" customHeight="1">
      <c r="A530" s="130"/>
      <c r="B530" s="130"/>
      <c r="C530" s="130"/>
      <c r="D530" s="130"/>
      <c r="E530" s="163"/>
      <c r="F530" s="163"/>
      <c r="G530" s="163"/>
      <c r="H530" s="130"/>
      <c r="I530" s="130"/>
      <c r="J530" s="130"/>
      <c r="K530" s="130"/>
      <c r="L530" s="163"/>
      <c r="M530" s="130"/>
      <c r="N530" s="130"/>
      <c r="O530" s="130"/>
      <c r="P530" s="130"/>
      <c r="Q530" s="130"/>
      <c r="R530" s="130"/>
      <c r="S530" s="130"/>
      <c r="T530" s="130"/>
      <c r="U530" s="130"/>
      <c r="V530" s="130"/>
      <c r="W530" s="130"/>
      <c r="X530" s="163"/>
      <c r="Y530" s="163"/>
      <c r="Z530" s="163"/>
      <c r="AA530" s="163"/>
      <c r="AB530" s="163"/>
      <c r="AC530" s="163"/>
      <c r="AD530" s="163"/>
      <c r="AE530" s="163"/>
      <c r="AF530" s="163"/>
      <c r="AG530" s="163"/>
      <c r="AH530" s="163"/>
      <c r="AI530" s="163"/>
      <c r="AJ530" s="163"/>
      <c r="AK530" s="163"/>
      <c r="AL530" s="163"/>
      <c r="AM530" s="163"/>
    </row>
    <row r="531" ht="13.5" customHeight="1">
      <c r="A531" s="130"/>
      <c r="B531" s="130"/>
      <c r="C531" s="130"/>
      <c r="D531" s="130"/>
      <c r="E531" s="163"/>
      <c r="F531" s="163"/>
      <c r="G531" s="163"/>
      <c r="H531" s="130"/>
      <c r="I531" s="130"/>
      <c r="J531" s="130"/>
      <c r="K531" s="130"/>
      <c r="L531" s="163"/>
      <c r="M531" s="130"/>
      <c r="N531" s="130"/>
      <c r="O531" s="130"/>
      <c r="P531" s="130"/>
      <c r="Q531" s="130"/>
      <c r="R531" s="130"/>
      <c r="S531" s="130"/>
      <c r="T531" s="130"/>
      <c r="U531" s="130"/>
      <c r="V531" s="130"/>
      <c r="W531" s="130"/>
      <c r="X531" s="163"/>
      <c r="Y531" s="163"/>
      <c r="Z531" s="163"/>
      <c r="AA531" s="163"/>
      <c r="AB531" s="163"/>
      <c r="AC531" s="163"/>
      <c r="AD531" s="163"/>
      <c r="AE531" s="163"/>
      <c r="AF531" s="163"/>
      <c r="AG531" s="163"/>
      <c r="AH531" s="163"/>
      <c r="AI531" s="163"/>
      <c r="AJ531" s="163"/>
      <c r="AK531" s="163"/>
      <c r="AL531" s="163"/>
      <c r="AM531" s="163"/>
    </row>
    <row r="532" ht="13.5" customHeight="1">
      <c r="A532" s="130"/>
      <c r="B532" s="130"/>
      <c r="C532" s="130"/>
      <c r="D532" s="130"/>
      <c r="E532" s="163"/>
      <c r="F532" s="163"/>
      <c r="G532" s="163"/>
      <c r="H532" s="130"/>
      <c r="I532" s="130"/>
      <c r="J532" s="130"/>
      <c r="K532" s="130"/>
      <c r="L532" s="163"/>
      <c r="M532" s="130"/>
      <c r="N532" s="130"/>
      <c r="O532" s="130"/>
      <c r="P532" s="130"/>
      <c r="Q532" s="130"/>
      <c r="R532" s="130"/>
      <c r="S532" s="130"/>
      <c r="T532" s="130"/>
      <c r="U532" s="130"/>
      <c r="V532" s="130"/>
      <c r="W532" s="130"/>
      <c r="X532" s="163"/>
      <c r="Y532" s="163"/>
      <c r="Z532" s="163"/>
      <c r="AA532" s="163"/>
      <c r="AB532" s="163"/>
      <c r="AC532" s="163"/>
      <c r="AD532" s="163"/>
      <c r="AE532" s="163"/>
      <c r="AF532" s="163"/>
      <c r="AG532" s="163"/>
      <c r="AH532" s="163"/>
      <c r="AI532" s="163"/>
      <c r="AJ532" s="163"/>
      <c r="AK532" s="163"/>
      <c r="AL532" s="163"/>
      <c r="AM532" s="163"/>
    </row>
    <row r="533" ht="13.5" customHeight="1">
      <c r="A533" s="130"/>
      <c r="B533" s="130"/>
      <c r="C533" s="130"/>
      <c r="D533" s="130"/>
      <c r="E533" s="163"/>
      <c r="F533" s="163"/>
      <c r="G533" s="163"/>
      <c r="H533" s="130"/>
      <c r="I533" s="130"/>
      <c r="J533" s="130"/>
      <c r="K533" s="130"/>
      <c r="L533" s="163"/>
      <c r="M533" s="130"/>
      <c r="N533" s="130"/>
      <c r="O533" s="130"/>
      <c r="P533" s="130"/>
      <c r="Q533" s="130"/>
      <c r="R533" s="130"/>
      <c r="S533" s="130"/>
      <c r="T533" s="130"/>
      <c r="U533" s="130"/>
      <c r="V533" s="130"/>
      <c r="W533" s="130"/>
      <c r="X533" s="163"/>
      <c r="Y533" s="163"/>
      <c r="Z533" s="163"/>
      <c r="AA533" s="163"/>
      <c r="AB533" s="163"/>
      <c r="AC533" s="163"/>
      <c r="AD533" s="163"/>
      <c r="AE533" s="163"/>
      <c r="AF533" s="163"/>
      <c r="AG533" s="163"/>
      <c r="AH533" s="163"/>
      <c r="AI533" s="163"/>
      <c r="AJ533" s="163"/>
      <c r="AK533" s="163"/>
      <c r="AL533" s="163"/>
      <c r="AM533" s="163"/>
    </row>
    <row r="534" ht="13.5" customHeight="1">
      <c r="A534" s="130"/>
      <c r="B534" s="130"/>
      <c r="C534" s="130"/>
      <c r="D534" s="130"/>
      <c r="E534" s="163"/>
      <c r="F534" s="163"/>
      <c r="G534" s="163"/>
      <c r="H534" s="130"/>
      <c r="I534" s="130"/>
      <c r="J534" s="130"/>
      <c r="K534" s="130"/>
      <c r="L534" s="163"/>
      <c r="M534" s="130"/>
      <c r="N534" s="130"/>
      <c r="O534" s="130"/>
      <c r="P534" s="130"/>
      <c r="Q534" s="130"/>
      <c r="R534" s="130"/>
      <c r="S534" s="130"/>
      <c r="T534" s="130"/>
      <c r="U534" s="130"/>
      <c r="V534" s="130"/>
      <c r="W534" s="130"/>
      <c r="X534" s="163"/>
      <c r="Y534" s="163"/>
      <c r="Z534" s="163"/>
      <c r="AA534" s="163"/>
      <c r="AB534" s="163"/>
      <c r="AC534" s="163"/>
      <c r="AD534" s="163"/>
      <c r="AE534" s="163"/>
      <c r="AF534" s="163"/>
      <c r="AG534" s="163"/>
      <c r="AH534" s="163"/>
      <c r="AI534" s="163"/>
      <c r="AJ534" s="163"/>
      <c r="AK534" s="163"/>
      <c r="AL534" s="163"/>
      <c r="AM534" s="163"/>
    </row>
    <row r="535" ht="13.5" customHeight="1">
      <c r="A535" s="130"/>
      <c r="B535" s="130"/>
      <c r="C535" s="130"/>
      <c r="D535" s="130"/>
      <c r="E535" s="163"/>
      <c r="F535" s="163"/>
      <c r="G535" s="163"/>
      <c r="H535" s="130"/>
      <c r="I535" s="130"/>
      <c r="J535" s="130"/>
      <c r="K535" s="130"/>
      <c r="L535" s="163"/>
      <c r="M535" s="130"/>
      <c r="N535" s="130"/>
      <c r="O535" s="130"/>
      <c r="P535" s="130"/>
      <c r="Q535" s="130"/>
      <c r="R535" s="130"/>
      <c r="S535" s="130"/>
      <c r="T535" s="130"/>
      <c r="U535" s="130"/>
      <c r="V535" s="130"/>
      <c r="W535" s="130"/>
      <c r="X535" s="163"/>
      <c r="Y535" s="163"/>
      <c r="Z535" s="163"/>
      <c r="AA535" s="163"/>
      <c r="AB535" s="163"/>
      <c r="AC535" s="163"/>
      <c r="AD535" s="163"/>
      <c r="AE535" s="163"/>
      <c r="AF535" s="163"/>
      <c r="AG535" s="163"/>
      <c r="AH535" s="163"/>
      <c r="AI535" s="163"/>
      <c r="AJ535" s="163"/>
      <c r="AK535" s="163"/>
      <c r="AL535" s="163"/>
      <c r="AM535" s="163"/>
    </row>
    <row r="536" ht="13.5" customHeight="1">
      <c r="A536" s="130"/>
      <c r="B536" s="130"/>
      <c r="C536" s="130"/>
      <c r="D536" s="130"/>
      <c r="E536" s="163"/>
      <c r="F536" s="163"/>
      <c r="G536" s="163"/>
      <c r="H536" s="130"/>
      <c r="I536" s="130"/>
      <c r="J536" s="130"/>
      <c r="K536" s="130"/>
      <c r="L536" s="163"/>
      <c r="M536" s="130"/>
      <c r="N536" s="130"/>
      <c r="O536" s="130"/>
      <c r="P536" s="130"/>
      <c r="Q536" s="130"/>
      <c r="R536" s="130"/>
      <c r="S536" s="130"/>
      <c r="T536" s="130"/>
      <c r="U536" s="130"/>
      <c r="V536" s="130"/>
      <c r="W536" s="130"/>
      <c r="X536" s="163"/>
      <c r="Y536" s="163"/>
      <c r="Z536" s="163"/>
      <c r="AA536" s="163"/>
      <c r="AB536" s="163"/>
      <c r="AC536" s="163"/>
      <c r="AD536" s="163"/>
      <c r="AE536" s="163"/>
      <c r="AF536" s="163"/>
      <c r="AG536" s="163"/>
      <c r="AH536" s="163"/>
      <c r="AI536" s="163"/>
      <c r="AJ536" s="163"/>
      <c r="AK536" s="163"/>
      <c r="AL536" s="163"/>
      <c r="AM536" s="163"/>
    </row>
    <row r="537" ht="13.5" customHeight="1">
      <c r="A537" s="130"/>
      <c r="B537" s="130"/>
      <c r="C537" s="130"/>
      <c r="D537" s="130"/>
      <c r="E537" s="163"/>
      <c r="F537" s="163"/>
      <c r="G537" s="163"/>
      <c r="H537" s="130"/>
      <c r="I537" s="130"/>
      <c r="J537" s="130"/>
      <c r="K537" s="130"/>
      <c r="L537" s="163"/>
      <c r="M537" s="130"/>
      <c r="N537" s="130"/>
      <c r="O537" s="130"/>
      <c r="P537" s="130"/>
      <c r="Q537" s="130"/>
      <c r="R537" s="130"/>
      <c r="S537" s="130"/>
      <c r="T537" s="130"/>
      <c r="U537" s="130"/>
      <c r="V537" s="130"/>
      <c r="W537" s="130"/>
      <c r="X537" s="163"/>
      <c r="Y537" s="163"/>
      <c r="Z537" s="163"/>
      <c r="AA537" s="163"/>
      <c r="AB537" s="163"/>
      <c r="AC537" s="163"/>
      <c r="AD537" s="163"/>
      <c r="AE537" s="163"/>
      <c r="AF537" s="163"/>
      <c r="AG537" s="163"/>
      <c r="AH537" s="163"/>
      <c r="AI537" s="163"/>
      <c r="AJ537" s="163"/>
      <c r="AK537" s="163"/>
      <c r="AL537" s="163"/>
      <c r="AM537" s="163"/>
    </row>
    <row r="538" ht="13.5" customHeight="1">
      <c r="A538" s="130"/>
      <c r="B538" s="130"/>
      <c r="C538" s="130"/>
      <c r="D538" s="130"/>
      <c r="E538" s="163"/>
      <c r="F538" s="163"/>
      <c r="G538" s="163"/>
      <c r="H538" s="130"/>
      <c r="I538" s="130"/>
      <c r="J538" s="130"/>
      <c r="K538" s="130"/>
      <c r="L538" s="163"/>
      <c r="M538" s="130"/>
      <c r="N538" s="130"/>
      <c r="O538" s="130"/>
      <c r="P538" s="130"/>
      <c r="Q538" s="130"/>
      <c r="R538" s="130"/>
      <c r="S538" s="130"/>
      <c r="T538" s="130"/>
      <c r="U538" s="130"/>
      <c r="V538" s="130"/>
      <c r="W538" s="130"/>
      <c r="X538" s="163"/>
      <c r="Y538" s="163"/>
      <c r="Z538" s="163"/>
      <c r="AA538" s="163"/>
      <c r="AB538" s="163"/>
      <c r="AC538" s="163"/>
      <c r="AD538" s="163"/>
      <c r="AE538" s="163"/>
      <c r="AF538" s="163"/>
      <c r="AG538" s="163"/>
      <c r="AH538" s="163"/>
      <c r="AI538" s="163"/>
      <c r="AJ538" s="163"/>
      <c r="AK538" s="163"/>
      <c r="AL538" s="163"/>
      <c r="AM538" s="163"/>
    </row>
    <row r="539" ht="13.5" customHeight="1">
      <c r="A539" s="130"/>
      <c r="B539" s="130"/>
      <c r="C539" s="130"/>
      <c r="D539" s="130"/>
      <c r="E539" s="163"/>
      <c r="F539" s="163"/>
      <c r="G539" s="163"/>
      <c r="H539" s="130"/>
      <c r="I539" s="130"/>
      <c r="J539" s="130"/>
      <c r="K539" s="130"/>
      <c r="L539" s="163"/>
      <c r="M539" s="130"/>
      <c r="N539" s="130"/>
      <c r="O539" s="130"/>
      <c r="P539" s="130"/>
      <c r="Q539" s="130"/>
      <c r="R539" s="130"/>
      <c r="S539" s="130"/>
      <c r="T539" s="130"/>
      <c r="U539" s="130"/>
      <c r="V539" s="130"/>
      <c r="W539" s="130"/>
      <c r="X539" s="163"/>
      <c r="Y539" s="163"/>
      <c r="Z539" s="163"/>
      <c r="AA539" s="163"/>
      <c r="AB539" s="163"/>
      <c r="AC539" s="163"/>
      <c r="AD539" s="163"/>
      <c r="AE539" s="163"/>
      <c r="AF539" s="163"/>
      <c r="AG539" s="163"/>
      <c r="AH539" s="163"/>
      <c r="AI539" s="163"/>
      <c r="AJ539" s="163"/>
      <c r="AK539" s="163"/>
      <c r="AL539" s="163"/>
      <c r="AM539" s="163"/>
    </row>
    <row r="540" ht="13.5" customHeight="1">
      <c r="A540" s="130"/>
      <c r="B540" s="130"/>
      <c r="C540" s="130"/>
      <c r="D540" s="130"/>
      <c r="E540" s="163"/>
      <c r="F540" s="163"/>
      <c r="G540" s="163"/>
      <c r="H540" s="130"/>
      <c r="I540" s="130"/>
      <c r="J540" s="130"/>
      <c r="K540" s="130"/>
      <c r="L540" s="163"/>
      <c r="M540" s="130"/>
      <c r="N540" s="130"/>
      <c r="O540" s="130"/>
      <c r="P540" s="130"/>
      <c r="Q540" s="130"/>
      <c r="R540" s="130"/>
      <c r="S540" s="130"/>
      <c r="T540" s="130"/>
      <c r="U540" s="130"/>
      <c r="V540" s="130"/>
      <c r="W540" s="130"/>
      <c r="X540" s="163"/>
      <c r="Y540" s="163"/>
      <c r="Z540" s="163"/>
      <c r="AA540" s="163"/>
      <c r="AB540" s="163"/>
      <c r="AC540" s="163"/>
      <c r="AD540" s="163"/>
      <c r="AE540" s="163"/>
      <c r="AF540" s="163"/>
      <c r="AG540" s="163"/>
      <c r="AH540" s="163"/>
      <c r="AI540" s="163"/>
      <c r="AJ540" s="163"/>
      <c r="AK540" s="163"/>
      <c r="AL540" s="163"/>
      <c r="AM540" s="163"/>
    </row>
    <row r="541" ht="13.5" customHeight="1">
      <c r="A541" s="130"/>
      <c r="B541" s="130"/>
      <c r="C541" s="130"/>
      <c r="D541" s="130"/>
      <c r="E541" s="163"/>
      <c r="F541" s="163"/>
      <c r="G541" s="163"/>
      <c r="H541" s="130"/>
      <c r="I541" s="130"/>
      <c r="J541" s="130"/>
      <c r="K541" s="130"/>
      <c r="L541" s="163"/>
      <c r="M541" s="130"/>
      <c r="N541" s="130"/>
      <c r="O541" s="130"/>
      <c r="P541" s="130"/>
      <c r="Q541" s="130"/>
      <c r="R541" s="130"/>
      <c r="S541" s="130"/>
      <c r="T541" s="130"/>
      <c r="U541" s="130"/>
      <c r="V541" s="130"/>
      <c r="W541" s="130"/>
      <c r="X541" s="163"/>
      <c r="Y541" s="163"/>
      <c r="Z541" s="163"/>
      <c r="AA541" s="163"/>
      <c r="AB541" s="163"/>
      <c r="AC541" s="163"/>
      <c r="AD541" s="163"/>
      <c r="AE541" s="163"/>
      <c r="AF541" s="163"/>
      <c r="AG541" s="163"/>
      <c r="AH541" s="163"/>
      <c r="AI541" s="163"/>
      <c r="AJ541" s="163"/>
      <c r="AK541" s="163"/>
      <c r="AL541" s="163"/>
      <c r="AM541" s="163"/>
    </row>
    <row r="542" ht="13.5" customHeight="1">
      <c r="A542" s="130"/>
      <c r="B542" s="130"/>
      <c r="C542" s="130"/>
      <c r="D542" s="130"/>
      <c r="E542" s="163"/>
      <c r="F542" s="163"/>
      <c r="G542" s="163"/>
      <c r="H542" s="130"/>
      <c r="I542" s="130"/>
      <c r="J542" s="130"/>
      <c r="K542" s="130"/>
      <c r="L542" s="163"/>
      <c r="M542" s="130"/>
      <c r="N542" s="130"/>
      <c r="O542" s="130"/>
      <c r="P542" s="130"/>
      <c r="Q542" s="130"/>
      <c r="R542" s="130"/>
      <c r="S542" s="130"/>
      <c r="T542" s="130"/>
      <c r="U542" s="130"/>
      <c r="V542" s="130"/>
      <c r="W542" s="130"/>
      <c r="X542" s="163"/>
      <c r="Y542" s="163"/>
      <c r="Z542" s="163"/>
      <c r="AA542" s="163"/>
      <c r="AB542" s="163"/>
      <c r="AC542" s="163"/>
      <c r="AD542" s="163"/>
      <c r="AE542" s="163"/>
      <c r="AF542" s="163"/>
      <c r="AG542" s="163"/>
      <c r="AH542" s="163"/>
      <c r="AI542" s="163"/>
      <c r="AJ542" s="163"/>
      <c r="AK542" s="163"/>
      <c r="AL542" s="163"/>
      <c r="AM542" s="163"/>
    </row>
    <row r="543" ht="13.5" customHeight="1">
      <c r="A543" s="130"/>
      <c r="B543" s="130"/>
      <c r="C543" s="130"/>
      <c r="D543" s="130"/>
      <c r="E543" s="163"/>
      <c r="F543" s="163"/>
      <c r="G543" s="163"/>
      <c r="H543" s="130"/>
      <c r="I543" s="130"/>
      <c r="J543" s="130"/>
      <c r="K543" s="130"/>
      <c r="L543" s="163"/>
      <c r="M543" s="130"/>
      <c r="N543" s="130"/>
      <c r="O543" s="130"/>
      <c r="P543" s="130"/>
      <c r="Q543" s="130"/>
      <c r="R543" s="130"/>
      <c r="S543" s="130"/>
      <c r="T543" s="130"/>
      <c r="U543" s="130"/>
      <c r="V543" s="130"/>
      <c r="W543" s="130"/>
      <c r="X543" s="163"/>
      <c r="Y543" s="163"/>
      <c r="Z543" s="163"/>
      <c r="AA543" s="163"/>
      <c r="AB543" s="163"/>
      <c r="AC543" s="163"/>
      <c r="AD543" s="163"/>
      <c r="AE543" s="163"/>
      <c r="AF543" s="163"/>
      <c r="AG543" s="163"/>
      <c r="AH543" s="163"/>
      <c r="AI543" s="163"/>
      <c r="AJ543" s="163"/>
      <c r="AK543" s="163"/>
      <c r="AL543" s="163"/>
      <c r="AM543" s="163"/>
    </row>
    <row r="544" ht="13.5" customHeight="1">
      <c r="A544" s="130"/>
      <c r="B544" s="130"/>
      <c r="C544" s="130"/>
      <c r="D544" s="130"/>
      <c r="E544" s="163"/>
      <c r="F544" s="163"/>
      <c r="G544" s="163"/>
      <c r="H544" s="130"/>
      <c r="I544" s="130"/>
      <c r="J544" s="130"/>
      <c r="K544" s="130"/>
      <c r="L544" s="163"/>
      <c r="M544" s="130"/>
      <c r="N544" s="130"/>
      <c r="O544" s="130"/>
      <c r="P544" s="130"/>
      <c r="Q544" s="130"/>
      <c r="R544" s="130"/>
      <c r="S544" s="130"/>
      <c r="T544" s="130"/>
      <c r="U544" s="130"/>
      <c r="V544" s="130"/>
      <c r="W544" s="130"/>
      <c r="X544" s="163"/>
      <c r="Y544" s="163"/>
      <c r="Z544" s="163"/>
      <c r="AA544" s="163"/>
      <c r="AB544" s="163"/>
      <c r="AC544" s="163"/>
      <c r="AD544" s="163"/>
      <c r="AE544" s="163"/>
      <c r="AF544" s="163"/>
      <c r="AG544" s="163"/>
      <c r="AH544" s="163"/>
      <c r="AI544" s="163"/>
      <c r="AJ544" s="163"/>
      <c r="AK544" s="163"/>
      <c r="AL544" s="163"/>
      <c r="AM544" s="163"/>
    </row>
    <row r="545" ht="13.5" customHeight="1">
      <c r="A545" s="130"/>
      <c r="B545" s="130"/>
      <c r="C545" s="130"/>
      <c r="D545" s="130"/>
      <c r="E545" s="163"/>
      <c r="F545" s="163"/>
      <c r="G545" s="163"/>
      <c r="H545" s="130"/>
      <c r="I545" s="130"/>
      <c r="J545" s="130"/>
      <c r="K545" s="130"/>
      <c r="L545" s="163"/>
      <c r="M545" s="130"/>
      <c r="N545" s="130"/>
      <c r="O545" s="130"/>
      <c r="P545" s="130"/>
      <c r="Q545" s="130"/>
      <c r="R545" s="130"/>
      <c r="S545" s="130"/>
      <c r="T545" s="130"/>
      <c r="U545" s="130"/>
      <c r="V545" s="130"/>
      <c r="W545" s="130"/>
      <c r="X545" s="163"/>
      <c r="Y545" s="163"/>
      <c r="Z545" s="163"/>
      <c r="AA545" s="163"/>
      <c r="AB545" s="163"/>
      <c r="AC545" s="163"/>
      <c r="AD545" s="163"/>
      <c r="AE545" s="163"/>
      <c r="AF545" s="163"/>
      <c r="AG545" s="163"/>
      <c r="AH545" s="163"/>
      <c r="AI545" s="163"/>
      <c r="AJ545" s="163"/>
      <c r="AK545" s="163"/>
      <c r="AL545" s="163"/>
      <c r="AM545" s="163"/>
    </row>
    <row r="546" ht="13.5" customHeight="1">
      <c r="A546" s="130"/>
      <c r="B546" s="130"/>
      <c r="C546" s="130"/>
      <c r="D546" s="130"/>
      <c r="E546" s="163"/>
      <c r="F546" s="163"/>
      <c r="G546" s="163"/>
      <c r="H546" s="130"/>
      <c r="I546" s="130"/>
      <c r="J546" s="130"/>
      <c r="K546" s="130"/>
      <c r="L546" s="163"/>
      <c r="M546" s="130"/>
      <c r="N546" s="130"/>
      <c r="O546" s="130"/>
      <c r="P546" s="130"/>
      <c r="Q546" s="130"/>
      <c r="R546" s="130"/>
      <c r="S546" s="130"/>
      <c r="T546" s="130"/>
      <c r="U546" s="130"/>
      <c r="V546" s="130"/>
      <c r="W546" s="130"/>
      <c r="X546" s="163"/>
      <c r="Y546" s="163"/>
      <c r="Z546" s="163"/>
      <c r="AA546" s="163"/>
      <c r="AB546" s="163"/>
      <c r="AC546" s="163"/>
      <c r="AD546" s="163"/>
      <c r="AE546" s="163"/>
      <c r="AF546" s="163"/>
      <c r="AG546" s="163"/>
      <c r="AH546" s="163"/>
      <c r="AI546" s="163"/>
      <c r="AJ546" s="163"/>
      <c r="AK546" s="163"/>
      <c r="AL546" s="163"/>
      <c r="AM546" s="163"/>
    </row>
    <row r="547" ht="13.5" customHeight="1">
      <c r="A547" s="130"/>
      <c r="B547" s="130"/>
      <c r="C547" s="130"/>
      <c r="D547" s="130"/>
      <c r="E547" s="163"/>
      <c r="F547" s="163"/>
      <c r="G547" s="163"/>
      <c r="H547" s="130"/>
      <c r="I547" s="130"/>
      <c r="J547" s="130"/>
      <c r="K547" s="130"/>
      <c r="L547" s="163"/>
      <c r="M547" s="130"/>
      <c r="N547" s="130"/>
      <c r="O547" s="130"/>
      <c r="P547" s="130"/>
      <c r="Q547" s="130"/>
      <c r="R547" s="130"/>
      <c r="S547" s="130"/>
      <c r="T547" s="130"/>
      <c r="U547" s="130"/>
      <c r="V547" s="130"/>
      <c r="W547" s="130"/>
      <c r="X547" s="163"/>
      <c r="Y547" s="163"/>
      <c r="Z547" s="163"/>
      <c r="AA547" s="163"/>
      <c r="AB547" s="163"/>
      <c r="AC547" s="163"/>
      <c r="AD547" s="163"/>
      <c r="AE547" s="163"/>
      <c r="AF547" s="163"/>
      <c r="AG547" s="163"/>
      <c r="AH547" s="163"/>
      <c r="AI547" s="163"/>
      <c r="AJ547" s="163"/>
      <c r="AK547" s="163"/>
      <c r="AL547" s="163"/>
      <c r="AM547" s="163"/>
    </row>
    <row r="548" ht="13.5" customHeight="1">
      <c r="A548" s="130"/>
      <c r="B548" s="130"/>
      <c r="C548" s="130"/>
      <c r="D548" s="130"/>
      <c r="E548" s="163"/>
      <c r="F548" s="163"/>
      <c r="G548" s="163"/>
      <c r="H548" s="130"/>
      <c r="I548" s="130"/>
      <c r="J548" s="130"/>
      <c r="K548" s="130"/>
      <c r="L548" s="163"/>
      <c r="M548" s="130"/>
      <c r="N548" s="130"/>
      <c r="O548" s="130"/>
      <c r="P548" s="130"/>
      <c r="Q548" s="130"/>
      <c r="R548" s="130"/>
      <c r="S548" s="130"/>
      <c r="T548" s="130"/>
      <c r="U548" s="130"/>
      <c r="V548" s="130"/>
      <c r="W548" s="130"/>
      <c r="X548" s="163"/>
      <c r="Y548" s="163"/>
      <c r="Z548" s="163"/>
      <c r="AA548" s="163"/>
      <c r="AB548" s="163"/>
      <c r="AC548" s="163"/>
      <c r="AD548" s="163"/>
      <c r="AE548" s="163"/>
      <c r="AF548" s="163"/>
      <c r="AG548" s="163"/>
      <c r="AH548" s="163"/>
      <c r="AI548" s="163"/>
      <c r="AJ548" s="163"/>
      <c r="AK548" s="163"/>
      <c r="AL548" s="163"/>
      <c r="AM548" s="163"/>
    </row>
    <row r="549" ht="13.5" customHeight="1">
      <c r="A549" s="130"/>
      <c r="B549" s="130"/>
      <c r="C549" s="130"/>
      <c r="D549" s="130"/>
      <c r="E549" s="163"/>
      <c r="F549" s="163"/>
      <c r="G549" s="163"/>
      <c r="H549" s="130"/>
      <c r="I549" s="130"/>
      <c r="J549" s="130"/>
      <c r="K549" s="130"/>
      <c r="L549" s="163"/>
      <c r="M549" s="130"/>
      <c r="N549" s="130"/>
      <c r="O549" s="130"/>
      <c r="P549" s="130"/>
      <c r="Q549" s="130"/>
      <c r="R549" s="130"/>
      <c r="S549" s="130"/>
      <c r="T549" s="130"/>
      <c r="U549" s="130"/>
      <c r="V549" s="130"/>
      <c r="W549" s="130"/>
      <c r="X549" s="163"/>
      <c r="Y549" s="163"/>
      <c r="Z549" s="163"/>
      <c r="AA549" s="163"/>
      <c r="AB549" s="163"/>
      <c r="AC549" s="163"/>
      <c r="AD549" s="163"/>
      <c r="AE549" s="163"/>
      <c r="AF549" s="163"/>
      <c r="AG549" s="163"/>
      <c r="AH549" s="163"/>
      <c r="AI549" s="163"/>
      <c r="AJ549" s="163"/>
      <c r="AK549" s="163"/>
      <c r="AL549" s="163"/>
      <c r="AM549" s="163"/>
    </row>
    <row r="550" ht="13.5" customHeight="1">
      <c r="A550" s="130"/>
      <c r="B550" s="130"/>
      <c r="C550" s="130"/>
      <c r="D550" s="130"/>
      <c r="E550" s="163"/>
      <c r="F550" s="163"/>
      <c r="G550" s="163"/>
      <c r="H550" s="130"/>
      <c r="I550" s="130"/>
      <c r="J550" s="130"/>
      <c r="K550" s="130"/>
      <c r="L550" s="163"/>
      <c r="M550" s="130"/>
      <c r="N550" s="130"/>
      <c r="O550" s="130"/>
      <c r="P550" s="130"/>
      <c r="Q550" s="130"/>
      <c r="R550" s="130"/>
      <c r="S550" s="130"/>
      <c r="T550" s="130"/>
      <c r="U550" s="130"/>
      <c r="V550" s="130"/>
      <c r="W550" s="130"/>
      <c r="X550" s="163"/>
      <c r="Y550" s="163"/>
      <c r="Z550" s="163"/>
      <c r="AA550" s="163"/>
      <c r="AB550" s="163"/>
      <c r="AC550" s="163"/>
      <c r="AD550" s="163"/>
      <c r="AE550" s="163"/>
      <c r="AF550" s="163"/>
      <c r="AG550" s="163"/>
      <c r="AH550" s="163"/>
      <c r="AI550" s="163"/>
      <c r="AJ550" s="163"/>
      <c r="AK550" s="163"/>
      <c r="AL550" s="163"/>
      <c r="AM550" s="163"/>
    </row>
    <row r="551" ht="13.5" customHeight="1">
      <c r="A551" s="130"/>
      <c r="B551" s="130"/>
      <c r="C551" s="130"/>
      <c r="D551" s="130"/>
      <c r="E551" s="163"/>
      <c r="F551" s="163"/>
      <c r="G551" s="163"/>
      <c r="H551" s="130"/>
      <c r="I551" s="130"/>
      <c r="J551" s="130"/>
      <c r="K551" s="130"/>
      <c r="L551" s="163"/>
      <c r="M551" s="130"/>
      <c r="N551" s="130"/>
      <c r="O551" s="130"/>
      <c r="P551" s="130"/>
      <c r="Q551" s="130"/>
      <c r="R551" s="130"/>
      <c r="S551" s="130"/>
      <c r="T551" s="130"/>
      <c r="U551" s="130"/>
      <c r="V551" s="130"/>
      <c r="W551" s="130"/>
      <c r="X551" s="163"/>
      <c r="Y551" s="163"/>
      <c r="Z551" s="163"/>
      <c r="AA551" s="163"/>
      <c r="AB551" s="163"/>
      <c r="AC551" s="163"/>
      <c r="AD551" s="163"/>
      <c r="AE551" s="163"/>
      <c r="AF551" s="163"/>
      <c r="AG551" s="163"/>
      <c r="AH551" s="163"/>
      <c r="AI551" s="163"/>
      <c r="AJ551" s="163"/>
      <c r="AK551" s="163"/>
      <c r="AL551" s="163"/>
      <c r="AM551" s="163"/>
    </row>
    <row r="552" ht="13.5" customHeight="1">
      <c r="A552" s="130"/>
      <c r="B552" s="130"/>
      <c r="C552" s="130"/>
      <c r="D552" s="130"/>
      <c r="E552" s="163"/>
      <c r="F552" s="163"/>
      <c r="G552" s="163"/>
      <c r="H552" s="130"/>
      <c r="I552" s="130"/>
      <c r="J552" s="130"/>
      <c r="K552" s="130"/>
      <c r="L552" s="163"/>
      <c r="M552" s="130"/>
      <c r="N552" s="130"/>
      <c r="O552" s="130"/>
      <c r="P552" s="130"/>
      <c r="Q552" s="130"/>
      <c r="R552" s="130"/>
      <c r="S552" s="130"/>
      <c r="T552" s="130"/>
      <c r="U552" s="130"/>
      <c r="V552" s="130"/>
      <c r="W552" s="130"/>
      <c r="X552" s="163"/>
      <c r="Y552" s="163"/>
      <c r="Z552" s="163"/>
      <c r="AA552" s="163"/>
      <c r="AB552" s="163"/>
      <c r="AC552" s="163"/>
      <c r="AD552" s="163"/>
      <c r="AE552" s="163"/>
      <c r="AF552" s="163"/>
      <c r="AG552" s="163"/>
      <c r="AH552" s="163"/>
      <c r="AI552" s="163"/>
      <c r="AJ552" s="163"/>
      <c r="AK552" s="163"/>
      <c r="AL552" s="163"/>
      <c r="AM552" s="163"/>
    </row>
    <row r="553" ht="13.5" customHeight="1">
      <c r="A553" s="130"/>
      <c r="B553" s="130"/>
      <c r="C553" s="130"/>
      <c r="D553" s="130"/>
      <c r="E553" s="163"/>
      <c r="F553" s="163"/>
      <c r="G553" s="163"/>
      <c r="H553" s="130"/>
      <c r="I553" s="130"/>
      <c r="J553" s="130"/>
      <c r="K553" s="130"/>
      <c r="L553" s="163"/>
      <c r="M553" s="130"/>
      <c r="N553" s="130"/>
      <c r="O553" s="130"/>
      <c r="P553" s="130"/>
      <c r="Q553" s="130"/>
      <c r="R553" s="130"/>
      <c r="S553" s="130"/>
      <c r="T553" s="130"/>
      <c r="U553" s="130"/>
      <c r="V553" s="130"/>
      <c r="W553" s="130"/>
      <c r="X553" s="163"/>
      <c r="Y553" s="163"/>
      <c r="Z553" s="163"/>
      <c r="AA553" s="163"/>
      <c r="AB553" s="163"/>
      <c r="AC553" s="163"/>
      <c r="AD553" s="163"/>
      <c r="AE553" s="163"/>
      <c r="AF553" s="163"/>
      <c r="AG553" s="163"/>
      <c r="AH553" s="163"/>
      <c r="AI553" s="163"/>
      <c r="AJ553" s="163"/>
      <c r="AK553" s="163"/>
      <c r="AL553" s="163"/>
      <c r="AM553" s="163"/>
    </row>
    <row r="554" ht="13.5" customHeight="1">
      <c r="A554" s="130"/>
      <c r="B554" s="130"/>
      <c r="C554" s="130"/>
      <c r="D554" s="130"/>
      <c r="E554" s="163"/>
      <c r="F554" s="163"/>
      <c r="G554" s="163"/>
      <c r="H554" s="130"/>
      <c r="I554" s="130"/>
      <c r="J554" s="130"/>
      <c r="K554" s="130"/>
      <c r="L554" s="163"/>
      <c r="M554" s="130"/>
      <c r="N554" s="130"/>
      <c r="O554" s="130"/>
      <c r="P554" s="130"/>
      <c r="Q554" s="130"/>
      <c r="R554" s="130"/>
      <c r="S554" s="130"/>
      <c r="T554" s="130"/>
      <c r="U554" s="130"/>
      <c r="V554" s="130"/>
      <c r="W554" s="130"/>
      <c r="X554" s="163"/>
      <c r="Y554" s="163"/>
      <c r="Z554" s="163"/>
      <c r="AA554" s="163"/>
      <c r="AB554" s="163"/>
      <c r="AC554" s="163"/>
      <c r="AD554" s="163"/>
      <c r="AE554" s="163"/>
      <c r="AF554" s="163"/>
      <c r="AG554" s="163"/>
      <c r="AH554" s="163"/>
      <c r="AI554" s="163"/>
      <c r="AJ554" s="163"/>
      <c r="AK554" s="163"/>
      <c r="AL554" s="163"/>
      <c r="AM554" s="163"/>
    </row>
    <row r="555" ht="13.5" customHeight="1">
      <c r="A555" s="130"/>
      <c r="B555" s="130"/>
      <c r="C555" s="130"/>
      <c r="D555" s="130"/>
      <c r="E555" s="163"/>
      <c r="F555" s="163"/>
      <c r="G555" s="163"/>
      <c r="H555" s="130"/>
      <c r="I555" s="130"/>
      <c r="J555" s="130"/>
      <c r="K555" s="130"/>
      <c r="L555" s="163"/>
      <c r="M555" s="130"/>
      <c r="N555" s="130"/>
      <c r="O555" s="130"/>
      <c r="P555" s="130"/>
      <c r="Q555" s="130"/>
      <c r="R555" s="130"/>
      <c r="S555" s="130"/>
      <c r="T555" s="130"/>
      <c r="U555" s="130"/>
      <c r="V555" s="130"/>
      <c r="W555" s="130"/>
      <c r="X555" s="163"/>
      <c r="Y555" s="163"/>
      <c r="Z555" s="163"/>
      <c r="AA555" s="163"/>
      <c r="AB555" s="163"/>
      <c r="AC555" s="163"/>
      <c r="AD555" s="163"/>
      <c r="AE555" s="163"/>
      <c r="AF555" s="163"/>
      <c r="AG555" s="163"/>
      <c r="AH555" s="163"/>
      <c r="AI555" s="163"/>
      <c r="AJ555" s="163"/>
      <c r="AK555" s="163"/>
      <c r="AL555" s="163"/>
      <c r="AM555" s="163"/>
    </row>
    <row r="556" ht="13.5" customHeight="1">
      <c r="A556" s="130"/>
      <c r="B556" s="130"/>
      <c r="C556" s="130"/>
      <c r="D556" s="130"/>
      <c r="E556" s="163"/>
      <c r="F556" s="163"/>
      <c r="G556" s="163"/>
      <c r="H556" s="130"/>
      <c r="I556" s="130"/>
      <c r="J556" s="130"/>
      <c r="K556" s="130"/>
      <c r="L556" s="163"/>
      <c r="M556" s="130"/>
      <c r="N556" s="130"/>
      <c r="O556" s="130"/>
      <c r="P556" s="130"/>
      <c r="Q556" s="130"/>
      <c r="R556" s="130"/>
      <c r="S556" s="130"/>
      <c r="T556" s="130"/>
      <c r="U556" s="130"/>
      <c r="V556" s="130"/>
      <c r="W556" s="130"/>
      <c r="X556" s="163"/>
      <c r="Y556" s="163"/>
      <c r="Z556" s="163"/>
      <c r="AA556" s="163"/>
      <c r="AB556" s="163"/>
      <c r="AC556" s="163"/>
      <c r="AD556" s="163"/>
      <c r="AE556" s="163"/>
      <c r="AF556" s="163"/>
      <c r="AG556" s="163"/>
      <c r="AH556" s="163"/>
      <c r="AI556" s="163"/>
      <c r="AJ556" s="163"/>
      <c r="AK556" s="163"/>
      <c r="AL556" s="163"/>
      <c r="AM556" s="163"/>
    </row>
    <row r="557" ht="13.5" customHeight="1">
      <c r="A557" s="130"/>
      <c r="B557" s="130"/>
      <c r="C557" s="130"/>
      <c r="D557" s="130"/>
      <c r="E557" s="163"/>
      <c r="F557" s="163"/>
      <c r="G557" s="163"/>
      <c r="H557" s="130"/>
      <c r="I557" s="130"/>
      <c r="J557" s="130"/>
      <c r="K557" s="130"/>
      <c r="L557" s="163"/>
      <c r="M557" s="130"/>
      <c r="N557" s="130"/>
      <c r="O557" s="130"/>
      <c r="P557" s="130"/>
      <c r="Q557" s="130"/>
      <c r="R557" s="130"/>
      <c r="S557" s="130"/>
      <c r="T557" s="130"/>
      <c r="U557" s="130"/>
      <c r="V557" s="130"/>
      <c r="W557" s="130"/>
      <c r="X557" s="163"/>
      <c r="Y557" s="163"/>
      <c r="Z557" s="163"/>
      <c r="AA557" s="163"/>
      <c r="AB557" s="163"/>
      <c r="AC557" s="163"/>
      <c r="AD557" s="163"/>
      <c r="AE557" s="163"/>
      <c r="AF557" s="163"/>
      <c r="AG557" s="163"/>
      <c r="AH557" s="163"/>
      <c r="AI557" s="163"/>
      <c r="AJ557" s="163"/>
      <c r="AK557" s="163"/>
      <c r="AL557" s="163"/>
      <c r="AM557" s="163"/>
    </row>
    <row r="558" ht="13.5" customHeight="1">
      <c r="A558" s="130"/>
      <c r="B558" s="130"/>
      <c r="C558" s="130"/>
      <c r="D558" s="130"/>
      <c r="E558" s="163"/>
      <c r="F558" s="163"/>
      <c r="G558" s="163"/>
      <c r="H558" s="130"/>
      <c r="I558" s="130"/>
      <c r="J558" s="130"/>
      <c r="K558" s="130"/>
      <c r="L558" s="163"/>
      <c r="M558" s="130"/>
      <c r="N558" s="130"/>
      <c r="O558" s="130"/>
      <c r="P558" s="130"/>
      <c r="Q558" s="130"/>
      <c r="R558" s="130"/>
      <c r="S558" s="130"/>
      <c r="T558" s="130"/>
      <c r="U558" s="130"/>
      <c r="V558" s="130"/>
      <c r="W558" s="130"/>
      <c r="X558" s="163"/>
      <c r="Y558" s="163"/>
      <c r="Z558" s="163"/>
      <c r="AA558" s="163"/>
      <c r="AB558" s="163"/>
      <c r="AC558" s="163"/>
      <c r="AD558" s="163"/>
      <c r="AE558" s="163"/>
      <c r="AF558" s="163"/>
      <c r="AG558" s="163"/>
      <c r="AH558" s="163"/>
      <c r="AI558" s="163"/>
      <c r="AJ558" s="163"/>
      <c r="AK558" s="163"/>
      <c r="AL558" s="163"/>
      <c r="AM558" s="163"/>
    </row>
    <row r="559" ht="13.5" customHeight="1">
      <c r="A559" s="130"/>
      <c r="B559" s="130"/>
      <c r="C559" s="130"/>
      <c r="D559" s="130"/>
      <c r="E559" s="163"/>
      <c r="F559" s="163"/>
      <c r="G559" s="163"/>
      <c r="H559" s="130"/>
      <c r="I559" s="130"/>
      <c r="J559" s="130"/>
      <c r="K559" s="130"/>
      <c r="L559" s="163"/>
      <c r="M559" s="130"/>
      <c r="N559" s="130"/>
      <c r="O559" s="130"/>
      <c r="P559" s="130"/>
      <c r="Q559" s="130"/>
      <c r="R559" s="130"/>
      <c r="S559" s="130"/>
      <c r="T559" s="130"/>
      <c r="U559" s="130"/>
      <c r="V559" s="130"/>
      <c r="W559" s="130"/>
      <c r="X559" s="163"/>
      <c r="Y559" s="163"/>
      <c r="Z559" s="163"/>
      <c r="AA559" s="163"/>
      <c r="AB559" s="163"/>
      <c r="AC559" s="163"/>
      <c r="AD559" s="163"/>
      <c r="AE559" s="163"/>
      <c r="AF559" s="163"/>
      <c r="AG559" s="163"/>
      <c r="AH559" s="163"/>
      <c r="AI559" s="163"/>
      <c r="AJ559" s="163"/>
      <c r="AK559" s="163"/>
      <c r="AL559" s="163"/>
      <c r="AM559" s="163"/>
    </row>
    <row r="560" ht="13.5" customHeight="1">
      <c r="A560" s="130"/>
      <c r="B560" s="130"/>
      <c r="C560" s="130"/>
      <c r="D560" s="130"/>
      <c r="E560" s="163"/>
      <c r="F560" s="163"/>
      <c r="G560" s="163"/>
      <c r="H560" s="130"/>
      <c r="I560" s="130"/>
      <c r="J560" s="130"/>
      <c r="K560" s="130"/>
      <c r="L560" s="163"/>
      <c r="M560" s="130"/>
      <c r="N560" s="130"/>
      <c r="O560" s="130"/>
      <c r="P560" s="130"/>
      <c r="Q560" s="130"/>
      <c r="R560" s="130"/>
      <c r="S560" s="130"/>
      <c r="T560" s="130"/>
      <c r="U560" s="130"/>
      <c r="V560" s="130"/>
      <c r="W560" s="130"/>
      <c r="X560" s="163"/>
      <c r="Y560" s="163"/>
      <c r="Z560" s="163"/>
      <c r="AA560" s="163"/>
      <c r="AB560" s="163"/>
      <c r="AC560" s="163"/>
      <c r="AD560" s="163"/>
      <c r="AE560" s="163"/>
      <c r="AF560" s="163"/>
      <c r="AG560" s="163"/>
      <c r="AH560" s="163"/>
      <c r="AI560" s="163"/>
      <c r="AJ560" s="163"/>
      <c r="AK560" s="163"/>
      <c r="AL560" s="163"/>
      <c r="AM560" s="163"/>
    </row>
    <row r="561" ht="13.5" customHeight="1">
      <c r="A561" s="130"/>
      <c r="B561" s="130"/>
      <c r="C561" s="130"/>
      <c r="D561" s="130"/>
      <c r="E561" s="163"/>
      <c r="F561" s="163"/>
      <c r="G561" s="163"/>
      <c r="H561" s="130"/>
      <c r="I561" s="130"/>
      <c r="J561" s="130"/>
      <c r="K561" s="130"/>
      <c r="L561" s="163"/>
      <c r="M561" s="130"/>
      <c r="N561" s="130"/>
      <c r="O561" s="130"/>
      <c r="P561" s="130"/>
      <c r="Q561" s="130"/>
      <c r="R561" s="130"/>
      <c r="S561" s="130"/>
      <c r="T561" s="130"/>
      <c r="U561" s="130"/>
      <c r="V561" s="130"/>
      <c r="W561" s="130"/>
      <c r="X561" s="163"/>
      <c r="Y561" s="163"/>
      <c r="Z561" s="163"/>
      <c r="AA561" s="163"/>
      <c r="AB561" s="163"/>
      <c r="AC561" s="163"/>
      <c r="AD561" s="163"/>
      <c r="AE561" s="163"/>
      <c r="AF561" s="163"/>
      <c r="AG561" s="163"/>
      <c r="AH561" s="163"/>
      <c r="AI561" s="163"/>
      <c r="AJ561" s="163"/>
      <c r="AK561" s="163"/>
      <c r="AL561" s="163"/>
      <c r="AM561" s="163"/>
    </row>
    <row r="562" ht="13.5" customHeight="1">
      <c r="A562" s="130"/>
      <c r="B562" s="130"/>
      <c r="C562" s="130"/>
      <c r="D562" s="130"/>
      <c r="E562" s="163"/>
      <c r="F562" s="163"/>
      <c r="G562" s="163"/>
      <c r="H562" s="130"/>
      <c r="I562" s="130"/>
      <c r="J562" s="130"/>
      <c r="K562" s="130"/>
      <c r="L562" s="163"/>
      <c r="M562" s="130"/>
      <c r="N562" s="130"/>
      <c r="O562" s="130"/>
      <c r="P562" s="130"/>
      <c r="Q562" s="130"/>
      <c r="R562" s="130"/>
      <c r="S562" s="130"/>
      <c r="T562" s="130"/>
      <c r="U562" s="130"/>
      <c r="V562" s="130"/>
      <c r="W562" s="130"/>
      <c r="X562" s="163"/>
      <c r="Y562" s="163"/>
      <c r="Z562" s="163"/>
      <c r="AA562" s="163"/>
      <c r="AB562" s="163"/>
      <c r="AC562" s="163"/>
      <c r="AD562" s="163"/>
      <c r="AE562" s="163"/>
      <c r="AF562" s="163"/>
      <c r="AG562" s="163"/>
      <c r="AH562" s="163"/>
      <c r="AI562" s="163"/>
      <c r="AJ562" s="163"/>
      <c r="AK562" s="163"/>
      <c r="AL562" s="163"/>
      <c r="AM562" s="163"/>
    </row>
    <row r="563" ht="13.5" customHeight="1">
      <c r="A563" s="130"/>
      <c r="B563" s="130"/>
      <c r="C563" s="130"/>
      <c r="D563" s="130"/>
      <c r="E563" s="163"/>
      <c r="F563" s="163"/>
      <c r="G563" s="163"/>
      <c r="H563" s="130"/>
      <c r="I563" s="130"/>
      <c r="J563" s="130"/>
      <c r="K563" s="130"/>
      <c r="L563" s="163"/>
      <c r="M563" s="130"/>
      <c r="N563" s="130"/>
      <c r="O563" s="130"/>
      <c r="P563" s="130"/>
      <c r="Q563" s="130"/>
      <c r="R563" s="130"/>
      <c r="S563" s="130"/>
      <c r="T563" s="130"/>
      <c r="U563" s="130"/>
      <c r="V563" s="130"/>
      <c r="W563" s="130"/>
      <c r="X563" s="163"/>
      <c r="Y563" s="163"/>
      <c r="Z563" s="163"/>
      <c r="AA563" s="163"/>
      <c r="AB563" s="163"/>
      <c r="AC563" s="163"/>
      <c r="AD563" s="163"/>
      <c r="AE563" s="163"/>
      <c r="AF563" s="163"/>
      <c r="AG563" s="163"/>
      <c r="AH563" s="163"/>
      <c r="AI563" s="163"/>
      <c r="AJ563" s="163"/>
      <c r="AK563" s="163"/>
      <c r="AL563" s="163"/>
      <c r="AM563" s="163"/>
    </row>
    <row r="564" ht="13.5" customHeight="1">
      <c r="A564" s="130"/>
      <c r="B564" s="130"/>
      <c r="C564" s="130"/>
      <c r="D564" s="130"/>
      <c r="E564" s="163"/>
      <c r="F564" s="163"/>
      <c r="G564" s="163"/>
      <c r="H564" s="130"/>
      <c r="I564" s="130"/>
      <c r="J564" s="130"/>
      <c r="K564" s="130"/>
      <c r="L564" s="163"/>
      <c r="M564" s="130"/>
      <c r="N564" s="130"/>
      <c r="O564" s="130"/>
      <c r="P564" s="130"/>
      <c r="Q564" s="130"/>
      <c r="R564" s="130"/>
      <c r="S564" s="130"/>
      <c r="T564" s="130"/>
      <c r="U564" s="130"/>
      <c r="V564" s="130"/>
      <c r="W564" s="130"/>
      <c r="X564" s="163"/>
      <c r="Y564" s="163"/>
      <c r="Z564" s="163"/>
      <c r="AA564" s="163"/>
      <c r="AB564" s="163"/>
      <c r="AC564" s="163"/>
      <c r="AD564" s="163"/>
      <c r="AE564" s="163"/>
      <c r="AF564" s="163"/>
      <c r="AG564" s="163"/>
      <c r="AH564" s="163"/>
      <c r="AI564" s="163"/>
      <c r="AJ564" s="163"/>
      <c r="AK564" s="163"/>
      <c r="AL564" s="163"/>
      <c r="AM564" s="163"/>
    </row>
    <row r="565" ht="13.5" customHeight="1">
      <c r="A565" s="130"/>
      <c r="B565" s="130"/>
      <c r="C565" s="130"/>
      <c r="D565" s="130"/>
      <c r="E565" s="163"/>
      <c r="F565" s="163"/>
      <c r="G565" s="163"/>
      <c r="H565" s="130"/>
      <c r="I565" s="130"/>
      <c r="J565" s="130"/>
      <c r="K565" s="130"/>
      <c r="L565" s="163"/>
      <c r="M565" s="130"/>
      <c r="N565" s="130"/>
      <c r="O565" s="130"/>
      <c r="P565" s="130"/>
      <c r="Q565" s="130"/>
      <c r="R565" s="130"/>
      <c r="S565" s="130"/>
      <c r="T565" s="130"/>
      <c r="U565" s="130"/>
      <c r="V565" s="130"/>
      <c r="W565" s="130"/>
      <c r="X565" s="163"/>
      <c r="Y565" s="163"/>
      <c r="Z565" s="163"/>
      <c r="AA565" s="163"/>
      <c r="AB565" s="163"/>
      <c r="AC565" s="163"/>
      <c r="AD565" s="163"/>
      <c r="AE565" s="163"/>
      <c r="AF565" s="163"/>
      <c r="AG565" s="163"/>
      <c r="AH565" s="163"/>
      <c r="AI565" s="163"/>
      <c r="AJ565" s="163"/>
      <c r="AK565" s="163"/>
      <c r="AL565" s="163"/>
      <c r="AM565" s="163"/>
    </row>
    <row r="566" ht="13.5" customHeight="1">
      <c r="A566" s="130"/>
      <c r="B566" s="130"/>
      <c r="C566" s="130"/>
      <c r="D566" s="130"/>
      <c r="E566" s="163"/>
      <c r="F566" s="163"/>
      <c r="G566" s="163"/>
      <c r="H566" s="130"/>
      <c r="I566" s="130"/>
      <c r="J566" s="130"/>
      <c r="K566" s="130"/>
      <c r="L566" s="163"/>
      <c r="M566" s="130"/>
      <c r="N566" s="130"/>
      <c r="O566" s="130"/>
      <c r="P566" s="130"/>
      <c r="Q566" s="130"/>
      <c r="R566" s="130"/>
      <c r="S566" s="130"/>
      <c r="T566" s="130"/>
      <c r="U566" s="130"/>
      <c r="V566" s="130"/>
      <c r="W566" s="130"/>
      <c r="X566" s="163"/>
      <c r="Y566" s="163"/>
      <c r="Z566" s="163"/>
      <c r="AA566" s="163"/>
      <c r="AB566" s="163"/>
      <c r="AC566" s="163"/>
      <c r="AD566" s="163"/>
      <c r="AE566" s="163"/>
      <c r="AF566" s="163"/>
      <c r="AG566" s="163"/>
      <c r="AH566" s="163"/>
      <c r="AI566" s="163"/>
      <c r="AJ566" s="163"/>
      <c r="AK566" s="163"/>
      <c r="AL566" s="163"/>
      <c r="AM566" s="163"/>
    </row>
    <row r="567" ht="13.5" customHeight="1">
      <c r="A567" s="130"/>
      <c r="B567" s="130"/>
      <c r="C567" s="130"/>
      <c r="D567" s="130"/>
      <c r="E567" s="163"/>
      <c r="F567" s="163"/>
      <c r="G567" s="163"/>
      <c r="H567" s="130"/>
      <c r="I567" s="130"/>
      <c r="J567" s="130"/>
      <c r="K567" s="130"/>
      <c r="L567" s="163"/>
      <c r="M567" s="130"/>
      <c r="N567" s="130"/>
      <c r="O567" s="130"/>
      <c r="P567" s="130"/>
      <c r="Q567" s="130"/>
      <c r="R567" s="130"/>
      <c r="S567" s="130"/>
      <c r="T567" s="130"/>
      <c r="U567" s="130"/>
      <c r="V567" s="130"/>
      <c r="W567" s="130"/>
      <c r="X567" s="163"/>
      <c r="Y567" s="163"/>
      <c r="Z567" s="163"/>
      <c r="AA567" s="163"/>
      <c r="AB567" s="163"/>
      <c r="AC567" s="163"/>
      <c r="AD567" s="163"/>
      <c r="AE567" s="163"/>
      <c r="AF567" s="163"/>
      <c r="AG567" s="163"/>
      <c r="AH567" s="163"/>
      <c r="AI567" s="163"/>
      <c r="AJ567" s="163"/>
      <c r="AK567" s="163"/>
      <c r="AL567" s="163"/>
      <c r="AM567" s="163"/>
    </row>
    <row r="568" ht="13.5" customHeight="1">
      <c r="A568" s="130"/>
      <c r="B568" s="130"/>
      <c r="C568" s="130"/>
      <c r="D568" s="130"/>
      <c r="E568" s="163"/>
      <c r="F568" s="163"/>
      <c r="G568" s="163"/>
      <c r="H568" s="130"/>
      <c r="I568" s="130"/>
      <c r="J568" s="130"/>
      <c r="K568" s="130"/>
      <c r="L568" s="163"/>
      <c r="M568" s="130"/>
      <c r="N568" s="130"/>
      <c r="O568" s="130"/>
      <c r="P568" s="130"/>
      <c r="Q568" s="130"/>
      <c r="R568" s="130"/>
      <c r="S568" s="130"/>
      <c r="T568" s="130"/>
      <c r="U568" s="130"/>
      <c r="V568" s="130"/>
      <c r="W568" s="130"/>
      <c r="X568" s="163"/>
      <c r="Y568" s="163"/>
      <c r="Z568" s="163"/>
      <c r="AA568" s="163"/>
      <c r="AB568" s="163"/>
      <c r="AC568" s="163"/>
      <c r="AD568" s="163"/>
      <c r="AE568" s="163"/>
      <c r="AF568" s="163"/>
      <c r="AG568" s="163"/>
      <c r="AH568" s="163"/>
      <c r="AI568" s="163"/>
      <c r="AJ568" s="163"/>
      <c r="AK568" s="163"/>
      <c r="AL568" s="163"/>
      <c r="AM568" s="163"/>
    </row>
    <row r="569" ht="13.5" customHeight="1">
      <c r="A569" s="130"/>
      <c r="B569" s="130"/>
      <c r="C569" s="130"/>
      <c r="D569" s="130"/>
      <c r="E569" s="163"/>
      <c r="F569" s="163"/>
      <c r="G569" s="163"/>
      <c r="H569" s="130"/>
      <c r="I569" s="130"/>
      <c r="J569" s="130"/>
      <c r="K569" s="130"/>
      <c r="L569" s="163"/>
      <c r="M569" s="130"/>
      <c r="N569" s="130"/>
      <c r="O569" s="130"/>
      <c r="P569" s="130"/>
      <c r="Q569" s="130"/>
      <c r="R569" s="130"/>
      <c r="S569" s="130"/>
      <c r="T569" s="130"/>
      <c r="U569" s="130"/>
      <c r="V569" s="130"/>
      <c r="W569" s="130"/>
      <c r="X569" s="163"/>
      <c r="Y569" s="163"/>
      <c r="Z569" s="163"/>
      <c r="AA569" s="163"/>
      <c r="AB569" s="163"/>
      <c r="AC569" s="163"/>
      <c r="AD569" s="163"/>
      <c r="AE569" s="163"/>
      <c r="AF569" s="163"/>
      <c r="AG569" s="163"/>
      <c r="AH569" s="163"/>
      <c r="AI569" s="163"/>
      <c r="AJ569" s="163"/>
      <c r="AK569" s="163"/>
      <c r="AL569" s="163"/>
      <c r="AM569" s="163"/>
    </row>
    <row r="570" ht="13.5" customHeight="1">
      <c r="A570" s="130"/>
      <c r="B570" s="130"/>
      <c r="C570" s="130"/>
      <c r="D570" s="130"/>
      <c r="E570" s="163"/>
      <c r="F570" s="163"/>
      <c r="G570" s="163"/>
      <c r="H570" s="130"/>
      <c r="I570" s="130"/>
      <c r="J570" s="130"/>
      <c r="K570" s="130"/>
      <c r="L570" s="163"/>
      <c r="M570" s="130"/>
      <c r="N570" s="130"/>
      <c r="O570" s="130"/>
      <c r="P570" s="130"/>
      <c r="Q570" s="130"/>
      <c r="R570" s="130"/>
      <c r="S570" s="130"/>
      <c r="T570" s="130"/>
      <c r="U570" s="130"/>
      <c r="V570" s="130"/>
      <c r="W570" s="130"/>
      <c r="X570" s="163"/>
      <c r="Y570" s="163"/>
      <c r="Z570" s="163"/>
      <c r="AA570" s="163"/>
      <c r="AB570" s="163"/>
      <c r="AC570" s="163"/>
      <c r="AD570" s="163"/>
      <c r="AE570" s="163"/>
      <c r="AF570" s="163"/>
      <c r="AG570" s="163"/>
      <c r="AH570" s="163"/>
      <c r="AI570" s="163"/>
      <c r="AJ570" s="163"/>
      <c r="AK570" s="163"/>
      <c r="AL570" s="163"/>
      <c r="AM570" s="163"/>
    </row>
    <row r="571" ht="13.5" customHeight="1">
      <c r="A571" s="130"/>
      <c r="B571" s="130"/>
      <c r="C571" s="130"/>
      <c r="D571" s="130"/>
      <c r="E571" s="163"/>
      <c r="F571" s="163"/>
      <c r="G571" s="163"/>
      <c r="H571" s="130"/>
      <c r="I571" s="130"/>
      <c r="J571" s="130"/>
      <c r="K571" s="130"/>
      <c r="L571" s="163"/>
      <c r="M571" s="130"/>
      <c r="N571" s="130"/>
      <c r="O571" s="130"/>
      <c r="P571" s="130"/>
      <c r="Q571" s="130"/>
      <c r="R571" s="130"/>
      <c r="S571" s="130"/>
      <c r="T571" s="130"/>
      <c r="U571" s="130"/>
      <c r="V571" s="130"/>
      <c r="W571" s="130"/>
      <c r="X571" s="163"/>
      <c r="Y571" s="163"/>
      <c r="Z571" s="163"/>
      <c r="AA571" s="163"/>
      <c r="AB571" s="163"/>
      <c r="AC571" s="163"/>
      <c r="AD571" s="163"/>
      <c r="AE571" s="163"/>
      <c r="AF571" s="163"/>
      <c r="AG571" s="163"/>
      <c r="AH571" s="163"/>
      <c r="AI571" s="163"/>
      <c r="AJ571" s="163"/>
      <c r="AK571" s="163"/>
      <c r="AL571" s="163"/>
      <c r="AM571" s="163"/>
    </row>
    <row r="572" ht="13.5" customHeight="1">
      <c r="A572" s="130"/>
      <c r="B572" s="130"/>
      <c r="C572" s="130"/>
      <c r="D572" s="130"/>
      <c r="E572" s="163"/>
      <c r="F572" s="163"/>
      <c r="G572" s="163"/>
      <c r="H572" s="130"/>
      <c r="I572" s="130"/>
      <c r="J572" s="130"/>
      <c r="K572" s="130"/>
      <c r="L572" s="163"/>
      <c r="M572" s="130"/>
      <c r="N572" s="130"/>
      <c r="O572" s="130"/>
      <c r="P572" s="130"/>
      <c r="Q572" s="130"/>
      <c r="R572" s="130"/>
      <c r="S572" s="130"/>
      <c r="T572" s="130"/>
      <c r="U572" s="130"/>
      <c r="V572" s="130"/>
      <c r="W572" s="130"/>
      <c r="X572" s="163"/>
      <c r="Y572" s="163"/>
      <c r="Z572" s="163"/>
      <c r="AA572" s="163"/>
      <c r="AB572" s="163"/>
      <c r="AC572" s="163"/>
      <c r="AD572" s="163"/>
      <c r="AE572" s="163"/>
      <c r="AF572" s="163"/>
      <c r="AG572" s="163"/>
      <c r="AH572" s="163"/>
      <c r="AI572" s="163"/>
      <c r="AJ572" s="163"/>
      <c r="AK572" s="163"/>
      <c r="AL572" s="163"/>
      <c r="AM572" s="163"/>
    </row>
    <row r="573" ht="13.5" customHeight="1">
      <c r="A573" s="130"/>
      <c r="B573" s="130"/>
      <c r="C573" s="130"/>
      <c r="D573" s="130"/>
      <c r="E573" s="163"/>
      <c r="F573" s="163"/>
      <c r="G573" s="163"/>
      <c r="H573" s="130"/>
      <c r="I573" s="130"/>
      <c r="J573" s="130"/>
      <c r="K573" s="130"/>
      <c r="L573" s="163"/>
      <c r="M573" s="130"/>
      <c r="N573" s="130"/>
      <c r="O573" s="130"/>
      <c r="P573" s="130"/>
      <c r="Q573" s="130"/>
      <c r="R573" s="130"/>
      <c r="S573" s="130"/>
      <c r="T573" s="130"/>
      <c r="U573" s="130"/>
      <c r="V573" s="130"/>
      <c r="W573" s="130"/>
      <c r="X573" s="163"/>
      <c r="Y573" s="163"/>
      <c r="Z573" s="163"/>
      <c r="AA573" s="163"/>
      <c r="AB573" s="163"/>
      <c r="AC573" s="163"/>
      <c r="AD573" s="163"/>
      <c r="AE573" s="163"/>
      <c r="AF573" s="163"/>
      <c r="AG573" s="163"/>
      <c r="AH573" s="163"/>
      <c r="AI573" s="163"/>
      <c r="AJ573" s="163"/>
      <c r="AK573" s="163"/>
      <c r="AL573" s="163"/>
      <c r="AM573" s="163"/>
    </row>
    <row r="574" ht="13.5" customHeight="1">
      <c r="A574" s="130"/>
      <c r="B574" s="130"/>
      <c r="C574" s="130"/>
      <c r="D574" s="130"/>
      <c r="E574" s="163"/>
      <c r="F574" s="163"/>
      <c r="G574" s="163"/>
      <c r="H574" s="130"/>
      <c r="I574" s="130"/>
      <c r="J574" s="130"/>
      <c r="K574" s="130"/>
      <c r="L574" s="163"/>
      <c r="M574" s="130"/>
      <c r="N574" s="130"/>
      <c r="O574" s="130"/>
      <c r="P574" s="130"/>
      <c r="Q574" s="130"/>
      <c r="R574" s="130"/>
      <c r="S574" s="130"/>
      <c r="T574" s="130"/>
      <c r="U574" s="130"/>
      <c r="V574" s="130"/>
      <c r="W574" s="130"/>
      <c r="X574" s="163"/>
      <c r="Y574" s="163"/>
      <c r="Z574" s="163"/>
      <c r="AA574" s="163"/>
      <c r="AB574" s="163"/>
      <c r="AC574" s="163"/>
      <c r="AD574" s="163"/>
      <c r="AE574" s="163"/>
      <c r="AF574" s="163"/>
      <c r="AG574" s="163"/>
      <c r="AH574" s="163"/>
      <c r="AI574" s="163"/>
      <c r="AJ574" s="163"/>
      <c r="AK574" s="163"/>
      <c r="AL574" s="163"/>
      <c r="AM574" s="163"/>
    </row>
    <row r="575" ht="13.5" customHeight="1">
      <c r="A575" s="130"/>
      <c r="B575" s="130"/>
      <c r="C575" s="130"/>
      <c r="D575" s="130"/>
      <c r="E575" s="163"/>
      <c r="F575" s="163"/>
      <c r="G575" s="163"/>
      <c r="H575" s="130"/>
      <c r="I575" s="130"/>
      <c r="J575" s="130"/>
      <c r="K575" s="130"/>
      <c r="L575" s="163"/>
      <c r="M575" s="130"/>
      <c r="N575" s="130"/>
      <c r="O575" s="130"/>
      <c r="P575" s="130"/>
      <c r="Q575" s="130"/>
      <c r="R575" s="130"/>
      <c r="S575" s="130"/>
      <c r="T575" s="130"/>
      <c r="U575" s="130"/>
      <c r="V575" s="130"/>
      <c r="W575" s="130"/>
      <c r="X575" s="163"/>
      <c r="Y575" s="163"/>
      <c r="Z575" s="163"/>
      <c r="AA575" s="163"/>
      <c r="AB575" s="163"/>
      <c r="AC575" s="163"/>
      <c r="AD575" s="163"/>
      <c r="AE575" s="163"/>
      <c r="AF575" s="163"/>
      <c r="AG575" s="163"/>
      <c r="AH575" s="163"/>
      <c r="AI575" s="163"/>
      <c r="AJ575" s="163"/>
      <c r="AK575" s="163"/>
      <c r="AL575" s="163"/>
      <c r="AM575" s="163"/>
    </row>
    <row r="576" ht="13.5" customHeight="1">
      <c r="A576" s="130"/>
      <c r="B576" s="130"/>
      <c r="C576" s="130"/>
      <c r="D576" s="130"/>
      <c r="E576" s="163"/>
      <c r="F576" s="163"/>
      <c r="G576" s="163"/>
      <c r="H576" s="130"/>
      <c r="I576" s="130"/>
      <c r="J576" s="130"/>
      <c r="K576" s="130"/>
      <c r="L576" s="163"/>
      <c r="M576" s="130"/>
      <c r="N576" s="130"/>
      <c r="O576" s="130"/>
      <c r="P576" s="130"/>
      <c r="Q576" s="130"/>
      <c r="R576" s="130"/>
      <c r="S576" s="130"/>
      <c r="T576" s="130"/>
      <c r="U576" s="130"/>
      <c r="V576" s="130"/>
      <c r="W576" s="130"/>
      <c r="X576" s="163"/>
      <c r="Y576" s="163"/>
      <c r="Z576" s="163"/>
      <c r="AA576" s="163"/>
      <c r="AB576" s="163"/>
      <c r="AC576" s="163"/>
      <c r="AD576" s="163"/>
      <c r="AE576" s="163"/>
      <c r="AF576" s="163"/>
      <c r="AG576" s="163"/>
      <c r="AH576" s="163"/>
      <c r="AI576" s="163"/>
      <c r="AJ576" s="163"/>
      <c r="AK576" s="163"/>
      <c r="AL576" s="163"/>
      <c r="AM576" s="163"/>
    </row>
    <row r="577" ht="13.5" customHeight="1">
      <c r="A577" s="130"/>
      <c r="B577" s="130"/>
      <c r="C577" s="130"/>
      <c r="D577" s="130"/>
      <c r="E577" s="163"/>
      <c r="F577" s="163"/>
      <c r="G577" s="163"/>
      <c r="H577" s="130"/>
      <c r="I577" s="130"/>
      <c r="J577" s="130"/>
      <c r="K577" s="130"/>
      <c r="L577" s="163"/>
      <c r="M577" s="130"/>
      <c r="N577" s="130"/>
      <c r="O577" s="130"/>
      <c r="P577" s="130"/>
      <c r="Q577" s="130"/>
      <c r="R577" s="130"/>
      <c r="S577" s="130"/>
      <c r="T577" s="130"/>
      <c r="U577" s="130"/>
      <c r="V577" s="130"/>
      <c r="W577" s="130"/>
      <c r="X577" s="163"/>
      <c r="Y577" s="163"/>
      <c r="Z577" s="163"/>
      <c r="AA577" s="163"/>
      <c r="AB577" s="163"/>
      <c r="AC577" s="163"/>
      <c r="AD577" s="163"/>
      <c r="AE577" s="163"/>
      <c r="AF577" s="163"/>
      <c r="AG577" s="163"/>
      <c r="AH577" s="163"/>
      <c r="AI577" s="163"/>
      <c r="AJ577" s="163"/>
      <c r="AK577" s="163"/>
      <c r="AL577" s="163"/>
      <c r="AM577" s="163"/>
    </row>
    <row r="578" ht="13.5" customHeight="1">
      <c r="A578" s="130"/>
      <c r="B578" s="130"/>
      <c r="C578" s="130"/>
      <c r="D578" s="130"/>
      <c r="E578" s="163"/>
      <c r="F578" s="163"/>
      <c r="G578" s="163"/>
      <c r="H578" s="130"/>
      <c r="I578" s="130"/>
      <c r="J578" s="130"/>
      <c r="K578" s="130"/>
      <c r="L578" s="163"/>
      <c r="M578" s="130"/>
      <c r="N578" s="130"/>
      <c r="O578" s="130"/>
      <c r="P578" s="130"/>
      <c r="Q578" s="130"/>
      <c r="R578" s="130"/>
      <c r="S578" s="130"/>
      <c r="T578" s="130"/>
      <c r="U578" s="130"/>
      <c r="V578" s="130"/>
      <c r="W578" s="130"/>
      <c r="X578" s="163"/>
      <c r="Y578" s="163"/>
      <c r="Z578" s="163"/>
      <c r="AA578" s="163"/>
      <c r="AB578" s="163"/>
      <c r="AC578" s="163"/>
      <c r="AD578" s="163"/>
      <c r="AE578" s="163"/>
      <c r="AF578" s="163"/>
      <c r="AG578" s="163"/>
      <c r="AH578" s="163"/>
      <c r="AI578" s="163"/>
      <c r="AJ578" s="163"/>
      <c r="AK578" s="163"/>
      <c r="AL578" s="163"/>
      <c r="AM578" s="163"/>
    </row>
    <row r="579" ht="13.5" customHeight="1">
      <c r="A579" s="130"/>
      <c r="B579" s="130"/>
      <c r="C579" s="130"/>
      <c r="D579" s="130"/>
      <c r="E579" s="163"/>
      <c r="F579" s="163"/>
      <c r="G579" s="163"/>
      <c r="H579" s="130"/>
      <c r="I579" s="130"/>
      <c r="J579" s="130"/>
      <c r="K579" s="130"/>
      <c r="L579" s="163"/>
      <c r="M579" s="130"/>
      <c r="N579" s="130"/>
      <c r="O579" s="130"/>
      <c r="P579" s="130"/>
      <c r="Q579" s="130"/>
      <c r="R579" s="130"/>
      <c r="S579" s="130"/>
      <c r="T579" s="130"/>
      <c r="U579" s="130"/>
      <c r="V579" s="130"/>
      <c r="W579" s="130"/>
      <c r="X579" s="163"/>
      <c r="Y579" s="163"/>
      <c r="Z579" s="163"/>
      <c r="AA579" s="163"/>
      <c r="AB579" s="163"/>
      <c r="AC579" s="163"/>
      <c r="AD579" s="163"/>
      <c r="AE579" s="163"/>
      <c r="AF579" s="163"/>
      <c r="AG579" s="163"/>
      <c r="AH579" s="163"/>
      <c r="AI579" s="163"/>
      <c r="AJ579" s="163"/>
      <c r="AK579" s="163"/>
      <c r="AL579" s="163"/>
      <c r="AM579" s="163"/>
    </row>
    <row r="580" ht="13.5" customHeight="1">
      <c r="A580" s="130"/>
      <c r="B580" s="130"/>
      <c r="C580" s="130"/>
      <c r="D580" s="130"/>
      <c r="E580" s="163"/>
      <c r="F580" s="163"/>
      <c r="G580" s="163"/>
      <c r="H580" s="130"/>
      <c r="I580" s="130"/>
      <c r="J580" s="130"/>
      <c r="K580" s="130"/>
      <c r="L580" s="163"/>
      <c r="M580" s="130"/>
      <c r="N580" s="130"/>
      <c r="O580" s="130"/>
      <c r="P580" s="130"/>
      <c r="Q580" s="130"/>
      <c r="R580" s="130"/>
      <c r="S580" s="130"/>
      <c r="T580" s="130"/>
      <c r="U580" s="130"/>
      <c r="V580" s="130"/>
      <c r="W580" s="130"/>
      <c r="X580" s="163"/>
      <c r="Y580" s="163"/>
      <c r="Z580" s="163"/>
      <c r="AA580" s="163"/>
      <c r="AB580" s="163"/>
      <c r="AC580" s="163"/>
      <c r="AD580" s="163"/>
      <c r="AE580" s="163"/>
      <c r="AF580" s="163"/>
      <c r="AG580" s="163"/>
      <c r="AH580" s="163"/>
      <c r="AI580" s="163"/>
      <c r="AJ580" s="163"/>
      <c r="AK580" s="163"/>
      <c r="AL580" s="163"/>
      <c r="AM580" s="163"/>
    </row>
    <row r="581" ht="13.5" customHeight="1">
      <c r="A581" s="130"/>
      <c r="B581" s="130"/>
      <c r="C581" s="130"/>
      <c r="D581" s="130"/>
      <c r="E581" s="163"/>
      <c r="F581" s="163"/>
      <c r="G581" s="163"/>
      <c r="H581" s="130"/>
      <c r="I581" s="130"/>
      <c r="J581" s="130"/>
      <c r="K581" s="130"/>
      <c r="L581" s="163"/>
      <c r="M581" s="130"/>
      <c r="N581" s="130"/>
      <c r="O581" s="130"/>
      <c r="P581" s="130"/>
      <c r="Q581" s="130"/>
      <c r="R581" s="130"/>
      <c r="S581" s="130"/>
      <c r="T581" s="130"/>
      <c r="U581" s="130"/>
      <c r="V581" s="130"/>
      <c r="W581" s="130"/>
      <c r="X581" s="163"/>
      <c r="Y581" s="163"/>
      <c r="Z581" s="163"/>
      <c r="AA581" s="163"/>
      <c r="AB581" s="163"/>
      <c r="AC581" s="163"/>
      <c r="AD581" s="163"/>
      <c r="AE581" s="163"/>
      <c r="AF581" s="163"/>
      <c r="AG581" s="163"/>
      <c r="AH581" s="163"/>
      <c r="AI581" s="163"/>
      <c r="AJ581" s="163"/>
      <c r="AK581" s="163"/>
      <c r="AL581" s="163"/>
      <c r="AM581" s="163"/>
    </row>
    <row r="582" ht="13.5" customHeight="1">
      <c r="A582" s="130"/>
      <c r="B582" s="130"/>
      <c r="C582" s="130"/>
      <c r="D582" s="130"/>
      <c r="E582" s="163"/>
      <c r="F582" s="163"/>
      <c r="G582" s="163"/>
      <c r="H582" s="130"/>
      <c r="I582" s="130"/>
      <c r="J582" s="130"/>
      <c r="K582" s="130"/>
      <c r="L582" s="163"/>
      <c r="M582" s="130"/>
      <c r="N582" s="130"/>
      <c r="O582" s="130"/>
      <c r="P582" s="130"/>
      <c r="Q582" s="130"/>
      <c r="R582" s="130"/>
      <c r="S582" s="130"/>
      <c r="T582" s="130"/>
      <c r="U582" s="130"/>
      <c r="V582" s="130"/>
      <c r="W582" s="130"/>
      <c r="X582" s="163"/>
      <c r="Y582" s="163"/>
      <c r="Z582" s="163"/>
      <c r="AA582" s="163"/>
      <c r="AB582" s="163"/>
      <c r="AC582" s="163"/>
      <c r="AD582" s="163"/>
      <c r="AE582" s="163"/>
      <c r="AF582" s="163"/>
      <c r="AG582" s="163"/>
      <c r="AH582" s="163"/>
      <c r="AI582" s="163"/>
      <c r="AJ582" s="163"/>
      <c r="AK582" s="163"/>
      <c r="AL582" s="163"/>
      <c r="AM582" s="163"/>
    </row>
    <row r="583" ht="13.5" customHeight="1">
      <c r="A583" s="130"/>
      <c r="B583" s="130"/>
      <c r="C583" s="130"/>
      <c r="D583" s="130"/>
      <c r="E583" s="163"/>
      <c r="F583" s="163"/>
      <c r="G583" s="163"/>
      <c r="H583" s="130"/>
      <c r="I583" s="130"/>
      <c r="J583" s="130"/>
      <c r="K583" s="130"/>
      <c r="L583" s="163"/>
      <c r="M583" s="130"/>
      <c r="N583" s="130"/>
      <c r="O583" s="130"/>
      <c r="P583" s="130"/>
      <c r="Q583" s="130"/>
      <c r="R583" s="130"/>
      <c r="S583" s="130"/>
      <c r="T583" s="130"/>
      <c r="U583" s="130"/>
      <c r="V583" s="130"/>
      <c r="W583" s="130"/>
      <c r="X583" s="163"/>
      <c r="Y583" s="163"/>
      <c r="Z583" s="163"/>
      <c r="AA583" s="163"/>
      <c r="AB583" s="163"/>
      <c r="AC583" s="163"/>
      <c r="AD583" s="163"/>
      <c r="AE583" s="163"/>
      <c r="AF583" s="163"/>
      <c r="AG583" s="163"/>
      <c r="AH583" s="163"/>
      <c r="AI583" s="163"/>
      <c r="AJ583" s="163"/>
      <c r="AK583" s="163"/>
      <c r="AL583" s="163"/>
      <c r="AM583" s="163"/>
    </row>
    <row r="584" ht="13.5" customHeight="1">
      <c r="A584" s="130"/>
      <c r="B584" s="130"/>
      <c r="C584" s="130"/>
      <c r="D584" s="130"/>
      <c r="E584" s="163"/>
      <c r="F584" s="163"/>
      <c r="G584" s="163"/>
      <c r="H584" s="130"/>
      <c r="I584" s="130"/>
      <c r="J584" s="130"/>
      <c r="K584" s="130"/>
      <c r="L584" s="163"/>
      <c r="M584" s="130"/>
      <c r="N584" s="130"/>
      <c r="O584" s="130"/>
      <c r="P584" s="130"/>
      <c r="Q584" s="130"/>
      <c r="R584" s="130"/>
      <c r="S584" s="130"/>
      <c r="T584" s="130"/>
      <c r="U584" s="130"/>
      <c r="V584" s="130"/>
      <c r="W584" s="130"/>
      <c r="X584" s="163"/>
      <c r="Y584" s="163"/>
      <c r="Z584" s="163"/>
      <c r="AA584" s="163"/>
      <c r="AB584" s="163"/>
      <c r="AC584" s="163"/>
      <c r="AD584" s="163"/>
      <c r="AE584" s="163"/>
      <c r="AF584" s="163"/>
      <c r="AG584" s="163"/>
      <c r="AH584" s="163"/>
      <c r="AI584" s="163"/>
      <c r="AJ584" s="163"/>
      <c r="AK584" s="163"/>
      <c r="AL584" s="163"/>
      <c r="AM584" s="163"/>
    </row>
    <row r="585" ht="13.5" customHeight="1">
      <c r="A585" s="130"/>
      <c r="B585" s="130"/>
      <c r="C585" s="130"/>
      <c r="D585" s="130"/>
      <c r="E585" s="163"/>
      <c r="F585" s="163"/>
      <c r="G585" s="163"/>
      <c r="H585" s="130"/>
      <c r="I585" s="130"/>
      <c r="J585" s="130"/>
      <c r="K585" s="130"/>
      <c r="L585" s="163"/>
      <c r="M585" s="130"/>
      <c r="N585" s="130"/>
      <c r="O585" s="130"/>
      <c r="P585" s="130"/>
      <c r="Q585" s="130"/>
      <c r="R585" s="130"/>
      <c r="S585" s="130"/>
      <c r="T585" s="130"/>
      <c r="U585" s="130"/>
      <c r="V585" s="130"/>
      <c r="W585" s="130"/>
      <c r="X585" s="163"/>
      <c r="Y585" s="163"/>
      <c r="Z585" s="163"/>
      <c r="AA585" s="163"/>
      <c r="AB585" s="163"/>
      <c r="AC585" s="163"/>
      <c r="AD585" s="163"/>
      <c r="AE585" s="163"/>
      <c r="AF585" s="163"/>
      <c r="AG585" s="163"/>
      <c r="AH585" s="163"/>
      <c r="AI585" s="163"/>
      <c r="AJ585" s="163"/>
      <c r="AK585" s="163"/>
      <c r="AL585" s="163"/>
      <c r="AM585" s="163"/>
    </row>
    <row r="586" ht="13.5" customHeight="1">
      <c r="A586" s="130"/>
      <c r="B586" s="130"/>
      <c r="C586" s="130"/>
      <c r="D586" s="130"/>
      <c r="E586" s="163"/>
      <c r="F586" s="163"/>
      <c r="G586" s="163"/>
      <c r="H586" s="130"/>
      <c r="I586" s="130"/>
      <c r="J586" s="130"/>
      <c r="K586" s="130"/>
      <c r="L586" s="163"/>
      <c r="M586" s="130"/>
      <c r="N586" s="130"/>
      <c r="O586" s="130"/>
      <c r="P586" s="130"/>
      <c r="Q586" s="130"/>
      <c r="R586" s="130"/>
      <c r="S586" s="130"/>
      <c r="T586" s="130"/>
      <c r="U586" s="130"/>
      <c r="V586" s="130"/>
      <c r="W586" s="130"/>
      <c r="X586" s="163"/>
      <c r="Y586" s="163"/>
      <c r="Z586" s="163"/>
      <c r="AA586" s="163"/>
      <c r="AB586" s="163"/>
      <c r="AC586" s="163"/>
      <c r="AD586" s="163"/>
      <c r="AE586" s="163"/>
      <c r="AF586" s="163"/>
      <c r="AG586" s="163"/>
      <c r="AH586" s="163"/>
      <c r="AI586" s="163"/>
      <c r="AJ586" s="163"/>
      <c r="AK586" s="163"/>
      <c r="AL586" s="163"/>
      <c r="AM586" s="163"/>
    </row>
    <row r="587" ht="13.5" customHeight="1">
      <c r="A587" s="130"/>
      <c r="B587" s="130"/>
      <c r="C587" s="130"/>
      <c r="D587" s="130"/>
      <c r="E587" s="163"/>
      <c r="F587" s="163"/>
      <c r="G587" s="163"/>
      <c r="H587" s="130"/>
      <c r="I587" s="130"/>
      <c r="J587" s="130"/>
      <c r="K587" s="130"/>
      <c r="L587" s="163"/>
      <c r="M587" s="130"/>
      <c r="N587" s="130"/>
      <c r="O587" s="130"/>
      <c r="P587" s="130"/>
      <c r="Q587" s="130"/>
      <c r="R587" s="130"/>
      <c r="S587" s="130"/>
      <c r="T587" s="130"/>
      <c r="U587" s="130"/>
      <c r="V587" s="130"/>
      <c r="W587" s="130"/>
      <c r="X587" s="163"/>
      <c r="Y587" s="163"/>
      <c r="Z587" s="163"/>
      <c r="AA587" s="163"/>
      <c r="AB587" s="163"/>
      <c r="AC587" s="163"/>
      <c r="AD587" s="163"/>
      <c r="AE587" s="163"/>
      <c r="AF587" s="163"/>
      <c r="AG587" s="163"/>
      <c r="AH587" s="163"/>
      <c r="AI587" s="163"/>
      <c r="AJ587" s="163"/>
      <c r="AK587" s="163"/>
      <c r="AL587" s="163"/>
      <c r="AM587" s="163"/>
    </row>
    <row r="588" ht="13.5" customHeight="1">
      <c r="A588" s="130"/>
      <c r="B588" s="130"/>
      <c r="C588" s="130"/>
      <c r="D588" s="130"/>
      <c r="E588" s="163"/>
      <c r="F588" s="163"/>
      <c r="G588" s="163"/>
      <c r="H588" s="130"/>
      <c r="I588" s="130"/>
      <c r="J588" s="130"/>
      <c r="K588" s="130"/>
      <c r="L588" s="163"/>
      <c r="M588" s="130"/>
      <c r="N588" s="130"/>
      <c r="O588" s="130"/>
      <c r="P588" s="130"/>
      <c r="Q588" s="130"/>
      <c r="R588" s="130"/>
      <c r="S588" s="130"/>
      <c r="T588" s="130"/>
      <c r="U588" s="130"/>
      <c r="V588" s="130"/>
      <c r="W588" s="130"/>
      <c r="X588" s="163"/>
      <c r="Y588" s="163"/>
      <c r="Z588" s="163"/>
      <c r="AA588" s="163"/>
      <c r="AB588" s="163"/>
      <c r="AC588" s="163"/>
      <c r="AD588" s="163"/>
      <c r="AE588" s="163"/>
      <c r="AF588" s="163"/>
      <c r="AG588" s="163"/>
      <c r="AH588" s="163"/>
      <c r="AI588" s="163"/>
      <c r="AJ588" s="163"/>
      <c r="AK588" s="163"/>
      <c r="AL588" s="163"/>
      <c r="AM588" s="163"/>
    </row>
    <row r="589" ht="13.5" customHeight="1">
      <c r="A589" s="130"/>
      <c r="B589" s="130"/>
      <c r="C589" s="130"/>
      <c r="D589" s="130"/>
      <c r="E589" s="163"/>
      <c r="F589" s="163"/>
      <c r="G589" s="163"/>
      <c r="H589" s="130"/>
      <c r="I589" s="130"/>
      <c r="J589" s="130"/>
      <c r="K589" s="130"/>
      <c r="L589" s="163"/>
      <c r="M589" s="130"/>
      <c r="N589" s="130"/>
      <c r="O589" s="130"/>
      <c r="P589" s="130"/>
      <c r="Q589" s="130"/>
      <c r="R589" s="130"/>
      <c r="S589" s="130"/>
      <c r="T589" s="130"/>
      <c r="U589" s="130"/>
      <c r="V589" s="130"/>
      <c r="W589" s="130"/>
      <c r="X589" s="163"/>
      <c r="Y589" s="163"/>
      <c r="Z589" s="163"/>
      <c r="AA589" s="163"/>
      <c r="AB589" s="163"/>
      <c r="AC589" s="163"/>
      <c r="AD589" s="163"/>
      <c r="AE589" s="163"/>
      <c r="AF589" s="163"/>
      <c r="AG589" s="163"/>
      <c r="AH589" s="163"/>
      <c r="AI589" s="163"/>
      <c r="AJ589" s="163"/>
      <c r="AK589" s="163"/>
      <c r="AL589" s="163"/>
      <c r="AM589" s="163"/>
    </row>
    <row r="590" ht="13.5" customHeight="1">
      <c r="A590" s="130"/>
      <c r="B590" s="130"/>
      <c r="C590" s="130"/>
      <c r="D590" s="130"/>
      <c r="E590" s="163"/>
      <c r="F590" s="163"/>
      <c r="G590" s="163"/>
      <c r="H590" s="130"/>
      <c r="I590" s="130"/>
      <c r="J590" s="130"/>
      <c r="K590" s="130"/>
      <c r="L590" s="163"/>
      <c r="M590" s="130"/>
      <c r="N590" s="130"/>
      <c r="O590" s="130"/>
      <c r="P590" s="130"/>
      <c r="Q590" s="130"/>
      <c r="R590" s="130"/>
      <c r="S590" s="130"/>
      <c r="T590" s="130"/>
      <c r="U590" s="130"/>
      <c r="V590" s="130"/>
      <c r="W590" s="130"/>
      <c r="X590" s="163"/>
      <c r="Y590" s="163"/>
      <c r="Z590" s="163"/>
      <c r="AA590" s="163"/>
      <c r="AB590" s="163"/>
      <c r="AC590" s="163"/>
      <c r="AD590" s="163"/>
      <c r="AE590" s="163"/>
      <c r="AF590" s="163"/>
      <c r="AG590" s="163"/>
      <c r="AH590" s="163"/>
      <c r="AI590" s="163"/>
      <c r="AJ590" s="163"/>
      <c r="AK590" s="163"/>
      <c r="AL590" s="163"/>
      <c r="AM590" s="163"/>
    </row>
    <row r="591" ht="13.5" customHeight="1">
      <c r="A591" s="130"/>
      <c r="B591" s="130"/>
      <c r="C591" s="130"/>
      <c r="D591" s="130"/>
      <c r="E591" s="163"/>
      <c r="F591" s="163"/>
      <c r="G591" s="163"/>
      <c r="H591" s="130"/>
      <c r="I591" s="130"/>
      <c r="J591" s="130"/>
      <c r="K591" s="130"/>
      <c r="L591" s="163"/>
      <c r="M591" s="130"/>
      <c r="N591" s="130"/>
      <c r="O591" s="130"/>
      <c r="P591" s="130"/>
      <c r="Q591" s="130"/>
      <c r="R591" s="130"/>
      <c r="S591" s="130"/>
      <c r="T591" s="130"/>
      <c r="U591" s="130"/>
      <c r="V591" s="130"/>
      <c r="W591" s="130"/>
      <c r="X591" s="163"/>
      <c r="Y591" s="163"/>
      <c r="Z591" s="163"/>
      <c r="AA591" s="163"/>
      <c r="AB591" s="163"/>
      <c r="AC591" s="163"/>
      <c r="AD591" s="163"/>
      <c r="AE591" s="163"/>
      <c r="AF591" s="163"/>
      <c r="AG591" s="163"/>
      <c r="AH591" s="163"/>
      <c r="AI591" s="163"/>
      <c r="AJ591" s="163"/>
      <c r="AK591" s="163"/>
      <c r="AL591" s="163"/>
      <c r="AM591" s="163"/>
    </row>
    <row r="592" ht="13.5" customHeight="1">
      <c r="A592" s="130"/>
      <c r="B592" s="130"/>
      <c r="C592" s="130"/>
      <c r="D592" s="130"/>
      <c r="E592" s="163"/>
      <c r="F592" s="163"/>
      <c r="G592" s="163"/>
      <c r="H592" s="130"/>
      <c r="I592" s="130"/>
      <c r="J592" s="130"/>
      <c r="K592" s="130"/>
      <c r="L592" s="163"/>
      <c r="M592" s="130"/>
      <c r="N592" s="130"/>
      <c r="O592" s="130"/>
      <c r="P592" s="130"/>
      <c r="Q592" s="130"/>
      <c r="R592" s="130"/>
      <c r="S592" s="130"/>
      <c r="T592" s="130"/>
      <c r="U592" s="130"/>
      <c r="V592" s="130"/>
      <c r="W592" s="130"/>
      <c r="X592" s="163"/>
      <c r="Y592" s="163"/>
      <c r="Z592" s="163"/>
      <c r="AA592" s="163"/>
      <c r="AB592" s="163"/>
      <c r="AC592" s="163"/>
      <c r="AD592" s="163"/>
      <c r="AE592" s="163"/>
      <c r="AF592" s="163"/>
      <c r="AG592" s="163"/>
      <c r="AH592" s="163"/>
      <c r="AI592" s="163"/>
      <c r="AJ592" s="163"/>
      <c r="AK592" s="163"/>
      <c r="AL592" s="163"/>
      <c r="AM592" s="163"/>
    </row>
    <row r="593" ht="13.5" customHeight="1">
      <c r="A593" s="130"/>
      <c r="B593" s="130"/>
      <c r="C593" s="130"/>
      <c r="D593" s="130"/>
      <c r="E593" s="163"/>
      <c r="F593" s="163"/>
      <c r="G593" s="163"/>
      <c r="H593" s="130"/>
      <c r="I593" s="130"/>
      <c r="J593" s="130"/>
      <c r="K593" s="130"/>
      <c r="L593" s="163"/>
      <c r="M593" s="130"/>
      <c r="N593" s="130"/>
      <c r="O593" s="130"/>
      <c r="P593" s="130"/>
      <c r="Q593" s="130"/>
      <c r="R593" s="130"/>
      <c r="S593" s="130"/>
      <c r="T593" s="130"/>
      <c r="U593" s="130"/>
      <c r="V593" s="130"/>
      <c r="W593" s="130"/>
      <c r="X593" s="163"/>
      <c r="Y593" s="163"/>
      <c r="Z593" s="163"/>
      <c r="AA593" s="163"/>
      <c r="AB593" s="163"/>
      <c r="AC593" s="163"/>
      <c r="AD593" s="163"/>
      <c r="AE593" s="163"/>
      <c r="AF593" s="163"/>
      <c r="AG593" s="163"/>
      <c r="AH593" s="163"/>
      <c r="AI593" s="163"/>
      <c r="AJ593" s="163"/>
      <c r="AK593" s="163"/>
      <c r="AL593" s="163"/>
      <c r="AM593" s="163"/>
    </row>
    <row r="594" ht="13.5" customHeight="1">
      <c r="A594" s="130"/>
      <c r="B594" s="130"/>
      <c r="C594" s="130"/>
      <c r="D594" s="130"/>
      <c r="E594" s="163"/>
      <c r="F594" s="163"/>
      <c r="G594" s="163"/>
      <c r="H594" s="130"/>
      <c r="I594" s="130"/>
      <c r="J594" s="130"/>
      <c r="K594" s="130"/>
      <c r="L594" s="163"/>
      <c r="M594" s="130"/>
      <c r="N594" s="130"/>
      <c r="O594" s="130"/>
      <c r="P594" s="130"/>
      <c r="Q594" s="130"/>
      <c r="R594" s="130"/>
      <c r="S594" s="130"/>
      <c r="T594" s="130"/>
      <c r="U594" s="130"/>
      <c r="V594" s="130"/>
      <c r="W594" s="130"/>
      <c r="X594" s="163"/>
      <c r="Y594" s="163"/>
      <c r="Z594" s="163"/>
      <c r="AA594" s="163"/>
      <c r="AB594" s="163"/>
      <c r="AC594" s="163"/>
      <c r="AD594" s="163"/>
      <c r="AE594" s="163"/>
      <c r="AF594" s="163"/>
      <c r="AG594" s="163"/>
      <c r="AH594" s="163"/>
      <c r="AI594" s="163"/>
      <c r="AJ594" s="163"/>
      <c r="AK594" s="163"/>
      <c r="AL594" s="163"/>
      <c r="AM594" s="163"/>
    </row>
    <row r="595" ht="13.5" customHeight="1">
      <c r="A595" s="130"/>
      <c r="B595" s="130"/>
      <c r="C595" s="130"/>
      <c r="D595" s="130"/>
      <c r="E595" s="163"/>
      <c r="F595" s="163"/>
      <c r="G595" s="163"/>
      <c r="H595" s="130"/>
      <c r="I595" s="130"/>
      <c r="J595" s="130"/>
      <c r="K595" s="130"/>
      <c r="L595" s="163"/>
      <c r="M595" s="130"/>
      <c r="N595" s="130"/>
      <c r="O595" s="130"/>
      <c r="P595" s="130"/>
      <c r="Q595" s="130"/>
      <c r="R595" s="130"/>
      <c r="S595" s="130"/>
      <c r="T595" s="130"/>
      <c r="U595" s="130"/>
      <c r="V595" s="130"/>
      <c r="W595" s="130"/>
      <c r="X595" s="163"/>
      <c r="Y595" s="163"/>
      <c r="Z595" s="163"/>
      <c r="AA595" s="163"/>
      <c r="AB595" s="163"/>
      <c r="AC595" s="163"/>
      <c r="AD595" s="163"/>
      <c r="AE595" s="163"/>
      <c r="AF595" s="163"/>
      <c r="AG595" s="163"/>
      <c r="AH595" s="163"/>
      <c r="AI595" s="163"/>
      <c r="AJ595" s="163"/>
      <c r="AK595" s="163"/>
      <c r="AL595" s="163"/>
      <c r="AM595" s="163"/>
    </row>
    <row r="596" ht="13.5" customHeight="1">
      <c r="A596" s="130"/>
      <c r="B596" s="130"/>
      <c r="C596" s="130"/>
      <c r="D596" s="130"/>
      <c r="E596" s="163"/>
      <c r="F596" s="163"/>
      <c r="G596" s="163"/>
      <c r="H596" s="130"/>
      <c r="I596" s="130"/>
      <c r="J596" s="130"/>
      <c r="K596" s="130"/>
      <c r="L596" s="163"/>
      <c r="M596" s="130"/>
      <c r="N596" s="130"/>
      <c r="O596" s="130"/>
      <c r="P596" s="130"/>
      <c r="Q596" s="130"/>
      <c r="R596" s="130"/>
      <c r="S596" s="130"/>
      <c r="T596" s="130"/>
      <c r="U596" s="130"/>
      <c r="V596" s="130"/>
      <c r="W596" s="130"/>
      <c r="X596" s="163"/>
      <c r="Y596" s="163"/>
      <c r="Z596" s="163"/>
      <c r="AA596" s="163"/>
      <c r="AB596" s="163"/>
      <c r="AC596" s="163"/>
      <c r="AD596" s="163"/>
      <c r="AE596" s="163"/>
      <c r="AF596" s="163"/>
      <c r="AG596" s="163"/>
      <c r="AH596" s="163"/>
      <c r="AI596" s="163"/>
      <c r="AJ596" s="163"/>
      <c r="AK596" s="163"/>
      <c r="AL596" s="163"/>
      <c r="AM596" s="163"/>
    </row>
    <row r="597" ht="13.5" customHeight="1">
      <c r="A597" s="130"/>
      <c r="B597" s="130"/>
      <c r="C597" s="130"/>
      <c r="D597" s="130"/>
      <c r="E597" s="163"/>
      <c r="F597" s="163"/>
      <c r="G597" s="163"/>
      <c r="H597" s="130"/>
      <c r="I597" s="130"/>
      <c r="J597" s="130"/>
      <c r="K597" s="130"/>
      <c r="L597" s="163"/>
      <c r="M597" s="130"/>
      <c r="N597" s="130"/>
      <c r="O597" s="130"/>
      <c r="P597" s="130"/>
      <c r="Q597" s="130"/>
      <c r="R597" s="130"/>
      <c r="S597" s="130"/>
      <c r="T597" s="130"/>
      <c r="U597" s="130"/>
      <c r="V597" s="130"/>
      <c r="W597" s="130"/>
      <c r="X597" s="163"/>
      <c r="Y597" s="163"/>
      <c r="Z597" s="163"/>
      <c r="AA597" s="163"/>
      <c r="AB597" s="163"/>
      <c r="AC597" s="163"/>
      <c r="AD597" s="163"/>
      <c r="AE597" s="163"/>
      <c r="AF597" s="163"/>
      <c r="AG597" s="163"/>
      <c r="AH597" s="163"/>
      <c r="AI597" s="163"/>
      <c r="AJ597" s="163"/>
      <c r="AK597" s="163"/>
      <c r="AL597" s="163"/>
      <c r="AM597" s="163"/>
    </row>
    <row r="598" ht="13.5" customHeight="1">
      <c r="A598" s="130"/>
      <c r="B598" s="130"/>
      <c r="C598" s="130"/>
      <c r="D598" s="130"/>
      <c r="E598" s="163"/>
      <c r="F598" s="163"/>
      <c r="G598" s="163"/>
      <c r="H598" s="130"/>
      <c r="I598" s="130"/>
      <c r="J598" s="130"/>
      <c r="K598" s="130"/>
      <c r="L598" s="163"/>
      <c r="M598" s="130"/>
      <c r="N598" s="130"/>
      <c r="O598" s="130"/>
      <c r="P598" s="130"/>
      <c r="Q598" s="130"/>
      <c r="R598" s="130"/>
      <c r="S598" s="130"/>
      <c r="T598" s="130"/>
      <c r="U598" s="130"/>
      <c r="V598" s="130"/>
      <c r="W598" s="130"/>
      <c r="X598" s="163"/>
      <c r="Y598" s="163"/>
      <c r="Z598" s="163"/>
      <c r="AA598" s="163"/>
      <c r="AB598" s="163"/>
      <c r="AC598" s="163"/>
      <c r="AD598" s="163"/>
      <c r="AE598" s="163"/>
      <c r="AF598" s="163"/>
      <c r="AG598" s="163"/>
      <c r="AH598" s="163"/>
      <c r="AI598" s="163"/>
      <c r="AJ598" s="163"/>
      <c r="AK598" s="163"/>
      <c r="AL598" s="163"/>
      <c r="AM598" s="163"/>
    </row>
    <row r="599" ht="13.5" customHeight="1">
      <c r="A599" s="130"/>
      <c r="B599" s="130"/>
      <c r="C599" s="130"/>
      <c r="D599" s="130"/>
      <c r="E599" s="163"/>
      <c r="F599" s="163"/>
      <c r="G599" s="163"/>
      <c r="H599" s="130"/>
      <c r="I599" s="130"/>
      <c r="J599" s="130"/>
      <c r="K599" s="130"/>
      <c r="L599" s="163"/>
      <c r="M599" s="130"/>
      <c r="N599" s="130"/>
      <c r="O599" s="130"/>
      <c r="P599" s="130"/>
      <c r="Q599" s="130"/>
      <c r="R599" s="130"/>
      <c r="S599" s="130"/>
      <c r="T599" s="130"/>
      <c r="U599" s="130"/>
      <c r="V599" s="130"/>
      <c r="W599" s="130"/>
      <c r="X599" s="163"/>
      <c r="Y599" s="163"/>
      <c r="Z599" s="163"/>
      <c r="AA599" s="163"/>
      <c r="AB599" s="163"/>
      <c r="AC599" s="163"/>
      <c r="AD599" s="163"/>
      <c r="AE599" s="163"/>
      <c r="AF599" s="163"/>
      <c r="AG599" s="163"/>
      <c r="AH599" s="163"/>
      <c r="AI599" s="163"/>
      <c r="AJ599" s="163"/>
      <c r="AK599" s="163"/>
      <c r="AL599" s="163"/>
      <c r="AM599" s="163"/>
    </row>
    <row r="600" ht="13.5" customHeight="1">
      <c r="A600" s="130"/>
      <c r="B600" s="130"/>
      <c r="C600" s="130"/>
      <c r="D600" s="130"/>
      <c r="E600" s="163"/>
      <c r="F600" s="163"/>
      <c r="G600" s="163"/>
      <c r="H600" s="130"/>
      <c r="I600" s="130"/>
      <c r="J600" s="130"/>
      <c r="K600" s="130"/>
      <c r="L600" s="163"/>
      <c r="M600" s="130"/>
      <c r="N600" s="130"/>
      <c r="O600" s="130"/>
      <c r="P600" s="130"/>
      <c r="Q600" s="130"/>
      <c r="R600" s="130"/>
      <c r="S600" s="130"/>
      <c r="T600" s="130"/>
      <c r="U600" s="130"/>
      <c r="V600" s="130"/>
      <c r="W600" s="130"/>
      <c r="X600" s="163"/>
      <c r="Y600" s="163"/>
      <c r="Z600" s="163"/>
      <c r="AA600" s="163"/>
      <c r="AB600" s="163"/>
      <c r="AC600" s="163"/>
      <c r="AD600" s="163"/>
      <c r="AE600" s="163"/>
      <c r="AF600" s="163"/>
      <c r="AG600" s="163"/>
      <c r="AH600" s="163"/>
      <c r="AI600" s="163"/>
      <c r="AJ600" s="163"/>
      <c r="AK600" s="163"/>
      <c r="AL600" s="163"/>
      <c r="AM600" s="163"/>
    </row>
    <row r="601" ht="13.5" customHeight="1">
      <c r="A601" s="130"/>
      <c r="B601" s="130"/>
      <c r="C601" s="130"/>
      <c r="D601" s="130"/>
      <c r="E601" s="163"/>
      <c r="F601" s="163"/>
      <c r="G601" s="163"/>
      <c r="H601" s="130"/>
      <c r="I601" s="130"/>
      <c r="J601" s="130"/>
      <c r="K601" s="130"/>
      <c r="L601" s="163"/>
      <c r="M601" s="130"/>
      <c r="N601" s="130"/>
      <c r="O601" s="130"/>
      <c r="P601" s="130"/>
      <c r="Q601" s="130"/>
      <c r="R601" s="130"/>
      <c r="S601" s="130"/>
      <c r="T601" s="130"/>
      <c r="U601" s="130"/>
      <c r="V601" s="130"/>
      <c r="W601" s="130"/>
      <c r="X601" s="163"/>
      <c r="Y601" s="163"/>
      <c r="Z601" s="163"/>
      <c r="AA601" s="163"/>
      <c r="AB601" s="163"/>
      <c r="AC601" s="163"/>
      <c r="AD601" s="163"/>
      <c r="AE601" s="163"/>
      <c r="AF601" s="163"/>
      <c r="AG601" s="163"/>
      <c r="AH601" s="163"/>
      <c r="AI601" s="163"/>
      <c r="AJ601" s="163"/>
      <c r="AK601" s="163"/>
      <c r="AL601" s="163"/>
      <c r="AM601" s="163"/>
    </row>
    <row r="602" ht="13.5" customHeight="1">
      <c r="A602" s="130"/>
      <c r="B602" s="130"/>
      <c r="C602" s="130"/>
      <c r="D602" s="130"/>
      <c r="E602" s="163"/>
      <c r="F602" s="163"/>
      <c r="G602" s="163"/>
      <c r="H602" s="130"/>
      <c r="I602" s="130"/>
      <c r="J602" s="130"/>
      <c r="K602" s="130"/>
      <c r="L602" s="163"/>
      <c r="M602" s="130"/>
      <c r="N602" s="130"/>
      <c r="O602" s="130"/>
      <c r="P602" s="130"/>
      <c r="Q602" s="130"/>
      <c r="R602" s="130"/>
      <c r="S602" s="130"/>
      <c r="T602" s="130"/>
      <c r="U602" s="130"/>
      <c r="V602" s="130"/>
      <c r="W602" s="130"/>
      <c r="X602" s="163"/>
      <c r="Y602" s="163"/>
      <c r="Z602" s="163"/>
      <c r="AA602" s="163"/>
      <c r="AB602" s="163"/>
      <c r="AC602" s="163"/>
      <c r="AD602" s="163"/>
      <c r="AE602" s="163"/>
      <c r="AF602" s="163"/>
      <c r="AG602" s="163"/>
      <c r="AH602" s="163"/>
      <c r="AI602" s="163"/>
      <c r="AJ602" s="163"/>
      <c r="AK602" s="163"/>
      <c r="AL602" s="163"/>
      <c r="AM602" s="163"/>
    </row>
    <row r="603" ht="13.5" customHeight="1">
      <c r="A603" s="130"/>
      <c r="B603" s="130"/>
      <c r="C603" s="130"/>
      <c r="D603" s="130"/>
      <c r="E603" s="163"/>
      <c r="F603" s="163"/>
      <c r="G603" s="163"/>
      <c r="H603" s="130"/>
      <c r="I603" s="130"/>
      <c r="J603" s="130"/>
      <c r="K603" s="130"/>
      <c r="L603" s="163"/>
      <c r="M603" s="130"/>
      <c r="N603" s="130"/>
      <c r="O603" s="130"/>
      <c r="P603" s="130"/>
      <c r="Q603" s="130"/>
      <c r="R603" s="130"/>
      <c r="S603" s="130"/>
      <c r="T603" s="130"/>
      <c r="U603" s="130"/>
      <c r="V603" s="130"/>
      <c r="W603" s="130"/>
      <c r="X603" s="163"/>
      <c r="Y603" s="163"/>
      <c r="Z603" s="163"/>
      <c r="AA603" s="163"/>
      <c r="AB603" s="163"/>
      <c r="AC603" s="163"/>
      <c r="AD603" s="163"/>
      <c r="AE603" s="163"/>
      <c r="AF603" s="163"/>
      <c r="AG603" s="163"/>
      <c r="AH603" s="163"/>
      <c r="AI603" s="163"/>
      <c r="AJ603" s="163"/>
      <c r="AK603" s="163"/>
      <c r="AL603" s="163"/>
      <c r="AM603" s="163"/>
    </row>
    <row r="604" ht="13.5" customHeight="1">
      <c r="A604" s="130"/>
      <c r="B604" s="130"/>
      <c r="C604" s="130"/>
      <c r="D604" s="130"/>
      <c r="E604" s="163"/>
      <c r="F604" s="163"/>
      <c r="G604" s="163"/>
      <c r="H604" s="130"/>
      <c r="I604" s="130"/>
      <c r="J604" s="130"/>
      <c r="K604" s="130"/>
      <c r="L604" s="163"/>
      <c r="M604" s="130"/>
      <c r="N604" s="130"/>
      <c r="O604" s="130"/>
      <c r="P604" s="130"/>
      <c r="Q604" s="130"/>
      <c r="R604" s="130"/>
      <c r="S604" s="130"/>
      <c r="T604" s="130"/>
      <c r="U604" s="130"/>
      <c r="V604" s="130"/>
      <c r="W604" s="130"/>
      <c r="X604" s="163"/>
      <c r="Y604" s="163"/>
      <c r="Z604" s="163"/>
      <c r="AA604" s="163"/>
      <c r="AB604" s="163"/>
      <c r="AC604" s="163"/>
      <c r="AD604" s="163"/>
      <c r="AE604" s="163"/>
      <c r="AF604" s="163"/>
      <c r="AG604" s="163"/>
      <c r="AH604" s="163"/>
      <c r="AI604" s="163"/>
      <c r="AJ604" s="163"/>
      <c r="AK604" s="163"/>
      <c r="AL604" s="163"/>
      <c r="AM604" s="163"/>
    </row>
    <row r="605" ht="13.5" customHeight="1">
      <c r="A605" s="130"/>
      <c r="B605" s="130"/>
      <c r="C605" s="130"/>
      <c r="D605" s="130"/>
      <c r="E605" s="163"/>
      <c r="F605" s="163"/>
      <c r="G605" s="163"/>
      <c r="H605" s="130"/>
      <c r="I605" s="130"/>
      <c r="J605" s="130"/>
      <c r="K605" s="130"/>
      <c r="L605" s="163"/>
      <c r="M605" s="130"/>
      <c r="N605" s="130"/>
      <c r="O605" s="130"/>
      <c r="P605" s="130"/>
      <c r="Q605" s="130"/>
      <c r="R605" s="130"/>
      <c r="S605" s="130"/>
      <c r="T605" s="130"/>
      <c r="U605" s="130"/>
      <c r="V605" s="130"/>
      <c r="W605" s="130"/>
      <c r="X605" s="163"/>
      <c r="Y605" s="163"/>
      <c r="Z605" s="163"/>
      <c r="AA605" s="163"/>
      <c r="AB605" s="163"/>
      <c r="AC605" s="163"/>
      <c r="AD605" s="163"/>
      <c r="AE605" s="163"/>
      <c r="AF605" s="163"/>
      <c r="AG605" s="163"/>
      <c r="AH605" s="163"/>
      <c r="AI605" s="163"/>
      <c r="AJ605" s="163"/>
      <c r="AK605" s="163"/>
      <c r="AL605" s="163"/>
      <c r="AM605" s="163"/>
    </row>
    <row r="606" ht="13.5" customHeight="1">
      <c r="A606" s="130"/>
      <c r="B606" s="130"/>
      <c r="C606" s="130"/>
      <c r="D606" s="130"/>
      <c r="E606" s="163"/>
      <c r="F606" s="163"/>
      <c r="G606" s="163"/>
      <c r="H606" s="130"/>
      <c r="I606" s="130"/>
      <c r="J606" s="130"/>
      <c r="K606" s="130"/>
      <c r="L606" s="163"/>
      <c r="M606" s="130"/>
      <c r="N606" s="130"/>
      <c r="O606" s="130"/>
      <c r="P606" s="130"/>
      <c r="Q606" s="130"/>
      <c r="R606" s="130"/>
      <c r="S606" s="130"/>
      <c r="T606" s="130"/>
      <c r="U606" s="130"/>
      <c r="V606" s="130"/>
      <c r="W606" s="130"/>
      <c r="X606" s="163"/>
      <c r="Y606" s="163"/>
      <c r="Z606" s="163"/>
      <c r="AA606" s="163"/>
      <c r="AB606" s="163"/>
      <c r="AC606" s="163"/>
      <c r="AD606" s="163"/>
      <c r="AE606" s="163"/>
      <c r="AF606" s="163"/>
      <c r="AG606" s="163"/>
      <c r="AH606" s="163"/>
      <c r="AI606" s="163"/>
      <c r="AJ606" s="163"/>
      <c r="AK606" s="163"/>
      <c r="AL606" s="163"/>
      <c r="AM606" s="163"/>
    </row>
    <row r="607" ht="13.5" customHeight="1">
      <c r="A607" s="130"/>
      <c r="B607" s="130"/>
      <c r="C607" s="130"/>
      <c r="D607" s="130"/>
      <c r="E607" s="163"/>
      <c r="F607" s="163"/>
      <c r="G607" s="163"/>
      <c r="H607" s="130"/>
      <c r="I607" s="130"/>
      <c r="J607" s="130"/>
      <c r="K607" s="130"/>
      <c r="L607" s="163"/>
      <c r="M607" s="130"/>
      <c r="N607" s="130"/>
      <c r="O607" s="130"/>
      <c r="P607" s="130"/>
      <c r="Q607" s="130"/>
      <c r="R607" s="130"/>
      <c r="S607" s="130"/>
      <c r="T607" s="130"/>
      <c r="U607" s="130"/>
      <c r="V607" s="130"/>
      <c r="W607" s="130"/>
      <c r="X607" s="163"/>
      <c r="Y607" s="163"/>
      <c r="Z607" s="163"/>
      <c r="AA607" s="163"/>
      <c r="AB607" s="163"/>
      <c r="AC607" s="163"/>
      <c r="AD607" s="163"/>
      <c r="AE607" s="163"/>
      <c r="AF607" s="163"/>
      <c r="AG607" s="163"/>
      <c r="AH607" s="163"/>
      <c r="AI607" s="163"/>
      <c r="AJ607" s="163"/>
      <c r="AK607" s="163"/>
      <c r="AL607" s="163"/>
      <c r="AM607" s="163"/>
    </row>
    <row r="608" ht="13.5" customHeight="1">
      <c r="A608" s="130"/>
      <c r="B608" s="130"/>
      <c r="C608" s="130"/>
      <c r="D608" s="130"/>
      <c r="E608" s="163"/>
      <c r="F608" s="163"/>
      <c r="G608" s="163"/>
      <c r="H608" s="130"/>
      <c r="I608" s="130"/>
      <c r="J608" s="130"/>
      <c r="K608" s="130"/>
      <c r="L608" s="163"/>
      <c r="M608" s="130"/>
      <c r="N608" s="130"/>
      <c r="O608" s="130"/>
      <c r="P608" s="130"/>
      <c r="Q608" s="130"/>
      <c r="R608" s="130"/>
      <c r="S608" s="130"/>
      <c r="T608" s="130"/>
      <c r="U608" s="130"/>
      <c r="V608" s="130"/>
      <c r="W608" s="130"/>
      <c r="X608" s="163"/>
      <c r="Y608" s="163"/>
      <c r="Z608" s="163"/>
      <c r="AA608" s="163"/>
      <c r="AB608" s="163"/>
      <c r="AC608" s="163"/>
      <c r="AD608" s="163"/>
      <c r="AE608" s="163"/>
      <c r="AF608" s="163"/>
      <c r="AG608" s="163"/>
      <c r="AH608" s="163"/>
      <c r="AI608" s="163"/>
      <c r="AJ608" s="163"/>
      <c r="AK608" s="163"/>
      <c r="AL608" s="163"/>
      <c r="AM608" s="163"/>
    </row>
    <row r="609" ht="13.5" customHeight="1">
      <c r="A609" s="130"/>
      <c r="B609" s="130"/>
      <c r="C609" s="130"/>
      <c r="D609" s="130"/>
      <c r="E609" s="163"/>
      <c r="F609" s="163"/>
      <c r="G609" s="163"/>
      <c r="H609" s="130"/>
      <c r="I609" s="130"/>
      <c r="J609" s="130"/>
      <c r="K609" s="130"/>
      <c r="L609" s="163"/>
      <c r="M609" s="130"/>
      <c r="N609" s="130"/>
      <c r="O609" s="130"/>
      <c r="P609" s="130"/>
      <c r="Q609" s="130"/>
      <c r="R609" s="130"/>
      <c r="S609" s="130"/>
      <c r="T609" s="130"/>
      <c r="U609" s="130"/>
      <c r="V609" s="130"/>
      <c r="W609" s="130"/>
      <c r="X609" s="163"/>
      <c r="Y609" s="163"/>
      <c r="Z609" s="163"/>
      <c r="AA609" s="163"/>
      <c r="AB609" s="163"/>
      <c r="AC609" s="163"/>
      <c r="AD609" s="163"/>
      <c r="AE609" s="163"/>
      <c r="AF609" s="163"/>
      <c r="AG609" s="163"/>
      <c r="AH609" s="163"/>
      <c r="AI609" s="163"/>
      <c r="AJ609" s="163"/>
      <c r="AK609" s="163"/>
      <c r="AL609" s="163"/>
      <c r="AM609" s="163"/>
    </row>
    <row r="610" ht="13.5" customHeight="1">
      <c r="A610" s="130"/>
      <c r="B610" s="130"/>
      <c r="C610" s="130"/>
      <c r="D610" s="130"/>
      <c r="E610" s="163"/>
      <c r="F610" s="163"/>
      <c r="G610" s="163"/>
      <c r="H610" s="130"/>
      <c r="I610" s="130"/>
      <c r="J610" s="130"/>
      <c r="K610" s="130"/>
      <c r="L610" s="163"/>
      <c r="M610" s="130"/>
      <c r="N610" s="130"/>
      <c r="O610" s="130"/>
      <c r="P610" s="130"/>
      <c r="Q610" s="130"/>
      <c r="R610" s="130"/>
      <c r="S610" s="130"/>
      <c r="T610" s="130"/>
      <c r="U610" s="130"/>
      <c r="V610" s="130"/>
      <c r="W610" s="130"/>
      <c r="X610" s="163"/>
      <c r="Y610" s="163"/>
      <c r="Z610" s="163"/>
      <c r="AA610" s="163"/>
      <c r="AB610" s="163"/>
      <c r="AC610" s="163"/>
      <c r="AD610" s="163"/>
      <c r="AE610" s="163"/>
      <c r="AF610" s="163"/>
      <c r="AG610" s="163"/>
      <c r="AH610" s="163"/>
      <c r="AI610" s="163"/>
      <c r="AJ610" s="163"/>
      <c r="AK610" s="163"/>
      <c r="AL610" s="163"/>
      <c r="AM610" s="163"/>
    </row>
    <row r="611" ht="13.5" customHeight="1">
      <c r="A611" s="130"/>
      <c r="B611" s="130"/>
      <c r="C611" s="130"/>
      <c r="D611" s="130"/>
      <c r="E611" s="163"/>
      <c r="F611" s="163"/>
      <c r="G611" s="163"/>
      <c r="H611" s="130"/>
      <c r="I611" s="130"/>
      <c r="J611" s="130"/>
      <c r="K611" s="130"/>
      <c r="L611" s="163"/>
      <c r="M611" s="130"/>
      <c r="N611" s="130"/>
      <c r="O611" s="130"/>
      <c r="P611" s="130"/>
      <c r="Q611" s="130"/>
      <c r="R611" s="130"/>
      <c r="S611" s="130"/>
      <c r="T611" s="130"/>
      <c r="U611" s="130"/>
      <c r="V611" s="130"/>
      <c r="W611" s="130"/>
      <c r="X611" s="163"/>
      <c r="Y611" s="163"/>
      <c r="Z611" s="163"/>
      <c r="AA611" s="163"/>
      <c r="AB611" s="163"/>
      <c r="AC611" s="163"/>
      <c r="AD611" s="163"/>
      <c r="AE611" s="163"/>
      <c r="AF611" s="163"/>
      <c r="AG611" s="163"/>
      <c r="AH611" s="163"/>
      <c r="AI611" s="163"/>
      <c r="AJ611" s="163"/>
      <c r="AK611" s="163"/>
      <c r="AL611" s="163"/>
      <c r="AM611" s="163"/>
    </row>
    <row r="612" ht="13.5" customHeight="1">
      <c r="A612" s="130"/>
      <c r="B612" s="130"/>
      <c r="C612" s="130"/>
      <c r="D612" s="130"/>
      <c r="E612" s="163"/>
      <c r="F612" s="163"/>
      <c r="G612" s="163"/>
      <c r="H612" s="130"/>
      <c r="I612" s="130"/>
      <c r="J612" s="130"/>
      <c r="K612" s="130"/>
      <c r="L612" s="163"/>
      <c r="M612" s="130"/>
      <c r="N612" s="130"/>
      <c r="O612" s="130"/>
      <c r="P612" s="130"/>
      <c r="Q612" s="130"/>
      <c r="R612" s="130"/>
      <c r="S612" s="130"/>
      <c r="T612" s="130"/>
      <c r="U612" s="130"/>
      <c r="V612" s="130"/>
      <c r="W612" s="130"/>
      <c r="X612" s="163"/>
      <c r="Y612" s="163"/>
      <c r="Z612" s="163"/>
      <c r="AA612" s="163"/>
      <c r="AB612" s="163"/>
      <c r="AC612" s="163"/>
      <c r="AD612" s="163"/>
      <c r="AE612" s="163"/>
      <c r="AF612" s="163"/>
      <c r="AG612" s="163"/>
      <c r="AH612" s="163"/>
      <c r="AI612" s="163"/>
      <c r="AJ612" s="163"/>
      <c r="AK612" s="163"/>
      <c r="AL612" s="163"/>
      <c r="AM612" s="163"/>
    </row>
    <row r="613" ht="13.5" customHeight="1">
      <c r="A613" s="130"/>
      <c r="B613" s="130"/>
      <c r="C613" s="130"/>
      <c r="D613" s="130"/>
      <c r="E613" s="163"/>
      <c r="F613" s="163"/>
      <c r="G613" s="163"/>
      <c r="H613" s="130"/>
      <c r="I613" s="130"/>
      <c r="J613" s="130"/>
      <c r="K613" s="130"/>
      <c r="L613" s="163"/>
      <c r="M613" s="130"/>
      <c r="N613" s="130"/>
      <c r="O613" s="130"/>
      <c r="P613" s="130"/>
      <c r="Q613" s="130"/>
      <c r="R613" s="130"/>
      <c r="S613" s="130"/>
      <c r="T613" s="130"/>
      <c r="U613" s="130"/>
      <c r="V613" s="130"/>
      <c r="W613" s="130"/>
      <c r="X613" s="163"/>
      <c r="Y613" s="163"/>
      <c r="Z613" s="163"/>
      <c r="AA613" s="163"/>
      <c r="AB613" s="163"/>
      <c r="AC613" s="163"/>
      <c r="AD613" s="163"/>
      <c r="AE613" s="163"/>
      <c r="AF613" s="163"/>
      <c r="AG613" s="163"/>
      <c r="AH613" s="163"/>
      <c r="AI613" s="163"/>
      <c r="AJ613" s="163"/>
      <c r="AK613" s="163"/>
      <c r="AL613" s="163"/>
      <c r="AM613" s="163"/>
    </row>
    <row r="614" ht="13.5" customHeight="1">
      <c r="A614" s="130"/>
      <c r="B614" s="130"/>
      <c r="C614" s="130"/>
      <c r="D614" s="130"/>
      <c r="E614" s="163"/>
      <c r="F614" s="163"/>
      <c r="G614" s="163"/>
      <c r="H614" s="130"/>
      <c r="I614" s="130"/>
      <c r="J614" s="130"/>
      <c r="K614" s="130"/>
      <c r="L614" s="163"/>
      <c r="M614" s="130"/>
      <c r="N614" s="130"/>
      <c r="O614" s="130"/>
      <c r="P614" s="130"/>
      <c r="Q614" s="130"/>
      <c r="R614" s="130"/>
      <c r="S614" s="130"/>
      <c r="T614" s="130"/>
      <c r="U614" s="130"/>
      <c r="V614" s="130"/>
      <c r="W614" s="130"/>
      <c r="X614" s="163"/>
      <c r="Y614" s="163"/>
      <c r="Z614" s="163"/>
      <c r="AA614" s="163"/>
      <c r="AB614" s="163"/>
      <c r="AC614" s="163"/>
      <c r="AD614" s="163"/>
      <c r="AE614" s="163"/>
      <c r="AF614" s="163"/>
      <c r="AG614" s="163"/>
      <c r="AH614" s="163"/>
      <c r="AI614" s="163"/>
      <c r="AJ614" s="163"/>
      <c r="AK614" s="163"/>
      <c r="AL614" s="163"/>
      <c r="AM614" s="163"/>
    </row>
    <row r="615" ht="13.5" customHeight="1">
      <c r="A615" s="130"/>
      <c r="B615" s="130"/>
      <c r="C615" s="130"/>
      <c r="D615" s="130"/>
      <c r="E615" s="163"/>
      <c r="F615" s="163"/>
      <c r="G615" s="163"/>
      <c r="H615" s="130"/>
      <c r="I615" s="130"/>
      <c r="J615" s="130"/>
      <c r="K615" s="130"/>
      <c r="L615" s="163"/>
      <c r="M615" s="130"/>
      <c r="N615" s="130"/>
      <c r="O615" s="130"/>
      <c r="P615" s="130"/>
      <c r="Q615" s="130"/>
      <c r="R615" s="130"/>
      <c r="S615" s="130"/>
      <c r="T615" s="130"/>
      <c r="U615" s="130"/>
      <c r="V615" s="130"/>
      <c r="W615" s="130"/>
      <c r="X615" s="163"/>
      <c r="Y615" s="163"/>
      <c r="Z615" s="163"/>
      <c r="AA615" s="163"/>
      <c r="AB615" s="163"/>
      <c r="AC615" s="163"/>
      <c r="AD615" s="163"/>
      <c r="AE615" s="163"/>
      <c r="AF615" s="163"/>
      <c r="AG615" s="163"/>
      <c r="AH615" s="163"/>
      <c r="AI615" s="163"/>
      <c r="AJ615" s="163"/>
      <c r="AK615" s="163"/>
      <c r="AL615" s="163"/>
      <c r="AM615" s="163"/>
    </row>
    <row r="616" ht="13.5" customHeight="1">
      <c r="A616" s="130"/>
      <c r="B616" s="130"/>
      <c r="C616" s="130"/>
      <c r="D616" s="130"/>
      <c r="E616" s="163"/>
      <c r="F616" s="163"/>
      <c r="G616" s="163"/>
      <c r="H616" s="130"/>
      <c r="I616" s="130"/>
      <c r="J616" s="130"/>
      <c r="K616" s="130"/>
      <c r="L616" s="163"/>
      <c r="M616" s="130"/>
      <c r="N616" s="130"/>
      <c r="O616" s="130"/>
      <c r="P616" s="130"/>
      <c r="Q616" s="130"/>
      <c r="R616" s="130"/>
      <c r="S616" s="130"/>
      <c r="T616" s="130"/>
      <c r="U616" s="130"/>
      <c r="V616" s="130"/>
      <c r="W616" s="130"/>
      <c r="X616" s="163"/>
      <c r="Y616" s="163"/>
      <c r="Z616" s="163"/>
      <c r="AA616" s="163"/>
      <c r="AB616" s="163"/>
      <c r="AC616" s="163"/>
      <c r="AD616" s="163"/>
      <c r="AE616" s="163"/>
      <c r="AF616" s="163"/>
      <c r="AG616" s="163"/>
      <c r="AH616" s="163"/>
      <c r="AI616" s="163"/>
      <c r="AJ616" s="163"/>
      <c r="AK616" s="163"/>
      <c r="AL616" s="163"/>
      <c r="AM616" s="163"/>
    </row>
    <row r="617" ht="13.5" customHeight="1">
      <c r="A617" s="130"/>
      <c r="B617" s="130"/>
      <c r="C617" s="130"/>
      <c r="D617" s="130"/>
      <c r="E617" s="163"/>
      <c r="F617" s="163"/>
      <c r="G617" s="163"/>
      <c r="H617" s="130"/>
      <c r="I617" s="130"/>
      <c r="J617" s="130"/>
      <c r="K617" s="130"/>
      <c r="L617" s="163"/>
      <c r="M617" s="130"/>
      <c r="N617" s="130"/>
      <c r="O617" s="130"/>
      <c r="P617" s="130"/>
      <c r="Q617" s="130"/>
      <c r="R617" s="130"/>
      <c r="S617" s="130"/>
      <c r="T617" s="130"/>
      <c r="U617" s="130"/>
      <c r="V617" s="130"/>
      <c r="W617" s="130"/>
      <c r="X617" s="163"/>
      <c r="Y617" s="163"/>
      <c r="Z617" s="163"/>
      <c r="AA617" s="163"/>
      <c r="AB617" s="163"/>
      <c r="AC617" s="163"/>
      <c r="AD617" s="163"/>
      <c r="AE617" s="163"/>
      <c r="AF617" s="163"/>
      <c r="AG617" s="163"/>
      <c r="AH617" s="163"/>
      <c r="AI617" s="163"/>
      <c r="AJ617" s="163"/>
      <c r="AK617" s="163"/>
      <c r="AL617" s="163"/>
      <c r="AM617" s="163"/>
    </row>
    <row r="618" ht="13.5" customHeight="1">
      <c r="A618" s="130"/>
      <c r="B618" s="130"/>
      <c r="C618" s="130"/>
      <c r="D618" s="130"/>
      <c r="E618" s="163"/>
      <c r="F618" s="163"/>
      <c r="G618" s="163"/>
      <c r="H618" s="130"/>
      <c r="I618" s="130"/>
      <c r="J618" s="130"/>
      <c r="K618" s="130"/>
      <c r="L618" s="163"/>
      <c r="M618" s="130"/>
      <c r="N618" s="130"/>
      <c r="O618" s="130"/>
      <c r="P618" s="130"/>
      <c r="Q618" s="130"/>
      <c r="R618" s="130"/>
      <c r="S618" s="130"/>
      <c r="T618" s="130"/>
      <c r="U618" s="130"/>
      <c r="V618" s="130"/>
      <c r="W618" s="130"/>
      <c r="X618" s="163"/>
      <c r="Y618" s="163"/>
      <c r="Z618" s="163"/>
      <c r="AA618" s="163"/>
      <c r="AB618" s="163"/>
      <c r="AC618" s="163"/>
      <c r="AD618" s="163"/>
      <c r="AE618" s="163"/>
      <c r="AF618" s="163"/>
      <c r="AG618" s="163"/>
      <c r="AH618" s="163"/>
      <c r="AI618" s="163"/>
      <c r="AJ618" s="163"/>
      <c r="AK618" s="163"/>
      <c r="AL618" s="163"/>
      <c r="AM618" s="163"/>
    </row>
    <row r="619" ht="13.5" customHeight="1">
      <c r="A619" s="130"/>
      <c r="B619" s="130"/>
      <c r="C619" s="130"/>
      <c r="D619" s="130"/>
      <c r="E619" s="163"/>
      <c r="F619" s="163"/>
      <c r="G619" s="163"/>
      <c r="H619" s="130"/>
      <c r="I619" s="130"/>
      <c r="J619" s="130"/>
      <c r="K619" s="130"/>
      <c r="L619" s="163"/>
      <c r="M619" s="130"/>
      <c r="N619" s="130"/>
      <c r="O619" s="130"/>
      <c r="P619" s="130"/>
      <c r="Q619" s="130"/>
      <c r="R619" s="130"/>
      <c r="S619" s="130"/>
      <c r="T619" s="130"/>
      <c r="U619" s="130"/>
      <c r="V619" s="130"/>
      <c r="W619" s="130"/>
      <c r="X619" s="163"/>
      <c r="Y619" s="163"/>
      <c r="Z619" s="163"/>
      <c r="AA619" s="163"/>
      <c r="AB619" s="163"/>
      <c r="AC619" s="163"/>
      <c r="AD619" s="163"/>
      <c r="AE619" s="163"/>
      <c r="AF619" s="163"/>
      <c r="AG619" s="163"/>
      <c r="AH619" s="163"/>
      <c r="AI619" s="163"/>
      <c r="AJ619" s="163"/>
      <c r="AK619" s="163"/>
      <c r="AL619" s="163"/>
      <c r="AM619" s="163"/>
    </row>
    <row r="620" ht="13.5" customHeight="1">
      <c r="A620" s="130"/>
      <c r="B620" s="130"/>
      <c r="C620" s="130"/>
      <c r="D620" s="130"/>
      <c r="E620" s="163"/>
      <c r="F620" s="163"/>
      <c r="G620" s="163"/>
      <c r="H620" s="130"/>
      <c r="I620" s="130"/>
      <c r="J620" s="130"/>
      <c r="K620" s="130"/>
      <c r="L620" s="163"/>
      <c r="M620" s="130"/>
      <c r="N620" s="130"/>
      <c r="O620" s="130"/>
      <c r="P620" s="130"/>
      <c r="Q620" s="130"/>
      <c r="R620" s="130"/>
      <c r="S620" s="130"/>
      <c r="T620" s="130"/>
      <c r="U620" s="130"/>
      <c r="V620" s="130"/>
      <c r="W620" s="130"/>
      <c r="X620" s="163"/>
      <c r="Y620" s="163"/>
      <c r="Z620" s="163"/>
      <c r="AA620" s="163"/>
      <c r="AB620" s="163"/>
      <c r="AC620" s="163"/>
      <c r="AD620" s="163"/>
      <c r="AE620" s="163"/>
      <c r="AF620" s="163"/>
      <c r="AG620" s="163"/>
      <c r="AH620" s="163"/>
      <c r="AI620" s="163"/>
      <c r="AJ620" s="163"/>
      <c r="AK620" s="163"/>
      <c r="AL620" s="163"/>
      <c r="AM620" s="163"/>
    </row>
    <row r="621" ht="13.5" customHeight="1">
      <c r="A621" s="130"/>
      <c r="B621" s="130"/>
      <c r="C621" s="130"/>
      <c r="D621" s="130"/>
      <c r="E621" s="163"/>
      <c r="F621" s="163"/>
      <c r="G621" s="163"/>
      <c r="H621" s="130"/>
      <c r="I621" s="130"/>
      <c r="J621" s="130"/>
      <c r="K621" s="130"/>
      <c r="L621" s="163"/>
      <c r="M621" s="130"/>
      <c r="N621" s="130"/>
      <c r="O621" s="130"/>
      <c r="P621" s="130"/>
      <c r="Q621" s="130"/>
      <c r="R621" s="130"/>
      <c r="S621" s="130"/>
      <c r="T621" s="130"/>
      <c r="U621" s="130"/>
      <c r="V621" s="130"/>
      <c r="W621" s="130"/>
      <c r="X621" s="163"/>
      <c r="Y621" s="163"/>
      <c r="Z621" s="163"/>
      <c r="AA621" s="163"/>
      <c r="AB621" s="163"/>
      <c r="AC621" s="163"/>
      <c r="AD621" s="163"/>
      <c r="AE621" s="163"/>
      <c r="AF621" s="163"/>
      <c r="AG621" s="163"/>
      <c r="AH621" s="163"/>
      <c r="AI621" s="163"/>
      <c r="AJ621" s="163"/>
      <c r="AK621" s="163"/>
      <c r="AL621" s="163"/>
      <c r="AM621" s="163"/>
    </row>
    <row r="622" ht="13.5" customHeight="1">
      <c r="A622" s="130"/>
      <c r="B622" s="130"/>
      <c r="C622" s="130"/>
      <c r="D622" s="130"/>
      <c r="E622" s="163"/>
      <c r="F622" s="163"/>
      <c r="G622" s="163"/>
      <c r="H622" s="130"/>
      <c r="I622" s="130"/>
      <c r="J622" s="130"/>
      <c r="K622" s="130"/>
      <c r="L622" s="163"/>
      <c r="M622" s="130"/>
      <c r="N622" s="130"/>
      <c r="O622" s="130"/>
      <c r="P622" s="130"/>
      <c r="Q622" s="130"/>
      <c r="R622" s="130"/>
      <c r="S622" s="130"/>
      <c r="T622" s="130"/>
      <c r="U622" s="130"/>
      <c r="V622" s="130"/>
      <c r="W622" s="130"/>
      <c r="X622" s="163"/>
      <c r="Y622" s="163"/>
      <c r="Z622" s="163"/>
      <c r="AA622" s="163"/>
      <c r="AB622" s="163"/>
      <c r="AC622" s="163"/>
      <c r="AD622" s="163"/>
      <c r="AE622" s="163"/>
      <c r="AF622" s="163"/>
      <c r="AG622" s="163"/>
      <c r="AH622" s="163"/>
      <c r="AI622" s="163"/>
      <c r="AJ622" s="163"/>
      <c r="AK622" s="163"/>
      <c r="AL622" s="163"/>
      <c r="AM622" s="163"/>
    </row>
    <row r="623" ht="13.5" customHeight="1">
      <c r="A623" s="130"/>
      <c r="B623" s="130"/>
      <c r="C623" s="130"/>
      <c r="D623" s="130"/>
      <c r="E623" s="163"/>
      <c r="F623" s="163"/>
      <c r="G623" s="163"/>
      <c r="H623" s="130"/>
      <c r="I623" s="130"/>
      <c r="J623" s="130"/>
      <c r="K623" s="130"/>
      <c r="L623" s="163"/>
      <c r="M623" s="130"/>
      <c r="N623" s="130"/>
      <c r="O623" s="130"/>
      <c r="P623" s="130"/>
      <c r="Q623" s="130"/>
      <c r="R623" s="130"/>
      <c r="S623" s="130"/>
      <c r="T623" s="130"/>
      <c r="U623" s="130"/>
      <c r="V623" s="130"/>
      <c r="W623" s="130"/>
      <c r="X623" s="163"/>
      <c r="Y623" s="163"/>
      <c r="Z623" s="163"/>
      <c r="AA623" s="163"/>
      <c r="AB623" s="163"/>
      <c r="AC623" s="163"/>
      <c r="AD623" s="163"/>
      <c r="AE623" s="163"/>
      <c r="AF623" s="163"/>
      <c r="AG623" s="163"/>
      <c r="AH623" s="163"/>
      <c r="AI623" s="163"/>
      <c r="AJ623" s="163"/>
      <c r="AK623" s="163"/>
      <c r="AL623" s="163"/>
      <c r="AM623" s="163"/>
    </row>
    <row r="624" ht="13.5" customHeight="1">
      <c r="A624" s="130"/>
      <c r="B624" s="130"/>
      <c r="C624" s="130"/>
      <c r="D624" s="130"/>
      <c r="E624" s="163"/>
      <c r="F624" s="163"/>
      <c r="G624" s="163"/>
      <c r="H624" s="130"/>
      <c r="I624" s="130"/>
      <c r="J624" s="130"/>
      <c r="K624" s="130"/>
      <c r="L624" s="163"/>
      <c r="M624" s="130"/>
      <c r="N624" s="130"/>
      <c r="O624" s="130"/>
      <c r="P624" s="130"/>
      <c r="Q624" s="130"/>
      <c r="R624" s="130"/>
      <c r="S624" s="130"/>
      <c r="T624" s="130"/>
      <c r="U624" s="130"/>
      <c r="V624" s="130"/>
      <c r="W624" s="130"/>
      <c r="X624" s="163"/>
      <c r="Y624" s="163"/>
      <c r="Z624" s="163"/>
      <c r="AA624" s="163"/>
      <c r="AB624" s="163"/>
      <c r="AC624" s="163"/>
      <c r="AD624" s="163"/>
      <c r="AE624" s="163"/>
      <c r="AF624" s="163"/>
      <c r="AG624" s="163"/>
      <c r="AH624" s="163"/>
      <c r="AI624" s="163"/>
      <c r="AJ624" s="163"/>
      <c r="AK624" s="163"/>
      <c r="AL624" s="163"/>
      <c r="AM624" s="163"/>
    </row>
    <row r="625" ht="13.5" customHeight="1">
      <c r="A625" s="130"/>
      <c r="B625" s="130"/>
      <c r="C625" s="130"/>
      <c r="D625" s="130"/>
      <c r="E625" s="163"/>
      <c r="F625" s="163"/>
      <c r="G625" s="163"/>
      <c r="H625" s="130"/>
      <c r="I625" s="130"/>
      <c r="J625" s="130"/>
      <c r="K625" s="130"/>
      <c r="L625" s="163"/>
      <c r="M625" s="130"/>
      <c r="N625" s="130"/>
      <c r="O625" s="130"/>
      <c r="P625" s="130"/>
      <c r="Q625" s="130"/>
      <c r="R625" s="130"/>
      <c r="S625" s="130"/>
      <c r="T625" s="130"/>
      <c r="U625" s="130"/>
      <c r="V625" s="130"/>
      <c r="W625" s="130"/>
      <c r="X625" s="163"/>
      <c r="Y625" s="163"/>
      <c r="Z625" s="163"/>
      <c r="AA625" s="163"/>
      <c r="AB625" s="163"/>
      <c r="AC625" s="163"/>
      <c r="AD625" s="163"/>
      <c r="AE625" s="163"/>
      <c r="AF625" s="163"/>
      <c r="AG625" s="163"/>
      <c r="AH625" s="163"/>
      <c r="AI625" s="163"/>
      <c r="AJ625" s="163"/>
      <c r="AK625" s="163"/>
      <c r="AL625" s="163"/>
      <c r="AM625" s="163"/>
    </row>
    <row r="626" ht="13.5" customHeight="1">
      <c r="A626" s="130"/>
      <c r="B626" s="130"/>
      <c r="C626" s="130"/>
      <c r="D626" s="130"/>
      <c r="E626" s="163"/>
      <c r="F626" s="163"/>
      <c r="G626" s="163"/>
      <c r="H626" s="130"/>
      <c r="I626" s="130"/>
      <c r="J626" s="130"/>
      <c r="K626" s="130"/>
      <c r="L626" s="163"/>
      <c r="M626" s="130"/>
      <c r="N626" s="130"/>
      <c r="O626" s="130"/>
      <c r="P626" s="130"/>
      <c r="Q626" s="130"/>
      <c r="R626" s="130"/>
      <c r="S626" s="130"/>
      <c r="T626" s="130"/>
      <c r="U626" s="130"/>
      <c r="V626" s="130"/>
      <c r="W626" s="130"/>
      <c r="X626" s="163"/>
      <c r="Y626" s="163"/>
      <c r="Z626" s="163"/>
      <c r="AA626" s="163"/>
      <c r="AB626" s="163"/>
      <c r="AC626" s="163"/>
      <c r="AD626" s="163"/>
      <c r="AE626" s="163"/>
      <c r="AF626" s="163"/>
      <c r="AG626" s="163"/>
      <c r="AH626" s="163"/>
      <c r="AI626" s="163"/>
      <c r="AJ626" s="163"/>
      <c r="AK626" s="163"/>
      <c r="AL626" s="163"/>
      <c r="AM626" s="163"/>
    </row>
    <row r="627" ht="13.5" customHeight="1">
      <c r="A627" s="130"/>
      <c r="B627" s="130"/>
      <c r="C627" s="130"/>
      <c r="D627" s="130"/>
      <c r="E627" s="163"/>
      <c r="F627" s="163"/>
      <c r="G627" s="163"/>
      <c r="H627" s="130"/>
      <c r="I627" s="130"/>
      <c r="J627" s="130"/>
      <c r="K627" s="130"/>
      <c r="L627" s="163"/>
      <c r="M627" s="130"/>
      <c r="N627" s="130"/>
      <c r="O627" s="130"/>
      <c r="P627" s="130"/>
      <c r="Q627" s="130"/>
      <c r="R627" s="130"/>
      <c r="S627" s="130"/>
      <c r="T627" s="130"/>
      <c r="U627" s="130"/>
      <c r="V627" s="130"/>
      <c r="W627" s="130"/>
      <c r="X627" s="163"/>
      <c r="Y627" s="163"/>
      <c r="Z627" s="163"/>
      <c r="AA627" s="163"/>
      <c r="AB627" s="163"/>
      <c r="AC627" s="163"/>
      <c r="AD627" s="163"/>
      <c r="AE627" s="163"/>
      <c r="AF627" s="163"/>
      <c r="AG627" s="163"/>
      <c r="AH627" s="163"/>
      <c r="AI627" s="163"/>
      <c r="AJ627" s="163"/>
      <c r="AK627" s="163"/>
      <c r="AL627" s="163"/>
      <c r="AM627" s="163"/>
    </row>
    <row r="628" ht="13.5" customHeight="1">
      <c r="A628" s="130"/>
      <c r="B628" s="130"/>
      <c r="C628" s="130"/>
      <c r="D628" s="130"/>
      <c r="E628" s="163"/>
      <c r="F628" s="163"/>
      <c r="G628" s="163"/>
      <c r="H628" s="130"/>
      <c r="I628" s="130"/>
      <c r="J628" s="130"/>
      <c r="K628" s="130"/>
      <c r="L628" s="163"/>
      <c r="M628" s="130"/>
      <c r="N628" s="130"/>
      <c r="O628" s="130"/>
      <c r="P628" s="130"/>
      <c r="Q628" s="130"/>
      <c r="R628" s="130"/>
      <c r="S628" s="130"/>
      <c r="T628" s="130"/>
      <c r="U628" s="130"/>
      <c r="V628" s="130"/>
      <c r="W628" s="130"/>
      <c r="X628" s="163"/>
      <c r="Y628" s="163"/>
      <c r="Z628" s="163"/>
      <c r="AA628" s="163"/>
      <c r="AB628" s="163"/>
      <c r="AC628" s="163"/>
      <c r="AD628" s="163"/>
      <c r="AE628" s="163"/>
      <c r="AF628" s="163"/>
      <c r="AG628" s="163"/>
      <c r="AH628" s="163"/>
      <c r="AI628" s="163"/>
      <c r="AJ628" s="163"/>
      <c r="AK628" s="163"/>
      <c r="AL628" s="163"/>
      <c r="AM628" s="163"/>
    </row>
    <row r="629" ht="13.5" customHeight="1">
      <c r="A629" s="130"/>
      <c r="B629" s="130"/>
      <c r="C629" s="130"/>
      <c r="D629" s="130"/>
      <c r="E629" s="163"/>
      <c r="F629" s="163"/>
      <c r="G629" s="163"/>
      <c r="H629" s="130"/>
      <c r="I629" s="130"/>
      <c r="J629" s="130"/>
      <c r="K629" s="130"/>
      <c r="L629" s="163"/>
      <c r="M629" s="130"/>
      <c r="N629" s="130"/>
      <c r="O629" s="130"/>
      <c r="P629" s="130"/>
      <c r="Q629" s="130"/>
      <c r="R629" s="130"/>
      <c r="S629" s="130"/>
      <c r="T629" s="130"/>
      <c r="U629" s="130"/>
      <c r="V629" s="130"/>
      <c r="W629" s="130"/>
      <c r="X629" s="163"/>
      <c r="Y629" s="163"/>
      <c r="Z629" s="163"/>
      <c r="AA629" s="163"/>
      <c r="AB629" s="163"/>
      <c r="AC629" s="163"/>
      <c r="AD629" s="163"/>
      <c r="AE629" s="163"/>
      <c r="AF629" s="163"/>
      <c r="AG629" s="163"/>
      <c r="AH629" s="163"/>
      <c r="AI629" s="163"/>
      <c r="AJ629" s="163"/>
      <c r="AK629" s="163"/>
      <c r="AL629" s="163"/>
      <c r="AM629" s="163"/>
    </row>
    <row r="630" ht="13.5" customHeight="1">
      <c r="A630" s="130"/>
      <c r="B630" s="130"/>
      <c r="C630" s="130"/>
      <c r="D630" s="130"/>
      <c r="E630" s="163"/>
      <c r="F630" s="163"/>
      <c r="G630" s="163"/>
      <c r="H630" s="130"/>
      <c r="I630" s="130"/>
      <c r="J630" s="130"/>
      <c r="K630" s="130"/>
      <c r="L630" s="163"/>
      <c r="M630" s="130"/>
      <c r="N630" s="130"/>
      <c r="O630" s="130"/>
      <c r="P630" s="130"/>
      <c r="Q630" s="130"/>
      <c r="R630" s="130"/>
      <c r="S630" s="130"/>
      <c r="T630" s="130"/>
      <c r="U630" s="130"/>
      <c r="V630" s="130"/>
      <c r="W630" s="130"/>
      <c r="X630" s="163"/>
      <c r="Y630" s="163"/>
      <c r="Z630" s="163"/>
      <c r="AA630" s="163"/>
      <c r="AB630" s="163"/>
      <c r="AC630" s="163"/>
      <c r="AD630" s="163"/>
      <c r="AE630" s="163"/>
      <c r="AF630" s="163"/>
      <c r="AG630" s="163"/>
      <c r="AH630" s="163"/>
      <c r="AI630" s="163"/>
      <c r="AJ630" s="163"/>
      <c r="AK630" s="163"/>
      <c r="AL630" s="163"/>
      <c r="AM630" s="163"/>
    </row>
    <row r="631" ht="13.5" customHeight="1">
      <c r="A631" s="130"/>
      <c r="B631" s="130"/>
      <c r="C631" s="130"/>
      <c r="D631" s="130"/>
      <c r="E631" s="163"/>
      <c r="F631" s="163"/>
      <c r="G631" s="163"/>
      <c r="H631" s="130"/>
      <c r="I631" s="130"/>
      <c r="J631" s="130"/>
      <c r="K631" s="130"/>
      <c r="L631" s="163"/>
      <c r="M631" s="130"/>
      <c r="N631" s="130"/>
      <c r="O631" s="130"/>
      <c r="P631" s="130"/>
      <c r="Q631" s="130"/>
      <c r="R631" s="130"/>
      <c r="S631" s="130"/>
      <c r="T631" s="130"/>
      <c r="U631" s="130"/>
      <c r="V631" s="130"/>
      <c r="W631" s="130"/>
      <c r="X631" s="163"/>
      <c r="Y631" s="163"/>
      <c r="Z631" s="163"/>
      <c r="AA631" s="163"/>
      <c r="AB631" s="163"/>
      <c r="AC631" s="163"/>
      <c r="AD631" s="163"/>
      <c r="AE631" s="163"/>
      <c r="AF631" s="163"/>
      <c r="AG631" s="163"/>
      <c r="AH631" s="163"/>
      <c r="AI631" s="163"/>
      <c r="AJ631" s="163"/>
      <c r="AK631" s="163"/>
      <c r="AL631" s="163"/>
      <c r="AM631" s="163"/>
    </row>
    <row r="632" ht="13.5" customHeight="1">
      <c r="A632" s="130"/>
      <c r="B632" s="130"/>
      <c r="C632" s="130"/>
      <c r="D632" s="130"/>
      <c r="E632" s="163"/>
      <c r="F632" s="163"/>
      <c r="G632" s="163"/>
      <c r="H632" s="130"/>
      <c r="I632" s="130"/>
      <c r="J632" s="130"/>
      <c r="K632" s="130"/>
      <c r="L632" s="163"/>
      <c r="M632" s="130"/>
      <c r="N632" s="130"/>
      <c r="O632" s="130"/>
      <c r="P632" s="130"/>
      <c r="Q632" s="130"/>
      <c r="R632" s="130"/>
      <c r="S632" s="130"/>
      <c r="T632" s="130"/>
      <c r="U632" s="130"/>
      <c r="V632" s="130"/>
      <c r="W632" s="130"/>
      <c r="X632" s="163"/>
      <c r="Y632" s="163"/>
      <c r="Z632" s="163"/>
      <c r="AA632" s="163"/>
      <c r="AB632" s="163"/>
      <c r="AC632" s="163"/>
      <c r="AD632" s="163"/>
      <c r="AE632" s="163"/>
      <c r="AF632" s="163"/>
      <c r="AG632" s="163"/>
      <c r="AH632" s="163"/>
      <c r="AI632" s="163"/>
      <c r="AJ632" s="163"/>
      <c r="AK632" s="163"/>
      <c r="AL632" s="163"/>
      <c r="AM632" s="163"/>
    </row>
    <row r="633" ht="13.5" customHeight="1">
      <c r="A633" s="130"/>
      <c r="B633" s="130"/>
      <c r="C633" s="130"/>
      <c r="D633" s="130"/>
      <c r="E633" s="163"/>
      <c r="F633" s="163"/>
      <c r="G633" s="163"/>
      <c r="H633" s="130"/>
      <c r="I633" s="130"/>
      <c r="J633" s="130"/>
      <c r="K633" s="130"/>
      <c r="L633" s="163"/>
      <c r="M633" s="130"/>
      <c r="N633" s="130"/>
      <c r="O633" s="130"/>
      <c r="P633" s="130"/>
      <c r="Q633" s="130"/>
      <c r="R633" s="130"/>
      <c r="S633" s="130"/>
      <c r="T633" s="130"/>
      <c r="U633" s="130"/>
      <c r="V633" s="130"/>
      <c r="W633" s="130"/>
      <c r="X633" s="163"/>
      <c r="Y633" s="163"/>
      <c r="Z633" s="163"/>
      <c r="AA633" s="163"/>
      <c r="AB633" s="163"/>
      <c r="AC633" s="163"/>
      <c r="AD633" s="163"/>
      <c r="AE633" s="163"/>
      <c r="AF633" s="163"/>
      <c r="AG633" s="163"/>
      <c r="AH633" s="163"/>
      <c r="AI633" s="163"/>
      <c r="AJ633" s="163"/>
      <c r="AK633" s="163"/>
      <c r="AL633" s="163"/>
      <c r="AM633" s="163"/>
    </row>
    <row r="634" ht="13.5" customHeight="1">
      <c r="A634" s="130"/>
      <c r="B634" s="130"/>
      <c r="C634" s="130"/>
      <c r="D634" s="130"/>
      <c r="E634" s="163"/>
      <c r="F634" s="163"/>
      <c r="G634" s="163"/>
      <c r="H634" s="130"/>
      <c r="I634" s="130"/>
      <c r="J634" s="130"/>
      <c r="K634" s="130"/>
      <c r="L634" s="163"/>
      <c r="M634" s="130"/>
      <c r="N634" s="130"/>
      <c r="O634" s="130"/>
      <c r="P634" s="130"/>
      <c r="Q634" s="130"/>
      <c r="R634" s="130"/>
      <c r="S634" s="130"/>
      <c r="T634" s="130"/>
      <c r="U634" s="130"/>
      <c r="V634" s="130"/>
      <c r="W634" s="130"/>
      <c r="X634" s="163"/>
      <c r="Y634" s="163"/>
      <c r="Z634" s="163"/>
      <c r="AA634" s="163"/>
      <c r="AB634" s="163"/>
      <c r="AC634" s="163"/>
      <c r="AD634" s="163"/>
      <c r="AE634" s="163"/>
      <c r="AF634" s="163"/>
      <c r="AG634" s="163"/>
      <c r="AH634" s="163"/>
      <c r="AI634" s="163"/>
      <c r="AJ634" s="163"/>
      <c r="AK634" s="163"/>
      <c r="AL634" s="163"/>
      <c r="AM634" s="163"/>
    </row>
    <row r="635" ht="13.5" customHeight="1">
      <c r="A635" s="130"/>
      <c r="B635" s="130"/>
      <c r="C635" s="130"/>
      <c r="D635" s="130"/>
      <c r="E635" s="163"/>
      <c r="F635" s="163"/>
      <c r="G635" s="163"/>
      <c r="H635" s="130"/>
      <c r="I635" s="130"/>
      <c r="J635" s="130"/>
      <c r="K635" s="130"/>
      <c r="L635" s="163"/>
      <c r="M635" s="130"/>
      <c r="N635" s="130"/>
      <c r="O635" s="130"/>
      <c r="P635" s="130"/>
      <c r="Q635" s="130"/>
      <c r="R635" s="130"/>
      <c r="S635" s="130"/>
      <c r="T635" s="130"/>
      <c r="U635" s="130"/>
      <c r="V635" s="130"/>
      <c r="W635" s="130"/>
      <c r="X635" s="163"/>
      <c r="Y635" s="163"/>
      <c r="Z635" s="163"/>
      <c r="AA635" s="163"/>
      <c r="AB635" s="163"/>
      <c r="AC635" s="163"/>
      <c r="AD635" s="163"/>
      <c r="AE635" s="163"/>
      <c r="AF635" s="163"/>
      <c r="AG635" s="163"/>
      <c r="AH635" s="163"/>
      <c r="AI635" s="163"/>
      <c r="AJ635" s="163"/>
      <c r="AK635" s="163"/>
      <c r="AL635" s="163"/>
      <c r="AM635" s="163"/>
    </row>
    <row r="636" ht="13.5" customHeight="1">
      <c r="A636" s="130"/>
      <c r="B636" s="130"/>
      <c r="C636" s="130"/>
      <c r="D636" s="130"/>
      <c r="E636" s="163"/>
      <c r="F636" s="163"/>
      <c r="G636" s="163"/>
      <c r="H636" s="130"/>
      <c r="I636" s="130"/>
      <c r="J636" s="130"/>
      <c r="K636" s="130"/>
      <c r="L636" s="163"/>
      <c r="M636" s="130"/>
      <c r="N636" s="130"/>
      <c r="O636" s="130"/>
      <c r="P636" s="130"/>
      <c r="Q636" s="130"/>
      <c r="R636" s="130"/>
      <c r="S636" s="130"/>
      <c r="T636" s="130"/>
      <c r="U636" s="130"/>
      <c r="V636" s="130"/>
      <c r="W636" s="130"/>
      <c r="X636" s="163"/>
      <c r="Y636" s="163"/>
      <c r="Z636" s="163"/>
      <c r="AA636" s="163"/>
      <c r="AB636" s="163"/>
      <c r="AC636" s="163"/>
      <c r="AD636" s="163"/>
      <c r="AE636" s="163"/>
      <c r="AF636" s="163"/>
      <c r="AG636" s="163"/>
      <c r="AH636" s="163"/>
      <c r="AI636" s="163"/>
      <c r="AJ636" s="163"/>
      <c r="AK636" s="163"/>
      <c r="AL636" s="163"/>
      <c r="AM636" s="163"/>
    </row>
    <row r="637" ht="13.5" customHeight="1">
      <c r="A637" s="130"/>
      <c r="B637" s="130"/>
      <c r="C637" s="130"/>
      <c r="D637" s="130"/>
      <c r="E637" s="163"/>
      <c r="F637" s="163"/>
      <c r="G637" s="163"/>
      <c r="H637" s="130"/>
      <c r="I637" s="130"/>
      <c r="J637" s="130"/>
      <c r="K637" s="130"/>
      <c r="L637" s="163"/>
      <c r="M637" s="130"/>
      <c r="N637" s="130"/>
      <c r="O637" s="130"/>
      <c r="P637" s="130"/>
      <c r="Q637" s="130"/>
      <c r="R637" s="130"/>
      <c r="S637" s="130"/>
      <c r="T637" s="130"/>
      <c r="U637" s="130"/>
      <c r="V637" s="130"/>
      <c r="W637" s="130"/>
      <c r="X637" s="163"/>
      <c r="Y637" s="163"/>
      <c r="Z637" s="163"/>
      <c r="AA637" s="163"/>
      <c r="AB637" s="163"/>
      <c r="AC637" s="163"/>
      <c r="AD637" s="163"/>
      <c r="AE637" s="163"/>
      <c r="AF637" s="163"/>
      <c r="AG637" s="163"/>
      <c r="AH637" s="163"/>
      <c r="AI637" s="163"/>
      <c r="AJ637" s="163"/>
      <c r="AK637" s="163"/>
      <c r="AL637" s="163"/>
      <c r="AM637" s="163"/>
    </row>
    <row r="638" ht="13.5" customHeight="1">
      <c r="A638" s="130"/>
      <c r="B638" s="130"/>
      <c r="C638" s="130"/>
      <c r="D638" s="130"/>
      <c r="E638" s="163"/>
      <c r="F638" s="163"/>
      <c r="G638" s="163"/>
      <c r="H638" s="130"/>
      <c r="I638" s="130"/>
      <c r="J638" s="130"/>
      <c r="K638" s="130"/>
      <c r="L638" s="163"/>
      <c r="M638" s="130"/>
      <c r="N638" s="130"/>
      <c r="O638" s="130"/>
      <c r="P638" s="130"/>
      <c r="Q638" s="130"/>
      <c r="R638" s="130"/>
      <c r="S638" s="130"/>
      <c r="T638" s="130"/>
      <c r="U638" s="130"/>
      <c r="V638" s="130"/>
      <c r="W638" s="130"/>
      <c r="X638" s="163"/>
      <c r="Y638" s="163"/>
      <c r="Z638" s="163"/>
      <c r="AA638" s="163"/>
      <c r="AB638" s="163"/>
      <c r="AC638" s="163"/>
      <c r="AD638" s="163"/>
      <c r="AE638" s="163"/>
      <c r="AF638" s="163"/>
      <c r="AG638" s="163"/>
      <c r="AH638" s="163"/>
      <c r="AI638" s="163"/>
      <c r="AJ638" s="163"/>
      <c r="AK638" s="163"/>
      <c r="AL638" s="163"/>
      <c r="AM638" s="163"/>
    </row>
    <row r="639" ht="13.5" customHeight="1">
      <c r="A639" s="130"/>
      <c r="B639" s="130"/>
      <c r="C639" s="130"/>
      <c r="D639" s="130"/>
      <c r="E639" s="163"/>
      <c r="F639" s="163"/>
      <c r="G639" s="163"/>
      <c r="H639" s="130"/>
      <c r="I639" s="130"/>
      <c r="J639" s="130"/>
      <c r="K639" s="130"/>
      <c r="L639" s="163"/>
      <c r="M639" s="130"/>
      <c r="N639" s="130"/>
      <c r="O639" s="130"/>
      <c r="P639" s="130"/>
      <c r="Q639" s="130"/>
      <c r="R639" s="130"/>
      <c r="S639" s="130"/>
      <c r="T639" s="130"/>
      <c r="U639" s="130"/>
      <c r="V639" s="130"/>
      <c r="W639" s="130"/>
      <c r="X639" s="163"/>
      <c r="Y639" s="163"/>
      <c r="Z639" s="163"/>
      <c r="AA639" s="163"/>
      <c r="AB639" s="163"/>
      <c r="AC639" s="163"/>
      <c r="AD639" s="163"/>
      <c r="AE639" s="163"/>
      <c r="AF639" s="163"/>
      <c r="AG639" s="163"/>
      <c r="AH639" s="163"/>
      <c r="AI639" s="163"/>
      <c r="AJ639" s="163"/>
      <c r="AK639" s="163"/>
      <c r="AL639" s="163"/>
      <c r="AM639" s="163"/>
    </row>
    <row r="640" ht="13.5" customHeight="1">
      <c r="A640" s="130"/>
      <c r="B640" s="130"/>
      <c r="C640" s="130"/>
      <c r="D640" s="130"/>
      <c r="E640" s="163"/>
      <c r="F640" s="163"/>
      <c r="G640" s="163"/>
      <c r="H640" s="130"/>
      <c r="I640" s="130"/>
      <c r="J640" s="130"/>
      <c r="K640" s="130"/>
      <c r="L640" s="163"/>
      <c r="M640" s="130"/>
      <c r="N640" s="130"/>
      <c r="O640" s="130"/>
      <c r="P640" s="130"/>
      <c r="Q640" s="130"/>
      <c r="R640" s="130"/>
      <c r="S640" s="130"/>
      <c r="T640" s="130"/>
      <c r="U640" s="130"/>
      <c r="V640" s="130"/>
      <c r="W640" s="130"/>
      <c r="X640" s="163"/>
      <c r="Y640" s="163"/>
      <c r="Z640" s="163"/>
      <c r="AA640" s="163"/>
      <c r="AB640" s="163"/>
      <c r="AC640" s="163"/>
      <c r="AD640" s="163"/>
      <c r="AE640" s="163"/>
      <c r="AF640" s="163"/>
      <c r="AG640" s="163"/>
      <c r="AH640" s="163"/>
      <c r="AI640" s="163"/>
      <c r="AJ640" s="163"/>
      <c r="AK640" s="163"/>
      <c r="AL640" s="163"/>
      <c r="AM640" s="163"/>
    </row>
    <row r="641" ht="13.5" customHeight="1">
      <c r="A641" s="130"/>
      <c r="B641" s="130"/>
      <c r="C641" s="130"/>
      <c r="D641" s="130"/>
      <c r="E641" s="163"/>
      <c r="F641" s="163"/>
      <c r="G641" s="163"/>
      <c r="H641" s="130"/>
      <c r="I641" s="130"/>
      <c r="J641" s="130"/>
      <c r="K641" s="130"/>
      <c r="L641" s="163"/>
      <c r="M641" s="130"/>
      <c r="N641" s="130"/>
      <c r="O641" s="130"/>
      <c r="P641" s="130"/>
      <c r="Q641" s="130"/>
      <c r="R641" s="130"/>
      <c r="S641" s="130"/>
      <c r="T641" s="130"/>
      <c r="U641" s="130"/>
      <c r="V641" s="130"/>
      <c r="W641" s="130"/>
      <c r="X641" s="163"/>
      <c r="Y641" s="163"/>
      <c r="Z641" s="163"/>
      <c r="AA641" s="163"/>
      <c r="AB641" s="163"/>
      <c r="AC641" s="163"/>
      <c r="AD641" s="163"/>
      <c r="AE641" s="163"/>
      <c r="AF641" s="163"/>
      <c r="AG641" s="163"/>
      <c r="AH641" s="163"/>
      <c r="AI641" s="163"/>
      <c r="AJ641" s="163"/>
      <c r="AK641" s="163"/>
      <c r="AL641" s="163"/>
      <c r="AM641" s="163"/>
    </row>
    <row r="642" ht="13.5" customHeight="1">
      <c r="A642" s="130"/>
      <c r="B642" s="130"/>
      <c r="C642" s="130"/>
      <c r="D642" s="130"/>
      <c r="E642" s="163"/>
      <c r="F642" s="163"/>
      <c r="G642" s="163"/>
      <c r="H642" s="130"/>
      <c r="I642" s="130"/>
      <c r="J642" s="130"/>
      <c r="K642" s="130"/>
      <c r="L642" s="163"/>
      <c r="M642" s="130"/>
      <c r="N642" s="130"/>
      <c r="O642" s="130"/>
      <c r="P642" s="130"/>
      <c r="Q642" s="130"/>
      <c r="R642" s="130"/>
      <c r="S642" s="130"/>
      <c r="T642" s="130"/>
      <c r="U642" s="130"/>
      <c r="V642" s="130"/>
      <c r="W642" s="130"/>
      <c r="X642" s="163"/>
      <c r="Y642" s="163"/>
      <c r="Z642" s="163"/>
      <c r="AA642" s="163"/>
      <c r="AB642" s="163"/>
      <c r="AC642" s="163"/>
      <c r="AD642" s="163"/>
      <c r="AE642" s="163"/>
      <c r="AF642" s="163"/>
      <c r="AG642" s="163"/>
      <c r="AH642" s="163"/>
      <c r="AI642" s="163"/>
      <c r="AJ642" s="163"/>
      <c r="AK642" s="163"/>
      <c r="AL642" s="163"/>
      <c r="AM642" s="163"/>
    </row>
    <row r="643" ht="13.5" customHeight="1">
      <c r="A643" s="130"/>
      <c r="B643" s="130"/>
      <c r="C643" s="130"/>
      <c r="D643" s="130"/>
      <c r="E643" s="163"/>
      <c r="F643" s="163"/>
      <c r="G643" s="163"/>
      <c r="H643" s="130"/>
      <c r="I643" s="130"/>
      <c r="J643" s="130"/>
      <c r="K643" s="130"/>
      <c r="L643" s="163"/>
      <c r="M643" s="130"/>
      <c r="N643" s="130"/>
      <c r="O643" s="130"/>
      <c r="P643" s="130"/>
      <c r="Q643" s="130"/>
      <c r="R643" s="130"/>
      <c r="S643" s="130"/>
      <c r="T643" s="130"/>
      <c r="U643" s="130"/>
      <c r="V643" s="130"/>
      <c r="W643" s="130"/>
      <c r="X643" s="163"/>
      <c r="Y643" s="163"/>
      <c r="Z643" s="163"/>
      <c r="AA643" s="163"/>
      <c r="AB643" s="163"/>
      <c r="AC643" s="163"/>
      <c r="AD643" s="163"/>
      <c r="AE643" s="163"/>
      <c r="AF643" s="163"/>
      <c r="AG643" s="163"/>
      <c r="AH643" s="163"/>
      <c r="AI643" s="163"/>
      <c r="AJ643" s="163"/>
      <c r="AK643" s="163"/>
      <c r="AL643" s="163"/>
      <c r="AM643" s="163"/>
    </row>
    <row r="644" ht="13.5" customHeight="1">
      <c r="A644" s="130"/>
      <c r="B644" s="130"/>
      <c r="C644" s="130"/>
      <c r="D644" s="130"/>
      <c r="E644" s="163"/>
      <c r="F644" s="163"/>
      <c r="G644" s="163"/>
      <c r="H644" s="130"/>
      <c r="I644" s="130"/>
      <c r="J644" s="130"/>
      <c r="K644" s="130"/>
      <c r="L644" s="163"/>
      <c r="M644" s="130"/>
      <c r="N644" s="130"/>
      <c r="O644" s="130"/>
      <c r="P644" s="130"/>
      <c r="Q644" s="130"/>
      <c r="R644" s="130"/>
      <c r="S644" s="130"/>
      <c r="T644" s="130"/>
      <c r="U644" s="130"/>
      <c r="V644" s="130"/>
      <c r="W644" s="130"/>
      <c r="X644" s="163"/>
      <c r="Y644" s="163"/>
      <c r="Z644" s="163"/>
      <c r="AA644" s="163"/>
      <c r="AB644" s="163"/>
      <c r="AC644" s="163"/>
      <c r="AD644" s="163"/>
      <c r="AE644" s="163"/>
      <c r="AF644" s="163"/>
      <c r="AG644" s="163"/>
      <c r="AH644" s="163"/>
      <c r="AI644" s="163"/>
      <c r="AJ644" s="163"/>
      <c r="AK644" s="163"/>
      <c r="AL644" s="163"/>
      <c r="AM644" s="163"/>
    </row>
    <row r="645" ht="13.5" customHeight="1">
      <c r="A645" s="130"/>
      <c r="B645" s="130"/>
      <c r="C645" s="130"/>
      <c r="D645" s="130"/>
      <c r="E645" s="163"/>
      <c r="F645" s="163"/>
      <c r="G645" s="163"/>
      <c r="H645" s="130"/>
      <c r="I645" s="130"/>
      <c r="J645" s="130"/>
      <c r="K645" s="130"/>
      <c r="L645" s="163"/>
      <c r="M645" s="130"/>
      <c r="N645" s="130"/>
      <c r="O645" s="130"/>
      <c r="P645" s="130"/>
      <c r="Q645" s="130"/>
      <c r="R645" s="130"/>
      <c r="S645" s="130"/>
      <c r="T645" s="130"/>
      <c r="U645" s="130"/>
      <c r="V645" s="130"/>
      <c r="W645" s="130"/>
      <c r="X645" s="163"/>
      <c r="Y645" s="163"/>
      <c r="Z645" s="163"/>
      <c r="AA645" s="163"/>
      <c r="AB645" s="163"/>
      <c r="AC645" s="163"/>
      <c r="AD645" s="163"/>
      <c r="AE645" s="163"/>
      <c r="AF645" s="163"/>
      <c r="AG645" s="163"/>
      <c r="AH645" s="163"/>
      <c r="AI645" s="163"/>
      <c r="AJ645" s="163"/>
      <c r="AK645" s="163"/>
      <c r="AL645" s="163"/>
      <c r="AM645" s="163"/>
    </row>
    <row r="646" ht="13.5" customHeight="1">
      <c r="A646" s="130"/>
      <c r="B646" s="130"/>
      <c r="C646" s="130"/>
      <c r="D646" s="130"/>
      <c r="E646" s="163"/>
      <c r="F646" s="163"/>
      <c r="G646" s="163"/>
      <c r="H646" s="130"/>
      <c r="I646" s="130"/>
      <c r="J646" s="130"/>
      <c r="K646" s="130"/>
      <c r="L646" s="163"/>
      <c r="M646" s="130"/>
      <c r="N646" s="130"/>
      <c r="O646" s="130"/>
      <c r="P646" s="130"/>
      <c r="Q646" s="130"/>
      <c r="R646" s="130"/>
      <c r="S646" s="130"/>
      <c r="T646" s="130"/>
      <c r="U646" s="130"/>
      <c r="V646" s="130"/>
      <c r="W646" s="130"/>
      <c r="X646" s="163"/>
      <c r="Y646" s="163"/>
      <c r="Z646" s="163"/>
      <c r="AA646" s="163"/>
      <c r="AB646" s="163"/>
      <c r="AC646" s="163"/>
      <c r="AD646" s="163"/>
      <c r="AE646" s="163"/>
      <c r="AF646" s="163"/>
      <c r="AG646" s="163"/>
      <c r="AH646" s="163"/>
      <c r="AI646" s="163"/>
      <c r="AJ646" s="163"/>
      <c r="AK646" s="163"/>
      <c r="AL646" s="163"/>
      <c r="AM646" s="163"/>
    </row>
    <row r="647" ht="13.5" customHeight="1">
      <c r="A647" s="130"/>
      <c r="B647" s="130"/>
      <c r="C647" s="130"/>
      <c r="D647" s="130"/>
      <c r="E647" s="163"/>
      <c r="F647" s="163"/>
      <c r="G647" s="163"/>
      <c r="H647" s="130"/>
      <c r="I647" s="130"/>
      <c r="J647" s="130"/>
      <c r="K647" s="130"/>
      <c r="L647" s="163"/>
      <c r="M647" s="130"/>
      <c r="N647" s="130"/>
      <c r="O647" s="130"/>
      <c r="P647" s="130"/>
      <c r="Q647" s="130"/>
      <c r="R647" s="130"/>
      <c r="S647" s="130"/>
      <c r="T647" s="130"/>
      <c r="U647" s="130"/>
      <c r="V647" s="130"/>
      <c r="W647" s="130"/>
      <c r="X647" s="163"/>
      <c r="Y647" s="163"/>
      <c r="Z647" s="163"/>
      <c r="AA647" s="163"/>
      <c r="AB647" s="163"/>
      <c r="AC647" s="163"/>
      <c r="AD647" s="163"/>
      <c r="AE647" s="163"/>
      <c r="AF647" s="163"/>
      <c r="AG647" s="163"/>
      <c r="AH647" s="163"/>
      <c r="AI647" s="163"/>
      <c r="AJ647" s="163"/>
      <c r="AK647" s="163"/>
      <c r="AL647" s="163"/>
      <c r="AM647" s="163"/>
    </row>
    <row r="648" ht="13.5" customHeight="1">
      <c r="A648" s="130"/>
      <c r="B648" s="130"/>
      <c r="C648" s="130"/>
      <c r="D648" s="130"/>
      <c r="E648" s="163"/>
      <c r="F648" s="163"/>
      <c r="G648" s="163"/>
      <c r="H648" s="130"/>
      <c r="I648" s="130"/>
      <c r="J648" s="130"/>
      <c r="K648" s="130"/>
      <c r="L648" s="163"/>
      <c r="M648" s="130"/>
      <c r="N648" s="130"/>
      <c r="O648" s="130"/>
      <c r="P648" s="130"/>
      <c r="Q648" s="130"/>
      <c r="R648" s="130"/>
      <c r="S648" s="130"/>
      <c r="T648" s="130"/>
      <c r="U648" s="130"/>
      <c r="V648" s="130"/>
      <c r="W648" s="130"/>
      <c r="X648" s="163"/>
      <c r="Y648" s="163"/>
      <c r="Z648" s="163"/>
      <c r="AA648" s="163"/>
      <c r="AB648" s="163"/>
      <c r="AC648" s="163"/>
      <c r="AD648" s="163"/>
      <c r="AE648" s="163"/>
      <c r="AF648" s="163"/>
      <c r="AG648" s="163"/>
      <c r="AH648" s="163"/>
      <c r="AI648" s="163"/>
      <c r="AJ648" s="163"/>
      <c r="AK648" s="163"/>
      <c r="AL648" s="163"/>
      <c r="AM648" s="163"/>
    </row>
    <row r="649" ht="13.5" customHeight="1">
      <c r="A649" s="130"/>
      <c r="B649" s="130"/>
      <c r="C649" s="130"/>
      <c r="D649" s="130"/>
      <c r="E649" s="163"/>
      <c r="F649" s="163"/>
      <c r="G649" s="163"/>
      <c r="H649" s="130"/>
      <c r="I649" s="130"/>
      <c r="J649" s="130"/>
      <c r="K649" s="130"/>
      <c r="L649" s="163"/>
      <c r="M649" s="130"/>
      <c r="N649" s="130"/>
      <c r="O649" s="130"/>
      <c r="P649" s="130"/>
      <c r="Q649" s="130"/>
      <c r="R649" s="130"/>
      <c r="S649" s="130"/>
      <c r="T649" s="130"/>
      <c r="U649" s="130"/>
      <c r="V649" s="130"/>
      <c r="W649" s="130"/>
      <c r="X649" s="163"/>
      <c r="Y649" s="163"/>
      <c r="Z649" s="163"/>
      <c r="AA649" s="163"/>
      <c r="AB649" s="163"/>
      <c r="AC649" s="163"/>
      <c r="AD649" s="163"/>
      <c r="AE649" s="163"/>
      <c r="AF649" s="163"/>
      <c r="AG649" s="163"/>
      <c r="AH649" s="163"/>
      <c r="AI649" s="163"/>
      <c r="AJ649" s="163"/>
      <c r="AK649" s="163"/>
      <c r="AL649" s="163"/>
      <c r="AM649" s="163"/>
    </row>
    <row r="650" ht="13.5" customHeight="1">
      <c r="A650" s="130"/>
      <c r="B650" s="130"/>
      <c r="C650" s="130"/>
      <c r="D650" s="130"/>
      <c r="E650" s="163"/>
      <c r="F650" s="163"/>
      <c r="G650" s="163"/>
      <c r="H650" s="130"/>
      <c r="I650" s="130"/>
      <c r="J650" s="130"/>
      <c r="K650" s="130"/>
      <c r="L650" s="163"/>
      <c r="M650" s="130"/>
      <c r="N650" s="130"/>
      <c r="O650" s="130"/>
      <c r="P650" s="130"/>
      <c r="Q650" s="130"/>
      <c r="R650" s="130"/>
      <c r="S650" s="130"/>
      <c r="T650" s="130"/>
      <c r="U650" s="130"/>
      <c r="V650" s="130"/>
      <c r="W650" s="130"/>
      <c r="X650" s="163"/>
      <c r="Y650" s="163"/>
      <c r="Z650" s="163"/>
      <c r="AA650" s="163"/>
      <c r="AB650" s="163"/>
      <c r="AC650" s="163"/>
      <c r="AD650" s="163"/>
      <c r="AE650" s="163"/>
      <c r="AF650" s="163"/>
      <c r="AG650" s="163"/>
      <c r="AH650" s="163"/>
      <c r="AI650" s="163"/>
      <c r="AJ650" s="163"/>
      <c r="AK650" s="163"/>
      <c r="AL650" s="163"/>
      <c r="AM650" s="163"/>
    </row>
    <row r="651" ht="13.5" customHeight="1">
      <c r="A651" s="130"/>
      <c r="B651" s="130"/>
      <c r="C651" s="130"/>
      <c r="D651" s="130"/>
      <c r="E651" s="163"/>
      <c r="F651" s="163"/>
      <c r="G651" s="163"/>
      <c r="H651" s="130"/>
      <c r="I651" s="130"/>
      <c r="J651" s="130"/>
      <c r="K651" s="130"/>
      <c r="L651" s="163"/>
      <c r="M651" s="130"/>
      <c r="N651" s="130"/>
      <c r="O651" s="130"/>
      <c r="P651" s="130"/>
      <c r="Q651" s="130"/>
      <c r="R651" s="130"/>
      <c r="S651" s="130"/>
      <c r="T651" s="130"/>
      <c r="U651" s="130"/>
      <c r="V651" s="130"/>
      <c r="W651" s="130"/>
      <c r="X651" s="163"/>
      <c r="Y651" s="163"/>
      <c r="Z651" s="163"/>
      <c r="AA651" s="163"/>
      <c r="AB651" s="163"/>
      <c r="AC651" s="163"/>
      <c r="AD651" s="163"/>
      <c r="AE651" s="163"/>
      <c r="AF651" s="163"/>
      <c r="AG651" s="163"/>
      <c r="AH651" s="163"/>
      <c r="AI651" s="163"/>
      <c r="AJ651" s="163"/>
      <c r="AK651" s="163"/>
      <c r="AL651" s="163"/>
      <c r="AM651" s="163"/>
    </row>
    <row r="652" ht="13.5" customHeight="1">
      <c r="A652" s="130"/>
      <c r="B652" s="130"/>
      <c r="C652" s="130"/>
      <c r="D652" s="130"/>
      <c r="E652" s="163"/>
      <c r="F652" s="163"/>
      <c r="G652" s="163"/>
      <c r="H652" s="130"/>
      <c r="I652" s="130"/>
      <c r="J652" s="130"/>
      <c r="K652" s="130"/>
      <c r="L652" s="163"/>
      <c r="M652" s="130"/>
      <c r="N652" s="130"/>
      <c r="O652" s="130"/>
      <c r="P652" s="130"/>
      <c r="Q652" s="130"/>
      <c r="R652" s="130"/>
      <c r="S652" s="130"/>
      <c r="T652" s="130"/>
      <c r="U652" s="130"/>
      <c r="V652" s="130"/>
      <c r="W652" s="130"/>
      <c r="X652" s="163"/>
      <c r="Y652" s="163"/>
      <c r="Z652" s="163"/>
      <c r="AA652" s="163"/>
      <c r="AB652" s="163"/>
      <c r="AC652" s="163"/>
      <c r="AD652" s="163"/>
      <c r="AE652" s="163"/>
      <c r="AF652" s="163"/>
      <c r="AG652" s="163"/>
      <c r="AH652" s="163"/>
      <c r="AI652" s="163"/>
      <c r="AJ652" s="163"/>
      <c r="AK652" s="163"/>
      <c r="AL652" s="163"/>
      <c r="AM652" s="163"/>
    </row>
    <row r="653" ht="13.5" customHeight="1">
      <c r="A653" s="130"/>
      <c r="B653" s="130"/>
      <c r="C653" s="130"/>
      <c r="D653" s="130"/>
      <c r="E653" s="163"/>
      <c r="F653" s="163"/>
      <c r="G653" s="163"/>
      <c r="H653" s="130"/>
      <c r="I653" s="130"/>
      <c r="J653" s="130"/>
      <c r="K653" s="130"/>
      <c r="L653" s="163"/>
      <c r="M653" s="130"/>
      <c r="N653" s="130"/>
      <c r="O653" s="130"/>
      <c r="P653" s="130"/>
      <c r="Q653" s="130"/>
      <c r="R653" s="130"/>
      <c r="S653" s="130"/>
      <c r="T653" s="130"/>
      <c r="U653" s="130"/>
      <c r="V653" s="130"/>
      <c r="W653" s="130"/>
      <c r="X653" s="163"/>
      <c r="Y653" s="163"/>
      <c r="Z653" s="163"/>
      <c r="AA653" s="163"/>
      <c r="AB653" s="163"/>
      <c r="AC653" s="163"/>
      <c r="AD653" s="163"/>
      <c r="AE653" s="163"/>
      <c r="AF653" s="163"/>
      <c r="AG653" s="163"/>
      <c r="AH653" s="163"/>
      <c r="AI653" s="163"/>
      <c r="AJ653" s="163"/>
      <c r="AK653" s="163"/>
      <c r="AL653" s="163"/>
      <c r="AM653" s="163"/>
    </row>
    <row r="654" ht="13.5" customHeight="1">
      <c r="A654" s="130"/>
      <c r="B654" s="130"/>
      <c r="C654" s="130"/>
      <c r="D654" s="130"/>
      <c r="E654" s="163"/>
      <c r="F654" s="163"/>
      <c r="G654" s="163"/>
      <c r="H654" s="130"/>
      <c r="I654" s="130"/>
      <c r="J654" s="130"/>
      <c r="K654" s="130"/>
      <c r="L654" s="163"/>
      <c r="M654" s="130"/>
      <c r="N654" s="130"/>
      <c r="O654" s="130"/>
      <c r="P654" s="130"/>
      <c r="Q654" s="130"/>
      <c r="R654" s="130"/>
      <c r="S654" s="130"/>
      <c r="T654" s="130"/>
      <c r="U654" s="130"/>
      <c r="V654" s="130"/>
      <c r="W654" s="130"/>
      <c r="X654" s="163"/>
      <c r="Y654" s="163"/>
      <c r="Z654" s="163"/>
      <c r="AA654" s="163"/>
      <c r="AB654" s="163"/>
      <c r="AC654" s="163"/>
      <c r="AD654" s="163"/>
      <c r="AE654" s="163"/>
      <c r="AF654" s="163"/>
      <c r="AG654" s="163"/>
      <c r="AH654" s="163"/>
      <c r="AI654" s="163"/>
      <c r="AJ654" s="163"/>
      <c r="AK654" s="163"/>
      <c r="AL654" s="163"/>
      <c r="AM654" s="163"/>
    </row>
    <row r="655" ht="13.5" customHeight="1">
      <c r="A655" s="130"/>
      <c r="B655" s="130"/>
      <c r="C655" s="130"/>
      <c r="D655" s="130"/>
      <c r="E655" s="163"/>
      <c r="F655" s="163"/>
      <c r="G655" s="163"/>
      <c r="H655" s="130"/>
      <c r="I655" s="130"/>
      <c r="J655" s="130"/>
      <c r="K655" s="130"/>
      <c r="L655" s="163"/>
      <c r="M655" s="130"/>
      <c r="N655" s="130"/>
      <c r="O655" s="130"/>
      <c r="P655" s="130"/>
      <c r="Q655" s="130"/>
      <c r="R655" s="130"/>
      <c r="S655" s="130"/>
      <c r="T655" s="130"/>
      <c r="U655" s="130"/>
      <c r="V655" s="130"/>
      <c r="W655" s="130"/>
      <c r="X655" s="163"/>
      <c r="Y655" s="163"/>
      <c r="Z655" s="163"/>
      <c r="AA655" s="163"/>
      <c r="AB655" s="163"/>
      <c r="AC655" s="163"/>
      <c r="AD655" s="163"/>
      <c r="AE655" s="163"/>
      <c r="AF655" s="163"/>
      <c r="AG655" s="163"/>
      <c r="AH655" s="163"/>
      <c r="AI655" s="163"/>
      <c r="AJ655" s="163"/>
      <c r="AK655" s="163"/>
      <c r="AL655" s="163"/>
      <c r="AM655" s="163"/>
    </row>
    <row r="656" ht="13.5" customHeight="1">
      <c r="A656" s="130"/>
      <c r="B656" s="130"/>
      <c r="C656" s="130"/>
      <c r="D656" s="130"/>
      <c r="E656" s="163"/>
      <c r="F656" s="163"/>
      <c r="G656" s="163"/>
      <c r="H656" s="130"/>
      <c r="I656" s="130"/>
      <c r="J656" s="130"/>
      <c r="K656" s="130"/>
      <c r="L656" s="163"/>
      <c r="M656" s="130"/>
      <c r="N656" s="130"/>
      <c r="O656" s="130"/>
      <c r="P656" s="130"/>
      <c r="Q656" s="130"/>
      <c r="R656" s="130"/>
      <c r="S656" s="130"/>
      <c r="T656" s="130"/>
      <c r="U656" s="130"/>
      <c r="V656" s="130"/>
      <c r="W656" s="130"/>
      <c r="X656" s="163"/>
      <c r="Y656" s="163"/>
      <c r="Z656" s="163"/>
      <c r="AA656" s="163"/>
      <c r="AB656" s="163"/>
      <c r="AC656" s="163"/>
      <c r="AD656" s="163"/>
      <c r="AE656" s="163"/>
      <c r="AF656" s="163"/>
      <c r="AG656" s="163"/>
      <c r="AH656" s="163"/>
      <c r="AI656" s="163"/>
      <c r="AJ656" s="163"/>
      <c r="AK656" s="163"/>
      <c r="AL656" s="163"/>
      <c r="AM656" s="163"/>
    </row>
    <row r="657" ht="13.5" customHeight="1">
      <c r="A657" s="130"/>
      <c r="B657" s="130"/>
      <c r="C657" s="130"/>
      <c r="D657" s="130"/>
      <c r="E657" s="163"/>
      <c r="F657" s="163"/>
      <c r="G657" s="163"/>
      <c r="H657" s="130"/>
      <c r="I657" s="130"/>
      <c r="J657" s="130"/>
      <c r="K657" s="130"/>
      <c r="L657" s="163"/>
      <c r="M657" s="130"/>
      <c r="N657" s="130"/>
      <c r="O657" s="130"/>
      <c r="P657" s="130"/>
      <c r="Q657" s="130"/>
      <c r="R657" s="130"/>
      <c r="S657" s="130"/>
      <c r="T657" s="130"/>
      <c r="U657" s="130"/>
      <c r="V657" s="130"/>
      <c r="W657" s="130"/>
      <c r="X657" s="163"/>
      <c r="Y657" s="163"/>
      <c r="Z657" s="163"/>
      <c r="AA657" s="163"/>
      <c r="AB657" s="163"/>
      <c r="AC657" s="163"/>
      <c r="AD657" s="163"/>
      <c r="AE657" s="163"/>
      <c r="AF657" s="163"/>
      <c r="AG657" s="163"/>
      <c r="AH657" s="163"/>
      <c r="AI657" s="163"/>
      <c r="AJ657" s="163"/>
      <c r="AK657" s="163"/>
      <c r="AL657" s="163"/>
      <c r="AM657" s="163"/>
    </row>
    <row r="658" ht="13.5" customHeight="1">
      <c r="A658" s="130"/>
      <c r="B658" s="130"/>
      <c r="C658" s="130"/>
      <c r="D658" s="130"/>
      <c r="E658" s="163"/>
      <c r="F658" s="163"/>
      <c r="G658" s="163"/>
      <c r="H658" s="130"/>
      <c r="I658" s="130"/>
      <c r="J658" s="130"/>
      <c r="K658" s="130"/>
      <c r="L658" s="163"/>
      <c r="M658" s="130"/>
      <c r="N658" s="130"/>
      <c r="O658" s="130"/>
      <c r="P658" s="130"/>
      <c r="Q658" s="130"/>
      <c r="R658" s="130"/>
      <c r="S658" s="130"/>
      <c r="T658" s="130"/>
      <c r="U658" s="130"/>
      <c r="V658" s="130"/>
      <c r="W658" s="130"/>
      <c r="X658" s="163"/>
      <c r="Y658" s="163"/>
      <c r="Z658" s="163"/>
      <c r="AA658" s="163"/>
      <c r="AB658" s="163"/>
      <c r="AC658" s="163"/>
      <c r="AD658" s="163"/>
      <c r="AE658" s="163"/>
      <c r="AF658" s="163"/>
      <c r="AG658" s="163"/>
      <c r="AH658" s="163"/>
      <c r="AI658" s="163"/>
      <c r="AJ658" s="163"/>
      <c r="AK658" s="163"/>
      <c r="AL658" s="163"/>
      <c r="AM658" s="163"/>
    </row>
    <row r="659" ht="13.5" customHeight="1">
      <c r="A659" s="130"/>
      <c r="B659" s="130"/>
      <c r="C659" s="130"/>
      <c r="D659" s="130"/>
      <c r="E659" s="163"/>
      <c r="F659" s="163"/>
      <c r="G659" s="163"/>
      <c r="H659" s="130"/>
      <c r="I659" s="130"/>
      <c r="J659" s="130"/>
      <c r="K659" s="130"/>
      <c r="L659" s="163"/>
      <c r="M659" s="130"/>
      <c r="N659" s="130"/>
      <c r="O659" s="130"/>
      <c r="P659" s="130"/>
      <c r="Q659" s="130"/>
      <c r="R659" s="130"/>
      <c r="S659" s="130"/>
      <c r="T659" s="130"/>
      <c r="U659" s="130"/>
      <c r="V659" s="130"/>
      <c r="W659" s="130"/>
      <c r="X659" s="163"/>
      <c r="Y659" s="163"/>
      <c r="Z659" s="163"/>
      <c r="AA659" s="163"/>
      <c r="AB659" s="163"/>
      <c r="AC659" s="163"/>
      <c r="AD659" s="163"/>
      <c r="AE659" s="163"/>
      <c r="AF659" s="163"/>
      <c r="AG659" s="163"/>
      <c r="AH659" s="163"/>
      <c r="AI659" s="163"/>
      <c r="AJ659" s="163"/>
      <c r="AK659" s="163"/>
      <c r="AL659" s="163"/>
      <c r="AM659" s="163"/>
    </row>
    <row r="660" ht="13.5" customHeight="1">
      <c r="A660" s="130"/>
      <c r="B660" s="130"/>
      <c r="C660" s="130"/>
      <c r="D660" s="130"/>
      <c r="E660" s="163"/>
      <c r="F660" s="163"/>
      <c r="G660" s="163"/>
      <c r="H660" s="130"/>
      <c r="I660" s="130"/>
      <c r="J660" s="130"/>
      <c r="K660" s="130"/>
      <c r="L660" s="163"/>
      <c r="M660" s="130"/>
      <c r="N660" s="130"/>
      <c r="O660" s="130"/>
      <c r="P660" s="130"/>
      <c r="Q660" s="130"/>
      <c r="R660" s="130"/>
      <c r="S660" s="130"/>
      <c r="T660" s="130"/>
      <c r="U660" s="130"/>
      <c r="V660" s="130"/>
      <c r="W660" s="130"/>
      <c r="X660" s="163"/>
      <c r="Y660" s="163"/>
      <c r="Z660" s="163"/>
      <c r="AA660" s="163"/>
      <c r="AB660" s="163"/>
      <c r="AC660" s="163"/>
      <c r="AD660" s="163"/>
      <c r="AE660" s="163"/>
      <c r="AF660" s="163"/>
      <c r="AG660" s="163"/>
      <c r="AH660" s="163"/>
      <c r="AI660" s="163"/>
      <c r="AJ660" s="163"/>
      <c r="AK660" s="163"/>
      <c r="AL660" s="163"/>
      <c r="AM660" s="163"/>
    </row>
    <row r="661" ht="13.5" customHeight="1">
      <c r="A661" s="130"/>
      <c r="B661" s="130"/>
      <c r="C661" s="130"/>
      <c r="D661" s="130"/>
      <c r="E661" s="163"/>
      <c r="F661" s="163"/>
      <c r="G661" s="163"/>
      <c r="H661" s="130"/>
      <c r="I661" s="130"/>
      <c r="J661" s="130"/>
      <c r="K661" s="130"/>
      <c r="L661" s="163"/>
      <c r="M661" s="130"/>
      <c r="N661" s="130"/>
      <c r="O661" s="130"/>
      <c r="P661" s="130"/>
      <c r="Q661" s="130"/>
      <c r="R661" s="130"/>
      <c r="S661" s="130"/>
      <c r="T661" s="130"/>
      <c r="U661" s="130"/>
      <c r="V661" s="130"/>
      <c r="W661" s="130"/>
      <c r="X661" s="163"/>
      <c r="Y661" s="163"/>
      <c r="Z661" s="163"/>
      <c r="AA661" s="163"/>
      <c r="AB661" s="163"/>
      <c r="AC661" s="163"/>
      <c r="AD661" s="163"/>
      <c r="AE661" s="163"/>
      <c r="AF661" s="163"/>
      <c r="AG661" s="163"/>
      <c r="AH661" s="163"/>
      <c r="AI661" s="163"/>
      <c r="AJ661" s="163"/>
      <c r="AK661" s="163"/>
      <c r="AL661" s="163"/>
      <c r="AM661" s="163"/>
    </row>
    <row r="662" ht="13.5" customHeight="1">
      <c r="A662" s="130"/>
      <c r="B662" s="130"/>
      <c r="C662" s="130"/>
      <c r="D662" s="130"/>
      <c r="E662" s="163"/>
      <c r="F662" s="163"/>
      <c r="G662" s="163"/>
      <c r="H662" s="130"/>
      <c r="I662" s="130"/>
      <c r="J662" s="130"/>
      <c r="K662" s="130"/>
      <c r="L662" s="163"/>
      <c r="M662" s="130"/>
      <c r="N662" s="130"/>
      <c r="O662" s="130"/>
      <c r="P662" s="130"/>
      <c r="Q662" s="130"/>
      <c r="R662" s="130"/>
      <c r="S662" s="130"/>
      <c r="T662" s="130"/>
      <c r="U662" s="130"/>
      <c r="V662" s="130"/>
      <c r="W662" s="130"/>
      <c r="X662" s="163"/>
      <c r="Y662" s="163"/>
      <c r="Z662" s="163"/>
      <c r="AA662" s="163"/>
      <c r="AB662" s="163"/>
      <c r="AC662" s="163"/>
      <c r="AD662" s="163"/>
      <c r="AE662" s="163"/>
      <c r="AF662" s="163"/>
      <c r="AG662" s="163"/>
      <c r="AH662" s="163"/>
      <c r="AI662" s="163"/>
      <c r="AJ662" s="163"/>
      <c r="AK662" s="163"/>
      <c r="AL662" s="163"/>
      <c r="AM662" s="163"/>
    </row>
    <row r="663" ht="13.5" customHeight="1">
      <c r="A663" s="130"/>
      <c r="B663" s="130"/>
      <c r="C663" s="130"/>
      <c r="D663" s="130"/>
      <c r="E663" s="163"/>
      <c r="F663" s="163"/>
      <c r="G663" s="163"/>
      <c r="H663" s="130"/>
      <c r="I663" s="130"/>
      <c r="J663" s="130"/>
      <c r="K663" s="130"/>
      <c r="L663" s="163"/>
      <c r="M663" s="130"/>
      <c r="N663" s="130"/>
      <c r="O663" s="130"/>
      <c r="P663" s="130"/>
      <c r="Q663" s="130"/>
      <c r="R663" s="130"/>
      <c r="S663" s="130"/>
      <c r="T663" s="130"/>
      <c r="U663" s="130"/>
      <c r="V663" s="130"/>
      <c r="W663" s="130"/>
      <c r="X663" s="163"/>
      <c r="Y663" s="163"/>
      <c r="Z663" s="163"/>
      <c r="AA663" s="163"/>
      <c r="AB663" s="163"/>
      <c r="AC663" s="163"/>
      <c r="AD663" s="163"/>
      <c r="AE663" s="163"/>
      <c r="AF663" s="163"/>
      <c r="AG663" s="163"/>
      <c r="AH663" s="163"/>
      <c r="AI663" s="163"/>
      <c r="AJ663" s="163"/>
      <c r="AK663" s="163"/>
      <c r="AL663" s="163"/>
      <c r="AM663" s="163"/>
    </row>
    <row r="664" ht="13.5" customHeight="1">
      <c r="A664" s="130"/>
      <c r="B664" s="130"/>
      <c r="C664" s="130"/>
      <c r="D664" s="130"/>
      <c r="E664" s="163"/>
      <c r="F664" s="163"/>
      <c r="G664" s="163"/>
      <c r="H664" s="130"/>
      <c r="I664" s="130"/>
      <c r="J664" s="130"/>
      <c r="K664" s="130"/>
      <c r="L664" s="163"/>
      <c r="M664" s="130"/>
      <c r="N664" s="130"/>
      <c r="O664" s="130"/>
      <c r="P664" s="130"/>
      <c r="Q664" s="130"/>
      <c r="R664" s="130"/>
      <c r="S664" s="130"/>
      <c r="T664" s="130"/>
      <c r="U664" s="130"/>
      <c r="V664" s="130"/>
      <c r="W664" s="130"/>
      <c r="X664" s="163"/>
      <c r="Y664" s="163"/>
      <c r="Z664" s="163"/>
      <c r="AA664" s="163"/>
      <c r="AB664" s="163"/>
      <c r="AC664" s="163"/>
      <c r="AD664" s="163"/>
      <c r="AE664" s="163"/>
      <c r="AF664" s="163"/>
      <c r="AG664" s="163"/>
      <c r="AH664" s="163"/>
      <c r="AI664" s="163"/>
      <c r="AJ664" s="163"/>
      <c r="AK664" s="163"/>
      <c r="AL664" s="163"/>
      <c r="AM664" s="163"/>
    </row>
    <row r="665" ht="13.5" customHeight="1">
      <c r="A665" s="130"/>
      <c r="B665" s="130"/>
      <c r="C665" s="130"/>
      <c r="D665" s="130"/>
      <c r="E665" s="163"/>
      <c r="F665" s="163"/>
      <c r="G665" s="163"/>
      <c r="H665" s="130"/>
      <c r="I665" s="130"/>
      <c r="J665" s="130"/>
      <c r="K665" s="130"/>
      <c r="L665" s="163"/>
      <c r="M665" s="130"/>
      <c r="N665" s="130"/>
      <c r="O665" s="130"/>
      <c r="P665" s="130"/>
      <c r="Q665" s="130"/>
      <c r="R665" s="130"/>
      <c r="S665" s="130"/>
      <c r="T665" s="130"/>
      <c r="U665" s="130"/>
      <c r="V665" s="130"/>
      <c r="W665" s="130"/>
      <c r="X665" s="163"/>
      <c r="Y665" s="163"/>
      <c r="Z665" s="163"/>
      <c r="AA665" s="163"/>
      <c r="AB665" s="163"/>
      <c r="AC665" s="163"/>
      <c r="AD665" s="163"/>
      <c r="AE665" s="163"/>
      <c r="AF665" s="163"/>
      <c r="AG665" s="163"/>
      <c r="AH665" s="163"/>
      <c r="AI665" s="163"/>
      <c r="AJ665" s="163"/>
      <c r="AK665" s="163"/>
      <c r="AL665" s="163"/>
      <c r="AM665" s="163"/>
    </row>
    <row r="666" ht="13.5" customHeight="1">
      <c r="A666" s="130"/>
      <c r="B666" s="130"/>
      <c r="C666" s="130"/>
      <c r="D666" s="130"/>
      <c r="E666" s="163"/>
      <c r="F666" s="163"/>
      <c r="G666" s="163"/>
      <c r="H666" s="130"/>
      <c r="I666" s="130"/>
      <c r="J666" s="130"/>
      <c r="K666" s="130"/>
      <c r="L666" s="163"/>
      <c r="M666" s="130"/>
      <c r="N666" s="130"/>
      <c r="O666" s="130"/>
      <c r="P666" s="130"/>
      <c r="Q666" s="130"/>
      <c r="R666" s="130"/>
      <c r="S666" s="130"/>
      <c r="T666" s="130"/>
      <c r="U666" s="130"/>
      <c r="V666" s="130"/>
      <c r="W666" s="130"/>
      <c r="X666" s="163"/>
      <c r="Y666" s="163"/>
      <c r="Z666" s="163"/>
      <c r="AA666" s="163"/>
      <c r="AB666" s="163"/>
      <c r="AC666" s="163"/>
      <c r="AD666" s="163"/>
      <c r="AE666" s="163"/>
      <c r="AF666" s="163"/>
      <c r="AG666" s="163"/>
      <c r="AH666" s="163"/>
      <c r="AI666" s="163"/>
      <c r="AJ666" s="163"/>
      <c r="AK666" s="163"/>
      <c r="AL666" s="163"/>
      <c r="AM666" s="163"/>
    </row>
    <row r="667" ht="13.5" customHeight="1">
      <c r="A667" s="130"/>
      <c r="B667" s="130"/>
      <c r="C667" s="130"/>
      <c r="D667" s="130"/>
      <c r="E667" s="163"/>
      <c r="F667" s="163"/>
      <c r="G667" s="163"/>
      <c r="H667" s="130"/>
      <c r="I667" s="130"/>
      <c r="J667" s="130"/>
      <c r="K667" s="130"/>
      <c r="L667" s="163"/>
      <c r="M667" s="130"/>
      <c r="N667" s="130"/>
      <c r="O667" s="130"/>
      <c r="P667" s="130"/>
      <c r="Q667" s="130"/>
      <c r="R667" s="130"/>
      <c r="S667" s="130"/>
      <c r="T667" s="130"/>
      <c r="U667" s="130"/>
      <c r="V667" s="130"/>
      <c r="W667" s="130"/>
      <c r="X667" s="163"/>
      <c r="Y667" s="163"/>
      <c r="Z667" s="163"/>
      <c r="AA667" s="163"/>
      <c r="AB667" s="163"/>
      <c r="AC667" s="163"/>
      <c r="AD667" s="163"/>
      <c r="AE667" s="163"/>
      <c r="AF667" s="163"/>
      <c r="AG667" s="163"/>
      <c r="AH667" s="163"/>
      <c r="AI667" s="163"/>
      <c r="AJ667" s="163"/>
      <c r="AK667" s="163"/>
      <c r="AL667" s="163"/>
      <c r="AM667" s="163"/>
    </row>
    <row r="668" ht="13.5" customHeight="1">
      <c r="A668" s="130"/>
      <c r="B668" s="130"/>
      <c r="C668" s="130"/>
      <c r="D668" s="130"/>
      <c r="E668" s="163"/>
      <c r="F668" s="163"/>
      <c r="G668" s="163"/>
      <c r="H668" s="130"/>
      <c r="I668" s="130"/>
      <c r="J668" s="130"/>
      <c r="K668" s="130"/>
      <c r="L668" s="163"/>
      <c r="M668" s="130"/>
      <c r="N668" s="130"/>
      <c r="O668" s="130"/>
      <c r="P668" s="130"/>
      <c r="Q668" s="130"/>
      <c r="R668" s="130"/>
      <c r="S668" s="130"/>
      <c r="T668" s="130"/>
      <c r="U668" s="130"/>
      <c r="V668" s="130"/>
      <c r="W668" s="130"/>
      <c r="X668" s="163"/>
      <c r="Y668" s="163"/>
      <c r="Z668" s="163"/>
      <c r="AA668" s="163"/>
      <c r="AB668" s="163"/>
      <c r="AC668" s="163"/>
      <c r="AD668" s="163"/>
      <c r="AE668" s="163"/>
      <c r="AF668" s="163"/>
      <c r="AG668" s="163"/>
      <c r="AH668" s="163"/>
      <c r="AI668" s="163"/>
      <c r="AJ668" s="163"/>
      <c r="AK668" s="163"/>
      <c r="AL668" s="163"/>
      <c r="AM668" s="163"/>
    </row>
    <row r="669" ht="13.5" customHeight="1">
      <c r="A669" s="130"/>
      <c r="B669" s="130"/>
      <c r="C669" s="130"/>
      <c r="D669" s="130"/>
      <c r="E669" s="163"/>
      <c r="F669" s="163"/>
      <c r="G669" s="163"/>
      <c r="H669" s="130"/>
      <c r="I669" s="130"/>
      <c r="J669" s="130"/>
      <c r="K669" s="130"/>
      <c r="L669" s="163"/>
      <c r="M669" s="130"/>
      <c r="N669" s="130"/>
      <c r="O669" s="130"/>
      <c r="P669" s="130"/>
      <c r="Q669" s="130"/>
      <c r="R669" s="130"/>
      <c r="S669" s="130"/>
      <c r="T669" s="130"/>
      <c r="U669" s="130"/>
      <c r="V669" s="130"/>
      <c r="W669" s="130"/>
      <c r="X669" s="163"/>
      <c r="Y669" s="163"/>
      <c r="Z669" s="163"/>
      <c r="AA669" s="163"/>
      <c r="AB669" s="163"/>
      <c r="AC669" s="163"/>
      <c r="AD669" s="163"/>
      <c r="AE669" s="163"/>
      <c r="AF669" s="163"/>
      <c r="AG669" s="163"/>
      <c r="AH669" s="163"/>
      <c r="AI669" s="163"/>
      <c r="AJ669" s="163"/>
      <c r="AK669" s="163"/>
      <c r="AL669" s="163"/>
      <c r="AM669" s="163"/>
    </row>
    <row r="670" ht="13.5" customHeight="1">
      <c r="A670" s="130"/>
      <c r="B670" s="130"/>
      <c r="C670" s="130"/>
      <c r="D670" s="130"/>
      <c r="E670" s="163"/>
      <c r="F670" s="163"/>
      <c r="G670" s="163"/>
      <c r="H670" s="130"/>
      <c r="I670" s="130"/>
      <c r="J670" s="130"/>
      <c r="K670" s="130"/>
      <c r="L670" s="163"/>
      <c r="M670" s="130"/>
      <c r="N670" s="130"/>
      <c r="O670" s="130"/>
      <c r="P670" s="130"/>
      <c r="Q670" s="130"/>
      <c r="R670" s="130"/>
      <c r="S670" s="130"/>
      <c r="T670" s="130"/>
      <c r="U670" s="130"/>
      <c r="V670" s="130"/>
      <c r="W670" s="130"/>
      <c r="X670" s="163"/>
      <c r="Y670" s="163"/>
      <c r="Z670" s="163"/>
      <c r="AA670" s="163"/>
      <c r="AB670" s="163"/>
      <c r="AC670" s="163"/>
      <c r="AD670" s="163"/>
      <c r="AE670" s="163"/>
      <c r="AF670" s="163"/>
      <c r="AG670" s="163"/>
      <c r="AH670" s="163"/>
      <c r="AI670" s="163"/>
      <c r="AJ670" s="163"/>
      <c r="AK670" s="163"/>
      <c r="AL670" s="163"/>
      <c r="AM670" s="163"/>
    </row>
    <row r="671" ht="13.5" customHeight="1">
      <c r="A671" s="130"/>
      <c r="B671" s="130"/>
      <c r="C671" s="130"/>
      <c r="D671" s="130"/>
      <c r="E671" s="163"/>
      <c r="F671" s="163"/>
      <c r="G671" s="163"/>
      <c r="H671" s="130"/>
      <c r="I671" s="130"/>
      <c r="J671" s="130"/>
      <c r="K671" s="130"/>
      <c r="L671" s="163"/>
      <c r="M671" s="130"/>
      <c r="N671" s="130"/>
      <c r="O671" s="130"/>
      <c r="P671" s="130"/>
      <c r="Q671" s="130"/>
      <c r="R671" s="130"/>
      <c r="S671" s="130"/>
      <c r="T671" s="130"/>
      <c r="U671" s="130"/>
      <c r="V671" s="130"/>
      <c r="W671" s="130"/>
      <c r="X671" s="163"/>
      <c r="Y671" s="163"/>
      <c r="Z671" s="163"/>
      <c r="AA671" s="163"/>
      <c r="AB671" s="163"/>
      <c r="AC671" s="163"/>
      <c r="AD671" s="163"/>
      <c r="AE671" s="163"/>
      <c r="AF671" s="163"/>
      <c r="AG671" s="163"/>
      <c r="AH671" s="163"/>
      <c r="AI671" s="163"/>
      <c r="AJ671" s="163"/>
      <c r="AK671" s="163"/>
      <c r="AL671" s="163"/>
      <c r="AM671" s="163"/>
    </row>
    <row r="672" ht="13.5" customHeight="1">
      <c r="A672" s="130"/>
      <c r="B672" s="130"/>
      <c r="C672" s="130"/>
      <c r="D672" s="130"/>
      <c r="E672" s="163"/>
      <c r="F672" s="163"/>
      <c r="G672" s="163"/>
      <c r="H672" s="130"/>
      <c r="I672" s="130"/>
      <c r="J672" s="130"/>
      <c r="K672" s="130"/>
      <c r="L672" s="163"/>
      <c r="M672" s="130"/>
      <c r="N672" s="130"/>
      <c r="O672" s="130"/>
      <c r="P672" s="130"/>
      <c r="Q672" s="130"/>
      <c r="R672" s="130"/>
      <c r="S672" s="130"/>
      <c r="T672" s="130"/>
      <c r="U672" s="130"/>
      <c r="V672" s="130"/>
      <c r="W672" s="130"/>
      <c r="X672" s="163"/>
      <c r="Y672" s="163"/>
      <c r="Z672" s="163"/>
      <c r="AA672" s="163"/>
      <c r="AB672" s="163"/>
      <c r="AC672" s="163"/>
      <c r="AD672" s="163"/>
      <c r="AE672" s="163"/>
      <c r="AF672" s="163"/>
      <c r="AG672" s="163"/>
      <c r="AH672" s="163"/>
      <c r="AI672" s="163"/>
      <c r="AJ672" s="163"/>
      <c r="AK672" s="163"/>
      <c r="AL672" s="163"/>
      <c r="AM672" s="163"/>
    </row>
    <row r="673" ht="13.5" customHeight="1">
      <c r="A673" s="130"/>
      <c r="B673" s="130"/>
      <c r="C673" s="130"/>
      <c r="D673" s="130"/>
      <c r="E673" s="163"/>
      <c r="F673" s="163"/>
      <c r="G673" s="163"/>
      <c r="H673" s="130"/>
      <c r="I673" s="130"/>
      <c r="J673" s="130"/>
      <c r="K673" s="130"/>
      <c r="L673" s="163"/>
      <c r="M673" s="130"/>
      <c r="N673" s="130"/>
      <c r="O673" s="130"/>
      <c r="P673" s="130"/>
      <c r="Q673" s="130"/>
      <c r="R673" s="130"/>
      <c r="S673" s="130"/>
      <c r="T673" s="130"/>
      <c r="U673" s="130"/>
      <c r="V673" s="130"/>
      <c r="W673" s="130"/>
      <c r="X673" s="163"/>
      <c r="Y673" s="163"/>
      <c r="Z673" s="163"/>
      <c r="AA673" s="163"/>
      <c r="AB673" s="163"/>
      <c r="AC673" s="163"/>
      <c r="AD673" s="163"/>
      <c r="AE673" s="163"/>
      <c r="AF673" s="163"/>
      <c r="AG673" s="163"/>
      <c r="AH673" s="163"/>
      <c r="AI673" s="163"/>
      <c r="AJ673" s="163"/>
      <c r="AK673" s="163"/>
      <c r="AL673" s="163"/>
      <c r="AM673" s="163"/>
    </row>
    <row r="674" ht="13.5" customHeight="1">
      <c r="A674" s="130"/>
      <c r="B674" s="130"/>
      <c r="C674" s="130"/>
      <c r="D674" s="130"/>
      <c r="E674" s="163"/>
      <c r="F674" s="163"/>
      <c r="G674" s="163"/>
      <c r="H674" s="130"/>
      <c r="I674" s="130"/>
      <c r="J674" s="130"/>
      <c r="K674" s="130"/>
      <c r="L674" s="163"/>
      <c r="M674" s="130"/>
      <c r="N674" s="130"/>
      <c r="O674" s="130"/>
      <c r="P674" s="130"/>
      <c r="Q674" s="130"/>
      <c r="R674" s="130"/>
      <c r="S674" s="130"/>
      <c r="T674" s="130"/>
      <c r="U674" s="130"/>
      <c r="V674" s="130"/>
      <c r="W674" s="130"/>
      <c r="X674" s="163"/>
      <c r="Y674" s="163"/>
      <c r="Z674" s="163"/>
      <c r="AA674" s="163"/>
      <c r="AB674" s="163"/>
      <c r="AC674" s="163"/>
      <c r="AD674" s="163"/>
      <c r="AE674" s="163"/>
      <c r="AF674" s="163"/>
      <c r="AG674" s="163"/>
      <c r="AH674" s="163"/>
      <c r="AI674" s="163"/>
      <c r="AJ674" s="163"/>
      <c r="AK674" s="163"/>
      <c r="AL674" s="163"/>
      <c r="AM674" s="163"/>
    </row>
    <row r="675" ht="13.5" customHeight="1">
      <c r="A675" s="130"/>
      <c r="B675" s="130"/>
      <c r="C675" s="130"/>
      <c r="D675" s="130"/>
      <c r="E675" s="163"/>
      <c r="F675" s="163"/>
      <c r="G675" s="163"/>
      <c r="H675" s="130"/>
      <c r="I675" s="130"/>
      <c r="J675" s="130"/>
      <c r="K675" s="130"/>
      <c r="L675" s="163"/>
      <c r="M675" s="130"/>
      <c r="N675" s="130"/>
      <c r="O675" s="130"/>
      <c r="P675" s="130"/>
      <c r="Q675" s="130"/>
      <c r="R675" s="130"/>
      <c r="S675" s="130"/>
      <c r="T675" s="130"/>
      <c r="U675" s="130"/>
      <c r="V675" s="130"/>
      <c r="W675" s="130"/>
      <c r="X675" s="163"/>
      <c r="Y675" s="163"/>
      <c r="Z675" s="163"/>
      <c r="AA675" s="163"/>
      <c r="AB675" s="163"/>
      <c r="AC675" s="163"/>
      <c r="AD675" s="163"/>
      <c r="AE675" s="163"/>
      <c r="AF675" s="163"/>
      <c r="AG675" s="163"/>
      <c r="AH675" s="163"/>
      <c r="AI675" s="163"/>
      <c r="AJ675" s="163"/>
      <c r="AK675" s="163"/>
      <c r="AL675" s="163"/>
      <c r="AM675" s="163"/>
    </row>
    <row r="676" ht="13.5" customHeight="1">
      <c r="A676" s="130"/>
      <c r="B676" s="130"/>
      <c r="C676" s="130"/>
      <c r="D676" s="130"/>
      <c r="E676" s="163"/>
      <c r="F676" s="163"/>
      <c r="G676" s="163"/>
      <c r="H676" s="130"/>
      <c r="I676" s="130"/>
      <c r="J676" s="130"/>
      <c r="K676" s="130"/>
      <c r="L676" s="163"/>
      <c r="M676" s="130"/>
      <c r="N676" s="130"/>
      <c r="O676" s="130"/>
      <c r="P676" s="130"/>
      <c r="Q676" s="130"/>
      <c r="R676" s="130"/>
      <c r="S676" s="130"/>
      <c r="T676" s="130"/>
      <c r="U676" s="130"/>
      <c r="V676" s="130"/>
      <c r="W676" s="130"/>
      <c r="X676" s="163"/>
      <c r="Y676" s="163"/>
      <c r="Z676" s="163"/>
      <c r="AA676" s="163"/>
      <c r="AB676" s="163"/>
      <c r="AC676" s="163"/>
      <c r="AD676" s="163"/>
      <c r="AE676" s="163"/>
      <c r="AF676" s="163"/>
      <c r="AG676" s="163"/>
      <c r="AH676" s="163"/>
      <c r="AI676" s="163"/>
      <c r="AJ676" s="163"/>
      <c r="AK676" s="163"/>
      <c r="AL676" s="163"/>
      <c r="AM676" s="163"/>
    </row>
    <row r="677" ht="13.5" customHeight="1">
      <c r="A677" s="130"/>
      <c r="B677" s="130"/>
      <c r="C677" s="130"/>
      <c r="D677" s="130"/>
      <c r="E677" s="163"/>
      <c r="F677" s="163"/>
      <c r="G677" s="163"/>
      <c r="H677" s="130"/>
      <c r="I677" s="130"/>
      <c r="J677" s="130"/>
      <c r="K677" s="130"/>
      <c r="L677" s="163"/>
      <c r="M677" s="130"/>
      <c r="N677" s="130"/>
      <c r="O677" s="130"/>
      <c r="P677" s="130"/>
      <c r="Q677" s="130"/>
      <c r="R677" s="130"/>
      <c r="S677" s="130"/>
      <c r="T677" s="130"/>
      <c r="U677" s="130"/>
      <c r="V677" s="130"/>
      <c r="W677" s="130"/>
      <c r="X677" s="163"/>
      <c r="Y677" s="163"/>
      <c r="Z677" s="163"/>
      <c r="AA677" s="163"/>
      <c r="AB677" s="163"/>
      <c r="AC677" s="163"/>
      <c r="AD677" s="163"/>
      <c r="AE677" s="163"/>
      <c r="AF677" s="163"/>
      <c r="AG677" s="163"/>
      <c r="AH677" s="163"/>
      <c r="AI677" s="163"/>
      <c r="AJ677" s="163"/>
      <c r="AK677" s="163"/>
      <c r="AL677" s="163"/>
      <c r="AM677" s="163"/>
    </row>
    <row r="678" ht="13.5" customHeight="1">
      <c r="A678" s="130"/>
      <c r="B678" s="130"/>
      <c r="C678" s="130"/>
      <c r="D678" s="130"/>
      <c r="E678" s="163"/>
      <c r="F678" s="163"/>
      <c r="G678" s="163"/>
      <c r="H678" s="130"/>
      <c r="I678" s="130"/>
      <c r="J678" s="130"/>
      <c r="K678" s="130"/>
      <c r="L678" s="163"/>
      <c r="M678" s="130"/>
      <c r="N678" s="130"/>
      <c r="O678" s="130"/>
      <c r="P678" s="130"/>
      <c r="Q678" s="130"/>
      <c r="R678" s="130"/>
      <c r="S678" s="130"/>
      <c r="T678" s="130"/>
      <c r="U678" s="130"/>
      <c r="V678" s="130"/>
      <c r="W678" s="130"/>
      <c r="X678" s="163"/>
      <c r="Y678" s="163"/>
      <c r="Z678" s="163"/>
      <c r="AA678" s="163"/>
      <c r="AB678" s="163"/>
      <c r="AC678" s="163"/>
      <c r="AD678" s="163"/>
      <c r="AE678" s="163"/>
      <c r="AF678" s="163"/>
      <c r="AG678" s="163"/>
      <c r="AH678" s="163"/>
      <c r="AI678" s="163"/>
      <c r="AJ678" s="163"/>
      <c r="AK678" s="163"/>
      <c r="AL678" s="163"/>
      <c r="AM678" s="163"/>
    </row>
    <row r="679" ht="13.5" customHeight="1">
      <c r="A679" s="130"/>
      <c r="B679" s="130"/>
      <c r="C679" s="130"/>
      <c r="D679" s="130"/>
      <c r="E679" s="163"/>
      <c r="F679" s="163"/>
      <c r="G679" s="163"/>
      <c r="H679" s="130"/>
      <c r="I679" s="130"/>
      <c r="J679" s="130"/>
      <c r="K679" s="130"/>
      <c r="L679" s="163"/>
      <c r="M679" s="130"/>
      <c r="N679" s="130"/>
      <c r="O679" s="130"/>
      <c r="P679" s="130"/>
      <c r="Q679" s="130"/>
      <c r="R679" s="130"/>
      <c r="S679" s="130"/>
      <c r="T679" s="130"/>
      <c r="U679" s="130"/>
      <c r="V679" s="130"/>
      <c r="W679" s="130"/>
      <c r="X679" s="163"/>
      <c r="Y679" s="163"/>
      <c r="Z679" s="163"/>
      <c r="AA679" s="163"/>
      <c r="AB679" s="163"/>
      <c r="AC679" s="163"/>
      <c r="AD679" s="163"/>
      <c r="AE679" s="163"/>
      <c r="AF679" s="163"/>
      <c r="AG679" s="163"/>
      <c r="AH679" s="163"/>
      <c r="AI679" s="163"/>
      <c r="AJ679" s="163"/>
      <c r="AK679" s="163"/>
      <c r="AL679" s="163"/>
      <c r="AM679" s="163"/>
    </row>
    <row r="680" ht="13.5" customHeight="1">
      <c r="A680" s="130"/>
      <c r="B680" s="130"/>
      <c r="C680" s="130"/>
      <c r="D680" s="130"/>
      <c r="E680" s="163"/>
      <c r="F680" s="163"/>
      <c r="G680" s="163"/>
      <c r="H680" s="130"/>
      <c r="I680" s="130"/>
      <c r="J680" s="130"/>
      <c r="K680" s="130"/>
      <c r="L680" s="163"/>
      <c r="M680" s="130"/>
      <c r="N680" s="130"/>
      <c r="O680" s="130"/>
      <c r="P680" s="130"/>
      <c r="Q680" s="130"/>
      <c r="R680" s="130"/>
      <c r="S680" s="130"/>
      <c r="T680" s="130"/>
      <c r="U680" s="130"/>
      <c r="V680" s="130"/>
      <c r="W680" s="130"/>
      <c r="X680" s="163"/>
      <c r="Y680" s="163"/>
      <c r="Z680" s="163"/>
      <c r="AA680" s="163"/>
      <c r="AB680" s="163"/>
      <c r="AC680" s="163"/>
      <c r="AD680" s="163"/>
      <c r="AE680" s="163"/>
      <c r="AF680" s="163"/>
      <c r="AG680" s="163"/>
      <c r="AH680" s="163"/>
      <c r="AI680" s="163"/>
      <c r="AJ680" s="163"/>
      <c r="AK680" s="163"/>
      <c r="AL680" s="163"/>
      <c r="AM680" s="163"/>
    </row>
    <row r="681" ht="13.5" customHeight="1">
      <c r="A681" s="130"/>
      <c r="B681" s="130"/>
      <c r="C681" s="130"/>
      <c r="D681" s="130"/>
      <c r="E681" s="163"/>
      <c r="F681" s="163"/>
      <c r="G681" s="163"/>
      <c r="H681" s="130"/>
      <c r="I681" s="130"/>
      <c r="J681" s="130"/>
      <c r="K681" s="130"/>
      <c r="L681" s="163"/>
      <c r="M681" s="130"/>
      <c r="N681" s="130"/>
      <c r="O681" s="130"/>
      <c r="P681" s="130"/>
      <c r="Q681" s="130"/>
      <c r="R681" s="130"/>
      <c r="S681" s="130"/>
      <c r="T681" s="130"/>
      <c r="U681" s="130"/>
      <c r="V681" s="130"/>
      <c r="W681" s="130"/>
      <c r="X681" s="163"/>
      <c r="Y681" s="163"/>
      <c r="Z681" s="163"/>
      <c r="AA681" s="163"/>
      <c r="AB681" s="163"/>
      <c r="AC681" s="163"/>
      <c r="AD681" s="163"/>
      <c r="AE681" s="163"/>
      <c r="AF681" s="163"/>
      <c r="AG681" s="163"/>
      <c r="AH681" s="163"/>
      <c r="AI681" s="163"/>
      <c r="AJ681" s="163"/>
      <c r="AK681" s="163"/>
      <c r="AL681" s="163"/>
      <c r="AM681" s="163"/>
    </row>
    <row r="682" ht="13.5" customHeight="1">
      <c r="A682" s="130"/>
      <c r="B682" s="130"/>
      <c r="C682" s="130"/>
      <c r="D682" s="130"/>
      <c r="E682" s="163"/>
      <c r="F682" s="163"/>
      <c r="G682" s="163"/>
      <c r="H682" s="130"/>
      <c r="I682" s="130"/>
      <c r="J682" s="130"/>
      <c r="K682" s="130"/>
      <c r="L682" s="163"/>
      <c r="M682" s="130"/>
      <c r="N682" s="130"/>
      <c r="O682" s="130"/>
      <c r="P682" s="130"/>
      <c r="Q682" s="130"/>
      <c r="R682" s="130"/>
      <c r="S682" s="130"/>
      <c r="T682" s="130"/>
      <c r="U682" s="130"/>
      <c r="V682" s="130"/>
      <c r="W682" s="130"/>
      <c r="X682" s="163"/>
      <c r="Y682" s="163"/>
      <c r="Z682" s="163"/>
      <c r="AA682" s="163"/>
      <c r="AB682" s="163"/>
      <c r="AC682" s="163"/>
      <c r="AD682" s="163"/>
      <c r="AE682" s="163"/>
      <c r="AF682" s="163"/>
      <c r="AG682" s="163"/>
      <c r="AH682" s="163"/>
      <c r="AI682" s="163"/>
      <c r="AJ682" s="163"/>
      <c r="AK682" s="163"/>
      <c r="AL682" s="163"/>
      <c r="AM682" s="163"/>
    </row>
    <row r="683" ht="13.5" customHeight="1">
      <c r="A683" s="130"/>
      <c r="B683" s="130"/>
      <c r="C683" s="130"/>
      <c r="D683" s="130"/>
      <c r="E683" s="163"/>
      <c r="F683" s="163"/>
      <c r="G683" s="163"/>
      <c r="H683" s="130"/>
      <c r="I683" s="130"/>
      <c r="J683" s="130"/>
      <c r="K683" s="130"/>
      <c r="L683" s="163"/>
      <c r="M683" s="130"/>
      <c r="N683" s="130"/>
      <c r="O683" s="130"/>
      <c r="P683" s="130"/>
      <c r="Q683" s="130"/>
      <c r="R683" s="130"/>
      <c r="S683" s="130"/>
      <c r="T683" s="130"/>
      <c r="U683" s="130"/>
      <c r="V683" s="130"/>
      <c r="W683" s="130"/>
      <c r="X683" s="163"/>
      <c r="Y683" s="163"/>
      <c r="Z683" s="163"/>
      <c r="AA683" s="163"/>
      <c r="AB683" s="163"/>
      <c r="AC683" s="163"/>
      <c r="AD683" s="163"/>
      <c r="AE683" s="163"/>
      <c r="AF683" s="163"/>
      <c r="AG683" s="163"/>
      <c r="AH683" s="163"/>
      <c r="AI683" s="163"/>
      <c r="AJ683" s="163"/>
      <c r="AK683" s="163"/>
      <c r="AL683" s="163"/>
      <c r="AM683" s="163"/>
    </row>
    <row r="684" ht="13.5" customHeight="1">
      <c r="A684" s="130"/>
      <c r="B684" s="130"/>
      <c r="C684" s="130"/>
      <c r="D684" s="130"/>
      <c r="E684" s="163"/>
      <c r="F684" s="163"/>
      <c r="G684" s="163"/>
      <c r="H684" s="130"/>
      <c r="I684" s="130"/>
      <c r="J684" s="130"/>
      <c r="K684" s="130"/>
      <c r="L684" s="163"/>
      <c r="M684" s="130"/>
      <c r="N684" s="130"/>
      <c r="O684" s="130"/>
      <c r="P684" s="130"/>
      <c r="Q684" s="130"/>
      <c r="R684" s="130"/>
      <c r="S684" s="130"/>
      <c r="T684" s="130"/>
      <c r="U684" s="130"/>
      <c r="V684" s="130"/>
      <c r="W684" s="130"/>
      <c r="X684" s="163"/>
      <c r="Y684" s="163"/>
      <c r="Z684" s="163"/>
      <c r="AA684" s="163"/>
      <c r="AB684" s="163"/>
      <c r="AC684" s="163"/>
      <c r="AD684" s="163"/>
      <c r="AE684" s="163"/>
      <c r="AF684" s="163"/>
      <c r="AG684" s="163"/>
      <c r="AH684" s="163"/>
      <c r="AI684" s="163"/>
      <c r="AJ684" s="163"/>
      <c r="AK684" s="163"/>
      <c r="AL684" s="163"/>
      <c r="AM684" s="163"/>
    </row>
    <row r="685" ht="13.5" customHeight="1">
      <c r="A685" s="130"/>
      <c r="B685" s="130"/>
      <c r="C685" s="130"/>
      <c r="D685" s="130"/>
      <c r="E685" s="163"/>
      <c r="F685" s="163"/>
      <c r="G685" s="163"/>
      <c r="H685" s="130"/>
      <c r="I685" s="130"/>
      <c r="J685" s="130"/>
      <c r="K685" s="130"/>
      <c r="L685" s="163"/>
      <c r="M685" s="130"/>
      <c r="N685" s="130"/>
      <c r="O685" s="130"/>
      <c r="P685" s="130"/>
      <c r="Q685" s="130"/>
      <c r="R685" s="130"/>
      <c r="S685" s="130"/>
      <c r="T685" s="130"/>
      <c r="U685" s="130"/>
      <c r="V685" s="130"/>
      <c r="W685" s="130"/>
      <c r="X685" s="163"/>
      <c r="Y685" s="163"/>
      <c r="Z685" s="163"/>
      <c r="AA685" s="163"/>
      <c r="AB685" s="163"/>
      <c r="AC685" s="163"/>
      <c r="AD685" s="163"/>
      <c r="AE685" s="163"/>
      <c r="AF685" s="163"/>
      <c r="AG685" s="163"/>
      <c r="AH685" s="163"/>
      <c r="AI685" s="163"/>
      <c r="AJ685" s="163"/>
      <c r="AK685" s="163"/>
      <c r="AL685" s="163"/>
      <c r="AM685" s="163"/>
    </row>
    <row r="686" ht="13.5" customHeight="1">
      <c r="A686" s="130"/>
      <c r="B686" s="130"/>
      <c r="C686" s="130"/>
      <c r="D686" s="130"/>
      <c r="E686" s="163"/>
      <c r="F686" s="163"/>
      <c r="G686" s="163"/>
      <c r="H686" s="130"/>
      <c r="I686" s="130"/>
      <c r="J686" s="130"/>
      <c r="K686" s="130"/>
      <c r="L686" s="163"/>
      <c r="M686" s="130"/>
      <c r="N686" s="130"/>
      <c r="O686" s="130"/>
      <c r="P686" s="130"/>
      <c r="Q686" s="130"/>
      <c r="R686" s="130"/>
      <c r="S686" s="130"/>
      <c r="T686" s="130"/>
      <c r="U686" s="130"/>
      <c r="V686" s="130"/>
      <c r="W686" s="130"/>
      <c r="X686" s="163"/>
      <c r="Y686" s="163"/>
      <c r="Z686" s="163"/>
      <c r="AA686" s="163"/>
      <c r="AB686" s="163"/>
      <c r="AC686" s="163"/>
      <c r="AD686" s="163"/>
      <c r="AE686" s="163"/>
      <c r="AF686" s="163"/>
      <c r="AG686" s="163"/>
      <c r="AH686" s="163"/>
      <c r="AI686" s="163"/>
      <c r="AJ686" s="163"/>
      <c r="AK686" s="163"/>
      <c r="AL686" s="163"/>
      <c r="AM686" s="163"/>
    </row>
    <row r="687" ht="13.5" customHeight="1">
      <c r="A687" s="130"/>
      <c r="B687" s="130"/>
      <c r="C687" s="130"/>
      <c r="D687" s="130"/>
      <c r="E687" s="163"/>
      <c r="F687" s="163"/>
      <c r="G687" s="163"/>
      <c r="H687" s="130"/>
      <c r="I687" s="130"/>
      <c r="J687" s="130"/>
      <c r="K687" s="130"/>
      <c r="L687" s="163"/>
      <c r="M687" s="130"/>
      <c r="N687" s="130"/>
      <c r="O687" s="130"/>
      <c r="P687" s="130"/>
      <c r="Q687" s="130"/>
      <c r="R687" s="130"/>
      <c r="S687" s="130"/>
      <c r="T687" s="130"/>
      <c r="U687" s="130"/>
      <c r="V687" s="130"/>
      <c r="W687" s="130"/>
      <c r="X687" s="163"/>
      <c r="Y687" s="163"/>
      <c r="Z687" s="163"/>
      <c r="AA687" s="163"/>
      <c r="AB687" s="163"/>
      <c r="AC687" s="163"/>
      <c r="AD687" s="163"/>
      <c r="AE687" s="163"/>
      <c r="AF687" s="163"/>
      <c r="AG687" s="163"/>
      <c r="AH687" s="163"/>
      <c r="AI687" s="163"/>
      <c r="AJ687" s="163"/>
      <c r="AK687" s="163"/>
      <c r="AL687" s="163"/>
      <c r="AM687" s="163"/>
    </row>
    <row r="688" ht="13.5" customHeight="1">
      <c r="A688" s="130"/>
      <c r="B688" s="130"/>
      <c r="C688" s="130"/>
      <c r="D688" s="130"/>
      <c r="E688" s="163"/>
      <c r="F688" s="163"/>
      <c r="G688" s="163"/>
      <c r="H688" s="130"/>
      <c r="I688" s="130"/>
      <c r="J688" s="130"/>
      <c r="K688" s="130"/>
      <c r="L688" s="163"/>
      <c r="M688" s="130"/>
      <c r="N688" s="130"/>
      <c r="O688" s="130"/>
      <c r="P688" s="130"/>
      <c r="Q688" s="130"/>
      <c r="R688" s="130"/>
      <c r="S688" s="130"/>
      <c r="T688" s="130"/>
      <c r="U688" s="130"/>
      <c r="V688" s="130"/>
      <c r="W688" s="130"/>
      <c r="X688" s="163"/>
      <c r="Y688" s="163"/>
      <c r="Z688" s="163"/>
      <c r="AA688" s="163"/>
      <c r="AB688" s="163"/>
      <c r="AC688" s="163"/>
      <c r="AD688" s="163"/>
      <c r="AE688" s="163"/>
      <c r="AF688" s="163"/>
      <c r="AG688" s="163"/>
      <c r="AH688" s="163"/>
      <c r="AI688" s="163"/>
      <c r="AJ688" s="163"/>
      <c r="AK688" s="163"/>
      <c r="AL688" s="163"/>
      <c r="AM688" s="163"/>
    </row>
    <row r="689" ht="13.5" customHeight="1">
      <c r="A689" s="130"/>
      <c r="B689" s="130"/>
      <c r="C689" s="130"/>
      <c r="D689" s="130"/>
      <c r="E689" s="163"/>
      <c r="F689" s="163"/>
      <c r="G689" s="163"/>
      <c r="H689" s="130"/>
      <c r="I689" s="130"/>
      <c r="J689" s="130"/>
      <c r="K689" s="130"/>
      <c r="L689" s="163"/>
      <c r="M689" s="130"/>
      <c r="N689" s="130"/>
      <c r="O689" s="130"/>
      <c r="P689" s="130"/>
      <c r="Q689" s="130"/>
      <c r="R689" s="130"/>
      <c r="S689" s="130"/>
      <c r="T689" s="130"/>
      <c r="U689" s="130"/>
      <c r="V689" s="130"/>
      <c r="W689" s="130"/>
      <c r="X689" s="163"/>
      <c r="Y689" s="163"/>
      <c r="Z689" s="163"/>
      <c r="AA689" s="163"/>
      <c r="AB689" s="163"/>
      <c r="AC689" s="163"/>
      <c r="AD689" s="163"/>
      <c r="AE689" s="163"/>
      <c r="AF689" s="163"/>
      <c r="AG689" s="163"/>
      <c r="AH689" s="163"/>
      <c r="AI689" s="163"/>
      <c r="AJ689" s="163"/>
      <c r="AK689" s="163"/>
      <c r="AL689" s="163"/>
      <c r="AM689" s="163"/>
    </row>
    <row r="690" ht="13.5" customHeight="1">
      <c r="A690" s="130"/>
      <c r="B690" s="130"/>
      <c r="C690" s="130"/>
      <c r="D690" s="130"/>
      <c r="E690" s="163"/>
      <c r="F690" s="163"/>
      <c r="G690" s="163"/>
      <c r="H690" s="130"/>
      <c r="I690" s="130"/>
      <c r="J690" s="130"/>
      <c r="K690" s="130"/>
      <c r="L690" s="163"/>
      <c r="M690" s="130"/>
      <c r="N690" s="130"/>
      <c r="O690" s="130"/>
      <c r="P690" s="130"/>
      <c r="Q690" s="130"/>
      <c r="R690" s="130"/>
      <c r="S690" s="130"/>
      <c r="T690" s="130"/>
      <c r="U690" s="130"/>
      <c r="V690" s="130"/>
      <c r="W690" s="130"/>
      <c r="X690" s="163"/>
      <c r="Y690" s="163"/>
      <c r="Z690" s="163"/>
      <c r="AA690" s="163"/>
      <c r="AB690" s="163"/>
      <c r="AC690" s="163"/>
      <c r="AD690" s="163"/>
      <c r="AE690" s="163"/>
      <c r="AF690" s="163"/>
      <c r="AG690" s="163"/>
      <c r="AH690" s="163"/>
      <c r="AI690" s="163"/>
      <c r="AJ690" s="163"/>
      <c r="AK690" s="163"/>
      <c r="AL690" s="163"/>
      <c r="AM690" s="163"/>
    </row>
    <row r="691" ht="13.5" customHeight="1">
      <c r="A691" s="130"/>
      <c r="B691" s="130"/>
      <c r="C691" s="130"/>
      <c r="D691" s="130"/>
      <c r="E691" s="163"/>
      <c r="F691" s="163"/>
      <c r="G691" s="163"/>
      <c r="H691" s="130"/>
      <c r="I691" s="130"/>
      <c r="J691" s="130"/>
      <c r="K691" s="130"/>
      <c r="L691" s="163"/>
      <c r="M691" s="130"/>
      <c r="N691" s="130"/>
      <c r="O691" s="130"/>
      <c r="P691" s="130"/>
      <c r="Q691" s="130"/>
      <c r="R691" s="130"/>
      <c r="S691" s="130"/>
      <c r="T691" s="130"/>
      <c r="U691" s="130"/>
      <c r="V691" s="130"/>
      <c r="W691" s="130"/>
      <c r="X691" s="163"/>
      <c r="Y691" s="163"/>
      <c r="Z691" s="163"/>
      <c r="AA691" s="163"/>
      <c r="AB691" s="163"/>
      <c r="AC691" s="163"/>
      <c r="AD691" s="163"/>
      <c r="AE691" s="163"/>
      <c r="AF691" s="163"/>
      <c r="AG691" s="163"/>
      <c r="AH691" s="163"/>
      <c r="AI691" s="163"/>
      <c r="AJ691" s="163"/>
      <c r="AK691" s="163"/>
      <c r="AL691" s="163"/>
      <c r="AM691" s="163"/>
    </row>
    <row r="692" ht="13.5" customHeight="1">
      <c r="A692" s="130"/>
      <c r="B692" s="130"/>
      <c r="C692" s="130"/>
      <c r="D692" s="130"/>
      <c r="E692" s="163"/>
      <c r="F692" s="163"/>
      <c r="G692" s="163"/>
      <c r="H692" s="130"/>
      <c r="I692" s="130"/>
      <c r="J692" s="130"/>
      <c r="K692" s="130"/>
      <c r="L692" s="163"/>
      <c r="M692" s="130"/>
      <c r="N692" s="130"/>
      <c r="O692" s="130"/>
      <c r="P692" s="130"/>
      <c r="Q692" s="130"/>
      <c r="R692" s="130"/>
      <c r="S692" s="130"/>
      <c r="T692" s="130"/>
      <c r="U692" s="130"/>
      <c r="V692" s="130"/>
      <c r="W692" s="130"/>
      <c r="X692" s="163"/>
      <c r="Y692" s="163"/>
      <c r="Z692" s="163"/>
      <c r="AA692" s="163"/>
      <c r="AB692" s="163"/>
      <c r="AC692" s="163"/>
      <c r="AD692" s="163"/>
      <c r="AE692" s="163"/>
      <c r="AF692" s="163"/>
      <c r="AG692" s="163"/>
      <c r="AH692" s="163"/>
      <c r="AI692" s="163"/>
      <c r="AJ692" s="163"/>
      <c r="AK692" s="163"/>
      <c r="AL692" s="163"/>
      <c r="AM692" s="163"/>
    </row>
    <row r="693" ht="13.5" customHeight="1">
      <c r="A693" s="130"/>
      <c r="B693" s="130"/>
      <c r="C693" s="130"/>
      <c r="D693" s="130"/>
      <c r="E693" s="163"/>
      <c r="F693" s="163"/>
      <c r="G693" s="163"/>
      <c r="H693" s="130"/>
      <c r="I693" s="130"/>
      <c r="J693" s="130"/>
      <c r="K693" s="130"/>
      <c r="L693" s="163"/>
      <c r="M693" s="130"/>
      <c r="N693" s="130"/>
      <c r="O693" s="130"/>
      <c r="P693" s="130"/>
      <c r="Q693" s="130"/>
      <c r="R693" s="130"/>
      <c r="S693" s="130"/>
      <c r="T693" s="130"/>
      <c r="U693" s="130"/>
      <c r="V693" s="130"/>
      <c r="W693" s="130"/>
      <c r="X693" s="163"/>
      <c r="Y693" s="163"/>
      <c r="Z693" s="163"/>
      <c r="AA693" s="163"/>
      <c r="AB693" s="163"/>
      <c r="AC693" s="163"/>
      <c r="AD693" s="163"/>
      <c r="AE693" s="163"/>
      <c r="AF693" s="163"/>
      <c r="AG693" s="163"/>
      <c r="AH693" s="163"/>
      <c r="AI693" s="163"/>
      <c r="AJ693" s="163"/>
      <c r="AK693" s="163"/>
      <c r="AL693" s="163"/>
      <c r="AM693" s="163"/>
    </row>
    <row r="694" ht="13.5" customHeight="1">
      <c r="A694" s="130"/>
      <c r="B694" s="130"/>
      <c r="C694" s="130"/>
      <c r="D694" s="130"/>
      <c r="E694" s="163"/>
      <c r="F694" s="163"/>
      <c r="G694" s="163"/>
      <c r="H694" s="130"/>
      <c r="I694" s="130"/>
      <c r="J694" s="130"/>
      <c r="K694" s="130"/>
      <c r="L694" s="163"/>
      <c r="M694" s="130"/>
      <c r="N694" s="130"/>
      <c r="O694" s="130"/>
      <c r="P694" s="130"/>
      <c r="Q694" s="130"/>
      <c r="R694" s="130"/>
      <c r="S694" s="130"/>
      <c r="T694" s="130"/>
      <c r="U694" s="130"/>
      <c r="V694" s="130"/>
      <c r="W694" s="130"/>
      <c r="X694" s="163"/>
      <c r="Y694" s="163"/>
      <c r="Z694" s="163"/>
      <c r="AA694" s="163"/>
      <c r="AB694" s="163"/>
      <c r="AC694" s="163"/>
      <c r="AD694" s="163"/>
      <c r="AE694" s="163"/>
      <c r="AF694" s="163"/>
      <c r="AG694" s="163"/>
      <c r="AH694" s="163"/>
      <c r="AI694" s="163"/>
      <c r="AJ694" s="163"/>
      <c r="AK694" s="163"/>
      <c r="AL694" s="163"/>
      <c r="AM694" s="163"/>
    </row>
    <row r="695" ht="13.5" customHeight="1">
      <c r="A695" s="130"/>
      <c r="B695" s="130"/>
      <c r="C695" s="130"/>
      <c r="D695" s="130"/>
      <c r="E695" s="163"/>
      <c r="F695" s="163"/>
      <c r="G695" s="163"/>
      <c r="H695" s="130"/>
      <c r="I695" s="130"/>
      <c r="J695" s="130"/>
      <c r="K695" s="130"/>
      <c r="L695" s="163"/>
      <c r="M695" s="130"/>
      <c r="N695" s="130"/>
      <c r="O695" s="130"/>
      <c r="P695" s="130"/>
      <c r="Q695" s="130"/>
      <c r="R695" s="130"/>
      <c r="S695" s="130"/>
      <c r="T695" s="130"/>
      <c r="U695" s="130"/>
      <c r="V695" s="130"/>
      <c r="W695" s="130"/>
      <c r="X695" s="163"/>
      <c r="Y695" s="163"/>
      <c r="Z695" s="163"/>
      <c r="AA695" s="163"/>
      <c r="AB695" s="163"/>
      <c r="AC695" s="163"/>
      <c r="AD695" s="163"/>
      <c r="AE695" s="163"/>
      <c r="AF695" s="163"/>
      <c r="AG695" s="163"/>
      <c r="AH695" s="163"/>
      <c r="AI695" s="163"/>
      <c r="AJ695" s="163"/>
      <c r="AK695" s="163"/>
      <c r="AL695" s="163"/>
      <c r="AM695" s="163"/>
    </row>
    <row r="696" ht="13.5" customHeight="1">
      <c r="A696" s="130"/>
      <c r="B696" s="130"/>
      <c r="C696" s="130"/>
      <c r="D696" s="130"/>
      <c r="E696" s="163"/>
      <c r="F696" s="163"/>
      <c r="G696" s="163"/>
      <c r="H696" s="130"/>
      <c r="I696" s="130"/>
      <c r="J696" s="130"/>
      <c r="K696" s="130"/>
      <c r="L696" s="163"/>
      <c r="M696" s="130"/>
      <c r="N696" s="130"/>
      <c r="O696" s="130"/>
      <c r="P696" s="130"/>
      <c r="Q696" s="130"/>
      <c r="R696" s="130"/>
      <c r="S696" s="130"/>
      <c r="T696" s="130"/>
      <c r="U696" s="130"/>
      <c r="V696" s="130"/>
      <c r="W696" s="130"/>
      <c r="X696" s="163"/>
      <c r="Y696" s="163"/>
      <c r="Z696" s="163"/>
      <c r="AA696" s="163"/>
      <c r="AB696" s="163"/>
      <c r="AC696" s="163"/>
      <c r="AD696" s="163"/>
      <c r="AE696" s="163"/>
      <c r="AF696" s="163"/>
      <c r="AG696" s="163"/>
      <c r="AH696" s="163"/>
      <c r="AI696" s="163"/>
      <c r="AJ696" s="163"/>
      <c r="AK696" s="163"/>
      <c r="AL696" s="163"/>
      <c r="AM696" s="163"/>
    </row>
    <row r="697" ht="13.5" customHeight="1">
      <c r="A697" s="130"/>
      <c r="B697" s="130"/>
      <c r="C697" s="130"/>
      <c r="D697" s="130"/>
      <c r="E697" s="163"/>
      <c r="F697" s="163"/>
      <c r="G697" s="163"/>
      <c r="H697" s="130"/>
      <c r="I697" s="130"/>
      <c r="J697" s="130"/>
      <c r="K697" s="130"/>
      <c r="L697" s="163"/>
      <c r="M697" s="130"/>
      <c r="N697" s="130"/>
      <c r="O697" s="130"/>
      <c r="P697" s="130"/>
      <c r="Q697" s="130"/>
      <c r="R697" s="130"/>
      <c r="S697" s="130"/>
      <c r="T697" s="130"/>
      <c r="U697" s="130"/>
      <c r="V697" s="130"/>
      <c r="W697" s="130"/>
      <c r="X697" s="163"/>
      <c r="Y697" s="163"/>
      <c r="Z697" s="163"/>
      <c r="AA697" s="163"/>
      <c r="AB697" s="163"/>
      <c r="AC697" s="163"/>
      <c r="AD697" s="163"/>
      <c r="AE697" s="163"/>
      <c r="AF697" s="163"/>
      <c r="AG697" s="163"/>
      <c r="AH697" s="163"/>
      <c r="AI697" s="163"/>
      <c r="AJ697" s="163"/>
      <c r="AK697" s="163"/>
      <c r="AL697" s="163"/>
      <c r="AM697" s="163"/>
    </row>
    <row r="698" ht="13.5" customHeight="1">
      <c r="A698" s="130"/>
      <c r="B698" s="130"/>
      <c r="C698" s="130"/>
      <c r="D698" s="130"/>
      <c r="E698" s="163"/>
      <c r="F698" s="163"/>
      <c r="G698" s="163"/>
      <c r="H698" s="130"/>
      <c r="I698" s="130"/>
      <c r="J698" s="130"/>
      <c r="K698" s="130"/>
      <c r="L698" s="163"/>
      <c r="M698" s="130"/>
      <c r="N698" s="130"/>
      <c r="O698" s="130"/>
      <c r="P698" s="130"/>
      <c r="Q698" s="130"/>
      <c r="R698" s="130"/>
      <c r="S698" s="130"/>
      <c r="T698" s="130"/>
      <c r="U698" s="130"/>
      <c r="V698" s="130"/>
      <c r="W698" s="130"/>
      <c r="X698" s="163"/>
      <c r="Y698" s="163"/>
      <c r="Z698" s="163"/>
      <c r="AA698" s="163"/>
      <c r="AB698" s="163"/>
      <c r="AC698" s="163"/>
      <c r="AD698" s="163"/>
      <c r="AE698" s="163"/>
      <c r="AF698" s="163"/>
      <c r="AG698" s="163"/>
      <c r="AH698" s="163"/>
      <c r="AI698" s="163"/>
      <c r="AJ698" s="163"/>
      <c r="AK698" s="163"/>
      <c r="AL698" s="163"/>
      <c r="AM698" s="163"/>
    </row>
    <row r="699" ht="13.5" customHeight="1">
      <c r="A699" s="130"/>
      <c r="B699" s="130"/>
      <c r="C699" s="130"/>
      <c r="D699" s="130"/>
      <c r="E699" s="163"/>
      <c r="F699" s="163"/>
      <c r="G699" s="163"/>
      <c r="H699" s="130"/>
      <c r="I699" s="130"/>
      <c r="J699" s="130"/>
      <c r="K699" s="130"/>
      <c r="L699" s="163"/>
      <c r="M699" s="130"/>
      <c r="N699" s="130"/>
      <c r="O699" s="130"/>
      <c r="P699" s="130"/>
      <c r="Q699" s="130"/>
      <c r="R699" s="130"/>
      <c r="S699" s="130"/>
      <c r="T699" s="130"/>
      <c r="U699" s="130"/>
      <c r="V699" s="130"/>
      <c r="W699" s="130"/>
      <c r="X699" s="163"/>
      <c r="Y699" s="163"/>
      <c r="Z699" s="163"/>
      <c r="AA699" s="163"/>
      <c r="AB699" s="163"/>
      <c r="AC699" s="163"/>
      <c r="AD699" s="163"/>
      <c r="AE699" s="163"/>
      <c r="AF699" s="163"/>
      <c r="AG699" s="163"/>
      <c r="AH699" s="163"/>
      <c r="AI699" s="163"/>
      <c r="AJ699" s="163"/>
      <c r="AK699" s="163"/>
      <c r="AL699" s="163"/>
      <c r="AM699" s="163"/>
    </row>
    <row r="700" ht="13.5" customHeight="1">
      <c r="A700" s="130"/>
      <c r="B700" s="130"/>
      <c r="C700" s="130"/>
      <c r="D700" s="130"/>
      <c r="E700" s="163"/>
      <c r="F700" s="163"/>
      <c r="G700" s="163"/>
      <c r="H700" s="130"/>
      <c r="I700" s="130"/>
      <c r="J700" s="130"/>
      <c r="K700" s="130"/>
      <c r="L700" s="163"/>
      <c r="M700" s="130"/>
      <c r="N700" s="130"/>
      <c r="O700" s="130"/>
      <c r="P700" s="130"/>
      <c r="Q700" s="130"/>
      <c r="R700" s="130"/>
      <c r="S700" s="130"/>
      <c r="T700" s="130"/>
      <c r="U700" s="130"/>
      <c r="V700" s="130"/>
      <c r="W700" s="130"/>
      <c r="X700" s="163"/>
      <c r="Y700" s="163"/>
      <c r="Z700" s="163"/>
      <c r="AA700" s="163"/>
      <c r="AB700" s="163"/>
      <c r="AC700" s="163"/>
      <c r="AD700" s="163"/>
      <c r="AE700" s="163"/>
      <c r="AF700" s="163"/>
      <c r="AG700" s="163"/>
      <c r="AH700" s="163"/>
      <c r="AI700" s="163"/>
      <c r="AJ700" s="163"/>
      <c r="AK700" s="163"/>
      <c r="AL700" s="163"/>
      <c r="AM700" s="163"/>
    </row>
    <row r="701" ht="13.5" customHeight="1">
      <c r="A701" s="130"/>
      <c r="B701" s="130"/>
      <c r="C701" s="130"/>
      <c r="D701" s="130"/>
      <c r="E701" s="163"/>
      <c r="F701" s="163"/>
      <c r="G701" s="163"/>
      <c r="H701" s="130"/>
      <c r="I701" s="130"/>
      <c r="J701" s="130"/>
      <c r="K701" s="130"/>
      <c r="L701" s="163"/>
      <c r="M701" s="130"/>
      <c r="N701" s="130"/>
      <c r="O701" s="130"/>
      <c r="P701" s="130"/>
      <c r="Q701" s="130"/>
      <c r="R701" s="130"/>
      <c r="S701" s="130"/>
      <c r="T701" s="130"/>
      <c r="U701" s="130"/>
      <c r="V701" s="130"/>
      <c r="W701" s="130"/>
      <c r="X701" s="163"/>
      <c r="Y701" s="163"/>
      <c r="Z701" s="163"/>
      <c r="AA701" s="163"/>
      <c r="AB701" s="163"/>
      <c r="AC701" s="163"/>
      <c r="AD701" s="163"/>
      <c r="AE701" s="163"/>
      <c r="AF701" s="163"/>
      <c r="AG701" s="163"/>
      <c r="AH701" s="163"/>
      <c r="AI701" s="163"/>
      <c r="AJ701" s="163"/>
      <c r="AK701" s="163"/>
      <c r="AL701" s="163"/>
      <c r="AM701" s="163"/>
    </row>
    <row r="702" ht="13.5" customHeight="1">
      <c r="A702" s="130"/>
      <c r="B702" s="130"/>
      <c r="C702" s="130"/>
      <c r="D702" s="130"/>
      <c r="E702" s="163"/>
      <c r="F702" s="163"/>
      <c r="G702" s="163"/>
      <c r="H702" s="130"/>
      <c r="I702" s="130"/>
      <c r="J702" s="130"/>
      <c r="K702" s="130"/>
      <c r="L702" s="163"/>
      <c r="M702" s="130"/>
      <c r="N702" s="130"/>
      <c r="O702" s="130"/>
      <c r="P702" s="130"/>
      <c r="Q702" s="130"/>
      <c r="R702" s="130"/>
      <c r="S702" s="130"/>
      <c r="T702" s="130"/>
      <c r="U702" s="130"/>
      <c r="V702" s="130"/>
      <c r="W702" s="130"/>
      <c r="X702" s="163"/>
      <c r="Y702" s="163"/>
      <c r="Z702" s="163"/>
      <c r="AA702" s="163"/>
      <c r="AB702" s="163"/>
      <c r="AC702" s="163"/>
      <c r="AD702" s="163"/>
      <c r="AE702" s="163"/>
      <c r="AF702" s="163"/>
      <c r="AG702" s="163"/>
      <c r="AH702" s="163"/>
      <c r="AI702" s="163"/>
      <c r="AJ702" s="163"/>
      <c r="AK702" s="163"/>
      <c r="AL702" s="163"/>
      <c r="AM702" s="163"/>
    </row>
    <row r="703" ht="13.5" customHeight="1">
      <c r="A703" s="130"/>
      <c r="B703" s="130"/>
      <c r="C703" s="130"/>
      <c r="D703" s="130"/>
      <c r="E703" s="163"/>
      <c r="F703" s="163"/>
      <c r="G703" s="163"/>
      <c r="H703" s="130"/>
      <c r="I703" s="130"/>
      <c r="J703" s="130"/>
      <c r="K703" s="130"/>
      <c r="L703" s="163"/>
      <c r="M703" s="130"/>
      <c r="N703" s="130"/>
      <c r="O703" s="130"/>
      <c r="P703" s="130"/>
      <c r="Q703" s="130"/>
      <c r="R703" s="130"/>
      <c r="S703" s="130"/>
      <c r="T703" s="130"/>
      <c r="U703" s="130"/>
      <c r="V703" s="130"/>
      <c r="W703" s="130"/>
      <c r="X703" s="163"/>
      <c r="Y703" s="163"/>
      <c r="Z703" s="163"/>
      <c r="AA703" s="163"/>
      <c r="AB703" s="163"/>
      <c r="AC703" s="163"/>
      <c r="AD703" s="163"/>
      <c r="AE703" s="163"/>
      <c r="AF703" s="163"/>
      <c r="AG703" s="163"/>
      <c r="AH703" s="163"/>
      <c r="AI703" s="163"/>
      <c r="AJ703" s="163"/>
      <c r="AK703" s="163"/>
      <c r="AL703" s="163"/>
      <c r="AM703" s="163"/>
    </row>
    <row r="704" ht="13.5" customHeight="1">
      <c r="A704" s="130"/>
      <c r="B704" s="130"/>
      <c r="C704" s="130"/>
      <c r="D704" s="130"/>
      <c r="E704" s="163"/>
      <c r="F704" s="163"/>
      <c r="G704" s="163"/>
      <c r="H704" s="130"/>
      <c r="I704" s="130"/>
      <c r="J704" s="130"/>
      <c r="K704" s="130"/>
      <c r="L704" s="163"/>
      <c r="M704" s="130"/>
      <c r="N704" s="130"/>
      <c r="O704" s="130"/>
      <c r="P704" s="130"/>
      <c r="Q704" s="130"/>
      <c r="R704" s="130"/>
      <c r="S704" s="130"/>
      <c r="T704" s="130"/>
      <c r="U704" s="130"/>
      <c r="V704" s="130"/>
      <c r="W704" s="130"/>
      <c r="X704" s="163"/>
      <c r="Y704" s="163"/>
      <c r="Z704" s="163"/>
      <c r="AA704" s="163"/>
      <c r="AB704" s="163"/>
      <c r="AC704" s="163"/>
      <c r="AD704" s="163"/>
      <c r="AE704" s="163"/>
      <c r="AF704" s="163"/>
      <c r="AG704" s="163"/>
      <c r="AH704" s="163"/>
      <c r="AI704" s="163"/>
      <c r="AJ704" s="163"/>
      <c r="AK704" s="163"/>
      <c r="AL704" s="163"/>
      <c r="AM704" s="163"/>
    </row>
    <row r="705" ht="13.5" customHeight="1">
      <c r="A705" s="130"/>
      <c r="B705" s="130"/>
      <c r="C705" s="130"/>
      <c r="D705" s="130"/>
      <c r="E705" s="163"/>
      <c r="F705" s="163"/>
      <c r="G705" s="163"/>
      <c r="H705" s="130"/>
      <c r="I705" s="130"/>
      <c r="J705" s="130"/>
      <c r="K705" s="130"/>
      <c r="L705" s="163"/>
      <c r="M705" s="130"/>
      <c r="N705" s="130"/>
      <c r="O705" s="130"/>
      <c r="P705" s="130"/>
      <c r="Q705" s="130"/>
      <c r="R705" s="130"/>
      <c r="S705" s="130"/>
      <c r="T705" s="130"/>
      <c r="U705" s="130"/>
      <c r="V705" s="130"/>
      <c r="W705" s="130"/>
      <c r="X705" s="163"/>
      <c r="Y705" s="163"/>
      <c r="Z705" s="163"/>
      <c r="AA705" s="163"/>
      <c r="AB705" s="163"/>
      <c r="AC705" s="163"/>
      <c r="AD705" s="163"/>
      <c r="AE705" s="163"/>
      <c r="AF705" s="163"/>
      <c r="AG705" s="163"/>
      <c r="AH705" s="163"/>
      <c r="AI705" s="163"/>
      <c r="AJ705" s="163"/>
      <c r="AK705" s="163"/>
      <c r="AL705" s="163"/>
      <c r="AM705" s="163"/>
    </row>
    <row r="706" ht="13.5" customHeight="1">
      <c r="A706" s="130"/>
      <c r="B706" s="130"/>
      <c r="C706" s="130"/>
      <c r="D706" s="130"/>
      <c r="E706" s="163"/>
      <c r="F706" s="163"/>
      <c r="G706" s="163"/>
      <c r="H706" s="130"/>
      <c r="I706" s="130"/>
      <c r="J706" s="130"/>
      <c r="K706" s="130"/>
      <c r="L706" s="163"/>
      <c r="M706" s="130"/>
      <c r="N706" s="130"/>
      <c r="O706" s="130"/>
      <c r="P706" s="130"/>
      <c r="Q706" s="130"/>
      <c r="R706" s="130"/>
      <c r="S706" s="130"/>
      <c r="T706" s="130"/>
      <c r="U706" s="130"/>
      <c r="V706" s="130"/>
      <c r="W706" s="130"/>
      <c r="X706" s="163"/>
      <c r="Y706" s="163"/>
      <c r="Z706" s="163"/>
      <c r="AA706" s="163"/>
      <c r="AB706" s="163"/>
      <c r="AC706" s="163"/>
      <c r="AD706" s="163"/>
      <c r="AE706" s="163"/>
      <c r="AF706" s="163"/>
      <c r="AG706" s="163"/>
      <c r="AH706" s="163"/>
      <c r="AI706" s="163"/>
      <c r="AJ706" s="163"/>
      <c r="AK706" s="163"/>
      <c r="AL706" s="163"/>
      <c r="AM706" s="163"/>
    </row>
    <row r="707" ht="13.5" customHeight="1">
      <c r="A707" s="130"/>
      <c r="B707" s="130"/>
      <c r="C707" s="130"/>
      <c r="D707" s="130"/>
      <c r="E707" s="163"/>
      <c r="F707" s="163"/>
      <c r="G707" s="163"/>
      <c r="H707" s="130"/>
      <c r="I707" s="130"/>
      <c r="J707" s="130"/>
      <c r="K707" s="130"/>
      <c r="L707" s="163"/>
      <c r="M707" s="130"/>
      <c r="N707" s="130"/>
      <c r="O707" s="130"/>
      <c r="P707" s="130"/>
      <c r="Q707" s="130"/>
      <c r="R707" s="130"/>
      <c r="S707" s="130"/>
      <c r="T707" s="130"/>
      <c r="U707" s="130"/>
      <c r="V707" s="130"/>
      <c r="W707" s="130"/>
      <c r="X707" s="163"/>
      <c r="Y707" s="163"/>
      <c r="Z707" s="163"/>
      <c r="AA707" s="163"/>
      <c r="AB707" s="163"/>
      <c r="AC707" s="163"/>
      <c r="AD707" s="163"/>
      <c r="AE707" s="163"/>
      <c r="AF707" s="163"/>
      <c r="AG707" s="163"/>
      <c r="AH707" s="163"/>
      <c r="AI707" s="163"/>
      <c r="AJ707" s="163"/>
      <c r="AK707" s="163"/>
      <c r="AL707" s="163"/>
      <c r="AM707" s="163"/>
    </row>
    <row r="708" ht="13.5" customHeight="1">
      <c r="A708" s="130"/>
      <c r="B708" s="130"/>
      <c r="C708" s="130"/>
      <c r="D708" s="130"/>
      <c r="E708" s="163"/>
      <c r="F708" s="163"/>
      <c r="G708" s="163"/>
      <c r="H708" s="130"/>
      <c r="I708" s="130"/>
      <c r="J708" s="130"/>
      <c r="K708" s="130"/>
      <c r="L708" s="163"/>
      <c r="M708" s="130"/>
      <c r="N708" s="130"/>
      <c r="O708" s="130"/>
      <c r="P708" s="130"/>
      <c r="Q708" s="130"/>
      <c r="R708" s="130"/>
      <c r="S708" s="130"/>
      <c r="T708" s="130"/>
      <c r="U708" s="130"/>
      <c r="V708" s="130"/>
      <c r="W708" s="130"/>
      <c r="X708" s="163"/>
      <c r="Y708" s="163"/>
      <c r="Z708" s="163"/>
      <c r="AA708" s="163"/>
      <c r="AB708" s="163"/>
      <c r="AC708" s="163"/>
      <c r="AD708" s="163"/>
      <c r="AE708" s="163"/>
      <c r="AF708" s="163"/>
      <c r="AG708" s="163"/>
      <c r="AH708" s="163"/>
      <c r="AI708" s="163"/>
      <c r="AJ708" s="163"/>
      <c r="AK708" s="163"/>
      <c r="AL708" s="163"/>
      <c r="AM708" s="163"/>
    </row>
    <row r="709" ht="13.5" customHeight="1">
      <c r="A709" s="130"/>
      <c r="B709" s="130"/>
      <c r="C709" s="130"/>
      <c r="D709" s="130"/>
      <c r="E709" s="163"/>
      <c r="F709" s="163"/>
      <c r="G709" s="163"/>
      <c r="H709" s="130"/>
      <c r="I709" s="130"/>
      <c r="J709" s="130"/>
      <c r="K709" s="130"/>
      <c r="L709" s="163"/>
      <c r="M709" s="130"/>
      <c r="N709" s="130"/>
      <c r="O709" s="130"/>
      <c r="P709" s="130"/>
      <c r="Q709" s="130"/>
      <c r="R709" s="130"/>
      <c r="S709" s="130"/>
      <c r="T709" s="130"/>
      <c r="U709" s="130"/>
      <c r="V709" s="130"/>
      <c r="W709" s="130"/>
      <c r="X709" s="163"/>
      <c r="Y709" s="163"/>
      <c r="Z709" s="163"/>
      <c r="AA709" s="163"/>
      <c r="AB709" s="163"/>
      <c r="AC709" s="163"/>
      <c r="AD709" s="163"/>
      <c r="AE709" s="163"/>
      <c r="AF709" s="163"/>
      <c r="AG709" s="163"/>
      <c r="AH709" s="163"/>
      <c r="AI709" s="163"/>
      <c r="AJ709" s="163"/>
      <c r="AK709" s="163"/>
      <c r="AL709" s="163"/>
      <c r="AM709" s="163"/>
    </row>
    <row r="710" ht="13.5" customHeight="1">
      <c r="A710" s="130"/>
      <c r="B710" s="130"/>
      <c r="C710" s="130"/>
      <c r="D710" s="130"/>
      <c r="E710" s="163"/>
      <c r="F710" s="163"/>
      <c r="G710" s="163"/>
      <c r="H710" s="130"/>
      <c r="I710" s="130"/>
      <c r="J710" s="130"/>
      <c r="K710" s="130"/>
      <c r="L710" s="163"/>
      <c r="M710" s="130"/>
      <c r="N710" s="130"/>
      <c r="O710" s="130"/>
      <c r="P710" s="130"/>
      <c r="Q710" s="130"/>
      <c r="R710" s="130"/>
      <c r="S710" s="130"/>
      <c r="T710" s="130"/>
      <c r="U710" s="130"/>
      <c r="V710" s="130"/>
      <c r="W710" s="130"/>
      <c r="X710" s="163"/>
      <c r="Y710" s="163"/>
      <c r="Z710" s="163"/>
      <c r="AA710" s="163"/>
      <c r="AB710" s="163"/>
      <c r="AC710" s="163"/>
      <c r="AD710" s="163"/>
      <c r="AE710" s="163"/>
      <c r="AF710" s="163"/>
      <c r="AG710" s="163"/>
      <c r="AH710" s="163"/>
      <c r="AI710" s="163"/>
      <c r="AJ710" s="163"/>
      <c r="AK710" s="163"/>
      <c r="AL710" s="163"/>
      <c r="AM710" s="163"/>
    </row>
    <row r="711" ht="13.5" customHeight="1">
      <c r="A711" s="130"/>
      <c r="B711" s="130"/>
      <c r="C711" s="130"/>
      <c r="D711" s="130"/>
      <c r="E711" s="163"/>
      <c r="F711" s="163"/>
      <c r="G711" s="163"/>
      <c r="H711" s="130"/>
      <c r="I711" s="130"/>
      <c r="J711" s="130"/>
      <c r="K711" s="130"/>
      <c r="L711" s="163"/>
      <c r="M711" s="130"/>
      <c r="N711" s="130"/>
      <c r="O711" s="130"/>
      <c r="P711" s="130"/>
      <c r="Q711" s="130"/>
      <c r="R711" s="130"/>
      <c r="S711" s="130"/>
      <c r="T711" s="130"/>
      <c r="U711" s="130"/>
      <c r="V711" s="130"/>
      <c r="W711" s="130"/>
      <c r="X711" s="163"/>
      <c r="Y711" s="163"/>
      <c r="Z711" s="163"/>
      <c r="AA711" s="163"/>
      <c r="AB711" s="163"/>
      <c r="AC711" s="163"/>
      <c r="AD711" s="163"/>
      <c r="AE711" s="163"/>
      <c r="AF711" s="163"/>
      <c r="AG711" s="163"/>
      <c r="AH711" s="163"/>
      <c r="AI711" s="163"/>
      <c r="AJ711" s="163"/>
      <c r="AK711" s="163"/>
      <c r="AL711" s="163"/>
      <c r="AM711" s="163"/>
    </row>
    <row r="712" ht="13.5" customHeight="1">
      <c r="A712" s="130"/>
      <c r="B712" s="130"/>
      <c r="C712" s="130"/>
      <c r="D712" s="130"/>
      <c r="E712" s="163"/>
      <c r="F712" s="163"/>
      <c r="G712" s="163"/>
      <c r="H712" s="130"/>
      <c r="I712" s="130"/>
      <c r="J712" s="130"/>
      <c r="K712" s="130"/>
      <c r="L712" s="163"/>
      <c r="M712" s="130"/>
      <c r="N712" s="130"/>
      <c r="O712" s="130"/>
      <c r="P712" s="130"/>
      <c r="Q712" s="130"/>
      <c r="R712" s="130"/>
      <c r="S712" s="130"/>
      <c r="T712" s="130"/>
      <c r="U712" s="130"/>
      <c r="V712" s="130"/>
      <c r="W712" s="130"/>
      <c r="X712" s="163"/>
      <c r="Y712" s="163"/>
      <c r="Z712" s="163"/>
      <c r="AA712" s="163"/>
      <c r="AB712" s="163"/>
      <c r="AC712" s="163"/>
      <c r="AD712" s="163"/>
      <c r="AE712" s="163"/>
      <c r="AF712" s="163"/>
      <c r="AG712" s="163"/>
      <c r="AH712" s="163"/>
      <c r="AI712" s="163"/>
      <c r="AJ712" s="163"/>
      <c r="AK712" s="163"/>
      <c r="AL712" s="163"/>
      <c r="AM712" s="163"/>
    </row>
    <row r="713" ht="13.5" customHeight="1">
      <c r="A713" s="130"/>
      <c r="B713" s="130"/>
      <c r="C713" s="130"/>
      <c r="D713" s="130"/>
      <c r="E713" s="163"/>
      <c r="F713" s="163"/>
      <c r="G713" s="163"/>
      <c r="H713" s="130"/>
      <c r="I713" s="130"/>
      <c r="J713" s="130"/>
      <c r="K713" s="130"/>
      <c r="L713" s="163"/>
      <c r="M713" s="130"/>
      <c r="N713" s="130"/>
      <c r="O713" s="130"/>
      <c r="P713" s="130"/>
      <c r="Q713" s="130"/>
      <c r="R713" s="130"/>
      <c r="S713" s="130"/>
      <c r="T713" s="130"/>
      <c r="U713" s="130"/>
      <c r="V713" s="130"/>
      <c r="W713" s="130"/>
      <c r="X713" s="163"/>
      <c r="Y713" s="163"/>
      <c r="Z713" s="163"/>
      <c r="AA713" s="163"/>
      <c r="AB713" s="163"/>
      <c r="AC713" s="163"/>
      <c r="AD713" s="163"/>
      <c r="AE713" s="163"/>
      <c r="AF713" s="163"/>
      <c r="AG713" s="163"/>
      <c r="AH713" s="163"/>
      <c r="AI713" s="163"/>
      <c r="AJ713" s="163"/>
      <c r="AK713" s="163"/>
      <c r="AL713" s="163"/>
      <c r="AM713" s="163"/>
    </row>
    <row r="714" ht="13.5" customHeight="1">
      <c r="A714" s="130"/>
      <c r="B714" s="130"/>
      <c r="C714" s="130"/>
      <c r="D714" s="130"/>
      <c r="E714" s="163"/>
      <c r="F714" s="163"/>
      <c r="G714" s="163"/>
      <c r="H714" s="130"/>
      <c r="I714" s="130"/>
      <c r="J714" s="130"/>
      <c r="K714" s="130"/>
      <c r="L714" s="163"/>
      <c r="M714" s="130"/>
      <c r="N714" s="130"/>
      <c r="O714" s="130"/>
      <c r="P714" s="130"/>
      <c r="Q714" s="130"/>
      <c r="R714" s="130"/>
      <c r="S714" s="130"/>
      <c r="T714" s="130"/>
      <c r="U714" s="130"/>
      <c r="V714" s="130"/>
      <c r="W714" s="130"/>
      <c r="X714" s="163"/>
      <c r="Y714" s="163"/>
      <c r="Z714" s="163"/>
      <c r="AA714" s="163"/>
      <c r="AB714" s="163"/>
      <c r="AC714" s="163"/>
      <c r="AD714" s="163"/>
      <c r="AE714" s="163"/>
      <c r="AF714" s="163"/>
      <c r="AG714" s="163"/>
      <c r="AH714" s="163"/>
      <c r="AI714" s="163"/>
      <c r="AJ714" s="163"/>
      <c r="AK714" s="163"/>
      <c r="AL714" s="163"/>
      <c r="AM714" s="163"/>
    </row>
    <row r="715" ht="13.5" customHeight="1">
      <c r="A715" s="130"/>
      <c r="B715" s="130"/>
      <c r="C715" s="130"/>
      <c r="D715" s="130"/>
      <c r="E715" s="163"/>
      <c r="F715" s="163"/>
      <c r="G715" s="163"/>
      <c r="H715" s="130"/>
      <c r="I715" s="130"/>
      <c r="J715" s="130"/>
      <c r="K715" s="130"/>
      <c r="L715" s="163"/>
      <c r="M715" s="130"/>
      <c r="N715" s="130"/>
      <c r="O715" s="130"/>
      <c r="P715" s="130"/>
      <c r="Q715" s="130"/>
      <c r="R715" s="130"/>
      <c r="S715" s="130"/>
      <c r="T715" s="130"/>
      <c r="U715" s="130"/>
      <c r="V715" s="130"/>
      <c r="W715" s="130"/>
      <c r="X715" s="163"/>
      <c r="Y715" s="163"/>
      <c r="Z715" s="163"/>
      <c r="AA715" s="163"/>
      <c r="AB715" s="163"/>
      <c r="AC715" s="163"/>
      <c r="AD715" s="163"/>
      <c r="AE715" s="163"/>
      <c r="AF715" s="163"/>
      <c r="AG715" s="163"/>
      <c r="AH715" s="163"/>
      <c r="AI715" s="163"/>
      <c r="AJ715" s="163"/>
      <c r="AK715" s="163"/>
      <c r="AL715" s="163"/>
      <c r="AM715" s="163"/>
    </row>
    <row r="716" ht="13.5" customHeight="1">
      <c r="A716" s="130"/>
      <c r="B716" s="130"/>
      <c r="C716" s="130"/>
      <c r="D716" s="130"/>
      <c r="E716" s="163"/>
      <c r="F716" s="163"/>
      <c r="G716" s="163"/>
      <c r="H716" s="130"/>
      <c r="I716" s="130"/>
      <c r="J716" s="130"/>
      <c r="K716" s="130"/>
      <c r="L716" s="163"/>
      <c r="M716" s="130"/>
      <c r="N716" s="130"/>
      <c r="O716" s="130"/>
      <c r="P716" s="130"/>
      <c r="Q716" s="130"/>
      <c r="R716" s="130"/>
      <c r="S716" s="130"/>
      <c r="T716" s="130"/>
      <c r="U716" s="130"/>
      <c r="V716" s="130"/>
      <c r="W716" s="130"/>
      <c r="X716" s="163"/>
      <c r="Y716" s="163"/>
      <c r="Z716" s="163"/>
      <c r="AA716" s="163"/>
      <c r="AB716" s="163"/>
      <c r="AC716" s="163"/>
      <c r="AD716" s="163"/>
      <c r="AE716" s="163"/>
      <c r="AF716" s="163"/>
      <c r="AG716" s="163"/>
      <c r="AH716" s="163"/>
      <c r="AI716" s="163"/>
      <c r="AJ716" s="163"/>
      <c r="AK716" s="163"/>
      <c r="AL716" s="163"/>
      <c r="AM716" s="163"/>
    </row>
    <row r="717" ht="13.5" customHeight="1">
      <c r="A717" s="130"/>
      <c r="B717" s="130"/>
      <c r="C717" s="130"/>
      <c r="D717" s="130"/>
      <c r="E717" s="163"/>
      <c r="F717" s="163"/>
      <c r="G717" s="163"/>
      <c r="H717" s="130"/>
      <c r="I717" s="130"/>
      <c r="J717" s="130"/>
      <c r="K717" s="130"/>
      <c r="L717" s="163"/>
      <c r="M717" s="130"/>
      <c r="N717" s="130"/>
      <c r="O717" s="130"/>
      <c r="P717" s="130"/>
      <c r="Q717" s="130"/>
      <c r="R717" s="130"/>
      <c r="S717" s="130"/>
      <c r="T717" s="130"/>
      <c r="U717" s="130"/>
      <c r="V717" s="130"/>
      <c r="W717" s="130"/>
      <c r="X717" s="163"/>
      <c r="Y717" s="163"/>
      <c r="Z717" s="163"/>
      <c r="AA717" s="163"/>
      <c r="AB717" s="163"/>
      <c r="AC717" s="163"/>
      <c r="AD717" s="163"/>
      <c r="AE717" s="163"/>
      <c r="AF717" s="163"/>
      <c r="AG717" s="163"/>
      <c r="AH717" s="163"/>
      <c r="AI717" s="163"/>
      <c r="AJ717" s="163"/>
      <c r="AK717" s="163"/>
      <c r="AL717" s="163"/>
      <c r="AM717" s="163"/>
    </row>
    <row r="718" ht="13.5" customHeight="1">
      <c r="A718" s="130"/>
      <c r="B718" s="130"/>
      <c r="C718" s="130"/>
      <c r="D718" s="130"/>
      <c r="E718" s="163"/>
      <c r="F718" s="163"/>
      <c r="G718" s="163"/>
      <c r="H718" s="130"/>
      <c r="I718" s="130"/>
      <c r="J718" s="130"/>
      <c r="K718" s="130"/>
      <c r="L718" s="163"/>
      <c r="M718" s="130"/>
      <c r="N718" s="130"/>
      <c r="O718" s="130"/>
      <c r="P718" s="130"/>
      <c r="Q718" s="130"/>
      <c r="R718" s="130"/>
      <c r="S718" s="130"/>
      <c r="T718" s="130"/>
      <c r="U718" s="130"/>
      <c r="V718" s="130"/>
      <c r="W718" s="130"/>
      <c r="X718" s="163"/>
      <c r="Y718" s="163"/>
      <c r="Z718" s="163"/>
      <c r="AA718" s="163"/>
      <c r="AB718" s="163"/>
      <c r="AC718" s="163"/>
      <c r="AD718" s="163"/>
      <c r="AE718" s="163"/>
      <c r="AF718" s="163"/>
      <c r="AG718" s="163"/>
      <c r="AH718" s="163"/>
      <c r="AI718" s="163"/>
      <c r="AJ718" s="163"/>
      <c r="AK718" s="163"/>
      <c r="AL718" s="163"/>
      <c r="AM718" s="163"/>
    </row>
    <row r="719" ht="13.5" customHeight="1">
      <c r="A719" s="130"/>
      <c r="B719" s="130"/>
      <c r="C719" s="130"/>
      <c r="D719" s="130"/>
      <c r="E719" s="163"/>
      <c r="F719" s="163"/>
      <c r="G719" s="163"/>
      <c r="H719" s="130"/>
      <c r="I719" s="130"/>
      <c r="J719" s="130"/>
      <c r="K719" s="130"/>
      <c r="L719" s="163"/>
      <c r="M719" s="130"/>
      <c r="N719" s="130"/>
      <c r="O719" s="130"/>
      <c r="P719" s="130"/>
      <c r="Q719" s="130"/>
      <c r="R719" s="130"/>
      <c r="S719" s="130"/>
      <c r="T719" s="130"/>
      <c r="U719" s="130"/>
      <c r="V719" s="130"/>
      <c r="W719" s="130"/>
      <c r="X719" s="163"/>
      <c r="Y719" s="163"/>
      <c r="Z719" s="163"/>
      <c r="AA719" s="163"/>
      <c r="AB719" s="163"/>
      <c r="AC719" s="163"/>
      <c r="AD719" s="163"/>
      <c r="AE719" s="163"/>
      <c r="AF719" s="163"/>
      <c r="AG719" s="163"/>
      <c r="AH719" s="163"/>
      <c r="AI719" s="163"/>
      <c r="AJ719" s="163"/>
      <c r="AK719" s="163"/>
      <c r="AL719" s="163"/>
      <c r="AM719" s="163"/>
    </row>
    <row r="720" ht="13.5" customHeight="1">
      <c r="A720" s="130"/>
      <c r="B720" s="130"/>
      <c r="C720" s="130"/>
      <c r="D720" s="130"/>
      <c r="E720" s="163"/>
      <c r="F720" s="163"/>
      <c r="G720" s="163"/>
      <c r="H720" s="130"/>
      <c r="I720" s="130"/>
      <c r="J720" s="130"/>
      <c r="K720" s="130"/>
      <c r="L720" s="163"/>
      <c r="M720" s="130"/>
      <c r="N720" s="130"/>
      <c r="O720" s="130"/>
      <c r="P720" s="130"/>
      <c r="Q720" s="130"/>
      <c r="R720" s="130"/>
      <c r="S720" s="130"/>
      <c r="T720" s="130"/>
      <c r="U720" s="130"/>
      <c r="V720" s="130"/>
      <c r="W720" s="130"/>
      <c r="X720" s="163"/>
      <c r="Y720" s="163"/>
      <c r="Z720" s="163"/>
      <c r="AA720" s="163"/>
      <c r="AB720" s="163"/>
      <c r="AC720" s="163"/>
      <c r="AD720" s="163"/>
      <c r="AE720" s="163"/>
      <c r="AF720" s="163"/>
      <c r="AG720" s="163"/>
      <c r="AH720" s="163"/>
      <c r="AI720" s="163"/>
      <c r="AJ720" s="163"/>
      <c r="AK720" s="163"/>
      <c r="AL720" s="163"/>
      <c r="AM720" s="163"/>
    </row>
    <row r="721" ht="13.5" customHeight="1">
      <c r="A721" s="130"/>
      <c r="B721" s="130"/>
      <c r="C721" s="130"/>
      <c r="D721" s="130"/>
      <c r="E721" s="163"/>
      <c r="F721" s="163"/>
      <c r="G721" s="163"/>
      <c r="H721" s="130"/>
      <c r="I721" s="130"/>
      <c r="J721" s="130"/>
      <c r="K721" s="130"/>
      <c r="L721" s="163"/>
      <c r="M721" s="130"/>
      <c r="N721" s="130"/>
      <c r="O721" s="130"/>
      <c r="P721" s="130"/>
      <c r="Q721" s="130"/>
      <c r="R721" s="130"/>
      <c r="S721" s="130"/>
      <c r="T721" s="130"/>
      <c r="U721" s="130"/>
      <c r="V721" s="130"/>
      <c r="W721" s="130"/>
      <c r="X721" s="163"/>
      <c r="Y721" s="163"/>
      <c r="Z721" s="163"/>
      <c r="AA721" s="163"/>
      <c r="AB721" s="163"/>
      <c r="AC721" s="163"/>
      <c r="AD721" s="163"/>
      <c r="AE721" s="163"/>
      <c r="AF721" s="163"/>
      <c r="AG721" s="163"/>
      <c r="AH721" s="163"/>
      <c r="AI721" s="163"/>
      <c r="AJ721" s="163"/>
      <c r="AK721" s="163"/>
      <c r="AL721" s="163"/>
      <c r="AM721" s="163"/>
    </row>
    <row r="722" ht="13.5" customHeight="1">
      <c r="A722" s="130"/>
      <c r="B722" s="130"/>
      <c r="C722" s="130"/>
      <c r="D722" s="130"/>
      <c r="E722" s="163"/>
      <c r="F722" s="163"/>
      <c r="G722" s="163"/>
      <c r="H722" s="130"/>
      <c r="I722" s="130"/>
      <c r="J722" s="130"/>
      <c r="K722" s="130"/>
      <c r="L722" s="163"/>
      <c r="M722" s="130"/>
      <c r="N722" s="130"/>
      <c r="O722" s="130"/>
      <c r="P722" s="130"/>
      <c r="Q722" s="130"/>
      <c r="R722" s="130"/>
      <c r="S722" s="130"/>
      <c r="T722" s="130"/>
      <c r="U722" s="130"/>
      <c r="V722" s="130"/>
      <c r="W722" s="130"/>
      <c r="X722" s="163"/>
      <c r="Y722" s="163"/>
      <c r="Z722" s="163"/>
      <c r="AA722" s="163"/>
      <c r="AB722" s="163"/>
      <c r="AC722" s="163"/>
      <c r="AD722" s="163"/>
      <c r="AE722" s="163"/>
      <c r="AF722" s="163"/>
      <c r="AG722" s="163"/>
      <c r="AH722" s="163"/>
      <c r="AI722" s="163"/>
      <c r="AJ722" s="163"/>
      <c r="AK722" s="163"/>
      <c r="AL722" s="163"/>
      <c r="AM722" s="163"/>
    </row>
    <row r="723" ht="13.5" customHeight="1">
      <c r="A723" s="130"/>
      <c r="B723" s="130"/>
      <c r="C723" s="130"/>
      <c r="D723" s="130"/>
      <c r="E723" s="163"/>
      <c r="F723" s="163"/>
      <c r="G723" s="163"/>
      <c r="H723" s="130"/>
      <c r="I723" s="130"/>
      <c r="J723" s="130"/>
      <c r="K723" s="130"/>
      <c r="L723" s="163"/>
      <c r="M723" s="130"/>
      <c r="N723" s="130"/>
      <c r="O723" s="130"/>
      <c r="P723" s="130"/>
      <c r="Q723" s="130"/>
      <c r="R723" s="130"/>
      <c r="S723" s="130"/>
      <c r="T723" s="130"/>
      <c r="U723" s="130"/>
      <c r="V723" s="130"/>
      <c r="W723" s="130"/>
      <c r="X723" s="163"/>
      <c r="Y723" s="163"/>
      <c r="Z723" s="163"/>
      <c r="AA723" s="163"/>
      <c r="AB723" s="163"/>
      <c r="AC723" s="163"/>
      <c r="AD723" s="163"/>
      <c r="AE723" s="163"/>
      <c r="AF723" s="163"/>
      <c r="AG723" s="163"/>
      <c r="AH723" s="163"/>
      <c r="AI723" s="163"/>
      <c r="AJ723" s="163"/>
      <c r="AK723" s="163"/>
      <c r="AL723" s="163"/>
      <c r="AM723" s="163"/>
    </row>
    <row r="724" ht="13.5" customHeight="1">
      <c r="A724" s="130"/>
      <c r="B724" s="130"/>
      <c r="C724" s="130"/>
      <c r="D724" s="130"/>
      <c r="E724" s="163"/>
      <c r="F724" s="163"/>
      <c r="G724" s="163"/>
      <c r="H724" s="130"/>
      <c r="I724" s="130"/>
      <c r="J724" s="130"/>
      <c r="K724" s="130"/>
      <c r="L724" s="163"/>
      <c r="M724" s="130"/>
      <c r="N724" s="130"/>
      <c r="O724" s="130"/>
      <c r="P724" s="130"/>
      <c r="Q724" s="130"/>
      <c r="R724" s="130"/>
      <c r="S724" s="130"/>
      <c r="T724" s="130"/>
      <c r="U724" s="130"/>
      <c r="V724" s="130"/>
      <c r="W724" s="130"/>
      <c r="X724" s="163"/>
      <c r="Y724" s="163"/>
      <c r="Z724" s="163"/>
      <c r="AA724" s="163"/>
      <c r="AB724" s="163"/>
      <c r="AC724" s="163"/>
      <c r="AD724" s="163"/>
      <c r="AE724" s="163"/>
      <c r="AF724" s="163"/>
      <c r="AG724" s="163"/>
      <c r="AH724" s="163"/>
      <c r="AI724" s="163"/>
      <c r="AJ724" s="163"/>
      <c r="AK724" s="163"/>
      <c r="AL724" s="163"/>
      <c r="AM724" s="163"/>
    </row>
    <row r="725" ht="13.5" customHeight="1">
      <c r="A725" s="130"/>
      <c r="B725" s="130"/>
      <c r="C725" s="130"/>
      <c r="D725" s="130"/>
      <c r="E725" s="163"/>
      <c r="F725" s="163"/>
      <c r="G725" s="163"/>
      <c r="H725" s="130"/>
      <c r="I725" s="130"/>
      <c r="J725" s="130"/>
      <c r="K725" s="130"/>
      <c r="L725" s="163"/>
      <c r="M725" s="130"/>
      <c r="N725" s="130"/>
      <c r="O725" s="130"/>
      <c r="P725" s="130"/>
      <c r="Q725" s="130"/>
      <c r="R725" s="130"/>
      <c r="S725" s="130"/>
      <c r="T725" s="130"/>
      <c r="U725" s="130"/>
      <c r="V725" s="130"/>
      <c r="W725" s="130"/>
      <c r="X725" s="163"/>
      <c r="Y725" s="163"/>
      <c r="Z725" s="163"/>
      <c r="AA725" s="163"/>
      <c r="AB725" s="163"/>
      <c r="AC725" s="163"/>
      <c r="AD725" s="163"/>
      <c r="AE725" s="163"/>
      <c r="AF725" s="163"/>
      <c r="AG725" s="163"/>
      <c r="AH725" s="163"/>
      <c r="AI725" s="163"/>
      <c r="AJ725" s="163"/>
      <c r="AK725" s="163"/>
      <c r="AL725" s="163"/>
      <c r="AM725" s="163"/>
    </row>
    <row r="726" ht="13.5" customHeight="1">
      <c r="A726" s="130"/>
      <c r="B726" s="130"/>
      <c r="C726" s="130"/>
      <c r="D726" s="130"/>
      <c r="E726" s="163"/>
      <c r="F726" s="163"/>
      <c r="G726" s="163"/>
      <c r="H726" s="130"/>
      <c r="I726" s="130"/>
      <c r="J726" s="130"/>
      <c r="K726" s="130"/>
      <c r="L726" s="163"/>
      <c r="M726" s="130"/>
      <c r="N726" s="130"/>
      <c r="O726" s="130"/>
      <c r="P726" s="130"/>
      <c r="Q726" s="130"/>
      <c r="R726" s="130"/>
      <c r="S726" s="130"/>
      <c r="T726" s="130"/>
      <c r="U726" s="130"/>
      <c r="V726" s="130"/>
      <c r="W726" s="130"/>
      <c r="X726" s="163"/>
      <c r="Y726" s="163"/>
      <c r="Z726" s="163"/>
      <c r="AA726" s="163"/>
      <c r="AB726" s="163"/>
      <c r="AC726" s="163"/>
      <c r="AD726" s="163"/>
      <c r="AE726" s="163"/>
      <c r="AF726" s="163"/>
      <c r="AG726" s="163"/>
      <c r="AH726" s="163"/>
      <c r="AI726" s="163"/>
      <c r="AJ726" s="163"/>
      <c r="AK726" s="163"/>
      <c r="AL726" s="163"/>
      <c r="AM726" s="163"/>
    </row>
    <row r="727" ht="13.5" customHeight="1">
      <c r="A727" s="130"/>
      <c r="B727" s="130"/>
      <c r="C727" s="130"/>
      <c r="D727" s="130"/>
      <c r="E727" s="163"/>
      <c r="F727" s="163"/>
      <c r="G727" s="163"/>
      <c r="H727" s="130"/>
      <c r="I727" s="130"/>
      <c r="J727" s="130"/>
      <c r="K727" s="130"/>
      <c r="L727" s="163"/>
      <c r="M727" s="130"/>
      <c r="N727" s="130"/>
      <c r="O727" s="130"/>
      <c r="P727" s="130"/>
      <c r="Q727" s="130"/>
      <c r="R727" s="130"/>
      <c r="S727" s="130"/>
      <c r="T727" s="130"/>
      <c r="U727" s="130"/>
      <c r="V727" s="130"/>
      <c r="W727" s="130"/>
      <c r="X727" s="163"/>
      <c r="Y727" s="163"/>
      <c r="Z727" s="163"/>
      <c r="AA727" s="163"/>
      <c r="AB727" s="163"/>
      <c r="AC727" s="163"/>
      <c r="AD727" s="163"/>
      <c r="AE727" s="163"/>
      <c r="AF727" s="163"/>
      <c r="AG727" s="163"/>
      <c r="AH727" s="163"/>
      <c r="AI727" s="163"/>
      <c r="AJ727" s="163"/>
      <c r="AK727" s="163"/>
      <c r="AL727" s="163"/>
      <c r="AM727" s="163"/>
    </row>
    <row r="728" ht="13.5" customHeight="1">
      <c r="A728" s="130"/>
      <c r="B728" s="130"/>
      <c r="C728" s="130"/>
      <c r="D728" s="130"/>
      <c r="E728" s="163"/>
      <c r="F728" s="163"/>
      <c r="G728" s="163"/>
      <c r="H728" s="130"/>
      <c r="I728" s="130"/>
      <c r="J728" s="130"/>
      <c r="K728" s="130"/>
      <c r="L728" s="163"/>
      <c r="M728" s="130"/>
      <c r="N728" s="130"/>
      <c r="O728" s="130"/>
      <c r="P728" s="130"/>
      <c r="Q728" s="130"/>
      <c r="R728" s="130"/>
      <c r="S728" s="130"/>
      <c r="T728" s="130"/>
      <c r="U728" s="130"/>
      <c r="V728" s="130"/>
      <c r="W728" s="130"/>
      <c r="X728" s="163"/>
      <c r="Y728" s="163"/>
      <c r="Z728" s="163"/>
      <c r="AA728" s="163"/>
      <c r="AB728" s="163"/>
      <c r="AC728" s="163"/>
      <c r="AD728" s="163"/>
      <c r="AE728" s="163"/>
      <c r="AF728" s="163"/>
      <c r="AG728" s="163"/>
      <c r="AH728" s="163"/>
      <c r="AI728" s="163"/>
      <c r="AJ728" s="163"/>
      <c r="AK728" s="163"/>
      <c r="AL728" s="163"/>
      <c r="AM728" s="163"/>
    </row>
    <row r="729" ht="13.5" customHeight="1">
      <c r="A729" s="130"/>
      <c r="B729" s="130"/>
      <c r="C729" s="130"/>
      <c r="D729" s="130"/>
      <c r="E729" s="163"/>
      <c r="F729" s="163"/>
      <c r="G729" s="163"/>
      <c r="H729" s="130"/>
      <c r="I729" s="130"/>
      <c r="J729" s="130"/>
      <c r="K729" s="130"/>
      <c r="L729" s="163"/>
      <c r="M729" s="130"/>
      <c r="N729" s="130"/>
      <c r="O729" s="130"/>
      <c r="P729" s="130"/>
      <c r="Q729" s="130"/>
      <c r="R729" s="130"/>
      <c r="S729" s="130"/>
      <c r="T729" s="130"/>
      <c r="U729" s="130"/>
      <c r="V729" s="130"/>
      <c r="W729" s="130"/>
      <c r="X729" s="163"/>
      <c r="Y729" s="163"/>
      <c r="Z729" s="163"/>
      <c r="AA729" s="163"/>
      <c r="AB729" s="163"/>
      <c r="AC729" s="163"/>
      <c r="AD729" s="163"/>
      <c r="AE729" s="163"/>
      <c r="AF729" s="163"/>
      <c r="AG729" s="163"/>
      <c r="AH729" s="163"/>
      <c r="AI729" s="163"/>
      <c r="AJ729" s="163"/>
      <c r="AK729" s="163"/>
      <c r="AL729" s="163"/>
      <c r="AM729" s="163"/>
    </row>
    <row r="730" ht="13.5" customHeight="1">
      <c r="A730" s="130"/>
      <c r="B730" s="130"/>
      <c r="C730" s="130"/>
      <c r="D730" s="130"/>
      <c r="E730" s="163"/>
      <c r="F730" s="163"/>
      <c r="G730" s="163"/>
      <c r="H730" s="130"/>
      <c r="I730" s="130"/>
      <c r="J730" s="130"/>
      <c r="K730" s="130"/>
      <c r="L730" s="163"/>
      <c r="M730" s="130"/>
      <c r="N730" s="130"/>
      <c r="O730" s="130"/>
      <c r="P730" s="130"/>
      <c r="Q730" s="130"/>
      <c r="R730" s="130"/>
      <c r="S730" s="130"/>
      <c r="T730" s="130"/>
      <c r="U730" s="130"/>
      <c r="V730" s="130"/>
      <c r="W730" s="130"/>
      <c r="X730" s="163"/>
      <c r="Y730" s="163"/>
      <c r="Z730" s="163"/>
      <c r="AA730" s="163"/>
      <c r="AB730" s="163"/>
      <c r="AC730" s="163"/>
      <c r="AD730" s="163"/>
      <c r="AE730" s="163"/>
      <c r="AF730" s="163"/>
      <c r="AG730" s="163"/>
      <c r="AH730" s="163"/>
      <c r="AI730" s="163"/>
      <c r="AJ730" s="163"/>
      <c r="AK730" s="163"/>
      <c r="AL730" s="163"/>
      <c r="AM730" s="163"/>
    </row>
    <row r="731" ht="13.5" customHeight="1">
      <c r="A731" s="130"/>
      <c r="B731" s="130"/>
      <c r="C731" s="130"/>
      <c r="D731" s="130"/>
      <c r="E731" s="163"/>
      <c r="F731" s="163"/>
      <c r="G731" s="163"/>
      <c r="H731" s="130"/>
      <c r="I731" s="130"/>
      <c r="J731" s="130"/>
      <c r="K731" s="130"/>
      <c r="L731" s="163"/>
      <c r="M731" s="130"/>
      <c r="N731" s="130"/>
      <c r="O731" s="130"/>
      <c r="P731" s="130"/>
      <c r="Q731" s="130"/>
      <c r="R731" s="130"/>
      <c r="S731" s="130"/>
      <c r="T731" s="130"/>
      <c r="U731" s="130"/>
      <c r="V731" s="130"/>
      <c r="W731" s="130"/>
      <c r="X731" s="163"/>
      <c r="Y731" s="163"/>
      <c r="Z731" s="163"/>
      <c r="AA731" s="163"/>
      <c r="AB731" s="163"/>
      <c r="AC731" s="163"/>
      <c r="AD731" s="163"/>
      <c r="AE731" s="163"/>
      <c r="AF731" s="163"/>
      <c r="AG731" s="163"/>
      <c r="AH731" s="163"/>
      <c r="AI731" s="163"/>
      <c r="AJ731" s="163"/>
      <c r="AK731" s="163"/>
      <c r="AL731" s="163"/>
      <c r="AM731" s="163"/>
    </row>
    <row r="732" ht="13.5" customHeight="1">
      <c r="A732" s="130"/>
      <c r="B732" s="130"/>
      <c r="C732" s="130"/>
      <c r="D732" s="130"/>
      <c r="E732" s="163"/>
      <c r="F732" s="163"/>
      <c r="G732" s="163"/>
      <c r="H732" s="130"/>
      <c r="I732" s="130"/>
      <c r="J732" s="130"/>
      <c r="K732" s="130"/>
      <c r="L732" s="163"/>
      <c r="M732" s="130"/>
      <c r="N732" s="130"/>
      <c r="O732" s="130"/>
      <c r="P732" s="130"/>
      <c r="Q732" s="130"/>
      <c r="R732" s="130"/>
      <c r="S732" s="130"/>
      <c r="T732" s="130"/>
      <c r="U732" s="130"/>
      <c r="V732" s="130"/>
      <c r="W732" s="130"/>
      <c r="X732" s="163"/>
      <c r="Y732" s="163"/>
      <c r="Z732" s="163"/>
      <c r="AA732" s="163"/>
      <c r="AB732" s="163"/>
      <c r="AC732" s="163"/>
      <c r="AD732" s="163"/>
      <c r="AE732" s="163"/>
      <c r="AF732" s="163"/>
      <c r="AG732" s="163"/>
      <c r="AH732" s="163"/>
      <c r="AI732" s="163"/>
      <c r="AJ732" s="163"/>
      <c r="AK732" s="163"/>
      <c r="AL732" s="163"/>
      <c r="AM732" s="163"/>
    </row>
    <row r="733" ht="13.5" customHeight="1">
      <c r="A733" s="130"/>
      <c r="B733" s="130"/>
      <c r="C733" s="130"/>
      <c r="D733" s="130"/>
      <c r="E733" s="163"/>
      <c r="F733" s="163"/>
      <c r="G733" s="163"/>
      <c r="H733" s="130"/>
      <c r="I733" s="130"/>
      <c r="J733" s="130"/>
      <c r="K733" s="130"/>
      <c r="L733" s="163"/>
      <c r="M733" s="130"/>
      <c r="N733" s="130"/>
      <c r="O733" s="130"/>
      <c r="P733" s="130"/>
      <c r="Q733" s="130"/>
      <c r="R733" s="130"/>
      <c r="S733" s="130"/>
      <c r="T733" s="130"/>
      <c r="U733" s="130"/>
      <c r="V733" s="130"/>
      <c r="W733" s="130"/>
      <c r="X733" s="163"/>
      <c r="Y733" s="163"/>
      <c r="Z733" s="163"/>
      <c r="AA733" s="163"/>
      <c r="AB733" s="163"/>
      <c r="AC733" s="163"/>
      <c r="AD733" s="163"/>
      <c r="AE733" s="163"/>
      <c r="AF733" s="163"/>
      <c r="AG733" s="163"/>
      <c r="AH733" s="163"/>
      <c r="AI733" s="163"/>
      <c r="AJ733" s="163"/>
      <c r="AK733" s="163"/>
      <c r="AL733" s="163"/>
      <c r="AM733" s="163"/>
    </row>
    <row r="734" ht="13.5" customHeight="1">
      <c r="A734" s="130"/>
      <c r="B734" s="130"/>
      <c r="C734" s="130"/>
      <c r="D734" s="130"/>
      <c r="E734" s="163"/>
      <c r="F734" s="163"/>
      <c r="G734" s="163"/>
      <c r="H734" s="130"/>
      <c r="I734" s="130"/>
      <c r="J734" s="130"/>
      <c r="K734" s="130"/>
      <c r="L734" s="163"/>
      <c r="M734" s="130"/>
      <c r="N734" s="130"/>
      <c r="O734" s="130"/>
      <c r="P734" s="130"/>
      <c r="Q734" s="130"/>
      <c r="R734" s="130"/>
      <c r="S734" s="130"/>
      <c r="T734" s="130"/>
      <c r="U734" s="130"/>
      <c r="V734" s="130"/>
      <c r="W734" s="130"/>
      <c r="X734" s="163"/>
      <c r="Y734" s="163"/>
      <c r="Z734" s="163"/>
      <c r="AA734" s="163"/>
      <c r="AB734" s="163"/>
      <c r="AC734" s="163"/>
      <c r="AD734" s="163"/>
      <c r="AE734" s="163"/>
      <c r="AF734" s="163"/>
      <c r="AG734" s="163"/>
      <c r="AH734" s="163"/>
      <c r="AI734" s="163"/>
      <c r="AJ734" s="163"/>
      <c r="AK734" s="163"/>
      <c r="AL734" s="163"/>
      <c r="AM734" s="163"/>
    </row>
    <row r="735" ht="13.5" customHeight="1">
      <c r="A735" s="130"/>
      <c r="B735" s="130"/>
      <c r="C735" s="130"/>
      <c r="D735" s="130"/>
      <c r="E735" s="163"/>
      <c r="F735" s="163"/>
      <c r="G735" s="163"/>
      <c r="H735" s="130"/>
      <c r="I735" s="130"/>
      <c r="J735" s="130"/>
      <c r="K735" s="130"/>
      <c r="L735" s="163"/>
      <c r="M735" s="130"/>
      <c r="N735" s="130"/>
      <c r="O735" s="130"/>
      <c r="P735" s="130"/>
      <c r="Q735" s="130"/>
      <c r="R735" s="130"/>
      <c r="S735" s="130"/>
      <c r="T735" s="130"/>
      <c r="U735" s="130"/>
      <c r="V735" s="130"/>
      <c r="W735" s="130"/>
      <c r="X735" s="163"/>
      <c r="Y735" s="163"/>
      <c r="Z735" s="163"/>
      <c r="AA735" s="163"/>
      <c r="AB735" s="163"/>
      <c r="AC735" s="163"/>
      <c r="AD735" s="163"/>
      <c r="AE735" s="163"/>
      <c r="AF735" s="163"/>
      <c r="AG735" s="163"/>
      <c r="AH735" s="163"/>
      <c r="AI735" s="163"/>
      <c r="AJ735" s="163"/>
      <c r="AK735" s="163"/>
      <c r="AL735" s="163"/>
      <c r="AM735" s="163"/>
    </row>
    <row r="736" ht="13.5" customHeight="1">
      <c r="A736" s="130"/>
      <c r="B736" s="130"/>
      <c r="C736" s="130"/>
      <c r="D736" s="130"/>
      <c r="E736" s="163"/>
      <c r="F736" s="163"/>
      <c r="G736" s="163"/>
      <c r="H736" s="130"/>
      <c r="I736" s="130"/>
      <c r="J736" s="130"/>
      <c r="K736" s="130"/>
      <c r="L736" s="163"/>
      <c r="M736" s="130"/>
      <c r="N736" s="130"/>
      <c r="O736" s="130"/>
      <c r="P736" s="130"/>
      <c r="Q736" s="130"/>
      <c r="R736" s="130"/>
      <c r="S736" s="130"/>
      <c r="T736" s="130"/>
      <c r="U736" s="130"/>
      <c r="V736" s="130"/>
      <c r="W736" s="130"/>
      <c r="X736" s="163"/>
      <c r="Y736" s="163"/>
      <c r="Z736" s="163"/>
      <c r="AA736" s="163"/>
      <c r="AB736" s="163"/>
      <c r="AC736" s="163"/>
      <c r="AD736" s="163"/>
      <c r="AE736" s="163"/>
      <c r="AF736" s="163"/>
      <c r="AG736" s="163"/>
      <c r="AH736" s="163"/>
      <c r="AI736" s="163"/>
      <c r="AJ736" s="163"/>
      <c r="AK736" s="163"/>
      <c r="AL736" s="163"/>
      <c r="AM736" s="163"/>
    </row>
    <row r="737" ht="13.5" customHeight="1">
      <c r="A737" s="130"/>
      <c r="B737" s="130"/>
      <c r="C737" s="130"/>
      <c r="D737" s="130"/>
      <c r="E737" s="163"/>
      <c r="F737" s="163"/>
      <c r="G737" s="163"/>
      <c r="H737" s="130"/>
      <c r="I737" s="130"/>
      <c r="J737" s="130"/>
      <c r="K737" s="130"/>
      <c r="L737" s="163"/>
      <c r="M737" s="130"/>
      <c r="N737" s="130"/>
      <c r="O737" s="130"/>
      <c r="P737" s="130"/>
      <c r="Q737" s="130"/>
      <c r="R737" s="130"/>
      <c r="S737" s="130"/>
      <c r="T737" s="130"/>
      <c r="U737" s="130"/>
      <c r="V737" s="130"/>
      <c r="W737" s="130"/>
      <c r="X737" s="163"/>
      <c r="Y737" s="163"/>
      <c r="Z737" s="163"/>
      <c r="AA737" s="163"/>
      <c r="AB737" s="163"/>
      <c r="AC737" s="163"/>
      <c r="AD737" s="163"/>
      <c r="AE737" s="163"/>
      <c r="AF737" s="163"/>
      <c r="AG737" s="163"/>
      <c r="AH737" s="163"/>
      <c r="AI737" s="163"/>
      <c r="AJ737" s="163"/>
      <c r="AK737" s="163"/>
      <c r="AL737" s="163"/>
      <c r="AM737" s="163"/>
    </row>
    <row r="738" ht="13.5" customHeight="1">
      <c r="A738" s="130"/>
      <c r="B738" s="130"/>
      <c r="C738" s="130"/>
      <c r="D738" s="130"/>
      <c r="E738" s="163"/>
      <c r="F738" s="163"/>
      <c r="G738" s="163"/>
      <c r="H738" s="130"/>
      <c r="I738" s="130"/>
      <c r="J738" s="130"/>
      <c r="K738" s="130"/>
      <c r="L738" s="163"/>
      <c r="M738" s="130"/>
      <c r="N738" s="130"/>
      <c r="O738" s="130"/>
      <c r="P738" s="130"/>
      <c r="Q738" s="130"/>
      <c r="R738" s="130"/>
      <c r="S738" s="130"/>
      <c r="T738" s="130"/>
      <c r="U738" s="130"/>
      <c r="V738" s="130"/>
      <c r="W738" s="130"/>
      <c r="X738" s="163"/>
      <c r="Y738" s="163"/>
      <c r="Z738" s="163"/>
      <c r="AA738" s="163"/>
      <c r="AB738" s="163"/>
      <c r="AC738" s="163"/>
      <c r="AD738" s="163"/>
      <c r="AE738" s="163"/>
      <c r="AF738" s="163"/>
      <c r="AG738" s="163"/>
      <c r="AH738" s="163"/>
      <c r="AI738" s="163"/>
      <c r="AJ738" s="163"/>
      <c r="AK738" s="163"/>
      <c r="AL738" s="163"/>
      <c r="AM738" s="163"/>
    </row>
    <row r="739" ht="13.5" customHeight="1">
      <c r="A739" s="130"/>
      <c r="B739" s="130"/>
      <c r="C739" s="130"/>
      <c r="D739" s="130"/>
      <c r="E739" s="163"/>
      <c r="F739" s="163"/>
      <c r="G739" s="163"/>
      <c r="H739" s="130"/>
      <c r="I739" s="130"/>
      <c r="J739" s="130"/>
      <c r="K739" s="130"/>
      <c r="L739" s="163"/>
      <c r="M739" s="130"/>
      <c r="N739" s="130"/>
      <c r="O739" s="130"/>
      <c r="P739" s="130"/>
      <c r="Q739" s="130"/>
      <c r="R739" s="130"/>
      <c r="S739" s="130"/>
      <c r="T739" s="130"/>
      <c r="U739" s="130"/>
      <c r="V739" s="130"/>
      <c r="W739" s="130"/>
      <c r="X739" s="163"/>
      <c r="Y739" s="163"/>
      <c r="Z739" s="163"/>
      <c r="AA739" s="163"/>
      <c r="AB739" s="163"/>
      <c r="AC739" s="163"/>
      <c r="AD739" s="163"/>
      <c r="AE739" s="163"/>
      <c r="AF739" s="163"/>
      <c r="AG739" s="163"/>
      <c r="AH739" s="163"/>
      <c r="AI739" s="163"/>
      <c r="AJ739" s="163"/>
      <c r="AK739" s="163"/>
      <c r="AL739" s="163"/>
      <c r="AM739" s="163"/>
    </row>
    <row r="740" ht="13.5" customHeight="1">
      <c r="A740" s="130"/>
      <c r="B740" s="130"/>
      <c r="C740" s="130"/>
      <c r="D740" s="130"/>
      <c r="E740" s="163"/>
      <c r="F740" s="163"/>
      <c r="G740" s="163"/>
      <c r="H740" s="130"/>
      <c r="I740" s="130"/>
      <c r="J740" s="130"/>
      <c r="K740" s="130"/>
      <c r="L740" s="163"/>
      <c r="M740" s="130"/>
      <c r="N740" s="130"/>
      <c r="O740" s="130"/>
      <c r="P740" s="130"/>
      <c r="Q740" s="130"/>
      <c r="R740" s="130"/>
      <c r="S740" s="130"/>
      <c r="T740" s="130"/>
      <c r="U740" s="130"/>
      <c r="V740" s="130"/>
      <c r="W740" s="130"/>
      <c r="X740" s="163"/>
      <c r="Y740" s="163"/>
      <c r="Z740" s="163"/>
      <c r="AA740" s="163"/>
      <c r="AB740" s="163"/>
      <c r="AC740" s="163"/>
      <c r="AD740" s="163"/>
      <c r="AE740" s="163"/>
      <c r="AF740" s="163"/>
      <c r="AG740" s="163"/>
      <c r="AH740" s="163"/>
      <c r="AI740" s="163"/>
      <c r="AJ740" s="163"/>
      <c r="AK740" s="163"/>
      <c r="AL740" s="163"/>
      <c r="AM740" s="163"/>
    </row>
    <row r="741" ht="13.5" customHeight="1">
      <c r="A741" s="130"/>
      <c r="B741" s="130"/>
      <c r="C741" s="130"/>
      <c r="D741" s="130"/>
      <c r="E741" s="163"/>
      <c r="F741" s="163"/>
      <c r="G741" s="163"/>
      <c r="H741" s="130"/>
      <c r="I741" s="130"/>
      <c r="J741" s="130"/>
      <c r="K741" s="130"/>
      <c r="L741" s="163"/>
      <c r="M741" s="130"/>
      <c r="N741" s="130"/>
      <c r="O741" s="130"/>
      <c r="P741" s="130"/>
      <c r="Q741" s="130"/>
      <c r="R741" s="130"/>
      <c r="S741" s="130"/>
      <c r="T741" s="130"/>
      <c r="U741" s="130"/>
      <c r="V741" s="130"/>
      <c r="W741" s="130"/>
      <c r="X741" s="163"/>
      <c r="Y741" s="163"/>
      <c r="Z741" s="163"/>
      <c r="AA741" s="163"/>
      <c r="AB741" s="163"/>
      <c r="AC741" s="163"/>
      <c r="AD741" s="163"/>
      <c r="AE741" s="163"/>
      <c r="AF741" s="163"/>
      <c r="AG741" s="163"/>
      <c r="AH741" s="163"/>
      <c r="AI741" s="163"/>
      <c r="AJ741" s="163"/>
      <c r="AK741" s="163"/>
      <c r="AL741" s="163"/>
      <c r="AM741" s="163"/>
    </row>
    <row r="742" ht="13.5" customHeight="1">
      <c r="A742" s="130"/>
      <c r="B742" s="130"/>
      <c r="C742" s="130"/>
      <c r="D742" s="130"/>
      <c r="E742" s="163"/>
      <c r="F742" s="163"/>
      <c r="G742" s="163"/>
      <c r="H742" s="130"/>
      <c r="I742" s="130"/>
      <c r="J742" s="130"/>
      <c r="K742" s="130"/>
      <c r="L742" s="163"/>
      <c r="M742" s="130"/>
      <c r="N742" s="130"/>
      <c r="O742" s="130"/>
      <c r="P742" s="130"/>
      <c r="Q742" s="130"/>
      <c r="R742" s="130"/>
      <c r="S742" s="130"/>
      <c r="T742" s="130"/>
      <c r="U742" s="130"/>
      <c r="V742" s="130"/>
      <c r="W742" s="130"/>
      <c r="X742" s="163"/>
      <c r="Y742" s="163"/>
      <c r="Z742" s="163"/>
      <c r="AA742" s="163"/>
      <c r="AB742" s="163"/>
      <c r="AC742" s="163"/>
      <c r="AD742" s="163"/>
      <c r="AE742" s="163"/>
      <c r="AF742" s="163"/>
      <c r="AG742" s="163"/>
      <c r="AH742" s="163"/>
      <c r="AI742" s="163"/>
      <c r="AJ742" s="163"/>
      <c r="AK742" s="163"/>
      <c r="AL742" s="163"/>
      <c r="AM742" s="163"/>
    </row>
    <row r="743" ht="13.5" customHeight="1">
      <c r="A743" s="130"/>
      <c r="B743" s="130"/>
      <c r="C743" s="130"/>
      <c r="D743" s="130"/>
      <c r="E743" s="163"/>
      <c r="F743" s="163"/>
      <c r="G743" s="163"/>
      <c r="H743" s="130"/>
      <c r="I743" s="130"/>
      <c r="J743" s="130"/>
      <c r="K743" s="130"/>
      <c r="L743" s="163"/>
      <c r="M743" s="130"/>
      <c r="N743" s="130"/>
      <c r="O743" s="130"/>
      <c r="P743" s="130"/>
      <c r="Q743" s="130"/>
      <c r="R743" s="130"/>
      <c r="S743" s="130"/>
      <c r="T743" s="130"/>
      <c r="U743" s="130"/>
      <c r="V743" s="130"/>
      <c r="W743" s="130"/>
      <c r="X743" s="163"/>
      <c r="Y743" s="163"/>
      <c r="Z743" s="163"/>
      <c r="AA743" s="163"/>
      <c r="AB743" s="163"/>
      <c r="AC743" s="163"/>
      <c r="AD743" s="163"/>
      <c r="AE743" s="163"/>
      <c r="AF743" s="163"/>
      <c r="AG743" s="163"/>
      <c r="AH743" s="163"/>
      <c r="AI743" s="163"/>
      <c r="AJ743" s="163"/>
      <c r="AK743" s="163"/>
      <c r="AL743" s="163"/>
      <c r="AM743" s="163"/>
    </row>
    <row r="744" ht="13.5" customHeight="1">
      <c r="A744" s="130"/>
      <c r="B744" s="130"/>
      <c r="C744" s="130"/>
      <c r="D744" s="130"/>
      <c r="E744" s="163"/>
      <c r="F744" s="163"/>
      <c r="G744" s="163"/>
      <c r="H744" s="130"/>
      <c r="I744" s="130"/>
      <c r="J744" s="130"/>
      <c r="K744" s="130"/>
      <c r="L744" s="163"/>
      <c r="M744" s="130"/>
      <c r="N744" s="130"/>
      <c r="O744" s="130"/>
      <c r="P744" s="130"/>
      <c r="Q744" s="130"/>
      <c r="R744" s="130"/>
      <c r="S744" s="130"/>
      <c r="T744" s="130"/>
      <c r="U744" s="130"/>
      <c r="V744" s="130"/>
      <c r="W744" s="130"/>
      <c r="X744" s="163"/>
      <c r="Y744" s="163"/>
      <c r="Z744" s="163"/>
      <c r="AA744" s="163"/>
      <c r="AB744" s="163"/>
      <c r="AC744" s="163"/>
      <c r="AD744" s="163"/>
      <c r="AE744" s="163"/>
      <c r="AF744" s="163"/>
      <c r="AG744" s="163"/>
      <c r="AH744" s="163"/>
      <c r="AI744" s="163"/>
      <c r="AJ744" s="163"/>
      <c r="AK744" s="163"/>
      <c r="AL744" s="163"/>
      <c r="AM744" s="163"/>
    </row>
    <row r="745" ht="13.5" customHeight="1">
      <c r="A745" s="130"/>
      <c r="B745" s="130"/>
      <c r="C745" s="130"/>
      <c r="D745" s="130"/>
      <c r="E745" s="163"/>
      <c r="F745" s="163"/>
      <c r="G745" s="163"/>
      <c r="H745" s="130"/>
      <c r="I745" s="130"/>
      <c r="J745" s="130"/>
      <c r="K745" s="130"/>
      <c r="L745" s="163"/>
      <c r="M745" s="130"/>
      <c r="N745" s="130"/>
      <c r="O745" s="130"/>
      <c r="P745" s="130"/>
      <c r="Q745" s="130"/>
      <c r="R745" s="130"/>
      <c r="S745" s="130"/>
      <c r="T745" s="130"/>
      <c r="U745" s="130"/>
      <c r="V745" s="130"/>
      <c r="W745" s="130"/>
      <c r="X745" s="163"/>
      <c r="Y745" s="163"/>
      <c r="Z745" s="163"/>
      <c r="AA745" s="163"/>
      <c r="AB745" s="163"/>
      <c r="AC745" s="163"/>
      <c r="AD745" s="163"/>
      <c r="AE745" s="163"/>
      <c r="AF745" s="163"/>
      <c r="AG745" s="163"/>
      <c r="AH745" s="163"/>
      <c r="AI745" s="163"/>
      <c r="AJ745" s="163"/>
      <c r="AK745" s="163"/>
      <c r="AL745" s="163"/>
      <c r="AM745" s="163"/>
    </row>
    <row r="746" ht="13.5" customHeight="1">
      <c r="A746" s="130"/>
      <c r="B746" s="130"/>
      <c r="C746" s="130"/>
      <c r="D746" s="130"/>
      <c r="E746" s="163"/>
      <c r="F746" s="163"/>
      <c r="G746" s="163"/>
      <c r="H746" s="130"/>
      <c r="I746" s="130"/>
      <c r="J746" s="130"/>
      <c r="K746" s="130"/>
      <c r="L746" s="163"/>
      <c r="M746" s="130"/>
      <c r="N746" s="130"/>
      <c r="O746" s="130"/>
      <c r="P746" s="130"/>
      <c r="Q746" s="130"/>
      <c r="R746" s="130"/>
      <c r="S746" s="130"/>
      <c r="T746" s="130"/>
      <c r="U746" s="130"/>
      <c r="V746" s="130"/>
      <c r="W746" s="130"/>
      <c r="X746" s="163"/>
      <c r="Y746" s="163"/>
      <c r="Z746" s="163"/>
      <c r="AA746" s="163"/>
      <c r="AB746" s="163"/>
      <c r="AC746" s="163"/>
      <c r="AD746" s="163"/>
      <c r="AE746" s="163"/>
      <c r="AF746" s="163"/>
      <c r="AG746" s="163"/>
      <c r="AH746" s="163"/>
      <c r="AI746" s="163"/>
      <c r="AJ746" s="163"/>
      <c r="AK746" s="163"/>
      <c r="AL746" s="163"/>
      <c r="AM746" s="163"/>
    </row>
    <row r="747" ht="13.5" customHeight="1">
      <c r="A747" s="130"/>
      <c r="B747" s="130"/>
      <c r="C747" s="130"/>
      <c r="D747" s="130"/>
      <c r="E747" s="163"/>
      <c r="F747" s="163"/>
      <c r="G747" s="163"/>
      <c r="H747" s="130"/>
      <c r="I747" s="130"/>
      <c r="J747" s="130"/>
      <c r="K747" s="130"/>
      <c r="L747" s="163"/>
      <c r="M747" s="130"/>
      <c r="N747" s="130"/>
      <c r="O747" s="130"/>
      <c r="P747" s="130"/>
      <c r="Q747" s="130"/>
      <c r="R747" s="130"/>
      <c r="S747" s="130"/>
      <c r="T747" s="130"/>
      <c r="U747" s="130"/>
      <c r="V747" s="130"/>
      <c r="W747" s="130"/>
      <c r="X747" s="163"/>
      <c r="Y747" s="163"/>
      <c r="Z747" s="163"/>
      <c r="AA747" s="163"/>
      <c r="AB747" s="163"/>
      <c r="AC747" s="163"/>
      <c r="AD747" s="163"/>
      <c r="AE747" s="163"/>
      <c r="AF747" s="163"/>
      <c r="AG747" s="163"/>
      <c r="AH747" s="163"/>
      <c r="AI747" s="163"/>
      <c r="AJ747" s="163"/>
      <c r="AK747" s="163"/>
      <c r="AL747" s="163"/>
      <c r="AM747" s="163"/>
    </row>
    <row r="748" ht="13.5" customHeight="1">
      <c r="A748" s="130"/>
      <c r="B748" s="130"/>
      <c r="C748" s="130"/>
      <c r="D748" s="130"/>
      <c r="E748" s="163"/>
      <c r="F748" s="163"/>
      <c r="G748" s="163"/>
      <c r="H748" s="130"/>
      <c r="I748" s="130"/>
      <c r="J748" s="130"/>
      <c r="K748" s="130"/>
      <c r="L748" s="163"/>
      <c r="M748" s="130"/>
      <c r="N748" s="130"/>
      <c r="O748" s="130"/>
      <c r="P748" s="130"/>
      <c r="Q748" s="130"/>
      <c r="R748" s="130"/>
      <c r="S748" s="130"/>
      <c r="T748" s="130"/>
      <c r="U748" s="130"/>
      <c r="V748" s="130"/>
      <c r="W748" s="130"/>
      <c r="X748" s="163"/>
      <c r="Y748" s="163"/>
      <c r="Z748" s="163"/>
      <c r="AA748" s="163"/>
      <c r="AB748" s="163"/>
      <c r="AC748" s="163"/>
      <c r="AD748" s="163"/>
      <c r="AE748" s="163"/>
      <c r="AF748" s="163"/>
      <c r="AG748" s="163"/>
      <c r="AH748" s="163"/>
      <c r="AI748" s="163"/>
      <c r="AJ748" s="163"/>
      <c r="AK748" s="163"/>
      <c r="AL748" s="163"/>
      <c r="AM748" s="163"/>
    </row>
    <row r="749" ht="13.5" customHeight="1">
      <c r="A749" s="130"/>
      <c r="B749" s="130"/>
      <c r="C749" s="130"/>
      <c r="D749" s="130"/>
      <c r="E749" s="163"/>
      <c r="F749" s="163"/>
      <c r="G749" s="163"/>
      <c r="H749" s="130"/>
      <c r="I749" s="130"/>
      <c r="J749" s="130"/>
      <c r="K749" s="130"/>
      <c r="L749" s="163"/>
      <c r="M749" s="130"/>
      <c r="N749" s="130"/>
      <c r="O749" s="130"/>
      <c r="P749" s="130"/>
      <c r="Q749" s="130"/>
      <c r="R749" s="130"/>
      <c r="S749" s="130"/>
      <c r="T749" s="130"/>
      <c r="U749" s="130"/>
      <c r="V749" s="130"/>
      <c r="W749" s="130"/>
      <c r="X749" s="163"/>
      <c r="Y749" s="163"/>
      <c r="Z749" s="163"/>
      <c r="AA749" s="163"/>
      <c r="AB749" s="163"/>
      <c r="AC749" s="163"/>
      <c r="AD749" s="163"/>
      <c r="AE749" s="163"/>
      <c r="AF749" s="163"/>
      <c r="AG749" s="163"/>
      <c r="AH749" s="163"/>
      <c r="AI749" s="163"/>
      <c r="AJ749" s="163"/>
      <c r="AK749" s="163"/>
      <c r="AL749" s="163"/>
      <c r="AM749" s="163"/>
    </row>
    <row r="750" ht="13.5" customHeight="1">
      <c r="A750" s="130"/>
      <c r="B750" s="130"/>
      <c r="C750" s="130"/>
      <c r="D750" s="130"/>
      <c r="E750" s="163"/>
      <c r="F750" s="163"/>
      <c r="G750" s="163"/>
      <c r="H750" s="130"/>
      <c r="I750" s="130"/>
      <c r="J750" s="130"/>
      <c r="K750" s="130"/>
      <c r="L750" s="163"/>
      <c r="M750" s="130"/>
      <c r="N750" s="130"/>
      <c r="O750" s="130"/>
      <c r="P750" s="130"/>
      <c r="Q750" s="130"/>
      <c r="R750" s="130"/>
      <c r="S750" s="130"/>
      <c r="T750" s="130"/>
      <c r="U750" s="130"/>
      <c r="V750" s="130"/>
      <c r="W750" s="130"/>
      <c r="X750" s="163"/>
      <c r="Y750" s="163"/>
      <c r="Z750" s="163"/>
      <c r="AA750" s="163"/>
      <c r="AB750" s="163"/>
      <c r="AC750" s="163"/>
      <c r="AD750" s="163"/>
      <c r="AE750" s="163"/>
      <c r="AF750" s="163"/>
      <c r="AG750" s="163"/>
      <c r="AH750" s="163"/>
      <c r="AI750" s="163"/>
      <c r="AJ750" s="163"/>
      <c r="AK750" s="163"/>
      <c r="AL750" s="163"/>
      <c r="AM750" s="163"/>
    </row>
    <row r="751" ht="13.5" customHeight="1">
      <c r="A751" s="130"/>
      <c r="B751" s="130"/>
      <c r="C751" s="130"/>
      <c r="D751" s="130"/>
      <c r="E751" s="163"/>
      <c r="F751" s="163"/>
      <c r="G751" s="163"/>
      <c r="H751" s="130"/>
      <c r="I751" s="130"/>
      <c r="J751" s="130"/>
      <c r="K751" s="130"/>
      <c r="L751" s="163"/>
      <c r="M751" s="130"/>
      <c r="N751" s="130"/>
      <c r="O751" s="130"/>
      <c r="P751" s="130"/>
      <c r="Q751" s="130"/>
      <c r="R751" s="130"/>
      <c r="S751" s="130"/>
      <c r="T751" s="130"/>
      <c r="U751" s="130"/>
      <c r="V751" s="130"/>
      <c r="W751" s="130"/>
      <c r="X751" s="163"/>
      <c r="Y751" s="163"/>
      <c r="Z751" s="163"/>
      <c r="AA751" s="163"/>
      <c r="AB751" s="163"/>
      <c r="AC751" s="163"/>
      <c r="AD751" s="163"/>
      <c r="AE751" s="163"/>
      <c r="AF751" s="163"/>
      <c r="AG751" s="163"/>
      <c r="AH751" s="163"/>
      <c r="AI751" s="163"/>
      <c r="AJ751" s="163"/>
      <c r="AK751" s="163"/>
      <c r="AL751" s="163"/>
      <c r="AM751" s="163"/>
    </row>
    <row r="752" ht="13.5" customHeight="1">
      <c r="A752" s="130"/>
      <c r="B752" s="130"/>
      <c r="C752" s="130"/>
      <c r="D752" s="130"/>
      <c r="E752" s="163"/>
      <c r="F752" s="163"/>
      <c r="G752" s="163"/>
      <c r="H752" s="130"/>
      <c r="I752" s="130"/>
      <c r="J752" s="130"/>
      <c r="K752" s="130"/>
      <c r="L752" s="163"/>
      <c r="M752" s="130"/>
      <c r="N752" s="130"/>
      <c r="O752" s="130"/>
      <c r="P752" s="130"/>
      <c r="Q752" s="130"/>
      <c r="R752" s="130"/>
      <c r="S752" s="130"/>
      <c r="T752" s="130"/>
      <c r="U752" s="130"/>
      <c r="V752" s="130"/>
      <c r="W752" s="130"/>
      <c r="X752" s="163"/>
      <c r="Y752" s="163"/>
      <c r="Z752" s="163"/>
      <c r="AA752" s="163"/>
      <c r="AB752" s="163"/>
      <c r="AC752" s="163"/>
      <c r="AD752" s="163"/>
      <c r="AE752" s="163"/>
      <c r="AF752" s="163"/>
      <c r="AG752" s="163"/>
      <c r="AH752" s="163"/>
      <c r="AI752" s="163"/>
      <c r="AJ752" s="163"/>
      <c r="AK752" s="163"/>
      <c r="AL752" s="163"/>
      <c r="AM752" s="163"/>
    </row>
    <row r="753" ht="13.5" customHeight="1">
      <c r="A753" s="130"/>
      <c r="B753" s="130"/>
      <c r="C753" s="130"/>
      <c r="D753" s="130"/>
      <c r="E753" s="163"/>
      <c r="F753" s="163"/>
      <c r="G753" s="163"/>
      <c r="H753" s="130"/>
      <c r="I753" s="130"/>
      <c r="J753" s="130"/>
      <c r="K753" s="130"/>
      <c r="L753" s="163"/>
      <c r="M753" s="130"/>
      <c r="N753" s="130"/>
      <c r="O753" s="130"/>
      <c r="P753" s="130"/>
      <c r="Q753" s="130"/>
      <c r="R753" s="130"/>
      <c r="S753" s="130"/>
      <c r="T753" s="130"/>
      <c r="U753" s="130"/>
      <c r="V753" s="130"/>
      <c r="W753" s="130"/>
      <c r="X753" s="163"/>
      <c r="Y753" s="163"/>
      <c r="Z753" s="163"/>
      <c r="AA753" s="163"/>
      <c r="AB753" s="163"/>
      <c r="AC753" s="163"/>
      <c r="AD753" s="163"/>
      <c r="AE753" s="163"/>
      <c r="AF753" s="163"/>
      <c r="AG753" s="163"/>
      <c r="AH753" s="163"/>
      <c r="AI753" s="163"/>
      <c r="AJ753" s="163"/>
      <c r="AK753" s="163"/>
      <c r="AL753" s="163"/>
      <c r="AM753" s="163"/>
    </row>
    <row r="754" ht="13.5" customHeight="1">
      <c r="A754" s="130"/>
      <c r="B754" s="130"/>
      <c r="C754" s="130"/>
      <c r="D754" s="130"/>
      <c r="E754" s="163"/>
      <c r="F754" s="163"/>
      <c r="G754" s="163"/>
      <c r="H754" s="130"/>
      <c r="I754" s="130"/>
      <c r="J754" s="130"/>
      <c r="K754" s="130"/>
      <c r="L754" s="163"/>
      <c r="M754" s="130"/>
      <c r="N754" s="130"/>
      <c r="O754" s="130"/>
      <c r="P754" s="130"/>
      <c r="Q754" s="130"/>
      <c r="R754" s="130"/>
      <c r="S754" s="130"/>
      <c r="T754" s="130"/>
      <c r="U754" s="130"/>
      <c r="V754" s="130"/>
      <c r="W754" s="130"/>
      <c r="X754" s="163"/>
      <c r="Y754" s="163"/>
      <c r="Z754" s="163"/>
      <c r="AA754" s="163"/>
      <c r="AB754" s="163"/>
      <c r="AC754" s="163"/>
      <c r="AD754" s="163"/>
      <c r="AE754" s="163"/>
      <c r="AF754" s="163"/>
      <c r="AG754" s="163"/>
      <c r="AH754" s="163"/>
      <c r="AI754" s="163"/>
      <c r="AJ754" s="163"/>
      <c r="AK754" s="163"/>
      <c r="AL754" s="163"/>
      <c r="AM754" s="163"/>
    </row>
    <row r="755" ht="13.5" customHeight="1">
      <c r="A755" s="130"/>
      <c r="B755" s="130"/>
      <c r="C755" s="130"/>
      <c r="D755" s="130"/>
      <c r="E755" s="163"/>
      <c r="F755" s="163"/>
      <c r="G755" s="163"/>
      <c r="H755" s="130"/>
      <c r="I755" s="130"/>
      <c r="J755" s="130"/>
      <c r="K755" s="130"/>
      <c r="L755" s="163"/>
      <c r="M755" s="130"/>
      <c r="N755" s="130"/>
      <c r="O755" s="130"/>
      <c r="P755" s="130"/>
      <c r="Q755" s="130"/>
      <c r="R755" s="130"/>
      <c r="S755" s="130"/>
      <c r="T755" s="130"/>
      <c r="U755" s="130"/>
      <c r="V755" s="130"/>
      <c r="W755" s="130"/>
      <c r="X755" s="163"/>
      <c r="Y755" s="163"/>
      <c r="Z755" s="163"/>
      <c r="AA755" s="163"/>
      <c r="AB755" s="163"/>
      <c r="AC755" s="163"/>
      <c r="AD755" s="163"/>
      <c r="AE755" s="163"/>
      <c r="AF755" s="163"/>
      <c r="AG755" s="163"/>
      <c r="AH755" s="163"/>
      <c r="AI755" s="163"/>
      <c r="AJ755" s="163"/>
      <c r="AK755" s="163"/>
      <c r="AL755" s="163"/>
      <c r="AM755" s="163"/>
    </row>
    <row r="756" ht="13.5" customHeight="1">
      <c r="A756" s="130"/>
      <c r="B756" s="130"/>
      <c r="C756" s="130"/>
      <c r="D756" s="130"/>
      <c r="E756" s="163"/>
      <c r="F756" s="163"/>
      <c r="G756" s="163"/>
      <c r="H756" s="130"/>
      <c r="I756" s="130"/>
      <c r="J756" s="130"/>
      <c r="K756" s="130"/>
      <c r="L756" s="163"/>
      <c r="M756" s="130"/>
      <c r="N756" s="130"/>
      <c r="O756" s="130"/>
      <c r="P756" s="130"/>
      <c r="Q756" s="130"/>
      <c r="R756" s="130"/>
      <c r="S756" s="130"/>
      <c r="T756" s="130"/>
      <c r="U756" s="130"/>
      <c r="V756" s="130"/>
      <c r="W756" s="130"/>
      <c r="X756" s="163"/>
      <c r="Y756" s="163"/>
      <c r="Z756" s="163"/>
      <c r="AA756" s="163"/>
      <c r="AB756" s="163"/>
      <c r="AC756" s="163"/>
      <c r="AD756" s="163"/>
      <c r="AE756" s="163"/>
      <c r="AF756" s="163"/>
      <c r="AG756" s="163"/>
      <c r="AH756" s="163"/>
      <c r="AI756" s="163"/>
      <c r="AJ756" s="163"/>
      <c r="AK756" s="163"/>
      <c r="AL756" s="163"/>
      <c r="AM756" s="163"/>
    </row>
    <row r="757" ht="13.5" customHeight="1">
      <c r="A757" s="130"/>
      <c r="B757" s="130"/>
      <c r="C757" s="130"/>
      <c r="D757" s="130"/>
      <c r="E757" s="163"/>
      <c r="F757" s="163"/>
      <c r="G757" s="163"/>
      <c r="H757" s="130"/>
      <c r="I757" s="130"/>
      <c r="J757" s="130"/>
      <c r="K757" s="130"/>
      <c r="L757" s="163"/>
      <c r="M757" s="130"/>
      <c r="N757" s="130"/>
      <c r="O757" s="130"/>
      <c r="P757" s="130"/>
      <c r="Q757" s="130"/>
      <c r="R757" s="130"/>
      <c r="S757" s="130"/>
      <c r="T757" s="130"/>
      <c r="U757" s="130"/>
      <c r="V757" s="130"/>
      <c r="W757" s="130"/>
      <c r="X757" s="163"/>
      <c r="Y757" s="163"/>
      <c r="Z757" s="163"/>
      <c r="AA757" s="163"/>
      <c r="AB757" s="163"/>
      <c r="AC757" s="163"/>
      <c r="AD757" s="163"/>
      <c r="AE757" s="163"/>
      <c r="AF757" s="163"/>
      <c r="AG757" s="163"/>
      <c r="AH757" s="163"/>
      <c r="AI757" s="163"/>
      <c r="AJ757" s="163"/>
      <c r="AK757" s="163"/>
      <c r="AL757" s="163"/>
      <c r="AM757" s="163"/>
    </row>
    <row r="758" ht="13.5" customHeight="1">
      <c r="A758" s="130"/>
      <c r="B758" s="130"/>
      <c r="C758" s="130"/>
      <c r="D758" s="130"/>
      <c r="E758" s="163"/>
      <c r="F758" s="163"/>
      <c r="G758" s="163"/>
      <c r="H758" s="130"/>
      <c r="I758" s="130"/>
      <c r="J758" s="130"/>
      <c r="K758" s="130"/>
      <c r="L758" s="163"/>
      <c r="M758" s="130"/>
      <c r="N758" s="130"/>
      <c r="O758" s="130"/>
      <c r="P758" s="130"/>
      <c r="Q758" s="130"/>
      <c r="R758" s="130"/>
      <c r="S758" s="130"/>
      <c r="T758" s="130"/>
      <c r="U758" s="130"/>
      <c r="V758" s="130"/>
      <c r="W758" s="130"/>
      <c r="X758" s="163"/>
      <c r="Y758" s="163"/>
      <c r="Z758" s="163"/>
      <c r="AA758" s="163"/>
      <c r="AB758" s="163"/>
      <c r="AC758" s="163"/>
      <c r="AD758" s="163"/>
      <c r="AE758" s="163"/>
      <c r="AF758" s="163"/>
      <c r="AG758" s="163"/>
      <c r="AH758" s="163"/>
      <c r="AI758" s="163"/>
      <c r="AJ758" s="163"/>
      <c r="AK758" s="163"/>
      <c r="AL758" s="163"/>
      <c r="AM758" s="163"/>
    </row>
    <row r="759" ht="13.5" customHeight="1">
      <c r="A759" s="130"/>
      <c r="B759" s="130"/>
      <c r="C759" s="130"/>
      <c r="D759" s="130"/>
      <c r="E759" s="163"/>
      <c r="F759" s="163"/>
      <c r="G759" s="163"/>
      <c r="H759" s="130"/>
      <c r="I759" s="130"/>
      <c r="J759" s="130"/>
      <c r="K759" s="130"/>
      <c r="L759" s="163"/>
      <c r="M759" s="130"/>
      <c r="N759" s="130"/>
      <c r="O759" s="130"/>
      <c r="P759" s="130"/>
      <c r="Q759" s="130"/>
      <c r="R759" s="130"/>
      <c r="S759" s="130"/>
      <c r="T759" s="130"/>
      <c r="U759" s="130"/>
      <c r="V759" s="130"/>
      <c r="W759" s="130"/>
      <c r="X759" s="163"/>
      <c r="Y759" s="163"/>
      <c r="Z759" s="163"/>
      <c r="AA759" s="163"/>
      <c r="AB759" s="163"/>
      <c r="AC759" s="163"/>
      <c r="AD759" s="163"/>
      <c r="AE759" s="163"/>
      <c r="AF759" s="163"/>
      <c r="AG759" s="163"/>
      <c r="AH759" s="163"/>
      <c r="AI759" s="163"/>
      <c r="AJ759" s="163"/>
      <c r="AK759" s="163"/>
      <c r="AL759" s="163"/>
      <c r="AM759" s="163"/>
    </row>
    <row r="760" ht="13.5" customHeight="1">
      <c r="A760" s="130"/>
      <c r="B760" s="130"/>
      <c r="C760" s="130"/>
      <c r="D760" s="130"/>
      <c r="E760" s="163"/>
      <c r="F760" s="163"/>
      <c r="G760" s="163"/>
      <c r="H760" s="130"/>
      <c r="I760" s="130"/>
      <c r="J760" s="130"/>
      <c r="K760" s="130"/>
      <c r="L760" s="163"/>
      <c r="M760" s="130"/>
      <c r="N760" s="130"/>
      <c r="O760" s="130"/>
      <c r="P760" s="130"/>
      <c r="Q760" s="130"/>
      <c r="R760" s="130"/>
      <c r="S760" s="130"/>
      <c r="T760" s="130"/>
      <c r="U760" s="130"/>
      <c r="V760" s="130"/>
      <c r="W760" s="130"/>
      <c r="X760" s="163"/>
      <c r="Y760" s="163"/>
      <c r="Z760" s="163"/>
      <c r="AA760" s="163"/>
      <c r="AB760" s="163"/>
      <c r="AC760" s="163"/>
      <c r="AD760" s="163"/>
      <c r="AE760" s="163"/>
      <c r="AF760" s="163"/>
      <c r="AG760" s="163"/>
      <c r="AH760" s="163"/>
      <c r="AI760" s="163"/>
      <c r="AJ760" s="163"/>
      <c r="AK760" s="163"/>
      <c r="AL760" s="163"/>
      <c r="AM760" s="163"/>
    </row>
    <row r="761" ht="13.5" customHeight="1">
      <c r="A761" s="130"/>
      <c r="B761" s="130"/>
      <c r="C761" s="130"/>
      <c r="D761" s="130"/>
      <c r="E761" s="163"/>
      <c r="F761" s="163"/>
      <c r="G761" s="163"/>
      <c r="H761" s="130"/>
      <c r="I761" s="130"/>
      <c r="J761" s="130"/>
      <c r="K761" s="130"/>
      <c r="L761" s="163"/>
      <c r="M761" s="130"/>
      <c r="N761" s="130"/>
      <c r="O761" s="130"/>
      <c r="P761" s="130"/>
      <c r="Q761" s="130"/>
      <c r="R761" s="130"/>
      <c r="S761" s="130"/>
      <c r="T761" s="130"/>
      <c r="U761" s="130"/>
      <c r="V761" s="130"/>
      <c r="W761" s="130"/>
      <c r="X761" s="163"/>
      <c r="Y761" s="163"/>
      <c r="Z761" s="163"/>
      <c r="AA761" s="163"/>
      <c r="AB761" s="163"/>
      <c r="AC761" s="163"/>
      <c r="AD761" s="163"/>
      <c r="AE761" s="163"/>
      <c r="AF761" s="163"/>
      <c r="AG761" s="163"/>
      <c r="AH761" s="163"/>
      <c r="AI761" s="163"/>
      <c r="AJ761" s="163"/>
      <c r="AK761" s="163"/>
      <c r="AL761" s="163"/>
      <c r="AM761" s="163"/>
    </row>
    <row r="762" ht="13.5" customHeight="1">
      <c r="A762" s="130"/>
      <c r="B762" s="130"/>
      <c r="C762" s="130"/>
      <c r="D762" s="130"/>
      <c r="E762" s="163"/>
      <c r="F762" s="163"/>
      <c r="G762" s="163"/>
      <c r="H762" s="130"/>
      <c r="I762" s="130"/>
      <c r="J762" s="130"/>
      <c r="K762" s="130"/>
      <c r="L762" s="163"/>
      <c r="M762" s="130"/>
      <c r="N762" s="130"/>
      <c r="O762" s="130"/>
      <c r="P762" s="130"/>
      <c r="Q762" s="130"/>
      <c r="R762" s="130"/>
      <c r="S762" s="130"/>
      <c r="T762" s="130"/>
      <c r="U762" s="130"/>
      <c r="V762" s="130"/>
      <c r="W762" s="130"/>
      <c r="X762" s="163"/>
      <c r="Y762" s="163"/>
      <c r="Z762" s="163"/>
      <c r="AA762" s="163"/>
      <c r="AB762" s="163"/>
      <c r="AC762" s="163"/>
      <c r="AD762" s="163"/>
      <c r="AE762" s="163"/>
      <c r="AF762" s="163"/>
      <c r="AG762" s="163"/>
      <c r="AH762" s="163"/>
      <c r="AI762" s="163"/>
      <c r="AJ762" s="163"/>
      <c r="AK762" s="163"/>
      <c r="AL762" s="163"/>
      <c r="AM762" s="163"/>
    </row>
    <row r="763" ht="13.5" customHeight="1">
      <c r="A763" s="130"/>
      <c r="B763" s="130"/>
      <c r="C763" s="130"/>
      <c r="D763" s="130"/>
      <c r="E763" s="163"/>
      <c r="F763" s="163"/>
      <c r="G763" s="163"/>
      <c r="H763" s="130"/>
      <c r="I763" s="130"/>
      <c r="J763" s="130"/>
      <c r="K763" s="130"/>
      <c r="L763" s="163"/>
      <c r="M763" s="130"/>
      <c r="N763" s="130"/>
      <c r="O763" s="130"/>
      <c r="P763" s="130"/>
      <c r="Q763" s="130"/>
      <c r="R763" s="130"/>
      <c r="S763" s="130"/>
      <c r="T763" s="130"/>
      <c r="U763" s="130"/>
      <c r="V763" s="130"/>
      <c r="W763" s="130"/>
      <c r="X763" s="163"/>
      <c r="Y763" s="163"/>
      <c r="Z763" s="163"/>
      <c r="AA763" s="163"/>
      <c r="AB763" s="163"/>
      <c r="AC763" s="163"/>
      <c r="AD763" s="163"/>
      <c r="AE763" s="163"/>
      <c r="AF763" s="163"/>
      <c r="AG763" s="163"/>
      <c r="AH763" s="163"/>
      <c r="AI763" s="163"/>
      <c r="AJ763" s="163"/>
      <c r="AK763" s="163"/>
      <c r="AL763" s="163"/>
      <c r="AM763" s="163"/>
    </row>
    <row r="764" ht="13.5" customHeight="1">
      <c r="A764" s="130"/>
      <c r="B764" s="130"/>
      <c r="C764" s="130"/>
      <c r="D764" s="130"/>
      <c r="E764" s="163"/>
      <c r="F764" s="163"/>
      <c r="G764" s="163"/>
      <c r="H764" s="130"/>
      <c r="I764" s="130"/>
      <c r="J764" s="130"/>
      <c r="K764" s="130"/>
      <c r="L764" s="163"/>
      <c r="M764" s="130"/>
      <c r="N764" s="130"/>
      <c r="O764" s="130"/>
      <c r="P764" s="130"/>
      <c r="Q764" s="130"/>
      <c r="R764" s="130"/>
      <c r="S764" s="130"/>
      <c r="T764" s="130"/>
      <c r="U764" s="130"/>
      <c r="V764" s="130"/>
      <c r="W764" s="130"/>
      <c r="X764" s="163"/>
      <c r="Y764" s="163"/>
      <c r="Z764" s="163"/>
      <c r="AA764" s="163"/>
      <c r="AB764" s="163"/>
      <c r="AC764" s="163"/>
      <c r="AD764" s="163"/>
      <c r="AE764" s="163"/>
      <c r="AF764" s="163"/>
      <c r="AG764" s="163"/>
      <c r="AH764" s="163"/>
      <c r="AI764" s="163"/>
      <c r="AJ764" s="163"/>
      <c r="AK764" s="163"/>
      <c r="AL764" s="163"/>
      <c r="AM764" s="163"/>
    </row>
    <row r="765" ht="13.5" customHeight="1">
      <c r="A765" s="130"/>
      <c r="B765" s="130"/>
      <c r="C765" s="130"/>
      <c r="D765" s="130"/>
      <c r="E765" s="163"/>
      <c r="F765" s="163"/>
      <c r="G765" s="163"/>
      <c r="H765" s="130"/>
      <c r="I765" s="130"/>
      <c r="J765" s="130"/>
      <c r="K765" s="130"/>
      <c r="L765" s="163"/>
      <c r="M765" s="130"/>
      <c r="N765" s="130"/>
      <c r="O765" s="130"/>
      <c r="P765" s="130"/>
      <c r="Q765" s="130"/>
      <c r="R765" s="130"/>
      <c r="S765" s="130"/>
      <c r="T765" s="130"/>
      <c r="U765" s="130"/>
      <c r="V765" s="130"/>
      <c r="W765" s="130"/>
      <c r="X765" s="163"/>
      <c r="Y765" s="163"/>
      <c r="Z765" s="163"/>
      <c r="AA765" s="163"/>
      <c r="AB765" s="163"/>
      <c r="AC765" s="163"/>
      <c r="AD765" s="163"/>
      <c r="AE765" s="163"/>
      <c r="AF765" s="163"/>
      <c r="AG765" s="163"/>
      <c r="AH765" s="163"/>
      <c r="AI765" s="163"/>
      <c r="AJ765" s="163"/>
      <c r="AK765" s="163"/>
      <c r="AL765" s="163"/>
      <c r="AM765" s="163"/>
    </row>
    <row r="766" ht="13.5" customHeight="1">
      <c r="A766" s="130"/>
      <c r="B766" s="130"/>
      <c r="C766" s="130"/>
      <c r="D766" s="130"/>
      <c r="E766" s="163"/>
      <c r="F766" s="163"/>
      <c r="G766" s="163"/>
      <c r="H766" s="130"/>
      <c r="I766" s="130"/>
      <c r="J766" s="130"/>
      <c r="K766" s="130"/>
      <c r="L766" s="163"/>
      <c r="M766" s="130"/>
      <c r="N766" s="130"/>
      <c r="O766" s="130"/>
      <c r="P766" s="130"/>
      <c r="Q766" s="130"/>
      <c r="R766" s="130"/>
      <c r="S766" s="130"/>
      <c r="T766" s="130"/>
      <c r="U766" s="130"/>
      <c r="V766" s="130"/>
      <c r="W766" s="130"/>
      <c r="X766" s="163"/>
      <c r="Y766" s="163"/>
      <c r="Z766" s="163"/>
      <c r="AA766" s="163"/>
      <c r="AB766" s="163"/>
      <c r="AC766" s="163"/>
      <c r="AD766" s="163"/>
      <c r="AE766" s="163"/>
      <c r="AF766" s="163"/>
      <c r="AG766" s="163"/>
      <c r="AH766" s="163"/>
      <c r="AI766" s="163"/>
      <c r="AJ766" s="163"/>
      <c r="AK766" s="163"/>
      <c r="AL766" s="163"/>
      <c r="AM766" s="163"/>
    </row>
    <row r="767" ht="13.5" customHeight="1">
      <c r="A767" s="130"/>
      <c r="B767" s="130"/>
      <c r="C767" s="130"/>
      <c r="D767" s="130"/>
      <c r="E767" s="163"/>
      <c r="F767" s="163"/>
      <c r="G767" s="163"/>
      <c r="H767" s="130"/>
      <c r="I767" s="130"/>
      <c r="J767" s="130"/>
      <c r="K767" s="130"/>
      <c r="L767" s="163"/>
      <c r="M767" s="130"/>
      <c r="N767" s="130"/>
      <c r="O767" s="130"/>
      <c r="P767" s="130"/>
      <c r="Q767" s="130"/>
      <c r="R767" s="130"/>
      <c r="S767" s="130"/>
      <c r="T767" s="130"/>
      <c r="U767" s="130"/>
      <c r="V767" s="130"/>
      <c r="W767" s="130"/>
      <c r="X767" s="163"/>
      <c r="Y767" s="163"/>
      <c r="Z767" s="163"/>
      <c r="AA767" s="163"/>
      <c r="AB767" s="163"/>
      <c r="AC767" s="163"/>
      <c r="AD767" s="163"/>
      <c r="AE767" s="163"/>
      <c r="AF767" s="163"/>
      <c r="AG767" s="163"/>
      <c r="AH767" s="163"/>
      <c r="AI767" s="163"/>
      <c r="AJ767" s="163"/>
      <c r="AK767" s="163"/>
      <c r="AL767" s="163"/>
      <c r="AM767" s="163"/>
    </row>
    <row r="768" ht="13.5" customHeight="1">
      <c r="A768" s="130"/>
      <c r="B768" s="130"/>
      <c r="C768" s="130"/>
      <c r="D768" s="130"/>
      <c r="E768" s="163"/>
      <c r="F768" s="163"/>
      <c r="G768" s="163"/>
      <c r="H768" s="130"/>
      <c r="I768" s="130"/>
      <c r="J768" s="130"/>
      <c r="K768" s="130"/>
      <c r="L768" s="163"/>
      <c r="M768" s="130"/>
      <c r="N768" s="130"/>
      <c r="O768" s="130"/>
      <c r="P768" s="130"/>
      <c r="Q768" s="130"/>
      <c r="R768" s="130"/>
      <c r="S768" s="130"/>
      <c r="T768" s="130"/>
      <c r="U768" s="130"/>
      <c r="V768" s="130"/>
      <c r="W768" s="130"/>
      <c r="X768" s="163"/>
      <c r="Y768" s="163"/>
      <c r="Z768" s="163"/>
      <c r="AA768" s="163"/>
      <c r="AB768" s="163"/>
      <c r="AC768" s="163"/>
      <c r="AD768" s="163"/>
      <c r="AE768" s="163"/>
      <c r="AF768" s="163"/>
      <c r="AG768" s="163"/>
      <c r="AH768" s="163"/>
      <c r="AI768" s="163"/>
      <c r="AJ768" s="163"/>
      <c r="AK768" s="163"/>
      <c r="AL768" s="163"/>
      <c r="AM768" s="163"/>
    </row>
    <row r="769" ht="13.5" customHeight="1">
      <c r="A769" s="130"/>
      <c r="B769" s="130"/>
      <c r="C769" s="130"/>
      <c r="D769" s="130"/>
      <c r="E769" s="163"/>
      <c r="F769" s="163"/>
      <c r="G769" s="163"/>
      <c r="H769" s="130"/>
      <c r="I769" s="130"/>
      <c r="J769" s="130"/>
      <c r="K769" s="130"/>
      <c r="L769" s="163"/>
      <c r="M769" s="130"/>
      <c r="N769" s="130"/>
      <c r="O769" s="130"/>
      <c r="P769" s="130"/>
      <c r="Q769" s="130"/>
      <c r="R769" s="130"/>
      <c r="S769" s="130"/>
      <c r="T769" s="130"/>
      <c r="U769" s="130"/>
      <c r="V769" s="130"/>
      <c r="W769" s="130"/>
      <c r="X769" s="163"/>
      <c r="Y769" s="163"/>
      <c r="Z769" s="163"/>
      <c r="AA769" s="163"/>
      <c r="AB769" s="163"/>
      <c r="AC769" s="163"/>
      <c r="AD769" s="163"/>
      <c r="AE769" s="163"/>
      <c r="AF769" s="163"/>
      <c r="AG769" s="163"/>
      <c r="AH769" s="163"/>
      <c r="AI769" s="163"/>
      <c r="AJ769" s="163"/>
      <c r="AK769" s="163"/>
      <c r="AL769" s="163"/>
      <c r="AM769" s="163"/>
    </row>
    <row r="770" ht="13.5" customHeight="1">
      <c r="A770" s="130"/>
      <c r="B770" s="130"/>
      <c r="C770" s="130"/>
      <c r="D770" s="130"/>
      <c r="E770" s="163"/>
      <c r="F770" s="163"/>
      <c r="G770" s="163"/>
      <c r="H770" s="130"/>
      <c r="I770" s="130"/>
      <c r="J770" s="130"/>
      <c r="K770" s="130"/>
      <c r="L770" s="163"/>
      <c r="M770" s="130"/>
      <c r="N770" s="130"/>
      <c r="O770" s="130"/>
      <c r="P770" s="130"/>
      <c r="Q770" s="130"/>
      <c r="R770" s="130"/>
      <c r="S770" s="130"/>
      <c r="T770" s="130"/>
      <c r="U770" s="130"/>
      <c r="V770" s="130"/>
      <c r="W770" s="130"/>
      <c r="X770" s="163"/>
      <c r="Y770" s="163"/>
      <c r="Z770" s="163"/>
      <c r="AA770" s="163"/>
      <c r="AB770" s="163"/>
      <c r="AC770" s="163"/>
      <c r="AD770" s="163"/>
      <c r="AE770" s="163"/>
      <c r="AF770" s="163"/>
      <c r="AG770" s="163"/>
      <c r="AH770" s="163"/>
      <c r="AI770" s="163"/>
      <c r="AJ770" s="163"/>
      <c r="AK770" s="163"/>
      <c r="AL770" s="163"/>
      <c r="AM770" s="163"/>
    </row>
    <row r="771" ht="13.5" customHeight="1">
      <c r="A771" s="130"/>
      <c r="B771" s="130"/>
      <c r="C771" s="130"/>
      <c r="D771" s="130"/>
      <c r="E771" s="163"/>
      <c r="F771" s="163"/>
      <c r="G771" s="163"/>
      <c r="H771" s="130"/>
      <c r="I771" s="130"/>
      <c r="J771" s="130"/>
      <c r="K771" s="130"/>
      <c r="L771" s="163"/>
      <c r="M771" s="130"/>
      <c r="N771" s="130"/>
      <c r="O771" s="130"/>
      <c r="P771" s="130"/>
      <c r="Q771" s="130"/>
      <c r="R771" s="130"/>
      <c r="S771" s="130"/>
      <c r="T771" s="130"/>
      <c r="U771" s="130"/>
      <c r="V771" s="130"/>
      <c r="W771" s="130"/>
      <c r="X771" s="163"/>
      <c r="Y771" s="163"/>
      <c r="Z771" s="163"/>
      <c r="AA771" s="163"/>
      <c r="AB771" s="163"/>
      <c r="AC771" s="163"/>
      <c r="AD771" s="163"/>
      <c r="AE771" s="163"/>
      <c r="AF771" s="163"/>
      <c r="AG771" s="163"/>
      <c r="AH771" s="163"/>
      <c r="AI771" s="163"/>
      <c r="AJ771" s="163"/>
      <c r="AK771" s="163"/>
      <c r="AL771" s="163"/>
      <c r="AM771" s="163"/>
    </row>
    <row r="772" ht="13.5" customHeight="1">
      <c r="A772" s="130"/>
      <c r="B772" s="130"/>
      <c r="C772" s="130"/>
      <c r="D772" s="130"/>
      <c r="E772" s="163"/>
      <c r="F772" s="163"/>
      <c r="G772" s="163"/>
      <c r="H772" s="130"/>
      <c r="I772" s="130"/>
      <c r="J772" s="130"/>
      <c r="K772" s="130"/>
      <c r="L772" s="163"/>
      <c r="M772" s="130"/>
      <c r="N772" s="130"/>
      <c r="O772" s="130"/>
      <c r="P772" s="130"/>
      <c r="Q772" s="130"/>
      <c r="R772" s="130"/>
      <c r="S772" s="130"/>
      <c r="T772" s="130"/>
      <c r="U772" s="130"/>
      <c r="V772" s="130"/>
      <c r="W772" s="130"/>
      <c r="X772" s="163"/>
      <c r="Y772" s="163"/>
      <c r="Z772" s="163"/>
      <c r="AA772" s="163"/>
      <c r="AB772" s="163"/>
      <c r="AC772" s="163"/>
      <c r="AD772" s="163"/>
      <c r="AE772" s="163"/>
      <c r="AF772" s="163"/>
      <c r="AG772" s="163"/>
      <c r="AH772" s="163"/>
      <c r="AI772" s="163"/>
      <c r="AJ772" s="163"/>
      <c r="AK772" s="163"/>
      <c r="AL772" s="163"/>
      <c r="AM772" s="163"/>
    </row>
    <row r="773" ht="13.5" customHeight="1">
      <c r="A773" s="130"/>
      <c r="B773" s="130"/>
      <c r="C773" s="130"/>
      <c r="D773" s="130"/>
      <c r="E773" s="163"/>
      <c r="F773" s="163"/>
      <c r="G773" s="163"/>
      <c r="H773" s="130"/>
      <c r="I773" s="130"/>
      <c r="J773" s="130"/>
      <c r="K773" s="130"/>
      <c r="L773" s="163"/>
      <c r="M773" s="130"/>
      <c r="N773" s="130"/>
      <c r="O773" s="130"/>
      <c r="P773" s="130"/>
      <c r="Q773" s="130"/>
      <c r="R773" s="130"/>
      <c r="S773" s="130"/>
      <c r="T773" s="130"/>
      <c r="U773" s="130"/>
      <c r="V773" s="130"/>
      <c r="W773" s="130"/>
      <c r="X773" s="163"/>
      <c r="Y773" s="163"/>
      <c r="Z773" s="163"/>
      <c r="AA773" s="163"/>
      <c r="AB773" s="163"/>
      <c r="AC773" s="163"/>
      <c r="AD773" s="163"/>
      <c r="AE773" s="163"/>
      <c r="AF773" s="163"/>
      <c r="AG773" s="163"/>
      <c r="AH773" s="163"/>
      <c r="AI773" s="163"/>
      <c r="AJ773" s="163"/>
      <c r="AK773" s="163"/>
      <c r="AL773" s="163"/>
      <c r="AM773" s="163"/>
    </row>
    <row r="774" ht="13.5" customHeight="1">
      <c r="A774" s="130"/>
      <c r="B774" s="130"/>
      <c r="C774" s="130"/>
      <c r="D774" s="130"/>
      <c r="E774" s="163"/>
      <c r="F774" s="163"/>
      <c r="G774" s="163"/>
      <c r="H774" s="130"/>
      <c r="I774" s="130"/>
      <c r="J774" s="130"/>
      <c r="K774" s="130"/>
      <c r="L774" s="163"/>
      <c r="M774" s="130"/>
      <c r="N774" s="130"/>
      <c r="O774" s="130"/>
      <c r="P774" s="130"/>
      <c r="Q774" s="130"/>
      <c r="R774" s="130"/>
      <c r="S774" s="130"/>
      <c r="T774" s="130"/>
      <c r="U774" s="130"/>
      <c r="V774" s="130"/>
      <c r="W774" s="130"/>
      <c r="X774" s="163"/>
      <c r="Y774" s="163"/>
      <c r="Z774" s="163"/>
      <c r="AA774" s="163"/>
      <c r="AB774" s="163"/>
      <c r="AC774" s="163"/>
      <c r="AD774" s="163"/>
      <c r="AE774" s="163"/>
      <c r="AF774" s="163"/>
      <c r="AG774" s="163"/>
      <c r="AH774" s="163"/>
      <c r="AI774" s="163"/>
      <c r="AJ774" s="163"/>
      <c r="AK774" s="163"/>
      <c r="AL774" s="163"/>
      <c r="AM774" s="163"/>
    </row>
    <row r="775" ht="13.5" customHeight="1">
      <c r="A775" s="130"/>
      <c r="B775" s="130"/>
      <c r="C775" s="130"/>
      <c r="D775" s="130"/>
      <c r="E775" s="163"/>
      <c r="F775" s="163"/>
      <c r="G775" s="163"/>
      <c r="H775" s="130"/>
      <c r="I775" s="130"/>
      <c r="J775" s="130"/>
      <c r="K775" s="130"/>
      <c r="L775" s="163"/>
      <c r="M775" s="130"/>
      <c r="N775" s="130"/>
      <c r="O775" s="130"/>
      <c r="P775" s="130"/>
      <c r="Q775" s="130"/>
      <c r="R775" s="130"/>
      <c r="S775" s="130"/>
      <c r="T775" s="130"/>
      <c r="U775" s="130"/>
      <c r="V775" s="130"/>
      <c r="W775" s="130"/>
      <c r="X775" s="163"/>
      <c r="Y775" s="163"/>
      <c r="Z775" s="163"/>
      <c r="AA775" s="163"/>
      <c r="AB775" s="163"/>
      <c r="AC775" s="163"/>
      <c r="AD775" s="163"/>
      <c r="AE775" s="163"/>
      <c r="AF775" s="163"/>
      <c r="AG775" s="163"/>
      <c r="AH775" s="163"/>
      <c r="AI775" s="163"/>
      <c r="AJ775" s="163"/>
      <c r="AK775" s="163"/>
      <c r="AL775" s="163"/>
      <c r="AM775" s="163"/>
    </row>
    <row r="776" ht="13.5" customHeight="1">
      <c r="A776" s="130"/>
      <c r="B776" s="130"/>
      <c r="C776" s="130"/>
      <c r="D776" s="130"/>
      <c r="E776" s="163"/>
      <c r="F776" s="163"/>
      <c r="G776" s="163"/>
      <c r="H776" s="130"/>
      <c r="I776" s="130"/>
      <c r="J776" s="130"/>
      <c r="K776" s="130"/>
      <c r="L776" s="163"/>
      <c r="M776" s="130"/>
      <c r="N776" s="130"/>
      <c r="O776" s="130"/>
      <c r="P776" s="130"/>
      <c r="Q776" s="130"/>
      <c r="R776" s="130"/>
      <c r="S776" s="130"/>
      <c r="T776" s="130"/>
      <c r="U776" s="130"/>
      <c r="V776" s="130"/>
      <c r="W776" s="130"/>
      <c r="X776" s="163"/>
      <c r="Y776" s="163"/>
      <c r="Z776" s="163"/>
      <c r="AA776" s="163"/>
      <c r="AB776" s="163"/>
      <c r="AC776" s="163"/>
      <c r="AD776" s="163"/>
      <c r="AE776" s="163"/>
      <c r="AF776" s="163"/>
      <c r="AG776" s="163"/>
      <c r="AH776" s="163"/>
      <c r="AI776" s="163"/>
      <c r="AJ776" s="163"/>
      <c r="AK776" s="163"/>
      <c r="AL776" s="163"/>
      <c r="AM776" s="163"/>
    </row>
    <row r="777" ht="13.5" customHeight="1">
      <c r="A777" s="130"/>
      <c r="B777" s="130"/>
      <c r="C777" s="130"/>
      <c r="D777" s="130"/>
      <c r="E777" s="163"/>
      <c r="F777" s="163"/>
      <c r="G777" s="163"/>
      <c r="H777" s="130"/>
      <c r="I777" s="130"/>
      <c r="J777" s="130"/>
      <c r="K777" s="130"/>
      <c r="L777" s="163"/>
      <c r="M777" s="130"/>
      <c r="N777" s="130"/>
      <c r="O777" s="130"/>
      <c r="P777" s="130"/>
      <c r="Q777" s="130"/>
      <c r="R777" s="130"/>
      <c r="S777" s="130"/>
      <c r="T777" s="130"/>
      <c r="U777" s="130"/>
      <c r="V777" s="130"/>
      <c r="W777" s="130"/>
      <c r="X777" s="163"/>
      <c r="Y777" s="163"/>
      <c r="Z777" s="163"/>
      <c r="AA777" s="163"/>
      <c r="AB777" s="163"/>
      <c r="AC777" s="163"/>
      <c r="AD777" s="163"/>
      <c r="AE777" s="163"/>
      <c r="AF777" s="163"/>
      <c r="AG777" s="163"/>
      <c r="AH777" s="163"/>
      <c r="AI777" s="163"/>
      <c r="AJ777" s="163"/>
      <c r="AK777" s="163"/>
      <c r="AL777" s="163"/>
      <c r="AM777" s="163"/>
    </row>
    <row r="778" ht="13.5" customHeight="1">
      <c r="A778" s="130"/>
      <c r="B778" s="130"/>
      <c r="C778" s="130"/>
      <c r="D778" s="130"/>
      <c r="E778" s="163"/>
      <c r="F778" s="163"/>
      <c r="G778" s="163"/>
      <c r="H778" s="130"/>
      <c r="I778" s="130"/>
      <c r="J778" s="130"/>
      <c r="K778" s="130"/>
      <c r="L778" s="163"/>
      <c r="M778" s="130"/>
      <c r="N778" s="130"/>
      <c r="O778" s="130"/>
      <c r="P778" s="130"/>
      <c r="Q778" s="130"/>
      <c r="R778" s="130"/>
      <c r="S778" s="130"/>
      <c r="T778" s="130"/>
      <c r="U778" s="130"/>
      <c r="V778" s="130"/>
      <c r="W778" s="130"/>
      <c r="X778" s="163"/>
      <c r="Y778" s="163"/>
      <c r="Z778" s="163"/>
      <c r="AA778" s="163"/>
      <c r="AB778" s="163"/>
      <c r="AC778" s="163"/>
      <c r="AD778" s="163"/>
      <c r="AE778" s="163"/>
      <c r="AF778" s="163"/>
      <c r="AG778" s="163"/>
      <c r="AH778" s="163"/>
      <c r="AI778" s="163"/>
      <c r="AJ778" s="163"/>
      <c r="AK778" s="163"/>
      <c r="AL778" s="163"/>
      <c r="AM778" s="163"/>
    </row>
    <row r="779" ht="13.5" customHeight="1">
      <c r="A779" s="130"/>
      <c r="B779" s="130"/>
      <c r="C779" s="130"/>
      <c r="D779" s="130"/>
      <c r="E779" s="163"/>
      <c r="F779" s="163"/>
      <c r="G779" s="163"/>
      <c r="H779" s="130"/>
      <c r="I779" s="130"/>
      <c r="J779" s="130"/>
      <c r="K779" s="130"/>
      <c r="L779" s="163"/>
      <c r="M779" s="130"/>
      <c r="N779" s="130"/>
      <c r="O779" s="130"/>
      <c r="P779" s="130"/>
      <c r="Q779" s="130"/>
      <c r="R779" s="130"/>
      <c r="S779" s="130"/>
      <c r="T779" s="130"/>
      <c r="U779" s="130"/>
      <c r="V779" s="130"/>
      <c r="W779" s="130"/>
      <c r="X779" s="163"/>
      <c r="Y779" s="163"/>
      <c r="Z779" s="163"/>
      <c r="AA779" s="163"/>
      <c r="AB779" s="163"/>
      <c r="AC779" s="163"/>
      <c r="AD779" s="163"/>
      <c r="AE779" s="163"/>
      <c r="AF779" s="163"/>
      <c r="AG779" s="163"/>
      <c r="AH779" s="163"/>
      <c r="AI779" s="163"/>
      <c r="AJ779" s="163"/>
      <c r="AK779" s="163"/>
      <c r="AL779" s="163"/>
      <c r="AM779" s="163"/>
    </row>
    <row r="780" ht="13.5" customHeight="1">
      <c r="A780" s="130"/>
      <c r="B780" s="130"/>
      <c r="C780" s="130"/>
      <c r="D780" s="130"/>
      <c r="E780" s="163"/>
      <c r="F780" s="163"/>
      <c r="G780" s="163"/>
      <c r="H780" s="130"/>
      <c r="I780" s="130"/>
      <c r="J780" s="130"/>
      <c r="K780" s="130"/>
      <c r="L780" s="163"/>
      <c r="M780" s="130"/>
      <c r="N780" s="130"/>
      <c r="O780" s="130"/>
      <c r="P780" s="130"/>
      <c r="Q780" s="130"/>
      <c r="R780" s="130"/>
      <c r="S780" s="130"/>
      <c r="T780" s="130"/>
      <c r="U780" s="130"/>
      <c r="V780" s="130"/>
      <c r="W780" s="130"/>
      <c r="X780" s="163"/>
      <c r="Y780" s="163"/>
      <c r="Z780" s="163"/>
      <c r="AA780" s="163"/>
      <c r="AB780" s="163"/>
      <c r="AC780" s="163"/>
      <c r="AD780" s="163"/>
      <c r="AE780" s="163"/>
      <c r="AF780" s="163"/>
      <c r="AG780" s="163"/>
      <c r="AH780" s="163"/>
      <c r="AI780" s="163"/>
      <c r="AJ780" s="163"/>
      <c r="AK780" s="163"/>
      <c r="AL780" s="163"/>
      <c r="AM780" s="163"/>
    </row>
    <row r="781" ht="13.5" customHeight="1">
      <c r="A781" s="130"/>
      <c r="B781" s="130"/>
      <c r="C781" s="130"/>
      <c r="D781" s="130"/>
      <c r="E781" s="163"/>
      <c r="F781" s="163"/>
      <c r="G781" s="163"/>
      <c r="H781" s="130"/>
      <c r="I781" s="130"/>
      <c r="J781" s="130"/>
      <c r="K781" s="130"/>
      <c r="L781" s="163"/>
      <c r="M781" s="130"/>
      <c r="N781" s="130"/>
      <c r="O781" s="130"/>
      <c r="P781" s="130"/>
      <c r="Q781" s="130"/>
      <c r="R781" s="130"/>
      <c r="S781" s="130"/>
      <c r="T781" s="130"/>
      <c r="U781" s="130"/>
      <c r="V781" s="130"/>
      <c r="W781" s="130"/>
      <c r="X781" s="163"/>
      <c r="Y781" s="163"/>
      <c r="Z781" s="163"/>
      <c r="AA781" s="163"/>
      <c r="AB781" s="163"/>
      <c r="AC781" s="163"/>
      <c r="AD781" s="163"/>
      <c r="AE781" s="163"/>
      <c r="AF781" s="163"/>
      <c r="AG781" s="163"/>
      <c r="AH781" s="163"/>
      <c r="AI781" s="163"/>
      <c r="AJ781" s="163"/>
      <c r="AK781" s="163"/>
      <c r="AL781" s="163"/>
      <c r="AM781" s="163"/>
    </row>
    <row r="782" ht="13.5" customHeight="1">
      <c r="A782" s="130"/>
      <c r="B782" s="130"/>
      <c r="C782" s="130"/>
      <c r="D782" s="130"/>
      <c r="E782" s="163"/>
      <c r="F782" s="163"/>
      <c r="G782" s="163"/>
      <c r="H782" s="130"/>
      <c r="I782" s="130"/>
      <c r="J782" s="130"/>
      <c r="K782" s="130"/>
      <c r="L782" s="163"/>
      <c r="M782" s="130"/>
      <c r="N782" s="130"/>
      <c r="O782" s="130"/>
      <c r="P782" s="130"/>
      <c r="Q782" s="130"/>
      <c r="R782" s="130"/>
      <c r="S782" s="130"/>
      <c r="T782" s="130"/>
      <c r="U782" s="130"/>
      <c r="V782" s="130"/>
      <c r="W782" s="130"/>
      <c r="X782" s="163"/>
      <c r="Y782" s="163"/>
      <c r="Z782" s="163"/>
      <c r="AA782" s="163"/>
      <c r="AB782" s="163"/>
      <c r="AC782" s="163"/>
      <c r="AD782" s="163"/>
      <c r="AE782" s="163"/>
      <c r="AF782" s="163"/>
      <c r="AG782" s="163"/>
      <c r="AH782" s="163"/>
      <c r="AI782" s="163"/>
      <c r="AJ782" s="163"/>
      <c r="AK782" s="163"/>
      <c r="AL782" s="163"/>
      <c r="AM782" s="163"/>
    </row>
    <row r="783" ht="13.5" customHeight="1">
      <c r="A783" s="130"/>
      <c r="B783" s="130"/>
      <c r="C783" s="130"/>
      <c r="D783" s="130"/>
      <c r="E783" s="163"/>
      <c r="F783" s="163"/>
      <c r="G783" s="163"/>
      <c r="H783" s="130"/>
      <c r="I783" s="130"/>
      <c r="J783" s="130"/>
      <c r="K783" s="130"/>
      <c r="L783" s="163"/>
      <c r="M783" s="130"/>
      <c r="N783" s="130"/>
      <c r="O783" s="130"/>
      <c r="P783" s="130"/>
      <c r="Q783" s="130"/>
      <c r="R783" s="130"/>
      <c r="S783" s="130"/>
      <c r="T783" s="130"/>
      <c r="U783" s="130"/>
      <c r="V783" s="130"/>
      <c r="W783" s="130"/>
      <c r="X783" s="163"/>
      <c r="Y783" s="163"/>
      <c r="Z783" s="163"/>
      <c r="AA783" s="163"/>
      <c r="AB783" s="163"/>
      <c r="AC783" s="163"/>
      <c r="AD783" s="163"/>
      <c r="AE783" s="163"/>
      <c r="AF783" s="163"/>
      <c r="AG783" s="163"/>
      <c r="AH783" s="163"/>
      <c r="AI783" s="163"/>
      <c r="AJ783" s="163"/>
      <c r="AK783" s="163"/>
      <c r="AL783" s="163"/>
      <c r="AM783" s="163"/>
    </row>
    <row r="784" ht="13.5" customHeight="1">
      <c r="A784" s="130"/>
      <c r="B784" s="130"/>
      <c r="C784" s="130"/>
      <c r="D784" s="130"/>
      <c r="E784" s="163"/>
      <c r="F784" s="163"/>
      <c r="G784" s="163"/>
      <c r="H784" s="130"/>
      <c r="I784" s="130"/>
      <c r="J784" s="130"/>
      <c r="K784" s="130"/>
      <c r="L784" s="163"/>
      <c r="M784" s="130"/>
      <c r="N784" s="130"/>
      <c r="O784" s="130"/>
      <c r="P784" s="130"/>
      <c r="Q784" s="130"/>
      <c r="R784" s="130"/>
      <c r="S784" s="130"/>
      <c r="T784" s="130"/>
      <c r="U784" s="130"/>
      <c r="V784" s="130"/>
      <c r="W784" s="130"/>
      <c r="X784" s="163"/>
      <c r="Y784" s="163"/>
      <c r="Z784" s="163"/>
      <c r="AA784" s="163"/>
      <c r="AB784" s="163"/>
      <c r="AC784" s="163"/>
      <c r="AD784" s="163"/>
      <c r="AE784" s="163"/>
      <c r="AF784" s="163"/>
      <c r="AG784" s="163"/>
      <c r="AH784" s="163"/>
      <c r="AI784" s="163"/>
      <c r="AJ784" s="163"/>
      <c r="AK784" s="163"/>
      <c r="AL784" s="163"/>
      <c r="AM784" s="163"/>
    </row>
    <row r="785" ht="13.5" customHeight="1">
      <c r="A785" s="130"/>
      <c r="B785" s="130"/>
      <c r="C785" s="130"/>
      <c r="D785" s="130"/>
      <c r="E785" s="163"/>
      <c r="F785" s="163"/>
      <c r="G785" s="163"/>
      <c r="H785" s="130"/>
      <c r="I785" s="130"/>
      <c r="J785" s="130"/>
      <c r="K785" s="130"/>
      <c r="L785" s="163"/>
      <c r="M785" s="130"/>
      <c r="N785" s="130"/>
      <c r="O785" s="130"/>
      <c r="P785" s="130"/>
      <c r="Q785" s="130"/>
      <c r="R785" s="130"/>
      <c r="S785" s="130"/>
      <c r="T785" s="130"/>
      <c r="U785" s="130"/>
      <c r="V785" s="130"/>
      <c r="W785" s="130"/>
      <c r="X785" s="163"/>
      <c r="Y785" s="163"/>
      <c r="Z785" s="163"/>
      <c r="AA785" s="163"/>
      <c r="AB785" s="163"/>
      <c r="AC785" s="163"/>
      <c r="AD785" s="163"/>
      <c r="AE785" s="163"/>
      <c r="AF785" s="163"/>
      <c r="AG785" s="163"/>
      <c r="AH785" s="163"/>
      <c r="AI785" s="163"/>
      <c r="AJ785" s="163"/>
      <c r="AK785" s="163"/>
      <c r="AL785" s="163"/>
      <c r="AM785" s="163"/>
    </row>
    <row r="786" ht="13.5" customHeight="1">
      <c r="A786" s="130"/>
      <c r="B786" s="130"/>
      <c r="C786" s="130"/>
      <c r="D786" s="130"/>
      <c r="E786" s="163"/>
      <c r="F786" s="163"/>
      <c r="G786" s="163"/>
      <c r="H786" s="130"/>
      <c r="I786" s="130"/>
      <c r="J786" s="130"/>
      <c r="K786" s="130"/>
      <c r="L786" s="163"/>
      <c r="M786" s="130"/>
      <c r="N786" s="130"/>
      <c r="O786" s="130"/>
      <c r="P786" s="130"/>
      <c r="Q786" s="130"/>
      <c r="R786" s="130"/>
      <c r="S786" s="130"/>
      <c r="T786" s="130"/>
      <c r="U786" s="130"/>
      <c r="V786" s="130"/>
      <c r="W786" s="130"/>
      <c r="X786" s="163"/>
      <c r="Y786" s="163"/>
      <c r="Z786" s="163"/>
      <c r="AA786" s="163"/>
      <c r="AB786" s="163"/>
      <c r="AC786" s="163"/>
      <c r="AD786" s="163"/>
      <c r="AE786" s="163"/>
      <c r="AF786" s="163"/>
      <c r="AG786" s="163"/>
      <c r="AH786" s="163"/>
      <c r="AI786" s="163"/>
      <c r="AJ786" s="163"/>
      <c r="AK786" s="163"/>
      <c r="AL786" s="163"/>
      <c r="AM786" s="163"/>
    </row>
    <row r="787" ht="13.5" customHeight="1">
      <c r="A787" s="130"/>
      <c r="B787" s="130"/>
      <c r="C787" s="130"/>
      <c r="D787" s="130"/>
      <c r="E787" s="163"/>
      <c r="F787" s="163"/>
      <c r="G787" s="163"/>
      <c r="H787" s="130"/>
      <c r="I787" s="130"/>
      <c r="J787" s="130"/>
      <c r="K787" s="130"/>
      <c r="L787" s="163"/>
      <c r="M787" s="130"/>
      <c r="N787" s="130"/>
      <c r="O787" s="130"/>
      <c r="P787" s="130"/>
      <c r="Q787" s="130"/>
      <c r="R787" s="130"/>
      <c r="S787" s="130"/>
      <c r="T787" s="130"/>
      <c r="U787" s="130"/>
      <c r="V787" s="130"/>
      <c r="W787" s="130"/>
      <c r="X787" s="163"/>
      <c r="Y787" s="163"/>
      <c r="Z787" s="163"/>
      <c r="AA787" s="163"/>
      <c r="AB787" s="163"/>
      <c r="AC787" s="163"/>
      <c r="AD787" s="163"/>
      <c r="AE787" s="163"/>
      <c r="AF787" s="163"/>
      <c r="AG787" s="163"/>
      <c r="AH787" s="163"/>
      <c r="AI787" s="163"/>
      <c r="AJ787" s="163"/>
      <c r="AK787" s="163"/>
      <c r="AL787" s="163"/>
      <c r="AM787" s="163"/>
    </row>
    <row r="788" ht="13.5" customHeight="1">
      <c r="A788" s="130"/>
      <c r="B788" s="130"/>
      <c r="C788" s="130"/>
      <c r="D788" s="130"/>
      <c r="E788" s="163"/>
      <c r="F788" s="163"/>
      <c r="G788" s="163"/>
      <c r="H788" s="130"/>
      <c r="I788" s="130"/>
      <c r="J788" s="130"/>
      <c r="K788" s="130"/>
      <c r="L788" s="163"/>
      <c r="M788" s="130"/>
      <c r="N788" s="130"/>
      <c r="O788" s="130"/>
      <c r="P788" s="130"/>
      <c r="Q788" s="130"/>
      <c r="R788" s="130"/>
      <c r="S788" s="130"/>
      <c r="T788" s="130"/>
      <c r="U788" s="130"/>
      <c r="V788" s="130"/>
      <c r="W788" s="130"/>
      <c r="X788" s="163"/>
      <c r="Y788" s="163"/>
      <c r="Z788" s="163"/>
      <c r="AA788" s="163"/>
      <c r="AB788" s="163"/>
      <c r="AC788" s="163"/>
      <c r="AD788" s="163"/>
      <c r="AE788" s="163"/>
      <c r="AF788" s="163"/>
      <c r="AG788" s="163"/>
      <c r="AH788" s="163"/>
      <c r="AI788" s="163"/>
      <c r="AJ788" s="163"/>
      <c r="AK788" s="163"/>
      <c r="AL788" s="163"/>
      <c r="AM788" s="163"/>
    </row>
    <row r="789" ht="13.5" customHeight="1">
      <c r="A789" s="130"/>
      <c r="B789" s="130"/>
      <c r="C789" s="130"/>
      <c r="D789" s="130"/>
      <c r="E789" s="163"/>
      <c r="F789" s="163"/>
      <c r="G789" s="163"/>
      <c r="H789" s="130"/>
      <c r="I789" s="130"/>
      <c r="J789" s="130"/>
      <c r="K789" s="130"/>
      <c r="L789" s="163"/>
      <c r="M789" s="130"/>
      <c r="N789" s="130"/>
      <c r="O789" s="130"/>
      <c r="P789" s="130"/>
      <c r="Q789" s="130"/>
      <c r="R789" s="130"/>
      <c r="S789" s="130"/>
      <c r="T789" s="130"/>
      <c r="U789" s="130"/>
      <c r="V789" s="130"/>
      <c r="W789" s="130"/>
      <c r="X789" s="163"/>
      <c r="Y789" s="163"/>
      <c r="Z789" s="163"/>
      <c r="AA789" s="163"/>
      <c r="AB789" s="163"/>
      <c r="AC789" s="163"/>
      <c r="AD789" s="163"/>
      <c r="AE789" s="163"/>
      <c r="AF789" s="163"/>
      <c r="AG789" s="163"/>
      <c r="AH789" s="163"/>
      <c r="AI789" s="163"/>
      <c r="AJ789" s="163"/>
      <c r="AK789" s="163"/>
      <c r="AL789" s="163"/>
      <c r="AM789" s="163"/>
    </row>
    <row r="790" ht="13.5" customHeight="1">
      <c r="A790" s="130"/>
      <c r="B790" s="130"/>
      <c r="C790" s="130"/>
      <c r="D790" s="130"/>
      <c r="E790" s="163"/>
      <c r="F790" s="163"/>
      <c r="G790" s="163"/>
      <c r="H790" s="130"/>
      <c r="I790" s="130"/>
      <c r="J790" s="130"/>
      <c r="K790" s="130"/>
      <c r="L790" s="163"/>
      <c r="M790" s="130"/>
      <c r="N790" s="130"/>
      <c r="O790" s="130"/>
      <c r="P790" s="130"/>
      <c r="Q790" s="130"/>
      <c r="R790" s="130"/>
      <c r="S790" s="130"/>
      <c r="T790" s="130"/>
      <c r="U790" s="130"/>
      <c r="V790" s="130"/>
      <c r="W790" s="130"/>
      <c r="X790" s="163"/>
      <c r="Y790" s="163"/>
      <c r="Z790" s="163"/>
      <c r="AA790" s="163"/>
      <c r="AB790" s="163"/>
      <c r="AC790" s="163"/>
      <c r="AD790" s="163"/>
      <c r="AE790" s="163"/>
      <c r="AF790" s="163"/>
      <c r="AG790" s="163"/>
      <c r="AH790" s="163"/>
      <c r="AI790" s="163"/>
      <c r="AJ790" s="163"/>
      <c r="AK790" s="163"/>
      <c r="AL790" s="163"/>
      <c r="AM790" s="163"/>
    </row>
    <row r="791" ht="13.5" customHeight="1">
      <c r="A791" s="130"/>
      <c r="B791" s="130"/>
      <c r="C791" s="130"/>
      <c r="D791" s="130"/>
      <c r="E791" s="163"/>
      <c r="F791" s="163"/>
      <c r="G791" s="163"/>
      <c r="H791" s="130"/>
      <c r="I791" s="130"/>
      <c r="J791" s="130"/>
      <c r="K791" s="130"/>
      <c r="L791" s="163"/>
      <c r="M791" s="130"/>
      <c r="N791" s="130"/>
      <c r="O791" s="130"/>
      <c r="P791" s="130"/>
      <c r="Q791" s="130"/>
      <c r="R791" s="130"/>
      <c r="S791" s="130"/>
      <c r="T791" s="130"/>
      <c r="U791" s="130"/>
      <c r="V791" s="130"/>
      <c r="W791" s="130"/>
      <c r="X791" s="163"/>
      <c r="Y791" s="163"/>
      <c r="Z791" s="163"/>
      <c r="AA791" s="163"/>
      <c r="AB791" s="163"/>
      <c r="AC791" s="163"/>
      <c r="AD791" s="163"/>
      <c r="AE791" s="163"/>
      <c r="AF791" s="163"/>
      <c r="AG791" s="163"/>
      <c r="AH791" s="163"/>
      <c r="AI791" s="163"/>
      <c r="AJ791" s="163"/>
      <c r="AK791" s="163"/>
      <c r="AL791" s="163"/>
      <c r="AM791" s="163"/>
    </row>
    <row r="792" ht="13.5" customHeight="1">
      <c r="A792" s="130"/>
      <c r="B792" s="130"/>
      <c r="C792" s="130"/>
      <c r="D792" s="130"/>
      <c r="E792" s="163"/>
      <c r="F792" s="163"/>
      <c r="G792" s="163"/>
      <c r="H792" s="130"/>
      <c r="I792" s="130"/>
      <c r="J792" s="130"/>
      <c r="K792" s="130"/>
      <c r="L792" s="163"/>
      <c r="M792" s="130"/>
      <c r="N792" s="130"/>
      <c r="O792" s="130"/>
      <c r="P792" s="130"/>
      <c r="Q792" s="130"/>
      <c r="R792" s="130"/>
      <c r="S792" s="130"/>
      <c r="T792" s="130"/>
      <c r="U792" s="130"/>
      <c r="V792" s="130"/>
      <c r="W792" s="130"/>
      <c r="X792" s="163"/>
      <c r="Y792" s="163"/>
      <c r="Z792" s="163"/>
      <c r="AA792" s="163"/>
      <c r="AB792" s="163"/>
      <c r="AC792" s="163"/>
      <c r="AD792" s="163"/>
      <c r="AE792" s="163"/>
      <c r="AF792" s="163"/>
      <c r="AG792" s="163"/>
      <c r="AH792" s="163"/>
      <c r="AI792" s="163"/>
      <c r="AJ792" s="163"/>
      <c r="AK792" s="163"/>
      <c r="AL792" s="163"/>
      <c r="AM792" s="163"/>
    </row>
    <row r="793" ht="13.5" customHeight="1">
      <c r="A793" s="130"/>
      <c r="B793" s="130"/>
      <c r="C793" s="130"/>
      <c r="D793" s="130"/>
      <c r="E793" s="163"/>
      <c r="F793" s="163"/>
      <c r="G793" s="163"/>
      <c r="H793" s="130"/>
      <c r="I793" s="130"/>
      <c r="J793" s="130"/>
      <c r="K793" s="130"/>
      <c r="L793" s="163"/>
      <c r="M793" s="130"/>
      <c r="N793" s="130"/>
      <c r="O793" s="130"/>
      <c r="P793" s="130"/>
      <c r="Q793" s="130"/>
      <c r="R793" s="130"/>
      <c r="S793" s="130"/>
      <c r="T793" s="130"/>
      <c r="U793" s="130"/>
      <c r="V793" s="130"/>
      <c r="W793" s="130"/>
      <c r="X793" s="163"/>
      <c r="Y793" s="163"/>
      <c r="Z793" s="163"/>
      <c r="AA793" s="163"/>
      <c r="AB793" s="163"/>
      <c r="AC793" s="163"/>
      <c r="AD793" s="163"/>
      <c r="AE793" s="163"/>
      <c r="AF793" s="163"/>
      <c r="AG793" s="163"/>
      <c r="AH793" s="163"/>
      <c r="AI793" s="163"/>
      <c r="AJ793" s="163"/>
      <c r="AK793" s="163"/>
      <c r="AL793" s="163"/>
      <c r="AM793" s="163"/>
    </row>
    <row r="794" ht="13.5" customHeight="1">
      <c r="A794" s="130"/>
      <c r="B794" s="130"/>
      <c r="C794" s="130"/>
      <c r="D794" s="130"/>
      <c r="E794" s="163"/>
      <c r="F794" s="163"/>
      <c r="G794" s="163"/>
      <c r="H794" s="130"/>
      <c r="I794" s="130"/>
      <c r="J794" s="130"/>
      <c r="K794" s="130"/>
      <c r="L794" s="163"/>
      <c r="M794" s="130"/>
      <c r="N794" s="130"/>
      <c r="O794" s="130"/>
      <c r="P794" s="130"/>
      <c r="Q794" s="130"/>
      <c r="R794" s="130"/>
      <c r="S794" s="130"/>
      <c r="T794" s="130"/>
      <c r="U794" s="130"/>
      <c r="V794" s="130"/>
      <c r="W794" s="130"/>
      <c r="X794" s="163"/>
      <c r="Y794" s="163"/>
      <c r="Z794" s="163"/>
      <c r="AA794" s="163"/>
      <c r="AB794" s="163"/>
      <c r="AC794" s="163"/>
      <c r="AD794" s="163"/>
      <c r="AE794" s="163"/>
      <c r="AF794" s="163"/>
      <c r="AG794" s="163"/>
      <c r="AH794" s="163"/>
      <c r="AI794" s="163"/>
      <c r="AJ794" s="163"/>
      <c r="AK794" s="163"/>
      <c r="AL794" s="163"/>
      <c r="AM794" s="163"/>
    </row>
    <row r="795" ht="13.5" customHeight="1">
      <c r="A795" s="130"/>
      <c r="B795" s="130"/>
      <c r="C795" s="130"/>
      <c r="D795" s="130"/>
      <c r="E795" s="163"/>
      <c r="F795" s="163"/>
      <c r="G795" s="163"/>
      <c r="H795" s="130"/>
      <c r="I795" s="130"/>
      <c r="J795" s="130"/>
      <c r="K795" s="130"/>
      <c r="L795" s="163"/>
      <c r="M795" s="130"/>
      <c r="N795" s="130"/>
      <c r="O795" s="130"/>
      <c r="P795" s="130"/>
      <c r="Q795" s="130"/>
      <c r="R795" s="130"/>
      <c r="S795" s="130"/>
      <c r="T795" s="130"/>
      <c r="U795" s="130"/>
      <c r="V795" s="130"/>
      <c r="W795" s="130"/>
      <c r="X795" s="163"/>
      <c r="Y795" s="163"/>
      <c r="Z795" s="163"/>
      <c r="AA795" s="163"/>
      <c r="AB795" s="163"/>
      <c r="AC795" s="163"/>
      <c r="AD795" s="163"/>
      <c r="AE795" s="163"/>
      <c r="AF795" s="163"/>
      <c r="AG795" s="163"/>
      <c r="AH795" s="163"/>
      <c r="AI795" s="163"/>
      <c r="AJ795" s="163"/>
      <c r="AK795" s="163"/>
      <c r="AL795" s="163"/>
      <c r="AM795" s="163"/>
    </row>
    <row r="796" ht="13.5" customHeight="1">
      <c r="A796" s="130"/>
      <c r="B796" s="130"/>
      <c r="C796" s="130"/>
      <c r="D796" s="130"/>
      <c r="E796" s="163"/>
      <c r="F796" s="163"/>
      <c r="G796" s="163"/>
      <c r="H796" s="130"/>
      <c r="I796" s="130"/>
      <c r="J796" s="130"/>
      <c r="K796" s="130"/>
      <c r="L796" s="163"/>
      <c r="M796" s="130"/>
      <c r="N796" s="130"/>
      <c r="O796" s="130"/>
      <c r="P796" s="130"/>
      <c r="Q796" s="130"/>
      <c r="R796" s="130"/>
      <c r="S796" s="130"/>
      <c r="T796" s="130"/>
      <c r="U796" s="130"/>
      <c r="V796" s="130"/>
      <c r="W796" s="130"/>
      <c r="X796" s="163"/>
      <c r="Y796" s="163"/>
      <c r="Z796" s="163"/>
      <c r="AA796" s="163"/>
      <c r="AB796" s="163"/>
      <c r="AC796" s="163"/>
      <c r="AD796" s="163"/>
      <c r="AE796" s="163"/>
      <c r="AF796" s="163"/>
      <c r="AG796" s="163"/>
      <c r="AH796" s="163"/>
      <c r="AI796" s="163"/>
      <c r="AJ796" s="163"/>
      <c r="AK796" s="163"/>
      <c r="AL796" s="163"/>
      <c r="AM796" s="163"/>
    </row>
    <row r="797" ht="13.5" customHeight="1">
      <c r="A797" s="130"/>
      <c r="B797" s="130"/>
      <c r="C797" s="130"/>
      <c r="D797" s="130"/>
      <c r="E797" s="163"/>
      <c r="F797" s="163"/>
      <c r="G797" s="163"/>
      <c r="H797" s="130"/>
      <c r="I797" s="130"/>
      <c r="J797" s="130"/>
      <c r="K797" s="130"/>
      <c r="L797" s="163"/>
      <c r="M797" s="130"/>
      <c r="N797" s="130"/>
      <c r="O797" s="130"/>
      <c r="P797" s="130"/>
      <c r="Q797" s="130"/>
      <c r="R797" s="130"/>
      <c r="S797" s="130"/>
      <c r="T797" s="130"/>
      <c r="U797" s="130"/>
      <c r="V797" s="130"/>
      <c r="W797" s="130"/>
      <c r="X797" s="163"/>
      <c r="Y797" s="163"/>
      <c r="Z797" s="163"/>
      <c r="AA797" s="163"/>
      <c r="AB797" s="163"/>
      <c r="AC797" s="163"/>
      <c r="AD797" s="163"/>
      <c r="AE797" s="163"/>
      <c r="AF797" s="163"/>
      <c r="AG797" s="163"/>
      <c r="AH797" s="163"/>
      <c r="AI797" s="163"/>
      <c r="AJ797" s="163"/>
      <c r="AK797" s="163"/>
      <c r="AL797" s="163"/>
      <c r="AM797" s="163"/>
    </row>
    <row r="798" ht="13.5" customHeight="1">
      <c r="A798" s="130"/>
      <c r="B798" s="130"/>
      <c r="C798" s="130"/>
      <c r="D798" s="130"/>
      <c r="E798" s="163"/>
      <c r="F798" s="163"/>
      <c r="G798" s="163"/>
      <c r="H798" s="130"/>
      <c r="I798" s="130"/>
      <c r="J798" s="130"/>
      <c r="K798" s="130"/>
      <c r="L798" s="163"/>
      <c r="M798" s="130"/>
      <c r="N798" s="130"/>
      <c r="O798" s="130"/>
      <c r="P798" s="130"/>
      <c r="Q798" s="130"/>
      <c r="R798" s="130"/>
      <c r="S798" s="130"/>
      <c r="T798" s="130"/>
      <c r="U798" s="130"/>
      <c r="V798" s="130"/>
      <c r="W798" s="130"/>
      <c r="X798" s="163"/>
      <c r="Y798" s="163"/>
      <c r="Z798" s="163"/>
      <c r="AA798" s="163"/>
      <c r="AB798" s="163"/>
      <c r="AC798" s="163"/>
      <c r="AD798" s="163"/>
      <c r="AE798" s="163"/>
      <c r="AF798" s="163"/>
      <c r="AG798" s="163"/>
      <c r="AH798" s="163"/>
      <c r="AI798" s="163"/>
      <c r="AJ798" s="163"/>
      <c r="AK798" s="163"/>
      <c r="AL798" s="163"/>
      <c r="AM798" s="163"/>
    </row>
    <row r="799" ht="13.5" customHeight="1">
      <c r="A799" s="130"/>
      <c r="B799" s="130"/>
      <c r="C799" s="130"/>
      <c r="D799" s="130"/>
      <c r="E799" s="163"/>
      <c r="F799" s="163"/>
      <c r="G799" s="163"/>
      <c r="H799" s="130"/>
      <c r="I799" s="130"/>
      <c r="J799" s="130"/>
      <c r="K799" s="130"/>
      <c r="L799" s="163"/>
      <c r="M799" s="130"/>
      <c r="N799" s="130"/>
      <c r="O799" s="130"/>
      <c r="P799" s="130"/>
      <c r="Q799" s="130"/>
      <c r="R799" s="130"/>
      <c r="S799" s="130"/>
      <c r="T799" s="130"/>
      <c r="U799" s="130"/>
      <c r="V799" s="130"/>
      <c r="W799" s="130"/>
      <c r="X799" s="163"/>
      <c r="Y799" s="163"/>
      <c r="Z799" s="163"/>
      <c r="AA799" s="163"/>
      <c r="AB799" s="163"/>
      <c r="AC799" s="163"/>
      <c r="AD799" s="163"/>
      <c r="AE799" s="163"/>
      <c r="AF799" s="163"/>
      <c r="AG799" s="163"/>
      <c r="AH799" s="163"/>
      <c r="AI799" s="163"/>
      <c r="AJ799" s="163"/>
      <c r="AK799" s="163"/>
      <c r="AL799" s="163"/>
      <c r="AM799" s="163"/>
    </row>
    <row r="800" ht="13.5" customHeight="1">
      <c r="A800" s="130"/>
      <c r="B800" s="130"/>
      <c r="C800" s="130"/>
      <c r="D800" s="130"/>
      <c r="E800" s="163"/>
      <c r="F800" s="163"/>
      <c r="G800" s="163"/>
      <c r="H800" s="130"/>
      <c r="I800" s="130"/>
      <c r="J800" s="130"/>
      <c r="K800" s="130"/>
      <c r="L800" s="163"/>
      <c r="M800" s="130"/>
      <c r="N800" s="130"/>
      <c r="O800" s="130"/>
      <c r="P800" s="130"/>
      <c r="Q800" s="130"/>
      <c r="R800" s="130"/>
      <c r="S800" s="130"/>
      <c r="T800" s="130"/>
      <c r="U800" s="130"/>
      <c r="V800" s="130"/>
      <c r="W800" s="130"/>
      <c r="X800" s="163"/>
      <c r="Y800" s="163"/>
      <c r="Z800" s="163"/>
      <c r="AA800" s="163"/>
      <c r="AB800" s="163"/>
      <c r="AC800" s="163"/>
      <c r="AD800" s="163"/>
      <c r="AE800" s="163"/>
      <c r="AF800" s="163"/>
      <c r="AG800" s="163"/>
      <c r="AH800" s="163"/>
      <c r="AI800" s="163"/>
      <c r="AJ800" s="163"/>
      <c r="AK800" s="163"/>
      <c r="AL800" s="163"/>
      <c r="AM800" s="163"/>
    </row>
    <row r="801" ht="13.5" customHeight="1">
      <c r="A801" s="130"/>
      <c r="B801" s="130"/>
      <c r="C801" s="130"/>
      <c r="D801" s="130"/>
      <c r="E801" s="163"/>
      <c r="F801" s="163"/>
      <c r="G801" s="163"/>
      <c r="H801" s="130"/>
      <c r="I801" s="130"/>
      <c r="J801" s="130"/>
      <c r="K801" s="130"/>
      <c r="L801" s="163"/>
      <c r="M801" s="130"/>
      <c r="N801" s="130"/>
      <c r="O801" s="130"/>
      <c r="P801" s="130"/>
      <c r="Q801" s="130"/>
      <c r="R801" s="130"/>
      <c r="S801" s="130"/>
      <c r="T801" s="130"/>
      <c r="U801" s="130"/>
      <c r="V801" s="130"/>
      <c r="W801" s="130"/>
      <c r="X801" s="163"/>
      <c r="Y801" s="163"/>
      <c r="Z801" s="163"/>
      <c r="AA801" s="163"/>
      <c r="AB801" s="163"/>
      <c r="AC801" s="163"/>
      <c r="AD801" s="163"/>
      <c r="AE801" s="163"/>
      <c r="AF801" s="163"/>
      <c r="AG801" s="163"/>
      <c r="AH801" s="163"/>
      <c r="AI801" s="163"/>
      <c r="AJ801" s="163"/>
      <c r="AK801" s="163"/>
      <c r="AL801" s="163"/>
      <c r="AM801" s="163"/>
    </row>
    <row r="802" ht="13.5" customHeight="1">
      <c r="A802" s="130"/>
      <c r="B802" s="130"/>
      <c r="C802" s="130"/>
      <c r="D802" s="130"/>
      <c r="E802" s="163"/>
      <c r="F802" s="163"/>
      <c r="G802" s="163"/>
      <c r="H802" s="130"/>
      <c r="I802" s="130"/>
      <c r="J802" s="130"/>
      <c r="K802" s="130"/>
      <c r="L802" s="163"/>
      <c r="M802" s="130"/>
      <c r="N802" s="130"/>
      <c r="O802" s="130"/>
      <c r="P802" s="130"/>
      <c r="Q802" s="130"/>
      <c r="R802" s="130"/>
      <c r="S802" s="130"/>
      <c r="T802" s="130"/>
      <c r="U802" s="130"/>
      <c r="V802" s="130"/>
      <c r="W802" s="130"/>
      <c r="X802" s="163"/>
      <c r="Y802" s="163"/>
      <c r="Z802" s="163"/>
      <c r="AA802" s="163"/>
      <c r="AB802" s="163"/>
      <c r="AC802" s="163"/>
      <c r="AD802" s="163"/>
      <c r="AE802" s="163"/>
      <c r="AF802" s="163"/>
      <c r="AG802" s="163"/>
      <c r="AH802" s="163"/>
      <c r="AI802" s="163"/>
      <c r="AJ802" s="163"/>
      <c r="AK802" s="163"/>
      <c r="AL802" s="163"/>
      <c r="AM802" s="163"/>
    </row>
    <row r="803" ht="13.5" customHeight="1">
      <c r="A803" s="130"/>
      <c r="B803" s="130"/>
      <c r="C803" s="130"/>
      <c r="D803" s="130"/>
      <c r="E803" s="163"/>
      <c r="F803" s="163"/>
      <c r="G803" s="163"/>
      <c r="H803" s="130"/>
      <c r="I803" s="130"/>
      <c r="J803" s="130"/>
      <c r="K803" s="130"/>
      <c r="L803" s="163"/>
      <c r="M803" s="130"/>
      <c r="N803" s="130"/>
      <c r="O803" s="130"/>
      <c r="P803" s="130"/>
      <c r="Q803" s="130"/>
      <c r="R803" s="130"/>
      <c r="S803" s="130"/>
      <c r="T803" s="130"/>
      <c r="U803" s="130"/>
      <c r="V803" s="130"/>
      <c r="W803" s="130"/>
      <c r="X803" s="163"/>
      <c r="Y803" s="163"/>
      <c r="Z803" s="163"/>
      <c r="AA803" s="163"/>
      <c r="AB803" s="163"/>
      <c r="AC803" s="163"/>
      <c r="AD803" s="163"/>
      <c r="AE803" s="163"/>
      <c r="AF803" s="163"/>
      <c r="AG803" s="163"/>
      <c r="AH803" s="163"/>
      <c r="AI803" s="163"/>
      <c r="AJ803" s="163"/>
      <c r="AK803" s="163"/>
      <c r="AL803" s="163"/>
      <c r="AM803" s="163"/>
    </row>
    <row r="804" ht="13.5" customHeight="1">
      <c r="A804" s="130"/>
      <c r="B804" s="130"/>
      <c r="C804" s="130"/>
      <c r="D804" s="130"/>
      <c r="E804" s="163"/>
      <c r="F804" s="163"/>
      <c r="G804" s="163"/>
      <c r="H804" s="130"/>
      <c r="I804" s="130"/>
      <c r="J804" s="130"/>
      <c r="K804" s="130"/>
      <c r="L804" s="163"/>
      <c r="M804" s="130"/>
      <c r="N804" s="130"/>
      <c r="O804" s="130"/>
      <c r="P804" s="130"/>
      <c r="Q804" s="130"/>
      <c r="R804" s="130"/>
      <c r="S804" s="130"/>
      <c r="T804" s="130"/>
      <c r="U804" s="130"/>
      <c r="V804" s="130"/>
      <c r="W804" s="130"/>
      <c r="X804" s="163"/>
      <c r="Y804" s="163"/>
      <c r="Z804" s="163"/>
      <c r="AA804" s="163"/>
      <c r="AB804" s="163"/>
      <c r="AC804" s="163"/>
      <c r="AD804" s="163"/>
      <c r="AE804" s="163"/>
      <c r="AF804" s="163"/>
      <c r="AG804" s="163"/>
      <c r="AH804" s="163"/>
      <c r="AI804" s="163"/>
      <c r="AJ804" s="163"/>
      <c r="AK804" s="163"/>
      <c r="AL804" s="163"/>
      <c r="AM804" s="163"/>
    </row>
    <row r="805" ht="13.5" customHeight="1">
      <c r="A805" s="130"/>
      <c r="B805" s="130"/>
      <c r="C805" s="130"/>
      <c r="D805" s="130"/>
      <c r="E805" s="163"/>
      <c r="F805" s="163"/>
      <c r="G805" s="163"/>
      <c r="H805" s="130"/>
      <c r="I805" s="130"/>
      <c r="J805" s="130"/>
      <c r="K805" s="130"/>
      <c r="L805" s="163"/>
      <c r="M805" s="130"/>
      <c r="N805" s="130"/>
      <c r="O805" s="130"/>
      <c r="P805" s="130"/>
      <c r="Q805" s="130"/>
      <c r="R805" s="130"/>
      <c r="S805" s="130"/>
      <c r="T805" s="130"/>
      <c r="U805" s="130"/>
      <c r="V805" s="130"/>
      <c r="W805" s="130"/>
      <c r="X805" s="163"/>
      <c r="Y805" s="163"/>
      <c r="Z805" s="163"/>
      <c r="AA805" s="163"/>
      <c r="AB805" s="163"/>
      <c r="AC805" s="163"/>
      <c r="AD805" s="163"/>
      <c r="AE805" s="163"/>
      <c r="AF805" s="163"/>
      <c r="AG805" s="163"/>
      <c r="AH805" s="163"/>
      <c r="AI805" s="163"/>
      <c r="AJ805" s="163"/>
      <c r="AK805" s="163"/>
      <c r="AL805" s="163"/>
      <c r="AM805" s="163"/>
    </row>
    <row r="806" ht="13.5" customHeight="1">
      <c r="A806" s="130"/>
      <c r="B806" s="130"/>
      <c r="C806" s="130"/>
      <c r="D806" s="130"/>
      <c r="E806" s="163"/>
      <c r="F806" s="163"/>
      <c r="G806" s="163"/>
      <c r="H806" s="130"/>
      <c r="I806" s="130"/>
      <c r="J806" s="130"/>
      <c r="K806" s="130"/>
      <c r="L806" s="163"/>
      <c r="M806" s="130"/>
      <c r="N806" s="130"/>
      <c r="O806" s="130"/>
      <c r="P806" s="130"/>
      <c r="Q806" s="130"/>
      <c r="R806" s="130"/>
      <c r="S806" s="130"/>
      <c r="T806" s="130"/>
      <c r="U806" s="130"/>
      <c r="V806" s="130"/>
      <c r="W806" s="130"/>
      <c r="X806" s="163"/>
      <c r="Y806" s="163"/>
      <c r="Z806" s="163"/>
      <c r="AA806" s="163"/>
      <c r="AB806" s="163"/>
      <c r="AC806" s="163"/>
      <c r="AD806" s="163"/>
      <c r="AE806" s="163"/>
      <c r="AF806" s="163"/>
      <c r="AG806" s="163"/>
      <c r="AH806" s="163"/>
      <c r="AI806" s="163"/>
      <c r="AJ806" s="163"/>
      <c r="AK806" s="163"/>
      <c r="AL806" s="163"/>
      <c r="AM806" s="163"/>
    </row>
    <row r="807" ht="13.5" customHeight="1">
      <c r="A807" s="130"/>
      <c r="B807" s="130"/>
      <c r="C807" s="130"/>
      <c r="D807" s="130"/>
      <c r="E807" s="163"/>
      <c r="F807" s="163"/>
      <c r="G807" s="163"/>
      <c r="H807" s="130"/>
      <c r="I807" s="130"/>
      <c r="J807" s="130"/>
      <c r="K807" s="130"/>
      <c r="L807" s="163"/>
      <c r="M807" s="130"/>
      <c r="N807" s="130"/>
      <c r="O807" s="130"/>
      <c r="P807" s="130"/>
      <c r="Q807" s="130"/>
      <c r="R807" s="130"/>
      <c r="S807" s="130"/>
      <c r="T807" s="130"/>
      <c r="U807" s="130"/>
      <c r="V807" s="130"/>
      <c r="W807" s="130"/>
      <c r="X807" s="163"/>
      <c r="Y807" s="163"/>
      <c r="Z807" s="163"/>
      <c r="AA807" s="163"/>
      <c r="AB807" s="163"/>
      <c r="AC807" s="163"/>
      <c r="AD807" s="163"/>
      <c r="AE807" s="163"/>
      <c r="AF807" s="163"/>
      <c r="AG807" s="163"/>
      <c r="AH807" s="163"/>
      <c r="AI807" s="163"/>
      <c r="AJ807" s="163"/>
      <c r="AK807" s="163"/>
      <c r="AL807" s="163"/>
      <c r="AM807" s="163"/>
    </row>
    <row r="808" ht="13.5" customHeight="1">
      <c r="A808" s="130"/>
      <c r="B808" s="130"/>
      <c r="C808" s="130"/>
      <c r="D808" s="130"/>
      <c r="E808" s="163"/>
      <c r="F808" s="163"/>
      <c r="G808" s="163"/>
      <c r="H808" s="130"/>
      <c r="I808" s="130"/>
      <c r="J808" s="130"/>
      <c r="K808" s="130"/>
      <c r="L808" s="163"/>
      <c r="M808" s="130"/>
      <c r="N808" s="130"/>
      <c r="O808" s="130"/>
      <c r="P808" s="130"/>
      <c r="Q808" s="130"/>
      <c r="R808" s="130"/>
      <c r="S808" s="130"/>
      <c r="T808" s="130"/>
      <c r="U808" s="130"/>
      <c r="V808" s="130"/>
      <c r="W808" s="130"/>
      <c r="X808" s="163"/>
      <c r="Y808" s="163"/>
      <c r="Z808" s="163"/>
      <c r="AA808" s="163"/>
      <c r="AB808" s="163"/>
      <c r="AC808" s="163"/>
      <c r="AD808" s="163"/>
      <c r="AE808" s="163"/>
      <c r="AF808" s="163"/>
      <c r="AG808" s="163"/>
      <c r="AH808" s="163"/>
      <c r="AI808" s="163"/>
      <c r="AJ808" s="163"/>
      <c r="AK808" s="163"/>
      <c r="AL808" s="163"/>
      <c r="AM808" s="163"/>
    </row>
    <row r="809" ht="13.5" customHeight="1">
      <c r="A809" s="130"/>
      <c r="B809" s="130"/>
      <c r="C809" s="130"/>
      <c r="D809" s="130"/>
      <c r="E809" s="163"/>
      <c r="F809" s="163"/>
      <c r="G809" s="163"/>
      <c r="H809" s="130"/>
      <c r="I809" s="130"/>
      <c r="J809" s="130"/>
      <c r="K809" s="130"/>
      <c r="L809" s="163"/>
      <c r="M809" s="130"/>
      <c r="N809" s="130"/>
      <c r="O809" s="130"/>
      <c r="P809" s="130"/>
      <c r="Q809" s="130"/>
      <c r="R809" s="130"/>
      <c r="S809" s="130"/>
      <c r="T809" s="130"/>
      <c r="U809" s="130"/>
      <c r="V809" s="130"/>
      <c r="W809" s="130"/>
      <c r="X809" s="163"/>
      <c r="Y809" s="163"/>
      <c r="Z809" s="163"/>
      <c r="AA809" s="163"/>
      <c r="AB809" s="163"/>
      <c r="AC809" s="163"/>
      <c r="AD809" s="163"/>
      <c r="AE809" s="163"/>
      <c r="AF809" s="163"/>
      <c r="AG809" s="163"/>
      <c r="AH809" s="163"/>
      <c r="AI809" s="163"/>
      <c r="AJ809" s="163"/>
      <c r="AK809" s="163"/>
      <c r="AL809" s="163"/>
      <c r="AM809" s="163"/>
    </row>
    <row r="810" ht="13.5" customHeight="1">
      <c r="A810" s="130"/>
      <c r="B810" s="130"/>
      <c r="C810" s="130"/>
      <c r="D810" s="130"/>
      <c r="E810" s="163"/>
      <c r="F810" s="163"/>
      <c r="G810" s="163"/>
      <c r="H810" s="130"/>
      <c r="I810" s="130"/>
      <c r="J810" s="130"/>
      <c r="K810" s="130"/>
      <c r="L810" s="163"/>
      <c r="M810" s="130"/>
      <c r="N810" s="130"/>
      <c r="O810" s="130"/>
      <c r="P810" s="130"/>
      <c r="Q810" s="130"/>
      <c r="R810" s="130"/>
      <c r="S810" s="130"/>
      <c r="T810" s="130"/>
      <c r="U810" s="130"/>
      <c r="V810" s="130"/>
      <c r="W810" s="130"/>
      <c r="X810" s="163"/>
      <c r="Y810" s="163"/>
      <c r="Z810" s="163"/>
      <c r="AA810" s="163"/>
      <c r="AB810" s="163"/>
      <c r="AC810" s="163"/>
      <c r="AD810" s="163"/>
      <c r="AE810" s="163"/>
      <c r="AF810" s="163"/>
      <c r="AG810" s="163"/>
      <c r="AH810" s="163"/>
      <c r="AI810" s="163"/>
      <c r="AJ810" s="163"/>
      <c r="AK810" s="163"/>
      <c r="AL810" s="163"/>
      <c r="AM810" s="163"/>
    </row>
    <row r="811" ht="13.5" customHeight="1">
      <c r="A811" s="130"/>
      <c r="B811" s="130"/>
      <c r="C811" s="130"/>
      <c r="D811" s="130"/>
      <c r="E811" s="163"/>
      <c r="F811" s="163"/>
      <c r="G811" s="163"/>
      <c r="H811" s="130"/>
      <c r="I811" s="130"/>
      <c r="J811" s="130"/>
      <c r="K811" s="130"/>
      <c r="L811" s="163"/>
      <c r="M811" s="130"/>
      <c r="N811" s="130"/>
      <c r="O811" s="130"/>
      <c r="P811" s="130"/>
      <c r="Q811" s="130"/>
      <c r="R811" s="130"/>
      <c r="S811" s="130"/>
      <c r="T811" s="130"/>
      <c r="U811" s="130"/>
      <c r="V811" s="130"/>
      <c r="W811" s="130"/>
      <c r="X811" s="163"/>
      <c r="Y811" s="163"/>
      <c r="Z811" s="163"/>
      <c r="AA811" s="163"/>
      <c r="AB811" s="163"/>
      <c r="AC811" s="163"/>
      <c r="AD811" s="163"/>
      <c r="AE811" s="163"/>
      <c r="AF811" s="163"/>
      <c r="AG811" s="163"/>
      <c r="AH811" s="163"/>
      <c r="AI811" s="163"/>
      <c r="AJ811" s="163"/>
      <c r="AK811" s="163"/>
      <c r="AL811" s="163"/>
      <c r="AM811" s="163"/>
    </row>
    <row r="812" ht="13.5" customHeight="1">
      <c r="A812" s="130"/>
      <c r="B812" s="130"/>
      <c r="C812" s="130"/>
      <c r="D812" s="130"/>
      <c r="E812" s="163"/>
      <c r="F812" s="163"/>
      <c r="G812" s="163"/>
      <c r="H812" s="130"/>
      <c r="I812" s="130"/>
      <c r="J812" s="130"/>
      <c r="K812" s="130"/>
      <c r="L812" s="163"/>
      <c r="M812" s="130"/>
      <c r="N812" s="130"/>
      <c r="O812" s="130"/>
      <c r="P812" s="130"/>
      <c r="Q812" s="130"/>
      <c r="R812" s="130"/>
      <c r="S812" s="130"/>
      <c r="T812" s="130"/>
      <c r="U812" s="130"/>
      <c r="V812" s="130"/>
      <c r="W812" s="130"/>
      <c r="X812" s="163"/>
      <c r="Y812" s="163"/>
      <c r="Z812" s="163"/>
      <c r="AA812" s="163"/>
      <c r="AB812" s="163"/>
      <c r="AC812" s="163"/>
      <c r="AD812" s="163"/>
      <c r="AE812" s="163"/>
      <c r="AF812" s="163"/>
      <c r="AG812" s="163"/>
      <c r="AH812" s="163"/>
      <c r="AI812" s="163"/>
      <c r="AJ812" s="163"/>
      <c r="AK812" s="163"/>
      <c r="AL812" s="163"/>
      <c r="AM812" s="163"/>
    </row>
    <row r="813" ht="13.5" customHeight="1">
      <c r="A813" s="130"/>
      <c r="B813" s="130"/>
      <c r="C813" s="130"/>
      <c r="D813" s="130"/>
      <c r="E813" s="163"/>
      <c r="F813" s="163"/>
      <c r="G813" s="163"/>
      <c r="H813" s="130"/>
      <c r="I813" s="130"/>
      <c r="J813" s="130"/>
      <c r="K813" s="130"/>
      <c r="L813" s="163"/>
      <c r="M813" s="130"/>
      <c r="N813" s="130"/>
      <c r="O813" s="130"/>
      <c r="P813" s="130"/>
      <c r="Q813" s="130"/>
      <c r="R813" s="130"/>
      <c r="S813" s="130"/>
      <c r="T813" s="130"/>
      <c r="U813" s="130"/>
      <c r="V813" s="130"/>
      <c r="W813" s="130"/>
      <c r="X813" s="163"/>
      <c r="Y813" s="163"/>
      <c r="Z813" s="163"/>
      <c r="AA813" s="163"/>
      <c r="AB813" s="163"/>
      <c r="AC813" s="163"/>
      <c r="AD813" s="163"/>
      <c r="AE813" s="163"/>
      <c r="AF813" s="163"/>
      <c r="AG813" s="163"/>
      <c r="AH813" s="163"/>
      <c r="AI813" s="163"/>
      <c r="AJ813" s="163"/>
      <c r="AK813" s="163"/>
      <c r="AL813" s="163"/>
      <c r="AM813" s="163"/>
    </row>
    <row r="814" ht="13.5" customHeight="1">
      <c r="A814" s="130"/>
      <c r="B814" s="130"/>
      <c r="C814" s="130"/>
      <c r="D814" s="130"/>
      <c r="E814" s="163"/>
      <c r="F814" s="163"/>
      <c r="G814" s="163"/>
      <c r="H814" s="130"/>
      <c r="I814" s="130"/>
      <c r="J814" s="130"/>
      <c r="K814" s="130"/>
      <c r="L814" s="163"/>
      <c r="M814" s="130"/>
      <c r="N814" s="130"/>
      <c r="O814" s="130"/>
      <c r="P814" s="130"/>
      <c r="Q814" s="130"/>
      <c r="R814" s="130"/>
      <c r="S814" s="130"/>
      <c r="T814" s="130"/>
      <c r="U814" s="130"/>
      <c r="V814" s="130"/>
      <c r="W814" s="130"/>
      <c r="X814" s="163"/>
      <c r="Y814" s="163"/>
      <c r="Z814" s="163"/>
      <c r="AA814" s="163"/>
      <c r="AB814" s="163"/>
      <c r="AC814" s="163"/>
      <c r="AD814" s="163"/>
      <c r="AE814" s="163"/>
      <c r="AF814" s="163"/>
      <c r="AG814" s="163"/>
      <c r="AH814" s="163"/>
      <c r="AI814" s="163"/>
      <c r="AJ814" s="163"/>
      <c r="AK814" s="163"/>
      <c r="AL814" s="163"/>
      <c r="AM814" s="163"/>
    </row>
    <row r="815" ht="13.5" customHeight="1">
      <c r="A815" s="130"/>
      <c r="B815" s="130"/>
      <c r="C815" s="130"/>
      <c r="D815" s="130"/>
      <c r="E815" s="163"/>
      <c r="F815" s="163"/>
      <c r="G815" s="163"/>
      <c r="H815" s="130"/>
      <c r="I815" s="130"/>
      <c r="J815" s="130"/>
      <c r="K815" s="130"/>
      <c r="L815" s="163"/>
      <c r="M815" s="130"/>
      <c r="N815" s="130"/>
      <c r="O815" s="130"/>
      <c r="P815" s="130"/>
      <c r="Q815" s="130"/>
      <c r="R815" s="130"/>
      <c r="S815" s="130"/>
      <c r="T815" s="130"/>
      <c r="U815" s="130"/>
      <c r="V815" s="130"/>
      <c r="W815" s="130"/>
      <c r="X815" s="163"/>
      <c r="Y815" s="163"/>
      <c r="Z815" s="163"/>
      <c r="AA815" s="163"/>
      <c r="AB815" s="163"/>
      <c r="AC815" s="163"/>
      <c r="AD815" s="163"/>
      <c r="AE815" s="163"/>
      <c r="AF815" s="163"/>
      <c r="AG815" s="163"/>
      <c r="AH815" s="163"/>
      <c r="AI815" s="163"/>
      <c r="AJ815" s="163"/>
      <c r="AK815" s="163"/>
      <c r="AL815" s="163"/>
      <c r="AM815" s="163"/>
    </row>
    <row r="816" ht="13.5" customHeight="1">
      <c r="A816" s="130"/>
      <c r="B816" s="130"/>
      <c r="C816" s="130"/>
      <c r="D816" s="130"/>
      <c r="E816" s="163"/>
      <c r="F816" s="163"/>
      <c r="G816" s="163"/>
      <c r="H816" s="130"/>
      <c r="I816" s="130"/>
      <c r="J816" s="130"/>
      <c r="K816" s="130"/>
      <c r="L816" s="163"/>
      <c r="M816" s="130"/>
      <c r="N816" s="130"/>
      <c r="O816" s="130"/>
      <c r="P816" s="130"/>
      <c r="Q816" s="130"/>
      <c r="R816" s="130"/>
      <c r="S816" s="130"/>
      <c r="T816" s="130"/>
      <c r="U816" s="130"/>
      <c r="V816" s="130"/>
      <c r="W816" s="130"/>
      <c r="X816" s="163"/>
      <c r="Y816" s="163"/>
      <c r="Z816" s="163"/>
      <c r="AA816" s="163"/>
      <c r="AB816" s="163"/>
      <c r="AC816" s="163"/>
      <c r="AD816" s="163"/>
      <c r="AE816" s="163"/>
      <c r="AF816" s="163"/>
      <c r="AG816" s="163"/>
      <c r="AH816" s="163"/>
      <c r="AI816" s="163"/>
      <c r="AJ816" s="163"/>
      <c r="AK816" s="163"/>
      <c r="AL816" s="163"/>
      <c r="AM816" s="163"/>
    </row>
    <row r="817" ht="13.5" customHeight="1">
      <c r="A817" s="130"/>
      <c r="B817" s="130"/>
      <c r="C817" s="130"/>
      <c r="D817" s="130"/>
      <c r="E817" s="163"/>
      <c r="F817" s="163"/>
      <c r="G817" s="163"/>
      <c r="H817" s="130"/>
      <c r="I817" s="130"/>
      <c r="J817" s="130"/>
      <c r="K817" s="130"/>
      <c r="L817" s="163"/>
      <c r="M817" s="130"/>
      <c r="N817" s="130"/>
      <c r="O817" s="130"/>
      <c r="P817" s="130"/>
      <c r="Q817" s="130"/>
      <c r="R817" s="130"/>
      <c r="S817" s="130"/>
      <c r="T817" s="130"/>
      <c r="U817" s="130"/>
      <c r="V817" s="130"/>
      <c r="W817" s="130"/>
      <c r="X817" s="163"/>
      <c r="Y817" s="163"/>
      <c r="Z817" s="163"/>
      <c r="AA817" s="163"/>
      <c r="AB817" s="163"/>
      <c r="AC817" s="163"/>
      <c r="AD817" s="163"/>
      <c r="AE817" s="163"/>
      <c r="AF817" s="163"/>
      <c r="AG817" s="163"/>
      <c r="AH817" s="163"/>
      <c r="AI817" s="163"/>
      <c r="AJ817" s="163"/>
      <c r="AK817" s="163"/>
      <c r="AL817" s="163"/>
      <c r="AM817" s="163"/>
    </row>
    <row r="818" ht="13.5" customHeight="1">
      <c r="A818" s="130"/>
      <c r="B818" s="130"/>
      <c r="C818" s="130"/>
      <c r="D818" s="130"/>
      <c r="E818" s="163"/>
      <c r="F818" s="163"/>
      <c r="G818" s="163"/>
      <c r="H818" s="130"/>
      <c r="I818" s="130"/>
      <c r="J818" s="130"/>
      <c r="K818" s="130"/>
      <c r="L818" s="163"/>
      <c r="M818" s="130"/>
      <c r="N818" s="130"/>
      <c r="O818" s="130"/>
      <c r="P818" s="130"/>
      <c r="Q818" s="130"/>
      <c r="R818" s="130"/>
      <c r="S818" s="130"/>
      <c r="T818" s="130"/>
      <c r="U818" s="130"/>
      <c r="V818" s="130"/>
      <c r="W818" s="130"/>
      <c r="X818" s="163"/>
      <c r="Y818" s="163"/>
      <c r="Z818" s="163"/>
      <c r="AA818" s="163"/>
      <c r="AB818" s="163"/>
      <c r="AC818" s="163"/>
      <c r="AD818" s="163"/>
      <c r="AE818" s="163"/>
      <c r="AF818" s="163"/>
      <c r="AG818" s="163"/>
      <c r="AH818" s="163"/>
      <c r="AI818" s="163"/>
      <c r="AJ818" s="163"/>
      <c r="AK818" s="163"/>
      <c r="AL818" s="163"/>
      <c r="AM818" s="163"/>
    </row>
    <row r="819" ht="13.5" customHeight="1">
      <c r="A819" s="130"/>
      <c r="B819" s="130"/>
      <c r="C819" s="130"/>
      <c r="D819" s="130"/>
      <c r="E819" s="163"/>
      <c r="F819" s="163"/>
      <c r="G819" s="163"/>
      <c r="H819" s="130"/>
      <c r="I819" s="130"/>
      <c r="J819" s="130"/>
      <c r="K819" s="130"/>
      <c r="L819" s="163"/>
      <c r="M819" s="130"/>
      <c r="N819" s="130"/>
      <c r="O819" s="130"/>
      <c r="P819" s="130"/>
      <c r="Q819" s="130"/>
      <c r="R819" s="130"/>
      <c r="S819" s="130"/>
      <c r="T819" s="130"/>
      <c r="U819" s="130"/>
      <c r="V819" s="130"/>
      <c r="W819" s="130"/>
      <c r="X819" s="163"/>
      <c r="Y819" s="163"/>
      <c r="Z819" s="163"/>
      <c r="AA819" s="163"/>
      <c r="AB819" s="163"/>
      <c r="AC819" s="163"/>
      <c r="AD819" s="163"/>
      <c r="AE819" s="163"/>
      <c r="AF819" s="163"/>
      <c r="AG819" s="163"/>
      <c r="AH819" s="163"/>
      <c r="AI819" s="163"/>
      <c r="AJ819" s="163"/>
      <c r="AK819" s="163"/>
      <c r="AL819" s="163"/>
      <c r="AM819" s="163"/>
    </row>
    <row r="820" ht="13.5" customHeight="1">
      <c r="A820" s="130"/>
      <c r="B820" s="130"/>
      <c r="C820" s="130"/>
      <c r="D820" s="130"/>
      <c r="E820" s="163"/>
      <c r="F820" s="163"/>
      <c r="G820" s="163"/>
      <c r="H820" s="130"/>
      <c r="I820" s="130"/>
      <c r="J820" s="130"/>
      <c r="K820" s="130"/>
      <c r="L820" s="163"/>
      <c r="M820" s="130"/>
      <c r="N820" s="130"/>
      <c r="O820" s="130"/>
      <c r="P820" s="130"/>
      <c r="Q820" s="130"/>
      <c r="R820" s="130"/>
      <c r="S820" s="130"/>
      <c r="T820" s="130"/>
      <c r="U820" s="130"/>
      <c r="V820" s="130"/>
      <c r="W820" s="130"/>
      <c r="X820" s="163"/>
      <c r="Y820" s="163"/>
      <c r="Z820" s="163"/>
      <c r="AA820" s="163"/>
      <c r="AB820" s="163"/>
      <c r="AC820" s="163"/>
      <c r="AD820" s="163"/>
      <c r="AE820" s="163"/>
      <c r="AF820" s="163"/>
      <c r="AG820" s="163"/>
      <c r="AH820" s="163"/>
      <c r="AI820" s="163"/>
      <c r="AJ820" s="163"/>
      <c r="AK820" s="163"/>
      <c r="AL820" s="163"/>
      <c r="AM820" s="163"/>
    </row>
    <row r="821" ht="13.5" customHeight="1">
      <c r="A821" s="130"/>
      <c r="B821" s="130"/>
      <c r="C821" s="130"/>
      <c r="D821" s="130"/>
      <c r="E821" s="163"/>
      <c r="F821" s="163"/>
      <c r="G821" s="163"/>
      <c r="H821" s="130"/>
      <c r="I821" s="130"/>
      <c r="J821" s="130"/>
      <c r="K821" s="130"/>
      <c r="L821" s="163"/>
      <c r="M821" s="130"/>
      <c r="N821" s="130"/>
      <c r="O821" s="130"/>
      <c r="P821" s="130"/>
      <c r="Q821" s="130"/>
      <c r="R821" s="130"/>
      <c r="S821" s="130"/>
      <c r="T821" s="130"/>
      <c r="U821" s="130"/>
      <c r="V821" s="130"/>
      <c r="W821" s="130"/>
      <c r="X821" s="163"/>
      <c r="Y821" s="163"/>
      <c r="Z821" s="163"/>
      <c r="AA821" s="163"/>
      <c r="AB821" s="163"/>
      <c r="AC821" s="163"/>
      <c r="AD821" s="163"/>
      <c r="AE821" s="163"/>
      <c r="AF821" s="163"/>
      <c r="AG821" s="163"/>
      <c r="AH821" s="163"/>
      <c r="AI821" s="163"/>
      <c r="AJ821" s="163"/>
      <c r="AK821" s="163"/>
      <c r="AL821" s="163"/>
      <c r="AM821" s="163"/>
    </row>
    <row r="822" ht="13.5" customHeight="1">
      <c r="A822" s="130"/>
      <c r="B822" s="130"/>
      <c r="C822" s="130"/>
      <c r="D822" s="130"/>
      <c r="E822" s="163"/>
      <c r="F822" s="163"/>
      <c r="G822" s="163"/>
      <c r="H822" s="130"/>
      <c r="I822" s="130"/>
      <c r="J822" s="130"/>
      <c r="K822" s="130"/>
      <c r="L822" s="163"/>
      <c r="M822" s="130"/>
      <c r="N822" s="130"/>
      <c r="O822" s="130"/>
      <c r="P822" s="130"/>
      <c r="Q822" s="130"/>
      <c r="R822" s="130"/>
      <c r="S822" s="130"/>
      <c r="T822" s="130"/>
      <c r="U822" s="130"/>
      <c r="V822" s="130"/>
      <c r="W822" s="130"/>
      <c r="X822" s="163"/>
      <c r="Y822" s="163"/>
      <c r="Z822" s="163"/>
      <c r="AA822" s="163"/>
      <c r="AB822" s="163"/>
      <c r="AC822" s="163"/>
      <c r="AD822" s="163"/>
      <c r="AE822" s="163"/>
      <c r="AF822" s="163"/>
      <c r="AG822" s="163"/>
      <c r="AH822" s="163"/>
      <c r="AI822" s="163"/>
      <c r="AJ822" s="163"/>
      <c r="AK822" s="163"/>
      <c r="AL822" s="163"/>
      <c r="AM822" s="163"/>
    </row>
    <row r="823" ht="13.5" customHeight="1">
      <c r="A823" s="130"/>
      <c r="B823" s="130"/>
      <c r="C823" s="130"/>
      <c r="D823" s="130"/>
      <c r="E823" s="163"/>
      <c r="F823" s="163"/>
      <c r="G823" s="163"/>
      <c r="H823" s="130"/>
      <c r="I823" s="130"/>
      <c r="J823" s="130"/>
      <c r="K823" s="130"/>
      <c r="L823" s="163"/>
      <c r="M823" s="130"/>
      <c r="N823" s="130"/>
      <c r="O823" s="130"/>
      <c r="P823" s="130"/>
      <c r="Q823" s="130"/>
      <c r="R823" s="130"/>
      <c r="S823" s="130"/>
      <c r="T823" s="130"/>
      <c r="U823" s="130"/>
      <c r="V823" s="130"/>
      <c r="W823" s="130"/>
      <c r="X823" s="163"/>
      <c r="Y823" s="163"/>
      <c r="Z823" s="163"/>
      <c r="AA823" s="163"/>
      <c r="AB823" s="163"/>
      <c r="AC823" s="163"/>
      <c r="AD823" s="163"/>
      <c r="AE823" s="163"/>
      <c r="AF823" s="163"/>
      <c r="AG823" s="163"/>
      <c r="AH823" s="163"/>
      <c r="AI823" s="163"/>
      <c r="AJ823" s="163"/>
      <c r="AK823" s="163"/>
      <c r="AL823" s="163"/>
      <c r="AM823" s="163"/>
    </row>
    <row r="824" ht="13.5" customHeight="1">
      <c r="A824" s="130"/>
      <c r="B824" s="130"/>
      <c r="C824" s="130"/>
      <c r="D824" s="130"/>
      <c r="E824" s="163"/>
      <c r="F824" s="163"/>
      <c r="G824" s="163"/>
      <c r="H824" s="130"/>
      <c r="I824" s="130"/>
      <c r="J824" s="130"/>
      <c r="K824" s="130"/>
      <c r="L824" s="163"/>
      <c r="M824" s="130"/>
      <c r="N824" s="130"/>
      <c r="O824" s="130"/>
      <c r="P824" s="130"/>
      <c r="Q824" s="130"/>
      <c r="R824" s="130"/>
      <c r="S824" s="130"/>
      <c r="T824" s="130"/>
      <c r="U824" s="130"/>
      <c r="V824" s="130"/>
      <c r="W824" s="130"/>
      <c r="X824" s="163"/>
      <c r="Y824" s="163"/>
      <c r="Z824" s="163"/>
      <c r="AA824" s="163"/>
      <c r="AB824" s="163"/>
      <c r="AC824" s="163"/>
      <c r="AD824" s="163"/>
      <c r="AE824" s="163"/>
      <c r="AF824" s="163"/>
      <c r="AG824" s="163"/>
      <c r="AH824" s="163"/>
      <c r="AI824" s="163"/>
      <c r="AJ824" s="163"/>
      <c r="AK824" s="163"/>
      <c r="AL824" s="163"/>
      <c r="AM824" s="163"/>
    </row>
    <row r="825" ht="13.5" customHeight="1">
      <c r="A825" s="130"/>
      <c r="B825" s="130"/>
      <c r="C825" s="130"/>
      <c r="D825" s="130"/>
      <c r="E825" s="163"/>
      <c r="F825" s="163"/>
      <c r="G825" s="163"/>
      <c r="H825" s="130"/>
      <c r="I825" s="130"/>
      <c r="J825" s="130"/>
      <c r="K825" s="130"/>
      <c r="L825" s="163"/>
      <c r="M825" s="130"/>
      <c r="N825" s="130"/>
      <c r="O825" s="130"/>
      <c r="P825" s="130"/>
      <c r="Q825" s="130"/>
      <c r="R825" s="130"/>
      <c r="S825" s="130"/>
      <c r="T825" s="130"/>
      <c r="U825" s="130"/>
      <c r="V825" s="130"/>
      <c r="W825" s="130"/>
      <c r="X825" s="163"/>
      <c r="Y825" s="163"/>
      <c r="Z825" s="163"/>
      <c r="AA825" s="163"/>
      <c r="AB825" s="163"/>
      <c r="AC825" s="163"/>
      <c r="AD825" s="163"/>
      <c r="AE825" s="163"/>
      <c r="AF825" s="163"/>
      <c r="AG825" s="163"/>
      <c r="AH825" s="163"/>
      <c r="AI825" s="163"/>
      <c r="AJ825" s="163"/>
      <c r="AK825" s="163"/>
      <c r="AL825" s="163"/>
      <c r="AM825" s="163"/>
    </row>
    <row r="826" ht="13.5" customHeight="1">
      <c r="A826" s="130"/>
      <c r="B826" s="130"/>
      <c r="C826" s="130"/>
      <c r="D826" s="130"/>
      <c r="E826" s="163"/>
      <c r="F826" s="163"/>
      <c r="G826" s="163"/>
      <c r="H826" s="130"/>
      <c r="I826" s="130"/>
      <c r="J826" s="130"/>
      <c r="K826" s="130"/>
      <c r="L826" s="163"/>
      <c r="M826" s="130"/>
      <c r="N826" s="130"/>
      <c r="O826" s="130"/>
      <c r="P826" s="130"/>
      <c r="Q826" s="130"/>
      <c r="R826" s="130"/>
      <c r="S826" s="130"/>
      <c r="T826" s="130"/>
      <c r="U826" s="130"/>
      <c r="V826" s="130"/>
      <c r="W826" s="130"/>
      <c r="X826" s="163"/>
      <c r="Y826" s="163"/>
      <c r="Z826" s="163"/>
      <c r="AA826" s="163"/>
      <c r="AB826" s="163"/>
      <c r="AC826" s="163"/>
      <c r="AD826" s="163"/>
      <c r="AE826" s="163"/>
      <c r="AF826" s="163"/>
      <c r="AG826" s="163"/>
      <c r="AH826" s="163"/>
      <c r="AI826" s="163"/>
      <c r="AJ826" s="163"/>
      <c r="AK826" s="163"/>
      <c r="AL826" s="163"/>
      <c r="AM826" s="163"/>
    </row>
    <row r="827" ht="13.5" customHeight="1">
      <c r="A827" s="130"/>
      <c r="B827" s="130"/>
      <c r="C827" s="130"/>
      <c r="D827" s="130"/>
      <c r="E827" s="163"/>
      <c r="F827" s="163"/>
      <c r="G827" s="163"/>
      <c r="H827" s="130"/>
      <c r="I827" s="130"/>
      <c r="J827" s="130"/>
      <c r="K827" s="130"/>
      <c r="L827" s="163"/>
      <c r="M827" s="130"/>
      <c r="N827" s="130"/>
      <c r="O827" s="130"/>
      <c r="P827" s="130"/>
      <c r="Q827" s="130"/>
      <c r="R827" s="130"/>
      <c r="S827" s="130"/>
      <c r="T827" s="130"/>
      <c r="U827" s="130"/>
      <c r="V827" s="130"/>
      <c r="W827" s="130"/>
      <c r="X827" s="163"/>
      <c r="Y827" s="163"/>
      <c r="Z827" s="163"/>
      <c r="AA827" s="163"/>
      <c r="AB827" s="163"/>
      <c r="AC827" s="163"/>
      <c r="AD827" s="163"/>
      <c r="AE827" s="163"/>
      <c r="AF827" s="163"/>
      <c r="AG827" s="163"/>
      <c r="AH827" s="163"/>
      <c r="AI827" s="163"/>
      <c r="AJ827" s="163"/>
      <c r="AK827" s="163"/>
      <c r="AL827" s="163"/>
      <c r="AM827" s="163"/>
    </row>
    <row r="828" ht="13.5" customHeight="1">
      <c r="A828" s="130"/>
      <c r="B828" s="130"/>
      <c r="C828" s="130"/>
      <c r="D828" s="130"/>
      <c r="E828" s="163"/>
      <c r="F828" s="163"/>
      <c r="G828" s="163"/>
      <c r="H828" s="130"/>
      <c r="I828" s="130"/>
      <c r="J828" s="130"/>
      <c r="K828" s="130"/>
      <c r="L828" s="163"/>
      <c r="M828" s="130"/>
      <c r="N828" s="130"/>
      <c r="O828" s="130"/>
      <c r="P828" s="130"/>
      <c r="Q828" s="130"/>
      <c r="R828" s="130"/>
      <c r="S828" s="130"/>
      <c r="T828" s="130"/>
      <c r="U828" s="130"/>
      <c r="V828" s="130"/>
      <c r="W828" s="130"/>
      <c r="X828" s="163"/>
      <c r="Y828" s="163"/>
      <c r="Z828" s="163"/>
      <c r="AA828" s="163"/>
      <c r="AB828" s="163"/>
      <c r="AC828" s="163"/>
      <c r="AD828" s="163"/>
      <c r="AE828" s="163"/>
      <c r="AF828" s="163"/>
      <c r="AG828" s="163"/>
      <c r="AH828" s="163"/>
      <c r="AI828" s="163"/>
      <c r="AJ828" s="163"/>
      <c r="AK828" s="163"/>
      <c r="AL828" s="163"/>
      <c r="AM828" s="163"/>
    </row>
    <row r="829" ht="13.5" customHeight="1">
      <c r="A829" s="130"/>
      <c r="B829" s="130"/>
      <c r="C829" s="130"/>
      <c r="D829" s="130"/>
      <c r="E829" s="163"/>
      <c r="F829" s="163"/>
      <c r="G829" s="163"/>
      <c r="H829" s="130"/>
      <c r="I829" s="130"/>
      <c r="J829" s="130"/>
      <c r="K829" s="130"/>
      <c r="L829" s="163"/>
      <c r="M829" s="130"/>
      <c r="N829" s="130"/>
      <c r="O829" s="130"/>
      <c r="P829" s="130"/>
      <c r="Q829" s="130"/>
      <c r="R829" s="130"/>
      <c r="S829" s="130"/>
      <c r="T829" s="130"/>
      <c r="U829" s="130"/>
      <c r="V829" s="130"/>
      <c r="W829" s="130"/>
      <c r="X829" s="163"/>
      <c r="Y829" s="163"/>
      <c r="Z829" s="163"/>
      <c r="AA829" s="163"/>
      <c r="AB829" s="163"/>
      <c r="AC829" s="163"/>
      <c r="AD829" s="163"/>
      <c r="AE829" s="163"/>
      <c r="AF829" s="163"/>
      <c r="AG829" s="163"/>
      <c r="AH829" s="163"/>
      <c r="AI829" s="163"/>
      <c r="AJ829" s="163"/>
      <c r="AK829" s="163"/>
      <c r="AL829" s="163"/>
      <c r="AM829" s="163"/>
    </row>
    <row r="830" ht="13.5" customHeight="1">
      <c r="A830" s="130"/>
      <c r="B830" s="130"/>
      <c r="C830" s="130"/>
      <c r="D830" s="130"/>
      <c r="E830" s="163"/>
      <c r="F830" s="163"/>
      <c r="G830" s="163"/>
      <c r="H830" s="130"/>
      <c r="I830" s="130"/>
      <c r="J830" s="130"/>
      <c r="K830" s="130"/>
      <c r="L830" s="163"/>
      <c r="M830" s="130"/>
      <c r="N830" s="130"/>
      <c r="O830" s="130"/>
      <c r="P830" s="130"/>
      <c r="Q830" s="130"/>
      <c r="R830" s="130"/>
      <c r="S830" s="130"/>
      <c r="T830" s="130"/>
      <c r="U830" s="130"/>
      <c r="V830" s="130"/>
      <c r="W830" s="130"/>
      <c r="X830" s="163"/>
      <c r="Y830" s="163"/>
      <c r="Z830" s="163"/>
      <c r="AA830" s="163"/>
      <c r="AB830" s="163"/>
      <c r="AC830" s="163"/>
      <c r="AD830" s="163"/>
      <c r="AE830" s="163"/>
      <c r="AF830" s="163"/>
      <c r="AG830" s="163"/>
      <c r="AH830" s="163"/>
      <c r="AI830" s="163"/>
      <c r="AJ830" s="163"/>
      <c r="AK830" s="163"/>
      <c r="AL830" s="163"/>
      <c r="AM830" s="163"/>
    </row>
    <row r="831" ht="13.5" customHeight="1">
      <c r="A831" s="130"/>
      <c r="B831" s="130"/>
      <c r="C831" s="130"/>
      <c r="D831" s="130"/>
      <c r="E831" s="163"/>
      <c r="F831" s="163"/>
      <c r="G831" s="163"/>
      <c r="H831" s="130"/>
      <c r="I831" s="130"/>
      <c r="J831" s="130"/>
      <c r="K831" s="130"/>
      <c r="L831" s="163"/>
      <c r="M831" s="130"/>
      <c r="N831" s="130"/>
      <c r="O831" s="130"/>
      <c r="P831" s="130"/>
      <c r="Q831" s="130"/>
      <c r="R831" s="130"/>
      <c r="S831" s="130"/>
      <c r="T831" s="130"/>
      <c r="U831" s="130"/>
      <c r="V831" s="130"/>
      <c r="W831" s="130"/>
      <c r="X831" s="163"/>
      <c r="Y831" s="163"/>
      <c r="Z831" s="163"/>
      <c r="AA831" s="163"/>
      <c r="AB831" s="163"/>
      <c r="AC831" s="163"/>
      <c r="AD831" s="163"/>
      <c r="AE831" s="163"/>
      <c r="AF831" s="163"/>
      <c r="AG831" s="163"/>
      <c r="AH831" s="163"/>
      <c r="AI831" s="163"/>
      <c r="AJ831" s="163"/>
      <c r="AK831" s="163"/>
      <c r="AL831" s="163"/>
      <c r="AM831" s="163"/>
    </row>
    <row r="832" ht="13.5" customHeight="1">
      <c r="A832" s="130"/>
      <c r="B832" s="130"/>
      <c r="C832" s="130"/>
      <c r="D832" s="130"/>
      <c r="E832" s="163"/>
      <c r="F832" s="163"/>
      <c r="G832" s="163"/>
      <c r="H832" s="130"/>
      <c r="I832" s="130"/>
      <c r="J832" s="130"/>
      <c r="K832" s="130"/>
      <c r="L832" s="163"/>
      <c r="M832" s="130"/>
      <c r="N832" s="130"/>
      <c r="O832" s="130"/>
      <c r="P832" s="130"/>
      <c r="Q832" s="130"/>
      <c r="R832" s="130"/>
      <c r="S832" s="130"/>
      <c r="T832" s="130"/>
      <c r="U832" s="130"/>
      <c r="V832" s="130"/>
      <c r="W832" s="130"/>
      <c r="X832" s="163"/>
      <c r="Y832" s="163"/>
      <c r="Z832" s="163"/>
      <c r="AA832" s="163"/>
      <c r="AB832" s="163"/>
      <c r="AC832" s="163"/>
      <c r="AD832" s="163"/>
      <c r="AE832" s="163"/>
      <c r="AF832" s="163"/>
      <c r="AG832" s="163"/>
      <c r="AH832" s="163"/>
      <c r="AI832" s="163"/>
      <c r="AJ832" s="163"/>
      <c r="AK832" s="163"/>
      <c r="AL832" s="163"/>
      <c r="AM832" s="163"/>
    </row>
    <row r="833" ht="13.5" customHeight="1">
      <c r="A833" s="130"/>
      <c r="B833" s="130"/>
      <c r="C833" s="130"/>
      <c r="D833" s="130"/>
      <c r="E833" s="163"/>
      <c r="F833" s="163"/>
      <c r="G833" s="163"/>
      <c r="H833" s="130"/>
      <c r="I833" s="130"/>
      <c r="J833" s="130"/>
      <c r="K833" s="130"/>
      <c r="L833" s="163"/>
      <c r="M833" s="130"/>
      <c r="N833" s="130"/>
      <c r="O833" s="130"/>
      <c r="P833" s="130"/>
      <c r="Q833" s="130"/>
      <c r="R833" s="130"/>
      <c r="S833" s="130"/>
      <c r="T833" s="130"/>
      <c r="U833" s="130"/>
      <c r="V833" s="130"/>
      <c r="W833" s="130"/>
      <c r="X833" s="163"/>
      <c r="Y833" s="163"/>
      <c r="Z833" s="163"/>
      <c r="AA833" s="163"/>
      <c r="AB833" s="163"/>
      <c r="AC833" s="163"/>
      <c r="AD833" s="163"/>
      <c r="AE833" s="163"/>
      <c r="AF833" s="163"/>
      <c r="AG833" s="163"/>
      <c r="AH833" s="163"/>
      <c r="AI833" s="163"/>
      <c r="AJ833" s="163"/>
      <c r="AK833" s="163"/>
      <c r="AL833" s="163"/>
      <c r="AM833" s="163"/>
    </row>
    <row r="834" ht="13.5" customHeight="1">
      <c r="A834" s="130"/>
      <c r="B834" s="130"/>
      <c r="C834" s="130"/>
      <c r="D834" s="130"/>
      <c r="E834" s="163"/>
      <c r="F834" s="163"/>
      <c r="G834" s="163"/>
      <c r="H834" s="130"/>
      <c r="I834" s="130"/>
      <c r="J834" s="130"/>
      <c r="K834" s="130"/>
      <c r="L834" s="163"/>
      <c r="M834" s="130"/>
      <c r="N834" s="130"/>
      <c r="O834" s="130"/>
      <c r="P834" s="130"/>
      <c r="Q834" s="130"/>
      <c r="R834" s="130"/>
      <c r="S834" s="130"/>
      <c r="T834" s="130"/>
      <c r="U834" s="130"/>
      <c r="V834" s="130"/>
      <c r="W834" s="130"/>
      <c r="X834" s="163"/>
      <c r="Y834" s="163"/>
      <c r="Z834" s="163"/>
      <c r="AA834" s="163"/>
      <c r="AB834" s="163"/>
      <c r="AC834" s="163"/>
      <c r="AD834" s="163"/>
      <c r="AE834" s="163"/>
      <c r="AF834" s="163"/>
      <c r="AG834" s="163"/>
      <c r="AH834" s="163"/>
      <c r="AI834" s="163"/>
      <c r="AJ834" s="163"/>
      <c r="AK834" s="163"/>
      <c r="AL834" s="163"/>
      <c r="AM834" s="163"/>
    </row>
    <row r="835" ht="13.5" customHeight="1">
      <c r="A835" s="130"/>
      <c r="B835" s="130"/>
      <c r="C835" s="130"/>
      <c r="D835" s="130"/>
      <c r="E835" s="163"/>
      <c r="F835" s="163"/>
      <c r="G835" s="163"/>
      <c r="H835" s="130"/>
      <c r="I835" s="130"/>
      <c r="J835" s="130"/>
      <c r="K835" s="130"/>
      <c r="L835" s="163"/>
      <c r="M835" s="130"/>
      <c r="N835" s="130"/>
      <c r="O835" s="130"/>
      <c r="P835" s="130"/>
      <c r="Q835" s="130"/>
      <c r="R835" s="130"/>
      <c r="S835" s="130"/>
      <c r="T835" s="130"/>
      <c r="U835" s="130"/>
      <c r="V835" s="130"/>
      <c r="W835" s="130"/>
      <c r="X835" s="163"/>
      <c r="Y835" s="163"/>
      <c r="Z835" s="163"/>
      <c r="AA835" s="163"/>
      <c r="AB835" s="163"/>
      <c r="AC835" s="163"/>
      <c r="AD835" s="163"/>
      <c r="AE835" s="163"/>
      <c r="AF835" s="163"/>
      <c r="AG835" s="163"/>
      <c r="AH835" s="163"/>
      <c r="AI835" s="163"/>
      <c r="AJ835" s="163"/>
      <c r="AK835" s="163"/>
      <c r="AL835" s="163"/>
      <c r="AM835" s="163"/>
    </row>
    <row r="836" ht="13.5" customHeight="1">
      <c r="A836" s="130"/>
      <c r="B836" s="130"/>
      <c r="C836" s="130"/>
      <c r="D836" s="130"/>
      <c r="E836" s="163"/>
      <c r="F836" s="163"/>
      <c r="G836" s="163"/>
      <c r="H836" s="130"/>
      <c r="I836" s="130"/>
      <c r="J836" s="130"/>
      <c r="K836" s="130"/>
      <c r="L836" s="163"/>
      <c r="M836" s="130"/>
      <c r="N836" s="130"/>
      <c r="O836" s="130"/>
      <c r="P836" s="130"/>
      <c r="Q836" s="130"/>
      <c r="R836" s="130"/>
      <c r="S836" s="130"/>
      <c r="T836" s="130"/>
      <c r="U836" s="130"/>
      <c r="V836" s="130"/>
      <c r="W836" s="130"/>
      <c r="X836" s="163"/>
      <c r="Y836" s="163"/>
      <c r="Z836" s="163"/>
      <c r="AA836" s="163"/>
      <c r="AB836" s="163"/>
      <c r="AC836" s="163"/>
      <c r="AD836" s="163"/>
      <c r="AE836" s="163"/>
      <c r="AF836" s="163"/>
      <c r="AG836" s="163"/>
      <c r="AH836" s="163"/>
      <c r="AI836" s="163"/>
      <c r="AJ836" s="163"/>
      <c r="AK836" s="163"/>
      <c r="AL836" s="163"/>
      <c r="AM836" s="163"/>
    </row>
    <row r="837" ht="13.5" customHeight="1">
      <c r="A837" s="130"/>
      <c r="B837" s="130"/>
      <c r="C837" s="130"/>
      <c r="D837" s="130"/>
      <c r="E837" s="163"/>
      <c r="F837" s="163"/>
      <c r="G837" s="163"/>
      <c r="H837" s="130"/>
      <c r="I837" s="130"/>
      <c r="J837" s="130"/>
      <c r="K837" s="130"/>
      <c r="L837" s="163"/>
      <c r="M837" s="130"/>
      <c r="N837" s="130"/>
      <c r="O837" s="130"/>
      <c r="P837" s="130"/>
      <c r="Q837" s="130"/>
      <c r="R837" s="130"/>
      <c r="S837" s="130"/>
      <c r="T837" s="130"/>
      <c r="U837" s="130"/>
      <c r="V837" s="130"/>
      <c r="W837" s="130"/>
      <c r="X837" s="163"/>
      <c r="Y837" s="163"/>
      <c r="Z837" s="163"/>
      <c r="AA837" s="163"/>
      <c r="AB837" s="163"/>
      <c r="AC837" s="163"/>
      <c r="AD837" s="163"/>
      <c r="AE837" s="163"/>
      <c r="AF837" s="163"/>
      <c r="AG837" s="163"/>
      <c r="AH837" s="163"/>
      <c r="AI837" s="163"/>
      <c r="AJ837" s="163"/>
      <c r="AK837" s="163"/>
      <c r="AL837" s="163"/>
      <c r="AM837" s="163"/>
    </row>
    <row r="838" ht="13.5" customHeight="1">
      <c r="A838" s="130"/>
      <c r="B838" s="130"/>
      <c r="C838" s="130"/>
      <c r="D838" s="130"/>
      <c r="E838" s="163"/>
      <c r="F838" s="163"/>
      <c r="G838" s="163"/>
      <c r="H838" s="130"/>
      <c r="I838" s="130"/>
      <c r="J838" s="130"/>
      <c r="K838" s="130"/>
      <c r="L838" s="163"/>
      <c r="M838" s="130"/>
      <c r="N838" s="130"/>
      <c r="O838" s="130"/>
      <c r="P838" s="130"/>
      <c r="Q838" s="130"/>
      <c r="R838" s="130"/>
      <c r="S838" s="130"/>
      <c r="T838" s="130"/>
      <c r="U838" s="130"/>
      <c r="V838" s="130"/>
      <c r="W838" s="130"/>
      <c r="X838" s="163"/>
      <c r="Y838" s="163"/>
      <c r="Z838" s="163"/>
      <c r="AA838" s="163"/>
      <c r="AB838" s="163"/>
      <c r="AC838" s="163"/>
      <c r="AD838" s="163"/>
      <c r="AE838" s="163"/>
      <c r="AF838" s="163"/>
      <c r="AG838" s="163"/>
      <c r="AH838" s="163"/>
      <c r="AI838" s="163"/>
      <c r="AJ838" s="163"/>
      <c r="AK838" s="163"/>
      <c r="AL838" s="163"/>
      <c r="AM838" s="163"/>
    </row>
    <row r="839" ht="13.5" customHeight="1">
      <c r="A839" s="130"/>
      <c r="B839" s="130"/>
      <c r="C839" s="130"/>
      <c r="D839" s="130"/>
      <c r="E839" s="163"/>
      <c r="F839" s="163"/>
      <c r="G839" s="163"/>
      <c r="H839" s="130"/>
      <c r="I839" s="130"/>
      <c r="J839" s="130"/>
      <c r="K839" s="130"/>
      <c r="L839" s="163"/>
      <c r="M839" s="130"/>
      <c r="N839" s="130"/>
      <c r="O839" s="130"/>
      <c r="P839" s="130"/>
      <c r="Q839" s="130"/>
      <c r="R839" s="130"/>
      <c r="S839" s="130"/>
      <c r="T839" s="130"/>
      <c r="U839" s="130"/>
      <c r="V839" s="130"/>
      <c r="W839" s="130"/>
      <c r="X839" s="163"/>
      <c r="Y839" s="163"/>
      <c r="Z839" s="163"/>
      <c r="AA839" s="163"/>
      <c r="AB839" s="163"/>
      <c r="AC839" s="163"/>
      <c r="AD839" s="163"/>
      <c r="AE839" s="163"/>
      <c r="AF839" s="163"/>
      <c r="AG839" s="163"/>
      <c r="AH839" s="163"/>
      <c r="AI839" s="163"/>
      <c r="AJ839" s="163"/>
      <c r="AK839" s="163"/>
      <c r="AL839" s="163"/>
      <c r="AM839" s="163"/>
    </row>
    <row r="840" ht="13.5" customHeight="1">
      <c r="A840" s="130"/>
      <c r="B840" s="130"/>
      <c r="C840" s="130"/>
      <c r="D840" s="130"/>
      <c r="E840" s="163"/>
      <c r="F840" s="163"/>
      <c r="G840" s="163"/>
      <c r="H840" s="130"/>
      <c r="I840" s="130"/>
      <c r="J840" s="130"/>
      <c r="K840" s="130"/>
      <c r="L840" s="163"/>
      <c r="M840" s="130"/>
      <c r="N840" s="130"/>
      <c r="O840" s="130"/>
      <c r="P840" s="130"/>
      <c r="Q840" s="130"/>
      <c r="R840" s="130"/>
      <c r="S840" s="130"/>
      <c r="T840" s="130"/>
      <c r="U840" s="130"/>
      <c r="V840" s="130"/>
      <c r="W840" s="130"/>
      <c r="X840" s="163"/>
      <c r="Y840" s="163"/>
      <c r="Z840" s="163"/>
      <c r="AA840" s="163"/>
      <c r="AB840" s="163"/>
      <c r="AC840" s="163"/>
      <c r="AD840" s="163"/>
      <c r="AE840" s="163"/>
      <c r="AF840" s="163"/>
      <c r="AG840" s="163"/>
      <c r="AH840" s="163"/>
      <c r="AI840" s="163"/>
      <c r="AJ840" s="163"/>
      <c r="AK840" s="163"/>
      <c r="AL840" s="163"/>
      <c r="AM840" s="163"/>
    </row>
    <row r="841" ht="13.5" customHeight="1">
      <c r="A841" s="130"/>
      <c r="B841" s="130"/>
      <c r="C841" s="130"/>
      <c r="D841" s="130"/>
      <c r="E841" s="163"/>
      <c r="F841" s="163"/>
      <c r="G841" s="163"/>
      <c r="H841" s="130"/>
      <c r="I841" s="130"/>
      <c r="J841" s="130"/>
      <c r="K841" s="130"/>
      <c r="L841" s="163"/>
      <c r="M841" s="130"/>
      <c r="N841" s="130"/>
      <c r="O841" s="130"/>
      <c r="P841" s="130"/>
      <c r="Q841" s="130"/>
      <c r="R841" s="130"/>
      <c r="S841" s="130"/>
      <c r="T841" s="130"/>
      <c r="U841" s="130"/>
      <c r="V841" s="130"/>
      <c r="W841" s="130"/>
      <c r="X841" s="163"/>
      <c r="Y841" s="163"/>
      <c r="Z841" s="163"/>
      <c r="AA841" s="163"/>
      <c r="AB841" s="163"/>
      <c r="AC841" s="163"/>
      <c r="AD841" s="163"/>
      <c r="AE841" s="163"/>
      <c r="AF841" s="163"/>
      <c r="AG841" s="163"/>
      <c r="AH841" s="163"/>
      <c r="AI841" s="163"/>
      <c r="AJ841" s="163"/>
      <c r="AK841" s="163"/>
      <c r="AL841" s="163"/>
      <c r="AM841" s="163"/>
    </row>
    <row r="842" ht="13.5" customHeight="1">
      <c r="A842" s="130"/>
      <c r="B842" s="130"/>
      <c r="C842" s="130"/>
      <c r="D842" s="130"/>
      <c r="E842" s="163"/>
      <c r="F842" s="163"/>
      <c r="G842" s="163"/>
      <c r="H842" s="130"/>
      <c r="I842" s="130"/>
      <c r="J842" s="130"/>
      <c r="K842" s="130"/>
      <c r="L842" s="163"/>
      <c r="M842" s="130"/>
      <c r="N842" s="130"/>
      <c r="O842" s="130"/>
      <c r="P842" s="130"/>
      <c r="Q842" s="130"/>
      <c r="R842" s="130"/>
      <c r="S842" s="130"/>
      <c r="T842" s="130"/>
      <c r="U842" s="130"/>
      <c r="V842" s="130"/>
      <c r="W842" s="130"/>
      <c r="X842" s="163"/>
      <c r="Y842" s="163"/>
      <c r="Z842" s="163"/>
      <c r="AA842" s="163"/>
      <c r="AB842" s="163"/>
      <c r="AC842" s="163"/>
      <c r="AD842" s="163"/>
      <c r="AE842" s="163"/>
      <c r="AF842" s="163"/>
      <c r="AG842" s="163"/>
      <c r="AH842" s="163"/>
      <c r="AI842" s="163"/>
      <c r="AJ842" s="163"/>
      <c r="AK842" s="163"/>
      <c r="AL842" s="163"/>
      <c r="AM842" s="163"/>
    </row>
    <row r="843" ht="13.5" customHeight="1">
      <c r="A843" s="130"/>
      <c r="B843" s="130"/>
      <c r="C843" s="130"/>
      <c r="D843" s="130"/>
      <c r="E843" s="163"/>
      <c r="F843" s="163"/>
      <c r="G843" s="163"/>
      <c r="H843" s="130"/>
      <c r="I843" s="130"/>
      <c r="J843" s="130"/>
      <c r="K843" s="130"/>
      <c r="L843" s="163"/>
      <c r="M843" s="130"/>
      <c r="N843" s="130"/>
      <c r="O843" s="130"/>
      <c r="P843" s="130"/>
      <c r="Q843" s="130"/>
      <c r="R843" s="130"/>
      <c r="S843" s="130"/>
      <c r="T843" s="130"/>
      <c r="U843" s="130"/>
      <c r="V843" s="130"/>
      <c r="W843" s="130"/>
      <c r="X843" s="163"/>
      <c r="Y843" s="163"/>
      <c r="Z843" s="163"/>
      <c r="AA843" s="163"/>
      <c r="AB843" s="163"/>
      <c r="AC843" s="163"/>
      <c r="AD843" s="163"/>
      <c r="AE843" s="163"/>
      <c r="AF843" s="163"/>
      <c r="AG843" s="163"/>
      <c r="AH843" s="163"/>
      <c r="AI843" s="163"/>
      <c r="AJ843" s="163"/>
      <c r="AK843" s="163"/>
      <c r="AL843" s="163"/>
      <c r="AM843" s="163"/>
    </row>
    <row r="844" ht="13.5" customHeight="1">
      <c r="A844" s="130"/>
      <c r="B844" s="130"/>
      <c r="C844" s="130"/>
      <c r="D844" s="130"/>
      <c r="E844" s="163"/>
      <c r="F844" s="163"/>
      <c r="G844" s="163"/>
      <c r="H844" s="130"/>
      <c r="I844" s="130"/>
      <c r="J844" s="130"/>
      <c r="K844" s="130"/>
      <c r="L844" s="163"/>
      <c r="M844" s="130"/>
      <c r="N844" s="130"/>
      <c r="O844" s="130"/>
      <c r="P844" s="130"/>
      <c r="Q844" s="130"/>
      <c r="R844" s="130"/>
      <c r="S844" s="130"/>
      <c r="T844" s="130"/>
      <c r="U844" s="130"/>
      <c r="V844" s="130"/>
      <c r="W844" s="130"/>
      <c r="X844" s="163"/>
      <c r="Y844" s="163"/>
      <c r="Z844" s="163"/>
      <c r="AA844" s="163"/>
      <c r="AB844" s="163"/>
      <c r="AC844" s="163"/>
      <c r="AD844" s="163"/>
      <c r="AE844" s="163"/>
      <c r="AF844" s="163"/>
      <c r="AG844" s="163"/>
      <c r="AH844" s="163"/>
      <c r="AI844" s="163"/>
      <c r="AJ844" s="163"/>
      <c r="AK844" s="163"/>
      <c r="AL844" s="163"/>
      <c r="AM844" s="163"/>
    </row>
    <row r="845" ht="13.5" customHeight="1">
      <c r="A845" s="130"/>
      <c r="B845" s="130"/>
      <c r="C845" s="130"/>
      <c r="D845" s="130"/>
      <c r="E845" s="163"/>
      <c r="F845" s="163"/>
      <c r="G845" s="163"/>
      <c r="H845" s="130"/>
      <c r="I845" s="130"/>
      <c r="J845" s="130"/>
      <c r="K845" s="130"/>
      <c r="L845" s="163"/>
      <c r="M845" s="130"/>
      <c r="N845" s="130"/>
      <c r="O845" s="130"/>
      <c r="P845" s="130"/>
      <c r="Q845" s="130"/>
      <c r="R845" s="130"/>
      <c r="S845" s="130"/>
      <c r="T845" s="130"/>
      <c r="U845" s="130"/>
      <c r="V845" s="130"/>
      <c r="W845" s="130"/>
      <c r="X845" s="163"/>
      <c r="Y845" s="163"/>
      <c r="Z845" s="163"/>
      <c r="AA845" s="163"/>
      <c r="AB845" s="163"/>
      <c r="AC845" s="163"/>
      <c r="AD845" s="163"/>
      <c r="AE845" s="163"/>
      <c r="AF845" s="163"/>
      <c r="AG845" s="163"/>
      <c r="AH845" s="163"/>
      <c r="AI845" s="163"/>
      <c r="AJ845" s="163"/>
      <c r="AK845" s="163"/>
      <c r="AL845" s="163"/>
      <c r="AM845" s="163"/>
    </row>
    <row r="846" ht="13.5" customHeight="1">
      <c r="A846" s="130"/>
      <c r="B846" s="130"/>
      <c r="C846" s="130"/>
      <c r="D846" s="130"/>
      <c r="E846" s="163"/>
      <c r="F846" s="163"/>
      <c r="G846" s="163"/>
      <c r="H846" s="130"/>
      <c r="I846" s="130"/>
      <c r="J846" s="130"/>
      <c r="K846" s="130"/>
      <c r="L846" s="163"/>
      <c r="M846" s="130"/>
      <c r="N846" s="130"/>
      <c r="O846" s="130"/>
      <c r="P846" s="130"/>
      <c r="Q846" s="130"/>
      <c r="R846" s="130"/>
      <c r="S846" s="130"/>
      <c r="T846" s="130"/>
      <c r="U846" s="130"/>
      <c r="V846" s="130"/>
      <c r="W846" s="130"/>
      <c r="X846" s="163"/>
      <c r="Y846" s="163"/>
      <c r="Z846" s="163"/>
      <c r="AA846" s="163"/>
      <c r="AB846" s="163"/>
      <c r="AC846" s="163"/>
      <c r="AD846" s="163"/>
      <c r="AE846" s="163"/>
      <c r="AF846" s="163"/>
      <c r="AG846" s="163"/>
      <c r="AH846" s="163"/>
      <c r="AI846" s="163"/>
      <c r="AJ846" s="163"/>
      <c r="AK846" s="163"/>
      <c r="AL846" s="163"/>
      <c r="AM846" s="163"/>
    </row>
    <row r="847" ht="13.5" customHeight="1">
      <c r="A847" s="130"/>
      <c r="B847" s="130"/>
      <c r="C847" s="130"/>
      <c r="D847" s="130"/>
      <c r="E847" s="163"/>
      <c r="F847" s="163"/>
      <c r="G847" s="163"/>
      <c r="H847" s="130"/>
      <c r="I847" s="130"/>
      <c r="J847" s="130"/>
      <c r="K847" s="130"/>
      <c r="L847" s="163"/>
      <c r="M847" s="130"/>
      <c r="N847" s="130"/>
      <c r="O847" s="130"/>
      <c r="P847" s="130"/>
      <c r="Q847" s="130"/>
      <c r="R847" s="130"/>
      <c r="S847" s="130"/>
      <c r="T847" s="130"/>
      <c r="U847" s="130"/>
      <c r="V847" s="130"/>
      <c r="W847" s="130"/>
      <c r="X847" s="163"/>
      <c r="Y847" s="163"/>
      <c r="Z847" s="163"/>
      <c r="AA847" s="163"/>
      <c r="AB847" s="163"/>
      <c r="AC847" s="163"/>
      <c r="AD847" s="163"/>
      <c r="AE847" s="163"/>
      <c r="AF847" s="163"/>
      <c r="AG847" s="163"/>
      <c r="AH847" s="163"/>
      <c r="AI847" s="163"/>
      <c r="AJ847" s="163"/>
      <c r="AK847" s="163"/>
      <c r="AL847" s="163"/>
      <c r="AM847" s="163"/>
    </row>
    <row r="848" ht="13.5" customHeight="1">
      <c r="A848" s="130"/>
      <c r="B848" s="130"/>
      <c r="C848" s="130"/>
      <c r="D848" s="130"/>
      <c r="E848" s="163"/>
      <c r="F848" s="163"/>
      <c r="G848" s="163"/>
      <c r="H848" s="130"/>
      <c r="I848" s="130"/>
      <c r="J848" s="130"/>
      <c r="K848" s="130"/>
      <c r="L848" s="163"/>
      <c r="M848" s="130"/>
      <c r="N848" s="130"/>
      <c r="O848" s="130"/>
      <c r="P848" s="130"/>
      <c r="Q848" s="130"/>
      <c r="R848" s="130"/>
      <c r="S848" s="130"/>
      <c r="T848" s="130"/>
      <c r="U848" s="130"/>
      <c r="V848" s="130"/>
      <c r="W848" s="130"/>
      <c r="X848" s="163"/>
      <c r="Y848" s="163"/>
      <c r="Z848" s="163"/>
      <c r="AA848" s="163"/>
      <c r="AB848" s="163"/>
      <c r="AC848" s="163"/>
      <c r="AD848" s="163"/>
      <c r="AE848" s="163"/>
      <c r="AF848" s="163"/>
      <c r="AG848" s="163"/>
      <c r="AH848" s="163"/>
      <c r="AI848" s="163"/>
      <c r="AJ848" s="163"/>
      <c r="AK848" s="163"/>
      <c r="AL848" s="163"/>
      <c r="AM848" s="163"/>
    </row>
    <row r="849" ht="13.5" customHeight="1">
      <c r="A849" s="130"/>
      <c r="B849" s="130"/>
      <c r="C849" s="130"/>
      <c r="D849" s="130"/>
      <c r="E849" s="163"/>
      <c r="F849" s="163"/>
      <c r="G849" s="163"/>
      <c r="H849" s="130"/>
      <c r="I849" s="130"/>
      <c r="J849" s="130"/>
      <c r="K849" s="130"/>
      <c r="L849" s="163"/>
      <c r="M849" s="130"/>
      <c r="N849" s="130"/>
      <c r="O849" s="130"/>
      <c r="P849" s="130"/>
      <c r="Q849" s="130"/>
      <c r="R849" s="130"/>
      <c r="S849" s="130"/>
      <c r="T849" s="130"/>
      <c r="U849" s="130"/>
      <c r="V849" s="130"/>
      <c r="W849" s="130"/>
      <c r="X849" s="163"/>
      <c r="Y849" s="163"/>
      <c r="Z849" s="163"/>
      <c r="AA849" s="163"/>
      <c r="AB849" s="163"/>
      <c r="AC849" s="163"/>
      <c r="AD849" s="163"/>
      <c r="AE849" s="163"/>
      <c r="AF849" s="163"/>
      <c r="AG849" s="163"/>
      <c r="AH849" s="163"/>
      <c r="AI849" s="163"/>
      <c r="AJ849" s="163"/>
      <c r="AK849" s="163"/>
      <c r="AL849" s="163"/>
      <c r="AM849" s="163"/>
    </row>
    <row r="850" ht="13.5" customHeight="1">
      <c r="A850" s="130"/>
      <c r="B850" s="130"/>
      <c r="C850" s="130"/>
      <c r="D850" s="130"/>
      <c r="E850" s="163"/>
      <c r="F850" s="163"/>
      <c r="G850" s="163"/>
      <c r="H850" s="130"/>
      <c r="I850" s="130"/>
      <c r="J850" s="130"/>
      <c r="K850" s="130"/>
      <c r="L850" s="163"/>
      <c r="M850" s="130"/>
      <c r="N850" s="130"/>
      <c r="O850" s="130"/>
      <c r="P850" s="130"/>
      <c r="Q850" s="130"/>
      <c r="R850" s="130"/>
      <c r="S850" s="130"/>
      <c r="T850" s="130"/>
      <c r="U850" s="130"/>
      <c r="V850" s="130"/>
      <c r="W850" s="130"/>
      <c r="X850" s="163"/>
      <c r="Y850" s="163"/>
      <c r="Z850" s="163"/>
      <c r="AA850" s="163"/>
      <c r="AB850" s="163"/>
      <c r="AC850" s="163"/>
      <c r="AD850" s="163"/>
      <c r="AE850" s="163"/>
      <c r="AF850" s="163"/>
      <c r="AG850" s="163"/>
      <c r="AH850" s="163"/>
      <c r="AI850" s="163"/>
      <c r="AJ850" s="163"/>
      <c r="AK850" s="163"/>
      <c r="AL850" s="163"/>
      <c r="AM850" s="163"/>
    </row>
    <row r="851" ht="13.5" customHeight="1">
      <c r="A851" s="130"/>
      <c r="B851" s="130"/>
      <c r="C851" s="130"/>
      <c r="D851" s="130"/>
      <c r="E851" s="163"/>
      <c r="F851" s="163"/>
      <c r="G851" s="163"/>
      <c r="H851" s="130"/>
      <c r="I851" s="130"/>
      <c r="J851" s="130"/>
      <c r="K851" s="130"/>
      <c r="L851" s="163"/>
      <c r="M851" s="130"/>
      <c r="N851" s="130"/>
      <c r="O851" s="130"/>
      <c r="P851" s="130"/>
      <c r="Q851" s="130"/>
      <c r="R851" s="130"/>
      <c r="S851" s="130"/>
      <c r="T851" s="130"/>
      <c r="U851" s="130"/>
      <c r="V851" s="130"/>
      <c r="W851" s="130"/>
      <c r="X851" s="163"/>
      <c r="Y851" s="163"/>
      <c r="Z851" s="163"/>
      <c r="AA851" s="163"/>
      <c r="AB851" s="163"/>
      <c r="AC851" s="163"/>
      <c r="AD851" s="163"/>
      <c r="AE851" s="163"/>
      <c r="AF851" s="163"/>
      <c r="AG851" s="163"/>
      <c r="AH851" s="163"/>
      <c r="AI851" s="163"/>
      <c r="AJ851" s="163"/>
      <c r="AK851" s="163"/>
      <c r="AL851" s="163"/>
      <c r="AM851" s="163"/>
    </row>
    <row r="852" ht="13.5" customHeight="1">
      <c r="A852" s="130"/>
      <c r="B852" s="130"/>
      <c r="C852" s="130"/>
      <c r="D852" s="130"/>
      <c r="E852" s="163"/>
      <c r="F852" s="163"/>
      <c r="G852" s="163"/>
      <c r="H852" s="130"/>
      <c r="I852" s="130"/>
      <c r="J852" s="130"/>
      <c r="K852" s="130"/>
      <c r="L852" s="163"/>
      <c r="M852" s="130"/>
      <c r="N852" s="130"/>
      <c r="O852" s="130"/>
      <c r="P852" s="130"/>
      <c r="Q852" s="130"/>
      <c r="R852" s="130"/>
      <c r="S852" s="130"/>
      <c r="T852" s="130"/>
      <c r="U852" s="130"/>
      <c r="V852" s="130"/>
      <c r="W852" s="130"/>
      <c r="X852" s="163"/>
      <c r="Y852" s="163"/>
      <c r="Z852" s="163"/>
      <c r="AA852" s="163"/>
      <c r="AB852" s="163"/>
      <c r="AC852" s="163"/>
      <c r="AD852" s="163"/>
      <c r="AE852" s="163"/>
      <c r="AF852" s="163"/>
      <c r="AG852" s="163"/>
      <c r="AH852" s="163"/>
      <c r="AI852" s="163"/>
      <c r="AJ852" s="163"/>
      <c r="AK852" s="163"/>
      <c r="AL852" s="163"/>
      <c r="AM852" s="163"/>
    </row>
    <row r="853" ht="13.5" customHeight="1">
      <c r="A853" s="130"/>
      <c r="B853" s="130"/>
      <c r="C853" s="130"/>
      <c r="D853" s="130"/>
      <c r="E853" s="163"/>
      <c r="F853" s="163"/>
      <c r="G853" s="163"/>
      <c r="H853" s="130"/>
      <c r="I853" s="130"/>
      <c r="J853" s="130"/>
      <c r="K853" s="130"/>
      <c r="L853" s="163"/>
      <c r="M853" s="130"/>
      <c r="N853" s="130"/>
      <c r="O853" s="130"/>
      <c r="P853" s="130"/>
      <c r="Q853" s="130"/>
      <c r="R853" s="130"/>
      <c r="S853" s="130"/>
      <c r="T853" s="130"/>
      <c r="U853" s="130"/>
      <c r="V853" s="130"/>
      <c r="W853" s="130"/>
      <c r="X853" s="163"/>
      <c r="Y853" s="163"/>
      <c r="Z853" s="163"/>
      <c r="AA853" s="163"/>
      <c r="AB853" s="163"/>
      <c r="AC853" s="163"/>
      <c r="AD853" s="163"/>
      <c r="AE853" s="163"/>
      <c r="AF853" s="163"/>
      <c r="AG853" s="163"/>
      <c r="AH853" s="163"/>
      <c r="AI853" s="163"/>
      <c r="AJ853" s="163"/>
      <c r="AK853" s="163"/>
      <c r="AL853" s="163"/>
      <c r="AM853" s="163"/>
    </row>
    <row r="854" ht="13.5" customHeight="1">
      <c r="A854" s="130"/>
      <c r="B854" s="130"/>
      <c r="C854" s="130"/>
      <c r="D854" s="130"/>
      <c r="E854" s="163"/>
      <c r="F854" s="163"/>
      <c r="G854" s="163"/>
      <c r="H854" s="130"/>
      <c r="I854" s="130"/>
      <c r="J854" s="130"/>
      <c r="K854" s="130"/>
      <c r="L854" s="163"/>
      <c r="M854" s="130"/>
      <c r="N854" s="130"/>
      <c r="O854" s="130"/>
      <c r="P854" s="130"/>
      <c r="Q854" s="130"/>
      <c r="R854" s="130"/>
      <c r="S854" s="130"/>
      <c r="T854" s="130"/>
      <c r="U854" s="130"/>
      <c r="V854" s="130"/>
      <c r="W854" s="130"/>
      <c r="X854" s="163"/>
      <c r="Y854" s="163"/>
      <c r="Z854" s="163"/>
      <c r="AA854" s="163"/>
      <c r="AB854" s="163"/>
      <c r="AC854" s="163"/>
      <c r="AD854" s="163"/>
      <c r="AE854" s="163"/>
      <c r="AF854" s="163"/>
      <c r="AG854" s="163"/>
      <c r="AH854" s="163"/>
      <c r="AI854" s="163"/>
      <c r="AJ854" s="163"/>
      <c r="AK854" s="163"/>
      <c r="AL854" s="163"/>
      <c r="AM854" s="163"/>
    </row>
    <row r="855" ht="13.5" customHeight="1">
      <c r="A855" s="130"/>
      <c r="B855" s="130"/>
      <c r="C855" s="130"/>
      <c r="D855" s="130"/>
      <c r="E855" s="163"/>
      <c r="F855" s="163"/>
      <c r="G855" s="163"/>
      <c r="H855" s="130"/>
      <c r="I855" s="130"/>
      <c r="J855" s="130"/>
      <c r="K855" s="130"/>
      <c r="L855" s="163"/>
      <c r="M855" s="130"/>
      <c r="N855" s="130"/>
      <c r="O855" s="130"/>
      <c r="P855" s="130"/>
      <c r="Q855" s="130"/>
      <c r="R855" s="130"/>
      <c r="S855" s="130"/>
      <c r="T855" s="130"/>
      <c r="U855" s="130"/>
      <c r="V855" s="130"/>
      <c r="W855" s="130"/>
      <c r="X855" s="163"/>
      <c r="Y855" s="163"/>
      <c r="Z855" s="163"/>
      <c r="AA855" s="163"/>
      <c r="AB855" s="163"/>
      <c r="AC855" s="163"/>
      <c r="AD855" s="163"/>
      <c r="AE855" s="163"/>
      <c r="AF855" s="163"/>
      <c r="AG855" s="163"/>
      <c r="AH855" s="163"/>
      <c r="AI855" s="163"/>
      <c r="AJ855" s="163"/>
      <c r="AK855" s="163"/>
      <c r="AL855" s="163"/>
      <c r="AM855" s="163"/>
    </row>
    <row r="856" ht="13.5" customHeight="1">
      <c r="A856" s="130"/>
      <c r="B856" s="130"/>
      <c r="C856" s="130"/>
      <c r="D856" s="130"/>
      <c r="E856" s="163"/>
      <c r="F856" s="163"/>
      <c r="G856" s="163"/>
      <c r="H856" s="130"/>
      <c r="I856" s="130"/>
      <c r="J856" s="130"/>
      <c r="K856" s="130"/>
      <c r="L856" s="163"/>
      <c r="M856" s="130"/>
      <c r="N856" s="130"/>
      <c r="O856" s="130"/>
      <c r="P856" s="130"/>
      <c r="Q856" s="130"/>
      <c r="R856" s="130"/>
      <c r="S856" s="130"/>
      <c r="T856" s="130"/>
      <c r="U856" s="130"/>
      <c r="V856" s="130"/>
      <c r="W856" s="130"/>
      <c r="X856" s="163"/>
      <c r="Y856" s="163"/>
      <c r="Z856" s="163"/>
      <c r="AA856" s="163"/>
      <c r="AB856" s="163"/>
      <c r="AC856" s="163"/>
      <c r="AD856" s="163"/>
      <c r="AE856" s="163"/>
      <c r="AF856" s="163"/>
      <c r="AG856" s="163"/>
      <c r="AH856" s="163"/>
      <c r="AI856" s="163"/>
      <c r="AJ856" s="163"/>
      <c r="AK856" s="163"/>
      <c r="AL856" s="163"/>
      <c r="AM856" s="163"/>
    </row>
    <row r="857" ht="13.5" customHeight="1">
      <c r="A857" s="130"/>
      <c r="B857" s="130"/>
      <c r="C857" s="130"/>
      <c r="D857" s="130"/>
      <c r="E857" s="163"/>
      <c r="F857" s="163"/>
      <c r="G857" s="163"/>
      <c r="H857" s="130"/>
      <c r="I857" s="130"/>
      <c r="J857" s="130"/>
      <c r="K857" s="130"/>
      <c r="L857" s="163"/>
      <c r="M857" s="130"/>
      <c r="N857" s="130"/>
      <c r="O857" s="130"/>
      <c r="P857" s="130"/>
      <c r="Q857" s="130"/>
      <c r="R857" s="130"/>
      <c r="S857" s="130"/>
      <c r="T857" s="130"/>
      <c r="U857" s="130"/>
      <c r="V857" s="130"/>
      <c r="W857" s="130"/>
      <c r="X857" s="163"/>
      <c r="Y857" s="163"/>
      <c r="Z857" s="163"/>
      <c r="AA857" s="163"/>
      <c r="AB857" s="163"/>
      <c r="AC857" s="163"/>
      <c r="AD857" s="163"/>
      <c r="AE857" s="163"/>
      <c r="AF857" s="163"/>
      <c r="AG857" s="163"/>
      <c r="AH857" s="163"/>
      <c r="AI857" s="163"/>
      <c r="AJ857" s="163"/>
      <c r="AK857" s="163"/>
      <c r="AL857" s="163"/>
      <c r="AM857" s="163"/>
    </row>
    <row r="858" ht="13.5" customHeight="1">
      <c r="A858" s="130"/>
      <c r="B858" s="130"/>
      <c r="C858" s="130"/>
      <c r="D858" s="130"/>
      <c r="E858" s="163"/>
      <c r="F858" s="163"/>
      <c r="G858" s="163"/>
      <c r="H858" s="130"/>
      <c r="I858" s="130"/>
      <c r="J858" s="130"/>
      <c r="K858" s="130"/>
      <c r="L858" s="163"/>
      <c r="M858" s="130"/>
      <c r="N858" s="130"/>
      <c r="O858" s="130"/>
      <c r="P858" s="130"/>
      <c r="Q858" s="130"/>
      <c r="R858" s="130"/>
      <c r="S858" s="130"/>
      <c r="T858" s="130"/>
      <c r="U858" s="130"/>
      <c r="V858" s="130"/>
      <c r="W858" s="130"/>
      <c r="X858" s="163"/>
      <c r="Y858" s="163"/>
      <c r="Z858" s="163"/>
      <c r="AA858" s="163"/>
      <c r="AB858" s="163"/>
      <c r="AC858" s="163"/>
      <c r="AD858" s="163"/>
      <c r="AE858" s="163"/>
      <c r="AF858" s="163"/>
      <c r="AG858" s="163"/>
      <c r="AH858" s="163"/>
      <c r="AI858" s="163"/>
      <c r="AJ858" s="163"/>
      <c r="AK858" s="163"/>
      <c r="AL858" s="163"/>
      <c r="AM858" s="163"/>
    </row>
    <row r="859" ht="13.5" customHeight="1">
      <c r="A859" s="130"/>
      <c r="B859" s="130"/>
      <c r="C859" s="130"/>
      <c r="D859" s="130"/>
      <c r="E859" s="163"/>
      <c r="F859" s="163"/>
      <c r="G859" s="163"/>
      <c r="H859" s="130"/>
      <c r="I859" s="130"/>
      <c r="J859" s="130"/>
      <c r="K859" s="130"/>
      <c r="L859" s="163"/>
      <c r="M859" s="130"/>
      <c r="N859" s="130"/>
      <c r="O859" s="130"/>
      <c r="P859" s="130"/>
      <c r="Q859" s="130"/>
      <c r="R859" s="130"/>
      <c r="S859" s="130"/>
      <c r="T859" s="130"/>
      <c r="U859" s="130"/>
      <c r="V859" s="130"/>
      <c r="W859" s="130"/>
      <c r="X859" s="163"/>
      <c r="Y859" s="163"/>
      <c r="Z859" s="163"/>
      <c r="AA859" s="163"/>
      <c r="AB859" s="163"/>
      <c r="AC859" s="163"/>
      <c r="AD859" s="163"/>
      <c r="AE859" s="163"/>
      <c r="AF859" s="163"/>
      <c r="AG859" s="163"/>
      <c r="AH859" s="163"/>
      <c r="AI859" s="163"/>
      <c r="AJ859" s="163"/>
      <c r="AK859" s="163"/>
      <c r="AL859" s="163"/>
      <c r="AM859" s="163"/>
    </row>
    <row r="860" ht="13.5" customHeight="1">
      <c r="A860" s="130"/>
      <c r="B860" s="130"/>
      <c r="C860" s="130"/>
      <c r="D860" s="130"/>
      <c r="E860" s="163"/>
      <c r="F860" s="163"/>
      <c r="G860" s="163"/>
      <c r="H860" s="130"/>
      <c r="I860" s="130"/>
      <c r="J860" s="130"/>
      <c r="K860" s="130"/>
      <c r="L860" s="163"/>
      <c r="M860" s="130"/>
      <c r="N860" s="130"/>
      <c r="O860" s="130"/>
      <c r="P860" s="130"/>
      <c r="Q860" s="130"/>
      <c r="R860" s="130"/>
      <c r="S860" s="130"/>
      <c r="T860" s="130"/>
      <c r="U860" s="130"/>
      <c r="V860" s="130"/>
      <c r="W860" s="130"/>
      <c r="X860" s="163"/>
      <c r="Y860" s="163"/>
      <c r="Z860" s="163"/>
      <c r="AA860" s="163"/>
      <c r="AB860" s="163"/>
      <c r="AC860" s="163"/>
      <c r="AD860" s="163"/>
      <c r="AE860" s="163"/>
      <c r="AF860" s="163"/>
      <c r="AG860" s="163"/>
      <c r="AH860" s="163"/>
      <c r="AI860" s="163"/>
      <c r="AJ860" s="163"/>
      <c r="AK860" s="163"/>
      <c r="AL860" s="163"/>
      <c r="AM860" s="163"/>
    </row>
    <row r="861" ht="13.5" customHeight="1">
      <c r="A861" s="130"/>
      <c r="B861" s="130"/>
      <c r="C861" s="130"/>
      <c r="D861" s="130"/>
      <c r="E861" s="163"/>
      <c r="F861" s="163"/>
      <c r="G861" s="163"/>
      <c r="H861" s="130"/>
      <c r="I861" s="130"/>
      <c r="J861" s="130"/>
      <c r="K861" s="130"/>
      <c r="L861" s="163"/>
      <c r="M861" s="130"/>
      <c r="N861" s="130"/>
      <c r="O861" s="130"/>
      <c r="P861" s="130"/>
      <c r="Q861" s="130"/>
      <c r="R861" s="130"/>
      <c r="S861" s="130"/>
      <c r="T861" s="130"/>
      <c r="U861" s="130"/>
      <c r="V861" s="130"/>
      <c r="W861" s="130"/>
      <c r="X861" s="163"/>
      <c r="Y861" s="163"/>
      <c r="Z861" s="163"/>
      <c r="AA861" s="163"/>
      <c r="AB861" s="163"/>
      <c r="AC861" s="163"/>
      <c r="AD861" s="163"/>
      <c r="AE861" s="163"/>
      <c r="AF861" s="163"/>
      <c r="AG861" s="163"/>
      <c r="AH861" s="163"/>
      <c r="AI861" s="163"/>
      <c r="AJ861" s="163"/>
      <c r="AK861" s="163"/>
      <c r="AL861" s="163"/>
      <c r="AM861" s="163"/>
    </row>
    <row r="862" ht="13.5" customHeight="1">
      <c r="A862" s="130"/>
      <c r="B862" s="130"/>
      <c r="C862" s="130"/>
      <c r="D862" s="130"/>
      <c r="E862" s="163"/>
      <c r="F862" s="163"/>
      <c r="G862" s="163"/>
      <c r="H862" s="130"/>
      <c r="I862" s="130"/>
      <c r="J862" s="130"/>
      <c r="K862" s="130"/>
      <c r="L862" s="163"/>
      <c r="M862" s="130"/>
      <c r="N862" s="130"/>
      <c r="O862" s="130"/>
      <c r="P862" s="130"/>
      <c r="Q862" s="130"/>
      <c r="R862" s="130"/>
      <c r="S862" s="130"/>
      <c r="T862" s="130"/>
      <c r="U862" s="130"/>
      <c r="V862" s="130"/>
      <c r="W862" s="130"/>
      <c r="X862" s="163"/>
      <c r="Y862" s="163"/>
      <c r="Z862" s="163"/>
      <c r="AA862" s="163"/>
      <c r="AB862" s="163"/>
      <c r="AC862" s="163"/>
      <c r="AD862" s="163"/>
      <c r="AE862" s="163"/>
      <c r="AF862" s="163"/>
      <c r="AG862" s="163"/>
      <c r="AH862" s="163"/>
      <c r="AI862" s="163"/>
      <c r="AJ862" s="163"/>
      <c r="AK862" s="163"/>
      <c r="AL862" s="163"/>
      <c r="AM862" s="163"/>
    </row>
    <row r="863" ht="13.5" customHeight="1">
      <c r="A863" s="130"/>
      <c r="B863" s="130"/>
      <c r="C863" s="130"/>
      <c r="D863" s="130"/>
      <c r="E863" s="163"/>
      <c r="F863" s="163"/>
      <c r="G863" s="163"/>
      <c r="H863" s="130"/>
      <c r="I863" s="130"/>
      <c r="J863" s="130"/>
      <c r="K863" s="130"/>
      <c r="L863" s="163"/>
      <c r="M863" s="130"/>
      <c r="N863" s="130"/>
      <c r="O863" s="130"/>
      <c r="P863" s="130"/>
      <c r="Q863" s="130"/>
      <c r="R863" s="130"/>
      <c r="S863" s="130"/>
      <c r="T863" s="130"/>
      <c r="U863" s="130"/>
      <c r="V863" s="130"/>
      <c r="W863" s="130"/>
      <c r="X863" s="163"/>
      <c r="Y863" s="163"/>
      <c r="Z863" s="163"/>
      <c r="AA863" s="163"/>
      <c r="AB863" s="163"/>
      <c r="AC863" s="163"/>
      <c r="AD863" s="163"/>
      <c r="AE863" s="163"/>
      <c r="AF863" s="163"/>
      <c r="AG863" s="163"/>
      <c r="AH863" s="163"/>
      <c r="AI863" s="163"/>
      <c r="AJ863" s="163"/>
      <c r="AK863" s="163"/>
      <c r="AL863" s="163"/>
      <c r="AM863" s="163"/>
    </row>
    <row r="864" ht="13.5" customHeight="1">
      <c r="A864" s="130"/>
      <c r="B864" s="130"/>
      <c r="C864" s="130"/>
      <c r="D864" s="130"/>
      <c r="E864" s="163"/>
      <c r="F864" s="163"/>
      <c r="G864" s="163"/>
      <c r="H864" s="130"/>
      <c r="I864" s="130"/>
      <c r="J864" s="130"/>
      <c r="K864" s="130"/>
      <c r="L864" s="163"/>
      <c r="M864" s="130"/>
      <c r="N864" s="130"/>
      <c r="O864" s="130"/>
      <c r="P864" s="130"/>
      <c r="Q864" s="130"/>
      <c r="R864" s="130"/>
      <c r="S864" s="130"/>
      <c r="T864" s="130"/>
      <c r="U864" s="130"/>
      <c r="V864" s="130"/>
      <c r="W864" s="130"/>
      <c r="X864" s="163"/>
      <c r="Y864" s="163"/>
      <c r="Z864" s="163"/>
      <c r="AA864" s="163"/>
      <c r="AB864" s="163"/>
      <c r="AC864" s="163"/>
      <c r="AD864" s="163"/>
      <c r="AE864" s="163"/>
      <c r="AF864" s="163"/>
      <c r="AG864" s="163"/>
      <c r="AH864" s="163"/>
      <c r="AI864" s="163"/>
      <c r="AJ864" s="163"/>
      <c r="AK864" s="163"/>
      <c r="AL864" s="163"/>
      <c r="AM864" s="163"/>
    </row>
    <row r="865" ht="13.5" customHeight="1">
      <c r="A865" s="130"/>
      <c r="B865" s="130"/>
      <c r="C865" s="130"/>
      <c r="D865" s="130"/>
      <c r="E865" s="163"/>
      <c r="F865" s="163"/>
      <c r="G865" s="163"/>
      <c r="H865" s="130"/>
      <c r="I865" s="130"/>
      <c r="J865" s="130"/>
      <c r="K865" s="130"/>
      <c r="L865" s="163"/>
      <c r="M865" s="130"/>
      <c r="N865" s="130"/>
      <c r="O865" s="130"/>
      <c r="P865" s="130"/>
      <c r="Q865" s="130"/>
      <c r="R865" s="130"/>
      <c r="S865" s="130"/>
      <c r="T865" s="130"/>
      <c r="U865" s="130"/>
      <c r="V865" s="130"/>
      <c r="W865" s="130"/>
      <c r="X865" s="163"/>
      <c r="Y865" s="163"/>
      <c r="Z865" s="163"/>
      <c r="AA865" s="163"/>
      <c r="AB865" s="163"/>
      <c r="AC865" s="163"/>
      <c r="AD865" s="163"/>
      <c r="AE865" s="163"/>
      <c r="AF865" s="163"/>
      <c r="AG865" s="163"/>
      <c r="AH865" s="163"/>
      <c r="AI865" s="163"/>
      <c r="AJ865" s="163"/>
      <c r="AK865" s="163"/>
      <c r="AL865" s="163"/>
      <c r="AM865" s="163"/>
    </row>
    <row r="866" ht="13.5" customHeight="1">
      <c r="A866" s="130"/>
      <c r="B866" s="130"/>
      <c r="C866" s="130"/>
      <c r="D866" s="130"/>
      <c r="E866" s="163"/>
      <c r="F866" s="163"/>
      <c r="G866" s="163"/>
      <c r="H866" s="130"/>
      <c r="I866" s="130"/>
      <c r="J866" s="130"/>
      <c r="K866" s="130"/>
      <c r="L866" s="163"/>
      <c r="M866" s="130"/>
      <c r="N866" s="130"/>
      <c r="O866" s="130"/>
      <c r="P866" s="130"/>
      <c r="Q866" s="130"/>
      <c r="R866" s="130"/>
      <c r="S866" s="130"/>
      <c r="T866" s="130"/>
      <c r="U866" s="130"/>
      <c r="V866" s="130"/>
      <c r="W866" s="130"/>
      <c r="X866" s="163"/>
      <c r="Y866" s="163"/>
      <c r="Z866" s="163"/>
      <c r="AA866" s="163"/>
      <c r="AB866" s="163"/>
      <c r="AC866" s="163"/>
      <c r="AD866" s="163"/>
      <c r="AE866" s="163"/>
      <c r="AF866" s="163"/>
      <c r="AG866" s="163"/>
      <c r="AH866" s="163"/>
      <c r="AI866" s="163"/>
      <c r="AJ866" s="163"/>
      <c r="AK866" s="163"/>
      <c r="AL866" s="163"/>
      <c r="AM866" s="163"/>
    </row>
    <row r="867" ht="13.5" customHeight="1">
      <c r="A867" s="130"/>
      <c r="B867" s="130"/>
      <c r="C867" s="130"/>
      <c r="D867" s="130"/>
      <c r="E867" s="163"/>
      <c r="F867" s="163"/>
      <c r="G867" s="163"/>
      <c r="H867" s="130"/>
      <c r="I867" s="130"/>
      <c r="J867" s="130"/>
      <c r="K867" s="130"/>
      <c r="L867" s="163"/>
      <c r="M867" s="130"/>
      <c r="N867" s="130"/>
      <c r="O867" s="130"/>
      <c r="P867" s="130"/>
      <c r="Q867" s="130"/>
      <c r="R867" s="130"/>
      <c r="S867" s="130"/>
      <c r="T867" s="130"/>
      <c r="U867" s="130"/>
      <c r="V867" s="130"/>
      <c r="W867" s="130"/>
      <c r="X867" s="163"/>
      <c r="Y867" s="163"/>
      <c r="Z867" s="163"/>
      <c r="AA867" s="163"/>
      <c r="AB867" s="163"/>
      <c r="AC867" s="163"/>
      <c r="AD867" s="163"/>
      <c r="AE867" s="163"/>
      <c r="AF867" s="163"/>
      <c r="AG867" s="163"/>
      <c r="AH867" s="163"/>
      <c r="AI867" s="163"/>
      <c r="AJ867" s="163"/>
      <c r="AK867" s="163"/>
      <c r="AL867" s="163"/>
      <c r="AM867" s="163"/>
    </row>
    <row r="868" ht="13.5" customHeight="1">
      <c r="A868" s="130"/>
      <c r="B868" s="130"/>
      <c r="C868" s="130"/>
      <c r="D868" s="130"/>
      <c r="E868" s="163"/>
      <c r="F868" s="163"/>
      <c r="G868" s="163"/>
      <c r="H868" s="130"/>
      <c r="I868" s="130"/>
      <c r="J868" s="130"/>
      <c r="K868" s="130"/>
      <c r="L868" s="163"/>
      <c r="M868" s="130"/>
      <c r="N868" s="130"/>
      <c r="O868" s="130"/>
      <c r="P868" s="130"/>
      <c r="Q868" s="130"/>
      <c r="R868" s="130"/>
      <c r="S868" s="130"/>
      <c r="T868" s="130"/>
      <c r="U868" s="130"/>
      <c r="V868" s="130"/>
      <c r="W868" s="130"/>
      <c r="X868" s="163"/>
      <c r="Y868" s="163"/>
      <c r="Z868" s="163"/>
      <c r="AA868" s="163"/>
      <c r="AB868" s="163"/>
      <c r="AC868" s="163"/>
      <c r="AD868" s="163"/>
      <c r="AE868" s="163"/>
      <c r="AF868" s="163"/>
      <c r="AG868" s="163"/>
      <c r="AH868" s="163"/>
      <c r="AI868" s="163"/>
      <c r="AJ868" s="163"/>
      <c r="AK868" s="163"/>
      <c r="AL868" s="163"/>
      <c r="AM868" s="163"/>
    </row>
    <row r="869" ht="13.5" customHeight="1">
      <c r="A869" s="130"/>
      <c r="B869" s="130"/>
      <c r="C869" s="130"/>
      <c r="D869" s="130"/>
      <c r="E869" s="163"/>
      <c r="F869" s="163"/>
      <c r="G869" s="163"/>
      <c r="H869" s="130"/>
      <c r="I869" s="130"/>
      <c r="J869" s="130"/>
      <c r="K869" s="130"/>
      <c r="L869" s="163"/>
      <c r="M869" s="130"/>
      <c r="N869" s="130"/>
      <c r="O869" s="130"/>
      <c r="P869" s="130"/>
      <c r="Q869" s="130"/>
      <c r="R869" s="130"/>
      <c r="S869" s="130"/>
      <c r="T869" s="130"/>
      <c r="U869" s="130"/>
      <c r="V869" s="130"/>
      <c r="W869" s="130"/>
      <c r="X869" s="163"/>
      <c r="Y869" s="163"/>
      <c r="Z869" s="163"/>
      <c r="AA869" s="163"/>
      <c r="AB869" s="163"/>
      <c r="AC869" s="163"/>
      <c r="AD869" s="163"/>
      <c r="AE869" s="163"/>
      <c r="AF869" s="163"/>
      <c r="AG869" s="163"/>
      <c r="AH869" s="163"/>
      <c r="AI869" s="163"/>
      <c r="AJ869" s="163"/>
      <c r="AK869" s="163"/>
      <c r="AL869" s="163"/>
      <c r="AM869" s="163"/>
    </row>
    <row r="870" ht="13.5" customHeight="1">
      <c r="A870" s="130"/>
      <c r="B870" s="130"/>
      <c r="C870" s="130"/>
      <c r="D870" s="130"/>
      <c r="E870" s="163"/>
      <c r="F870" s="163"/>
      <c r="G870" s="163"/>
      <c r="H870" s="130"/>
      <c r="I870" s="130"/>
      <c r="J870" s="130"/>
      <c r="K870" s="130"/>
      <c r="L870" s="163"/>
      <c r="M870" s="130"/>
      <c r="N870" s="130"/>
      <c r="O870" s="130"/>
      <c r="P870" s="130"/>
      <c r="Q870" s="130"/>
      <c r="R870" s="130"/>
      <c r="S870" s="130"/>
      <c r="T870" s="130"/>
      <c r="U870" s="130"/>
      <c r="V870" s="130"/>
      <c r="W870" s="130"/>
      <c r="X870" s="163"/>
      <c r="Y870" s="163"/>
      <c r="Z870" s="163"/>
      <c r="AA870" s="163"/>
      <c r="AB870" s="163"/>
      <c r="AC870" s="163"/>
      <c r="AD870" s="163"/>
      <c r="AE870" s="163"/>
      <c r="AF870" s="163"/>
      <c r="AG870" s="163"/>
      <c r="AH870" s="163"/>
      <c r="AI870" s="163"/>
      <c r="AJ870" s="163"/>
      <c r="AK870" s="163"/>
      <c r="AL870" s="163"/>
      <c r="AM870" s="163"/>
    </row>
    <row r="871" ht="13.5" customHeight="1">
      <c r="A871" s="130"/>
      <c r="B871" s="130"/>
      <c r="C871" s="130"/>
      <c r="D871" s="130"/>
      <c r="E871" s="163"/>
      <c r="F871" s="163"/>
      <c r="G871" s="163"/>
      <c r="H871" s="130"/>
      <c r="I871" s="130"/>
      <c r="J871" s="130"/>
      <c r="K871" s="130"/>
      <c r="L871" s="163"/>
      <c r="M871" s="130"/>
      <c r="N871" s="130"/>
      <c r="O871" s="130"/>
      <c r="P871" s="130"/>
      <c r="Q871" s="130"/>
      <c r="R871" s="130"/>
      <c r="S871" s="130"/>
      <c r="T871" s="130"/>
      <c r="U871" s="130"/>
      <c r="V871" s="130"/>
      <c r="W871" s="130"/>
      <c r="X871" s="163"/>
      <c r="Y871" s="163"/>
      <c r="Z871" s="163"/>
      <c r="AA871" s="163"/>
      <c r="AB871" s="163"/>
      <c r="AC871" s="163"/>
      <c r="AD871" s="163"/>
      <c r="AE871" s="163"/>
      <c r="AF871" s="163"/>
      <c r="AG871" s="163"/>
      <c r="AH871" s="163"/>
      <c r="AI871" s="163"/>
      <c r="AJ871" s="163"/>
      <c r="AK871" s="163"/>
      <c r="AL871" s="163"/>
      <c r="AM871" s="163"/>
    </row>
    <row r="872" ht="13.5" customHeight="1">
      <c r="A872" s="130"/>
      <c r="B872" s="130"/>
      <c r="C872" s="130"/>
      <c r="D872" s="130"/>
      <c r="E872" s="163"/>
      <c r="F872" s="163"/>
      <c r="G872" s="163"/>
      <c r="H872" s="130"/>
      <c r="I872" s="130"/>
      <c r="J872" s="130"/>
      <c r="K872" s="130"/>
      <c r="L872" s="163"/>
      <c r="M872" s="130"/>
      <c r="N872" s="130"/>
      <c r="O872" s="130"/>
      <c r="P872" s="130"/>
      <c r="Q872" s="130"/>
      <c r="R872" s="130"/>
      <c r="S872" s="130"/>
      <c r="T872" s="130"/>
      <c r="U872" s="130"/>
      <c r="V872" s="130"/>
      <c r="W872" s="130"/>
      <c r="X872" s="163"/>
      <c r="Y872" s="163"/>
      <c r="Z872" s="163"/>
      <c r="AA872" s="163"/>
      <c r="AB872" s="163"/>
      <c r="AC872" s="163"/>
      <c r="AD872" s="163"/>
      <c r="AE872" s="163"/>
      <c r="AF872" s="163"/>
      <c r="AG872" s="163"/>
      <c r="AH872" s="163"/>
      <c r="AI872" s="163"/>
      <c r="AJ872" s="163"/>
      <c r="AK872" s="163"/>
      <c r="AL872" s="163"/>
      <c r="AM872" s="163"/>
    </row>
    <row r="873" ht="13.5" customHeight="1">
      <c r="A873" s="130"/>
      <c r="B873" s="130"/>
      <c r="C873" s="130"/>
      <c r="D873" s="130"/>
      <c r="E873" s="163"/>
      <c r="F873" s="163"/>
      <c r="G873" s="163"/>
      <c r="H873" s="130"/>
      <c r="I873" s="130"/>
      <c r="J873" s="130"/>
      <c r="K873" s="130"/>
      <c r="L873" s="163"/>
      <c r="M873" s="130"/>
      <c r="N873" s="130"/>
      <c r="O873" s="130"/>
      <c r="P873" s="130"/>
      <c r="Q873" s="130"/>
      <c r="R873" s="130"/>
      <c r="S873" s="130"/>
      <c r="T873" s="130"/>
      <c r="U873" s="130"/>
      <c r="V873" s="130"/>
      <c r="W873" s="130"/>
      <c r="X873" s="163"/>
      <c r="Y873" s="163"/>
      <c r="Z873" s="163"/>
      <c r="AA873" s="163"/>
      <c r="AB873" s="163"/>
      <c r="AC873" s="163"/>
      <c r="AD873" s="163"/>
      <c r="AE873" s="163"/>
      <c r="AF873" s="163"/>
      <c r="AG873" s="163"/>
      <c r="AH873" s="163"/>
      <c r="AI873" s="163"/>
      <c r="AJ873" s="163"/>
      <c r="AK873" s="163"/>
      <c r="AL873" s="163"/>
      <c r="AM873" s="163"/>
    </row>
    <row r="874" ht="13.5" customHeight="1">
      <c r="A874" s="130"/>
      <c r="B874" s="130"/>
      <c r="C874" s="130"/>
      <c r="D874" s="130"/>
      <c r="E874" s="163"/>
      <c r="F874" s="163"/>
      <c r="G874" s="163"/>
      <c r="H874" s="130"/>
      <c r="I874" s="130"/>
      <c r="J874" s="130"/>
      <c r="K874" s="130"/>
      <c r="L874" s="163"/>
      <c r="M874" s="130"/>
      <c r="N874" s="130"/>
      <c r="O874" s="130"/>
      <c r="P874" s="130"/>
      <c r="Q874" s="130"/>
      <c r="R874" s="130"/>
      <c r="S874" s="130"/>
      <c r="T874" s="130"/>
      <c r="U874" s="130"/>
      <c r="V874" s="130"/>
      <c r="W874" s="130"/>
      <c r="X874" s="163"/>
      <c r="Y874" s="163"/>
      <c r="Z874" s="163"/>
      <c r="AA874" s="163"/>
      <c r="AB874" s="163"/>
      <c r="AC874" s="163"/>
      <c r="AD874" s="163"/>
      <c r="AE874" s="163"/>
      <c r="AF874" s="163"/>
      <c r="AG874" s="163"/>
      <c r="AH874" s="163"/>
      <c r="AI874" s="163"/>
      <c r="AJ874" s="163"/>
      <c r="AK874" s="163"/>
      <c r="AL874" s="163"/>
      <c r="AM874" s="163"/>
    </row>
    <row r="875" ht="13.5" customHeight="1">
      <c r="A875" s="130"/>
      <c r="B875" s="130"/>
      <c r="C875" s="130"/>
      <c r="D875" s="130"/>
      <c r="E875" s="163"/>
      <c r="F875" s="163"/>
      <c r="G875" s="163"/>
      <c r="H875" s="130"/>
      <c r="I875" s="130"/>
      <c r="J875" s="130"/>
      <c r="K875" s="130"/>
      <c r="L875" s="163"/>
      <c r="M875" s="130"/>
      <c r="N875" s="130"/>
      <c r="O875" s="130"/>
      <c r="P875" s="130"/>
      <c r="Q875" s="130"/>
      <c r="R875" s="130"/>
      <c r="S875" s="130"/>
      <c r="T875" s="130"/>
      <c r="U875" s="130"/>
      <c r="V875" s="130"/>
      <c r="W875" s="130"/>
      <c r="X875" s="163"/>
      <c r="Y875" s="163"/>
      <c r="Z875" s="163"/>
      <c r="AA875" s="163"/>
      <c r="AB875" s="163"/>
      <c r="AC875" s="163"/>
      <c r="AD875" s="163"/>
      <c r="AE875" s="163"/>
      <c r="AF875" s="163"/>
      <c r="AG875" s="163"/>
      <c r="AH875" s="163"/>
      <c r="AI875" s="163"/>
      <c r="AJ875" s="163"/>
      <c r="AK875" s="163"/>
      <c r="AL875" s="163"/>
      <c r="AM875" s="163"/>
    </row>
    <row r="876" ht="13.5" customHeight="1">
      <c r="A876" s="130"/>
      <c r="B876" s="130"/>
      <c r="C876" s="130"/>
      <c r="D876" s="130"/>
      <c r="E876" s="163"/>
      <c r="F876" s="163"/>
      <c r="G876" s="163"/>
      <c r="H876" s="130"/>
      <c r="I876" s="130"/>
      <c r="J876" s="130"/>
      <c r="K876" s="130"/>
      <c r="L876" s="163"/>
      <c r="M876" s="130"/>
      <c r="N876" s="130"/>
      <c r="O876" s="130"/>
      <c r="P876" s="130"/>
      <c r="Q876" s="130"/>
      <c r="R876" s="130"/>
      <c r="S876" s="130"/>
      <c r="T876" s="130"/>
      <c r="U876" s="130"/>
      <c r="V876" s="130"/>
      <c r="W876" s="130"/>
      <c r="X876" s="163"/>
      <c r="Y876" s="163"/>
      <c r="Z876" s="163"/>
      <c r="AA876" s="163"/>
      <c r="AB876" s="163"/>
      <c r="AC876" s="163"/>
      <c r="AD876" s="163"/>
      <c r="AE876" s="163"/>
      <c r="AF876" s="163"/>
      <c r="AG876" s="163"/>
      <c r="AH876" s="163"/>
      <c r="AI876" s="163"/>
      <c r="AJ876" s="163"/>
      <c r="AK876" s="163"/>
      <c r="AL876" s="163"/>
      <c r="AM876" s="163"/>
    </row>
    <row r="877" ht="13.5" customHeight="1">
      <c r="A877" s="130"/>
      <c r="B877" s="130"/>
      <c r="C877" s="130"/>
      <c r="D877" s="130"/>
      <c r="E877" s="163"/>
      <c r="F877" s="163"/>
      <c r="G877" s="163"/>
      <c r="H877" s="130"/>
      <c r="I877" s="130"/>
      <c r="J877" s="130"/>
      <c r="K877" s="130"/>
      <c r="L877" s="163"/>
      <c r="M877" s="130"/>
      <c r="N877" s="130"/>
      <c r="O877" s="130"/>
      <c r="P877" s="130"/>
      <c r="Q877" s="130"/>
      <c r="R877" s="130"/>
      <c r="S877" s="130"/>
      <c r="T877" s="130"/>
      <c r="U877" s="130"/>
      <c r="V877" s="130"/>
      <c r="W877" s="130"/>
      <c r="X877" s="163"/>
      <c r="Y877" s="163"/>
      <c r="Z877" s="163"/>
      <c r="AA877" s="163"/>
      <c r="AB877" s="163"/>
      <c r="AC877" s="163"/>
      <c r="AD877" s="163"/>
      <c r="AE877" s="163"/>
      <c r="AF877" s="163"/>
      <c r="AG877" s="163"/>
      <c r="AH877" s="163"/>
      <c r="AI877" s="163"/>
      <c r="AJ877" s="163"/>
      <c r="AK877" s="163"/>
      <c r="AL877" s="163"/>
      <c r="AM877" s="163"/>
    </row>
    <row r="878" ht="13.5" customHeight="1">
      <c r="A878" s="130"/>
      <c r="B878" s="130"/>
      <c r="C878" s="130"/>
      <c r="D878" s="130"/>
      <c r="E878" s="163"/>
      <c r="F878" s="163"/>
      <c r="G878" s="163"/>
      <c r="H878" s="130"/>
      <c r="I878" s="130"/>
      <c r="J878" s="130"/>
      <c r="K878" s="130"/>
      <c r="L878" s="163"/>
      <c r="M878" s="130"/>
      <c r="N878" s="130"/>
      <c r="O878" s="130"/>
      <c r="P878" s="130"/>
      <c r="Q878" s="130"/>
      <c r="R878" s="130"/>
      <c r="S878" s="130"/>
      <c r="T878" s="130"/>
      <c r="U878" s="130"/>
      <c r="V878" s="130"/>
      <c r="W878" s="130"/>
      <c r="X878" s="163"/>
      <c r="Y878" s="163"/>
      <c r="Z878" s="163"/>
      <c r="AA878" s="163"/>
      <c r="AB878" s="163"/>
      <c r="AC878" s="163"/>
      <c r="AD878" s="163"/>
      <c r="AE878" s="163"/>
      <c r="AF878" s="163"/>
      <c r="AG878" s="163"/>
      <c r="AH878" s="163"/>
      <c r="AI878" s="163"/>
      <c r="AJ878" s="163"/>
      <c r="AK878" s="163"/>
      <c r="AL878" s="163"/>
      <c r="AM878" s="163"/>
    </row>
    <row r="879" ht="13.5" customHeight="1">
      <c r="A879" s="130"/>
      <c r="B879" s="130"/>
      <c r="C879" s="130"/>
      <c r="D879" s="130"/>
      <c r="E879" s="163"/>
      <c r="F879" s="163"/>
      <c r="G879" s="163"/>
      <c r="H879" s="130"/>
      <c r="I879" s="130"/>
      <c r="J879" s="130"/>
      <c r="K879" s="130"/>
      <c r="L879" s="163"/>
      <c r="M879" s="130"/>
      <c r="N879" s="130"/>
      <c r="O879" s="130"/>
      <c r="P879" s="130"/>
      <c r="Q879" s="130"/>
      <c r="R879" s="130"/>
      <c r="S879" s="130"/>
      <c r="T879" s="130"/>
      <c r="U879" s="130"/>
      <c r="V879" s="130"/>
      <c r="W879" s="130"/>
      <c r="X879" s="163"/>
      <c r="Y879" s="163"/>
      <c r="Z879" s="163"/>
      <c r="AA879" s="163"/>
      <c r="AB879" s="163"/>
      <c r="AC879" s="163"/>
      <c r="AD879" s="163"/>
      <c r="AE879" s="163"/>
      <c r="AF879" s="163"/>
      <c r="AG879" s="163"/>
      <c r="AH879" s="163"/>
      <c r="AI879" s="163"/>
      <c r="AJ879" s="163"/>
      <c r="AK879" s="163"/>
      <c r="AL879" s="163"/>
      <c r="AM879" s="163"/>
    </row>
    <row r="880" ht="13.5" customHeight="1">
      <c r="A880" s="130"/>
      <c r="B880" s="130"/>
      <c r="C880" s="130"/>
      <c r="D880" s="130"/>
      <c r="E880" s="163"/>
      <c r="F880" s="163"/>
      <c r="G880" s="163"/>
      <c r="H880" s="130"/>
      <c r="I880" s="130"/>
      <c r="J880" s="130"/>
      <c r="K880" s="130"/>
      <c r="L880" s="163"/>
      <c r="M880" s="130"/>
      <c r="N880" s="130"/>
      <c r="O880" s="130"/>
      <c r="P880" s="130"/>
      <c r="Q880" s="130"/>
      <c r="R880" s="130"/>
      <c r="S880" s="130"/>
      <c r="T880" s="130"/>
      <c r="U880" s="130"/>
      <c r="V880" s="130"/>
      <c r="W880" s="130"/>
      <c r="X880" s="163"/>
      <c r="Y880" s="163"/>
      <c r="Z880" s="163"/>
      <c r="AA880" s="163"/>
      <c r="AB880" s="163"/>
      <c r="AC880" s="163"/>
      <c r="AD880" s="163"/>
      <c r="AE880" s="163"/>
      <c r="AF880" s="163"/>
      <c r="AG880" s="163"/>
      <c r="AH880" s="163"/>
      <c r="AI880" s="163"/>
      <c r="AJ880" s="163"/>
      <c r="AK880" s="163"/>
      <c r="AL880" s="163"/>
      <c r="AM880" s="163"/>
    </row>
    <row r="881" ht="13.5" customHeight="1">
      <c r="A881" s="130"/>
      <c r="B881" s="130"/>
      <c r="C881" s="130"/>
      <c r="D881" s="130"/>
      <c r="E881" s="163"/>
      <c r="F881" s="163"/>
      <c r="G881" s="163"/>
      <c r="H881" s="130"/>
      <c r="I881" s="130"/>
      <c r="J881" s="130"/>
      <c r="K881" s="130"/>
      <c r="L881" s="163"/>
      <c r="M881" s="130"/>
      <c r="N881" s="130"/>
      <c r="O881" s="130"/>
      <c r="P881" s="130"/>
      <c r="Q881" s="130"/>
      <c r="R881" s="130"/>
      <c r="S881" s="130"/>
      <c r="T881" s="130"/>
      <c r="U881" s="130"/>
      <c r="V881" s="130"/>
      <c r="W881" s="130"/>
      <c r="X881" s="163"/>
      <c r="Y881" s="163"/>
      <c r="Z881" s="163"/>
      <c r="AA881" s="163"/>
      <c r="AB881" s="163"/>
      <c r="AC881" s="163"/>
      <c r="AD881" s="163"/>
      <c r="AE881" s="163"/>
      <c r="AF881" s="163"/>
      <c r="AG881" s="163"/>
      <c r="AH881" s="163"/>
      <c r="AI881" s="163"/>
      <c r="AJ881" s="163"/>
      <c r="AK881" s="163"/>
      <c r="AL881" s="163"/>
      <c r="AM881" s="163"/>
    </row>
    <row r="882" ht="13.5" customHeight="1">
      <c r="A882" s="130"/>
      <c r="B882" s="130"/>
      <c r="C882" s="130"/>
      <c r="D882" s="130"/>
      <c r="E882" s="163"/>
      <c r="F882" s="163"/>
      <c r="G882" s="163"/>
      <c r="H882" s="130"/>
      <c r="I882" s="130"/>
      <c r="J882" s="130"/>
      <c r="K882" s="130"/>
      <c r="L882" s="163"/>
      <c r="M882" s="130"/>
      <c r="N882" s="130"/>
      <c r="O882" s="130"/>
      <c r="P882" s="130"/>
      <c r="Q882" s="130"/>
      <c r="R882" s="130"/>
      <c r="S882" s="130"/>
      <c r="T882" s="130"/>
      <c r="U882" s="130"/>
      <c r="V882" s="130"/>
      <c r="W882" s="130"/>
      <c r="X882" s="163"/>
      <c r="Y882" s="163"/>
      <c r="Z882" s="163"/>
      <c r="AA882" s="163"/>
      <c r="AB882" s="163"/>
      <c r="AC882" s="163"/>
      <c r="AD882" s="163"/>
      <c r="AE882" s="163"/>
      <c r="AF882" s="163"/>
      <c r="AG882" s="163"/>
      <c r="AH882" s="163"/>
      <c r="AI882" s="163"/>
      <c r="AJ882" s="163"/>
      <c r="AK882" s="163"/>
      <c r="AL882" s="163"/>
      <c r="AM882" s="163"/>
    </row>
    <row r="883" ht="13.5" customHeight="1">
      <c r="A883" s="130"/>
      <c r="B883" s="130"/>
      <c r="C883" s="130"/>
      <c r="D883" s="130"/>
      <c r="E883" s="163"/>
      <c r="F883" s="163"/>
      <c r="G883" s="163"/>
      <c r="H883" s="130"/>
      <c r="I883" s="130"/>
      <c r="J883" s="130"/>
      <c r="K883" s="130"/>
      <c r="L883" s="163"/>
      <c r="M883" s="130"/>
      <c r="N883" s="130"/>
      <c r="O883" s="130"/>
      <c r="P883" s="130"/>
      <c r="Q883" s="130"/>
      <c r="R883" s="130"/>
      <c r="S883" s="130"/>
      <c r="T883" s="130"/>
      <c r="U883" s="130"/>
      <c r="V883" s="130"/>
      <c r="W883" s="130"/>
      <c r="X883" s="163"/>
      <c r="Y883" s="163"/>
      <c r="Z883" s="163"/>
      <c r="AA883" s="163"/>
      <c r="AB883" s="163"/>
      <c r="AC883" s="163"/>
      <c r="AD883" s="163"/>
      <c r="AE883" s="163"/>
      <c r="AF883" s="163"/>
      <c r="AG883" s="163"/>
      <c r="AH883" s="163"/>
      <c r="AI883" s="163"/>
      <c r="AJ883" s="163"/>
      <c r="AK883" s="163"/>
      <c r="AL883" s="163"/>
      <c r="AM883" s="163"/>
    </row>
    <row r="884" ht="13.5" customHeight="1">
      <c r="A884" s="130"/>
      <c r="B884" s="130"/>
      <c r="C884" s="130"/>
      <c r="D884" s="130"/>
      <c r="E884" s="163"/>
      <c r="F884" s="163"/>
      <c r="G884" s="163"/>
      <c r="H884" s="130"/>
      <c r="I884" s="130"/>
      <c r="J884" s="130"/>
      <c r="K884" s="130"/>
      <c r="L884" s="163"/>
      <c r="M884" s="130"/>
      <c r="N884" s="130"/>
      <c r="O884" s="130"/>
      <c r="P884" s="130"/>
      <c r="Q884" s="130"/>
      <c r="R884" s="130"/>
      <c r="S884" s="130"/>
      <c r="T884" s="130"/>
      <c r="U884" s="130"/>
      <c r="V884" s="130"/>
      <c r="W884" s="130"/>
      <c r="X884" s="163"/>
      <c r="Y884" s="163"/>
      <c r="Z884" s="163"/>
      <c r="AA884" s="163"/>
      <c r="AB884" s="163"/>
      <c r="AC884" s="163"/>
      <c r="AD884" s="163"/>
      <c r="AE884" s="163"/>
      <c r="AF884" s="163"/>
      <c r="AG884" s="163"/>
      <c r="AH884" s="163"/>
      <c r="AI884" s="163"/>
      <c r="AJ884" s="163"/>
      <c r="AK884" s="163"/>
      <c r="AL884" s="163"/>
      <c r="AM884" s="163"/>
    </row>
    <row r="885" ht="13.5" customHeight="1">
      <c r="A885" s="130"/>
      <c r="B885" s="130"/>
      <c r="C885" s="130"/>
      <c r="D885" s="130"/>
      <c r="E885" s="163"/>
      <c r="F885" s="163"/>
      <c r="G885" s="163"/>
      <c r="H885" s="130"/>
      <c r="I885" s="130"/>
      <c r="J885" s="130"/>
      <c r="K885" s="130"/>
      <c r="L885" s="163"/>
      <c r="M885" s="130"/>
      <c r="N885" s="130"/>
      <c r="O885" s="130"/>
      <c r="P885" s="130"/>
      <c r="Q885" s="130"/>
      <c r="R885" s="130"/>
      <c r="S885" s="130"/>
      <c r="T885" s="130"/>
      <c r="U885" s="130"/>
      <c r="V885" s="130"/>
      <c r="W885" s="130"/>
      <c r="X885" s="163"/>
      <c r="Y885" s="163"/>
      <c r="Z885" s="163"/>
      <c r="AA885" s="163"/>
      <c r="AB885" s="163"/>
      <c r="AC885" s="163"/>
      <c r="AD885" s="163"/>
      <c r="AE885" s="163"/>
      <c r="AF885" s="163"/>
      <c r="AG885" s="163"/>
      <c r="AH885" s="163"/>
      <c r="AI885" s="163"/>
      <c r="AJ885" s="163"/>
      <c r="AK885" s="163"/>
      <c r="AL885" s="163"/>
      <c r="AM885" s="163"/>
    </row>
    <row r="886" ht="13.5" customHeight="1">
      <c r="A886" s="130"/>
      <c r="B886" s="130"/>
      <c r="C886" s="130"/>
      <c r="D886" s="130"/>
      <c r="E886" s="163"/>
      <c r="F886" s="163"/>
      <c r="G886" s="163"/>
      <c r="H886" s="130"/>
      <c r="I886" s="130"/>
      <c r="J886" s="130"/>
      <c r="K886" s="130"/>
      <c r="L886" s="163"/>
      <c r="M886" s="130"/>
      <c r="N886" s="130"/>
      <c r="O886" s="130"/>
      <c r="P886" s="130"/>
      <c r="Q886" s="130"/>
      <c r="R886" s="130"/>
      <c r="S886" s="130"/>
      <c r="T886" s="130"/>
      <c r="U886" s="130"/>
      <c r="V886" s="130"/>
      <c r="W886" s="130"/>
      <c r="X886" s="163"/>
      <c r="Y886" s="163"/>
      <c r="Z886" s="163"/>
      <c r="AA886" s="163"/>
      <c r="AB886" s="163"/>
      <c r="AC886" s="163"/>
      <c r="AD886" s="163"/>
      <c r="AE886" s="163"/>
      <c r="AF886" s="163"/>
      <c r="AG886" s="163"/>
      <c r="AH886" s="163"/>
      <c r="AI886" s="163"/>
      <c r="AJ886" s="163"/>
      <c r="AK886" s="163"/>
      <c r="AL886" s="163"/>
      <c r="AM886" s="163"/>
    </row>
    <row r="887" ht="13.5" customHeight="1">
      <c r="A887" s="130"/>
      <c r="B887" s="130"/>
      <c r="C887" s="130"/>
      <c r="D887" s="130"/>
      <c r="E887" s="163"/>
      <c r="F887" s="163"/>
      <c r="G887" s="163"/>
      <c r="H887" s="130"/>
      <c r="I887" s="130"/>
      <c r="J887" s="130"/>
      <c r="K887" s="130"/>
      <c r="L887" s="163"/>
      <c r="M887" s="130"/>
      <c r="N887" s="130"/>
      <c r="O887" s="130"/>
      <c r="P887" s="130"/>
      <c r="Q887" s="130"/>
      <c r="R887" s="130"/>
      <c r="S887" s="130"/>
      <c r="T887" s="130"/>
      <c r="U887" s="130"/>
      <c r="V887" s="130"/>
      <c r="W887" s="130"/>
      <c r="X887" s="163"/>
      <c r="Y887" s="163"/>
      <c r="Z887" s="163"/>
      <c r="AA887" s="163"/>
      <c r="AB887" s="163"/>
      <c r="AC887" s="163"/>
      <c r="AD887" s="163"/>
      <c r="AE887" s="163"/>
      <c r="AF887" s="163"/>
      <c r="AG887" s="163"/>
      <c r="AH887" s="163"/>
      <c r="AI887" s="163"/>
      <c r="AJ887" s="163"/>
      <c r="AK887" s="163"/>
      <c r="AL887" s="163"/>
      <c r="AM887" s="163"/>
    </row>
    <row r="888" ht="13.5" customHeight="1">
      <c r="A888" s="130"/>
      <c r="B888" s="130"/>
      <c r="C888" s="130"/>
      <c r="D888" s="130"/>
      <c r="E888" s="163"/>
      <c r="F888" s="163"/>
      <c r="G888" s="163"/>
      <c r="H888" s="130"/>
      <c r="I888" s="130"/>
      <c r="J888" s="130"/>
      <c r="K888" s="130"/>
      <c r="L888" s="163"/>
      <c r="M888" s="130"/>
      <c r="N888" s="130"/>
      <c r="O888" s="130"/>
      <c r="P888" s="130"/>
      <c r="Q888" s="130"/>
      <c r="R888" s="130"/>
      <c r="S888" s="130"/>
      <c r="T888" s="130"/>
      <c r="U888" s="130"/>
      <c r="V888" s="130"/>
      <c r="W888" s="130"/>
      <c r="X888" s="163"/>
      <c r="Y888" s="163"/>
      <c r="Z888" s="163"/>
      <c r="AA888" s="163"/>
      <c r="AB888" s="163"/>
      <c r="AC888" s="163"/>
      <c r="AD888" s="163"/>
      <c r="AE888" s="163"/>
      <c r="AF888" s="163"/>
      <c r="AG888" s="163"/>
      <c r="AH888" s="163"/>
      <c r="AI888" s="163"/>
      <c r="AJ888" s="163"/>
      <c r="AK888" s="163"/>
      <c r="AL888" s="163"/>
      <c r="AM888" s="163"/>
    </row>
    <row r="889" ht="13.5" customHeight="1">
      <c r="A889" s="130"/>
      <c r="B889" s="130"/>
      <c r="C889" s="130"/>
      <c r="D889" s="130"/>
      <c r="E889" s="163"/>
      <c r="F889" s="163"/>
      <c r="G889" s="163"/>
      <c r="H889" s="130"/>
      <c r="I889" s="130"/>
      <c r="J889" s="130"/>
      <c r="K889" s="130"/>
      <c r="L889" s="163"/>
      <c r="M889" s="130"/>
      <c r="N889" s="130"/>
      <c r="O889" s="130"/>
      <c r="P889" s="130"/>
      <c r="Q889" s="130"/>
      <c r="R889" s="130"/>
      <c r="S889" s="130"/>
      <c r="T889" s="130"/>
      <c r="U889" s="130"/>
      <c r="V889" s="130"/>
      <c r="W889" s="130"/>
      <c r="X889" s="163"/>
      <c r="Y889" s="163"/>
      <c r="Z889" s="163"/>
      <c r="AA889" s="163"/>
      <c r="AB889" s="163"/>
      <c r="AC889" s="163"/>
      <c r="AD889" s="163"/>
      <c r="AE889" s="163"/>
      <c r="AF889" s="163"/>
      <c r="AG889" s="163"/>
      <c r="AH889" s="163"/>
      <c r="AI889" s="163"/>
      <c r="AJ889" s="163"/>
      <c r="AK889" s="163"/>
      <c r="AL889" s="163"/>
      <c r="AM889" s="163"/>
    </row>
    <row r="890" ht="13.5" customHeight="1">
      <c r="A890" s="130"/>
      <c r="B890" s="130"/>
      <c r="C890" s="130"/>
      <c r="D890" s="130"/>
      <c r="E890" s="163"/>
      <c r="F890" s="163"/>
      <c r="G890" s="163"/>
      <c r="H890" s="130"/>
      <c r="I890" s="130"/>
      <c r="J890" s="130"/>
      <c r="K890" s="130"/>
      <c r="L890" s="163"/>
      <c r="M890" s="130"/>
      <c r="N890" s="130"/>
      <c r="O890" s="130"/>
      <c r="P890" s="130"/>
      <c r="Q890" s="130"/>
      <c r="R890" s="130"/>
      <c r="S890" s="130"/>
      <c r="T890" s="130"/>
      <c r="U890" s="130"/>
      <c r="V890" s="130"/>
      <c r="W890" s="130"/>
      <c r="X890" s="163"/>
      <c r="Y890" s="163"/>
      <c r="Z890" s="163"/>
      <c r="AA890" s="163"/>
      <c r="AB890" s="163"/>
      <c r="AC890" s="163"/>
      <c r="AD890" s="163"/>
      <c r="AE890" s="163"/>
      <c r="AF890" s="163"/>
      <c r="AG890" s="163"/>
      <c r="AH890" s="163"/>
      <c r="AI890" s="163"/>
      <c r="AJ890" s="163"/>
      <c r="AK890" s="163"/>
      <c r="AL890" s="163"/>
      <c r="AM890" s="163"/>
    </row>
    <row r="891" ht="13.5" customHeight="1">
      <c r="A891" s="130"/>
      <c r="B891" s="130"/>
      <c r="C891" s="130"/>
      <c r="D891" s="130"/>
      <c r="E891" s="163"/>
      <c r="F891" s="163"/>
      <c r="G891" s="163"/>
      <c r="H891" s="130"/>
      <c r="I891" s="130"/>
      <c r="J891" s="130"/>
      <c r="K891" s="130"/>
      <c r="L891" s="163"/>
      <c r="M891" s="130"/>
      <c r="N891" s="130"/>
      <c r="O891" s="130"/>
      <c r="P891" s="130"/>
      <c r="Q891" s="130"/>
      <c r="R891" s="130"/>
      <c r="S891" s="130"/>
      <c r="T891" s="130"/>
      <c r="U891" s="130"/>
      <c r="V891" s="130"/>
      <c r="W891" s="130"/>
      <c r="X891" s="163"/>
      <c r="Y891" s="163"/>
      <c r="Z891" s="163"/>
      <c r="AA891" s="163"/>
      <c r="AB891" s="163"/>
      <c r="AC891" s="163"/>
      <c r="AD891" s="163"/>
      <c r="AE891" s="163"/>
      <c r="AF891" s="163"/>
      <c r="AG891" s="163"/>
      <c r="AH891" s="163"/>
      <c r="AI891" s="163"/>
      <c r="AJ891" s="163"/>
      <c r="AK891" s="163"/>
      <c r="AL891" s="163"/>
      <c r="AM891" s="163"/>
    </row>
    <row r="892" ht="13.5" customHeight="1">
      <c r="A892" s="130"/>
      <c r="B892" s="130"/>
      <c r="C892" s="130"/>
      <c r="D892" s="130"/>
      <c r="E892" s="163"/>
      <c r="F892" s="163"/>
      <c r="G892" s="163"/>
      <c r="H892" s="130"/>
      <c r="I892" s="130"/>
      <c r="J892" s="130"/>
      <c r="K892" s="130"/>
      <c r="L892" s="163"/>
      <c r="M892" s="130"/>
      <c r="N892" s="130"/>
      <c r="O892" s="130"/>
      <c r="P892" s="130"/>
      <c r="Q892" s="130"/>
      <c r="R892" s="130"/>
      <c r="S892" s="130"/>
      <c r="T892" s="130"/>
      <c r="U892" s="130"/>
      <c r="V892" s="130"/>
      <c r="W892" s="130"/>
      <c r="X892" s="163"/>
      <c r="Y892" s="163"/>
      <c r="Z892" s="163"/>
      <c r="AA892" s="163"/>
      <c r="AB892" s="163"/>
      <c r="AC892" s="163"/>
      <c r="AD892" s="163"/>
      <c r="AE892" s="163"/>
      <c r="AF892" s="163"/>
      <c r="AG892" s="163"/>
      <c r="AH892" s="163"/>
      <c r="AI892" s="163"/>
      <c r="AJ892" s="163"/>
      <c r="AK892" s="163"/>
      <c r="AL892" s="163"/>
      <c r="AM892" s="163"/>
    </row>
    <row r="893" ht="13.5" customHeight="1">
      <c r="A893" s="130"/>
      <c r="B893" s="130"/>
      <c r="C893" s="130"/>
      <c r="D893" s="130"/>
      <c r="E893" s="163"/>
      <c r="F893" s="163"/>
      <c r="G893" s="163"/>
      <c r="H893" s="130"/>
      <c r="I893" s="130"/>
      <c r="J893" s="130"/>
      <c r="K893" s="130"/>
      <c r="L893" s="163"/>
      <c r="M893" s="130"/>
      <c r="N893" s="130"/>
      <c r="O893" s="130"/>
      <c r="P893" s="130"/>
      <c r="Q893" s="130"/>
      <c r="R893" s="130"/>
      <c r="S893" s="130"/>
      <c r="T893" s="130"/>
      <c r="U893" s="130"/>
      <c r="V893" s="130"/>
      <c r="W893" s="130"/>
      <c r="X893" s="163"/>
      <c r="Y893" s="163"/>
      <c r="Z893" s="163"/>
      <c r="AA893" s="163"/>
      <c r="AB893" s="163"/>
      <c r="AC893" s="163"/>
      <c r="AD893" s="163"/>
      <c r="AE893" s="163"/>
      <c r="AF893" s="163"/>
      <c r="AG893" s="163"/>
      <c r="AH893" s="163"/>
      <c r="AI893" s="163"/>
      <c r="AJ893" s="163"/>
      <c r="AK893" s="163"/>
      <c r="AL893" s="163"/>
      <c r="AM893" s="163"/>
    </row>
    <row r="894" ht="13.5" customHeight="1">
      <c r="A894" s="130"/>
      <c r="B894" s="130"/>
      <c r="C894" s="130"/>
      <c r="D894" s="130"/>
      <c r="E894" s="163"/>
      <c r="F894" s="163"/>
      <c r="G894" s="163"/>
      <c r="H894" s="130"/>
      <c r="I894" s="130"/>
      <c r="J894" s="130"/>
      <c r="K894" s="130"/>
      <c r="L894" s="163"/>
      <c r="M894" s="130"/>
      <c r="N894" s="130"/>
      <c r="O894" s="130"/>
      <c r="P894" s="130"/>
      <c r="Q894" s="130"/>
      <c r="R894" s="130"/>
      <c r="S894" s="130"/>
      <c r="T894" s="130"/>
      <c r="U894" s="130"/>
      <c r="V894" s="130"/>
      <c r="W894" s="130"/>
      <c r="X894" s="163"/>
      <c r="Y894" s="163"/>
      <c r="Z894" s="163"/>
      <c r="AA894" s="163"/>
      <c r="AB894" s="163"/>
      <c r="AC894" s="163"/>
      <c r="AD894" s="163"/>
      <c r="AE894" s="163"/>
      <c r="AF894" s="163"/>
      <c r="AG894" s="163"/>
      <c r="AH894" s="163"/>
      <c r="AI894" s="163"/>
      <c r="AJ894" s="163"/>
      <c r="AK894" s="163"/>
      <c r="AL894" s="163"/>
      <c r="AM894" s="163"/>
    </row>
    <row r="895" ht="13.5" customHeight="1">
      <c r="A895" s="130"/>
      <c r="B895" s="130"/>
      <c r="C895" s="130"/>
      <c r="D895" s="130"/>
      <c r="E895" s="163"/>
      <c r="F895" s="163"/>
      <c r="G895" s="163"/>
      <c r="H895" s="130"/>
      <c r="I895" s="130"/>
      <c r="J895" s="130"/>
      <c r="K895" s="130"/>
      <c r="L895" s="163"/>
      <c r="M895" s="130"/>
      <c r="N895" s="130"/>
      <c r="O895" s="130"/>
      <c r="P895" s="130"/>
      <c r="Q895" s="130"/>
      <c r="R895" s="130"/>
      <c r="S895" s="130"/>
      <c r="T895" s="130"/>
      <c r="U895" s="130"/>
      <c r="V895" s="130"/>
      <c r="W895" s="130"/>
      <c r="X895" s="163"/>
      <c r="Y895" s="163"/>
      <c r="Z895" s="163"/>
      <c r="AA895" s="163"/>
      <c r="AB895" s="163"/>
      <c r="AC895" s="163"/>
      <c r="AD895" s="163"/>
      <c r="AE895" s="163"/>
      <c r="AF895" s="163"/>
      <c r="AG895" s="163"/>
      <c r="AH895" s="163"/>
      <c r="AI895" s="163"/>
      <c r="AJ895" s="163"/>
      <c r="AK895" s="163"/>
      <c r="AL895" s="163"/>
      <c r="AM895" s="163"/>
    </row>
    <row r="896" ht="13.5" customHeight="1">
      <c r="A896" s="130"/>
      <c r="B896" s="130"/>
      <c r="C896" s="130"/>
      <c r="D896" s="130"/>
      <c r="E896" s="163"/>
      <c r="F896" s="163"/>
      <c r="G896" s="163"/>
      <c r="H896" s="130"/>
      <c r="I896" s="130"/>
      <c r="J896" s="130"/>
      <c r="K896" s="130"/>
      <c r="L896" s="163"/>
      <c r="M896" s="130"/>
      <c r="N896" s="130"/>
      <c r="O896" s="130"/>
      <c r="P896" s="130"/>
      <c r="Q896" s="130"/>
      <c r="R896" s="130"/>
      <c r="S896" s="130"/>
      <c r="T896" s="130"/>
      <c r="U896" s="130"/>
      <c r="V896" s="130"/>
      <c r="W896" s="130"/>
      <c r="X896" s="163"/>
      <c r="Y896" s="163"/>
      <c r="Z896" s="163"/>
      <c r="AA896" s="163"/>
      <c r="AB896" s="163"/>
      <c r="AC896" s="163"/>
      <c r="AD896" s="163"/>
      <c r="AE896" s="163"/>
      <c r="AF896" s="163"/>
      <c r="AG896" s="163"/>
      <c r="AH896" s="163"/>
      <c r="AI896" s="163"/>
      <c r="AJ896" s="163"/>
      <c r="AK896" s="163"/>
      <c r="AL896" s="163"/>
      <c r="AM896" s="163"/>
    </row>
    <row r="897" ht="13.5" customHeight="1">
      <c r="A897" s="130"/>
      <c r="B897" s="130"/>
      <c r="C897" s="130"/>
      <c r="D897" s="130"/>
      <c r="E897" s="163"/>
      <c r="F897" s="163"/>
      <c r="G897" s="163"/>
      <c r="H897" s="130"/>
      <c r="I897" s="130"/>
      <c r="J897" s="130"/>
      <c r="K897" s="130"/>
      <c r="L897" s="163"/>
      <c r="M897" s="130"/>
      <c r="N897" s="130"/>
      <c r="O897" s="130"/>
      <c r="P897" s="130"/>
      <c r="Q897" s="130"/>
      <c r="R897" s="130"/>
      <c r="S897" s="130"/>
      <c r="T897" s="130"/>
      <c r="U897" s="130"/>
      <c r="V897" s="130"/>
      <c r="W897" s="130"/>
      <c r="X897" s="163"/>
      <c r="Y897" s="163"/>
      <c r="Z897" s="163"/>
      <c r="AA897" s="163"/>
      <c r="AB897" s="163"/>
      <c r="AC897" s="163"/>
      <c r="AD897" s="163"/>
      <c r="AE897" s="163"/>
      <c r="AF897" s="163"/>
      <c r="AG897" s="163"/>
      <c r="AH897" s="163"/>
      <c r="AI897" s="163"/>
      <c r="AJ897" s="163"/>
      <c r="AK897" s="163"/>
      <c r="AL897" s="163"/>
      <c r="AM897" s="163"/>
    </row>
    <row r="898" ht="13.5" customHeight="1">
      <c r="A898" s="130"/>
      <c r="B898" s="130"/>
      <c r="C898" s="130"/>
      <c r="D898" s="130"/>
      <c r="E898" s="163"/>
      <c r="F898" s="163"/>
      <c r="G898" s="163"/>
      <c r="H898" s="130"/>
      <c r="I898" s="130"/>
      <c r="J898" s="130"/>
      <c r="K898" s="130"/>
      <c r="L898" s="163"/>
      <c r="M898" s="130"/>
      <c r="N898" s="130"/>
      <c r="O898" s="130"/>
      <c r="P898" s="130"/>
      <c r="Q898" s="130"/>
      <c r="R898" s="130"/>
      <c r="S898" s="130"/>
      <c r="T898" s="130"/>
      <c r="U898" s="130"/>
      <c r="V898" s="130"/>
      <c r="W898" s="130"/>
      <c r="X898" s="163"/>
      <c r="Y898" s="163"/>
      <c r="Z898" s="163"/>
      <c r="AA898" s="163"/>
      <c r="AB898" s="163"/>
      <c r="AC898" s="163"/>
      <c r="AD898" s="163"/>
      <c r="AE898" s="163"/>
      <c r="AF898" s="163"/>
      <c r="AG898" s="163"/>
      <c r="AH898" s="163"/>
      <c r="AI898" s="163"/>
      <c r="AJ898" s="163"/>
      <c r="AK898" s="163"/>
      <c r="AL898" s="163"/>
      <c r="AM898" s="163"/>
    </row>
    <row r="899" ht="13.5" customHeight="1">
      <c r="A899" s="130"/>
      <c r="B899" s="130"/>
      <c r="C899" s="130"/>
      <c r="D899" s="130"/>
      <c r="E899" s="163"/>
      <c r="F899" s="163"/>
      <c r="G899" s="163"/>
      <c r="H899" s="130"/>
      <c r="I899" s="130"/>
      <c r="J899" s="130"/>
      <c r="K899" s="130"/>
      <c r="L899" s="163"/>
      <c r="M899" s="130"/>
      <c r="N899" s="130"/>
      <c r="O899" s="130"/>
      <c r="P899" s="130"/>
      <c r="Q899" s="130"/>
      <c r="R899" s="130"/>
      <c r="S899" s="130"/>
      <c r="T899" s="130"/>
      <c r="U899" s="130"/>
      <c r="V899" s="130"/>
      <c r="W899" s="130"/>
      <c r="X899" s="163"/>
      <c r="Y899" s="163"/>
      <c r="Z899" s="163"/>
      <c r="AA899" s="163"/>
      <c r="AB899" s="163"/>
      <c r="AC899" s="163"/>
      <c r="AD899" s="163"/>
      <c r="AE899" s="163"/>
      <c r="AF899" s="163"/>
      <c r="AG899" s="163"/>
      <c r="AH899" s="163"/>
      <c r="AI899" s="163"/>
      <c r="AJ899" s="163"/>
      <c r="AK899" s="163"/>
      <c r="AL899" s="163"/>
      <c r="AM899" s="163"/>
    </row>
    <row r="900" ht="13.5" customHeight="1">
      <c r="A900" s="130"/>
      <c r="B900" s="130"/>
      <c r="C900" s="130"/>
      <c r="D900" s="130"/>
      <c r="E900" s="163"/>
      <c r="F900" s="163"/>
      <c r="G900" s="163"/>
      <c r="H900" s="130"/>
      <c r="I900" s="130"/>
      <c r="J900" s="130"/>
      <c r="K900" s="130"/>
      <c r="L900" s="163"/>
      <c r="M900" s="130"/>
      <c r="N900" s="130"/>
      <c r="O900" s="130"/>
      <c r="P900" s="130"/>
      <c r="Q900" s="130"/>
      <c r="R900" s="130"/>
      <c r="S900" s="130"/>
      <c r="T900" s="130"/>
      <c r="U900" s="130"/>
      <c r="V900" s="130"/>
      <c r="W900" s="130"/>
      <c r="X900" s="163"/>
      <c r="Y900" s="163"/>
      <c r="Z900" s="163"/>
      <c r="AA900" s="163"/>
      <c r="AB900" s="163"/>
      <c r="AC900" s="163"/>
      <c r="AD900" s="163"/>
      <c r="AE900" s="163"/>
      <c r="AF900" s="163"/>
      <c r="AG900" s="163"/>
      <c r="AH900" s="163"/>
      <c r="AI900" s="163"/>
      <c r="AJ900" s="163"/>
      <c r="AK900" s="163"/>
      <c r="AL900" s="163"/>
      <c r="AM900" s="163"/>
    </row>
    <row r="901" ht="13.5" customHeight="1">
      <c r="A901" s="130"/>
      <c r="B901" s="130"/>
      <c r="C901" s="130"/>
      <c r="D901" s="130"/>
      <c r="E901" s="163"/>
      <c r="F901" s="163"/>
      <c r="G901" s="163"/>
      <c r="H901" s="130"/>
      <c r="I901" s="130"/>
      <c r="J901" s="130"/>
      <c r="K901" s="130"/>
      <c r="L901" s="163"/>
      <c r="M901" s="130"/>
      <c r="N901" s="130"/>
      <c r="O901" s="130"/>
      <c r="P901" s="130"/>
      <c r="Q901" s="130"/>
      <c r="R901" s="130"/>
      <c r="S901" s="130"/>
      <c r="T901" s="130"/>
      <c r="U901" s="130"/>
      <c r="V901" s="130"/>
      <c r="W901" s="130"/>
      <c r="X901" s="163"/>
      <c r="Y901" s="163"/>
      <c r="Z901" s="163"/>
      <c r="AA901" s="163"/>
      <c r="AB901" s="163"/>
      <c r="AC901" s="163"/>
      <c r="AD901" s="163"/>
      <c r="AE901" s="163"/>
      <c r="AF901" s="163"/>
      <c r="AG901" s="163"/>
      <c r="AH901" s="163"/>
      <c r="AI901" s="163"/>
      <c r="AJ901" s="163"/>
      <c r="AK901" s="163"/>
      <c r="AL901" s="163"/>
      <c r="AM901" s="163"/>
    </row>
    <row r="902" ht="13.5" customHeight="1">
      <c r="A902" s="130"/>
      <c r="B902" s="130"/>
      <c r="C902" s="130"/>
      <c r="D902" s="130"/>
      <c r="E902" s="163"/>
      <c r="F902" s="163"/>
      <c r="G902" s="163"/>
      <c r="H902" s="130"/>
      <c r="I902" s="130"/>
      <c r="J902" s="130"/>
      <c r="K902" s="130"/>
      <c r="L902" s="163"/>
      <c r="M902" s="130"/>
      <c r="N902" s="130"/>
      <c r="O902" s="130"/>
      <c r="P902" s="130"/>
      <c r="Q902" s="130"/>
      <c r="R902" s="130"/>
      <c r="S902" s="130"/>
      <c r="T902" s="130"/>
      <c r="U902" s="130"/>
      <c r="V902" s="130"/>
      <c r="W902" s="130"/>
      <c r="X902" s="163"/>
      <c r="Y902" s="163"/>
      <c r="Z902" s="163"/>
      <c r="AA902" s="163"/>
      <c r="AB902" s="163"/>
      <c r="AC902" s="163"/>
      <c r="AD902" s="163"/>
      <c r="AE902" s="163"/>
      <c r="AF902" s="163"/>
      <c r="AG902" s="163"/>
      <c r="AH902" s="163"/>
      <c r="AI902" s="163"/>
      <c r="AJ902" s="163"/>
      <c r="AK902" s="163"/>
      <c r="AL902" s="163"/>
      <c r="AM902" s="163"/>
    </row>
    <row r="903" ht="13.5" customHeight="1">
      <c r="A903" s="130"/>
      <c r="B903" s="130"/>
      <c r="C903" s="130"/>
      <c r="D903" s="130"/>
      <c r="E903" s="163"/>
      <c r="F903" s="163"/>
      <c r="G903" s="163"/>
      <c r="H903" s="130"/>
      <c r="I903" s="130"/>
      <c r="J903" s="130"/>
      <c r="K903" s="130"/>
      <c r="L903" s="163"/>
      <c r="M903" s="130"/>
      <c r="N903" s="130"/>
      <c r="O903" s="130"/>
      <c r="P903" s="130"/>
      <c r="Q903" s="130"/>
      <c r="R903" s="130"/>
      <c r="S903" s="130"/>
      <c r="T903" s="130"/>
      <c r="U903" s="130"/>
      <c r="V903" s="130"/>
      <c r="W903" s="130"/>
      <c r="X903" s="163"/>
      <c r="Y903" s="163"/>
      <c r="Z903" s="163"/>
      <c r="AA903" s="163"/>
      <c r="AB903" s="163"/>
      <c r="AC903" s="163"/>
      <c r="AD903" s="163"/>
      <c r="AE903" s="163"/>
      <c r="AF903" s="163"/>
      <c r="AG903" s="163"/>
      <c r="AH903" s="163"/>
      <c r="AI903" s="163"/>
      <c r="AJ903" s="163"/>
      <c r="AK903" s="163"/>
      <c r="AL903" s="163"/>
      <c r="AM903" s="163"/>
    </row>
    <row r="904" ht="13.5" customHeight="1">
      <c r="A904" s="130"/>
      <c r="B904" s="130"/>
      <c r="C904" s="130"/>
      <c r="D904" s="130"/>
      <c r="E904" s="163"/>
      <c r="F904" s="163"/>
      <c r="G904" s="163"/>
      <c r="H904" s="130"/>
      <c r="I904" s="130"/>
      <c r="J904" s="130"/>
      <c r="K904" s="130"/>
      <c r="L904" s="163"/>
      <c r="M904" s="130"/>
      <c r="N904" s="130"/>
      <c r="O904" s="130"/>
      <c r="P904" s="130"/>
      <c r="Q904" s="130"/>
      <c r="R904" s="130"/>
      <c r="S904" s="130"/>
      <c r="T904" s="130"/>
      <c r="U904" s="130"/>
      <c r="V904" s="130"/>
      <c r="W904" s="130"/>
      <c r="X904" s="163"/>
      <c r="Y904" s="163"/>
      <c r="Z904" s="163"/>
      <c r="AA904" s="163"/>
      <c r="AB904" s="163"/>
      <c r="AC904" s="163"/>
      <c r="AD904" s="163"/>
      <c r="AE904" s="163"/>
      <c r="AF904" s="163"/>
      <c r="AG904" s="163"/>
      <c r="AH904" s="163"/>
      <c r="AI904" s="163"/>
      <c r="AJ904" s="163"/>
      <c r="AK904" s="163"/>
      <c r="AL904" s="163"/>
      <c r="AM904" s="163"/>
    </row>
    <row r="905" ht="13.5" customHeight="1">
      <c r="A905" s="130"/>
      <c r="B905" s="130"/>
      <c r="C905" s="130"/>
      <c r="D905" s="130"/>
      <c r="E905" s="163"/>
      <c r="F905" s="163"/>
      <c r="G905" s="163"/>
      <c r="H905" s="130"/>
      <c r="I905" s="130"/>
      <c r="J905" s="130"/>
      <c r="K905" s="130"/>
      <c r="L905" s="163"/>
      <c r="M905" s="130"/>
      <c r="N905" s="130"/>
      <c r="O905" s="130"/>
      <c r="P905" s="130"/>
      <c r="Q905" s="130"/>
      <c r="R905" s="130"/>
      <c r="S905" s="130"/>
      <c r="T905" s="130"/>
      <c r="U905" s="130"/>
      <c r="V905" s="130"/>
      <c r="W905" s="130"/>
      <c r="X905" s="163"/>
      <c r="Y905" s="163"/>
      <c r="Z905" s="163"/>
      <c r="AA905" s="163"/>
      <c r="AB905" s="163"/>
      <c r="AC905" s="163"/>
      <c r="AD905" s="163"/>
      <c r="AE905" s="163"/>
      <c r="AF905" s="163"/>
      <c r="AG905" s="163"/>
      <c r="AH905" s="163"/>
      <c r="AI905" s="163"/>
      <c r="AJ905" s="163"/>
      <c r="AK905" s="163"/>
      <c r="AL905" s="163"/>
      <c r="AM905" s="163"/>
    </row>
    <row r="906" ht="13.5" customHeight="1">
      <c r="A906" s="130"/>
      <c r="B906" s="130"/>
      <c r="C906" s="130"/>
      <c r="D906" s="130"/>
      <c r="E906" s="163"/>
      <c r="F906" s="163"/>
      <c r="G906" s="163"/>
      <c r="H906" s="130"/>
      <c r="I906" s="130"/>
      <c r="J906" s="130"/>
      <c r="K906" s="130"/>
      <c r="L906" s="163"/>
      <c r="M906" s="130"/>
      <c r="N906" s="130"/>
      <c r="O906" s="130"/>
      <c r="P906" s="130"/>
      <c r="Q906" s="130"/>
      <c r="R906" s="130"/>
      <c r="S906" s="130"/>
      <c r="T906" s="130"/>
      <c r="U906" s="130"/>
      <c r="V906" s="130"/>
      <c r="W906" s="130"/>
      <c r="X906" s="163"/>
      <c r="Y906" s="163"/>
      <c r="Z906" s="163"/>
      <c r="AA906" s="163"/>
      <c r="AB906" s="163"/>
      <c r="AC906" s="163"/>
      <c r="AD906" s="163"/>
      <c r="AE906" s="163"/>
      <c r="AF906" s="163"/>
      <c r="AG906" s="163"/>
      <c r="AH906" s="163"/>
      <c r="AI906" s="163"/>
      <c r="AJ906" s="163"/>
      <c r="AK906" s="163"/>
      <c r="AL906" s="163"/>
      <c r="AM906" s="163"/>
    </row>
    <row r="907" ht="13.5" customHeight="1">
      <c r="A907" s="130"/>
      <c r="B907" s="130"/>
      <c r="C907" s="130"/>
      <c r="D907" s="130"/>
      <c r="E907" s="163"/>
      <c r="F907" s="163"/>
      <c r="G907" s="163"/>
      <c r="H907" s="130"/>
      <c r="I907" s="130"/>
      <c r="J907" s="130"/>
      <c r="K907" s="130"/>
      <c r="L907" s="163"/>
      <c r="M907" s="130"/>
      <c r="N907" s="130"/>
      <c r="O907" s="130"/>
      <c r="P907" s="130"/>
      <c r="Q907" s="130"/>
      <c r="R907" s="130"/>
      <c r="S907" s="130"/>
      <c r="T907" s="130"/>
      <c r="U907" s="130"/>
      <c r="V907" s="130"/>
      <c r="W907" s="130"/>
      <c r="X907" s="163"/>
      <c r="Y907" s="163"/>
      <c r="Z907" s="163"/>
      <c r="AA907" s="163"/>
      <c r="AB907" s="163"/>
      <c r="AC907" s="163"/>
      <c r="AD907" s="163"/>
      <c r="AE907" s="163"/>
      <c r="AF907" s="163"/>
      <c r="AG907" s="163"/>
      <c r="AH907" s="163"/>
      <c r="AI907" s="163"/>
      <c r="AJ907" s="163"/>
      <c r="AK907" s="163"/>
      <c r="AL907" s="163"/>
      <c r="AM907" s="163"/>
    </row>
    <row r="908" ht="13.5" customHeight="1">
      <c r="A908" s="130"/>
      <c r="B908" s="130"/>
      <c r="C908" s="130"/>
      <c r="D908" s="130"/>
      <c r="E908" s="163"/>
      <c r="F908" s="163"/>
      <c r="G908" s="163"/>
      <c r="H908" s="130"/>
      <c r="I908" s="130"/>
      <c r="J908" s="130"/>
      <c r="K908" s="130"/>
      <c r="L908" s="163"/>
      <c r="M908" s="130"/>
      <c r="N908" s="130"/>
      <c r="O908" s="130"/>
      <c r="P908" s="130"/>
      <c r="Q908" s="130"/>
      <c r="R908" s="130"/>
      <c r="S908" s="130"/>
      <c r="T908" s="130"/>
      <c r="U908" s="130"/>
      <c r="V908" s="130"/>
      <c r="W908" s="130"/>
      <c r="X908" s="163"/>
      <c r="Y908" s="163"/>
      <c r="Z908" s="163"/>
      <c r="AA908" s="163"/>
      <c r="AB908" s="163"/>
      <c r="AC908" s="163"/>
      <c r="AD908" s="163"/>
      <c r="AE908" s="163"/>
      <c r="AF908" s="163"/>
      <c r="AG908" s="163"/>
      <c r="AH908" s="163"/>
      <c r="AI908" s="163"/>
      <c r="AJ908" s="163"/>
      <c r="AK908" s="163"/>
      <c r="AL908" s="163"/>
      <c r="AM908" s="163"/>
    </row>
    <row r="909" ht="13.5" customHeight="1">
      <c r="A909" s="130"/>
      <c r="B909" s="130"/>
      <c r="C909" s="130"/>
      <c r="D909" s="130"/>
      <c r="E909" s="163"/>
      <c r="F909" s="163"/>
      <c r="G909" s="163"/>
      <c r="H909" s="130"/>
      <c r="I909" s="130"/>
      <c r="J909" s="130"/>
      <c r="K909" s="130"/>
      <c r="L909" s="163"/>
      <c r="M909" s="130"/>
      <c r="N909" s="130"/>
      <c r="O909" s="130"/>
      <c r="P909" s="130"/>
      <c r="Q909" s="130"/>
      <c r="R909" s="130"/>
      <c r="S909" s="130"/>
      <c r="T909" s="130"/>
      <c r="U909" s="130"/>
      <c r="V909" s="130"/>
      <c r="W909" s="130"/>
      <c r="X909" s="163"/>
      <c r="Y909" s="163"/>
      <c r="Z909" s="163"/>
      <c r="AA909" s="163"/>
      <c r="AB909" s="163"/>
      <c r="AC909" s="163"/>
      <c r="AD909" s="163"/>
      <c r="AE909" s="163"/>
      <c r="AF909" s="163"/>
      <c r="AG909" s="163"/>
      <c r="AH909" s="163"/>
      <c r="AI909" s="163"/>
      <c r="AJ909" s="163"/>
      <c r="AK909" s="163"/>
      <c r="AL909" s="163"/>
      <c r="AM909" s="163"/>
    </row>
    <row r="910" ht="13.5" customHeight="1">
      <c r="A910" s="130"/>
      <c r="B910" s="130"/>
      <c r="C910" s="130"/>
      <c r="D910" s="130"/>
      <c r="E910" s="163"/>
      <c r="F910" s="163"/>
      <c r="G910" s="163"/>
      <c r="H910" s="130"/>
      <c r="I910" s="130"/>
      <c r="J910" s="130"/>
      <c r="K910" s="130"/>
      <c r="L910" s="163"/>
      <c r="M910" s="130"/>
      <c r="N910" s="130"/>
      <c r="O910" s="130"/>
      <c r="P910" s="130"/>
      <c r="Q910" s="130"/>
      <c r="R910" s="130"/>
      <c r="S910" s="130"/>
      <c r="T910" s="130"/>
      <c r="U910" s="130"/>
      <c r="V910" s="130"/>
      <c r="W910" s="130"/>
      <c r="X910" s="163"/>
      <c r="Y910" s="163"/>
      <c r="Z910" s="163"/>
      <c r="AA910" s="163"/>
      <c r="AB910" s="163"/>
      <c r="AC910" s="163"/>
      <c r="AD910" s="163"/>
      <c r="AE910" s="163"/>
      <c r="AF910" s="163"/>
      <c r="AG910" s="163"/>
      <c r="AH910" s="163"/>
      <c r="AI910" s="163"/>
      <c r="AJ910" s="163"/>
      <c r="AK910" s="163"/>
      <c r="AL910" s="163"/>
      <c r="AM910" s="163"/>
    </row>
    <row r="911" ht="13.5" customHeight="1">
      <c r="A911" s="130"/>
      <c r="B911" s="130"/>
      <c r="C911" s="130"/>
      <c r="D911" s="130"/>
      <c r="E911" s="163"/>
      <c r="F911" s="163"/>
      <c r="G911" s="163"/>
      <c r="H911" s="130"/>
      <c r="I911" s="130"/>
      <c r="J911" s="130"/>
      <c r="K911" s="130"/>
      <c r="L911" s="163"/>
      <c r="M911" s="130"/>
      <c r="N911" s="130"/>
      <c r="O911" s="130"/>
      <c r="P911" s="130"/>
      <c r="Q911" s="130"/>
      <c r="R911" s="130"/>
      <c r="S911" s="130"/>
      <c r="T911" s="130"/>
      <c r="U911" s="130"/>
      <c r="V911" s="130"/>
      <c r="W911" s="130"/>
      <c r="X911" s="163"/>
      <c r="Y911" s="163"/>
      <c r="Z911" s="163"/>
      <c r="AA911" s="163"/>
      <c r="AB911" s="163"/>
      <c r="AC911" s="163"/>
      <c r="AD911" s="163"/>
      <c r="AE911" s="163"/>
      <c r="AF911" s="163"/>
      <c r="AG911" s="163"/>
      <c r="AH911" s="163"/>
      <c r="AI911" s="163"/>
      <c r="AJ911" s="163"/>
      <c r="AK911" s="163"/>
      <c r="AL911" s="163"/>
      <c r="AM911" s="163"/>
    </row>
    <row r="912" ht="13.5" customHeight="1">
      <c r="A912" s="130"/>
      <c r="B912" s="130"/>
      <c r="C912" s="130"/>
      <c r="D912" s="130"/>
      <c r="E912" s="163"/>
      <c r="F912" s="163"/>
      <c r="G912" s="163"/>
      <c r="H912" s="130"/>
      <c r="I912" s="130"/>
      <c r="J912" s="130"/>
      <c r="K912" s="130"/>
      <c r="L912" s="163"/>
      <c r="M912" s="130"/>
      <c r="N912" s="130"/>
      <c r="O912" s="130"/>
      <c r="P912" s="130"/>
      <c r="Q912" s="130"/>
      <c r="R912" s="130"/>
      <c r="S912" s="130"/>
      <c r="T912" s="130"/>
      <c r="U912" s="130"/>
      <c r="V912" s="130"/>
      <c r="W912" s="130"/>
      <c r="X912" s="163"/>
      <c r="Y912" s="163"/>
      <c r="Z912" s="163"/>
      <c r="AA912" s="163"/>
      <c r="AB912" s="163"/>
      <c r="AC912" s="163"/>
      <c r="AD912" s="163"/>
      <c r="AE912" s="163"/>
      <c r="AF912" s="163"/>
      <c r="AG912" s="163"/>
      <c r="AH912" s="163"/>
      <c r="AI912" s="163"/>
      <c r="AJ912" s="163"/>
      <c r="AK912" s="163"/>
      <c r="AL912" s="163"/>
      <c r="AM912" s="163"/>
    </row>
    <row r="913" ht="13.5" customHeight="1">
      <c r="A913" s="130"/>
      <c r="B913" s="130"/>
      <c r="C913" s="130"/>
      <c r="D913" s="130"/>
      <c r="E913" s="163"/>
      <c r="F913" s="163"/>
      <c r="G913" s="163"/>
      <c r="H913" s="130"/>
      <c r="I913" s="130"/>
      <c r="J913" s="130"/>
      <c r="K913" s="130"/>
      <c r="L913" s="163"/>
      <c r="M913" s="130"/>
      <c r="N913" s="130"/>
      <c r="O913" s="130"/>
      <c r="P913" s="130"/>
      <c r="Q913" s="130"/>
      <c r="R913" s="130"/>
      <c r="S913" s="130"/>
      <c r="T913" s="130"/>
      <c r="U913" s="130"/>
      <c r="V913" s="130"/>
      <c r="W913" s="130"/>
      <c r="X913" s="163"/>
      <c r="Y913" s="163"/>
      <c r="Z913" s="163"/>
      <c r="AA913" s="163"/>
      <c r="AB913" s="163"/>
      <c r="AC913" s="163"/>
      <c r="AD913" s="163"/>
      <c r="AE913" s="163"/>
      <c r="AF913" s="163"/>
      <c r="AG913" s="163"/>
      <c r="AH913" s="163"/>
      <c r="AI913" s="163"/>
      <c r="AJ913" s="163"/>
      <c r="AK913" s="163"/>
      <c r="AL913" s="163"/>
      <c r="AM913" s="163"/>
    </row>
    <row r="914" ht="13.5" customHeight="1">
      <c r="A914" s="130"/>
      <c r="B914" s="130"/>
      <c r="C914" s="130"/>
      <c r="D914" s="130"/>
      <c r="E914" s="163"/>
      <c r="F914" s="163"/>
      <c r="G914" s="163"/>
      <c r="H914" s="130"/>
      <c r="I914" s="130"/>
      <c r="J914" s="130"/>
      <c r="K914" s="130"/>
      <c r="L914" s="163"/>
      <c r="M914" s="130"/>
      <c r="N914" s="130"/>
      <c r="O914" s="130"/>
      <c r="P914" s="130"/>
      <c r="Q914" s="130"/>
      <c r="R914" s="130"/>
      <c r="S914" s="130"/>
      <c r="T914" s="130"/>
      <c r="U914" s="130"/>
      <c r="V914" s="130"/>
      <c r="W914" s="130"/>
      <c r="X914" s="163"/>
      <c r="Y914" s="163"/>
      <c r="Z914" s="163"/>
      <c r="AA914" s="163"/>
      <c r="AB914" s="163"/>
      <c r="AC914" s="163"/>
      <c r="AD914" s="163"/>
      <c r="AE914" s="163"/>
      <c r="AF914" s="163"/>
      <c r="AG914" s="163"/>
      <c r="AH914" s="163"/>
      <c r="AI914" s="163"/>
      <c r="AJ914" s="163"/>
      <c r="AK914" s="163"/>
      <c r="AL914" s="163"/>
      <c r="AM914" s="163"/>
    </row>
    <row r="915" ht="13.5" customHeight="1">
      <c r="A915" s="130"/>
      <c r="B915" s="130"/>
      <c r="C915" s="130"/>
      <c r="D915" s="130"/>
      <c r="E915" s="163"/>
      <c r="F915" s="163"/>
      <c r="G915" s="163"/>
      <c r="H915" s="130"/>
      <c r="I915" s="130"/>
      <c r="J915" s="130"/>
      <c r="K915" s="130"/>
      <c r="L915" s="163"/>
      <c r="M915" s="130"/>
      <c r="N915" s="130"/>
      <c r="O915" s="130"/>
      <c r="P915" s="130"/>
      <c r="Q915" s="130"/>
      <c r="R915" s="130"/>
      <c r="S915" s="130"/>
      <c r="T915" s="130"/>
      <c r="U915" s="130"/>
      <c r="V915" s="130"/>
      <c r="W915" s="130"/>
      <c r="X915" s="163"/>
      <c r="Y915" s="163"/>
      <c r="Z915" s="163"/>
      <c r="AA915" s="163"/>
      <c r="AB915" s="163"/>
      <c r="AC915" s="163"/>
      <c r="AD915" s="163"/>
      <c r="AE915" s="163"/>
      <c r="AF915" s="163"/>
      <c r="AG915" s="163"/>
      <c r="AH915" s="163"/>
      <c r="AI915" s="163"/>
      <c r="AJ915" s="163"/>
      <c r="AK915" s="163"/>
      <c r="AL915" s="163"/>
      <c r="AM915" s="163"/>
    </row>
    <row r="916" ht="13.5" customHeight="1">
      <c r="A916" s="130"/>
      <c r="B916" s="130"/>
      <c r="C916" s="130"/>
      <c r="D916" s="130"/>
      <c r="E916" s="163"/>
      <c r="F916" s="163"/>
      <c r="G916" s="163"/>
      <c r="H916" s="130"/>
      <c r="I916" s="130"/>
      <c r="J916" s="130"/>
      <c r="K916" s="130"/>
      <c r="L916" s="163"/>
      <c r="M916" s="130"/>
      <c r="N916" s="130"/>
      <c r="O916" s="130"/>
      <c r="P916" s="130"/>
      <c r="Q916" s="130"/>
      <c r="R916" s="130"/>
      <c r="S916" s="130"/>
      <c r="T916" s="130"/>
      <c r="U916" s="130"/>
      <c r="V916" s="130"/>
      <c r="W916" s="130"/>
      <c r="X916" s="163"/>
      <c r="Y916" s="163"/>
      <c r="Z916" s="163"/>
      <c r="AA916" s="163"/>
      <c r="AB916" s="163"/>
      <c r="AC916" s="163"/>
      <c r="AD916" s="163"/>
      <c r="AE916" s="163"/>
      <c r="AF916" s="163"/>
      <c r="AG916" s="163"/>
      <c r="AH916" s="163"/>
      <c r="AI916" s="163"/>
      <c r="AJ916" s="163"/>
      <c r="AK916" s="163"/>
      <c r="AL916" s="163"/>
      <c r="AM916" s="163"/>
    </row>
    <row r="917" ht="13.5" customHeight="1">
      <c r="A917" s="130"/>
      <c r="B917" s="130"/>
      <c r="C917" s="130"/>
      <c r="D917" s="130"/>
      <c r="E917" s="163"/>
      <c r="F917" s="163"/>
      <c r="G917" s="163"/>
      <c r="H917" s="130"/>
      <c r="I917" s="130"/>
      <c r="J917" s="130"/>
      <c r="K917" s="130"/>
      <c r="L917" s="163"/>
      <c r="M917" s="130"/>
      <c r="N917" s="130"/>
      <c r="O917" s="130"/>
      <c r="P917" s="130"/>
      <c r="Q917" s="130"/>
      <c r="R917" s="130"/>
      <c r="S917" s="130"/>
      <c r="T917" s="130"/>
      <c r="U917" s="130"/>
      <c r="V917" s="130"/>
      <c r="W917" s="130"/>
      <c r="X917" s="163"/>
      <c r="Y917" s="163"/>
      <c r="Z917" s="163"/>
      <c r="AA917" s="163"/>
      <c r="AB917" s="163"/>
      <c r="AC917" s="163"/>
      <c r="AD917" s="163"/>
      <c r="AE917" s="163"/>
      <c r="AF917" s="163"/>
      <c r="AG917" s="163"/>
      <c r="AH917" s="163"/>
      <c r="AI917" s="163"/>
      <c r="AJ917" s="163"/>
      <c r="AK917" s="163"/>
      <c r="AL917" s="163"/>
      <c r="AM917" s="163"/>
    </row>
    <row r="918" ht="13.5" customHeight="1">
      <c r="A918" s="130"/>
      <c r="B918" s="130"/>
      <c r="C918" s="130"/>
      <c r="D918" s="130"/>
      <c r="E918" s="163"/>
      <c r="F918" s="163"/>
      <c r="G918" s="163"/>
      <c r="H918" s="130"/>
      <c r="I918" s="130"/>
      <c r="J918" s="130"/>
      <c r="K918" s="130"/>
      <c r="L918" s="163"/>
      <c r="M918" s="130"/>
      <c r="N918" s="130"/>
      <c r="O918" s="130"/>
      <c r="P918" s="130"/>
      <c r="Q918" s="130"/>
      <c r="R918" s="130"/>
      <c r="S918" s="130"/>
      <c r="T918" s="130"/>
      <c r="U918" s="130"/>
      <c r="V918" s="130"/>
      <c r="W918" s="130"/>
      <c r="X918" s="163"/>
      <c r="Y918" s="163"/>
      <c r="Z918" s="163"/>
      <c r="AA918" s="163"/>
      <c r="AB918" s="163"/>
      <c r="AC918" s="163"/>
      <c r="AD918" s="163"/>
      <c r="AE918" s="163"/>
      <c r="AF918" s="163"/>
      <c r="AG918" s="163"/>
      <c r="AH918" s="163"/>
      <c r="AI918" s="163"/>
      <c r="AJ918" s="163"/>
      <c r="AK918" s="163"/>
      <c r="AL918" s="163"/>
      <c r="AM918" s="163"/>
    </row>
    <row r="919" ht="13.5" customHeight="1">
      <c r="A919" s="130"/>
      <c r="B919" s="130"/>
      <c r="C919" s="130"/>
      <c r="D919" s="130"/>
      <c r="E919" s="163"/>
      <c r="F919" s="163"/>
      <c r="G919" s="163"/>
      <c r="H919" s="130"/>
      <c r="I919" s="130"/>
      <c r="J919" s="130"/>
      <c r="K919" s="130"/>
      <c r="L919" s="163"/>
      <c r="M919" s="130"/>
      <c r="N919" s="130"/>
      <c r="O919" s="130"/>
      <c r="P919" s="130"/>
      <c r="Q919" s="130"/>
      <c r="R919" s="130"/>
      <c r="S919" s="130"/>
      <c r="T919" s="130"/>
      <c r="U919" s="130"/>
      <c r="V919" s="130"/>
      <c r="W919" s="130"/>
      <c r="X919" s="163"/>
      <c r="Y919" s="163"/>
      <c r="Z919" s="163"/>
      <c r="AA919" s="163"/>
      <c r="AB919" s="163"/>
      <c r="AC919" s="163"/>
      <c r="AD919" s="163"/>
      <c r="AE919" s="163"/>
      <c r="AF919" s="163"/>
      <c r="AG919" s="163"/>
      <c r="AH919" s="163"/>
      <c r="AI919" s="163"/>
      <c r="AJ919" s="163"/>
      <c r="AK919" s="163"/>
      <c r="AL919" s="163"/>
      <c r="AM919" s="163"/>
    </row>
    <row r="920" ht="13.5" customHeight="1">
      <c r="A920" s="130"/>
      <c r="B920" s="130"/>
      <c r="C920" s="130"/>
      <c r="D920" s="130"/>
      <c r="E920" s="163"/>
      <c r="F920" s="163"/>
      <c r="G920" s="163"/>
      <c r="H920" s="130"/>
      <c r="I920" s="130"/>
      <c r="J920" s="130"/>
      <c r="K920" s="130"/>
      <c r="L920" s="163"/>
      <c r="M920" s="130"/>
      <c r="N920" s="130"/>
      <c r="O920" s="130"/>
      <c r="P920" s="130"/>
      <c r="Q920" s="130"/>
      <c r="R920" s="130"/>
      <c r="S920" s="130"/>
      <c r="T920" s="130"/>
      <c r="U920" s="130"/>
      <c r="V920" s="130"/>
      <c r="W920" s="130"/>
      <c r="X920" s="163"/>
      <c r="Y920" s="163"/>
      <c r="Z920" s="163"/>
      <c r="AA920" s="163"/>
      <c r="AB920" s="163"/>
      <c r="AC920" s="163"/>
      <c r="AD920" s="163"/>
      <c r="AE920" s="163"/>
      <c r="AF920" s="163"/>
      <c r="AG920" s="163"/>
      <c r="AH920" s="163"/>
      <c r="AI920" s="163"/>
      <c r="AJ920" s="163"/>
      <c r="AK920" s="163"/>
      <c r="AL920" s="163"/>
      <c r="AM920" s="163"/>
    </row>
    <row r="921" ht="13.5" customHeight="1">
      <c r="A921" s="130"/>
      <c r="B921" s="130"/>
      <c r="C921" s="130"/>
      <c r="D921" s="130"/>
      <c r="E921" s="163"/>
      <c r="F921" s="163"/>
      <c r="G921" s="163"/>
      <c r="H921" s="130"/>
      <c r="I921" s="130"/>
      <c r="J921" s="130"/>
      <c r="K921" s="130"/>
      <c r="L921" s="163"/>
      <c r="M921" s="130"/>
      <c r="N921" s="130"/>
      <c r="O921" s="130"/>
      <c r="P921" s="130"/>
      <c r="Q921" s="130"/>
      <c r="R921" s="130"/>
      <c r="S921" s="130"/>
      <c r="T921" s="130"/>
      <c r="U921" s="130"/>
      <c r="V921" s="130"/>
      <c r="W921" s="130"/>
      <c r="X921" s="163"/>
      <c r="Y921" s="163"/>
      <c r="Z921" s="163"/>
      <c r="AA921" s="163"/>
      <c r="AB921" s="163"/>
      <c r="AC921" s="163"/>
      <c r="AD921" s="163"/>
      <c r="AE921" s="163"/>
      <c r="AF921" s="163"/>
      <c r="AG921" s="163"/>
      <c r="AH921" s="163"/>
      <c r="AI921" s="163"/>
      <c r="AJ921" s="163"/>
      <c r="AK921" s="163"/>
      <c r="AL921" s="163"/>
      <c r="AM921" s="163"/>
    </row>
    <row r="922" ht="13.5" customHeight="1">
      <c r="A922" s="130"/>
      <c r="B922" s="130"/>
      <c r="C922" s="130"/>
      <c r="D922" s="130"/>
      <c r="E922" s="163"/>
      <c r="F922" s="163"/>
      <c r="G922" s="163"/>
      <c r="H922" s="130"/>
      <c r="I922" s="130"/>
      <c r="J922" s="130"/>
      <c r="K922" s="130"/>
      <c r="L922" s="163"/>
      <c r="M922" s="130"/>
      <c r="N922" s="130"/>
      <c r="O922" s="130"/>
      <c r="P922" s="130"/>
      <c r="Q922" s="130"/>
      <c r="R922" s="130"/>
      <c r="S922" s="130"/>
      <c r="T922" s="130"/>
      <c r="U922" s="130"/>
      <c r="V922" s="130"/>
      <c r="W922" s="130"/>
      <c r="X922" s="163"/>
      <c r="Y922" s="163"/>
      <c r="Z922" s="163"/>
      <c r="AA922" s="163"/>
      <c r="AB922" s="163"/>
      <c r="AC922" s="163"/>
      <c r="AD922" s="163"/>
      <c r="AE922" s="163"/>
      <c r="AF922" s="163"/>
      <c r="AG922" s="163"/>
      <c r="AH922" s="163"/>
      <c r="AI922" s="163"/>
      <c r="AJ922" s="163"/>
      <c r="AK922" s="163"/>
      <c r="AL922" s="163"/>
      <c r="AM922" s="163"/>
    </row>
    <row r="923" ht="13.5" customHeight="1">
      <c r="A923" s="130"/>
      <c r="B923" s="130"/>
      <c r="C923" s="130"/>
      <c r="D923" s="130"/>
      <c r="E923" s="163"/>
      <c r="F923" s="163"/>
      <c r="G923" s="163"/>
      <c r="H923" s="130"/>
      <c r="I923" s="130"/>
      <c r="J923" s="130"/>
      <c r="K923" s="130"/>
      <c r="L923" s="163"/>
      <c r="M923" s="130"/>
      <c r="N923" s="130"/>
      <c r="O923" s="130"/>
      <c r="P923" s="130"/>
      <c r="Q923" s="130"/>
      <c r="R923" s="130"/>
      <c r="S923" s="130"/>
      <c r="T923" s="130"/>
      <c r="U923" s="130"/>
      <c r="V923" s="130"/>
      <c r="W923" s="130"/>
      <c r="X923" s="163"/>
      <c r="Y923" s="163"/>
      <c r="Z923" s="163"/>
      <c r="AA923" s="163"/>
      <c r="AB923" s="163"/>
      <c r="AC923" s="163"/>
      <c r="AD923" s="163"/>
      <c r="AE923" s="163"/>
      <c r="AF923" s="163"/>
      <c r="AG923" s="163"/>
      <c r="AH923" s="163"/>
      <c r="AI923" s="163"/>
      <c r="AJ923" s="163"/>
      <c r="AK923" s="163"/>
      <c r="AL923" s="163"/>
      <c r="AM923" s="163"/>
    </row>
    <row r="924" ht="13.5" customHeight="1">
      <c r="A924" s="130"/>
      <c r="B924" s="130"/>
      <c r="C924" s="130"/>
      <c r="D924" s="130"/>
      <c r="E924" s="163"/>
      <c r="F924" s="163"/>
      <c r="G924" s="163"/>
      <c r="H924" s="130"/>
      <c r="I924" s="130"/>
      <c r="J924" s="130"/>
      <c r="K924" s="130"/>
      <c r="L924" s="163"/>
      <c r="M924" s="130"/>
      <c r="N924" s="130"/>
      <c r="O924" s="130"/>
      <c r="P924" s="130"/>
      <c r="Q924" s="130"/>
      <c r="R924" s="130"/>
      <c r="S924" s="130"/>
      <c r="T924" s="130"/>
      <c r="U924" s="130"/>
      <c r="V924" s="130"/>
      <c r="W924" s="130"/>
      <c r="X924" s="163"/>
      <c r="Y924" s="163"/>
      <c r="Z924" s="163"/>
      <c r="AA924" s="163"/>
      <c r="AB924" s="163"/>
      <c r="AC924" s="163"/>
      <c r="AD924" s="163"/>
      <c r="AE924" s="163"/>
      <c r="AF924" s="163"/>
      <c r="AG924" s="163"/>
      <c r="AH924" s="163"/>
      <c r="AI924" s="163"/>
      <c r="AJ924" s="163"/>
      <c r="AK924" s="163"/>
      <c r="AL924" s="163"/>
      <c r="AM924" s="163"/>
    </row>
    <row r="925" ht="13.5" customHeight="1">
      <c r="A925" s="130"/>
      <c r="B925" s="130"/>
      <c r="C925" s="130"/>
      <c r="D925" s="130"/>
      <c r="E925" s="163"/>
      <c r="F925" s="163"/>
      <c r="G925" s="163"/>
      <c r="H925" s="130"/>
      <c r="I925" s="130"/>
      <c r="J925" s="130"/>
      <c r="K925" s="130"/>
      <c r="L925" s="163"/>
      <c r="M925" s="130"/>
      <c r="N925" s="130"/>
      <c r="O925" s="130"/>
      <c r="P925" s="130"/>
      <c r="Q925" s="130"/>
      <c r="R925" s="130"/>
      <c r="S925" s="130"/>
      <c r="T925" s="130"/>
      <c r="U925" s="130"/>
      <c r="V925" s="130"/>
      <c r="W925" s="130"/>
      <c r="X925" s="163"/>
      <c r="Y925" s="163"/>
      <c r="Z925" s="163"/>
      <c r="AA925" s="163"/>
      <c r="AB925" s="163"/>
      <c r="AC925" s="163"/>
      <c r="AD925" s="163"/>
      <c r="AE925" s="163"/>
      <c r="AF925" s="163"/>
      <c r="AG925" s="163"/>
      <c r="AH925" s="163"/>
      <c r="AI925" s="163"/>
      <c r="AJ925" s="163"/>
      <c r="AK925" s="163"/>
      <c r="AL925" s="163"/>
      <c r="AM925" s="163"/>
    </row>
    <row r="926" ht="13.5" customHeight="1">
      <c r="A926" s="130"/>
      <c r="B926" s="130"/>
      <c r="C926" s="130"/>
      <c r="D926" s="130"/>
      <c r="E926" s="163"/>
      <c r="F926" s="163"/>
      <c r="G926" s="163"/>
      <c r="H926" s="130"/>
      <c r="I926" s="130"/>
      <c r="J926" s="130"/>
      <c r="K926" s="130"/>
      <c r="L926" s="163"/>
      <c r="M926" s="130"/>
      <c r="N926" s="130"/>
      <c r="O926" s="130"/>
      <c r="P926" s="130"/>
      <c r="Q926" s="130"/>
      <c r="R926" s="130"/>
      <c r="S926" s="130"/>
      <c r="T926" s="130"/>
      <c r="U926" s="130"/>
      <c r="V926" s="130"/>
      <c r="W926" s="130"/>
      <c r="X926" s="163"/>
      <c r="Y926" s="163"/>
      <c r="Z926" s="163"/>
      <c r="AA926" s="163"/>
      <c r="AB926" s="163"/>
      <c r="AC926" s="163"/>
      <c r="AD926" s="163"/>
      <c r="AE926" s="163"/>
      <c r="AF926" s="163"/>
      <c r="AG926" s="163"/>
      <c r="AH926" s="163"/>
      <c r="AI926" s="163"/>
      <c r="AJ926" s="163"/>
      <c r="AK926" s="163"/>
      <c r="AL926" s="163"/>
      <c r="AM926" s="163"/>
    </row>
    <row r="927" ht="13.5" customHeight="1">
      <c r="A927" s="130"/>
      <c r="B927" s="130"/>
      <c r="C927" s="130"/>
      <c r="D927" s="130"/>
      <c r="E927" s="163"/>
      <c r="F927" s="163"/>
      <c r="G927" s="163"/>
      <c r="H927" s="130"/>
      <c r="I927" s="130"/>
      <c r="J927" s="130"/>
      <c r="K927" s="130"/>
      <c r="L927" s="163"/>
      <c r="M927" s="130"/>
      <c r="N927" s="130"/>
      <c r="O927" s="130"/>
      <c r="P927" s="130"/>
      <c r="Q927" s="130"/>
      <c r="R927" s="130"/>
      <c r="S927" s="130"/>
      <c r="T927" s="130"/>
      <c r="U927" s="130"/>
      <c r="V927" s="130"/>
      <c r="W927" s="130"/>
      <c r="X927" s="163"/>
      <c r="Y927" s="163"/>
      <c r="Z927" s="163"/>
      <c r="AA927" s="163"/>
      <c r="AB927" s="163"/>
      <c r="AC927" s="163"/>
      <c r="AD927" s="163"/>
      <c r="AE927" s="163"/>
      <c r="AF927" s="163"/>
      <c r="AG927" s="163"/>
      <c r="AH927" s="163"/>
      <c r="AI927" s="163"/>
      <c r="AJ927" s="163"/>
      <c r="AK927" s="163"/>
      <c r="AL927" s="163"/>
      <c r="AM927" s="163"/>
    </row>
    <row r="928" ht="13.5" customHeight="1">
      <c r="A928" s="130"/>
      <c r="B928" s="130"/>
      <c r="C928" s="130"/>
      <c r="D928" s="130"/>
      <c r="E928" s="163"/>
      <c r="F928" s="163"/>
      <c r="G928" s="163"/>
      <c r="H928" s="130"/>
      <c r="I928" s="130"/>
      <c r="J928" s="130"/>
      <c r="K928" s="130"/>
      <c r="L928" s="163"/>
      <c r="M928" s="130"/>
      <c r="N928" s="130"/>
      <c r="O928" s="130"/>
      <c r="P928" s="130"/>
      <c r="Q928" s="130"/>
      <c r="R928" s="130"/>
      <c r="S928" s="130"/>
      <c r="T928" s="130"/>
      <c r="U928" s="130"/>
      <c r="V928" s="130"/>
      <c r="W928" s="130"/>
      <c r="X928" s="163"/>
      <c r="Y928" s="163"/>
      <c r="Z928" s="163"/>
      <c r="AA928" s="163"/>
      <c r="AB928" s="163"/>
      <c r="AC928" s="163"/>
      <c r="AD928" s="163"/>
      <c r="AE928" s="163"/>
      <c r="AF928" s="163"/>
      <c r="AG928" s="163"/>
      <c r="AH928" s="163"/>
      <c r="AI928" s="163"/>
      <c r="AJ928" s="163"/>
      <c r="AK928" s="163"/>
      <c r="AL928" s="163"/>
      <c r="AM928" s="163"/>
    </row>
    <row r="929" ht="13.5" customHeight="1">
      <c r="A929" s="130"/>
      <c r="B929" s="130"/>
      <c r="C929" s="130"/>
      <c r="D929" s="130"/>
      <c r="E929" s="163"/>
      <c r="F929" s="163"/>
      <c r="G929" s="163"/>
      <c r="H929" s="130"/>
      <c r="I929" s="130"/>
      <c r="J929" s="130"/>
      <c r="K929" s="130"/>
      <c r="L929" s="163"/>
      <c r="M929" s="130"/>
      <c r="N929" s="130"/>
      <c r="O929" s="130"/>
      <c r="P929" s="130"/>
      <c r="Q929" s="130"/>
      <c r="R929" s="130"/>
      <c r="S929" s="130"/>
      <c r="T929" s="130"/>
      <c r="U929" s="130"/>
      <c r="V929" s="130"/>
      <c r="W929" s="130"/>
      <c r="X929" s="163"/>
      <c r="Y929" s="163"/>
      <c r="Z929" s="163"/>
      <c r="AA929" s="163"/>
      <c r="AB929" s="163"/>
      <c r="AC929" s="163"/>
      <c r="AD929" s="163"/>
      <c r="AE929" s="163"/>
      <c r="AF929" s="163"/>
      <c r="AG929" s="163"/>
      <c r="AH929" s="163"/>
      <c r="AI929" s="163"/>
      <c r="AJ929" s="163"/>
      <c r="AK929" s="163"/>
      <c r="AL929" s="163"/>
      <c r="AM929" s="163"/>
    </row>
    <row r="930" ht="13.5" customHeight="1">
      <c r="A930" s="130"/>
      <c r="B930" s="130"/>
      <c r="C930" s="130"/>
      <c r="D930" s="130"/>
      <c r="E930" s="163"/>
      <c r="F930" s="163"/>
      <c r="G930" s="163"/>
      <c r="H930" s="130"/>
      <c r="I930" s="130"/>
      <c r="J930" s="130"/>
      <c r="K930" s="130"/>
      <c r="L930" s="163"/>
      <c r="M930" s="130"/>
      <c r="N930" s="130"/>
      <c r="O930" s="130"/>
      <c r="P930" s="130"/>
      <c r="Q930" s="130"/>
      <c r="R930" s="130"/>
      <c r="S930" s="130"/>
      <c r="T930" s="130"/>
      <c r="U930" s="130"/>
      <c r="V930" s="130"/>
      <c r="W930" s="130"/>
      <c r="X930" s="163"/>
      <c r="Y930" s="163"/>
      <c r="Z930" s="163"/>
      <c r="AA930" s="163"/>
      <c r="AB930" s="163"/>
      <c r="AC930" s="163"/>
      <c r="AD930" s="163"/>
      <c r="AE930" s="163"/>
      <c r="AF930" s="163"/>
      <c r="AG930" s="163"/>
      <c r="AH930" s="163"/>
      <c r="AI930" s="163"/>
      <c r="AJ930" s="163"/>
      <c r="AK930" s="163"/>
      <c r="AL930" s="163"/>
      <c r="AM930" s="163"/>
    </row>
    <row r="931" ht="13.5" customHeight="1">
      <c r="A931" s="130"/>
      <c r="B931" s="130"/>
      <c r="C931" s="130"/>
      <c r="D931" s="130"/>
      <c r="E931" s="163"/>
      <c r="F931" s="163"/>
      <c r="G931" s="163"/>
      <c r="H931" s="130"/>
      <c r="I931" s="130"/>
      <c r="J931" s="130"/>
      <c r="K931" s="130"/>
      <c r="L931" s="163"/>
      <c r="M931" s="130"/>
      <c r="N931" s="130"/>
      <c r="O931" s="130"/>
      <c r="P931" s="130"/>
      <c r="Q931" s="130"/>
      <c r="R931" s="130"/>
      <c r="S931" s="130"/>
      <c r="T931" s="130"/>
      <c r="U931" s="130"/>
      <c r="V931" s="130"/>
      <c r="W931" s="130"/>
      <c r="X931" s="163"/>
      <c r="Y931" s="163"/>
      <c r="Z931" s="163"/>
      <c r="AA931" s="163"/>
      <c r="AB931" s="163"/>
      <c r="AC931" s="163"/>
      <c r="AD931" s="163"/>
      <c r="AE931" s="163"/>
      <c r="AF931" s="163"/>
      <c r="AG931" s="163"/>
      <c r="AH931" s="163"/>
      <c r="AI931" s="163"/>
      <c r="AJ931" s="163"/>
      <c r="AK931" s="163"/>
      <c r="AL931" s="163"/>
      <c r="AM931" s="163"/>
    </row>
    <row r="932" ht="13.5" customHeight="1">
      <c r="A932" s="130"/>
      <c r="B932" s="130"/>
      <c r="C932" s="130"/>
      <c r="D932" s="130"/>
      <c r="E932" s="163"/>
      <c r="F932" s="163"/>
      <c r="G932" s="163"/>
      <c r="H932" s="130"/>
      <c r="I932" s="130"/>
      <c r="J932" s="130"/>
      <c r="K932" s="130"/>
      <c r="L932" s="163"/>
      <c r="M932" s="130"/>
      <c r="N932" s="130"/>
      <c r="O932" s="130"/>
      <c r="P932" s="130"/>
      <c r="Q932" s="130"/>
      <c r="R932" s="130"/>
      <c r="S932" s="130"/>
      <c r="T932" s="130"/>
      <c r="U932" s="130"/>
      <c r="V932" s="130"/>
      <c r="W932" s="130"/>
      <c r="X932" s="163"/>
      <c r="Y932" s="163"/>
      <c r="Z932" s="163"/>
      <c r="AA932" s="163"/>
      <c r="AB932" s="163"/>
      <c r="AC932" s="163"/>
      <c r="AD932" s="163"/>
      <c r="AE932" s="163"/>
      <c r="AF932" s="163"/>
      <c r="AG932" s="163"/>
      <c r="AH932" s="163"/>
      <c r="AI932" s="163"/>
      <c r="AJ932" s="163"/>
      <c r="AK932" s="163"/>
      <c r="AL932" s="163"/>
      <c r="AM932" s="163"/>
    </row>
    <row r="933" ht="13.5" customHeight="1">
      <c r="A933" s="130"/>
      <c r="B933" s="130"/>
      <c r="C933" s="130"/>
      <c r="D933" s="130"/>
      <c r="E933" s="163"/>
      <c r="F933" s="163"/>
      <c r="G933" s="163"/>
      <c r="H933" s="130"/>
      <c r="I933" s="130"/>
      <c r="J933" s="130"/>
      <c r="K933" s="130"/>
      <c r="L933" s="163"/>
      <c r="M933" s="130"/>
      <c r="N933" s="130"/>
      <c r="O933" s="130"/>
      <c r="P933" s="130"/>
      <c r="Q933" s="130"/>
      <c r="R933" s="130"/>
      <c r="S933" s="130"/>
      <c r="T933" s="130"/>
      <c r="U933" s="130"/>
      <c r="V933" s="130"/>
      <c r="W933" s="130"/>
      <c r="X933" s="163"/>
      <c r="Y933" s="163"/>
      <c r="Z933" s="163"/>
      <c r="AA933" s="163"/>
      <c r="AB933" s="163"/>
      <c r="AC933" s="163"/>
      <c r="AD933" s="163"/>
      <c r="AE933" s="163"/>
      <c r="AF933" s="163"/>
      <c r="AG933" s="163"/>
      <c r="AH933" s="163"/>
      <c r="AI933" s="163"/>
      <c r="AJ933" s="163"/>
      <c r="AK933" s="163"/>
      <c r="AL933" s="163"/>
      <c r="AM933" s="163"/>
    </row>
    <row r="934" ht="13.5" customHeight="1">
      <c r="A934" s="130"/>
      <c r="B934" s="130"/>
      <c r="C934" s="130"/>
      <c r="D934" s="130"/>
      <c r="E934" s="163"/>
      <c r="F934" s="163"/>
      <c r="G934" s="163"/>
      <c r="H934" s="130"/>
      <c r="I934" s="130"/>
      <c r="J934" s="130"/>
      <c r="K934" s="130"/>
      <c r="L934" s="163"/>
      <c r="M934" s="130"/>
      <c r="N934" s="130"/>
      <c r="O934" s="130"/>
      <c r="P934" s="130"/>
      <c r="Q934" s="130"/>
      <c r="R934" s="130"/>
      <c r="S934" s="130"/>
      <c r="T934" s="130"/>
      <c r="U934" s="130"/>
      <c r="V934" s="130"/>
      <c r="W934" s="130"/>
      <c r="X934" s="163"/>
      <c r="Y934" s="163"/>
      <c r="Z934" s="163"/>
      <c r="AA934" s="163"/>
      <c r="AB934" s="163"/>
      <c r="AC934" s="163"/>
      <c r="AD934" s="163"/>
      <c r="AE934" s="163"/>
      <c r="AF934" s="163"/>
      <c r="AG934" s="163"/>
      <c r="AH934" s="163"/>
      <c r="AI934" s="163"/>
      <c r="AJ934" s="163"/>
      <c r="AK934" s="163"/>
      <c r="AL934" s="163"/>
      <c r="AM934" s="163"/>
    </row>
    <row r="935" ht="13.5" customHeight="1">
      <c r="A935" s="130"/>
      <c r="B935" s="130"/>
      <c r="C935" s="130"/>
      <c r="D935" s="130"/>
      <c r="E935" s="163"/>
      <c r="F935" s="163"/>
      <c r="G935" s="163"/>
      <c r="H935" s="130"/>
      <c r="I935" s="130"/>
      <c r="J935" s="130"/>
      <c r="K935" s="130"/>
      <c r="L935" s="163"/>
      <c r="M935" s="130"/>
      <c r="N935" s="130"/>
      <c r="O935" s="130"/>
      <c r="P935" s="130"/>
      <c r="Q935" s="130"/>
      <c r="R935" s="130"/>
      <c r="S935" s="130"/>
      <c r="T935" s="130"/>
      <c r="U935" s="130"/>
      <c r="V935" s="130"/>
      <c r="W935" s="130"/>
      <c r="X935" s="163"/>
      <c r="Y935" s="163"/>
      <c r="Z935" s="163"/>
      <c r="AA935" s="163"/>
      <c r="AB935" s="163"/>
      <c r="AC935" s="163"/>
      <c r="AD935" s="163"/>
      <c r="AE935" s="163"/>
      <c r="AF935" s="163"/>
      <c r="AG935" s="163"/>
      <c r="AH935" s="163"/>
      <c r="AI935" s="163"/>
      <c r="AJ935" s="163"/>
      <c r="AK935" s="163"/>
      <c r="AL935" s="163"/>
      <c r="AM935" s="163"/>
    </row>
    <row r="936" ht="13.5" customHeight="1">
      <c r="A936" s="130"/>
      <c r="B936" s="130"/>
      <c r="C936" s="130"/>
      <c r="D936" s="130"/>
      <c r="E936" s="163"/>
      <c r="F936" s="163"/>
      <c r="G936" s="163"/>
      <c r="H936" s="130"/>
      <c r="I936" s="130"/>
      <c r="J936" s="130"/>
      <c r="K936" s="130"/>
      <c r="L936" s="163"/>
      <c r="M936" s="130"/>
      <c r="N936" s="130"/>
      <c r="O936" s="130"/>
      <c r="P936" s="130"/>
      <c r="Q936" s="130"/>
      <c r="R936" s="130"/>
      <c r="S936" s="130"/>
      <c r="T936" s="130"/>
      <c r="U936" s="130"/>
      <c r="V936" s="130"/>
      <c r="W936" s="130"/>
      <c r="X936" s="163"/>
      <c r="Y936" s="163"/>
      <c r="Z936" s="163"/>
      <c r="AA936" s="163"/>
      <c r="AB936" s="163"/>
      <c r="AC936" s="163"/>
      <c r="AD936" s="163"/>
      <c r="AE936" s="163"/>
      <c r="AF936" s="163"/>
      <c r="AG936" s="163"/>
      <c r="AH936" s="163"/>
      <c r="AI936" s="163"/>
      <c r="AJ936" s="163"/>
      <c r="AK936" s="163"/>
      <c r="AL936" s="163"/>
      <c r="AM936" s="163"/>
    </row>
    <row r="937" ht="13.5" customHeight="1">
      <c r="A937" s="130"/>
      <c r="B937" s="130"/>
      <c r="C937" s="130"/>
      <c r="D937" s="130"/>
      <c r="E937" s="163"/>
      <c r="F937" s="163"/>
      <c r="G937" s="163"/>
      <c r="H937" s="130"/>
      <c r="I937" s="130"/>
      <c r="J937" s="130"/>
      <c r="K937" s="130"/>
      <c r="L937" s="163"/>
      <c r="M937" s="130"/>
      <c r="N937" s="130"/>
      <c r="O937" s="130"/>
      <c r="P937" s="130"/>
      <c r="Q937" s="130"/>
      <c r="R937" s="130"/>
      <c r="S937" s="130"/>
      <c r="T937" s="130"/>
      <c r="U937" s="130"/>
      <c r="V937" s="130"/>
      <c r="W937" s="130"/>
      <c r="X937" s="163"/>
      <c r="Y937" s="163"/>
      <c r="Z937" s="163"/>
      <c r="AA937" s="163"/>
      <c r="AB937" s="163"/>
      <c r="AC937" s="163"/>
      <c r="AD937" s="163"/>
      <c r="AE937" s="163"/>
      <c r="AF937" s="163"/>
      <c r="AG937" s="163"/>
      <c r="AH937" s="163"/>
      <c r="AI937" s="163"/>
      <c r="AJ937" s="163"/>
      <c r="AK937" s="163"/>
      <c r="AL937" s="163"/>
      <c r="AM937" s="163"/>
    </row>
    <row r="938" ht="13.5" customHeight="1">
      <c r="A938" s="130"/>
      <c r="B938" s="130"/>
      <c r="C938" s="130"/>
      <c r="D938" s="130"/>
      <c r="E938" s="163"/>
      <c r="F938" s="163"/>
      <c r="G938" s="163"/>
      <c r="H938" s="130"/>
      <c r="I938" s="130"/>
      <c r="J938" s="130"/>
      <c r="K938" s="130"/>
      <c r="L938" s="163"/>
      <c r="M938" s="130"/>
      <c r="N938" s="130"/>
      <c r="O938" s="130"/>
      <c r="P938" s="130"/>
      <c r="Q938" s="130"/>
      <c r="R938" s="130"/>
      <c r="S938" s="130"/>
      <c r="T938" s="130"/>
      <c r="U938" s="130"/>
      <c r="V938" s="130"/>
      <c r="W938" s="130"/>
      <c r="X938" s="163"/>
      <c r="Y938" s="163"/>
      <c r="Z938" s="163"/>
      <c r="AA938" s="163"/>
      <c r="AB938" s="163"/>
      <c r="AC938" s="163"/>
      <c r="AD938" s="163"/>
      <c r="AE938" s="163"/>
      <c r="AF938" s="163"/>
      <c r="AG938" s="163"/>
      <c r="AH938" s="163"/>
      <c r="AI938" s="163"/>
      <c r="AJ938" s="163"/>
      <c r="AK938" s="163"/>
      <c r="AL938" s="163"/>
      <c r="AM938" s="163"/>
    </row>
    <row r="939" ht="13.5" customHeight="1">
      <c r="A939" s="130"/>
      <c r="B939" s="130"/>
      <c r="C939" s="130"/>
      <c r="D939" s="130"/>
      <c r="E939" s="163"/>
      <c r="F939" s="163"/>
      <c r="G939" s="163"/>
      <c r="H939" s="130"/>
      <c r="I939" s="130"/>
      <c r="J939" s="130"/>
      <c r="K939" s="130"/>
      <c r="L939" s="163"/>
      <c r="M939" s="130"/>
      <c r="N939" s="130"/>
      <c r="O939" s="130"/>
      <c r="P939" s="130"/>
      <c r="Q939" s="130"/>
      <c r="R939" s="130"/>
      <c r="S939" s="130"/>
      <c r="T939" s="130"/>
      <c r="U939" s="130"/>
      <c r="V939" s="130"/>
      <c r="W939" s="130"/>
      <c r="X939" s="163"/>
      <c r="Y939" s="163"/>
      <c r="Z939" s="163"/>
      <c r="AA939" s="163"/>
      <c r="AB939" s="163"/>
      <c r="AC939" s="163"/>
      <c r="AD939" s="163"/>
      <c r="AE939" s="163"/>
      <c r="AF939" s="163"/>
      <c r="AG939" s="163"/>
      <c r="AH939" s="163"/>
      <c r="AI939" s="163"/>
      <c r="AJ939" s="163"/>
      <c r="AK939" s="163"/>
      <c r="AL939" s="163"/>
      <c r="AM939" s="163"/>
    </row>
    <row r="940" ht="13.5" customHeight="1">
      <c r="A940" s="130"/>
      <c r="B940" s="130"/>
      <c r="C940" s="130"/>
      <c r="D940" s="130"/>
      <c r="E940" s="163"/>
      <c r="F940" s="163"/>
      <c r="G940" s="163"/>
      <c r="H940" s="130"/>
      <c r="I940" s="130"/>
      <c r="J940" s="130"/>
      <c r="K940" s="130"/>
      <c r="L940" s="163"/>
      <c r="M940" s="130"/>
      <c r="N940" s="130"/>
      <c r="O940" s="130"/>
      <c r="P940" s="130"/>
      <c r="Q940" s="130"/>
      <c r="R940" s="130"/>
      <c r="S940" s="130"/>
      <c r="T940" s="130"/>
      <c r="U940" s="130"/>
      <c r="V940" s="130"/>
      <c r="W940" s="130"/>
      <c r="X940" s="163"/>
      <c r="Y940" s="163"/>
      <c r="Z940" s="163"/>
      <c r="AA940" s="163"/>
      <c r="AB940" s="163"/>
      <c r="AC940" s="163"/>
      <c r="AD940" s="163"/>
      <c r="AE940" s="163"/>
      <c r="AF940" s="163"/>
      <c r="AG940" s="163"/>
      <c r="AH940" s="163"/>
      <c r="AI940" s="163"/>
      <c r="AJ940" s="163"/>
      <c r="AK940" s="163"/>
      <c r="AL940" s="163"/>
      <c r="AM940" s="163"/>
    </row>
    <row r="941" ht="13.5" customHeight="1">
      <c r="A941" s="130"/>
      <c r="B941" s="130"/>
      <c r="C941" s="130"/>
      <c r="D941" s="130"/>
      <c r="E941" s="163"/>
      <c r="F941" s="163"/>
      <c r="G941" s="163"/>
      <c r="H941" s="130"/>
      <c r="I941" s="130"/>
      <c r="J941" s="130"/>
      <c r="K941" s="130"/>
      <c r="L941" s="163"/>
      <c r="M941" s="130"/>
      <c r="N941" s="130"/>
      <c r="O941" s="130"/>
      <c r="P941" s="130"/>
      <c r="Q941" s="130"/>
      <c r="R941" s="130"/>
      <c r="S941" s="130"/>
      <c r="T941" s="130"/>
      <c r="U941" s="130"/>
      <c r="V941" s="130"/>
      <c r="W941" s="130"/>
      <c r="X941" s="163"/>
      <c r="Y941" s="163"/>
      <c r="Z941" s="163"/>
      <c r="AA941" s="163"/>
      <c r="AB941" s="163"/>
      <c r="AC941" s="163"/>
      <c r="AD941" s="163"/>
      <c r="AE941" s="163"/>
      <c r="AF941" s="163"/>
      <c r="AG941" s="163"/>
      <c r="AH941" s="163"/>
      <c r="AI941" s="163"/>
      <c r="AJ941" s="163"/>
      <c r="AK941" s="163"/>
      <c r="AL941" s="163"/>
      <c r="AM941" s="163"/>
    </row>
    <row r="942" ht="13.5" customHeight="1">
      <c r="A942" s="130"/>
      <c r="B942" s="130"/>
      <c r="C942" s="130"/>
      <c r="D942" s="130"/>
      <c r="E942" s="163"/>
      <c r="F942" s="163"/>
      <c r="G942" s="163"/>
      <c r="H942" s="130"/>
      <c r="I942" s="130"/>
      <c r="J942" s="130"/>
      <c r="K942" s="130"/>
      <c r="L942" s="163"/>
      <c r="M942" s="130"/>
      <c r="N942" s="130"/>
      <c r="O942" s="130"/>
      <c r="P942" s="130"/>
      <c r="Q942" s="130"/>
      <c r="R942" s="130"/>
      <c r="S942" s="130"/>
      <c r="T942" s="130"/>
      <c r="U942" s="130"/>
      <c r="V942" s="130"/>
      <c r="W942" s="130"/>
      <c r="X942" s="163"/>
      <c r="Y942" s="163"/>
      <c r="Z942" s="163"/>
      <c r="AA942" s="163"/>
      <c r="AB942" s="163"/>
      <c r="AC942" s="163"/>
      <c r="AD942" s="163"/>
      <c r="AE942" s="163"/>
      <c r="AF942" s="163"/>
      <c r="AG942" s="163"/>
      <c r="AH942" s="163"/>
      <c r="AI942" s="163"/>
      <c r="AJ942" s="163"/>
      <c r="AK942" s="163"/>
      <c r="AL942" s="163"/>
      <c r="AM942" s="163"/>
    </row>
    <row r="943" ht="13.5" customHeight="1">
      <c r="A943" s="130"/>
      <c r="B943" s="130"/>
      <c r="C943" s="130"/>
      <c r="D943" s="130"/>
      <c r="E943" s="163"/>
      <c r="F943" s="163"/>
      <c r="G943" s="163"/>
      <c r="H943" s="130"/>
      <c r="I943" s="130"/>
      <c r="J943" s="130"/>
      <c r="K943" s="130"/>
      <c r="L943" s="163"/>
      <c r="M943" s="130"/>
      <c r="N943" s="130"/>
      <c r="O943" s="130"/>
      <c r="P943" s="130"/>
      <c r="Q943" s="130"/>
      <c r="R943" s="130"/>
      <c r="S943" s="130"/>
      <c r="T943" s="130"/>
      <c r="U943" s="130"/>
      <c r="V943" s="130"/>
      <c r="W943" s="130"/>
      <c r="X943" s="163"/>
      <c r="Y943" s="163"/>
      <c r="Z943" s="163"/>
      <c r="AA943" s="163"/>
      <c r="AB943" s="163"/>
      <c r="AC943" s="163"/>
      <c r="AD943" s="163"/>
      <c r="AE943" s="163"/>
      <c r="AF943" s="163"/>
      <c r="AG943" s="163"/>
      <c r="AH943" s="163"/>
      <c r="AI943" s="163"/>
      <c r="AJ943" s="163"/>
      <c r="AK943" s="163"/>
      <c r="AL943" s="163"/>
      <c r="AM943" s="163"/>
    </row>
    <row r="944" ht="13.5" customHeight="1">
      <c r="A944" s="130"/>
      <c r="B944" s="130"/>
      <c r="C944" s="130"/>
      <c r="D944" s="130"/>
      <c r="E944" s="163"/>
      <c r="F944" s="163"/>
      <c r="G944" s="163"/>
      <c r="H944" s="130"/>
      <c r="I944" s="130"/>
      <c r="J944" s="130"/>
      <c r="K944" s="130"/>
      <c r="L944" s="163"/>
      <c r="M944" s="130"/>
      <c r="N944" s="130"/>
      <c r="O944" s="130"/>
      <c r="P944" s="130"/>
      <c r="Q944" s="130"/>
      <c r="R944" s="130"/>
      <c r="S944" s="130"/>
      <c r="T944" s="130"/>
      <c r="U944" s="130"/>
      <c r="V944" s="130"/>
      <c r="W944" s="130"/>
      <c r="X944" s="163"/>
      <c r="Y944" s="163"/>
      <c r="Z944" s="163"/>
      <c r="AA944" s="163"/>
      <c r="AB944" s="163"/>
      <c r="AC944" s="163"/>
      <c r="AD944" s="163"/>
      <c r="AE944" s="163"/>
      <c r="AF944" s="163"/>
      <c r="AG944" s="163"/>
      <c r="AH944" s="163"/>
      <c r="AI944" s="163"/>
      <c r="AJ944" s="163"/>
      <c r="AK944" s="163"/>
      <c r="AL944" s="163"/>
      <c r="AM944" s="163"/>
    </row>
    <row r="945" ht="13.5" customHeight="1">
      <c r="A945" s="130"/>
      <c r="B945" s="130"/>
      <c r="C945" s="130"/>
      <c r="D945" s="130"/>
      <c r="E945" s="163"/>
      <c r="F945" s="163"/>
      <c r="G945" s="163"/>
      <c r="H945" s="130"/>
      <c r="I945" s="130"/>
      <c r="J945" s="130"/>
      <c r="K945" s="130"/>
      <c r="L945" s="163"/>
      <c r="M945" s="130"/>
      <c r="N945" s="130"/>
      <c r="O945" s="130"/>
      <c r="P945" s="130"/>
      <c r="Q945" s="130"/>
      <c r="R945" s="130"/>
      <c r="S945" s="130"/>
      <c r="T945" s="130"/>
      <c r="U945" s="130"/>
      <c r="V945" s="130"/>
      <c r="W945" s="130"/>
      <c r="X945" s="163"/>
      <c r="Y945" s="163"/>
      <c r="Z945" s="163"/>
      <c r="AA945" s="163"/>
      <c r="AB945" s="163"/>
      <c r="AC945" s="163"/>
      <c r="AD945" s="163"/>
      <c r="AE945" s="163"/>
      <c r="AF945" s="163"/>
      <c r="AG945" s="163"/>
      <c r="AH945" s="163"/>
      <c r="AI945" s="163"/>
      <c r="AJ945" s="163"/>
      <c r="AK945" s="163"/>
      <c r="AL945" s="163"/>
      <c r="AM945" s="163"/>
    </row>
    <row r="946" ht="13.5" customHeight="1">
      <c r="A946" s="130"/>
      <c r="B946" s="130"/>
      <c r="C946" s="130"/>
      <c r="D946" s="130"/>
      <c r="E946" s="163"/>
      <c r="F946" s="163"/>
      <c r="G946" s="163"/>
      <c r="H946" s="130"/>
      <c r="I946" s="130"/>
      <c r="J946" s="130"/>
      <c r="K946" s="130"/>
      <c r="L946" s="163"/>
      <c r="M946" s="130"/>
      <c r="N946" s="130"/>
      <c r="O946" s="130"/>
      <c r="P946" s="130"/>
      <c r="Q946" s="130"/>
      <c r="R946" s="130"/>
      <c r="S946" s="130"/>
      <c r="T946" s="130"/>
      <c r="U946" s="130"/>
      <c r="V946" s="130"/>
      <c r="W946" s="130"/>
      <c r="X946" s="163"/>
      <c r="Y946" s="163"/>
      <c r="Z946" s="163"/>
      <c r="AA946" s="163"/>
      <c r="AB946" s="163"/>
      <c r="AC946" s="163"/>
      <c r="AD946" s="163"/>
      <c r="AE946" s="163"/>
      <c r="AF946" s="163"/>
      <c r="AG946" s="163"/>
      <c r="AH946" s="163"/>
      <c r="AI946" s="163"/>
      <c r="AJ946" s="163"/>
      <c r="AK946" s="163"/>
      <c r="AL946" s="163"/>
      <c r="AM946" s="163"/>
    </row>
    <row r="947" ht="13.5" customHeight="1">
      <c r="A947" s="130"/>
      <c r="B947" s="130"/>
      <c r="C947" s="130"/>
      <c r="D947" s="130"/>
      <c r="E947" s="163"/>
      <c r="F947" s="163"/>
      <c r="G947" s="163"/>
      <c r="H947" s="130"/>
      <c r="I947" s="130"/>
      <c r="J947" s="130"/>
      <c r="K947" s="130"/>
      <c r="L947" s="163"/>
      <c r="M947" s="130"/>
      <c r="N947" s="130"/>
      <c r="O947" s="130"/>
      <c r="P947" s="130"/>
      <c r="Q947" s="130"/>
      <c r="R947" s="130"/>
      <c r="S947" s="130"/>
      <c r="T947" s="130"/>
      <c r="U947" s="130"/>
      <c r="V947" s="130"/>
      <c r="W947" s="130"/>
      <c r="X947" s="163"/>
      <c r="Y947" s="163"/>
      <c r="Z947" s="163"/>
      <c r="AA947" s="163"/>
      <c r="AB947" s="163"/>
      <c r="AC947" s="163"/>
      <c r="AD947" s="163"/>
      <c r="AE947" s="163"/>
      <c r="AF947" s="163"/>
      <c r="AG947" s="163"/>
      <c r="AH947" s="163"/>
      <c r="AI947" s="163"/>
      <c r="AJ947" s="163"/>
      <c r="AK947" s="163"/>
      <c r="AL947" s="163"/>
      <c r="AM947" s="163"/>
    </row>
    <row r="948" ht="13.5" customHeight="1">
      <c r="A948" s="130"/>
      <c r="B948" s="130"/>
      <c r="C948" s="130"/>
      <c r="D948" s="130"/>
      <c r="E948" s="163"/>
      <c r="F948" s="163"/>
      <c r="G948" s="163"/>
      <c r="H948" s="130"/>
      <c r="I948" s="130"/>
      <c r="J948" s="130"/>
      <c r="K948" s="130"/>
      <c r="L948" s="163"/>
      <c r="M948" s="130"/>
      <c r="N948" s="130"/>
      <c r="O948" s="130"/>
      <c r="P948" s="130"/>
      <c r="Q948" s="130"/>
      <c r="R948" s="130"/>
      <c r="S948" s="130"/>
      <c r="T948" s="130"/>
      <c r="U948" s="130"/>
      <c r="V948" s="130"/>
      <c r="W948" s="130"/>
      <c r="X948" s="163"/>
      <c r="Y948" s="163"/>
      <c r="Z948" s="163"/>
      <c r="AA948" s="163"/>
      <c r="AB948" s="163"/>
      <c r="AC948" s="163"/>
      <c r="AD948" s="163"/>
      <c r="AE948" s="163"/>
      <c r="AF948" s="163"/>
      <c r="AG948" s="163"/>
      <c r="AH948" s="163"/>
      <c r="AI948" s="163"/>
      <c r="AJ948" s="163"/>
      <c r="AK948" s="163"/>
      <c r="AL948" s="163"/>
      <c r="AM948" s="163"/>
    </row>
    <row r="949" ht="13.5" customHeight="1">
      <c r="A949" s="130"/>
      <c r="B949" s="130"/>
      <c r="C949" s="130"/>
      <c r="D949" s="130"/>
      <c r="E949" s="163"/>
      <c r="F949" s="163"/>
      <c r="G949" s="163"/>
      <c r="H949" s="130"/>
      <c r="I949" s="130"/>
      <c r="J949" s="130"/>
      <c r="K949" s="130"/>
      <c r="L949" s="163"/>
      <c r="M949" s="130"/>
      <c r="N949" s="130"/>
      <c r="O949" s="130"/>
      <c r="P949" s="130"/>
      <c r="Q949" s="130"/>
      <c r="R949" s="130"/>
      <c r="S949" s="130"/>
      <c r="T949" s="130"/>
      <c r="U949" s="130"/>
      <c r="V949" s="130"/>
      <c r="W949" s="130"/>
      <c r="X949" s="163"/>
      <c r="Y949" s="163"/>
      <c r="Z949" s="163"/>
      <c r="AA949" s="163"/>
      <c r="AB949" s="163"/>
      <c r="AC949" s="163"/>
      <c r="AD949" s="163"/>
      <c r="AE949" s="163"/>
      <c r="AF949" s="163"/>
      <c r="AG949" s="163"/>
      <c r="AH949" s="163"/>
      <c r="AI949" s="163"/>
      <c r="AJ949" s="163"/>
      <c r="AK949" s="163"/>
      <c r="AL949" s="163"/>
      <c r="AM949" s="163"/>
    </row>
    <row r="950" ht="13.5" customHeight="1">
      <c r="A950" s="130"/>
      <c r="B950" s="130"/>
      <c r="C950" s="130"/>
      <c r="D950" s="130"/>
      <c r="E950" s="163"/>
      <c r="F950" s="163"/>
      <c r="G950" s="163"/>
      <c r="H950" s="130"/>
      <c r="I950" s="130"/>
      <c r="J950" s="130"/>
      <c r="K950" s="130"/>
      <c r="L950" s="163"/>
      <c r="M950" s="130"/>
      <c r="N950" s="130"/>
      <c r="O950" s="130"/>
      <c r="P950" s="130"/>
      <c r="Q950" s="130"/>
      <c r="R950" s="130"/>
      <c r="S950" s="130"/>
      <c r="T950" s="130"/>
      <c r="U950" s="130"/>
      <c r="V950" s="130"/>
      <c r="W950" s="130"/>
      <c r="X950" s="163"/>
      <c r="Y950" s="163"/>
      <c r="Z950" s="163"/>
      <c r="AA950" s="163"/>
      <c r="AB950" s="163"/>
      <c r="AC950" s="163"/>
      <c r="AD950" s="163"/>
      <c r="AE950" s="163"/>
      <c r="AF950" s="163"/>
      <c r="AG950" s="163"/>
      <c r="AH950" s="163"/>
      <c r="AI950" s="163"/>
      <c r="AJ950" s="163"/>
      <c r="AK950" s="163"/>
      <c r="AL950" s="163"/>
      <c r="AM950" s="163"/>
    </row>
    <row r="951" ht="13.5" customHeight="1">
      <c r="A951" s="130"/>
      <c r="B951" s="130"/>
      <c r="C951" s="130"/>
      <c r="D951" s="130"/>
      <c r="E951" s="163"/>
      <c r="F951" s="163"/>
      <c r="G951" s="163"/>
      <c r="H951" s="130"/>
      <c r="I951" s="130"/>
      <c r="J951" s="130"/>
      <c r="K951" s="130"/>
      <c r="L951" s="163"/>
      <c r="M951" s="130"/>
      <c r="N951" s="130"/>
      <c r="O951" s="130"/>
      <c r="P951" s="130"/>
      <c r="Q951" s="130"/>
      <c r="R951" s="130"/>
      <c r="S951" s="130"/>
      <c r="T951" s="130"/>
      <c r="U951" s="130"/>
      <c r="V951" s="130"/>
      <c r="W951" s="130"/>
      <c r="X951" s="163"/>
      <c r="Y951" s="163"/>
      <c r="Z951" s="163"/>
      <c r="AA951" s="163"/>
      <c r="AB951" s="163"/>
      <c r="AC951" s="163"/>
      <c r="AD951" s="163"/>
      <c r="AE951" s="163"/>
      <c r="AF951" s="163"/>
      <c r="AG951" s="163"/>
      <c r="AH951" s="163"/>
      <c r="AI951" s="163"/>
      <c r="AJ951" s="163"/>
      <c r="AK951" s="163"/>
      <c r="AL951" s="163"/>
      <c r="AM951" s="163"/>
    </row>
    <row r="952" ht="13.5" customHeight="1">
      <c r="A952" s="130"/>
      <c r="B952" s="130"/>
      <c r="C952" s="130"/>
      <c r="D952" s="130"/>
      <c r="E952" s="163"/>
      <c r="F952" s="163"/>
      <c r="G952" s="163"/>
      <c r="H952" s="130"/>
      <c r="I952" s="130"/>
      <c r="J952" s="130"/>
      <c r="K952" s="130"/>
      <c r="L952" s="163"/>
      <c r="M952" s="130"/>
      <c r="N952" s="130"/>
      <c r="O952" s="130"/>
      <c r="P952" s="130"/>
      <c r="Q952" s="130"/>
      <c r="R952" s="130"/>
      <c r="S952" s="130"/>
      <c r="T952" s="130"/>
      <c r="U952" s="130"/>
      <c r="V952" s="130"/>
      <c r="W952" s="130"/>
      <c r="X952" s="163"/>
      <c r="Y952" s="163"/>
      <c r="Z952" s="163"/>
      <c r="AA952" s="163"/>
      <c r="AB952" s="163"/>
      <c r="AC952" s="163"/>
      <c r="AD952" s="163"/>
      <c r="AE952" s="163"/>
      <c r="AF952" s="163"/>
      <c r="AG952" s="163"/>
      <c r="AH952" s="163"/>
      <c r="AI952" s="163"/>
      <c r="AJ952" s="163"/>
      <c r="AK952" s="163"/>
      <c r="AL952" s="163"/>
      <c r="AM952" s="163"/>
    </row>
    <row r="953" ht="13.5" customHeight="1">
      <c r="A953" s="130"/>
      <c r="B953" s="130"/>
      <c r="C953" s="130"/>
      <c r="D953" s="130"/>
      <c r="E953" s="163"/>
      <c r="F953" s="163"/>
      <c r="G953" s="163"/>
      <c r="H953" s="130"/>
      <c r="I953" s="130"/>
      <c r="J953" s="130"/>
      <c r="K953" s="130"/>
      <c r="L953" s="163"/>
      <c r="M953" s="130"/>
      <c r="N953" s="130"/>
      <c r="O953" s="130"/>
      <c r="P953" s="130"/>
      <c r="Q953" s="130"/>
      <c r="R953" s="130"/>
      <c r="S953" s="130"/>
      <c r="T953" s="130"/>
      <c r="U953" s="130"/>
      <c r="V953" s="130"/>
      <c r="W953" s="130"/>
      <c r="X953" s="163"/>
      <c r="Y953" s="163"/>
      <c r="Z953" s="163"/>
      <c r="AA953" s="163"/>
      <c r="AB953" s="163"/>
      <c r="AC953" s="163"/>
      <c r="AD953" s="163"/>
      <c r="AE953" s="163"/>
      <c r="AF953" s="163"/>
      <c r="AG953" s="163"/>
      <c r="AH953" s="163"/>
      <c r="AI953" s="163"/>
      <c r="AJ953" s="163"/>
      <c r="AK953" s="163"/>
      <c r="AL953" s="163"/>
      <c r="AM953" s="163"/>
    </row>
    <row r="954" ht="13.5" customHeight="1">
      <c r="A954" s="130"/>
      <c r="B954" s="130"/>
      <c r="C954" s="130"/>
      <c r="D954" s="130"/>
      <c r="E954" s="163"/>
      <c r="F954" s="163"/>
      <c r="G954" s="163"/>
      <c r="H954" s="130"/>
      <c r="I954" s="130"/>
      <c r="J954" s="130"/>
      <c r="K954" s="130"/>
      <c r="L954" s="163"/>
      <c r="M954" s="130"/>
      <c r="N954" s="130"/>
      <c r="O954" s="130"/>
      <c r="P954" s="130"/>
      <c r="Q954" s="130"/>
      <c r="R954" s="130"/>
      <c r="S954" s="130"/>
      <c r="T954" s="130"/>
      <c r="U954" s="130"/>
      <c r="V954" s="130"/>
      <c r="W954" s="130"/>
      <c r="X954" s="163"/>
      <c r="Y954" s="163"/>
      <c r="Z954" s="163"/>
      <c r="AA954" s="163"/>
      <c r="AB954" s="163"/>
      <c r="AC954" s="163"/>
      <c r="AD954" s="163"/>
      <c r="AE954" s="163"/>
      <c r="AF954" s="163"/>
      <c r="AG954" s="163"/>
      <c r="AH954" s="163"/>
      <c r="AI954" s="163"/>
      <c r="AJ954" s="163"/>
      <c r="AK954" s="163"/>
      <c r="AL954" s="163"/>
      <c r="AM954" s="163"/>
    </row>
    <row r="955" ht="13.5" customHeight="1">
      <c r="A955" s="130"/>
      <c r="B955" s="130"/>
      <c r="C955" s="130"/>
      <c r="D955" s="130"/>
      <c r="E955" s="163"/>
      <c r="F955" s="163"/>
      <c r="G955" s="163"/>
      <c r="H955" s="130"/>
      <c r="I955" s="130"/>
      <c r="J955" s="130"/>
      <c r="K955" s="130"/>
      <c r="L955" s="163"/>
      <c r="M955" s="130"/>
      <c r="N955" s="130"/>
      <c r="O955" s="130"/>
      <c r="P955" s="130"/>
      <c r="Q955" s="130"/>
      <c r="R955" s="130"/>
      <c r="S955" s="130"/>
      <c r="T955" s="130"/>
      <c r="U955" s="130"/>
      <c r="V955" s="130"/>
      <c r="W955" s="130"/>
      <c r="X955" s="163"/>
      <c r="Y955" s="163"/>
      <c r="Z955" s="163"/>
      <c r="AA955" s="163"/>
      <c r="AB955" s="163"/>
      <c r="AC955" s="163"/>
      <c r="AD955" s="163"/>
      <c r="AE955" s="163"/>
      <c r="AF955" s="163"/>
      <c r="AG955" s="163"/>
      <c r="AH955" s="163"/>
      <c r="AI955" s="163"/>
      <c r="AJ955" s="163"/>
      <c r="AK955" s="163"/>
      <c r="AL955" s="163"/>
      <c r="AM955" s="163"/>
    </row>
    <row r="956" ht="13.5" customHeight="1">
      <c r="A956" s="130"/>
      <c r="B956" s="130"/>
      <c r="C956" s="130"/>
      <c r="D956" s="130"/>
      <c r="E956" s="163"/>
      <c r="F956" s="163"/>
      <c r="G956" s="163"/>
      <c r="H956" s="130"/>
      <c r="I956" s="130"/>
      <c r="J956" s="130"/>
      <c r="K956" s="130"/>
      <c r="L956" s="163"/>
      <c r="M956" s="130"/>
      <c r="N956" s="130"/>
      <c r="O956" s="130"/>
      <c r="P956" s="130"/>
      <c r="Q956" s="130"/>
      <c r="R956" s="130"/>
      <c r="S956" s="130"/>
      <c r="T956" s="130"/>
      <c r="U956" s="130"/>
      <c r="V956" s="130"/>
      <c r="W956" s="130"/>
      <c r="X956" s="163"/>
      <c r="Y956" s="163"/>
      <c r="Z956" s="163"/>
      <c r="AA956" s="163"/>
      <c r="AB956" s="163"/>
      <c r="AC956" s="163"/>
      <c r="AD956" s="163"/>
      <c r="AE956" s="163"/>
      <c r="AF956" s="163"/>
      <c r="AG956" s="163"/>
      <c r="AH956" s="163"/>
      <c r="AI956" s="163"/>
      <c r="AJ956" s="163"/>
      <c r="AK956" s="163"/>
      <c r="AL956" s="163"/>
      <c r="AM956" s="163"/>
    </row>
    <row r="957" ht="13.5" customHeight="1">
      <c r="A957" s="130"/>
      <c r="B957" s="130"/>
      <c r="C957" s="130"/>
      <c r="D957" s="130"/>
      <c r="E957" s="163"/>
      <c r="F957" s="163"/>
      <c r="G957" s="163"/>
      <c r="H957" s="130"/>
      <c r="I957" s="130"/>
      <c r="J957" s="130"/>
      <c r="K957" s="130"/>
      <c r="L957" s="163"/>
      <c r="M957" s="130"/>
      <c r="N957" s="130"/>
      <c r="O957" s="130"/>
      <c r="P957" s="130"/>
      <c r="Q957" s="130"/>
      <c r="R957" s="130"/>
      <c r="S957" s="130"/>
      <c r="T957" s="130"/>
      <c r="U957" s="130"/>
      <c r="V957" s="130"/>
      <c r="W957" s="130"/>
      <c r="X957" s="163"/>
      <c r="Y957" s="163"/>
      <c r="Z957" s="163"/>
      <c r="AA957" s="163"/>
      <c r="AB957" s="163"/>
      <c r="AC957" s="163"/>
      <c r="AD957" s="163"/>
      <c r="AE957" s="163"/>
      <c r="AF957" s="163"/>
      <c r="AG957" s="163"/>
      <c r="AH957" s="163"/>
      <c r="AI957" s="163"/>
      <c r="AJ957" s="163"/>
      <c r="AK957" s="163"/>
      <c r="AL957" s="163"/>
      <c r="AM957" s="163"/>
    </row>
    <row r="958" ht="13.5" customHeight="1">
      <c r="A958" s="130"/>
      <c r="B958" s="130"/>
      <c r="C958" s="130"/>
      <c r="D958" s="130"/>
      <c r="E958" s="163"/>
      <c r="F958" s="163"/>
      <c r="G958" s="163"/>
      <c r="H958" s="130"/>
      <c r="I958" s="130"/>
      <c r="J958" s="130"/>
      <c r="K958" s="130"/>
      <c r="L958" s="163"/>
      <c r="M958" s="130"/>
      <c r="N958" s="130"/>
      <c r="O958" s="130"/>
      <c r="P958" s="130"/>
      <c r="Q958" s="130"/>
      <c r="R958" s="130"/>
      <c r="S958" s="130"/>
      <c r="T958" s="130"/>
      <c r="U958" s="130"/>
      <c r="V958" s="130"/>
      <c r="W958" s="130"/>
      <c r="X958" s="163"/>
      <c r="Y958" s="163"/>
      <c r="Z958" s="163"/>
      <c r="AA958" s="163"/>
      <c r="AB958" s="163"/>
      <c r="AC958" s="163"/>
      <c r="AD958" s="163"/>
      <c r="AE958" s="163"/>
      <c r="AF958" s="163"/>
      <c r="AG958" s="163"/>
      <c r="AH958" s="163"/>
      <c r="AI958" s="163"/>
      <c r="AJ958" s="163"/>
      <c r="AK958" s="163"/>
      <c r="AL958" s="163"/>
      <c r="AM958" s="163"/>
    </row>
    <row r="959" ht="13.5" customHeight="1">
      <c r="A959" s="130"/>
      <c r="B959" s="130"/>
      <c r="C959" s="130"/>
      <c r="D959" s="130"/>
      <c r="E959" s="163"/>
      <c r="F959" s="163"/>
      <c r="G959" s="163"/>
      <c r="H959" s="130"/>
      <c r="I959" s="130"/>
      <c r="J959" s="130"/>
      <c r="K959" s="130"/>
      <c r="L959" s="163"/>
      <c r="M959" s="130"/>
      <c r="N959" s="130"/>
      <c r="O959" s="130"/>
      <c r="P959" s="130"/>
      <c r="Q959" s="130"/>
      <c r="R959" s="130"/>
      <c r="S959" s="130"/>
      <c r="T959" s="130"/>
      <c r="U959" s="130"/>
      <c r="V959" s="130"/>
      <c r="W959" s="130"/>
      <c r="X959" s="163"/>
      <c r="Y959" s="163"/>
      <c r="Z959" s="163"/>
      <c r="AA959" s="163"/>
      <c r="AB959" s="163"/>
      <c r="AC959" s="163"/>
      <c r="AD959" s="163"/>
      <c r="AE959" s="163"/>
      <c r="AF959" s="163"/>
      <c r="AG959" s="163"/>
      <c r="AH959" s="163"/>
      <c r="AI959" s="163"/>
      <c r="AJ959" s="163"/>
      <c r="AK959" s="163"/>
      <c r="AL959" s="163"/>
      <c r="AM959" s="163"/>
    </row>
    <row r="960" ht="13.5" customHeight="1">
      <c r="A960" s="130"/>
      <c r="B960" s="130"/>
      <c r="C960" s="130"/>
      <c r="D960" s="130"/>
      <c r="E960" s="163"/>
      <c r="F960" s="163"/>
      <c r="G960" s="163"/>
      <c r="H960" s="130"/>
      <c r="I960" s="130"/>
      <c r="J960" s="130"/>
      <c r="K960" s="130"/>
      <c r="L960" s="163"/>
      <c r="M960" s="130"/>
      <c r="N960" s="130"/>
      <c r="O960" s="130"/>
      <c r="P960" s="130"/>
      <c r="Q960" s="130"/>
      <c r="R960" s="130"/>
      <c r="S960" s="130"/>
      <c r="T960" s="130"/>
      <c r="U960" s="130"/>
      <c r="V960" s="130"/>
      <c r="W960" s="130"/>
      <c r="X960" s="163"/>
      <c r="Y960" s="163"/>
      <c r="Z960" s="163"/>
      <c r="AA960" s="163"/>
      <c r="AB960" s="163"/>
      <c r="AC960" s="163"/>
      <c r="AD960" s="163"/>
      <c r="AE960" s="163"/>
      <c r="AF960" s="163"/>
      <c r="AG960" s="163"/>
      <c r="AH960" s="163"/>
      <c r="AI960" s="163"/>
      <c r="AJ960" s="163"/>
      <c r="AK960" s="163"/>
      <c r="AL960" s="163"/>
      <c r="AM960" s="163"/>
    </row>
    <row r="961" ht="13.5" customHeight="1">
      <c r="A961" s="130"/>
      <c r="B961" s="130"/>
      <c r="C961" s="130"/>
      <c r="D961" s="130"/>
      <c r="E961" s="163"/>
      <c r="F961" s="163"/>
      <c r="G961" s="163"/>
      <c r="H961" s="130"/>
      <c r="I961" s="130"/>
      <c r="J961" s="130"/>
      <c r="K961" s="130"/>
      <c r="L961" s="163"/>
      <c r="M961" s="130"/>
      <c r="N961" s="130"/>
      <c r="O961" s="130"/>
      <c r="P961" s="130"/>
      <c r="Q961" s="130"/>
      <c r="R961" s="130"/>
      <c r="S961" s="130"/>
      <c r="T961" s="130"/>
      <c r="U961" s="130"/>
      <c r="V961" s="130"/>
      <c r="W961" s="130"/>
      <c r="X961" s="163"/>
      <c r="Y961" s="163"/>
      <c r="Z961" s="163"/>
      <c r="AA961" s="163"/>
      <c r="AB961" s="163"/>
      <c r="AC961" s="163"/>
      <c r="AD961" s="163"/>
      <c r="AE961" s="163"/>
      <c r="AF961" s="163"/>
      <c r="AG961" s="163"/>
      <c r="AH961" s="163"/>
      <c r="AI961" s="163"/>
      <c r="AJ961" s="163"/>
      <c r="AK961" s="163"/>
      <c r="AL961" s="163"/>
      <c r="AM961" s="163"/>
    </row>
    <row r="962" ht="13.5" customHeight="1">
      <c r="A962" s="130"/>
      <c r="B962" s="130"/>
      <c r="C962" s="130"/>
      <c r="D962" s="130"/>
      <c r="E962" s="163"/>
      <c r="F962" s="163"/>
      <c r="G962" s="163"/>
      <c r="H962" s="130"/>
      <c r="I962" s="130"/>
      <c r="J962" s="130"/>
      <c r="K962" s="130"/>
      <c r="L962" s="163"/>
      <c r="M962" s="130"/>
      <c r="N962" s="130"/>
      <c r="O962" s="130"/>
      <c r="P962" s="130"/>
      <c r="Q962" s="130"/>
      <c r="R962" s="130"/>
      <c r="S962" s="130"/>
      <c r="T962" s="130"/>
      <c r="U962" s="130"/>
      <c r="V962" s="130"/>
      <c r="W962" s="130"/>
      <c r="X962" s="163"/>
      <c r="Y962" s="163"/>
      <c r="Z962" s="163"/>
      <c r="AA962" s="163"/>
      <c r="AB962" s="163"/>
      <c r="AC962" s="163"/>
      <c r="AD962" s="163"/>
      <c r="AE962" s="163"/>
      <c r="AF962" s="163"/>
      <c r="AG962" s="163"/>
      <c r="AH962" s="163"/>
      <c r="AI962" s="163"/>
      <c r="AJ962" s="163"/>
      <c r="AK962" s="163"/>
      <c r="AL962" s="163"/>
      <c r="AM962" s="163"/>
    </row>
    <row r="963" ht="13.5" customHeight="1">
      <c r="A963" s="130"/>
      <c r="B963" s="130"/>
      <c r="C963" s="130"/>
      <c r="D963" s="130"/>
      <c r="E963" s="163"/>
      <c r="F963" s="163"/>
      <c r="G963" s="163"/>
      <c r="H963" s="130"/>
      <c r="I963" s="130"/>
      <c r="J963" s="130"/>
      <c r="K963" s="130"/>
      <c r="L963" s="163"/>
      <c r="M963" s="130"/>
      <c r="N963" s="130"/>
      <c r="O963" s="130"/>
      <c r="P963" s="130"/>
      <c r="Q963" s="130"/>
      <c r="R963" s="130"/>
      <c r="S963" s="130"/>
      <c r="T963" s="130"/>
      <c r="U963" s="130"/>
      <c r="V963" s="130"/>
      <c r="W963" s="130"/>
      <c r="X963" s="163"/>
      <c r="Y963" s="163"/>
      <c r="Z963" s="163"/>
      <c r="AA963" s="163"/>
      <c r="AB963" s="163"/>
      <c r="AC963" s="163"/>
      <c r="AD963" s="163"/>
      <c r="AE963" s="163"/>
      <c r="AF963" s="163"/>
      <c r="AG963" s="163"/>
      <c r="AH963" s="163"/>
      <c r="AI963" s="163"/>
      <c r="AJ963" s="163"/>
      <c r="AK963" s="163"/>
      <c r="AL963" s="163"/>
      <c r="AM963" s="163"/>
    </row>
    <row r="964" ht="13.5" customHeight="1">
      <c r="A964" s="130"/>
      <c r="B964" s="130"/>
      <c r="C964" s="130"/>
      <c r="D964" s="130"/>
      <c r="E964" s="163"/>
      <c r="F964" s="163"/>
      <c r="G964" s="163"/>
      <c r="H964" s="130"/>
      <c r="I964" s="130"/>
      <c r="J964" s="130"/>
      <c r="K964" s="130"/>
      <c r="L964" s="163"/>
      <c r="M964" s="130"/>
      <c r="N964" s="130"/>
      <c r="O964" s="130"/>
      <c r="P964" s="130"/>
      <c r="Q964" s="130"/>
      <c r="R964" s="130"/>
      <c r="S964" s="130"/>
      <c r="T964" s="130"/>
      <c r="U964" s="130"/>
      <c r="V964" s="130"/>
      <c r="W964" s="130"/>
      <c r="X964" s="163"/>
      <c r="Y964" s="163"/>
      <c r="Z964" s="163"/>
      <c r="AA964" s="163"/>
      <c r="AB964" s="163"/>
      <c r="AC964" s="163"/>
      <c r="AD964" s="163"/>
      <c r="AE964" s="163"/>
      <c r="AF964" s="163"/>
      <c r="AG964" s="163"/>
      <c r="AH964" s="163"/>
      <c r="AI964" s="163"/>
      <c r="AJ964" s="163"/>
      <c r="AK964" s="163"/>
      <c r="AL964" s="163"/>
      <c r="AM964" s="163"/>
    </row>
    <row r="965" ht="13.5" customHeight="1">
      <c r="A965" s="130"/>
      <c r="B965" s="130"/>
      <c r="C965" s="130"/>
      <c r="D965" s="130"/>
      <c r="E965" s="163"/>
      <c r="F965" s="163"/>
      <c r="G965" s="163"/>
      <c r="H965" s="130"/>
      <c r="I965" s="130"/>
      <c r="J965" s="130"/>
      <c r="K965" s="130"/>
      <c r="L965" s="163"/>
      <c r="M965" s="130"/>
      <c r="N965" s="130"/>
      <c r="O965" s="130"/>
      <c r="P965" s="130"/>
      <c r="Q965" s="130"/>
      <c r="R965" s="130"/>
      <c r="S965" s="130"/>
      <c r="T965" s="130"/>
      <c r="U965" s="130"/>
      <c r="V965" s="130"/>
      <c r="W965" s="130"/>
      <c r="X965" s="163"/>
      <c r="Y965" s="163"/>
      <c r="Z965" s="163"/>
      <c r="AA965" s="163"/>
      <c r="AB965" s="163"/>
      <c r="AC965" s="163"/>
      <c r="AD965" s="163"/>
      <c r="AE965" s="163"/>
      <c r="AF965" s="163"/>
      <c r="AG965" s="163"/>
      <c r="AH965" s="163"/>
      <c r="AI965" s="163"/>
      <c r="AJ965" s="163"/>
      <c r="AK965" s="163"/>
      <c r="AL965" s="163"/>
      <c r="AM965" s="163"/>
    </row>
    <row r="966" ht="13.5" customHeight="1">
      <c r="A966" s="130"/>
      <c r="B966" s="130"/>
      <c r="C966" s="130"/>
      <c r="D966" s="130"/>
      <c r="E966" s="163"/>
      <c r="F966" s="163"/>
      <c r="G966" s="163"/>
      <c r="H966" s="130"/>
      <c r="I966" s="130"/>
      <c r="J966" s="130"/>
      <c r="K966" s="130"/>
      <c r="L966" s="163"/>
      <c r="M966" s="130"/>
      <c r="N966" s="130"/>
      <c r="O966" s="130"/>
      <c r="P966" s="130"/>
      <c r="Q966" s="130"/>
      <c r="R966" s="130"/>
      <c r="S966" s="130"/>
      <c r="T966" s="130"/>
      <c r="U966" s="130"/>
      <c r="V966" s="130"/>
      <c r="W966" s="130"/>
      <c r="X966" s="163"/>
      <c r="Y966" s="163"/>
      <c r="Z966" s="163"/>
      <c r="AA966" s="163"/>
      <c r="AB966" s="163"/>
      <c r="AC966" s="163"/>
      <c r="AD966" s="163"/>
      <c r="AE966" s="163"/>
      <c r="AF966" s="163"/>
      <c r="AG966" s="163"/>
      <c r="AH966" s="163"/>
      <c r="AI966" s="163"/>
      <c r="AJ966" s="163"/>
      <c r="AK966" s="163"/>
      <c r="AL966" s="163"/>
      <c r="AM966" s="163"/>
    </row>
    <row r="967" ht="13.5" customHeight="1">
      <c r="A967" s="130"/>
      <c r="B967" s="130"/>
      <c r="C967" s="130"/>
      <c r="D967" s="130"/>
      <c r="E967" s="163"/>
      <c r="F967" s="163"/>
      <c r="G967" s="163"/>
      <c r="H967" s="130"/>
      <c r="I967" s="130"/>
      <c r="J967" s="130"/>
      <c r="K967" s="130"/>
      <c r="L967" s="163"/>
      <c r="M967" s="130"/>
      <c r="N967" s="130"/>
      <c r="O967" s="130"/>
      <c r="P967" s="130"/>
      <c r="Q967" s="130"/>
      <c r="R967" s="130"/>
      <c r="S967" s="130"/>
      <c r="T967" s="130"/>
      <c r="U967" s="130"/>
      <c r="V967" s="130"/>
      <c r="W967" s="130"/>
      <c r="X967" s="163"/>
      <c r="Y967" s="163"/>
      <c r="Z967" s="163"/>
      <c r="AA967" s="163"/>
      <c r="AB967" s="163"/>
      <c r="AC967" s="163"/>
      <c r="AD967" s="163"/>
      <c r="AE967" s="163"/>
      <c r="AF967" s="163"/>
      <c r="AG967" s="163"/>
      <c r="AH967" s="163"/>
      <c r="AI967" s="163"/>
      <c r="AJ967" s="163"/>
      <c r="AK967" s="163"/>
      <c r="AL967" s="163"/>
      <c r="AM967" s="163"/>
    </row>
    <row r="968" ht="13.5" customHeight="1">
      <c r="A968" s="130"/>
      <c r="B968" s="130"/>
      <c r="C968" s="130"/>
      <c r="D968" s="130"/>
      <c r="E968" s="163"/>
      <c r="F968" s="163"/>
      <c r="G968" s="163"/>
      <c r="H968" s="130"/>
      <c r="I968" s="130"/>
      <c r="J968" s="130"/>
      <c r="K968" s="130"/>
      <c r="L968" s="163"/>
      <c r="M968" s="130"/>
      <c r="N968" s="130"/>
      <c r="O968" s="130"/>
      <c r="P968" s="130"/>
      <c r="Q968" s="130"/>
      <c r="R968" s="130"/>
      <c r="S968" s="130"/>
      <c r="T968" s="130"/>
      <c r="U968" s="130"/>
      <c r="V968" s="130"/>
      <c r="W968" s="130"/>
      <c r="X968" s="163"/>
      <c r="Y968" s="163"/>
      <c r="Z968" s="163"/>
      <c r="AA968" s="163"/>
      <c r="AB968" s="163"/>
      <c r="AC968" s="163"/>
      <c r="AD968" s="163"/>
      <c r="AE968" s="163"/>
      <c r="AF968" s="163"/>
      <c r="AG968" s="163"/>
      <c r="AH968" s="163"/>
      <c r="AI968" s="163"/>
      <c r="AJ968" s="163"/>
      <c r="AK968" s="163"/>
      <c r="AL968" s="163"/>
      <c r="AM968" s="163"/>
    </row>
    <row r="969" ht="13.5" customHeight="1">
      <c r="A969" s="130"/>
      <c r="B969" s="130"/>
      <c r="C969" s="130"/>
      <c r="D969" s="130"/>
      <c r="E969" s="163"/>
      <c r="F969" s="163"/>
      <c r="G969" s="163"/>
      <c r="H969" s="130"/>
      <c r="I969" s="130"/>
      <c r="J969" s="130"/>
      <c r="K969" s="130"/>
      <c r="L969" s="163"/>
      <c r="M969" s="130"/>
      <c r="N969" s="130"/>
      <c r="O969" s="130"/>
      <c r="P969" s="130"/>
      <c r="Q969" s="130"/>
      <c r="R969" s="130"/>
      <c r="S969" s="130"/>
      <c r="T969" s="130"/>
      <c r="U969" s="130"/>
      <c r="V969" s="130"/>
      <c r="W969" s="130"/>
      <c r="X969" s="163"/>
      <c r="Y969" s="163"/>
      <c r="Z969" s="163"/>
      <c r="AA969" s="163"/>
      <c r="AB969" s="163"/>
      <c r="AC969" s="163"/>
      <c r="AD969" s="163"/>
      <c r="AE969" s="163"/>
      <c r="AF969" s="163"/>
      <c r="AG969" s="163"/>
      <c r="AH969" s="163"/>
      <c r="AI969" s="163"/>
      <c r="AJ969" s="163"/>
      <c r="AK969" s="163"/>
      <c r="AL969" s="163"/>
      <c r="AM969" s="163"/>
    </row>
    <row r="970" ht="13.5" customHeight="1">
      <c r="A970" s="130"/>
      <c r="B970" s="130"/>
      <c r="C970" s="130"/>
      <c r="D970" s="130"/>
      <c r="E970" s="163"/>
      <c r="F970" s="163"/>
      <c r="G970" s="163"/>
      <c r="H970" s="130"/>
      <c r="I970" s="130"/>
      <c r="J970" s="130"/>
      <c r="K970" s="130"/>
      <c r="L970" s="163"/>
      <c r="M970" s="130"/>
      <c r="N970" s="130"/>
      <c r="O970" s="130"/>
      <c r="P970" s="130"/>
      <c r="Q970" s="130"/>
      <c r="R970" s="130"/>
      <c r="S970" s="130"/>
      <c r="T970" s="130"/>
      <c r="U970" s="130"/>
      <c r="V970" s="130"/>
      <c r="W970" s="130"/>
      <c r="X970" s="163"/>
      <c r="Y970" s="163"/>
      <c r="Z970" s="163"/>
      <c r="AA970" s="163"/>
      <c r="AB970" s="163"/>
      <c r="AC970" s="163"/>
      <c r="AD970" s="163"/>
      <c r="AE970" s="163"/>
      <c r="AF970" s="163"/>
      <c r="AG970" s="163"/>
      <c r="AH970" s="163"/>
      <c r="AI970" s="163"/>
      <c r="AJ970" s="163"/>
      <c r="AK970" s="163"/>
      <c r="AL970" s="163"/>
      <c r="AM970" s="163"/>
    </row>
    <row r="971" ht="13.5" customHeight="1">
      <c r="A971" s="130"/>
      <c r="B971" s="130"/>
      <c r="C971" s="130"/>
      <c r="D971" s="130"/>
      <c r="E971" s="163"/>
      <c r="F971" s="163"/>
      <c r="G971" s="163"/>
      <c r="H971" s="130"/>
      <c r="I971" s="130"/>
      <c r="J971" s="130"/>
      <c r="K971" s="130"/>
      <c r="L971" s="163"/>
      <c r="M971" s="130"/>
      <c r="N971" s="130"/>
      <c r="O971" s="130"/>
      <c r="P971" s="130"/>
      <c r="Q971" s="130"/>
      <c r="R971" s="130"/>
      <c r="S971" s="130"/>
      <c r="T971" s="130"/>
      <c r="U971" s="130"/>
      <c r="V971" s="130"/>
      <c r="W971" s="130"/>
      <c r="X971" s="163"/>
      <c r="Y971" s="163"/>
      <c r="Z971" s="163"/>
      <c r="AA971" s="163"/>
      <c r="AB971" s="163"/>
      <c r="AC971" s="163"/>
      <c r="AD971" s="163"/>
      <c r="AE971" s="163"/>
      <c r="AF971" s="163"/>
      <c r="AG971" s="163"/>
      <c r="AH971" s="163"/>
      <c r="AI971" s="163"/>
      <c r="AJ971" s="163"/>
      <c r="AK971" s="163"/>
      <c r="AL971" s="163"/>
      <c r="AM971" s="163"/>
    </row>
    <row r="972" ht="13.5" customHeight="1">
      <c r="A972" s="130"/>
      <c r="B972" s="130"/>
      <c r="C972" s="130"/>
      <c r="D972" s="130"/>
      <c r="E972" s="163"/>
      <c r="F972" s="163"/>
      <c r="G972" s="163"/>
      <c r="H972" s="130"/>
      <c r="I972" s="130"/>
      <c r="J972" s="130"/>
      <c r="K972" s="130"/>
      <c r="L972" s="163"/>
      <c r="M972" s="130"/>
      <c r="N972" s="130"/>
      <c r="O972" s="130"/>
      <c r="P972" s="130"/>
      <c r="Q972" s="130"/>
      <c r="R972" s="130"/>
      <c r="S972" s="130"/>
      <c r="T972" s="130"/>
      <c r="U972" s="130"/>
      <c r="V972" s="130"/>
      <c r="W972" s="130"/>
      <c r="X972" s="163"/>
      <c r="Y972" s="163"/>
      <c r="Z972" s="163"/>
      <c r="AA972" s="163"/>
      <c r="AB972" s="163"/>
      <c r="AC972" s="163"/>
      <c r="AD972" s="163"/>
      <c r="AE972" s="163"/>
      <c r="AF972" s="163"/>
      <c r="AG972" s="163"/>
      <c r="AH972" s="163"/>
      <c r="AI972" s="163"/>
      <c r="AJ972" s="163"/>
      <c r="AK972" s="163"/>
      <c r="AL972" s="163"/>
      <c r="AM972" s="163"/>
    </row>
    <row r="973" ht="13.5" customHeight="1">
      <c r="A973" s="130"/>
      <c r="B973" s="130"/>
      <c r="C973" s="130"/>
      <c r="D973" s="130"/>
      <c r="E973" s="163"/>
      <c r="F973" s="163"/>
      <c r="G973" s="163"/>
      <c r="H973" s="130"/>
      <c r="I973" s="130"/>
      <c r="J973" s="130"/>
      <c r="K973" s="130"/>
      <c r="L973" s="163"/>
      <c r="M973" s="130"/>
      <c r="N973" s="130"/>
      <c r="O973" s="130"/>
      <c r="P973" s="130"/>
      <c r="Q973" s="130"/>
      <c r="R973" s="130"/>
      <c r="S973" s="130"/>
      <c r="T973" s="130"/>
      <c r="U973" s="130"/>
      <c r="V973" s="130"/>
      <c r="W973" s="130"/>
      <c r="X973" s="163"/>
      <c r="Y973" s="163"/>
      <c r="Z973" s="163"/>
      <c r="AA973" s="163"/>
      <c r="AB973" s="163"/>
      <c r="AC973" s="163"/>
      <c r="AD973" s="163"/>
      <c r="AE973" s="163"/>
      <c r="AF973" s="163"/>
      <c r="AG973" s="163"/>
      <c r="AH973" s="163"/>
      <c r="AI973" s="163"/>
      <c r="AJ973" s="163"/>
      <c r="AK973" s="163"/>
      <c r="AL973" s="163"/>
      <c r="AM973" s="163"/>
    </row>
    <row r="974" ht="13.5" customHeight="1">
      <c r="A974" s="130"/>
      <c r="B974" s="130"/>
      <c r="C974" s="130"/>
      <c r="D974" s="130"/>
      <c r="E974" s="163"/>
      <c r="F974" s="163"/>
      <c r="G974" s="163"/>
      <c r="H974" s="130"/>
      <c r="I974" s="130"/>
      <c r="J974" s="130"/>
      <c r="K974" s="130"/>
      <c r="L974" s="163"/>
      <c r="M974" s="130"/>
      <c r="N974" s="130"/>
      <c r="O974" s="130"/>
      <c r="P974" s="130"/>
      <c r="Q974" s="130"/>
      <c r="R974" s="130"/>
      <c r="S974" s="130"/>
      <c r="T974" s="130"/>
      <c r="U974" s="130"/>
      <c r="V974" s="130"/>
      <c r="W974" s="130"/>
      <c r="X974" s="163"/>
      <c r="Y974" s="163"/>
      <c r="Z974" s="163"/>
      <c r="AA974" s="163"/>
      <c r="AB974" s="163"/>
      <c r="AC974" s="163"/>
      <c r="AD974" s="163"/>
      <c r="AE974" s="163"/>
      <c r="AF974" s="163"/>
      <c r="AG974" s="163"/>
      <c r="AH974" s="163"/>
      <c r="AI974" s="163"/>
      <c r="AJ974" s="163"/>
      <c r="AK974" s="163"/>
      <c r="AL974" s="163"/>
      <c r="AM974" s="163"/>
    </row>
    <row r="975" ht="13.5" customHeight="1">
      <c r="A975" s="130"/>
      <c r="B975" s="130"/>
      <c r="C975" s="130"/>
      <c r="D975" s="130"/>
      <c r="E975" s="163"/>
      <c r="F975" s="163"/>
      <c r="G975" s="163"/>
      <c r="H975" s="130"/>
      <c r="I975" s="130"/>
      <c r="J975" s="130"/>
      <c r="K975" s="130"/>
      <c r="L975" s="163"/>
      <c r="M975" s="130"/>
      <c r="N975" s="130"/>
      <c r="O975" s="130"/>
      <c r="P975" s="130"/>
      <c r="Q975" s="130"/>
      <c r="R975" s="130"/>
      <c r="S975" s="130"/>
      <c r="T975" s="130"/>
      <c r="U975" s="130"/>
      <c r="V975" s="130"/>
      <c r="W975" s="130"/>
      <c r="X975" s="163"/>
      <c r="Y975" s="163"/>
      <c r="Z975" s="163"/>
      <c r="AA975" s="163"/>
      <c r="AB975" s="163"/>
      <c r="AC975" s="163"/>
      <c r="AD975" s="163"/>
      <c r="AE975" s="163"/>
      <c r="AF975" s="163"/>
      <c r="AG975" s="163"/>
      <c r="AH975" s="163"/>
      <c r="AI975" s="163"/>
      <c r="AJ975" s="163"/>
      <c r="AK975" s="163"/>
      <c r="AL975" s="163"/>
      <c r="AM975" s="163"/>
    </row>
    <row r="976" ht="13.5" customHeight="1">
      <c r="A976" s="130"/>
      <c r="B976" s="130"/>
      <c r="C976" s="130"/>
      <c r="D976" s="130"/>
      <c r="E976" s="163"/>
      <c r="F976" s="163"/>
      <c r="G976" s="163"/>
      <c r="H976" s="130"/>
      <c r="I976" s="130"/>
      <c r="J976" s="130"/>
      <c r="K976" s="130"/>
      <c r="L976" s="163"/>
      <c r="M976" s="130"/>
      <c r="N976" s="130"/>
      <c r="O976" s="130"/>
      <c r="P976" s="130"/>
      <c r="Q976" s="130"/>
      <c r="R976" s="130"/>
      <c r="S976" s="130"/>
      <c r="T976" s="130"/>
      <c r="U976" s="130"/>
      <c r="V976" s="130"/>
      <c r="W976" s="130"/>
      <c r="X976" s="163"/>
      <c r="Y976" s="163"/>
      <c r="Z976" s="163"/>
      <c r="AA976" s="163"/>
      <c r="AB976" s="163"/>
      <c r="AC976" s="163"/>
      <c r="AD976" s="163"/>
      <c r="AE976" s="163"/>
      <c r="AF976" s="163"/>
      <c r="AG976" s="163"/>
      <c r="AH976" s="163"/>
      <c r="AI976" s="163"/>
      <c r="AJ976" s="163"/>
      <c r="AK976" s="163"/>
      <c r="AL976" s="163"/>
      <c r="AM976" s="163"/>
    </row>
    <row r="977" ht="13.5" customHeight="1">
      <c r="A977" s="130"/>
      <c r="B977" s="130"/>
      <c r="C977" s="130"/>
      <c r="D977" s="130"/>
      <c r="E977" s="163"/>
      <c r="F977" s="163"/>
      <c r="G977" s="163"/>
      <c r="H977" s="130"/>
      <c r="I977" s="130"/>
      <c r="J977" s="130"/>
      <c r="K977" s="130"/>
      <c r="L977" s="163"/>
      <c r="M977" s="130"/>
      <c r="N977" s="130"/>
      <c r="O977" s="130"/>
      <c r="P977" s="130"/>
      <c r="Q977" s="130"/>
      <c r="R977" s="130"/>
      <c r="S977" s="130"/>
      <c r="T977" s="130"/>
      <c r="U977" s="130"/>
      <c r="V977" s="130"/>
      <c r="W977" s="130"/>
      <c r="X977" s="163"/>
      <c r="Y977" s="163"/>
      <c r="Z977" s="163"/>
      <c r="AA977" s="163"/>
      <c r="AB977" s="163"/>
      <c r="AC977" s="163"/>
      <c r="AD977" s="163"/>
      <c r="AE977" s="163"/>
      <c r="AF977" s="163"/>
      <c r="AG977" s="163"/>
      <c r="AH977" s="163"/>
      <c r="AI977" s="163"/>
      <c r="AJ977" s="163"/>
      <c r="AK977" s="163"/>
      <c r="AL977" s="163"/>
      <c r="AM977" s="163"/>
    </row>
    <row r="978" ht="13.5" customHeight="1">
      <c r="A978" s="130"/>
      <c r="B978" s="130"/>
      <c r="C978" s="130"/>
      <c r="D978" s="130"/>
      <c r="E978" s="163"/>
      <c r="F978" s="163"/>
      <c r="G978" s="163"/>
      <c r="H978" s="130"/>
      <c r="I978" s="130"/>
      <c r="J978" s="130"/>
      <c r="K978" s="130"/>
      <c r="L978" s="163"/>
      <c r="M978" s="130"/>
      <c r="N978" s="130"/>
      <c r="O978" s="130"/>
      <c r="P978" s="130"/>
      <c r="Q978" s="130"/>
      <c r="R978" s="130"/>
      <c r="S978" s="130"/>
      <c r="T978" s="130"/>
      <c r="U978" s="130"/>
      <c r="V978" s="130"/>
      <c r="W978" s="130"/>
      <c r="X978" s="163"/>
      <c r="Y978" s="163"/>
      <c r="Z978" s="163"/>
      <c r="AA978" s="163"/>
      <c r="AB978" s="163"/>
      <c r="AC978" s="163"/>
      <c r="AD978" s="163"/>
      <c r="AE978" s="163"/>
      <c r="AF978" s="163"/>
      <c r="AG978" s="163"/>
      <c r="AH978" s="163"/>
      <c r="AI978" s="163"/>
      <c r="AJ978" s="163"/>
      <c r="AK978" s="163"/>
      <c r="AL978" s="163"/>
      <c r="AM978" s="163"/>
    </row>
    <row r="979" ht="13.5" customHeight="1">
      <c r="A979" s="130"/>
      <c r="B979" s="130"/>
      <c r="C979" s="130"/>
      <c r="D979" s="130"/>
      <c r="E979" s="163"/>
      <c r="F979" s="163"/>
      <c r="G979" s="163"/>
      <c r="H979" s="130"/>
      <c r="I979" s="130"/>
      <c r="J979" s="130"/>
      <c r="K979" s="130"/>
      <c r="L979" s="163"/>
      <c r="M979" s="130"/>
      <c r="N979" s="130"/>
      <c r="O979" s="130"/>
      <c r="P979" s="130"/>
      <c r="Q979" s="130"/>
      <c r="R979" s="130"/>
      <c r="S979" s="130"/>
      <c r="T979" s="130"/>
      <c r="U979" s="130"/>
      <c r="V979" s="130"/>
      <c r="W979" s="130"/>
      <c r="X979" s="163"/>
      <c r="Y979" s="163"/>
      <c r="Z979" s="163"/>
      <c r="AA979" s="163"/>
      <c r="AB979" s="163"/>
      <c r="AC979" s="163"/>
      <c r="AD979" s="163"/>
      <c r="AE979" s="163"/>
      <c r="AF979" s="163"/>
      <c r="AG979" s="163"/>
      <c r="AH979" s="163"/>
      <c r="AI979" s="163"/>
      <c r="AJ979" s="163"/>
      <c r="AK979" s="163"/>
      <c r="AL979" s="163"/>
      <c r="AM979" s="163"/>
    </row>
    <row r="980" ht="13.5" customHeight="1">
      <c r="A980" s="130"/>
      <c r="B980" s="130"/>
      <c r="C980" s="130"/>
      <c r="D980" s="130"/>
      <c r="E980" s="163"/>
      <c r="F980" s="163"/>
      <c r="G980" s="163"/>
      <c r="H980" s="130"/>
      <c r="I980" s="130"/>
      <c r="J980" s="130"/>
      <c r="K980" s="130"/>
      <c r="L980" s="163"/>
      <c r="M980" s="130"/>
      <c r="N980" s="130"/>
      <c r="O980" s="130"/>
      <c r="P980" s="130"/>
      <c r="Q980" s="130"/>
      <c r="R980" s="130"/>
      <c r="S980" s="130"/>
      <c r="T980" s="130"/>
      <c r="U980" s="130"/>
      <c r="V980" s="130"/>
      <c r="W980" s="130"/>
      <c r="X980" s="163"/>
      <c r="Y980" s="163"/>
      <c r="Z980" s="163"/>
      <c r="AA980" s="163"/>
      <c r="AB980" s="163"/>
      <c r="AC980" s="163"/>
      <c r="AD980" s="163"/>
      <c r="AE980" s="163"/>
      <c r="AF980" s="163"/>
      <c r="AG980" s="163"/>
      <c r="AH980" s="163"/>
      <c r="AI980" s="163"/>
      <c r="AJ980" s="163"/>
      <c r="AK980" s="163"/>
      <c r="AL980" s="163"/>
      <c r="AM980" s="163"/>
    </row>
    <row r="981" ht="13.5" customHeight="1">
      <c r="A981" s="130"/>
      <c r="B981" s="130"/>
      <c r="C981" s="130"/>
      <c r="D981" s="130"/>
      <c r="E981" s="163"/>
      <c r="F981" s="163"/>
      <c r="G981" s="163"/>
      <c r="H981" s="130"/>
      <c r="I981" s="130"/>
      <c r="J981" s="130"/>
      <c r="K981" s="130"/>
      <c r="L981" s="163"/>
      <c r="M981" s="130"/>
      <c r="N981" s="130"/>
      <c r="O981" s="130"/>
      <c r="P981" s="130"/>
      <c r="Q981" s="130"/>
      <c r="R981" s="130"/>
      <c r="S981" s="130"/>
      <c r="T981" s="130"/>
      <c r="U981" s="130"/>
      <c r="V981" s="130"/>
      <c r="W981" s="130"/>
      <c r="X981" s="163"/>
      <c r="Y981" s="163"/>
      <c r="Z981" s="163"/>
      <c r="AA981" s="163"/>
      <c r="AB981" s="163"/>
      <c r="AC981" s="163"/>
      <c r="AD981" s="163"/>
      <c r="AE981" s="163"/>
      <c r="AF981" s="163"/>
      <c r="AG981" s="163"/>
      <c r="AH981" s="163"/>
      <c r="AI981" s="163"/>
      <c r="AJ981" s="163"/>
      <c r="AK981" s="163"/>
      <c r="AL981" s="163"/>
      <c r="AM981" s="163"/>
    </row>
    <row r="982" ht="13.5" customHeight="1">
      <c r="A982" s="130"/>
      <c r="B982" s="130"/>
      <c r="C982" s="130"/>
      <c r="D982" s="130"/>
      <c r="E982" s="163"/>
      <c r="F982" s="163"/>
      <c r="G982" s="163"/>
      <c r="H982" s="130"/>
      <c r="I982" s="130"/>
      <c r="J982" s="130"/>
      <c r="K982" s="130"/>
      <c r="L982" s="163"/>
      <c r="M982" s="130"/>
      <c r="N982" s="130"/>
      <c r="O982" s="130"/>
      <c r="P982" s="130"/>
      <c r="Q982" s="130"/>
      <c r="R982" s="130"/>
      <c r="S982" s="130"/>
      <c r="T982" s="130"/>
      <c r="U982" s="130"/>
      <c r="V982" s="130"/>
      <c r="W982" s="130"/>
      <c r="X982" s="163"/>
      <c r="Y982" s="163"/>
      <c r="Z982" s="163"/>
      <c r="AA982" s="163"/>
      <c r="AB982" s="163"/>
      <c r="AC982" s="163"/>
      <c r="AD982" s="163"/>
      <c r="AE982" s="163"/>
      <c r="AF982" s="163"/>
      <c r="AG982" s="163"/>
      <c r="AH982" s="163"/>
      <c r="AI982" s="163"/>
      <c r="AJ982" s="163"/>
      <c r="AK982" s="163"/>
      <c r="AL982" s="163"/>
      <c r="AM982" s="163"/>
    </row>
    <row r="983" ht="13.5" customHeight="1">
      <c r="A983" s="130"/>
      <c r="B983" s="130"/>
      <c r="C983" s="130"/>
      <c r="D983" s="130"/>
      <c r="E983" s="163"/>
      <c r="F983" s="163"/>
      <c r="G983" s="163"/>
      <c r="H983" s="130"/>
      <c r="I983" s="130"/>
      <c r="J983" s="130"/>
      <c r="K983" s="130"/>
      <c r="L983" s="163"/>
      <c r="M983" s="130"/>
      <c r="N983" s="130"/>
      <c r="O983" s="130"/>
      <c r="P983" s="130"/>
      <c r="Q983" s="130"/>
      <c r="R983" s="130"/>
      <c r="S983" s="130"/>
      <c r="T983" s="130"/>
      <c r="U983" s="130"/>
      <c r="V983" s="130"/>
      <c r="W983" s="130"/>
      <c r="X983" s="163"/>
      <c r="Y983" s="163"/>
      <c r="Z983" s="163"/>
      <c r="AA983" s="163"/>
      <c r="AB983" s="163"/>
      <c r="AC983" s="163"/>
      <c r="AD983" s="163"/>
      <c r="AE983" s="163"/>
      <c r="AF983" s="163"/>
      <c r="AG983" s="163"/>
      <c r="AH983" s="163"/>
      <c r="AI983" s="163"/>
      <c r="AJ983" s="163"/>
      <c r="AK983" s="163"/>
      <c r="AL983" s="163"/>
      <c r="AM983" s="163"/>
    </row>
    <row r="984" ht="13.5" customHeight="1">
      <c r="A984" s="130"/>
      <c r="B984" s="130"/>
      <c r="C984" s="130"/>
      <c r="D984" s="130"/>
      <c r="E984" s="163"/>
      <c r="F984" s="163"/>
      <c r="G984" s="163"/>
      <c r="H984" s="130"/>
      <c r="I984" s="130"/>
      <c r="J984" s="130"/>
      <c r="K984" s="130"/>
      <c r="L984" s="163"/>
      <c r="M984" s="130"/>
      <c r="N984" s="130"/>
      <c r="O984" s="130"/>
      <c r="P984" s="130"/>
      <c r="Q984" s="130"/>
      <c r="R984" s="130"/>
      <c r="S984" s="130"/>
      <c r="T984" s="130"/>
      <c r="U984" s="130"/>
      <c r="V984" s="130"/>
      <c r="W984" s="130"/>
      <c r="X984" s="163"/>
      <c r="Y984" s="163"/>
      <c r="Z984" s="163"/>
      <c r="AA984" s="163"/>
      <c r="AB984" s="163"/>
      <c r="AC984" s="163"/>
      <c r="AD984" s="163"/>
      <c r="AE984" s="163"/>
      <c r="AF984" s="163"/>
      <c r="AG984" s="163"/>
      <c r="AH984" s="163"/>
      <c r="AI984" s="163"/>
      <c r="AJ984" s="163"/>
      <c r="AK984" s="163"/>
      <c r="AL984" s="163"/>
      <c r="AM984" s="163"/>
    </row>
    <row r="985" ht="13.5" customHeight="1">
      <c r="A985" s="130"/>
      <c r="B985" s="130"/>
      <c r="C985" s="130"/>
      <c r="D985" s="130"/>
      <c r="E985" s="163"/>
      <c r="F985" s="163"/>
      <c r="G985" s="163"/>
      <c r="H985" s="130"/>
      <c r="I985" s="130"/>
      <c r="J985" s="130"/>
      <c r="K985" s="130"/>
      <c r="L985" s="163"/>
      <c r="M985" s="130"/>
      <c r="N985" s="130"/>
      <c r="O985" s="130"/>
      <c r="P985" s="130"/>
      <c r="Q985" s="130"/>
      <c r="R985" s="130"/>
      <c r="S985" s="130"/>
      <c r="T985" s="130"/>
      <c r="U985" s="130"/>
      <c r="V985" s="130"/>
      <c r="W985" s="130"/>
      <c r="X985" s="163"/>
      <c r="Y985" s="163"/>
      <c r="Z985" s="163"/>
      <c r="AA985" s="163"/>
      <c r="AB985" s="163"/>
      <c r="AC985" s="163"/>
      <c r="AD985" s="163"/>
      <c r="AE985" s="163"/>
      <c r="AF985" s="163"/>
      <c r="AG985" s="163"/>
      <c r="AH985" s="163"/>
      <c r="AI985" s="163"/>
      <c r="AJ985" s="163"/>
      <c r="AK985" s="163"/>
      <c r="AL985" s="163"/>
      <c r="AM985" s="163"/>
    </row>
    <row r="986" ht="13.5" customHeight="1">
      <c r="A986" s="130"/>
      <c r="B986" s="130"/>
      <c r="C986" s="130"/>
      <c r="D986" s="130"/>
      <c r="E986" s="163"/>
      <c r="F986" s="163"/>
      <c r="G986" s="163"/>
      <c r="H986" s="130"/>
      <c r="I986" s="130"/>
      <c r="J986" s="130"/>
      <c r="K986" s="130"/>
      <c r="L986" s="163"/>
      <c r="M986" s="130"/>
      <c r="N986" s="130"/>
      <c r="O986" s="130"/>
      <c r="P986" s="130"/>
      <c r="Q986" s="130"/>
      <c r="R986" s="130"/>
      <c r="S986" s="130"/>
      <c r="T986" s="130"/>
      <c r="U986" s="130"/>
      <c r="V986" s="130"/>
      <c r="W986" s="130"/>
      <c r="X986" s="163"/>
      <c r="Y986" s="163"/>
      <c r="Z986" s="163"/>
      <c r="AA986" s="163"/>
      <c r="AB986" s="163"/>
      <c r="AC986" s="163"/>
      <c r="AD986" s="163"/>
      <c r="AE986" s="163"/>
      <c r="AF986" s="163"/>
      <c r="AG986" s="163"/>
      <c r="AH986" s="163"/>
      <c r="AI986" s="163"/>
      <c r="AJ986" s="163"/>
      <c r="AK986" s="163"/>
      <c r="AL986" s="163"/>
      <c r="AM986" s="163"/>
    </row>
    <row r="987" ht="13.5" customHeight="1">
      <c r="A987" s="130"/>
      <c r="B987" s="130"/>
      <c r="C987" s="130"/>
      <c r="D987" s="130"/>
      <c r="E987" s="163"/>
      <c r="F987" s="163"/>
      <c r="G987" s="163"/>
      <c r="H987" s="130"/>
      <c r="I987" s="130"/>
      <c r="J987" s="130"/>
      <c r="K987" s="130"/>
      <c r="L987" s="163"/>
      <c r="M987" s="130"/>
      <c r="N987" s="130"/>
      <c r="O987" s="130"/>
      <c r="P987" s="130"/>
      <c r="Q987" s="130"/>
      <c r="R987" s="130"/>
      <c r="S987" s="130"/>
      <c r="T987" s="130"/>
      <c r="U987" s="130"/>
      <c r="V987" s="130"/>
      <c r="W987" s="130"/>
      <c r="X987" s="163"/>
      <c r="Y987" s="163"/>
      <c r="Z987" s="163"/>
      <c r="AA987" s="163"/>
      <c r="AB987" s="163"/>
      <c r="AC987" s="163"/>
      <c r="AD987" s="163"/>
      <c r="AE987" s="163"/>
      <c r="AF987" s="163"/>
      <c r="AG987" s="163"/>
      <c r="AH987" s="163"/>
      <c r="AI987" s="163"/>
      <c r="AJ987" s="163"/>
      <c r="AK987" s="163"/>
      <c r="AL987" s="163"/>
      <c r="AM987" s="163"/>
    </row>
    <row r="988" ht="13.5" customHeight="1">
      <c r="A988" s="130"/>
      <c r="B988" s="130"/>
      <c r="C988" s="130"/>
      <c r="D988" s="130"/>
      <c r="E988" s="163"/>
      <c r="F988" s="163"/>
      <c r="G988" s="163"/>
      <c r="H988" s="130"/>
      <c r="I988" s="130"/>
      <c r="J988" s="130"/>
      <c r="K988" s="130"/>
      <c r="L988" s="163"/>
      <c r="M988" s="130"/>
      <c r="N988" s="130"/>
      <c r="O988" s="130"/>
      <c r="P988" s="130"/>
      <c r="Q988" s="130"/>
      <c r="R988" s="130"/>
      <c r="S988" s="130"/>
      <c r="T988" s="130"/>
      <c r="U988" s="130"/>
      <c r="V988" s="130"/>
      <c r="W988" s="130"/>
      <c r="X988" s="163"/>
      <c r="Y988" s="163"/>
      <c r="Z988" s="163"/>
      <c r="AA988" s="163"/>
      <c r="AB988" s="163"/>
      <c r="AC988" s="163"/>
      <c r="AD988" s="163"/>
      <c r="AE988" s="163"/>
      <c r="AF988" s="163"/>
      <c r="AG988" s="163"/>
      <c r="AH988" s="163"/>
      <c r="AI988" s="163"/>
      <c r="AJ988" s="163"/>
      <c r="AK988" s="163"/>
      <c r="AL988" s="163"/>
      <c r="AM988" s="163"/>
    </row>
    <row r="989" ht="13.5" customHeight="1">
      <c r="A989" s="130"/>
      <c r="B989" s="130"/>
      <c r="C989" s="130"/>
      <c r="D989" s="130"/>
      <c r="E989" s="163"/>
      <c r="F989" s="163"/>
      <c r="G989" s="163"/>
      <c r="H989" s="130"/>
      <c r="I989" s="130"/>
      <c r="J989" s="130"/>
      <c r="K989" s="130"/>
      <c r="L989" s="163"/>
      <c r="M989" s="130"/>
      <c r="N989" s="130"/>
      <c r="O989" s="130"/>
      <c r="P989" s="130"/>
      <c r="Q989" s="130"/>
      <c r="R989" s="130"/>
      <c r="S989" s="130"/>
      <c r="T989" s="130"/>
      <c r="U989" s="130"/>
      <c r="V989" s="130"/>
      <c r="W989" s="130"/>
      <c r="X989" s="163"/>
      <c r="Y989" s="163"/>
      <c r="Z989" s="163"/>
      <c r="AA989" s="163"/>
      <c r="AB989" s="163"/>
      <c r="AC989" s="163"/>
      <c r="AD989" s="163"/>
      <c r="AE989" s="163"/>
      <c r="AF989" s="163"/>
      <c r="AG989" s="163"/>
      <c r="AH989" s="163"/>
      <c r="AI989" s="163"/>
      <c r="AJ989" s="163"/>
      <c r="AK989" s="163"/>
      <c r="AL989" s="163"/>
      <c r="AM989" s="163"/>
    </row>
    <row r="990" ht="13.5" customHeight="1">
      <c r="A990" s="130"/>
      <c r="B990" s="130"/>
      <c r="C990" s="130"/>
      <c r="D990" s="130"/>
      <c r="E990" s="163"/>
      <c r="F990" s="163"/>
      <c r="G990" s="163"/>
      <c r="H990" s="130"/>
      <c r="I990" s="130"/>
      <c r="J990" s="130"/>
      <c r="K990" s="130"/>
      <c r="L990" s="163"/>
      <c r="M990" s="130"/>
      <c r="N990" s="130"/>
      <c r="O990" s="130"/>
      <c r="P990" s="130"/>
      <c r="Q990" s="130"/>
      <c r="R990" s="130"/>
      <c r="S990" s="130"/>
      <c r="T990" s="130"/>
      <c r="U990" s="130"/>
      <c r="V990" s="130"/>
      <c r="W990" s="130"/>
      <c r="X990" s="163"/>
      <c r="Y990" s="163"/>
      <c r="Z990" s="163"/>
      <c r="AA990" s="163"/>
      <c r="AB990" s="163"/>
      <c r="AC990" s="163"/>
      <c r="AD990" s="163"/>
      <c r="AE990" s="163"/>
      <c r="AF990" s="163"/>
      <c r="AG990" s="163"/>
      <c r="AH990" s="163"/>
      <c r="AI990" s="163"/>
      <c r="AJ990" s="163"/>
      <c r="AK990" s="163"/>
      <c r="AL990" s="163"/>
      <c r="AM990" s="163"/>
    </row>
    <row r="991" ht="13.5" customHeight="1">
      <c r="A991" s="130"/>
      <c r="B991" s="130"/>
      <c r="C991" s="130"/>
      <c r="D991" s="130"/>
      <c r="E991" s="163"/>
      <c r="F991" s="163"/>
      <c r="G991" s="163"/>
      <c r="H991" s="130"/>
      <c r="I991" s="130"/>
      <c r="J991" s="130"/>
      <c r="K991" s="130"/>
      <c r="L991" s="163"/>
      <c r="M991" s="130"/>
      <c r="N991" s="130"/>
      <c r="O991" s="130"/>
      <c r="P991" s="130"/>
      <c r="Q991" s="130"/>
      <c r="R991" s="130"/>
      <c r="S991" s="130"/>
      <c r="T991" s="130"/>
      <c r="U991" s="130"/>
      <c r="V991" s="130"/>
      <c r="W991" s="130"/>
      <c r="X991" s="163"/>
      <c r="Y991" s="163"/>
      <c r="Z991" s="163"/>
      <c r="AA991" s="163"/>
      <c r="AB991" s="163"/>
      <c r="AC991" s="163"/>
      <c r="AD991" s="163"/>
      <c r="AE991" s="163"/>
      <c r="AF991" s="163"/>
      <c r="AG991" s="163"/>
      <c r="AH991" s="163"/>
      <c r="AI991" s="163"/>
      <c r="AJ991" s="163"/>
      <c r="AK991" s="163"/>
      <c r="AL991" s="163"/>
      <c r="AM991" s="163"/>
    </row>
    <row r="992" ht="13.5" customHeight="1">
      <c r="A992" s="130"/>
      <c r="B992" s="130"/>
      <c r="C992" s="130"/>
      <c r="D992" s="130"/>
      <c r="E992" s="163"/>
      <c r="F992" s="163"/>
      <c r="G992" s="163"/>
      <c r="H992" s="130"/>
      <c r="I992" s="130"/>
      <c r="J992" s="130"/>
      <c r="K992" s="130"/>
      <c r="L992" s="163"/>
      <c r="M992" s="130"/>
      <c r="N992" s="130"/>
      <c r="O992" s="130"/>
      <c r="P992" s="130"/>
      <c r="Q992" s="130"/>
      <c r="R992" s="130"/>
      <c r="S992" s="130"/>
      <c r="T992" s="130"/>
      <c r="U992" s="130"/>
      <c r="V992" s="130"/>
      <c r="W992" s="130"/>
      <c r="X992" s="163"/>
      <c r="Y992" s="163"/>
      <c r="Z992" s="163"/>
      <c r="AA992" s="163"/>
      <c r="AB992" s="163"/>
      <c r="AC992" s="163"/>
      <c r="AD992" s="163"/>
      <c r="AE992" s="163"/>
      <c r="AF992" s="163"/>
      <c r="AG992" s="163"/>
      <c r="AH992" s="163"/>
      <c r="AI992" s="163"/>
      <c r="AJ992" s="163"/>
      <c r="AK992" s="163"/>
      <c r="AL992" s="163"/>
      <c r="AM992" s="163"/>
    </row>
    <row r="993" ht="13.5" customHeight="1">
      <c r="A993" s="130"/>
      <c r="B993" s="130"/>
      <c r="C993" s="130"/>
      <c r="D993" s="130"/>
      <c r="E993" s="163"/>
      <c r="F993" s="163"/>
      <c r="G993" s="163"/>
      <c r="H993" s="130"/>
      <c r="I993" s="130"/>
      <c r="J993" s="130"/>
      <c r="K993" s="130"/>
      <c r="L993" s="163"/>
      <c r="M993" s="130"/>
      <c r="N993" s="130"/>
      <c r="O993" s="130"/>
      <c r="P993" s="130"/>
      <c r="Q993" s="130"/>
      <c r="R993" s="130"/>
      <c r="S993" s="130"/>
      <c r="T993" s="130"/>
      <c r="U993" s="130"/>
      <c r="V993" s="130"/>
      <c r="W993" s="130"/>
      <c r="X993" s="163"/>
      <c r="Y993" s="163"/>
      <c r="Z993" s="163"/>
      <c r="AA993" s="163"/>
      <c r="AB993" s="163"/>
      <c r="AC993" s="163"/>
      <c r="AD993" s="163"/>
      <c r="AE993" s="163"/>
      <c r="AF993" s="163"/>
      <c r="AG993" s="163"/>
      <c r="AH993" s="163"/>
      <c r="AI993" s="163"/>
      <c r="AJ993" s="163"/>
      <c r="AK993" s="163"/>
      <c r="AL993" s="163"/>
      <c r="AM993" s="163"/>
    </row>
    <row r="994" ht="13.5" customHeight="1">
      <c r="A994" s="130"/>
      <c r="B994" s="130"/>
      <c r="C994" s="130"/>
      <c r="D994" s="130"/>
      <c r="E994" s="163"/>
      <c r="F994" s="163"/>
      <c r="G994" s="163"/>
      <c r="H994" s="130"/>
      <c r="I994" s="130"/>
      <c r="J994" s="130"/>
      <c r="K994" s="130"/>
      <c r="L994" s="163"/>
      <c r="M994" s="130"/>
      <c r="N994" s="130"/>
      <c r="O994" s="130"/>
      <c r="P994" s="130"/>
      <c r="Q994" s="130"/>
      <c r="R994" s="130"/>
      <c r="S994" s="130"/>
      <c r="T994" s="130"/>
      <c r="U994" s="130"/>
      <c r="V994" s="130"/>
      <c r="W994" s="130"/>
      <c r="X994" s="163"/>
      <c r="Y994" s="163"/>
      <c r="Z994" s="163"/>
      <c r="AA994" s="163"/>
      <c r="AB994" s="163"/>
      <c r="AC994" s="163"/>
      <c r="AD994" s="163"/>
      <c r="AE994" s="163"/>
      <c r="AF994" s="163"/>
      <c r="AG994" s="163"/>
      <c r="AH994" s="163"/>
      <c r="AI994" s="163"/>
      <c r="AJ994" s="163"/>
      <c r="AK994" s="163"/>
      <c r="AL994" s="163"/>
      <c r="AM994" s="163"/>
    </row>
    <row r="995" ht="13.5" customHeight="1">
      <c r="A995" s="130"/>
      <c r="B995" s="130"/>
      <c r="C995" s="130"/>
      <c r="D995" s="130"/>
      <c r="E995" s="163"/>
      <c r="F995" s="163"/>
      <c r="G995" s="163"/>
      <c r="H995" s="130"/>
      <c r="I995" s="130"/>
      <c r="J995" s="130"/>
      <c r="K995" s="130"/>
      <c r="L995" s="163"/>
      <c r="M995" s="130"/>
      <c r="N995" s="130"/>
      <c r="O995" s="130"/>
      <c r="P995" s="130"/>
      <c r="Q995" s="130"/>
      <c r="R995" s="130"/>
      <c r="S995" s="130"/>
      <c r="T995" s="130"/>
      <c r="U995" s="130"/>
      <c r="V995" s="130"/>
      <c r="W995" s="130"/>
      <c r="X995" s="163"/>
      <c r="Y995" s="163"/>
      <c r="Z995" s="163"/>
      <c r="AA995" s="163"/>
      <c r="AB995" s="163"/>
      <c r="AC995" s="163"/>
      <c r="AD995" s="163"/>
      <c r="AE995" s="163"/>
      <c r="AF995" s="163"/>
      <c r="AG995" s="163"/>
      <c r="AH995" s="163"/>
      <c r="AI995" s="163"/>
      <c r="AJ995" s="163"/>
      <c r="AK995" s="163"/>
      <c r="AL995" s="163"/>
      <c r="AM995" s="163"/>
    </row>
    <row r="996" ht="13.5" customHeight="1">
      <c r="A996" s="130"/>
      <c r="B996" s="130"/>
      <c r="C996" s="130"/>
      <c r="D996" s="130"/>
      <c r="E996" s="163"/>
      <c r="F996" s="163"/>
      <c r="G996" s="163"/>
      <c r="H996" s="130"/>
      <c r="I996" s="130"/>
      <c r="J996" s="130"/>
      <c r="K996" s="130"/>
      <c r="L996" s="163"/>
      <c r="M996" s="130"/>
      <c r="N996" s="130"/>
      <c r="O996" s="130"/>
      <c r="P996" s="130"/>
      <c r="Q996" s="130"/>
      <c r="R996" s="130"/>
      <c r="S996" s="130"/>
      <c r="T996" s="130"/>
      <c r="U996" s="130"/>
      <c r="V996" s="130"/>
      <c r="W996" s="130"/>
      <c r="X996" s="163"/>
      <c r="Y996" s="163"/>
      <c r="Z996" s="163"/>
      <c r="AA996" s="163"/>
      <c r="AB996" s="163"/>
      <c r="AC996" s="163"/>
      <c r="AD996" s="163"/>
      <c r="AE996" s="163"/>
      <c r="AF996" s="163"/>
      <c r="AG996" s="163"/>
      <c r="AH996" s="163"/>
      <c r="AI996" s="163"/>
      <c r="AJ996" s="163"/>
      <c r="AK996" s="163"/>
      <c r="AL996" s="163"/>
      <c r="AM996" s="163"/>
    </row>
    <row r="997" ht="13.5" customHeight="1">
      <c r="A997" s="130"/>
      <c r="B997" s="130"/>
      <c r="C997" s="130"/>
      <c r="D997" s="130"/>
      <c r="E997" s="163"/>
      <c r="F997" s="163"/>
      <c r="G997" s="163"/>
      <c r="H997" s="130"/>
      <c r="I997" s="130"/>
      <c r="J997" s="130"/>
      <c r="K997" s="130"/>
      <c r="L997" s="163"/>
      <c r="M997" s="130"/>
      <c r="N997" s="130"/>
      <c r="O997" s="130"/>
      <c r="P997" s="130"/>
      <c r="Q997" s="130"/>
      <c r="R997" s="130"/>
      <c r="S997" s="130"/>
      <c r="T997" s="130"/>
      <c r="U997" s="130"/>
      <c r="V997" s="130"/>
      <c r="W997" s="130"/>
      <c r="X997" s="163"/>
      <c r="Y997" s="163"/>
      <c r="Z997" s="163"/>
      <c r="AA997" s="163"/>
      <c r="AB997" s="163"/>
      <c r="AC997" s="163"/>
      <c r="AD997" s="163"/>
      <c r="AE997" s="163"/>
      <c r="AF997" s="163"/>
      <c r="AG997" s="163"/>
      <c r="AH997" s="163"/>
      <c r="AI997" s="163"/>
      <c r="AJ997" s="163"/>
      <c r="AK997" s="163"/>
      <c r="AL997" s="163"/>
      <c r="AM997" s="163"/>
    </row>
    <row r="998" ht="13.5" customHeight="1">
      <c r="A998" s="130"/>
      <c r="B998" s="130"/>
      <c r="C998" s="130"/>
      <c r="D998" s="130"/>
      <c r="E998" s="163"/>
      <c r="F998" s="163"/>
      <c r="G998" s="163"/>
      <c r="H998" s="130"/>
      <c r="I998" s="130"/>
      <c r="J998" s="130"/>
      <c r="K998" s="130"/>
      <c r="L998" s="163"/>
      <c r="M998" s="130"/>
      <c r="N998" s="130"/>
      <c r="O998" s="130"/>
      <c r="P998" s="130"/>
      <c r="Q998" s="130"/>
      <c r="R998" s="130"/>
      <c r="S998" s="130"/>
      <c r="T998" s="130"/>
      <c r="U998" s="130"/>
      <c r="V998" s="130"/>
      <c r="W998" s="130"/>
      <c r="X998" s="163"/>
      <c r="Y998" s="163"/>
      <c r="Z998" s="163"/>
      <c r="AA998" s="163"/>
      <c r="AB998" s="163"/>
      <c r="AC998" s="163"/>
      <c r="AD998" s="163"/>
      <c r="AE998" s="163"/>
      <c r="AF998" s="163"/>
      <c r="AG998" s="163"/>
      <c r="AH998" s="163"/>
      <c r="AI998" s="163"/>
      <c r="AJ998" s="163"/>
      <c r="AK998" s="163"/>
      <c r="AL998" s="163"/>
      <c r="AM998" s="163"/>
    </row>
    <row r="999" ht="13.5" customHeight="1">
      <c r="A999" s="130"/>
      <c r="B999" s="130"/>
      <c r="C999" s="130"/>
      <c r="D999" s="130"/>
      <c r="E999" s="163"/>
      <c r="F999" s="163"/>
      <c r="G999" s="163"/>
      <c r="H999" s="130"/>
      <c r="I999" s="130"/>
      <c r="J999" s="130"/>
      <c r="K999" s="130"/>
      <c r="L999" s="163"/>
      <c r="M999" s="130"/>
      <c r="N999" s="130"/>
      <c r="O999" s="130"/>
      <c r="P999" s="130"/>
      <c r="Q999" s="130"/>
      <c r="R999" s="130"/>
      <c r="S999" s="130"/>
      <c r="T999" s="130"/>
      <c r="U999" s="130"/>
      <c r="V999" s="130"/>
      <c r="W999" s="130"/>
      <c r="X999" s="163"/>
      <c r="Y999" s="163"/>
      <c r="Z999" s="163"/>
      <c r="AA999" s="163"/>
      <c r="AB999" s="163"/>
      <c r="AC999" s="163"/>
      <c r="AD999" s="163"/>
      <c r="AE999" s="163"/>
      <c r="AF999" s="163"/>
      <c r="AG999" s="163"/>
      <c r="AH999" s="163"/>
      <c r="AI999" s="163"/>
      <c r="AJ999" s="163"/>
      <c r="AK999" s="163"/>
      <c r="AL999" s="163"/>
      <c r="AM999" s="163"/>
    </row>
    <row r="1000" ht="13.5" customHeight="1">
      <c r="A1000" s="130"/>
      <c r="B1000" s="130"/>
      <c r="C1000" s="130"/>
      <c r="D1000" s="130"/>
      <c r="E1000" s="163"/>
      <c r="F1000" s="163"/>
      <c r="G1000" s="163"/>
      <c r="H1000" s="130"/>
      <c r="I1000" s="130"/>
      <c r="J1000" s="130"/>
      <c r="K1000" s="130"/>
      <c r="L1000" s="163"/>
      <c r="M1000" s="130"/>
      <c r="N1000" s="130"/>
      <c r="O1000" s="130"/>
      <c r="P1000" s="130"/>
      <c r="Q1000" s="130"/>
      <c r="R1000" s="130"/>
      <c r="S1000" s="130"/>
      <c r="T1000" s="130"/>
      <c r="U1000" s="130"/>
      <c r="V1000" s="130"/>
      <c r="W1000" s="130"/>
      <c r="X1000" s="163"/>
      <c r="Y1000" s="163"/>
      <c r="Z1000" s="163"/>
      <c r="AA1000" s="163"/>
      <c r="AB1000" s="163"/>
      <c r="AC1000" s="163"/>
      <c r="AD1000" s="163"/>
      <c r="AE1000" s="163"/>
      <c r="AF1000" s="163"/>
      <c r="AG1000" s="163"/>
      <c r="AH1000" s="163"/>
      <c r="AI1000" s="163"/>
      <c r="AJ1000" s="163"/>
      <c r="AK1000" s="163"/>
      <c r="AL1000" s="163"/>
      <c r="AM1000" s="163"/>
    </row>
  </sheetData>
  <mergeCells count="4">
    <mergeCell ref="I1:J1"/>
    <mergeCell ref="M2:M13"/>
    <mergeCell ref="X2:X13"/>
    <mergeCell ref="AE2:AE13"/>
  </mergeCells>
  <conditionalFormatting sqref="I2:J13">
    <cfRule type="cellIs" dxfId="21" priority="1" operator="equal">
      <formula>"/"</formula>
    </cfRule>
  </conditionalFormatting>
  <conditionalFormatting sqref="I2:J13">
    <cfRule type="cellIs" dxfId="4" priority="2" operator="lessThan">
      <formula>0</formula>
    </cfRule>
  </conditionalFormatting>
  <conditionalFormatting sqref="I2:J13">
    <cfRule type="cellIs" dxfId="22" priority="3" operator="greaterThan">
      <formula>0</formula>
    </cfRule>
  </conditionalFormatting>
  <conditionalFormatting sqref="G2:G13">
    <cfRule type="expression" dxfId="23" priority="4">
      <formula>$I$1="差距(LQ)"</formula>
    </cfRule>
  </conditionalFormatting>
  <conditionalFormatting sqref="F2:F13">
    <cfRule type="expression" dxfId="23" priority="5">
      <formula>$I$1="差距(Median)"</formula>
    </cfRule>
  </conditionalFormatting>
  <conditionalFormatting sqref="X2">
    <cfRule type="expression" dxfId="28" priority="6">
      <formula>MOD(ROW(),2)=0</formula>
    </cfRule>
  </conditionalFormatting>
  <conditionalFormatting sqref="X2 AE2 AL2:AL13">
    <cfRule type="expression" dxfId="7" priority="7">
      <formula>TRUE</formula>
    </cfRule>
  </conditionalFormatting>
  <conditionalFormatting sqref="L2:L13 S2:W13">
    <cfRule type="cellIs" dxfId="24" priority="8" operator="equal">
      <formula>2</formula>
    </cfRule>
  </conditionalFormatting>
  <conditionalFormatting sqref="L2:L13 S2:W13">
    <cfRule type="cellIs" dxfId="26" priority="9" operator="equal">
      <formula>1</formula>
    </cfRule>
  </conditionalFormatting>
  <conditionalFormatting sqref="L2:L13 S2:W13">
    <cfRule type="cellIs" dxfId="25" priority="10" operator="equal">
      <formula>0</formula>
    </cfRule>
  </conditionalFormatting>
  <dataValidations>
    <dataValidation type="list" allowBlank="1" showErrorMessage="1" sqref="X2">
      <formula1>'選單'!$I$1:$I$3</formula1>
    </dataValidation>
    <dataValidation type="list" allowBlank="1" showErrorMessage="1" sqref="I1">
      <formula1>'選單'!$J$2:$J$3</formula1>
    </dataValidation>
  </dataValidations>
  <hyperlinks>
    <hyperlink r:id="rId2" ref="A24"/>
    <hyperlink r:id="rId3" ref="A25"/>
    <hyperlink r:id="rId4" ref="A26"/>
    <hyperlink r:id="rId5" ref="A27"/>
  </hyperlinks>
  <printOptions/>
  <pageMargins bottom="0.75" footer="0.0" header="0.0" left="0.7" right="0.7" top="0.75"/>
  <pageSetup paperSize="9" orientation="portrait"/>
  <drawing r:id="rId6"/>
  <legacyDrawing r:id="rId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7" width="7.78"/>
    <col customWidth="1" min="8" max="9" width="7.67"/>
    <col customWidth="1" min="10" max="10" width="4.89"/>
    <col customWidth="1" min="11" max="11" width="4.67"/>
    <col customWidth="1" min="12" max="12" width="9.78"/>
    <col customWidth="1" min="13" max="22" width="2.22"/>
    <col customWidth="1" min="23" max="23" width="8.89"/>
    <col customWidth="1" min="24" max="29" width="6.33"/>
    <col customWidth="1" min="30" max="30" width="8.89"/>
    <col customWidth="1" min="31" max="36" width="6.33"/>
    <col customWidth="1" min="37" max="37" width="3.11"/>
    <col customWidth="1" min="38" max="38" width="8.11"/>
  </cols>
  <sheetData>
    <row r="1" ht="18.0" customHeight="1">
      <c r="A1" s="348" t="s">
        <v>1056</v>
      </c>
      <c r="B1" s="348" t="s">
        <v>1066</v>
      </c>
      <c r="C1" s="348" t="s">
        <v>1057</v>
      </c>
      <c r="D1" s="348"/>
      <c r="E1" s="349" t="s">
        <v>44</v>
      </c>
      <c r="F1" s="349" t="s">
        <v>957</v>
      </c>
      <c r="G1" s="349" t="s">
        <v>48</v>
      </c>
      <c r="H1" s="350" t="s">
        <v>1596</v>
      </c>
      <c r="I1" s="185"/>
      <c r="J1" s="349" t="s">
        <v>49</v>
      </c>
      <c r="K1" s="349" t="s">
        <v>955</v>
      </c>
      <c r="L1" s="349" t="s">
        <v>1067</v>
      </c>
      <c r="M1" s="349" t="s">
        <v>1058</v>
      </c>
      <c r="N1" s="349" t="s">
        <v>1059</v>
      </c>
      <c r="O1" s="349" t="s">
        <v>1060</v>
      </c>
      <c r="P1" s="349" t="s">
        <v>1061</v>
      </c>
      <c r="Q1" s="349" t="s">
        <v>218</v>
      </c>
      <c r="R1" s="349" t="s">
        <v>1058</v>
      </c>
      <c r="S1" s="349" t="s">
        <v>1059</v>
      </c>
      <c r="T1" s="349" t="s">
        <v>1060</v>
      </c>
      <c r="U1" s="349" t="s">
        <v>1061</v>
      </c>
      <c r="V1" s="349" t="s">
        <v>218</v>
      </c>
      <c r="W1" s="349" t="s">
        <v>50</v>
      </c>
      <c r="X1" s="349" t="s">
        <v>1068</v>
      </c>
      <c r="Y1" s="349" t="s">
        <v>39</v>
      </c>
      <c r="Z1" s="349" t="s">
        <v>1069</v>
      </c>
      <c r="AA1" s="349" t="s">
        <v>1070</v>
      </c>
      <c r="AB1" s="349" t="s">
        <v>1071</v>
      </c>
      <c r="AC1" s="349" t="s">
        <v>1072</v>
      </c>
      <c r="AD1" s="349" t="s">
        <v>1073</v>
      </c>
      <c r="AE1" s="349" t="s">
        <v>1068</v>
      </c>
      <c r="AF1" s="349" t="s">
        <v>39</v>
      </c>
      <c r="AG1" s="349" t="s">
        <v>1069</v>
      </c>
      <c r="AH1" s="349" t="s">
        <v>1070</v>
      </c>
      <c r="AI1" s="349" t="s">
        <v>1071</v>
      </c>
      <c r="AJ1" s="349" t="s">
        <v>1072</v>
      </c>
      <c r="AK1" s="349"/>
      <c r="AL1" s="349"/>
    </row>
    <row r="2" ht="18.0" customHeight="1">
      <c r="A2" s="351" t="s">
        <v>1597</v>
      </c>
      <c r="B2" s="351" t="s">
        <v>1331</v>
      </c>
      <c r="C2" s="351" t="s">
        <v>727</v>
      </c>
      <c r="D2" s="351" t="s">
        <v>1598</v>
      </c>
      <c r="E2" s="352" t="s">
        <v>21</v>
      </c>
      <c r="F2" s="353">
        <v>22.0</v>
      </c>
      <c r="G2" s="354">
        <f>'計分版'!D315</f>
        <v>0.00000000395</v>
      </c>
      <c r="H2" s="355">
        <f t="shared" ref="H2:H24" si="1">G2-F2</f>
        <v>-22</v>
      </c>
      <c r="I2" s="356">
        <f t="shared" ref="I2:I24" si="2">(G2-F2)/G2</f>
        <v>-5569620252</v>
      </c>
      <c r="J2" s="353">
        <v>82.0</v>
      </c>
      <c r="K2" s="357">
        <f>'入學要求'!S300</f>
        <v>0</v>
      </c>
      <c r="L2" s="210" t="s">
        <v>1188</v>
      </c>
      <c r="M2" s="352">
        <v>3.0</v>
      </c>
      <c r="N2" s="352">
        <v>3.0</v>
      </c>
      <c r="O2" s="352">
        <v>2.0</v>
      </c>
      <c r="P2" s="352">
        <v>2.0</v>
      </c>
      <c r="Q2" s="352">
        <v>2.0</v>
      </c>
      <c r="R2" s="358">
        <f>'入學要求'!L300</f>
        <v>0</v>
      </c>
      <c r="S2" s="358">
        <f>'入學要求'!M300</f>
        <v>0</v>
      </c>
      <c r="T2" s="358">
        <f>'入學要求'!N300</f>
        <v>0</v>
      </c>
      <c r="U2" s="358">
        <f>'入學要求'!O300</f>
        <v>0</v>
      </c>
      <c r="V2" s="358">
        <f>'入學要求'!P300</f>
        <v>0</v>
      </c>
      <c r="W2" s="196" t="s">
        <v>38</v>
      </c>
      <c r="X2" s="353">
        <f>IF($W$2="2018年",'Offer Statistics'!EE2,IF($W$2="2019年",'Offer Statistics'!EE26,IF($W$2="2020年",'Offer Statistics'!EE50)))</f>
        <v>61</v>
      </c>
      <c r="Y2" s="359">
        <f>IF($W$2="2018年",'Offer Statistics'!DZ2,IF($W$2="2019年",'Offer Statistics'!DZ26,IF($W$2="2020年",'Offer Statistics'!DZ50)))</f>
        <v>58</v>
      </c>
      <c r="Z2" s="359">
        <f>IF($W$2="2018年",'Offer Statistics'!EA2,IF($W$2="2019年",'Offer Statistics'!EA26,IF($W$2="2020年",'Offer Statistics'!EA50)))</f>
        <v>3</v>
      </c>
      <c r="AA2" s="359">
        <f>IF($W$2="2018年",'Offer Statistics'!EB2,IF($W$2="2019年",'Offer Statistics'!EB26,IF($W$2="2020年",'Offer Statistics'!EB50)))</f>
        <v>0</v>
      </c>
      <c r="AB2" s="359">
        <f>IF($W$2="2018年",'Offer Statistics'!EC2,IF($W$2="2019年",'Offer Statistics'!EC26,IF($W$2="2020年",'Offer Statistics'!EC50)))</f>
        <v>0</v>
      </c>
      <c r="AC2" s="359">
        <f>IF($W$2="2018年",'Offer Statistics'!ED2,IF($W$2="2019年",'Offer Statistics'!ED26,IF($W$2="2020年",'Offer Statistics'!ED50)))</f>
        <v>0</v>
      </c>
      <c r="AD2" s="196" t="str">
        <f>W2</f>
        <v>2020年</v>
      </c>
      <c r="AE2" s="353">
        <f>IF($W$2="2018年",'Offer Statistics'!DW2,IF($W$2="2019年",'Offer Statistics'!DW26,IF($W$2="2020年",'Offer Statistics'!DW50)))</f>
        <v>2790</v>
      </c>
      <c r="AF2" s="359">
        <f>IF($W$2="2018年",'Offer Statistics'!DR2,IF($W$2="2019年",'Offer Statistics'!DR26,IF($W$2="2020年",'Offer Statistics'!DR50)))</f>
        <v>619</v>
      </c>
      <c r="AG2" s="359">
        <f>IF($W$2="2018年",'Offer Statistics'!DS2,IF($W$2="2019年",'Offer Statistics'!DS26,IF($W$2="2020年",'Offer Statistics'!DS50)))</f>
        <v>517</v>
      </c>
      <c r="AH2" s="359">
        <f>IF($W$2="2018年",'Offer Statistics'!DT2,IF($W$2="2019年",'Offer Statistics'!DT26,IF($W$2="2020年",'Offer Statistics'!DT50)))</f>
        <v>565</v>
      </c>
      <c r="AI2" s="359">
        <f>IF($W$2="2018年",'Offer Statistics'!DU2,IF($W$2="2019年",'Offer Statistics'!DU26,IF($W$2="2020年",'Offer Statistics'!DU50)))</f>
        <v>618</v>
      </c>
      <c r="AJ2" s="359">
        <f>IF($W$2="2018年",'Offer Statistics'!DV2,IF($W$2="2019年",'Offer Statistics'!DV26,IF($W$2="2020年",'Offer Statistics'!DV50)))</f>
        <v>471</v>
      </c>
      <c r="AK2" s="360"/>
      <c r="AL2" s="352" t="str">
        <f t="shared" ref="AL2:AL24" si="3">A2</f>
        <v>JS8105</v>
      </c>
    </row>
    <row r="3" ht="18.0" customHeight="1">
      <c r="A3" s="142" t="s">
        <v>1599</v>
      </c>
      <c r="B3" s="142" t="s">
        <v>1331</v>
      </c>
      <c r="C3" s="142" t="s">
        <v>729</v>
      </c>
      <c r="D3" s="142" t="s">
        <v>1600</v>
      </c>
      <c r="E3" s="131" t="s">
        <v>21</v>
      </c>
      <c r="F3" s="132">
        <v>20.0</v>
      </c>
      <c r="G3" s="200">
        <f>'計分版'!D316</f>
        <v>0.00000000395</v>
      </c>
      <c r="H3" s="201">
        <f t="shared" si="1"/>
        <v>-20</v>
      </c>
      <c r="I3" s="202">
        <f t="shared" si="2"/>
        <v>-5063291138</v>
      </c>
      <c r="J3" s="132">
        <v>20.0</v>
      </c>
      <c r="K3" s="309">
        <f>'入學要求'!S301</f>
        <v>0</v>
      </c>
      <c r="L3" s="205"/>
      <c r="M3" s="131">
        <v>3.0</v>
      </c>
      <c r="N3" s="131">
        <v>3.0</v>
      </c>
      <c r="O3" s="131">
        <v>2.0</v>
      </c>
      <c r="P3" s="131">
        <v>2.0</v>
      </c>
      <c r="Q3" s="131">
        <v>2.0</v>
      </c>
      <c r="R3" s="204">
        <f>'入學要求'!L301</f>
        <v>0</v>
      </c>
      <c r="S3" s="204">
        <f>'入學要求'!M301</f>
        <v>0</v>
      </c>
      <c r="T3" s="204">
        <f>'入學要求'!N301</f>
        <v>0</v>
      </c>
      <c r="U3" s="204">
        <f>'入學要求'!O301</f>
        <v>0</v>
      </c>
      <c r="V3" s="204">
        <f>'入學要求'!P301</f>
        <v>0</v>
      </c>
      <c r="W3" s="205"/>
      <c r="X3" s="132">
        <f>IF($W$2="2018年",'Offer Statistics'!EE3,IF($W$2="2019年",'Offer Statistics'!EE27,IF($W$2="2020年",'Offer Statistics'!EE51)))</f>
        <v>20</v>
      </c>
      <c r="Y3" s="206">
        <f>IF($W$2="2018年",'Offer Statistics'!DZ3,IF($W$2="2019年",'Offer Statistics'!DZ27,IF($W$2="2020年",'Offer Statistics'!DZ51)))</f>
        <v>20</v>
      </c>
      <c r="Z3" s="206">
        <f>IF($W$2="2018年",'Offer Statistics'!EA3,IF($W$2="2019年",'Offer Statistics'!EA27,IF($W$2="2020年",'Offer Statistics'!EA51)))</f>
        <v>0</v>
      </c>
      <c r="AA3" s="206">
        <f>IF($W$2="2018年",'Offer Statistics'!EB3,IF($W$2="2019年",'Offer Statistics'!EB27,IF($W$2="2020年",'Offer Statistics'!EB51)))</f>
        <v>0</v>
      </c>
      <c r="AB3" s="206">
        <f>IF($W$2="2018年",'Offer Statistics'!EC3,IF($W$2="2019年",'Offer Statistics'!EC27,IF($W$2="2020年",'Offer Statistics'!EC51)))</f>
        <v>0</v>
      </c>
      <c r="AC3" s="206">
        <f>IF($W$2="2018年",'Offer Statistics'!ED3,IF($W$2="2019年",'Offer Statistics'!ED27,IF($W$2="2020年",'Offer Statistics'!ED51)))</f>
        <v>0</v>
      </c>
      <c r="AD3" s="205"/>
      <c r="AE3" s="132">
        <f>IF($W$2="2018年",'Offer Statistics'!DW3,IF($W$2="2019年",'Offer Statistics'!DW27,IF($W$2="2020年",'Offer Statistics'!DW51)))</f>
        <v>1623</v>
      </c>
      <c r="AF3" s="206">
        <f>IF($W$2="2018年",'Offer Statistics'!DR3,IF($W$2="2019年",'Offer Statistics'!DR27,IF($W$2="2020年",'Offer Statistics'!DR51)))</f>
        <v>260</v>
      </c>
      <c r="AG3" s="206">
        <f>IF($W$2="2018年",'Offer Statistics'!DS3,IF($W$2="2019年",'Offer Statistics'!DS27,IF($W$2="2020年",'Offer Statistics'!DS51)))</f>
        <v>317</v>
      </c>
      <c r="AH3" s="206">
        <f>IF($W$2="2018年",'Offer Statistics'!DT3,IF($W$2="2019年",'Offer Statistics'!DT27,IF($W$2="2020年",'Offer Statistics'!DT51)))</f>
        <v>369</v>
      </c>
      <c r="AI3" s="206">
        <f>IF($W$2="2018年",'Offer Statistics'!DU3,IF($W$2="2019年",'Offer Statistics'!DU27,IF($W$2="2020年",'Offer Statistics'!DU51)))</f>
        <v>372</v>
      </c>
      <c r="AJ3" s="206">
        <f>IF($W$2="2018年",'Offer Statistics'!DV3,IF($W$2="2019年",'Offer Statistics'!DV27,IF($W$2="2020年",'Offer Statistics'!DV51)))</f>
        <v>305</v>
      </c>
      <c r="AK3" s="361"/>
      <c r="AL3" s="131" t="str">
        <f t="shared" si="3"/>
        <v>JS8222</v>
      </c>
    </row>
    <row r="4" ht="18.0" customHeight="1">
      <c r="A4" s="351" t="s">
        <v>1601</v>
      </c>
      <c r="B4" s="351" t="s">
        <v>1602</v>
      </c>
      <c r="C4" s="351" t="s">
        <v>731</v>
      </c>
      <c r="D4" s="351" t="s">
        <v>1603</v>
      </c>
      <c r="E4" s="352" t="s">
        <v>21</v>
      </c>
      <c r="F4" s="353">
        <v>20.0</v>
      </c>
      <c r="G4" s="354">
        <f>'計分版'!D317</f>
        <v>0.00000000395</v>
      </c>
      <c r="H4" s="355">
        <f t="shared" si="1"/>
        <v>-20</v>
      </c>
      <c r="I4" s="356">
        <f t="shared" si="2"/>
        <v>-5063291138</v>
      </c>
      <c r="J4" s="353">
        <v>45.0</v>
      </c>
      <c r="K4" s="357">
        <f>'入學要求'!S302</f>
        <v>0</v>
      </c>
      <c r="L4" s="205"/>
      <c r="M4" s="352">
        <v>3.0</v>
      </c>
      <c r="N4" s="352">
        <v>3.0</v>
      </c>
      <c r="O4" s="352">
        <v>2.0</v>
      </c>
      <c r="P4" s="352">
        <v>2.0</v>
      </c>
      <c r="Q4" s="352">
        <v>2.0</v>
      </c>
      <c r="R4" s="358">
        <f>'入學要求'!L302</f>
        <v>0</v>
      </c>
      <c r="S4" s="358">
        <f>'入學要求'!M302</f>
        <v>0</v>
      </c>
      <c r="T4" s="358">
        <f>'入學要求'!N302</f>
        <v>0</v>
      </c>
      <c r="U4" s="358">
        <f>'入學要求'!O302</f>
        <v>0</v>
      </c>
      <c r="V4" s="358">
        <f>'入學要求'!P302</f>
        <v>0</v>
      </c>
      <c r="W4" s="205"/>
      <c r="X4" s="353">
        <f>IF($W$2="2018年",'Offer Statistics'!EE4,IF($W$2="2019年",'Offer Statistics'!EE28,IF($W$2="2020年",'Offer Statistics'!EE52)))</f>
        <v>40</v>
      </c>
      <c r="Y4" s="359">
        <f>IF($W$2="2018年",'Offer Statistics'!DZ4,IF($W$2="2019年",'Offer Statistics'!DZ28,IF($W$2="2020年",'Offer Statistics'!DZ52)))</f>
        <v>39</v>
      </c>
      <c r="Z4" s="359">
        <f>IF($W$2="2018年",'Offer Statistics'!EA4,IF($W$2="2019年",'Offer Statistics'!EA28,IF($W$2="2020年",'Offer Statistics'!EA52)))</f>
        <v>1</v>
      </c>
      <c r="AA4" s="359">
        <f>IF($W$2="2018年",'Offer Statistics'!EB4,IF($W$2="2019年",'Offer Statistics'!EB28,IF($W$2="2020年",'Offer Statistics'!EB52)))</f>
        <v>0</v>
      </c>
      <c r="AB4" s="359">
        <f>IF($W$2="2018年",'Offer Statistics'!EC4,IF($W$2="2019年",'Offer Statistics'!EC28,IF($W$2="2020年",'Offer Statistics'!EC52)))</f>
        <v>0</v>
      </c>
      <c r="AC4" s="359">
        <f>IF($W$2="2018年",'Offer Statistics'!ED4,IF($W$2="2019年",'Offer Statistics'!ED28,IF($W$2="2020年",'Offer Statistics'!ED52)))</f>
        <v>0</v>
      </c>
      <c r="AD4" s="205"/>
      <c r="AE4" s="353">
        <f>IF($W$2="2018年",'Offer Statistics'!DW4,IF($W$2="2019年",'Offer Statistics'!DW28,IF($W$2="2020年",'Offer Statistics'!DW52)))</f>
        <v>4578</v>
      </c>
      <c r="AF4" s="359">
        <f>IF($W$2="2018年",'Offer Statistics'!DR4,IF($W$2="2019年",'Offer Statistics'!DR28,IF($W$2="2020年",'Offer Statistics'!DR52)))</f>
        <v>793</v>
      </c>
      <c r="AG4" s="359">
        <f>IF($W$2="2018年",'Offer Statistics'!DS4,IF($W$2="2019年",'Offer Statistics'!DS28,IF($W$2="2020年",'Offer Statistics'!DS52)))</f>
        <v>1011</v>
      </c>
      <c r="AH4" s="359">
        <f>IF($W$2="2018年",'Offer Statistics'!DT4,IF($W$2="2019年",'Offer Statistics'!DT28,IF($W$2="2020年",'Offer Statistics'!DT52)))</f>
        <v>1000</v>
      </c>
      <c r="AI4" s="359">
        <f>IF($W$2="2018年",'Offer Statistics'!DU4,IF($W$2="2019年",'Offer Statistics'!DU28,IF($W$2="2020年",'Offer Statistics'!DU52)))</f>
        <v>1017</v>
      </c>
      <c r="AJ4" s="359">
        <f>IF($W$2="2018年",'Offer Statistics'!DV4,IF($W$2="2019年",'Offer Statistics'!DV28,IF($W$2="2020年",'Offer Statistics'!DV52)))</f>
        <v>757</v>
      </c>
      <c r="AK4" s="360"/>
      <c r="AL4" s="352" t="str">
        <f t="shared" si="3"/>
        <v>JS8234</v>
      </c>
    </row>
    <row r="5" ht="18.0" customHeight="1">
      <c r="A5" s="142" t="s">
        <v>1604</v>
      </c>
      <c r="B5" s="142" t="s">
        <v>1602</v>
      </c>
      <c r="C5" s="142" t="s">
        <v>733</v>
      </c>
      <c r="D5" s="142" t="s">
        <v>1605</v>
      </c>
      <c r="E5" s="132" t="s">
        <v>21</v>
      </c>
      <c r="F5" s="132">
        <v>21.0</v>
      </c>
      <c r="G5" s="200">
        <f>'計分版'!D318</f>
        <v>0.00000000395</v>
      </c>
      <c r="H5" s="201">
        <f t="shared" si="1"/>
        <v>-21</v>
      </c>
      <c r="I5" s="202">
        <f t="shared" si="2"/>
        <v>-5316455695</v>
      </c>
      <c r="J5" s="132">
        <v>70.0</v>
      </c>
      <c r="K5" s="309">
        <f>'入學要求'!S303</f>
        <v>0</v>
      </c>
      <c r="L5" s="205"/>
      <c r="M5" s="131">
        <v>3.0</v>
      </c>
      <c r="N5" s="131">
        <v>3.0</v>
      </c>
      <c r="O5" s="131">
        <v>3.0</v>
      </c>
      <c r="P5" s="131">
        <v>2.0</v>
      </c>
      <c r="Q5" s="131">
        <v>2.0</v>
      </c>
      <c r="R5" s="204">
        <f>'入學要求'!L303</f>
        <v>0</v>
      </c>
      <c r="S5" s="204">
        <f>'入學要求'!M303</f>
        <v>0</v>
      </c>
      <c r="T5" s="204">
        <f>'入學要求'!N303</f>
        <v>0</v>
      </c>
      <c r="U5" s="204">
        <f>'入學要求'!O303</f>
        <v>0</v>
      </c>
      <c r="V5" s="204">
        <f>'入學要求'!P303</f>
        <v>0</v>
      </c>
      <c r="W5" s="205"/>
      <c r="X5" s="132">
        <f>IF($W$2="2018年",'Offer Statistics'!EE5,IF($W$2="2019年",'Offer Statistics'!EE29,IF($W$2="2020年",'Offer Statistics'!EE53)))</f>
        <v>41</v>
      </c>
      <c r="Y5" s="206">
        <f>IF($W$2="2018年",'Offer Statistics'!DZ5,IF($W$2="2019年",'Offer Statistics'!DZ29,IF($W$2="2020年",'Offer Statistics'!DZ53)))</f>
        <v>39</v>
      </c>
      <c r="Z5" s="206">
        <f>IF($W$2="2018年",'Offer Statistics'!EA5,IF($W$2="2019年",'Offer Statistics'!EA29,IF($W$2="2020年",'Offer Statistics'!EA53)))</f>
        <v>2</v>
      </c>
      <c r="AA5" s="206">
        <f>IF($W$2="2018年",'Offer Statistics'!EB5,IF($W$2="2019年",'Offer Statistics'!EB29,IF($W$2="2020年",'Offer Statistics'!EB53)))</f>
        <v>0</v>
      </c>
      <c r="AB5" s="206">
        <f>IF($W$2="2018年",'Offer Statistics'!EC5,IF($W$2="2019年",'Offer Statistics'!EC29,IF($W$2="2020年",'Offer Statistics'!EC53)))</f>
        <v>0</v>
      </c>
      <c r="AC5" s="206">
        <f>IF($W$2="2018年",'Offer Statistics'!ED5,IF($W$2="2019年",'Offer Statistics'!ED29,IF($W$2="2020年",'Offer Statistics'!ED53)))</f>
        <v>0</v>
      </c>
      <c r="AD5" s="205"/>
      <c r="AE5" s="132">
        <f>IF($W$2="2018年",'Offer Statistics'!DW5,IF($W$2="2019年",'Offer Statistics'!DW29,IF($W$2="2020年",'Offer Statistics'!DW53)))</f>
        <v>2817</v>
      </c>
      <c r="AF5" s="206">
        <f>IF($W$2="2018年",'Offer Statistics'!DR5,IF($W$2="2019年",'Offer Statistics'!DR29,IF($W$2="2020年",'Offer Statistics'!DR53)))</f>
        <v>403</v>
      </c>
      <c r="AG5" s="206">
        <f>IF($W$2="2018年",'Offer Statistics'!DS5,IF($W$2="2019年",'Offer Statistics'!DS29,IF($W$2="2020年",'Offer Statistics'!DS53)))</f>
        <v>439</v>
      </c>
      <c r="AH5" s="206">
        <f>IF($W$2="2018年",'Offer Statistics'!DT5,IF($W$2="2019年",'Offer Statistics'!DT29,IF($W$2="2020年",'Offer Statistics'!DT53)))</f>
        <v>657</v>
      </c>
      <c r="AI5" s="206">
        <f>IF($W$2="2018年",'Offer Statistics'!DU5,IF($W$2="2019年",'Offer Statistics'!DU29,IF($W$2="2020年",'Offer Statistics'!DU53)))</f>
        <v>681</v>
      </c>
      <c r="AJ5" s="206">
        <f>IF($W$2="2018年",'Offer Statistics'!DV5,IF($W$2="2019年",'Offer Statistics'!DV29,IF($W$2="2020年",'Offer Statistics'!DV53)))</f>
        <v>637</v>
      </c>
      <c r="AK5" s="361"/>
      <c r="AL5" s="131" t="str">
        <f t="shared" si="3"/>
        <v>JS8246</v>
      </c>
    </row>
    <row r="6" ht="18.0" customHeight="1">
      <c r="A6" s="351" t="s">
        <v>1606</v>
      </c>
      <c r="B6" s="351" t="s">
        <v>1602</v>
      </c>
      <c r="C6" s="351" t="s">
        <v>735</v>
      </c>
      <c r="D6" s="351" t="s">
        <v>1607</v>
      </c>
      <c r="E6" s="353" t="s">
        <v>21</v>
      </c>
      <c r="F6" s="353">
        <v>21.0</v>
      </c>
      <c r="G6" s="354">
        <f>'計分版'!D319</f>
        <v>0.00000000395</v>
      </c>
      <c r="H6" s="355">
        <f t="shared" si="1"/>
        <v>-21</v>
      </c>
      <c r="I6" s="356">
        <f t="shared" si="2"/>
        <v>-5316455695</v>
      </c>
      <c r="J6" s="353">
        <v>31.0</v>
      </c>
      <c r="K6" s="357">
        <f>'入學要求'!S304</f>
        <v>0</v>
      </c>
      <c r="L6" s="205"/>
      <c r="M6" s="352">
        <v>3.0</v>
      </c>
      <c r="N6" s="352">
        <v>3.0</v>
      </c>
      <c r="O6" s="352">
        <v>2.0</v>
      </c>
      <c r="P6" s="352">
        <v>2.0</v>
      </c>
      <c r="Q6" s="352">
        <v>2.0</v>
      </c>
      <c r="R6" s="358">
        <f>'入學要求'!L304</f>
        <v>0</v>
      </c>
      <c r="S6" s="358">
        <f>'入學要求'!M304</f>
        <v>0</v>
      </c>
      <c r="T6" s="358">
        <f>'入學要求'!N304</f>
        <v>0</v>
      </c>
      <c r="U6" s="358">
        <f>'入學要求'!O304</f>
        <v>0</v>
      </c>
      <c r="V6" s="358">
        <f>'入學要求'!P304</f>
        <v>0</v>
      </c>
      <c r="W6" s="205"/>
      <c r="X6" s="353">
        <f>IF($W$2="2018年",'Offer Statistics'!EE6,IF($W$2="2019年",'Offer Statistics'!EE30,IF($W$2="2020年",'Offer Statistics'!EE54)))</f>
        <v>19</v>
      </c>
      <c r="Y6" s="359">
        <f>IF($W$2="2018年",'Offer Statistics'!DZ6,IF($W$2="2019年",'Offer Statistics'!DZ30,IF($W$2="2020年",'Offer Statistics'!DZ54)))</f>
        <v>19</v>
      </c>
      <c r="Z6" s="359">
        <f>IF($W$2="2018年",'Offer Statistics'!EA6,IF($W$2="2019年",'Offer Statistics'!EA30,IF($W$2="2020年",'Offer Statistics'!EA54)))</f>
        <v>0</v>
      </c>
      <c r="AA6" s="359">
        <f>IF($W$2="2018年",'Offer Statistics'!EB6,IF($W$2="2019年",'Offer Statistics'!EB30,IF($W$2="2020年",'Offer Statistics'!EB54)))</f>
        <v>0</v>
      </c>
      <c r="AB6" s="359">
        <f>IF($W$2="2018年",'Offer Statistics'!EC6,IF($W$2="2019年",'Offer Statistics'!EC30,IF($W$2="2020年",'Offer Statistics'!EC54)))</f>
        <v>0</v>
      </c>
      <c r="AC6" s="359">
        <f>IF($W$2="2018年",'Offer Statistics'!ED6,IF($W$2="2019年",'Offer Statistics'!ED30,IF($W$2="2020年",'Offer Statistics'!ED54)))</f>
        <v>0</v>
      </c>
      <c r="AD6" s="205"/>
      <c r="AE6" s="353">
        <f>IF($W$2="2018年",'Offer Statistics'!DW6,IF($W$2="2019年",'Offer Statistics'!DW30,IF($W$2="2020年",'Offer Statistics'!DW54)))</f>
        <v>2507</v>
      </c>
      <c r="AF6" s="359">
        <f>IF($W$2="2018年",'Offer Statistics'!DR6,IF($W$2="2019年",'Offer Statistics'!DR30,IF($W$2="2020年",'Offer Statistics'!DR54)))</f>
        <v>890</v>
      </c>
      <c r="AG6" s="359">
        <f>IF($W$2="2018年",'Offer Statistics'!DS6,IF($W$2="2019年",'Offer Statistics'!DS30,IF($W$2="2020年",'Offer Statistics'!DS54)))</f>
        <v>436</v>
      </c>
      <c r="AH6" s="359">
        <f>IF($W$2="2018年",'Offer Statistics'!DT6,IF($W$2="2019年",'Offer Statistics'!DT30,IF($W$2="2020年",'Offer Statistics'!DT54)))</f>
        <v>448</v>
      </c>
      <c r="AI6" s="359">
        <f>IF($W$2="2018年",'Offer Statistics'!DU6,IF($W$2="2019年",'Offer Statistics'!DU30,IF($W$2="2020年",'Offer Statistics'!DU54)))</f>
        <v>425</v>
      </c>
      <c r="AJ6" s="359">
        <f>IF($W$2="2018年",'Offer Statistics'!DV6,IF($W$2="2019年",'Offer Statistics'!DV30,IF($W$2="2020年",'Offer Statistics'!DV54)))</f>
        <v>308</v>
      </c>
      <c r="AK6" s="360"/>
      <c r="AL6" s="352" t="str">
        <f t="shared" si="3"/>
        <v>JS8325</v>
      </c>
    </row>
    <row r="7" ht="18.0" customHeight="1">
      <c r="A7" s="142" t="s">
        <v>1608</v>
      </c>
      <c r="B7" s="142" t="s">
        <v>1602</v>
      </c>
      <c r="C7" s="142" t="s">
        <v>737</v>
      </c>
      <c r="D7" s="142" t="s">
        <v>1609</v>
      </c>
      <c r="E7" s="132" t="s">
        <v>21</v>
      </c>
      <c r="F7" s="132">
        <v>19.0</v>
      </c>
      <c r="G7" s="200">
        <f>'計分版'!D320</f>
        <v>0.00000000395</v>
      </c>
      <c r="H7" s="201">
        <f t="shared" si="1"/>
        <v>-19</v>
      </c>
      <c r="I7" s="202">
        <f t="shared" si="2"/>
        <v>-4810126581</v>
      </c>
      <c r="J7" s="132">
        <v>20.0</v>
      </c>
      <c r="K7" s="309">
        <f>'入學要求'!S305</f>
        <v>0</v>
      </c>
      <c r="L7" s="205"/>
      <c r="M7" s="131">
        <v>3.0</v>
      </c>
      <c r="N7" s="131">
        <v>3.0</v>
      </c>
      <c r="O7" s="131">
        <v>2.0</v>
      </c>
      <c r="P7" s="131">
        <v>2.0</v>
      </c>
      <c r="Q7" s="131">
        <v>2.0</v>
      </c>
      <c r="R7" s="204">
        <f>'入學要求'!L305</f>
        <v>0</v>
      </c>
      <c r="S7" s="204">
        <f>'入學要求'!M305</f>
        <v>0</v>
      </c>
      <c r="T7" s="204">
        <f>'入學要求'!N305</f>
        <v>0</v>
      </c>
      <c r="U7" s="204">
        <f>'入學要求'!O305</f>
        <v>0</v>
      </c>
      <c r="V7" s="204">
        <f>'入學要求'!P305</f>
        <v>0</v>
      </c>
      <c r="W7" s="205"/>
      <c r="X7" s="132">
        <f>IF($W$2="2018年",'Offer Statistics'!EE7,IF($W$2="2019年",'Offer Statistics'!EE31,IF($W$2="2020年",'Offer Statistics'!EE55)))</f>
        <v>14</v>
      </c>
      <c r="Y7" s="206">
        <f>IF($W$2="2018年",'Offer Statistics'!DZ7,IF($W$2="2019年",'Offer Statistics'!DZ31,IF($W$2="2020年",'Offer Statistics'!DZ55)))</f>
        <v>14</v>
      </c>
      <c r="Z7" s="206">
        <f>IF($W$2="2018年",'Offer Statistics'!EA7,IF($W$2="2019年",'Offer Statistics'!EA31,IF($W$2="2020年",'Offer Statistics'!EA55)))</f>
        <v>0</v>
      </c>
      <c r="AA7" s="206">
        <f>IF($W$2="2018年",'Offer Statistics'!EB7,IF($W$2="2019年",'Offer Statistics'!EB31,IF($W$2="2020年",'Offer Statistics'!EB55)))</f>
        <v>0</v>
      </c>
      <c r="AB7" s="206">
        <f>IF($W$2="2018年",'Offer Statistics'!EC7,IF($W$2="2019年",'Offer Statistics'!EC31,IF($W$2="2020年",'Offer Statistics'!EC55)))</f>
        <v>0</v>
      </c>
      <c r="AC7" s="206">
        <f>IF($W$2="2018年",'Offer Statistics'!ED7,IF($W$2="2019年",'Offer Statistics'!ED31,IF($W$2="2020年",'Offer Statistics'!ED55)))</f>
        <v>0</v>
      </c>
      <c r="AD7" s="205"/>
      <c r="AE7" s="132">
        <f>IF($W$2="2018年",'Offer Statistics'!DW7,IF($W$2="2019年",'Offer Statistics'!DW31,IF($W$2="2020年",'Offer Statistics'!DW55)))</f>
        <v>1069</v>
      </c>
      <c r="AF7" s="206">
        <f>IF($W$2="2018年",'Offer Statistics'!DR7,IF($W$2="2019年",'Offer Statistics'!DR31,IF($W$2="2020年",'Offer Statistics'!DR55)))</f>
        <v>198</v>
      </c>
      <c r="AG7" s="206">
        <f>IF($W$2="2018年",'Offer Statistics'!DS7,IF($W$2="2019年",'Offer Statistics'!DS31,IF($W$2="2020年",'Offer Statistics'!DS55)))</f>
        <v>204</v>
      </c>
      <c r="AH7" s="206">
        <f>IF($W$2="2018年",'Offer Statistics'!DT7,IF($W$2="2019年",'Offer Statistics'!DT31,IF($W$2="2020年",'Offer Statistics'!DT55)))</f>
        <v>226</v>
      </c>
      <c r="AI7" s="206">
        <f>IF($W$2="2018年",'Offer Statistics'!DU7,IF($W$2="2019年",'Offer Statistics'!DU31,IF($W$2="2020年",'Offer Statistics'!DU55)))</f>
        <v>247</v>
      </c>
      <c r="AJ7" s="206">
        <f>IF($W$2="2018年",'Offer Statistics'!DV7,IF($W$2="2019年",'Offer Statistics'!DV31,IF($W$2="2020年",'Offer Statistics'!DV55)))</f>
        <v>194</v>
      </c>
      <c r="AK7" s="361"/>
      <c r="AL7" s="131" t="str">
        <f t="shared" si="3"/>
        <v>JS8361</v>
      </c>
    </row>
    <row r="8" ht="18.0" customHeight="1">
      <c r="A8" s="351" t="s">
        <v>1610</v>
      </c>
      <c r="B8" s="351" t="s">
        <v>1602</v>
      </c>
      <c r="C8" s="351" t="s">
        <v>739</v>
      </c>
      <c r="D8" s="351" t="s">
        <v>1611</v>
      </c>
      <c r="E8" s="353" t="s">
        <v>21</v>
      </c>
      <c r="F8" s="353">
        <v>19.0</v>
      </c>
      <c r="G8" s="354">
        <f>'計分版'!D321</f>
        <v>0.00000000395</v>
      </c>
      <c r="H8" s="355">
        <f t="shared" si="1"/>
        <v>-19</v>
      </c>
      <c r="I8" s="356">
        <f t="shared" si="2"/>
        <v>-4810126581</v>
      </c>
      <c r="J8" s="353">
        <v>20.0</v>
      </c>
      <c r="K8" s="357">
        <f>'入學要求'!S306</f>
        <v>0</v>
      </c>
      <c r="L8" s="205"/>
      <c r="M8" s="352">
        <v>3.0</v>
      </c>
      <c r="N8" s="352">
        <v>3.0</v>
      </c>
      <c r="O8" s="352">
        <v>2.0</v>
      </c>
      <c r="P8" s="352">
        <v>2.0</v>
      </c>
      <c r="Q8" s="352">
        <v>2.0</v>
      </c>
      <c r="R8" s="358">
        <f>'入學要求'!L306</f>
        <v>0</v>
      </c>
      <c r="S8" s="358">
        <f>'入學要求'!M306</f>
        <v>0</v>
      </c>
      <c r="T8" s="358">
        <f>'入學要求'!N306</f>
        <v>0</v>
      </c>
      <c r="U8" s="358">
        <f>'入學要求'!O306</f>
        <v>0</v>
      </c>
      <c r="V8" s="358">
        <f>'入學要求'!P306</f>
        <v>0</v>
      </c>
      <c r="W8" s="205"/>
      <c r="X8" s="353">
        <f>IF($W$2="2018年",'Offer Statistics'!EE8,IF($W$2="2019年",'Offer Statistics'!EE32,IF($W$2="2020年",'Offer Statistics'!EE56)))</f>
        <v>20</v>
      </c>
      <c r="Y8" s="359">
        <f>IF($W$2="2018年",'Offer Statistics'!DZ8,IF($W$2="2019年",'Offer Statistics'!DZ32,IF($W$2="2020年",'Offer Statistics'!DZ56)))</f>
        <v>20</v>
      </c>
      <c r="Z8" s="359">
        <f>IF($W$2="2018年",'Offer Statistics'!EA8,IF($W$2="2019年",'Offer Statistics'!EA32,IF($W$2="2020年",'Offer Statistics'!EA56)))</f>
        <v>0</v>
      </c>
      <c r="AA8" s="359">
        <f>IF($W$2="2018年",'Offer Statistics'!EB8,IF($W$2="2019年",'Offer Statistics'!EB32,IF($W$2="2020年",'Offer Statistics'!EB56)))</f>
        <v>0</v>
      </c>
      <c r="AB8" s="359">
        <f>IF($W$2="2018年",'Offer Statistics'!EC8,IF($W$2="2019年",'Offer Statistics'!EC32,IF($W$2="2020年",'Offer Statistics'!EC56)))</f>
        <v>0</v>
      </c>
      <c r="AC8" s="359">
        <f>IF($W$2="2018年",'Offer Statistics'!ED8,IF($W$2="2019年",'Offer Statistics'!ED32,IF($W$2="2020年",'Offer Statistics'!ED56)))</f>
        <v>0</v>
      </c>
      <c r="AD8" s="205"/>
      <c r="AE8" s="353">
        <f>IF($W$2="2018年",'Offer Statistics'!DW8,IF($W$2="2019年",'Offer Statistics'!DW32,IF($W$2="2020年",'Offer Statistics'!DW56)))</f>
        <v>1740</v>
      </c>
      <c r="AF8" s="359">
        <f>IF($W$2="2018年",'Offer Statistics'!DR8,IF($W$2="2019年",'Offer Statistics'!DR32,IF($W$2="2020年",'Offer Statistics'!DR56)))</f>
        <v>221</v>
      </c>
      <c r="AG8" s="359">
        <f>IF($W$2="2018年",'Offer Statistics'!DS8,IF($W$2="2019年",'Offer Statistics'!DS32,IF($W$2="2020年",'Offer Statistics'!DS56)))</f>
        <v>260</v>
      </c>
      <c r="AH8" s="359">
        <f>IF($W$2="2018年",'Offer Statistics'!DT8,IF($W$2="2019年",'Offer Statistics'!DT32,IF($W$2="2020年",'Offer Statistics'!DT56)))</f>
        <v>384</v>
      </c>
      <c r="AI8" s="359">
        <f>IF($W$2="2018年",'Offer Statistics'!DU8,IF($W$2="2019年",'Offer Statistics'!DU32,IF($W$2="2020年",'Offer Statistics'!DU56)))</f>
        <v>463</v>
      </c>
      <c r="AJ8" s="359">
        <f>IF($W$2="2018年",'Offer Statistics'!DV8,IF($W$2="2019年",'Offer Statistics'!DV32,IF($W$2="2020年",'Offer Statistics'!DV56)))</f>
        <v>412</v>
      </c>
      <c r="AK8" s="360"/>
      <c r="AL8" s="352" t="str">
        <f t="shared" si="3"/>
        <v>JS8371</v>
      </c>
    </row>
    <row r="9" ht="18.0" customHeight="1">
      <c r="A9" s="142" t="s">
        <v>1612</v>
      </c>
      <c r="B9" s="142" t="s">
        <v>1602</v>
      </c>
      <c r="C9" s="142" t="s">
        <v>742</v>
      </c>
      <c r="D9" s="142" t="s">
        <v>1613</v>
      </c>
      <c r="E9" s="132" t="s">
        <v>21</v>
      </c>
      <c r="F9" s="132">
        <v>21.0</v>
      </c>
      <c r="G9" s="200">
        <f>'計分版'!D322</f>
        <v>0.00000000395</v>
      </c>
      <c r="H9" s="201">
        <f t="shared" si="1"/>
        <v>-21</v>
      </c>
      <c r="I9" s="202">
        <f t="shared" si="2"/>
        <v>-5316455695</v>
      </c>
      <c r="J9" s="132">
        <v>18.0</v>
      </c>
      <c r="K9" s="309">
        <f>'入學要求'!S307</f>
        <v>0</v>
      </c>
      <c r="L9" s="205"/>
      <c r="M9" s="131">
        <v>3.0</v>
      </c>
      <c r="N9" s="131">
        <v>3.0</v>
      </c>
      <c r="O9" s="131">
        <v>3.0</v>
      </c>
      <c r="P9" s="131">
        <v>2.0</v>
      </c>
      <c r="Q9" s="131">
        <v>2.0</v>
      </c>
      <c r="R9" s="204">
        <f>'入學要求'!L307</f>
        <v>0</v>
      </c>
      <c r="S9" s="204">
        <f>'入學要求'!M307</f>
        <v>0</v>
      </c>
      <c r="T9" s="204">
        <f>'入學要求'!N307</f>
        <v>0</v>
      </c>
      <c r="U9" s="204">
        <f>'入學要求'!O307</f>
        <v>0</v>
      </c>
      <c r="V9" s="204">
        <f>'入學要求'!P307</f>
        <v>0</v>
      </c>
      <c r="W9" s="205"/>
      <c r="X9" s="132">
        <f>IF($W$2="2018年",'Offer Statistics'!EE9,IF($W$2="2019年",'Offer Statistics'!EE33,IF($W$2="2020年",'Offer Statistics'!EE57)))</f>
        <v>16</v>
      </c>
      <c r="Y9" s="206">
        <f>IF($W$2="2018年",'Offer Statistics'!DZ9,IF($W$2="2019年",'Offer Statistics'!DZ33,IF($W$2="2020年",'Offer Statistics'!DZ57)))</f>
        <v>16</v>
      </c>
      <c r="Z9" s="206">
        <f>IF($W$2="2018年",'Offer Statistics'!EA9,IF($W$2="2019年",'Offer Statistics'!EA33,IF($W$2="2020年",'Offer Statistics'!EA57)))</f>
        <v>0</v>
      </c>
      <c r="AA9" s="206">
        <f>IF($W$2="2018年",'Offer Statistics'!EB9,IF($W$2="2019年",'Offer Statistics'!EB33,IF($W$2="2020年",'Offer Statistics'!EB57)))</f>
        <v>0</v>
      </c>
      <c r="AB9" s="206">
        <f>IF($W$2="2018年",'Offer Statistics'!EC9,IF($W$2="2019年",'Offer Statistics'!EC33,IF($W$2="2020年",'Offer Statistics'!EC57)))</f>
        <v>0</v>
      </c>
      <c r="AC9" s="206">
        <f>IF($W$2="2018年",'Offer Statistics'!ED9,IF($W$2="2019年",'Offer Statistics'!ED33,IF($W$2="2020年",'Offer Statistics'!ED57)))</f>
        <v>0</v>
      </c>
      <c r="AD9" s="205"/>
      <c r="AE9" s="132">
        <f>IF($W$2="2018年",'Offer Statistics'!DW9,IF($W$2="2019年",'Offer Statistics'!DW33,IF($W$2="2020年",'Offer Statistics'!DW57)))</f>
        <v>1626</v>
      </c>
      <c r="AF9" s="206">
        <f>IF($W$2="2018年",'Offer Statistics'!DR9,IF($W$2="2019年",'Offer Statistics'!DR33,IF($W$2="2020年",'Offer Statistics'!DR57)))</f>
        <v>208</v>
      </c>
      <c r="AG9" s="206">
        <f>IF($W$2="2018年",'Offer Statistics'!DS9,IF($W$2="2019年",'Offer Statistics'!DS33,IF($W$2="2020年",'Offer Statistics'!DS57)))</f>
        <v>250</v>
      </c>
      <c r="AH9" s="206">
        <f>IF($W$2="2018年",'Offer Statistics'!DT9,IF($W$2="2019年",'Offer Statistics'!DT33,IF($W$2="2020年",'Offer Statistics'!DT57)))</f>
        <v>356</v>
      </c>
      <c r="AI9" s="206">
        <f>IF($W$2="2018年",'Offer Statistics'!DU9,IF($W$2="2019年",'Offer Statistics'!DU33,IF($W$2="2020年",'Offer Statistics'!DU57)))</f>
        <v>436</v>
      </c>
      <c r="AJ9" s="206">
        <f>IF($W$2="2018年",'Offer Statistics'!DV9,IF($W$2="2019年",'Offer Statistics'!DV33,IF($W$2="2020年",'Offer Statistics'!DV57)))</f>
        <v>376</v>
      </c>
      <c r="AK9" s="361"/>
      <c r="AL9" s="131" t="str">
        <f t="shared" si="3"/>
        <v>JS8391</v>
      </c>
    </row>
    <row r="10" ht="18.0" customHeight="1">
      <c r="A10" s="351" t="s">
        <v>1614</v>
      </c>
      <c r="B10" s="351" t="s">
        <v>1615</v>
      </c>
      <c r="C10" s="351" t="s">
        <v>744</v>
      </c>
      <c r="D10" s="351" t="s">
        <v>1616</v>
      </c>
      <c r="E10" s="352" t="s">
        <v>21</v>
      </c>
      <c r="F10" s="353">
        <v>21.0</v>
      </c>
      <c r="G10" s="354">
        <f>'計分版'!D323</f>
        <v>0.00000000395</v>
      </c>
      <c r="H10" s="355">
        <f t="shared" si="1"/>
        <v>-21</v>
      </c>
      <c r="I10" s="356">
        <f t="shared" si="2"/>
        <v>-5316455695</v>
      </c>
      <c r="J10" s="353">
        <v>49.0</v>
      </c>
      <c r="K10" s="357">
        <f>'入學要求'!S308</f>
        <v>0</v>
      </c>
      <c r="L10" s="205"/>
      <c r="M10" s="352">
        <v>3.0</v>
      </c>
      <c r="N10" s="352">
        <v>3.0</v>
      </c>
      <c r="O10" s="352">
        <v>2.0</v>
      </c>
      <c r="P10" s="352">
        <v>2.0</v>
      </c>
      <c r="Q10" s="352">
        <v>2.0</v>
      </c>
      <c r="R10" s="358">
        <f>'入學要求'!L308</f>
        <v>0</v>
      </c>
      <c r="S10" s="358">
        <f>'入學要求'!M308</f>
        <v>0</v>
      </c>
      <c r="T10" s="358">
        <f>'入學要求'!N308</f>
        <v>0</v>
      </c>
      <c r="U10" s="358">
        <f>'入學要求'!O308</f>
        <v>0</v>
      </c>
      <c r="V10" s="358">
        <f>'入學要求'!P308</f>
        <v>0</v>
      </c>
      <c r="W10" s="205"/>
      <c r="X10" s="353">
        <f>IF($W$2="2018年",'Offer Statistics'!EE10,IF($W$2="2019年",'Offer Statistics'!EE34,IF($W$2="2020年",'Offer Statistics'!EE58)))</f>
        <v>46</v>
      </c>
      <c r="Y10" s="359">
        <f>IF($W$2="2018年",'Offer Statistics'!DZ10,IF($W$2="2019年",'Offer Statistics'!DZ34,IF($W$2="2020年",'Offer Statistics'!DZ58)))</f>
        <v>46</v>
      </c>
      <c r="Z10" s="359">
        <f>IF($W$2="2018年",'Offer Statistics'!EA10,IF($W$2="2019年",'Offer Statistics'!EA34,IF($W$2="2020年",'Offer Statistics'!EA58)))</f>
        <v>0</v>
      </c>
      <c r="AA10" s="359">
        <f>IF($W$2="2018年",'Offer Statistics'!EB10,IF($W$2="2019年",'Offer Statistics'!EB34,IF($W$2="2020年",'Offer Statistics'!EB58)))</f>
        <v>0</v>
      </c>
      <c r="AB10" s="359">
        <f>IF($W$2="2018年",'Offer Statistics'!EC10,IF($W$2="2019年",'Offer Statistics'!EC34,IF($W$2="2020年",'Offer Statistics'!EC58)))</f>
        <v>0</v>
      </c>
      <c r="AC10" s="359">
        <f>IF($W$2="2018年",'Offer Statistics'!ED10,IF($W$2="2019年",'Offer Statistics'!ED34,IF($W$2="2020年",'Offer Statistics'!ED58)))</f>
        <v>0</v>
      </c>
      <c r="AD10" s="205"/>
      <c r="AE10" s="353">
        <f>IF($W$2="2018年",'Offer Statistics'!DW10,IF($W$2="2019年",'Offer Statistics'!DW34,IF($W$2="2020年",'Offer Statistics'!DW58)))</f>
        <v>6139</v>
      </c>
      <c r="AF10" s="359">
        <f>IF($W$2="2018年",'Offer Statistics'!DR10,IF($W$2="2019年",'Offer Statistics'!DR34,IF($W$2="2020年",'Offer Statistics'!DR58)))</f>
        <v>1491</v>
      </c>
      <c r="AG10" s="359">
        <f>IF($W$2="2018年",'Offer Statistics'!DS10,IF($W$2="2019年",'Offer Statistics'!DS34,IF($W$2="2020年",'Offer Statistics'!DS58)))</f>
        <v>1039</v>
      </c>
      <c r="AH10" s="359">
        <f>IF($W$2="2018年",'Offer Statistics'!DT10,IF($W$2="2019年",'Offer Statistics'!DT34,IF($W$2="2020年",'Offer Statistics'!DT58)))</f>
        <v>1275</v>
      </c>
      <c r="AI10" s="359">
        <f>IF($W$2="2018年",'Offer Statistics'!DU10,IF($W$2="2019年",'Offer Statistics'!DU34,IF($W$2="2020年",'Offer Statistics'!DU58)))</f>
        <v>1334</v>
      </c>
      <c r="AJ10" s="359">
        <f>IF($W$2="2018年",'Offer Statistics'!DV10,IF($W$2="2019年",'Offer Statistics'!DV34,IF($W$2="2020年",'Offer Statistics'!DV58)))</f>
        <v>1000</v>
      </c>
      <c r="AK10" s="360"/>
      <c r="AL10" s="352" t="str">
        <f t="shared" si="3"/>
        <v>JS8404</v>
      </c>
    </row>
    <row r="11" ht="18.0" customHeight="1">
      <c r="A11" s="142" t="s">
        <v>745</v>
      </c>
      <c r="B11" s="142" t="s">
        <v>1331</v>
      </c>
      <c r="C11" s="142" t="s">
        <v>746</v>
      </c>
      <c r="D11" s="142" t="s">
        <v>1617</v>
      </c>
      <c r="E11" s="132" t="s">
        <v>21</v>
      </c>
      <c r="F11" s="132">
        <v>22.0</v>
      </c>
      <c r="G11" s="200">
        <f>'計分版'!D324</f>
        <v>0.00000000395</v>
      </c>
      <c r="H11" s="201">
        <f t="shared" si="1"/>
        <v>-22</v>
      </c>
      <c r="I11" s="202">
        <f t="shared" si="2"/>
        <v>-5569620252</v>
      </c>
      <c r="J11" s="132">
        <v>10.0</v>
      </c>
      <c r="K11" s="309">
        <f>'入學要求'!S309</f>
        <v>0</v>
      </c>
      <c r="L11" s="205"/>
      <c r="M11" s="131">
        <v>3.0</v>
      </c>
      <c r="N11" s="131">
        <v>3.0</v>
      </c>
      <c r="O11" s="131">
        <v>2.0</v>
      </c>
      <c r="P11" s="131">
        <v>2.0</v>
      </c>
      <c r="Q11" s="131">
        <v>2.0</v>
      </c>
      <c r="R11" s="204">
        <f>'入學要求'!L309</f>
        <v>0</v>
      </c>
      <c r="S11" s="204">
        <f>'入學要求'!M309</f>
        <v>0</v>
      </c>
      <c r="T11" s="204">
        <f>'入學要求'!N309</f>
        <v>0</v>
      </c>
      <c r="U11" s="204">
        <f>'入學要求'!O309</f>
        <v>0</v>
      </c>
      <c r="V11" s="204">
        <f>'入學要求'!P309</f>
        <v>0</v>
      </c>
      <c r="W11" s="205"/>
      <c r="X11" s="132" t="str">
        <f>IF($W$2="2018年",'Offer Statistics'!EE11,IF($W$2="2019年",'Offer Statistics'!EE35,IF($W$2="2020年",'Offer Statistics'!EE59)))</f>
        <v>/</v>
      </c>
      <c r="Y11" s="206" t="str">
        <f>IF($W$2="2018年",'Offer Statistics'!DZ11,IF($W$2="2019年",'Offer Statistics'!DZ35,IF($W$2="2020年",'Offer Statistics'!DZ59)))</f>
        <v>/</v>
      </c>
      <c r="Z11" s="206" t="str">
        <f>IF($W$2="2018年",'Offer Statistics'!EA11,IF($W$2="2019年",'Offer Statistics'!EA35,IF($W$2="2020年",'Offer Statistics'!EA59)))</f>
        <v>/</v>
      </c>
      <c r="AA11" s="206" t="str">
        <f>IF($W$2="2018年",'Offer Statistics'!EB11,IF($W$2="2019年",'Offer Statistics'!EB35,IF($W$2="2020年",'Offer Statistics'!EB59)))</f>
        <v>/</v>
      </c>
      <c r="AB11" s="206" t="str">
        <f>IF($W$2="2018年",'Offer Statistics'!EC11,IF($W$2="2019年",'Offer Statistics'!EC35,IF($W$2="2020年",'Offer Statistics'!EC59)))</f>
        <v>/</v>
      </c>
      <c r="AC11" s="206" t="str">
        <f>IF($W$2="2018年",'Offer Statistics'!ED11,IF($W$2="2019年",'Offer Statistics'!ED35,IF($W$2="2020年",'Offer Statistics'!ED59)))</f>
        <v>/</v>
      </c>
      <c r="AD11" s="205"/>
      <c r="AE11" s="132" t="str">
        <f>IF($W$2="2018年",'Offer Statistics'!DW11,IF($W$2="2019年",'Offer Statistics'!DW35,IF($W$2="2020年",'Offer Statistics'!DW59)))</f>
        <v>/</v>
      </c>
      <c r="AF11" s="206" t="str">
        <f>IF($W$2="2018年",'Offer Statistics'!DR11,IF($W$2="2019年",'Offer Statistics'!DR35,IF($W$2="2020年",'Offer Statistics'!DR59)))</f>
        <v>/</v>
      </c>
      <c r="AG11" s="206" t="str">
        <f>IF($W$2="2018年",'Offer Statistics'!DS11,IF($W$2="2019年",'Offer Statistics'!DS35,IF($W$2="2020年",'Offer Statistics'!DS59)))</f>
        <v>/</v>
      </c>
      <c r="AH11" s="206" t="str">
        <f>IF($W$2="2018年",'Offer Statistics'!DT11,IF($W$2="2019年",'Offer Statistics'!DT35,IF($W$2="2020年",'Offer Statistics'!DT59)))</f>
        <v>/</v>
      </c>
      <c r="AI11" s="206" t="str">
        <f>IF($W$2="2018年",'Offer Statistics'!DU11,IF($W$2="2019年",'Offer Statistics'!DU35,IF($W$2="2020年",'Offer Statistics'!DU59)))</f>
        <v>/</v>
      </c>
      <c r="AJ11" s="206" t="str">
        <f>IF($W$2="2018年",'Offer Statistics'!DV11,IF($W$2="2019年",'Offer Statistics'!DV35,IF($W$2="2020年",'Offer Statistics'!DV59)))</f>
        <v>/</v>
      </c>
      <c r="AK11" s="361"/>
      <c r="AL11" s="131" t="str">
        <f t="shared" si="3"/>
        <v>JS8416</v>
      </c>
    </row>
    <row r="12" ht="18.0" customHeight="1">
      <c r="A12" s="351" t="s">
        <v>1618</v>
      </c>
      <c r="B12" s="351" t="s">
        <v>1602</v>
      </c>
      <c r="C12" s="351" t="s">
        <v>748</v>
      </c>
      <c r="D12" s="351" t="s">
        <v>1619</v>
      </c>
      <c r="E12" s="353" t="s">
        <v>21</v>
      </c>
      <c r="F12" s="353">
        <v>21.0</v>
      </c>
      <c r="G12" s="354">
        <f>'計分版'!D325</f>
        <v>0.00000000395</v>
      </c>
      <c r="H12" s="355">
        <f t="shared" si="1"/>
        <v>-21</v>
      </c>
      <c r="I12" s="356">
        <f t="shared" si="2"/>
        <v>-5316455695</v>
      </c>
      <c r="J12" s="353">
        <v>10.0</v>
      </c>
      <c r="K12" s="357">
        <f>'入學要求'!S310</f>
        <v>0</v>
      </c>
      <c r="L12" s="205"/>
      <c r="M12" s="352">
        <v>3.0</v>
      </c>
      <c r="N12" s="352">
        <v>3.0</v>
      </c>
      <c r="O12" s="352">
        <v>2.0</v>
      </c>
      <c r="P12" s="352">
        <v>2.0</v>
      </c>
      <c r="Q12" s="352">
        <v>2.0</v>
      </c>
      <c r="R12" s="358">
        <f>'入學要求'!L310</f>
        <v>0</v>
      </c>
      <c r="S12" s="358">
        <f>'入學要求'!M310</f>
        <v>0</v>
      </c>
      <c r="T12" s="358">
        <f>'入學要求'!N310</f>
        <v>0</v>
      </c>
      <c r="U12" s="358">
        <f>'入學要求'!O310</f>
        <v>0</v>
      </c>
      <c r="V12" s="358">
        <f>'入學要求'!P310</f>
        <v>0</v>
      </c>
      <c r="W12" s="205"/>
      <c r="X12" s="353">
        <f>IF($W$2="2018年",'Offer Statistics'!EE12,IF($W$2="2019年",'Offer Statistics'!EE36,IF($W$2="2020年",'Offer Statistics'!EE60)))</f>
        <v>11</v>
      </c>
      <c r="Y12" s="359">
        <f>IF($W$2="2018年",'Offer Statistics'!DZ12,IF($W$2="2019年",'Offer Statistics'!DZ36,IF($W$2="2020年",'Offer Statistics'!DZ60)))</f>
        <v>11</v>
      </c>
      <c r="Z12" s="359">
        <f>IF($W$2="2018年",'Offer Statistics'!EA12,IF($W$2="2019年",'Offer Statistics'!EA36,IF($W$2="2020年",'Offer Statistics'!EA60)))</f>
        <v>0</v>
      </c>
      <c r="AA12" s="359">
        <f>IF($W$2="2018年",'Offer Statistics'!EB12,IF($W$2="2019年",'Offer Statistics'!EB36,IF($W$2="2020年",'Offer Statistics'!EB60)))</f>
        <v>0</v>
      </c>
      <c r="AB12" s="359">
        <f>IF($W$2="2018年",'Offer Statistics'!EC12,IF($W$2="2019年",'Offer Statistics'!EC36,IF($W$2="2020年",'Offer Statistics'!EC60)))</f>
        <v>0</v>
      </c>
      <c r="AC12" s="359">
        <f>IF($W$2="2018年",'Offer Statistics'!ED12,IF($W$2="2019年",'Offer Statistics'!ED36,IF($W$2="2020年",'Offer Statistics'!ED60)))</f>
        <v>0</v>
      </c>
      <c r="AD12" s="205"/>
      <c r="AE12" s="353">
        <f>IF($W$2="2018年",'Offer Statistics'!DW12,IF($W$2="2019年",'Offer Statistics'!DW36,IF($W$2="2020年",'Offer Statistics'!DW60)))</f>
        <v>1454</v>
      </c>
      <c r="AF12" s="359">
        <f>IF($W$2="2018年",'Offer Statistics'!DR12,IF($W$2="2019年",'Offer Statistics'!DR36,IF($W$2="2020年",'Offer Statistics'!DR60)))</f>
        <v>188</v>
      </c>
      <c r="AG12" s="359">
        <f>IF($W$2="2018年",'Offer Statistics'!DS12,IF($W$2="2019年",'Offer Statistics'!DS36,IF($W$2="2020年",'Offer Statistics'!DS60)))</f>
        <v>238</v>
      </c>
      <c r="AH12" s="359">
        <f>IF($W$2="2018年",'Offer Statistics'!DT12,IF($W$2="2019年",'Offer Statistics'!DT36,IF($W$2="2020年",'Offer Statistics'!DT60)))</f>
        <v>353</v>
      </c>
      <c r="AI12" s="359">
        <f>IF($W$2="2018年",'Offer Statistics'!DU12,IF($W$2="2019年",'Offer Statistics'!DU36,IF($W$2="2020年",'Offer Statistics'!DU60)))</f>
        <v>404</v>
      </c>
      <c r="AJ12" s="359">
        <f>IF($W$2="2018年",'Offer Statistics'!DV12,IF($W$2="2019年",'Offer Statistics'!DV36,IF($W$2="2020年",'Offer Statistics'!DV60)))</f>
        <v>271</v>
      </c>
      <c r="AK12" s="360"/>
      <c r="AL12" s="352" t="str">
        <f t="shared" si="3"/>
        <v>JS8428</v>
      </c>
    </row>
    <row r="13" ht="18.0" customHeight="1">
      <c r="A13" s="142" t="s">
        <v>1620</v>
      </c>
      <c r="B13" s="142" t="s">
        <v>1602</v>
      </c>
      <c r="C13" s="142" t="s">
        <v>750</v>
      </c>
      <c r="D13" s="142" t="s">
        <v>1621</v>
      </c>
      <c r="E13" s="132" t="s">
        <v>21</v>
      </c>
      <c r="F13" s="132">
        <v>19.0</v>
      </c>
      <c r="G13" s="200">
        <f>'計分版'!D326</f>
        <v>0.00000000395</v>
      </c>
      <c r="H13" s="201">
        <f t="shared" si="1"/>
        <v>-19</v>
      </c>
      <c r="I13" s="202">
        <f t="shared" si="2"/>
        <v>-4810126581</v>
      </c>
      <c r="J13" s="132">
        <v>14.0</v>
      </c>
      <c r="K13" s="309">
        <f>'入學要求'!S311</f>
        <v>0</v>
      </c>
      <c r="L13" s="205"/>
      <c r="M13" s="131">
        <v>3.0</v>
      </c>
      <c r="N13" s="131">
        <v>3.0</v>
      </c>
      <c r="O13" s="131">
        <v>2.0</v>
      </c>
      <c r="P13" s="131">
        <v>2.0</v>
      </c>
      <c r="Q13" s="131">
        <v>4.0</v>
      </c>
      <c r="R13" s="204">
        <f>'入學要求'!L311</f>
        <v>0</v>
      </c>
      <c r="S13" s="204">
        <f>'入學要求'!M311</f>
        <v>0</v>
      </c>
      <c r="T13" s="204">
        <f>'入學要求'!N311</f>
        <v>0</v>
      </c>
      <c r="U13" s="204">
        <f>'入學要求'!O311</f>
        <v>0</v>
      </c>
      <c r="V13" s="204">
        <f>'入學要求'!P311</f>
        <v>0</v>
      </c>
      <c r="W13" s="205"/>
      <c r="X13" s="132">
        <f>IF($W$2="2018年",'Offer Statistics'!EE13,IF($W$2="2019年",'Offer Statistics'!EE37,IF($W$2="2020年",'Offer Statistics'!EE61)))</f>
        <v>16</v>
      </c>
      <c r="Y13" s="206">
        <f>IF($W$2="2018年",'Offer Statistics'!DZ13,IF($W$2="2019年",'Offer Statistics'!DZ37,IF($W$2="2020年",'Offer Statistics'!DZ61)))</f>
        <v>15</v>
      </c>
      <c r="Z13" s="206">
        <f>IF($W$2="2018年",'Offer Statistics'!EA13,IF($W$2="2019年",'Offer Statistics'!EA37,IF($W$2="2020年",'Offer Statistics'!EA61)))</f>
        <v>1</v>
      </c>
      <c r="AA13" s="206">
        <f>IF($W$2="2018年",'Offer Statistics'!EB13,IF($W$2="2019年",'Offer Statistics'!EB37,IF($W$2="2020年",'Offer Statistics'!EB61)))</f>
        <v>0</v>
      </c>
      <c r="AB13" s="206">
        <f>IF($W$2="2018年",'Offer Statistics'!EC13,IF($W$2="2019年",'Offer Statistics'!EC37,IF($W$2="2020年",'Offer Statistics'!EC61)))</f>
        <v>0</v>
      </c>
      <c r="AC13" s="206">
        <f>IF($W$2="2018年",'Offer Statistics'!ED13,IF($W$2="2019年",'Offer Statistics'!ED37,IF($W$2="2020年",'Offer Statistics'!ED61)))</f>
        <v>0</v>
      </c>
      <c r="AD13" s="205"/>
      <c r="AE13" s="132">
        <f>IF($W$2="2018年",'Offer Statistics'!DW13,IF($W$2="2019年",'Offer Statistics'!DW37,IF($W$2="2020年",'Offer Statistics'!DW61)))</f>
        <v>1521</v>
      </c>
      <c r="AF13" s="206">
        <f>IF($W$2="2018年",'Offer Statistics'!DR13,IF($W$2="2019年",'Offer Statistics'!DR37,IF($W$2="2020年",'Offer Statistics'!DR61)))</f>
        <v>131</v>
      </c>
      <c r="AG13" s="206">
        <f>IF($W$2="2018年",'Offer Statistics'!DS13,IF($W$2="2019年",'Offer Statistics'!DS37,IF($W$2="2020年",'Offer Statistics'!DS61)))</f>
        <v>215</v>
      </c>
      <c r="AH13" s="206">
        <f>IF($W$2="2018年",'Offer Statistics'!DT13,IF($W$2="2019年",'Offer Statistics'!DT37,IF($W$2="2020年",'Offer Statistics'!DT61)))</f>
        <v>372</v>
      </c>
      <c r="AI13" s="206">
        <f>IF($W$2="2018年",'Offer Statistics'!DU13,IF($W$2="2019年",'Offer Statistics'!DU37,IF($W$2="2020年",'Offer Statistics'!DU61)))</f>
        <v>439</v>
      </c>
      <c r="AJ13" s="206">
        <f>IF($W$2="2018年",'Offer Statistics'!DV13,IF($W$2="2019年",'Offer Statistics'!DV37,IF($W$2="2020年",'Offer Statistics'!DV61)))</f>
        <v>364</v>
      </c>
      <c r="AK13" s="361"/>
      <c r="AL13" s="131" t="str">
        <f t="shared" si="3"/>
        <v>JS8430</v>
      </c>
    </row>
    <row r="14" ht="18.0" customHeight="1">
      <c r="A14" s="351" t="s">
        <v>1622</v>
      </c>
      <c r="B14" s="351" t="s">
        <v>1331</v>
      </c>
      <c r="C14" s="351" t="s">
        <v>753</v>
      </c>
      <c r="D14" s="351" t="s">
        <v>1623</v>
      </c>
      <c r="E14" s="353" t="s">
        <v>21</v>
      </c>
      <c r="F14" s="353">
        <v>20.0</v>
      </c>
      <c r="G14" s="354">
        <f>'計分版'!D327</f>
        <v>0.00000000395</v>
      </c>
      <c r="H14" s="355">
        <f t="shared" si="1"/>
        <v>-20</v>
      </c>
      <c r="I14" s="356">
        <f t="shared" si="2"/>
        <v>-5063291138</v>
      </c>
      <c r="J14" s="353">
        <v>16.0</v>
      </c>
      <c r="K14" s="357">
        <f>'入學要求'!S312</f>
        <v>0</v>
      </c>
      <c r="L14" s="205"/>
      <c r="M14" s="352">
        <v>3.0</v>
      </c>
      <c r="N14" s="352">
        <v>3.0</v>
      </c>
      <c r="O14" s="352">
        <v>2.0</v>
      </c>
      <c r="P14" s="352">
        <v>2.0</v>
      </c>
      <c r="Q14" s="352">
        <v>2.0</v>
      </c>
      <c r="R14" s="358">
        <f>'入學要求'!L312</f>
        <v>0</v>
      </c>
      <c r="S14" s="358">
        <f>'入學要求'!M312</f>
        <v>0</v>
      </c>
      <c r="T14" s="358">
        <f>'入學要求'!N312</f>
        <v>0</v>
      </c>
      <c r="U14" s="358">
        <f>'入學要求'!O312</f>
        <v>0</v>
      </c>
      <c r="V14" s="358">
        <f>'入學要求'!P312</f>
        <v>0</v>
      </c>
      <c r="W14" s="205"/>
      <c r="X14" s="353">
        <f>IF($W$2="2018年",'Offer Statistics'!EE14,IF($W$2="2019年",'Offer Statistics'!EE38,IF($W$2="2020年",'Offer Statistics'!EE62)))</f>
        <v>21</v>
      </c>
      <c r="Y14" s="359">
        <f>IF($W$2="2018年",'Offer Statistics'!DZ14,IF($W$2="2019年",'Offer Statistics'!DZ38,IF($W$2="2020年",'Offer Statistics'!DZ62)))</f>
        <v>19</v>
      </c>
      <c r="Z14" s="359">
        <f>IF($W$2="2018年",'Offer Statistics'!EA14,IF($W$2="2019年",'Offer Statistics'!EA38,IF($W$2="2020年",'Offer Statistics'!EA62)))</f>
        <v>2</v>
      </c>
      <c r="AA14" s="359">
        <f>IF($W$2="2018年",'Offer Statistics'!EB14,IF($W$2="2019年",'Offer Statistics'!EB38,IF($W$2="2020年",'Offer Statistics'!EB62)))</f>
        <v>0</v>
      </c>
      <c r="AB14" s="359">
        <f>IF($W$2="2018年",'Offer Statistics'!EC14,IF($W$2="2019年",'Offer Statistics'!EC38,IF($W$2="2020年",'Offer Statistics'!EC62)))</f>
        <v>0</v>
      </c>
      <c r="AC14" s="359">
        <f>IF($W$2="2018年",'Offer Statistics'!ED14,IF($W$2="2019年",'Offer Statistics'!ED38,IF($W$2="2020年",'Offer Statistics'!ED62)))</f>
        <v>0</v>
      </c>
      <c r="AD14" s="205"/>
      <c r="AE14" s="353">
        <f>IF($W$2="2018年",'Offer Statistics'!DW14,IF($W$2="2019年",'Offer Statistics'!DW38,IF($W$2="2020年",'Offer Statistics'!DW62)))</f>
        <v>1468</v>
      </c>
      <c r="AF14" s="359">
        <f>IF($W$2="2018年",'Offer Statistics'!DR14,IF($W$2="2019年",'Offer Statistics'!DR38,IF($W$2="2020年",'Offer Statistics'!DR62)))</f>
        <v>203</v>
      </c>
      <c r="AG14" s="359">
        <f>IF($W$2="2018年",'Offer Statistics'!DS14,IF($W$2="2019年",'Offer Statistics'!DS38,IF($W$2="2020年",'Offer Statistics'!DS62)))</f>
        <v>264</v>
      </c>
      <c r="AH14" s="359">
        <f>IF($W$2="2018年",'Offer Statistics'!DT14,IF($W$2="2019年",'Offer Statistics'!DT38,IF($W$2="2020年",'Offer Statistics'!DT62)))</f>
        <v>311</v>
      </c>
      <c r="AI14" s="359">
        <f>IF($W$2="2018年",'Offer Statistics'!DU14,IF($W$2="2019年",'Offer Statistics'!DU38,IF($W$2="2020年",'Offer Statistics'!DU62)))</f>
        <v>390</v>
      </c>
      <c r="AJ14" s="359">
        <f>IF($W$2="2018年",'Offer Statistics'!DV14,IF($W$2="2019年",'Offer Statistics'!DV38,IF($W$2="2020年",'Offer Statistics'!DV62)))</f>
        <v>300</v>
      </c>
      <c r="AK14" s="360"/>
      <c r="AL14" s="352" t="str">
        <f t="shared" si="3"/>
        <v>JS8600</v>
      </c>
    </row>
    <row r="15" ht="18.0" customHeight="1">
      <c r="A15" s="142" t="s">
        <v>1624</v>
      </c>
      <c r="B15" s="142" t="s">
        <v>1331</v>
      </c>
      <c r="C15" s="142" t="s">
        <v>755</v>
      </c>
      <c r="D15" s="142" t="s">
        <v>1625</v>
      </c>
      <c r="E15" s="132" t="s">
        <v>21</v>
      </c>
      <c r="F15" s="132">
        <v>20.0</v>
      </c>
      <c r="G15" s="200">
        <f>'計分版'!D328</f>
        <v>0.00000000395</v>
      </c>
      <c r="H15" s="201">
        <f t="shared" si="1"/>
        <v>-20</v>
      </c>
      <c r="I15" s="202">
        <f t="shared" si="2"/>
        <v>-5063291138</v>
      </c>
      <c r="J15" s="132">
        <v>16.0</v>
      </c>
      <c r="K15" s="309">
        <f>'入學要求'!S313</f>
        <v>0</v>
      </c>
      <c r="L15" s="205"/>
      <c r="M15" s="131">
        <v>3.0</v>
      </c>
      <c r="N15" s="131">
        <v>3.0</v>
      </c>
      <c r="O15" s="131">
        <v>2.0</v>
      </c>
      <c r="P15" s="131">
        <v>2.0</v>
      </c>
      <c r="Q15" s="131">
        <v>2.0</v>
      </c>
      <c r="R15" s="204">
        <f>'入學要求'!L313</f>
        <v>0</v>
      </c>
      <c r="S15" s="204">
        <f>'入學要求'!M313</f>
        <v>0</v>
      </c>
      <c r="T15" s="204">
        <f>'入學要求'!N313</f>
        <v>0</v>
      </c>
      <c r="U15" s="204">
        <f>'入學要求'!O313</f>
        <v>0</v>
      </c>
      <c r="V15" s="204">
        <f>'入學要求'!P313</f>
        <v>0</v>
      </c>
      <c r="W15" s="205"/>
      <c r="X15" s="132">
        <f>IF($W$2="2018年",'Offer Statistics'!EE15,IF($W$2="2019年",'Offer Statistics'!EE39,IF($W$2="2020年",'Offer Statistics'!EE63)))</f>
        <v>12</v>
      </c>
      <c r="Y15" s="206">
        <f>IF($W$2="2018年",'Offer Statistics'!DZ15,IF($W$2="2019年",'Offer Statistics'!DZ39,IF($W$2="2020年",'Offer Statistics'!DZ63)))</f>
        <v>11</v>
      </c>
      <c r="Z15" s="206">
        <f>IF($W$2="2018年",'Offer Statistics'!EA15,IF($W$2="2019年",'Offer Statistics'!EA39,IF($W$2="2020年",'Offer Statistics'!EA63)))</f>
        <v>1</v>
      </c>
      <c r="AA15" s="206">
        <f>IF($W$2="2018年",'Offer Statistics'!EB15,IF($W$2="2019年",'Offer Statistics'!EB39,IF($W$2="2020年",'Offer Statistics'!EB63)))</f>
        <v>0</v>
      </c>
      <c r="AB15" s="206">
        <f>IF($W$2="2018年",'Offer Statistics'!EC15,IF($W$2="2019年",'Offer Statistics'!EC39,IF($W$2="2020年",'Offer Statistics'!EC63)))</f>
        <v>0</v>
      </c>
      <c r="AC15" s="206">
        <f>IF($W$2="2018年",'Offer Statistics'!ED15,IF($W$2="2019年",'Offer Statistics'!ED39,IF($W$2="2020年",'Offer Statistics'!ED63)))</f>
        <v>0</v>
      </c>
      <c r="AD15" s="205"/>
      <c r="AE15" s="132">
        <f>IF($W$2="2018年",'Offer Statistics'!DW15,IF($W$2="2019年",'Offer Statistics'!DW39,IF($W$2="2020年",'Offer Statistics'!DW63)))</f>
        <v>1025</v>
      </c>
      <c r="AF15" s="206">
        <f>IF($W$2="2018年",'Offer Statistics'!DR15,IF($W$2="2019年",'Offer Statistics'!DR39,IF($W$2="2020年",'Offer Statistics'!DR63)))</f>
        <v>123</v>
      </c>
      <c r="AG15" s="206">
        <f>IF($W$2="2018年",'Offer Statistics'!DS15,IF($W$2="2019年",'Offer Statistics'!DS39,IF($W$2="2020年",'Offer Statistics'!DS63)))</f>
        <v>169</v>
      </c>
      <c r="AH15" s="206">
        <f>IF($W$2="2018年",'Offer Statistics'!DT15,IF($W$2="2019年",'Offer Statistics'!DT39,IF($W$2="2020年",'Offer Statistics'!DT63)))</f>
        <v>208</v>
      </c>
      <c r="AI15" s="206">
        <f>IF($W$2="2018年",'Offer Statistics'!DU15,IF($W$2="2019年",'Offer Statistics'!DU39,IF($W$2="2020年",'Offer Statistics'!DU63)))</f>
        <v>263</v>
      </c>
      <c r="AJ15" s="206">
        <f>IF($W$2="2018年",'Offer Statistics'!DV15,IF($W$2="2019年",'Offer Statistics'!DV39,IF($W$2="2020年",'Offer Statistics'!DV63)))</f>
        <v>262</v>
      </c>
      <c r="AK15" s="361"/>
      <c r="AL15" s="131" t="str">
        <f t="shared" si="3"/>
        <v>JS8612</v>
      </c>
    </row>
    <row r="16" ht="18.0" customHeight="1">
      <c r="A16" s="351" t="s">
        <v>1626</v>
      </c>
      <c r="B16" s="351" t="s">
        <v>1602</v>
      </c>
      <c r="C16" s="351" t="s">
        <v>757</v>
      </c>
      <c r="D16" s="351" t="s">
        <v>1627</v>
      </c>
      <c r="E16" s="352" t="s">
        <v>21</v>
      </c>
      <c r="F16" s="353">
        <v>20.0</v>
      </c>
      <c r="G16" s="354">
        <f>'計分版'!D329</f>
        <v>0.00000000395</v>
      </c>
      <c r="H16" s="355">
        <f t="shared" si="1"/>
        <v>-20</v>
      </c>
      <c r="I16" s="356">
        <f t="shared" si="2"/>
        <v>-5063291138</v>
      </c>
      <c r="J16" s="353">
        <v>24.0</v>
      </c>
      <c r="K16" s="357">
        <f>'入學要求'!S314</f>
        <v>0</v>
      </c>
      <c r="L16" s="205"/>
      <c r="M16" s="352">
        <v>3.0</v>
      </c>
      <c r="N16" s="352">
        <v>3.0</v>
      </c>
      <c r="O16" s="352">
        <v>2.0</v>
      </c>
      <c r="P16" s="352">
        <v>2.0</v>
      </c>
      <c r="Q16" s="352">
        <v>2.0</v>
      </c>
      <c r="R16" s="358">
        <f>'入學要求'!L314</f>
        <v>0</v>
      </c>
      <c r="S16" s="358">
        <f>'入學要求'!M314</f>
        <v>0</v>
      </c>
      <c r="T16" s="358">
        <f>'入學要求'!N314</f>
        <v>0</v>
      </c>
      <c r="U16" s="358">
        <f>'入學要求'!O314</f>
        <v>0</v>
      </c>
      <c r="V16" s="358">
        <f>'入學要求'!P314</f>
        <v>0</v>
      </c>
      <c r="W16" s="205"/>
      <c r="X16" s="353">
        <f>IF($W$2="2018年",'Offer Statistics'!EE16,IF($W$2="2019年",'Offer Statistics'!EE40,IF($W$2="2020年",'Offer Statistics'!EE64)))</f>
        <v>21</v>
      </c>
      <c r="Y16" s="359">
        <f>IF($W$2="2018年",'Offer Statistics'!DZ16,IF($W$2="2019年",'Offer Statistics'!DZ40,IF($W$2="2020年",'Offer Statistics'!DZ64)))</f>
        <v>21</v>
      </c>
      <c r="Z16" s="359">
        <f>IF($W$2="2018年",'Offer Statistics'!EA16,IF($W$2="2019年",'Offer Statistics'!EA40,IF($W$2="2020年",'Offer Statistics'!EA64)))</f>
        <v>0</v>
      </c>
      <c r="AA16" s="359">
        <f>IF($W$2="2018年",'Offer Statistics'!EB16,IF($W$2="2019年",'Offer Statistics'!EB40,IF($W$2="2020年",'Offer Statistics'!EB64)))</f>
        <v>0</v>
      </c>
      <c r="AB16" s="359">
        <f>IF($W$2="2018年",'Offer Statistics'!EC16,IF($W$2="2019年",'Offer Statistics'!EC40,IF($W$2="2020年",'Offer Statistics'!EC64)))</f>
        <v>0</v>
      </c>
      <c r="AC16" s="359">
        <f>IF($W$2="2018年",'Offer Statistics'!ED16,IF($W$2="2019年",'Offer Statistics'!ED40,IF($W$2="2020年",'Offer Statistics'!ED64)))</f>
        <v>0</v>
      </c>
      <c r="AD16" s="205"/>
      <c r="AE16" s="353">
        <f>IF($W$2="2018年",'Offer Statistics'!DW16,IF($W$2="2019年",'Offer Statistics'!DW40,IF($W$2="2020年",'Offer Statistics'!DW64)))</f>
        <v>1658</v>
      </c>
      <c r="AF16" s="359">
        <f>IF($W$2="2018年",'Offer Statistics'!DR16,IF($W$2="2019年",'Offer Statistics'!DR40,IF($W$2="2020年",'Offer Statistics'!DR64)))</f>
        <v>225</v>
      </c>
      <c r="AG16" s="359">
        <f>IF($W$2="2018年",'Offer Statistics'!DS16,IF($W$2="2019年",'Offer Statistics'!DS40,IF($W$2="2020年",'Offer Statistics'!DS64)))</f>
        <v>250</v>
      </c>
      <c r="AH16" s="359">
        <f>IF($W$2="2018年",'Offer Statistics'!DT16,IF($W$2="2019年",'Offer Statistics'!DT40,IF($W$2="2020年",'Offer Statistics'!DT64)))</f>
        <v>357</v>
      </c>
      <c r="AI16" s="359">
        <f>IF($W$2="2018年",'Offer Statistics'!DU16,IF($W$2="2019年",'Offer Statistics'!DU40,IF($W$2="2020年",'Offer Statistics'!DU64)))</f>
        <v>428</v>
      </c>
      <c r="AJ16" s="359">
        <f>IF($W$2="2018年",'Offer Statistics'!DV16,IF($W$2="2019年",'Offer Statistics'!DV40,IF($W$2="2020年",'Offer Statistics'!DV64)))</f>
        <v>398</v>
      </c>
      <c r="AK16" s="360"/>
      <c r="AL16" s="352" t="str">
        <f t="shared" si="3"/>
        <v>JS8624</v>
      </c>
    </row>
    <row r="17" ht="18.0" customHeight="1">
      <c r="A17" s="142" t="s">
        <v>1628</v>
      </c>
      <c r="B17" s="142" t="s">
        <v>1602</v>
      </c>
      <c r="C17" s="142" t="s">
        <v>759</v>
      </c>
      <c r="D17" s="142" t="s">
        <v>1629</v>
      </c>
      <c r="E17" s="132" t="s">
        <v>21</v>
      </c>
      <c r="F17" s="132">
        <v>18.0</v>
      </c>
      <c r="G17" s="200">
        <f>'計分版'!D330</f>
        <v>0.00000000395</v>
      </c>
      <c r="H17" s="201">
        <f t="shared" si="1"/>
        <v>-18</v>
      </c>
      <c r="I17" s="202">
        <f t="shared" si="2"/>
        <v>-4556962024</v>
      </c>
      <c r="J17" s="132">
        <v>12.0</v>
      </c>
      <c r="K17" s="309">
        <f>'入學要求'!S315</f>
        <v>0</v>
      </c>
      <c r="L17" s="205"/>
      <c r="M17" s="131">
        <v>3.0</v>
      </c>
      <c r="N17" s="131">
        <v>3.0</v>
      </c>
      <c r="O17" s="131">
        <v>2.0</v>
      </c>
      <c r="P17" s="131">
        <v>2.0</v>
      </c>
      <c r="Q17" s="131">
        <v>2.0</v>
      </c>
      <c r="R17" s="204">
        <f>'入學要求'!L315</f>
        <v>0</v>
      </c>
      <c r="S17" s="204">
        <f>'入學要求'!M315</f>
        <v>0</v>
      </c>
      <c r="T17" s="204">
        <f>'入學要求'!N315</f>
        <v>0</v>
      </c>
      <c r="U17" s="204">
        <f>'入學要求'!O315</f>
        <v>0</v>
      </c>
      <c r="V17" s="204">
        <f>'入學要求'!P315</f>
        <v>0</v>
      </c>
      <c r="W17" s="205"/>
      <c r="X17" s="132">
        <f>IF($W$2="2018年",'Offer Statistics'!EE17,IF($W$2="2019年",'Offer Statistics'!EE41,IF($W$2="2020年",'Offer Statistics'!EE65)))</f>
        <v>14</v>
      </c>
      <c r="Y17" s="206">
        <f>IF($W$2="2018年",'Offer Statistics'!DZ17,IF($W$2="2019年",'Offer Statistics'!DZ41,IF($W$2="2020年",'Offer Statistics'!DZ65)))</f>
        <v>14</v>
      </c>
      <c r="Z17" s="206">
        <f>IF($W$2="2018年",'Offer Statistics'!EA17,IF($W$2="2019年",'Offer Statistics'!EA41,IF($W$2="2020年",'Offer Statistics'!EA65)))</f>
        <v>0</v>
      </c>
      <c r="AA17" s="206">
        <f>IF($W$2="2018年",'Offer Statistics'!EB17,IF($W$2="2019年",'Offer Statistics'!EB41,IF($W$2="2020年",'Offer Statistics'!EB65)))</f>
        <v>0</v>
      </c>
      <c r="AB17" s="206">
        <f>IF($W$2="2018年",'Offer Statistics'!EC17,IF($W$2="2019年",'Offer Statistics'!EC41,IF($W$2="2020年",'Offer Statistics'!EC65)))</f>
        <v>0</v>
      </c>
      <c r="AC17" s="206">
        <f>IF($W$2="2018年",'Offer Statistics'!ED17,IF($W$2="2019年",'Offer Statistics'!ED41,IF($W$2="2020年",'Offer Statistics'!ED65)))</f>
        <v>0</v>
      </c>
      <c r="AD17" s="205"/>
      <c r="AE17" s="132">
        <f>IF($W$2="2018年",'Offer Statistics'!DW17,IF($W$2="2019年",'Offer Statistics'!DW41,IF($W$2="2020年",'Offer Statistics'!DW65)))</f>
        <v>776</v>
      </c>
      <c r="AF17" s="206">
        <f>IF($W$2="2018年",'Offer Statistics'!DR17,IF($W$2="2019年",'Offer Statistics'!DR41,IF($W$2="2020年",'Offer Statistics'!DR65)))</f>
        <v>178</v>
      </c>
      <c r="AG17" s="206">
        <f>IF($W$2="2018年",'Offer Statistics'!DS17,IF($W$2="2019年",'Offer Statistics'!DS41,IF($W$2="2020年",'Offer Statistics'!DS65)))</f>
        <v>141</v>
      </c>
      <c r="AH17" s="206">
        <f>IF($W$2="2018年",'Offer Statistics'!DT17,IF($W$2="2019年",'Offer Statistics'!DT41,IF($W$2="2020年",'Offer Statistics'!DT65)))</f>
        <v>152</v>
      </c>
      <c r="AI17" s="206">
        <f>IF($W$2="2018年",'Offer Statistics'!DU17,IF($W$2="2019年",'Offer Statistics'!DU41,IF($W$2="2020年",'Offer Statistics'!DU65)))</f>
        <v>169</v>
      </c>
      <c r="AJ17" s="206">
        <f>IF($W$2="2018年",'Offer Statistics'!DV17,IF($W$2="2019年",'Offer Statistics'!DV41,IF($W$2="2020年",'Offer Statistics'!DV65)))</f>
        <v>136</v>
      </c>
      <c r="AK17" s="361"/>
      <c r="AL17" s="131" t="str">
        <f t="shared" si="3"/>
        <v>JS8636</v>
      </c>
    </row>
    <row r="18" ht="18.0" customHeight="1">
      <c r="A18" s="351" t="s">
        <v>1630</v>
      </c>
      <c r="B18" s="351" t="s">
        <v>1602</v>
      </c>
      <c r="C18" s="351" t="s">
        <v>761</v>
      </c>
      <c r="D18" s="351" t="s">
        <v>1631</v>
      </c>
      <c r="E18" s="353" t="s">
        <v>21</v>
      </c>
      <c r="F18" s="353">
        <v>20.0</v>
      </c>
      <c r="G18" s="354">
        <f>'計分版'!D331</f>
        <v>0.00000000395</v>
      </c>
      <c r="H18" s="355">
        <f t="shared" si="1"/>
        <v>-20</v>
      </c>
      <c r="I18" s="356">
        <f t="shared" si="2"/>
        <v>-5063291138</v>
      </c>
      <c r="J18" s="353">
        <v>12.0</v>
      </c>
      <c r="K18" s="357">
        <f>'入學要求'!S316</f>
        <v>0</v>
      </c>
      <c r="L18" s="205"/>
      <c r="M18" s="352">
        <v>3.0</v>
      </c>
      <c r="N18" s="352">
        <v>3.0</v>
      </c>
      <c r="O18" s="352">
        <v>2.0</v>
      </c>
      <c r="P18" s="352">
        <v>2.0</v>
      </c>
      <c r="Q18" s="352">
        <v>2.0</v>
      </c>
      <c r="R18" s="358">
        <f>'入學要求'!L316</f>
        <v>0</v>
      </c>
      <c r="S18" s="358">
        <f>'入學要求'!M316</f>
        <v>0</v>
      </c>
      <c r="T18" s="358">
        <f>'入學要求'!N316</f>
        <v>0</v>
      </c>
      <c r="U18" s="358">
        <f>'入學要求'!O316</f>
        <v>0</v>
      </c>
      <c r="V18" s="358">
        <f>'入學要求'!P316</f>
        <v>0</v>
      </c>
      <c r="W18" s="205"/>
      <c r="X18" s="353">
        <f>IF($W$2="2018年",'Offer Statistics'!EE18,IF($W$2="2019年",'Offer Statistics'!EE42,IF($W$2="2020年",'Offer Statistics'!EE66)))</f>
        <v>13</v>
      </c>
      <c r="Y18" s="359">
        <f>IF($W$2="2018年",'Offer Statistics'!DZ18,IF($W$2="2019年",'Offer Statistics'!DZ42,IF($W$2="2020年",'Offer Statistics'!DZ66)))</f>
        <v>8</v>
      </c>
      <c r="Z18" s="359">
        <f>IF($W$2="2018年",'Offer Statistics'!EA18,IF($W$2="2019年",'Offer Statistics'!EA42,IF($W$2="2020年",'Offer Statistics'!EA66)))</f>
        <v>5</v>
      </c>
      <c r="AA18" s="359">
        <f>IF($W$2="2018年",'Offer Statistics'!EB18,IF($W$2="2019年",'Offer Statistics'!EB42,IF($W$2="2020年",'Offer Statistics'!EB66)))</f>
        <v>0</v>
      </c>
      <c r="AB18" s="359">
        <f>IF($W$2="2018年",'Offer Statistics'!EC18,IF($W$2="2019年",'Offer Statistics'!EC42,IF($W$2="2020年",'Offer Statistics'!EC66)))</f>
        <v>0</v>
      </c>
      <c r="AC18" s="359">
        <f>IF($W$2="2018年",'Offer Statistics'!ED18,IF($W$2="2019年",'Offer Statistics'!ED42,IF($W$2="2020年",'Offer Statistics'!ED66)))</f>
        <v>0</v>
      </c>
      <c r="AD18" s="205"/>
      <c r="AE18" s="353">
        <f>IF($W$2="2018年",'Offer Statistics'!DW18,IF($W$2="2019年",'Offer Statistics'!DW42,IF($W$2="2020年",'Offer Statistics'!DW66)))</f>
        <v>1897</v>
      </c>
      <c r="AF18" s="359">
        <f>IF($W$2="2018年",'Offer Statistics'!DR18,IF($W$2="2019年",'Offer Statistics'!DR42,IF($W$2="2020年",'Offer Statistics'!DR66)))</f>
        <v>354</v>
      </c>
      <c r="AG18" s="359">
        <f>IF($W$2="2018年",'Offer Statistics'!DS18,IF($W$2="2019年",'Offer Statistics'!DS42,IF($W$2="2020年",'Offer Statistics'!DS66)))</f>
        <v>424</v>
      </c>
      <c r="AH18" s="359">
        <f>IF($W$2="2018年",'Offer Statistics'!DT18,IF($W$2="2019年",'Offer Statistics'!DT42,IF($W$2="2020年",'Offer Statistics'!DT66)))</f>
        <v>439</v>
      </c>
      <c r="AI18" s="359">
        <f>IF($W$2="2018年",'Offer Statistics'!DU18,IF($W$2="2019年",'Offer Statistics'!DU42,IF($W$2="2020年",'Offer Statistics'!DU66)))</f>
        <v>395</v>
      </c>
      <c r="AJ18" s="359">
        <f>IF($W$2="2018年",'Offer Statistics'!DV18,IF($W$2="2019年",'Offer Statistics'!DV42,IF($W$2="2020年",'Offer Statistics'!DV66)))</f>
        <v>285</v>
      </c>
      <c r="AK18" s="360"/>
      <c r="AL18" s="352" t="str">
        <f t="shared" si="3"/>
        <v>JS8648</v>
      </c>
    </row>
    <row r="19" ht="18.0" customHeight="1">
      <c r="A19" s="142" t="s">
        <v>1632</v>
      </c>
      <c r="B19" s="142" t="s">
        <v>1615</v>
      </c>
      <c r="C19" s="142" t="s">
        <v>763</v>
      </c>
      <c r="D19" s="142" t="s">
        <v>1633</v>
      </c>
      <c r="E19" s="132" t="s">
        <v>21</v>
      </c>
      <c r="F19" s="132">
        <v>21.0</v>
      </c>
      <c r="G19" s="200">
        <f>'計分版'!D332</f>
        <v>0.00000000395</v>
      </c>
      <c r="H19" s="201">
        <f t="shared" si="1"/>
        <v>-21</v>
      </c>
      <c r="I19" s="202">
        <f t="shared" si="2"/>
        <v>-5316455695</v>
      </c>
      <c r="J19" s="132">
        <v>20.0</v>
      </c>
      <c r="K19" s="309">
        <f>'入學要求'!S317</f>
        <v>0</v>
      </c>
      <c r="L19" s="205"/>
      <c r="M19" s="131">
        <v>3.0</v>
      </c>
      <c r="N19" s="131">
        <v>3.0</v>
      </c>
      <c r="O19" s="131">
        <v>2.0</v>
      </c>
      <c r="P19" s="131">
        <v>2.0</v>
      </c>
      <c r="Q19" s="131">
        <v>2.0</v>
      </c>
      <c r="R19" s="204">
        <f>'入學要求'!L317</f>
        <v>0</v>
      </c>
      <c r="S19" s="204">
        <f>'入學要求'!M317</f>
        <v>0</v>
      </c>
      <c r="T19" s="204">
        <f>'入學要求'!N317</f>
        <v>0</v>
      </c>
      <c r="U19" s="204">
        <f>'入學要求'!O317</f>
        <v>0</v>
      </c>
      <c r="V19" s="204">
        <f>'入學要求'!P317</f>
        <v>0</v>
      </c>
      <c r="W19" s="205"/>
      <c r="X19" s="132">
        <f>IF($W$2="2018年",'Offer Statistics'!EE19,IF($W$2="2019年",'Offer Statistics'!EE43,IF($W$2="2020年",'Offer Statistics'!EE67)))</f>
        <v>26</v>
      </c>
      <c r="Y19" s="206">
        <f>IF($W$2="2018年",'Offer Statistics'!DZ19,IF($W$2="2019年",'Offer Statistics'!DZ43,IF($W$2="2020年",'Offer Statistics'!DZ67)))</f>
        <v>21</v>
      </c>
      <c r="Z19" s="206">
        <f>IF($W$2="2018年",'Offer Statistics'!EA19,IF($W$2="2019年",'Offer Statistics'!EA43,IF($W$2="2020年",'Offer Statistics'!EA67)))</f>
        <v>5</v>
      </c>
      <c r="AA19" s="206">
        <f>IF($W$2="2018年",'Offer Statistics'!EB19,IF($W$2="2019年",'Offer Statistics'!EB43,IF($W$2="2020年",'Offer Statistics'!EB67)))</f>
        <v>0</v>
      </c>
      <c r="AB19" s="206">
        <f>IF($W$2="2018年",'Offer Statistics'!EC19,IF($W$2="2019年",'Offer Statistics'!EC43,IF($W$2="2020年",'Offer Statistics'!EC67)))</f>
        <v>0</v>
      </c>
      <c r="AC19" s="206">
        <f>IF($W$2="2018年",'Offer Statistics'!ED19,IF($W$2="2019年",'Offer Statistics'!ED43,IF($W$2="2020年",'Offer Statistics'!ED67)))</f>
        <v>0</v>
      </c>
      <c r="AD19" s="205"/>
      <c r="AE19" s="132">
        <f>IF($W$2="2018年",'Offer Statistics'!DW19,IF($W$2="2019年",'Offer Statistics'!DW43,IF($W$2="2020年",'Offer Statistics'!DW67)))</f>
        <v>4689</v>
      </c>
      <c r="AF19" s="206">
        <f>IF($W$2="2018年",'Offer Statistics'!DR19,IF($W$2="2019年",'Offer Statistics'!DR43,IF($W$2="2020年",'Offer Statistics'!DR67)))</f>
        <v>481</v>
      </c>
      <c r="AG19" s="206">
        <f>IF($W$2="2018年",'Offer Statistics'!DS19,IF($W$2="2019年",'Offer Statistics'!DS43,IF($W$2="2020年",'Offer Statistics'!DS67)))</f>
        <v>689</v>
      </c>
      <c r="AH19" s="206">
        <f>IF($W$2="2018年",'Offer Statistics'!DT19,IF($W$2="2019年",'Offer Statistics'!DT43,IF($W$2="2020年",'Offer Statistics'!DT67)))</f>
        <v>1066</v>
      </c>
      <c r="AI19" s="206">
        <f>IF($W$2="2018年",'Offer Statistics'!DU19,IF($W$2="2019年",'Offer Statistics'!DU43,IF($W$2="2020年",'Offer Statistics'!DU67)))</f>
        <v>1307</v>
      </c>
      <c r="AJ19" s="206">
        <f>IF($W$2="2018年",'Offer Statistics'!DV19,IF($W$2="2019年",'Offer Statistics'!DV43,IF($W$2="2020年",'Offer Statistics'!DV67)))</f>
        <v>1146</v>
      </c>
      <c r="AK19" s="361"/>
      <c r="AL19" s="131" t="str">
        <f t="shared" si="3"/>
        <v>JS8651</v>
      </c>
    </row>
    <row r="20" ht="18.0" customHeight="1">
      <c r="A20" s="351" t="s">
        <v>1634</v>
      </c>
      <c r="B20" s="351" t="s">
        <v>1615</v>
      </c>
      <c r="C20" s="351" t="s">
        <v>765</v>
      </c>
      <c r="D20" s="351" t="s">
        <v>1635</v>
      </c>
      <c r="E20" s="352" t="s">
        <v>21</v>
      </c>
      <c r="F20" s="353">
        <v>20.0</v>
      </c>
      <c r="G20" s="354">
        <f>'計分版'!D333</f>
        <v>0.00000000395</v>
      </c>
      <c r="H20" s="355">
        <f t="shared" si="1"/>
        <v>-20</v>
      </c>
      <c r="I20" s="356">
        <f t="shared" si="2"/>
        <v>-5063291138</v>
      </c>
      <c r="J20" s="353">
        <v>20.0</v>
      </c>
      <c r="K20" s="357">
        <f>'入學要求'!S318</f>
        <v>0</v>
      </c>
      <c r="L20" s="205"/>
      <c r="M20" s="352">
        <v>3.0</v>
      </c>
      <c r="N20" s="352">
        <v>3.0</v>
      </c>
      <c r="O20" s="352">
        <v>2.0</v>
      </c>
      <c r="P20" s="352">
        <v>2.0</v>
      </c>
      <c r="Q20" s="352">
        <v>2.0</v>
      </c>
      <c r="R20" s="358">
        <f>'入學要求'!L318</f>
        <v>0</v>
      </c>
      <c r="S20" s="358">
        <f>'入學要求'!M318</f>
        <v>0</v>
      </c>
      <c r="T20" s="358">
        <f>'入學要求'!N318</f>
        <v>0</v>
      </c>
      <c r="U20" s="358">
        <f>'入學要求'!O318</f>
        <v>0</v>
      </c>
      <c r="V20" s="358">
        <f>'入學要求'!P318</f>
        <v>0</v>
      </c>
      <c r="W20" s="205"/>
      <c r="X20" s="353">
        <f>IF($W$2="2018年",'Offer Statistics'!EE20,IF($W$2="2019年",'Offer Statistics'!EE44,IF($W$2="2020年",'Offer Statistics'!EE68)))</f>
        <v>21</v>
      </c>
      <c r="Y20" s="359">
        <f>IF($W$2="2018年",'Offer Statistics'!DZ20,IF($W$2="2019年",'Offer Statistics'!DZ44,IF($W$2="2020年",'Offer Statistics'!DZ68)))</f>
        <v>21</v>
      </c>
      <c r="Z20" s="359">
        <f>IF($W$2="2018年",'Offer Statistics'!EA20,IF($W$2="2019年",'Offer Statistics'!EA44,IF($W$2="2020年",'Offer Statistics'!EA68)))</f>
        <v>0</v>
      </c>
      <c r="AA20" s="359">
        <f>IF($W$2="2018年",'Offer Statistics'!EB20,IF($W$2="2019年",'Offer Statistics'!EB44,IF($W$2="2020年",'Offer Statistics'!EB68)))</f>
        <v>0</v>
      </c>
      <c r="AB20" s="359">
        <f>IF($W$2="2018年",'Offer Statistics'!EC20,IF($W$2="2019年",'Offer Statistics'!EC44,IF($W$2="2020年",'Offer Statistics'!EC68)))</f>
        <v>0</v>
      </c>
      <c r="AC20" s="359">
        <f>IF($W$2="2018年",'Offer Statistics'!ED20,IF($W$2="2019年",'Offer Statistics'!ED44,IF($W$2="2020年",'Offer Statistics'!ED68)))</f>
        <v>0</v>
      </c>
      <c r="AD20" s="205"/>
      <c r="AE20" s="353">
        <f>IF($W$2="2018年",'Offer Statistics'!DW20,IF($W$2="2019年",'Offer Statistics'!DW44,IF($W$2="2020年",'Offer Statistics'!DW68)))</f>
        <v>1989</v>
      </c>
      <c r="AF20" s="359">
        <f>IF($W$2="2018年",'Offer Statistics'!DR20,IF($W$2="2019年",'Offer Statistics'!DR44,IF($W$2="2020年",'Offer Statistics'!DR68)))</f>
        <v>303</v>
      </c>
      <c r="AG20" s="359">
        <f>IF($W$2="2018年",'Offer Statistics'!DS20,IF($W$2="2019年",'Offer Statistics'!DS44,IF($W$2="2020年",'Offer Statistics'!DS68)))</f>
        <v>410</v>
      </c>
      <c r="AH20" s="359">
        <f>IF($W$2="2018年",'Offer Statistics'!DT20,IF($W$2="2019年",'Offer Statistics'!DT44,IF($W$2="2020年",'Offer Statistics'!DT68)))</f>
        <v>465</v>
      </c>
      <c r="AI20" s="359">
        <f>IF($W$2="2018年",'Offer Statistics'!DU20,IF($W$2="2019年",'Offer Statistics'!DU44,IF($W$2="2020年",'Offer Statistics'!DU68)))</f>
        <v>450</v>
      </c>
      <c r="AJ20" s="359">
        <f>IF($W$2="2018年",'Offer Statistics'!DV20,IF($W$2="2019年",'Offer Statistics'!DV44,IF($W$2="2020年",'Offer Statistics'!DV68)))</f>
        <v>361</v>
      </c>
      <c r="AK20" s="360"/>
      <c r="AL20" s="352" t="str">
        <f t="shared" si="3"/>
        <v>JS8663</v>
      </c>
    </row>
    <row r="21" ht="18.0" customHeight="1">
      <c r="A21" s="142" t="s">
        <v>1636</v>
      </c>
      <c r="B21" s="142" t="s">
        <v>1602</v>
      </c>
      <c r="C21" s="142" t="s">
        <v>767</v>
      </c>
      <c r="D21" s="142" t="s">
        <v>1637</v>
      </c>
      <c r="E21" s="132" t="s">
        <v>21</v>
      </c>
      <c r="F21" s="132">
        <v>19.0</v>
      </c>
      <c r="G21" s="200">
        <f>'計分版'!D334</f>
        <v>0.00000000395</v>
      </c>
      <c r="H21" s="201">
        <f t="shared" si="1"/>
        <v>-19</v>
      </c>
      <c r="I21" s="202">
        <f t="shared" si="2"/>
        <v>-4810126581</v>
      </c>
      <c r="J21" s="132">
        <v>40.0</v>
      </c>
      <c r="K21" s="309">
        <f>'入學要求'!S319</f>
        <v>0</v>
      </c>
      <c r="L21" s="205"/>
      <c r="M21" s="131">
        <v>3.0</v>
      </c>
      <c r="N21" s="131">
        <v>3.0</v>
      </c>
      <c r="O21" s="131">
        <v>2.0</v>
      </c>
      <c r="P21" s="131">
        <v>2.0</v>
      </c>
      <c r="Q21" s="131">
        <v>2.0</v>
      </c>
      <c r="R21" s="204">
        <f>'入學要求'!L319</f>
        <v>0</v>
      </c>
      <c r="S21" s="204">
        <f>'入學要求'!M319</f>
        <v>0</v>
      </c>
      <c r="T21" s="204">
        <f>'入學要求'!N319</f>
        <v>0</v>
      </c>
      <c r="U21" s="204">
        <f>'入學要求'!O319</f>
        <v>0</v>
      </c>
      <c r="V21" s="204">
        <f>'入學要求'!P319</f>
        <v>0</v>
      </c>
      <c r="W21" s="205"/>
      <c r="X21" s="132">
        <f>IF($W$2="2018年",'Offer Statistics'!EE21,IF($W$2="2019年",'Offer Statistics'!EE45,IF($W$2="2020年",'Offer Statistics'!EE69)))</f>
        <v>32</v>
      </c>
      <c r="Y21" s="206">
        <f>IF($W$2="2018年",'Offer Statistics'!DZ21,IF($W$2="2019年",'Offer Statistics'!DZ45,IF($W$2="2020年",'Offer Statistics'!DZ69)))</f>
        <v>31</v>
      </c>
      <c r="Z21" s="206">
        <f>IF($W$2="2018年",'Offer Statistics'!EA21,IF($W$2="2019年",'Offer Statistics'!EA45,IF($W$2="2020年",'Offer Statistics'!EA69)))</f>
        <v>1</v>
      </c>
      <c r="AA21" s="206">
        <f>IF($W$2="2018年",'Offer Statistics'!EB21,IF($W$2="2019年",'Offer Statistics'!EB45,IF($W$2="2020年",'Offer Statistics'!EB69)))</f>
        <v>0</v>
      </c>
      <c r="AB21" s="206">
        <f>IF($W$2="2018年",'Offer Statistics'!EC21,IF($W$2="2019年",'Offer Statistics'!EC45,IF($W$2="2020年",'Offer Statistics'!EC69)))</f>
        <v>0</v>
      </c>
      <c r="AC21" s="206">
        <f>IF($W$2="2018年",'Offer Statistics'!ED21,IF($W$2="2019年",'Offer Statistics'!ED45,IF($W$2="2020年",'Offer Statistics'!ED69)))</f>
        <v>0</v>
      </c>
      <c r="AD21" s="205"/>
      <c r="AE21" s="132">
        <f>IF($W$2="2018年",'Offer Statistics'!DW21,IF($W$2="2019年",'Offer Statistics'!DW45,IF($W$2="2020年",'Offer Statistics'!DW69)))</f>
        <v>599</v>
      </c>
      <c r="AF21" s="206">
        <f>IF($W$2="2018年",'Offer Statistics'!DR21,IF($W$2="2019年",'Offer Statistics'!DR45,IF($W$2="2020年",'Offer Statistics'!DR69)))</f>
        <v>164</v>
      </c>
      <c r="AG21" s="206">
        <f>IF($W$2="2018年",'Offer Statistics'!DS21,IF($W$2="2019年",'Offer Statistics'!DS45,IF($W$2="2020年",'Offer Statistics'!DS69)))</f>
        <v>107</v>
      </c>
      <c r="AH21" s="206">
        <f>IF($W$2="2018年",'Offer Statistics'!DT21,IF($W$2="2019年",'Offer Statistics'!DT45,IF($W$2="2020年",'Offer Statistics'!DT69)))</f>
        <v>104</v>
      </c>
      <c r="AI21" s="206">
        <f>IF($W$2="2018年",'Offer Statistics'!DU21,IF($W$2="2019年",'Offer Statistics'!DU45,IF($W$2="2020年",'Offer Statistics'!DU69)))</f>
        <v>105</v>
      </c>
      <c r="AJ21" s="206">
        <f>IF($W$2="2018年",'Offer Statistics'!DV21,IF($W$2="2019年",'Offer Statistics'!DV45,IF($W$2="2020年",'Offer Statistics'!DV69)))</f>
        <v>119</v>
      </c>
      <c r="AK21" s="361"/>
      <c r="AL21" s="131" t="str">
        <f t="shared" si="3"/>
        <v>JS8801</v>
      </c>
    </row>
    <row r="22" ht="18.0" customHeight="1">
      <c r="A22" s="351" t="s">
        <v>1638</v>
      </c>
      <c r="B22" s="351" t="s">
        <v>1602</v>
      </c>
      <c r="C22" s="351" t="s">
        <v>769</v>
      </c>
      <c r="D22" s="351" t="s">
        <v>1639</v>
      </c>
      <c r="E22" s="353" t="s">
        <v>21</v>
      </c>
      <c r="F22" s="353">
        <v>20.0</v>
      </c>
      <c r="G22" s="354">
        <f>'計分版'!D335</f>
        <v>0.00000000395</v>
      </c>
      <c r="H22" s="355">
        <f t="shared" si="1"/>
        <v>-20</v>
      </c>
      <c r="I22" s="356">
        <f t="shared" si="2"/>
        <v>-5063291138</v>
      </c>
      <c r="J22" s="353">
        <v>40.0</v>
      </c>
      <c r="K22" s="357">
        <f>'入學要求'!S320</f>
        <v>0</v>
      </c>
      <c r="L22" s="205"/>
      <c r="M22" s="352">
        <v>3.0</v>
      </c>
      <c r="N22" s="352">
        <v>3.0</v>
      </c>
      <c r="O22" s="352">
        <v>2.0</v>
      </c>
      <c r="P22" s="352">
        <v>2.0</v>
      </c>
      <c r="Q22" s="352">
        <v>2.0</v>
      </c>
      <c r="R22" s="358">
        <f>'入學要求'!L320</f>
        <v>0</v>
      </c>
      <c r="S22" s="358">
        <f>'入學要求'!M320</f>
        <v>0</v>
      </c>
      <c r="T22" s="358">
        <f>'入學要求'!N320</f>
        <v>0</v>
      </c>
      <c r="U22" s="358">
        <f>'入學要求'!O320</f>
        <v>0</v>
      </c>
      <c r="V22" s="358">
        <f>'入學要求'!P320</f>
        <v>0</v>
      </c>
      <c r="W22" s="205"/>
      <c r="X22" s="353">
        <f>IF($W$2="2018年",'Offer Statistics'!EE22,IF($W$2="2019年",'Offer Statistics'!EE46,IF($W$2="2020年",'Offer Statistics'!EE70)))</f>
        <v>27</v>
      </c>
      <c r="Y22" s="359">
        <f>IF($W$2="2018年",'Offer Statistics'!DZ22,IF($W$2="2019年",'Offer Statistics'!DZ46,IF($W$2="2020年",'Offer Statistics'!DZ70)))</f>
        <v>27</v>
      </c>
      <c r="Z22" s="359">
        <f>IF($W$2="2018年",'Offer Statistics'!EA22,IF($W$2="2019年",'Offer Statistics'!EA46,IF($W$2="2020年",'Offer Statistics'!EA70)))</f>
        <v>0</v>
      </c>
      <c r="AA22" s="359">
        <f>IF($W$2="2018年",'Offer Statistics'!EB22,IF($W$2="2019年",'Offer Statistics'!EB46,IF($W$2="2020年",'Offer Statistics'!EB70)))</f>
        <v>0</v>
      </c>
      <c r="AB22" s="359">
        <f>IF($W$2="2018年",'Offer Statistics'!EC22,IF($W$2="2019年",'Offer Statistics'!EC46,IF($W$2="2020年",'Offer Statistics'!EC70)))</f>
        <v>0</v>
      </c>
      <c r="AC22" s="359">
        <f>IF($W$2="2018年",'Offer Statistics'!ED22,IF($W$2="2019年",'Offer Statistics'!ED46,IF($W$2="2020年",'Offer Statistics'!ED70)))</f>
        <v>0</v>
      </c>
      <c r="AD22" s="205"/>
      <c r="AE22" s="353">
        <f>IF($W$2="2018年",'Offer Statistics'!DW22,IF($W$2="2019年",'Offer Statistics'!DW46,IF($W$2="2020年",'Offer Statistics'!DW70)))</f>
        <v>1385</v>
      </c>
      <c r="AF22" s="359">
        <f>IF($W$2="2018年",'Offer Statistics'!DR22,IF($W$2="2019年",'Offer Statistics'!DR46,IF($W$2="2020年",'Offer Statistics'!DR70)))</f>
        <v>298</v>
      </c>
      <c r="AG22" s="359">
        <f>IF($W$2="2018年",'Offer Statistics'!DS22,IF($W$2="2019年",'Offer Statistics'!DS46,IF($W$2="2020年",'Offer Statistics'!DS70)))</f>
        <v>264</v>
      </c>
      <c r="AH22" s="359">
        <f>IF($W$2="2018年",'Offer Statistics'!DT22,IF($W$2="2019年",'Offer Statistics'!DT46,IF($W$2="2020年",'Offer Statistics'!DT70)))</f>
        <v>326</v>
      </c>
      <c r="AI22" s="359">
        <f>IF($W$2="2018年",'Offer Statistics'!DU22,IF($W$2="2019年",'Offer Statistics'!DU46,IF($W$2="2020年",'Offer Statistics'!DU70)))</f>
        <v>274</v>
      </c>
      <c r="AJ22" s="359">
        <f>IF($W$2="2018年",'Offer Statistics'!DV22,IF($W$2="2019年",'Offer Statistics'!DV46,IF($W$2="2020年",'Offer Statistics'!DV70)))</f>
        <v>223</v>
      </c>
      <c r="AK22" s="360"/>
      <c r="AL22" s="352" t="str">
        <f t="shared" si="3"/>
        <v>JS8813</v>
      </c>
    </row>
    <row r="23" ht="18.0" customHeight="1">
      <c r="A23" s="142" t="s">
        <v>1640</v>
      </c>
      <c r="B23" s="142" t="s">
        <v>1331</v>
      </c>
      <c r="C23" s="142" t="s">
        <v>771</v>
      </c>
      <c r="D23" s="142" t="s">
        <v>1641</v>
      </c>
      <c r="E23" s="131" t="s">
        <v>21</v>
      </c>
      <c r="F23" s="132">
        <v>21.0</v>
      </c>
      <c r="G23" s="200">
        <f>'計分版'!D336</f>
        <v>0.00000000395</v>
      </c>
      <c r="H23" s="201">
        <f t="shared" si="1"/>
        <v>-21</v>
      </c>
      <c r="I23" s="202">
        <f t="shared" si="2"/>
        <v>-5316455695</v>
      </c>
      <c r="J23" s="132">
        <v>20.0</v>
      </c>
      <c r="K23" s="309">
        <f>'入學要求'!S321</f>
        <v>0</v>
      </c>
      <c r="L23" s="205"/>
      <c r="M23" s="131">
        <v>3.0</v>
      </c>
      <c r="N23" s="131">
        <v>3.0</v>
      </c>
      <c r="O23" s="131">
        <v>2.0</v>
      </c>
      <c r="P23" s="131">
        <v>2.0</v>
      </c>
      <c r="Q23" s="131">
        <v>2.0</v>
      </c>
      <c r="R23" s="204">
        <f>'入學要求'!L321</f>
        <v>0</v>
      </c>
      <c r="S23" s="204">
        <f>'入學要求'!M321</f>
        <v>0</v>
      </c>
      <c r="T23" s="204">
        <f>'入學要求'!N321</f>
        <v>0</v>
      </c>
      <c r="U23" s="204">
        <f>'入學要求'!O321</f>
        <v>0</v>
      </c>
      <c r="V23" s="204">
        <f>'入學要求'!P321</f>
        <v>0</v>
      </c>
      <c r="W23" s="205"/>
      <c r="X23" s="132">
        <f>IF($W$2="2018年",'Offer Statistics'!EE23,IF($W$2="2019年",'Offer Statistics'!EE47,IF($W$2="2020年",'Offer Statistics'!EE71)))</f>
        <v>15</v>
      </c>
      <c r="Y23" s="206">
        <f>IF($W$2="2018年",'Offer Statistics'!DZ23,IF($W$2="2019年",'Offer Statistics'!DZ47,IF($W$2="2020年",'Offer Statistics'!DZ71)))</f>
        <v>15</v>
      </c>
      <c r="Z23" s="206">
        <f>IF($W$2="2018年",'Offer Statistics'!EA23,IF($W$2="2019年",'Offer Statistics'!EA47,IF($W$2="2020年",'Offer Statistics'!EA71)))</f>
        <v>0</v>
      </c>
      <c r="AA23" s="206">
        <f>IF($W$2="2018年",'Offer Statistics'!EB23,IF($W$2="2019年",'Offer Statistics'!EB47,IF($W$2="2020年",'Offer Statistics'!EB71)))</f>
        <v>0</v>
      </c>
      <c r="AB23" s="206">
        <f>IF($W$2="2018年",'Offer Statistics'!EC23,IF($W$2="2019年",'Offer Statistics'!EC47,IF($W$2="2020年",'Offer Statistics'!EC71)))</f>
        <v>0</v>
      </c>
      <c r="AC23" s="206">
        <f>IF($W$2="2018年",'Offer Statistics'!ED23,IF($W$2="2019年",'Offer Statistics'!ED47,IF($W$2="2020年",'Offer Statistics'!ED71)))</f>
        <v>0</v>
      </c>
      <c r="AD23" s="205"/>
      <c r="AE23" s="132">
        <f>IF($W$2="2018年",'Offer Statistics'!DW23,IF($W$2="2019年",'Offer Statistics'!DW47,IF($W$2="2020年",'Offer Statistics'!DW71)))</f>
        <v>804</v>
      </c>
      <c r="AF23" s="206">
        <f>IF($W$2="2018年",'Offer Statistics'!DR23,IF($W$2="2019年",'Offer Statistics'!DR47,IF($W$2="2020年",'Offer Statistics'!DR71)))</f>
        <v>147</v>
      </c>
      <c r="AG23" s="206">
        <f>IF($W$2="2018年",'Offer Statistics'!DS23,IF($W$2="2019年",'Offer Statistics'!DS47,IF($W$2="2020年",'Offer Statistics'!DS71)))</f>
        <v>121</v>
      </c>
      <c r="AH23" s="206">
        <f>IF($W$2="2018年",'Offer Statistics'!DT23,IF($W$2="2019年",'Offer Statistics'!DT47,IF($W$2="2020年",'Offer Statistics'!DT71)))</f>
        <v>177</v>
      </c>
      <c r="AI23" s="206">
        <f>IF($W$2="2018年",'Offer Statistics'!DU23,IF($W$2="2019年",'Offer Statistics'!DU47,IF($W$2="2020年",'Offer Statistics'!DU71)))</f>
        <v>182</v>
      </c>
      <c r="AJ23" s="206">
        <f>IF($W$2="2018年",'Offer Statistics'!DV23,IF($W$2="2019年",'Offer Statistics'!DV47,IF($W$2="2020年",'Offer Statistics'!DV71)))</f>
        <v>177</v>
      </c>
      <c r="AK23" s="361"/>
      <c r="AL23" s="131" t="str">
        <f t="shared" si="3"/>
        <v>JS8825</v>
      </c>
    </row>
    <row r="24" ht="18.0" customHeight="1">
      <c r="A24" s="351" t="s">
        <v>1642</v>
      </c>
      <c r="B24" s="351" t="s">
        <v>1615</v>
      </c>
      <c r="C24" s="351" t="s">
        <v>773</v>
      </c>
      <c r="D24" s="351" t="s">
        <v>1643</v>
      </c>
      <c r="E24" s="352" t="s">
        <v>21</v>
      </c>
      <c r="F24" s="353">
        <v>17.0</v>
      </c>
      <c r="G24" s="354">
        <f>'計分版'!D337</f>
        <v>0.00000000395</v>
      </c>
      <c r="H24" s="355">
        <f t="shared" si="1"/>
        <v>-17</v>
      </c>
      <c r="I24" s="356">
        <f t="shared" si="2"/>
        <v>-4303797467</v>
      </c>
      <c r="J24" s="353">
        <v>330.0</v>
      </c>
      <c r="K24" s="357">
        <f>'入學要求'!S322</f>
        <v>0</v>
      </c>
      <c r="L24" s="205"/>
      <c r="M24" s="352">
        <v>2.0</v>
      </c>
      <c r="N24" s="352">
        <v>2.0</v>
      </c>
      <c r="O24" s="352">
        <v>2.0</v>
      </c>
      <c r="P24" s="352">
        <v>2.0</v>
      </c>
      <c r="Q24" s="352">
        <v>2.0</v>
      </c>
      <c r="R24" s="358">
        <f>'入學要求'!L322</f>
        <v>0</v>
      </c>
      <c r="S24" s="358">
        <f>'入學要求'!M322</f>
        <v>0</v>
      </c>
      <c r="T24" s="358">
        <f>'入學要求'!N322</f>
        <v>0</v>
      </c>
      <c r="U24" s="358">
        <f>'入學要求'!O322</f>
        <v>0</v>
      </c>
      <c r="V24" s="358">
        <f>'入學要求'!P322</f>
        <v>0</v>
      </c>
      <c r="W24" s="205"/>
      <c r="X24" s="353">
        <f>IF($W$2="2018年",'Offer Statistics'!EE24,IF($W$2="2019年",'Offer Statistics'!EE48,IF($W$2="2020年",'Offer Statistics'!EE72)))</f>
        <v>339</v>
      </c>
      <c r="Y24" s="359">
        <f>IF($W$2="2018年",'Offer Statistics'!DZ24,IF($W$2="2019年",'Offer Statistics'!DZ48,IF($W$2="2020年",'Offer Statistics'!DZ72)))</f>
        <v>312</v>
      </c>
      <c r="Z24" s="359">
        <f>IF($W$2="2018年",'Offer Statistics'!EA24,IF($W$2="2019年",'Offer Statistics'!EA48,IF($W$2="2020年",'Offer Statistics'!EA72)))</f>
        <v>27</v>
      </c>
      <c r="AA24" s="359">
        <f>IF($W$2="2018年",'Offer Statistics'!EB24,IF($W$2="2019年",'Offer Statistics'!EB48,IF($W$2="2020年",'Offer Statistics'!EB72)))</f>
        <v>0</v>
      </c>
      <c r="AB24" s="359">
        <f>IF($W$2="2018年",'Offer Statistics'!EC24,IF($W$2="2019年",'Offer Statistics'!EC48,IF($W$2="2020年",'Offer Statistics'!EC72)))</f>
        <v>0</v>
      </c>
      <c r="AC24" s="359">
        <f>IF($W$2="2018年",'Offer Statistics'!ED24,IF($W$2="2019年",'Offer Statistics'!ED48,IF($W$2="2020年",'Offer Statistics'!ED72)))</f>
        <v>0</v>
      </c>
      <c r="AD24" s="205"/>
      <c r="AE24" s="353">
        <f>IF($W$2="2018年",'Offer Statistics'!DW24,IF($W$2="2019年",'Offer Statistics'!DW48,IF($W$2="2020年",'Offer Statistics'!DW72)))</f>
        <v>6685</v>
      </c>
      <c r="AF24" s="359">
        <f>IF($W$2="2018年",'Offer Statistics'!DR24,IF($W$2="2019年",'Offer Statistics'!DR48,IF($W$2="2020年",'Offer Statistics'!DR72)))</f>
        <v>2631</v>
      </c>
      <c r="AG24" s="359">
        <f>IF($W$2="2018年",'Offer Statistics'!DS24,IF($W$2="2019年",'Offer Statistics'!DS48,IF($W$2="2020年",'Offer Statistics'!DS72)))</f>
        <v>1168</v>
      </c>
      <c r="AH24" s="359">
        <f>IF($W$2="2018年",'Offer Statistics'!DT24,IF($W$2="2019年",'Offer Statistics'!DT48,IF($W$2="2020年",'Offer Statistics'!DT72)))</f>
        <v>921</v>
      </c>
      <c r="AI24" s="359">
        <f>IF($W$2="2018年",'Offer Statistics'!DU24,IF($W$2="2019年",'Offer Statistics'!DU48,IF($W$2="2020年",'Offer Statistics'!DU72)))</f>
        <v>850</v>
      </c>
      <c r="AJ24" s="359">
        <f>IF($W$2="2018年",'Offer Statistics'!DV24,IF($W$2="2019年",'Offer Statistics'!DV48,IF($W$2="2020年",'Offer Statistics'!DV72)))</f>
        <v>1115</v>
      </c>
      <c r="AK24" s="360"/>
      <c r="AL24" s="352" t="str">
        <f t="shared" si="3"/>
        <v>JS8507</v>
      </c>
    </row>
    <row r="25" ht="18.0" customHeight="1">
      <c r="A25" s="362"/>
      <c r="B25" s="362"/>
      <c r="C25" s="362"/>
      <c r="D25" s="362"/>
      <c r="E25" s="132"/>
      <c r="F25" s="131"/>
      <c r="G25" s="361"/>
      <c r="H25" s="363"/>
      <c r="I25" s="364"/>
      <c r="J25" s="361"/>
      <c r="K25" s="361"/>
      <c r="L25" s="361"/>
      <c r="M25" s="361"/>
      <c r="N25" s="361"/>
      <c r="O25" s="361"/>
      <c r="P25" s="361"/>
      <c r="Q25" s="361"/>
      <c r="R25" s="361"/>
      <c r="S25" s="361"/>
      <c r="T25" s="361"/>
      <c r="U25" s="361"/>
      <c r="V25" s="361"/>
      <c r="W25" s="361"/>
      <c r="X25" s="365"/>
      <c r="Y25" s="361"/>
      <c r="Z25" s="361"/>
      <c r="AA25" s="116"/>
      <c r="AB25" s="116"/>
      <c r="AC25" s="116"/>
      <c r="AD25" s="116"/>
      <c r="AE25" s="365"/>
      <c r="AF25" s="116"/>
      <c r="AG25" s="116"/>
      <c r="AH25" s="116"/>
      <c r="AI25" s="116"/>
      <c r="AJ25" s="116"/>
      <c r="AK25" s="116"/>
      <c r="AL25" s="116"/>
    </row>
    <row r="26" ht="18.0" customHeight="1">
      <c r="A26" s="220" t="s">
        <v>1644</v>
      </c>
      <c r="B26" s="142"/>
      <c r="C26" s="142"/>
      <c r="D26" s="142"/>
      <c r="E26" s="132"/>
      <c r="F26" s="131"/>
      <c r="G26" s="131"/>
      <c r="H26" s="219"/>
      <c r="I26" s="198"/>
      <c r="J26" s="131"/>
      <c r="K26" s="131"/>
      <c r="L26" s="131"/>
      <c r="M26" s="131"/>
      <c r="N26" s="131"/>
      <c r="O26" s="131"/>
      <c r="P26" s="131"/>
      <c r="Q26" s="131"/>
      <c r="R26" s="131"/>
      <c r="S26" s="131"/>
      <c r="T26" s="131"/>
      <c r="U26" s="131"/>
      <c r="V26" s="131"/>
      <c r="W26" s="131"/>
      <c r="X26" s="365"/>
      <c r="Y26" s="131"/>
      <c r="Z26" s="131"/>
      <c r="AA26" s="116"/>
      <c r="AB26" s="116"/>
      <c r="AC26" s="116"/>
      <c r="AD26" s="116"/>
      <c r="AE26" s="365"/>
      <c r="AF26" s="116"/>
      <c r="AG26" s="116"/>
      <c r="AH26" s="116"/>
      <c r="AI26" s="116"/>
      <c r="AJ26" s="116"/>
      <c r="AK26" s="116"/>
      <c r="AL26" s="116"/>
    </row>
    <row r="27" ht="18.0" customHeight="1">
      <c r="A27" s="142" t="s">
        <v>1645</v>
      </c>
      <c r="B27" s="142"/>
      <c r="C27" s="142"/>
      <c r="D27" s="142"/>
      <c r="E27" s="132"/>
      <c r="F27" s="131"/>
      <c r="G27" s="131"/>
      <c r="H27" s="219"/>
      <c r="I27" s="198"/>
      <c r="J27" s="131"/>
      <c r="K27" s="131"/>
      <c r="L27" s="131"/>
      <c r="M27" s="131"/>
      <c r="N27" s="131"/>
      <c r="O27" s="131"/>
      <c r="P27" s="131"/>
      <c r="Q27" s="131"/>
      <c r="R27" s="131"/>
      <c r="S27" s="131"/>
      <c r="T27" s="131"/>
      <c r="U27" s="131"/>
      <c r="V27" s="131"/>
      <c r="W27" s="361"/>
      <c r="X27" s="365"/>
      <c r="Y27" s="361"/>
      <c r="Z27" s="361"/>
      <c r="AA27" s="116"/>
      <c r="AB27" s="116"/>
      <c r="AC27" s="116"/>
      <c r="AD27" s="116"/>
      <c r="AE27" s="365"/>
      <c r="AF27" s="116"/>
      <c r="AG27" s="116"/>
      <c r="AH27" s="116"/>
      <c r="AI27" s="116"/>
      <c r="AJ27" s="116"/>
      <c r="AK27" s="116"/>
      <c r="AL27" s="116"/>
    </row>
    <row r="28" ht="18.0" customHeight="1">
      <c r="A28" s="142"/>
      <c r="B28" s="142"/>
      <c r="C28" s="198"/>
      <c r="D28" s="142"/>
      <c r="E28" s="131"/>
      <c r="F28" s="142"/>
      <c r="G28" s="142"/>
      <c r="H28" s="131"/>
      <c r="I28" s="142"/>
      <c r="J28" s="142"/>
      <c r="K28" s="132"/>
      <c r="L28" s="131"/>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row>
    <row r="29" ht="18.0" customHeight="1">
      <c r="A29" s="142" t="s">
        <v>1229</v>
      </c>
      <c r="B29" s="142"/>
      <c r="C29" s="142"/>
      <c r="D29" s="142"/>
      <c r="E29" s="132"/>
      <c r="F29" s="131"/>
      <c r="G29" s="131"/>
      <c r="H29" s="131"/>
      <c r="I29" s="131"/>
      <c r="J29" s="219"/>
      <c r="K29" s="198"/>
      <c r="L29" s="131"/>
      <c r="M29" s="142"/>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row>
    <row r="30" ht="18.0" customHeight="1">
      <c r="A30" s="142"/>
      <c r="B30" s="142"/>
      <c r="C30" s="142"/>
      <c r="D30" s="142"/>
      <c r="E30" s="132"/>
      <c r="F30" s="131"/>
      <c r="G30" s="131"/>
      <c r="H30" s="219"/>
      <c r="I30" s="198"/>
      <c r="J30" s="131"/>
      <c r="K30" s="131"/>
      <c r="L30" s="131"/>
      <c r="M30" s="131"/>
      <c r="N30" s="131"/>
      <c r="O30" s="131"/>
      <c r="P30" s="131"/>
      <c r="Q30" s="131"/>
      <c r="R30" s="131"/>
      <c r="S30" s="131"/>
      <c r="T30" s="131"/>
      <c r="U30" s="131"/>
      <c r="V30" s="131"/>
      <c r="W30" s="361"/>
      <c r="X30" s="365"/>
      <c r="Y30" s="361"/>
      <c r="Z30" s="361"/>
      <c r="AA30" s="116"/>
      <c r="AB30" s="116"/>
      <c r="AC30" s="116"/>
      <c r="AD30" s="116"/>
      <c r="AE30" s="365"/>
      <c r="AF30" s="116"/>
      <c r="AG30" s="116"/>
      <c r="AH30" s="116"/>
      <c r="AI30" s="116"/>
      <c r="AJ30" s="116"/>
      <c r="AK30" s="116"/>
      <c r="AL30" s="116"/>
    </row>
    <row r="31" ht="18.0" customHeight="1">
      <c r="A31" s="220" t="s">
        <v>1230</v>
      </c>
      <c r="B31" s="142"/>
      <c r="C31" s="142"/>
      <c r="D31" s="142"/>
      <c r="E31" s="132"/>
      <c r="F31" s="131"/>
      <c r="G31" s="131"/>
      <c r="H31" s="219"/>
      <c r="I31" s="198"/>
      <c r="J31" s="131"/>
      <c r="K31" s="131"/>
      <c r="L31" s="131"/>
      <c r="M31" s="131"/>
      <c r="N31" s="131"/>
      <c r="O31" s="131"/>
      <c r="P31" s="131"/>
      <c r="Q31" s="131"/>
      <c r="R31" s="131"/>
      <c r="S31" s="131"/>
      <c r="T31" s="131"/>
      <c r="U31" s="131"/>
      <c r="V31" s="131"/>
      <c r="W31" s="361"/>
      <c r="X31" s="365"/>
      <c r="Y31" s="361"/>
      <c r="Z31" s="361"/>
      <c r="AA31" s="116"/>
      <c r="AB31" s="116"/>
      <c r="AC31" s="116"/>
      <c r="AD31" s="116"/>
      <c r="AE31" s="365"/>
      <c r="AF31" s="116"/>
      <c r="AG31" s="116"/>
      <c r="AH31" s="116"/>
      <c r="AI31" s="116"/>
      <c r="AJ31" s="116"/>
      <c r="AK31" s="116"/>
      <c r="AL31" s="116"/>
    </row>
    <row r="32" ht="18.0" customHeight="1">
      <c r="A32" s="142" t="s">
        <v>1646</v>
      </c>
      <c r="B32" s="142"/>
      <c r="C32" s="142"/>
      <c r="D32" s="142"/>
      <c r="E32" s="132"/>
      <c r="F32" s="131"/>
      <c r="G32" s="131"/>
      <c r="H32" s="219"/>
      <c r="I32" s="198"/>
      <c r="J32" s="131"/>
      <c r="K32" s="131"/>
      <c r="L32" s="131"/>
      <c r="M32" s="131"/>
      <c r="N32" s="131"/>
      <c r="O32" s="131"/>
      <c r="P32" s="131"/>
      <c r="Q32" s="131"/>
      <c r="R32" s="131"/>
      <c r="S32" s="131"/>
      <c r="T32" s="131"/>
      <c r="U32" s="131"/>
      <c r="V32" s="131"/>
      <c r="W32" s="361"/>
      <c r="X32" s="365"/>
      <c r="Y32" s="361"/>
      <c r="Z32" s="361"/>
      <c r="AA32" s="116"/>
      <c r="AB32" s="116"/>
      <c r="AC32" s="116"/>
      <c r="AD32" s="116"/>
      <c r="AE32" s="365"/>
      <c r="AF32" s="116"/>
      <c r="AG32" s="116"/>
      <c r="AH32" s="116"/>
      <c r="AI32" s="116"/>
      <c r="AJ32" s="116"/>
      <c r="AK32" s="116"/>
      <c r="AL32" s="116"/>
    </row>
    <row r="33" ht="18.0" customHeight="1">
      <c r="A33" s="362"/>
      <c r="B33" s="362"/>
      <c r="C33" s="362"/>
      <c r="D33" s="362"/>
      <c r="E33" s="132"/>
      <c r="F33" s="131"/>
      <c r="G33" s="361"/>
      <c r="H33" s="363"/>
      <c r="I33" s="364"/>
      <c r="J33" s="361"/>
      <c r="K33" s="361"/>
      <c r="L33" s="361"/>
      <c r="M33" s="361"/>
      <c r="N33" s="361"/>
      <c r="O33" s="361"/>
      <c r="P33" s="361"/>
      <c r="Q33" s="361"/>
      <c r="R33" s="361"/>
      <c r="S33" s="361"/>
      <c r="T33" s="361"/>
      <c r="U33" s="361"/>
      <c r="V33" s="361"/>
      <c r="W33" s="361"/>
      <c r="X33" s="365"/>
      <c r="Y33" s="361"/>
      <c r="Z33" s="361"/>
      <c r="AA33" s="116"/>
      <c r="AB33" s="116"/>
      <c r="AC33" s="116"/>
      <c r="AD33" s="116"/>
      <c r="AE33" s="365"/>
      <c r="AF33" s="116"/>
      <c r="AG33" s="116"/>
      <c r="AH33" s="116"/>
      <c r="AI33" s="116"/>
      <c r="AJ33" s="116"/>
      <c r="AK33" s="116"/>
      <c r="AL33" s="116"/>
    </row>
    <row r="34" ht="18.0" customHeight="1">
      <c r="A34" s="142" t="s">
        <v>1232</v>
      </c>
      <c r="B34" s="142"/>
      <c r="C34" s="142"/>
      <c r="D34" s="142"/>
      <c r="E34" s="132"/>
      <c r="F34" s="131"/>
      <c r="G34" s="142"/>
      <c r="H34" s="363"/>
      <c r="I34" s="364"/>
      <c r="J34" s="361"/>
      <c r="K34" s="361"/>
      <c r="L34" s="361"/>
      <c r="M34" s="361"/>
      <c r="N34" s="361"/>
      <c r="O34" s="361"/>
      <c r="P34" s="361"/>
      <c r="Q34" s="361"/>
      <c r="R34" s="361"/>
      <c r="S34" s="361"/>
      <c r="T34" s="361"/>
      <c r="U34" s="361"/>
      <c r="V34" s="361"/>
      <c r="W34" s="361"/>
      <c r="X34" s="365"/>
      <c r="Y34" s="361"/>
      <c r="Z34" s="361"/>
      <c r="AA34" s="116"/>
      <c r="AB34" s="116"/>
      <c r="AC34" s="116"/>
      <c r="AD34" s="116"/>
      <c r="AE34" s="365"/>
      <c r="AF34" s="116"/>
      <c r="AG34" s="116"/>
      <c r="AH34" s="116"/>
      <c r="AI34" s="116"/>
      <c r="AJ34" s="116"/>
      <c r="AK34" s="116"/>
      <c r="AL34" s="116"/>
    </row>
    <row r="35" ht="18.0" customHeight="1">
      <c r="A35" s="221" t="s">
        <v>1647</v>
      </c>
      <c r="B35" s="142"/>
      <c r="C35" s="142"/>
      <c r="D35" s="142"/>
      <c r="E35" s="132"/>
      <c r="F35" s="131"/>
      <c r="G35" s="361"/>
      <c r="H35" s="363"/>
      <c r="I35" s="364"/>
      <c r="J35" s="361"/>
      <c r="K35" s="361"/>
      <c r="L35" s="361"/>
      <c r="M35" s="361"/>
      <c r="N35" s="361"/>
      <c r="O35" s="361"/>
      <c r="P35" s="361"/>
      <c r="Q35" s="361"/>
      <c r="R35" s="361"/>
      <c r="S35" s="361"/>
      <c r="T35" s="361"/>
      <c r="U35" s="361"/>
      <c r="V35" s="361"/>
      <c r="W35" s="361"/>
      <c r="X35" s="365"/>
      <c r="Y35" s="361"/>
      <c r="Z35" s="361"/>
      <c r="AA35" s="116"/>
      <c r="AB35" s="116"/>
      <c r="AC35" s="116"/>
      <c r="AD35" s="116"/>
      <c r="AE35" s="365"/>
      <c r="AF35" s="116"/>
      <c r="AG35" s="116"/>
      <c r="AH35" s="116"/>
      <c r="AI35" s="116"/>
      <c r="AJ35" s="116"/>
      <c r="AK35" s="116"/>
      <c r="AL35" s="116"/>
    </row>
    <row r="36" ht="18.0" customHeight="1">
      <c r="A36" s="242" t="s">
        <v>1648</v>
      </c>
      <c r="B36" s="142"/>
      <c r="C36" s="142"/>
      <c r="D36" s="142"/>
      <c r="E36" s="132"/>
      <c r="F36" s="131"/>
      <c r="G36" s="361"/>
      <c r="H36" s="363"/>
      <c r="I36" s="364"/>
      <c r="J36" s="361"/>
      <c r="K36" s="361"/>
      <c r="L36" s="361"/>
      <c r="M36" s="361"/>
      <c r="N36" s="361"/>
      <c r="O36" s="361"/>
      <c r="P36" s="361"/>
      <c r="Q36" s="361"/>
      <c r="R36" s="361"/>
      <c r="S36" s="361"/>
      <c r="T36" s="361"/>
      <c r="U36" s="361"/>
      <c r="V36" s="361"/>
      <c r="W36" s="361"/>
      <c r="X36" s="365"/>
      <c r="Y36" s="361"/>
      <c r="Z36" s="361"/>
      <c r="AA36" s="116"/>
      <c r="AB36" s="116"/>
      <c r="AC36" s="116"/>
      <c r="AD36" s="116"/>
      <c r="AE36" s="365"/>
      <c r="AF36" s="116"/>
      <c r="AG36" s="116"/>
      <c r="AH36" s="116"/>
      <c r="AI36" s="116"/>
      <c r="AJ36" s="116"/>
      <c r="AK36" s="116"/>
      <c r="AL36" s="116"/>
    </row>
    <row r="37" ht="18.0" customHeight="1">
      <c r="A37" s="221"/>
      <c r="B37" s="142"/>
      <c r="C37" s="142"/>
      <c r="D37" s="142"/>
      <c r="E37" s="132"/>
      <c r="F37" s="131"/>
      <c r="G37" s="361"/>
      <c r="H37" s="363"/>
      <c r="I37" s="364"/>
      <c r="J37" s="361"/>
      <c r="K37" s="361"/>
      <c r="L37" s="361"/>
      <c r="M37" s="361"/>
      <c r="N37" s="361"/>
      <c r="O37" s="361"/>
      <c r="P37" s="361"/>
      <c r="Q37" s="361"/>
      <c r="R37" s="361"/>
      <c r="S37" s="361"/>
      <c r="T37" s="361"/>
      <c r="U37" s="361"/>
      <c r="V37" s="361"/>
      <c r="W37" s="361"/>
      <c r="X37" s="365"/>
      <c r="Y37" s="361"/>
      <c r="Z37" s="361"/>
      <c r="AA37" s="116"/>
      <c r="AB37" s="116"/>
      <c r="AC37" s="116"/>
      <c r="AD37" s="116"/>
      <c r="AE37" s="365"/>
      <c r="AF37" s="116"/>
      <c r="AG37" s="116"/>
      <c r="AH37" s="116"/>
      <c r="AI37" s="116"/>
      <c r="AJ37" s="116"/>
      <c r="AK37" s="116"/>
      <c r="AL37" s="116"/>
    </row>
    <row r="38" ht="18.0" hidden="1" customHeight="1">
      <c r="A38" s="221"/>
      <c r="B38" s="142"/>
      <c r="C38" s="142"/>
      <c r="D38" s="142"/>
      <c r="E38" s="132"/>
      <c r="F38" s="131"/>
      <c r="G38" s="361"/>
      <c r="H38" s="363"/>
      <c r="I38" s="364"/>
      <c r="J38" s="361"/>
      <c r="K38" s="361"/>
      <c r="L38" s="361"/>
      <c r="M38" s="361"/>
      <c r="N38" s="361"/>
      <c r="O38" s="361"/>
      <c r="P38" s="361"/>
      <c r="Q38" s="361"/>
      <c r="R38" s="361"/>
      <c r="S38" s="361"/>
      <c r="T38" s="361"/>
      <c r="U38" s="361"/>
      <c r="V38" s="361"/>
      <c r="W38" s="361"/>
      <c r="X38" s="365"/>
      <c r="Y38" s="361"/>
      <c r="Z38" s="361"/>
      <c r="AA38" s="116"/>
      <c r="AB38" s="116"/>
      <c r="AC38" s="116"/>
      <c r="AD38" s="116"/>
      <c r="AE38" s="365"/>
      <c r="AF38" s="116"/>
      <c r="AG38" s="116"/>
      <c r="AH38" s="116"/>
      <c r="AI38" s="116"/>
      <c r="AJ38" s="116"/>
      <c r="AK38" s="116"/>
      <c r="AL38" s="116"/>
    </row>
    <row r="39" ht="16.5" hidden="1" customHeight="1">
      <c r="A39" s="362"/>
      <c r="B39" s="362"/>
      <c r="C39" s="362"/>
      <c r="D39" s="362"/>
      <c r="E39" s="132"/>
      <c r="F39" s="131"/>
      <c r="G39" s="361"/>
      <c r="H39" s="363"/>
      <c r="I39" s="364"/>
      <c r="J39" s="361"/>
      <c r="K39" s="361"/>
      <c r="L39" s="361"/>
      <c r="M39" s="361"/>
      <c r="N39" s="361"/>
      <c r="O39" s="361"/>
      <c r="P39" s="361"/>
      <c r="Q39" s="361"/>
      <c r="R39" s="361"/>
      <c r="S39" s="361"/>
      <c r="T39" s="361"/>
      <c r="U39" s="361"/>
      <c r="V39" s="361"/>
      <c r="W39" s="361"/>
      <c r="X39" s="365"/>
      <c r="Y39" s="361"/>
      <c r="Z39" s="361"/>
      <c r="AA39" s="116"/>
      <c r="AB39" s="116"/>
      <c r="AC39" s="116"/>
      <c r="AD39" s="116"/>
      <c r="AE39" s="365"/>
      <c r="AF39" s="116"/>
      <c r="AG39" s="116"/>
      <c r="AH39" s="116"/>
      <c r="AI39" s="116"/>
      <c r="AJ39" s="116"/>
      <c r="AK39" s="116"/>
      <c r="AL39" s="116"/>
    </row>
    <row r="40" ht="16.5" customHeight="1">
      <c r="A40" s="362"/>
      <c r="B40" s="362"/>
      <c r="C40" s="362"/>
      <c r="D40" s="362"/>
      <c r="E40" s="132"/>
      <c r="F40" s="131"/>
      <c r="G40" s="361"/>
      <c r="H40" s="363"/>
      <c r="I40" s="364"/>
      <c r="J40" s="361"/>
      <c r="K40" s="361"/>
      <c r="L40" s="361"/>
      <c r="M40" s="361"/>
      <c r="N40" s="361"/>
      <c r="O40" s="361"/>
      <c r="P40" s="361"/>
      <c r="Q40" s="361"/>
      <c r="R40" s="361"/>
      <c r="S40" s="361"/>
      <c r="T40" s="361"/>
      <c r="U40" s="361"/>
      <c r="V40" s="361"/>
      <c r="W40" s="361"/>
      <c r="X40" s="365"/>
      <c r="Y40" s="361"/>
      <c r="Z40" s="361"/>
      <c r="AA40" s="116"/>
      <c r="AB40" s="116"/>
      <c r="AC40" s="116"/>
      <c r="AD40" s="116"/>
      <c r="AE40" s="365"/>
      <c r="AF40" s="116"/>
      <c r="AG40" s="116"/>
      <c r="AH40" s="116"/>
      <c r="AI40" s="116"/>
      <c r="AJ40" s="116"/>
      <c r="AK40" s="116"/>
      <c r="AL40" s="116"/>
    </row>
    <row r="41" ht="16.5" customHeight="1">
      <c r="A41" s="362"/>
      <c r="B41" s="362"/>
      <c r="C41" s="362"/>
      <c r="D41" s="362"/>
      <c r="E41" s="132"/>
      <c r="F41" s="131"/>
      <c r="G41" s="361"/>
      <c r="H41" s="363"/>
      <c r="I41" s="364"/>
      <c r="J41" s="361"/>
      <c r="K41" s="361"/>
      <c r="L41" s="361"/>
      <c r="M41" s="361"/>
      <c r="N41" s="361"/>
      <c r="O41" s="361"/>
      <c r="P41" s="361"/>
      <c r="Q41" s="361"/>
      <c r="R41" s="361"/>
      <c r="S41" s="361"/>
      <c r="T41" s="361"/>
      <c r="U41" s="361"/>
      <c r="V41" s="361"/>
      <c r="W41" s="361"/>
      <c r="X41" s="365"/>
      <c r="Y41" s="361"/>
      <c r="Z41" s="361"/>
      <c r="AA41" s="116"/>
      <c r="AB41" s="116"/>
      <c r="AC41" s="116"/>
      <c r="AD41" s="116"/>
      <c r="AE41" s="365"/>
      <c r="AF41" s="116"/>
      <c r="AG41" s="116"/>
      <c r="AH41" s="116"/>
      <c r="AI41" s="116"/>
      <c r="AJ41" s="116"/>
      <c r="AK41" s="116"/>
      <c r="AL41" s="116"/>
    </row>
    <row r="42" ht="16.5" customHeight="1">
      <c r="A42" s="362"/>
      <c r="B42" s="362"/>
      <c r="C42" s="362"/>
      <c r="D42" s="362"/>
      <c r="E42" s="132"/>
      <c r="F42" s="131"/>
      <c r="G42" s="361"/>
      <c r="H42" s="363"/>
      <c r="I42" s="364"/>
      <c r="J42" s="361"/>
      <c r="K42" s="361"/>
      <c r="L42" s="361"/>
      <c r="M42" s="361"/>
      <c r="N42" s="361"/>
      <c r="O42" s="361"/>
      <c r="P42" s="361"/>
      <c r="Q42" s="361"/>
      <c r="R42" s="361"/>
      <c r="S42" s="361"/>
      <c r="T42" s="361"/>
      <c r="U42" s="361"/>
      <c r="V42" s="361"/>
      <c r="W42" s="361"/>
      <c r="X42" s="365"/>
      <c r="Y42" s="361"/>
      <c r="Z42" s="361"/>
      <c r="AA42" s="116"/>
      <c r="AB42" s="116"/>
      <c r="AC42" s="116"/>
      <c r="AD42" s="116"/>
      <c r="AE42" s="365"/>
      <c r="AF42" s="116"/>
      <c r="AG42" s="116"/>
      <c r="AH42" s="116"/>
      <c r="AI42" s="116"/>
      <c r="AJ42" s="116"/>
      <c r="AK42" s="116"/>
      <c r="AL42" s="116"/>
    </row>
    <row r="43" ht="16.5" customHeight="1">
      <c r="A43" s="362"/>
      <c r="B43" s="362"/>
      <c r="C43" s="362"/>
      <c r="D43" s="362"/>
      <c r="E43" s="132"/>
      <c r="F43" s="131"/>
      <c r="G43" s="361"/>
      <c r="H43" s="363"/>
      <c r="I43" s="364"/>
      <c r="J43" s="361"/>
      <c r="K43" s="361"/>
      <c r="L43" s="361"/>
      <c r="M43" s="361"/>
      <c r="N43" s="361"/>
      <c r="O43" s="361"/>
      <c r="P43" s="361"/>
      <c r="Q43" s="361"/>
      <c r="R43" s="361"/>
      <c r="S43" s="361"/>
      <c r="T43" s="361"/>
      <c r="U43" s="361"/>
      <c r="V43" s="361"/>
      <c r="W43" s="361"/>
      <c r="X43" s="365"/>
      <c r="Y43" s="361"/>
      <c r="Z43" s="361"/>
      <c r="AA43" s="116"/>
      <c r="AB43" s="116"/>
      <c r="AC43" s="116"/>
      <c r="AD43" s="116"/>
      <c r="AE43" s="365"/>
      <c r="AF43" s="116"/>
      <c r="AG43" s="116"/>
      <c r="AH43" s="116"/>
      <c r="AI43" s="116"/>
      <c r="AJ43" s="116"/>
      <c r="AK43" s="116"/>
      <c r="AL43" s="116"/>
    </row>
    <row r="44" ht="16.5" customHeight="1">
      <c r="A44" s="362"/>
      <c r="B44" s="362"/>
      <c r="C44" s="362"/>
      <c r="D44" s="362"/>
      <c r="E44" s="132"/>
      <c r="F44" s="131"/>
      <c r="G44" s="361"/>
      <c r="H44" s="363"/>
      <c r="I44" s="364"/>
      <c r="J44" s="361"/>
      <c r="K44" s="361"/>
      <c r="L44" s="361"/>
      <c r="M44" s="361"/>
      <c r="N44" s="361"/>
      <c r="O44" s="361"/>
      <c r="P44" s="361"/>
      <c r="Q44" s="361"/>
      <c r="R44" s="361"/>
      <c r="S44" s="361"/>
      <c r="T44" s="361"/>
      <c r="U44" s="361"/>
      <c r="V44" s="361"/>
      <c r="W44" s="361"/>
      <c r="X44" s="365"/>
      <c r="Y44" s="361"/>
      <c r="Z44" s="361"/>
      <c r="AA44" s="116"/>
      <c r="AB44" s="116"/>
      <c r="AC44" s="116"/>
      <c r="AD44" s="116"/>
      <c r="AE44" s="365"/>
      <c r="AF44" s="116"/>
      <c r="AG44" s="116"/>
      <c r="AH44" s="116"/>
      <c r="AI44" s="116"/>
      <c r="AJ44" s="116"/>
      <c r="AK44" s="116"/>
      <c r="AL44" s="116"/>
    </row>
    <row r="45" ht="16.5" customHeight="1">
      <c r="A45" s="362"/>
      <c r="B45" s="362"/>
      <c r="C45" s="362"/>
      <c r="D45" s="362"/>
      <c r="E45" s="132"/>
      <c r="F45" s="131"/>
      <c r="G45" s="361"/>
      <c r="H45" s="363"/>
      <c r="I45" s="364"/>
      <c r="J45" s="361"/>
      <c r="K45" s="361"/>
      <c r="L45" s="361"/>
      <c r="M45" s="361"/>
      <c r="N45" s="361"/>
      <c r="O45" s="361"/>
      <c r="P45" s="361"/>
      <c r="Q45" s="361"/>
      <c r="R45" s="361"/>
      <c r="S45" s="361"/>
      <c r="T45" s="361"/>
      <c r="U45" s="361"/>
      <c r="V45" s="361"/>
      <c r="W45" s="361"/>
      <c r="X45" s="365"/>
      <c r="Y45" s="361"/>
      <c r="Z45" s="361"/>
      <c r="AA45" s="116"/>
      <c r="AB45" s="116"/>
      <c r="AC45" s="116"/>
      <c r="AD45" s="116"/>
      <c r="AE45" s="365"/>
      <c r="AF45" s="116"/>
      <c r="AG45" s="116"/>
      <c r="AH45" s="116"/>
      <c r="AI45" s="116"/>
      <c r="AJ45" s="116"/>
      <c r="AK45" s="116"/>
      <c r="AL45" s="116"/>
    </row>
    <row r="46" ht="16.5" customHeight="1">
      <c r="A46" s="362"/>
      <c r="B46" s="362"/>
      <c r="C46" s="362"/>
      <c r="D46" s="362"/>
      <c r="E46" s="132"/>
      <c r="F46" s="131"/>
      <c r="G46" s="361"/>
      <c r="H46" s="363"/>
      <c r="I46" s="364"/>
      <c r="J46" s="361"/>
      <c r="K46" s="361"/>
      <c r="L46" s="361"/>
      <c r="M46" s="361"/>
      <c r="N46" s="361"/>
      <c r="O46" s="361"/>
      <c r="P46" s="361"/>
      <c r="Q46" s="361"/>
      <c r="R46" s="361"/>
      <c r="S46" s="361"/>
      <c r="T46" s="361"/>
      <c r="U46" s="361"/>
      <c r="V46" s="361"/>
      <c r="W46" s="361"/>
      <c r="X46" s="365"/>
      <c r="Y46" s="361"/>
      <c r="Z46" s="361"/>
      <c r="AA46" s="116"/>
      <c r="AB46" s="116"/>
      <c r="AC46" s="116"/>
      <c r="AD46" s="116"/>
      <c r="AE46" s="365"/>
      <c r="AF46" s="116"/>
      <c r="AG46" s="116"/>
      <c r="AH46" s="116"/>
      <c r="AI46" s="116"/>
      <c r="AJ46" s="116"/>
      <c r="AK46" s="116"/>
      <c r="AL46" s="116"/>
    </row>
    <row r="47" ht="16.5" customHeight="1">
      <c r="A47" s="362"/>
      <c r="B47" s="362"/>
      <c r="C47" s="362"/>
      <c r="D47" s="362"/>
      <c r="E47" s="132"/>
      <c r="F47" s="131"/>
      <c r="G47" s="361"/>
      <c r="H47" s="363"/>
      <c r="I47" s="364"/>
      <c r="J47" s="361"/>
      <c r="K47" s="361"/>
      <c r="L47" s="361"/>
      <c r="M47" s="361"/>
      <c r="N47" s="361"/>
      <c r="O47" s="361"/>
      <c r="P47" s="361"/>
      <c r="Q47" s="361"/>
      <c r="R47" s="361"/>
      <c r="S47" s="361"/>
      <c r="T47" s="361"/>
      <c r="U47" s="361"/>
      <c r="V47" s="361"/>
      <c r="W47" s="361"/>
      <c r="X47" s="365"/>
      <c r="Y47" s="361"/>
      <c r="Z47" s="361"/>
      <c r="AA47" s="116"/>
      <c r="AB47" s="116"/>
      <c r="AC47" s="116"/>
      <c r="AD47" s="116"/>
      <c r="AE47" s="365"/>
      <c r="AF47" s="116"/>
      <c r="AG47" s="116"/>
      <c r="AH47" s="116"/>
      <c r="AI47" s="116"/>
      <c r="AJ47" s="116"/>
      <c r="AK47" s="116"/>
      <c r="AL47" s="116"/>
    </row>
    <row r="48" ht="16.5" customHeight="1">
      <c r="A48" s="362"/>
      <c r="B48" s="362"/>
      <c r="C48" s="362"/>
      <c r="D48" s="362"/>
      <c r="E48" s="132"/>
      <c r="F48" s="131"/>
      <c r="G48" s="361"/>
      <c r="H48" s="363"/>
      <c r="I48" s="364"/>
      <c r="J48" s="361"/>
      <c r="K48" s="361"/>
      <c r="L48" s="361"/>
      <c r="M48" s="361"/>
      <c r="N48" s="361"/>
      <c r="O48" s="361"/>
      <c r="P48" s="361"/>
      <c r="Q48" s="361"/>
      <c r="R48" s="361"/>
      <c r="S48" s="361"/>
      <c r="T48" s="361"/>
      <c r="U48" s="361"/>
      <c r="V48" s="361"/>
      <c r="W48" s="361"/>
      <c r="X48" s="365"/>
      <c r="Y48" s="361"/>
      <c r="Z48" s="361"/>
      <c r="AA48" s="116"/>
      <c r="AB48" s="116"/>
      <c r="AC48" s="116"/>
      <c r="AD48" s="116"/>
      <c r="AE48" s="365"/>
      <c r="AF48" s="116"/>
      <c r="AG48" s="116"/>
      <c r="AH48" s="116"/>
      <c r="AI48" s="116"/>
      <c r="AJ48" s="116"/>
      <c r="AK48" s="116"/>
      <c r="AL48" s="116"/>
    </row>
    <row r="49" ht="16.5" customHeight="1">
      <c r="A49" s="362"/>
      <c r="B49" s="362"/>
      <c r="C49" s="362"/>
      <c r="D49" s="362"/>
      <c r="E49" s="132"/>
      <c r="F49" s="131"/>
      <c r="G49" s="361"/>
      <c r="H49" s="363"/>
      <c r="I49" s="364"/>
      <c r="J49" s="361"/>
      <c r="K49" s="361"/>
      <c r="L49" s="361"/>
      <c r="M49" s="361"/>
      <c r="N49" s="361"/>
      <c r="O49" s="361"/>
      <c r="P49" s="361"/>
      <c r="Q49" s="361"/>
      <c r="R49" s="361"/>
      <c r="S49" s="361"/>
      <c r="T49" s="361"/>
      <c r="U49" s="361"/>
      <c r="V49" s="361"/>
      <c r="W49" s="361"/>
      <c r="X49" s="365"/>
      <c r="Y49" s="361"/>
      <c r="Z49" s="361"/>
      <c r="AA49" s="116"/>
      <c r="AB49" s="116"/>
      <c r="AC49" s="116"/>
      <c r="AD49" s="116"/>
      <c r="AE49" s="365"/>
      <c r="AF49" s="116"/>
      <c r="AG49" s="116"/>
      <c r="AH49" s="116"/>
      <c r="AI49" s="116"/>
      <c r="AJ49" s="116"/>
      <c r="AK49" s="116"/>
      <c r="AL49" s="116"/>
    </row>
    <row r="50" ht="16.5" customHeight="1">
      <c r="A50" s="362"/>
      <c r="B50" s="362"/>
      <c r="C50" s="362"/>
      <c r="D50" s="362"/>
      <c r="E50" s="132"/>
      <c r="F50" s="131"/>
      <c r="G50" s="361"/>
      <c r="H50" s="363"/>
      <c r="I50" s="364"/>
      <c r="J50" s="361"/>
      <c r="K50" s="361"/>
      <c r="L50" s="361"/>
      <c r="M50" s="361"/>
      <c r="N50" s="361"/>
      <c r="O50" s="361"/>
      <c r="P50" s="361"/>
      <c r="Q50" s="361"/>
      <c r="R50" s="361"/>
      <c r="S50" s="361"/>
      <c r="T50" s="361"/>
      <c r="U50" s="361"/>
      <c r="V50" s="361"/>
      <c r="W50" s="361"/>
      <c r="X50" s="365"/>
      <c r="Y50" s="361"/>
      <c r="Z50" s="361"/>
      <c r="AA50" s="116"/>
      <c r="AB50" s="116"/>
      <c r="AC50" s="116"/>
      <c r="AD50" s="116"/>
      <c r="AE50" s="365"/>
      <c r="AF50" s="116"/>
      <c r="AG50" s="116"/>
      <c r="AH50" s="116"/>
      <c r="AI50" s="116"/>
      <c r="AJ50" s="116"/>
      <c r="AK50" s="116"/>
      <c r="AL50" s="116"/>
    </row>
    <row r="51" ht="16.5" customHeight="1">
      <c r="A51" s="362"/>
      <c r="B51" s="362"/>
      <c r="C51" s="362"/>
      <c r="D51" s="362"/>
      <c r="E51" s="132"/>
      <c r="F51" s="131"/>
      <c r="G51" s="361"/>
      <c r="H51" s="363"/>
      <c r="I51" s="364"/>
      <c r="J51" s="361"/>
      <c r="K51" s="361"/>
      <c r="L51" s="361"/>
      <c r="M51" s="361"/>
      <c r="N51" s="361"/>
      <c r="O51" s="361"/>
      <c r="P51" s="361"/>
      <c r="Q51" s="361"/>
      <c r="R51" s="361"/>
      <c r="S51" s="361"/>
      <c r="T51" s="361"/>
      <c r="U51" s="361"/>
      <c r="V51" s="361"/>
      <c r="W51" s="361"/>
      <c r="X51" s="365"/>
      <c r="Y51" s="361"/>
      <c r="Z51" s="361"/>
      <c r="AA51" s="116"/>
      <c r="AB51" s="116"/>
      <c r="AC51" s="116"/>
      <c r="AD51" s="116"/>
      <c r="AE51" s="365"/>
      <c r="AF51" s="116"/>
      <c r="AG51" s="116"/>
      <c r="AH51" s="116"/>
      <c r="AI51" s="116"/>
      <c r="AJ51" s="116"/>
      <c r="AK51" s="116"/>
      <c r="AL51" s="116"/>
    </row>
    <row r="52" ht="16.5" customHeight="1">
      <c r="A52" s="362"/>
      <c r="B52" s="362"/>
      <c r="C52" s="362"/>
      <c r="D52" s="362"/>
      <c r="E52" s="132"/>
      <c r="F52" s="131"/>
      <c r="G52" s="361"/>
      <c r="H52" s="363"/>
      <c r="I52" s="364"/>
      <c r="J52" s="361"/>
      <c r="K52" s="361"/>
      <c r="L52" s="361"/>
      <c r="M52" s="361"/>
      <c r="N52" s="361"/>
      <c r="O52" s="361"/>
      <c r="P52" s="361"/>
      <c r="Q52" s="361"/>
      <c r="R52" s="361"/>
      <c r="S52" s="361"/>
      <c r="T52" s="361"/>
      <c r="U52" s="361"/>
      <c r="V52" s="361"/>
      <c r="W52" s="361"/>
      <c r="X52" s="365"/>
      <c r="Y52" s="361"/>
      <c r="Z52" s="361"/>
      <c r="AA52" s="116"/>
      <c r="AB52" s="116"/>
      <c r="AC52" s="116"/>
      <c r="AD52" s="116"/>
      <c r="AE52" s="365"/>
      <c r="AF52" s="116"/>
      <c r="AG52" s="116"/>
      <c r="AH52" s="116"/>
      <c r="AI52" s="116"/>
      <c r="AJ52" s="116"/>
      <c r="AK52" s="116"/>
      <c r="AL52" s="116"/>
    </row>
    <row r="53" ht="16.5" customHeight="1">
      <c r="A53" s="362"/>
      <c r="B53" s="362"/>
      <c r="C53" s="362"/>
      <c r="D53" s="362"/>
      <c r="E53" s="132"/>
      <c r="F53" s="131"/>
      <c r="G53" s="361"/>
      <c r="H53" s="363"/>
      <c r="I53" s="364"/>
      <c r="J53" s="361"/>
      <c r="K53" s="361"/>
      <c r="L53" s="361"/>
      <c r="M53" s="361"/>
      <c r="N53" s="361"/>
      <c r="O53" s="361"/>
      <c r="P53" s="361"/>
      <c r="Q53" s="361"/>
      <c r="R53" s="361"/>
      <c r="S53" s="361"/>
      <c r="T53" s="361"/>
      <c r="U53" s="361"/>
      <c r="V53" s="361"/>
      <c r="W53" s="361"/>
      <c r="X53" s="365"/>
      <c r="Y53" s="361"/>
      <c r="Z53" s="361"/>
      <c r="AA53" s="116"/>
      <c r="AB53" s="116"/>
      <c r="AC53" s="116"/>
      <c r="AD53" s="116"/>
      <c r="AE53" s="365"/>
      <c r="AF53" s="116"/>
      <c r="AG53" s="116"/>
      <c r="AH53" s="116"/>
      <c r="AI53" s="116"/>
      <c r="AJ53" s="116"/>
      <c r="AK53" s="116"/>
      <c r="AL53" s="116"/>
    </row>
    <row r="54" ht="16.5" customHeight="1">
      <c r="A54" s="362"/>
      <c r="B54" s="362"/>
      <c r="C54" s="362"/>
      <c r="D54" s="362"/>
      <c r="E54" s="132"/>
      <c r="F54" s="131"/>
      <c r="G54" s="361"/>
      <c r="H54" s="363"/>
      <c r="I54" s="364"/>
      <c r="J54" s="361"/>
      <c r="K54" s="361"/>
      <c r="L54" s="361"/>
      <c r="M54" s="361"/>
      <c r="N54" s="361"/>
      <c r="O54" s="361"/>
      <c r="P54" s="361"/>
      <c r="Q54" s="361"/>
      <c r="R54" s="361"/>
      <c r="S54" s="361"/>
      <c r="T54" s="361"/>
      <c r="U54" s="361"/>
      <c r="V54" s="361"/>
      <c r="W54" s="361"/>
      <c r="X54" s="365"/>
      <c r="Y54" s="361"/>
      <c r="Z54" s="361"/>
      <c r="AA54" s="116"/>
      <c r="AB54" s="116"/>
      <c r="AC54" s="116"/>
      <c r="AD54" s="116"/>
      <c r="AE54" s="365"/>
      <c r="AF54" s="116"/>
      <c r="AG54" s="116"/>
      <c r="AH54" s="116"/>
      <c r="AI54" s="116"/>
      <c r="AJ54" s="116"/>
      <c r="AK54" s="116"/>
      <c r="AL54" s="116"/>
    </row>
    <row r="55" ht="16.5" customHeight="1">
      <c r="A55" s="362"/>
      <c r="B55" s="362"/>
      <c r="C55" s="362"/>
      <c r="D55" s="362"/>
      <c r="E55" s="132"/>
      <c r="F55" s="131"/>
      <c r="G55" s="361"/>
      <c r="H55" s="363"/>
      <c r="I55" s="364"/>
      <c r="J55" s="361"/>
      <c r="K55" s="361"/>
      <c r="L55" s="361"/>
      <c r="M55" s="361"/>
      <c r="N55" s="361"/>
      <c r="O55" s="361"/>
      <c r="P55" s="361"/>
      <c r="Q55" s="361"/>
      <c r="R55" s="361"/>
      <c r="S55" s="361"/>
      <c r="T55" s="361"/>
      <c r="U55" s="361"/>
      <c r="V55" s="361"/>
      <c r="W55" s="361"/>
      <c r="X55" s="365"/>
      <c r="Y55" s="361"/>
      <c r="Z55" s="361"/>
      <c r="AA55" s="116"/>
      <c r="AB55" s="116"/>
      <c r="AC55" s="116"/>
      <c r="AD55" s="116"/>
      <c r="AE55" s="365"/>
      <c r="AF55" s="116"/>
      <c r="AG55" s="116"/>
      <c r="AH55" s="116"/>
      <c r="AI55" s="116"/>
      <c r="AJ55" s="116"/>
      <c r="AK55" s="116"/>
      <c r="AL55" s="116"/>
    </row>
    <row r="56" ht="16.5" customHeight="1">
      <c r="A56" s="362"/>
      <c r="B56" s="362"/>
      <c r="C56" s="362"/>
      <c r="D56" s="362"/>
      <c r="E56" s="132"/>
      <c r="F56" s="131"/>
      <c r="G56" s="361"/>
      <c r="H56" s="363"/>
      <c r="I56" s="364"/>
      <c r="J56" s="361"/>
      <c r="K56" s="361"/>
      <c r="L56" s="361"/>
      <c r="M56" s="361"/>
      <c r="N56" s="361"/>
      <c r="O56" s="361"/>
      <c r="P56" s="361"/>
      <c r="Q56" s="361"/>
      <c r="R56" s="361"/>
      <c r="S56" s="361"/>
      <c r="T56" s="361"/>
      <c r="U56" s="361"/>
      <c r="V56" s="361"/>
      <c r="W56" s="361"/>
      <c r="X56" s="365"/>
      <c r="Y56" s="361"/>
      <c r="Z56" s="361"/>
      <c r="AA56" s="116"/>
      <c r="AB56" s="116"/>
      <c r="AC56" s="116"/>
      <c r="AD56" s="116"/>
      <c r="AE56" s="365"/>
      <c r="AF56" s="116"/>
      <c r="AG56" s="116"/>
      <c r="AH56" s="116"/>
      <c r="AI56" s="116"/>
      <c r="AJ56" s="116"/>
      <c r="AK56" s="116"/>
      <c r="AL56" s="116"/>
    </row>
    <row r="57" ht="16.5" customHeight="1">
      <c r="A57" s="362"/>
      <c r="B57" s="362"/>
      <c r="C57" s="362"/>
      <c r="D57" s="362"/>
      <c r="E57" s="132"/>
      <c r="F57" s="131"/>
      <c r="G57" s="361"/>
      <c r="H57" s="363"/>
      <c r="I57" s="364"/>
      <c r="J57" s="361"/>
      <c r="K57" s="361"/>
      <c r="L57" s="361"/>
      <c r="M57" s="361"/>
      <c r="N57" s="361"/>
      <c r="O57" s="361"/>
      <c r="P57" s="361"/>
      <c r="Q57" s="361"/>
      <c r="R57" s="361"/>
      <c r="S57" s="361"/>
      <c r="T57" s="361"/>
      <c r="U57" s="361"/>
      <c r="V57" s="361"/>
      <c r="W57" s="361"/>
      <c r="X57" s="365"/>
      <c r="Y57" s="361"/>
      <c r="Z57" s="361"/>
      <c r="AA57" s="116"/>
      <c r="AB57" s="116"/>
      <c r="AC57" s="116"/>
      <c r="AD57" s="116"/>
      <c r="AE57" s="365"/>
      <c r="AF57" s="116"/>
      <c r="AG57" s="116"/>
      <c r="AH57" s="116"/>
      <c r="AI57" s="116"/>
      <c r="AJ57" s="116"/>
      <c r="AK57" s="116"/>
      <c r="AL57" s="116"/>
    </row>
    <row r="58" ht="16.5" customHeight="1">
      <c r="A58" s="362"/>
      <c r="B58" s="362"/>
      <c r="C58" s="362"/>
      <c r="D58" s="362"/>
      <c r="E58" s="132"/>
      <c r="F58" s="131"/>
      <c r="G58" s="361"/>
      <c r="H58" s="363"/>
      <c r="I58" s="364"/>
      <c r="J58" s="361"/>
      <c r="K58" s="361"/>
      <c r="L58" s="361"/>
      <c r="M58" s="361"/>
      <c r="N58" s="361"/>
      <c r="O58" s="361"/>
      <c r="P58" s="361"/>
      <c r="Q58" s="361"/>
      <c r="R58" s="361"/>
      <c r="S58" s="361"/>
      <c r="T58" s="361"/>
      <c r="U58" s="361"/>
      <c r="V58" s="361"/>
      <c r="W58" s="361"/>
      <c r="X58" s="365"/>
      <c r="Y58" s="361"/>
      <c r="Z58" s="361"/>
      <c r="AA58" s="116"/>
      <c r="AB58" s="116"/>
      <c r="AC58" s="116"/>
      <c r="AD58" s="116"/>
      <c r="AE58" s="365"/>
      <c r="AF58" s="116"/>
      <c r="AG58" s="116"/>
      <c r="AH58" s="116"/>
      <c r="AI58" s="116"/>
      <c r="AJ58" s="116"/>
      <c r="AK58" s="116"/>
      <c r="AL58" s="116"/>
    </row>
    <row r="59" ht="16.5" customHeight="1">
      <c r="A59" s="362"/>
      <c r="B59" s="362"/>
      <c r="C59" s="362"/>
      <c r="D59" s="362"/>
      <c r="E59" s="132"/>
      <c r="F59" s="131"/>
      <c r="G59" s="361"/>
      <c r="H59" s="363"/>
      <c r="I59" s="364"/>
      <c r="J59" s="361"/>
      <c r="K59" s="361"/>
      <c r="L59" s="361"/>
      <c r="M59" s="361"/>
      <c r="N59" s="361"/>
      <c r="O59" s="361"/>
      <c r="P59" s="361"/>
      <c r="Q59" s="361"/>
      <c r="R59" s="361"/>
      <c r="S59" s="361"/>
      <c r="T59" s="361"/>
      <c r="U59" s="361"/>
      <c r="V59" s="361"/>
      <c r="W59" s="361"/>
      <c r="X59" s="365"/>
      <c r="Y59" s="361"/>
      <c r="Z59" s="361"/>
      <c r="AA59" s="116"/>
      <c r="AB59" s="116"/>
      <c r="AC59" s="116"/>
      <c r="AD59" s="116"/>
      <c r="AE59" s="365"/>
      <c r="AF59" s="116"/>
      <c r="AG59" s="116"/>
      <c r="AH59" s="116"/>
      <c r="AI59" s="116"/>
      <c r="AJ59" s="116"/>
      <c r="AK59" s="116"/>
      <c r="AL59" s="116"/>
    </row>
    <row r="60" ht="16.5" customHeight="1">
      <c r="A60" s="362"/>
      <c r="B60" s="362"/>
      <c r="C60" s="362"/>
      <c r="D60" s="362"/>
      <c r="E60" s="132"/>
      <c r="F60" s="131"/>
      <c r="G60" s="361"/>
      <c r="H60" s="363"/>
      <c r="I60" s="364"/>
      <c r="J60" s="361"/>
      <c r="K60" s="361"/>
      <c r="L60" s="361"/>
      <c r="M60" s="361"/>
      <c r="N60" s="361"/>
      <c r="O60" s="361"/>
      <c r="P60" s="361"/>
      <c r="Q60" s="361"/>
      <c r="R60" s="361"/>
      <c r="S60" s="361"/>
      <c r="T60" s="361"/>
      <c r="U60" s="361"/>
      <c r="V60" s="361"/>
      <c r="W60" s="361"/>
      <c r="X60" s="365"/>
      <c r="Y60" s="361"/>
      <c r="Z60" s="361"/>
      <c r="AA60" s="116"/>
      <c r="AB60" s="116"/>
      <c r="AC60" s="116"/>
      <c r="AD60" s="116"/>
      <c r="AE60" s="365"/>
      <c r="AF60" s="116"/>
      <c r="AG60" s="116"/>
      <c r="AH60" s="116"/>
      <c r="AI60" s="116"/>
      <c r="AJ60" s="116"/>
      <c r="AK60" s="116"/>
      <c r="AL60" s="116"/>
    </row>
    <row r="61" ht="16.5" customHeight="1">
      <c r="A61" s="362"/>
      <c r="B61" s="362"/>
      <c r="C61" s="362"/>
      <c r="D61" s="362"/>
      <c r="E61" s="132"/>
      <c r="F61" s="131"/>
      <c r="G61" s="361"/>
      <c r="H61" s="363"/>
      <c r="I61" s="364"/>
      <c r="J61" s="361"/>
      <c r="K61" s="361"/>
      <c r="L61" s="361"/>
      <c r="M61" s="361"/>
      <c r="N61" s="361"/>
      <c r="O61" s="361"/>
      <c r="P61" s="361"/>
      <c r="Q61" s="361"/>
      <c r="R61" s="361"/>
      <c r="S61" s="361"/>
      <c r="T61" s="361"/>
      <c r="U61" s="361"/>
      <c r="V61" s="361"/>
      <c r="W61" s="361"/>
      <c r="X61" s="365"/>
      <c r="Y61" s="361"/>
      <c r="Z61" s="361"/>
      <c r="AA61" s="116"/>
      <c r="AB61" s="116"/>
      <c r="AC61" s="116"/>
      <c r="AD61" s="116"/>
      <c r="AE61" s="365"/>
      <c r="AF61" s="116"/>
      <c r="AG61" s="116"/>
      <c r="AH61" s="116"/>
      <c r="AI61" s="116"/>
      <c r="AJ61" s="116"/>
      <c r="AK61" s="116"/>
      <c r="AL61" s="116"/>
    </row>
    <row r="62" ht="16.5" customHeight="1">
      <c r="A62" s="362"/>
      <c r="B62" s="362"/>
      <c r="C62" s="362"/>
      <c r="D62" s="362"/>
      <c r="E62" s="132"/>
      <c r="F62" s="131"/>
      <c r="G62" s="361"/>
      <c r="H62" s="363"/>
      <c r="I62" s="364"/>
      <c r="J62" s="361"/>
      <c r="K62" s="361"/>
      <c r="L62" s="361"/>
      <c r="M62" s="361"/>
      <c r="N62" s="361"/>
      <c r="O62" s="361"/>
      <c r="P62" s="361"/>
      <c r="Q62" s="361"/>
      <c r="R62" s="361"/>
      <c r="S62" s="361"/>
      <c r="T62" s="361"/>
      <c r="U62" s="361"/>
      <c r="V62" s="361"/>
      <c r="W62" s="361"/>
      <c r="X62" s="365"/>
      <c r="Y62" s="361"/>
      <c r="Z62" s="361"/>
      <c r="AA62" s="116"/>
      <c r="AB62" s="116"/>
      <c r="AC62" s="116"/>
      <c r="AD62" s="116"/>
      <c r="AE62" s="365"/>
      <c r="AF62" s="116"/>
      <c r="AG62" s="116"/>
      <c r="AH62" s="116"/>
      <c r="AI62" s="116"/>
      <c r="AJ62" s="116"/>
      <c r="AK62" s="116"/>
      <c r="AL62" s="116"/>
    </row>
    <row r="63" ht="16.5" customHeight="1">
      <c r="A63" s="362"/>
      <c r="B63" s="362"/>
      <c r="C63" s="362"/>
      <c r="D63" s="362"/>
      <c r="E63" s="132"/>
      <c r="F63" s="131"/>
      <c r="G63" s="361"/>
      <c r="H63" s="363"/>
      <c r="I63" s="364"/>
      <c r="J63" s="361"/>
      <c r="K63" s="361"/>
      <c r="L63" s="361"/>
      <c r="M63" s="361"/>
      <c r="N63" s="361"/>
      <c r="O63" s="361"/>
      <c r="P63" s="361"/>
      <c r="Q63" s="361"/>
      <c r="R63" s="361"/>
      <c r="S63" s="361"/>
      <c r="T63" s="361"/>
      <c r="U63" s="361"/>
      <c r="V63" s="361"/>
      <c r="W63" s="361"/>
      <c r="X63" s="365"/>
      <c r="Y63" s="361"/>
      <c r="Z63" s="361"/>
      <c r="AA63" s="116"/>
      <c r="AB63" s="116"/>
      <c r="AC63" s="116"/>
      <c r="AD63" s="116"/>
      <c r="AE63" s="365"/>
      <c r="AF63" s="116"/>
      <c r="AG63" s="116"/>
      <c r="AH63" s="116"/>
      <c r="AI63" s="116"/>
      <c r="AJ63" s="116"/>
      <c r="AK63" s="116"/>
      <c r="AL63" s="116"/>
    </row>
    <row r="64" ht="16.5" customHeight="1">
      <c r="A64" s="362"/>
      <c r="B64" s="362"/>
      <c r="C64" s="362"/>
      <c r="D64" s="362"/>
      <c r="E64" s="132"/>
      <c r="F64" s="131"/>
      <c r="G64" s="361"/>
      <c r="H64" s="363"/>
      <c r="I64" s="364"/>
      <c r="J64" s="361"/>
      <c r="K64" s="361"/>
      <c r="L64" s="361"/>
      <c r="M64" s="361"/>
      <c r="N64" s="361"/>
      <c r="O64" s="361"/>
      <c r="P64" s="361"/>
      <c r="Q64" s="361"/>
      <c r="R64" s="361"/>
      <c r="S64" s="361"/>
      <c r="T64" s="361"/>
      <c r="U64" s="361"/>
      <c r="V64" s="361"/>
      <c r="W64" s="361"/>
      <c r="X64" s="365"/>
      <c r="Y64" s="361"/>
      <c r="Z64" s="361"/>
      <c r="AA64" s="116"/>
      <c r="AB64" s="116"/>
      <c r="AC64" s="116"/>
      <c r="AD64" s="116"/>
      <c r="AE64" s="365"/>
      <c r="AF64" s="116"/>
      <c r="AG64" s="116"/>
      <c r="AH64" s="116"/>
      <c r="AI64" s="116"/>
      <c r="AJ64" s="116"/>
      <c r="AK64" s="116"/>
      <c r="AL64" s="116"/>
    </row>
    <row r="65" ht="16.5" customHeight="1">
      <c r="A65" s="362"/>
      <c r="B65" s="362"/>
      <c r="C65" s="362"/>
      <c r="D65" s="362"/>
      <c r="E65" s="132"/>
      <c r="F65" s="131"/>
      <c r="G65" s="361"/>
      <c r="H65" s="363"/>
      <c r="I65" s="364"/>
      <c r="J65" s="361"/>
      <c r="K65" s="361"/>
      <c r="L65" s="361"/>
      <c r="M65" s="361"/>
      <c r="N65" s="361"/>
      <c r="O65" s="361"/>
      <c r="P65" s="361"/>
      <c r="Q65" s="361"/>
      <c r="R65" s="361"/>
      <c r="S65" s="361"/>
      <c r="T65" s="361"/>
      <c r="U65" s="361"/>
      <c r="V65" s="361"/>
      <c r="W65" s="361"/>
      <c r="X65" s="365"/>
      <c r="Y65" s="361"/>
      <c r="Z65" s="361"/>
      <c r="AA65" s="116"/>
      <c r="AB65" s="116"/>
      <c r="AC65" s="116"/>
      <c r="AD65" s="116"/>
      <c r="AE65" s="365"/>
      <c r="AF65" s="116"/>
      <c r="AG65" s="116"/>
      <c r="AH65" s="116"/>
      <c r="AI65" s="116"/>
      <c r="AJ65" s="116"/>
      <c r="AK65" s="116"/>
      <c r="AL65" s="116"/>
    </row>
    <row r="66" ht="16.5" customHeight="1">
      <c r="A66" s="362"/>
      <c r="B66" s="362"/>
      <c r="C66" s="362"/>
      <c r="D66" s="362"/>
      <c r="E66" s="132"/>
      <c r="F66" s="131"/>
      <c r="G66" s="361"/>
      <c r="H66" s="363"/>
      <c r="I66" s="364"/>
      <c r="J66" s="361"/>
      <c r="K66" s="361"/>
      <c r="L66" s="361"/>
      <c r="M66" s="361"/>
      <c r="N66" s="361"/>
      <c r="O66" s="361"/>
      <c r="P66" s="361"/>
      <c r="Q66" s="361"/>
      <c r="R66" s="361"/>
      <c r="S66" s="361"/>
      <c r="T66" s="361"/>
      <c r="U66" s="361"/>
      <c r="V66" s="361"/>
      <c r="W66" s="361"/>
      <c r="X66" s="365"/>
      <c r="Y66" s="361"/>
      <c r="Z66" s="361"/>
      <c r="AA66" s="116"/>
      <c r="AB66" s="116"/>
      <c r="AC66" s="116"/>
      <c r="AD66" s="116"/>
      <c r="AE66" s="365"/>
      <c r="AF66" s="116"/>
      <c r="AG66" s="116"/>
      <c r="AH66" s="116"/>
      <c r="AI66" s="116"/>
      <c r="AJ66" s="116"/>
      <c r="AK66" s="116"/>
      <c r="AL66" s="116"/>
    </row>
    <row r="67" ht="16.5" customHeight="1">
      <c r="A67" s="362"/>
      <c r="B67" s="362"/>
      <c r="C67" s="362"/>
      <c r="D67" s="362"/>
      <c r="E67" s="132"/>
      <c r="F67" s="131"/>
      <c r="G67" s="361"/>
      <c r="H67" s="363"/>
      <c r="I67" s="364"/>
      <c r="J67" s="361"/>
      <c r="K67" s="361"/>
      <c r="L67" s="361"/>
      <c r="M67" s="361"/>
      <c r="N67" s="361"/>
      <c r="O67" s="361"/>
      <c r="P67" s="361"/>
      <c r="Q67" s="361"/>
      <c r="R67" s="361"/>
      <c r="S67" s="361"/>
      <c r="T67" s="361"/>
      <c r="U67" s="361"/>
      <c r="V67" s="361"/>
      <c r="W67" s="361"/>
      <c r="X67" s="365"/>
      <c r="Y67" s="361"/>
      <c r="Z67" s="361"/>
      <c r="AA67" s="116"/>
      <c r="AB67" s="116"/>
      <c r="AC67" s="116"/>
      <c r="AD67" s="116"/>
      <c r="AE67" s="365"/>
      <c r="AF67" s="116"/>
      <c r="AG67" s="116"/>
      <c r="AH67" s="116"/>
      <c r="AI67" s="116"/>
      <c r="AJ67" s="116"/>
      <c r="AK67" s="116"/>
      <c r="AL67" s="116"/>
    </row>
    <row r="68" ht="16.5" customHeight="1">
      <c r="A68" s="362"/>
      <c r="B68" s="362"/>
      <c r="C68" s="362"/>
      <c r="D68" s="362"/>
      <c r="E68" s="132"/>
      <c r="F68" s="131"/>
      <c r="G68" s="361"/>
      <c r="H68" s="363"/>
      <c r="I68" s="364"/>
      <c r="J68" s="361"/>
      <c r="K68" s="361"/>
      <c r="L68" s="361"/>
      <c r="M68" s="361"/>
      <c r="N68" s="361"/>
      <c r="O68" s="361"/>
      <c r="P68" s="361"/>
      <c r="Q68" s="361"/>
      <c r="R68" s="361"/>
      <c r="S68" s="361"/>
      <c r="T68" s="361"/>
      <c r="U68" s="361"/>
      <c r="V68" s="361"/>
      <c r="W68" s="361"/>
      <c r="X68" s="365"/>
      <c r="Y68" s="361"/>
      <c r="Z68" s="361"/>
      <c r="AA68" s="116"/>
      <c r="AB68" s="116"/>
      <c r="AC68" s="116"/>
      <c r="AD68" s="116"/>
      <c r="AE68" s="365"/>
      <c r="AF68" s="116"/>
      <c r="AG68" s="116"/>
      <c r="AH68" s="116"/>
      <c r="AI68" s="116"/>
      <c r="AJ68" s="116"/>
      <c r="AK68" s="116"/>
      <c r="AL68" s="116"/>
    </row>
    <row r="69" ht="16.5" customHeight="1">
      <c r="A69" s="362"/>
      <c r="B69" s="362"/>
      <c r="C69" s="362"/>
      <c r="D69" s="362"/>
      <c r="E69" s="132"/>
      <c r="F69" s="131"/>
      <c r="G69" s="361"/>
      <c r="H69" s="363"/>
      <c r="I69" s="364"/>
      <c r="J69" s="361"/>
      <c r="K69" s="361"/>
      <c r="L69" s="361"/>
      <c r="M69" s="361"/>
      <c r="N69" s="361"/>
      <c r="O69" s="361"/>
      <c r="P69" s="361"/>
      <c r="Q69" s="361"/>
      <c r="R69" s="361"/>
      <c r="S69" s="361"/>
      <c r="T69" s="361"/>
      <c r="U69" s="361"/>
      <c r="V69" s="361"/>
      <c r="W69" s="361"/>
      <c r="X69" s="365"/>
      <c r="Y69" s="361"/>
      <c r="Z69" s="361"/>
      <c r="AA69" s="116"/>
      <c r="AB69" s="116"/>
      <c r="AC69" s="116"/>
      <c r="AD69" s="116"/>
      <c r="AE69" s="365"/>
      <c r="AF69" s="116"/>
      <c r="AG69" s="116"/>
      <c r="AH69" s="116"/>
      <c r="AI69" s="116"/>
      <c r="AJ69" s="116"/>
      <c r="AK69" s="116"/>
      <c r="AL69" s="116"/>
    </row>
    <row r="70" ht="16.5" customHeight="1">
      <c r="A70" s="362"/>
      <c r="B70" s="362"/>
      <c r="C70" s="362"/>
      <c r="D70" s="362"/>
      <c r="E70" s="132"/>
      <c r="F70" s="131"/>
      <c r="G70" s="361"/>
      <c r="H70" s="363"/>
      <c r="I70" s="364"/>
      <c r="J70" s="361"/>
      <c r="K70" s="361"/>
      <c r="L70" s="361"/>
      <c r="M70" s="361"/>
      <c r="N70" s="361"/>
      <c r="O70" s="361"/>
      <c r="P70" s="361"/>
      <c r="Q70" s="361"/>
      <c r="R70" s="361"/>
      <c r="S70" s="361"/>
      <c r="T70" s="361"/>
      <c r="U70" s="361"/>
      <c r="V70" s="361"/>
      <c r="W70" s="361"/>
      <c r="X70" s="365"/>
      <c r="Y70" s="361"/>
      <c r="Z70" s="361"/>
      <c r="AA70" s="116"/>
      <c r="AB70" s="116"/>
      <c r="AC70" s="116"/>
      <c r="AD70" s="116"/>
      <c r="AE70" s="365"/>
      <c r="AF70" s="116"/>
      <c r="AG70" s="116"/>
      <c r="AH70" s="116"/>
      <c r="AI70" s="116"/>
      <c r="AJ70" s="116"/>
      <c r="AK70" s="116"/>
      <c r="AL70" s="116"/>
    </row>
    <row r="71" ht="16.5" customHeight="1">
      <c r="A71" s="362"/>
      <c r="B71" s="362"/>
      <c r="C71" s="362"/>
      <c r="D71" s="362"/>
      <c r="E71" s="132"/>
      <c r="F71" s="131"/>
      <c r="G71" s="361"/>
      <c r="H71" s="363"/>
      <c r="I71" s="364"/>
      <c r="J71" s="361"/>
      <c r="K71" s="361"/>
      <c r="L71" s="361"/>
      <c r="M71" s="361"/>
      <c r="N71" s="361"/>
      <c r="O71" s="361"/>
      <c r="P71" s="361"/>
      <c r="Q71" s="361"/>
      <c r="R71" s="361"/>
      <c r="S71" s="361"/>
      <c r="T71" s="361"/>
      <c r="U71" s="361"/>
      <c r="V71" s="361"/>
      <c r="W71" s="361"/>
      <c r="X71" s="365"/>
      <c r="Y71" s="361"/>
      <c r="Z71" s="361"/>
      <c r="AA71" s="116"/>
      <c r="AB71" s="116"/>
      <c r="AC71" s="116"/>
      <c r="AD71" s="116"/>
      <c r="AE71" s="365"/>
      <c r="AF71" s="116"/>
      <c r="AG71" s="116"/>
      <c r="AH71" s="116"/>
      <c r="AI71" s="116"/>
      <c r="AJ71" s="116"/>
      <c r="AK71" s="116"/>
      <c r="AL71" s="116"/>
    </row>
    <row r="72" ht="16.5" customHeight="1">
      <c r="A72" s="362"/>
      <c r="B72" s="362"/>
      <c r="C72" s="362"/>
      <c r="D72" s="362"/>
      <c r="E72" s="132"/>
      <c r="F72" s="131"/>
      <c r="G72" s="361"/>
      <c r="H72" s="363"/>
      <c r="I72" s="364"/>
      <c r="J72" s="361"/>
      <c r="K72" s="361"/>
      <c r="L72" s="361"/>
      <c r="M72" s="361"/>
      <c r="N72" s="361"/>
      <c r="O72" s="361"/>
      <c r="P72" s="361"/>
      <c r="Q72" s="361"/>
      <c r="R72" s="361"/>
      <c r="S72" s="361"/>
      <c r="T72" s="361"/>
      <c r="U72" s="361"/>
      <c r="V72" s="361"/>
      <c r="W72" s="361"/>
      <c r="X72" s="365"/>
      <c r="Y72" s="361"/>
      <c r="Z72" s="361"/>
      <c r="AA72" s="116"/>
      <c r="AB72" s="116"/>
      <c r="AC72" s="116"/>
      <c r="AD72" s="116"/>
      <c r="AE72" s="365"/>
      <c r="AF72" s="116"/>
      <c r="AG72" s="116"/>
      <c r="AH72" s="116"/>
      <c r="AI72" s="116"/>
      <c r="AJ72" s="116"/>
      <c r="AK72" s="116"/>
      <c r="AL72" s="116"/>
    </row>
    <row r="73" ht="16.5" customHeight="1">
      <c r="A73" s="362"/>
      <c r="B73" s="362"/>
      <c r="C73" s="362"/>
      <c r="D73" s="362"/>
      <c r="E73" s="132"/>
      <c r="F73" s="131"/>
      <c r="G73" s="361"/>
      <c r="H73" s="363"/>
      <c r="I73" s="364"/>
      <c r="J73" s="361"/>
      <c r="K73" s="361"/>
      <c r="L73" s="361"/>
      <c r="M73" s="361"/>
      <c r="N73" s="361"/>
      <c r="O73" s="361"/>
      <c r="P73" s="361"/>
      <c r="Q73" s="361"/>
      <c r="R73" s="361"/>
      <c r="S73" s="361"/>
      <c r="T73" s="361"/>
      <c r="U73" s="361"/>
      <c r="V73" s="361"/>
      <c r="W73" s="361"/>
      <c r="X73" s="365"/>
      <c r="Y73" s="361"/>
      <c r="Z73" s="361"/>
      <c r="AA73" s="116"/>
      <c r="AB73" s="116"/>
      <c r="AC73" s="116"/>
      <c r="AD73" s="116"/>
      <c r="AE73" s="365"/>
      <c r="AF73" s="116"/>
      <c r="AG73" s="116"/>
      <c r="AH73" s="116"/>
      <c r="AI73" s="116"/>
      <c r="AJ73" s="116"/>
      <c r="AK73" s="116"/>
      <c r="AL73" s="116"/>
    </row>
    <row r="74" ht="16.5" customHeight="1">
      <c r="A74" s="362"/>
      <c r="B74" s="362"/>
      <c r="C74" s="362"/>
      <c r="D74" s="362"/>
      <c r="E74" s="132"/>
      <c r="F74" s="131"/>
      <c r="G74" s="361"/>
      <c r="H74" s="363"/>
      <c r="I74" s="364"/>
      <c r="J74" s="361"/>
      <c r="K74" s="361"/>
      <c r="L74" s="361"/>
      <c r="M74" s="361"/>
      <c r="N74" s="361"/>
      <c r="O74" s="361"/>
      <c r="P74" s="361"/>
      <c r="Q74" s="361"/>
      <c r="R74" s="361"/>
      <c r="S74" s="361"/>
      <c r="T74" s="361"/>
      <c r="U74" s="361"/>
      <c r="V74" s="361"/>
      <c r="W74" s="361"/>
      <c r="X74" s="365"/>
      <c r="Y74" s="361"/>
      <c r="Z74" s="361"/>
      <c r="AA74" s="116"/>
      <c r="AB74" s="116"/>
      <c r="AC74" s="116"/>
      <c r="AD74" s="116"/>
      <c r="AE74" s="365"/>
      <c r="AF74" s="116"/>
      <c r="AG74" s="116"/>
      <c r="AH74" s="116"/>
      <c r="AI74" s="116"/>
      <c r="AJ74" s="116"/>
      <c r="AK74" s="116"/>
      <c r="AL74" s="116"/>
    </row>
    <row r="75" ht="16.5" customHeight="1">
      <c r="A75" s="362"/>
      <c r="B75" s="362"/>
      <c r="C75" s="362"/>
      <c r="D75" s="362"/>
      <c r="E75" s="132"/>
      <c r="F75" s="131"/>
      <c r="G75" s="361"/>
      <c r="H75" s="363"/>
      <c r="I75" s="364"/>
      <c r="J75" s="361"/>
      <c r="K75" s="361"/>
      <c r="L75" s="361"/>
      <c r="M75" s="361"/>
      <c r="N75" s="361"/>
      <c r="O75" s="361"/>
      <c r="P75" s="361"/>
      <c r="Q75" s="361"/>
      <c r="R75" s="361"/>
      <c r="S75" s="361"/>
      <c r="T75" s="361"/>
      <c r="U75" s="361"/>
      <c r="V75" s="361"/>
      <c r="W75" s="361"/>
      <c r="X75" s="365"/>
      <c r="Y75" s="361"/>
      <c r="Z75" s="361"/>
      <c r="AA75" s="116"/>
      <c r="AB75" s="116"/>
      <c r="AC75" s="116"/>
      <c r="AD75" s="116"/>
      <c r="AE75" s="365"/>
      <c r="AF75" s="116"/>
      <c r="AG75" s="116"/>
      <c r="AH75" s="116"/>
      <c r="AI75" s="116"/>
      <c r="AJ75" s="116"/>
      <c r="AK75" s="116"/>
      <c r="AL75" s="116"/>
    </row>
    <row r="76" ht="16.5" customHeight="1">
      <c r="A76" s="362"/>
      <c r="B76" s="362"/>
      <c r="C76" s="362"/>
      <c r="D76" s="362"/>
      <c r="E76" s="132"/>
      <c r="F76" s="131"/>
      <c r="G76" s="361"/>
      <c r="H76" s="363"/>
      <c r="I76" s="364"/>
      <c r="J76" s="361"/>
      <c r="K76" s="361"/>
      <c r="L76" s="361"/>
      <c r="M76" s="361"/>
      <c r="N76" s="361"/>
      <c r="O76" s="361"/>
      <c r="P76" s="361"/>
      <c r="Q76" s="361"/>
      <c r="R76" s="361"/>
      <c r="S76" s="361"/>
      <c r="T76" s="361"/>
      <c r="U76" s="361"/>
      <c r="V76" s="361"/>
      <c r="W76" s="361"/>
      <c r="X76" s="365"/>
      <c r="Y76" s="361"/>
      <c r="Z76" s="361"/>
      <c r="AA76" s="116"/>
      <c r="AB76" s="116"/>
      <c r="AC76" s="116"/>
      <c r="AD76" s="116"/>
      <c r="AE76" s="365"/>
      <c r="AF76" s="116"/>
      <c r="AG76" s="116"/>
      <c r="AH76" s="116"/>
      <c r="AI76" s="116"/>
      <c r="AJ76" s="116"/>
      <c r="AK76" s="116"/>
      <c r="AL76" s="116"/>
    </row>
    <row r="77" ht="16.5" customHeight="1">
      <c r="A77" s="362"/>
      <c r="B77" s="362"/>
      <c r="C77" s="362"/>
      <c r="D77" s="362"/>
      <c r="E77" s="132"/>
      <c r="F77" s="131"/>
      <c r="G77" s="361"/>
      <c r="H77" s="363"/>
      <c r="I77" s="364"/>
      <c r="J77" s="361"/>
      <c r="K77" s="361"/>
      <c r="L77" s="361"/>
      <c r="M77" s="361"/>
      <c r="N77" s="361"/>
      <c r="O77" s="361"/>
      <c r="P77" s="361"/>
      <c r="Q77" s="361"/>
      <c r="R77" s="361"/>
      <c r="S77" s="361"/>
      <c r="T77" s="361"/>
      <c r="U77" s="361"/>
      <c r="V77" s="361"/>
      <c r="W77" s="361"/>
      <c r="X77" s="365"/>
      <c r="Y77" s="361"/>
      <c r="Z77" s="361"/>
      <c r="AA77" s="116"/>
      <c r="AB77" s="116"/>
      <c r="AC77" s="116"/>
      <c r="AD77" s="116"/>
      <c r="AE77" s="365"/>
      <c r="AF77" s="116"/>
      <c r="AG77" s="116"/>
      <c r="AH77" s="116"/>
      <c r="AI77" s="116"/>
      <c r="AJ77" s="116"/>
      <c r="AK77" s="116"/>
      <c r="AL77" s="116"/>
    </row>
    <row r="78" ht="16.5" customHeight="1">
      <c r="A78" s="362"/>
      <c r="B78" s="362"/>
      <c r="C78" s="362"/>
      <c r="D78" s="362"/>
      <c r="E78" s="132"/>
      <c r="F78" s="131"/>
      <c r="G78" s="361"/>
      <c r="H78" s="363"/>
      <c r="I78" s="364"/>
      <c r="J78" s="361"/>
      <c r="K78" s="361"/>
      <c r="L78" s="361"/>
      <c r="M78" s="361"/>
      <c r="N78" s="361"/>
      <c r="O78" s="361"/>
      <c r="P78" s="361"/>
      <c r="Q78" s="361"/>
      <c r="R78" s="361"/>
      <c r="S78" s="361"/>
      <c r="T78" s="361"/>
      <c r="U78" s="361"/>
      <c r="V78" s="361"/>
      <c r="W78" s="361"/>
      <c r="X78" s="365"/>
      <c r="Y78" s="361"/>
      <c r="Z78" s="361"/>
      <c r="AA78" s="116"/>
      <c r="AB78" s="116"/>
      <c r="AC78" s="116"/>
      <c r="AD78" s="116"/>
      <c r="AE78" s="365"/>
      <c r="AF78" s="116"/>
      <c r="AG78" s="116"/>
      <c r="AH78" s="116"/>
      <c r="AI78" s="116"/>
      <c r="AJ78" s="116"/>
      <c r="AK78" s="116"/>
      <c r="AL78" s="116"/>
    </row>
    <row r="79" ht="16.5" customHeight="1">
      <c r="A79" s="362"/>
      <c r="B79" s="362"/>
      <c r="C79" s="362"/>
      <c r="D79" s="362"/>
      <c r="E79" s="132"/>
      <c r="F79" s="131"/>
      <c r="G79" s="361"/>
      <c r="H79" s="363"/>
      <c r="I79" s="364"/>
      <c r="J79" s="361"/>
      <c r="K79" s="361"/>
      <c r="L79" s="361"/>
      <c r="M79" s="361"/>
      <c r="N79" s="361"/>
      <c r="O79" s="361"/>
      <c r="P79" s="361"/>
      <c r="Q79" s="361"/>
      <c r="R79" s="361"/>
      <c r="S79" s="361"/>
      <c r="T79" s="361"/>
      <c r="U79" s="361"/>
      <c r="V79" s="361"/>
      <c r="W79" s="361"/>
      <c r="X79" s="365"/>
      <c r="Y79" s="361"/>
      <c r="Z79" s="361"/>
      <c r="AA79" s="116"/>
      <c r="AB79" s="116"/>
      <c r="AC79" s="116"/>
      <c r="AD79" s="116"/>
      <c r="AE79" s="365"/>
      <c r="AF79" s="116"/>
      <c r="AG79" s="116"/>
      <c r="AH79" s="116"/>
      <c r="AI79" s="116"/>
      <c r="AJ79" s="116"/>
      <c r="AK79" s="116"/>
      <c r="AL79" s="116"/>
    </row>
    <row r="80" ht="16.5" customHeight="1">
      <c r="A80" s="362"/>
      <c r="B80" s="362"/>
      <c r="C80" s="362"/>
      <c r="D80" s="362"/>
      <c r="E80" s="132"/>
      <c r="F80" s="131"/>
      <c r="G80" s="361"/>
      <c r="H80" s="363"/>
      <c r="I80" s="364"/>
      <c r="J80" s="361"/>
      <c r="K80" s="361"/>
      <c r="L80" s="361"/>
      <c r="M80" s="361"/>
      <c r="N80" s="361"/>
      <c r="O80" s="361"/>
      <c r="P80" s="361"/>
      <c r="Q80" s="361"/>
      <c r="R80" s="361"/>
      <c r="S80" s="361"/>
      <c r="T80" s="361"/>
      <c r="U80" s="361"/>
      <c r="V80" s="361"/>
      <c r="W80" s="361"/>
      <c r="X80" s="365"/>
      <c r="Y80" s="361"/>
      <c r="Z80" s="361"/>
      <c r="AA80" s="116"/>
      <c r="AB80" s="116"/>
      <c r="AC80" s="116"/>
      <c r="AD80" s="116"/>
      <c r="AE80" s="365"/>
      <c r="AF80" s="116"/>
      <c r="AG80" s="116"/>
      <c r="AH80" s="116"/>
      <c r="AI80" s="116"/>
      <c r="AJ80" s="116"/>
      <c r="AK80" s="116"/>
      <c r="AL80" s="116"/>
    </row>
    <row r="81" ht="16.5" customHeight="1">
      <c r="A81" s="362"/>
      <c r="B81" s="362"/>
      <c r="C81" s="362"/>
      <c r="D81" s="362"/>
      <c r="E81" s="132"/>
      <c r="F81" s="131"/>
      <c r="G81" s="361"/>
      <c r="H81" s="363"/>
      <c r="I81" s="364"/>
      <c r="J81" s="361"/>
      <c r="K81" s="361"/>
      <c r="L81" s="361"/>
      <c r="M81" s="361"/>
      <c r="N81" s="361"/>
      <c r="O81" s="361"/>
      <c r="P81" s="361"/>
      <c r="Q81" s="361"/>
      <c r="R81" s="361"/>
      <c r="S81" s="361"/>
      <c r="T81" s="361"/>
      <c r="U81" s="361"/>
      <c r="V81" s="361"/>
      <c r="W81" s="361"/>
      <c r="X81" s="365"/>
      <c r="Y81" s="361"/>
      <c r="Z81" s="361"/>
      <c r="AA81" s="116"/>
      <c r="AB81" s="116"/>
      <c r="AC81" s="116"/>
      <c r="AD81" s="116"/>
      <c r="AE81" s="365"/>
      <c r="AF81" s="116"/>
      <c r="AG81" s="116"/>
      <c r="AH81" s="116"/>
      <c r="AI81" s="116"/>
      <c r="AJ81" s="116"/>
      <c r="AK81" s="116"/>
      <c r="AL81" s="116"/>
    </row>
    <row r="82" ht="16.5" customHeight="1">
      <c r="A82" s="362"/>
      <c r="B82" s="362"/>
      <c r="C82" s="362"/>
      <c r="D82" s="362"/>
      <c r="E82" s="132"/>
      <c r="F82" s="131"/>
      <c r="G82" s="361"/>
      <c r="H82" s="363"/>
      <c r="I82" s="364"/>
      <c r="J82" s="361"/>
      <c r="K82" s="361"/>
      <c r="L82" s="361"/>
      <c r="M82" s="361"/>
      <c r="N82" s="361"/>
      <c r="O82" s="361"/>
      <c r="P82" s="361"/>
      <c r="Q82" s="361"/>
      <c r="R82" s="361"/>
      <c r="S82" s="361"/>
      <c r="T82" s="361"/>
      <c r="U82" s="361"/>
      <c r="V82" s="361"/>
      <c r="W82" s="361"/>
      <c r="X82" s="365"/>
      <c r="Y82" s="361"/>
      <c r="Z82" s="361"/>
      <c r="AA82" s="116"/>
      <c r="AB82" s="116"/>
      <c r="AC82" s="116"/>
      <c r="AD82" s="116"/>
      <c r="AE82" s="365"/>
      <c r="AF82" s="116"/>
      <c r="AG82" s="116"/>
      <c r="AH82" s="116"/>
      <c r="AI82" s="116"/>
      <c r="AJ82" s="116"/>
      <c r="AK82" s="116"/>
      <c r="AL82" s="116"/>
    </row>
    <row r="83" ht="16.5" customHeight="1">
      <c r="A83" s="362"/>
      <c r="B83" s="362"/>
      <c r="C83" s="362"/>
      <c r="D83" s="362"/>
      <c r="E83" s="132"/>
      <c r="F83" s="131"/>
      <c r="G83" s="361"/>
      <c r="H83" s="363"/>
      <c r="I83" s="364"/>
      <c r="J83" s="361"/>
      <c r="K83" s="361"/>
      <c r="L83" s="361"/>
      <c r="M83" s="361"/>
      <c r="N83" s="361"/>
      <c r="O83" s="361"/>
      <c r="P83" s="361"/>
      <c r="Q83" s="361"/>
      <c r="R83" s="361"/>
      <c r="S83" s="361"/>
      <c r="T83" s="361"/>
      <c r="U83" s="361"/>
      <c r="V83" s="361"/>
      <c r="W83" s="361"/>
      <c r="X83" s="365"/>
      <c r="Y83" s="361"/>
      <c r="Z83" s="361"/>
      <c r="AA83" s="116"/>
      <c r="AB83" s="116"/>
      <c r="AC83" s="116"/>
      <c r="AD83" s="116"/>
      <c r="AE83" s="365"/>
      <c r="AF83" s="116"/>
      <c r="AG83" s="116"/>
      <c r="AH83" s="116"/>
      <c r="AI83" s="116"/>
      <c r="AJ83" s="116"/>
      <c r="AK83" s="116"/>
      <c r="AL83" s="116"/>
    </row>
    <row r="84" ht="16.5" customHeight="1">
      <c r="A84" s="362"/>
      <c r="B84" s="362"/>
      <c r="C84" s="362"/>
      <c r="D84" s="362"/>
      <c r="E84" s="132"/>
      <c r="F84" s="131"/>
      <c r="G84" s="361"/>
      <c r="H84" s="363"/>
      <c r="I84" s="364"/>
      <c r="J84" s="361"/>
      <c r="K84" s="361"/>
      <c r="L84" s="361"/>
      <c r="M84" s="361"/>
      <c r="N84" s="361"/>
      <c r="O84" s="361"/>
      <c r="P84" s="361"/>
      <c r="Q84" s="361"/>
      <c r="R84" s="361"/>
      <c r="S84" s="361"/>
      <c r="T84" s="361"/>
      <c r="U84" s="361"/>
      <c r="V84" s="361"/>
      <c r="W84" s="361"/>
      <c r="X84" s="365"/>
      <c r="Y84" s="361"/>
      <c r="Z84" s="361"/>
      <c r="AA84" s="116"/>
      <c r="AB84" s="116"/>
      <c r="AC84" s="116"/>
      <c r="AD84" s="116"/>
      <c r="AE84" s="365"/>
      <c r="AF84" s="116"/>
      <c r="AG84" s="116"/>
      <c r="AH84" s="116"/>
      <c r="AI84" s="116"/>
      <c r="AJ84" s="116"/>
      <c r="AK84" s="116"/>
      <c r="AL84" s="116"/>
    </row>
    <row r="85" ht="16.5" customHeight="1">
      <c r="A85" s="362"/>
      <c r="B85" s="362"/>
      <c r="C85" s="362"/>
      <c r="D85" s="362"/>
      <c r="E85" s="132"/>
      <c r="F85" s="131"/>
      <c r="G85" s="361"/>
      <c r="H85" s="363"/>
      <c r="I85" s="364"/>
      <c r="J85" s="361"/>
      <c r="K85" s="361"/>
      <c r="L85" s="361"/>
      <c r="M85" s="361"/>
      <c r="N85" s="361"/>
      <c r="O85" s="361"/>
      <c r="P85" s="361"/>
      <c r="Q85" s="361"/>
      <c r="R85" s="361"/>
      <c r="S85" s="361"/>
      <c r="T85" s="361"/>
      <c r="U85" s="361"/>
      <c r="V85" s="361"/>
      <c r="W85" s="361"/>
      <c r="X85" s="365"/>
      <c r="Y85" s="361"/>
      <c r="Z85" s="361"/>
      <c r="AA85" s="116"/>
      <c r="AB85" s="116"/>
      <c r="AC85" s="116"/>
      <c r="AD85" s="116"/>
      <c r="AE85" s="365"/>
      <c r="AF85" s="116"/>
      <c r="AG85" s="116"/>
      <c r="AH85" s="116"/>
      <c r="AI85" s="116"/>
      <c r="AJ85" s="116"/>
      <c r="AK85" s="116"/>
      <c r="AL85" s="116"/>
    </row>
    <row r="86" ht="16.5" customHeight="1">
      <c r="A86" s="362"/>
      <c r="B86" s="362"/>
      <c r="C86" s="362"/>
      <c r="D86" s="362"/>
      <c r="E86" s="132"/>
      <c r="F86" s="131"/>
      <c r="G86" s="361"/>
      <c r="H86" s="363"/>
      <c r="I86" s="364"/>
      <c r="J86" s="361"/>
      <c r="K86" s="361"/>
      <c r="L86" s="361"/>
      <c r="M86" s="361"/>
      <c r="N86" s="361"/>
      <c r="O86" s="361"/>
      <c r="P86" s="361"/>
      <c r="Q86" s="361"/>
      <c r="R86" s="361"/>
      <c r="S86" s="361"/>
      <c r="T86" s="361"/>
      <c r="U86" s="361"/>
      <c r="V86" s="361"/>
      <c r="W86" s="361"/>
      <c r="X86" s="365"/>
      <c r="Y86" s="361"/>
      <c r="Z86" s="361"/>
      <c r="AA86" s="116"/>
      <c r="AB86" s="116"/>
      <c r="AC86" s="116"/>
      <c r="AD86" s="116"/>
      <c r="AE86" s="365"/>
      <c r="AF86" s="116"/>
      <c r="AG86" s="116"/>
      <c r="AH86" s="116"/>
      <c r="AI86" s="116"/>
      <c r="AJ86" s="116"/>
      <c r="AK86" s="116"/>
      <c r="AL86" s="116"/>
    </row>
    <row r="87" ht="16.5" customHeight="1">
      <c r="A87" s="362"/>
      <c r="B87" s="362"/>
      <c r="C87" s="362"/>
      <c r="D87" s="362"/>
      <c r="E87" s="132"/>
      <c r="F87" s="131"/>
      <c r="G87" s="361"/>
      <c r="H87" s="363"/>
      <c r="I87" s="364"/>
      <c r="J87" s="361"/>
      <c r="K87" s="361"/>
      <c r="L87" s="361"/>
      <c r="M87" s="361"/>
      <c r="N87" s="361"/>
      <c r="O87" s="361"/>
      <c r="P87" s="361"/>
      <c r="Q87" s="361"/>
      <c r="R87" s="361"/>
      <c r="S87" s="361"/>
      <c r="T87" s="361"/>
      <c r="U87" s="361"/>
      <c r="V87" s="361"/>
      <c r="W87" s="361"/>
      <c r="X87" s="365"/>
      <c r="Y87" s="361"/>
      <c r="Z87" s="361"/>
      <c r="AA87" s="116"/>
      <c r="AB87" s="116"/>
      <c r="AC87" s="116"/>
      <c r="AD87" s="116"/>
      <c r="AE87" s="365"/>
      <c r="AF87" s="116"/>
      <c r="AG87" s="116"/>
      <c r="AH87" s="116"/>
      <c r="AI87" s="116"/>
      <c r="AJ87" s="116"/>
      <c r="AK87" s="116"/>
      <c r="AL87" s="116"/>
    </row>
    <row r="88" ht="16.5" customHeight="1">
      <c r="A88" s="362"/>
      <c r="B88" s="362"/>
      <c r="C88" s="362"/>
      <c r="D88" s="362"/>
      <c r="E88" s="132"/>
      <c r="F88" s="131"/>
      <c r="G88" s="361"/>
      <c r="H88" s="363"/>
      <c r="I88" s="364"/>
      <c r="J88" s="361"/>
      <c r="K88" s="361"/>
      <c r="L88" s="361"/>
      <c r="M88" s="361"/>
      <c r="N88" s="361"/>
      <c r="O88" s="361"/>
      <c r="P88" s="361"/>
      <c r="Q88" s="361"/>
      <c r="R88" s="361"/>
      <c r="S88" s="361"/>
      <c r="T88" s="361"/>
      <c r="U88" s="361"/>
      <c r="V88" s="361"/>
      <c r="W88" s="361"/>
      <c r="X88" s="365"/>
      <c r="Y88" s="361"/>
      <c r="Z88" s="361"/>
      <c r="AA88" s="116"/>
      <c r="AB88" s="116"/>
      <c r="AC88" s="116"/>
      <c r="AD88" s="116"/>
      <c r="AE88" s="365"/>
      <c r="AF88" s="116"/>
      <c r="AG88" s="116"/>
      <c r="AH88" s="116"/>
      <c r="AI88" s="116"/>
      <c r="AJ88" s="116"/>
      <c r="AK88" s="116"/>
      <c r="AL88" s="116"/>
    </row>
    <row r="89" ht="16.5" customHeight="1">
      <c r="A89" s="362"/>
      <c r="B89" s="362"/>
      <c r="C89" s="362"/>
      <c r="D89" s="362"/>
      <c r="E89" s="132"/>
      <c r="F89" s="131"/>
      <c r="G89" s="361"/>
      <c r="H89" s="363"/>
      <c r="I89" s="364"/>
      <c r="J89" s="361"/>
      <c r="K89" s="361"/>
      <c r="L89" s="361"/>
      <c r="M89" s="361"/>
      <c r="N89" s="361"/>
      <c r="O89" s="361"/>
      <c r="P89" s="361"/>
      <c r="Q89" s="361"/>
      <c r="R89" s="361"/>
      <c r="S89" s="361"/>
      <c r="T89" s="361"/>
      <c r="U89" s="361"/>
      <c r="V89" s="361"/>
      <c r="W89" s="361"/>
      <c r="X89" s="365"/>
      <c r="Y89" s="361"/>
      <c r="Z89" s="361"/>
      <c r="AA89" s="116"/>
      <c r="AB89" s="116"/>
      <c r="AC89" s="116"/>
      <c r="AD89" s="116"/>
      <c r="AE89" s="365"/>
      <c r="AF89" s="116"/>
      <c r="AG89" s="116"/>
      <c r="AH89" s="116"/>
      <c r="AI89" s="116"/>
      <c r="AJ89" s="116"/>
      <c r="AK89" s="116"/>
      <c r="AL89" s="116"/>
    </row>
    <row r="90" ht="16.5" customHeight="1">
      <c r="A90" s="362"/>
      <c r="B90" s="362"/>
      <c r="C90" s="362"/>
      <c r="D90" s="362"/>
      <c r="E90" s="132"/>
      <c r="F90" s="131"/>
      <c r="G90" s="361"/>
      <c r="H90" s="363"/>
      <c r="I90" s="364"/>
      <c r="J90" s="361"/>
      <c r="K90" s="361"/>
      <c r="L90" s="361"/>
      <c r="M90" s="361"/>
      <c r="N90" s="361"/>
      <c r="O90" s="361"/>
      <c r="P90" s="361"/>
      <c r="Q90" s="361"/>
      <c r="R90" s="361"/>
      <c r="S90" s="361"/>
      <c r="T90" s="361"/>
      <c r="U90" s="361"/>
      <c r="V90" s="361"/>
      <c r="W90" s="361"/>
      <c r="X90" s="365"/>
      <c r="Y90" s="361"/>
      <c r="Z90" s="361"/>
      <c r="AA90" s="116"/>
      <c r="AB90" s="116"/>
      <c r="AC90" s="116"/>
      <c r="AD90" s="116"/>
      <c r="AE90" s="365"/>
      <c r="AF90" s="116"/>
      <c r="AG90" s="116"/>
      <c r="AH90" s="116"/>
      <c r="AI90" s="116"/>
      <c r="AJ90" s="116"/>
      <c r="AK90" s="116"/>
      <c r="AL90" s="116"/>
    </row>
    <row r="91" ht="16.5" customHeight="1">
      <c r="A91" s="362"/>
      <c r="B91" s="362"/>
      <c r="C91" s="362"/>
      <c r="D91" s="362"/>
      <c r="E91" s="132"/>
      <c r="F91" s="131"/>
      <c r="G91" s="361"/>
      <c r="H91" s="363"/>
      <c r="I91" s="364"/>
      <c r="J91" s="361"/>
      <c r="K91" s="361"/>
      <c r="L91" s="361"/>
      <c r="M91" s="361"/>
      <c r="N91" s="361"/>
      <c r="O91" s="361"/>
      <c r="P91" s="361"/>
      <c r="Q91" s="361"/>
      <c r="R91" s="361"/>
      <c r="S91" s="361"/>
      <c r="T91" s="361"/>
      <c r="U91" s="361"/>
      <c r="V91" s="361"/>
      <c r="W91" s="361"/>
      <c r="X91" s="365"/>
      <c r="Y91" s="361"/>
      <c r="Z91" s="361"/>
      <c r="AA91" s="116"/>
      <c r="AB91" s="116"/>
      <c r="AC91" s="116"/>
      <c r="AD91" s="116"/>
      <c r="AE91" s="365"/>
      <c r="AF91" s="116"/>
      <c r="AG91" s="116"/>
      <c r="AH91" s="116"/>
      <c r="AI91" s="116"/>
      <c r="AJ91" s="116"/>
      <c r="AK91" s="116"/>
      <c r="AL91" s="116"/>
    </row>
    <row r="92" ht="16.5" customHeight="1">
      <c r="A92" s="362"/>
      <c r="B92" s="362"/>
      <c r="C92" s="362"/>
      <c r="D92" s="362"/>
      <c r="E92" s="132"/>
      <c r="F92" s="131"/>
      <c r="G92" s="361"/>
      <c r="H92" s="363"/>
      <c r="I92" s="364"/>
      <c r="J92" s="361"/>
      <c r="K92" s="361"/>
      <c r="L92" s="361"/>
      <c r="M92" s="361"/>
      <c r="N92" s="361"/>
      <c r="O92" s="361"/>
      <c r="P92" s="361"/>
      <c r="Q92" s="361"/>
      <c r="R92" s="361"/>
      <c r="S92" s="361"/>
      <c r="T92" s="361"/>
      <c r="U92" s="361"/>
      <c r="V92" s="361"/>
      <c r="W92" s="361"/>
      <c r="X92" s="365"/>
      <c r="Y92" s="361"/>
      <c r="Z92" s="361"/>
      <c r="AA92" s="116"/>
      <c r="AB92" s="116"/>
      <c r="AC92" s="116"/>
      <c r="AD92" s="116"/>
      <c r="AE92" s="365"/>
      <c r="AF92" s="116"/>
      <c r="AG92" s="116"/>
      <c r="AH92" s="116"/>
      <c r="AI92" s="116"/>
      <c r="AJ92" s="116"/>
      <c r="AK92" s="116"/>
      <c r="AL92" s="116"/>
    </row>
    <row r="93" ht="16.5" customHeight="1">
      <c r="A93" s="362"/>
      <c r="B93" s="362"/>
      <c r="C93" s="362"/>
      <c r="D93" s="362"/>
      <c r="E93" s="132"/>
      <c r="F93" s="131"/>
      <c r="G93" s="361"/>
      <c r="H93" s="363"/>
      <c r="I93" s="364"/>
      <c r="J93" s="361"/>
      <c r="K93" s="361"/>
      <c r="L93" s="361"/>
      <c r="M93" s="361"/>
      <c r="N93" s="361"/>
      <c r="O93" s="361"/>
      <c r="P93" s="361"/>
      <c r="Q93" s="361"/>
      <c r="R93" s="361"/>
      <c r="S93" s="361"/>
      <c r="T93" s="361"/>
      <c r="U93" s="361"/>
      <c r="V93" s="361"/>
      <c r="W93" s="361"/>
      <c r="X93" s="365"/>
      <c r="Y93" s="361"/>
      <c r="Z93" s="361"/>
      <c r="AA93" s="116"/>
      <c r="AB93" s="116"/>
      <c r="AC93" s="116"/>
      <c r="AD93" s="116"/>
      <c r="AE93" s="365"/>
      <c r="AF93" s="116"/>
      <c r="AG93" s="116"/>
      <c r="AH93" s="116"/>
      <c r="AI93" s="116"/>
      <c r="AJ93" s="116"/>
      <c r="AK93" s="116"/>
      <c r="AL93" s="116"/>
    </row>
    <row r="94" ht="16.5" customHeight="1">
      <c r="A94" s="362"/>
      <c r="B94" s="362"/>
      <c r="C94" s="362"/>
      <c r="D94" s="362"/>
      <c r="E94" s="132"/>
      <c r="F94" s="131"/>
      <c r="G94" s="361"/>
      <c r="H94" s="363"/>
      <c r="I94" s="364"/>
      <c r="J94" s="361"/>
      <c r="K94" s="361"/>
      <c r="L94" s="361"/>
      <c r="M94" s="361"/>
      <c r="N94" s="361"/>
      <c r="O94" s="361"/>
      <c r="P94" s="361"/>
      <c r="Q94" s="361"/>
      <c r="R94" s="361"/>
      <c r="S94" s="361"/>
      <c r="T94" s="361"/>
      <c r="U94" s="361"/>
      <c r="V94" s="361"/>
      <c r="W94" s="361"/>
      <c r="X94" s="365"/>
      <c r="Y94" s="361"/>
      <c r="Z94" s="361"/>
      <c r="AA94" s="116"/>
      <c r="AB94" s="116"/>
      <c r="AC94" s="116"/>
      <c r="AD94" s="116"/>
      <c r="AE94" s="365"/>
      <c r="AF94" s="116"/>
      <c r="AG94" s="116"/>
      <c r="AH94" s="116"/>
      <c r="AI94" s="116"/>
      <c r="AJ94" s="116"/>
      <c r="AK94" s="116"/>
      <c r="AL94" s="116"/>
    </row>
    <row r="95" ht="16.5" customHeight="1">
      <c r="A95" s="362"/>
      <c r="B95" s="362"/>
      <c r="C95" s="362"/>
      <c r="D95" s="362"/>
      <c r="E95" s="132"/>
      <c r="F95" s="131"/>
      <c r="G95" s="361"/>
      <c r="H95" s="363"/>
      <c r="I95" s="364"/>
      <c r="J95" s="361"/>
      <c r="K95" s="361"/>
      <c r="L95" s="361"/>
      <c r="M95" s="361"/>
      <c r="N95" s="361"/>
      <c r="O95" s="361"/>
      <c r="P95" s="361"/>
      <c r="Q95" s="361"/>
      <c r="R95" s="361"/>
      <c r="S95" s="361"/>
      <c r="T95" s="361"/>
      <c r="U95" s="361"/>
      <c r="V95" s="361"/>
      <c r="W95" s="361"/>
      <c r="X95" s="365"/>
      <c r="Y95" s="361"/>
      <c r="Z95" s="361"/>
      <c r="AA95" s="116"/>
      <c r="AB95" s="116"/>
      <c r="AC95" s="116"/>
      <c r="AD95" s="116"/>
      <c r="AE95" s="365"/>
      <c r="AF95" s="116"/>
      <c r="AG95" s="116"/>
      <c r="AH95" s="116"/>
      <c r="AI95" s="116"/>
      <c r="AJ95" s="116"/>
      <c r="AK95" s="116"/>
      <c r="AL95" s="116"/>
    </row>
    <row r="96" ht="16.5" customHeight="1">
      <c r="A96" s="362"/>
      <c r="B96" s="362"/>
      <c r="C96" s="362"/>
      <c r="D96" s="362"/>
      <c r="E96" s="132"/>
      <c r="F96" s="131"/>
      <c r="G96" s="361"/>
      <c r="H96" s="363"/>
      <c r="I96" s="364"/>
      <c r="J96" s="361"/>
      <c r="K96" s="361"/>
      <c r="L96" s="361"/>
      <c r="M96" s="361"/>
      <c r="N96" s="361"/>
      <c r="O96" s="361"/>
      <c r="P96" s="361"/>
      <c r="Q96" s="361"/>
      <c r="R96" s="361"/>
      <c r="S96" s="361"/>
      <c r="T96" s="361"/>
      <c r="U96" s="361"/>
      <c r="V96" s="361"/>
      <c r="W96" s="361"/>
      <c r="X96" s="365"/>
      <c r="Y96" s="361"/>
      <c r="Z96" s="361"/>
      <c r="AA96" s="116"/>
      <c r="AB96" s="116"/>
      <c r="AC96" s="116"/>
      <c r="AD96" s="116"/>
      <c r="AE96" s="365"/>
      <c r="AF96" s="116"/>
      <c r="AG96" s="116"/>
      <c r="AH96" s="116"/>
      <c r="AI96" s="116"/>
      <c r="AJ96" s="116"/>
      <c r="AK96" s="116"/>
      <c r="AL96" s="116"/>
    </row>
    <row r="97" ht="16.5" customHeight="1">
      <c r="A97" s="362"/>
      <c r="B97" s="362"/>
      <c r="C97" s="362"/>
      <c r="D97" s="362"/>
      <c r="E97" s="132"/>
      <c r="F97" s="131"/>
      <c r="G97" s="361"/>
      <c r="H97" s="363"/>
      <c r="I97" s="364"/>
      <c r="J97" s="361"/>
      <c r="K97" s="361"/>
      <c r="L97" s="361"/>
      <c r="M97" s="361"/>
      <c r="N97" s="361"/>
      <c r="O97" s="361"/>
      <c r="P97" s="361"/>
      <c r="Q97" s="361"/>
      <c r="R97" s="361"/>
      <c r="S97" s="361"/>
      <c r="T97" s="361"/>
      <c r="U97" s="361"/>
      <c r="V97" s="361"/>
      <c r="W97" s="361"/>
      <c r="X97" s="365"/>
      <c r="Y97" s="361"/>
      <c r="Z97" s="361"/>
      <c r="AA97" s="116"/>
      <c r="AB97" s="116"/>
      <c r="AC97" s="116"/>
      <c r="AD97" s="116"/>
      <c r="AE97" s="365"/>
      <c r="AF97" s="116"/>
      <c r="AG97" s="116"/>
      <c r="AH97" s="116"/>
      <c r="AI97" s="116"/>
      <c r="AJ97" s="116"/>
      <c r="AK97" s="116"/>
      <c r="AL97" s="116"/>
    </row>
    <row r="98" ht="16.5" customHeight="1">
      <c r="A98" s="362"/>
      <c r="B98" s="362"/>
      <c r="C98" s="362"/>
      <c r="D98" s="362"/>
      <c r="E98" s="132"/>
      <c r="F98" s="131"/>
      <c r="G98" s="361"/>
      <c r="H98" s="363"/>
      <c r="I98" s="364"/>
      <c r="J98" s="361"/>
      <c r="K98" s="361"/>
      <c r="L98" s="361"/>
      <c r="M98" s="361"/>
      <c r="N98" s="361"/>
      <c r="O98" s="361"/>
      <c r="P98" s="361"/>
      <c r="Q98" s="361"/>
      <c r="R98" s="361"/>
      <c r="S98" s="361"/>
      <c r="T98" s="361"/>
      <c r="U98" s="361"/>
      <c r="V98" s="361"/>
      <c r="W98" s="361"/>
      <c r="X98" s="365"/>
      <c r="Y98" s="361"/>
      <c r="Z98" s="361"/>
      <c r="AA98" s="116"/>
      <c r="AB98" s="116"/>
      <c r="AC98" s="116"/>
      <c r="AD98" s="116"/>
      <c r="AE98" s="365"/>
      <c r="AF98" s="116"/>
      <c r="AG98" s="116"/>
      <c r="AH98" s="116"/>
      <c r="AI98" s="116"/>
      <c r="AJ98" s="116"/>
      <c r="AK98" s="116"/>
      <c r="AL98" s="116"/>
    </row>
    <row r="99" ht="16.5" customHeight="1">
      <c r="A99" s="362"/>
      <c r="B99" s="362"/>
      <c r="C99" s="362"/>
      <c r="D99" s="362"/>
      <c r="E99" s="132"/>
      <c r="F99" s="131"/>
      <c r="G99" s="361"/>
      <c r="H99" s="363"/>
      <c r="I99" s="364"/>
      <c r="J99" s="361"/>
      <c r="K99" s="361"/>
      <c r="L99" s="361"/>
      <c r="M99" s="361"/>
      <c r="N99" s="361"/>
      <c r="O99" s="361"/>
      <c r="P99" s="361"/>
      <c r="Q99" s="361"/>
      <c r="R99" s="361"/>
      <c r="S99" s="361"/>
      <c r="T99" s="361"/>
      <c r="U99" s="361"/>
      <c r="V99" s="361"/>
      <c r="W99" s="361"/>
      <c r="X99" s="365"/>
      <c r="Y99" s="361"/>
      <c r="Z99" s="361"/>
      <c r="AA99" s="116"/>
      <c r="AB99" s="116"/>
      <c r="AC99" s="116"/>
      <c r="AD99" s="116"/>
      <c r="AE99" s="365"/>
      <c r="AF99" s="116"/>
      <c r="AG99" s="116"/>
      <c r="AH99" s="116"/>
      <c r="AI99" s="116"/>
      <c r="AJ99" s="116"/>
      <c r="AK99" s="116"/>
      <c r="AL99" s="116"/>
    </row>
    <row r="100" ht="16.5" customHeight="1">
      <c r="A100" s="362"/>
      <c r="B100" s="362"/>
      <c r="C100" s="362"/>
      <c r="D100" s="362"/>
      <c r="E100" s="132"/>
      <c r="F100" s="131"/>
      <c r="G100" s="361"/>
      <c r="H100" s="363"/>
      <c r="I100" s="364"/>
      <c r="J100" s="361"/>
      <c r="K100" s="361"/>
      <c r="L100" s="361"/>
      <c r="M100" s="361"/>
      <c r="N100" s="361"/>
      <c r="O100" s="361"/>
      <c r="P100" s="361"/>
      <c r="Q100" s="361"/>
      <c r="R100" s="361"/>
      <c r="S100" s="361"/>
      <c r="T100" s="361"/>
      <c r="U100" s="361"/>
      <c r="V100" s="361"/>
      <c r="W100" s="361"/>
      <c r="X100" s="365"/>
      <c r="Y100" s="361"/>
      <c r="Z100" s="361"/>
      <c r="AA100" s="116"/>
      <c r="AB100" s="116"/>
      <c r="AC100" s="116"/>
      <c r="AD100" s="116"/>
      <c r="AE100" s="365"/>
      <c r="AF100" s="116"/>
      <c r="AG100" s="116"/>
      <c r="AH100" s="116"/>
      <c r="AI100" s="116"/>
      <c r="AJ100" s="116"/>
      <c r="AK100" s="116"/>
      <c r="AL100" s="116"/>
    </row>
    <row r="101" ht="16.5" customHeight="1">
      <c r="A101" s="362"/>
      <c r="B101" s="362"/>
      <c r="C101" s="362"/>
      <c r="D101" s="362"/>
      <c r="E101" s="132"/>
      <c r="F101" s="131"/>
      <c r="G101" s="361"/>
      <c r="H101" s="363"/>
      <c r="I101" s="364"/>
      <c r="J101" s="361"/>
      <c r="K101" s="361"/>
      <c r="L101" s="361"/>
      <c r="M101" s="361"/>
      <c r="N101" s="361"/>
      <c r="O101" s="361"/>
      <c r="P101" s="361"/>
      <c r="Q101" s="361"/>
      <c r="R101" s="361"/>
      <c r="S101" s="361"/>
      <c r="T101" s="361"/>
      <c r="U101" s="361"/>
      <c r="V101" s="361"/>
      <c r="W101" s="361"/>
      <c r="X101" s="365"/>
      <c r="Y101" s="361"/>
      <c r="Z101" s="361"/>
      <c r="AA101" s="116"/>
      <c r="AB101" s="116"/>
      <c r="AC101" s="116"/>
      <c r="AD101" s="116"/>
      <c r="AE101" s="365"/>
      <c r="AF101" s="116"/>
      <c r="AG101" s="116"/>
      <c r="AH101" s="116"/>
      <c r="AI101" s="116"/>
      <c r="AJ101" s="116"/>
      <c r="AK101" s="116"/>
      <c r="AL101" s="116"/>
    </row>
    <row r="102" ht="16.5" customHeight="1">
      <c r="A102" s="362"/>
      <c r="B102" s="362"/>
      <c r="C102" s="362"/>
      <c r="D102" s="362"/>
      <c r="E102" s="132"/>
      <c r="F102" s="131"/>
      <c r="G102" s="361"/>
      <c r="H102" s="363"/>
      <c r="I102" s="364"/>
      <c r="J102" s="361"/>
      <c r="K102" s="361"/>
      <c r="L102" s="361"/>
      <c r="M102" s="361"/>
      <c r="N102" s="361"/>
      <c r="O102" s="361"/>
      <c r="P102" s="361"/>
      <c r="Q102" s="361"/>
      <c r="R102" s="361"/>
      <c r="S102" s="361"/>
      <c r="T102" s="361"/>
      <c r="U102" s="361"/>
      <c r="V102" s="361"/>
      <c r="W102" s="361"/>
      <c r="X102" s="365"/>
      <c r="Y102" s="361"/>
      <c r="Z102" s="361"/>
      <c r="AA102" s="116"/>
      <c r="AB102" s="116"/>
      <c r="AC102" s="116"/>
      <c r="AD102" s="116"/>
      <c r="AE102" s="365"/>
      <c r="AF102" s="116"/>
      <c r="AG102" s="116"/>
      <c r="AH102" s="116"/>
      <c r="AI102" s="116"/>
      <c r="AJ102" s="116"/>
      <c r="AK102" s="116"/>
      <c r="AL102" s="116"/>
    </row>
    <row r="103" ht="16.5" customHeight="1">
      <c r="A103" s="362"/>
      <c r="B103" s="362"/>
      <c r="C103" s="362"/>
      <c r="D103" s="362"/>
      <c r="E103" s="132"/>
      <c r="F103" s="131"/>
      <c r="G103" s="361"/>
      <c r="H103" s="363"/>
      <c r="I103" s="364"/>
      <c r="J103" s="361"/>
      <c r="K103" s="361"/>
      <c r="L103" s="361"/>
      <c r="M103" s="361"/>
      <c r="N103" s="361"/>
      <c r="O103" s="361"/>
      <c r="P103" s="361"/>
      <c r="Q103" s="361"/>
      <c r="R103" s="361"/>
      <c r="S103" s="361"/>
      <c r="T103" s="361"/>
      <c r="U103" s="361"/>
      <c r="V103" s="361"/>
      <c r="W103" s="361"/>
      <c r="X103" s="365"/>
      <c r="Y103" s="361"/>
      <c r="Z103" s="361"/>
      <c r="AA103" s="116"/>
      <c r="AB103" s="116"/>
      <c r="AC103" s="116"/>
      <c r="AD103" s="116"/>
      <c r="AE103" s="365"/>
      <c r="AF103" s="116"/>
      <c r="AG103" s="116"/>
      <c r="AH103" s="116"/>
      <c r="AI103" s="116"/>
      <c r="AJ103" s="116"/>
      <c r="AK103" s="116"/>
      <c r="AL103" s="116"/>
    </row>
    <row r="104" ht="16.5" customHeight="1">
      <c r="A104" s="362"/>
      <c r="B104" s="362"/>
      <c r="C104" s="362"/>
      <c r="D104" s="362"/>
      <c r="E104" s="132"/>
      <c r="F104" s="131"/>
      <c r="G104" s="361"/>
      <c r="H104" s="363"/>
      <c r="I104" s="364"/>
      <c r="J104" s="361"/>
      <c r="K104" s="361"/>
      <c r="L104" s="361"/>
      <c r="M104" s="361"/>
      <c r="N104" s="361"/>
      <c r="O104" s="361"/>
      <c r="P104" s="361"/>
      <c r="Q104" s="361"/>
      <c r="R104" s="361"/>
      <c r="S104" s="361"/>
      <c r="T104" s="361"/>
      <c r="U104" s="361"/>
      <c r="V104" s="361"/>
      <c r="W104" s="361"/>
      <c r="X104" s="365"/>
      <c r="Y104" s="361"/>
      <c r="Z104" s="361"/>
      <c r="AA104" s="116"/>
      <c r="AB104" s="116"/>
      <c r="AC104" s="116"/>
      <c r="AD104" s="116"/>
      <c r="AE104" s="365"/>
      <c r="AF104" s="116"/>
      <c r="AG104" s="116"/>
      <c r="AH104" s="116"/>
      <c r="AI104" s="116"/>
      <c r="AJ104" s="116"/>
      <c r="AK104" s="116"/>
      <c r="AL104" s="116"/>
    </row>
    <row r="105" ht="16.5" customHeight="1">
      <c r="A105" s="362"/>
      <c r="B105" s="362"/>
      <c r="C105" s="362"/>
      <c r="D105" s="362"/>
      <c r="E105" s="132"/>
      <c r="F105" s="131"/>
      <c r="G105" s="361"/>
      <c r="H105" s="363"/>
      <c r="I105" s="364"/>
      <c r="J105" s="361"/>
      <c r="K105" s="361"/>
      <c r="L105" s="361"/>
      <c r="M105" s="361"/>
      <c r="N105" s="361"/>
      <c r="O105" s="361"/>
      <c r="P105" s="361"/>
      <c r="Q105" s="361"/>
      <c r="R105" s="361"/>
      <c r="S105" s="361"/>
      <c r="T105" s="361"/>
      <c r="U105" s="361"/>
      <c r="V105" s="361"/>
      <c r="W105" s="361"/>
      <c r="X105" s="365"/>
      <c r="Y105" s="361"/>
      <c r="Z105" s="361"/>
      <c r="AA105" s="116"/>
      <c r="AB105" s="116"/>
      <c r="AC105" s="116"/>
      <c r="AD105" s="116"/>
      <c r="AE105" s="365"/>
      <c r="AF105" s="116"/>
      <c r="AG105" s="116"/>
      <c r="AH105" s="116"/>
      <c r="AI105" s="116"/>
      <c r="AJ105" s="116"/>
      <c r="AK105" s="116"/>
      <c r="AL105" s="116"/>
    </row>
    <row r="106" ht="16.5" customHeight="1">
      <c r="A106" s="362"/>
      <c r="B106" s="362"/>
      <c r="C106" s="362"/>
      <c r="D106" s="362"/>
      <c r="E106" s="132"/>
      <c r="F106" s="131"/>
      <c r="G106" s="361"/>
      <c r="H106" s="363"/>
      <c r="I106" s="364"/>
      <c r="J106" s="361"/>
      <c r="K106" s="361"/>
      <c r="L106" s="361"/>
      <c r="M106" s="361"/>
      <c r="N106" s="361"/>
      <c r="O106" s="361"/>
      <c r="P106" s="361"/>
      <c r="Q106" s="361"/>
      <c r="R106" s="361"/>
      <c r="S106" s="361"/>
      <c r="T106" s="361"/>
      <c r="U106" s="361"/>
      <c r="V106" s="361"/>
      <c r="W106" s="361"/>
      <c r="X106" s="365"/>
      <c r="Y106" s="361"/>
      <c r="Z106" s="361"/>
      <c r="AA106" s="116"/>
      <c r="AB106" s="116"/>
      <c r="AC106" s="116"/>
      <c r="AD106" s="116"/>
      <c r="AE106" s="365"/>
      <c r="AF106" s="116"/>
      <c r="AG106" s="116"/>
      <c r="AH106" s="116"/>
      <c r="AI106" s="116"/>
      <c r="AJ106" s="116"/>
      <c r="AK106" s="116"/>
      <c r="AL106" s="116"/>
    </row>
    <row r="107" ht="16.5" customHeight="1">
      <c r="A107" s="362"/>
      <c r="B107" s="362"/>
      <c r="C107" s="362"/>
      <c r="D107" s="362"/>
      <c r="E107" s="132"/>
      <c r="F107" s="131"/>
      <c r="G107" s="361"/>
      <c r="H107" s="363"/>
      <c r="I107" s="364"/>
      <c r="J107" s="361"/>
      <c r="K107" s="361"/>
      <c r="L107" s="361"/>
      <c r="M107" s="361"/>
      <c r="N107" s="361"/>
      <c r="O107" s="361"/>
      <c r="P107" s="361"/>
      <c r="Q107" s="361"/>
      <c r="R107" s="361"/>
      <c r="S107" s="361"/>
      <c r="T107" s="361"/>
      <c r="U107" s="361"/>
      <c r="V107" s="361"/>
      <c r="W107" s="361"/>
      <c r="X107" s="365"/>
      <c r="Y107" s="361"/>
      <c r="Z107" s="361"/>
      <c r="AA107" s="116"/>
      <c r="AB107" s="116"/>
      <c r="AC107" s="116"/>
      <c r="AD107" s="116"/>
      <c r="AE107" s="365"/>
      <c r="AF107" s="116"/>
      <c r="AG107" s="116"/>
      <c r="AH107" s="116"/>
      <c r="AI107" s="116"/>
      <c r="AJ107" s="116"/>
      <c r="AK107" s="116"/>
      <c r="AL107" s="116"/>
    </row>
    <row r="108" ht="16.5" customHeight="1">
      <c r="A108" s="362"/>
      <c r="B108" s="362"/>
      <c r="C108" s="362"/>
      <c r="D108" s="362"/>
      <c r="E108" s="132"/>
      <c r="F108" s="131"/>
      <c r="G108" s="361"/>
      <c r="H108" s="363"/>
      <c r="I108" s="364"/>
      <c r="J108" s="361"/>
      <c r="K108" s="361"/>
      <c r="L108" s="361"/>
      <c r="M108" s="361"/>
      <c r="N108" s="361"/>
      <c r="O108" s="361"/>
      <c r="P108" s="361"/>
      <c r="Q108" s="361"/>
      <c r="R108" s="361"/>
      <c r="S108" s="361"/>
      <c r="T108" s="361"/>
      <c r="U108" s="361"/>
      <c r="V108" s="361"/>
      <c r="W108" s="361"/>
      <c r="X108" s="365"/>
      <c r="Y108" s="361"/>
      <c r="Z108" s="361"/>
      <c r="AA108" s="116"/>
      <c r="AB108" s="116"/>
      <c r="AC108" s="116"/>
      <c r="AD108" s="116"/>
      <c r="AE108" s="365"/>
      <c r="AF108" s="116"/>
      <c r="AG108" s="116"/>
      <c r="AH108" s="116"/>
      <c r="AI108" s="116"/>
      <c r="AJ108" s="116"/>
      <c r="AK108" s="116"/>
      <c r="AL108" s="116"/>
    </row>
    <row r="109" ht="16.5" customHeight="1">
      <c r="A109" s="362"/>
      <c r="B109" s="362"/>
      <c r="C109" s="362"/>
      <c r="D109" s="362"/>
      <c r="E109" s="132"/>
      <c r="F109" s="131"/>
      <c r="G109" s="361"/>
      <c r="H109" s="363"/>
      <c r="I109" s="364"/>
      <c r="J109" s="361"/>
      <c r="K109" s="361"/>
      <c r="L109" s="361"/>
      <c r="M109" s="361"/>
      <c r="N109" s="361"/>
      <c r="O109" s="361"/>
      <c r="P109" s="361"/>
      <c r="Q109" s="361"/>
      <c r="R109" s="361"/>
      <c r="S109" s="361"/>
      <c r="T109" s="361"/>
      <c r="U109" s="361"/>
      <c r="V109" s="361"/>
      <c r="W109" s="361"/>
      <c r="X109" s="365"/>
      <c r="Y109" s="361"/>
      <c r="Z109" s="361"/>
      <c r="AA109" s="116"/>
      <c r="AB109" s="116"/>
      <c r="AC109" s="116"/>
      <c r="AD109" s="116"/>
      <c r="AE109" s="365"/>
      <c r="AF109" s="116"/>
      <c r="AG109" s="116"/>
      <c r="AH109" s="116"/>
      <c r="AI109" s="116"/>
      <c r="AJ109" s="116"/>
      <c r="AK109" s="116"/>
      <c r="AL109" s="116"/>
    </row>
    <row r="110" ht="16.5" customHeight="1">
      <c r="A110" s="362"/>
      <c r="B110" s="362"/>
      <c r="C110" s="362"/>
      <c r="D110" s="362"/>
      <c r="E110" s="132"/>
      <c r="F110" s="131"/>
      <c r="G110" s="361"/>
      <c r="H110" s="363"/>
      <c r="I110" s="364"/>
      <c r="J110" s="361"/>
      <c r="K110" s="361"/>
      <c r="L110" s="361"/>
      <c r="M110" s="361"/>
      <c r="N110" s="361"/>
      <c r="O110" s="361"/>
      <c r="P110" s="361"/>
      <c r="Q110" s="361"/>
      <c r="R110" s="361"/>
      <c r="S110" s="361"/>
      <c r="T110" s="361"/>
      <c r="U110" s="361"/>
      <c r="V110" s="361"/>
      <c r="W110" s="361"/>
      <c r="X110" s="365"/>
      <c r="Y110" s="361"/>
      <c r="Z110" s="361"/>
      <c r="AA110" s="116"/>
      <c r="AB110" s="116"/>
      <c r="AC110" s="116"/>
      <c r="AD110" s="116"/>
      <c r="AE110" s="365"/>
      <c r="AF110" s="116"/>
      <c r="AG110" s="116"/>
      <c r="AH110" s="116"/>
      <c r="AI110" s="116"/>
      <c r="AJ110" s="116"/>
      <c r="AK110" s="116"/>
      <c r="AL110" s="116"/>
    </row>
    <row r="111" ht="16.5" customHeight="1">
      <c r="A111" s="362"/>
      <c r="B111" s="362"/>
      <c r="C111" s="362"/>
      <c r="D111" s="362"/>
      <c r="E111" s="132"/>
      <c r="F111" s="131"/>
      <c r="G111" s="361"/>
      <c r="H111" s="363"/>
      <c r="I111" s="364"/>
      <c r="J111" s="361"/>
      <c r="K111" s="361"/>
      <c r="L111" s="361"/>
      <c r="M111" s="361"/>
      <c r="N111" s="361"/>
      <c r="O111" s="361"/>
      <c r="P111" s="361"/>
      <c r="Q111" s="361"/>
      <c r="R111" s="361"/>
      <c r="S111" s="361"/>
      <c r="T111" s="361"/>
      <c r="U111" s="361"/>
      <c r="V111" s="361"/>
      <c r="W111" s="361"/>
      <c r="X111" s="365"/>
      <c r="Y111" s="361"/>
      <c r="Z111" s="361"/>
      <c r="AA111" s="116"/>
      <c r="AB111" s="116"/>
      <c r="AC111" s="116"/>
      <c r="AD111" s="116"/>
      <c r="AE111" s="365"/>
      <c r="AF111" s="116"/>
      <c r="AG111" s="116"/>
      <c r="AH111" s="116"/>
      <c r="AI111" s="116"/>
      <c r="AJ111" s="116"/>
      <c r="AK111" s="116"/>
      <c r="AL111" s="116"/>
    </row>
    <row r="112" ht="16.5" customHeight="1">
      <c r="A112" s="362"/>
      <c r="B112" s="362"/>
      <c r="C112" s="362"/>
      <c r="D112" s="362"/>
      <c r="E112" s="132"/>
      <c r="F112" s="131"/>
      <c r="G112" s="361"/>
      <c r="H112" s="363"/>
      <c r="I112" s="364"/>
      <c r="J112" s="361"/>
      <c r="K112" s="361"/>
      <c r="L112" s="361"/>
      <c r="M112" s="361"/>
      <c r="N112" s="361"/>
      <c r="O112" s="361"/>
      <c r="P112" s="361"/>
      <c r="Q112" s="361"/>
      <c r="R112" s="361"/>
      <c r="S112" s="361"/>
      <c r="T112" s="361"/>
      <c r="U112" s="361"/>
      <c r="V112" s="361"/>
      <c r="W112" s="361"/>
      <c r="X112" s="365"/>
      <c r="Y112" s="361"/>
      <c r="Z112" s="361"/>
      <c r="AA112" s="116"/>
      <c r="AB112" s="116"/>
      <c r="AC112" s="116"/>
      <c r="AD112" s="116"/>
      <c r="AE112" s="365"/>
      <c r="AF112" s="116"/>
      <c r="AG112" s="116"/>
      <c r="AH112" s="116"/>
      <c r="AI112" s="116"/>
      <c r="AJ112" s="116"/>
      <c r="AK112" s="116"/>
      <c r="AL112" s="116"/>
    </row>
    <row r="113" ht="16.5" customHeight="1">
      <c r="A113" s="362"/>
      <c r="B113" s="362"/>
      <c r="C113" s="362"/>
      <c r="D113" s="362"/>
      <c r="E113" s="132"/>
      <c r="F113" s="131"/>
      <c r="G113" s="361"/>
      <c r="H113" s="363"/>
      <c r="I113" s="364"/>
      <c r="J113" s="361"/>
      <c r="K113" s="361"/>
      <c r="L113" s="361"/>
      <c r="M113" s="361"/>
      <c r="N113" s="361"/>
      <c r="O113" s="361"/>
      <c r="P113" s="361"/>
      <c r="Q113" s="361"/>
      <c r="R113" s="361"/>
      <c r="S113" s="361"/>
      <c r="T113" s="361"/>
      <c r="U113" s="361"/>
      <c r="V113" s="361"/>
      <c r="W113" s="361"/>
      <c r="X113" s="365"/>
      <c r="Y113" s="361"/>
      <c r="Z113" s="361"/>
      <c r="AA113" s="116"/>
      <c r="AB113" s="116"/>
      <c r="AC113" s="116"/>
      <c r="AD113" s="116"/>
      <c r="AE113" s="365"/>
      <c r="AF113" s="116"/>
      <c r="AG113" s="116"/>
      <c r="AH113" s="116"/>
      <c r="AI113" s="116"/>
      <c r="AJ113" s="116"/>
      <c r="AK113" s="116"/>
      <c r="AL113" s="116"/>
    </row>
    <row r="114" ht="16.5" customHeight="1">
      <c r="A114" s="362"/>
      <c r="B114" s="362"/>
      <c r="C114" s="362"/>
      <c r="D114" s="362"/>
      <c r="E114" s="132"/>
      <c r="F114" s="131"/>
      <c r="G114" s="361"/>
      <c r="H114" s="363"/>
      <c r="I114" s="364"/>
      <c r="J114" s="361"/>
      <c r="K114" s="361"/>
      <c r="L114" s="361"/>
      <c r="M114" s="361"/>
      <c r="N114" s="361"/>
      <c r="O114" s="361"/>
      <c r="P114" s="361"/>
      <c r="Q114" s="361"/>
      <c r="R114" s="361"/>
      <c r="S114" s="361"/>
      <c r="T114" s="361"/>
      <c r="U114" s="361"/>
      <c r="V114" s="361"/>
      <c r="W114" s="361"/>
      <c r="X114" s="365"/>
      <c r="Y114" s="361"/>
      <c r="Z114" s="361"/>
      <c r="AA114" s="116"/>
      <c r="AB114" s="116"/>
      <c r="AC114" s="116"/>
      <c r="AD114" s="116"/>
      <c r="AE114" s="365"/>
      <c r="AF114" s="116"/>
      <c r="AG114" s="116"/>
      <c r="AH114" s="116"/>
      <c r="AI114" s="116"/>
      <c r="AJ114" s="116"/>
      <c r="AK114" s="116"/>
      <c r="AL114" s="116"/>
    </row>
    <row r="115" ht="16.5" customHeight="1">
      <c r="A115" s="362"/>
      <c r="B115" s="362"/>
      <c r="C115" s="362"/>
      <c r="D115" s="362"/>
      <c r="E115" s="132"/>
      <c r="F115" s="131"/>
      <c r="G115" s="361"/>
      <c r="H115" s="363"/>
      <c r="I115" s="364"/>
      <c r="J115" s="361"/>
      <c r="K115" s="361"/>
      <c r="L115" s="361"/>
      <c r="M115" s="361"/>
      <c r="N115" s="361"/>
      <c r="O115" s="361"/>
      <c r="P115" s="361"/>
      <c r="Q115" s="361"/>
      <c r="R115" s="361"/>
      <c r="S115" s="361"/>
      <c r="T115" s="361"/>
      <c r="U115" s="361"/>
      <c r="V115" s="361"/>
      <c r="W115" s="361"/>
      <c r="X115" s="365"/>
      <c r="Y115" s="361"/>
      <c r="Z115" s="361"/>
      <c r="AA115" s="116"/>
      <c r="AB115" s="116"/>
      <c r="AC115" s="116"/>
      <c r="AD115" s="116"/>
      <c r="AE115" s="365"/>
      <c r="AF115" s="116"/>
      <c r="AG115" s="116"/>
      <c r="AH115" s="116"/>
      <c r="AI115" s="116"/>
      <c r="AJ115" s="116"/>
      <c r="AK115" s="116"/>
      <c r="AL115" s="116"/>
    </row>
    <row r="116" ht="16.5" customHeight="1">
      <c r="A116" s="362"/>
      <c r="B116" s="362"/>
      <c r="C116" s="362"/>
      <c r="D116" s="362"/>
      <c r="E116" s="132"/>
      <c r="F116" s="131"/>
      <c r="G116" s="361"/>
      <c r="H116" s="363"/>
      <c r="I116" s="364"/>
      <c r="J116" s="361"/>
      <c r="K116" s="361"/>
      <c r="L116" s="361"/>
      <c r="M116" s="361"/>
      <c r="N116" s="361"/>
      <c r="O116" s="361"/>
      <c r="P116" s="361"/>
      <c r="Q116" s="361"/>
      <c r="R116" s="361"/>
      <c r="S116" s="361"/>
      <c r="T116" s="361"/>
      <c r="U116" s="361"/>
      <c r="V116" s="361"/>
      <c r="W116" s="361"/>
      <c r="X116" s="365"/>
      <c r="Y116" s="361"/>
      <c r="Z116" s="361"/>
      <c r="AA116" s="116"/>
      <c r="AB116" s="116"/>
      <c r="AC116" s="116"/>
      <c r="AD116" s="116"/>
      <c r="AE116" s="365"/>
      <c r="AF116" s="116"/>
      <c r="AG116" s="116"/>
      <c r="AH116" s="116"/>
      <c r="AI116" s="116"/>
      <c r="AJ116" s="116"/>
      <c r="AK116" s="116"/>
      <c r="AL116" s="116"/>
    </row>
    <row r="117" ht="16.5" customHeight="1">
      <c r="A117" s="362"/>
      <c r="B117" s="362"/>
      <c r="C117" s="362"/>
      <c r="D117" s="362"/>
      <c r="E117" s="132"/>
      <c r="F117" s="131"/>
      <c r="G117" s="361"/>
      <c r="H117" s="363"/>
      <c r="I117" s="364"/>
      <c r="J117" s="361"/>
      <c r="K117" s="361"/>
      <c r="L117" s="361"/>
      <c r="M117" s="361"/>
      <c r="N117" s="361"/>
      <c r="O117" s="361"/>
      <c r="P117" s="361"/>
      <c r="Q117" s="361"/>
      <c r="R117" s="361"/>
      <c r="S117" s="361"/>
      <c r="T117" s="361"/>
      <c r="U117" s="361"/>
      <c r="V117" s="361"/>
      <c r="W117" s="361"/>
      <c r="X117" s="365"/>
      <c r="Y117" s="361"/>
      <c r="Z117" s="361"/>
      <c r="AA117" s="116"/>
      <c r="AB117" s="116"/>
      <c r="AC117" s="116"/>
      <c r="AD117" s="116"/>
      <c r="AE117" s="365"/>
      <c r="AF117" s="116"/>
      <c r="AG117" s="116"/>
      <c r="AH117" s="116"/>
      <c r="AI117" s="116"/>
      <c r="AJ117" s="116"/>
      <c r="AK117" s="116"/>
      <c r="AL117" s="116"/>
    </row>
    <row r="118" ht="16.5" customHeight="1">
      <c r="A118" s="362"/>
      <c r="B118" s="362"/>
      <c r="C118" s="362"/>
      <c r="D118" s="362"/>
      <c r="E118" s="132"/>
      <c r="F118" s="131"/>
      <c r="G118" s="361"/>
      <c r="H118" s="363"/>
      <c r="I118" s="364"/>
      <c r="J118" s="361"/>
      <c r="K118" s="361"/>
      <c r="L118" s="361"/>
      <c r="M118" s="361"/>
      <c r="N118" s="361"/>
      <c r="O118" s="361"/>
      <c r="P118" s="361"/>
      <c r="Q118" s="361"/>
      <c r="R118" s="361"/>
      <c r="S118" s="361"/>
      <c r="T118" s="361"/>
      <c r="U118" s="361"/>
      <c r="V118" s="361"/>
      <c r="W118" s="361"/>
      <c r="X118" s="365"/>
      <c r="Y118" s="361"/>
      <c r="Z118" s="361"/>
      <c r="AA118" s="116"/>
      <c r="AB118" s="116"/>
      <c r="AC118" s="116"/>
      <c r="AD118" s="116"/>
      <c r="AE118" s="365"/>
      <c r="AF118" s="116"/>
      <c r="AG118" s="116"/>
      <c r="AH118" s="116"/>
      <c r="AI118" s="116"/>
      <c r="AJ118" s="116"/>
      <c r="AK118" s="116"/>
      <c r="AL118" s="116"/>
    </row>
    <row r="119" ht="16.5" customHeight="1">
      <c r="A119" s="362"/>
      <c r="B119" s="362"/>
      <c r="C119" s="362"/>
      <c r="D119" s="362"/>
      <c r="E119" s="132"/>
      <c r="F119" s="131"/>
      <c r="G119" s="361"/>
      <c r="H119" s="363"/>
      <c r="I119" s="364"/>
      <c r="J119" s="361"/>
      <c r="K119" s="361"/>
      <c r="L119" s="361"/>
      <c r="M119" s="361"/>
      <c r="N119" s="361"/>
      <c r="O119" s="361"/>
      <c r="P119" s="361"/>
      <c r="Q119" s="361"/>
      <c r="R119" s="361"/>
      <c r="S119" s="361"/>
      <c r="T119" s="361"/>
      <c r="U119" s="361"/>
      <c r="V119" s="361"/>
      <c r="W119" s="361"/>
      <c r="X119" s="365"/>
      <c r="Y119" s="361"/>
      <c r="Z119" s="361"/>
      <c r="AA119" s="116"/>
      <c r="AB119" s="116"/>
      <c r="AC119" s="116"/>
      <c r="AD119" s="116"/>
      <c r="AE119" s="365"/>
      <c r="AF119" s="116"/>
      <c r="AG119" s="116"/>
      <c r="AH119" s="116"/>
      <c r="AI119" s="116"/>
      <c r="AJ119" s="116"/>
      <c r="AK119" s="116"/>
      <c r="AL119" s="116"/>
    </row>
    <row r="120" ht="16.5" customHeight="1">
      <c r="A120" s="362"/>
      <c r="B120" s="362"/>
      <c r="C120" s="362"/>
      <c r="D120" s="362"/>
      <c r="E120" s="132"/>
      <c r="F120" s="131"/>
      <c r="G120" s="361"/>
      <c r="H120" s="363"/>
      <c r="I120" s="364"/>
      <c r="J120" s="361"/>
      <c r="K120" s="361"/>
      <c r="L120" s="361"/>
      <c r="M120" s="361"/>
      <c r="N120" s="361"/>
      <c r="O120" s="361"/>
      <c r="P120" s="361"/>
      <c r="Q120" s="361"/>
      <c r="R120" s="361"/>
      <c r="S120" s="361"/>
      <c r="T120" s="361"/>
      <c r="U120" s="361"/>
      <c r="V120" s="361"/>
      <c r="W120" s="361"/>
      <c r="X120" s="365"/>
      <c r="Y120" s="361"/>
      <c r="Z120" s="361"/>
      <c r="AA120" s="116"/>
      <c r="AB120" s="116"/>
      <c r="AC120" s="116"/>
      <c r="AD120" s="116"/>
      <c r="AE120" s="365"/>
      <c r="AF120" s="116"/>
      <c r="AG120" s="116"/>
      <c r="AH120" s="116"/>
      <c r="AI120" s="116"/>
      <c r="AJ120" s="116"/>
      <c r="AK120" s="116"/>
      <c r="AL120" s="116"/>
    </row>
    <row r="121" ht="16.5" customHeight="1">
      <c r="A121" s="362"/>
      <c r="B121" s="362"/>
      <c r="C121" s="362"/>
      <c r="D121" s="362"/>
      <c r="E121" s="132"/>
      <c r="F121" s="131"/>
      <c r="G121" s="361"/>
      <c r="H121" s="363"/>
      <c r="I121" s="364"/>
      <c r="J121" s="361"/>
      <c r="K121" s="361"/>
      <c r="L121" s="361"/>
      <c r="M121" s="361"/>
      <c r="N121" s="361"/>
      <c r="O121" s="361"/>
      <c r="P121" s="361"/>
      <c r="Q121" s="361"/>
      <c r="R121" s="361"/>
      <c r="S121" s="361"/>
      <c r="T121" s="361"/>
      <c r="U121" s="361"/>
      <c r="V121" s="361"/>
      <c r="W121" s="361"/>
      <c r="X121" s="365"/>
      <c r="Y121" s="361"/>
      <c r="Z121" s="361"/>
      <c r="AA121" s="116"/>
      <c r="AB121" s="116"/>
      <c r="AC121" s="116"/>
      <c r="AD121" s="116"/>
      <c r="AE121" s="365"/>
      <c r="AF121" s="116"/>
      <c r="AG121" s="116"/>
      <c r="AH121" s="116"/>
      <c r="AI121" s="116"/>
      <c r="AJ121" s="116"/>
      <c r="AK121" s="116"/>
      <c r="AL121" s="116"/>
    </row>
    <row r="122" ht="16.5" customHeight="1">
      <c r="A122" s="362"/>
      <c r="B122" s="362"/>
      <c r="C122" s="362"/>
      <c r="D122" s="362"/>
      <c r="E122" s="132"/>
      <c r="F122" s="131"/>
      <c r="G122" s="361"/>
      <c r="H122" s="363"/>
      <c r="I122" s="364"/>
      <c r="J122" s="361"/>
      <c r="K122" s="361"/>
      <c r="L122" s="361"/>
      <c r="M122" s="361"/>
      <c r="N122" s="361"/>
      <c r="O122" s="361"/>
      <c r="P122" s="361"/>
      <c r="Q122" s="361"/>
      <c r="R122" s="361"/>
      <c r="S122" s="361"/>
      <c r="T122" s="361"/>
      <c r="U122" s="361"/>
      <c r="V122" s="361"/>
      <c r="W122" s="361"/>
      <c r="X122" s="365"/>
      <c r="Y122" s="361"/>
      <c r="Z122" s="361"/>
      <c r="AA122" s="116"/>
      <c r="AB122" s="116"/>
      <c r="AC122" s="116"/>
      <c r="AD122" s="116"/>
      <c r="AE122" s="365"/>
      <c r="AF122" s="116"/>
      <c r="AG122" s="116"/>
      <c r="AH122" s="116"/>
      <c r="AI122" s="116"/>
      <c r="AJ122" s="116"/>
      <c r="AK122" s="116"/>
      <c r="AL122" s="116"/>
    </row>
    <row r="123" ht="16.5" customHeight="1">
      <c r="A123" s="362"/>
      <c r="B123" s="362"/>
      <c r="C123" s="362"/>
      <c r="D123" s="362"/>
      <c r="E123" s="132"/>
      <c r="F123" s="131"/>
      <c r="G123" s="361"/>
      <c r="H123" s="363"/>
      <c r="I123" s="364"/>
      <c r="J123" s="361"/>
      <c r="K123" s="361"/>
      <c r="L123" s="361"/>
      <c r="M123" s="361"/>
      <c r="N123" s="361"/>
      <c r="O123" s="361"/>
      <c r="P123" s="361"/>
      <c r="Q123" s="361"/>
      <c r="R123" s="361"/>
      <c r="S123" s="361"/>
      <c r="T123" s="361"/>
      <c r="U123" s="361"/>
      <c r="V123" s="361"/>
      <c r="W123" s="361"/>
      <c r="X123" s="365"/>
      <c r="Y123" s="361"/>
      <c r="Z123" s="361"/>
      <c r="AA123" s="116"/>
      <c r="AB123" s="116"/>
      <c r="AC123" s="116"/>
      <c r="AD123" s="116"/>
      <c r="AE123" s="365"/>
      <c r="AF123" s="116"/>
      <c r="AG123" s="116"/>
      <c r="AH123" s="116"/>
      <c r="AI123" s="116"/>
      <c r="AJ123" s="116"/>
      <c r="AK123" s="116"/>
      <c r="AL123" s="116"/>
    </row>
    <row r="124" ht="16.5" customHeight="1">
      <c r="A124" s="362"/>
      <c r="B124" s="362"/>
      <c r="C124" s="362"/>
      <c r="D124" s="362"/>
      <c r="E124" s="132"/>
      <c r="F124" s="131"/>
      <c r="G124" s="361"/>
      <c r="H124" s="363"/>
      <c r="I124" s="364"/>
      <c r="J124" s="361"/>
      <c r="K124" s="361"/>
      <c r="L124" s="361"/>
      <c r="M124" s="361"/>
      <c r="N124" s="361"/>
      <c r="O124" s="361"/>
      <c r="P124" s="361"/>
      <c r="Q124" s="361"/>
      <c r="R124" s="361"/>
      <c r="S124" s="361"/>
      <c r="T124" s="361"/>
      <c r="U124" s="361"/>
      <c r="V124" s="361"/>
      <c r="W124" s="361"/>
      <c r="X124" s="365"/>
      <c r="Y124" s="361"/>
      <c r="Z124" s="361"/>
      <c r="AA124" s="116"/>
      <c r="AB124" s="116"/>
      <c r="AC124" s="116"/>
      <c r="AD124" s="116"/>
      <c r="AE124" s="365"/>
      <c r="AF124" s="116"/>
      <c r="AG124" s="116"/>
      <c r="AH124" s="116"/>
      <c r="AI124" s="116"/>
      <c r="AJ124" s="116"/>
      <c r="AK124" s="116"/>
      <c r="AL124" s="116"/>
    </row>
    <row r="125" ht="16.5" customHeight="1">
      <c r="A125" s="362"/>
      <c r="B125" s="362"/>
      <c r="C125" s="362"/>
      <c r="D125" s="362"/>
      <c r="E125" s="132"/>
      <c r="F125" s="131"/>
      <c r="G125" s="361"/>
      <c r="H125" s="363"/>
      <c r="I125" s="364"/>
      <c r="J125" s="361"/>
      <c r="K125" s="361"/>
      <c r="L125" s="361"/>
      <c r="M125" s="361"/>
      <c r="N125" s="361"/>
      <c r="O125" s="361"/>
      <c r="P125" s="361"/>
      <c r="Q125" s="361"/>
      <c r="R125" s="361"/>
      <c r="S125" s="361"/>
      <c r="T125" s="361"/>
      <c r="U125" s="361"/>
      <c r="V125" s="361"/>
      <c r="W125" s="361"/>
      <c r="X125" s="365"/>
      <c r="Y125" s="361"/>
      <c r="Z125" s="361"/>
      <c r="AA125" s="116"/>
      <c r="AB125" s="116"/>
      <c r="AC125" s="116"/>
      <c r="AD125" s="116"/>
      <c r="AE125" s="365"/>
      <c r="AF125" s="116"/>
      <c r="AG125" s="116"/>
      <c r="AH125" s="116"/>
      <c r="AI125" s="116"/>
      <c r="AJ125" s="116"/>
      <c r="AK125" s="116"/>
      <c r="AL125" s="116"/>
    </row>
    <row r="126" ht="16.5" customHeight="1">
      <c r="A126" s="362"/>
      <c r="B126" s="362"/>
      <c r="C126" s="362"/>
      <c r="D126" s="362"/>
      <c r="E126" s="132"/>
      <c r="F126" s="131"/>
      <c r="G126" s="361"/>
      <c r="H126" s="363"/>
      <c r="I126" s="364"/>
      <c r="J126" s="361"/>
      <c r="K126" s="361"/>
      <c r="L126" s="361"/>
      <c r="M126" s="361"/>
      <c r="N126" s="361"/>
      <c r="O126" s="361"/>
      <c r="P126" s="361"/>
      <c r="Q126" s="361"/>
      <c r="R126" s="361"/>
      <c r="S126" s="361"/>
      <c r="T126" s="361"/>
      <c r="U126" s="361"/>
      <c r="V126" s="361"/>
      <c r="W126" s="361"/>
      <c r="X126" s="365"/>
      <c r="Y126" s="361"/>
      <c r="Z126" s="361"/>
      <c r="AA126" s="116"/>
      <c r="AB126" s="116"/>
      <c r="AC126" s="116"/>
      <c r="AD126" s="116"/>
      <c r="AE126" s="365"/>
      <c r="AF126" s="116"/>
      <c r="AG126" s="116"/>
      <c r="AH126" s="116"/>
      <c r="AI126" s="116"/>
      <c r="AJ126" s="116"/>
      <c r="AK126" s="116"/>
      <c r="AL126" s="116"/>
    </row>
    <row r="127" ht="16.5" customHeight="1">
      <c r="A127" s="362"/>
      <c r="B127" s="362"/>
      <c r="C127" s="362"/>
      <c r="D127" s="362"/>
      <c r="E127" s="132"/>
      <c r="F127" s="131"/>
      <c r="G127" s="361"/>
      <c r="H127" s="363"/>
      <c r="I127" s="364"/>
      <c r="J127" s="361"/>
      <c r="K127" s="361"/>
      <c r="L127" s="361"/>
      <c r="M127" s="361"/>
      <c r="N127" s="361"/>
      <c r="O127" s="361"/>
      <c r="P127" s="361"/>
      <c r="Q127" s="361"/>
      <c r="R127" s="361"/>
      <c r="S127" s="361"/>
      <c r="T127" s="361"/>
      <c r="U127" s="361"/>
      <c r="V127" s="361"/>
      <c r="W127" s="361"/>
      <c r="X127" s="365"/>
      <c r="Y127" s="361"/>
      <c r="Z127" s="361"/>
      <c r="AA127" s="116"/>
      <c r="AB127" s="116"/>
      <c r="AC127" s="116"/>
      <c r="AD127" s="116"/>
      <c r="AE127" s="365"/>
      <c r="AF127" s="116"/>
      <c r="AG127" s="116"/>
      <c r="AH127" s="116"/>
      <c r="AI127" s="116"/>
      <c r="AJ127" s="116"/>
      <c r="AK127" s="116"/>
      <c r="AL127" s="116"/>
    </row>
    <row r="128" ht="16.5" customHeight="1">
      <c r="A128" s="362"/>
      <c r="B128" s="362"/>
      <c r="C128" s="362"/>
      <c r="D128" s="362"/>
      <c r="E128" s="132"/>
      <c r="F128" s="131"/>
      <c r="G128" s="361"/>
      <c r="H128" s="363"/>
      <c r="I128" s="364"/>
      <c r="J128" s="361"/>
      <c r="K128" s="361"/>
      <c r="L128" s="361"/>
      <c r="M128" s="361"/>
      <c r="N128" s="361"/>
      <c r="O128" s="361"/>
      <c r="P128" s="361"/>
      <c r="Q128" s="361"/>
      <c r="R128" s="361"/>
      <c r="S128" s="361"/>
      <c r="T128" s="361"/>
      <c r="U128" s="361"/>
      <c r="V128" s="361"/>
      <c r="W128" s="361"/>
      <c r="X128" s="365"/>
      <c r="Y128" s="361"/>
      <c r="Z128" s="361"/>
      <c r="AA128" s="116"/>
      <c r="AB128" s="116"/>
      <c r="AC128" s="116"/>
      <c r="AD128" s="116"/>
      <c r="AE128" s="365"/>
      <c r="AF128" s="116"/>
      <c r="AG128" s="116"/>
      <c r="AH128" s="116"/>
      <c r="AI128" s="116"/>
      <c r="AJ128" s="116"/>
      <c r="AK128" s="116"/>
      <c r="AL128" s="116"/>
    </row>
    <row r="129" ht="16.5" customHeight="1">
      <c r="A129" s="362"/>
      <c r="B129" s="362"/>
      <c r="C129" s="362"/>
      <c r="D129" s="362"/>
      <c r="E129" s="132"/>
      <c r="F129" s="131"/>
      <c r="G129" s="361"/>
      <c r="H129" s="363"/>
      <c r="I129" s="364"/>
      <c r="J129" s="361"/>
      <c r="K129" s="361"/>
      <c r="L129" s="361"/>
      <c r="M129" s="361"/>
      <c r="N129" s="361"/>
      <c r="O129" s="361"/>
      <c r="P129" s="361"/>
      <c r="Q129" s="361"/>
      <c r="R129" s="361"/>
      <c r="S129" s="361"/>
      <c r="T129" s="361"/>
      <c r="U129" s="361"/>
      <c r="V129" s="361"/>
      <c r="W129" s="361"/>
      <c r="X129" s="365"/>
      <c r="Y129" s="361"/>
      <c r="Z129" s="361"/>
      <c r="AA129" s="116"/>
      <c r="AB129" s="116"/>
      <c r="AC129" s="116"/>
      <c r="AD129" s="116"/>
      <c r="AE129" s="365"/>
      <c r="AF129" s="116"/>
      <c r="AG129" s="116"/>
      <c r="AH129" s="116"/>
      <c r="AI129" s="116"/>
      <c r="AJ129" s="116"/>
      <c r="AK129" s="116"/>
      <c r="AL129" s="116"/>
    </row>
    <row r="130" ht="16.5" customHeight="1">
      <c r="A130" s="362"/>
      <c r="B130" s="362"/>
      <c r="C130" s="362"/>
      <c r="D130" s="362"/>
      <c r="E130" s="132"/>
      <c r="F130" s="131"/>
      <c r="G130" s="361"/>
      <c r="H130" s="363"/>
      <c r="I130" s="364"/>
      <c r="J130" s="361"/>
      <c r="K130" s="361"/>
      <c r="L130" s="361"/>
      <c r="M130" s="361"/>
      <c r="N130" s="361"/>
      <c r="O130" s="361"/>
      <c r="P130" s="361"/>
      <c r="Q130" s="361"/>
      <c r="R130" s="361"/>
      <c r="S130" s="361"/>
      <c r="T130" s="361"/>
      <c r="U130" s="361"/>
      <c r="V130" s="361"/>
      <c r="W130" s="361"/>
      <c r="X130" s="365"/>
      <c r="Y130" s="361"/>
      <c r="Z130" s="361"/>
      <c r="AA130" s="116"/>
      <c r="AB130" s="116"/>
      <c r="AC130" s="116"/>
      <c r="AD130" s="116"/>
      <c r="AE130" s="365"/>
      <c r="AF130" s="116"/>
      <c r="AG130" s="116"/>
      <c r="AH130" s="116"/>
      <c r="AI130" s="116"/>
      <c r="AJ130" s="116"/>
      <c r="AK130" s="116"/>
      <c r="AL130" s="116"/>
    </row>
    <row r="131" ht="16.5" customHeight="1">
      <c r="A131" s="362"/>
      <c r="B131" s="362"/>
      <c r="C131" s="362"/>
      <c r="D131" s="362"/>
      <c r="E131" s="132"/>
      <c r="F131" s="131"/>
      <c r="G131" s="361"/>
      <c r="H131" s="363"/>
      <c r="I131" s="364"/>
      <c r="J131" s="361"/>
      <c r="K131" s="361"/>
      <c r="L131" s="361"/>
      <c r="M131" s="361"/>
      <c r="N131" s="361"/>
      <c r="O131" s="361"/>
      <c r="P131" s="361"/>
      <c r="Q131" s="361"/>
      <c r="R131" s="361"/>
      <c r="S131" s="361"/>
      <c r="T131" s="361"/>
      <c r="U131" s="361"/>
      <c r="V131" s="361"/>
      <c r="W131" s="361"/>
      <c r="X131" s="365"/>
      <c r="Y131" s="361"/>
      <c r="Z131" s="361"/>
      <c r="AA131" s="116"/>
      <c r="AB131" s="116"/>
      <c r="AC131" s="116"/>
      <c r="AD131" s="116"/>
      <c r="AE131" s="365"/>
      <c r="AF131" s="116"/>
      <c r="AG131" s="116"/>
      <c r="AH131" s="116"/>
      <c r="AI131" s="116"/>
      <c r="AJ131" s="116"/>
      <c r="AK131" s="116"/>
      <c r="AL131" s="116"/>
    </row>
    <row r="132" ht="16.5" customHeight="1">
      <c r="A132" s="362"/>
      <c r="B132" s="362"/>
      <c r="C132" s="362"/>
      <c r="D132" s="362"/>
      <c r="E132" s="132"/>
      <c r="F132" s="131"/>
      <c r="G132" s="361"/>
      <c r="H132" s="363"/>
      <c r="I132" s="364"/>
      <c r="J132" s="361"/>
      <c r="K132" s="361"/>
      <c r="L132" s="361"/>
      <c r="M132" s="361"/>
      <c r="N132" s="361"/>
      <c r="O132" s="361"/>
      <c r="P132" s="361"/>
      <c r="Q132" s="361"/>
      <c r="R132" s="361"/>
      <c r="S132" s="361"/>
      <c r="T132" s="361"/>
      <c r="U132" s="361"/>
      <c r="V132" s="361"/>
      <c r="W132" s="361"/>
      <c r="X132" s="365"/>
      <c r="Y132" s="361"/>
      <c r="Z132" s="361"/>
      <c r="AA132" s="116"/>
      <c r="AB132" s="116"/>
      <c r="AC132" s="116"/>
      <c r="AD132" s="116"/>
      <c r="AE132" s="365"/>
      <c r="AF132" s="116"/>
      <c r="AG132" s="116"/>
      <c r="AH132" s="116"/>
      <c r="AI132" s="116"/>
      <c r="AJ132" s="116"/>
      <c r="AK132" s="116"/>
      <c r="AL132" s="116"/>
    </row>
    <row r="133" ht="16.5" customHeight="1">
      <c r="A133" s="362"/>
      <c r="B133" s="362"/>
      <c r="C133" s="362"/>
      <c r="D133" s="362"/>
      <c r="E133" s="132"/>
      <c r="F133" s="131"/>
      <c r="G133" s="361"/>
      <c r="H133" s="363"/>
      <c r="I133" s="364"/>
      <c r="J133" s="361"/>
      <c r="K133" s="361"/>
      <c r="L133" s="361"/>
      <c r="M133" s="361"/>
      <c r="N133" s="361"/>
      <c r="O133" s="361"/>
      <c r="P133" s="361"/>
      <c r="Q133" s="361"/>
      <c r="R133" s="361"/>
      <c r="S133" s="361"/>
      <c r="T133" s="361"/>
      <c r="U133" s="361"/>
      <c r="V133" s="361"/>
      <c r="W133" s="361"/>
      <c r="X133" s="365"/>
      <c r="Y133" s="361"/>
      <c r="Z133" s="361"/>
      <c r="AA133" s="116"/>
      <c r="AB133" s="116"/>
      <c r="AC133" s="116"/>
      <c r="AD133" s="116"/>
      <c r="AE133" s="365"/>
      <c r="AF133" s="116"/>
      <c r="AG133" s="116"/>
      <c r="AH133" s="116"/>
      <c r="AI133" s="116"/>
      <c r="AJ133" s="116"/>
      <c r="AK133" s="116"/>
      <c r="AL133" s="116"/>
    </row>
    <row r="134" ht="16.5" customHeight="1">
      <c r="A134" s="362"/>
      <c r="B134" s="362"/>
      <c r="C134" s="362"/>
      <c r="D134" s="362"/>
      <c r="E134" s="132"/>
      <c r="F134" s="131"/>
      <c r="G134" s="361"/>
      <c r="H134" s="363"/>
      <c r="I134" s="364"/>
      <c r="J134" s="361"/>
      <c r="K134" s="361"/>
      <c r="L134" s="361"/>
      <c r="M134" s="361"/>
      <c r="N134" s="361"/>
      <c r="O134" s="361"/>
      <c r="P134" s="361"/>
      <c r="Q134" s="361"/>
      <c r="R134" s="361"/>
      <c r="S134" s="361"/>
      <c r="T134" s="361"/>
      <c r="U134" s="361"/>
      <c r="V134" s="361"/>
      <c r="W134" s="361"/>
      <c r="X134" s="365"/>
      <c r="Y134" s="361"/>
      <c r="Z134" s="361"/>
      <c r="AA134" s="116"/>
      <c r="AB134" s="116"/>
      <c r="AC134" s="116"/>
      <c r="AD134" s="116"/>
      <c r="AE134" s="365"/>
      <c r="AF134" s="116"/>
      <c r="AG134" s="116"/>
      <c r="AH134" s="116"/>
      <c r="AI134" s="116"/>
      <c r="AJ134" s="116"/>
      <c r="AK134" s="116"/>
      <c r="AL134" s="116"/>
    </row>
    <row r="135" ht="16.5" customHeight="1">
      <c r="A135" s="362"/>
      <c r="B135" s="362"/>
      <c r="C135" s="362"/>
      <c r="D135" s="362"/>
      <c r="E135" s="132"/>
      <c r="F135" s="131"/>
      <c r="G135" s="361"/>
      <c r="H135" s="363"/>
      <c r="I135" s="364"/>
      <c r="J135" s="361"/>
      <c r="K135" s="361"/>
      <c r="L135" s="361"/>
      <c r="M135" s="361"/>
      <c r="N135" s="361"/>
      <c r="O135" s="361"/>
      <c r="P135" s="361"/>
      <c r="Q135" s="361"/>
      <c r="R135" s="361"/>
      <c r="S135" s="361"/>
      <c r="T135" s="361"/>
      <c r="U135" s="361"/>
      <c r="V135" s="361"/>
      <c r="W135" s="361"/>
      <c r="X135" s="365"/>
      <c r="Y135" s="361"/>
      <c r="Z135" s="361"/>
      <c r="AA135" s="116"/>
      <c r="AB135" s="116"/>
      <c r="AC135" s="116"/>
      <c r="AD135" s="116"/>
      <c r="AE135" s="365"/>
      <c r="AF135" s="116"/>
      <c r="AG135" s="116"/>
      <c r="AH135" s="116"/>
      <c r="AI135" s="116"/>
      <c r="AJ135" s="116"/>
      <c r="AK135" s="116"/>
      <c r="AL135" s="116"/>
    </row>
    <row r="136" ht="16.5" customHeight="1">
      <c r="A136" s="362"/>
      <c r="B136" s="362"/>
      <c r="C136" s="362"/>
      <c r="D136" s="362"/>
      <c r="E136" s="132"/>
      <c r="F136" s="131"/>
      <c r="G136" s="361"/>
      <c r="H136" s="363"/>
      <c r="I136" s="364"/>
      <c r="J136" s="361"/>
      <c r="K136" s="361"/>
      <c r="L136" s="361"/>
      <c r="M136" s="361"/>
      <c r="N136" s="361"/>
      <c r="O136" s="361"/>
      <c r="P136" s="361"/>
      <c r="Q136" s="361"/>
      <c r="R136" s="361"/>
      <c r="S136" s="361"/>
      <c r="T136" s="361"/>
      <c r="U136" s="361"/>
      <c r="V136" s="361"/>
      <c r="W136" s="361"/>
      <c r="X136" s="365"/>
      <c r="Y136" s="361"/>
      <c r="Z136" s="361"/>
      <c r="AA136" s="116"/>
      <c r="AB136" s="116"/>
      <c r="AC136" s="116"/>
      <c r="AD136" s="116"/>
      <c r="AE136" s="365"/>
      <c r="AF136" s="116"/>
      <c r="AG136" s="116"/>
      <c r="AH136" s="116"/>
      <c r="AI136" s="116"/>
      <c r="AJ136" s="116"/>
      <c r="AK136" s="116"/>
      <c r="AL136" s="116"/>
    </row>
    <row r="137" ht="16.5" customHeight="1">
      <c r="A137" s="362"/>
      <c r="B137" s="362"/>
      <c r="C137" s="362"/>
      <c r="D137" s="362"/>
      <c r="E137" s="132"/>
      <c r="F137" s="131"/>
      <c r="G137" s="361"/>
      <c r="H137" s="363"/>
      <c r="I137" s="364"/>
      <c r="J137" s="361"/>
      <c r="K137" s="361"/>
      <c r="L137" s="361"/>
      <c r="M137" s="361"/>
      <c r="N137" s="361"/>
      <c r="O137" s="361"/>
      <c r="P137" s="361"/>
      <c r="Q137" s="361"/>
      <c r="R137" s="361"/>
      <c r="S137" s="361"/>
      <c r="T137" s="361"/>
      <c r="U137" s="361"/>
      <c r="V137" s="361"/>
      <c r="W137" s="361"/>
      <c r="X137" s="365"/>
      <c r="Y137" s="361"/>
      <c r="Z137" s="361"/>
      <c r="AA137" s="116"/>
      <c r="AB137" s="116"/>
      <c r="AC137" s="116"/>
      <c r="AD137" s="116"/>
      <c r="AE137" s="365"/>
      <c r="AF137" s="116"/>
      <c r="AG137" s="116"/>
      <c r="AH137" s="116"/>
      <c r="AI137" s="116"/>
      <c r="AJ137" s="116"/>
      <c r="AK137" s="116"/>
      <c r="AL137" s="116"/>
    </row>
    <row r="138" ht="16.5" customHeight="1">
      <c r="A138" s="362"/>
      <c r="B138" s="362"/>
      <c r="C138" s="362"/>
      <c r="D138" s="362"/>
      <c r="E138" s="132"/>
      <c r="F138" s="131"/>
      <c r="G138" s="361"/>
      <c r="H138" s="363"/>
      <c r="I138" s="364"/>
      <c r="J138" s="361"/>
      <c r="K138" s="361"/>
      <c r="L138" s="361"/>
      <c r="M138" s="361"/>
      <c r="N138" s="361"/>
      <c r="O138" s="361"/>
      <c r="P138" s="361"/>
      <c r="Q138" s="361"/>
      <c r="R138" s="361"/>
      <c r="S138" s="361"/>
      <c r="T138" s="361"/>
      <c r="U138" s="361"/>
      <c r="V138" s="361"/>
      <c r="W138" s="361"/>
      <c r="X138" s="365"/>
      <c r="Y138" s="361"/>
      <c r="Z138" s="361"/>
      <c r="AA138" s="116"/>
      <c r="AB138" s="116"/>
      <c r="AC138" s="116"/>
      <c r="AD138" s="116"/>
      <c r="AE138" s="365"/>
      <c r="AF138" s="116"/>
      <c r="AG138" s="116"/>
      <c r="AH138" s="116"/>
      <c r="AI138" s="116"/>
      <c r="AJ138" s="116"/>
      <c r="AK138" s="116"/>
      <c r="AL138" s="116"/>
    </row>
    <row r="139" ht="16.5" customHeight="1">
      <c r="A139" s="362"/>
      <c r="B139" s="362"/>
      <c r="C139" s="362"/>
      <c r="D139" s="362"/>
      <c r="E139" s="132"/>
      <c r="F139" s="131"/>
      <c r="G139" s="361"/>
      <c r="H139" s="363"/>
      <c r="I139" s="364"/>
      <c r="J139" s="361"/>
      <c r="K139" s="361"/>
      <c r="L139" s="361"/>
      <c r="M139" s="361"/>
      <c r="N139" s="361"/>
      <c r="O139" s="361"/>
      <c r="P139" s="361"/>
      <c r="Q139" s="361"/>
      <c r="R139" s="361"/>
      <c r="S139" s="361"/>
      <c r="T139" s="361"/>
      <c r="U139" s="361"/>
      <c r="V139" s="361"/>
      <c r="W139" s="361"/>
      <c r="X139" s="365"/>
      <c r="Y139" s="361"/>
      <c r="Z139" s="361"/>
      <c r="AA139" s="116"/>
      <c r="AB139" s="116"/>
      <c r="AC139" s="116"/>
      <c r="AD139" s="116"/>
      <c r="AE139" s="365"/>
      <c r="AF139" s="116"/>
      <c r="AG139" s="116"/>
      <c r="AH139" s="116"/>
      <c r="AI139" s="116"/>
      <c r="AJ139" s="116"/>
      <c r="AK139" s="116"/>
      <c r="AL139" s="116"/>
    </row>
    <row r="140" ht="16.5" customHeight="1">
      <c r="A140" s="362"/>
      <c r="B140" s="362"/>
      <c r="C140" s="362"/>
      <c r="D140" s="362"/>
      <c r="E140" s="132"/>
      <c r="F140" s="131"/>
      <c r="G140" s="361"/>
      <c r="H140" s="363"/>
      <c r="I140" s="364"/>
      <c r="J140" s="361"/>
      <c r="K140" s="361"/>
      <c r="L140" s="361"/>
      <c r="M140" s="361"/>
      <c r="N140" s="361"/>
      <c r="O140" s="361"/>
      <c r="P140" s="361"/>
      <c r="Q140" s="361"/>
      <c r="R140" s="361"/>
      <c r="S140" s="361"/>
      <c r="T140" s="361"/>
      <c r="U140" s="361"/>
      <c r="V140" s="361"/>
      <c r="W140" s="361"/>
      <c r="X140" s="365"/>
      <c r="Y140" s="361"/>
      <c r="Z140" s="361"/>
      <c r="AA140" s="116"/>
      <c r="AB140" s="116"/>
      <c r="AC140" s="116"/>
      <c r="AD140" s="116"/>
      <c r="AE140" s="365"/>
      <c r="AF140" s="116"/>
      <c r="AG140" s="116"/>
      <c r="AH140" s="116"/>
      <c r="AI140" s="116"/>
      <c r="AJ140" s="116"/>
      <c r="AK140" s="116"/>
      <c r="AL140" s="116"/>
    </row>
    <row r="141" ht="16.5" customHeight="1">
      <c r="A141" s="362"/>
      <c r="B141" s="362"/>
      <c r="C141" s="362"/>
      <c r="D141" s="362"/>
      <c r="E141" s="132"/>
      <c r="F141" s="131"/>
      <c r="G141" s="361"/>
      <c r="H141" s="363"/>
      <c r="I141" s="364"/>
      <c r="J141" s="361"/>
      <c r="K141" s="361"/>
      <c r="L141" s="361"/>
      <c r="M141" s="361"/>
      <c r="N141" s="361"/>
      <c r="O141" s="361"/>
      <c r="P141" s="361"/>
      <c r="Q141" s="361"/>
      <c r="R141" s="361"/>
      <c r="S141" s="361"/>
      <c r="T141" s="361"/>
      <c r="U141" s="361"/>
      <c r="V141" s="361"/>
      <c r="W141" s="361"/>
      <c r="X141" s="365"/>
      <c r="Y141" s="361"/>
      <c r="Z141" s="361"/>
      <c r="AA141" s="116"/>
      <c r="AB141" s="116"/>
      <c r="AC141" s="116"/>
      <c r="AD141" s="116"/>
      <c r="AE141" s="365"/>
      <c r="AF141" s="116"/>
      <c r="AG141" s="116"/>
      <c r="AH141" s="116"/>
      <c r="AI141" s="116"/>
      <c r="AJ141" s="116"/>
      <c r="AK141" s="116"/>
      <c r="AL141" s="116"/>
    </row>
    <row r="142" ht="16.5" customHeight="1">
      <c r="A142" s="362"/>
      <c r="B142" s="362"/>
      <c r="C142" s="362"/>
      <c r="D142" s="362"/>
      <c r="E142" s="132"/>
      <c r="F142" s="131"/>
      <c r="G142" s="361"/>
      <c r="H142" s="363"/>
      <c r="I142" s="364"/>
      <c r="J142" s="361"/>
      <c r="K142" s="361"/>
      <c r="L142" s="361"/>
      <c r="M142" s="361"/>
      <c r="N142" s="361"/>
      <c r="O142" s="361"/>
      <c r="P142" s="361"/>
      <c r="Q142" s="361"/>
      <c r="R142" s="361"/>
      <c r="S142" s="361"/>
      <c r="T142" s="361"/>
      <c r="U142" s="361"/>
      <c r="V142" s="361"/>
      <c r="W142" s="361"/>
      <c r="X142" s="365"/>
      <c r="Y142" s="361"/>
      <c r="Z142" s="361"/>
      <c r="AA142" s="116"/>
      <c r="AB142" s="116"/>
      <c r="AC142" s="116"/>
      <c r="AD142" s="116"/>
      <c r="AE142" s="365"/>
      <c r="AF142" s="116"/>
      <c r="AG142" s="116"/>
      <c r="AH142" s="116"/>
      <c r="AI142" s="116"/>
      <c r="AJ142" s="116"/>
      <c r="AK142" s="116"/>
      <c r="AL142" s="116"/>
    </row>
    <row r="143" ht="16.5" customHeight="1">
      <c r="A143" s="362"/>
      <c r="B143" s="362"/>
      <c r="C143" s="362"/>
      <c r="D143" s="362"/>
      <c r="E143" s="132"/>
      <c r="F143" s="131"/>
      <c r="G143" s="361"/>
      <c r="H143" s="363"/>
      <c r="I143" s="364"/>
      <c r="J143" s="361"/>
      <c r="K143" s="361"/>
      <c r="L143" s="361"/>
      <c r="M143" s="361"/>
      <c r="N143" s="361"/>
      <c r="O143" s="361"/>
      <c r="P143" s="361"/>
      <c r="Q143" s="361"/>
      <c r="R143" s="361"/>
      <c r="S143" s="361"/>
      <c r="T143" s="361"/>
      <c r="U143" s="361"/>
      <c r="V143" s="361"/>
      <c r="W143" s="361"/>
      <c r="X143" s="365"/>
      <c r="Y143" s="361"/>
      <c r="Z143" s="361"/>
      <c r="AA143" s="116"/>
      <c r="AB143" s="116"/>
      <c r="AC143" s="116"/>
      <c r="AD143" s="116"/>
      <c r="AE143" s="365"/>
      <c r="AF143" s="116"/>
      <c r="AG143" s="116"/>
      <c r="AH143" s="116"/>
      <c r="AI143" s="116"/>
      <c r="AJ143" s="116"/>
      <c r="AK143" s="116"/>
      <c r="AL143" s="116"/>
    </row>
    <row r="144" ht="16.5" customHeight="1">
      <c r="A144" s="362"/>
      <c r="B144" s="362"/>
      <c r="C144" s="362"/>
      <c r="D144" s="362"/>
      <c r="E144" s="132"/>
      <c r="F144" s="131"/>
      <c r="G144" s="361"/>
      <c r="H144" s="363"/>
      <c r="I144" s="364"/>
      <c r="J144" s="361"/>
      <c r="K144" s="361"/>
      <c r="L144" s="361"/>
      <c r="M144" s="361"/>
      <c r="N144" s="361"/>
      <c r="O144" s="361"/>
      <c r="P144" s="361"/>
      <c r="Q144" s="361"/>
      <c r="R144" s="361"/>
      <c r="S144" s="361"/>
      <c r="T144" s="361"/>
      <c r="U144" s="361"/>
      <c r="V144" s="361"/>
      <c r="W144" s="361"/>
      <c r="X144" s="365"/>
      <c r="Y144" s="361"/>
      <c r="Z144" s="361"/>
      <c r="AA144" s="116"/>
      <c r="AB144" s="116"/>
      <c r="AC144" s="116"/>
      <c r="AD144" s="116"/>
      <c r="AE144" s="365"/>
      <c r="AF144" s="116"/>
      <c r="AG144" s="116"/>
      <c r="AH144" s="116"/>
      <c r="AI144" s="116"/>
      <c r="AJ144" s="116"/>
      <c r="AK144" s="116"/>
      <c r="AL144" s="116"/>
    </row>
    <row r="145" ht="16.5" customHeight="1">
      <c r="A145" s="362"/>
      <c r="B145" s="362"/>
      <c r="C145" s="362"/>
      <c r="D145" s="362"/>
      <c r="E145" s="132"/>
      <c r="F145" s="131"/>
      <c r="G145" s="361"/>
      <c r="H145" s="363"/>
      <c r="I145" s="364"/>
      <c r="J145" s="361"/>
      <c r="K145" s="361"/>
      <c r="L145" s="361"/>
      <c r="M145" s="361"/>
      <c r="N145" s="361"/>
      <c r="O145" s="361"/>
      <c r="P145" s="361"/>
      <c r="Q145" s="361"/>
      <c r="R145" s="361"/>
      <c r="S145" s="361"/>
      <c r="T145" s="361"/>
      <c r="U145" s="361"/>
      <c r="V145" s="361"/>
      <c r="W145" s="361"/>
      <c r="X145" s="365"/>
      <c r="Y145" s="361"/>
      <c r="Z145" s="361"/>
      <c r="AA145" s="116"/>
      <c r="AB145" s="116"/>
      <c r="AC145" s="116"/>
      <c r="AD145" s="116"/>
      <c r="AE145" s="365"/>
      <c r="AF145" s="116"/>
      <c r="AG145" s="116"/>
      <c r="AH145" s="116"/>
      <c r="AI145" s="116"/>
      <c r="AJ145" s="116"/>
      <c r="AK145" s="116"/>
      <c r="AL145" s="116"/>
    </row>
    <row r="146" ht="16.5" customHeight="1">
      <c r="A146" s="362"/>
      <c r="B146" s="362"/>
      <c r="C146" s="362"/>
      <c r="D146" s="362"/>
      <c r="E146" s="132"/>
      <c r="F146" s="131"/>
      <c r="G146" s="361"/>
      <c r="H146" s="363"/>
      <c r="I146" s="364"/>
      <c r="J146" s="361"/>
      <c r="K146" s="361"/>
      <c r="L146" s="361"/>
      <c r="M146" s="361"/>
      <c r="N146" s="361"/>
      <c r="O146" s="361"/>
      <c r="P146" s="361"/>
      <c r="Q146" s="361"/>
      <c r="R146" s="361"/>
      <c r="S146" s="361"/>
      <c r="T146" s="361"/>
      <c r="U146" s="361"/>
      <c r="V146" s="361"/>
      <c r="W146" s="361"/>
      <c r="X146" s="365"/>
      <c r="Y146" s="361"/>
      <c r="Z146" s="361"/>
      <c r="AA146" s="116"/>
      <c r="AB146" s="116"/>
      <c r="AC146" s="116"/>
      <c r="AD146" s="116"/>
      <c r="AE146" s="365"/>
      <c r="AF146" s="116"/>
      <c r="AG146" s="116"/>
      <c r="AH146" s="116"/>
      <c r="AI146" s="116"/>
      <c r="AJ146" s="116"/>
      <c r="AK146" s="116"/>
      <c r="AL146" s="116"/>
    </row>
    <row r="147" ht="16.5" customHeight="1">
      <c r="A147" s="362"/>
      <c r="B147" s="362"/>
      <c r="C147" s="362"/>
      <c r="D147" s="362"/>
      <c r="E147" s="132"/>
      <c r="F147" s="131"/>
      <c r="G147" s="361"/>
      <c r="H147" s="363"/>
      <c r="I147" s="364"/>
      <c r="J147" s="361"/>
      <c r="K147" s="361"/>
      <c r="L147" s="361"/>
      <c r="M147" s="361"/>
      <c r="N147" s="361"/>
      <c r="O147" s="361"/>
      <c r="P147" s="361"/>
      <c r="Q147" s="361"/>
      <c r="R147" s="361"/>
      <c r="S147" s="361"/>
      <c r="T147" s="361"/>
      <c r="U147" s="361"/>
      <c r="V147" s="361"/>
      <c r="W147" s="361"/>
      <c r="X147" s="365"/>
      <c r="Y147" s="361"/>
      <c r="Z147" s="361"/>
      <c r="AA147" s="116"/>
      <c r="AB147" s="116"/>
      <c r="AC147" s="116"/>
      <c r="AD147" s="116"/>
      <c r="AE147" s="365"/>
      <c r="AF147" s="116"/>
      <c r="AG147" s="116"/>
      <c r="AH147" s="116"/>
      <c r="AI147" s="116"/>
      <c r="AJ147" s="116"/>
      <c r="AK147" s="116"/>
      <c r="AL147" s="116"/>
    </row>
    <row r="148" ht="16.5" customHeight="1">
      <c r="A148" s="362"/>
      <c r="B148" s="362"/>
      <c r="C148" s="362"/>
      <c r="D148" s="362"/>
      <c r="E148" s="132"/>
      <c r="F148" s="131"/>
      <c r="G148" s="361"/>
      <c r="H148" s="363"/>
      <c r="I148" s="364"/>
      <c r="J148" s="361"/>
      <c r="K148" s="361"/>
      <c r="L148" s="361"/>
      <c r="M148" s="361"/>
      <c r="N148" s="361"/>
      <c r="O148" s="361"/>
      <c r="P148" s="361"/>
      <c r="Q148" s="361"/>
      <c r="R148" s="361"/>
      <c r="S148" s="361"/>
      <c r="T148" s="361"/>
      <c r="U148" s="361"/>
      <c r="V148" s="361"/>
      <c r="W148" s="361"/>
      <c r="X148" s="365"/>
      <c r="Y148" s="361"/>
      <c r="Z148" s="361"/>
      <c r="AA148" s="116"/>
      <c r="AB148" s="116"/>
      <c r="AC148" s="116"/>
      <c r="AD148" s="116"/>
      <c r="AE148" s="365"/>
      <c r="AF148" s="116"/>
      <c r="AG148" s="116"/>
      <c r="AH148" s="116"/>
      <c r="AI148" s="116"/>
      <c r="AJ148" s="116"/>
      <c r="AK148" s="116"/>
      <c r="AL148" s="116"/>
    </row>
    <row r="149" ht="16.5" customHeight="1">
      <c r="A149" s="362"/>
      <c r="B149" s="362"/>
      <c r="C149" s="362"/>
      <c r="D149" s="362"/>
      <c r="E149" s="132"/>
      <c r="F149" s="131"/>
      <c r="G149" s="361"/>
      <c r="H149" s="363"/>
      <c r="I149" s="364"/>
      <c r="J149" s="361"/>
      <c r="K149" s="361"/>
      <c r="L149" s="361"/>
      <c r="M149" s="361"/>
      <c r="N149" s="361"/>
      <c r="O149" s="361"/>
      <c r="P149" s="361"/>
      <c r="Q149" s="361"/>
      <c r="R149" s="361"/>
      <c r="S149" s="361"/>
      <c r="T149" s="361"/>
      <c r="U149" s="361"/>
      <c r="V149" s="361"/>
      <c r="W149" s="361"/>
      <c r="X149" s="365"/>
      <c r="Y149" s="361"/>
      <c r="Z149" s="361"/>
      <c r="AA149" s="116"/>
      <c r="AB149" s="116"/>
      <c r="AC149" s="116"/>
      <c r="AD149" s="116"/>
      <c r="AE149" s="365"/>
      <c r="AF149" s="116"/>
      <c r="AG149" s="116"/>
      <c r="AH149" s="116"/>
      <c r="AI149" s="116"/>
      <c r="AJ149" s="116"/>
      <c r="AK149" s="116"/>
      <c r="AL149" s="116"/>
    </row>
    <row r="150" ht="16.5" customHeight="1">
      <c r="A150" s="362"/>
      <c r="B150" s="362"/>
      <c r="C150" s="362"/>
      <c r="D150" s="362"/>
      <c r="E150" s="132"/>
      <c r="F150" s="131"/>
      <c r="G150" s="361"/>
      <c r="H150" s="363"/>
      <c r="I150" s="364"/>
      <c r="J150" s="361"/>
      <c r="K150" s="361"/>
      <c r="L150" s="361"/>
      <c r="M150" s="361"/>
      <c r="N150" s="361"/>
      <c r="O150" s="361"/>
      <c r="P150" s="361"/>
      <c r="Q150" s="361"/>
      <c r="R150" s="361"/>
      <c r="S150" s="361"/>
      <c r="T150" s="361"/>
      <c r="U150" s="361"/>
      <c r="V150" s="361"/>
      <c r="W150" s="361"/>
      <c r="X150" s="365"/>
      <c r="Y150" s="361"/>
      <c r="Z150" s="361"/>
      <c r="AA150" s="116"/>
      <c r="AB150" s="116"/>
      <c r="AC150" s="116"/>
      <c r="AD150" s="116"/>
      <c r="AE150" s="365"/>
      <c r="AF150" s="116"/>
      <c r="AG150" s="116"/>
      <c r="AH150" s="116"/>
      <c r="AI150" s="116"/>
      <c r="AJ150" s="116"/>
      <c r="AK150" s="116"/>
      <c r="AL150" s="116"/>
    </row>
    <row r="151" ht="16.5" customHeight="1">
      <c r="A151" s="362"/>
      <c r="B151" s="362"/>
      <c r="C151" s="362"/>
      <c r="D151" s="362"/>
      <c r="E151" s="132"/>
      <c r="F151" s="131"/>
      <c r="G151" s="361"/>
      <c r="H151" s="363"/>
      <c r="I151" s="364"/>
      <c r="J151" s="361"/>
      <c r="K151" s="361"/>
      <c r="L151" s="361"/>
      <c r="M151" s="361"/>
      <c r="N151" s="361"/>
      <c r="O151" s="361"/>
      <c r="P151" s="361"/>
      <c r="Q151" s="361"/>
      <c r="R151" s="361"/>
      <c r="S151" s="361"/>
      <c r="T151" s="361"/>
      <c r="U151" s="361"/>
      <c r="V151" s="361"/>
      <c r="W151" s="361"/>
      <c r="X151" s="365"/>
      <c r="Y151" s="361"/>
      <c r="Z151" s="361"/>
      <c r="AA151" s="116"/>
      <c r="AB151" s="116"/>
      <c r="AC151" s="116"/>
      <c r="AD151" s="116"/>
      <c r="AE151" s="365"/>
      <c r="AF151" s="116"/>
      <c r="AG151" s="116"/>
      <c r="AH151" s="116"/>
      <c r="AI151" s="116"/>
      <c r="AJ151" s="116"/>
      <c r="AK151" s="116"/>
      <c r="AL151" s="116"/>
    </row>
    <row r="152" ht="16.5" customHeight="1">
      <c r="A152" s="362"/>
      <c r="B152" s="362"/>
      <c r="C152" s="362"/>
      <c r="D152" s="362"/>
      <c r="E152" s="132"/>
      <c r="F152" s="131"/>
      <c r="G152" s="361"/>
      <c r="H152" s="363"/>
      <c r="I152" s="364"/>
      <c r="J152" s="361"/>
      <c r="K152" s="361"/>
      <c r="L152" s="361"/>
      <c r="M152" s="361"/>
      <c r="N152" s="361"/>
      <c r="O152" s="361"/>
      <c r="P152" s="361"/>
      <c r="Q152" s="361"/>
      <c r="R152" s="361"/>
      <c r="S152" s="361"/>
      <c r="T152" s="361"/>
      <c r="U152" s="361"/>
      <c r="V152" s="361"/>
      <c r="W152" s="361"/>
      <c r="X152" s="365"/>
      <c r="Y152" s="361"/>
      <c r="Z152" s="361"/>
      <c r="AA152" s="116"/>
      <c r="AB152" s="116"/>
      <c r="AC152" s="116"/>
      <c r="AD152" s="116"/>
      <c r="AE152" s="365"/>
      <c r="AF152" s="116"/>
      <c r="AG152" s="116"/>
      <c r="AH152" s="116"/>
      <c r="AI152" s="116"/>
      <c r="AJ152" s="116"/>
      <c r="AK152" s="116"/>
      <c r="AL152" s="116"/>
    </row>
    <row r="153" ht="16.5" customHeight="1">
      <c r="A153" s="362"/>
      <c r="B153" s="362"/>
      <c r="C153" s="362"/>
      <c r="D153" s="362"/>
      <c r="E153" s="132"/>
      <c r="F153" s="131"/>
      <c r="G153" s="361"/>
      <c r="H153" s="363"/>
      <c r="I153" s="364"/>
      <c r="J153" s="361"/>
      <c r="K153" s="361"/>
      <c r="L153" s="361"/>
      <c r="M153" s="361"/>
      <c r="N153" s="361"/>
      <c r="O153" s="361"/>
      <c r="P153" s="361"/>
      <c r="Q153" s="361"/>
      <c r="R153" s="361"/>
      <c r="S153" s="361"/>
      <c r="T153" s="361"/>
      <c r="U153" s="361"/>
      <c r="V153" s="361"/>
      <c r="W153" s="361"/>
      <c r="X153" s="365"/>
      <c r="Y153" s="361"/>
      <c r="Z153" s="361"/>
      <c r="AA153" s="116"/>
      <c r="AB153" s="116"/>
      <c r="AC153" s="116"/>
      <c r="AD153" s="116"/>
      <c r="AE153" s="365"/>
      <c r="AF153" s="116"/>
      <c r="AG153" s="116"/>
      <c r="AH153" s="116"/>
      <c r="AI153" s="116"/>
      <c r="AJ153" s="116"/>
      <c r="AK153" s="116"/>
      <c r="AL153" s="116"/>
    </row>
    <row r="154" ht="16.5" customHeight="1">
      <c r="A154" s="362"/>
      <c r="B154" s="362"/>
      <c r="C154" s="362"/>
      <c r="D154" s="362"/>
      <c r="E154" s="132"/>
      <c r="F154" s="131"/>
      <c r="G154" s="361"/>
      <c r="H154" s="363"/>
      <c r="I154" s="364"/>
      <c r="J154" s="361"/>
      <c r="K154" s="361"/>
      <c r="L154" s="361"/>
      <c r="M154" s="361"/>
      <c r="N154" s="361"/>
      <c r="O154" s="361"/>
      <c r="P154" s="361"/>
      <c r="Q154" s="361"/>
      <c r="R154" s="361"/>
      <c r="S154" s="361"/>
      <c r="T154" s="361"/>
      <c r="U154" s="361"/>
      <c r="V154" s="361"/>
      <c r="W154" s="361"/>
      <c r="X154" s="365"/>
      <c r="Y154" s="361"/>
      <c r="Z154" s="361"/>
      <c r="AA154" s="116"/>
      <c r="AB154" s="116"/>
      <c r="AC154" s="116"/>
      <c r="AD154" s="116"/>
      <c r="AE154" s="365"/>
      <c r="AF154" s="116"/>
      <c r="AG154" s="116"/>
      <c r="AH154" s="116"/>
      <c r="AI154" s="116"/>
      <c r="AJ154" s="116"/>
      <c r="AK154" s="116"/>
      <c r="AL154" s="116"/>
    </row>
    <row r="155" ht="16.5" customHeight="1">
      <c r="A155" s="362"/>
      <c r="B155" s="362"/>
      <c r="C155" s="362"/>
      <c r="D155" s="362"/>
      <c r="E155" s="132"/>
      <c r="F155" s="131"/>
      <c r="G155" s="361"/>
      <c r="H155" s="363"/>
      <c r="I155" s="364"/>
      <c r="J155" s="361"/>
      <c r="K155" s="361"/>
      <c r="L155" s="361"/>
      <c r="M155" s="361"/>
      <c r="N155" s="361"/>
      <c r="O155" s="361"/>
      <c r="P155" s="361"/>
      <c r="Q155" s="361"/>
      <c r="R155" s="361"/>
      <c r="S155" s="361"/>
      <c r="T155" s="361"/>
      <c r="U155" s="361"/>
      <c r="V155" s="361"/>
      <c r="W155" s="361"/>
      <c r="X155" s="365"/>
      <c r="Y155" s="361"/>
      <c r="Z155" s="361"/>
      <c r="AA155" s="116"/>
      <c r="AB155" s="116"/>
      <c r="AC155" s="116"/>
      <c r="AD155" s="116"/>
      <c r="AE155" s="365"/>
      <c r="AF155" s="116"/>
      <c r="AG155" s="116"/>
      <c r="AH155" s="116"/>
      <c r="AI155" s="116"/>
      <c r="AJ155" s="116"/>
      <c r="AK155" s="116"/>
      <c r="AL155" s="116"/>
    </row>
    <row r="156" ht="16.5" customHeight="1">
      <c r="A156" s="362"/>
      <c r="B156" s="362"/>
      <c r="C156" s="362"/>
      <c r="D156" s="362"/>
      <c r="E156" s="132"/>
      <c r="F156" s="131"/>
      <c r="G156" s="361"/>
      <c r="H156" s="363"/>
      <c r="I156" s="364"/>
      <c r="J156" s="361"/>
      <c r="K156" s="361"/>
      <c r="L156" s="361"/>
      <c r="M156" s="361"/>
      <c r="N156" s="361"/>
      <c r="O156" s="361"/>
      <c r="P156" s="361"/>
      <c r="Q156" s="361"/>
      <c r="R156" s="361"/>
      <c r="S156" s="361"/>
      <c r="T156" s="361"/>
      <c r="U156" s="361"/>
      <c r="V156" s="361"/>
      <c r="W156" s="361"/>
      <c r="X156" s="365"/>
      <c r="Y156" s="361"/>
      <c r="Z156" s="361"/>
      <c r="AA156" s="116"/>
      <c r="AB156" s="116"/>
      <c r="AC156" s="116"/>
      <c r="AD156" s="116"/>
      <c r="AE156" s="365"/>
      <c r="AF156" s="116"/>
      <c r="AG156" s="116"/>
      <c r="AH156" s="116"/>
      <c r="AI156" s="116"/>
      <c r="AJ156" s="116"/>
      <c r="AK156" s="116"/>
      <c r="AL156" s="116"/>
    </row>
    <row r="157" ht="16.5" customHeight="1">
      <c r="A157" s="362"/>
      <c r="B157" s="362"/>
      <c r="C157" s="362"/>
      <c r="D157" s="362"/>
      <c r="E157" s="132"/>
      <c r="F157" s="131"/>
      <c r="G157" s="361"/>
      <c r="H157" s="363"/>
      <c r="I157" s="364"/>
      <c r="J157" s="361"/>
      <c r="K157" s="361"/>
      <c r="L157" s="361"/>
      <c r="M157" s="361"/>
      <c r="N157" s="361"/>
      <c r="O157" s="361"/>
      <c r="P157" s="361"/>
      <c r="Q157" s="361"/>
      <c r="R157" s="361"/>
      <c r="S157" s="361"/>
      <c r="T157" s="361"/>
      <c r="U157" s="361"/>
      <c r="V157" s="361"/>
      <c r="W157" s="361"/>
      <c r="X157" s="365"/>
      <c r="Y157" s="361"/>
      <c r="Z157" s="361"/>
      <c r="AA157" s="116"/>
      <c r="AB157" s="116"/>
      <c r="AC157" s="116"/>
      <c r="AD157" s="116"/>
      <c r="AE157" s="365"/>
      <c r="AF157" s="116"/>
      <c r="AG157" s="116"/>
      <c r="AH157" s="116"/>
      <c r="AI157" s="116"/>
      <c r="AJ157" s="116"/>
      <c r="AK157" s="116"/>
      <c r="AL157" s="116"/>
    </row>
    <row r="158" ht="16.5" customHeight="1">
      <c r="A158" s="362"/>
      <c r="B158" s="362"/>
      <c r="C158" s="362"/>
      <c r="D158" s="362"/>
      <c r="E158" s="132"/>
      <c r="F158" s="131"/>
      <c r="G158" s="361"/>
      <c r="H158" s="363"/>
      <c r="I158" s="364"/>
      <c r="J158" s="361"/>
      <c r="K158" s="361"/>
      <c r="L158" s="361"/>
      <c r="M158" s="361"/>
      <c r="N158" s="361"/>
      <c r="O158" s="361"/>
      <c r="P158" s="361"/>
      <c r="Q158" s="361"/>
      <c r="R158" s="361"/>
      <c r="S158" s="361"/>
      <c r="T158" s="361"/>
      <c r="U158" s="361"/>
      <c r="V158" s="361"/>
      <c r="W158" s="361"/>
      <c r="X158" s="365"/>
      <c r="Y158" s="361"/>
      <c r="Z158" s="361"/>
      <c r="AA158" s="116"/>
      <c r="AB158" s="116"/>
      <c r="AC158" s="116"/>
      <c r="AD158" s="116"/>
      <c r="AE158" s="365"/>
      <c r="AF158" s="116"/>
      <c r="AG158" s="116"/>
      <c r="AH158" s="116"/>
      <c r="AI158" s="116"/>
      <c r="AJ158" s="116"/>
      <c r="AK158" s="116"/>
      <c r="AL158" s="116"/>
    </row>
    <row r="159" ht="16.5" customHeight="1">
      <c r="A159" s="362"/>
      <c r="B159" s="362"/>
      <c r="C159" s="362"/>
      <c r="D159" s="362"/>
      <c r="E159" s="132"/>
      <c r="F159" s="131"/>
      <c r="G159" s="361"/>
      <c r="H159" s="363"/>
      <c r="I159" s="364"/>
      <c r="J159" s="361"/>
      <c r="K159" s="361"/>
      <c r="L159" s="361"/>
      <c r="M159" s="361"/>
      <c r="N159" s="361"/>
      <c r="O159" s="361"/>
      <c r="P159" s="361"/>
      <c r="Q159" s="361"/>
      <c r="R159" s="361"/>
      <c r="S159" s="361"/>
      <c r="T159" s="361"/>
      <c r="U159" s="361"/>
      <c r="V159" s="361"/>
      <c r="W159" s="361"/>
      <c r="X159" s="365"/>
      <c r="Y159" s="361"/>
      <c r="Z159" s="361"/>
      <c r="AA159" s="116"/>
      <c r="AB159" s="116"/>
      <c r="AC159" s="116"/>
      <c r="AD159" s="116"/>
      <c r="AE159" s="365"/>
      <c r="AF159" s="116"/>
      <c r="AG159" s="116"/>
      <c r="AH159" s="116"/>
      <c r="AI159" s="116"/>
      <c r="AJ159" s="116"/>
      <c r="AK159" s="116"/>
      <c r="AL159" s="116"/>
    </row>
    <row r="160" ht="16.5" customHeight="1">
      <c r="A160" s="362"/>
      <c r="B160" s="362"/>
      <c r="C160" s="362"/>
      <c r="D160" s="362"/>
      <c r="E160" s="132"/>
      <c r="F160" s="131"/>
      <c r="G160" s="361"/>
      <c r="H160" s="363"/>
      <c r="I160" s="364"/>
      <c r="J160" s="361"/>
      <c r="K160" s="361"/>
      <c r="L160" s="361"/>
      <c r="M160" s="361"/>
      <c r="N160" s="361"/>
      <c r="O160" s="361"/>
      <c r="P160" s="361"/>
      <c r="Q160" s="361"/>
      <c r="R160" s="361"/>
      <c r="S160" s="361"/>
      <c r="T160" s="361"/>
      <c r="U160" s="361"/>
      <c r="V160" s="361"/>
      <c r="W160" s="361"/>
      <c r="X160" s="365"/>
      <c r="Y160" s="361"/>
      <c r="Z160" s="361"/>
      <c r="AA160" s="116"/>
      <c r="AB160" s="116"/>
      <c r="AC160" s="116"/>
      <c r="AD160" s="116"/>
      <c r="AE160" s="365"/>
      <c r="AF160" s="116"/>
      <c r="AG160" s="116"/>
      <c r="AH160" s="116"/>
      <c r="AI160" s="116"/>
      <c r="AJ160" s="116"/>
      <c r="AK160" s="116"/>
      <c r="AL160" s="116"/>
    </row>
    <row r="161" ht="16.5" customHeight="1">
      <c r="A161" s="362"/>
      <c r="B161" s="362"/>
      <c r="C161" s="362"/>
      <c r="D161" s="362"/>
      <c r="E161" s="132"/>
      <c r="F161" s="131"/>
      <c r="G161" s="361"/>
      <c r="H161" s="363"/>
      <c r="I161" s="364"/>
      <c r="J161" s="361"/>
      <c r="K161" s="361"/>
      <c r="L161" s="361"/>
      <c r="M161" s="361"/>
      <c r="N161" s="361"/>
      <c r="O161" s="361"/>
      <c r="P161" s="361"/>
      <c r="Q161" s="361"/>
      <c r="R161" s="361"/>
      <c r="S161" s="361"/>
      <c r="T161" s="361"/>
      <c r="U161" s="361"/>
      <c r="V161" s="361"/>
      <c r="W161" s="361"/>
      <c r="X161" s="365"/>
      <c r="Y161" s="361"/>
      <c r="Z161" s="361"/>
      <c r="AA161" s="116"/>
      <c r="AB161" s="116"/>
      <c r="AC161" s="116"/>
      <c r="AD161" s="116"/>
      <c r="AE161" s="365"/>
      <c r="AF161" s="116"/>
      <c r="AG161" s="116"/>
      <c r="AH161" s="116"/>
      <c r="AI161" s="116"/>
      <c r="AJ161" s="116"/>
      <c r="AK161" s="116"/>
      <c r="AL161" s="116"/>
    </row>
    <row r="162" ht="16.5" customHeight="1">
      <c r="A162" s="362"/>
      <c r="B162" s="362"/>
      <c r="C162" s="362"/>
      <c r="D162" s="362"/>
      <c r="E162" s="132"/>
      <c r="F162" s="131"/>
      <c r="G162" s="361"/>
      <c r="H162" s="363"/>
      <c r="I162" s="364"/>
      <c r="J162" s="361"/>
      <c r="K162" s="361"/>
      <c r="L162" s="361"/>
      <c r="M162" s="361"/>
      <c r="N162" s="361"/>
      <c r="O162" s="361"/>
      <c r="P162" s="361"/>
      <c r="Q162" s="361"/>
      <c r="R162" s="361"/>
      <c r="S162" s="361"/>
      <c r="T162" s="361"/>
      <c r="U162" s="361"/>
      <c r="V162" s="361"/>
      <c r="W162" s="361"/>
      <c r="X162" s="365"/>
      <c r="Y162" s="361"/>
      <c r="Z162" s="361"/>
      <c r="AA162" s="116"/>
      <c r="AB162" s="116"/>
      <c r="AC162" s="116"/>
      <c r="AD162" s="116"/>
      <c r="AE162" s="365"/>
      <c r="AF162" s="116"/>
      <c r="AG162" s="116"/>
      <c r="AH162" s="116"/>
      <c r="AI162" s="116"/>
      <c r="AJ162" s="116"/>
      <c r="AK162" s="116"/>
      <c r="AL162" s="116"/>
    </row>
    <row r="163" ht="16.5" customHeight="1">
      <c r="A163" s="362"/>
      <c r="B163" s="362"/>
      <c r="C163" s="362"/>
      <c r="D163" s="362"/>
      <c r="E163" s="132"/>
      <c r="F163" s="131"/>
      <c r="G163" s="361"/>
      <c r="H163" s="363"/>
      <c r="I163" s="364"/>
      <c r="J163" s="361"/>
      <c r="K163" s="361"/>
      <c r="L163" s="361"/>
      <c r="M163" s="361"/>
      <c r="N163" s="361"/>
      <c r="O163" s="361"/>
      <c r="P163" s="361"/>
      <c r="Q163" s="361"/>
      <c r="R163" s="361"/>
      <c r="S163" s="361"/>
      <c r="T163" s="361"/>
      <c r="U163" s="361"/>
      <c r="V163" s="361"/>
      <c r="W163" s="361"/>
      <c r="X163" s="365"/>
      <c r="Y163" s="361"/>
      <c r="Z163" s="361"/>
      <c r="AA163" s="116"/>
      <c r="AB163" s="116"/>
      <c r="AC163" s="116"/>
      <c r="AD163" s="116"/>
      <c r="AE163" s="365"/>
      <c r="AF163" s="116"/>
      <c r="AG163" s="116"/>
      <c r="AH163" s="116"/>
      <c r="AI163" s="116"/>
      <c r="AJ163" s="116"/>
      <c r="AK163" s="116"/>
      <c r="AL163" s="116"/>
    </row>
    <row r="164" ht="16.5" customHeight="1">
      <c r="A164" s="362"/>
      <c r="B164" s="362"/>
      <c r="C164" s="362"/>
      <c r="D164" s="362"/>
      <c r="E164" s="132"/>
      <c r="F164" s="131"/>
      <c r="G164" s="361"/>
      <c r="H164" s="363"/>
      <c r="I164" s="364"/>
      <c r="J164" s="361"/>
      <c r="K164" s="361"/>
      <c r="L164" s="361"/>
      <c r="M164" s="361"/>
      <c r="N164" s="361"/>
      <c r="O164" s="361"/>
      <c r="P164" s="361"/>
      <c r="Q164" s="361"/>
      <c r="R164" s="361"/>
      <c r="S164" s="361"/>
      <c r="T164" s="361"/>
      <c r="U164" s="361"/>
      <c r="V164" s="361"/>
      <c r="W164" s="361"/>
      <c r="X164" s="365"/>
      <c r="Y164" s="361"/>
      <c r="Z164" s="361"/>
      <c r="AA164" s="116"/>
      <c r="AB164" s="116"/>
      <c r="AC164" s="116"/>
      <c r="AD164" s="116"/>
      <c r="AE164" s="365"/>
      <c r="AF164" s="116"/>
      <c r="AG164" s="116"/>
      <c r="AH164" s="116"/>
      <c r="AI164" s="116"/>
      <c r="AJ164" s="116"/>
      <c r="AK164" s="116"/>
      <c r="AL164" s="116"/>
    </row>
    <row r="165" ht="16.5" customHeight="1">
      <c r="A165" s="362"/>
      <c r="B165" s="362"/>
      <c r="C165" s="362"/>
      <c r="D165" s="362"/>
      <c r="E165" s="132"/>
      <c r="F165" s="131"/>
      <c r="G165" s="361"/>
      <c r="H165" s="363"/>
      <c r="I165" s="364"/>
      <c r="J165" s="361"/>
      <c r="K165" s="361"/>
      <c r="L165" s="361"/>
      <c r="M165" s="361"/>
      <c r="N165" s="361"/>
      <c r="O165" s="361"/>
      <c r="P165" s="361"/>
      <c r="Q165" s="361"/>
      <c r="R165" s="361"/>
      <c r="S165" s="361"/>
      <c r="T165" s="361"/>
      <c r="U165" s="361"/>
      <c r="V165" s="361"/>
      <c r="W165" s="361"/>
      <c r="X165" s="365"/>
      <c r="Y165" s="361"/>
      <c r="Z165" s="361"/>
      <c r="AA165" s="116"/>
      <c r="AB165" s="116"/>
      <c r="AC165" s="116"/>
      <c r="AD165" s="116"/>
      <c r="AE165" s="365"/>
      <c r="AF165" s="116"/>
      <c r="AG165" s="116"/>
      <c r="AH165" s="116"/>
      <c r="AI165" s="116"/>
      <c r="AJ165" s="116"/>
      <c r="AK165" s="116"/>
      <c r="AL165" s="116"/>
    </row>
    <row r="166" ht="16.5" customHeight="1">
      <c r="A166" s="362"/>
      <c r="B166" s="362"/>
      <c r="C166" s="362"/>
      <c r="D166" s="362"/>
      <c r="E166" s="132"/>
      <c r="F166" s="131"/>
      <c r="G166" s="361"/>
      <c r="H166" s="363"/>
      <c r="I166" s="364"/>
      <c r="J166" s="361"/>
      <c r="K166" s="361"/>
      <c r="L166" s="361"/>
      <c r="M166" s="361"/>
      <c r="N166" s="361"/>
      <c r="O166" s="361"/>
      <c r="P166" s="361"/>
      <c r="Q166" s="361"/>
      <c r="R166" s="361"/>
      <c r="S166" s="361"/>
      <c r="T166" s="361"/>
      <c r="U166" s="361"/>
      <c r="V166" s="361"/>
      <c r="W166" s="361"/>
      <c r="X166" s="365"/>
      <c r="Y166" s="361"/>
      <c r="Z166" s="361"/>
      <c r="AA166" s="116"/>
      <c r="AB166" s="116"/>
      <c r="AC166" s="116"/>
      <c r="AD166" s="116"/>
      <c r="AE166" s="365"/>
      <c r="AF166" s="116"/>
      <c r="AG166" s="116"/>
      <c r="AH166" s="116"/>
      <c r="AI166" s="116"/>
      <c r="AJ166" s="116"/>
      <c r="AK166" s="116"/>
      <c r="AL166" s="116"/>
    </row>
    <row r="167" ht="16.5" customHeight="1">
      <c r="A167" s="362"/>
      <c r="B167" s="362"/>
      <c r="C167" s="362"/>
      <c r="D167" s="362"/>
      <c r="E167" s="132"/>
      <c r="F167" s="131"/>
      <c r="G167" s="361"/>
      <c r="H167" s="363"/>
      <c r="I167" s="364"/>
      <c r="J167" s="361"/>
      <c r="K167" s="361"/>
      <c r="L167" s="361"/>
      <c r="M167" s="361"/>
      <c r="N167" s="361"/>
      <c r="O167" s="361"/>
      <c r="P167" s="361"/>
      <c r="Q167" s="361"/>
      <c r="R167" s="361"/>
      <c r="S167" s="361"/>
      <c r="T167" s="361"/>
      <c r="U167" s="361"/>
      <c r="V167" s="361"/>
      <c r="W167" s="361"/>
      <c r="X167" s="365"/>
      <c r="Y167" s="361"/>
      <c r="Z167" s="361"/>
      <c r="AA167" s="116"/>
      <c r="AB167" s="116"/>
      <c r="AC167" s="116"/>
      <c r="AD167" s="116"/>
      <c r="AE167" s="365"/>
      <c r="AF167" s="116"/>
      <c r="AG167" s="116"/>
      <c r="AH167" s="116"/>
      <c r="AI167" s="116"/>
      <c r="AJ167" s="116"/>
      <c r="AK167" s="116"/>
      <c r="AL167" s="116"/>
    </row>
    <row r="168" ht="16.5" customHeight="1">
      <c r="A168" s="362"/>
      <c r="B168" s="362"/>
      <c r="C168" s="362"/>
      <c r="D168" s="362"/>
      <c r="E168" s="132"/>
      <c r="F168" s="131"/>
      <c r="G168" s="361"/>
      <c r="H168" s="363"/>
      <c r="I168" s="364"/>
      <c r="J168" s="361"/>
      <c r="K168" s="361"/>
      <c r="L168" s="361"/>
      <c r="M168" s="361"/>
      <c r="N168" s="361"/>
      <c r="O168" s="361"/>
      <c r="P168" s="361"/>
      <c r="Q168" s="361"/>
      <c r="R168" s="361"/>
      <c r="S168" s="361"/>
      <c r="T168" s="361"/>
      <c r="U168" s="361"/>
      <c r="V168" s="361"/>
      <c r="W168" s="361"/>
      <c r="X168" s="365"/>
      <c r="Y168" s="361"/>
      <c r="Z168" s="361"/>
      <c r="AA168" s="116"/>
      <c r="AB168" s="116"/>
      <c r="AC168" s="116"/>
      <c r="AD168" s="116"/>
      <c r="AE168" s="365"/>
      <c r="AF168" s="116"/>
      <c r="AG168" s="116"/>
      <c r="AH168" s="116"/>
      <c r="AI168" s="116"/>
      <c r="AJ168" s="116"/>
      <c r="AK168" s="116"/>
      <c r="AL168" s="116"/>
    </row>
    <row r="169" ht="16.5" customHeight="1">
      <c r="A169" s="362"/>
      <c r="B169" s="362"/>
      <c r="C169" s="362"/>
      <c r="D169" s="362"/>
      <c r="E169" s="132"/>
      <c r="F169" s="131"/>
      <c r="G169" s="361"/>
      <c r="H169" s="363"/>
      <c r="I169" s="364"/>
      <c r="J169" s="361"/>
      <c r="K169" s="361"/>
      <c r="L169" s="361"/>
      <c r="M169" s="361"/>
      <c r="N169" s="361"/>
      <c r="O169" s="361"/>
      <c r="P169" s="361"/>
      <c r="Q169" s="361"/>
      <c r="R169" s="361"/>
      <c r="S169" s="361"/>
      <c r="T169" s="361"/>
      <c r="U169" s="361"/>
      <c r="V169" s="361"/>
      <c r="W169" s="361"/>
      <c r="X169" s="365"/>
      <c r="Y169" s="361"/>
      <c r="Z169" s="361"/>
      <c r="AA169" s="116"/>
      <c r="AB169" s="116"/>
      <c r="AC169" s="116"/>
      <c r="AD169" s="116"/>
      <c r="AE169" s="365"/>
      <c r="AF169" s="116"/>
      <c r="AG169" s="116"/>
      <c r="AH169" s="116"/>
      <c r="AI169" s="116"/>
      <c r="AJ169" s="116"/>
      <c r="AK169" s="116"/>
      <c r="AL169" s="116"/>
    </row>
    <row r="170" ht="16.5" customHeight="1">
      <c r="A170" s="362"/>
      <c r="B170" s="362"/>
      <c r="C170" s="362"/>
      <c r="D170" s="362"/>
      <c r="E170" s="132"/>
      <c r="F170" s="131"/>
      <c r="G170" s="361"/>
      <c r="H170" s="363"/>
      <c r="I170" s="364"/>
      <c r="J170" s="361"/>
      <c r="K170" s="361"/>
      <c r="L170" s="361"/>
      <c r="M170" s="361"/>
      <c r="N170" s="361"/>
      <c r="O170" s="361"/>
      <c r="P170" s="361"/>
      <c r="Q170" s="361"/>
      <c r="R170" s="361"/>
      <c r="S170" s="361"/>
      <c r="T170" s="361"/>
      <c r="U170" s="361"/>
      <c r="V170" s="361"/>
      <c r="W170" s="361"/>
      <c r="X170" s="365"/>
      <c r="Y170" s="361"/>
      <c r="Z170" s="361"/>
      <c r="AA170" s="116"/>
      <c r="AB170" s="116"/>
      <c r="AC170" s="116"/>
      <c r="AD170" s="116"/>
      <c r="AE170" s="365"/>
      <c r="AF170" s="116"/>
      <c r="AG170" s="116"/>
      <c r="AH170" s="116"/>
      <c r="AI170" s="116"/>
      <c r="AJ170" s="116"/>
      <c r="AK170" s="116"/>
      <c r="AL170" s="116"/>
    </row>
    <row r="171" ht="16.5" customHeight="1">
      <c r="A171" s="362"/>
      <c r="B171" s="362"/>
      <c r="C171" s="362"/>
      <c r="D171" s="362"/>
      <c r="E171" s="132"/>
      <c r="F171" s="131"/>
      <c r="G171" s="361"/>
      <c r="H171" s="363"/>
      <c r="I171" s="364"/>
      <c r="J171" s="361"/>
      <c r="K171" s="361"/>
      <c r="L171" s="361"/>
      <c r="M171" s="361"/>
      <c r="N171" s="361"/>
      <c r="O171" s="361"/>
      <c r="P171" s="361"/>
      <c r="Q171" s="361"/>
      <c r="R171" s="361"/>
      <c r="S171" s="361"/>
      <c r="T171" s="361"/>
      <c r="U171" s="361"/>
      <c r="V171" s="361"/>
      <c r="W171" s="361"/>
      <c r="X171" s="365"/>
      <c r="Y171" s="361"/>
      <c r="Z171" s="361"/>
      <c r="AA171" s="116"/>
      <c r="AB171" s="116"/>
      <c r="AC171" s="116"/>
      <c r="AD171" s="116"/>
      <c r="AE171" s="365"/>
      <c r="AF171" s="116"/>
      <c r="AG171" s="116"/>
      <c r="AH171" s="116"/>
      <c r="AI171" s="116"/>
      <c r="AJ171" s="116"/>
      <c r="AK171" s="116"/>
      <c r="AL171" s="116"/>
    </row>
    <row r="172" ht="16.5" customHeight="1">
      <c r="A172" s="362"/>
      <c r="B172" s="362"/>
      <c r="C172" s="362"/>
      <c r="D172" s="362"/>
      <c r="E172" s="132"/>
      <c r="F172" s="131"/>
      <c r="G172" s="361"/>
      <c r="H172" s="363"/>
      <c r="I172" s="364"/>
      <c r="J172" s="361"/>
      <c r="K172" s="361"/>
      <c r="L172" s="361"/>
      <c r="M172" s="361"/>
      <c r="N172" s="361"/>
      <c r="O172" s="361"/>
      <c r="P172" s="361"/>
      <c r="Q172" s="361"/>
      <c r="R172" s="361"/>
      <c r="S172" s="361"/>
      <c r="T172" s="361"/>
      <c r="U172" s="361"/>
      <c r="V172" s="361"/>
      <c r="W172" s="361"/>
      <c r="X172" s="365"/>
      <c r="Y172" s="361"/>
      <c r="Z172" s="361"/>
      <c r="AA172" s="116"/>
      <c r="AB172" s="116"/>
      <c r="AC172" s="116"/>
      <c r="AD172" s="116"/>
      <c r="AE172" s="365"/>
      <c r="AF172" s="116"/>
      <c r="AG172" s="116"/>
      <c r="AH172" s="116"/>
      <c r="AI172" s="116"/>
      <c r="AJ172" s="116"/>
      <c r="AK172" s="116"/>
      <c r="AL172" s="116"/>
    </row>
    <row r="173" ht="16.5" customHeight="1">
      <c r="A173" s="362"/>
      <c r="B173" s="362"/>
      <c r="C173" s="362"/>
      <c r="D173" s="362"/>
      <c r="E173" s="132"/>
      <c r="F173" s="131"/>
      <c r="G173" s="361"/>
      <c r="H173" s="363"/>
      <c r="I173" s="364"/>
      <c r="J173" s="361"/>
      <c r="K173" s="361"/>
      <c r="L173" s="361"/>
      <c r="M173" s="361"/>
      <c r="N173" s="361"/>
      <c r="O173" s="361"/>
      <c r="P173" s="361"/>
      <c r="Q173" s="361"/>
      <c r="R173" s="361"/>
      <c r="S173" s="361"/>
      <c r="T173" s="361"/>
      <c r="U173" s="361"/>
      <c r="V173" s="361"/>
      <c r="W173" s="361"/>
      <c r="X173" s="365"/>
      <c r="Y173" s="361"/>
      <c r="Z173" s="361"/>
      <c r="AA173" s="116"/>
      <c r="AB173" s="116"/>
      <c r="AC173" s="116"/>
      <c r="AD173" s="116"/>
      <c r="AE173" s="365"/>
      <c r="AF173" s="116"/>
      <c r="AG173" s="116"/>
      <c r="AH173" s="116"/>
      <c r="AI173" s="116"/>
      <c r="AJ173" s="116"/>
      <c r="AK173" s="116"/>
      <c r="AL173" s="116"/>
    </row>
    <row r="174" ht="16.5" customHeight="1">
      <c r="A174" s="362"/>
      <c r="B174" s="362"/>
      <c r="C174" s="362"/>
      <c r="D174" s="362"/>
      <c r="E174" s="132"/>
      <c r="F174" s="131"/>
      <c r="G174" s="361"/>
      <c r="H174" s="363"/>
      <c r="I174" s="364"/>
      <c r="J174" s="361"/>
      <c r="K174" s="361"/>
      <c r="L174" s="361"/>
      <c r="M174" s="361"/>
      <c r="N174" s="361"/>
      <c r="O174" s="361"/>
      <c r="P174" s="361"/>
      <c r="Q174" s="361"/>
      <c r="R174" s="361"/>
      <c r="S174" s="361"/>
      <c r="T174" s="361"/>
      <c r="U174" s="361"/>
      <c r="V174" s="361"/>
      <c r="W174" s="361"/>
      <c r="X174" s="365"/>
      <c r="Y174" s="361"/>
      <c r="Z174" s="361"/>
      <c r="AA174" s="116"/>
      <c r="AB174" s="116"/>
      <c r="AC174" s="116"/>
      <c r="AD174" s="116"/>
      <c r="AE174" s="365"/>
      <c r="AF174" s="116"/>
      <c r="AG174" s="116"/>
      <c r="AH174" s="116"/>
      <c r="AI174" s="116"/>
      <c r="AJ174" s="116"/>
      <c r="AK174" s="116"/>
      <c r="AL174" s="116"/>
    </row>
    <row r="175" ht="16.5" customHeight="1">
      <c r="A175" s="362"/>
      <c r="B175" s="362"/>
      <c r="C175" s="362"/>
      <c r="D175" s="362"/>
      <c r="E175" s="132"/>
      <c r="F175" s="131"/>
      <c r="G175" s="361"/>
      <c r="H175" s="363"/>
      <c r="I175" s="364"/>
      <c r="J175" s="361"/>
      <c r="K175" s="361"/>
      <c r="L175" s="361"/>
      <c r="M175" s="361"/>
      <c r="N175" s="361"/>
      <c r="O175" s="361"/>
      <c r="P175" s="361"/>
      <c r="Q175" s="361"/>
      <c r="R175" s="361"/>
      <c r="S175" s="361"/>
      <c r="T175" s="361"/>
      <c r="U175" s="361"/>
      <c r="V175" s="361"/>
      <c r="W175" s="361"/>
      <c r="X175" s="365"/>
      <c r="Y175" s="361"/>
      <c r="Z175" s="361"/>
      <c r="AA175" s="116"/>
      <c r="AB175" s="116"/>
      <c r="AC175" s="116"/>
      <c r="AD175" s="116"/>
      <c r="AE175" s="365"/>
      <c r="AF175" s="116"/>
      <c r="AG175" s="116"/>
      <c r="AH175" s="116"/>
      <c r="AI175" s="116"/>
      <c r="AJ175" s="116"/>
      <c r="AK175" s="116"/>
      <c r="AL175" s="116"/>
    </row>
    <row r="176" ht="16.5" customHeight="1">
      <c r="A176" s="362"/>
      <c r="B176" s="362"/>
      <c r="C176" s="362"/>
      <c r="D176" s="362"/>
      <c r="E176" s="132"/>
      <c r="F176" s="131"/>
      <c r="G176" s="361"/>
      <c r="H176" s="363"/>
      <c r="I176" s="364"/>
      <c r="J176" s="361"/>
      <c r="K176" s="361"/>
      <c r="L176" s="361"/>
      <c r="M176" s="361"/>
      <c r="N176" s="361"/>
      <c r="O176" s="361"/>
      <c r="P176" s="361"/>
      <c r="Q176" s="361"/>
      <c r="R176" s="361"/>
      <c r="S176" s="361"/>
      <c r="T176" s="361"/>
      <c r="U176" s="361"/>
      <c r="V176" s="361"/>
      <c r="W176" s="361"/>
      <c r="X176" s="365"/>
      <c r="Y176" s="361"/>
      <c r="Z176" s="361"/>
      <c r="AA176" s="116"/>
      <c r="AB176" s="116"/>
      <c r="AC176" s="116"/>
      <c r="AD176" s="116"/>
      <c r="AE176" s="365"/>
      <c r="AF176" s="116"/>
      <c r="AG176" s="116"/>
      <c r="AH176" s="116"/>
      <c r="AI176" s="116"/>
      <c r="AJ176" s="116"/>
      <c r="AK176" s="116"/>
      <c r="AL176" s="116"/>
    </row>
    <row r="177" ht="16.5" customHeight="1">
      <c r="A177" s="362"/>
      <c r="B177" s="362"/>
      <c r="C177" s="362"/>
      <c r="D177" s="362"/>
      <c r="E177" s="132"/>
      <c r="F177" s="131"/>
      <c r="G177" s="361"/>
      <c r="H177" s="363"/>
      <c r="I177" s="364"/>
      <c r="J177" s="361"/>
      <c r="K177" s="361"/>
      <c r="L177" s="361"/>
      <c r="M177" s="361"/>
      <c r="N177" s="361"/>
      <c r="O177" s="361"/>
      <c r="P177" s="361"/>
      <c r="Q177" s="361"/>
      <c r="R177" s="361"/>
      <c r="S177" s="361"/>
      <c r="T177" s="361"/>
      <c r="U177" s="361"/>
      <c r="V177" s="361"/>
      <c r="W177" s="361"/>
      <c r="X177" s="365"/>
      <c r="Y177" s="361"/>
      <c r="Z177" s="361"/>
      <c r="AA177" s="116"/>
      <c r="AB177" s="116"/>
      <c r="AC177" s="116"/>
      <c r="AD177" s="116"/>
      <c r="AE177" s="365"/>
      <c r="AF177" s="116"/>
      <c r="AG177" s="116"/>
      <c r="AH177" s="116"/>
      <c r="AI177" s="116"/>
      <c r="AJ177" s="116"/>
      <c r="AK177" s="116"/>
      <c r="AL177" s="116"/>
    </row>
    <row r="178" ht="16.5" customHeight="1">
      <c r="A178" s="362"/>
      <c r="B178" s="362"/>
      <c r="C178" s="362"/>
      <c r="D178" s="362"/>
      <c r="E178" s="132"/>
      <c r="F178" s="131"/>
      <c r="G178" s="361"/>
      <c r="H178" s="363"/>
      <c r="I178" s="364"/>
      <c r="J178" s="361"/>
      <c r="K178" s="361"/>
      <c r="L178" s="361"/>
      <c r="M178" s="361"/>
      <c r="N178" s="361"/>
      <c r="O178" s="361"/>
      <c r="P178" s="361"/>
      <c r="Q178" s="361"/>
      <c r="R178" s="361"/>
      <c r="S178" s="361"/>
      <c r="T178" s="361"/>
      <c r="U178" s="361"/>
      <c r="V178" s="361"/>
      <c r="W178" s="361"/>
      <c r="X178" s="365"/>
      <c r="Y178" s="361"/>
      <c r="Z178" s="361"/>
      <c r="AA178" s="116"/>
      <c r="AB178" s="116"/>
      <c r="AC178" s="116"/>
      <c r="AD178" s="116"/>
      <c r="AE178" s="365"/>
      <c r="AF178" s="116"/>
      <c r="AG178" s="116"/>
      <c r="AH178" s="116"/>
      <c r="AI178" s="116"/>
      <c r="AJ178" s="116"/>
      <c r="AK178" s="116"/>
      <c r="AL178" s="116"/>
    </row>
    <row r="179" ht="16.5" customHeight="1">
      <c r="A179" s="362"/>
      <c r="B179" s="362"/>
      <c r="C179" s="362"/>
      <c r="D179" s="362"/>
      <c r="E179" s="132"/>
      <c r="F179" s="131"/>
      <c r="G179" s="361"/>
      <c r="H179" s="363"/>
      <c r="I179" s="364"/>
      <c r="J179" s="361"/>
      <c r="K179" s="361"/>
      <c r="L179" s="361"/>
      <c r="M179" s="361"/>
      <c r="N179" s="361"/>
      <c r="O179" s="361"/>
      <c r="P179" s="361"/>
      <c r="Q179" s="361"/>
      <c r="R179" s="361"/>
      <c r="S179" s="361"/>
      <c r="T179" s="361"/>
      <c r="U179" s="361"/>
      <c r="V179" s="361"/>
      <c r="W179" s="361"/>
      <c r="X179" s="365"/>
      <c r="Y179" s="361"/>
      <c r="Z179" s="361"/>
      <c r="AA179" s="116"/>
      <c r="AB179" s="116"/>
      <c r="AC179" s="116"/>
      <c r="AD179" s="116"/>
      <c r="AE179" s="365"/>
      <c r="AF179" s="116"/>
      <c r="AG179" s="116"/>
      <c r="AH179" s="116"/>
      <c r="AI179" s="116"/>
      <c r="AJ179" s="116"/>
      <c r="AK179" s="116"/>
      <c r="AL179" s="116"/>
    </row>
    <row r="180" ht="16.5" customHeight="1">
      <c r="A180" s="362"/>
      <c r="B180" s="362"/>
      <c r="C180" s="362"/>
      <c r="D180" s="362"/>
      <c r="E180" s="132"/>
      <c r="F180" s="131"/>
      <c r="G180" s="361"/>
      <c r="H180" s="363"/>
      <c r="I180" s="364"/>
      <c r="J180" s="361"/>
      <c r="K180" s="361"/>
      <c r="L180" s="361"/>
      <c r="M180" s="361"/>
      <c r="N180" s="361"/>
      <c r="O180" s="361"/>
      <c r="P180" s="361"/>
      <c r="Q180" s="361"/>
      <c r="R180" s="361"/>
      <c r="S180" s="361"/>
      <c r="T180" s="361"/>
      <c r="U180" s="361"/>
      <c r="V180" s="361"/>
      <c r="W180" s="361"/>
      <c r="X180" s="365"/>
      <c r="Y180" s="361"/>
      <c r="Z180" s="361"/>
      <c r="AA180" s="116"/>
      <c r="AB180" s="116"/>
      <c r="AC180" s="116"/>
      <c r="AD180" s="116"/>
      <c r="AE180" s="365"/>
      <c r="AF180" s="116"/>
      <c r="AG180" s="116"/>
      <c r="AH180" s="116"/>
      <c r="AI180" s="116"/>
      <c r="AJ180" s="116"/>
      <c r="AK180" s="116"/>
      <c r="AL180" s="116"/>
    </row>
    <row r="181" ht="16.5" customHeight="1">
      <c r="A181" s="362"/>
      <c r="B181" s="362"/>
      <c r="C181" s="362"/>
      <c r="D181" s="362"/>
      <c r="E181" s="132"/>
      <c r="F181" s="131"/>
      <c r="G181" s="361"/>
      <c r="H181" s="363"/>
      <c r="I181" s="364"/>
      <c r="J181" s="361"/>
      <c r="K181" s="361"/>
      <c r="L181" s="361"/>
      <c r="M181" s="361"/>
      <c r="N181" s="361"/>
      <c r="O181" s="361"/>
      <c r="P181" s="361"/>
      <c r="Q181" s="361"/>
      <c r="R181" s="361"/>
      <c r="S181" s="361"/>
      <c r="T181" s="361"/>
      <c r="U181" s="361"/>
      <c r="V181" s="361"/>
      <c r="W181" s="361"/>
      <c r="X181" s="365"/>
      <c r="Y181" s="361"/>
      <c r="Z181" s="361"/>
      <c r="AA181" s="116"/>
      <c r="AB181" s="116"/>
      <c r="AC181" s="116"/>
      <c r="AD181" s="116"/>
      <c r="AE181" s="365"/>
      <c r="AF181" s="116"/>
      <c r="AG181" s="116"/>
      <c r="AH181" s="116"/>
      <c r="AI181" s="116"/>
      <c r="AJ181" s="116"/>
      <c r="AK181" s="116"/>
      <c r="AL181" s="116"/>
    </row>
    <row r="182" ht="16.5" customHeight="1">
      <c r="A182" s="362"/>
      <c r="B182" s="362"/>
      <c r="C182" s="362"/>
      <c r="D182" s="362"/>
      <c r="E182" s="132"/>
      <c r="F182" s="131"/>
      <c r="G182" s="361"/>
      <c r="H182" s="363"/>
      <c r="I182" s="364"/>
      <c r="J182" s="361"/>
      <c r="K182" s="361"/>
      <c r="L182" s="361"/>
      <c r="M182" s="361"/>
      <c r="N182" s="361"/>
      <c r="O182" s="361"/>
      <c r="P182" s="361"/>
      <c r="Q182" s="361"/>
      <c r="R182" s="361"/>
      <c r="S182" s="361"/>
      <c r="T182" s="361"/>
      <c r="U182" s="361"/>
      <c r="V182" s="361"/>
      <c r="W182" s="361"/>
      <c r="X182" s="365"/>
      <c r="Y182" s="361"/>
      <c r="Z182" s="361"/>
      <c r="AA182" s="116"/>
      <c r="AB182" s="116"/>
      <c r="AC182" s="116"/>
      <c r="AD182" s="116"/>
      <c r="AE182" s="365"/>
      <c r="AF182" s="116"/>
      <c r="AG182" s="116"/>
      <c r="AH182" s="116"/>
      <c r="AI182" s="116"/>
      <c r="AJ182" s="116"/>
      <c r="AK182" s="116"/>
      <c r="AL182" s="116"/>
    </row>
    <row r="183" ht="16.5" customHeight="1">
      <c r="A183" s="362"/>
      <c r="B183" s="362"/>
      <c r="C183" s="362"/>
      <c r="D183" s="362"/>
      <c r="E183" s="132"/>
      <c r="F183" s="131"/>
      <c r="G183" s="361"/>
      <c r="H183" s="363"/>
      <c r="I183" s="364"/>
      <c r="J183" s="361"/>
      <c r="K183" s="361"/>
      <c r="L183" s="361"/>
      <c r="M183" s="361"/>
      <c r="N183" s="361"/>
      <c r="O183" s="361"/>
      <c r="P183" s="361"/>
      <c r="Q183" s="361"/>
      <c r="R183" s="361"/>
      <c r="S183" s="361"/>
      <c r="T183" s="361"/>
      <c r="U183" s="361"/>
      <c r="V183" s="361"/>
      <c r="W183" s="361"/>
      <c r="X183" s="365"/>
      <c r="Y183" s="361"/>
      <c r="Z183" s="361"/>
      <c r="AA183" s="116"/>
      <c r="AB183" s="116"/>
      <c r="AC183" s="116"/>
      <c r="AD183" s="116"/>
      <c r="AE183" s="365"/>
      <c r="AF183" s="116"/>
      <c r="AG183" s="116"/>
      <c r="AH183" s="116"/>
      <c r="AI183" s="116"/>
      <c r="AJ183" s="116"/>
      <c r="AK183" s="116"/>
      <c r="AL183" s="116"/>
    </row>
    <row r="184" ht="16.5" customHeight="1">
      <c r="A184" s="362"/>
      <c r="B184" s="362"/>
      <c r="C184" s="362"/>
      <c r="D184" s="362"/>
      <c r="E184" s="132"/>
      <c r="F184" s="131"/>
      <c r="G184" s="361"/>
      <c r="H184" s="363"/>
      <c r="I184" s="364"/>
      <c r="J184" s="361"/>
      <c r="K184" s="361"/>
      <c r="L184" s="361"/>
      <c r="M184" s="361"/>
      <c r="N184" s="361"/>
      <c r="O184" s="361"/>
      <c r="P184" s="361"/>
      <c r="Q184" s="361"/>
      <c r="R184" s="361"/>
      <c r="S184" s="361"/>
      <c r="T184" s="361"/>
      <c r="U184" s="361"/>
      <c r="V184" s="361"/>
      <c r="W184" s="361"/>
      <c r="X184" s="365"/>
      <c r="Y184" s="361"/>
      <c r="Z184" s="361"/>
      <c r="AA184" s="116"/>
      <c r="AB184" s="116"/>
      <c r="AC184" s="116"/>
      <c r="AD184" s="116"/>
      <c r="AE184" s="365"/>
      <c r="AF184" s="116"/>
      <c r="AG184" s="116"/>
      <c r="AH184" s="116"/>
      <c r="AI184" s="116"/>
      <c r="AJ184" s="116"/>
      <c r="AK184" s="116"/>
      <c r="AL184" s="116"/>
    </row>
    <row r="185" ht="16.5" customHeight="1">
      <c r="A185" s="362"/>
      <c r="B185" s="362"/>
      <c r="C185" s="362"/>
      <c r="D185" s="362"/>
      <c r="E185" s="132"/>
      <c r="F185" s="131"/>
      <c r="G185" s="361"/>
      <c r="H185" s="363"/>
      <c r="I185" s="364"/>
      <c r="J185" s="361"/>
      <c r="K185" s="361"/>
      <c r="L185" s="361"/>
      <c r="M185" s="361"/>
      <c r="N185" s="361"/>
      <c r="O185" s="361"/>
      <c r="P185" s="361"/>
      <c r="Q185" s="361"/>
      <c r="R185" s="361"/>
      <c r="S185" s="361"/>
      <c r="T185" s="361"/>
      <c r="U185" s="361"/>
      <c r="V185" s="361"/>
      <c r="W185" s="361"/>
      <c r="X185" s="365"/>
      <c r="Y185" s="361"/>
      <c r="Z185" s="361"/>
      <c r="AA185" s="116"/>
      <c r="AB185" s="116"/>
      <c r="AC185" s="116"/>
      <c r="AD185" s="116"/>
      <c r="AE185" s="365"/>
      <c r="AF185" s="116"/>
      <c r="AG185" s="116"/>
      <c r="AH185" s="116"/>
      <c r="AI185" s="116"/>
      <c r="AJ185" s="116"/>
      <c r="AK185" s="116"/>
      <c r="AL185" s="116"/>
    </row>
    <row r="186" ht="16.5" customHeight="1">
      <c r="A186" s="362"/>
      <c r="B186" s="362"/>
      <c r="C186" s="362"/>
      <c r="D186" s="362"/>
      <c r="E186" s="132"/>
      <c r="F186" s="131"/>
      <c r="G186" s="361"/>
      <c r="H186" s="363"/>
      <c r="I186" s="364"/>
      <c r="J186" s="361"/>
      <c r="K186" s="361"/>
      <c r="L186" s="361"/>
      <c r="M186" s="361"/>
      <c r="N186" s="361"/>
      <c r="O186" s="361"/>
      <c r="P186" s="361"/>
      <c r="Q186" s="361"/>
      <c r="R186" s="361"/>
      <c r="S186" s="361"/>
      <c r="T186" s="361"/>
      <c r="U186" s="361"/>
      <c r="V186" s="361"/>
      <c r="W186" s="361"/>
      <c r="X186" s="365"/>
      <c r="Y186" s="361"/>
      <c r="Z186" s="361"/>
      <c r="AA186" s="116"/>
      <c r="AB186" s="116"/>
      <c r="AC186" s="116"/>
      <c r="AD186" s="116"/>
      <c r="AE186" s="365"/>
      <c r="AF186" s="116"/>
      <c r="AG186" s="116"/>
      <c r="AH186" s="116"/>
      <c r="AI186" s="116"/>
      <c r="AJ186" s="116"/>
      <c r="AK186" s="116"/>
      <c r="AL186" s="116"/>
    </row>
    <row r="187" ht="16.5" customHeight="1">
      <c r="A187" s="362"/>
      <c r="B187" s="362"/>
      <c r="C187" s="362"/>
      <c r="D187" s="362"/>
      <c r="E187" s="132"/>
      <c r="F187" s="131"/>
      <c r="G187" s="361"/>
      <c r="H187" s="363"/>
      <c r="I187" s="364"/>
      <c r="J187" s="361"/>
      <c r="K187" s="361"/>
      <c r="L187" s="361"/>
      <c r="M187" s="361"/>
      <c r="N187" s="361"/>
      <c r="O187" s="361"/>
      <c r="P187" s="361"/>
      <c r="Q187" s="361"/>
      <c r="R187" s="361"/>
      <c r="S187" s="361"/>
      <c r="T187" s="361"/>
      <c r="U187" s="361"/>
      <c r="V187" s="361"/>
      <c r="W187" s="361"/>
      <c r="X187" s="365"/>
      <c r="Y187" s="361"/>
      <c r="Z187" s="361"/>
      <c r="AA187" s="116"/>
      <c r="AB187" s="116"/>
      <c r="AC187" s="116"/>
      <c r="AD187" s="116"/>
      <c r="AE187" s="365"/>
      <c r="AF187" s="116"/>
      <c r="AG187" s="116"/>
      <c r="AH187" s="116"/>
      <c r="AI187" s="116"/>
      <c r="AJ187" s="116"/>
      <c r="AK187" s="116"/>
      <c r="AL187" s="116"/>
    </row>
    <row r="188" ht="16.5" customHeight="1">
      <c r="A188" s="362"/>
      <c r="B188" s="362"/>
      <c r="C188" s="362"/>
      <c r="D188" s="362"/>
      <c r="E188" s="132"/>
      <c r="F188" s="131"/>
      <c r="G188" s="361"/>
      <c r="H188" s="363"/>
      <c r="I188" s="364"/>
      <c r="J188" s="361"/>
      <c r="K188" s="361"/>
      <c r="L188" s="361"/>
      <c r="M188" s="361"/>
      <c r="N188" s="361"/>
      <c r="O188" s="361"/>
      <c r="P188" s="361"/>
      <c r="Q188" s="361"/>
      <c r="R188" s="361"/>
      <c r="S188" s="361"/>
      <c r="T188" s="361"/>
      <c r="U188" s="361"/>
      <c r="V188" s="361"/>
      <c r="W188" s="361"/>
      <c r="X188" s="365"/>
      <c r="Y188" s="361"/>
      <c r="Z188" s="361"/>
      <c r="AA188" s="116"/>
      <c r="AB188" s="116"/>
      <c r="AC188" s="116"/>
      <c r="AD188" s="116"/>
      <c r="AE188" s="365"/>
      <c r="AF188" s="116"/>
      <c r="AG188" s="116"/>
      <c r="AH188" s="116"/>
      <c r="AI188" s="116"/>
      <c r="AJ188" s="116"/>
      <c r="AK188" s="116"/>
      <c r="AL188" s="116"/>
    </row>
    <row r="189" ht="16.5" customHeight="1">
      <c r="A189" s="362"/>
      <c r="B189" s="362"/>
      <c r="C189" s="362"/>
      <c r="D189" s="362"/>
      <c r="E189" s="132"/>
      <c r="F189" s="131"/>
      <c r="G189" s="361"/>
      <c r="H189" s="363"/>
      <c r="I189" s="364"/>
      <c r="J189" s="361"/>
      <c r="K189" s="361"/>
      <c r="L189" s="361"/>
      <c r="M189" s="361"/>
      <c r="N189" s="361"/>
      <c r="O189" s="361"/>
      <c r="P189" s="361"/>
      <c r="Q189" s="361"/>
      <c r="R189" s="361"/>
      <c r="S189" s="361"/>
      <c r="T189" s="361"/>
      <c r="U189" s="361"/>
      <c r="V189" s="361"/>
      <c r="W189" s="361"/>
      <c r="X189" s="365"/>
      <c r="Y189" s="361"/>
      <c r="Z189" s="361"/>
      <c r="AA189" s="116"/>
      <c r="AB189" s="116"/>
      <c r="AC189" s="116"/>
      <c r="AD189" s="116"/>
      <c r="AE189" s="365"/>
      <c r="AF189" s="116"/>
      <c r="AG189" s="116"/>
      <c r="AH189" s="116"/>
      <c r="AI189" s="116"/>
      <c r="AJ189" s="116"/>
      <c r="AK189" s="116"/>
      <c r="AL189" s="116"/>
    </row>
    <row r="190" ht="16.5" customHeight="1">
      <c r="A190" s="362"/>
      <c r="B190" s="362"/>
      <c r="C190" s="362"/>
      <c r="D190" s="362"/>
      <c r="E190" s="132"/>
      <c r="F190" s="131"/>
      <c r="G190" s="361"/>
      <c r="H190" s="363"/>
      <c r="I190" s="364"/>
      <c r="J190" s="361"/>
      <c r="K190" s="361"/>
      <c r="L190" s="361"/>
      <c r="M190" s="361"/>
      <c r="N190" s="361"/>
      <c r="O190" s="361"/>
      <c r="P190" s="361"/>
      <c r="Q190" s="361"/>
      <c r="R190" s="361"/>
      <c r="S190" s="361"/>
      <c r="T190" s="361"/>
      <c r="U190" s="361"/>
      <c r="V190" s="361"/>
      <c r="W190" s="361"/>
      <c r="X190" s="365"/>
      <c r="Y190" s="361"/>
      <c r="Z190" s="361"/>
      <c r="AA190" s="116"/>
      <c r="AB190" s="116"/>
      <c r="AC190" s="116"/>
      <c r="AD190" s="116"/>
      <c r="AE190" s="365"/>
      <c r="AF190" s="116"/>
      <c r="AG190" s="116"/>
      <c r="AH190" s="116"/>
      <c r="AI190" s="116"/>
      <c r="AJ190" s="116"/>
      <c r="AK190" s="116"/>
      <c r="AL190" s="116"/>
    </row>
    <row r="191" ht="16.5" customHeight="1">
      <c r="A191" s="362"/>
      <c r="B191" s="362"/>
      <c r="C191" s="362"/>
      <c r="D191" s="362"/>
      <c r="E191" s="132"/>
      <c r="F191" s="131"/>
      <c r="G191" s="361"/>
      <c r="H191" s="363"/>
      <c r="I191" s="364"/>
      <c r="J191" s="361"/>
      <c r="K191" s="361"/>
      <c r="L191" s="361"/>
      <c r="M191" s="361"/>
      <c r="N191" s="361"/>
      <c r="O191" s="361"/>
      <c r="P191" s="361"/>
      <c r="Q191" s="361"/>
      <c r="R191" s="361"/>
      <c r="S191" s="361"/>
      <c r="T191" s="361"/>
      <c r="U191" s="361"/>
      <c r="V191" s="361"/>
      <c r="W191" s="361"/>
      <c r="X191" s="365"/>
      <c r="Y191" s="361"/>
      <c r="Z191" s="361"/>
      <c r="AA191" s="116"/>
      <c r="AB191" s="116"/>
      <c r="AC191" s="116"/>
      <c r="AD191" s="116"/>
      <c r="AE191" s="365"/>
      <c r="AF191" s="116"/>
      <c r="AG191" s="116"/>
      <c r="AH191" s="116"/>
      <c r="AI191" s="116"/>
      <c r="AJ191" s="116"/>
      <c r="AK191" s="116"/>
      <c r="AL191" s="116"/>
    </row>
    <row r="192" ht="16.5" customHeight="1">
      <c r="A192" s="362"/>
      <c r="B192" s="362"/>
      <c r="C192" s="362"/>
      <c r="D192" s="362"/>
      <c r="E192" s="132"/>
      <c r="F192" s="131"/>
      <c r="G192" s="361"/>
      <c r="H192" s="363"/>
      <c r="I192" s="364"/>
      <c r="J192" s="361"/>
      <c r="K192" s="361"/>
      <c r="L192" s="361"/>
      <c r="M192" s="361"/>
      <c r="N192" s="361"/>
      <c r="O192" s="361"/>
      <c r="P192" s="361"/>
      <c r="Q192" s="361"/>
      <c r="R192" s="361"/>
      <c r="S192" s="361"/>
      <c r="T192" s="361"/>
      <c r="U192" s="361"/>
      <c r="V192" s="361"/>
      <c r="W192" s="361"/>
      <c r="X192" s="365"/>
      <c r="Y192" s="361"/>
      <c r="Z192" s="361"/>
      <c r="AA192" s="116"/>
      <c r="AB192" s="116"/>
      <c r="AC192" s="116"/>
      <c r="AD192" s="116"/>
      <c r="AE192" s="365"/>
      <c r="AF192" s="116"/>
      <c r="AG192" s="116"/>
      <c r="AH192" s="116"/>
      <c r="AI192" s="116"/>
      <c r="AJ192" s="116"/>
      <c r="AK192" s="116"/>
      <c r="AL192" s="116"/>
    </row>
    <row r="193" ht="16.5" customHeight="1">
      <c r="A193" s="362"/>
      <c r="B193" s="362"/>
      <c r="C193" s="362"/>
      <c r="D193" s="362"/>
      <c r="E193" s="132"/>
      <c r="F193" s="131"/>
      <c r="G193" s="361"/>
      <c r="H193" s="363"/>
      <c r="I193" s="364"/>
      <c r="J193" s="361"/>
      <c r="K193" s="361"/>
      <c r="L193" s="361"/>
      <c r="M193" s="361"/>
      <c r="N193" s="361"/>
      <c r="O193" s="361"/>
      <c r="P193" s="361"/>
      <c r="Q193" s="361"/>
      <c r="R193" s="361"/>
      <c r="S193" s="361"/>
      <c r="T193" s="361"/>
      <c r="U193" s="361"/>
      <c r="V193" s="361"/>
      <c r="W193" s="361"/>
      <c r="X193" s="365"/>
      <c r="Y193" s="361"/>
      <c r="Z193" s="361"/>
      <c r="AA193" s="116"/>
      <c r="AB193" s="116"/>
      <c r="AC193" s="116"/>
      <c r="AD193" s="116"/>
      <c r="AE193" s="365"/>
      <c r="AF193" s="116"/>
      <c r="AG193" s="116"/>
      <c r="AH193" s="116"/>
      <c r="AI193" s="116"/>
      <c r="AJ193" s="116"/>
      <c r="AK193" s="116"/>
      <c r="AL193" s="116"/>
    </row>
    <row r="194" ht="16.5" customHeight="1">
      <c r="A194" s="362"/>
      <c r="B194" s="362"/>
      <c r="C194" s="362"/>
      <c r="D194" s="362"/>
      <c r="E194" s="132"/>
      <c r="F194" s="131"/>
      <c r="G194" s="361"/>
      <c r="H194" s="363"/>
      <c r="I194" s="364"/>
      <c r="J194" s="361"/>
      <c r="K194" s="361"/>
      <c r="L194" s="361"/>
      <c r="M194" s="361"/>
      <c r="N194" s="361"/>
      <c r="O194" s="361"/>
      <c r="P194" s="361"/>
      <c r="Q194" s="361"/>
      <c r="R194" s="361"/>
      <c r="S194" s="361"/>
      <c r="T194" s="361"/>
      <c r="U194" s="361"/>
      <c r="V194" s="361"/>
      <c r="W194" s="361"/>
      <c r="X194" s="365"/>
      <c r="Y194" s="361"/>
      <c r="Z194" s="361"/>
      <c r="AA194" s="116"/>
      <c r="AB194" s="116"/>
      <c r="AC194" s="116"/>
      <c r="AD194" s="116"/>
      <c r="AE194" s="365"/>
      <c r="AF194" s="116"/>
      <c r="AG194" s="116"/>
      <c r="AH194" s="116"/>
      <c r="AI194" s="116"/>
      <c r="AJ194" s="116"/>
      <c r="AK194" s="116"/>
      <c r="AL194" s="116"/>
    </row>
    <row r="195" ht="16.5" customHeight="1">
      <c r="A195" s="362"/>
      <c r="B195" s="362"/>
      <c r="C195" s="362"/>
      <c r="D195" s="362"/>
      <c r="E195" s="132"/>
      <c r="F195" s="131"/>
      <c r="G195" s="361"/>
      <c r="H195" s="363"/>
      <c r="I195" s="364"/>
      <c r="J195" s="361"/>
      <c r="K195" s="361"/>
      <c r="L195" s="361"/>
      <c r="M195" s="361"/>
      <c r="N195" s="361"/>
      <c r="O195" s="361"/>
      <c r="P195" s="361"/>
      <c r="Q195" s="361"/>
      <c r="R195" s="361"/>
      <c r="S195" s="361"/>
      <c r="T195" s="361"/>
      <c r="U195" s="361"/>
      <c r="V195" s="361"/>
      <c r="W195" s="361"/>
      <c r="X195" s="365"/>
      <c r="Y195" s="361"/>
      <c r="Z195" s="361"/>
      <c r="AA195" s="116"/>
      <c r="AB195" s="116"/>
      <c r="AC195" s="116"/>
      <c r="AD195" s="116"/>
      <c r="AE195" s="365"/>
      <c r="AF195" s="116"/>
      <c r="AG195" s="116"/>
      <c r="AH195" s="116"/>
      <c r="AI195" s="116"/>
      <c r="AJ195" s="116"/>
      <c r="AK195" s="116"/>
      <c r="AL195" s="116"/>
    </row>
    <row r="196" ht="16.5" customHeight="1">
      <c r="A196" s="362"/>
      <c r="B196" s="362"/>
      <c r="C196" s="362"/>
      <c r="D196" s="362"/>
      <c r="E196" s="132"/>
      <c r="F196" s="131"/>
      <c r="G196" s="361"/>
      <c r="H196" s="363"/>
      <c r="I196" s="364"/>
      <c r="J196" s="361"/>
      <c r="K196" s="361"/>
      <c r="L196" s="361"/>
      <c r="M196" s="361"/>
      <c r="N196" s="361"/>
      <c r="O196" s="361"/>
      <c r="P196" s="361"/>
      <c r="Q196" s="361"/>
      <c r="R196" s="361"/>
      <c r="S196" s="361"/>
      <c r="T196" s="361"/>
      <c r="U196" s="361"/>
      <c r="V196" s="361"/>
      <c r="W196" s="361"/>
      <c r="X196" s="365"/>
      <c r="Y196" s="361"/>
      <c r="Z196" s="361"/>
      <c r="AA196" s="116"/>
      <c r="AB196" s="116"/>
      <c r="AC196" s="116"/>
      <c r="AD196" s="116"/>
      <c r="AE196" s="365"/>
      <c r="AF196" s="116"/>
      <c r="AG196" s="116"/>
      <c r="AH196" s="116"/>
      <c r="AI196" s="116"/>
      <c r="AJ196" s="116"/>
      <c r="AK196" s="116"/>
      <c r="AL196" s="116"/>
    </row>
    <row r="197" ht="16.5" customHeight="1">
      <c r="A197" s="362"/>
      <c r="B197" s="362"/>
      <c r="C197" s="362"/>
      <c r="D197" s="362"/>
      <c r="E197" s="132"/>
      <c r="F197" s="131"/>
      <c r="G197" s="361"/>
      <c r="H197" s="363"/>
      <c r="I197" s="364"/>
      <c r="J197" s="361"/>
      <c r="K197" s="361"/>
      <c r="L197" s="361"/>
      <c r="M197" s="361"/>
      <c r="N197" s="361"/>
      <c r="O197" s="361"/>
      <c r="P197" s="361"/>
      <c r="Q197" s="361"/>
      <c r="R197" s="361"/>
      <c r="S197" s="361"/>
      <c r="T197" s="361"/>
      <c r="U197" s="361"/>
      <c r="V197" s="361"/>
      <c r="W197" s="361"/>
      <c r="X197" s="365"/>
      <c r="Y197" s="361"/>
      <c r="Z197" s="361"/>
      <c r="AA197" s="116"/>
      <c r="AB197" s="116"/>
      <c r="AC197" s="116"/>
      <c r="AD197" s="116"/>
      <c r="AE197" s="365"/>
      <c r="AF197" s="116"/>
      <c r="AG197" s="116"/>
      <c r="AH197" s="116"/>
      <c r="AI197" s="116"/>
      <c r="AJ197" s="116"/>
      <c r="AK197" s="116"/>
      <c r="AL197" s="116"/>
    </row>
    <row r="198" ht="16.5" customHeight="1">
      <c r="A198" s="362"/>
      <c r="B198" s="362"/>
      <c r="C198" s="362"/>
      <c r="D198" s="362"/>
      <c r="E198" s="132"/>
      <c r="F198" s="131"/>
      <c r="G198" s="361"/>
      <c r="H198" s="363"/>
      <c r="I198" s="364"/>
      <c r="J198" s="361"/>
      <c r="K198" s="361"/>
      <c r="L198" s="361"/>
      <c r="M198" s="361"/>
      <c r="N198" s="361"/>
      <c r="O198" s="361"/>
      <c r="P198" s="361"/>
      <c r="Q198" s="361"/>
      <c r="R198" s="361"/>
      <c r="S198" s="361"/>
      <c r="T198" s="361"/>
      <c r="U198" s="361"/>
      <c r="V198" s="361"/>
      <c r="W198" s="361"/>
      <c r="X198" s="365"/>
      <c r="Y198" s="361"/>
      <c r="Z198" s="361"/>
      <c r="AA198" s="116"/>
      <c r="AB198" s="116"/>
      <c r="AC198" s="116"/>
      <c r="AD198" s="116"/>
      <c r="AE198" s="365"/>
      <c r="AF198" s="116"/>
      <c r="AG198" s="116"/>
      <c r="AH198" s="116"/>
      <c r="AI198" s="116"/>
      <c r="AJ198" s="116"/>
      <c r="AK198" s="116"/>
      <c r="AL198" s="116"/>
    </row>
    <row r="199" ht="16.5" customHeight="1">
      <c r="A199" s="362"/>
      <c r="B199" s="362"/>
      <c r="C199" s="362"/>
      <c r="D199" s="362"/>
      <c r="E199" s="132"/>
      <c r="F199" s="131"/>
      <c r="G199" s="361"/>
      <c r="H199" s="363"/>
      <c r="I199" s="364"/>
      <c r="J199" s="361"/>
      <c r="K199" s="361"/>
      <c r="L199" s="361"/>
      <c r="M199" s="361"/>
      <c r="N199" s="361"/>
      <c r="O199" s="361"/>
      <c r="P199" s="361"/>
      <c r="Q199" s="361"/>
      <c r="R199" s="361"/>
      <c r="S199" s="361"/>
      <c r="T199" s="361"/>
      <c r="U199" s="361"/>
      <c r="V199" s="361"/>
      <c r="W199" s="361"/>
      <c r="X199" s="365"/>
      <c r="Y199" s="361"/>
      <c r="Z199" s="361"/>
      <c r="AA199" s="116"/>
      <c r="AB199" s="116"/>
      <c r="AC199" s="116"/>
      <c r="AD199" s="116"/>
      <c r="AE199" s="365"/>
      <c r="AF199" s="116"/>
      <c r="AG199" s="116"/>
      <c r="AH199" s="116"/>
      <c r="AI199" s="116"/>
      <c r="AJ199" s="116"/>
      <c r="AK199" s="116"/>
      <c r="AL199" s="116"/>
    </row>
    <row r="200" ht="16.5" customHeight="1">
      <c r="A200" s="362"/>
      <c r="B200" s="362"/>
      <c r="C200" s="362"/>
      <c r="D200" s="362"/>
      <c r="E200" s="132"/>
      <c r="F200" s="131"/>
      <c r="G200" s="361"/>
      <c r="H200" s="363"/>
      <c r="I200" s="364"/>
      <c r="J200" s="361"/>
      <c r="K200" s="361"/>
      <c r="L200" s="361"/>
      <c r="M200" s="361"/>
      <c r="N200" s="361"/>
      <c r="O200" s="361"/>
      <c r="P200" s="361"/>
      <c r="Q200" s="361"/>
      <c r="R200" s="361"/>
      <c r="S200" s="361"/>
      <c r="T200" s="361"/>
      <c r="U200" s="361"/>
      <c r="V200" s="361"/>
      <c r="W200" s="361"/>
      <c r="X200" s="365"/>
      <c r="Y200" s="361"/>
      <c r="Z200" s="361"/>
      <c r="AA200" s="116"/>
      <c r="AB200" s="116"/>
      <c r="AC200" s="116"/>
      <c r="AD200" s="116"/>
      <c r="AE200" s="365"/>
      <c r="AF200" s="116"/>
      <c r="AG200" s="116"/>
      <c r="AH200" s="116"/>
      <c r="AI200" s="116"/>
      <c r="AJ200" s="116"/>
      <c r="AK200" s="116"/>
      <c r="AL200" s="116"/>
    </row>
    <row r="201" ht="16.5" customHeight="1">
      <c r="A201" s="362"/>
      <c r="B201" s="362"/>
      <c r="C201" s="362"/>
      <c r="D201" s="362"/>
      <c r="E201" s="132"/>
      <c r="F201" s="131"/>
      <c r="G201" s="361"/>
      <c r="H201" s="363"/>
      <c r="I201" s="364"/>
      <c r="J201" s="361"/>
      <c r="K201" s="361"/>
      <c r="L201" s="361"/>
      <c r="M201" s="361"/>
      <c r="N201" s="361"/>
      <c r="O201" s="361"/>
      <c r="P201" s="361"/>
      <c r="Q201" s="361"/>
      <c r="R201" s="361"/>
      <c r="S201" s="361"/>
      <c r="T201" s="361"/>
      <c r="U201" s="361"/>
      <c r="V201" s="361"/>
      <c r="W201" s="361"/>
      <c r="X201" s="365"/>
      <c r="Y201" s="361"/>
      <c r="Z201" s="361"/>
      <c r="AA201" s="116"/>
      <c r="AB201" s="116"/>
      <c r="AC201" s="116"/>
      <c r="AD201" s="116"/>
      <c r="AE201" s="365"/>
      <c r="AF201" s="116"/>
      <c r="AG201" s="116"/>
      <c r="AH201" s="116"/>
      <c r="AI201" s="116"/>
      <c r="AJ201" s="116"/>
      <c r="AK201" s="116"/>
      <c r="AL201" s="116"/>
    </row>
    <row r="202" ht="16.5" customHeight="1">
      <c r="A202" s="362"/>
      <c r="B202" s="362"/>
      <c r="C202" s="362"/>
      <c r="D202" s="362"/>
      <c r="E202" s="132"/>
      <c r="F202" s="131"/>
      <c r="G202" s="361"/>
      <c r="H202" s="363"/>
      <c r="I202" s="364"/>
      <c r="J202" s="361"/>
      <c r="K202" s="361"/>
      <c r="L202" s="361"/>
      <c r="M202" s="361"/>
      <c r="N202" s="361"/>
      <c r="O202" s="361"/>
      <c r="P202" s="361"/>
      <c r="Q202" s="361"/>
      <c r="R202" s="361"/>
      <c r="S202" s="361"/>
      <c r="T202" s="361"/>
      <c r="U202" s="361"/>
      <c r="V202" s="361"/>
      <c r="W202" s="361"/>
      <c r="X202" s="365"/>
      <c r="Y202" s="361"/>
      <c r="Z202" s="361"/>
      <c r="AA202" s="116"/>
      <c r="AB202" s="116"/>
      <c r="AC202" s="116"/>
      <c r="AD202" s="116"/>
      <c r="AE202" s="365"/>
      <c r="AF202" s="116"/>
      <c r="AG202" s="116"/>
      <c r="AH202" s="116"/>
      <c r="AI202" s="116"/>
      <c r="AJ202" s="116"/>
      <c r="AK202" s="116"/>
      <c r="AL202" s="116"/>
    </row>
    <row r="203" ht="16.5" customHeight="1">
      <c r="A203" s="362"/>
      <c r="B203" s="362"/>
      <c r="C203" s="362"/>
      <c r="D203" s="362"/>
      <c r="E203" s="132"/>
      <c r="F203" s="131"/>
      <c r="G203" s="361"/>
      <c r="H203" s="363"/>
      <c r="I203" s="364"/>
      <c r="J203" s="361"/>
      <c r="K203" s="361"/>
      <c r="L203" s="361"/>
      <c r="M203" s="361"/>
      <c r="N203" s="361"/>
      <c r="O203" s="361"/>
      <c r="P203" s="361"/>
      <c r="Q203" s="361"/>
      <c r="R203" s="361"/>
      <c r="S203" s="361"/>
      <c r="T203" s="361"/>
      <c r="U203" s="361"/>
      <c r="V203" s="361"/>
      <c r="W203" s="361"/>
      <c r="X203" s="365"/>
      <c r="Y203" s="361"/>
      <c r="Z203" s="361"/>
      <c r="AA203" s="116"/>
      <c r="AB203" s="116"/>
      <c r="AC203" s="116"/>
      <c r="AD203" s="116"/>
      <c r="AE203" s="365"/>
      <c r="AF203" s="116"/>
      <c r="AG203" s="116"/>
      <c r="AH203" s="116"/>
      <c r="AI203" s="116"/>
      <c r="AJ203" s="116"/>
      <c r="AK203" s="116"/>
      <c r="AL203" s="116"/>
    </row>
    <row r="204" ht="16.5" customHeight="1">
      <c r="A204" s="362"/>
      <c r="B204" s="362"/>
      <c r="C204" s="362"/>
      <c r="D204" s="362"/>
      <c r="E204" s="132"/>
      <c r="F204" s="131"/>
      <c r="G204" s="361"/>
      <c r="H204" s="363"/>
      <c r="I204" s="364"/>
      <c r="J204" s="361"/>
      <c r="K204" s="361"/>
      <c r="L204" s="361"/>
      <c r="M204" s="361"/>
      <c r="N204" s="361"/>
      <c r="O204" s="361"/>
      <c r="P204" s="361"/>
      <c r="Q204" s="361"/>
      <c r="R204" s="361"/>
      <c r="S204" s="361"/>
      <c r="T204" s="361"/>
      <c r="U204" s="361"/>
      <c r="V204" s="361"/>
      <c r="W204" s="361"/>
      <c r="X204" s="365"/>
      <c r="Y204" s="361"/>
      <c r="Z204" s="361"/>
      <c r="AA204" s="116"/>
      <c r="AB204" s="116"/>
      <c r="AC204" s="116"/>
      <c r="AD204" s="116"/>
      <c r="AE204" s="365"/>
      <c r="AF204" s="116"/>
      <c r="AG204" s="116"/>
      <c r="AH204" s="116"/>
      <c r="AI204" s="116"/>
      <c r="AJ204" s="116"/>
      <c r="AK204" s="116"/>
      <c r="AL204" s="116"/>
    </row>
    <row r="205" ht="16.5" customHeight="1">
      <c r="A205" s="362"/>
      <c r="B205" s="362"/>
      <c r="C205" s="362"/>
      <c r="D205" s="362"/>
      <c r="E205" s="132"/>
      <c r="F205" s="131"/>
      <c r="G205" s="361"/>
      <c r="H205" s="363"/>
      <c r="I205" s="364"/>
      <c r="J205" s="361"/>
      <c r="K205" s="361"/>
      <c r="L205" s="361"/>
      <c r="M205" s="361"/>
      <c r="N205" s="361"/>
      <c r="O205" s="361"/>
      <c r="P205" s="361"/>
      <c r="Q205" s="361"/>
      <c r="R205" s="361"/>
      <c r="S205" s="361"/>
      <c r="T205" s="361"/>
      <c r="U205" s="361"/>
      <c r="V205" s="361"/>
      <c r="W205" s="361"/>
      <c r="X205" s="365"/>
      <c r="Y205" s="361"/>
      <c r="Z205" s="361"/>
      <c r="AA205" s="116"/>
      <c r="AB205" s="116"/>
      <c r="AC205" s="116"/>
      <c r="AD205" s="116"/>
      <c r="AE205" s="365"/>
      <c r="AF205" s="116"/>
      <c r="AG205" s="116"/>
      <c r="AH205" s="116"/>
      <c r="AI205" s="116"/>
      <c r="AJ205" s="116"/>
      <c r="AK205" s="116"/>
      <c r="AL205" s="116"/>
    </row>
    <row r="206" ht="16.5" customHeight="1">
      <c r="A206" s="362"/>
      <c r="B206" s="362"/>
      <c r="C206" s="362"/>
      <c r="D206" s="362"/>
      <c r="E206" s="132"/>
      <c r="F206" s="131"/>
      <c r="G206" s="361"/>
      <c r="H206" s="363"/>
      <c r="I206" s="364"/>
      <c r="J206" s="361"/>
      <c r="K206" s="361"/>
      <c r="L206" s="361"/>
      <c r="M206" s="361"/>
      <c r="N206" s="361"/>
      <c r="O206" s="361"/>
      <c r="P206" s="361"/>
      <c r="Q206" s="361"/>
      <c r="R206" s="361"/>
      <c r="S206" s="361"/>
      <c r="T206" s="361"/>
      <c r="U206" s="361"/>
      <c r="V206" s="361"/>
      <c r="W206" s="361"/>
      <c r="X206" s="365"/>
      <c r="Y206" s="361"/>
      <c r="Z206" s="361"/>
      <c r="AA206" s="116"/>
      <c r="AB206" s="116"/>
      <c r="AC206" s="116"/>
      <c r="AD206" s="116"/>
      <c r="AE206" s="365"/>
      <c r="AF206" s="116"/>
      <c r="AG206" s="116"/>
      <c r="AH206" s="116"/>
      <c r="AI206" s="116"/>
      <c r="AJ206" s="116"/>
      <c r="AK206" s="116"/>
      <c r="AL206" s="116"/>
    </row>
    <row r="207" ht="16.5" customHeight="1">
      <c r="A207" s="362"/>
      <c r="B207" s="362"/>
      <c r="C207" s="362"/>
      <c r="D207" s="362"/>
      <c r="E207" s="132"/>
      <c r="F207" s="131"/>
      <c r="G207" s="361"/>
      <c r="H207" s="363"/>
      <c r="I207" s="364"/>
      <c r="J207" s="361"/>
      <c r="K207" s="361"/>
      <c r="L207" s="361"/>
      <c r="M207" s="361"/>
      <c r="N207" s="361"/>
      <c r="O207" s="361"/>
      <c r="P207" s="361"/>
      <c r="Q207" s="361"/>
      <c r="R207" s="361"/>
      <c r="S207" s="361"/>
      <c r="T207" s="361"/>
      <c r="U207" s="361"/>
      <c r="V207" s="361"/>
      <c r="W207" s="361"/>
      <c r="X207" s="365"/>
      <c r="Y207" s="361"/>
      <c r="Z207" s="361"/>
      <c r="AA207" s="116"/>
      <c r="AB207" s="116"/>
      <c r="AC207" s="116"/>
      <c r="AD207" s="116"/>
      <c r="AE207" s="365"/>
      <c r="AF207" s="116"/>
      <c r="AG207" s="116"/>
      <c r="AH207" s="116"/>
      <c r="AI207" s="116"/>
      <c r="AJ207" s="116"/>
      <c r="AK207" s="116"/>
      <c r="AL207" s="116"/>
    </row>
    <row r="208" ht="16.5" customHeight="1">
      <c r="A208" s="362"/>
      <c r="B208" s="362"/>
      <c r="C208" s="362"/>
      <c r="D208" s="362"/>
      <c r="E208" s="132"/>
      <c r="F208" s="131"/>
      <c r="G208" s="361"/>
      <c r="H208" s="363"/>
      <c r="I208" s="364"/>
      <c r="J208" s="361"/>
      <c r="K208" s="361"/>
      <c r="L208" s="361"/>
      <c r="M208" s="361"/>
      <c r="N208" s="361"/>
      <c r="O208" s="361"/>
      <c r="P208" s="361"/>
      <c r="Q208" s="361"/>
      <c r="R208" s="361"/>
      <c r="S208" s="361"/>
      <c r="T208" s="361"/>
      <c r="U208" s="361"/>
      <c r="V208" s="361"/>
      <c r="W208" s="361"/>
      <c r="X208" s="365"/>
      <c r="Y208" s="361"/>
      <c r="Z208" s="361"/>
      <c r="AA208" s="116"/>
      <c r="AB208" s="116"/>
      <c r="AC208" s="116"/>
      <c r="AD208" s="116"/>
      <c r="AE208" s="365"/>
      <c r="AF208" s="116"/>
      <c r="AG208" s="116"/>
      <c r="AH208" s="116"/>
      <c r="AI208" s="116"/>
      <c r="AJ208" s="116"/>
      <c r="AK208" s="116"/>
      <c r="AL208" s="116"/>
    </row>
    <row r="209" ht="16.5" customHeight="1">
      <c r="A209" s="362"/>
      <c r="B209" s="362"/>
      <c r="C209" s="362"/>
      <c r="D209" s="362"/>
      <c r="E209" s="132"/>
      <c r="F209" s="131"/>
      <c r="G209" s="361"/>
      <c r="H209" s="363"/>
      <c r="I209" s="364"/>
      <c r="J209" s="361"/>
      <c r="K209" s="361"/>
      <c r="L209" s="361"/>
      <c r="M209" s="361"/>
      <c r="N209" s="361"/>
      <c r="O209" s="361"/>
      <c r="P209" s="361"/>
      <c r="Q209" s="361"/>
      <c r="R209" s="361"/>
      <c r="S209" s="361"/>
      <c r="T209" s="361"/>
      <c r="U209" s="361"/>
      <c r="V209" s="361"/>
      <c r="W209" s="361"/>
      <c r="X209" s="365"/>
      <c r="Y209" s="361"/>
      <c r="Z209" s="361"/>
      <c r="AA209" s="116"/>
      <c r="AB209" s="116"/>
      <c r="AC209" s="116"/>
      <c r="AD209" s="116"/>
      <c r="AE209" s="365"/>
      <c r="AF209" s="116"/>
      <c r="AG209" s="116"/>
      <c r="AH209" s="116"/>
      <c r="AI209" s="116"/>
      <c r="AJ209" s="116"/>
      <c r="AK209" s="116"/>
      <c r="AL209" s="116"/>
    </row>
    <row r="210" ht="16.5" customHeight="1">
      <c r="A210" s="362"/>
      <c r="B210" s="362"/>
      <c r="C210" s="362"/>
      <c r="D210" s="362"/>
      <c r="E210" s="132"/>
      <c r="F210" s="131"/>
      <c r="G210" s="361"/>
      <c r="H210" s="363"/>
      <c r="I210" s="364"/>
      <c r="J210" s="361"/>
      <c r="K210" s="361"/>
      <c r="L210" s="361"/>
      <c r="M210" s="361"/>
      <c r="N210" s="361"/>
      <c r="O210" s="361"/>
      <c r="P210" s="361"/>
      <c r="Q210" s="361"/>
      <c r="R210" s="361"/>
      <c r="S210" s="361"/>
      <c r="T210" s="361"/>
      <c r="U210" s="361"/>
      <c r="V210" s="361"/>
      <c r="W210" s="361"/>
      <c r="X210" s="365"/>
      <c r="Y210" s="361"/>
      <c r="Z210" s="361"/>
      <c r="AA210" s="116"/>
      <c r="AB210" s="116"/>
      <c r="AC210" s="116"/>
      <c r="AD210" s="116"/>
      <c r="AE210" s="365"/>
      <c r="AF210" s="116"/>
      <c r="AG210" s="116"/>
      <c r="AH210" s="116"/>
      <c r="AI210" s="116"/>
      <c r="AJ210" s="116"/>
      <c r="AK210" s="116"/>
      <c r="AL210" s="116"/>
    </row>
    <row r="211" ht="16.5" customHeight="1">
      <c r="A211" s="362"/>
      <c r="B211" s="362"/>
      <c r="C211" s="362"/>
      <c r="D211" s="362"/>
      <c r="E211" s="132"/>
      <c r="F211" s="131"/>
      <c r="G211" s="361"/>
      <c r="H211" s="363"/>
      <c r="I211" s="364"/>
      <c r="J211" s="361"/>
      <c r="K211" s="361"/>
      <c r="L211" s="361"/>
      <c r="M211" s="361"/>
      <c r="N211" s="361"/>
      <c r="O211" s="361"/>
      <c r="P211" s="361"/>
      <c r="Q211" s="361"/>
      <c r="R211" s="361"/>
      <c r="S211" s="361"/>
      <c r="T211" s="361"/>
      <c r="U211" s="361"/>
      <c r="V211" s="361"/>
      <c r="W211" s="361"/>
      <c r="X211" s="365"/>
      <c r="Y211" s="361"/>
      <c r="Z211" s="361"/>
      <c r="AA211" s="116"/>
      <c r="AB211" s="116"/>
      <c r="AC211" s="116"/>
      <c r="AD211" s="116"/>
      <c r="AE211" s="365"/>
      <c r="AF211" s="116"/>
      <c r="AG211" s="116"/>
      <c r="AH211" s="116"/>
      <c r="AI211" s="116"/>
      <c r="AJ211" s="116"/>
      <c r="AK211" s="116"/>
      <c r="AL211" s="116"/>
    </row>
    <row r="212" ht="16.5" customHeight="1">
      <c r="A212" s="362"/>
      <c r="B212" s="362"/>
      <c r="C212" s="362"/>
      <c r="D212" s="362"/>
      <c r="E212" s="132"/>
      <c r="F212" s="131"/>
      <c r="G212" s="361"/>
      <c r="H212" s="363"/>
      <c r="I212" s="364"/>
      <c r="J212" s="361"/>
      <c r="K212" s="361"/>
      <c r="L212" s="361"/>
      <c r="M212" s="361"/>
      <c r="N212" s="361"/>
      <c r="O212" s="361"/>
      <c r="P212" s="361"/>
      <c r="Q212" s="361"/>
      <c r="R212" s="361"/>
      <c r="S212" s="361"/>
      <c r="T212" s="361"/>
      <c r="U212" s="361"/>
      <c r="V212" s="361"/>
      <c r="W212" s="361"/>
      <c r="X212" s="365"/>
      <c r="Y212" s="361"/>
      <c r="Z212" s="361"/>
      <c r="AA212" s="116"/>
      <c r="AB212" s="116"/>
      <c r="AC212" s="116"/>
      <c r="AD212" s="116"/>
      <c r="AE212" s="365"/>
      <c r="AF212" s="116"/>
      <c r="AG212" s="116"/>
      <c r="AH212" s="116"/>
      <c r="AI212" s="116"/>
      <c r="AJ212" s="116"/>
      <c r="AK212" s="116"/>
      <c r="AL212" s="116"/>
    </row>
    <row r="213" ht="16.5" customHeight="1">
      <c r="A213" s="362"/>
      <c r="B213" s="362"/>
      <c r="C213" s="362"/>
      <c r="D213" s="362"/>
      <c r="E213" s="132"/>
      <c r="F213" s="131"/>
      <c r="G213" s="361"/>
      <c r="H213" s="363"/>
      <c r="I213" s="364"/>
      <c r="J213" s="361"/>
      <c r="K213" s="361"/>
      <c r="L213" s="361"/>
      <c r="M213" s="361"/>
      <c r="N213" s="361"/>
      <c r="O213" s="361"/>
      <c r="P213" s="361"/>
      <c r="Q213" s="361"/>
      <c r="R213" s="361"/>
      <c r="S213" s="361"/>
      <c r="T213" s="361"/>
      <c r="U213" s="361"/>
      <c r="V213" s="361"/>
      <c r="W213" s="361"/>
      <c r="X213" s="365"/>
      <c r="Y213" s="361"/>
      <c r="Z213" s="361"/>
      <c r="AA213" s="116"/>
      <c r="AB213" s="116"/>
      <c r="AC213" s="116"/>
      <c r="AD213" s="116"/>
      <c r="AE213" s="365"/>
      <c r="AF213" s="116"/>
      <c r="AG213" s="116"/>
      <c r="AH213" s="116"/>
      <c r="AI213" s="116"/>
      <c r="AJ213" s="116"/>
      <c r="AK213" s="116"/>
      <c r="AL213" s="116"/>
    </row>
    <row r="214" ht="16.5" customHeight="1">
      <c r="A214" s="362"/>
      <c r="B214" s="362"/>
      <c r="C214" s="362"/>
      <c r="D214" s="362"/>
      <c r="E214" s="132"/>
      <c r="F214" s="131"/>
      <c r="G214" s="361"/>
      <c r="H214" s="363"/>
      <c r="I214" s="364"/>
      <c r="J214" s="361"/>
      <c r="K214" s="361"/>
      <c r="L214" s="361"/>
      <c r="M214" s="361"/>
      <c r="N214" s="361"/>
      <c r="O214" s="361"/>
      <c r="P214" s="361"/>
      <c r="Q214" s="361"/>
      <c r="R214" s="361"/>
      <c r="S214" s="361"/>
      <c r="T214" s="361"/>
      <c r="U214" s="361"/>
      <c r="V214" s="361"/>
      <c r="W214" s="361"/>
      <c r="X214" s="365"/>
      <c r="Y214" s="361"/>
      <c r="Z214" s="361"/>
      <c r="AA214" s="116"/>
      <c r="AB214" s="116"/>
      <c r="AC214" s="116"/>
      <c r="AD214" s="116"/>
      <c r="AE214" s="365"/>
      <c r="AF214" s="116"/>
      <c r="AG214" s="116"/>
      <c r="AH214" s="116"/>
      <c r="AI214" s="116"/>
      <c r="AJ214" s="116"/>
      <c r="AK214" s="116"/>
      <c r="AL214" s="116"/>
    </row>
    <row r="215" ht="16.5" customHeight="1">
      <c r="A215" s="362"/>
      <c r="B215" s="362"/>
      <c r="C215" s="362"/>
      <c r="D215" s="362"/>
      <c r="E215" s="132"/>
      <c r="F215" s="131"/>
      <c r="G215" s="361"/>
      <c r="H215" s="363"/>
      <c r="I215" s="364"/>
      <c r="J215" s="361"/>
      <c r="K215" s="361"/>
      <c r="L215" s="361"/>
      <c r="M215" s="361"/>
      <c r="N215" s="361"/>
      <c r="O215" s="361"/>
      <c r="P215" s="361"/>
      <c r="Q215" s="361"/>
      <c r="R215" s="361"/>
      <c r="S215" s="361"/>
      <c r="T215" s="361"/>
      <c r="U215" s="361"/>
      <c r="V215" s="361"/>
      <c r="W215" s="361"/>
      <c r="X215" s="365"/>
      <c r="Y215" s="361"/>
      <c r="Z215" s="361"/>
      <c r="AA215" s="116"/>
      <c r="AB215" s="116"/>
      <c r="AC215" s="116"/>
      <c r="AD215" s="116"/>
      <c r="AE215" s="365"/>
      <c r="AF215" s="116"/>
      <c r="AG215" s="116"/>
      <c r="AH215" s="116"/>
      <c r="AI215" s="116"/>
      <c r="AJ215" s="116"/>
      <c r="AK215" s="116"/>
      <c r="AL215" s="116"/>
    </row>
    <row r="216" ht="16.5" customHeight="1">
      <c r="A216" s="362"/>
      <c r="B216" s="362"/>
      <c r="C216" s="362"/>
      <c r="D216" s="362"/>
      <c r="E216" s="132"/>
      <c r="F216" s="131"/>
      <c r="G216" s="361"/>
      <c r="H216" s="363"/>
      <c r="I216" s="364"/>
      <c r="J216" s="361"/>
      <c r="K216" s="361"/>
      <c r="L216" s="361"/>
      <c r="M216" s="361"/>
      <c r="N216" s="361"/>
      <c r="O216" s="361"/>
      <c r="P216" s="361"/>
      <c r="Q216" s="361"/>
      <c r="R216" s="361"/>
      <c r="S216" s="361"/>
      <c r="T216" s="361"/>
      <c r="U216" s="361"/>
      <c r="V216" s="361"/>
      <c r="W216" s="361"/>
      <c r="X216" s="365"/>
      <c r="Y216" s="361"/>
      <c r="Z216" s="361"/>
      <c r="AA216" s="116"/>
      <c r="AB216" s="116"/>
      <c r="AC216" s="116"/>
      <c r="AD216" s="116"/>
      <c r="AE216" s="365"/>
      <c r="AF216" s="116"/>
      <c r="AG216" s="116"/>
      <c r="AH216" s="116"/>
      <c r="AI216" s="116"/>
      <c r="AJ216" s="116"/>
      <c r="AK216" s="116"/>
      <c r="AL216" s="116"/>
    </row>
    <row r="217" ht="16.5" customHeight="1">
      <c r="A217" s="362"/>
      <c r="B217" s="362"/>
      <c r="C217" s="362"/>
      <c r="D217" s="362"/>
      <c r="E217" s="132"/>
      <c r="F217" s="131"/>
      <c r="G217" s="361"/>
      <c r="H217" s="363"/>
      <c r="I217" s="364"/>
      <c r="J217" s="361"/>
      <c r="K217" s="361"/>
      <c r="L217" s="361"/>
      <c r="M217" s="361"/>
      <c r="N217" s="361"/>
      <c r="O217" s="361"/>
      <c r="P217" s="361"/>
      <c r="Q217" s="361"/>
      <c r="R217" s="361"/>
      <c r="S217" s="361"/>
      <c r="T217" s="361"/>
      <c r="U217" s="361"/>
      <c r="V217" s="361"/>
      <c r="W217" s="361"/>
      <c r="X217" s="365"/>
      <c r="Y217" s="361"/>
      <c r="Z217" s="361"/>
      <c r="AA217" s="116"/>
      <c r="AB217" s="116"/>
      <c r="AC217" s="116"/>
      <c r="AD217" s="116"/>
      <c r="AE217" s="365"/>
      <c r="AF217" s="116"/>
      <c r="AG217" s="116"/>
      <c r="AH217" s="116"/>
      <c r="AI217" s="116"/>
      <c r="AJ217" s="116"/>
      <c r="AK217" s="116"/>
      <c r="AL217" s="116"/>
    </row>
    <row r="218" ht="16.5" customHeight="1">
      <c r="A218" s="362"/>
      <c r="B218" s="362"/>
      <c r="C218" s="362"/>
      <c r="D218" s="362"/>
      <c r="E218" s="132"/>
      <c r="F218" s="131"/>
      <c r="G218" s="361"/>
      <c r="H218" s="363"/>
      <c r="I218" s="364"/>
      <c r="J218" s="361"/>
      <c r="K218" s="361"/>
      <c r="L218" s="361"/>
      <c r="M218" s="361"/>
      <c r="N218" s="361"/>
      <c r="O218" s="361"/>
      <c r="P218" s="361"/>
      <c r="Q218" s="361"/>
      <c r="R218" s="361"/>
      <c r="S218" s="361"/>
      <c r="T218" s="361"/>
      <c r="U218" s="361"/>
      <c r="V218" s="361"/>
      <c r="W218" s="361"/>
      <c r="X218" s="365"/>
      <c r="Y218" s="361"/>
      <c r="Z218" s="361"/>
      <c r="AA218" s="116"/>
      <c r="AB218" s="116"/>
      <c r="AC218" s="116"/>
      <c r="AD218" s="116"/>
      <c r="AE218" s="365"/>
      <c r="AF218" s="116"/>
      <c r="AG218" s="116"/>
      <c r="AH218" s="116"/>
      <c r="AI218" s="116"/>
      <c r="AJ218" s="116"/>
      <c r="AK218" s="116"/>
      <c r="AL218" s="116"/>
    </row>
    <row r="219" ht="16.5" customHeight="1">
      <c r="A219" s="362"/>
      <c r="B219" s="362"/>
      <c r="C219" s="362"/>
      <c r="D219" s="362"/>
      <c r="E219" s="132"/>
      <c r="F219" s="131"/>
      <c r="G219" s="361"/>
      <c r="H219" s="363"/>
      <c r="I219" s="364"/>
      <c r="J219" s="361"/>
      <c r="K219" s="361"/>
      <c r="L219" s="361"/>
      <c r="M219" s="361"/>
      <c r="N219" s="361"/>
      <c r="O219" s="361"/>
      <c r="P219" s="361"/>
      <c r="Q219" s="361"/>
      <c r="R219" s="361"/>
      <c r="S219" s="361"/>
      <c r="T219" s="361"/>
      <c r="U219" s="361"/>
      <c r="V219" s="361"/>
      <c r="W219" s="361"/>
      <c r="X219" s="365"/>
      <c r="Y219" s="361"/>
      <c r="Z219" s="361"/>
      <c r="AA219" s="116"/>
      <c r="AB219" s="116"/>
      <c r="AC219" s="116"/>
      <c r="AD219" s="116"/>
      <c r="AE219" s="365"/>
      <c r="AF219" s="116"/>
      <c r="AG219" s="116"/>
      <c r="AH219" s="116"/>
      <c r="AI219" s="116"/>
      <c r="AJ219" s="116"/>
      <c r="AK219" s="116"/>
      <c r="AL219" s="116"/>
    </row>
    <row r="220" ht="16.5" customHeight="1">
      <c r="A220" s="362"/>
      <c r="B220" s="362"/>
      <c r="C220" s="362"/>
      <c r="D220" s="362"/>
      <c r="E220" s="132"/>
      <c r="F220" s="131"/>
      <c r="G220" s="361"/>
      <c r="H220" s="363"/>
      <c r="I220" s="364"/>
      <c r="J220" s="361"/>
      <c r="K220" s="361"/>
      <c r="L220" s="361"/>
      <c r="M220" s="361"/>
      <c r="N220" s="361"/>
      <c r="O220" s="361"/>
      <c r="P220" s="361"/>
      <c r="Q220" s="361"/>
      <c r="R220" s="361"/>
      <c r="S220" s="361"/>
      <c r="T220" s="361"/>
      <c r="U220" s="361"/>
      <c r="V220" s="361"/>
      <c r="W220" s="361"/>
      <c r="X220" s="365"/>
      <c r="Y220" s="361"/>
      <c r="Z220" s="361"/>
      <c r="AA220" s="116"/>
      <c r="AB220" s="116"/>
      <c r="AC220" s="116"/>
      <c r="AD220" s="116"/>
      <c r="AE220" s="365"/>
      <c r="AF220" s="116"/>
      <c r="AG220" s="116"/>
      <c r="AH220" s="116"/>
      <c r="AI220" s="116"/>
      <c r="AJ220" s="116"/>
      <c r="AK220" s="116"/>
      <c r="AL220" s="116"/>
    </row>
    <row r="221" ht="16.5" customHeight="1">
      <c r="A221" s="362"/>
      <c r="B221" s="362"/>
      <c r="C221" s="362"/>
      <c r="D221" s="362"/>
      <c r="E221" s="132"/>
      <c r="F221" s="131"/>
      <c r="G221" s="361"/>
      <c r="H221" s="363"/>
      <c r="I221" s="364"/>
      <c r="J221" s="361"/>
      <c r="K221" s="361"/>
      <c r="L221" s="361"/>
      <c r="M221" s="361"/>
      <c r="N221" s="361"/>
      <c r="O221" s="361"/>
      <c r="P221" s="361"/>
      <c r="Q221" s="361"/>
      <c r="R221" s="361"/>
      <c r="S221" s="361"/>
      <c r="T221" s="361"/>
      <c r="U221" s="361"/>
      <c r="V221" s="361"/>
      <c r="W221" s="361"/>
      <c r="X221" s="365"/>
      <c r="Y221" s="361"/>
      <c r="Z221" s="361"/>
      <c r="AA221" s="116"/>
      <c r="AB221" s="116"/>
      <c r="AC221" s="116"/>
      <c r="AD221" s="116"/>
      <c r="AE221" s="365"/>
      <c r="AF221" s="116"/>
      <c r="AG221" s="116"/>
      <c r="AH221" s="116"/>
      <c r="AI221" s="116"/>
      <c r="AJ221" s="116"/>
      <c r="AK221" s="116"/>
      <c r="AL221" s="116"/>
    </row>
    <row r="222" ht="16.5" customHeight="1">
      <c r="A222" s="362"/>
      <c r="B222" s="362"/>
      <c r="C222" s="362"/>
      <c r="D222" s="362"/>
      <c r="E222" s="132"/>
      <c r="F222" s="131"/>
      <c r="G222" s="361"/>
      <c r="H222" s="363"/>
      <c r="I222" s="364"/>
      <c r="J222" s="361"/>
      <c r="K222" s="361"/>
      <c r="L222" s="361"/>
      <c r="M222" s="361"/>
      <c r="N222" s="361"/>
      <c r="O222" s="361"/>
      <c r="P222" s="361"/>
      <c r="Q222" s="361"/>
      <c r="R222" s="361"/>
      <c r="S222" s="361"/>
      <c r="T222" s="361"/>
      <c r="U222" s="361"/>
      <c r="V222" s="361"/>
      <c r="W222" s="361"/>
      <c r="X222" s="365"/>
      <c r="Y222" s="361"/>
      <c r="Z222" s="361"/>
      <c r="AA222" s="116"/>
      <c r="AB222" s="116"/>
      <c r="AC222" s="116"/>
      <c r="AD222" s="116"/>
      <c r="AE222" s="365"/>
      <c r="AF222" s="116"/>
      <c r="AG222" s="116"/>
      <c r="AH222" s="116"/>
      <c r="AI222" s="116"/>
      <c r="AJ222" s="116"/>
      <c r="AK222" s="116"/>
      <c r="AL222" s="116"/>
    </row>
    <row r="223" ht="16.5" customHeight="1">
      <c r="A223" s="362"/>
      <c r="B223" s="362"/>
      <c r="C223" s="362"/>
      <c r="D223" s="362"/>
      <c r="E223" s="132"/>
      <c r="F223" s="131"/>
      <c r="G223" s="361"/>
      <c r="H223" s="363"/>
      <c r="I223" s="364"/>
      <c r="J223" s="361"/>
      <c r="K223" s="361"/>
      <c r="L223" s="361"/>
      <c r="M223" s="361"/>
      <c r="N223" s="361"/>
      <c r="O223" s="361"/>
      <c r="P223" s="361"/>
      <c r="Q223" s="361"/>
      <c r="R223" s="361"/>
      <c r="S223" s="361"/>
      <c r="T223" s="361"/>
      <c r="U223" s="361"/>
      <c r="V223" s="361"/>
      <c r="W223" s="361"/>
      <c r="X223" s="365"/>
      <c r="Y223" s="361"/>
      <c r="Z223" s="361"/>
      <c r="AA223" s="116"/>
      <c r="AB223" s="116"/>
      <c r="AC223" s="116"/>
      <c r="AD223" s="116"/>
      <c r="AE223" s="365"/>
      <c r="AF223" s="116"/>
      <c r="AG223" s="116"/>
      <c r="AH223" s="116"/>
      <c r="AI223" s="116"/>
      <c r="AJ223" s="116"/>
      <c r="AK223" s="116"/>
      <c r="AL223" s="116"/>
    </row>
    <row r="224" ht="16.5" customHeight="1">
      <c r="A224" s="362"/>
      <c r="B224" s="362"/>
      <c r="C224" s="362"/>
      <c r="D224" s="362"/>
      <c r="E224" s="132"/>
      <c r="F224" s="131"/>
      <c r="G224" s="361"/>
      <c r="H224" s="363"/>
      <c r="I224" s="364"/>
      <c r="J224" s="361"/>
      <c r="K224" s="361"/>
      <c r="L224" s="361"/>
      <c r="M224" s="361"/>
      <c r="N224" s="361"/>
      <c r="O224" s="361"/>
      <c r="P224" s="361"/>
      <c r="Q224" s="361"/>
      <c r="R224" s="361"/>
      <c r="S224" s="361"/>
      <c r="T224" s="361"/>
      <c r="U224" s="361"/>
      <c r="V224" s="361"/>
      <c r="W224" s="361"/>
      <c r="X224" s="365"/>
      <c r="Y224" s="361"/>
      <c r="Z224" s="361"/>
      <c r="AA224" s="116"/>
      <c r="AB224" s="116"/>
      <c r="AC224" s="116"/>
      <c r="AD224" s="116"/>
      <c r="AE224" s="365"/>
      <c r="AF224" s="116"/>
      <c r="AG224" s="116"/>
      <c r="AH224" s="116"/>
      <c r="AI224" s="116"/>
      <c r="AJ224" s="116"/>
      <c r="AK224" s="116"/>
      <c r="AL224" s="116"/>
    </row>
    <row r="225" ht="16.5" customHeight="1">
      <c r="A225" s="362"/>
      <c r="B225" s="362"/>
      <c r="C225" s="362"/>
      <c r="D225" s="362"/>
      <c r="E225" s="132"/>
      <c r="F225" s="131"/>
      <c r="G225" s="361"/>
      <c r="H225" s="363"/>
      <c r="I225" s="364"/>
      <c r="J225" s="361"/>
      <c r="K225" s="361"/>
      <c r="L225" s="361"/>
      <c r="M225" s="361"/>
      <c r="N225" s="361"/>
      <c r="O225" s="361"/>
      <c r="P225" s="361"/>
      <c r="Q225" s="361"/>
      <c r="R225" s="361"/>
      <c r="S225" s="361"/>
      <c r="T225" s="361"/>
      <c r="U225" s="361"/>
      <c r="V225" s="361"/>
      <c r="W225" s="361"/>
      <c r="X225" s="365"/>
      <c r="Y225" s="361"/>
      <c r="Z225" s="361"/>
      <c r="AA225" s="116"/>
      <c r="AB225" s="116"/>
      <c r="AC225" s="116"/>
      <c r="AD225" s="116"/>
      <c r="AE225" s="365"/>
      <c r="AF225" s="116"/>
      <c r="AG225" s="116"/>
      <c r="AH225" s="116"/>
      <c r="AI225" s="116"/>
      <c r="AJ225" s="116"/>
      <c r="AK225" s="116"/>
      <c r="AL225" s="116"/>
    </row>
    <row r="226" ht="16.5" customHeight="1">
      <c r="A226" s="362"/>
      <c r="B226" s="362"/>
      <c r="C226" s="362"/>
      <c r="D226" s="362"/>
      <c r="E226" s="132"/>
      <c r="F226" s="131"/>
      <c r="G226" s="361"/>
      <c r="H226" s="363"/>
      <c r="I226" s="364"/>
      <c r="J226" s="361"/>
      <c r="K226" s="361"/>
      <c r="L226" s="361"/>
      <c r="M226" s="361"/>
      <c r="N226" s="361"/>
      <c r="O226" s="361"/>
      <c r="P226" s="361"/>
      <c r="Q226" s="361"/>
      <c r="R226" s="361"/>
      <c r="S226" s="361"/>
      <c r="T226" s="361"/>
      <c r="U226" s="361"/>
      <c r="V226" s="361"/>
      <c r="W226" s="361"/>
      <c r="X226" s="365"/>
      <c r="Y226" s="361"/>
      <c r="Z226" s="361"/>
      <c r="AA226" s="116"/>
      <c r="AB226" s="116"/>
      <c r="AC226" s="116"/>
      <c r="AD226" s="116"/>
      <c r="AE226" s="365"/>
      <c r="AF226" s="116"/>
      <c r="AG226" s="116"/>
      <c r="AH226" s="116"/>
      <c r="AI226" s="116"/>
      <c r="AJ226" s="116"/>
      <c r="AK226" s="116"/>
      <c r="AL226" s="116"/>
    </row>
    <row r="227" ht="16.5" customHeight="1">
      <c r="A227" s="362"/>
      <c r="B227" s="362"/>
      <c r="C227" s="362"/>
      <c r="D227" s="362"/>
      <c r="E227" s="132"/>
      <c r="F227" s="131"/>
      <c r="G227" s="361"/>
      <c r="H227" s="363"/>
      <c r="I227" s="364"/>
      <c r="J227" s="361"/>
      <c r="K227" s="361"/>
      <c r="L227" s="361"/>
      <c r="M227" s="361"/>
      <c r="N227" s="361"/>
      <c r="O227" s="361"/>
      <c r="P227" s="361"/>
      <c r="Q227" s="361"/>
      <c r="R227" s="361"/>
      <c r="S227" s="361"/>
      <c r="T227" s="361"/>
      <c r="U227" s="361"/>
      <c r="V227" s="361"/>
      <c r="W227" s="361"/>
      <c r="X227" s="365"/>
      <c r="Y227" s="361"/>
      <c r="Z227" s="361"/>
      <c r="AA227" s="116"/>
      <c r="AB227" s="116"/>
      <c r="AC227" s="116"/>
      <c r="AD227" s="116"/>
      <c r="AE227" s="365"/>
      <c r="AF227" s="116"/>
      <c r="AG227" s="116"/>
      <c r="AH227" s="116"/>
      <c r="AI227" s="116"/>
      <c r="AJ227" s="116"/>
      <c r="AK227" s="116"/>
      <c r="AL227" s="116"/>
    </row>
    <row r="228" ht="16.5" customHeight="1">
      <c r="A228" s="362"/>
      <c r="B228" s="362"/>
      <c r="C228" s="362"/>
      <c r="D228" s="362"/>
      <c r="E228" s="132"/>
      <c r="F228" s="131"/>
      <c r="G228" s="361"/>
      <c r="H228" s="363"/>
      <c r="I228" s="364"/>
      <c r="J228" s="361"/>
      <c r="K228" s="361"/>
      <c r="L228" s="361"/>
      <c r="M228" s="361"/>
      <c r="N228" s="361"/>
      <c r="O228" s="361"/>
      <c r="P228" s="361"/>
      <c r="Q228" s="361"/>
      <c r="R228" s="361"/>
      <c r="S228" s="361"/>
      <c r="T228" s="361"/>
      <c r="U228" s="361"/>
      <c r="V228" s="361"/>
      <c r="W228" s="361"/>
      <c r="X228" s="365"/>
      <c r="Y228" s="361"/>
      <c r="Z228" s="361"/>
      <c r="AA228" s="116"/>
      <c r="AB228" s="116"/>
      <c r="AC228" s="116"/>
      <c r="AD228" s="116"/>
      <c r="AE228" s="365"/>
      <c r="AF228" s="116"/>
      <c r="AG228" s="116"/>
      <c r="AH228" s="116"/>
      <c r="AI228" s="116"/>
      <c r="AJ228" s="116"/>
      <c r="AK228" s="116"/>
      <c r="AL228" s="116"/>
    </row>
    <row r="229" ht="16.5" customHeight="1">
      <c r="A229" s="362"/>
      <c r="B229" s="362"/>
      <c r="C229" s="362"/>
      <c r="D229" s="362"/>
      <c r="E229" s="132"/>
      <c r="F229" s="131"/>
      <c r="G229" s="361"/>
      <c r="H229" s="363"/>
      <c r="I229" s="364"/>
      <c r="J229" s="361"/>
      <c r="K229" s="361"/>
      <c r="L229" s="361"/>
      <c r="M229" s="361"/>
      <c r="N229" s="361"/>
      <c r="O229" s="361"/>
      <c r="P229" s="361"/>
      <c r="Q229" s="361"/>
      <c r="R229" s="361"/>
      <c r="S229" s="361"/>
      <c r="T229" s="361"/>
      <c r="U229" s="361"/>
      <c r="V229" s="361"/>
      <c r="W229" s="361"/>
      <c r="X229" s="365"/>
      <c r="Y229" s="361"/>
      <c r="Z229" s="361"/>
      <c r="AA229" s="116"/>
      <c r="AB229" s="116"/>
      <c r="AC229" s="116"/>
      <c r="AD229" s="116"/>
      <c r="AE229" s="365"/>
      <c r="AF229" s="116"/>
      <c r="AG229" s="116"/>
      <c r="AH229" s="116"/>
      <c r="AI229" s="116"/>
      <c r="AJ229" s="116"/>
      <c r="AK229" s="116"/>
      <c r="AL229" s="116"/>
    </row>
    <row r="230" ht="16.5" customHeight="1">
      <c r="A230" s="362"/>
      <c r="B230" s="362"/>
      <c r="C230" s="362"/>
      <c r="D230" s="362"/>
      <c r="E230" s="132"/>
      <c r="F230" s="131"/>
      <c r="G230" s="361"/>
      <c r="H230" s="363"/>
      <c r="I230" s="364"/>
      <c r="J230" s="361"/>
      <c r="K230" s="361"/>
      <c r="L230" s="361"/>
      <c r="M230" s="361"/>
      <c r="N230" s="361"/>
      <c r="O230" s="361"/>
      <c r="P230" s="361"/>
      <c r="Q230" s="361"/>
      <c r="R230" s="361"/>
      <c r="S230" s="361"/>
      <c r="T230" s="361"/>
      <c r="U230" s="361"/>
      <c r="V230" s="361"/>
      <c r="W230" s="361"/>
      <c r="X230" s="365"/>
      <c r="Y230" s="361"/>
      <c r="Z230" s="361"/>
      <c r="AA230" s="116"/>
      <c r="AB230" s="116"/>
      <c r="AC230" s="116"/>
      <c r="AD230" s="116"/>
      <c r="AE230" s="365"/>
      <c r="AF230" s="116"/>
      <c r="AG230" s="116"/>
      <c r="AH230" s="116"/>
      <c r="AI230" s="116"/>
      <c r="AJ230" s="116"/>
      <c r="AK230" s="116"/>
      <c r="AL230" s="116"/>
    </row>
    <row r="231" ht="16.5" customHeight="1">
      <c r="A231" s="362"/>
      <c r="B231" s="362"/>
      <c r="C231" s="362"/>
      <c r="D231" s="362"/>
      <c r="E231" s="132"/>
      <c r="F231" s="131"/>
      <c r="G231" s="361"/>
      <c r="H231" s="363"/>
      <c r="I231" s="364"/>
      <c r="J231" s="361"/>
      <c r="K231" s="361"/>
      <c r="L231" s="361"/>
      <c r="M231" s="361"/>
      <c r="N231" s="361"/>
      <c r="O231" s="361"/>
      <c r="P231" s="361"/>
      <c r="Q231" s="361"/>
      <c r="R231" s="361"/>
      <c r="S231" s="361"/>
      <c r="T231" s="361"/>
      <c r="U231" s="361"/>
      <c r="V231" s="361"/>
      <c r="W231" s="361"/>
      <c r="X231" s="365"/>
      <c r="Y231" s="361"/>
      <c r="Z231" s="361"/>
      <c r="AA231" s="116"/>
      <c r="AB231" s="116"/>
      <c r="AC231" s="116"/>
      <c r="AD231" s="116"/>
      <c r="AE231" s="365"/>
      <c r="AF231" s="116"/>
      <c r="AG231" s="116"/>
      <c r="AH231" s="116"/>
      <c r="AI231" s="116"/>
      <c r="AJ231" s="116"/>
      <c r="AK231" s="116"/>
      <c r="AL231" s="116"/>
    </row>
    <row r="232" ht="16.5" customHeight="1">
      <c r="A232" s="362"/>
      <c r="B232" s="362"/>
      <c r="C232" s="362"/>
      <c r="D232" s="362"/>
      <c r="E232" s="132"/>
      <c r="F232" s="131"/>
      <c r="G232" s="361"/>
      <c r="H232" s="363"/>
      <c r="I232" s="364"/>
      <c r="J232" s="361"/>
      <c r="K232" s="361"/>
      <c r="L232" s="361"/>
      <c r="M232" s="361"/>
      <c r="N232" s="361"/>
      <c r="O232" s="361"/>
      <c r="P232" s="361"/>
      <c r="Q232" s="361"/>
      <c r="R232" s="361"/>
      <c r="S232" s="361"/>
      <c r="T232" s="361"/>
      <c r="U232" s="361"/>
      <c r="V232" s="361"/>
      <c r="W232" s="361"/>
      <c r="X232" s="365"/>
      <c r="Y232" s="361"/>
      <c r="Z232" s="361"/>
      <c r="AA232" s="116"/>
      <c r="AB232" s="116"/>
      <c r="AC232" s="116"/>
      <c r="AD232" s="116"/>
      <c r="AE232" s="365"/>
      <c r="AF232" s="116"/>
      <c r="AG232" s="116"/>
      <c r="AH232" s="116"/>
      <c r="AI232" s="116"/>
      <c r="AJ232" s="116"/>
      <c r="AK232" s="116"/>
      <c r="AL232" s="116"/>
    </row>
    <row r="233" ht="16.5" customHeight="1">
      <c r="A233" s="362"/>
      <c r="B233" s="362"/>
      <c r="C233" s="362"/>
      <c r="D233" s="362"/>
      <c r="E233" s="132"/>
      <c r="F233" s="131"/>
      <c r="G233" s="361"/>
      <c r="H233" s="363"/>
      <c r="I233" s="364"/>
      <c r="J233" s="361"/>
      <c r="K233" s="361"/>
      <c r="L233" s="361"/>
      <c r="M233" s="361"/>
      <c r="N233" s="361"/>
      <c r="O233" s="361"/>
      <c r="P233" s="361"/>
      <c r="Q233" s="361"/>
      <c r="R233" s="361"/>
      <c r="S233" s="361"/>
      <c r="T233" s="361"/>
      <c r="U233" s="361"/>
      <c r="V233" s="361"/>
      <c r="W233" s="361"/>
      <c r="X233" s="365"/>
      <c r="Y233" s="361"/>
      <c r="Z233" s="361"/>
      <c r="AA233" s="116"/>
      <c r="AB233" s="116"/>
      <c r="AC233" s="116"/>
      <c r="AD233" s="116"/>
      <c r="AE233" s="365"/>
      <c r="AF233" s="116"/>
      <c r="AG233" s="116"/>
      <c r="AH233" s="116"/>
      <c r="AI233" s="116"/>
      <c r="AJ233" s="116"/>
      <c r="AK233" s="116"/>
      <c r="AL233" s="116"/>
    </row>
    <row r="234" ht="16.5" customHeight="1">
      <c r="A234" s="362"/>
      <c r="B234" s="362"/>
      <c r="C234" s="362"/>
      <c r="D234" s="362"/>
      <c r="E234" s="132"/>
      <c r="F234" s="131"/>
      <c r="G234" s="361"/>
      <c r="H234" s="363"/>
      <c r="I234" s="364"/>
      <c r="J234" s="361"/>
      <c r="K234" s="361"/>
      <c r="L234" s="361"/>
      <c r="M234" s="361"/>
      <c r="N234" s="361"/>
      <c r="O234" s="361"/>
      <c r="P234" s="361"/>
      <c r="Q234" s="361"/>
      <c r="R234" s="361"/>
      <c r="S234" s="361"/>
      <c r="T234" s="361"/>
      <c r="U234" s="361"/>
      <c r="V234" s="361"/>
      <c r="W234" s="361"/>
      <c r="X234" s="365"/>
      <c r="Y234" s="361"/>
      <c r="Z234" s="361"/>
      <c r="AA234" s="116"/>
      <c r="AB234" s="116"/>
      <c r="AC234" s="116"/>
      <c r="AD234" s="116"/>
      <c r="AE234" s="365"/>
      <c r="AF234" s="116"/>
      <c r="AG234" s="116"/>
      <c r="AH234" s="116"/>
      <c r="AI234" s="116"/>
      <c r="AJ234" s="116"/>
      <c r="AK234" s="116"/>
      <c r="AL234" s="116"/>
    </row>
    <row r="235" ht="16.5" customHeight="1">
      <c r="A235" s="362"/>
      <c r="B235" s="362"/>
      <c r="C235" s="362"/>
      <c r="D235" s="362"/>
      <c r="E235" s="132"/>
      <c r="F235" s="131"/>
      <c r="G235" s="361"/>
      <c r="H235" s="363"/>
      <c r="I235" s="364"/>
      <c r="J235" s="361"/>
      <c r="K235" s="361"/>
      <c r="L235" s="361"/>
      <c r="M235" s="361"/>
      <c r="N235" s="361"/>
      <c r="O235" s="361"/>
      <c r="P235" s="361"/>
      <c r="Q235" s="361"/>
      <c r="R235" s="361"/>
      <c r="S235" s="361"/>
      <c r="T235" s="361"/>
      <c r="U235" s="361"/>
      <c r="V235" s="361"/>
      <c r="W235" s="361"/>
      <c r="X235" s="365"/>
      <c r="Y235" s="361"/>
      <c r="Z235" s="361"/>
      <c r="AA235" s="116"/>
      <c r="AB235" s="116"/>
      <c r="AC235" s="116"/>
      <c r="AD235" s="116"/>
      <c r="AE235" s="365"/>
      <c r="AF235" s="116"/>
      <c r="AG235" s="116"/>
      <c r="AH235" s="116"/>
      <c r="AI235" s="116"/>
      <c r="AJ235" s="116"/>
      <c r="AK235" s="116"/>
      <c r="AL235" s="116"/>
    </row>
    <row r="236" ht="16.5" customHeight="1">
      <c r="A236" s="362"/>
      <c r="B236" s="362"/>
      <c r="C236" s="362"/>
      <c r="D236" s="362"/>
      <c r="E236" s="132"/>
      <c r="F236" s="131"/>
      <c r="G236" s="361"/>
      <c r="H236" s="363"/>
      <c r="I236" s="364"/>
      <c r="J236" s="361"/>
      <c r="K236" s="361"/>
      <c r="L236" s="361"/>
      <c r="M236" s="361"/>
      <c r="N236" s="361"/>
      <c r="O236" s="361"/>
      <c r="P236" s="361"/>
      <c r="Q236" s="361"/>
      <c r="R236" s="361"/>
      <c r="S236" s="361"/>
      <c r="T236" s="361"/>
      <c r="U236" s="361"/>
      <c r="V236" s="361"/>
      <c r="W236" s="361"/>
      <c r="X236" s="365"/>
      <c r="Y236" s="361"/>
      <c r="Z236" s="361"/>
      <c r="AA236" s="116"/>
      <c r="AB236" s="116"/>
      <c r="AC236" s="116"/>
      <c r="AD236" s="116"/>
      <c r="AE236" s="365"/>
      <c r="AF236" s="116"/>
      <c r="AG236" s="116"/>
      <c r="AH236" s="116"/>
      <c r="AI236" s="116"/>
      <c r="AJ236" s="116"/>
      <c r="AK236" s="116"/>
      <c r="AL236" s="116"/>
    </row>
    <row r="237" ht="16.5" customHeight="1">
      <c r="A237" s="362"/>
      <c r="B237" s="362"/>
      <c r="C237" s="362"/>
      <c r="D237" s="362"/>
      <c r="E237" s="132"/>
      <c r="F237" s="131"/>
      <c r="G237" s="361"/>
      <c r="H237" s="363"/>
      <c r="I237" s="364"/>
      <c r="J237" s="361"/>
      <c r="K237" s="361"/>
      <c r="L237" s="361"/>
      <c r="M237" s="361"/>
      <c r="N237" s="361"/>
      <c r="O237" s="361"/>
      <c r="P237" s="361"/>
      <c r="Q237" s="361"/>
      <c r="R237" s="361"/>
      <c r="S237" s="361"/>
      <c r="T237" s="361"/>
      <c r="U237" s="361"/>
      <c r="V237" s="361"/>
      <c r="W237" s="361"/>
      <c r="X237" s="365"/>
      <c r="Y237" s="361"/>
      <c r="Z237" s="361"/>
      <c r="AA237" s="116"/>
      <c r="AB237" s="116"/>
      <c r="AC237" s="116"/>
      <c r="AD237" s="116"/>
      <c r="AE237" s="365"/>
      <c r="AF237" s="116"/>
      <c r="AG237" s="116"/>
      <c r="AH237" s="116"/>
      <c r="AI237" s="116"/>
      <c r="AJ237" s="116"/>
      <c r="AK237" s="116"/>
      <c r="AL237" s="116"/>
    </row>
    <row r="238" ht="16.5" customHeight="1">
      <c r="A238" s="362"/>
      <c r="B238" s="362"/>
      <c r="C238" s="362"/>
      <c r="D238" s="362"/>
      <c r="E238" s="132"/>
      <c r="F238" s="131"/>
      <c r="G238" s="361"/>
      <c r="H238" s="363"/>
      <c r="I238" s="364"/>
      <c r="J238" s="361"/>
      <c r="K238" s="361"/>
      <c r="L238" s="361"/>
      <c r="M238" s="361"/>
      <c r="N238" s="361"/>
      <c r="O238" s="361"/>
      <c r="P238" s="361"/>
      <c r="Q238" s="361"/>
      <c r="R238" s="361"/>
      <c r="S238" s="361"/>
      <c r="T238" s="361"/>
      <c r="U238" s="361"/>
      <c r="V238" s="361"/>
      <c r="W238" s="361"/>
      <c r="X238" s="365"/>
      <c r="Y238" s="361"/>
      <c r="Z238" s="361"/>
      <c r="AA238" s="116"/>
      <c r="AB238" s="116"/>
      <c r="AC238" s="116"/>
      <c r="AD238" s="116"/>
      <c r="AE238" s="365"/>
      <c r="AF238" s="116"/>
      <c r="AG238" s="116"/>
      <c r="AH238" s="116"/>
      <c r="AI238" s="116"/>
      <c r="AJ238" s="116"/>
      <c r="AK238" s="116"/>
      <c r="AL238" s="116"/>
    </row>
    <row r="239" ht="16.5" customHeight="1">
      <c r="A239" s="362"/>
      <c r="B239" s="362"/>
      <c r="C239" s="362"/>
      <c r="D239" s="362"/>
      <c r="E239" s="132"/>
      <c r="F239" s="131"/>
      <c r="G239" s="361"/>
      <c r="H239" s="363"/>
      <c r="I239" s="364"/>
      <c r="J239" s="361"/>
      <c r="K239" s="361"/>
      <c r="L239" s="361"/>
      <c r="M239" s="361"/>
      <c r="N239" s="361"/>
      <c r="O239" s="361"/>
      <c r="P239" s="361"/>
      <c r="Q239" s="361"/>
      <c r="R239" s="361"/>
      <c r="S239" s="361"/>
      <c r="T239" s="361"/>
      <c r="U239" s="361"/>
      <c r="V239" s="361"/>
      <c r="W239" s="361"/>
      <c r="X239" s="365"/>
      <c r="Y239" s="361"/>
      <c r="Z239" s="361"/>
      <c r="AA239" s="116"/>
      <c r="AB239" s="116"/>
      <c r="AC239" s="116"/>
      <c r="AD239" s="116"/>
      <c r="AE239" s="365"/>
      <c r="AF239" s="116"/>
      <c r="AG239" s="116"/>
      <c r="AH239" s="116"/>
      <c r="AI239" s="116"/>
      <c r="AJ239" s="116"/>
      <c r="AK239" s="116"/>
      <c r="AL239" s="116"/>
    </row>
    <row r="240" ht="16.5" customHeight="1">
      <c r="A240" s="362"/>
      <c r="B240" s="362"/>
      <c r="C240" s="362"/>
      <c r="D240" s="362"/>
      <c r="E240" s="132"/>
      <c r="F240" s="131"/>
      <c r="G240" s="361"/>
      <c r="H240" s="363"/>
      <c r="I240" s="364"/>
      <c r="J240" s="361"/>
      <c r="K240" s="361"/>
      <c r="L240" s="361"/>
      <c r="M240" s="361"/>
      <c r="N240" s="361"/>
      <c r="O240" s="361"/>
      <c r="P240" s="361"/>
      <c r="Q240" s="361"/>
      <c r="R240" s="361"/>
      <c r="S240" s="361"/>
      <c r="T240" s="361"/>
      <c r="U240" s="361"/>
      <c r="V240" s="361"/>
      <c r="W240" s="361"/>
      <c r="X240" s="365"/>
      <c r="Y240" s="361"/>
      <c r="Z240" s="361"/>
      <c r="AA240" s="116"/>
      <c r="AB240" s="116"/>
      <c r="AC240" s="116"/>
      <c r="AD240" s="116"/>
      <c r="AE240" s="365"/>
      <c r="AF240" s="116"/>
      <c r="AG240" s="116"/>
      <c r="AH240" s="116"/>
      <c r="AI240" s="116"/>
      <c r="AJ240" s="116"/>
      <c r="AK240" s="116"/>
      <c r="AL240" s="116"/>
    </row>
    <row r="241" ht="16.5" customHeight="1">
      <c r="A241" s="362"/>
      <c r="B241" s="362"/>
      <c r="C241" s="362"/>
      <c r="D241" s="362"/>
      <c r="E241" s="132"/>
      <c r="F241" s="131"/>
      <c r="G241" s="361"/>
      <c r="H241" s="363"/>
      <c r="I241" s="364"/>
      <c r="J241" s="361"/>
      <c r="K241" s="361"/>
      <c r="L241" s="361"/>
      <c r="M241" s="361"/>
      <c r="N241" s="361"/>
      <c r="O241" s="361"/>
      <c r="P241" s="361"/>
      <c r="Q241" s="361"/>
      <c r="R241" s="361"/>
      <c r="S241" s="361"/>
      <c r="T241" s="361"/>
      <c r="U241" s="361"/>
      <c r="V241" s="361"/>
      <c r="W241" s="361"/>
      <c r="X241" s="365"/>
      <c r="Y241" s="361"/>
      <c r="Z241" s="361"/>
      <c r="AA241" s="116"/>
      <c r="AB241" s="116"/>
      <c r="AC241" s="116"/>
      <c r="AD241" s="116"/>
      <c r="AE241" s="365"/>
      <c r="AF241" s="116"/>
      <c r="AG241" s="116"/>
      <c r="AH241" s="116"/>
      <c r="AI241" s="116"/>
      <c r="AJ241" s="116"/>
      <c r="AK241" s="116"/>
      <c r="AL241" s="116"/>
    </row>
    <row r="242" ht="16.5" customHeight="1">
      <c r="A242" s="362"/>
      <c r="B242" s="362"/>
      <c r="C242" s="362"/>
      <c r="D242" s="362"/>
      <c r="E242" s="132"/>
      <c r="F242" s="131"/>
      <c r="G242" s="361"/>
      <c r="H242" s="363"/>
      <c r="I242" s="364"/>
      <c r="J242" s="361"/>
      <c r="K242" s="361"/>
      <c r="L242" s="361"/>
      <c r="M242" s="361"/>
      <c r="N242" s="361"/>
      <c r="O242" s="361"/>
      <c r="P242" s="361"/>
      <c r="Q242" s="361"/>
      <c r="R242" s="361"/>
      <c r="S242" s="361"/>
      <c r="T242" s="361"/>
      <c r="U242" s="361"/>
      <c r="V242" s="361"/>
      <c r="W242" s="361"/>
      <c r="X242" s="365"/>
      <c r="Y242" s="361"/>
      <c r="Z242" s="361"/>
      <c r="AA242" s="116"/>
      <c r="AB242" s="116"/>
      <c r="AC242" s="116"/>
      <c r="AD242" s="116"/>
      <c r="AE242" s="365"/>
      <c r="AF242" s="116"/>
      <c r="AG242" s="116"/>
      <c r="AH242" s="116"/>
      <c r="AI242" s="116"/>
      <c r="AJ242" s="116"/>
      <c r="AK242" s="116"/>
      <c r="AL242" s="116"/>
    </row>
    <row r="243" ht="16.5" customHeight="1">
      <c r="A243" s="362"/>
      <c r="B243" s="362"/>
      <c r="C243" s="362"/>
      <c r="D243" s="362"/>
      <c r="E243" s="132"/>
      <c r="F243" s="131"/>
      <c r="G243" s="361"/>
      <c r="H243" s="363"/>
      <c r="I243" s="364"/>
      <c r="J243" s="361"/>
      <c r="K243" s="361"/>
      <c r="L243" s="361"/>
      <c r="M243" s="361"/>
      <c r="N243" s="361"/>
      <c r="O243" s="361"/>
      <c r="P243" s="361"/>
      <c r="Q243" s="361"/>
      <c r="R243" s="361"/>
      <c r="S243" s="361"/>
      <c r="T243" s="361"/>
      <c r="U243" s="361"/>
      <c r="V243" s="361"/>
      <c r="W243" s="361"/>
      <c r="X243" s="365"/>
      <c r="Y243" s="361"/>
      <c r="Z243" s="361"/>
      <c r="AA243" s="116"/>
      <c r="AB243" s="116"/>
      <c r="AC243" s="116"/>
      <c r="AD243" s="116"/>
      <c r="AE243" s="365"/>
      <c r="AF243" s="116"/>
      <c r="AG243" s="116"/>
      <c r="AH243" s="116"/>
      <c r="AI243" s="116"/>
      <c r="AJ243" s="116"/>
      <c r="AK243" s="116"/>
      <c r="AL243" s="116"/>
    </row>
    <row r="244" ht="16.5" customHeight="1">
      <c r="A244" s="362"/>
      <c r="B244" s="362"/>
      <c r="C244" s="362"/>
      <c r="D244" s="362"/>
      <c r="E244" s="132"/>
      <c r="F244" s="131"/>
      <c r="G244" s="361"/>
      <c r="H244" s="363"/>
      <c r="I244" s="364"/>
      <c r="J244" s="361"/>
      <c r="K244" s="361"/>
      <c r="L244" s="361"/>
      <c r="M244" s="361"/>
      <c r="N244" s="361"/>
      <c r="O244" s="361"/>
      <c r="P244" s="361"/>
      <c r="Q244" s="361"/>
      <c r="R244" s="361"/>
      <c r="S244" s="361"/>
      <c r="T244" s="361"/>
      <c r="U244" s="361"/>
      <c r="V244" s="361"/>
      <c r="W244" s="361"/>
      <c r="X244" s="365"/>
      <c r="Y244" s="361"/>
      <c r="Z244" s="361"/>
      <c r="AA244" s="116"/>
      <c r="AB244" s="116"/>
      <c r="AC244" s="116"/>
      <c r="AD244" s="116"/>
      <c r="AE244" s="365"/>
      <c r="AF244" s="116"/>
      <c r="AG244" s="116"/>
      <c r="AH244" s="116"/>
      <c r="AI244" s="116"/>
      <c r="AJ244" s="116"/>
      <c r="AK244" s="116"/>
      <c r="AL244" s="116"/>
    </row>
    <row r="245" ht="16.5" customHeight="1">
      <c r="A245" s="362"/>
      <c r="B245" s="362"/>
      <c r="C245" s="362"/>
      <c r="D245" s="362"/>
      <c r="E245" s="132"/>
      <c r="F245" s="131"/>
      <c r="G245" s="361"/>
      <c r="H245" s="363"/>
      <c r="I245" s="364"/>
      <c r="J245" s="361"/>
      <c r="K245" s="361"/>
      <c r="L245" s="361"/>
      <c r="M245" s="361"/>
      <c r="N245" s="361"/>
      <c r="O245" s="361"/>
      <c r="P245" s="361"/>
      <c r="Q245" s="361"/>
      <c r="R245" s="361"/>
      <c r="S245" s="361"/>
      <c r="T245" s="361"/>
      <c r="U245" s="361"/>
      <c r="V245" s="361"/>
      <c r="W245" s="361"/>
      <c r="X245" s="365"/>
      <c r="Y245" s="361"/>
      <c r="Z245" s="361"/>
      <c r="AA245" s="116"/>
      <c r="AB245" s="116"/>
      <c r="AC245" s="116"/>
      <c r="AD245" s="116"/>
      <c r="AE245" s="365"/>
      <c r="AF245" s="116"/>
      <c r="AG245" s="116"/>
      <c r="AH245" s="116"/>
      <c r="AI245" s="116"/>
      <c r="AJ245" s="116"/>
      <c r="AK245" s="116"/>
      <c r="AL245" s="116"/>
    </row>
    <row r="246" ht="16.5" customHeight="1">
      <c r="A246" s="362"/>
      <c r="B246" s="362"/>
      <c r="C246" s="362"/>
      <c r="D246" s="362"/>
      <c r="E246" s="132"/>
      <c r="F246" s="131"/>
      <c r="G246" s="361"/>
      <c r="H246" s="363"/>
      <c r="I246" s="364"/>
      <c r="J246" s="361"/>
      <c r="K246" s="361"/>
      <c r="L246" s="361"/>
      <c r="M246" s="361"/>
      <c r="N246" s="361"/>
      <c r="O246" s="361"/>
      <c r="P246" s="361"/>
      <c r="Q246" s="361"/>
      <c r="R246" s="361"/>
      <c r="S246" s="361"/>
      <c r="T246" s="361"/>
      <c r="U246" s="361"/>
      <c r="V246" s="361"/>
      <c r="W246" s="361"/>
      <c r="X246" s="365"/>
      <c r="Y246" s="361"/>
      <c r="Z246" s="361"/>
      <c r="AA246" s="116"/>
      <c r="AB246" s="116"/>
      <c r="AC246" s="116"/>
      <c r="AD246" s="116"/>
      <c r="AE246" s="365"/>
      <c r="AF246" s="116"/>
      <c r="AG246" s="116"/>
      <c r="AH246" s="116"/>
      <c r="AI246" s="116"/>
      <c r="AJ246" s="116"/>
      <c r="AK246" s="116"/>
      <c r="AL246" s="116"/>
    </row>
    <row r="247" ht="16.5" customHeight="1">
      <c r="A247" s="362"/>
      <c r="B247" s="362"/>
      <c r="C247" s="362"/>
      <c r="D247" s="362"/>
      <c r="E247" s="132"/>
      <c r="F247" s="131"/>
      <c r="G247" s="361"/>
      <c r="H247" s="363"/>
      <c r="I247" s="364"/>
      <c r="J247" s="361"/>
      <c r="K247" s="361"/>
      <c r="L247" s="361"/>
      <c r="M247" s="361"/>
      <c r="N247" s="361"/>
      <c r="O247" s="361"/>
      <c r="P247" s="361"/>
      <c r="Q247" s="361"/>
      <c r="R247" s="361"/>
      <c r="S247" s="361"/>
      <c r="T247" s="361"/>
      <c r="U247" s="361"/>
      <c r="V247" s="361"/>
      <c r="W247" s="361"/>
      <c r="X247" s="365"/>
      <c r="Y247" s="361"/>
      <c r="Z247" s="361"/>
      <c r="AA247" s="116"/>
      <c r="AB247" s="116"/>
      <c r="AC247" s="116"/>
      <c r="AD247" s="116"/>
      <c r="AE247" s="365"/>
      <c r="AF247" s="116"/>
      <c r="AG247" s="116"/>
      <c r="AH247" s="116"/>
      <c r="AI247" s="116"/>
      <c r="AJ247" s="116"/>
      <c r="AK247" s="116"/>
      <c r="AL247" s="116"/>
    </row>
    <row r="248" ht="16.5" customHeight="1">
      <c r="A248" s="362"/>
      <c r="B248" s="362"/>
      <c r="C248" s="362"/>
      <c r="D248" s="362"/>
      <c r="E248" s="132"/>
      <c r="F248" s="131"/>
      <c r="G248" s="361"/>
      <c r="H248" s="363"/>
      <c r="I248" s="364"/>
      <c r="J248" s="361"/>
      <c r="K248" s="361"/>
      <c r="L248" s="361"/>
      <c r="M248" s="361"/>
      <c r="N248" s="361"/>
      <c r="O248" s="361"/>
      <c r="P248" s="361"/>
      <c r="Q248" s="361"/>
      <c r="R248" s="361"/>
      <c r="S248" s="361"/>
      <c r="T248" s="361"/>
      <c r="U248" s="361"/>
      <c r="V248" s="361"/>
      <c r="W248" s="361"/>
      <c r="X248" s="365"/>
      <c r="Y248" s="361"/>
      <c r="Z248" s="361"/>
      <c r="AA248" s="116"/>
      <c r="AB248" s="116"/>
      <c r="AC248" s="116"/>
      <c r="AD248" s="116"/>
      <c r="AE248" s="365"/>
      <c r="AF248" s="116"/>
      <c r="AG248" s="116"/>
      <c r="AH248" s="116"/>
      <c r="AI248" s="116"/>
      <c r="AJ248" s="116"/>
      <c r="AK248" s="116"/>
      <c r="AL248" s="116"/>
    </row>
    <row r="249" ht="16.5" customHeight="1">
      <c r="A249" s="362"/>
      <c r="B249" s="362"/>
      <c r="C249" s="362"/>
      <c r="D249" s="362"/>
      <c r="E249" s="132"/>
      <c r="F249" s="131"/>
      <c r="G249" s="361"/>
      <c r="H249" s="363"/>
      <c r="I249" s="364"/>
      <c r="J249" s="361"/>
      <c r="K249" s="361"/>
      <c r="L249" s="361"/>
      <c r="M249" s="361"/>
      <c r="N249" s="361"/>
      <c r="O249" s="361"/>
      <c r="P249" s="361"/>
      <c r="Q249" s="361"/>
      <c r="R249" s="361"/>
      <c r="S249" s="361"/>
      <c r="T249" s="361"/>
      <c r="U249" s="361"/>
      <c r="V249" s="361"/>
      <c r="W249" s="361"/>
      <c r="X249" s="365"/>
      <c r="Y249" s="361"/>
      <c r="Z249" s="361"/>
      <c r="AA249" s="116"/>
      <c r="AB249" s="116"/>
      <c r="AC249" s="116"/>
      <c r="AD249" s="116"/>
      <c r="AE249" s="365"/>
      <c r="AF249" s="116"/>
      <c r="AG249" s="116"/>
      <c r="AH249" s="116"/>
      <c r="AI249" s="116"/>
      <c r="AJ249" s="116"/>
      <c r="AK249" s="116"/>
      <c r="AL249" s="116"/>
    </row>
    <row r="250" ht="16.5" customHeight="1">
      <c r="A250" s="362"/>
      <c r="B250" s="362"/>
      <c r="C250" s="362"/>
      <c r="D250" s="362"/>
      <c r="E250" s="132"/>
      <c r="F250" s="131"/>
      <c r="G250" s="361"/>
      <c r="H250" s="363"/>
      <c r="I250" s="364"/>
      <c r="J250" s="361"/>
      <c r="K250" s="361"/>
      <c r="L250" s="361"/>
      <c r="M250" s="361"/>
      <c r="N250" s="361"/>
      <c r="O250" s="361"/>
      <c r="P250" s="361"/>
      <c r="Q250" s="361"/>
      <c r="R250" s="361"/>
      <c r="S250" s="361"/>
      <c r="T250" s="361"/>
      <c r="U250" s="361"/>
      <c r="V250" s="361"/>
      <c r="W250" s="361"/>
      <c r="X250" s="365"/>
      <c r="Y250" s="361"/>
      <c r="Z250" s="361"/>
      <c r="AA250" s="116"/>
      <c r="AB250" s="116"/>
      <c r="AC250" s="116"/>
      <c r="AD250" s="116"/>
      <c r="AE250" s="365"/>
      <c r="AF250" s="116"/>
      <c r="AG250" s="116"/>
      <c r="AH250" s="116"/>
      <c r="AI250" s="116"/>
      <c r="AJ250" s="116"/>
      <c r="AK250" s="116"/>
      <c r="AL250" s="116"/>
    </row>
    <row r="251" ht="16.5" customHeight="1">
      <c r="A251" s="362"/>
      <c r="B251" s="362"/>
      <c r="C251" s="362"/>
      <c r="D251" s="362"/>
      <c r="E251" s="132"/>
      <c r="F251" s="131"/>
      <c r="G251" s="361"/>
      <c r="H251" s="363"/>
      <c r="I251" s="364"/>
      <c r="J251" s="361"/>
      <c r="K251" s="361"/>
      <c r="L251" s="361"/>
      <c r="M251" s="361"/>
      <c r="N251" s="361"/>
      <c r="O251" s="361"/>
      <c r="P251" s="361"/>
      <c r="Q251" s="361"/>
      <c r="R251" s="361"/>
      <c r="S251" s="361"/>
      <c r="T251" s="361"/>
      <c r="U251" s="361"/>
      <c r="V251" s="361"/>
      <c r="W251" s="361"/>
      <c r="X251" s="365"/>
      <c r="Y251" s="361"/>
      <c r="Z251" s="361"/>
      <c r="AA251" s="116"/>
      <c r="AB251" s="116"/>
      <c r="AC251" s="116"/>
      <c r="AD251" s="116"/>
      <c r="AE251" s="365"/>
      <c r="AF251" s="116"/>
      <c r="AG251" s="116"/>
      <c r="AH251" s="116"/>
      <c r="AI251" s="116"/>
      <c r="AJ251" s="116"/>
      <c r="AK251" s="116"/>
      <c r="AL251" s="116"/>
    </row>
    <row r="252" ht="16.5" customHeight="1">
      <c r="A252" s="362"/>
      <c r="B252" s="362"/>
      <c r="C252" s="362"/>
      <c r="D252" s="362"/>
      <c r="E252" s="132"/>
      <c r="F252" s="131"/>
      <c r="G252" s="361"/>
      <c r="H252" s="363"/>
      <c r="I252" s="364"/>
      <c r="J252" s="361"/>
      <c r="K252" s="361"/>
      <c r="L252" s="361"/>
      <c r="M252" s="361"/>
      <c r="N252" s="361"/>
      <c r="O252" s="361"/>
      <c r="P252" s="361"/>
      <c r="Q252" s="361"/>
      <c r="R252" s="361"/>
      <c r="S252" s="361"/>
      <c r="T252" s="361"/>
      <c r="U252" s="361"/>
      <c r="V252" s="361"/>
      <c r="W252" s="361"/>
      <c r="X252" s="365"/>
      <c r="Y252" s="361"/>
      <c r="Z252" s="361"/>
      <c r="AA252" s="116"/>
      <c r="AB252" s="116"/>
      <c r="AC252" s="116"/>
      <c r="AD252" s="116"/>
      <c r="AE252" s="365"/>
      <c r="AF252" s="116"/>
      <c r="AG252" s="116"/>
      <c r="AH252" s="116"/>
      <c r="AI252" s="116"/>
      <c r="AJ252" s="116"/>
      <c r="AK252" s="116"/>
      <c r="AL252" s="116"/>
    </row>
    <row r="253" ht="16.5" customHeight="1">
      <c r="A253" s="362"/>
      <c r="B253" s="362"/>
      <c r="C253" s="362"/>
      <c r="D253" s="362"/>
      <c r="E253" s="132"/>
      <c r="F253" s="131"/>
      <c r="G253" s="361"/>
      <c r="H253" s="363"/>
      <c r="I253" s="364"/>
      <c r="J253" s="361"/>
      <c r="K253" s="361"/>
      <c r="L253" s="361"/>
      <c r="M253" s="361"/>
      <c r="N253" s="361"/>
      <c r="O253" s="361"/>
      <c r="P253" s="361"/>
      <c r="Q253" s="361"/>
      <c r="R253" s="361"/>
      <c r="S253" s="361"/>
      <c r="T253" s="361"/>
      <c r="U253" s="361"/>
      <c r="V253" s="361"/>
      <c r="W253" s="361"/>
      <c r="X253" s="365"/>
      <c r="Y253" s="361"/>
      <c r="Z253" s="361"/>
      <c r="AA253" s="116"/>
      <c r="AB253" s="116"/>
      <c r="AC253" s="116"/>
      <c r="AD253" s="116"/>
      <c r="AE253" s="365"/>
      <c r="AF253" s="116"/>
      <c r="AG253" s="116"/>
      <c r="AH253" s="116"/>
      <c r="AI253" s="116"/>
      <c r="AJ253" s="116"/>
      <c r="AK253" s="116"/>
      <c r="AL253" s="116"/>
    </row>
    <row r="254" ht="16.5" customHeight="1">
      <c r="A254" s="362"/>
      <c r="B254" s="362"/>
      <c r="C254" s="362"/>
      <c r="D254" s="362"/>
      <c r="E254" s="132"/>
      <c r="F254" s="131"/>
      <c r="G254" s="361"/>
      <c r="H254" s="363"/>
      <c r="I254" s="364"/>
      <c r="J254" s="361"/>
      <c r="K254" s="361"/>
      <c r="L254" s="361"/>
      <c r="M254" s="361"/>
      <c r="N254" s="361"/>
      <c r="O254" s="361"/>
      <c r="P254" s="361"/>
      <c r="Q254" s="361"/>
      <c r="R254" s="361"/>
      <c r="S254" s="361"/>
      <c r="T254" s="361"/>
      <c r="U254" s="361"/>
      <c r="V254" s="361"/>
      <c r="W254" s="361"/>
      <c r="X254" s="365"/>
      <c r="Y254" s="361"/>
      <c r="Z254" s="361"/>
      <c r="AA254" s="116"/>
      <c r="AB254" s="116"/>
      <c r="AC254" s="116"/>
      <c r="AD254" s="116"/>
      <c r="AE254" s="365"/>
      <c r="AF254" s="116"/>
      <c r="AG254" s="116"/>
      <c r="AH254" s="116"/>
      <c r="AI254" s="116"/>
      <c r="AJ254" s="116"/>
      <c r="AK254" s="116"/>
      <c r="AL254" s="116"/>
    </row>
    <row r="255" ht="16.5" customHeight="1">
      <c r="A255" s="362"/>
      <c r="B255" s="362"/>
      <c r="C255" s="362"/>
      <c r="D255" s="362"/>
      <c r="E255" s="132"/>
      <c r="F255" s="131"/>
      <c r="G255" s="361"/>
      <c r="H255" s="363"/>
      <c r="I255" s="364"/>
      <c r="J255" s="361"/>
      <c r="K255" s="361"/>
      <c r="L255" s="361"/>
      <c r="M255" s="361"/>
      <c r="N255" s="361"/>
      <c r="O255" s="361"/>
      <c r="P255" s="361"/>
      <c r="Q255" s="361"/>
      <c r="R255" s="361"/>
      <c r="S255" s="361"/>
      <c r="T255" s="361"/>
      <c r="U255" s="361"/>
      <c r="V255" s="361"/>
      <c r="W255" s="361"/>
      <c r="X255" s="365"/>
      <c r="Y255" s="361"/>
      <c r="Z255" s="361"/>
      <c r="AA255" s="116"/>
      <c r="AB255" s="116"/>
      <c r="AC255" s="116"/>
      <c r="AD255" s="116"/>
      <c r="AE255" s="365"/>
      <c r="AF255" s="116"/>
      <c r="AG255" s="116"/>
      <c r="AH255" s="116"/>
      <c r="AI255" s="116"/>
      <c r="AJ255" s="116"/>
      <c r="AK255" s="116"/>
      <c r="AL255" s="116"/>
    </row>
    <row r="256" ht="16.5" customHeight="1">
      <c r="A256" s="362"/>
      <c r="B256" s="362"/>
      <c r="C256" s="362"/>
      <c r="D256" s="362"/>
      <c r="E256" s="132"/>
      <c r="F256" s="131"/>
      <c r="G256" s="361"/>
      <c r="H256" s="363"/>
      <c r="I256" s="364"/>
      <c r="J256" s="361"/>
      <c r="K256" s="361"/>
      <c r="L256" s="361"/>
      <c r="M256" s="361"/>
      <c r="N256" s="361"/>
      <c r="O256" s="361"/>
      <c r="P256" s="361"/>
      <c r="Q256" s="361"/>
      <c r="R256" s="361"/>
      <c r="S256" s="361"/>
      <c r="T256" s="361"/>
      <c r="U256" s="361"/>
      <c r="V256" s="361"/>
      <c r="W256" s="361"/>
      <c r="X256" s="365"/>
      <c r="Y256" s="361"/>
      <c r="Z256" s="361"/>
      <c r="AA256" s="116"/>
      <c r="AB256" s="116"/>
      <c r="AC256" s="116"/>
      <c r="AD256" s="116"/>
      <c r="AE256" s="365"/>
      <c r="AF256" s="116"/>
      <c r="AG256" s="116"/>
      <c r="AH256" s="116"/>
      <c r="AI256" s="116"/>
      <c r="AJ256" s="116"/>
      <c r="AK256" s="116"/>
      <c r="AL256" s="116"/>
    </row>
    <row r="257" ht="16.5" customHeight="1">
      <c r="A257" s="362"/>
      <c r="B257" s="362"/>
      <c r="C257" s="362"/>
      <c r="D257" s="362"/>
      <c r="E257" s="132"/>
      <c r="F257" s="131"/>
      <c r="G257" s="361"/>
      <c r="H257" s="363"/>
      <c r="I257" s="364"/>
      <c r="J257" s="361"/>
      <c r="K257" s="361"/>
      <c r="L257" s="361"/>
      <c r="M257" s="361"/>
      <c r="N257" s="361"/>
      <c r="O257" s="361"/>
      <c r="P257" s="361"/>
      <c r="Q257" s="361"/>
      <c r="R257" s="361"/>
      <c r="S257" s="361"/>
      <c r="T257" s="361"/>
      <c r="U257" s="361"/>
      <c r="V257" s="361"/>
      <c r="W257" s="361"/>
      <c r="X257" s="365"/>
      <c r="Y257" s="361"/>
      <c r="Z257" s="361"/>
      <c r="AA257" s="116"/>
      <c r="AB257" s="116"/>
      <c r="AC257" s="116"/>
      <c r="AD257" s="116"/>
      <c r="AE257" s="365"/>
      <c r="AF257" s="116"/>
      <c r="AG257" s="116"/>
      <c r="AH257" s="116"/>
      <c r="AI257" s="116"/>
      <c r="AJ257" s="116"/>
      <c r="AK257" s="116"/>
      <c r="AL257" s="116"/>
    </row>
    <row r="258" ht="16.5" customHeight="1">
      <c r="A258" s="362"/>
      <c r="B258" s="362"/>
      <c r="C258" s="362"/>
      <c r="D258" s="362"/>
      <c r="E258" s="132"/>
      <c r="F258" s="131"/>
      <c r="G258" s="361"/>
      <c r="H258" s="363"/>
      <c r="I258" s="364"/>
      <c r="J258" s="361"/>
      <c r="K258" s="361"/>
      <c r="L258" s="361"/>
      <c r="M258" s="361"/>
      <c r="N258" s="361"/>
      <c r="O258" s="361"/>
      <c r="P258" s="361"/>
      <c r="Q258" s="361"/>
      <c r="R258" s="361"/>
      <c r="S258" s="361"/>
      <c r="T258" s="361"/>
      <c r="U258" s="361"/>
      <c r="V258" s="361"/>
      <c r="W258" s="361"/>
      <c r="X258" s="365"/>
      <c r="Y258" s="361"/>
      <c r="Z258" s="361"/>
      <c r="AA258" s="116"/>
      <c r="AB258" s="116"/>
      <c r="AC258" s="116"/>
      <c r="AD258" s="116"/>
      <c r="AE258" s="365"/>
      <c r="AF258" s="116"/>
      <c r="AG258" s="116"/>
      <c r="AH258" s="116"/>
      <c r="AI258" s="116"/>
      <c r="AJ258" s="116"/>
      <c r="AK258" s="116"/>
      <c r="AL258" s="116"/>
    </row>
    <row r="259" ht="16.5" customHeight="1">
      <c r="A259" s="362"/>
      <c r="B259" s="362"/>
      <c r="C259" s="362"/>
      <c r="D259" s="362"/>
      <c r="E259" s="132"/>
      <c r="F259" s="131"/>
      <c r="G259" s="361"/>
      <c r="H259" s="363"/>
      <c r="I259" s="364"/>
      <c r="J259" s="361"/>
      <c r="K259" s="361"/>
      <c r="L259" s="361"/>
      <c r="M259" s="361"/>
      <c r="N259" s="361"/>
      <c r="O259" s="361"/>
      <c r="P259" s="361"/>
      <c r="Q259" s="361"/>
      <c r="R259" s="361"/>
      <c r="S259" s="361"/>
      <c r="T259" s="361"/>
      <c r="U259" s="361"/>
      <c r="V259" s="361"/>
      <c r="W259" s="361"/>
      <c r="X259" s="365"/>
      <c r="Y259" s="361"/>
      <c r="Z259" s="361"/>
      <c r="AA259" s="116"/>
      <c r="AB259" s="116"/>
      <c r="AC259" s="116"/>
      <c r="AD259" s="116"/>
      <c r="AE259" s="365"/>
      <c r="AF259" s="116"/>
      <c r="AG259" s="116"/>
      <c r="AH259" s="116"/>
      <c r="AI259" s="116"/>
      <c r="AJ259" s="116"/>
      <c r="AK259" s="116"/>
      <c r="AL259" s="116"/>
    </row>
    <row r="260" ht="16.5" customHeight="1">
      <c r="A260" s="362"/>
      <c r="B260" s="362"/>
      <c r="C260" s="362"/>
      <c r="D260" s="362"/>
      <c r="E260" s="132"/>
      <c r="F260" s="131"/>
      <c r="G260" s="361"/>
      <c r="H260" s="363"/>
      <c r="I260" s="364"/>
      <c r="J260" s="361"/>
      <c r="K260" s="361"/>
      <c r="L260" s="361"/>
      <c r="M260" s="361"/>
      <c r="N260" s="361"/>
      <c r="O260" s="361"/>
      <c r="P260" s="361"/>
      <c r="Q260" s="361"/>
      <c r="R260" s="361"/>
      <c r="S260" s="361"/>
      <c r="T260" s="361"/>
      <c r="U260" s="361"/>
      <c r="V260" s="361"/>
      <c r="W260" s="361"/>
      <c r="X260" s="365"/>
      <c r="Y260" s="361"/>
      <c r="Z260" s="361"/>
      <c r="AA260" s="116"/>
      <c r="AB260" s="116"/>
      <c r="AC260" s="116"/>
      <c r="AD260" s="116"/>
      <c r="AE260" s="365"/>
      <c r="AF260" s="116"/>
      <c r="AG260" s="116"/>
      <c r="AH260" s="116"/>
      <c r="AI260" s="116"/>
      <c r="AJ260" s="116"/>
      <c r="AK260" s="116"/>
      <c r="AL260" s="116"/>
    </row>
    <row r="261" ht="16.5" customHeight="1">
      <c r="A261" s="362"/>
      <c r="B261" s="362"/>
      <c r="C261" s="362"/>
      <c r="D261" s="362"/>
      <c r="E261" s="132"/>
      <c r="F261" s="131"/>
      <c r="G261" s="361"/>
      <c r="H261" s="363"/>
      <c r="I261" s="364"/>
      <c r="J261" s="361"/>
      <c r="K261" s="361"/>
      <c r="L261" s="361"/>
      <c r="M261" s="361"/>
      <c r="N261" s="361"/>
      <c r="O261" s="361"/>
      <c r="P261" s="361"/>
      <c r="Q261" s="361"/>
      <c r="R261" s="361"/>
      <c r="S261" s="361"/>
      <c r="T261" s="361"/>
      <c r="U261" s="361"/>
      <c r="V261" s="361"/>
      <c r="W261" s="361"/>
      <c r="X261" s="365"/>
      <c r="Y261" s="361"/>
      <c r="Z261" s="361"/>
      <c r="AA261" s="116"/>
      <c r="AB261" s="116"/>
      <c r="AC261" s="116"/>
      <c r="AD261" s="116"/>
      <c r="AE261" s="365"/>
      <c r="AF261" s="116"/>
      <c r="AG261" s="116"/>
      <c r="AH261" s="116"/>
      <c r="AI261" s="116"/>
      <c r="AJ261" s="116"/>
      <c r="AK261" s="116"/>
      <c r="AL261" s="116"/>
    </row>
    <row r="262" ht="16.5" customHeight="1">
      <c r="A262" s="362"/>
      <c r="B262" s="362"/>
      <c r="C262" s="362"/>
      <c r="D262" s="362"/>
      <c r="E262" s="132"/>
      <c r="F262" s="131"/>
      <c r="G262" s="361"/>
      <c r="H262" s="363"/>
      <c r="I262" s="364"/>
      <c r="J262" s="361"/>
      <c r="K262" s="361"/>
      <c r="L262" s="361"/>
      <c r="M262" s="361"/>
      <c r="N262" s="361"/>
      <c r="O262" s="361"/>
      <c r="P262" s="361"/>
      <c r="Q262" s="361"/>
      <c r="R262" s="361"/>
      <c r="S262" s="361"/>
      <c r="T262" s="361"/>
      <c r="U262" s="361"/>
      <c r="V262" s="361"/>
      <c r="W262" s="361"/>
      <c r="X262" s="365"/>
      <c r="Y262" s="361"/>
      <c r="Z262" s="361"/>
      <c r="AA262" s="116"/>
      <c r="AB262" s="116"/>
      <c r="AC262" s="116"/>
      <c r="AD262" s="116"/>
      <c r="AE262" s="365"/>
      <c r="AF262" s="116"/>
      <c r="AG262" s="116"/>
      <c r="AH262" s="116"/>
      <c r="AI262" s="116"/>
      <c r="AJ262" s="116"/>
      <c r="AK262" s="116"/>
      <c r="AL262" s="116"/>
    </row>
    <row r="263" ht="16.5" customHeight="1">
      <c r="A263" s="362"/>
      <c r="B263" s="362"/>
      <c r="C263" s="362"/>
      <c r="D263" s="362"/>
      <c r="E263" s="132"/>
      <c r="F263" s="131"/>
      <c r="G263" s="361"/>
      <c r="H263" s="363"/>
      <c r="I263" s="364"/>
      <c r="J263" s="361"/>
      <c r="K263" s="361"/>
      <c r="L263" s="361"/>
      <c r="M263" s="361"/>
      <c r="N263" s="361"/>
      <c r="O263" s="361"/>
      <c r="P263" s="361"/>
      <c r="Q263" s="361"/>
      <c r="R263" s="361"/>
      <c r="S263" s="361"/>
      <c r="T263" s="361"/>
      <c r="U263" s="361"/>
      <c r="V263" s="361"/>
      <c r="W263" s="361"/>
      <c r="X263" s="365"/>
      <c r="Y263" s="361"/>
      <c r="Z263" s="361"/>
      <c r="AA263" s="116"/>
      <c r="AB263" s="116"/>
      <c r="AC263" s="116"/>
      <c r="AD263" s="116"/>
      <c r="AE263" s="365"/>
      <c r="AF263" s="116"/>
      <c r="AG263" s="116"/>
      <c r="AH263" s="116"/>
      <c r="AI263" s="116"/>
      <c r="AJ263" s="116"/>
      <c r="AK263" s="116"/>
      <c r="AL263" s="116"/>
    </row>
    <row r="264" ht="16.5" customHeight="1">
      <c r="A264" s="362"/>
      <c r="B264" s="362"/>
      <c r="C264" s="362"/>
      <c r="D264" s="362"/>
      <c r="E264" s="132"/>
      <c r="F264" s="131"/>
      <c r="G264" s="361"/>
      <c r="H264" s="363"/>
      <c r="I264" s="364"/>
      <c r="J264" s="361"/>
      <c r="K264" s="361"/>
      <c r="L264" s="361"/>
      <c r="M264" s="361"/>
      <c r="N264" s="361"/>
      <c r="O264" s="361"/>
      <c r="P264" s="361"/>
      <c r="Q264" s="361"/>
      <c r="R264" s="361"/>
      <c r="S264" s="361"/>
      <c r="T264" s="361"/>
      <c r="U264" s="361"/>
      <c r="V264" s="361"/>
      <c r="W264" s="361"/>
      <c r="X264" s="365"/>
      <c r="Y264" s="361"/>
      <c r="Z264" s="361"/>
      <c r="AA264" s="116"/>
      <c r="AB264" s="116"/>
      <c r="AC264" s="116"/>
      <c r="AD264" s="116"/>
      <c r="AE264" s="365"/>
      <c r="AF264" s="116"/>
      <c r="AG264" s="116"/>
      <c r="AH264" s="116"/>
      <c r="AI264" s="116"/>
      <c r="AJ264" s="116"/>
      <c r="AK264" s="116"/>
      <c r="AL264" s="116"/>
    </row>
    <row r="265" ht="16.5" customHeight="1">
      <c r="A265" s="362"/>
      <c r="B265" s="362"/>
      <c r="C265" s="362"/>
      <c r="D265" s="362"/>
      <c r="E265" s="132"/>
      <c r="F265" s="131"/>
      <c r="G265" s="361"/>
      <c r="H265" s="363"/>
      <c r="I265" s="364"/>
      <c r="J265" s="361"/>
      <c r="K265" s="361"/>
      <c r="L265" s="361"/>
      <c r="M265" s="361"/>
      <c r="N265" s="361"/>
      <c r="O265" s="361"/>
      <c r="P265" s="361"/>
      <c r="Q265" s="361"/>
      <c r="R265" s="361"/>
      <c r="S265" s="361"/>
      <c r="T265" s="361"/>
      <c r="U265" s="361"/>
      <c r="V265" s="361"/>
      <c r="W265" s="361"/>
      <c r="X265" s="365"/>
      <c r="Y265" s="361"/>
      <c r="Z265" s="361"/>
      <c r="AA265" s="116"/>
      <c r="AB265" s="116"/>
      <c r="AC265" s="116"/>
      <c r="AD265" s="116"/>
      <c r="AE265" s="365"/>
      <c r="AF265" s="116"/>
      <c r="AG265" s="116"/>
      <c r="AH265" s="116"/>
      <c r="AI265" s="116"/>
      <c r="AJ265" s="116"/>
      <c r="AK265" s="116"/>
      <c r="AL265" s="116"/>
    </row>
    <row r="266" ht="16.5" customHeight="1">
      <c r="A266" s="362"/>
      <c r="B266" s="362"/>
      <c r="C266" s="362"/>
      <c r="D266" s="362"/>
      <c r="E266" s="132"/>
      <c r="F266" s="131"/>
      <c r="G266" s="361"/>
      <c r="H266" s="363"/>
      <c r="I266" s="364"/>
      <c r="J266" s="361"/>
      <c r="K266" s="361"/>
      <c r="L266" s="361"/>
      <c r="M266" s="361"/>
      <c r="N266" s="361"/>
      <c r="O266" s="361"/>
      <c r="P266" s="361"/>
      <c r="Q266" s="361"/>
      <c r="R266" s="361"/>
      <c r="S266" s="361"/>
      <c r="T266" s="361"/>
      <c r="U266" s="361"/>
      <c r="V266" s="361"/>
      <c r="W266" s="361"/>
      <c r="X266" s="365"/>
      <c r="Y266" s="361"/>
      <c r="Z266" s="361"/>
      <c r="AA266" s="116"/>
      <c r="AB266" s="116"/>
      <c r="AC266" s="116"/>
      <c r="AD266" s="116"/>
      <c r="AE266" s="365"/>
      <c r="AF266" s="116"/>
      <c r="AG266" s="116"/>
      <c r="AH266" s="116"/>
      <c r="AI266" s="116"/>
      <c r="AJ266" s="116"/>
      <c r="AK266" s="116"/>
      <c r="AL266" s="116"/>
    </row>
    <row r="267" ht="16.5" customHeight="1">
      <c r="A267" s="362"/>
      <c r="B267" s="362"/>
      <c r="C267" s="362"/>
      <c r="D267" s="362"/>
      <c r="E267" s="132"/>
      <c r="F267" s="131"/>
      <c r="G267" s="361"/>
      <c r="H267" s="363"/>
      <c r="I267" s="364"/>
      <c r="J267" s="361"/>
      <c r="K267" s="361"/>
      <c r="L267" s="361"/>
      <c r="M267" s="361"/>
      <c r="N267" s="361"/>
      <c r="O267" s="361"/>
      <c r="P267" s="361"/>
      <c r="Q267" s="361"/>
      <c r="R267" s="361"/>
      <c r="S267" s="361"/>
      <c r="T267" s="361"/>
      <c r="U267" s="361"/>
      <c r="V267" s="361"/>
      <c r="W267" s="361"/>
      <c r="X267" s="365"/>
      <c r="Y267" s="361"/>
      <c r="Z267" s="361"/>
      <c r="AA267" s="116"/>
      <c r="AB267" s="116"/>
      <c r="AC267" s="116"/>
      <c r="AD267" s="116"/>
      <c r="AE267" s="365"/>
      <c r="AF267" s="116"/>
      <c r="AG267" s="116"/>
      <c r="AH267" s="116"/>
      <c r="AI267" s="116"/>
      <c r="AJ267" s="116"/>
      <c r="AK267" s="116"/>
      <c r="AL267" s="116"/>
    </row>
    <row r="268" ht="16.5" customHeight="1">
      <c r="A268" s="362"/>
      <c r="B268" s="362"/>
      <c r="C268" s="362"/>
      <c r="D268" s="362"/>
      <c r="E268" s="132"/>
      <c r="F268" s="131"/>
      <c r="G268" s="361"/>
      <c r="H268" s="363"/>
      <c r="I268" s="364"/>
      <c r="J268" s="361"/>
      <c r="K268" s="361"/>
      <c r="L268" s="361"/>
      <c r="M268" s="361"/>
      <c r="N268" s="361"/>
      <c r="O268" s="361"/>
      <c r="P268" s="361"/>
      <c r="Q268" s="361"/>
      <c r="R268" s="361"/>
      <c r="S268" s="361"/>
      <c r="T268" s="361"/>
      <c r="U268" s="361"/>
      <c r="V268" s="361"/>
      <c r="W268" s="361"/>
      <c r="X268" s="365"/>
      <c r="Y268" s="361"/>
      <c r="Z268" s="361"/>
      <c r="AA268" s="116"/>
      <c r="AB268" s="116"/>
      <c r="AC268" s="116"/>
      <c r="AD268" s="116"/>
      <c r="AE268" s="365"/>
      <c r="AF268" s="116"/>
      <c r="AG268" s="116"/>
      <c r="AH268" s="116"/>
      <c r="AI268" s="116"/>
      <c r="AJ268" s="116"/>
      <c r="AK268" s="116"/>
      <c r="AL268" s="116"/>
    </row>
    <row r="269" ht="16.5" customHeight="1">
      <c r="A269" s="362"/>
      <c r="B269" s="362"/>
      <c r="C269" s="362"/>
      <c r="D269" s="362"/>
      <c r="E269" s="132"/>
      <c r="F269" s="131"/>
      <c r="G269" s="361"/>
      <c r="H269" s="363"/>
      <c r="I269" s="364"/>
      <c r="J269" s="361"/>
      <c r="K269" s="361"/>
      <c r="L269" s="361"/>
      <c r="M269" s="361"/>
      <c r="N269" s="361"/>
      <c r="O269" s="361"/>
      <c r="P269" s="361"/>
      <c r="Q269" s="361"/>
      <c r="R269" s="361"/>
      <c r="S269" s="361"/>
      <c r="T269" s="361"/>
      <c r="U269" s="361"/>
      <c r="V269" s="361"/>
      <c r="W269" s="361"/>
      <c r="X269" s="365"/>
      <c r="Y269" s="361"/>
      <c r="Z269" s="361"/>
      <c r="AA269" s="116"/>
      <c r="AB269" s="116"/>
      <c r="AC269" s="116"/>
      <c r="AD269" s="116"/>
      <c r="AE269" s="365"/>
      <c r="AF269" s="116"/>
      <c r="AG269" s="116"/>
      <c r="AH269" s="116"/>
      <c r="AI269" s="116"/>
      <c r="AJ269" s="116"/>
      <c r="AK269" s="116"/>
      <c r="AL269" s="116"/>
    </row>
    <row r="270" ht="16.5" customHeight="1">
      <c r="A270" s="362"/>
      <c r="B270" s="362"/>
      <c r="C270" s="362"/>
      <c r="D270" s="362"/>
      <c r="E270" s="132"/>
      <c r="F270" s="131"/>
      <c r="G270" s="361"/>
      <c r="H270" s="363"/>
      <c r="I270" s="364"/>
      <c r="J270" s="361"/>
      <c r="K270" s="361"/>
      <c r="L270" s="361"/>
      <c r="M270" s="361"/>
      <c r="N270" s="361"/>
      <c r="O270" s="361"/>
      <c r="P270" s="361"/>
      <c r="Q270" s="361"/>
      <c r="R270" s="361"/>
      <c r="S270" s="361"/>
      <c r="T270" s="361"/>
      <c r="U270" s="361"/>
      <c r="V270" s="361"/>
      <c r="W270" s="361"/>
      <c r="X270" s="365"/>
      <c r="Y270" s="361"/>
      <c r="Z270" s="361"/>
      <c r="AA270" s="116"/>
      <c r="AB270" s="116"/>
      <c r="AC270" s="116"/>
      <c r="AD270" s="116"/>
      <c r="AE270" s="365"/>
      <c r="AF270" s="116"/>
      <c r="AG270" s="116"/>
      <c r="AH270" s="116"/>
      <c r="AI270" s="116"/>
      <c r="AJ270" s="116"/>
      <c r="AK270" s="116"/>
      <c r="AL270" s="116"/>
    </row>
    <row r="271" ht="16.5" customHeight="1">
      <c r="A271" s="362"/>
      <c r="B271" s="362"/>
      <c r="C271" s="362"/>
      <c r="D271" s="362"/>
      <c r="E271" s="132"/>
      <c r="F271" s="131"/>
      <c r="G271" s="361"/>
      <c r="H271" s="363"/>
      <c r="I271" s="364"/>
      <c r="J271" s="361"/>
      <c r="K271" s="361"/>
      <c r="L271" s="361"/>
      <c r="M271" s="361"/>
      <c r="N271" s="361"/>
      <c r="O271" s="361"/>
      <c r="P271" s="361"/>
      <c r="Q271" s="361"/>
      <c r="R271" s="361"/>
      <c r="S271" s="361"/>
      <c r="T271" s="361"/>
      <c r="U271" s="361"/>
      <c r="V271" s="361"/>
      <c r="W271" s="361"/>
      <c r="X271" s="365"/>
      <c r="Y271" s="361"/>
      <c r="Z271" s="361"/>
      <c r="AA271" s="116"/>
      <c r="AB271" s="116"/>
      <c r="AC271" s="116"/>
      <c r="AD271" s="116"/>
      <c r="AE271" s="365"/>
      <c r="AF271" s="116"/>
      <c r="AG271" s="116"/>
      <c r="AH271" s="116"/>
      <c r="AI271" s="116"/>
      <c r="AJ271" s="116"/>
      <c r="AK271" s="116"/>
      <c r="AL271" s="116"/>
    </row>
    <row r="272" ht="16.5" customHeight="1">
      <c r="A272" s="362"/>
      <c r="B272" s="362"/>
      <c r="C272" s="362"/>
      <c r="D272" s="362"/>
      <c r="E272" s="132"/>
      <c r="F272" s="131"/>
      <c r="G272" s="361"/>
      <c r="H272" s="363"/>
      <c r="I272" s="364"/>
      <c r="J272" s="361"/>
      <c r="K272" s="361"/>
      <c r="L272" s="361"/>
      <c r="M272" s="361"/>
      <c r="N272" s="361"/>
      <c r="O272" s="361"/>
      <c r="P272" s="361"/>
      <c r="Q272" s="361"/>
      <c r="R272" s="361"/>
      <c r="S272" s="361"/>
      <c r="T272" s="361"/>
      <c r="U272" s="361"/>
      <c r="V272" s="361"/>
      <c r="W272" s="361"/>
      <c r="X272" s="365"/>
      <c r="Y272" s="361"/>
      <c r="Z272" s="361"/>
      <c r="AA272" s="116"/>
      <c r="AB272" s="116"/>
      <c r="AC272" s="116"/>
      <c r="AD272" s="116"/>
      <c r="AE272" s="365"/>
      <c r="AF272" s="116"/>
      <c r="AG272" s="116"/>
      <c r="AH272" s="116"/>
      <c r="AI272" s="116"/>
      <c r="AJ272" s="116"/>
      <c r="AK272" s="116"/>
      <c r="AL272" s="116"/>
    </row>
    <row r="273" ht="16.5" customHeight="1">
      <c r="A273" s="362"/>
      <c r="B273" s="362"/>
      <c r="C273" s="362"/>
      <c r="D273" s="362"/>
      <c r="E273" s="132"/>
      <c r="F273" s="131"/>
      <c r="G273" s="361"/>
      <c r="H273" s="363"/>
      <c r="I273" s="364"/>
      <c r="J273" s="361"/>
      <c r="K273" s="361"/>
      <c r="L273" s="361"/>
      <c r="M273" s="361"/>
      <c r="N273" s="361"/>
      <c r="O273" s="361"/>
      <c r="P273" s="361"/>
      <c r="Q273" s="361"/>
      <c r="R273" s="361"/>
      <c r="S273" s="361"/>
      <c r="T273" s="361"/>
      <c r="U273" s="361"/>
      <c r="V273" s="361"/>
      <c r="W273" s="361"/>
      <c r="X273" s="365"/>
      <c r="Y273" s="361"/>
      <c r="Z273" s="361"/>
      <c r="AA273" s="116"/>
      <c r="AB273" s="116"/>
      <c r="AC273" s="116"/>
      <c r="AD273" s="116"/>
      <c r="AE273" s="365"/>
      <c r="AF273" s="116"/>
      <c r="AG273" s="116"/>
      <c r="AH273" s="116"/>
      <c r="AI273" s="116"/>
      <c r="AJ273" s="116"/>
      <c r="AK273" s="116"/>
      <c r="AL273" s="116"/>
    </row>
    <row r="274" ht="16.5" customHeight="1">
      <c r="A274" s="362"/>
      <c r="B274" s="362"/>
      <c r="C274" s="362"/>
      <c r="D274" s="362"/>
      <c r="E274" s="132"/>
      <c r="F274" s="131"/>
      <c r="G274" s="361"/>
      <c r="H274" s="363"/>
      <c r="I274" s="364"/>
      <c r="J274" s="361"/>
      <c r="K274" s="361"/>
      <c r="L274" s="361"/>
      <c r="M274" s="361"/>
      <c r="N274" s="361"/>
      <c r="O274" s="361"/>
      <c r="P274" s="361"/>
      <c r="Q274" s="361"/>
      <c r="R274" s="361"/>
      <c r="S274" s="361"/>
      <c r="T274" s="361"/>
      <c r="U274" s="361"/>
      <c r="V274" s="361"/>
      <c r="W274" s="361"/>
      <c r="X274" s="365"/>
      <c r="Y274" s="361"/>
      <c r="Z274" s="361"/>
      <c r="AA274" s="116"/>
      <c r="AB274" s="116"/>
      <c r="AC274" s="116"/>
      <c r="AD274" s="116"/>
      <c r="AE274" s="365"/>
      <c r="AF274" s="116"/>
      <c r="AG274" s="116"/>
      <c r="AH274" s="116"/>
      <c r="AI274" s="116"/>
      <c r="AJ274" s="116"/>
      <c r="AK274" s="116"/>
      <c r="AL274" s="116"/>
    </row>
    <row r="275" ht="16.5" customHeight="1">
      <c r="A275" s="362"/>
      <c r="B275" s="362"/>
      <c r="C275" s="362"/>
      <c r="D275" s="362"/>
      <c r="E275" s="132"/>
      <c r="F275" s="131"/>
      <c r="G275" s="361"/>
      <c r="H275" s="363"/>
      <c r="I275" s="364"/>
      <c r="J275" s="361"/>
      <c r="K275" s="361"/>
      <c r="L275" s="361"/>
      <c r="M275" s="361"/>
      <c r="N275" s="361"/>
      <c r="O275" s="361"/>
      <c r="P275" s="361"/>
      <c r="Q275" s="361"/>
      <c r="R275" s="361"/>
      <c r="S275" s="361"/>
      <c r="T275" s="361"/>
      <c r="U275" s="361"/>
      <c r="V275" s="361"/>
      <c r="W275" s="361"/>
      <c r="X275" s="365"/>
      <c r="Y275" s="361"/>
      <c r="Z275" s="361"/>
      <c r="AA275" s="116"/>
      <c r="AB275" s="116"/>
      <c r="AC275" s="116"/>
      <c r="AD275" s="116"/>
      <c r="AE275" s="365"/>
      <c r="AF275" s="116"/>
      <c r="AG275" s="116"/>
      <c r="AH275" s="116"/>
      <c r="AI275" s="116"/>
      <c r="AJ275" s="116"/>
      <c r="AK275" s="116"/>
      <c r="AL275" s="116"/>
    </row>
    <row r="276" ht="16.5" customHeight="1">
      <c r="A276" s="362"/>
      <c r="B276" s="362"/>
      <c r="C276" s="362"/>
      <c r="D276" s="362"/>
      <c r="E276" s="132"/>
      <c r="F276" s="131"/>
      <c r="G276" s="361"/>
      <c r="H276" s="363"/>
      <c r="I276" s="364"/>
      <c r="J276" s="361"/>
      <c r="K276" s="361"/>
      <c r="L276" s="361"/>
      <c r="M276" s="361"/>
      <c r="N276" s="361"/>
      <c r="O276" s="361"/>
      <c r="P276" s="361"/>
      <c r="Q276" s="361"/>
      <c r="R276" s="361"/>
      <c r="S276" s="361"/>
      <c r="T276" s="361"/>
      <c r="U276" s="361"/>
      <c r="V276" s="361"/>
      <c r="W276" s="361"/>
      <c r="X276" s="365"/>
      <c r="Y276" s="361"/>
      <c r="Z276" s="361"/>
      <c r="AA276" s="116"/>
      <c r="AB276" s="116"/>
      <c r="AC276" s="116"/>
      <c r="AD276" s="116"/>
      <c r="AE276" s="365"/>
      <c r="AF276" s="116"/>
      <c r="AG276" s="116"/>
      <c r="AH276" s="116"/>
      <c r="AI276" s="116"/>
      <c r="AJ276" s="116"/>
      <c r="AK276" s="116"/>
      <c r="AL276" s="116"/>
    </row>
    <row r="277" ht="16.5" customHeight="1">
      <c r="A277" s="362"/>
      <c r="B277" s="362"/>
      <c r="C277" s="362"/>
      <c r="D277" s="362"/>
      <c r="E277" s="132"/>
      <c r="F277" s="131"/>
      <c r="G277" s="361"/>
      <c r="H277" s="363"/>
      <c r="I277" s="364"/>
      <c r="J277" s="361"/>
      <c r="K277" s="361"/>
      <c r="L277" s="361"/>
      <c r="M277" s="361"/>
      <c r="N277" s="361"/>
      <c r="O277" s="361"/>
      <c r="P277" s="361"/>
      <c r="Q277" s="361"/>
      <c r="R277" s="361"/>
      <c r="S277" s="361"/>
      <c r="T277" s="361"/>
      <c r="U277" s="361"/>
      <c r="V277" s="361"/>
      <c r="W277" s="361"/>
      <c r="X277" s="365"/>
      <c r="Y277" s="361"/>
      <c r="Z277" s="361"/>
      <c r="AA277" s="116"/>
      <c r="AB277" s="116"/>
      <c r="AC277" s="116"/>
      <c r="AD277" s="116"/>
      <c r="AE277" s="365"/>
      <c r="AF277" s="116"/>
      <c r="AG277" s="116"/>
      <c r="AH277" s="116"/>
      <c r="AI277" s="116"/>
      <c r="AJ277" s="116"/>
      <c r="AK277" s="116"/>
      <c r="AL277" s="116"/>
    </row>
    <row r="278" ht="16.5" customHeight="1">
      <c r="A278" s="362"/>
      <c r="B278" s="362"/>
      <c r="C278" s="362"/>
      <c r="D278" s="362"/>
      <c r="E278" s="132"/>
      <c r="F278" s="131"/>
      <c r="G278" s="361"/>
      <c r="H278" s="363"/>
      <c r="I278" s="364"/>
      <c r="J278" s="361"/>
      <c r="K278" s="361"/>
      <c r="L278" s="361"/>
      <c r="M278" s="361"/>
      <c r="N278" s="361"/>
      <c r="O278" s="361"/>
      <c r="P278" s="361"/>
      <c r="Q278" s="361"/>
      <c r="R278" s="361"/>
      <c r="S278" s="361"/>
      <c r="T278" s="361"/>
      <c r="U278" s="361"/>
      <c r="V278" s="361"/>
      <c r="W278" s="361"/>
      <c r="X278" s="365"/>
      <c r="Y278" s="361"/>
      <c r="Z278" s="361"/>
      <c r="AA278" s="116"/>
      <c r="AB278" s="116"/>
      <c r="AC278" s="116"/>
      <c r="AD278" s="116"/>
      <c r="AE278" s="365"/>
      <c r="AF278" s="116"/>
      <c r="AG278" s="116"/>
      <c r="AH278" s="116"/>
      <c r="AI278" s="116"/>
      <c r="AJ278" s="116"/>
      <c r="AK278" s="116"/>
      <c r="AL278" s="116"/>
    </row>
    <row r="279" ht="16.5" customHeight="1">
      <c r="A279" s="362"/>
      <c r="B279" s="362"/>
      <c r="C279" s="362"/>
      <c r="D279" s="362"/>
      <c r="E279" s="132"/>
      <c r="F279" s="131"/>
      <c r="G279" s="361"/>
      <c r="H279" s="363"/>
      <c r="I279" s="364"/>
      <c r="J279" s="361"/>
      <c r="K279" s="361"/>
      <c r="L279" s="361"/>
      <c r="M279" s="361"/>
      <c r="N279" s="361"/>
      <c r="O279" s="361"/>
      <c r="P279" s="361"/>
      <c r="Q279" s="361"/>
      <c r="R279" s="361"/>
      <c r="S279" s="361"/>
      <c r="T279" s="361"/>
      <c r="U279" s="361"/>
      <c r="V279" s="361"/>
      <c r="W279" s="361"/>
      <c r="X279" s="365"/>
      <c r="Y279" s="361"/>
      <c r="Z279" s="361"/>
      <c r="AA279" s="116"/>
      <c r="AB279" s="116"/>
      <c r="AC279" s="116"/>
      <c r="AD279" s="116"/>
      <c r="AE279" s="365"/>
      <c r="AF279" s="116"/>
      <c r="AG279" s="116"/>
      <c r="AH279" s="116"/>
      <c r="AI279" s="116"/>
      <c r="AJ279" s="116"/>
      <c r="AK279" s="116"/>
      <c r="AL279" s="116"/>
    </row>
    <row r="280" ht="16.5" customHeight="1">
      <c r="A280" s="362"/>
      <c r="B280" s="362"/>
      <c r="C280" s="362"/>
      <c r="D280" s="362"/>
      <c r="E280" s="132"/>
      <c r="F280" s="131"/>
      <c r="G280" s="361"/>
      <c r="H280" s="363"/>
      <c r="I280" s="364"/>
      <c r="J280" s="361"/>
      <c r="K280" s="361"/>
      <c r="L280" s="361"/>
      <c r="M280" s="361"/>
      <c r="N280" s="361"/>
      <c r="O280" s="361"/>
      <c r="P280" s="361"/>
      <c r="Q280" s="361"/>
      <c r="R280" s="361"/>
      <c r="S280" s="361"/>
      <c r="T280" s="361"/>
      <c r="U280" s="361"/>
      <c r="V280" s="361"/>
      <c r="W280" s="361"/>
      <c r="X280" s="365"/>
      <c r="Y280" s="361"/>
      <c r="Z280" s="361"/>
      <c r="AA280" s="116"/>
      <c r="AB280" s="116"/>
      <c r="AC280" s="116"/>
      <c r="AD280" s="116"/>
      <c r="AE280" s="365"/>
      <c r="AF280" s="116"/>
      <c r="AG280" s="116"/>
      <c r="AH280" s="116"/>
      <c r="AI280" s="116"/>
      <c r="AJ280" s="116"/>
      <c r="AK280" s="116"/>
      <c r="AL280" s="116"/>
    </row>
    <row r="281" ht="16.5" customHeight="1">
      <c r="A281" s="362"/>
      <c r="B281" s="362"/>
      <c r="C281" s="362"/>
      <c r="D281" s="362"/>
      <c r="E281" s="132"/>
      <c r="F281" s="131"/>
      <c r="G281" s="361"/>
      <c r="H281" s="363"/>
      <c r="I281" s="364"/>
      <c r="J281" s="361"/>
      <c r="K281" s="361"/>
      <c r="L281" s="361"/>
      <c r="M281" s="361"/>
      <c r="N281" s="361"/>
      <c r="O281" s="361"/>
      <c r="P281" s="361"/>
      <c r="Q281" s="361"/>
      <c r="R281" s="361"/>
      <c r="S281" s="361"/>
      <c r="T281" s="361"/>
      <c r="U281" s="361"/>
      <c r="V281" s="361"/>
      <c r="W281" s="361"/>
      <c r="X281" s="365"/>
      <c r="Y281" s="361"/>
      <c r="Z281" s="361"/>
      <c r="AA281" s="116"/>
      <c r="AB281" s="116"/>
      <c r="AC281" s="116"/>
      <c r="AD281" s="116"/>
      <c r="AE281" s="365"/>
      <c r="AF281" s="116"/>
      <c r="AG281" s="116"/>
      <c r="AH281" s="116"/>
      <c r="AI281" s="116"/>
      <c r="AJ281" s="116"/>
      <c r="AK281" s="116"/>
      <c r="AL281" s="116"/>
    </row>
    <row r="282" ht="16.5" customHeight="1">
      <c r="A282" s="362"/>
      <c r="B282" s="362"/>
      <c r="C282" s="362"/>
      <c r="D282" s="362"/>
      <c r="E282" s="132"/>
      <c r="F282" s="131"/>
      <c r="G282" s="361"/>
      <c r="H282" s="363"/>
      <c r="I282" s="364"/>
      <c r="J282" s="361"/>
      <c r="K282" s="361"/>
      <c r="L282" s="361"/>
      <c r="M282" s="361"/>
      <c r="N282" s="361"/>
      <c r="O282" s="361"/>
      <c r="P282" s="361"/>
      <c r="Q282" s="361"/>
      <c r="R282" s="361"/>
      <c r="S282" s="361"/>
      <c r="T282" s="361"/>
      <c r="U282" s="361"/>
      <c r="V282" s="361"/>
      <c r="W282" s="361"/>
      <c r="X282" s="365"/>
      <c r="Y282" s="361"/>
      <c r="Z282" s="361"/>
      <c r="AA282" s="116"/>
      <c r="AB282" s="116"/>
      <c r="AC282" s="116"/>
      <c r="AD282" s="116"/>
      <c r="AE282" s="365"/>
      <c r="AF282" s="116"/>
      <c r="AG282" s="116"/>
      <c r="AH282" s="116"/>
      <c r="AI282" s="116"/>
      <c r="AJ282" s="116"/>
      <c r="AK282" s="116"/>
      <c r="AL282" s="116"/>
    </row>
    <row r="283" ht="16.5" customHeight="1">
      <c r="A283" s="362"/>
      <c r="B283" s="362"/>
      <c r="C283" s="362"/>
      <c r="D283" s="362"/>
      <c r="E283" s="132"/>
      <c r="F283" s="131"/>
      <c r="G283" s="361"/>
      <c r="H283" s="363"/>
      <c r="I283" s="364"/>
      <c r="J283" s="361"/>
      <c r="K283" s="361"/>
      <c r="L283" s="361"/>
      <c r="M283" s="361"/>
      <c r="N283" s="361"/>
      <c r="O283" s="361"/>
      <c r="P283" s="361"/>
      <c r="Q283" s="361"/>
      <c r="R283" s="361"/>
      <c r="S283" s="361"/>
      <c r="T283" s="361"/>
      <c r="U283" s="361"/>
      <c r="V283" s="361"/>
      <c r="W283" s="361"/>
      <c r="X283" s="365"/>
      <c r="Y283" s="361"/>
      <c r="Z283" s="361"/>
      <c r="AA283" s="116"/>
      <c r="AB283" s="116"/>
      <c r="AC283" s="116"/>
      <c r="AD283" s="116"/>
      <c r="AE283" s="365"/>
      <c r="AF283" s="116"/>
      <c r="AG283" s="116"/>
      <c r="AH283" s="116"/>
      <c r="AI283" s="116"/>
      <c r="AJ283" s="116"/>
      <c r="AK283" s="116"/>
      <c r="AL283" s="116"/>
    </row>
    <row r="284" ht="16.5" customHeight="1">
      <c r="A284" s="362"/>
      <c r="B284" s="362"/>
      <c r="C284" s="362"/>
      <c r="D284" s="362"/>
      <c r="E284" s="132"/>
      <c r="F284" s="131"/>
      <c r="G284" s="361"/>
      <c r="H284" s="363"/>
      <c r="I284" s="364"/>
      <c r="J284" s="361"/>
      <c r="K284" s="361"/>
      <c r="L284" s="361"/>
      <c r="M284" s="361"/>
      <c r="N284" s="361"/>
      <c r="O284" s="361"/>
      <c r="P284" s="361"/>
      <c r="Q284" s="361"/>
      <c r="R284" s="361"/>
      <c r="S284" s="361"/>
      <c r="T284" s="361"/>
      <c r="U284" s="361"/>
      <c r="V284" s="361"/>
      <c r="W284" s="361"/>
      <c r="X284" s="365"/>
      <c r="Y284" s="361"/>
      <c r="Z284" s="361"/>
      <c r="AA284" s="116"/>
      <c r="AB284" s="116"/>
      <c r="AC284" s="116"/>
      <c r="AD284" s="116"/>
      <c r="AE284" s="365"/>
      <c r="AF284" s="116"/>
      <c r="AG284" s="116"/>
      <c r="AH284" s="116"/>
      <c r="AI284" s="116"/>
      <c r="AJ284" s="116"/>
      <c r="AK284" s="116"/>
      <c r="AL284" s="116"/>
    </row>
    <row r="285" ht="16.5" customHeight="1">
      <c r="A285" s="362"/>
      <c r="B285" s="362"/>
      <c r="C285" s="362"/>
      <c r="D285" s="362"/>
      <c r="E285" s="132"/>
      <c r="F285" s="131"/>
      <c r="G285" s="361"/>
      <c r="H285" s="363"/>
      <c r="I285" s="364"/>
      <c r="J285" s="361"/>
      <c r="K285" s="361"/>
      <c r="L285" s="361"/>
      <c r="M285" s="361"/>
      <c r="N285" s="361"/>
      <c r="O285" s="361"/>
      <c r="P285" s="361"/>
      <c r="Q285" s="361"/>
      <c r="R285" s="361"/>
      <c r="S285" s="361"/>
      <c r="T285" s="361"/>
      <c r="U285" s="361"/>
      <c r="V285" s="361"/>
      <c r="W285" s="361"/>
      <c r="X285" s="365"/>
      <c r="Y285" s="361"/>
      <c r="Z285" s="361"/>
      <c r="AA285" s="116"/>
      <c r="AB285" s="116"/>
      <c r="AC285" s="116"/>
      <c r="AD285" s="116"/>
      <c r="AE285" s="365"/>
      <c r="AF285" s="116"/>
      <c r="AG285" s="116"/>
      <c r="AH285" s="116"/>
      <c r="AI285" s="116"/>
      <c r="AJ285" s="116"/>
      <c r="AK285" s="116"/>
      <c r="AL285" s="116"/>
    </row>
    <row r="286" ht="16.5" customHeight="1">
      <c r="A286" s="362"/>
      <c r="B286" s="362"/>
      <c r="C286" s="362"/>
      <c r="D286" s="362"/>
      <c r="E286" s="132"/>
      <c r="F286" s="131"/>
      <c r="G286" s="361"/>
      <c r="H286" s="363"/>
      <c r="I286" s="364"/>
      <c r="J286" s="361"/>
      <c r="K286" s="361"/>
      <c r="L286" s="361"/>
      <c r="M286" s="361"/>
      <c r="N286" s="361"/>
      <c r="O286" s="361"/>
      <c r="P286" s="361"/>
      <c r="Q286" s="361"/>
      <c r="R286" s="361"/>
      <c r="S286" s="361"/>
      <c r="T286" s="361"/>
      <c r="U286" s="361"/>
      <c r="V286" s="361"/>
      <c r="W286" s="361"/>
      <c r="X286" s="365"/>
      <c r="Y286" s="361"/>
      <c r="Z286" s="361"/>
      <c r="AA286" s="116"/>
      <c r="AB286" s="116"/>
      <c r="AC286" s="116"/>
      <c r="AD286" s="116"/>
      <c r="AE286" s="365"/>
      <c r="AF286" s="116"/>
      <c r="AG286" s="116"/>
      <c r="AH286" s="116"/>
      <c r="AI286" s="116"/>
      <c r="AJ286" s="116"/>
      <c r="AK286" s="116"/>
      <c r="AL286" s="116"/>
    </row>
    <row r="287" ht="16.5" customHeight="1">
      <c r="A287" s="362"/>
      <c r="B287" s="362"/>
      <c r="C287" s="362"/>
      <c r="D287" s="362"/>
      <c r="E287" s="132"/>
      <c r="F287" s="131"/>
      <c r="G287" s="361"/>
      <c r="H287" s="363"/>
      <c r="I287" s="364"/>
      <c r="J287" s="361"/>
      <c r="K287" s="361"/>
      <c r="L287" s="361"/>
      <c r="M287" s="361"/>
      <c r="N287" s="361"/>
      <c r="O287" s="361"/>
      <c r="P287" s="361"/>
      <c r="Q287" s="361"/>
      <c r="R287" s="361"/>
      <c r="S287" s="361"/>
      <c r="T287" s="361"/>
      <c r="U287" s="361"/>
      <c r="V287" s="361"/>
      <c r="W287" s="361"/>
      <c r="X287" s="365"/>
      <c r="Y287" s="361"/>
      <c r="Z287" s="361"/>
      <c r="AA287" s="116"/>
      <c r="AB287" s="116"/>
      <c r="AC287" s="116"/>
      <c r="AD287" s="116"/>
      <c r="AE287" s="365"/>
      <c r="AF287" s="116"/>
      <c r="AG287" s="116"/>
      <c r="AH287" s="116"/>
      <c r="AI287" s="116"/>
      <c r="AJ287" s="116"/>
      <c r="AK287" s="116"/>
      <c r="AL287" s="116"/>
    </row>
    <row r="288" ht="16.5" customHeight="1">
      <c r="A288" s="362"/>
      <c r="B288" s="362"/>
      <c r="C288" s="362"/>
      <c r="D288" s="362"/>
      <c r="E288" s="132"/>
      <c r="F288" s="131"/>
      <c r="G288" s="361"/>
      <c r="H288" s="363"/>
      <c r="I288" s="364"/>
      <c r="J288" s="361"/>
      <c r="K288" s="361"/>
      <c r="L288" s="361"/>
      <c r="M288" s="361"/>
      <c r="N288" s="361"/>
      <c r="O288" s="361"/>
      <c r="P288" s="361"/>
      <c r="Q288" s="361"/>
      <c r="R288" s="361"/>
      <c r="S288" s="361"/>
      <c r="T288" s="361"/>
      <c r="U288" s="361"/>
      <c r="V288" s="361"/>
      <c r="W288" s="361"/>
      <c r="X288" s="365"/>
      <c r="Y288" s="361"/>
      <c r="Z288" s="361"/>
      <c r="AA288" s="116"/>
      <c r="AB288" s="116"/>
      <c r="AC288" s="116"/>
      <c r="AD288" s="116"/>
      <c r="AE288" s="365"/>
      <c r="AF288" s="116"/>
      <c r="AG288" s="116"/>
      <c r="AH288" s="116"/>
      <c r="AI288" s="116"/>
      <c r="AJ288" s="116"/>
      <c r="AK288" s="116"/>
      <c r="AL288" s="116"/>
    </row>
    <row r="289" ht="16.5" customHeight="1">
      <c r="A289" s="362"/>
      <c r="B289" s="362"/>
      <c r="C289" s="362"/>
      <c r="D289" s="362"/>
      <c r="E289" s="132"/>
      <c r="F289" s="131"/>
      <c r="G289" s="361"/>
      <c r="H289" s="363"/>
      <c r="I289" s="364"/>
      <c r="J289" s="361"/>
      <c r="K289" s="361"/>
      <c r="L289" s="361"/>
      <c r="M289" s="361"/>
      <c r="N289" s="361"/>
      <c r="O289" s="361"/>
      <c r="P289" s="361"/>
      <c r="Q289" s="361"/>
      <c r="R289" s="361"/>
      <c r="S289" s="361"/>
      <c r="T289" s="361"/>
      <c r="U289" s="361"/>
      <c r="V289" s="361"/>
      <c r="W289" s="361"/>
      <c r="X289" s="365"/>
      <c r="Y289" s="361"/>
      <c r="Z289" s="361"/>
      <c r="AA289" s="116"/>
      <c r="AB289" s="116"/>
      <c r="AC289" s="116"/>
      <c r="AD289" s="116"/>
      <c r="AE289" s="365"/>
      <c r="AF289" s="116"/>
      <c r="AG289" s="116"/>
      <c r="AH289" s="116"/>
      <c r="AI289" s="116"/>
      <c r="AJ289" s="116"/>
      <c r="AK289" s="116"/>
      <c r="AL289" s="116"/>
    </row>
    <row r="290" ht="16.5" customHeight="1">
      <c r="A290" s="362"/>
      <c r="B290" s="362"/>
      <c r="C290" s="362"/>
      <c r="D290" s="362"/>
      <c r="E290" s="132"/>
      <c r="F290" s="131"/>
      <c r="G290" s="361"/>
      <c r="H290" s="363"/>
      <c r="I290" s="364"/>
      <c r="J290" s="361"/>
      <c r="K290" s="361"/>
      <c r="L290" s="361"/>
      <c r="M290" s="361"/>
      <c r="N290" s="361"/>
      <c r="O290" s="361"/>
      <c r="P290" s="361"/>
      <c r="Q290" s="361"/>
      <c r="R290" s="361"/>
      <c r="S290" s="361"/>
      <c r="T290" s="361"/>
      <c r="U290" s="361"/>
      <c r="V290" s="361"/>
      <c r="W290" s="361"/>
      <c r="X290" s="365"/>
      <c r="Y290" s="361"/>
      <c r="Z290" s="361"/>
      <c r="AA290" s="116"/>
      <c r="AB290" s="116"/>
      <c r="AC290" s="116"/>
      <c r="AD290" s="116"/>
      <c r="AE290" s="365"/>
      <c r="AF290" s="116"/>
      <c r="AG290" s="116"/>
      <c r="AH290" s="116"/>
      <c r="AI290" s="116"/>
      <c r="AJ290" s="116"/>
      <c r="AK290" s="116"/>
      <c r="AL290" s="116"/>
    </row>
    <row r="291" ht="16.5" customHeight="1">
      <c r="A291" s="362"/>
      <c r="B291" s="362"/>
      <c r="C291" s="362"/>
      <c r="D291" s="362"/>
      <c r="E291" s="132"/>
      <c r="F291" s="131"/>
      <c r="G291" s="361"/>
      <c r="H291" s="363"/>
      <c r="I291" s="364"/>
      <c r="J291" s="361"/>
      <c r="K291" s="361"/>
      <c r="L291" s="361"/>
      <c r="M291" s="361"/>
      <c r="N291" s="361"/>
      <c r="O291" s="361"/>
      <c r="P291" s="361"/>
      <c r="Q291" s="361"/>
      <c r="R291" s="361"/>
      <c r="S291" s="361"/>
      <c r="T291" s="361"/>
      <c r="U291" s="361"/>
      <c r="V291" s="361"/>
      <c r="W291" s="361"/>
      <c r="X291" s="365"/>
      <c r="Y291" s="361"/>
      <c r="Z291" s="361"/>
      <c r="AA291" s="116"/>
      <c r="AB291" s="116"/>
      <c r="AC291" s="116"/>
      <c r="AD291" s="116"/>
      <c r="AE291" s="365"/>
      <c r="AF291" s="116"/>
      <c r="AG291" s="116"/>
      <c r="AH291" s="116"/>
      <c r="AI291" s="116"/>
      <c r="AJ291" s="116"/>
      <c r="AK291" s="116"/>
      <c r="AL291" s="116"/>
    </row>
    <row r="292" ht="16.5" customHeight="1">
      <c r="A292" s="362"/>
      <c r="B292" s="362"/>
      <c r="C292" s="362"/>
      <c r="D292" s="362"/>
      <c r="E292" s="132"/>
      <c r="F292" s="131"/>
      <c r="G292" s="361"/>
      <c r="H292" s="363"/>
      <c r="I292" s="364"/>
      <c r="J292" s="361"/>
      <c r="K292" s="361"/>
      <c r="L292" s="361"/>
      <c r="M292" s="361"/>
      <c r="N292" s="361"/>
      <c r="O292" s="361"/>
      <c r="P292" s="361"/>
      <c r="Q292" s="361"/>
      <c r="R292" s="361"/>
      <c r="S292" s="361"/>
      <c r="T292" s="361"/>
      <c r="U292" s="361"/>
      <c r="V292" s="361"/>
      <c r="W292" s="361"/>
      <c r="X292" s="365"/>
      <c r="Y292" s="361"/>
      <c r="Z292" s="361"/>
      <c r="AA292" s="116"/>
      <c r="AB292" s="116"/>
      <c r="AC292" s="116"/>
      <c r="AD292" s="116"/>
      <c r="AE292" s="365"/>
      <c r="AF292" s="116"/>
      <c r="AG292" s="116"/>
      <c r="AH292" s="116"/>
      <c r="AI292" s="116"/>
      <c r="AJ292" s="116"/>
      <c r="AK292" s="116"/>
      <c r="AL292" s="116"/>
    </row>
    <row r="293" ht="16.5" customHeight="1">
      <c r="A293" s="362"/>
      <c r="B293" s="362"/>
      <c r="C293" s="362"/>
      <c r="D293" s="362"/>
      <c r="E293" s="132"/>
      <c r="F293" s="131"/>
      <c r="G293" s="361"/>
      <c r="H293" s="363"/>
      <c r="I293" s="364"/>
      <c r="J293" s="361"/>
      <c r="K293" s="361"/>
      <c r="L293" s="361"/>
      <c r="M293" s="361"/>
      <c r="N293" s="361"/>
      <c r="O293" s="361"/>
      <c r="P293" s="361"/>
      <c r="Q293" s="361"/>
      <c r="R293" s="361"/>
      <c r="S293" s="361"/>
      <c r="T293" s="361"/>
      <c r="U293" s="361"/>
      <c r="V293" s="361"/>
      <c r="W293" s="361"/>
      <c r="X293" s="365"/>
      <c r="Y293" s="361"/>
      <c r="Z293" s="361"/>
      <c r="AA293" s="116"/>
      <c r="AB293" s="116"/>
      <c r="AC293" s="116"/>
      <c r="AD293" s="116"/>
      <c r="AE293" s="365"/>
      <c r="AF293" s="116"/>
      <c r="AG293" s="116"/>
      <c r="AH293" s="116"/>
      <c r="AI293" s="116"/>
      <c r="AJ293" s="116"/>
      <c r="AK293" s="116"/>
      <c r="AL293" s="116"/>
    </row>
    <row r="294" ht="16.5" customHeight="1">
      <c r="A294" s="362"/>
      <c r="B294" s="362"/>
      <c r="C294" s="362"/>
      <c r="D294" s="362"/>
      <c r="E294" s="132"/>
      <c r="F294" s="131"/>
      <c r="G294" s="361"/>
      <c r="H294" s="363"/>
      <c r="I294" s="364"/>
      <c r="J294" s="361"/>
      <c r="K294" s="361"/>
      <c r="L294" s="361"/>
      <c r="M294" s="361"/>
      <c r="N294" s="361"/>
      <c r="O294" s="361"/>
      <c r="P294" s="361"/>
      <c r="Q294" s="361"/>
      <c r="R294" s="361"/>
      <c r="S294" s="361"/>
      <c r="T294" s="361"/>
      <c r="U294" s="361"/>
      <c r="V294" s="361"/>
      <c r="W294" s="361"/>
      <c r="X294" s="365"/>
      <c r="Y294" s="361"/>
      <c r="Z294" s="361"/>
      <c r="AA294" s="116"/>
      <c r="AB294" s="116"/>
      <c r="AC294" s="116"/>
      <c r="AD294" s="116"/>
      <c r="AE294" s="365"/>
      <c r="AF294" s="116"/>
      <c r="AG294" s="116"/>
      <c r="AH294" s="116"/>
      <c r="AI294" s="116"/>
      <c r="AJ294" s="116"/>
      <c r="AK294" s="116"/>
      <c r="AL294" s="116"/>
    </row>
    <row r="295" ht="16.5" customHeight="1">
      <c r="A295" s="362"/>
      <c r="B295" s="362"/>
      <c r="C295" s="362"/>
      <c r="D295" s="362"/>
      <c r="E295" s="132"/>
      <c r="F295" s="131"/>
      <c r="G295" s="361"/>
      <c r="H295" s="363"/>
      <c r="I295" s="364"/>
      <c r="J295" s="361"/>
      <c r="K295" s="361"/>
      <c r="L295" s="361"/>
      <c r="M295" s="361"/>
      <c r="N295" s="361"/>
      <c r="O295" s="361"/>
      <c r="P295" s="361"/>
      <c r="Q295" s="361"/>
      <c r="R295" s="361"/>
      <c r="S295" s="361"/>
      <c r="T295" s="361"/>
      <c r="U295" s="361"/>
      <c r="V295" s="361"/>
      <c r="W295" s="361"/>
      <c r="X295" s="365"/>
      <c r="Y295" s="361"/>
      <c r="Z295" s="361"/>
      <c r="AA295" s="116"/>
      <c r="AB295" s="116"/>
      <c r="AC295" s="116"/>
      <c r="AD295" s="116"/>
      <c r="AE295" s="365"/>
      <c r="AF295" s="116"/>
      <c r="AG295" s="116"/>
      <c r="AH295" s="116"/>
      <c r="AI295" s="116"/>
      <c r="AJ295" s="116"/>
      <c r="AK295" s="116"/>
      <c r="AL295" s="116"/>
    </row>
    <row r="296" ht="16.5" customHeight="1">
      <c r="A296" s="362"/>
      <c r="B296" s="362"/>
      <c r="C296" s="362"/>
      <c r="D296" s="362"/>
      <c r="E296" s="132"/>
      <c r="F296" s="131"/>
      <c r="G296" s="361"/>
      <c r="H296" s="363"/>
      <c r="I296" s="364"/>
      <c r="J296" s="361"/>
      <c r="K296" s="361"/>
      <c r="L296" s="361"/>
      <c r="M296" s="361"/>
      <c r="N296" s="361"/>
      <c r="O296" s="361"/>
      <c r="P296" s="361"/>
      <c r="Q296" s="361"/>
      <c r="R296" s="361"/>
      <c r="S296" s="361"/>
      <c r="T296" s="361"/>
      <c r="U296" s="361"/>
      <c r="V296" s="361"/>
      <c r="W296" s="361"/>
      <c r="X296" s="365"/>
      <c r="Y296" s="361"/>
      <c r="Z296" s="361"/>
      <c r="AA296" s="116"/>
      <c r="AB296" s="116"/>
      <c r="AC296" s="116"/>
      <c r="AD296" s="116"/>
      <c r="AE296" s="365"/>
      <c r="AF296" s="116"/>
      <c r="AG296" s="116"/>
      <c r="AH296" s="116"/>
      <c r="AI296" s="116"/>
      <c r="AJ296" s="116"/>
      <c r="AK296" s="116"/>
      <c r="AL296" s="116"/>
    </row>
    <row r="297" ht="16.5" customHeight="1">
      <c r="A297" s="362"/>
      <c r="B297" s="362"/>
      <c r="C297" s="362"/>
      <c r="D297" s="362"/>
      <c r="E297" s="132"/>
      <c r="F297" s="131"/>
      <c r="G297" s="361"/>
      <c r="H297" s="363"/>
      <c r="I297" s="364"/>
      <c r="J297" s="361"/>
      <c r="K297" s="361"/>
      <c r="L297" s="361"/>
      <c r="M297" s="361"/>
      <c r="N297" s="361"/>
      <c r="O297" s="361"/>
      <c r="P297" s="361"/>
      <c r="Q297" s="361"/>
      <c r="R297" s="361"/>
      <c r="S297" s="361"/>
      <c r="T297" s="361"/>
      <c r="U297" s="361"/>
      <c r="V297" s="361"/>
      <c r="W297" s="361"/>
      <c r="X297" s="365"/>
      <c r="Y297" s="361"/>
      <c r="Z297" s="361"/>
      <c r="AA297" s="116"/>
      <c r="AB297" s="116"/>
      <c r="AC297" s="116"/>
      <c r="AD297" s="116"/>
      <c r="AE297" s="365"/>
      <c r="AF297" s="116"/>
      <c r="AG297" s="116"/>
      <c r="AH297" s="116"/>
      <c r="AI297" s="116"/>
      <c r="AJ297" s="116"/>
      <c r="AK297" s="116"/>
      <c r="AL297" s="116"/>
    </row>
    <row r="298" ht="16.5" customHeight="1">
      <c r="A298" s="362"/>
      <c r="B298" s="362"/>
      <c r="C298" s="362"/>
      <c r="D298" s="362"/>
      <c r="E298" s="132"/>
      <c r="F298" s="131"/>
      <c r="G298" s="361"/>
      <c r="H298" s="363"/>
      <c r="I298" s="364"/>
      <c r="J298" s="361"/>
      <c r="K298" s="361"/>
      <c r="L298" s="361"/>
      <c r="M298" s="361"/>
      <c r="N298" s="361"/>
      <c r="O298" s="361"/>
      <c r="P298" s="361"/>
      <c r="Q298" s="361"/>
      <c r="R298" s="361"/>
      <c r="S298" s="361"/>
      <c r="T298" s="361"/>
      <c r="U298" s="361"/>
      <c r="V298" s="361"/>
      <c r="W298" s="361"/>
      <c r="X298" s="365"/>
      <c r="Y298" s="361"/>
      <c r="Z298" s="361"/>
      <c r="AA298" s="116"/>
      <c r="AB298" s="116"/>
      <c r="AC298" s="116"/>
      <c r="AD298" s="116"/>
      <c r="AE298" s="365"/>
      <c r="AF298" s="116"/>
      <c r="AG298" s="116"/>
      <c r="AH298" s="116"/>
      <c r="AI298" s="116"/>
      <c r="AJ298" s="116"/>
      <c r="AK298" s="116"/>
      <c r="AL298" s="116"/>
    </row>
    <row r="299" ht="16.5" customHeight="1">
      <c r="A299" s="362"/>
      <c r="B299" s="362"/>
      <c r="C299" s="362"/>
      <c r="D299" s="362"/>
      <c r="E299" s="132"/>
      <c r="F299" s="131"/>
      <c r="G299" s="361"/>
      <c r="H299" s="363"/>
      <c r="I299" s="364"/>
      <c r="J299" s="361"/>
      <c r="K299" s="361"/>
      <c r="L299" s="361"/>
      <c r="M299" s="361"/>
      <c r="N299" s="361"/>
      <c r="O299" s="361"/>
      <c r="P299" s="361"/>
      <c r="Q299" s="361"/>
      <c r="R299" s="361"/>
      <c r="S299" s="361"/>
      <c r="T299" s="361"/>
      <c r="U299" s="361"/>
      <c r="V299" s="361"/>
      <c r="W299" s="361"/>
      <c r="X299" s="365"/>
      <c r="Y299" s="361"/>
      <c r="Z299" s="361"/>
      <c r="AA299" s="116"/>
      <c r="AB299" s="116"/>
      <c r="AC299" s="116"/>
      <c r="AD299" s="116"/>
      <c r="AE299" s="365"/>
      <c r="AF299" s="116"/>
      <c r="AG299" s="116"/>
      <c r="AH299" s="116"/>
      <c r="AI299" s="116"/>
      <c r="AJ299" s="116"/>
      <c r="AK299" s="116"/>
      <c r="AL299" s="116"/>
    </row>
    <row r="300" ht="16.5" customHeight="1">
      <c r="A300" s="362"/>
      <c r="B300" s="362"/>
      <c r="C300" s="362"/>
      <c r="D300" s="362"/>
      <c r="E300" s="132"/>
      <c r="F300" s="131"/>
      <c r="G300" s="361"/>
      <c r="H300" s="363"/>
      <c r="I300" s="364"/>
      <c r="J300" s="361"/>
      <c r="K300" s="361"/>
      <c r="L300" s="361"/>
      <c r="M300" s="361"/>
      <c r="N300" s="361"/>
      <c r="O300" s="361"/>
      <c r="P300" s="361"/>
      <c r="Q300" s="361"/>
      <c r="R300" s="361"/>
      <c r="S300" s="361"/>
      <c r="T300" s="361"/>
      <c r="U300" s="361"/>
      <c r="V300" s="361"/>
      <c r="W300" s="361"/>
      <c r="X300" s="365"/>
      <c r="Y300" s="361"/>
      <c r="Z300" s="361"/>
      <c r="AA300" s="116"/>
      <c r="AB300" s="116"/>
      <c r="AC300" s="116"/>
      <c r="AD300" s="116"/>
      <c r="AE300" s="365"/>
      <c r="AF300" s="116"/>
      <c r="AG300" s="116"/>
      <c r="AH300" s="116"/>
      <c r="AI300" s="116"/>
      <c r="AJ300" s="116"/>
      <c r="AK300" s="116"/>
      <c r="AL300" s="116"/>
    </row>
    <row r="301" ht="16.5" customHeight="1">
      <c r="A301" s="362"/>
      <c r="B301" s="362"/>
      <c r="C301" s="362"/>
      <c r="D301" s="362"/>
      <c r="E301" s="132"/>
      <c r="F301" s="131"/>
      <c r="G301" s="361"/>
      <c r="H301" s="363"/>
      <c r="I301" s="364"/>
      <c r="J301" s="361"/>
      <c r="K301" s="361"/>
      <c r="L301" s="361"/>
      <c r="M301" s="361"/>
      <c r="N301" s="361"/>
      <c r="O301" s="361"/>
      <c r="P301" s="361"/>
      <c r="Q301" s="361"/>
      <c r="R301" s="361"/>
      <c r="S301" s="361"/>
      <c r="T301" s="361"/>
      <c r="U301" s="361"/>
      <c r="V301" s="361"/>
      <c r="W301" s="361"/>
      <c r="X301" s="365"/>
      <c r="Y301" s="361"/>
      <c r="Z301" s="361"/>
      <c r="AA301" s="116"/>
      <c r="AB301" s="116"/>
      <c r="AC301" s="116"/>
      <c r="AD301" s="116"/>
      <c r="AE301" s="365"/>
      <c r="AF301" s="116"/>
      <c r="AG301" s="116"/>
      <c r="AH301" s="116"/>
      <c r="AI301" s="116"/>
      <c r="AJ301" s="116"/>
      <c r="AK301" s="116"/>
      <c r="AL301" s="116"/>
    </row>
    <row r="302" ht="16.5" customHeight="1">
      <c r="A302" s="362"/>
      <c r="B302" s="362"/>
      <c r="C302" s="362"/>
      <c r="D302" s="362"/>
      <c r="E302" s="132"/>
      <c r="F302" s="131"/>
      <c r="G302" s="361"/>
      <c r="H302" s="363"/>
      <c r="I302" s="364"/>
      <c r="J302" s="361"/>
      <c r="K302" s="361"/>
      <c r="L302" s="361"/>
      <c r="M302" s="361"/>
      <c r="N302" s="361"/>
      <c r="O302" s="361"/>
      <c r="P302" s="361"/>
      <c r="Q302" s="361"/>
      <c r="R302" s="361"/>
      <c r="S302" s="361"/>
      <c r="T302" s="361"/>
      <c r="U302" s="361"/>
      <c r="V302" s="361"/>
      <c r="W302" s="361"/>
      <c r="X302" s="365"/>
      <c r="Y302" s="361"/>
      <c r="Z302" s="361"/>
      <c r="AA302" s="116"/>
      <c r="AB302" s="116"/>
      <c r="AC302" s="116"/>
      <c r="AD302" s="116"/>
      <c r="AE302" s="365"/>
      <c r="AF302" s="116"/>
      <c r="AG302" s="116"/>
      <c r="AH302" s="116"/>
      <c r="AI302" s="116"/>
      <c r="AJ302" s="116"/>
      <c r="AK302" s="116"/>
      <c r="AL302" s="116"/>
    </row>
    <row r="303" ht="16.5" customHeight="1">
      <c r="A303" s="362"/>
      <c r="B303" s="362"/>
      <c r="C303" s="362"/>
      <c r="D303" s="362"/>
      <c r="E303" s="132"/>
      <c r="F303" s="131"/>
      <c r="G303" s="361"/>
      <c r="H303" s="363"/>
      <c r="I303" s="364"/>
      <c r="J303" s="361"/>
      <c r="K303" s="361"/>
      <c r="L303" s="361"/>
      <c r="M303" s="361"/>
      <c r="N303" s="361"/>
      <c r="O303" s="361"/>
      <c r="P303" s="361"/>
      <c r="Q303" s="361"/>
      <c r="R303" s="361"/>
      <c r="S303" s="361"/>
      <c r="T303" s="361"/>
      <c r="U303" s="361"/>
      <c r="V303" s="361"/>
      <c r="W303" s="361"/>
      <c r="X303" s="365"/>
      <c r="Y303" s="361"/>
      <c r="Z303" s="361"/>
      <c r="AA303" s="116"/>
      <c r="AB303" s="116"/>
      <c r="AC303" s="116"/>
      <c r="AD303" s="116"/>
      <c r="AE303" s="365"/>
      <c r="AF303" s="116"/>
      <c r="AG303" s="116"/>
      <c r="AH303" s="116"/>
      <c r="AI303" s="116"/>
      <c r="AJ303" s="116"/>
      <c r="AK303" s="116"/>
      <c r="AL303" s="116"/>
    </row>
    <row r="304" ht="16.5" customHeight="1">
      <c r="A304" s="362"/>
      <c r="B304" s="362"/>
      <c r="C304" s="362"/>
      <c r="D304" s="362"/>
      <c r="E304" s="132"/>
      <c r="F304" s="131"/>
      <c r="G304" s="361"/>
      <c r="H304" s="363"/>
      <c r="I304" s="364"/>
      <c r="J304" s="361"/>
      <c r="K304" s="361"/>
      <c r="L304" s="361"/>
      <c r="M304" s="361"/>
      <c r="N304" s="361"/>
      <c r="O304" s="361"/>
      <c r="P304" s="361"/>
      <c r="Q304" s="361"/>
      <c r="R304" s="361"/>
      <c r="S304" s="361"/>
      <c r="T304" s="361"/>
      <c r="U304" s="361"/>
      <c r="V304" s="361"/>
      <c r="W304" s="361"/>
      <c r="X304" s="365"/>
      <c r="Y304" s="361"/>
      <c r="Z304" s="361"/>
      <c r="AA304" s="116"/>
      <c r="AB304" s="116"/>
      <c r="AC304" s="116"/>
      <c r="AD304" s="116"/>
      <c r="AE304" s="365"/>
      <c r="AF304" s="116"/>
      <c r="AG304" s="116"/>
      <c r="AH304" s="116"/>
      <c r="AI304" s="116"/>
      <c r="AJ304" s="116"/>
      <c r="AK304" s="116"/>
      <c r="AL304" s="116"/>
    </row>
    <row r="305" ht="16.5" customHeight="1">
      <c r="A305" s="362"/>
      <c r="B305" s="362"/>
      <c r="C305" s="362"/>
      <c r="D305" s="362"/>
      <c r="E305" s="132"/>
      <c r="F305" s="131"/>
      <c r="G305" s="361"/>
      <c r="H305" s="363"/>
      <c r="I305" s="364"/>
      <c r="J305" s="361"/>
      <c r="K305" s="361"/>
      <c r="L305" s="361"/>
      <c r="M305" s="361"/>
      <c r="N305" s="361"/>
      <c r="O305" s="361"/>
      <c r="P305" s="361"/>
      <c r="Q305" s="361"/>
      <c r="R305" s="361"/>
      <c r="S305" s="361"/>
      <c r="T305" s="361"/>
      <c r="U305" s="361"/>
      <c r="V305" s="361"/>
      <c r="W305" s="361"/>
      <c r="X305" s="365"/>
      <c r="Y305" s="361"/>
      <c r="Z305" s="361"/>
      <c r="AA305" s="116"/>
      <c r="AB305" s="116"/>
      <c r="AC305" s="116"/>
      <c r="AD305" s="116"/>
      <c r="AE305" s="365"/>
      <c r="AF305" s="116"/>
      <c r="AG305" s="116"/>
      <c r="AH305" s="116"/>
      <c r="AI305" s="116"/>
      <c r="AJ305" s="116"/>
      <c r="AK305" s="116"/>
      <c r="AL305" s="116"/>
    </row>
    <row r="306" ht="16.5" customHeight="1">
      <c r="A306" s="362"/>
      <c r="B306" s="362"/>
      <c r="C306" s="362"/>
      <c r="D306" s="362"/>
      <c r="E306" s="132"/>
      <c r="F306" s="131"/>
      <c r="G306" s="361"/>
      <c r="H306" s="363"/>
      <c r="I306" s="364"/>
      <c r="J306" s="361"/>
      <c r="K306" s="361"/>
      <c r="L306" s="361"/>
      <c r="M306" s="361"/>
      <c r="N306" s="361"/>
      <c r="O306" s="361"/>
      <c r="P306" s="361"/>
      <c r="Q306" s="361"/>
      <c r="R306" s="361"/>
      <c r="S306" s="361"/>
      <c r="T306" s="361"/>
      <c r="U306" s="361"/>
      <c r="V306" s="361"/>
      <c r="W306" s="361"/>
      <c r="X306" s="365"/>
      <c r="Y306" s="361"/>
      <c r="Z306" s="361"/>
      <c r="AA306" s="116"/>
      <c r="AB306" s="116"/>
      <c r="AC306" s="116"/>
      <c r="AD306" s="116"/>
      <c r="AE306" s="365"/>
      <c r="AF306" s="116"/>
      <c r="AG306" s="116"/>
      <c r="AH306" s="116"/>
      <c r="AI306" s="116"/>
      <c r="AJ306" s="116"/>
      <c r="AK306" s="116"/>
      <c r="AL306" s="116"/>
    </row>
    <row r="307" ht="16.5" customHeight="1">
      <c r="A307" s="362"/>
      <c r="B307" s="362"/>
      <c r="C307" s="362"/>
      <c r="D307" s="362"/>
      <c r="E307" s="132"/>
      <c r="F307" s="131"/>
      <c r="G307" s="361"/>
      <c r="H307" s="363"/>
      <c r="I307" s="364"/>
      <c r="J307" s="361"/>
      <c r="K307" s="361"/>
      <c r="L307" s="361"/>
      <c r="M307" s="361"/>
      <c r="N307" s="361"/>
      <c r="O307" s="361"/>
      <c r="P307" s="361"/>
      <c r="Q307" s="361"/>
      <c r="R307" s="361"/>
      <c r="S307" s="361"/>
      <c r="T307" s="361"/>
      <c r="U307" s="361"/>
      <c r="V307" s="361"/>
      <c r="W307" s="361"/>
      <c r="X307" s="365"/>
      <c r="Y307" s="361"/>
      <c r="Z307" s="361"/>
      <c r="AA307" s="116"/>
      <c r="AB307" s="116"/>
      <c r="AC307" s="116"/>
      <c r="AD307" s="116"/>
      <c r="AE307" s="365"/>
      <c r="AF307" s="116"/>
      <c r="AG307" s="116"/>
      <c r="AH307" s="116"/>
      <c r="AI307" s="116"/>
      <c r="AJ307" s="116"/>
      <c r="AK307" s="116"/>
      <c r="AL307" s="116"/>
    </row>
    <row r="308" ht="16.5" customHeight="1">
      <c r="A308" s="362"/>
      <c r="B308" s="362"/>
      <c r="C308" s="362"/>
      <c r="D308" s="362"/>
      <c r="E308" s="132"/>
      <c r="F308" s="131"/>
      <c r="G308" s="361"/>
      <c r="H308" s="363"/>
      <c r="I308" s="364"/>
      <c r="J308" s="361"/>
      <c r="K308" s="361"/>
      <c r="L308" s="361"/>
      <c r="M308" s="361"/>
      <c r="N308" s="361"/>
      <c r="O308" s="361"/>
      <c r="P308" s="361"/>
      <c r="Q308" s="361"/>
      <c r="R308" s="361"/>
      <c r="S308" s="361"/>
      <c r="T308" s="361"/>
      <c r="U308" s="361"/>
      <c r="V308" s="361"/>
      <c r="W308" s="361"/>
      <c r="X308" s="365"/>
      <c r="Y308" s="361"/>
      <c r="Z308" s="361"/>
      <c r="AA308" s="116"/>
      <c r="AB308" s="116"/>
      <c r="AC308" s="116"/>
      <c r="AD308" s="116"/>
      <c r="AE308" s="365"/>
      <c r="AF308" s="116"/>
      <c r="AG308" s="116"/>
      <c r="AH308" s="116"/>
      <c r="AI308" s="116"/>
      <c r="AJ308" s="116"/>
      <c r="AK308" s="116"/>
      <c r="AL308" s="116"/>
    </row>
    <row r="309" ht="16.5" customHeight="1">
      <c r="A309" s="362"/>
      <c r="B309" s="362"/>
      <c r="C309" s="362"/>
      <c r="D309" s="362"/>
      <c r="E309" s="132"/>
      <c r="F309" s="131"/>
      <c r="G309" s="361"/>
      <c r="H309" s="363"/>
      <c r="I309" s="364"/>
      <c r="J309" s="361"/>
      <c r="K309" s="361"/>
      <c r="L309" s="361"/>
      <c r="M309" s="361"/>
      <c r="N309" s="361"/>
      <c r="O309" s="361"/>
      <c r="P309" s="361"/>
      <c r="Q309" s="361"/>
      <c r="R309" s="361"/>
      <c r="S309" s="361"/>
      <c r="T309" s="361"/>
      <c r="U309" s="361"/>
      <c r="V309" s="361"/>
      <c r="W309" s="361"/>
      <c r="X309" s="365"/>
      <c r="Y309" s="361"/>
      <c r="Z309" s="361"/>
      <c r="AA309" s="116"/>
      <c r="AB309" s="116"/>
      <c r="AC309" s="116"/>
      <c r="AD309" s="116"/>
      <c r="AE309" s="365"/>
      <c r="AF309" s="116"/>
      <c r="AG309" s="116"/>
      <c r="AH309" s="116"/>
      <c r="AI309" s="116"/>
      <c r="AJ309" s="116"/>
      <c r="AK309" s="116"/>
      <c r="AL309" s="116"/>
    </row>
    <row r="310" ht="16.5" customHeight="1">
      <c r="A310" s="362"/>
      <c r="B310" s="362"/>
      <c r="C310" s="362"/>
      <c r="D310" s="362"/>
      <c r="E310" s="132"/>
      <c r="F310" s="131"/>
      <c r="G310" s="361"/>
      <c r="H310" s="363"/>
      <c r="I310" s="364"/>
      <c r="J310" s="361"/>
      <c r="K310" s="361"/>
      <c r="L310" s="361"/>
      <c r="M310" s="361"/>
      <c r="N310" s="361"/>
      <c r="O310" s="361"/>
      <c r="P310" s="361"/>
      <c r="Q310" s="361"/>
      <c r="R310" s="361"/>
      <c r="S310" s="361"/>
      <c r="T310" s="361"/>
      <c r="U310" s="361"/>
      <c r="V310" s="361"/>
      <c r="W310" s="361"/>
      <c r="X310" s="365"/>
      <c r="Y310" s="361"/>
      <c r="Z310" s="361"/>
      <c r="AA310" s="116"/>
      <c r="AB310" s="116"/>
      <c r="AC310" s="116"/>
      <c r="AD310" s="116"/>
      <c r="AE310" s="365"/>
      <c r="AF310" s="116"/>
      <c r="AG310" s="116"/>
      <c r="AH310" s="116"/>
      <c r="AI310" s="116"/>
      <c r="AJ310" s="116"/>
      <c r="AK310" s="116"/>
      <c r="AL310" s="116"/>
    </row>
    <row r="311" ht="16.5" customHeight="1">
      <c r="A311" s="362"/>
      <c r="B311" s="362"/>
      <c r="C311" s="362"/>
      <c r="D311" s="362"/>
      <c r="E311" s="132"/>
      <c r="F311" s="131"/>
      <c r="G311" s="361"/>
      <c r="H311" s="363"/>
      <c r="I311" s="364"/>
      <c r="J311" s="361"/>
      <c r="K311" s="361"/>
      <c r="L311" s="361"/>
      <c r="M311" s="361"/>
      <c r="N311" s="361"/>
      <c r="O311" s="361"/>
      <c r="P311" s="361"/>
      <c r="Q311" s="361"/>
      <c r="R311" s="361"/>
      <c r="S311" s="361"/>
      <c r="T311" s="361"/>
      <c r="U311" s="361"/>
      <c r="V311" s="361"/>
      <c r="W311" s="361"/>
      <c r="X311" s="365"/>
      <c r="Y311" s="361"/>
      <c r="Z311" s="361"/>
      <c r="AA311" s="116"/>
      <c r="AB311" s="116"/>
      <c r="AC311" s="116"/>
      <c r="AD311" s="116"/>
      <c r="AE311" s="365"/>
      <c r="AF311" s="116"/>
      <c r="AG311" s="116"/>
      <c r="AH311" s="116"/>
      <c r="AI311" s="116"/>
      <c r="AJ311" s="116"/>
      <c r="AK311" s="116"/>
      <c r="AL311" s="116"/>
    </row>
    <row r="312" ht="16.5" customHeight="1">
      <c r="A312" s="362"/>
      <c r="B312" s="362"/>
      <c r="C312" s="362"/>
      <c r="D312" s="362"/>
      <c r="E312" s="132"/>
      <c r="F312" s="131"/>
      <c r="G312" s="361"/>
      <c r="H312" s="363"/>
      <c r="I312" s="364"/>
      <c r="J312" s="361"/>
      <c r="K312" s="361"/>
      <c r="L312" s="361"/>
      <c r="M312" s="361"/>
      <c r="N312" s="361"/>
      <c r="O312" s="361"/>
      <c r="P312" s="361"/>
      <c r="Q312" s="361"/>
      <c r="R312" s="361"/>
      <c r="S312" s="361"/>
      <c r="T312" s="361"/>
      <c r="U312" s="361"/>
      <c r="V312" s="361"/>
      <c r="W312" s="361"/>
      <c r="X312" s="365"/>
      <c r="Y312" s="361"/>
      <c r="Z312" s="361"/>
      <c r="AA312" s="116"/>
      <c r="AB312" s="116"/>
      <c r="AC312" s="116"/>
      <c r="AD312" s="116"/>
      <c r="AE312" s="365"/>
      <c r="AF312" s="116"/>
      <c r="AG312" s="116"/>
      <c r="AH312" s="116"/>
      <c r="AI312" s="116"/>
      <c r="AJ312" s="116"/>
      <c r="AK312" s="116"/>
      <c r="AL312" s="116"/>
    </row>
    <row r="313" ht="16.5" customHeight="1">
      <c r="A313" s="362"/>
      <c r="B313" s="362"/>
      <c r="C313" s="362"/>
      <c r="D313" s="362"/>
      <c r="E313" s="132"/>
      <c r="F313" s="131"/>
      <c r="G313" s="361"/>
      <c r="H313" s="363"/>
      <c r="I313" s="364"/>
      <c r="J313" s="361"/>
      <c r="K313" s="361"/>
      <c r="L313" s="361"/>
      <c r="M313" s="361"/>
      <c r="N313" s="361"/>
      <c r="O313" s="361"/>
      <c r="P313" s="361"/>
      <c r="Q313" s="361"/>
      <c r="R313" s="361"/>
      <c r="S313" s="361"/>
      <c r="T313" s="361"/>
      <c r="U313" s="361"/>
      <c r="V313" s="361"/>
      <c r="W313" s="361"/>
      <c r="X313" s="365"/>
      <c r="Y313" s="361"/>
      <c r="Z313" s="361"/>
      <c r="AA313" s="116"/>
      <c r="AB313" s="116"/>
      <c r="AC313" s="116"/>
      <c r="AD313" s="116"/>
      <c r="AE313" s="365"/>
      <c r="AF313" s="116"/>
      <c r="AG313" s="116"/>
      <c r="AH313" s="116"/>
      <c r="AI313" s="116"/>
      <c r="AJ313" s="116"/>
      <c r="AK313" s="116"/>
      <c r="AL313" s="116"/>
    </row>
    <row r="314" ht="16.5" customHeight="1">
      <c r="A314" s="362"/>
      <c r="B314" s="362"/>
      <c r="C314" s="362"/>
      <c r="D314" s="362"/>
      <c r="E314" s="132"/>
      <c r="F314" s="131"/>
      <c r="G314" s="361"/>
      <c r="H314" s="363"/>
      <c r="I314" s="364"/>
      <c r="J314" s="361"/>
      <c r="K314" s="361"/>
      <c r="L314" s="361"/>
      <c r="M314" s="361"/>
      <c r="N314" s="361"/>
      <c r="O314" s="361"/>
      <c r="P314" s="361"/>
      <c r="Q314" s="361"/>
      <c r="R314" s="361"/>
      <c r="S314" s="361"/>
      <c r="T314" s="361"/>
      <c r="U314" s="361"/>
      <c r="V314" s="361"/>
      <c r="W314" s="361"/>
      <c r="X314" s="365"/>
      <c r="Y314" s="361"/>
      <c r="Z314" s="361"/>
      <c r="AA314" s="116"/>
      <c r="AB314" s="116"/>
      <c r="AC314" s="116"/>
      <c r="AD314" s="116"/>
      <c r="AE314" s="365"/>
      <c r="AF314" s="116"/>
      <c r="AG314" s="116"/>
      <c r="AH314" s="116"/>
      <c r="AI314" s="116"/>
      <c r="AJ314" s="116"/>
      <c r="AK314" s="116"/>
      <c r="AL314" s="116"/>
    </row>
    <row r="315" ht="16.5" customHeight="1">
      <c r="A315" s="362"/>
      <c r="B315" s="362"/>
      <c r="C315" s="362"/>
      <c r="D315" s="362"/>
      <c r="E315" s="132"/>
      <c r="F315" s="131"/>
      <c r="G315" s="361"/>
      <c r="H315" s="363"/>
      <c r="I315" s="364"/>
      <c r="J315" s="361"/>
      <c r="K315" s="361"/>
      <c r="L315" s="361"/>
      <c r="M315" s="361"/>
      <c r="N315" s="361"/>
      <c r="O315" s="361"/>
      <c r="P315" s="361"/>
      <c r="Q315" s="361"/>
      <c r="R315" s="361"/>
      <c r="S315" s="361"/>
      <c r="T315" s="361"/>
      <c r="U315" s="361"/>
      <c r="V315" s="361"/>
      <c r="W315" s="361"/>
      <c r="X315" s="365"/>
      <c r="Y315" s="361"/>
      <c r="Z315" s="361"/>
      <c r="AA315" s="116"/>
      <c r="AB315" s="116"/>
      <c r="AC315" s="116"/>
      <c r="AD315" s="116"/>
      <c r="AE315" s="365"/>
      <c r="AF315" s="116"/>
      <c r="AG315" s="116"/>
      <c r="AH315" s="116"/>
      <c r="AI315" s="116"/>
      <c r="AJ315" s="116"/>
      <c r="AK315" s="116"/>
      <c r="AL315" s="116"/>
    </row>
    <row r="316" ht="16.5" customHeight="1">
      <c r="A316" s="362"/>
      <c r="B316" s="362"/>
      <c r="C316" s="362"/>
      <c r="D316" s="362"/>
      <c r="E316" s="132"/>
      <c r="F316" s="131"/>
      <c r="G316" s="361"/>
      <c r="H316" s="363"/>
      <c r="I316" s="364"/>
      <c r="J316" s="361"/>
      <c r="K316" s="361"/>
      <c r="L316" s="361"/>
      <c r="M316" s="361"/>
      <c r="N316" s="361"/>
      <c r="O316" s="361"/>
      <c r="P316" s="361"/>
      <c r="Q316" s="361"/>
      <c r="R316" s="361"/>
      <c r="S316" s="361"/>
      <c r="T316" s="361"/>
      <c r="U316" s="361"/>
      <c r="V316" s="361"/>
      <c r="W316" s="361"/>
      <c r="X316" s="365"/>
      <c r="Y316" s="361"/>
      <c r="Z316" s="361"/>
      <c r="AA316" s="116"/>
      <c r="AB316" s="116"/>
      <c r="AC316" s="116"/>
      <c r="AD316" s="116"/>
      <c r="AE316" s="365"/>
      <c r="AF316" s="116"/>
      <c r="AG316" s="116"/>
      <c r="AH316" s="116"/>
      <c r="AI316" s="116"/>
      <c r="AJ316" s="116"/>
      <c r="AK316" s="116"/>
      <c r="AL316" s="116"/>
    </row>
    <row r="317" ht="16.5" customHeight="1">
      <c r="A317" s="362"/>
      <c r="B317" s="362"/>
      <c r="C317" s="362"/>
      <c r="D317" s="362"/>
      <c r="E317" s="132"/>
      <c r="F317" s="131"/>
      <c r="G317" s="361"/>
      <c r="H317" s="363"/>
      <c r="I317" s="364"/>
      <c r="J317" s="361"/>
      <c r="K317" s="361"/>
      <c r="L317" s="361"/>
      <c r="M317" s="361"/>
      <c r="N317" s="361"/>
      <c r="O317" s="361"/>
      <c r="P317" s="361"/>
      <c r="Q317" s="361"/>
      <c r="R317" s="361"/>
      <c r="S317" s="361"/>
      <c r="T317" s="361"/>
      <c r="U317" s="361"/>
      <c r="V317" s="361"/>
      <c r="W317" s="361"/>
      <c r="X317" s="365"/>
      <c r="Y317" s="361"/>
      <c r="Z317" s="361"/>
      <c r="AA317" s="116"/>
      <c r="AB317" s="116"/>
      <c r="AC317" s="116"/>
      <c r="AD317" s="116"/>
      <c r="AE317" s="365"/>
      <c r="AF317" s="116"/>
      <c r="AG317" s="116"/>
      <c r="AH317" s="116"/>
      <c r="AI317" s="116"/>
      <c r="AJ317" s="116"/>
      <c r="AK317" s="116"/>
      <c r="AL317" s="116"/>
    </row>
    <row r="318" ht="16.5" customHeight="1">
      <c r="A318" s="362"/>
      <c r="B318" s="362"/>
      <c r="C318" s="362"/>
      <c r="D318" s="362"/>
      <c r="E318" s="132"/>
      <c r="F318" s="131"/>
      <c r="G318" s="361"/>
      <c r="H318" s="363"/>
      <c r="I318" s="364"/>
      <c r="J318" s="361"/>
      <c r="K318" s="361"/>
      <c r="L318" s="361"/>
      <c r="M318" s="361"/>
      <c r="N318" s="361"/>
      <c r="O318" s="361"/>
      <c r="P318" s="361"/>
      <c r="Q318" s="361"/>
      <c r="R318" s="361"/>
      <c r="S318" s="361"/>
      <c r="T318" s="361"/>
      <c r="U318" s="361"/>
      <c r="V318" s="361"/>
      <c r="W318" s="361"/>
      <c r="X318" s="365"/>
      <c r="Y318" s="361"/>
      <c r="Z318" s="361"/>
      <c r="AA318" s="116"/>
      <c r="AB318" s="116"/>
      <c r="AC318" s="116"/>
      <c r="AD318" s="116"/>
      <c r="AE318" s="365"/>
      <c r="AF318" s="116"/>
      <c r="AG318" s="116"/>
      <c r="AH318" s="116"/>
      <c r="AI318" s="116"/>
      <c r="AJ318" s="116"/>
      <c r="AK318" s="116"/>
      <c r="AL318" s="116"/>
    </row>
    <row r="319" ht="16.5" customHeight="1">
      <c r="A319" s="362"/>
      <c r="B319" s="362"/>
      <c r="C319" s="362"/>
      <c r="D319" s="362"/>
      <c r="E319" s="132"/>
      <c r="F319" s="131"/>
      <c r="G319" s="361"/>
      <c r="H319" s="363"/>
      <c r="I319" s="364"/>
      <c r="J319" s="361"/>
      <c r="K319" s="361"/>
      <c r="L319" s="361"/>
      <c r="M319" s="361"/>
      <c r="N319" s="361"/>
      <c r="O319" s="361"/>
      <c r="P319" s="361"/>
      <c r="Q319" s="361"/>
      <c r="R319" s="361"/>
      <c r="S319" s="361"/>
      <c r="T319" s="361"/>
      <c r="U319" s="361"/>
      <c r="V319" s="361"/>
      <c r="W319" s="361"/>
      <c r="X319" s="365"/>
      <c r="Y319" s="361"/>
      <c r="Z319" s="361"/>
      <c r="AA319" s="116"/>
      <c r="AB319" s="116"/>
      <c r="AC319" s="116"/>
      <c r="AD319" s="116"/>
      <c r="AE319" s="365"/>
      <c r="AF319" s="116"/>
      <c r="AG319" s="116"/>
      <c r="AH319" s="116"/>
      <c r="AI319" s="116"/>
      <c r="AJ319" s="116"/>
      <c r="AK319" s="116"/>
      <c r="AL319" s="116"/>
    </row>
    <row r="320" ht="16.5" customHeight="1">
      <c r="A320" s="362"/>
      <c r="B320" s="362"/>
      <c r="C320" s="362"/>
      <c r="D320" s="362"/>
      <c r="E320" s="132"/>
      <c r="F320" s="131"/>
      <c r="G320" s="361"/>
      <c r="H320" s="363"/>
      <c r="I320" s="364"/>
      <c r="J320" s="361"/>
      <c r="K320" s="361"/>
      <c r="L320" s="361"/>
      <c r="M320" s="361"/>
      <c r="N320" s="361"/>
      <c r="O320" s="361"/>
      <c r="P320" s="361"/>
      <c r="Q320" s="361"/>
      <c r="R320" s="361"/>
      <c r="S320" s="361"/>
      <c r="T320" s="361"/>
      <c r="U320" s="361"/>
      <c r="V320" s="361"/>
      <c r="W320" s="361"/>
      <c r="X320" s="365"/>
      <c r="Y320" s="361"/>
      <c r="Z320" s="361"/>
      <c r="AA320" s="116"/>
      <c r="AB320" s="116"/>
      <c r="AC320" s="116"/>
      <c r="AD320" s="116"/>
      <c r="AE320" s="365"/>
      <c r="AF320" s="116"/>
      <c r="AG320" s="116"/>
      <c r="AH320" s="116"/>
      <c r="AI320" s="116"/>
      <c r="AJ320" s="116"/>
      <c r="AK320" s="116"/>
      <c r="AL320" s="116"/>
    </row>
    <row r="321" ht="16.5" customHeight="1">
      <c r="A321" s="362"/>
      <c r="B321" s="362"/>
      <c r="C321" s="362"/>
      <c r="D321" s="362"/>
      <c r="E321" s="132"/>
      <c r="F321" s="131"/>
      <c r="G321" s="361"/>
      <c r="H321" s="363"/>
      <c r="I321" s="364"/>
      <c r="J321" s="361"/>
      <c r="K321" s="361"/>
      <c r="L321" s="361"/>
      <c r="M321" s="361"/>
      <c r="N321" s="361"/>
      <c r="O321" s="361"/>
      <c r="P321" s="361"/>
      <c r="Q321" s="361"/>
      <c r="R321" s="361"/>
      <c r="S321" s="361"/>
      <c r="T321" s="361"/>
      <c r="U321" s="361"/>
      <c r="V321" s="361"/>
      <c r="W321" s="361"/>
      <c r="X321" s="365"/>
      <c r="Y321" s="361"/>
      <c r="Z321" s="361"/>
      <c r="AA321" s="116"/>
      <c r="AB321" s="116"/>
      <c r="AC321" s="116"/>
      <c r="AD321" s="116"/>
      <c r="AE321" s="365"/>
      <c r="AF321" s="116"/>
      <c r="AG321" s="116"/>
      <c r="AH321" s="116"/>
      <c r="AI321" s="116"/>
      <c r="AJ321" s="116"/>
      <c r="AK321" s="116"/>
      <c r="AL321" s="116"/>
    </row>
    <row r="322" ht="16.5" customHeight="1">
      <c r="A322" s="362"/>
      <c r="B322" s="362"/>
      <c r="C322" s="362"/>
      <c r="D322" s="362"/>
      <c r="E322" s="132"/>
      <c r="F322" s="131"/>
      <c r="G322" s="361"/>
      <c r="H322" s="363"/>
      <c r="I322" s="364"/>
      <c r="J322" s="361"/>
      <c r="K322" s="361"/>
      <c r="L322" s="361"/>
      <c r="M322" s="361"/>
      <c r="N322" s="361"/>
      <c r="O322" s="361"/>
      <c r="P322" s="361"/>
      <c r="Q322" s="361"/>
      <c r="R322" s="361"/>
      <c r="S322" s="361"/>
      <c r="T322" s="361"/>
      <c r="U322" s="361"/>
      <c r="V322" s="361"/>
      <c r="W322" s="361"/>
      <c r="X322" s="365"/>
      <c r="Y322" s="361"/>
      <c r="Z322" s="361"/>
      <c r="AA322" s="116"/>
      <c r="AB322" s="116"/>
      <c r="AC322" s="116"/>
      <c r="AD322" s="116"/>
      <c r="AE322" s="365"/>
      <c r="AF322" s="116"/>
      <c r="AG322" s="116"/>
      <c r="AH322" s="116"/>
      <c r="AI322" s="116"/>
      <c r="AJ322" s="116"/>
      <c r="AK322" s="116"/>
      <c r="AL322" s="116"/>
    </row>
    <row r="323" ht="16.5" customHeight="1">
      <c r="A323" s="362"/>
      <c r="B323" s="362"/>
      <c r="C323" s="362"/>
      <c r="D323" s="362"/>
      <c r="E323" s="132"/>
      <c r="F323" s="131"/>
      <c r="G323" s="361"/>
      <c r="H323" s="363"/>
      <c r="I323" s="364"/>
      <c r="J323" s="361"/>
      <c r="K323" s="361"/>
      <c r="L323" s="361"/>
      <c r="M323" s="361"/>
      <c r="N323" s="361"/>
      <c r="O323" s="361"/>
      <c r="P323" s="361"/>
      <c r="Q323" s="361"/>
      <c r="R323" s="361"/>
      <c r="S323" s="361"/>
      <c r="T323" s="361"/>
      <c r="U323" s="361"/>
      <c r="V323" s="361"/>
      <c r="W323" s="361"/>
      <c r="X323" s="365"/>
      <c r="Y323" s="361"/>
      <c r="Z323" s="361"/>
      <c r="AA323" s="116"/>
      <c r="AB323" s="116"/>
      <c r="AC323" s="116"/>
      <c r="AD323" s="116"/>
      <c r="AE323" s="365"/>
      <c r="AF323" s="116"/>
      <c r="AG323" s="116"/>
      <c r="AH323" s="116"/>
      <c r="AI323" s="116"/>
      <c r="AJ323" s="116"/>
      <c r="AK323" s="116"/>
      <c r="AL323" s="116"/>
    </row>
    <row r="324" ht="16.5" customHeight="1">
      <c r="A324" s="362"/>
      <c r="B324" s="362"/>
      <c r="C324" s="362"/>
      <c r="D324" s="362"/>
      <c r="E324" s="132"/>
      <c r="F324" s="131"/>
      <c r="G324" s="361"/>
      <c r="H324" s="363"/>
      <c r="I324" s="364"/>
      <c r="J324" s="361"/>
      <c r="K324" s="361"/>
      <c r="L324" s="361"/>
      <c r="M324" s="361"/>
      <c r="N324" s="361"/>
      <c r="O324" s="361"/>
      <c r="P324" s="361"/>
      <c r="Q324" s="361"/>
      <c r="R324" s="361"/>
      <c r="S324" s="361"/>
      <c r="T324" s="361"/>
      <c r="U324" s="361"/>
      <c r="V324" s="361"/>
      <c r="W324" s="361"/>
      <c r="X324" s="365"/>
      <c r="Y324" s="361"/>
      <c r="Z324" s="361"/>
      <c r="AA324" s="116"/>
      <c r="AB324" s="116"/>
      <c r="AC324" s="116"/>
      <c r="AD324" s="116"/>
      <c r="AE324" s="365"/>
      <c r="AF324" s="116"/>
      <c r="AG324" s="116"/>
      <c r="AH324" s="116"/>
      <c r="AI324" s="116"/>
      <c r="AJ324" s="116"/>
      <c r="AK324" s="116"/>
      <c r="AL324" s="116"/>
    </row>
    <row r="325" ht="16.5" customHeight="1">
      <c r="A325" s="362"/>
      <c r="B325" s="362"/>
      <c r="C325" s="362"/>
      <c r="D325" s="362"/>
      <c r="E325" s="132"/>
      <c r="F325" s="131"/>
      <c r="G325" s="361"/>
      <c r="H325" s="363"/>
      <c r="I325" s="364"/>
      <c r="J325" s="361"/>
      <c r="K325" s="361"/>
      <c r="L325" s="361"/>
      <c r="M325" s="361"/>
      <c r="N325" s="361"/>
      <c r="O325" s="361"/>
      <c r="P325" s="361"/>
      <c r="Q325" s="361"/>
      <c r="R325" s="361"/>
      <c r="S325" s="361"/>
      <c r="T325" s="361"/>
      <c r="U325" s="361"/>
      <c r="V325" s="361"/>
      <c r="W325" s="361"/>
      <c r="X325" s="365"/>
      <c r="Y325" s="361"/>
      <c r="Z325" s="361"/>
      <c r="AA325" s="116"/>
      <c r="AB325" s="116"/>
      <c r="AC325" s="116"/>
      <c r="AD325" s="116"/>
      <c r="AE325" s="365"/>
      <c r="AF325" s="116"/>
      <c r="AG325" s="116"/>
      <c r="AH325" s="116"/>
      <c r="AI325" s="116"/>
      <c r="AJ325" s="116"/>
      <c r="AK325" s="116"/>
      <c r="AL325" s="116"/>
    </row>
    <row r="326" ht="16.5" customHeight="1">
      <c r="A326" s="362"/>
      <c r="B326" s="362"/>
      <c r="C326" s="362"/>
      <c r="D326" s="362"/>
      <c r="E326" s="132"/>
      <c r="F326" s="131"/>
      <c r="G326" s="361"/>
      <c r="H326" s="363"/>
      <c r="I326" s="364"/>
      <c r="J326" s="361"/>
      <c r="K326" s="361"/>
      <c r="L326" s="361"/>
      <c r="M326" s="361"/>
      <c r="N326" s="361"/>
      <c r="O326" s="361"/>
      <c r="P326" s="361"/>
      <c r="Q326" s="361"/>
      <c r="R326" s="361"/>
      <c r="S326" s="361"/>
      <c r="T326" s="361"/>
      <c r="U326" s="361"/>
      <c r="V326" s="361"/>
      <c r="W326" s="361"/>
      <c r="X326" s="365"/>
      <c r="Y326" s="361"/>
      <c r="Z326" s="361"/>
      <c r="AA326" s="116"/>
      <c r="AB326" s="116"/>
      <c r="AC326" s="116"/>
      <c r="AD326" s="116"/>
      <c r="AE326" s="365"/>
      <c r="AF326" s="116"/>
      <c r="AG326" s="116"/>
      <c r="AH326" s="116"/>
      <c r="AI326" s="116"/>
      <c r="AJ326" s="116"/>
      <c r="AK326" s="116"/>
      <c r="AL326" s="116"/>
    </row>
    <row r="327" ht="16.5" customHeight="1">
      <c r="A327" s="362"/>
      <c r="B327" s="362"/>
      <c r="C327" s="362"/>
      <c r="D327" s="362"/>
      <c r="E327" s="132"/>
      <c r="F327" s="131"/>
      <c r="G327" s="361"/>
      <c r="H327" s="363"/>
      <c r="I327" s="364"/>
      <c r="J327" s="361"/>
      <c r="K327" s="361"/>
      <c r="L327" s="361"/>
      <c r="M327" s="361"/>
      <c r="N327" s="361"/>
      <c r="O327" s="361"/>
      <c r="P327" s="361"/>
      <c r="Q327" s="361"/>
      <c r="R327" s="361"/>
      <c r="S327" s="361"/>
      <c r="T327" s="361"/>
      <c r="U327" s="361"/>
      <c r="V327" s="361"/>
      <c r="W327" s="361"/>
      <c r="X327" s="365"/>
      <c r="Y327" s="361"/>
      <c r="Z327" s="361"/>
      <c r="AA327" s="116"/>
      <c r="AB327" s="116"/>
      <c r="AC327" s="116"/>
      <c r="AD327" s="116"/>
      <c r="AE327" s="365"/>
      <c r="AF327" s="116"/>
      <c r="AG327" s="116"/>
      <c r="AH327" s="116"/>
      <c r="AI327" s="116"/>
      <c r="AJ327" s="116"/>
      <c r="AK327" s="116"/>
      <c r="AL327" s="116"/>
    </row>
    <row r="328" ht="16.5" customHeight="1">
      <c r="A328" s="362"/>
      <c r="B328" s="362"/>
      <c r="C328" s="362"/>
      <c r="D328" s="362"/>
      <c r="E328" s="132"/>
      <c r="F328" s="131"/>
      <c r="G328" s="361"/>
      <c r="H328" s="363"/>
      <c r="I328" s="364"/>
      <c r="J328" s="361"/>
      <c r="K328" s="361"/>
      <c r="L328" s="361"/>
      <c r="M328" s="361"/>
      <c r="N328" s="361"/>
      <c r="O328" s="361"/>
      <c r="P328" s="361"/>
      <c r="Q328" s="361"/>
      <c r="R328" s="361"/>
      <c r="S328" s="361"/>
      <c r="T328" s="361"/>
      <c r="U328" s="361"/>
      <c r="V328" s="361"/>
      <c r="W328" s="361"/>
      <c r="X328" s="365"/>
      <c r="Y328" s="361"/>
      <c r="Z328" s="361"/>
      <c r="AA328" s="116"/>
      <c r="AB328" s="116"/>
      <c r="AC328" s="116"/>
      <c r="AD328" s="116"/>
      <c r="AE328" s="365"/>
      <c r="AF328" s="116"/>
      <c r="AG328" s="116"/>
      <c r="AH328" s="116"/>
      <c r="AI328" s="116"/>
      <c r="AJ328" s="116"/>
      <c r="AK328" s="116"/>
      <c r="AL328" s="116"/>
    </row>
    <row r="329" ht="16.5" customHeight="1">
      <c r="A329" s="362"/>
      <c r="B329" s="362"/>
      <c r="C329" s="362"/>
      <c r="D329" s="362"/>
      <c r="E329" s="132"/>
      <c r="F329" s="131"/>
      <c r="G329" s="361"/>
      <c r="H329" s="363"/>
      <c r="I329" s="364"/>
      <c r="J329" s="361"/>
      <c r="K329" s="361"/>
      <c r="L329" s="361"/>
      <c r="M329" s="361"/>
      <c r="N329" s="361"/>
      <c r="O329" s="361"/>
      <c r="P329" s="361"/>
      <c r="Q329" s="361"/>
      <c r="R329" s="361"/>
      <c r="S329" s="361"/>
      <c r="T329" s="361"/>
      <c r="U329" s="361"/>
      <c r="V329" s="361"/>
      <c r="W329" s="361"/>
      <c r="X329" s="365"/>
      <c r="Y329" s="361"/>
      <c r="Z329" s="361"/>
      <c r="AA329" s="116"/>
      <c r="AB329" s="116"/>
      <c r="AC329" s="116"/>
      <c r="AD329" s="116"/>
      <c r="AE329" s="365"/>
      <c r="AF329" s="116"/>
      <c r="AG329" s="116"/>
      <c r="AH329" s="116"/>
      <c r="AI329" s="116"/>
      <c r="AJ329" s="116"/>
      <c r="AK329" s="116"/>
      <c r="AL329" s="116"/>
    </row>
    <row r="330" ht="16.5" customHeight="1">
      <c r="A330" s="362"/>
      <c r="B330" s="362"/>
      <c r="C330" s="362"/>
      <c r="D330" s="362"/>
      <c r="E330" s="132"/>
      <c r="F330" s="131"/>
      <c r="G330" s="361"/>
      <c r="H330" s="363"/>
      <c r="I330" s="364"/>
      <c r="J330" s="361"/>
      <c r="K330" s="361"/>
      <c r="L330" s="361"/>
      <c r="M330" s="361"/>
      <c r="N330" s="361"/>
      <c r="O330" s="361"/>
      <c r="P330" s="361"/>
      <c r="Q330" s="361"/>
      <c r="R330" s="361"/>
      <c r="S330" s="361"/>
      <c r="T330" s="361"/>
      <c r="U330" s="361"/>
      <c r="V330" s="361"/>
      <c r="W330" s="361"/>
      <c r="X330" s="365"/>
      <c r="Y330" s="361"/>
      <c r="Z330" s="361"/>
      <c r="AA330" s="116"/>
      <c r="AB330" s="116"/>
      <c r="AC330" s="116"/>
      <c r="AD330" s="116"/>
      <c r="AE330" s="365"/>
      <c r="AF330" s="116"/>
      <c r="AG330" s="116"/>
      <c r="AH330" s="116"/>
      <c r="AI330" s="116"/>
      <c r="AJ330" s="116"/>
      <c r="AK330" s="116"/>
      <c r="AL330" s="116"/>
    </row>
    <row r="331" ht="16.5" customHeight="1">
      <c r="A331" s="362"/>
      <c r="B331" s="362"/>
      <c r="C331" s="362"/>
      <c r="D331" s="362"/>
      <c r="E331" s="132"/>
      <c r="F331" s="131"/>
      <c r="G331" s="361"/>
      <c r="H331" s="363"/>
      <c r="I331" s="364"/>
      <c r="J331" s="361"/>
      <c r="K331" s="361"/>
      <c r="L331" s="361"/>
      <c r="M331" s="361"/>
      <c r="N331" s="361"/>
      <c r="O331" s="361"/>
      <c r="P331" s="361"/>
      <c r="Q331" s="361"/>
      <c r="R331" s="361"/>
      <c r="S331" s="361"/>
      <c r="T331" s="361"/>
      <c r="U331" s="361"/>
      <c r="V331" s="361"/>
      <c r="W331" s="361"/>
      <c r="X331" s="365"/>
      <c r="Y331" s="361"/>
      <c r="Z331" s="361"/>
      <c r="AA331" s="116"/>
      <c r="AB331" s="116"/>
      <c r="AC331" s="116"/>
      <c r="AD331" s="116"/>
      <c r="AE331" s="365"/>
      <c r="AF331" s="116"/>
      <c r="AG331" s="116"/>
      <c r="AH331" s="116"/>
      <c r="AI331" s="116"/>
      <c r="AJ331" s="116"/>
      <c r="AK331" s="116"/>
      <c r="AL331" s="116"/>
    </row>
    <row r="332" ht="16.5" customHeight="1">
      <c r="A332" s="362"/>
      <c r="B332" s="362"/>
      <c r="C332" s="362"/>
      <c r="D332" s="362"/>
      <c r="E332" s="132"/>
      <c r="F332" s="131"/>
      <c r="G332" s="361"/>
      <c r="H332" s="363"/>
      <c r="I332" s="364"/>
      <c r="J332" s="361"/>
      <c r="K332" s="361"/>
      <c r="L332" s="361"/>
      <c r="M332" s="361"/>
      <c r="N332" s="361"/>
      <c r="O332" s="361"/>
      <c r="P332" s="361"/>
      <c r="Q332" s="361"/>
      <c r="R332" s="361"/>
      <c r="S332" s="361"/>
      <c r="T332" s="361"/>
      <c r="U332" s="361"/>
      <c r="V332" s="361"/>
      <c r="W332" s="361"/>
      <c r="X332" s="365"/>
      <c r="Y332" s="361"/>
      <c r="Z332" s="361"/>
      <c r="AA332" s="116"/>
      <c r="AB332" s="116"/>
      <c r="AC332" s="116"/>
      <c r="AD332" s="116"/>
      <c r="AE332" s="365"/>
      <c r="AF332" s="116"/>
      <c r="AG332" s="116"/>
      <c r="AH332" s="116"/>
      <c r="AI332" s="116"/>
      <c r="AJ332" s="116"/>
      <c r="AK332" s="116"/>
      <c r="AL332" s="116"/>
    </row>
    <row r="333" ht="16.5" customHeight="1">
      <c r="A333" s="362"/>
      <c r="B333" s="362"/>
      <c r="C333" s="362"/>
      <c r="D333" s="362"/>
      <c r="E333" s="132"/>
      <c r="F333" s="131"/>
      <c r="G333" s="361"/>
      <c r="H333" s="363"/>
      <c r="I333" s="364"/>
      <c r="J333" s="361"/>
      <c r="K333" s="361"/>
      <c r="L333" s="361"/>
      <c r="M333" s="361"/>
      <c r="N333" s="361"/>
      <c r="O333" s="361"/>
      <c r="P333" s="361"/>
      <c r="Q333" s="361"/>
      <c r="R333" s="361"/>
      <c r="S333" s="361"/>
      <c r="T333" s="361"/>
      <c r="U333" s="361"/>
      <c r="V333" s="361"/>
      <c r="W333" s="361"/>
      <c r="X333" s="365"/>
      <c r="Y333" s="361"/>
      <c r="Z333" s="361"/>
      <c r="AA333" s="116"/>
      <c r="AB333" s="116"/>
      <c r="AC333" s="116"/>
      <c r="AD333" s="116"/>
      <c r="AE333" s="365"/>
      <c r="AF333" s="116"/>
      <c r="AG333" s="116"/>
      <c r="AH333" s="116"/>
      <c r="AI333" s="116"/>
      <c r="AJ333" s="116"/>
      <c r="AK333" s="116"/>
      <c r="AL333" s="116"/>
    </row>
    <row r="334" ht="16.5" customHeight="1">
      <c r="A334" s="362"/>
      <c r="B334" s="362"/>
      <c r="C334" s="362"/>
      <c r="D334" s="362"/>
      <c r="E334" s="132"/>
      <c r="F334" s="131"/>
      <c r="G334" s="361"/>
      <c r="H334" s="363"/>
      <c r="I334" s="364"/>
      <c r="J334" s="361"/>
      <c r="K334" s="361"/>
      <c r="L334" s="361"/>
      <c r="M334" s="361"/>
      <c r="N334" s="361"/>
      <c r="O334" s="361"/>
      <c r="P334" s="361"/>
      <c r="Q334" s="361"/>
      <c r="R334" s="361"/>
      <c r="S334" s="361"/>
      <c r="T334" s="361"/>
      <c r="U334" s="361"/>
      <c r="V334" s="361"/>
      <c r="W334" s="361"/>
      <c r="X334" s="365"/>
      <c r="Y334" s="361"/>
      <c r="Z334" s="361"/>
      <c r="AA334" s="116"/>
      <c r="AB334" s="116"/>
      <c r="AC334" s="116"/>
      <c r="AD334" s="116"/>
      <c r="AE334" s="365"/>
      <c r="AF334" s="116"/>
      <c r="AG334" s="116"/>
      <c r="AH334" s="116"/>
      <c r="AI334" s="116"/>
      <c r="AJ334" s="116"/>
      <c r="AK334" s="116"/>
      <c r="AL334" s="116"/>
    </row>
    <row r="335" ht="16.5" customHeight="1">
      <c r="A335" s="362"/>
      <c r="B335" s="362"/>
      <c r="C335" s="362"/>
      <c r="D335" s="362"/>
      <c r="E335" s="132"/>
      <c r="F335" s="131"/>
      <c r="G335" s="361"/>
      <c r="H335" s="363"/>
      <c r="I335" s="364"/>
      <c r="J335" s="361"/>
      <c r="K335" s="361"/>
      <c r="L335" s="361"/>
      <c r="M335" s="361"/>
      <c r="N335" s="361"/>
      <c r="O335" s="361"/>
      <c r="P335" s="361"/>
      <c r="Q335" s="361"/>
      <c r="R335" s="361"/>
      <c r="S335" s="361"/>
      <c r="T335" s="361"/>
      <c r="U335" s="361"/>
      <c r="V335" s="361"/>
      <c r="W335" s="361"/>
      <c r="X335" s="365"/>
      <c r="Y335" s="361"/>
      <c r="Z335" s="361"/>
      <c r="AA335" s="116"/>
      <c r="AB335" s="116"/>
      <c r="AC335" s="116"/>
      <c r="AD335" s="116"/>
      <c r="AE335" s="365"/>
      <c r="AF335" s="116"/>
      <c r="AG335" s="116"/>
      <c r="AH335" s="116"/>
      <c r="AI335" s="116"/>
      <c r="AJ335" s="116"/>
      <c r="AK335" s="116"/>
      <c r="AL335" s="116"/>
    </row>
    <row r="336" ht="16.5" customHeight="1">
      <c r="A336" s="362"/>
      <c r="B336" s="362"/>
      <c r="C336" s="362"/>
      <c r="D336" s="362"/>
      <c r="E336" s="132"/>
      <c r="F336" s="131"/>
      <c r="G336" s="361"/>
      <c r="H336" s="363"/>
      <c r="I336" s="364"/>
      <c r="J336" s="361"/>
      <c r="K336" s="361"/>
      <c r="L336" s="361"/>
      <c r="M336" s="361"/>
      <c r="N336" s="361"/>
      <c r="O336" s="361"/>
      <c r="P336" s="361"/>
      <c r="Q336" s="361"/>
      <c r="R336" s="361"/>
      <c r="S336" s="361"/>
      <c r="T336" s="361"/>
      <c r="U336" s="361"/>
      <c r="V336" s="361"/>
      <c r="W336" s="361"/>
      <c r="X336" s="365"/>
      <c r="Y336" s="361"/>
      <c r="Z336" s="361"/>
      <c r="AA336" s="116"/>
      <c r="AB336" s="116"/>
      <c r="AC336" s="116"/>
      <c r="AD336" s="116"/>
      <c r="AE336" s="365"/>
      <c r="AF336" s="116"/>
      <c r="AG336" s="116"/>
      <c r="AH336" s="116"/>
      <c r="AI336" s="116"/>
      <c r="AJ336" s="116"/>
      <c r="AK336" s="116"/>
      <c r="AL336" s="116"/>
    </row>
    <row r="337" ht="16.5" customHeight="1">
      <c r="A337" s="362"/>
      <c r="B337" s="362"/>
      <c r="C337" s="362"/>
      <c r="D337" s="362"/>
      <c r="E337" s="132"/>
      <c r="F337" s="131"/>
      <c r="G337" s="361"/>
      <c r="H337" s="363"/>
      <c r="I337" s="364"/>
      <c r="J337" s="361"/>
      <c r="K337" s="361"/>
      <c r="L337" s="361"/>
      <c r="M337" s="361"/>
      <c r="N337" s="361"/>
      <c r="O337" s="361"/>
      <c r="P337" s="361"/>
      <c r="Q337" s="361"/>
      <c r="R337" s="361"/>
      <c r="S337" s="361"/>
      <c r="T337" s="361"/>
      <c r="U337" s="361"/>
      <c r="V337" s="361"/>
      <c r="W337" s="361"/>
      <c r="X337" s="365"/>
      <c r="Y337" s="361"/>
      <c r="Z337" s="361"/>
      <c r="AA337" s="116"/>
      <c r="AB337" s="116"/>
      <c r="AC337" s="116"/>
      <c r="AD337" s="116"/>
      <c r="AE337" s="365"/>
      <c r="AF337" s="116"/>
      <c r="AG337" s="116"/>
      <c r="AH337" s="116"/>
      <c r="AI337" s="116"/>
      <c r="AJ337" s="116"/>
      <c r="AK337" s="116"/>
      <c r="AL337" s="116"/>
    </row>
    <row r="338" ht="16.5" customHeight="1">
      <c r="A338" s="362"/>
      <c r="B338" s="362"/>
      <c r="C338" s="362"/>
      <c r="D338" s="362"/>
      <c r="E338" s="132"/>
      <c r="F338" s="131"/>
      <c r="G338" s="361"/>
      <c r="H338" s="363"/>
      <c r="I338" s="364"/>
      <c r="J338" s="361"/>
      <c r="K338" s="361"/>
      <c r="L338" s="361"/>
      <c r="M338" s="361"/>
      <c r="N338" s="361"/>
      <c r="O338" s="361"/>
      <c r="P338" s="361"/>
      <c r="Q338" s="361"/>
      <c r="R338" s="361"/>
      <c r="S338" s="361"/>
      <c r="T338" s="361"/>
      <c r="U338" s="361"/>
      <c r="V338" s="361"/>
      <c r="W338" s="361"/>
      <c r="X338" s="365"/>
      <c r="Y338" s="361"/>
      <c r="Z338" s="361"/>
      <c r="AA338" s="116"/>
      <c r="AB338" s="116"/>
      <c r="AC338" s="116"/>
      <c r="AD338" s="116"/>
      <c r="AE338" s="365"/>
      <c r="AF338" s="116"/>
      <c r="AG338" s="116"/>
      <c r="AH338" s="116"/>
      <c r="AI338" s="116"/>
      <c r="AJ338" s="116"/>
      <c r="AK338" s="116"/>
      <c r="AL338" s="116"/>
    </row>
    <row r="339" ht="16.5" customHeight="1">
      <c r="A339" s="362"/>
      <c r="B339" s="362"/>
      <c r="C339" s="362"/>
      <c r="D339" s="362"/>
      <c r="E339" s="132"/>
      <c r="F339" s="131"/>
      <c r="G339" s="361"/>
      <c r="H339" s="363"/>
      <c r="I339" s="364"/>
      <c r="J339" s="361"/>
      <c r="K339" s="361"/>
      <c r="L339" s="361"/>
      <c r="M339" s="361"/>
      <c r="N339" s="361"/>
      <c r="O339" s="361"/>
      <c r="P339" s="361"/>
      <c r="Q339" s="361"/>
      <c r="R339" s="361"/>
      <c r="S339" s="361"/>
      <c r="T339" s="361"/>
      <c r="U339" s="361"/>
      <c r="V339" s="361"/>
      <c r="W339" s="361"/>
      <c r="X339" s="365"/>
      <c r="Y339" s="361"/>
      <c r="Z339" s="361"/>
      <c r="AA339" s="116"/>
      <c r="AB339" s="116"/>
      <c r="AC339" s="116"/>
      <c r="AD339" s="116"/>
      <c r="AE339" s="365"/>
      <c r="AF339" s="116"/>
      <c r="AG339" s="116"/>
      <c r="AH339" s="116"/>
      <c r="AI339" s="116"/>
      <c r="AJ339" s="116"/>
      <c r="AK339" s="116"/>
      <c r="AL339" s="116"/>
    </row>
    <row r="340" ht="16.5" customHeight="1">
      <c r="A340" s="362"/>
      <c r="B340" s="362"/>
      <c r="C340" s="362"/>
      <c r="D340" s="362"/>
      <c r="E340" s="132"/>
      <c r="F340" s="131"/>
      <c r="G340" s="361"/>
      <c r="H340" s="363"/>
      <c r="I340" s="364"/>
      <c r="J340" s="361"/>
      <c r="K340" s="361"/>
      <c r="L340" s="361"/>
      <c r="M340" s="361"/>
      <c r="N340" s="361"/>
      <c r="O340" s="361"/>
      <c r="P340" s="361"/>
      <c r="Q340" s="361"/>
      <c r="R340" s="361"/>
      <c r="S340" s="361"/>
      <c r="T340" s="361"/>
      <c r="U340" s="361"/>
      <c r="V340" s="361"/>
      <c r="W340" s="361"/>
      <c r="X340" s="365"/>
      <c r="Y340" s="361"/>
      <c r="Z340" s="361"/>
      <c r="AA340" s="116"/>
      <c r="AB340" s="116"/>
      <c r="AC340" s="116"/>
      <c r="AD340" s="116"/>
      <c r="AE340" s="365"/>
      <c r="AF340" s="116"/>
      <c r="AG340" s="116"/>
      <c r="AH340" s="116"/>
      <c r="AI340" s="116"/>
      <c r="AJ340" s="116"/>
      <c r="AK340" s="116"/>
      <c r="AL340" s="116"/>
    </row>
    <row r="341" ht="16.5" customHeight="1">
      <c r="A341" s="362"/>
      <c r="B341" s="362"/>
      <c r="C341" s="362"/>
      <c r="D341" s="362"/>
      <c r="E341" s="132"/>
      <c r="F341" s="131"/>
      <c r="G341" s="361"/>
      <c r="H341" s="363"/>
      <c r="I341" s="364"/>
      <c r="J341" s="361"/>
      <c r="K341" s="361"/>
      <c r="L341" s="361"/>
      <c r="M341" s="361"/>
      <c r="N341" s="361"/>
      <c r="O341" s="361"/>
      <c r="P341" s="361"/>
      <c r="Q341" s="361"/>
      <c r="R341" s="361"/>
      <c r="S341" s="361"/>
      <c r="T341" s="361"/>
      <c r="U341" s="361"/>
      <c r="V341" s="361"/>
      <c r="W341" s="361"/>
      <c r="X341" s="365"/>
      <c r="Y341" s="361"/>
      <c r="Z341" s="361"/>
      <c r="AA341" s="116"/>
      <c r="AB341" s="116"/>
      <c r="AC341" s="116"/>
      <c r="AD341" s="116"/>
      <c r="AE341" s="365"/>
      <c r="AF341" s="116"/>
      <c r="AG341" s="116"/>
      <c r="AH341" s="116"/>
      <c r="AI341" s="116"/>
      <c r="AJ341" s="116"/>
      <c r="AK341" s="116"/>
      <c r="AL341" s="116"/>
    </row>
    <row r="342" ht="16.5" customHeight="1">
      <c r="A342" s="362"/>
      <c r="B342" s="362"/>
      <c r="C342" s="362"/>
      <c r="D342" s="362"/>
      <c r="E342" s="132"/>
      <c r="F342" s="131"/>
      <c r="G342" s="361"/>
      <c r="H342" s="363"/>
      <c r="I342" s="364"/>
      <c r="J342" s="361"/>
      <c r="K342" s="361"/>
      <c r="L342" s="361"/>
      <c r="M342" s="361"/>
      <c r="N342" s="361"/>
      <c r="O342" s="361"/>
      <c r="P342" s="361"/>
      <c r="Q342" s="361"/>
      <c r="R342" s="361"/>
      <c r="S342" s="361"/>
      <c r="T342" s="361"/>
      <c r="U342" s="361"/>
      <c r="V342" s="361"/>
      <c r="W342" s="361"/>
      <c r="X342" s="365"/>
      <c r="Y342" s="361"/>
      <c r="Z342" s="361"/>
      <c r="AA342" s="116"/>
      <c r="AB342" s="116"/>
      <c r="AC342" s="116"/>
      <c r="AD342" s="116"/>
      <c r="AE342" s="365"/>
      <c r="AF342" s="116"/>
      <c r="AG342" s="116"/>
      <c r="AH342" s="116"/>
      <c r="AI342" s="116"/>
      <c r="AJ342" s="116"/>
      <c r="AK342" s="116"/>
      <c r="AL342" s="116"/>
    </row>
    <row r="343" ht="16.5" customHeight="1">
      <c r="A343" s="362"/>
      <c r="B343" s="362"/>
      <c r="C343" s="362"/>
      <c r="D343" s="362"/>
      <c r="E343" s="132"/>
      <c r="F343" s="131"/>
      <c r="G343" s="361"/>
      <c r="H343" s="363"/>
      <c r="I343" s="364"/>
      <c r="J343" s="361"/>
      <c r="K343" s="361"/>
      <c r="L343" s="361"/>
      <c r="M343" s="361"/>
      <c r="N343" s="361"/>
      <c r="O343" s="361"/>
      <c r="P343" s="361"/>
      <c r="Q343" s="361"/>
      <c r="R343" s="361"/>
      <c r="S343" s="361"/>
      <c r="T343" s="361"/>
      <c r="U343" s="361"/>
      <c r="V343" s="361"/>
      <c r="W343" s="361"/>
      <c r="X343" s="365"/>
      <c r="Y343" s="361"/>
      <c r="Z343" s="361"/>
      <c r="AA343" s="116"/>
      <c r="AB343" s="116"/>
      <c r="AC343" s="116"/>
      <c r="AD343" s="116"/>
      <c r="AE343" s="365"/>
      <c r="AF343" s="116"/>
      <c r="AG343" s="116"/>
      <c r="AH343" s="116"/>
      <c r="AI343" s="116"/>
      <c r="AJ343" s="116"/>
      <c r="AK343" s="116"/>
      <c r="AL343" s="116"/>
    </row>
    <row r="344" ht="16.5" customHeight="1">
      <c r="A344" s="362"/>
      <c r="B344" s="362"/>
      <c r="C344" s="362"/>
      <c r="D344" s="362"/>
      <c r="E344" s="132"/>
      <c r="F344" s="131"/>
      <c r="G344" s="361"/>
      <c r="H344" s="363"/>
      <c r="I344" s="364"/>
      <c r="J344" s="361"/>
      <c r="K344" s="361"/>
      <c r="L344" s="361"/>
      <c r="M344" s="361"/>
      <c r="N344" s="361"/>
      <c r="O344" s="361"/>
      <c r="P344" s="361"/>
      <c r="Q344" s="361"/>
      <c r="R344" s="361"/>
      <c r="S344" s="361"/>
      <c r="T344" s="361"/>
      <c r="U344" s="361"/>
      <c r="V344" s="361"/>
      <c r="W344" s="361"/>
      <c r="X344" s="365"/>
      <c r="Y344" s="361"/>
      <c r="Z344" s="361"/>
      <c r="AA344" s="116"/>
      <c r="AB344" s="116"/>
      <c r="AC344" s="116"/>
      <c r="AD344" s="116"/>
      <c r="AE344" s="365"/>
      <c r="AF344" s="116"/>
      <c r="AG344" s="116"/>
      <c r="AH344" s="116"/>
      <c r="AI344" s="116"/>
      <c r="AJ344" s="116"/>
      <c r="AK344" s="116"/>
      <c r="AL344" s="116"/>
    </row>
    <row r="345" ht="16.5" customHeight="1">
      <c r="A345" s="362"/>
      <c r="B345" s="362"/>
      <c r="C345" s="362"/>
      <c r="D345" s="362"/>
      <c r="E345" s="132"/>
      <c r="F345" s="131"/>
      <c r="G345" s="361"/>
      <c r="H345" s="363"/>
      <c r="I345" s="364"/>
      <c r="J345" s="361"/>
      <c r="K345" s="361"/>
      <c r="L345" s="361"/>
      <c r="M345" s="361"/>
      <c r="N345" s="361"/>
      <c r="O345" s="361"/>
      <c r="P345" s="361"/>
      <c r="Q345" s="361"/>
      <c r="R345" s="361"/>
      <c r="S345" s="361"/>
      <c r="T345" s="361"/>
      <c r="U345" s="361"/>
      <c r="V345" s="361"/>
      <c r="W345" s="361"/>
      <c r="X345" s="365"/>
      <c r="Y345" s="361"/>
      <c r="Z345" s="361"/>
      <c r="AA345" s="116"/>
      <c r="AB345" s="116"/>
      <c r="AC345" s="116"/>
      <c r="AD345" s="116"/>
      <c r="AE345" s="365"/>
      <c r="AF345" s="116"/>
      <c r="AG345" s="116"/>
      <c r="AH345" s="116"/>
      <c r="AI345" s="116"/>
      <c r="AJ345" s="116"/>
      <c r="AK345" s="116"/>
      <c r="AL345" s="116"/>
    </row>
    <row r="346" ht="16.5" customHeight="1">
      <c r="A346" s="362"/>
      <c r="B346" s="362"/>
      <c r="C346" s="362"/>
      <c r="D346" s="362"/>
      <c r="E346" s="132"/>
      <c r="F346" s="131"/>
      <c r="G346" s="361"/>
      <c r="H346" s="363"/>
      <c r="I346" s="364"/>
      <c r="J346" s="361"/>
      <c r="K346" s="361"/>
      <c r="L346" s="361"/>
      <c r="M346" s="361"/>
      <c r="N346" s="361"/>
      <c r="O346" s="361"/>
      <c r="P346" s="361"/>
      <c r="Q346" s="361"/>
      <c r="R346" s="361"/>
      <c r="S346" s="361"/>
      <c r="T346" s="361"/>
      <c r="U346" s="361"/>
      <c r="V346" s="361"/>
      <c r="W346" s="361"/>
      <c r="X346" s="365"/>
      <c r="Y346" s="361"/>
      <c r="Z346" s="361"/>
      <c r="AA346" s="116"/>
      <c r="AB346" s="116"/>
      <c r="AC346" s="116"/>
      <c r="AD346" s="116"/>
      <c r="AE346" s="365"/>
      <c r="AF346" s="116"/>
      <c r="AG346" s="116"/>
      <c r="AH346" s="116"/>
      <c r="AI346" s="116"/>
      <c r="AJ346" s="116"/>
      <c r="AK346" s="116"/>
      <c r="AL346" s="116"/>
    </row>
    <row r="347" ht="16.5" customHeight="1">
      <c r="A347" s="362"/>
      <c r="B347" s="362"/>
      <c r="C347" s="362"/>
      <c r="D347" s="362"/>
      <c r="E347" s="132"/>
      <c r="F347" s="131"/>
      <c r="G347" s="361"/>
      <c r="H347" s="363"/>
      <c r="I347" s="364"/>
      <c r="J347" s="361"/>
      <c r="K347" s="361"/>
      <c r="L347" s="361"/>
      <c r="M347" s="361"/>
      <c r="N347" s="361"/>
      <c r="O347" s="361"/>
      <c r="P347" s="361"/>
      <c r="Q347" s="361"/>
      <c r="R347" s="361"/>
      <c r="S347" s="361"/>
      <c r="T347" s="361"/>
      <c r="U347" s="361"/>
      <c r="V347" s="361"/>
      <c r="W347" s="361"/>
      <c r="X347" s="365"/>
      <c r="Y347" s="361"/>
      <c r="Z347" s="361"/>
      <c r="AA347" s="116"/>
      <c r="AB347" s="116"/>
      <c r="AC347" s="116"/>
      <c r="AD347" s="116"/>
      <c r="AE347" s="365"/>
      <c r="AF347" s="116"/>
      <c r="AG347" s="116"/>
      <c r="AH347" s="116"/>
      <c r="AI347" s="116"/>
      <c r="AJ347" s="116"/>
      <c r="AK347" s="116"/>
      <c r="AL347" s="116"/>
    </row>
    <row r="348" ht="16.5" customHeight="1">
      <c r="A348" s="362"/>
      <c r="B348" s="362"/>
      <c r="C348" s="362"/>
      <c r="D348" s="362"/>
      <c r="E348" s="132"/>
      <c r="F348" s="131"/>
      <c r="G348" s="361"/>
      <c r="H348" s="363"/>
      <c r="I348" s="364"/>
      <c r="J348" s="361"/>
      <c r="K348" s="361"/>
      <c r="L348" s="361"/>
      <c r="M348" s="361"/>
      <c r="N348" s="361"/>
      <c r="O348" s="361"/>
      <c r="P348" s="361"/>
      <c r="Q348" s="361"/>
      <c r="R348" s="361"/>
      <c r="S348" s="361"/>
      <c r="T348" s="361"/>
      <c r="U348" s="361"/>
      <c r="V348" s="361"/>
      <c r="W348" s="361"/>
      <c r="X348" s="365"/>
      <c r="Y348" s="361"/>
      <c r="Z348" s="361"/>
      <c r="AA348" s="116"/>
      <c r="AB348" s="116"/>
      <c r="AC348" s="116"/>
      <c r="AD348" s="116"/>
      <c r="AE348" s="365"/>
      <c r="AF348" s="116"/>
      <c r="AG348" s="116"/>
      <c r="AH348" s="116"/>
      <c r="AI348" s="116"/>
      <c r="AJ348" s="116"/>
      <c r="AK348" s="116"/>
      <c r="AL348" s="116"/>
    </row>
    <row r="349" ht="16.5" customHeight="1">
      <c r="A349" s="362"/>
      <c r="B349" s="362"/>
      <c r="C349" s="362"/>
      <c r="D349" s="362"/>
      <c r="E349" s="132"/>
      <c r="F349" s="131"/>
      <c r="G349" s="361"/>
      <c r="H349" s="363"/>
      <c r="I349" s="364"/>
      <c r="J349" s="361"/>
      <c r="K349" s="361"/>
      <c r="L349" s="361"/>
      <c r="M349" s="361"/>
      <c r="N349" s="361"/>
      <c r="O349" s="361"/>
      <c r="P349" s="361"/>
      <c r="Q349" s="361"/>
      <c r="R349" s="361"/>
      <c r="S349" s="361"/>
      <c r="T349" s="361"/>
      <c r="U349" s="361"/>
      <c r="V349" s="361"/>
      <c r="W349" s="361"/>
      <c r="X349" s="365"/>
      <c r="Y349" s="361"/>
      <c r="Z349" s="361"/>
      <c r="AA349" s="116"/>
      <c r="AB349" s="116"/>
      <c r="AC349" s="116"/>
      <c r="AD349" s="116"/>
      <c r="AE349" s="365"/>
      <c r="AF349" s="116"/>
      <c r="AG349" s="116"/>
      <c r="AH349" s="116"/>
      <c r="AI349" s="116"/>
      <c r="AJ349" s="116"/>
      <c r="AK349" s="116"/>
      <c r="AL349" s="116"/>
    </row>
    <row r="350" ht="16.5" customHeight="1">
      <c r="A350" s="362"/>
      <c r="B350" s="362"/>
      <c r="C350" s="362"/>
      <c r="D350" s="362"/>
      <c r="E350" s="132"/>
      <c r="F350" s="131"/>
      <c r="G350" s="361"/>
      <c r="H350" s="363"/>
      <c r="I350" s="364"/>
      <c r="J350" s="361"/>
      <c r="K350" s="361"/>
      <c r="L350" s="361"/>
      <c r="M350" s="361"/>
      <c r="N350" s="361"/>
      <c r="O350" s="361"/>
      <c r="P350" s="361"/>
      <c r="Q350" s="361"/>
      <c r="R350" s="361"/>
      <c r="S350" s="361"/>
      <c r="T350" s="361"/>
      <c r="U350" s="361"/>
      <c r="V350" s="361"/>
      <c r="W350" s="361"/>
      <c r="X350" s="365"/>
      <c r="Y350" s="361"/>
      <c r="Z350" s="361"/>
      <c r="AA350" s="116"/>
      <c r="AB350" s="116"/>
      <c r="AC350" s="116"/>
      <c r="AD350" s="116"/>
      <c r="AE350" s="365"/>
      <c r="AF350" s="116"/>
      <c r="AG350" s="116"/>
      <c r="AH350" s="116"/>
      <c r="AI350" s="116"/>
      <c r="AJ350" s="116"/>
      <c r="AK350" s="116"/>
      <c r="AL350" s="116"/>
    </row>
    <row r="351" ht="16.5" customHeight="1">
      <c r="A351" s="362"/>
      <c r="B351" s="362"/>
      <c r="C351" s="362"/>
      <c r="D351" s="362"/>
      <c r="E351" s="132"/>
      <c r="F351" s="131"/>
      <c r="G351" s="361"/>
      <c r="H351" s="363"/>
      <c r="I351" s="364"/>
      <c r="J351" s="361"/>
      <c r="K351" s="361"/>
      <c r="L351" s="361"/>
      <c r="M351" s="361"/>
      <c r="N351" s="361"/>
      <c r="O351" s="361"/>
      <c r="P351" s="361"/>
      <c r="Q351" s="361"/>
      <c r="R351" s="361"/>
      <c r="S351" s="361"/>
      <c r="T351" s="361"/>
      <c r="U351" s="361"/>
      <c r="V351" s="361"/>
      <c r="W351" s="361"/>
      <c r="X351" s="365"/>
      <c r="Y351" s="361"/>
      <c r="Z351" s="361"/>
      <c r="AA351" s="116"/>
      <c r="AB351" s="116"/>
      <c r="AC351" s="116"/>
      <c r="AD351" s="116"/>
      <c r="AE351" s="365"/>
      <c r="AF351" s="116"/>
      <c r="AG351" s="116"/>
      <c r="AH351" s="116"/>
      <c r="AI351" s="116"/>
      <c r="AJ351" s="116"/>
      <c r="AK351" s="116"/>
      <c r="AL351" s="116"/>
    </row>
    <row r="352" ht="16.5" customHeight="1">
      <c r="A352" s="362"/>
      <c r="B352" s="362"/>
      <c r="C352" s="362"/>
      <c r="D352" s="362"/>
      <c r="E352" s="132"/>
      <c r="F352" s="131"/>
      <c r="G352" s="361"/>
      <c r="H352" s="363"/>
      <c r="I352" s="364"/>
      <c r="J352" s="361"/>
      <c r="K352" s="361"/>
      <c r="L352" s="361"/>
      <c r="M352" s="361"/>
      <c r="N352" s="361"/>
      <c r="O352" s="361"/>
      <c r="P352" s="361"/>
      <c r="Q352" s="361"/>
      <c r="R352" s="361"/>
      <c r="S352" s="361"/>
      <c r="T352" s="361"/>
      <c r="U352" s="361"/>
      <c r="V352" s="361"/>
      <c r="W352" s="361"/>
      <c r="X352" s="365"/>
      <c r="Y352" s="361"/>
      <c r="Z352" s="361"/>
      <c r="AA352" s="116"/>
      <c r="AB352" s="116"/>
      <c r="AC352" s="116"/>
      <c r="AD352" s="116"/>
      <c r="AE352" s="365"/>
      <c r="AF352" s="116"/>
      <c r="AG352" s="116"/>
      <c r="AH352" s="116"/>
      <c r="AI352" s="116"/>
      <c r="AJ352" s="116"/>
      <c r="AK352" s="116"/>
      <c r="AL352" s="116"/>
    </row>
    <row r="353" ht="16.5" customHeight="1">
      <c r="A353" s="362"/>
      <c r="B353" s="362"/>
      <c r="C353" s="362"/>
      <c r="D353" s="362"/>
      <c r="E353" s="132"/>
      <c r="F353" s="131"/>
      <c r="G353" s="361"/>
      <c r="H353" s="363"/>
      <c r="I353" s="364"/>
      <c r="J353" s="361"/>
      <c r="K353" s="361"/>
      <c r="L353" s="361"/>
      <c r="M353" s="361"/>
      <c r="N353" s="361"/>
      <c r="O353" s="361"/>
      <c r="P353" s="361"/>
      <c r="Q353" s="361"/>
      <c r="R353" s="361"/>
      <c r="S353" s="361"/>
      <c r="T353" s="361"/>
      <c r="U353" s="361"/>
      <c r="V353" s="361"/>
      <c r="W353" s="361"/>
      <c r="X353" s="365"/>
      <c r="Y353" s="361"/>
      <c r="Z353" s="361"/>
      <c r="AA353" s="116"/>
      <c r="AB353" s="116"/>
      <c r="AC353" s="116"/>
      <c r="AD353" s="116"/>
      <c r="AE353" s="365"/>
      <c r="AF353" s="116"/>
      <c r="AG353" s="116"/>
      <c r="AH353" s="116"/>
      <c r="AI353" s="116"/>
      <c r="AJ353" s="116"/>
      <c r="AK353" s="116"/>
      <c r="AL353" s="116"/>
    </row>
    <row r="354" ht="16.5" customHeight="1">
      <c r="A354" s="362"/>
      <c r="B354" s="362"/>
      <c r="C354" s="362"/>
      <c r="D354" s="362"/>
      <c r="E354" s="132"/>
      <c r="F354" s="131"/>
      <c r="G354" s="361"/>
      <c r="H354" s="363"/>
      <c r="I354" s="364"/>
      <c r="J354" s="361"/>
      <c r="K354" s="361"/>
      <c r="L354" s="361"/>
      <c r="M354" s="361"/>
      <c r="N354" s="361"/>
      <c r="O354" s="361"/>
      <c r="P354" s="361"/>
      <c r="Q354" s="361"/>
      <c r="R354" s="361"/>
      <c r="S354" s="361"/>
      <c r="T354" s="361"/>
      <c r="U354" s="361"/>
      <c r="V354" s="361"/>
      <c r="W354" s="361"/>
      <c r="X354" s="365"/>
      <c r="Y354" s="361"/>
      <c r="Z354" s="361"/>
      <c r="AA354" s="116"/>
      <c r="AB354" s="116"/>
      <c r="AC354" s="116"/>
      <c r="AD354" s="116"/>
      <c r="AE354" s="365"/>
      <c r="AF354" s="116"/>
      <c r="AG354" s="116"/>
      <c r="AH354" s="116"/>
      <c r="AI354" s="116"/>
      <c r="AJ354" s="116"/>
      <c r="AK354" s="116"/>
      <c r="AL354" s="116"/>
    </row>
    <row r="355" ht="16.5" customHeight="1">
      <c r="A355" s="362"/>
      <c r="B355" s="362"/>
      <c r="C355" s="362"/>
      <c r="D355" s="362"/>
      <c r="E355" s="132"/>
      <c r="F355" s="131"/>
      <c r="G355" s="361"/>
      <c r="H355" s="363"/>
      <c r="I355" s="364"/>
      <c r="J355" s="361"/>
      <c r="K355" s="361"/>
      <c r="L355" s="361"/>
      <c r="M355" s="361"/>
      <c r="N355" s="361"/>
      <c r="O355" s="361"/>
      <c r="P355" s="361"/>
      <c r="Q355" s="361"/>
      <c r="R355" s="361"/>
      <c r="S355" s="361"/>
      <c r="T355" s="361"/>
      <c r="U355" s="361"/>
      <c r="V355" s="361"/>
      <c r="W355" s="361"/>
      <c r="X355" s="365"/>
      <c r="Y355" s="361"/>
      <c r="Z355" s="361"/>
      <c r="AA355" s="116"/>
      <c r="AB355" s="116"/>
      <c r="AC355" s="116"/>
      <c r="AD355" s="116"/>
      <c r="AE355" s="365"/>
      <c r="AF355" s="116"/>
      <c r="AG355" s="116"/>
      <c r="AH355" s="116"/>
      <c r="AI355" s="116"/>
      <c r="AJ355" s="116"/>
      <c r="AK355" s="116"/>
      <c r="AL355" s="116"/>
    </row>
    <row r="356" ht="16.5" customHeight="1">
      <c r="A356" s="362"/>
      <c r="B356" s="362"/>
      <c r="C356" s="362"/>
      <c r="D356" s="362"/>
      <c r="E356" s="132"/>
      <c r="F356" s="131"/>
      <c r="G356" s="361"/>
      <c r="H356" s="363"/>
      <c r="I356" s="364"/>
      <c r="J356" s="361"/>
      <c r="K356" s="361"/>
      <c r="L356" s="361"/>
      <c r="M356" s="361"/>
      <c r="N356" s="361"/>
      <c r="O356" s="361"/>
      <c r="P356" s="361"/>
      <c r="Q356" s="361"/>
      <c r="R356" s="361"/>
      <c r="S356" s="361"/>
      <c r="T356" s="361"/>
      <c r="U356" s="361"/>
      <c r="V356" s="361"/>
      <c r="W356" s="361"/>
      <c r="X356" s="365"/>
      <c r="Y356" s="361"/>
      <c r="Z356" s="361"/>
      <c r="AA356" s="116"/>
      <c r="AB356" s="116"/>
      <c r="AC356" s="116"/>
      <c r="AD356" s="116"/>
      <c r="AE356" s="365"/>
      <c r="AF356" s="116"/>
      <c r="AG356" s="116"/>
      <c r="AH356" s="116"/>
      <c r="AI356" s="116"/>
      <c r="AJ356" s="116"/>
      <c r="AK356" s="116"/>
      <c r="AL356" s="116"/>
    </row>
    <row r="357" ht="16.5" customHeight="1">
      <c r="A357" s="362"/>
      <c r="B357" s="362"/>
      <c r="C357" s="362"/>
      <c r="D357" s="362"/>
      <c r="E357" s="132"/>
      <c r="F357" s="131"/>
      <c r="G357" s="361"/>
      <c r="H357" s="363"/>
      <c r="I357" s="364"/>
      <c r="J357" s="361"/>
      <c r="K357" s="361"/>
      <c r="L357" s="361"/>
      <c r="M357" s="361"/>
      <c r="N357" s="361"/>
      <c r="O357" s="361"/>
      <c r="P357" s="361"/>
      <c r="Q357" s="361"/>
      <c r="R357" s="361"/>
      <c r="S357" s="361"/>
      <c r="T357" s="361"/>
      <c r="U357" s="361"/>
      <c r="V357" s="361"/>
      <c r="W357" s="361"/>
      <c r="X357" s="365"/>
      <c r="Y357" s="361"/>
      <c r="Z357" s="361"/>
      <c r="AA357" s="116"/>
      <c r="AB357" s="116"/>
      <c r="AC357" s="116"/>
      <c r="AD357" s="116"/>
      <c r="AE357" s="365"/>
      <c r="AF357" s="116"/>
      <c r="AG357" s="116"/>
      <c r="AH357" s="116"/>
      <c r="AI357" s="116"/>
      <c r="AJ357" s="116"/>
      <c r="AK357" s="116"/>
      <c r="AL357" s="116"/>
    </row>
    <row r="358" ht="16.5" customHeight="1">
      <c r="A358" s="362"/>
      <c r="B358" s="362"/>
      <c r="C358" s="362"/>
      <c r="D358" s="362"/>
      <c r="E358" s="132"/>
      <c r="F358" s="131"/>
      <c r="G358" s="361"/>
      <c r="H358" s="363"/>
      <c r="I358" s="364"/>
      <c r="J358" s="361"/>
      <c r="K358" s="361"/>
      <c r="L358" s="361"/>
      <c r="M358" s="361"/>
      <c r="N358" s="361"/>
      <c r="O358" s="361"/>
      <c r="P358" s="361"/>
      <c r="Q358" s="361"/>
      <c r="R358" s="361"/>
      <c r="S358" s="361"/>
      <c r="T358" s="361"/>
      <c r="U358" s="361"/>
      <c r="V358" s="361"/>
      <c r="W358" s="361"/>
      <c r="X358" s="365"/>
      <c r="Y358" s="361"/>
      <c r="Z358" s="361"/>
      <c r="AA358" s="116"/>
      <c r="AB358" s="116"/>
      <c r="AC358" s="116"/>
      <c r="AD358" s="116"/>
      <c r="AE358" s="365"/>
      <c r="AF358" s="116"/>
      <c r="AG358" s="116"/>
      <c r="AH358" s="116"/>
      <c r="AI358" s="116"/>
      <c r="AJ358" s="116"/>
      <c r="AK358" s="116"/>
      <c r="AL358" s="116"/>
    </row>
    <row r="359" ht="16.5" customHeight="1">
      <c r="A359" s="362"/>
      <c r="B359" s="362"/>
      <c r="C359" s="362"/>
      <c r="D359" s="362"/>
      <c r="E359" s="132"/>
      <c r="F359" s="131"/>
      <c r="G359" s="361"/>
      <c r="H359" s="363"/>
      <c r="I359" s="364"/>
      <c r="J359" s="361"/>
      <c r="K359" s="361"/>
      <c r="L359" s="361"/>
      <c r="M359" s="361"/>
      <c r="N359" s="361"/>
      <c r="O359" s="361"/>
      <c r="P359" s="361"/>
      <c r="Q359" s="361"/>
      <c r="R359" s="361"/>
      <c r="S359" s="361"/>
      <c r="T359" s="361"/>
      <c r="U359" s="361"/>
      <c r="V359" s="361"/>
      <c r="W359" s="361"/>
      <c r="X359" s="365"/>
      <c r="Y359" s="361"/>
      <c r="Z359" s="361"/>
      <c r="AA359" s="116"/>
      <c r="AB359" s="116"/>
      <c r="AC359" s="116"/>
      <c r="AD359" s="116"/>
      <c r="AE359" s="365"/>
      <c r="AF359" s="116"/>
      <c r="AG359" s="116"/>
      <c r="AH359" s="116"/>
      <c r="AI359" s="116"/>
      <c r="AJ359" s="116"/>
      <c r="AK359" s="116"/>
      <c r="AL359" s="116"/>
    </row>
    <row r="360" ht="16.5" customHeight="1">
      <c r="A360" s="362"/>
      <c r="B360" s="362"/>
      <c r="C360" s="362"/>
      <c r="D360" s="362"/>
      <c r="E360" s="132"/>
      <c r="F360" s="131"/>
      <c r="G360" s="361"/>
      <c r="H360" s="363"/>
      <c r="I360" s="364"/>
      <c r="J360" s="361"/>
      <c r="K360" s="361"/>
      <c r="L360" s="361"/>
      <c r="M360" s="361"/>
      <c r="N360" s="361"/>
      <c r="O360" s="361"/>
      <c r="P360" s="361"/>
      <c r="Q360" s="361"/>
      <c r="R360" s="361"/>
      <c r="S360" s="361"/>
      <c r="T360" s="361"/>
      <c r="U360" s="361"/>
      <c r="V360" s="361"/>
      <c r="W360" s="361"/>
      <c r="X360" s="365"/>
      <c r="Y360" s="361"/>
      <c r="Z360" s="361"/>
      <c r="AA360" s="116"/>
      <c r="AB360" s="116"/>
      <c r="AC360" s="116"/>
      <c r="AD360" s="116"/>
      <c r="AE360" s="365"/>
      <c r="AF360" s="116"/>
      <c r="AG360" s="116"/>
      <c r="AH360" s="116"/>
      <c r="AI360" s="116"/>
      <c r="AJ360" s="116"/>
      <c r="AK360" s="116"/>
      <c r="AL360" s="116"/>
    </row>
    <row r="361" ht="16.5" customHeight="1">
      <c r="A361" s="362"/>
      <c r="B361" s="362"/>
      <c r="C361" s="362"/>
      <c r="D361" s="362"/>
      <c r="E361" s="132"/>
      <c r="F361" s="131"/>
      <c r="G361" s="361"/>
      <c r="H361" s="363"/>
      <c r="I361" s="364"/>
      <c r="J361" s="361"/>
      <c r="K361" s="361"/>
      <c r="L361" s="361"/>
      <c r="M361" s="361"/>
      <c r="N361" s="361"/>
      <c r="O361" s="361"/>
      <c r="P361" s="361"/>
      <c r="Q361" s="361"/>
      <c r="R361" s="361"/>
      <c r="S361" s="361"/>
      <c r="T361" s="361"/>
      <c r="U361" s="361"/>
      <c r="V361" s="361"/>
      <c r="W361" s="361"/>
      <c r="X361" s="365"/>
      <c r="Y361" s="361"/>
      <c r="Z361" s="361"/>
      <c r="AA361" s="116"/>
      <c r="AB361" s="116"/>
      <c r="AC361" s="116"/>
      <c r="AD361" s="116"/>
      <c r="AE361" s="365"/>
      <c r="AF361" s="116"/>
      <c r="AG361" s="116"/>
      <c r="AH361" s="116"/>
      <c r="AI361" s="116"/>
      <c r="AJ361" s="116"/>
      <c r="AK361" s="116"/>
      <c r="AL361" s="116"/>
    </row>
    <row r="362" ht="16.5" customHeight="1">
      <c r="A362" s="362"/>
      <c r="B362" s="362"/>
      <c r="C362" s="362"/>
      <c r="D362" s="362"/>
      <c r="E362" s="132"/>
      <c r="F362" s="131"/>
      <c r="G362" s="361"/>
      <c r="H362" s="363"/>
      <c r="I362" s="364"/>
      <c r="J362" s="361"/>
      <c r="K362" s="361"/>
      <c r="L362" s="361"/>
      <c r="M362" s="361"/>
      <c r="N362" s="361"/>
      <c r="O362" s="361"/>
      <c r="P362" s="361"/>
      <c r="Q362" s="361"/>
      <c r="R362" s="361"/>
      <c r="S362" s="361"/>
      <c r="T362" s="361"/>
      <c r="U362" s="361"/>
      <c r="V362" s="361"/>
      <c r="W362" s="361"/>
      <c r="X362" s="365"/>
      <c r="Y362" s="361"/>
      <c r="Z362" s="361"/>
      <c r="AA362" s="116"/>
      <c r="AB362" s="116"/>
      <c r="AC362" s="116"/>
      <c r="AD362" s="116"/>
      <c r="AE362" s="365"/>
      <c r="AF362" s="116"/>
      <c r="AG362" s="116"/>
      <c r="AH362" s="116"/>
      <c r="AI362" s="116"/>
      <c r="AJ362" s="116"/>
      <c r="AK362" s="116"/>
      <c r="AL362" s="116"/>
    </row>
    <row r="363" ht="16.5" customHeight="1">
      <c r="A363" s="362"/>
      <c r="B363" s="362"/>
      <c r="C363" s="362"/>
      <c r="D363" s="362"/>
      <c r="E363" s="132"/>
      <c r="F363" s="131"/>
      <c r="G363" s="361"/>
      <c r="H363" s="363"/>
      <c r="I363" s="364"/>
      <c r="J363" s="361"/>
      <c r="K363" s="361"/>
      <c r="L363" s="361"/>
      <c r="M363" s="361"/>
      <c r="N363" s="361"/>
      <c r="O363" s="361"/>
      <c r="P363" s="361"/>
      <c r="Q363" s="361"/>
      <c r="R363" s="361"/>
      <c r="S363" s="361"/>
      <c r="T363" s="361"/>
      <c r="U363" s="361"/>
      <c r="V363" s="361"/>
      <c r="W363" s="361"/>
      <c r="X363" s="365"/>
      <c r="Y363" s="361"/>
      <c r="Z363" s="361"/>
      <c r="AA363" s="116"/>
      <c r="AB363" s="116"/>
      <c r="AC363" s="116"/>
      <c r="AD363" s="116"/>
      <c r="AE363" s="365"/>
      <c r="AF363" s="116"/>
      <c r="AG363" s="116"/>
      <c r="AH363" s="116"/>
      <c r="AI363" s="116"/>
      <c r="AJ363" s="116"/>
      <c r="AK363" s="116"/>
      <c r="AL363" s="116"/>
    </row>
    <row r="364" ht="16.5" customHeight="1">
      <c r="A364" s="362"/>
      <c r="B364" s="362"/>
      <c r="C364" s="362"/>
      <c r="D364" s="362"/>
      <c r="E364" s="132"/>
      <c r="F364" s="131"/>
      <c r="G364" s="361"/>
      <c r="H364" s="363"/>
      <c r="I364" s="364"/>
      <c r="J364" s="361"/>
      <c r="K364" s="361"/>
      <c r="L364" s="361"/>
      <c r="M364" s="361"/>
      <c r="N364" s="361"/>
      <c r="O364" s="361"/>
      <c r="P364" s="361"/>
      <c r="Q364" s="361"/>
      <c r="R364" s="361"/>
      <c r="S364" s="361"/>
      <c r="T364" s="361"/>
      <c r="U364" s="361"/>
      <c r="V364" s="361"/>
      <c r="W364" s="361"/>
      <c r="X364" s="365"/>
      <c r="Y364" s="361"/>
      <c r="Z364" s="361"/>
      <c r="AA364" s="116"/>
      <c r="AB364" s="116"/>
      <c r="AC364" s="116"/>
      <c r="AD364" s="116"/>
      <c r="AE364" s="365"/>
      <c r="AF364" s="116"/>
      <c r="AG364" s="116"/>
      <c r="AH364" s="116"/>
      <c r="AI364" s="116"/>
      <c r="AJ364" s="116"/>
      <c r="AK364" s="116"/>
      <c r="AL364" s="116"/>
    </row>
    <row r="365" ht="16.5" customHeight="1">
      <c r="A365" s="362"/>
      <c r="B365" s="362"/>
      <c r="C365" s="362"/>
      <c r="D365" s="362"/>
      <c r="E365" s="132"/>
      <c r="F365" s="131"/>
      <c r="G365" s="361"/>
      <c r="H365" s="363"/>
      <c r="I365" s="364"/>
      <c r="J365" s="361"/>
      <c r="K365" s="361"/>
      <c r="L365" s="361"/>
      <c r="M365" s="361"/>
      <c r="N365" s="361"/>
      <c r="O365" s="361"/>
      <c r="P365" s="361"/>
      <c r="Q365" s="361"/>
      <c r="R365" s="361"/>
      <c r="S365" s="361"/>
      <c r="T365" s="361"/>
      <c r="U365" s="361"/>
      <c r="V365" s="361"/>
      <c r="W365" s="361"/>
      <c r="X365" s="365"/>
      <c r="Y365" s="361"/>
      <c r="Z365" s="361"/>
      <c r="AA365" s="116"/>
      <c r="AB365" s="116"/>
      <c r="AC365" s="116"/>
      <c r="AD365" s="116"/>
      <c r="AE365" s="365"/>
      <c r="AF365" s="116"/>
      <c r="AG365" s="116"/>
      <c r="AH365" s="116"/>
      <c r="AI365" s="116"/>
      <c r="AJ365" s="116"/>
      <c r="AK365" s="116"/>
      <c r="AL365" s="116"/>
    </row>
    <row r="366" ht="16.5" customHeight="1">
      <c r="A366" s="362"/>
      <c r="B366" s="362"/>
      <c r="C366" s="362"/>
      <c r="D366" s="362"/>
      <c r="E366" s="132"/>
      <c r="F366" s="131"/>
      <c r="G366" s="361"/>
      <c r="H366" s="363"/>
      <c r="I366" s="364"/>
      <c r="J366" s="361"/>
      <c r="K366" s="361"/>
      <c r="L366" s="361"/>
      <c r="M366" s="361"/>
      <c r="N366" s="361"/>
      <c r="O366" s="361"/>
      <c r="P366" s="361"/>
      <c r="Q366" s="361"/>
      <c r="R366" s="361"/>
      <c r="S366" s="361"/>
      <c r="T366" s="361"/>
      <c r="U366" s="361"/>
      <c r="V366" s="361"/>
      <c r="W366" s="361"/>
      <c r="X366" s="365"/>
      <c r="Y366" s="361"/>
      <c r="Z366" s="361"/>
      <c r="AA366" s="116"/>
      <c r="AB366" s="116"/>
      <c r="AC366" s="116"/>
      <c r="AD366" s="116"/>
      <c r="AE366" s="365"/>
      <c r="AF366" s="116"/>
      <c r="AG366" s="116"/>
      <c r="AH366" s="116"/>
      <c r="AI366" s="116"/>
      <c r="AJ366" s="116"/>
      <c r="AK366" s="116"/>
      <c r="AL366" s="116"/>
    </row>
    <row r="367" ht="16.5" customHeight="1">
      <c r="A367" s="362"/>
      <c r="B367" s="362"/>
      <c r="C367" s="362"/>
      <c r="D367" s="362"/>
      <c r="E367" s="132"/>
      <c r="F367" s="131"/>
      <c r="G367" s="361"/>
      <c r="H367" s="363"/>
      <c r="I367" s="364"/>
      <c r="J367" s="361"/>
      <c r="K367" s="361"/>
      <c r="L367" s="361"/>
      <c r="M367" s="361"/>
      <c r="N367" s="361"/>
      <c r="O367" s="361"/>
      <c r="P367" s="361"/>
      <c r="Q367" s="361"/>
      <c r="R367" s="361"/>
      <c r="S367" s="361"/>
      <c r="T367" s="361"/>
      <c r="U367" s="361"/>
      <c r="V367" s="361"/>
      <c r="W367" s="361"/>
      <c r="X367" s="365"/>
      <c r="Y367" s="361"/>
      <c r="Z367" s="361"/>
      <c r="AA367" s="116"/>
      <c r="AB367" s="116"/>
      <c r="AC367" s="116"/>
      <c r="AD367" s="116"/>
      <c r="AE367" s="365"/>
      <c r="AF367" s="116"/>
      <c r="AG367" s="116"/>
      <c r="AH367" s="116"/>
      <c r="AI367" s="116"/>
      <c r="AJ367" s="116"/>
      <c r="AK367" s="116"/>
      <c r="AL367" s="116"/>
    </row>
    <row r="368" ht="16.5" customHeight="1">
      <c r="A368" s="362"/>
      <c r="B368" s="362"/>
      <c r="C368" s="362"/>
      <c r="D368" s="362"/>
      <c r="E368" s="132"/>
      <c r="F368" s="131"/>
      <c r="G368" s="361"/>
      <c r="H368" s="363"/>
      <c r="I368" s="364"/>
      <c r="J368" s="361"/>
      <c r="K368" s="361"/>
      <c r="L368" s="361"/>
      <c r="M368" s="361"/>
      <c r="N368" s="361"/>
      <c r="O368" s="361"/>
      <c r="P368" s="361"/>
      <c r="Q368" s="361"/>
      <c r="R368" s="361"/>
      <c r="S368" s="361"/>
      <c r="T368" s="361"/>
      <c r="U368" s="361"/>
      <c r="V368" s="361"/>
      <c r="W368" s="361"/>
      <c r="X368" s="365"/>
      <c r="Y368" s="361"/>
      <c r="Z368" s="361"/>
      <c r="AA368" s="116"/>
      <c r="AB368" s="116"/>
      <c r="AC368" s="116"/>
      <c r="AD368" s="116"/>
      <c r="AE368" s="365"/>
      <c r="AF368" s="116"/>
      <c r="AG368" s="116"/>
      <c r="AH368" s="116"/>
      <c r="AI368" s="116"/>
      <c r="AJ368" s="116"/>
      <c r="AK368" s="116"/>
      <c r="AL368" s="116"/>
    </row>
    <row r="369" ht="16.5" customHeight="1">
      <c r="A369" s="362"/>
      <c r="B369" s="362"/>
      <c r="C369" s="362"/>
      <c r="D369" s="362"/>
      <c r="E369" s="132"/>
      <c r="F369" s="131"/>
      <c r="G369" s="361"/>
      <c r="H369" s="363"/>
      <c r="I369" s="364"/>
      <c r="J369" s="361"/>
      <c r="K369" s="361"/>
      <c r="L369" s="361"/>
      <c r="M369" s="361"/>
      <c r="N369" s="361"/>
      <c r="O369" s="361"/>
      <c r="P369" s="361"/>
      <c r="Q369" s="361"/>
      <c r="R369" s="361"/>
      <c r="S369" s="361"/>
      <c r="T369" s="361"/>
      <c r="U369" s="361"/>
      <c r="V369" s="361"/>
      <c r="W369" s="361"/>
      <c r="X369" s="365"/>
      <c r="Y369" s="361"/>
      <c r="Z369" s="361"/>
      <c r="AA369" s="116"/>
      <c r="AB369" s="116"/>
      <c r="AC369" s="116"/>
      <c r="AD369" s="116"/>
      <c r="AE369" s="365"/>
      <c r="AF369" s="116"/>
      <c r="AG369" s="116"/>
      <c r="AH369" s="116"/>
      <c r="AI369" s="116"/>
      <c r="AJ369" s="116"/>
      <c r="AK369" s="116"/>
      <c r="AL369" s="116"/>
    </row>
    <row r="370" ht="16.5" customHeight="1">
      <c r="A370" s="362"/>
      <c r="B370" s="362"/>
      <c r="C370" s="362"/>
      <c r="D370" s="362"/>
      <c r="E370" s="132"/>
      <c r="F370" s="131"/>
      <c r="G370" s="361"/>
      <c r="H370" s="363"/>
      <c r="I370" s="364"/>
      <c r="J370" s="361"/>
      <c r="K370" s="361"/>
      <c r="L370" s="361"/>
      <c r="M370" s="361"/>
      <c r="N370" s="361"/>
      <c r="O370" s="361"/>
      <c r="P370" s="361"/>
      <c r="Q370" s="361"/>
      <c r="R370" s="361"/>
      <c r="S370" s="361"/>
      <c r="T370" s="361"/>
      <c r="U370" s="361"/>
      <c r="V370" s="361"/>
      <c r="W370" s="361"/>
      <c r="X370" s="365"/>
      <c r="Y370" s="361"/>
      <c r="Z370" s="361"/>
      <c r="AA370" s="116"/>
      <c r="AB370" s="116"/>
      <c r="AC370" s="116"/>
      <c r="AD370" s="116"/>
      <c r="AE370" s="365"/>
      <c r="AF370" s="116"/>
      <c r="AG370" s="116"/>
      <c r="AH370" s="116"/>
      <c r="AI370" s="116"/>
      <c r="AJ370" s="116"/>
      <c r="AK370" s="116"/>
      <c r="AL370" s="116"/>
    </row>
    <row r="371" ht="16.5" customHeight="1">
      <c r="A371" s="362"/>
      <c r="B371" s="362"/>
      <c r="C371" s="362"/>
      <c r="D371" s="362"/>
      <c r="E371" s="132"/>
      <c r="F371" s="131"/>
      <c r="G371" s="361"/>
      <c r="H371" s="363"/>
      <c r="I371" s="364"/>
      <c r="J371" s="361"/>
      <c r="K371" s="361"/>
      <c r="L371" s="361"/>
      <c r="M371" s="361"/>
      <c r="N371" s="361"/>
      <c r="O371" s="361"/>
      <c r="P371" s="361"/>
      <c r="Q371" s="361"/>
      <c r="R371" s="361"/>
      <c r="S371" s="361"/>
      <c r="T371" s="361"/>
      <c r="U371" s="361"/>
      <c r="V371" s="361"/>
      <c r="W371" s="361"/>
      <c r="X371" s="365"/>
      <c r="Y371" s="361"/>
      <c r="Z371" s="361"/>
      <c r="AA371" s="116"/>
      <c r="AB371" s="116"/>
      <c r="AC371" s="116"/>
      <c r="AD371" s="116"/>
      <c r="AE371" s="365"/>
      <c r="AF371" s="116"/>
      <c r="AG371" s="116"/>
      <c r="AH371" s="116"/>
      <c r="AI371" s="116"/>
      <c r="AJ371" s="116"/>
      <c r="AK371" s="116"/>
      <c r="AL371" s="116"/>
    </row>
    <row r="372" ht="16.5" customHeight="1">
      <c r="A372" s="362"/>
      <c r="B372" s="362"/>
      <c r="C372" s="362"/>
      <c r="D372" s="362"/>
      <c r="E372" s="132"/>
      <c r="F372" s="131"/>
      <c r="G372" s="361"/>
      <c r="H372" s="363"/>
      <c r="I372" s="364"/>
      <c r="J372" s="361"/>
      <c r="K372" s="361"/>
      <c r="L372" s="361"/>
      <c r="M372" s="361"/>
      <c r="N372" s="361"/>
      <c r="O372" s="361"/>
      <c r="P372" s="361"/>
      <c r="Q372" s="361"/>
      <c r="R372" s="361"/>
      <c r="S372" s="361"/>
      <c r="T372" s="361"/>
      <c r="U372" s="361"/>
      <c r="V372" s="361"/>
      <c r="W372" s="361"/>
      <c r="X372" s="365"/>
      <c r="Y372" s="361"/>
      <c r="Z372" s="361"/>
      <c r="AA372" s="116"/>
      <c r="AB372" s="116"/>
      <c r="AC372" s="116"/>
      <c r="AD372" s="116"/>
      <c r="AE372" s="365"/>
      <c r="AF372" s="116"/>
      <c r="AG372" s="116"/>
      <c r="AH372" s="116"/>
      <c r="AI372" s="116"/>
      <c r="AJ372" s="116"/>
      <c r="AK372" s="116"/>
      <c r="AL372" s="116"/>
    </row>
    <row r="373" ht="16.5" customHeight="1">
      <c r="A373" s="362"/>
      <c r="B373" s="362"/>
      <c r="C373" s="362"/>
      <c r="D373" s="362"/>
      <c r="E373" s="132"/>
      <c r="F373" s="131"/>
      <c r="G373" s="361"/>
      <c r="H373" s="363"/>
      <c r="I373" s="364"/>
      <c r="J373" s="361"/>
      <c r="K373" s="361"/>
      <c r="L373" s="361"/>
      <c r="M373" s="361"/>
      <c r="N373" s="361"/>
      <c r="O373" s="361"/>
      <c r="P373" s="361"/>
      <c r="Q373" s="361"/>
      <c r="R373" s="361"/>
      <c r="S373" s="361"/>
      <c r="T373" s="361"/>
      <c r="U373" s="361"/>
      <c r="V373" s="361"/>
      <c r="W373" s="361"/>
      <c r="X373" s="365"/>
      <c r="Y373" s="361"/>
      <c r="Z373" s="361"/>
      <c r="AA373" s="116"/>
      <c r="AB373" s="116"/>
      <c r="AC373" s="116"/>
      <c r="AD373" s="116"/>
      <c r="AE373" s="365"/>
      <c r="AF373" s="116"/>
      <c r="AG373" s="116"/>
      <c r="AH373" s="116"/>
      <c r="AI373" s="116"/>
      <c r="AJ373" s="116"/>
      <c r="AK373" s="116"/>
      <c r="AL373" s="116"/>
    </row>
    <row r="374" ht="16.5" customHeight="1">
      <c r="A374" s="362"/>
      <c r="B374" s="362"/>
      <c r="C374" s="362"/>
      <c r="D374" s="362"/>
      <c r="E374" s="132"/>
      <c r="F374" s="131"/>
      <c r="G374" s="361"/>
      <c r="H374" s="363"/>
      <c r="I374" s="364"/>
      <c r="J374" s="361"/>
      <c r="K374" s="361"/>
      <c r="L374" s="361"/>
      <c r="M374" s="361"/>
      <c r="N374" s="361"/>
      <c r="O374" s="361"/>
      <c r="P374" s="361"/>
      <c r="Q374" s="361"/>
      <c r="R374" s="361"/>
      <c r="S374" s="361"/>
      <c r="T374" s="361"/>
      <c r="U374" s="361"/>
      <c r="V374" s="361"/>
      <c r="W374" s="361"/>
      <c r="X374" s="365"/>
      <c r="Y374" s="361"/>
      <c r="Z374" s="361"/>
      <c r="AA374" s="116"/>
      <c r="AB374" s="116"/>
      <c r="AC374" s="116"/>
      <c r="AD374" s="116"/>
      <c r="AE374" s="365"/>
      <c r="AF374" s="116"/>
      <c r="AG374" s="116"/>
      <c r="AH374" s="116"/>
      <c r="AI374" s="116"/>
      <c r="AJ374" s="116"/>
      <c r="AK374" s="116"/>
      <c r="AL374" s="116"/>
    </row>
    <row r="375" ht="16.5" customHeight="1">
      <c r="A375" s="362"/>
      <c r="B375" s="362"/>
      <c r="C375" s="362"/>
      <c r="D375" s="362"/>
      <c r="E375" s="132"/>
      <c r="F375" s="131"/>
      <c r="G375" s="361"/>
      <c r="H375" s="363"/>
      <c r="I375" s="364"/>
      <c r="J375" s="361"/>
      <c r="K375" s="361"/>
      <c r="L375" s="361"/>
      <c r="M375" s="361"/>
      <c r="N375" s="361"/>
      <c r="O375" s="361"/>
      <c r="P375" s="361"/>
      <c r="Q375" s="361"/>
      <c r="R375" s="361"/>
      <c r="S375" s="361"/>
      <c r="T375" s="361"/>
      <c r="U375" s="361"/>
      <c r="V375" s="361"/>
      <c r="W375" s="361"/>
      <c r="X375" s="365"/>
      <c r="Y375" s="361"/>
      <c r="Z375" s="361"/>
      <c r="AA375" s="116"/>
      <c r="AB375" s="116"/>
      <c r="AC375" s="116"/>
      <c r="AD375" s="116"/>
      <c r="AE375" s="365"/>
      <c r="AF375" s="116"/>
      <c r="AG375" s="116"/>
      <c r="AH375" s="116"/>
      <c r="AI375" s="116"/>
      <c r="AJ375" s="116"/>
      <c r="AK375" s="116"/>
      <c r="AL375" s="116"/>
    </row>
    <row r="376" ht="16.5" customHeight="1">
      <c r="A376" s="362"/>
      <c r="B376" s="362"/>
      <c r="C376" s="362"/>
      <c r="D376" s="362"/>
      <c r="E376" s="132"/>
      <c r="F376" s="131"/>
      <c r="G376" s="361"/>
      <c r="H376" s="363"/>
      <c r="I376" s="364"/>
      <c r="J376" s="361"/>
      <c r="K376" s="361"/>
      <c r="L376" s="361"/>
      <c r="M376" s="361"/>
      <c r="N376" s="361"/>
      <c r="O376" s="361"/>
      <c r="P376" s="361"/>
      <c r="Q376" s="361"/>
      <c r="R376" s="361"/>
      <c r="S376" s="361"/>
      <c r="T376" s="361"/>
      <c r="U376" s="361"/>
      <c r="V376" s="361"/>
      <c r="W376" s="361"/>
      <c r="X376" s="365"/>
      <c r="Y376" s="361"/>
      <c r="Z376" s="361"/>
      <c r="AA376" s="116"/>
      <c r="AB376" s="116"/>
      <c r="AC376" s="116"/>
      <c r="AD376" s="116"/>
      <c r="AE376" s="365"/>
      <c r="AF376" s="116"/>
      <c r="AG376" s="116"/>
      <c r="AH376" s="116"/>
      <c r="AI376" s="116"/>
      <c r="AJ376" s="116"/>
      <c r="AK376" s="116"/>
      <c r="AL376" s="116"/>
    </row>
    <row r="377" ht="16.5" customHeight="1">
      <c r="A377" s="362"/>
      <c r="B377" s="362"/>
      <c r="C377" s="362"/>
      <c r="D377" s="362"/>
      <c r="E377" s="132"/>
      <c r="F377" s="131"/>
      <c r="G377" s="361"/>
      <c r="H377" s="363"/>
      <c r="I377" s="364"/>
      <c r="J377" s="361"/>
      <c r="K377" s="361"/>
      <c r="L377" s="361"/>
      <c r="M377" s="361"/>
      <c r="N377" s="361"/>
      <c r="O377" s="361"/>
      <c r="P377" s="361"/>
      <c r="Q377" s="361"/>
      <c r="R377" s="361"/>
      <c r="S377" s="361"/>
      <c r="T377" s="361"/>
      <c r="U377" s="361"/>
      <c r="V377" s="361"/>
      <c r="W377" s="361"/>
      <c r="X377" s="365"/>
      <c r="Y377" s="361"/>
      <c r="Z377" s="361"/>
      <c r="AA377" s="116"/>
      <c r="AB377" s="116"/>
      <c r="AC377" s="116"/>
      <c r="AD377" s="116"/>
      <c r="AE377" s="365"/>
      <c r="AF377" s="116"/>
      <c r="AG377" s="116"/>
      <c r="AH377" s="116"/>
      <c r="AI377" s="116"/>
      <c r="AJ377" s="116"/>
      <c r="AK377" s="116"/>
      <c r="AL377" s="116"/>
    </row>
    <row r="378" ht="16.5" customHeight="1">
      <c r="A378" s="362"/>
      <c r="B378" s="362"/>
      <c r="C378" s="362"/>
      <c r="D378" s="362"/>
      <c r="E378" s="132"/>
      <c r="F378" s="131"/>
      <c r="G378" s="361"/>
      <c r="H378" s="363"/>
      <c r="I378" s="364"/>
      <c r="J378" s="361"/>
      <c r="K378" s="361"/>
      <c r="L378" s="361"/>
      <c r="M378" s="361"/>
      <c r="N378" s="361"/>
      <c r="O378" s="361"/>
      <c r="P378" s="361"/>
      <c r="Q378" s="361"/>
      <c r="R378" s="361"/>
      <c r="S378" s="361"/>
      <c r="T378" s="361"/>
      <c r="U378" s="361"/>
      <c r="V378" s="361"/>
      <c r="W378" s="361"/>
      <c r="X378" s="365"/>
      <c r="Y378" s="361"/>
      <c r="Z378" s="361"/>
      <c r="AA378" s="116"/>
      <c r="AB378" s="116"/>
      <c r="AC378" s="116"/>
      <c r="AD378" s="116"/>
      <c r="AE378" s="365"/>
      <c r="AF378" s="116"/>
      <c r="AG378" s="116"/>
      <c r="AH378" s="116"/>
      <c r="AI378" s="116"/>
      <c r="AJ378" s="116"/>
      <c r="AK378" s="116"/>
      <c r="AL378" s="116"/>
    </row>
    <row r="379" ht="16.5" customHeight="1">
      <c r="A379" s="362"/>
      <c r="B379" s="362"/>
      <c r="C379" s="362"/>
      <c r="D379" s="362"/>
      <c r="E379" s="132"/>
      <c r="F379" s="131"/>
      <c r="G379" s="361"/>
      <c r="H379" s="363"/>
      <c r="I379" s="364"/>
      <c r="J379" s="361"/>
      <c r="K379" s="361"/>
      <c r="L379" s="361"/>
      <c r="M379" s="361"/>
      <c r="N379" s="361"/>
      <c r="O379" s="361"/>
      <c r="P379" s="361"/>
      <c r="Q379" s="361"/>
      <c r="R379" s="361"/>
      <c r="S379" s="361"/>
      <c r="T379" s="361"/>
      <c r="U379" s="361"/>
      <c r="V379" s="361"/>
      <c r="W379" s="361"/>
      <c r="X379" s="365"/>
      <c r="Y379" s="361"/>
      <c r="Z379" s="361"/>
      <c r="AA379" s="116"/>
      <c r="AB379" s="116"/>
      <c r="AC379" s="116"/>
      <c r="AD379" s="116"/>
      <c r="AE379" s="365"/>
      <c r="AF379" s="116"/>
      <c r="AG379" s="116"/>
      <c r="AH379" s="116"/>
      <c r="AI379" s="116"/>
      <c r="AJ379" s="116"/>
      <c r="AK379" s="116"/>
      <c r="AL379" s="116"/>
    </row>
    <row r="380" ht="16.5" customHeight="1">
      <c r="A380" s="362"/>
      <c r="B380" s="362"/>
      <c r="C380" s="362"/>
      <c r="D380" s="362"/>
      <c r="E380" s="132"/>
      <c r="F380" s="131"/>
      <c r="G380" s="361"/>
      <c r="H380" s="363"/>
      <c r="I380" s="364"/>
      <c r="J380" s="361"/>
      <c r="K380" s="361"/>
      <c r="L380" s="361"/>
      <c r="M380" s="361"/>
      <c r="N380" s="361"/>
      <c r="O380" s="361"/>
      <c r="P380" s="361"/>
      <c r="Q380" s="361"/>
      <c r="R380" s="361"/>
      <c r="S380" s="361"/>
      <c r="T380" s="361"/>
      <c r="U380" s="361"/>
      <c r="V380" s="361"/>
      <c r="W380" s="361"/>
      <c r="X380" s="365"/>
      <c r="Y380" s="361"/>
      <c r="Z380" s="361"/>
      <c r="AA380" s="116"/>
      <c r="AB380" s="116"/>
      <c r="AC380" s="116"/>
      <c r="AD380" s="116"/>
      <c r="AE380" s="365"/>
      <c r="AF380" s="116"/>
      <c r="AG380" s="116"/>
      <c r="AH380" s="116"/>
      <c r="AI380" s="116"/>
      <c r="AJ380" s="116"/>
      <c r="AK380" s="116"/>
      <c r="AL380" s="116"/>
    </row>
    <row r="381" ht="16.5" customHeight="1">
      <c r="A381" s="362"/>
      <c r="B381" s="362"/>
      <c r="C381" s="362"/>
      <c r="D381" s="362"/>
      <c r="E381" s="132"/>
      <c r="F381" s="131"/>
      <c r="G381" s="361"/>
      <c r="H381" s="363"/>
      <c r="I381" s="364"/>
      <c r="J381" s="361"/>
      <c r="K381" s="361"/>
      <c r="L381" s="361"/>
      <c r="M381" s="361"/>
      <c r="N381" s="361"/>
      <c r="O381" s="361"/>
      <c r="P381" s="361"/>
      <c r="Q381" s="361"/>
      <c r="R381" s="361"/>
      <c r="S381" s="361"/>
      <c r="T381" s="361"/>
      <c r="U381" s="361"/>
      <c r="V381" s="361"/>
      <c r="W381" s="361"/>
      <c r="X381" s="365"/>
      <c r="Y381" s="361"/>
      <c r="Z381" s="361"/>
      <c r="AA381" s="116"/>
      <c r="AB381" s="116"/>
      <c r="AC381" s="116"/>
      <c r="AD381" s="116"/>
      <c r="AE381" s="365"/>
      <c r="AF381" s="116"/>
      <c r="AG381" s="116"/>
      <c r="AH381" s="116"/>
      <c r="AI381" s="116"/>
      <c r="AJ381" s="116"/>
      <c r="AK381" s="116"/>
      <c r="AL381" s="116"/>
    </row>
    <row r="382" ht="16.5" customHeight="1">
      <c r="A382" s="362"/>
      <c r="B382" s="362"/>
      <c r="C382" s="362"/>
      <c r="D382" s="362"/>
      <c r="E382" s="132"/>
      <c r="F382" s="131"/>
      <c r="G382" s="361"/>
      <c r="H382" s="363"/>
      <c r="I382" s="364"/>
      <c r="J382" s="361"/>
      <c r="K382" s="361"/>
      <c r="L382" s="361"/>
      <c r="M382" s="361"/>
      <c r="N382" s="361"/>
      <c r="O382" s="361"/>
      <c r="P382" s="361"/>
      <c r="Q382" s="361"/>
      <c r="R382" s="361"/>
      <c r="S382" s="361"/>
      <c r="T382" s="361"/>
      <c r="U382" s="361"/>
      <c r="V382" s="361"/>
      <c r="W382" s="361"/>
      <c r="X382" s="365"/>
      <c r="Y382" s="361"/>
      <c r="Z382" s="361"/>
      <c r="AA382" s="116"/>
      <c r="AB382" s="116"/>
      <c r="AC382" s="116"/>
      <c r="AD382" s="116"/>
      <c r="AE382" s="365"/>
      <c r="AF382" s="116"/>
      <c r="AG382" s="116"/>
      <c r="AH382" s="116"/>
      <c r="AI382" s="116"/>
      <c r="AJ382" s="116"/>
      <c r="AK382" s="116"/>
      <c r="AL382" s="116"/>
    </row>
    <row r="383" ht="16.5" customHeight="1">
      <c r="A383" s="362"/>
      <c r="B383" s="362"/>
      <c r="C383" s="362"/>
      <c r="D383" s="362"/>
      <c r="E383" s="132"/>
      <c r="F383" s="131"/>
      <c r="G383" s="361"/>
      <c r="H383" s="363"/>
      <c r="I383" s="364"/>
      <c r="J383" s="361"/>
      <c r="K383" s="361"/>
      <c r="L383" s="361"/>
      <c r="M383" s="361"/>
      <c r="N383" s="361"/>
      <c r="O383" s="361"/>
      <c r="P383" s="361"/>
      <c r="Q383" s="361"/>
      <c r="R383" s="361"/>
      <c r="S383" s="361"/>
      <c r="T383" s="361"/>
      <c r="U383" s="361"/>
      <c r="V383" s="361"/>
      <c r="W383" s="361"/>
      <c r="X383" s="365"/>
      <c r="Y383" s="361"/>
      <c r="Z383" s="361"/>
      <c r="AA383" s="116"/>
      <c r="AB383" s="116"/>
      <c r="AC383" s="116"/>
      <c r="AD383" s="116"/>
      <c r="AE383" s="365"/>
      <c r="AF383" s="116"/>
      <c r="AG383" s="116"/>
      <c r="AH383" s="116"/>
      <c r="AI383" s="116"/>
      <c r="AJ383" s="116"/>
      <c r="AK383" s="116"/>
      <c r="AL383" s="116"/>
    </row>
    <row r="384" ht="16.5" customHeight="1">
      <c r="A384" s="362"/>
      <c r="B384" s="362"/>
      <c r="C384" s="362"/>
      <c r="D384" s="362"/>
      <c r="E384" s="132"/>
      <c r="F384" s="131"/>
      <c r="G384" s="361"/>
      <c r="H384" s="363"/>
      <c r="I384" s="364"/>
      <c r="J384" s="361"/>
      <c r="K384" s="361"/>
      <c r="L384" s="361"/>
      <c r="M384" s="361"/>
      <c r="N384" s="361"/>
      <c r="O384" s="361"/>
      <c r="P384" s="361"/>
      <c r="Q384" s="361"/>
      <c r="R384" s="361"/>
      <c r="S384" s="361"/>
      <c r="T384" s="361"/>
      <c r="U384" s="361"/>
      <c r="V384" s="361"/>
      <c r="W384" s="361"/>
      <c r="X384" s="365"/>
      <c r="Y384" s="361"/>
      <c r="Z384" s="361"/>
      <c r="AA384" s="116"/>
      <c r="AB384" s="116"/>
      <c r="AC384" s="116"/>
      <c r="AD384" s="116"/>
      <c r="AE384" s="365"/>
      <c r="AF384" s="116"/>
      <c r="AG384" s="116"/>
      <c r="AH384" s="116"/>
      <c r="AI384" s="116"/>
      <c r="AJ384" s="116"/>
      <c r="AK384" s="116"/>
      <c r="AL384" s="116"/>
    </row>
    <row r="385" ht="16.5" customHeight="1">
      <c r="A385" s="362"/>
      <c r="B385" s="362"/>
      <c r="C385" s="362"/>
      <c r="D385" s="362"/>
      <c r="E385" s="132"/>
      <c r="F385" s="131"/>
      <c r="G385" s="361"/>
      <c r="H385" s="363"/>
      <c r="I385" s="364"/>
      <c r="J385" s="361"/>
      <c r="K385" s="361"/>
      <c r="L385" s="361"/>
      <c r="M385" s="361"/>
      <c r="N385" s="361"/>
      <c r="O385" s="361"/>
      <c r="P385" s="361"/>
      <c r="Q385" s="361"/>
      <c r="R385" s="361"/>
      <c r="S385" s="361"/>
      <c r="T385" s="361"/>
      <c r="U385" s="361"/>
      <c r="V385" s="361"/>
      <c r="W385" s="361"/>
      <c r="X385" s="365"/>
      <c r="Y385" s="361"/>
      <c r="Z385" s="361"/>
      <c r="AA385" s="116"/>
      <c r="AB385" s="116"/>
      <c r="AC385" s="116"/>
      <c r="AD385" s="116"/>
      <c r="AE385" s="365"/>
      <c r="AF385" s="116"/>
      <c r="AG385" s="116"/>
      <c r="AH385" s="116"/>
      <c r="AI385" s="116"/>
      <c r="AJ385" s="116"/>
      <c r="AK385" s="116"/>
      <c r="AL385" s="116"/>
    </row>
    <row r="386" ht="16.5" customHeight="1">
      <c r="A386" s="362"/>
      <c r="B386" s="362"/>
      <c r="C386" s="362"/>
      <c r="D386" s="362"/>
      <c r="E386" s="132"/>
      <c r="F386" s="131"/>
      <c r="G386" s="361"/>
      <c r="H386" s="363"/>
      <c r="I386" s="364"/>
      <c r="J386" s="361"/>
      <c r="K386" s="361"/>
      <c r="L386" s="361"/>
      <c r="M386" s="361"/>
      <c r="N386" s="361"/>
      <c r="O386" s="361"/>
      <c r="P386" s="361"/>
      <c r="Q386" s="361"/>
      <c r="R386" s="361"/>
      <c r="S386" s="361"/>
      <c r="T386" s="361"/>
      <c r="U386" s="361"/>
      <c r="V386" s="361"/>
      <c r="W386" s="361"/>
      <c r="X386" s="365"/>
      <c r="Y386" s="361"/>
      <c r="Z386" s="361"/>
      <c r="AA386" s="116"/>
      <c r="AB386" s="116"/>
      <c r="AC386" s="116"/>
      <c r="AD386" s="116"/>
      <c r="AE386" s="365"/>
      <c r="AF386" s="116"/>
      <c r="AG386" s="116"/>
      <c r="AH386" s="116"/>
      <c r="AI386" s="116"/>
      <c r="AJ386" s="116"/>
      <c r="AK386" s="116"/>
      <c r="AL386" s="116"/>
    </row>
    <row r="387" ht="16.5" customHeight="1">
      <c r="A387" s="362"/>
      <c r="B387" s="362"/>
      <c r="C387" s="362"/>
      <c r="D387" s="362"/>
      <c r="E387" s="132"/>
      <c r="F387" s="131"/>
      <c r="G387" s="361"/>
      <c r="H387" s="363"/>
      <c r="I387" s="364"/>
      <c r="J387" s="361"/>
      <c r="K387" s="361"/>
      <c r="L387" s="361"/>
      <c r="M387" s="361"/>
      <c r="N387" s="361"/>
      <c r="O387" s="361"/>
      <c r="P387" s="361"/>
      <c r="Q387" s="361"/>
      <c r="R387" s="361"/>
      <c r="S387" s="361"/>
      <c r="T387" s="361"/>
      <c r="U387" s="361"/>
      <c r="V387" s="361"/>
      <c r="W387" s="361"/>
      <c r="X387" s="365"/>
      <c r="Y387" s="361"/>
      <c r="Z387" s="361"/>
      <c r="AA387" s="116"/>
      <c r="AB387" s="116"/>
      <c r="AC387" s="116"/>
      <c r="AD387" s="116"/>
      <c r="AE387" s="365"/>
      <c r="AF387" s="116"/>
      <c r="AG387" s="116"/>
      <c r="AH387" s="116"/>
      <c r="AI387" s="116"/>
      <c r="AJ387" s="116"/>
      <c r="AK387" s="116"/>
      <c r="AL387" s="116"/>
    </row>
    <row r="388" ht="16.5" customHeight="1">
      <c r="A388" s="362"/>
      <c r="B388" s="362"/>
      <c r="C388" s="362"/>
      <c r="D388" s="362"/>
      <c r="E388" s="132"/>
      <c r="F388" s="131"/>
      <c r="G388" s="361"/>
      <c r="H388" s="363"/>
      <c r="I388" s="364"/>
      <c r="J388" s="361"/>
      <c r="K388" s="361"/>
      <c r="L388" s="361"/>
      <c r="M388" s="361"/>
      <c r="N388" s="361"/>
      <c r="O388" s="361"/>
      <c r="P388" s="361"/>
      <c r="Q388" s="361"/>
      <c r="R388" s="361"/>
      <c r="S388" s="361"/>
      <c r="T388" s="361"/>
      <c r="U388" s="361"/>
      <c r="V388" s="361"/>
      <c r="W388" s="361"/>
      <c r="X388" s="365"/>
      <c r="Y388" s="361"/>
      <c r="Z388" s="361"/>
      <c r="AA388" s="116"/>
      <c r="AB388" s="116"/>
      <c r="AC388" s="116"/>
      <c r="AD388" s="116"/>
      <c r="AE388" s="365"/>
      <c r="AF388" s="116"/>
      <c r="AG388" s="116"/>
      <c r="AH388" s="116"/>
      <c r="AI388" s="116"/>
      <c r="AJ388" s="116"/>
      <c r="AK388" s="116"/>
      <c r="AL388" s="116"/>
    </row>
    <row r="389" ht="16.5" customHeight="1">
      <c r="A389" s="362"/>
      <c r="B389" s="362"/>
      <c r="C389" s="362"/>
      <c r="D389" s="362"/>
      <c r="E389" s="132"/>
      <c r="F389" s="131"/>
      <c r="G389" s="361"/>
      <c r="H389" s="363"/>
      <c r="I389" s="364"/>
      <c r="J389" s="361"/>
      <c r="K389" s="361"/>
      <c r="L389" s="361"/>
      <c r="M389" s="361"/>
      <c r="N389" s="361"/>
      <c r="O389" s="361"/>
      <c r="P389" s="361"/>
      <c r="Q389" s="361"/>
      <c r="R389" s="361"/>
      <c r="S389" s="361"/>
      <c r="T389" s="361"/>
      <c r="U389" s="361"/>
      <c r="V389" s="361"/>
      <c r="W389" s="361"/>
      <c r="X389" s="365"/>
      <c r="Y389" s="361"/>
      <c r="Z389" s="361"/>
      <c r="AA389" s="116"/>
      <c r="AB389" s="116"/>
      <c r="AC389" s="116"/>
      <c r="AD389" s="116"/>
      <c r="AE389" s="365"/>
      <c r="AF389" s="116"/>
      <c r="AG389" s="116"/>
      <c r="AH389" s="116"/>
      <c r="AI389" s="116"/>
      <c r="AJ389" s="116"/>
      <c r="AK389" s="116"/>
      <c r="AL389" s="116"/>
    </row>
    <row r="390" ht="16.5" customHeight="1">
      <c r="A390" s="362"/>
      <c r="B390" s="362"/>
      <c r="C390" s="362"/>
      <c r="D390" s="362"/>
      <c r="E390" s="132"/>
      <c r="F390" s="131"/>
      <c r="G390" s="361"/>
      <c r="H390" s="363"/>
      <c r="I390" s="364"/>
      <c r="J390" s="361"/>
      <c r="K390" s="361"/>
      <c r="L390" s="361"/>
      <c r="M390" s="361"/>
      <c r="N390" s="361"/>
      <c r="O390" s="361"/>
      <c r="P390" s="361"/>
      <c r="Q390" s="361"/>
      <c r="R390" s="361"/>
      <c r="S390" s="361"/>
      <c r="T390" s="361"/>
      <c r="U390" s="361"/>
      <c r="V390" s="361"/>
      <c r="W390" s="361"/>
      <c r="X390" s="365"/>
      <c r="Y390" s="361"/>
      <c r="Z390" s="361"/>
      <c r="AA390" s="116"/>
      <c r="AB390" s="116"/>
      <c r="AC390" s="116"/>
      <c r="AD390" s="116"/>
      <c r="AE390" s="365"/>
      <c r="AF390" s="116"/>
      <c r="AG390" s="116"/>
      <c r="AH390" s="116"/>
      <c r="AI390" s="116"/>
      <c r="AJ390" s="116"/>
      <c r="AK390" s="116"/>
      <c r="AL390" s="116"/>
    </row>
    <row r="391" ht="16.5" customHeight="1">
      <c r="A391" s="362"/>
      <c r="B391" s="362"/>
      <c r="C391" s="362"/>
      <c r="D391" s="362"/>
      <c r="E391" s="132"/>
      <c r="F391" s="131"/>
      <c r="G391" s="361"/>
      <c r="H391" s="363"/>
      <c r="I391" s="364"/>
      <c r="J391" s="361"/>
      <c r="K391" s="361"/>
      <c r="L391" s="361"/>
      <c r="M391" s="361"/>
      <c r="N391" s="361"/>
      <c r="O391" s="361"/>
      <c r="P391" s="361"/>
      <c r="Q391" s="361"/>
      <c r="R391" s="361"/>
      <c r="S391" s="361"/>
      <c r="T391" s="361"/>
      <c r="U391" s="361"/>
      <c r="V391" s="361"/>
      <c r="W391" s="361"/>
      <c r="X391" s="365"/>
      <c r="Y391" s="361"/>
      <c r="Z391" s="361"/>
      <c r="AA391" s="116"/>
      <c r="AB391" s="116"/>
      <c r="AC391" s="116"/>
      <c r="AD391" s="116"/>
      <c r="AE391" s="365"/>
      <c r="AF391" s="116"/>
      <c r="AG391" s="116"/>
      <c r="AH391" s="116"/>
      <c r="AI391" s="116"/>
      <c r="AJ391" s="116"/>
      <c r="AK391" s="116"/>
      <c r="AL391" s="116"/>
    </row>
    <row r="392" ht="16.5" customHeight="1">
      <c r="A392" s="362"/>
      <c r="B392" s="362"/>
      <c r="C392" s="362"/>
      <c r="D392" s="362"/>
      <c r="E392" s="132"/>
      <c r="F392" s="131"/>
      <c r="G392" s="361"/>
      <c r="H392" s="363"/>
      <c r="I392" s="364"/>
      <c r="J392" s="361"/>
      <c r="K392" s="361"/>
      <c r="L392" s="361"/>
      <c r="M392" s="361"/>
      <c r="N392" s="361"/>
      <c r="O392" s="361"/>
      <c r="P392" s="361"/>
      <c r="Q392" s="361"/>
      <c r="R392" s="361"/>
      <c r="S392" s="361"/>
      <c r="T392" s="361"/>
      <c r="U392" s="361"/>
      <c r="V392" s="361"/>
      <c r="W392" s="361"/>
      <c r="X392" s="365"/>
      <c r="Y392" s="361"/>
      <c r="Z392" s="361"/>
      <c r="AA392" s="116"/>
      <c r="AB392" s="116"/>
      <c r="AC392" s="116"/>
      <c r="AD392" s="116"/>
      <c r="AE392" s="365"/>
      <c r="AF392" s="116"/>
      <c r="AG392" s="116"/>
      <c r="AH392" s="116"/>
      <c r="AI392" s="116"/>
      <c r="AJ392" s="116"/>
      <c r="AK392" s="116"/>
      <c r="AL392" s="116"/>
    </row>
    <row r="393" ht="16.5" customHeight="1">
      <c r="A393" s="362"/>
      <c r="B393" s="362"/>
      <c r="C393" s="362"/>
      <c r="D393" s="362"/>
      <c r="E393" s="132"/>
      <c r="F393" s="131"/>
      <c r="G393" s="361"/>
      <c r="H393" s="363"/>
      <c r="I393" s="364"/>
      <c r="J393" s="361"/>
      <c r="K393" s="361"/>
      <c r="L393" s="361"/>
      <c r="M393" s="361"/>
      <c r="N393" s="361"/>
      <c r="O393" s="361"/>
      <c r="P393" s="361"/>
      <c r="Q393" s="361"/>
      <c r="R393" s="361"/>
      <c r="S393" s="361"/>
      <c r="T393" s="361"/>
      <c r="U393" s="361"/>
      <c r="V393" s="361"/>
      <c r="W393" s="361"/>
      <c r="X393" s="365"/>
      <c r="Y393" s="361"/>
      <c r="Z393" s="361"/>
      <c r="AA393" s="116"/>
      <c r="AB393" s="116"/>
      <c r="AC393" s="116"/>
      <c r="AD393" s="116"/>
      <c r="AE393" s="365"/>
      <c r="AF393" s="116"/>
      <c r="AG393" s="116"/>
      <c r="AH393" s="116"/>
      <c r="AI393" s="116"/>
      <c r="AJ393" s="116"/>
      <c r="AK393" s="116"/>
      <c r="AL393" s="116"/>
    </row>
    <row r="394" ht="16.5" customHeight="1">
      <c r="A394" s="362"/>
      <c r="B394" s="362"/>
      <c r="C394" s="362"/>
      <c r="D394" s="362"/>
      <c r="E394" s="132"/>
      <c r="F394" s="131"/>
      <c r="G394" s="361"/>
      <c r="H394" s="363"/>
      <c r="I394" s="364"/>
      <c r="J394" s="361"/>
      <c r="K394" s="361"/>
      <c r="L394" s="361"/>
      <c r="M394" s="361"/>
      <c r="N394" s="361"/>
      <c r="O394" s="361"/>
      <c r="P394" s="361"/>
      <c r="Q394" s="361"/>
      <c r="R394" s="361"/>
      <c r="S394" s="361"/>
      <c r="T394" s="361"/>
      <c r="U394" s="361"/>
      <c r="V394" s="361"/>
      <c r="W394" s="361"/>
      <c r="X394" s="365"/>
      <c r="Y394" s="361"/>
      <c r="Z394" s="361"/>
      <c r="AA394" s="116"/>
      <c r="AB394" s="116"/>
      <c r="AC394" s="116"/>
      <c r="AD394" s="116"/>
      <c r="AE394" s="365"/>
      <c r="AF394" s="116"/>
      <c r="AG394" s="116"/>
      <c r="AH394" s="116"/>
      <c r="AI394" s="116"/>
      <c r="AJ394" s="116"/>
      <c r="AK394" s="116"/>
      <c r="AL394" s="116"/>
    </row>
    <row r="395" ht="16.5" customHeight="1">
      <c r="A395" s="362"/>
      <c r="B395" s="362"/>
      <c r="C395" s="362"/>
      <c r="D395" s="362"/>
      <c r="E395" s="132"/>
      <c r="F395" s="131"/>
      <c r="G395" s="361"/>
      <c r="H395" s="363"/>
      <c r="I395" s="364"/>
      <c r="J395" s="361"/>
      <c r="K395" s="361"/>
      <c r="L395" s="361"/>
      <c r="M395" s="361"/>
      <c r="N395" s="361"/>
      <c r="O395" s="361"/>
      <c r="P395" s="361"/>
      <c r="Q395" s="361"/>
      <c r="R395" s="361"/>
      <c r="S395" s="361"/>
      <c r="T395" s="361"/>
      <c r="U395" s="361"/>
      <c r="V395" s="361"/>
      <c r="W395" s="361"/>
      <c r="X395" s="365"/>
      <c r="Y395" s="361"/>
      <c r="Z395" s="361"/>
      <c r="AA395" s="116"/>
      <c r="AB395" s="116"/>
      <c r="AC395" s="116"/>
      <c r="AD395" s="116"/>
      <c r="AE395" s="365"/>
      <c r="AF395" s="116"/>
      <c r="AG395" s="116"/>
      <c r="AH395" s="116"/>
      <c r="AI395" s="116"/>
      <c r="AJ395" s="116"/>
      <c r="AK395" s="116"/>
      <c r="AL395" s="116"/>
    </row>
    <row r="396" ht="16.5" customHeight="1">
      <c r="A396" s="362"/>
      <c r="B396" s="362"/>
      <c r="C396" s="362"/>
      <c r="D396" s="362"/>
      <c r="E396" s="132"/>
      <c r="F396" s="131"/>
      <c r="G396" s="361"/>
      <c r="H396" s="363"/>
      <c r="I396" s="364"/>
      <c r="J396" s="361"/>
      <c r="K396" s="361"/>
      <c r="L396" s="361"/>
      <c r="M396" s="361"/>
      <c r="N396" s="361"/>
      <c r="O396" s="361"/>
      <c r="P396" s="361"/>
      <c r="Q396" s="361"/>
      <c r="R396" s="361"/>
      <c r="S396" s="361"/>
      <c r="T396" s="361"/>
      <c r="U396" s="361"/>
      <c r="V396" s="361"/>
      <c r="W396" s="361"/>
      <c r="X396" s="365"/>
      <c r="Y396" s="361"/>
      <c r="Z396" s="361"/>
      <c r="AA396" s="116"/>
      <c r="AB396" s="116"/>
      <c r="AC396" s="116"/>
      <c r="AD396" s="116"/>
      <c r="AE396" s="365"/>
      <c r="AF396" s="116"/>
      <c r="AG396" s="116"/>
      <c r="AH396" s="116"/>
      <c r="AI396" s="116"/>
      <c r="AJ396" s="116"/>
      <c r="AK396" s="116"/>
      <c r="AL396" s="116"/>
    </row>
    <row r="397" ht="16.5" customHeight="1">
      <c r="A397" s="362"/>
      <c r="B397" s="362"/>
      <c r="C397" s="362"/>
      <c r="D397" s="362"/>
      <c r="E397" s="132"/>
      <c r="F397" s="131"/>
      <c r="G397" s="361"/>
      <c r="H397" s="363"/>
      <c r="I397" s="364"/>
      <c r="J397" s="361"/>
      <c r="K397" s="361"/>
      <c r="L397" s="361"/>
      <c r="M397" s="361"/>
      <c r="N397" s="361"/>
      <c r="O397" s="361"/>
      <c r="P397" s="361"/>
      <c r="Q397" s="361"/>
      <c r="R397" s="361"/>
      <c r="S397" s="361"/>
      <c r="T397" s="361"/>
      <c r="U397" s="361"/>
      <c r="V397" s="361"/>
      <c r="W397" s="361"/>
      <c r="X397" s="365"/>
      <c r="Y397" s="361"/>
      <c r="Z397" s="361"/>
      <c r="AA397" s="116"/>
      <c r="AB397" s="116"/>
      <c r="AC397" s="116"/>
      <c r="AD397" s="116"/>
      <c r="AE397" s="365"/>
      <c r="AF397" s="116"/>
      <c r="AG397" s="116"/>
      <c r="AH397" s="116"/>
      <c r="AI397" s="116"/>
      <c r="AJ397" s="116"/>
      <c r="AK397" s="116"/>
      <c r="AL397" s="116"/>
    </row>
    <row r="398" ht="16.5" customHeight="1">
      <c r="A398" s="362"/>
      <c r="B398" s="362"/>
      <c r="C398" s="362"/>
      <c r="D398" s="362"/>
      <c r="E398" s="132"/>
      <c r="F398" s="131"/>
      <c r="G398" s="361"/>
      <c r="H398" s="363"/>
      <c r="I398" s="364"/>
      <c r="J398" s="361"/>
      <c r="K398" s="361"/>
      <c r="L398" s="361"/>
      <c r="M398" s="361"/>
      <c r="N398" s="361"/>
      <c r="O398" s="361"/>
      <c r="P398" s="361"/>
      <c r="Q398" s="361"/>
      <c r="R398" s="361"/>
      <c r="S398" s="361"/>
      <c r="T398" s="361"/>
      <c r="U398" s="361"/>
      <c r="V398" s="361"/>
      <c r="W398" s="361"/>
      <c r="X398" s="365"/>
      <c r="Y398" s="361"/>
      <c r="Z398" s="361"/>
      <c r="AA398" s="116"/>
      <c r="AB398" s="116"/>
      <c r="AC398" s="116"/>
      <c r="AD398" s="116"/>
      <c r="AE398" s="365"/>
      <c r="AF398" s="116"/>
      <c r="AG398" s="116"/>
      <c r="AH398" s="116"/>
      <c r="AI398" s="116"/>
      <c r="AJ398" s="116"/>
      <c r="AK398" s="116"/>
      <c r="AL398" s="116"/>
    </row>
    <row r="399" ht="16.5" customHeight="1">
      <c r="A399" s="362"/>
      <c r="B399" s="362"/>
      <c r="C399" s="362"/>
      <c r="D399" s="362"/>
      <c r="E399" s="132"/>
      <c r="F399" s="131"/>
      <c r="G399" s="361"/>
      <c r="H399" s="363"/>
      <c r="I399" s="364"/>
      <c r="J399" s="361"/>
      <c r="K399" s="361"/>
      <c r="L399" s="361"/>
      <c r="M399" s="361"/>
      <c r="N399" s="361"/>
      <c r="O399" s="361"/>
      <c r="P399" s="361"/>
      <c r="Q399" s="361"/>
      <c r="R399" s="361"/>
      <c r="S399" s="361"/>
      <c r="T399" s="361"/>
      <c r="U399" s="361"/>
      <c r="V399" s="361"/>
      <c r="W399" s="361"/>
      <c r="X399" s="365"/>
      <c r="Y399" s="361"/>
      <c r="Z399" s="361"/>
      <c r="AA399" s="116"/>
      <c r="AB399" s="116"/>
      <c r="AC399" s="116"/>
      <c r="AD399" s="116"/>
      <c r="AE399" s="365"/>
      <c r="AF399" s="116"/>
      <c r="AG399" s="116"/>
      <c r="AH399" s="116"/>
      <c r="AI399" s="116"/>
      <c r="AJ399" s="116"/>
      <c r="AK399" s="116"/>
      <c r="AL399" s="116"/>
    </row>
    <row r="400" ht="16.5" customHeight="1">
      <c r="A400" s="362"/>
      <c r="B400" s="362"/>
      <c r="C400" s="362"/>
      <c r="D400" s="362"/>
      <c r="E400" s="132"/>
      <c r="F400" s="131"/>
      <c r="G400" s="361"/>
      <c r="H400" s="363"/>
      <c r="I400" s="364"/>
      <c r="J400" s="361"/>
      <c r="K400" s="361"/>
      <c r="L400" s="361"/>
      <c r="M400" s="361"/>
      <c r="N400" s="361"/>
      <c r="O400" s="361"/>
      <c r="P400" s="361"/>
      <c r="Q400" s="361"/>
      <c r="R400" s="361"/>
      <c r="S400" s="361"/>
      <c r="T400" s="361"/>
      <c r="U400" s="361"/>
      <c r="V400" s="361"/>
      <c r="W400" s="361"/>
      <c r="X400" s="365"/>
      <c r="Y400" s="361"/>
      <c r="Z400" s="361"/>
      <c r="AA400" s="116"/>
      <c r="AB400" s="116"/>
      <c r="AC400" s="116"/>
      <c r="AD400" s="116"/>
      <c r="AE400" s="365"/>
      <c r="AF400" s="116"/>
      <c r="AG400" s="116"/>
      <c r="AH400" s="116"/>
      <c r="AI400" s="116"/>
      <c r="AJ400" s="116"/>
      <c r="AK400" s="116"/>
      <c r="AL400" s="116"/>
    </row>
    <row r="401" ht="16.5" customHeight="1">
      <c r="A401" s="362"/>
      <c r="B401" s="362"/>
      <c r="C401" s="362"/>
      <c r="D401" s="362"/>
      <c r="E401" s="132"/>
      <c r="F401" s="131"/>
      <c r="G401" s="361"/>
      <c r="H401" s="363"/>
      <c r="I401" s="364"/>
      <c r="J401" s="361"/>
      <c r="K401" s="361"/>
      <c r="L401" s="361"/>
      <c r="M401" s="361"/>
      <c r="N401" s="361"/>
      <c r="O401" s="361"/>
      <c r="P401" s="361"/>
      <c r="Q401" s="361"/>
      <c r="R401" s="361"/>
      <c r="S401" s="361"/>
      <c r="T401" s="361"/>
      <c r="U401" s="361"/>
      <c r="V401" s="361"/>
      <c r="W401" s="361"/>
      <c r="X401" s="365"/>
      <c r="Y401" s="361"/>
      <c r="Z401" s="361"/>
      <c r="AA401" s="116"/>
      <c r="AB401" s="116"/>
      <c r="AC401" s="116"/>
      <c r="AD401" s="116"/>
      <c r="AE401" s="365"/>
      <c r="AF401" s="116"/>
      <c r="AG401" s="116"/>
      <c r="AH401" s="116"/>
      <c r="AI401" s="116"/>
      <c r="AJ401" s="116"/>
      <c r="AK401" s="116"/>
      <c r="AL401" s="116"/>
    </row>
    <row r="402" ht="16.5" customHeight="1">
      <c r="A402" s="362"/>
      <c r="B402" s="362"/>
      <c r="C402" s="362"/>
      <c r="D402" s="362"/>
      <c r="E402" s="132"/>
      <c r="F402" s="131"/>
      <c r="G402" s="361"/>
      <c r="H402" s="363"/>
      <c r="I402" s="364"/>
      <c r="J402" s="361"/>
      <c r="K402" s="361"/>
      <c r="L402" s="361"/>
      <c r="M402" s="361"/>
      <c r="N402" s="361"/>
      <c r="O402" s="361"/>
      <c r="P402" s="361"/>
      <c r="Q402" s="361"/>
      <c r="R402" s="361"/>
      <c r="S402" s="361"/>
      <c r="T402" s="361"/>
      <c r="U402" s="361"/>
      <c r="V402" s="361"/>
      <c r="W402" s="361"/>
      <c r="X402" s="365"/>
      <c r="Y402" s="361"/>
      <c r="Z402" s="361"/>
      <c r="AA402" s="116"/>
      <c r="AB402" s="116"/>
      <c r="AC402" s="116"/>
      <c r="AD402" s="116"/>
      <c r="AE402" s="365"/>
      <c r="AF402" s="116"/>
      <c r="AG402" s="116"/>
      <c r="AH402" s="116"/>
      <c r="AI402" s="116"/>
      <c r="AJ402" s="116"/>
      <c r="AK402" s="116"/>
      <c r="AL402" s="116"/>
    </row>
    <row r="403" ht="16.5" customHeight="1">
      <c r="A403" s="362"/>
      <c r="B403" s="362"/>
      <c r="C403" s="362"/>
      <c r="D403" s="362"/>
      <c r="E403" s="132"/>
      <c r="F403" s="131"/>
      <c r="G403" s="361"/>
      <c r="H403" s="363"/>
      <c r="I403" s="364"/>
      <c r="J403" s="361"/>
      <c r="K403" s="361"/>
      <c r="L403" s="361"/>
      <c r="M403" s="361"/>
      <c r="N403" s="361"/>
      <c r="O403" s="361"/>
      <c r="P403" s="361"/>
      <c r="Q403" s="361"/>
      <c r="R403" s="361"/>
      <c r="S403" s="361"/>
      <c r="T403" s="361"/>
      <c r="U403" s="361"/>
      <c r="V403" s="361"/>
      <c r="W403" s="361"/>
      <c r="X403" s="365"/>
      <c r="Y403" s="361"/>
      <c r="Z403" s="361"/>
      <c r="AA403" s="116"/>
      <c r="AB403" s="116"/>
      <c r="AC403" s="116"/>
      <c r="AD403" s="116"/>
      <c r="AE403" s="365"/>
      <c r="AF403" s="116"/>
      <c r="AG403" s="116"/>
      <c r="AH403" s="116"/>
      <c r="AI403" s="116"/>
      <c r="AJ403" s="116"/>
      <c r="AK403" s="116"/>
      <c r="AL403" s="116"/>
    </row>
    <row r="404" ht="16.5" customHeight="1">
      <c r="A404" s="362"/>
      <c r="B404" s="362"/>
      <c r="C404" s="362"/>
      <c r="D404" s="362"/>
      <c r="E404" s="132"/>
      <c r="F404" s="131"/>
      <c r="G404" s="361"/>
      <c r="H404" s="363"/>
      <c r="I404" s="364"/>
      <c r="J404" s="361"/>
      <c r="K404" s="361"/>
      <c r="L404" s="361"/>
      <c r="M404" s="361"/>
      <c r="N404" s="361"/>
      <c r="O404" s="361"/>
      <c r="P404" s="361"/>
      <c r="Q404" s="361"/>
      <c r="R404" s="361"/>
      <c r="S404" s="361"/>
      <c r="T404" s="361"/>
      <c r="U404" s="361"/>
      <c r="V404" s="361"/>
      <c r="W404" s="361"/>
      <c r="X404" s="365"/>
      <c r="Y404" s="361"/>
      <c r="Z404" s="361"/>
      <c r="AA404" s="116"/>
      <c r="AB404" s="116"/>
      <c r="AC404" s="116"/>
      <c r="AD404" s="116"/>
      <c r="AE404" s="365"/>
      <c r="AF404" s="116"/>
      <c r="AG404" s="116"/>
      <c r="AH404" s="116"/>
      <c r="AI404" s="116"/>
      <c r="AJ404" s="116"/>
      <c r="AK404" s="116"/>
      <c r="AL404" s="116"/>
    </row>
    <row r="405" ht="16.5" customHeight="1">
      <c r="A405" s="362"/>
      <c r="B405" s="362"/>
      <c r="C405" s="362"/>
      <c r="D405" s="362"/>
      <c r="E405" s="132"/>
      <c r="F405" s="131"/>
      <c r="G405" s="361"/>
      <c r="H405" s="363"/>
      <c r="I405" s="364"/>
      <c r="J405" s="361"/>
      <c r="K405" s="361"/>
      <c r="L405" s="361"/>
      <c r="M405" s="361"/>
      <c r="N405" s="361"/>
      <c r="O405" s="361"/>
      <c r="P405" s="361"/>
      <c r="Q405" s="361"/>
      <c r="R405" s="361"/>
      <c r="S405" s="361"/>
      <c r="T405" s="361"/>
      <c r="U405" s="361"/>
      <c r="V405" s="361"/>
      <c r="W405" s="361"/>
      <c r="X405" s="365"/>
      <c r="Y405" s="361"/>
      <c r="Z405" s="361"/>
      <c r="AA405" s="116"/>
      <c r="AB405" s="116"/>
      <c r="AC405" s="116"/>
      <c r="AD405" s="116"/>
      <c r="AE405" s="365"/>
      <c r="AF405" s="116"/>
      <c r="AG405" s="116"/>
      <c r="AH405" s="116"/>
      <c r="AI405" s="116"/>
      <c r="AJ405" s="116"/>
      <c r="AK405" s="116"/>
      <c r="AL405" s="116"/>
    </row>
    <row r="406" ht="16.5" customHeight="1">
      <c r="A406" s="362"/>
      <c r="B406" s="362"/>
      <c r="C406" s="362"/>
      <c r="D406" s="362"/>
      <c r="E406" s="132"/>
      <c r="F406" s="131"/>
      <c r="G406" s="361"/>
      <c r="H406" s="363"/>
      <c r="I406" s="364"/>
      <c r="J406" s="361"/>
      <c r="K406" s="361"/>
      <c r="L406" s="361"/>
      <c r="M406" s="361"/>
      <c r="N406" s="361"/>
      <c r="O406" s="361"/>
      <c r="P406" s="361"/>
      <c r="Q406" s="361"/>
      <c r="R406" s="361"/>
      <c r="S406" s="361"/>
      <c r="T406" s="361"/>
      <c r="U406" s="361"/>
      <c r="V406" s="361"/>
      <c r="W406" s="361"/>
      <c r="X406" s="365"/>
      <c r="Y406" s="361"/>
      <c r="Z406" s="361"/>
      <c r="AA406" s="116"/>
      <c r="AB406" s="116"/>
      <c r="AC406" s="116"/>
      <c r="AD406" s="116"/>
      <c r="AE406" s="365"/>
      <c r="AF406" s="116"/>
      <c r="AG406" s="116"/>
      <c r="AH406" s="116"/>
      <c r="AI406" s="116"/>
      <c r="AJ406" s="116"/>
      <c r="AK406" s="116"/>
      <c r="AL406" s="116"/>
    </row>
    <row r="407" ht="16.5" customHeight="1">
      <c r="A407" s="362"/>
      <c r="B407" s="362"/>
      <c r="C407" s="362"/>
      <c r="D407" s="362"/>
      <c r="E407" s="132"/>
      <c r="F407" s="131"/>
      <c r="G407" s="361"/>
      <c r="H407" s="363"/>
      <c r="I407" s="364"/>
      <c r="J407" s="361"/>
      <c r="K407" s="361"/>
      <c r="L407" s="361"/>
      <c r="M407" s="361"/>
      <c r="N407" s="361"/>
      <c r="O407" s="361"/>
      <c r="P407" s="361"/>
      <c r="Q407" s="361"/>
      <c r="R407" s="361"/>
      <c r="S407" s="361"/>
      <c r="T407" s="361"/>
      <c r="U407" s="361"/>
      <c r="V407" s="361"/>
      <c r="W407" s="361"/>
      <c r="X407" s="365"/>
      <c r="Y407" s="361"/>
      <c r="Z407" s="361"/>
      <c r="AA407" s="116"/>
      <c r="AB407" s="116"/>
      <c r="AC407" s="116"/>
      <c r="AD407" s="116"/>
      <c r="AE407" s="365"/>
      <c r="AF407" s="116"/>
      <c r="AG407" s="116"/>
      <c r="AH407" s="116"/>
      <c r="AI407" s="116"/>
      <c r="AJ407" s="116"/>
      <c r="AK407" s="116"/>
      <c r="AL407" s="116"/>
    </row>
    <row r="408" ht="16.5" customHeight="1">
      <c r="A408" s="362"/>
      <c r="B408" s="362"/>
      <c r="C408" s="362"/>
      <c r="D408" s="362"/>
      <c r="E408" s="132"/>
      <c r="F408" s="131"/>
      <c r="G408" s="361"/>
      <c r="H408" s="363"/>
      <c r="I408" s="364"/>
      <c r="J408" s="361"/>
      <c r="K408" s="361"/>
      <c r="L408" s="361"/>
      <c r="M408" s="361"/>
      <c r="N408" s="361"/>
      <c r="O408" s="361"/>
      <c r="P408" s="361"/>
      <c r="Q408" s="361"/>
      <c r="R408" s="361"/>
      <c r="S408" s="361"/>
      <c r="T408" s="361"/>
      <c r="U408" s="361"/>
      <c r="V408" s="361"/>
      <c r="W408" s="361"/>
      <c r="X408" s="365"/>
      <c r="Y408" s="361"/>
      <c r="Z408" s="361"/>
      <c r="AA408" s="116"/>
      <c r="AB408" s="116"/>
      <c r="AC408" s="116"/>
      <c r="AD408" s="116"/>
      <c r="AE408" s="365"/>
      <c r="AF408" s="116"/>
      <c r="AG408" s="116"/>
      <c r="AH408" s="116"/>
      <c r="AI408" s="116"/>
      <c r="AJ408" s="116"/>
      <c r="AK408" s="116"/>
      <c r="AL408" s="116"/>
    </row>
    <row r="409" ht="16.5" customHeight="1">
      <c r="A409" s="362"/>
      <c r="B409" s="362"/>
      <c r="C409" s="362"/>
      <c r="D409" s="362"/>
      <c r="E409" s="132"/>
      <c r="F409" s="131"/>
      <c r="G409" s="361"/>
      <c r="H409" s="363"/>
      <c r="I409" s="364"/>
      <c r="J409" s="361"/>
      <c r="K409" s="361"/>
      <c r="L409" s="361"/>
      <c r="M409" s="361"/>
      <c r="N409" s="361"/>
      <c r="O409" s="361"/>
      <c r="P409" s="361"/>
      <c r="Q409" s="361"/>
      <c r="R409" s="361"/>
      <c r="S409" s="361"/>
      <c r="T409" s="361"/>
      <c r="U409" s="361"/>
      <c r="V409" s="361"/>
      <c r="W409" s="361"/>
      <c r="X409" s="365"/>
      <c r="Y409" s="361"/>
      <c r="Z409" s="361"/>
      <c r="AA409" s="116"/>
      <c r="AB409" s="116"/>
      <c r="AC409" s="116"/>
      <c r="AD409" s="116"/>
      <c r="AE409" s="365"/>
      <c r="AF409" s="116"/>
      <c r="AG409" s="116"/>
      <c r="AH409" s="116"/>
      <c r="AI409" s="116"/>
      <c r="AJ409" s="116"/>
      <c r="AK409" s="116"/>
      <c r="AL409" s="116"/>
    </row>
    <row r="410" ht="16.5" customHeight="1">
      <c r="A410" s="362"/>
      <c r="B410" s="362"/>
      <c r="C410" s="362"/>
      <c r="D410" s="362"/>
      <c r="E410" s="132"/>
      <c r="F410" s="131"/>
      <c r="G410" s="361"/>
      <c r="H410" s="363"/>
      <c r="I410" s="364"/>
      <c r="J410" s="361"/>
      <c r="K410" s="361"/>
      <c r="L410" s="361"/>
      <c r="M410" s="361"/>
      <c r="N410" s="361"/>
      <c r="O410" s="361"/>
      <c r="P410" s="361"/>
      <c r="Q410" s="361"/>
      <c r="R410" s="361"/>
      <c r="S410" s="361"/>
      <c r="T410" s="361"/>
      <c r="U410" s="361"/>
      <c r="V410" s="361"/>
      <c r="W410" s="361"/>
      <c r="X410" s="365"/>
      <c r="Y410" s="361"/>
      <c r="Z410" s="361"/>
      <c r="AA410" s="116"/>
      <c r="AB410" s="116"/>
      <c r="AC410" s="116"/>
      <c r="AD410" s="116"/>
      <c r="AE410" s="365"/>
      <c r="AF410" s="116"/>
      <c r="AG410" s="116"/>
      <c r="AH410" s="116"/>
      <c r="AI410" s="116"/>
      <c r="AJ410" s="116"/>
      <c r="AK410" s="116"/>
      <c r="AL410" s="116"/>
    </row>
    <row r="411" ht="16.5" customHeight="1">
      <c r="A411" s="362"/>
      <c r="B411" s="362"/>
      <c r="C411" s="362"/>
      <c r="D411" s="362"/>
      <c r="E411" s="132"/>
      <c r="F411" s="131"/>
      <c r="G411" s="361"/>
      <c r="H411" s="363"/>
      <c r="I411" s="364"/>
      <c r="J411" s="361"/>
      <c r="K411" s="361"/>
      <c r="L411" s="361"/>
      <c r="M411" s="361"/>
      <c r="N411" s="361"/>
      <c r="O411" s="361"/>
      <c r="P411" s="361"/>
      <c r="Q411" s="361"/>
      <c r="R411" s="361"/>
      <c r="S411" s="361"/>
      <c r="T411" s="361"/>
      <c r="U411" s="361"/>
      <c r="V411" s="361"/>
      <c r="W411" s="361"/>
      <c r="X411" s="365"/>
      <c r="Y411" s="361"/>
      <c r="Z411" s="361"/>
      <c r="AA411" s="116"/>
      <c r="AB411" s="116"/>
      <c r="AC411" s="116"/>
      <c r="AD411" s="116"/>
      <c r="AE411" s="365"/>
      <c r="AF411" s="116"/>
      <c r="AG411" s="116"/>
      <c r="AH411" s="116"/>
      <c r="AI411" s="116"/>
      <c r="AJ411" s="116"/>
      <c r="AK411" s="116"/>
      <c r="AL411" s="116"/>
    </row>
    <row r="412" ht="16.5" customHeight="1">
      <c r="A412" s="362"/>
      <c r="B412" s="362"/>
      <c r="C412" s="362"/>
      <c r="D412" s="362"/>
      <c r="E412" s="132"/>
      <c r="F412" s="131"/>
      <c r="G412" s="361"/>
      <c r="H412" s="363"/>
      <c r="I412" s="364"/>
      <c r="J412" s="361"/>
      <c r="K412" s="361"/>
      <c r="L412" s="361"/>
      <c r="M412" s="361"/>
      <c r="N412" s="361"/>
      <c r="O412" s="361"/>
      <c r="P412" s="361"/>
      <c r="Q412" s="361"/>
      <c r="R412" s="361"/>
      <c r="S412" s="361"/>
      <c r="T412" s="361"/>
      <c r="U412" s="361"/>
      <c r="V412" s="361"/>
      <c r="W412" s="361"/>
      <c r="X412" s="365"/>
      <c r="Y412" s="361"/>
      <c r="Z412" s="361"/>
      <c r="AA412" s="116"/>
      <c r="AB412" s="116"/>
      <c r="AC412" s="116"/>
      <c r="AD412" s="116"/>
      <c r="AE412" s="365"/>
      <c r="AF412" s="116"/>
      <c r="AG412" s="116"/>
      <c r="AH412" s="116"/>
      <c r="AI412" s="116"/>
      <c r="AJ412" s="116"/>
      <c r="AK412" s="116"/>
      <c r="AL412" s="116"/>
    </row>
    <row r="413" ht="16.5" customHeight="1">
      <c r="A413" s="362"/>
      <c r="B413" s="362"/>
      <c r="C413" s="362"/>
      <c r="D413" s="362"/>
      <c r="E413" s="132"/>
      <c r="F413" s="131"/>
      <c r="G413" s="361"/>
      <c r="H413" s="363"/>
      <c r="I413" s="364"/>
      <c r="J413" s="361"/>
      <c r="K413" s="361"/>
      <c r="L413" s="361"/>
      <c r="M413" s="361"/>
      <c r="N413" s="361"/>
      <c r="O413" s="361"/>
      <c r="P413" s="361"/>
      <c r="Q413" s="361"/>
      <c r="R413" s="361"/>
      <c r="S413" s="361"/>
      <c r="T413" s="361"/>
      <c r="U413" s="361"/>
      <c r="V413" s="361"/>
      <c r="W413" s="361"/>
      <c r="X413" s="365"/>
      <c r="Y413" s="361"/>
      <c r="Z413" s="361"/>
      <c r="AA413" s="116"/>
      <c r="AB413" s="116"/>
      <c r="AC413" s="116"/>
      <c r="AD413" s="116"/>
      <c r="AE413" s="365"/>
      <c r="AF413" s="116"/>
      <c r="AG413" s="116"/>
      <c r="AH413" s="116"/>
      <c r="AI413" s="116"/>
      <c r="AJ413" s="116"/>
      <c r="AK413" s="116"/>
      <c r="AL413" s="116"/>
    </row>
    <row r="414" ht="16.5" customHeight="1">
      <c r="A414" s="362"/>
      <c r="B414" s="362"/>
      <c r="C414" s="362"/>
      <c r="D414" s="362"/>
      <c r="E414" s="132"/>
      <c r="F414" s="131"/>
      <c r="G414" s="361"/>
      <c r="H414" s="363"/>
      <c r="I414" s="364"/>
      <c r="J414" s="361"/>
      <c r="K414" s="361"/>
      <c r="L414" s="361"/>
      <c r="M414" s="361"/>
      <c r="N414" s="361"/>
      <c r="O414" s="361"/>
      <c r="P414" s="361"/>
      <c r="Q414" s="361"/>
      <c r="R414" s="361"/>
      <c r="S414" s="361"/>
      <c r="T414" s="361"/>
      <c r="U414" s="361"/>
      <c r="V414" s="361"/>
      <c r="W414" s="361"/>
      <c r="X414" s="365"/>
      <c r="Y414" s="361"/>
      <c r="Z414" s="361"/>
      <c r="AA414" s="116"/>
      <c r="AB414" s="116"/>
      <c r="AC414" s="116"/>
      <c r="AD414" s="116"/>
      <c r="AE414" s="365"/>
      <c r="AF414" s="116"/>
      <c r="AG414" s="116"/>
      <c r="AH414" s="116"/>
      <c r="AI414" s="116"/>
      <c r="AJ414" s="116"/>
      <c r="AK414" s="116"/>
      <c r="AL414" s="116"/>
    </row>
    <row r="415" ht="16.5" customHeight="1">
      <c r="A415" s="362"/>
      <c r="B415" s="362"/>
      <c r="C415" s="362"/>
      <c r="D415" s="362"/>
      <c r="E415" s="132"/>
      <c r="F415" s="131"/>
      <c r="G415" s="361"/>
      <c r="H415" s="363"/>
      <c r="I415" s="364"/>
      <c r="J415" s="361"/>
      <c r="K415" s="361"/>
      <c r="L415" s="361"/>
      <c r="M415" s="361"/>
      <c r="N415" s="361"/>
      <c r="O415" s="361"/>
      <c r="P415" s="361"/>
      <c r="Q415" s="361"/>
      <c r="R415" s="361"/>
      <c r="S415" s="361"/>
      <c r="T415" s="361"/>
      <c r="U415" s="361"/>
      <c r="V415" s="361"/>
      <c r="W415" s="361"/>
      <c r="X415" s="365"/>
      <c r="Y415" s="361"/>
      <c r="Z415" s="361"/>
      <c r="AA415" s="116"/>
      <c r="AB415" s="116"/>
      <c r="AC415" s="116"/>
      <c r="AD415" s="116"/>
      <c r="AE415" s="365"/>
      <c r="AF415" s="116"/>
      <c r="AG415" s="116"/>
      <c r="AH415" s="116"/>
      <c r="AI415" s="116"/>
      <c r="AJ415" s="116"/>
      <c r="AK415" s="116"/>
      <c r="AL415" s="116"/>
    </row>
    <row r="416" ht="16.5" customHeight="1">
      <c r="A416" s="362"/>
      <c r="B416" s="362"/>
      <c r="C416" s="362"/>
      <c r="D416" s="362"/>
      <c r="E416" s="132"/>
      <c r="F416" s="131"/>
      <c r="G416" s="361"/>
      <c r="H416" s="363"/>
      <c r="I416" s="364"/>
      <c r="J416" s="361"/>
      <c r="K416" s="361"/>
      <c r="L416" s="361"/>
      <c r="M416" s="361"/>
      <c r="N416" s="361"/>
      <c r="O416" s="361"/>
      <c r="P416" s="361"/>
      <c r="Q416" s="361"/>
      <c r="R416" s="361"/>
      <c r="S416" s="361"/>
      <c r="T416" s="361"/>
      <c r="U416" s="361"/>
      <c r="V416" s="361"/>
      <c r="W416" s="361"/>
      <c r="X416" s="365"/>
      <c r="Y416" s="361"/>
      <c r="Z416" s="361"/>
      <c r="AA416" s="116"/>
      <c r="AB416" s="116"/>
      <c r="AC416" s="116"/>
      <c r="AD416" s="116"/>
      <c r="AE416" s="365"/>
      <c r="AF416" s="116"/>
      <c r="AG416" s="116"/>
      <c r="AH416" s="116"/>
      <c r="AI416" s="116"/>
      <c r="AJ416" s="116"/>
      <c r="AK416" s="116"/>
      <c r="AL416" s="116"/>
    </row>
    <row r="417" ht="16.5" customHeight="1">
      <c r="A417" s="362"/>
      <c r="B417" s="362"/>
      <c r="C417" s="362"/>
      <c r="D417" s="362"/>
      <c r="E417" s="132"/>
      <c r="F417" s="131"/>
      <c r="G417" s="361"/>
      <c r="H417" s="363"/>
      <c r="I417" s="364"/>
      <c r="J417" s="361"/>
      <c r="K417" s="361"/>
      <c r="L417" s="361"/>
      <c r="M417" s="361"/>
      <c r="N417" s="361"/>
      <c r="O417" s="361"/>
      <c r="P417" s="361"/>
      <c r="Q417" s="361"/>
      <c r="R417" s="361"/>
      <c r="S417" s="361"/>
      <c r="T417" s="361"/>
      <c r="U417" s="361"/>
      <c r="V417" s="361"/>
      <c r="W417" s="361"/>
      <c r="X417" s="365"/>
      <c r="Y417" s="361"/>
      <c r="Z417" s="361"/>
      <c r="AA417" s="116"/>
      <c r="AB417" s="116"/>
      <c r="AC417" s="116"/>
      <c r="AD417" s="116"/>
      <c r="AE417" s="365"/>
      <c r="AF417" s="116"/>
      <c r="AG417" s="116"/>
      <c r="AH417" s="116"/>
      <c r="AI417" s="116"/>
      <c r="AJ417" s="116"/>
      <c r="AK417" s="116"/>
      <c r="AL417" s="116"/>
    </row>
    <row r="418" ht="16.5" customHeight="1">
      <c r="A418" s="362"/>
      <c r="B418" s="362"/>
      <c r="C418" s="362"/>
      <c r="D418" s="362"/>
      <c r="E418" s="132"/>
      <c r="F418" s="131"/>
      <c r="G418" s="361"/>
      <c r="H418" s="363"/>
      <c r="I418" s="364"/>
      <c r="J418" s="361"/>
      <c r="K418" s="361"/>
      <c r="L418" s="361"/>
      <c r="M418" s="361"/>
      <c r="N418" s="361"/>
      <c r="O418" s="361"/>
      <c r="P418" s="361"/>
      <c r="Q418" s="361"/>
      <c r="R418" s="361"/>
      <c r="S418" s="361"/>
      <c r="T418" s="361"/>
      <c r="U418" s="361"/>
      <c r="V418" s="361"/>
      <c r="W418" s="361"/>
      <c r="X418" s="365"/>
      <c r="Y418" s="361"/>
      <c r="Z418" s="361"/>
      <c r="AA418" s="116"/>
      <c r="AB418" s="116"/>
      <c r="AC418" s="116"/>
      <c r="AD418" s="116"/>
      <c r="AE418" s="365"/>
      <c r="AF418" s="116"/>
      <c r="AG418" s="116"/>
      <c r="AH418" s="116"/>
      <c r="AI418" s="116"/>
      <c r="AJ418" s="116"/>
      <c r="AK418" s="116"/>
      <c r="AL418" s="116"/>
    </row>
    <row r="419" ht="16.5" customHeight="1">
      <c r="A419" s="362"/>
      <c r="B419" s="362"/>
      <c r="C419" s="362"/>
      <c r="D419" s="362"/>
      <c r="E419" s="132"/>
      <c r="F419" s="131"/>
      <c r="G419" s="361"/>
      <c r="H419" s="363"/>
      <c r="I419" s="364"/>
      <c r="J419" s="361"/>
      <c r="K419" s="361"/>
      <c r="L419" s="361"/>
      <c r="M419" s="361"/>
      <c r="N419" s="361"/>
      <c r="O419" s="361"/>
      <c r="P419" s="361"/>
      <c r="Q419" s="361"/>
      <c r="R419" s="361"/>
      <c r="S419" s="361"/>
      <c r="T419" s="361"/>
      <c r="U419" s="361"/>
      <c r="V419" s="361"/>
      <c r="W419" s="361"/>
      <c r="X419" s="365"/>
      <c r="Y419" s="361"/>
      <c r="Z419" s="361"/>
      <c r="AA419" s="116"/>
      <c r="AB419" s="116"/>
      <c r="AC419" s="116"/>
      <c r="AD419" s="116"/>
      <c r="AE419" s="365"/>
      <c r="AF419" s="116"/>
      <c r="AG419" s="116"/>
      <c r="AH419" s="116"/>
      <c r="AI419" s="116"/>
      <c r="AJ419" s="116"/>
      <c r="AK419" s="116"/>
      <c r="AL419" s="116"/>
    </row>
    <row r="420" ht="16.5" customHeight="1">
      <c r="A420" s="362"/>
      <c r="B420" s="362"/>
      <c r="C420" s="362"/>
      <c r="D420" s="362"/>
      <c r="E420" s="132"/>
      <c r="F420" s="131"/>
      <c r="G420" s="361"/>
      <c r="H420" s="363"/>
      <c r="I420" s="364"/>
      <c r="J420" s="361"/>
      <c r="K420" s="361"/>
      <c r="L420" s="361"/>
      <c r="M420" s="361"/>
      <c r="N420" s="361"/>
      <c r="O420" s="361"/>
      <c r="P420" s="361"/>
      <c r="Q420" s="361"/>
      <c r="R420" s="361"/>
      <c r="S420" s="361"/>
      <c r="T420" s="361"/>
      <c r="U420" s="361"/>
      <c r="V420" s="361"/>
      <c r="W420" s="361"/>
      <c r="X420" s="365"/>
      <c r="Y420" s="361"/>
      <c r="Z420" s="361"/>
      <c r="AA420" s="116"/>
      <c r="AB420" s="116"/>
      <c r="AC420" s="116"/>
      <c r="AD420" s="116"/>
      <c r="AE420" s="365"/>
      <c r="AF420" s="116"/>
      <c r="AG420" s="116"/>
      <c r="AH420" s="116"/>
      <c r="AI420" s="116"/>
      <c r="AJ420" s="116"/>
      <c r="AK420" s="116"/>
      <c r="AL420" s="116"/>
    </row>
    <row r="421" ht="16.5" customHeight="1">
      <c r="A421" s="362"/>
      <c r="B421" s="362"/>
      <c r="C421" s="362"/>
      <c r="D421" s="362"/>
      <c r="E421" s="132"/>
      <c r="F421" s="131"/>
      <c r="G421" s="361"/>
      <c r="H421" s="363"/>
      <c r="I421" s="364"/>
      <c r="J421" s="361"/>
      <c r="K421" s="361"/>
      <c r="L421" s="361"/>
      <c r="M421" s="361"/>
      <c r="N421" s="361"/>
      <c r="O421" s="361"/>
      <c r="P421" s="361"/>
      <c r="Q421" s="361"/>
      <c r="R421" s="361"/>
      <c r="S421" s="361"/>
      <c r="T421" s="361"/>
      <c r="U421" s="361"/>
      <c r="V421" s="361"/>
      <c r="W421" s="361"/>
      <c r="X421" s="365"/>
      <c r="Y421" s="361"/>
      <c r="Z421" s="361"/>
      <c r="AA421" s="116"/>
      <c r="AB421" s="116"/>
      <c r="AC421" s="116"/>
      <c r="AD421" s="116"/>
      <c r="AE421" s="365"/>
      <c r="AF421" s="116"/>
      <c r="AG421" s="116"/>
      <c r="AH421" s="116"/>
      <c r="AI421" s="116"/>
      <c r="AJ421" s="116"/>
      <c r="AK421" s="116"/>
      <c r="AL421" s="116"/>
    </row>
    <row r="422" ht="16.5" customHeight="1">
      <c r="A422" s="362"/>
      <c r="B422" s="362"/>
      <c r="C422" s="362"/>
      <c r="D422" s="362"/>
      <c r="E422" s="132"/>
      <c r="F422" s="131"/>
      <c r="G422" s="361"/>
      <c r="H422" s="363"/>
      <c r="I422" s="364"/>
      <c r="J422" s="361"/>
      <c r="K422" s="361"/>
      <c r="L422" s="361"/>
      <c r="M422" s="361"/>
      <c r="N422" s="361"/>
      <c r="O422" s="361"/>
      <c r="P422" s="361"/>
      <c r="Q422" s="361"/>
      <c r="R422" s="361"/>
      <c r="S422" s="361"/>
      <c r="T422" s="361"/>
      <c r="U422" s="361"/>
      <c r="V422" s="361"/>
      <c r="W422" s="361"/>
      <c r="X422" s="365"/>
      <c r="Y422" s="361"/>
      <c r="Z422" s="361"/>
      <c r="AA422" s="116"/>
      <c r="AB422" s="116"/>
      <c r="AC422" s="116"/>
      <c r="AD422" s="116"/>
      <c r="AE422" s="365"/>
      <c r="AF422" s="116"/>
      <c r="AG422" s="116"/>
      <c r="AH422" s="116"/>
      <c r="AI422" s="116"/>
      <c r="AJ422" s="116"/>
      <c r="AK422" s="116"/>
      <c r="AL422" s="116"/>
    </row>
    <row r="423" ht="16.5" customHeight="1">
      <c r="A423" s="362"/>
      <c r="B423" s="362"/>
      <c r="C423" s="362"/>
      <c r="D423" s="362"/>
      <c r="E423" s="132"/>
      <c r="F423" s="131"/>
      <c r="G423" s="361"/>
      <c r="H423" s="363"/>
      <c r="I423" s="364"/>
      <c r="J423" s="361"/>
      <c r="K423" s="361"/>
      <c r="L423" s="361"/>
      <c r="M423" s="361"/>
      <c r="N423" s="361"/>
      <c r="O423" s="361"/>
      <c r="P423" s="361"/>
      <c r="Q423" s="361"/>
      <c r="R423" s="361"/>
      <c r="S423" s="361"/>
      <c r="T423" s="361"/>
      <c r="U423" s="361"/>
      <c r="V423" s="361"/>
      <c r="W423" s="361"/>
      <c r="X423" s="365"/>
      <c r="Y423" s="361"/>
      <c r="Z423" s="361"/>
      <c r="AA423" s="116"/>
      <c r="AB423" s="116"/>
      <c r="AC423" s="116"/>
      <c r="AD423" s="116"/>
      <c r="AE423" s="365"/>
      <c r="AF423" s="116"/>
      <c r="AG423" s="116"/>
      <c r="AH423" s="116"/>
      <c r="AI423" s="116"/>
      <c r="AJ423" s="116"/>
      <c r="AK423" s="116"/>
      <c r="AL423" s="116"/>
    </row>
    <row r="424" ht="16.5" customHeight="1">
      <c r="A424" s="362"/>
      <c r="B424" s="362"/>
      <c r="C424" s="362"/>
      <c r="D424" s="362"/>
      <c r="E424" s="132"/>
      <c r="F424" s="131"/>
      <c r="G424" s="361"/>
      <c r="H424" s="363"/>
      <c r="I424" s="364"/>
      <c r="J424" s="361"/>
      <c r="K424" s="361"/>
      <c r="L424" s="361"/>
      <c r="M424" s="361"/>
      <c r="N424" s="361"/>
      <c r="O424" s="361"/>
      <c r="P424" s="361"/>
      <c r="Q424" s="361"/>
      <c r="R424" s="361"/>
      <c r="S424" s="361"/>
      <c r="T424" s="361"/>
      <c r="U424" s="361"/>
      <c r="V424" s="361"/>
      <c r="W424" s="361"/>
      <c r="X424" s="365"/>
      <c r="Y424" s="361"/>
      <c r="Z424" s="361"/>
      <c r="AA424" s="116"/>
      <c r="AB424" s="116"/>
      <c r="AC424" s="116"/>
      <c r="AD424" s="116"/>
      <c r="AE424" s="365"/>
      <c r="AF424" s="116"/>
      <c r="AG424" s="116"/>
      <c r="AH424" s="116"/>
      <c r="AI424" s="116"/>
      <c r="AJ424" s="116"/>
      <c r="AK424" s="116"/>
      <c r="AL424" s="116"/>
    </row>
    <row r="425" ht="16.5" customHeight="1">
      <c r="A425" s="362"/>
      <c r="B425" s="362"/>
      <c r="C425" s="362"/>
      <c r="D425" s="362"/>
      <c r="E425" s="132"/>
      <c r="F425" s="131"/>
      <c r="G425" s="361"/>
      <c r="H425" s="363"/>
      <c r="I425" s="364"/>
      <c r="J425" s="361"/>
      <c r="K425" s="361"/>
      <c r="L425" s="361"/>
      <c r="M425" s="361"/>
      <c r="N425" s="361"/>
      <c r="O425" s="361"/>
      <c r="P425" s="361"/>
      <c r="Q425" s="361"/>
      <c r="R425" s="361"/>
      <c r="S425" s="361"/>
      <c r="T425" s="361"/>
      <c r="U425" s="361"/>
      <c r="V425" s="361"/>
      <c r="W425" s="361"/>
      <c r="X425" s="365"/>
      <c r="Y425" s="361"/>
      <c r="Z425" s="361"/>
      <c r="AA425" s="116"/>
      <c r="AB425" s="116"/>
      <c r="AC425" s="116"/>
      <c r="AD425" s="116"/>
      <c r="AE425" s="365"/>
      <c r="AF425" s="116"/>
      <c r="AG425" s="116"/>
      <c r="AH425" s="116"/>
      <c r="AI425" s="116"/>
      <c r="AJ425" s="116"/>
      <c r="AK425" s="116"/>
      <c r="AL425" s="116"/>
    </row>
    <row r="426" ht="16.5" customHeight="1">
      <c r="A426" s="362"/>
      <c r="B426" s="362"/>
      <c r="C426" s="362"/>
      <c r="D426" s="362"/>
      <c r="E426" s="132"/>
      <c r="F426" s="131"/>
      <c r="G426" s="361"/>
      <c r="H426" s="363"/>
      <c r="I426" s="364"/>
      <c r="J426" s="361"/>
      <c r="K426" s="361"/>
      <c r="L426" s="361"/>
      <c r="M426" s="361"/>
      <c r="N426" s="361"/>
      <c r="O426" s="361"/>
      <c r="P426" s="361"/>
      <c r="Q426" s="361"/>
      <c r="R426" s="361"/>
      <c r="S426" s="361"/>
      <c r="T426" s="361"/>
      <c r="U426" s="361"/>
      <c r="V426" s="361"/>
      <c r="W426" s="361"/>
      <c r="X426" s="365"/>
      <c r="Y426" s="361"/>
      <c r="Z426" s="361"/>
      <c r="AA426" s="116"/>
      <c r="AB426" s="116"/>
      <c r="AC426" s="116"/>
      <c r="AD426" s="116"/>
      <c r="AE426" s="365"/>
      <c r="AF426" s="116"/>
      <c r="AG426" s="116"/>
      <c r="AH426" s="116"/>
      <c r="AI426" s="116"/>
      <c r="AJ426" s="116"/>
      <c r="AK426" s="116"/>
      <c r="AL426" s="116"/>
    </row>
    <row r="427" ht="16.5" customHeight="1">
      <c r="A427" s="362"/>
      <c r="B427" s="362"/>
      <c r="C427" s="362"/>
      <c r="D427" s="362"/>
      <c r="E427" s="132"/>
      <c r="F427" s="131"/>
      <c r="G427" s="361"/>
      <c r="H427" s="363"/>
      <c r="I427" s="364"/>
      <c r="J427" s="361"/>
      <c r="K427" s="361"/>
      <c r="L427" s="361"/>
      <c r="M427" s="361"/>
      <c r="N427" s="361"/>
      <c r="O427" s="361"/>
      <c r="P427" s="361"/>
      <c r="Q427" s="361"/>
      <c r="R427" s="361"/>
      <c r="S427" s="361"/>
      <c r="T427" s="361"/>
      <c r="U427" s="361"/>
      <c r="V427" s="361"/>
      <c r="W427" s="361"/>
      <c r="X427" s="365"/>
      <c r="Y427" s="361"/>
      <c r="Z427" s="361"/>
      <c r="AA427" s="116"/>
      <c r="AB427" s="116"/>
      <c r="AC427" s="116"/>
      <c r="AD427" s="116"/>
      <c r="AE427" s="365"/>
      <c r="AF427" s="116"/>
      <c r="AG427" s="116"/>
      <c r="AH427" s="116"/>
      <c r="AI427" s="116"/>
      <c r="AJ427" s="116"/>
      <c r="AK427" s="116"/>
      <c r="AL427" s="116"/>
    </row>
    <row r="428" ht="16.5" customHeight="1">
      <c r="A428" s="362"/>
      <c r="B428" s="362"/>
      <c r="C428" s="362"/>
      <c r="D428" s="362"/>
      <c r="E428" s="132"/>
      <c r="F428" s="131"/>
      <c r="G428" s="361"/>
      <c r="H428" s="363"/>
      <c r="I428" s="364"/>
      <c r="J428" s="361"/>
      <c r="K428" s="361"/>
      <c r="L428" s="361"/>
      <c r="M428" s="361"/>
      <c r="N428" s="361"/>
      <c r="O428" s="361"/>
      <c r="P428" s="361"/>
      <c r="Q428" s="361"/>
      <c r="R428" s="361"/>
      <c r="S428" s="361"/>
      <c r="T428" s="361"/>
      <c r="U428" s="361"/>
      <c r="V428" s="361"/>
      <c r="W428" s="361"/>
      <c r="X428" s="365"/>
      <c r="Y428" s="361"/>
      <c r="Z428" s="361"/>
      <c r="AA428" s="116"/>
      <c r="AB428" s="116"/>
      <c r="AC428" s="116"/>
      <c r="AD428" s="116"/>
      <c r="AE428" s="365"/>
      <c r="AF428" s="116"/>
      <c r="AG428" s="116"/>
      <c r="AH428" s="116"/>
      <c r="AI428" s="116"/>
      <c r="AJ428" s="116"/>
      <c r="AK428" s="116"/>
      <c r="AL428" s="116"/>
    </row>
    <row r="429" ht="16.5" customHeight="1">
      <c r="A429" s="362"/>
      <c r="B429" s="362"/>
      <c r="C429" s="362"/>
      <c r="D429" s="362"/>
      <c r="E429" s="132"/>
      <c r="F429" s="131"/>
      <c r="G429" s="361"/>
      <c r="H429" s="363"/>
      <c r="I429" s="364"/>
      <c r="J429" s="361"/>
      <c r="K429" s="361"/>
      <c r="L429" s="361"/>
      <c r="M429" s="361"/>
      <c r="N429" s="361"/>
      <c r="O429" s="361"/>
      <c r="P429" s="361"/>
      <c r="Q429" s="361"/>
      <c r="R429" s="361"/>
      <c r="S429" s="361"/>
      <c r="T429" s="361"/>
      <c r="U429" s="361"/>
      <c r="V429" s="361"/>
      <c r="W429" s="361"/>
      <c r="X429" s="365"/>
      <c r="Y429" s="361"/>
      <c r="Z429" s="361"/>
      <c r="AA429" s="116"/>
      <c r="AB429" s="116"/>
      <c r="AC429" s="116"/>
      <c r="AD429" s="116"/>
      <c r="AE429" s="365"/>
      <c r="AF429" s="116"/>
      <c r="AG429" s="116"/>
      <c r="AH429" s="116"/>
      <c r="AI429" s="116"/>
      <c r="AJ429" s="116"/>
      <c r="AK429" s="116"/>
      <c r="AL429" s="116"/>
    </row>
    <row r="430" ht="16.5" customHeight="1">
      <c r="A430" s="362"/>
      <c r="B430" s="362"/>
      <c r="C430" s="362"/>
      <c r="D430" s="362"/>
      <c r="E430" s="132"/>
      <c r="F430" s="131"/>
      <c r="G430" s="361"/>
      <c r="H430" s="363"/>
      <c r="I430" s="364"/>
      <c r="J430" s="361"/>
      <c r="K430" s="361"/>
      <c r="L430" s="361"/>
      <c r="M430" s="361"/>
      <c r="N430" s="361"/>
      <c r="O430" s="361"/>
      <c r="P430" s="361"/>
      <c r="Q430" s="361"/>
      <c r="R430" s="361"/>
      <c r="S430" s="361"/>
      <c r="T430" s="361"/>
      <c r="U430" s="361"/>
      <c r="V430" s="361"/>
      <c r="W430" s="361"/>
      <c r="X430" s="365"/>
      <c r="Y430" s="361"/>
      <c r="Z430" s="361"/>
      <c r="AA430" s="116"/>
      <c r="AB430" s="116"/>
      <c r="AC430" s="116"/>
      <c r="AD430" s="116"/>
      <c r="AE430" s="365"/>
      <c r="AF430" s="116"/>
      <c r="AG430" s="116"/>
      <c r="AH430" s="116"/>
      <c r="AI430" s="116"/>
      <c r="AJ430" s="116"/>
      <c r="AK430" s="116"/>
      <c r="AL430" s="116"/>
    </row>
    <row r="431" ht="16.5" customHeight="1">
      <c r="A431" s="362"/>
      <c r="B431" s="362"/>
      <c r="C431" s="362"/>
      <c r="D431" s="362"/>
      <c r="E431" s="132"/>
      <c r="F431" s="131"/>
      <c r="G431" s="361"/>
      <c r="H431" s="363"/>
      <c r="I431" s="364"/>
      <c r="J431" s="361"/>
      <c r="K431" s="361"/>
      <c r="L431" s="361"/>
      <c r="M431" s="361"/>
      <c r="N431" s="361"/>
      <c r="O431" s="361"/>
      <c r="P431" s="361"/>
      <c r="Q431" s="361"/>
      <c r="R431" s="361"/>
      <c r="S431" s="361"/>
      <c r="T431" s="361"/>
      <c r="U431" s="361"/>
      <c r="V431" s="361"/>
      <c r="W431" s="361"/>
      <c r="X431" s="365"/>
      <c r="Y431" s="361"/>
      <c r="Z431" s="361"/>
      <c r="AA431" s="116"/>
      <c r="AB431" s="116"/>
      <c r="AC431" s="116"/>
      <c r="AD431" s="116"/>
      <c r="AE431" s="365"/>
      <c r="AF431" s="116"/>
      <c r="AG431" s="116"/>
      <c r="AH431" s="116"/>
      <c r="AI431" s="116"/>
      <c r="AJ431" s="116"/>
      <c r="AK431" s="116"/>
      <c r="AL431" s="116"/>
    </row>
    <row r="432" ht="16.5" customHeight="1">
      <c r="A432" s="362"/>
      <c r="B432" s="362"/>
      <c r="C432" s="362"/>
      <c r="D432" s="362"/>
      <c r="E432" s="132"/>
      <c r="F432" s="131"/>
      <c r="G432" s="361"/>
      <c r="H432" s="363"/>
      <c r="I432" s="364"/>
      <c r="J432" s="361"/>
      <c r="K432" s="361"/>
      <c r="L432" s="361"/>
      <c r="M432" s="361"/>
      <c r="N432" s="361"/>
      <c r="O432" s="361"/>
      <c r="P432" s="361"/>
      <c r="Q432" s="361"/>
      <c r="R432" s="361"/>
      <c r="S432" s="361"/>
      <c r="T432" s="361"/>
      <c r="U432" s="361"/>
      <c r="V432" s="361"/>
      <c r="W432" s="361"/>
      <c r="X432" s="365"/>
      <c r="Y432" s="361"/>
      <c r="Z432" s="361"/>
      <c r="AA432" s="116"/>
      <c r="AB432" s="116"/>
      <c r="AC432" s="116"/>
      <c r="AD432" s="116"/>
      <c r="AE432" s="365"/>
      <c r="AF432" s="116"/>
      <c r="AG432" s="116"/>
      <c r="AH432" s="116"/>
      <c r="AI432" s="116"/>
      <c r="AJ432" s="116"/>
      <c r="AK432" s="116"/>
      <c r="AL432" s="116"/>
    </row>
    <row r="433" ht="16.5" customHeight="1">
      <c r="A433" s="362"/>
      <c r="B433" s="362"/>
      <c r="C433" s="362"/>
      <c r="D433" s="362"/>
      <c r="E433" s="132"/>
      <c r="F433" s="131"/>
      <c r="G433" s="361"/>
      <c r="H433" s="363"/>
      <c r="I433" s="364"/>
      <c r="J433" s="361"/>
      <c r="K433" s="361"/>
      <c r="L433" s="361"/>
      <c r="M433" s="361"/>
      <c r="N433" s="361"/>
      <c r="O433" s="361"/>
      <c r="P433" s="361"/>
      <c r="Q433" s="361"/>
      <c r="R433" s="361"/>
      <c r="S433" s="361"/>
      <c r="T433" s="361"/>
      <c r="U433" s="361"/>
      <c r="V433" s="361"/>
      <c r="W433" s="361"/>
      <c r="X433" s="365"/>
      <c r="Y433" s="361"/>
      <c r="Z433" s="361"/>
      <c r="AA433" s="116"/>
      <c r="AB433" s="116"/>
      <c r="AC433" s="116"/>
      <c r="AD433" s="116"/>
      <c r="AE433" s="365"/>
      <c r="AF433" s="116"/>
      <c r="AG433" s="116"/>
      <c r="AH433" s="116"/>
      <c r="AI433" s="116"/>
      <c r="AJ433" s="116"/>
      <c r="AK433" s="116"/>
      <c r="AL433" s="116"/>
    </row>
    <row r="434" ht="16.5" customHeight="1">
      <c r="A434" s="362"/>
      <c r="B434" s="362"/>
      <c r="C434" s="362"/>
      <c r="D434" s="362"/>
      <c r="E434" s="132"/>
      <c r="F434" s="131"/>
      <c r="G434" s="361"/>
      <c r="H434" s="363"/>
      <c r="I434" s="364"/>
      <c r="J434" s="361"/>
      <c r="K434" s="361"/>
      <c r="L434" s="361"/>
      <c r="M434" s="361"/>
      <c r="N434" s="361"/>
      <c r="O434" s="361"/>
      <c r="P434" s="361"/>
      <c r="Q434" s="361"/>
      <c r="R434" s="361"/>
      <c r="S434" s="361"/>
      <c r="T434" s="361"/>
      <c r="U434" s="361"/>
      <c r="V434" s="361"/>
      <c r="W434" s="361"/>
      <c r="X434" s="365"/>
      <c r="Y434" s="361"/>
      <c r="Z434" s="361"/>
      <c r="AA434" s="116"/>
      <c r="AB434" s="116"/>
      <c r="AC434" s="116"/>
      <c r="AD434" s="116"/>
      <c r="AE434" s="365"/>
      <c r="AF434" s="116"/>
      <c r="AG434" s="116"/>
      <c r="AH434" s="116"/>
      <c r="AI434" s="116"/>
      <c r="AJ434" s="116"/>
      <c r="AK434" s="116"/>
      <c r="AL434" s="116"/>
    </row>
    <row r="435" ht="16.5" customHeight="1">
      <c r="A435" s="362"/>
      <c r="B435" s="362"/>
      <c r="C435" s="362"/>
      <c r="D435" s="362"/>
      <c r="E435" s="132"/>
      <c r="F435" s="131"/>
      <c r="G435" s="361"/>
      <c r="H435" s="363"/>
      <c r="I435" s="364"/>
      <c r="J435" s="361"/>
      <c r="K435" s="361"/>
      <c r="L435" s="361"/>
      <c r="M435" s="361"/>
      <c r="N435" s="361"/>
      <c r="O435" s="361"/>
      <c r="P435" s="361"/>
      <c r="Q435" s="361"/>
      <c r="R435" s="361"/>
      <c r="S435" s="361"/>
      <c r="T435" s="361"/>
      <c r="U435" s="361"/>
      <c r="V435" s="361"/>
      <c r="W435" s="361"/>
      <c r="X435" s="365"/>
      <c r="Y435" s="361"/>
      <c r="Z435" s="361"/>
      <c r="AA435" s="116"/>
      <c r="AB435" s="116"/>
      <c r="AC435" s="116"/>
      <c r="AD435" s="116"/>
      <c r="AE435" s="365"/>
      <c r="AF435" s="116"/>
      <c r="AG435" s="116"/>
      <c r="AH435" s="116"/>
      <c r="AI435" s="116"/>
      <c r="AJ435" s="116"/>
      <c r="AK435" s="116"/>
      <c r="AL435" s="116"/>
    </row>
    <row r="436" ht="16.5" customHeight="1">
      <c r="A436" s="362"/>
      <c r="B436" s="362"/>
      <c r="C436" s="362"/>
      <c r="D436" s="362"/>
      <c r="E436" s="132"/>
      <c r="F436" s="131"/>
      <c r="G436" s="361"/>
      <c r="H436" s="363"/>
      <c r="I436" s="364"/>
      <c r="J436" s="361"/>
      <c r="K436" s="361"/>
      <c r="L436" s="361"/>
      <c r="M436" s="361"/>
      <c r="N436" s="361"/>
      <c r="O436" s="361"/>
      <c r="P436" s="361"/>
      <c r="Q436" s="361"/>
      <c r="R436" s="361"/>
      <c r="S436" s="361"/>
      <c r="T436" s="361"/>
      <c r="U436" s="361"/>
      <c r="V436" s="361"/>
      <c r="W436" s="361"/>
      <c r="X436" s="365"/>
      <c r="Y436" s="361"/>
      <c r="Z436" s="361"/>
      <c r="AA436" s="116"/>
      <c r="AB436" s="116"/>
      <c r="AC436" s="116"/>
      <c r="AD436" s="116"/>
      <c r="AE436" s="365"/>
      <c r="AF436" s="116"/>
      <c r="AG436" s="116"/>
      <c r="AH436" s="116"/>
      <c r="AI436" s="116"/>
      <c r="AJ436" s="116"/>
      <c r="AK436" s="116"/>
      <c r="AL436" s="116"/>
    </row>
    <row r="437" ht="16.5" customHeight="1">
      <c r="A437" s="362"/>
      <c r="B437" s="362"/>
      <c r="C437" s="362"/>
      <c r="D437" s="362"/>
      <c r="E437" s="132"/>
      <c r="F437" s="131"/>
      <c r="G437" s="361"/>
      <c r="H437" s="363"/>
      <c r="I437" s="364"/>
      <c r="J437" s="361"/>
      <c r="K437" s="361"/>
      <c r="L437" s="361"/>
      <c r="M437" s="361"/>
      <c r="N437" s="361"/>
      <c r="O437" s="361"/>
      <c r="P437" s="361"/>
      <c r="Q437" s="361"/>
      <c r="R437" s="361"/>
      <c r="S437" s="361"/>
      <c r="T437" s="361"/>
      <c r="U437" s="361"/>
      <c r="V437" s="361"/>
      <c r="W437" s="361"/>
      <c r="X437" s="365"/>
      <c r="Y437" s="361"/>
      <c r="Z437" s="361"/>
      <c r="AA437" s="116"/>
      <c r="AB437" s="116"/>
      <c r="AC437" s="116"/>
      <c r="AD437" s="116"/>
      <c r="AE437" s="365"/>
      <c r="AF437" s="116"/>
      <c r="AG437" s="116"/>
      <c r="AH437" s="116"/>
      <c r="AI437" s="116"/>
      <c r="AJ437" s="116"/>
      <c r="AK437" s="116"/>
      <c r="AL437" s="116"/>
    </row>
    <row r="438" ht="16.5" customHeight="1">
      <c r="A438" s="362"/>
      <c r="B438" s="362"/>
      <c r="C438" s="362"/>
      <c r="D438" s="362"/>
      <c r="E438" s="132"/>
      <c r="F438" s="131"/>
      <c r="G438" s="361"/>
      <c r="H438" s="363"/>
      <c r="I438" s="364"/>
      <c r="J438" s="361"/>
      <c r="K438" s="361"/>
      <c r="L438" s="361"/>
      <c r="M438" s="361"/>
      <c r="N438" s="361"/>
      <c r="O438" s="361"/>
      <c r="P438" s="361"/>
      <c r="Q438" s="361"/>
      <c r="R438" s="361"/>
      <c r="S438" s="361"/>
      <c r="T438" s="361"/>
      <c r="U438" s="361"/>
      <c r="V438" s="361"/>
      <c r="W438" s="361"/>
      <c r="X438" s="365"/>
      <c r="Y438" s="361"/>
      <c r="Z438" s="361"/>
      <c r="AA438" s="116"/>
      <c r="AB438" s="116"/>
      <c r="AC438" s="116"/>
      <c r="AD438" s="116"/>
      <c r="AE438" s="365"/>
      <c r="AF438" s="116"/>
      <c r="AG438" s="116"/>
      <c r="AH438" s="116"/>
      <c r="AI438" s="116"/>
      <c r="AJ438" s="116"/>
      <c r="AK438" s="116"/>
      <c r="AL438" s="116"/>
    </row>
    <row r="439" ht="16.5" customHeight="1">
      <c r="A439" s="362"/>
      <c r="B439" s="362"/>
      <c r="C439" s="362"/>
      <c r="D439" s="362"/>
      <c r="E439" s="132"/>
      <c r="F439" s="131"/>
      <c r="G439" s="361"/>
      <c r="H439" s="363"/>
      <c r="I439" s="364"/>
      <c r="J439" s="361"/>
      <c r="K439" s="361"/>
      <c r="L439" s="361"/>
      <c r="M439" s="361"/>
      <c r="N439" s="361"/>
      <c r="O439" s="361"/>
      <c r="P439" s="361"/>
      <c r="Q439" s="361"/>
      <c r="R439" s="361"/>
      <c r="S439" s="361"/>
      <c r="T439" s="361"/>
      <c r="U439" s="361"/>
      <c r="V439" s="361"/>
      <c r="W439" s="361"/>
      <c r="X439" s="365"/>
      <c r="Y439" s="361"/>
      <c r="Z439" s="361"/>
      <c r="AA439" s="116"/>
      <c r="AB439" s="116"/>
      <c r="AC439" s="116"/>
      <c r="AD439" s="116"/>
      <c r="AE439" s="365"/>
      <c r="AF439" s="116"/>
      <c r="AG439" s="116"/>
      <c r="AH439" s="116"/>
      <c r="AI439" s="116"/>
      <c r="AJ439" s="116"/>
      <c r="AK439" s="116"/>
      <c r="AL439" s="116"/>
    </row>
    <row r="440" ht="16.5" customHeight="1">
      <c r="A440" s="362"/>
      <c r="B440" s="362"/>
      <c r="C440" s="362"/>
      <c r="D440" s="362"/>
      <c r="E440" s="132"/>
      <c r="F440" s="131"/>
      <c r="G440" s="361"/>
      <c r="H440" s="363"/>
      <c r="I440" s="364"/>
      <c r="J440" s="361"/>
      <c r="K440" s="361"/>
      <c r="L440" s="361"/>
      <c r="M440" s="361"/>
      <c r="N440" s="361"/>
      <c r="O440" s="361"/>
      <c r="P440" s="361"/>
      <c r="Q440" s="361"/>
      <c r="R440" s="361"/>
      <c r="S440" s="361"/>
      <c r="T440" s="361"/>
      <c r="U440" s="361"/>
      <c r="V440" s="361"/>
      <c r="W440" s="361"/>
      <c r="X440" s="365"/>
      <c r="Y440" s="361"/>
      <c r="Z440" s="361"/>
      <c r="AA440" s="116"/>
      <c r="AB440" s="116"/>
      <c r="AC440" s="116"/>
      <c r="AD440" s="116"/>
      <c r="AE440" s="365"/>
      <c r="AF440" s="116"/>
      <c r="AG440" s="116"/>
      <c r="AH440" s="116"/>
      <c r="AI440" s="116"/>
      <c r="AJ440" s="116"/>
      <c r="AK440" s="116"/>
      <c r="AL440" s="116"/>
    </row>
    <row r="441" ht="16.5" customHeight="1">
      <c r="A441" s="362"/>
      <c r="B441" s="362"/>
      <c r="C441" s="362"/>
      <c r="D441" s="362"/>
      <c r="E441" s="132"/>
      <c r="F441" s="131"/>
      <c r="G441" s="361"/>
      <c r="H441" s="363"/>
      <c r="I441" s="364"/>
      <c r="J441" s="361"/>
      <c r="K441" s="361"/>
      <c r="L441" s="361"/>
      <c r="M441" s="361"/>
      <c r="N441" s="361"/>
      <c r="O441" s="361"/>
      <c r="P441" s="361"/>
      <c r="Q441" s="361"/>
      <c r="R441" s="361"/>
      <c r="S441" s="361"/>
      <c r="T441" s="361"/>
      <c r="U441" s="361"/>
      <c r="V441" s="361"/>
      <c r="W441" s="361"/>
      <c r="X441" s="365"/>
      <c r="Y441" s="361"/>
      <c r="Z441" s="361"/>
      <c r="AA441" s="116"/>
      <c r="AB441" s="116"/>
      <c r="AC441" s="116"/>
      <c r="AD441" s="116"/>
      <c r="AE441" s="365"/>
      <c r="AF441" s="116"/>
      <c r="AG441" s="116"/>
      <c r="AH441" s="116"/>
      <c r="AI441" s="116"/>
      <c r="AJ441" s="116"/>
      <c r="AK441" s="116"/>
      <c r="AL441" s="116"/>
    </row>
    <row r="442" ht="16.5" customHeight="1">
      <c r="A442" s="362"/>
      <c r="B442" s="362"/>
      <c r="C442" s="362"/>
      <c r="D442" s="362"/>
      <c r="E442" s="132"/>
      <c r="F442" s="131"/>
      <c r="G442" s="361"/>
      <c r="H442" s="363"/>
      <c r="I442" s="364"/>
      <c r="J442" s="361"/>
      <c r="K442" s="361"/>
      <c r="L442" s="361"/>
      <c r="M442" s="361"/>
      <c r="N442" s="361"/>
      <c r="O442" s="361"/>
      <c r="P442" s="361"/>
      <c r="Q442" s="361"/>
      <c r="R442" s="361"/>
      <c r="S442" s="361"/>
      <c r="T442" s="361"/>
      <c r="U442" s="361"/>
      <c r="V442" s="361"/>
      <c r="W442" s="361"/>
      <c r="X442" s="365"/>
      <c r="Y442" s="361"/>
      <c r="Z442" s="361"/>
      <c r="AA442" s="116"/>
      <c r="AB442" s="116"/>
      <c r="AC442" s="116"/>
      <c r="AD442" s="116"/>
      <c r="AE442" s="365"/>
      <c r="AF442" s="116"/>
      <c r="AG442" s="116"/>
      <c r="AH442" s="116"/>
      <c r="AI442" s="116"/>
      <c r="AJ442" s="116"/>
      <c r="AK442" s="116"/>
      <c r="AL442" s="116"/>
    </row>
    <row r="443" ht="16.5" customHeight="1">
      <c r="A443" s="362"/>
      <c r="B443" s="362"/>
      <c r="C443" s="362"/>
      <c r="D443" s="362"/>
      <c r="E443" s="132"/>
      <c r="F443" s="131"/>
      <c r="G443" s="361"/>
      <c r="H443" s="363"/>
      <c r="I443" s="364"/>
      <c r="J443" s="361"/>
      <c r="K443" s="361"/>
      <c r="L443" s="361"/>
      <c r="M443" s="361"/>
      <c r="N443" s="361"/>
      <c r="O443" s="361"/>
      <c r="P443" s="361"/>
      <c r="Q443" s="361"/>
      <c r="R443" s="361"/>
      <c r="S443" s="361"/>
      <c r="T443" s="361"/>
      <c r="U443" s="361"/>
      <c r="V443" s="361"/>
      <c r="W443" s="361"/>
      <c r="X443" s="365"/>
      <c r="Y443" s="361"/>
      <c r="Z443" s="361"/>
      <c r="AA443" s="116"/>
      <c r="AB443" s="116"/>
      <c r="AC443" s="116"/>
      <c r="AD443" s="116"/>
      <c r="AE443" s="365"/>
      <c r="AF443" s="116"/>
      <c r="AG443" s="116"/>
      <c r="AH443" s="116"/>
      <c r="AI443" s="116"/>
      <c r="AJ443" s="116"/>
      <c r="AK443" s="116"/>
      <c r="AL443" s="116"/>
    </row>
    <row r="444" ht="16.5" customHeight="1">
      <c r="A444" s="362"/>
      <c r="B444" s="362"/>
      <c r="C444" s="362"/>
      <c r="D444" s="362"/>
      <c r="E444" s="132"/>
      <c r="F444" s="131"/>
      <c r="G444" s="361"/>
      <c r="H444" s="363"/>
      <c r="I444" s="364"/>
      <c r="J444" s="361"/>
      <c r="K444" s="361"/>
      <c r="L444" s="361"/>
      <c r="M444" s="361"/>
      <c r="N444" s="361"/>
      <c r="O444" s="361"/>
      <c r="P444" s="361"/>
      <c r="Q444" s="361"/>
      <c r="R444" s="361"/>
      <c r="S444" s="361"/>
      <c r="T444" s="361"/>
      <c r="U444" s="361"/>
      <c r="V444" s="361"/>
      <c r="W444" s="361"/>
      <c r="X444" s="365"/>
      <c r="Y444" s="361"/>
      <c r="Z444" s="361"/>
      <c r="AA444" s="116"/>
      <c r="AB444" s="116"/>
      <c r="AC444" s="116"/>
      <c r="AD444" s="116"/>
      <c r="AE444" s="365"/>
      <c r="AF444" s="116"/>
      <c r="AG444" s="116"/>
      <c r="AH444" s="116"/>
      <c r="AI444" s="116"/>
      <c r="AJ444" s="116"/>
      <c r="AK444" s="116"/>
      <c r="AL444" s="116"/>
    </row>
    <row r="445" ht="16.5" customHeight="1">
      <c r="A445" s="362"/>
      <c r="B445" s="362"/>
      <c r="C445" s="362"/>
      <c r="D445" s="362"/>
      <c r="E445" s="132"/>
      <c r="F445" s="131"/>
      <c r="G445" s="361"/>
      <c r="H445" s="363"/>
      <c r="I445" s="364"/>
      <c r="J445" s="361"/>
      <c r="K445" s="361"/>
      <c r="L445" s="361"/>
      <c r="M445" s="361"/>
      <c r="N445" s="361"/>
      <c r="O445" s="361"/>
      <c r="P445" s="361"/>
      <c r="Q445" s="361"/>
      <c r="R445" s="361"/>
      <c r="S445" s="361"/>
      <c r="T445" s="361"/>
      <c r="U445" s="361"/>
      <c r="V445" s="361"/>
      <c r="W445" s="361"/>
      <c r="X445" s="365"/>
      <c r="Y445" s="361"/>
      <c r="Z445" s="361"/>
      <c r="AA445" s="116"/>
      <c r="AB445" s="116"/>
      <c r="AC445" s="116"/>
      <c r="AD445" s="116"/>
      <c r="AE445" s="365"/>
      <c r="AF445" s="116"/>
      <c r="AG445" s="116"/>
      <c r="AH445" s="116"/>
      <c r="AI445" s="116"/>
      <c r="AJ445" s="116"/>
      <c r="AK445" s="116"/>
      <c r="AL445" s="116"/>
    </row>
    <row r="446" ht="16.5" customHeight="1">
      <c r="A446" s="362"/>
      <c r="B446" s="362"/>
      <c r="C446" s="362"/>
      <c r="D446" s="362"/>
      <c r="E446" s="132"/>
      <c r="F446" s="131"/>
      <c r="G446" s="361"/>
      <c r="H446" s="363"/>
      <c r="I446" s="364"/>
      <c r="J446" s="361"/>
      <c r="K446" s="361"/>
      <c r="L446" s="361"/>
      <c r="M446" s="361"/>
      <c r="N446" s="361"/>
      <c r="O446" s="361"/>
      <c r="P446" s="361"/>
      <c r="Q446" s="361"/>
      <c r="R446" s="361"/>
      <c r="S446" s="361"/>
      <c r="T446" s="361"/>
      <c r="U446" s="361"/>
      <c r="V446" s="361"/>
      <c r="W446" s="361"/>
      <c r="X446" s="365"/>
      <c r="Y446" s="361"/>
      <c r="Z446" s="361"/>
      <c r="AA446" s="116"/>
      <c r="AB446" s="116"/>
      <c r="AC446" s="116"/>
      <c r="AD446" s="116"/>
      <c r="AE446" s="365"/>
      <c r="AF446" s="116"/>
      <c r="AG446" s="116"/>
      <c r="AH446" s="116"/>
      <c r="AI446" s="116"/>
      <c r="AJ446" s="116"/>
      <c r="AK446" s="116"/>
      <c r="AL446" s="116"/>
    </row>
    <row r="447" ht="16.5" customHeight="1">
      <c r="A447" s="362"/>
      <c r="B447" s="362"/>
      <c r="C447" s="362"/>
      <c r="D447" s="362"/>
      <c r="E447" s="132"/>
      <c r="F447" s="131"/>
      <c r="G447" s="361"/>
      <c r="H447" s="363"/>
      <c r="I447" s="364"/>
      <c r="J447" s="361"/>
      <c r="K447" s="361"/>
      <c r="L447" s="361"/>
      <c r="M447" s="361"/>
      <c r="N447" s="361"/>
      <c r="O447" s="361"/>
      <c r="P447" s="361"/>
      <c r="Q447" s="361"/>
      <c r="R447" s="361"/>
      <c r="S447" s="361"/>
      <c r="T447" s="361"/>
      <c r="U447" s="361"/>
      <c r="V447" s="361"/>
      <c r="W447" s="361"/>
      <c r="X447" s="365"/>
      <c r="Y447" s="361"/>
      <c r="Z447" s="361"/>
      <c r="AA447" s="116"/>
      <c r="AB447" s="116"/>
      <c r="AC447" s="116"/>
      <c r="AD447" s="116"/>
      <c r="AE447" s="365"/>
      <c r="AF447" s="116"/>
      <c r="AG447" s="116"/>
      <c r="AH447" s="116"/>
      <c r="AI447" s="116"/>
      <c r="AJ447" s="116"/>
      <c r="AK447" s="116"/>
      <c r="AL447" s="116"/>
    </row>
    <row r="448" ht="16.5" customHeight="1">
      <c r="A448" s="362"/>
      <c r="B448" s="362"/>
      <c r="C448" s="362"/>
      <c r="D448" s="362"/>
      <c r="E448" s="132"/>
      <c r="F448" s="131"/>
      <c r="G448" s="361"/>
      <c r="H448" s="363"/>
      <c r="I448" s="364"/>
      <c r="J448" s="361"/>
      <c r="K448" s="361"/>
      <c r="L448" s="361"/>
      <c r="M448" s="361"/>
      <c r="N448" s="361"/>
      <c r="O448" s="361"/>
      <c r="P448" s="361"/>
      <c r="Q448" s="361"/>
      <c r="R448" s="361"/>
      <c r="S448" s="361"/>
      <c r="T448" s="361"/>
      <c r="U448" s="361"/>
      <c r="V448" s="361"/>
      <c r="W448" s="361"/>
      <c r="X448" s="365"/>
      <c r="Y448" s="361"/>
      <c r="Z448" s="361"/>
      <c r="AA448" s="116"/>
      <c r="AB448" s="116"/>
      <c r="AC448" s="116"/>
      <c r="AD448" s="116"/>
      <c r="AE448" s="365"/>
      <c r="AF448" s="116"/>
      <c r="AG448" s="116"/>
      <c r="AH448" s="116"/>
      <c r="AI448" s="116"/>
      <c r="AJ448" s="116"/>
      <c r="AK448" s="116"/>
      <c r="AL448" s="116"/>
    </row>
    <row r="449" ht="16.5" customHeight="1">
      <c r="A449" s="362"/>
      <c r="B449" s="362"/>
      <c r="C449" s="362"/>
      <c r="D449" s="362"/>
      <c r="E449" s="132"/>
      <c r="F449" s="131"/>
      <c r="G449" s="361"/>
      <c r="H449" s="363"/>
      <c r="I449" s="364"/>
      <c r="J449" s="361"/>
      <c r="K449" s="361"/>
      <c r="L449" s="361"/>
      <c r="M449" s="361"/>
      <c r="N449" s="361"/>
      <c r="O449" s="361"/>
      <c r="P449" s="361"/>
      <c r="Q449" s="361"/>
      <c r="R449" s="361"/>
      <c r="S449" s="361"/>
      <c r="T449" s="361"/>
      <c r="U449" s="361"/>
      <c r="V449" s="361"/>
      <c r="W449" s="361"/>
      <c r="X449" s="365"/>
      <c r="Y449" s="361"/>
      <c r="Z449" s="361"/>
      <c r="AA449" s="116"/>
      <c r="AB449" s="116"/>
      <c r="AC449" s="116"/>
      <c r="AD449" s="116"/>
      <c r="AE449" s="365"/>
      <c r="AF449" s="116"/>
      <c r="AG449" s="116"/>
      <c r="AH449" s="116"/>
      <c r="AI449" s="116"/>
      <c r="AJ449" s="116"/>
      <c r="AK449" s="116"/>
      <c r="AL449" s="116"/>
    </row>
    <row r="450" ht="16.5" customHeight="1">
      <c r="A450" s="362"/>
      <c r="B450" s="362"/>
      <c r="C450" s="362"/>
      <c r="D450" s="362"/>
      <c r="E450" s="132"/>
      <c r="F450" s="131"/>
      <c r="G450" s="361"/>
      <c r="H450" s="363"/>
      <c r="I450" s="364"/>
      <c r="J450" s="361"/>
      <c r="K450" s="361"/>
      <c r="L450" s="361"/>
      <c r="M450" s="361"/>
      <c r="N450" s="361"/>
      <c r="O450" s="361"/>
      <c r="P450" s="361"/>
      <c r="Q450" s="361"/>
      <c r="R450" s="361"/>
      <c r="S450" s="361"/>
      <c r="T450" s="361"/>
      <c r="U450" s="361"/>
      <c r="V450" s="361"/>
      <c r="W450" s="361"/>
      <c r="X450" s="365"/>
      <c r="Y450" s="361"/>
      <c r="Z450" s="361"/>
      <c r="AA450" s="116"/>
      <c r="AB450" s="116"/>
      <c r="AC450" s="116"/>
      <c r="AD450" s="116"/>
      <c r="AE450" s="365"/>
      <c r="AF450" s="116"/>
      <c r="AG450" s="116"/>
      <c r="AH450" s="116"/>
      <c r="AI450" s="116"/>
      <c r="AJ450" s="116"/>
      <c r="AK450" s="116"/>
      <c r="AL450" s="116"/>
    </row>
    <row r="451" ht="16.5" customHeight="1">
      <c r="A451" s="362"/>
      <c r="B451" s="362"/>
      <c r="C451" s="362"/>
      <c r="D451" s="362"/>
      <c r="E451" s="132"/>
      <c r="F451" s="131"/>
      <c r="G451" s="361"/>
      <c r="H451" s="363"/>
      <c r="I451" s="364"/>
      <c r="J451" s="361"/>
      <c r="K451" s="361"/>
      <c r="L451" s="361"/>
      <c r="M451" s="361"/>
      <c r="N451" s="361"/>
      <c r="O451" s="361"/>
      <c r="P451" s="361"/>
      <c r="Q451" s="361"/>
      <c r="R451" s="361"/>
      <c r="S451" s="361"/>
      <c r="T451" s="361"/>
      <c r="U451" s="361"/>
      <c r="V451" s="361"/>
      <c r="W451" s="361"/>
      <c r="X451" s="365"/>
      <c r="Y451" s="361"/>
      <c r="Z451" s="361"/>
      <c r="AA451" s="116"/>
      <c r="AB451" s="116"/>
      <c r="AC451" s="116"/>
      <c r="AD451" s="116"/>
      <c r="AE451" s="365"/>
      <c r="AF451" s="116"/>
      <c r="AG451" s="116"/>
      <c r="AH451" s="116"/>
      <c r="AI451" s="116"/>
      <c r="AJ451" s="116"/>
      <c r="AK451" s="116"/>
      <c r="AL451" s="116"/>
    </row>
    <row r="452" ht="16.5" customHeight="1">
      <c r="A452" s="362"/>
      <c r="B452" s="362"/>
      <c r="C452" s="362"/>
      <c r="D452" s="362"/>
      <c r="E452" s="132"/>
      <c r="F452" s="131"/>
      <c r="G452" s="361"/>
      <c r="H452" s="363"/>
      <c r="I452" s="364"/>
      <c r="J452" s="361"/>
      <c r="K452" s="361"/>
      <c r="L452" s="361"/>
      <c r="M452" s="361"/>
      <c r="N452" s="361"/>
      <c r="O452" s="361"/>
      <c r="P452" s="361"/>
      <c r="Q452" s="361"/>
      <c r="R452" s="361"/>
      <c r="S452" s="361"/>
      <c r="T452" s="361"/>
      <c r="U452" s="361"/>
      <c r="V452" s="361"/>
      <c r="W452" s="361"/>
      <c r="X452" s="365"/>
      <c r="Y452" s="361"/>
      <c r="Z452" s="361"/>
      <c r="AA452" s="116"/>
      <c r="AB452" s="116"/>
      <c r="AC452" s="116"/>
      <c r="AD452" s="116"/>
      <c r="AE452" s="365"/>
      <c r="AF452" s="116"/>
      <c r="AG452" s="116"/>
      <c r="AH452" s="116"/>
      <c r="AI452" s="116"/>
      <c r="AJ452" s="116"/>
      <c r="AK452" s="116"/>
      <c r="AL452" s="116"/>
    </row>
    <row r="453" ht="16.5" customHeight="1">
      <c r="A453" s="362"/>
      <c r="B453" s="362"/>
      <c r="C453" s="362"/>
      <c r="D453" s="362"/>
      <c r="E453" s="132"/>
      <c r="F453" s="131"/>
      <c r="G453" s="361"/>
      <c r="H453" s="363"/>
      <c r="I453" s="364"/>
      <c r="J453" s="361"/>
      <c r="K453" s="361"/>
      <c r="L453" s="361"/>
      <c r="M453" s="361"/>
      <c r="N453" s="361"/>
      <c r="O453" s="361"/>
      <c r="P453" s="361"/>
      <c r="Q453" s="361"/>
      <c r="R453" s="361"/>
      <c r="S453" s="361"/>
      <c r="T453" s="361"/>
      <c r="U453" s="361"/>
      <c r="V453" s="361"/>
      <c r="W453" s="361"/>
      <c r="X453" s="365"/>
      <c r="Y453" s="361"/>
      <c r="Z453" s="361"/>
      <c r="AA453" s="116"/>
      <c r="AB453" s="116"/>
      <c r="AC453" s="116"/>
      <c r="AD453" s="116"/>
      <c r="AE453" s="365"/>
      <c r="AF453" s="116"/>
      <c r="AG453" s="116"/>
      <c r="AH453" s="116"/>
      <c r="AI453" s="116"/>
      <c r="AJ453" s="116"/>
      <c r="AK453" s="116"/>
      <c r="AL453" s="116"/>
    </row>
    <row r="454" ht="16.5" customHeight="1">
      <c r="A454" s="362"/>
      <c r="B454" s="362"/>
      <c r="C454" s="362"/>
      <c r="D454" s="362"/>
      <c r="E454" s="132"/>
      <c r="F454" s="131"/>
      <c r="G454" s="361"/>
      <c r="H454" s="363"/>
      <c r="I454" s="364"/>
      <c r="J454" s="361"/>
      <c r="K454" s="361"/>
      <c r="L454" s="361"/>
      <c r="M454" s="361"/>
      <c r="N454" s="361"/>
      <c r="O454" s="361"/>
      <c r="P454" s="361"/>
      <c r="Q454" s="361"/>
      <c r="R454" s="361"/>
      <c r="S454" s="361"/>
      <c r="T454" s="361"/>
      <c r="U454" s="361"/>
      <c r="V454" s="361"/>
      <c r="W454" s="361"/>
      <c r="X454" s="365"/>
      <c r="Y454" s="361"/>
      <c r="Z454" s="361"/>
      <c r="AA454" s="116"/>
      <c r="AB454" s="116"/>
      <c r="AC454" s="116"/>
      <c r="AD454" s="116"/>
      <c r="AE454" s="365"/>
      <c r="AF454" s="116"/>
      <c r="AG454" s="116"/>
      <c r="AH454" s="116"/>
      <c r="AI454" s="116"/>
      <c r="AJ454" s="116"/>
      <c r="AK454" s="116"/>
      <c r="AL454" s="116"/>
    </row>
    <row r="455" ht="16.5" customHeight="1">
      <c r="A455" s="362"/>
      <c r="B455" s="362"/>
      <c r="C455" s="362"/>
      <c r="D455" s="362"/>
      <c r="E455" s="132"/>
      <c r="F455" s="131"/>
      <c r="G455" s="361"/>
      <c r="H455" s="363"/>
      <c r="I455" s="364"/>
      <c r="J455" s="361"/>
      <c r="K455" s="361"/>
      <c r="L455" s="361"/>
      <c r="M455" s="361"/>
      <c r="N455" s="361"/>
      <c r="O455" s="361"/>
      <c r="P455" s="361"/>
      <c r="Q455" s="361"/>
      <c r="R455" s="361"/>
      <c r="S455" s="361"/>
      <c r="T455" s="361"/>
      <c r="U455" s="361"/>
      <c r="V455" s="361"/>
      <c r="W455" s="361"/>
      <c r="X455" s="365"/>
      <c r="Y455" s="361"/>
      <c r="Z455" s="361"/>
      <c r="AA455" s="116"/>
      <c r="AB455" s="116"/>
      <c r="AC455" s="116"/>
      <c r="AD455" s="116"/>
      <c r="AE455" s="365"/>
      <c r="AF455" s="116"/>
      <c r="AG455" s="116"/>
      <c r="AH455" s="116"/>
      <c r="AI455" s="116"/>
      <c r="AJ455" s="116"/>
      <c r="AK455" s="116"/>
      <c r="AL455" s="116"/>
    </row>
    <row r="456" ht="16.5" customHeight="1">
      <c r="A456" s="362"/>
      <c r="B456" s="362"/>
      <c r="C456" s="362"/>
      <c r="D456" s="362"/>
      <c r="E456" s="132"/>
      <c r="F456" s="131"/>
      <c r="G456" s="361"/>
      <c r="H456" s="363"/>
      <c r="I456" s="364"/>
      <c r="J456" s="361"/>
      <c r="K456" s="361"/>
      <c r="L456" s="361"/>
      <c r="M456" s="361"/>
      <c r="N456" s="361"/>
      <c r="O456" s="361"/>
      <c r="P456" s="361"/>
      <c r="Q456" s="361"/>
      <c r="R456" s="361"/>
      <c r="S456" s="361"/>
      <c r="T456" s="361"/>
      <c r="U456" s="361"/>
      <c r="V456" s="361"/>
      <c r="W456" s="361"/>
      <c r="X456" s="365"/>
      <c r="Y456" s="361"/>
      <c r="Z456" s="361"/>
      <c r="AA456" s="116"/>
      <c r="AB456" s="116"/>
      <c r="AC456" s="116"/>
      <c r="AD456" s="116"/>
      <c r="AE456" s="365"/>
      <c r="AF456" s="116"/>
      <c r="AG456" s="116"/>
      <c r="AH456" s="116"/>
      <c r="AI456" s="116"/>
      <c r="AJ456" s="116"/>
      <c r="AK456" s="116"/>
      <c r="AL456" s="116"/>
    </row>
    <row r="457" ht="16.5" customHeight="1">
      <c r="A457" s="362"/>
      <c r="B457" s="362"/>
      <c r="C457" s="362"/>
      <c r="D457" s="362"/>
      <c r="E457" s="132"/>
      <c r="F457" s="131"/>
      <c r="G457" s="361"/>
      <c r="H457" s="363"/>
      <c r="I457" s="364"/>
      <c r="J457" s="361"/>
      <c r="K457" s="361"/>
      <c r="L457" s="361"/>
      <c r="M457" s="361"/>
      <c r="N457" s="361"/>
      <c r="O457" s="361"/>
      <c r="P457" s="361"/>
      <c r="Q457" s="361"/>
      <c r="R457" s="361"/>
      <c r="S457" s="361"/>
      <c r="T457" s="361"/>
      <c r="U457" s="361"/>
      <c r="V457" s="361"/>
      <c r="W457" s="361"/>
      <c r="X457" s="365"/>
      <c r="Y457" s="361"/>
      <c r="Z457" s="361"/>
      <c r="AA457" s="116"/>
      <c r="AB457" s="116"/>
      <c r="AC457" s="116"/>
      <c r="AD457" s="116"/>
      <c r="AE457" s="365"/>
      <c r="AF457" s="116"/>
      <c r="AG457" s="116"/>
      <c r="AH457" s="116"/>
      <c r="AI457" s="116"/>
      <c r="AJ457" s="116"/>
      <c r="AK457" s="116"/>
      <c r="AL457" s="116"/>
    </row>
    <row r="458" ht="16.5" customHeight="1">
      <c r="A458" s="362"/>
      <c r="B458" s="362"/>
      <c r="C458" s="362"/>
      <c r="D458" s="362"/>
      <c r="E458" s="132"/>
      <c r="F458" s="131"/>
      <c r="G458" s="361"/>
      <c r="H458" s="363"/>
      <c r="I458" s="364"/>
      <c r="J458" s="361"/>
      <c r="K458" s="361"/>
      <c r="L458" s="361"/>
      <c r="M458" s="361"/>
      <c r="N458" s="361"/>
      <c r="O458" s="361"/>
      <c r="P458" s="361"/>
      <c r="Q458" s="361"/>
      <c r="R458" s="361"/>
      <c r="S458" s="361"/>
      <c r="T458" s="361"/>
      <c r="U458" s="361"/>
      <c r="V458" s="361"/>
      <c r="W458" s="361"/>
      <c r="X458" s="365"/>
      <c r="Y458" s="361"/>
      <c r="Z458" s="361"/>
      <c r="AA458" s="116"/>
      <c r="AB458" s="116"/>
      <c r="AC458" s="116"/>
      <c r="AD458" s="116"/>
      <c r="AE458" s="365"/>
      <c r="AF458" s="116"/>
      <c r="AG458" s="116"/>
      <c r="AH458" s="116"/>
      <c r="AI458" s="116"/>
      <c r="AJ458" s="116"/>
      <c r="AK458" s="116"/>
      <c r="AL458" s="116"/>
    </row>
    <row r="459" ht="16.5" customHeight="1">
      <c r="A459" s="362"/>
      <c r="B459" s="362"/>
      <c r="C459" s="362"/>
      <c r="D459" s="362"/>
      <c r="E459" s="132"/>
      <c r="F459" s="131"/>
      <c r="G459" s="361"/>
      <c r="H459" s="363"/>
      <c r="I459" s="364"/>
      <c r="J459" s="361"/>
      <c r="K459" s="361"/>
      <c r="L459" s="361"/>
      <c r="M459" s="361"/>
      <c r="N459" s="361"/>
      <c r="O459" s="361"/>
      <c r="P459" s="361"/>
      <c r="Q459" s="361"/>
      <c r="R459" s="361"/>
      <c r="S459" s="361"/>
      <c r="T459" s="361"/>
      <c r="U459" s="361"/>
      <c r="V459" s="361"/>
      <c r="W459" s="361"/>
      <c r="X459" s="365"/>
      <c r="Y459" s="361"/>
      <c r="Z459" s="361"/>
      <c r="AA459" s="116"/>
      <c r="AB459" s="116"/>
      <c r="AC459" s="116"/>
      <c r="AD459" s="116"/>
      <c r="AE459" s="365"/>
      <c r="AF459" s="116"/>
      <c r="AG459" s="116"/>
      <c r="AH459" s="116"/>
      <c r="AI459" s="116"/>
      <c r="AJ459" s="116"/>
      <c r="AK459" s="116"/>
      <c r="AL459" s="116"/>
    </row>
    <row r="460" ht="16.5" customHeight="1">
      <c r="A460" s="362"/>
      <c r="B460" s="362"/>
      <c r="C460" s="362"/>
      <c r="D460" s="362"/>
      <c r="E460" s="132"/>
      <c r="F460" s="131"/>
      <c r="G460" s="361"/>
      <c r="H460" s="363"/>
      <c r="I460" s="364"/>
      <c r="J460" s="361"/>
      <c r="K460" s="361"/>
      <c r="L460" s="361"/>
      <c r="M460" s="361"/>
      <c r="N460" s="361"/>
      <c r="O460" s="361"/>
      <c r="P460" s="361"/>
      <c r="Q460" s="361"/>
      <c r="R460" s="361"/>
      <c r="S460" s="361"/>
      <c r="T460" s="361"/>
      <c r="U460" s="361"/>
      <c r="V460" s="361"/>
      <c r="W460" s="361"/>
      <c r="X460" s="365"/>
      <c r="Y460" s="361"/>
      <c r="Z460" s="361"/>
      <c r="AA460" s="116"/>
      <c r="AB460" s="116"/>
      <c r="AC460" s="116"/>
      <c r="AD460" s="116"/>
      <c r="AE460" s="365"/>
      <c r="AF460" s="116"/>
      <c r="AG460" s="116"/>
      <c r="AH460" s="116"/>
      <c r="AI460" s="116"/>
      <c r="AJ460" s="116"/>
      <c r="AK460" s="116"/>
      <c r="AL460" s="116"/>
    </row>
    <row r="461" ht="16.5" customHeight="1">
      <c r="A461" s="362"/>
      <c r="B461" s="362"/>
      <c r="C461" s="362"/>
      <c r="D461" s="362"/>
      <c r="E461" s="132"/>
      <c r="F461" s="131"/>
      <c r="G461" s="361"/>
      <c r="H461" s="363"/>
      <c r="I461" s="364"/>
      <c r="J461" s="361"/>
      <c r="K461" s="361"/>
      <c r="L461" s="361"/>
      <c r="M461" s="361"/>
      <c r="N461" s="361"/>
      <c r="O461" s="361"/>
      <c r="P461" s="361"/>
      <c r="Q461" s="361"/>
      <c r="R461" s="361"/>
      <c r="S461" s="361"/>
      <c r="T461" s="361"/>
      <c r="U461" s="361"/>
      <c r="V461" s="361"/>
      <c r="W461" s="361"/>
      <c r="X461" s="365"/>
      <c r="Y461" s="361"/>
      <c r="Z461" s="361"/>
      <c r="AA461" s="116"/>
      <c r="AB461" s="116"/>
      <c r="AC461" s="116"/>
      <c r="AD461" s="116"/>
      <c r="AE461" s="365"/>
      <c r="AF461" s="116"/>
      <c r="AG461" s="116"/>
      <c r="AH461" s="116"/>
      <c r="AI461" s="116"/>
      <c r="AJ461" s="116"/>
      <c r="AK461" s="116"/>
      <c r="AL461" s="116"/>
    </row>
    <row r="462" ht="16.5" customHeight="1">
      <c r="A462" s="362"/>
      <c r="B462" s="362"/>
      <c r="C462" s="362"/>
      <c r="D462" s="362"/>
      <c r="E462" s="132"/>
      <c r="F462" s="131"/>
      <c r="G462" s="361"/>
      <c r="H462" s="363"/>
      <c r="I462" s="364"/>
      <c r="J462" s="361"/>
      <c r="K462" s="361"/>
      <c r="L462" s="361"/>
      <c r="M462" s="361"/>
      <c r="N462" s="361"/>
      <c r="O462" s="361"/>
      <c r="P462" s="361"/>
      <c r="Q462" s="361"/>
      <c r="R462" s="361"/>
      <c r="S462" s="361"/>
      <c r="T462" s="361"/>
      <c r="U462" s="361"/>
      <c r="V462" s="361"/>
      <c r="W462" s="361"/>
      <c r="X462" s="365"/>
      <c r="Y462" s="361"/>
      <c r="Z462" s="361"/>
      <c r="AA462" s="116"/>
      <c r="AB462" s="116"/>
      <c r="AC462" s="116"/>
      <c r="AD462" s="116"/>
      <c r="AE462" s="365"/>
      <c r="AF462" s="116"/>
      <c r="AG462" s="116"/>
      <c r="AH462" s="116"/>
      <c r="AI462" s="116"/>
      <c r="AJ462" s="116"/>
      <c r="AK462" s="116"/>
      <c r="AL462" s="116"/>
    </row>
    <row r="463" ht="16.5" customHeight="1">
      <c r="A463" s="362"/>
      <c r="B463" s="362"/>
      <c r="C463" s="362"/>
      <c r="D463" s="362"/>
      <c r="E463" s="132"/>
      <c r="F463" s="131"/>
      <c r="G463" s="361"/>
      <c r="H463" s="363"/>
      <c r="I463" s="364"/>
      <c r="J463" s="361"/>
      <c r="K463" s="361"/>
      <c r="L463" s="361"/>
      <c r="M463" s="361"/>
      <c r="N463" s="361"/>
      <c r="O463" s="361"/>
      <c r="P463" s="361"/>
      <c r="Q463" s="361"/>
      <c r="R463" s="361"/>
      <c r="S463" s="361"/>
      <c r="T463" s="361"/>
      <c r="U463" s="361"/>
      <c r="V463" s="361"/>
      <c r="W463" s="361"/>
      <c r="X463" s="365"/>
      <c r="Y463" s="361"/>
      <c r="Z463" s="361"/>
      <c r="AA463" s="116"/>
      <c r="AB463" s="116"/>
      <c r="AC463" s="116"/>
      <c r="AD463" s="116"/>
      <c r="AE463" s="365"/>
      <c r="AF463" s="116"/>
      <c r="AG463" s="116"/>
      <c r="AH463" s="116"/>
      <c r="AI463" s="116"/>
      <c r="AJ463" s="116"/>
      <c r="AK463" s="116"/>
      <c r="AL463" s="116"/>
    </row>
    <row r="464" ht="16.5" customHeight="1">
      <c r="A464" s="362"/>
      <c r="B464" s="362"/>
      <c r="C464" s="362"/>
      <c r="D464" s="362"/>
      <c r="E464" s="132"/>
      <c r="F464" s="131"/>
      <c r="G464" s="361"/>
      <c r="H464" s="363"/>
      <c r="I464" s="364"/>
      <c r="J464" s="361"/>
      <c r="K464" s="361"/>
      <c r="L464" s="361"/>
      <c r="M464" s="361"/>
      <c r="N464" s="361"/>
      <c r="O464" s="361"/>
      <c r="P464" s="361"/>
      <c r="Q464" s="361"/>
      <c r="R464" s="361"/>
      <c r="S464" s="361"/>
      <c r="T464" s="361"/>
      <c r="U464" s="361"/>
      <c r="V464" s="361"/>
      <c r="W464" s="361"/>
      <c r="X464" s="365"/>
      <c r="Y464" s="361"/>
      <c r="Z464" s="361"/>
      <c r="AA464" s="116"/>
      <c r="AB464" s="116"/>
      <c r="AC464" s="116"/>
      <c r="AD464" s="116"/>
      <c r="AE464" s="365"/>
      <c r="AF464" s="116"/>
      <c r="AG464" s="116"/>
      <c r="AH464" s="116"/>
      <c r="AI464" s="116"/>
      <c r="AJ464" s="116"/>
      <c r="AK464" s="116"/>
      <c r="AL464" s="116"/>
    </row>
    <row r="465" ht="16.5" customHeight="1">
      <c r="A465" s="362"/>
      <c r="B465" s="362"/>
      <c r="C465" s="362"/>
      <c r="D465" s="362"/>
      <c r="E465" s="132"/>
      <c r="F465" s="131"/>
      <c r="G465" s="361"/>
      <c r="H465" s="363"/>
      <c r="I465" s="364"/>
      <c r="J465" s="361"/>
      <c r="K465" s="361"/>
      <c r="L465" s="361"/>
      <c r="M465" s="361"/>
      <c r="N465" s="361"/>
      <c r="O465" s="361"/>
      <c r="P465" s="361"/>
      <c r="Q465" s="361"/>
      <c r="R465" s="361"/>
      <c r="S465" s="361"/>
      <c r="T465" s="361"/>
      <c r="U465" s="361"/>
      <c r="V465" s="361"/>
      <c r="W465" s="361"/>
      <c r="X465" s="365"/>
      <c r="Y465" s="361"/>
      <c r="Z465" s="361"/>
      <c r="AA465" s="116"/>
      <c r="AB465" s="116"/>
      <c r="AC465" s="116"/>
      <c r="AD465" s="116"/>
      <c r="AE465" s="365"/>
      <c r="AF465" s="116"/>
      <c r="AG465" s="116"/>
      <c r="AH465" s="116"/>
      <c r="AI465" s="116"/>
      <c r="AJ465" s="116"/>
      <c r="AK465" s="116"/>
      <c r="AL465" s="116"/>
    </row>
    <row r="466" ht="16.5" customHeight="1">
      <c r="A466" s="362"/>
      <c r="B466" s="362"/>
      <c r="C466" s="362"/>
      <c r="D466" s="362"/>
      <c r="E466" s="132"/>
      <c r="F466" s="131"/>
      <c r="G466" s="361"/>
      <c r="H466" s="363"/>
      <c r="I466" s="364"/>
      <c r="J466" s="361"/>
      <c r="K466" s="361"/>
      <c r="L466" s="361"/>
      <c r="M466" s="361"/>
      <c r="N466" s="361"/>
      <c r="O466" s="361"/>
      <c r="P466" s="361"/>
      <c r="Q466" s="361"/>
      <c r="R466" s="361"/>
      <c r="S466" s="361"/>
      <c r="T466" s="361"/>
      <c r="U466" s="361"/>
      <c r="V466" s="361"/>
      <c r="W466" s="361"/>
      <c r="X466" s="365"/>
      <c r="Y466" s="361"/>
      <c r="Z466" s="361"/>
      <c r="AA466" s="116"/>
      <c r="AB466" s="116"/>
      <c r="AC466" s="116"/>
      <c r="AD466" s="116"/>
      <c r="AE466" s="365"/>
      <c r="AF466" s="116"/>
      <c r="AG466" s="116"/>
      <c r="AH466" s="116"/>
      <c r="AI466" s="116"/>
      <c r="AJ466" s="116"/>
      <c r="AK466" s="116"/>
      <c r="AL466" s="116"/>
    </row>
    <row r="467" ht="16.5" customHeight="1">
      <c r="A467" s="362"/>
      <c r="B467" s="362"/>
      <c r="C467" s="362"/>
      <c r="D467" s="362"/>
      <c r="E467" s="132"/>
      <c r="F467" s="131"/>
      <c r="G467" s="361"/>
      <c r="H467" s="363"/>
      <c r="I467" s="364"/>
      <c r="J467" s="361"/>
      <c r="K467" s="361"/>
      <c r="L467" s="361"/>
      <c r="M467" s="361"/>
      <c r="N467" s="361"/>
      <c r="O467" s="361"/>
      <c r="P467" s="361"/>
      <c r="Q467" s="361"/>
      <c r="R467" s="361"/>
      <c r="S467" s="361"/>
      <c r="T467" s="361"/>
      <c r="U467" s="361"/>
      <c r="V467" s="361"/>
      <c r="W467" s="361"/>
      <c r="X467" s="365"/>
      <c r="Y467" s="361"/>
      <c r="Z467" s="361"/>
      <c r="AA467" s="116"/>
      <c r="AB467" s="116"/>
      <c r="AC467" s="116"/>
      <c r="AD467" s="116"/>
      <c r="AE467" s="365"/>
      <c r="AF467" s="116"/>
      <c r="AG467" s="116"/>
      <c r="AH467" s="116"/>
      <c r="AI467" s="116"/>
      <c r="AJ467" s="116"/>
      <c r="AK467" s="116"/>
      <c r="AL467" s="116"/>
    </row>
    <row r="468" ht="16.5" customHeight="1">
      <c r="A468" s="362"/>
      <c r="B468" s="362"/>
      <c r="C468" s="362"/>
      <c r="D468" s="362"/>
      <c r="E468" s="132"/>
      <c r="F468" s="131"/>
      <c r="G468" s="361"/>
      <c r="H468" s="363"/>
      <c r="I468" s="364"/>
      <c r="J468" s="361"/>
      <c r="K468" s="361"/>
      <c r="L468" s="361"/>
      <c r="M468" s="361"/>
      <c r="N468" s="361"/>
      <c r="O468" s="361"/>
      <c r="P468" s="361"/>
      <c r="Q468" s="361"/>
      <c r="R468" s="361"/>
      <c r="S468" s="361"/>
      <c r="T468" s="361"/>
      <c r="U468" s="361"/>
      <c r="V468" s="361"/>
      <c r="W468" s="361"/>
      <c r="X468" s="365"/>
      <c r="Y468" s="361"/>
      <c r="Z468" s="361"/>
      <c r="AA468" s="116"/>
      <c r="AB468" s="116"/>
      <c r="AC468" s="116"/>
      <c r="AD468" s="116"/>
      <c r="AE468" s="365"/>
      <c r="AF468" s="116"/>
      <c r="AG468" s="116"/>
      <c r="AH468" s="116"/>
      <c r="AI468" s="116"/>
      <c r="AJ468" s="116"/>
      <c r="AK468" s="116"/>
      <c r="AL468" s="116"/>
    </row>
    <row r="469" ht="16.5" customHeight="1">
      <c r="A469" s="362"/>
      <c r="B469" s="362"/>
      <c r="C469" s="362"/>
      <c r="D469" s="362"/>
      <c r="E469" s="132"/>
      <c r="F469" s="131"/>
      <c r="G469" s="361"/>
      <c r="H469" s="363"/>
      <c r="I469" s="364"/>
      <c r="J469" s="361"/>
      <c r="K469" s="361"/>
      <c r="L469" s="361"/>
      <c r="M469" s="361"/>
      <c r="N469" s="361"/>
      <c r="O469" s="361"/>
      <c r="P469" s="361"/>
      <c r="Q469" s="361"/>
      <c r="R469" s="361"/>
      <c r="S469" s="361"/>
      <c r="T469" s="361"/>
      <c r="U469" s="361"/>
      <c r="V469" s="361"/>
      <c r="W469" s="361"/>
      <c r="X469" s="365"/>
      <c r="Y469" s="361"/>
      <c r="Z469" s="361"/>
      <c r="AA469" s="116"/>
      <c r="AB469" s="116"/>
      <c r="AC469" s="116"/>
      <c r="AD469" s="116"/>
      <c r="AE469" s="365"/>
      <c r="AF469" s="116"/>
      <c r="AG469" s="116"/>
      <c r="AH469" s="116"/>
      <c r="AI469" s="116"/>
      <c r="AJ469" s="116"/>
      <c r="AK469" s="116"/>
      <c r="AL469" s="116"/>
    </row>
    <row r="470" ht="16.5" customHeight="1">
      <c r="A470" s="362"/>
      <c r="B470" s="362"/>
      <c r="C470" s="362"/>
      <c r="D470" s="362"/>
      <c r="E470" s="132"/>
      <c r="F470" s="131"/>
      <c r="G470" s="361"/>
      <c r="H470" s="363"/>
      <c r="I470" s="364"/>
      <c r="J470" s="361"/>
      <c r="K470" s="361"/>
      <c r="L470" s="361"/>
      <c r="M470" s="361"/>
      <c r="N470" s="361"/>
      <c r="O470" s="361"/>
      <c r="P470" s="361"/>
      <c r="Q470" s="361"/>
      <c r="R470" s="361"/>
      <c r="S470" s="361"/>
      <c r="T470" s="361"/>
      <c r="U470" s="361"/>
      <c r="V470" s="361"/>
      <c r="W470" s="361"/>
      <c r="X470" s="365"/>
      <c r="Y470" s="361"/>
      <c r="Z470" s="361"/>
      <c r="AA470" s="116"/>
      <c r="AB470" s="116"/>
      <c r="AC470" s="116"/>
      <c r="AD470" s="116"/>
      <c r="AE470" s="365"/>
      <c r="AF470" s="116"/>
      <c r="AG470" s="116"/>
      <c r="AH470" s="116"/>
      <c r="AI470" s="116"/>
      <c r="AJ470" s="116"/>
      <c r="AK470" s="116"/>
      <c r="AL470" s="116"/>
    </row>
    <row r="471" ht="16.5" customHeight="1">
      <c r="A471" s="362"/>
      <c r="B471" s="362"/>
      <c r="C471" s="362"/>
      <c r="D471" s="362"/>
      <c r="E471" s="132"/>
      <c r="F471" s="131"/>
      <c r="G471" s="361"/>
      <c r="H471" s="363"/>
      <c r="I471" s="364"/>
      <c r="J471" s="361"/>
      <c r="K471" s="361"/>
      <c r="L471" s="361"/>
      <c r="M471" s="361"/>
      <c r="N471" s="361"/>
      <c r="O471" s="361"/>
      <c r="P471" s="361"/>
      <c r="Q471" s="361"/>
      <c r="R471" s="361"/>
      <c r="S471" s="361"/>
      <c r="T471" s="361"/>
      <c r="U471" s="361"/>
      <c r="V471" s="361"/>
      <c r="W471" s="361"/>
      <c r="X471" s="365"/>
      <c r="Y471" s="361"/>
      <c r="Z471" s="361"/>
      <c r="AA471" s="116"/>
      <c r="AB471" s="116"/>
      <c r="AC471" s="116"/>
      <c r="AD471" s="116"/>
      <c r="AE471" s="365"/>
      <c r="AF471" s="116"/>
      <c r="AG471" s="116"/>
      <c r="AH471" s="116"/>
      <c r="AI471" s="116"/>
      <c r="AJ471" s="116"/>
      <c r="AK471" s="116"/>
      <c r="AL471" s="116"/>
    </row>
    <row r="472" ht="16.5" customHeight="1">
      <c r="A472" s="362"/>
      <c r="B472" s="362"/>
      <c r="C472" s="362"/>
      <c r="D472" s="362"/>
      <c r="E472" s="132"/>
      <c r="F472" s="131"/>
      <c r="G472" s="361"/>
      <c r="H472" s="363"/>
      <c r="I472" s="364"/>
      <c r="J472" s="361"/>
      <c r="K472" s="361"/>
      <c r="L472" s="361"/>
      <c r="M472" s="361"/>
      <c r="N472" s="361"/>
      <c r="O472" s="361"/>
      <c r="P472" s="361"/>
      <c r="Q472" s="361"/>
      <c r="R472" s="361"/>
      <c r="S472" s="361"/>
      <c r="T472" s="361"/>
      <c r="U472" s="361"/>
      <c r="V472" s="361"/>
      <c r="W472" s="361"/>
      <c r="X472" s="365"/>
      <c r="Y472" s="361"/>
      <c r="Z472" s="361"/>
      <c r="AA472" s="116"/>
      <c r="AB472" s="116"/>
      <c r="AC472" s="116"/>
      <c r="AD472" s="116"/>
      <c r="AE472" s="365"/>
      <c r="AF472" s="116"/>
      <c r="AG472" s="116"/>
      <c r="AH472" s="116"/>
      <c r="AI472" s="116"/>
      <c r="AJ472" s="116"/>
      <c r="AK472" s="116"/>
      <c r="AL472" s="116"/>
    </row>
    <row r="473" ht="16.5" customHeight="1">
      <c r="A473" s="362"/>
      <c r="B473" s="362"/>
      <c r="C473" s="362"/>
      <c r="D473" s="362"/>
      <c r="E473" s="132"/>
      <c r="F473" s="131"/>
      <c r="G473" s="361"/>
      <c r="H473" s="363"/>
      <c r="I473" s="364"/>
      <c r="J473" s="361"/>
      <c r="K473" s="361"/>
      <c r="L473" s="361"/>
      <c r="M473" s="361"/>
      <c r="N473" s="361"/>
      <c r="O473" s="361"/>
      <c r="P473" s="361"/>
      <c r="Q473" s="361"/>
      <c r="R473" s="361"/>
      <c r="S473" s="361"/>
      <c r="T473" s="361"/>
      <c r="U473" s="361"/>
      <c r="V473" s="361"/>
      <c r="W473" s="361"/>
      <c r="X473" s="365"/>
      <c r="Y473" s="361"/>
      <c r="Z473" s="361"/>
      <c r="AA473" s="116"/>
      <c r="AB473" s="116"/>
      <c r="AC473" s="116"/>
      <c r="AD473" s="116"/>
      <c r="AE473" s="365"/>
      <c r="AF473" s="116"/>
      <c r="AG473" s="116"/>
      <c r="AH473" s="116"/>
      <c r="AI473" s="116"/>
      <c r="AJ473" s="116"/>
      <c r="AK473" s="116"/>
      <c r="AL473" s="116"/>
    </row>
    <row r="474" ht="16.5" customHeight="1">
      <c r="A474" s="362"/>
      <c r="B474" s="362"/>
      <c r="C474" s="362"/>
      <c r="D474" s="362"/>
      <c r="E474" s="132"/>
      <c r="F474" s="131"/>
      <c r="G474" s="361"/>
      <c r="H474" s="363"/>
      <c r="I474" s="364"/>
      <c r="J474" s="361"/>
      <c r="K474" s="361"/>
      <c r="L474" s="361"/>
      <c r="M474" s="361"/>
      <c r="N474" s="361"/>
      <c r="O474" s="361"/>
      <c r="P474" s="361"/>
      <c r="Q474" s="361"/>
      <c r="R474" s="361"/>
      <c r="S474" s="361"/>
      <c r="T474" s="361"/>
      <c r="U474" s="361"/>
      <c r="V474" s="361"/>
      <c r="W474" s="361"/>
      <c r="X474" s="365"/>
      <c r="Y474" s="361"/>
      <c r="Z474" s="361"/>
      <c r="AA474" s="116"/>
      <c r="AB474" s="116"/>
      <c r="AC474" s="116"/>
      <c r="AD474" s="116"/>
      <c r="AE474" s="365"/>
      <c r="AF474" s="116"/>
      <c r="AG474" s="116"/>
      <c r="AH474" s="116"/>
      <c r="AI474" s="116"/>
      <c r="AJ474" s="116"/>
      <c r="AK474" s="116"/>
      <c r="AL474" s="116"/>
    </row>
    <row r="475" ht="16.5" customHeight="1">
      <c r="A475" s="362"/>
      <c r="B475" s="362"/>
      <c r="C475" s="362"/>
      <c r="D475" s="362"/>
      <c r="E475" s="132"/>
      <c r="F475" s="131"/>
      <c r="G475" s="361"/>
      <c r="H475" s="363"/>
      <c r="I475" s="364"/>
      <c r="J475" s="361"/>
      <c r="K475" s="361"/>
      <c r="L475" s="361"/>
      <c r="M475" s="361"/>
      <c r="N475" s="361"/>
      <c r="O475" s="361"/>
      <c r="P475" s="361"/>
      <c r="Q475" s="361"/>
      <c r="R475" s="361"/>
      <c r="S475" s="361"/>
      <c r="T475" s="361"/>
      <c r="U475" s="361"/>
      <c r="V475" s="361"/>
      <c r="W475" s="361"/>
      <c r="X475" s="365"/>
      <c r="Y475" s="361"/>
      <c r="Z475" s="361"/>
      <c r="AA475" s="116"/>
      <c r="AB475" s="116"/>
      <c r="AC475" s="116"/>
      <c r="AD475" s="116"/>
      <c r="AE475" s="365"/>
      <c r="AF475" s="116"/>
      <c r="AG475" s="116"/>
      <c r="AH475" s="116"/>
      <c r="AI475" s="116"/>
      <c r="AJ475" s="116"/>
      <c r="AK475" s="116"/>
      <c r="AL475" s="116"/>
    </row>
    <row r="476" ht="16.5" customHeight="1">
      <c r="A476" s="362"/>
      <c r="B476" s="362"/>
      <c r="C476" s="362"/>
      <c r="D476" s="362"/>
      <c r="E476" s="132"/>
      <c r="F476" s="131"/>
      <c r="G476" s="361"/>
      <c r="H476" s="363"/>
      <c r="I476" s="364"/>
      <c r="J476" s="361"/>
      <c r="K476" s="361"/>
      <c r="L476" s="361"/>
      <c r="M476" s="361"/>
      <c r="N476" s="361"/>
      <c r="O476" s="361"/>
      <c r="P476" s="361"/>
      <c r="Q476" s="361"/>
      <c r="R476" s="361"/>
      <c r="S476" s="361"/>
      <c r="T476" s="361"/>
      <c r="U476" s="361"/>
      <c r="V476" s="361"/>
      <c r="W476" s="361"/>
      <c r="X476" s="365"/>
      <c r="Y476" s="361"/>
      <c r="Z476" s="361"/>
      <c r="AA476" s="116"/>
      <c r="AB476" s="116"/>
      <c r="AC476" s="116"/>
      <c r="AD476" s="116"/>
      <c r="AE476" s="365"/>
      <c r="AF476" s="116"/>
      <c r="AG476" s="116"/>
      <c r="AH476" s="116"/>
      <c r="AI476" s="116"/>
      <c r="AJ476" s="116"/>
      <c r="AK476" s="116"/>
      <c r="AL476" s="116"/>
    </row>
    <row r="477" ht="16.5" customHeight="1">
      <c r="A477" s="362"/>
      <c r="B477" s="362"/>
      <c r="C477" s="362"/>
      <c r="D477" s="362"/>
      <c r="E477" s="132"/>
      <c r="F477" s="131"/>
      <c r="G477" s="361"/>
      <c r="H477" s="363"/>
      <c r="I477" s="364"/>
      <c r="J477" s="361"/>
      <c r="K477" s="361"/>
      <c r="L477" s="361"/>
      <c r="M477" s="361"/>
      <c r="N477" s="361"/>
      <c r="O477" s="361"/>
      <c r="P477" s="361"/>
      <c r="Q477" s="361"/>
      <c r="R477" s="361"/>
      <c r="S477" s="361"/>
      <c r="T477" s="361"/>
      <c r="U477" s="361"/>
      <c r="V477" s="361"/>
      <c r="W477" s="361"/>
      <c r="X477" s="365"/>
      <c r="Y477" s="361"/>
      <c r="Z477" s="361"/>
      <c r="AA477" s="116"/>
      <c r="AB477" s="116"/>
      <c r="AC477" s="116"/>
      <c r="AD477" s="116"/>
      <c r="AE477" s="365"/>
      <c r="AF477" s="116"/>
      <c r="AG477" s="116"/>
      <c r="AH477" s="116"/>
      <c r="AI477" s="116"/>
      <c r="AJ477" s="116"/>
      <c r="AK477" s="116"/>
      <c r="AL477" s="116"/>
    </row>
    <row r="478" ht="16.5" customHeight="1">
      <c r="A478" s="362"/>
      <c r="B478" s="362"/>
      <c r="C478" s="362"/>
      <c r="D478" s="362"/>
      <c r="E478" s="132"/>
      <c r="F478" s="131"/>
      <c r="G478" s="361"/>
      <c r="H478" s="363"/>
      <c r="I478" s="364"/>
      <c r="J478" s="361"/>
      <c r="K478" s="361"/>
      <c r="L478" s="361"/>
      <c r="M478" s="361"/>
      <c r="N478" s="361"/>
      <c r="O478" s="361"/>
      <c r="P478" s="361"/>
      <c r="Q478" s="361"/>
      <c r="R478" s="361"/>
      <c r="S478" s="361"/>
      <c r="T478" s="361"/>
      <c r="U478" s="361"/>
      <c r="V478" s="361"/>
      <c r="W478" s="361"/>
      <c r="X478" s="365"/>
      <c r="Y478" s="361"/>
      <c r="Z478" s="361"/>
      <c r="AA478" s="116"/>
      <c r="AB478" s="116"/>
      <c r="AC478" s="116"/>
      <c r="AD478" s="116"/>
      <c r="AE478" s="365"/>
      <c r="AF478" s="116"/>
      <c r="AG478" s="116"/>
      <c r="AH478" s="116"/>
      <c r="AI478" s="116"/>
      <c r="AJ478" s="116"/>
      <c r="AK478" s="116"/>
      <c r="AL478" s="116"/>
    </row>
    <row r="479" ht="16.5" customHeight="1">
      <c r="A479" s="362"/>
      <c r="B479" s="362"/>
      <c r="C479" s="362"/>
      <c r="D479" s="362"/>
      <c r="E479" s="132"/>
      <c r="F479" s="131"/>
      <c r="G479" s="361"/>
      <c r="H479" s="363"/>
      <c r="I479" s="364"/>
      <c r="J479" s="361"/>
      <c r="K479" s="361"/>
      <c r="L479" s="361"/>
      <c r="M479" s="361"/>
      <c r="N479" s="361"/>
      <c r="O479" s="361"/>
      <c r="P479" s="361"/>
      <c r="Q479" s="361"/>
      <c r="R479" s="361"/>
      <c r="S479" s="361"/>
      <c r="T479" s="361"/>
      <c r="U479" s="361"/>
      <c r="V479" s="361"/>
      <c r="W479" s="361"/>
      <c r="X479" s="365"/>
      <c r="Y479" s="361"/>
      <c r="Z479" s="361"/>
      <c r="AA479" s="116"/>
      <c r="AB479" s="116"/>
      <c r="AC479" s="116"/>
      <c r="AD479" s="116"/>
      <c r="AE479" s="365"/>
      <c r="AF479" s="116"/>
      <c r="AG479" s="116"/>
      <c r="AH479" s="116"/>
      <c r="AI479" s="116"/>
      <c r="AJ479" s="116"/>
      <c r="AK479" s="116"/>
      <c r="AL479" s="116"/>
    </row>
    <row r="480" ht="16.5" customHeight="1">
      <c r="A480" s="362"/>
      <c r="B480" s="362"/>
      <c r="C480" s="362"/>
      <c r="D480" s="362"/>
      <c r="E480" s="132"/>
      <c r="F480" s="131"/>
      <c r="G480" s="361"/>
      <c r="H480" s="363"/>
      <c r="I480" s="364"/>
      <c r="J480" s="361"/>
      <c r="K480" s="361"/>
      <c r="L480" s="361"/>
      <c r="M480" s="361"/>
      <c r="N480" s="361"/>
      <c r="O480" s="361"/>
      <c r="P480" s="361"/>
      <c r="Q480" s="361"/>
      <c r="R480" s="361"/>
      <c r="S480" s="361"/>
      <c r="T480" s="361"/>
      <c r="U480" s="361"/>
      <c r="V480" s="361"/>
      <c r="W480" s="361"/>
      <c r="X480" s="365"/>
      <c r="Y480" s="361"/>
      <c r="Z480" s="361"/>
      <c r="AA480" s="116"/>
      <c r="AB480" s="116"/>
      <c r="AC480" s="116"/>
      <c r="AD480" s="116"/>
      <c r="AE480" s="365"/>
      <c r="AF480" s="116"/>
      <c r="AG480" s="116"/>
      <c r="AH480" s="116"/>
      <c r="AI480" s="116"/>
      <c r="AJ480" s="116"/>
      <c r="AK480" s="116"/>
      <c r="AL480" s="116"/>
    </row>
    <row r="481" ht="16.5" customHeight="1">
      <c r="A481" s="362"/>
      <c r="B481" s="362"/>
      <c r="C481" s="362"/>
      <c r="D481" s="362"/>
      <c r="E481" s="132"/>
      <c r="F481" s="131"/>
      <c r="G481" s="361"/>
      <c r="H481" s="363"/>
      <c r="I481" s="364"/>
      <c r="J481" s="361"/>
      <c r="K481" s="361"/>
      <c r="L481" s="361"/>
      <c r="M481" s="361"/>
      <c r="N481" s="361"/>
      <c r="O481" s="361"/>
      <c r="P481" s="361"/>
      <c r="Q481" s="361"/>
      <c r="R481" s="361"/>
      <c r="S481" s="361"/>
      <c r="T481" s="361"/>
      <c r="U481" s="361"/>
      <c r="V481" s="361"/>
      <c r="W481" s="361"/>
      <c r="X481" s="365"/>
      <c r="Y481" s="361"/>
      <c r="Z481" s="361"/>
      <c r="AA481" s="116"/>
      <c r="AB481" s="116"/>
      <c r="AC481" s="116"/>
      <c r="AD481" s="116"/>
      <c r="AE481" s="365"/>
      <c r="AF481" s="116"/>
      <c r="AG481" s="116"/>
      <c r="AH481" s="116"/>
      <c r="AI481" s="116"/>
      <c r="AJ481" s="116"/>
      <c r="AK481" s="116"/>
      <c r="AL481" s="116"/>
    </row>
    <row r="482" ht="16.5" customHeight="1">
      <c r="A482" s="362"/>
      <c r="B482" s="362"/>
      <c r="C482" s="362"/>
      <c r="D482" s="362"/>
      <c r="E482" s="132"/>
      <c r="F482" s="131"/>
      <c r="G482" s="361"/>
      <c r="H482" s="363"/>
      <c r="I482" s="364"/>
      <c r="J482" s="361"/>
      <c r="K482" s="361"/>
      <c r="L482" s="361"/>
      <c r="M482" s="361"/>
      <c r="N482" s="361"/>
      <c r="O482" s="361"/>
      <c r="P482" s="361"/>
      <c r="Q482" s="361"/>
      <c r="R482" s="361"/>
      <c r="S482" s="361"/>
      <c r="T482" s="361"/>
      <c r="U482" s="361"/>
      <c r="V482" s="361"/>
      <c r="W482" s="361"/>
      <c r="X482" s="365"/>
      <c r="Y482" s="361"/>
      <c r="Z482" s="361"/>
      <c r="AA482" s="116"/>
      <c r="AB482" s="116"/>
      <c r="AC482" s="116"/>
      <c r="AD482" s="116"/>
      <c r="AE482" s="365"/>
      <c r="AF482" s="116"/>
      <c r="AG482" s="116"/>
      <c r="AH482" s="116"/>
      <c r="AI482" s="116"/>
      <c r="AJ482" s="116"/>
      <c r="AK482" s="116"/>
      <c r="AL482" s="116"/>
    </row>
    <row r="483" ht="16.5" customHeight="1">
      <c r="A483" s="362"/>
      <c r="B483" s="362"/>
      <c r="C483" s="362"/>
      <c r="D483" s="362"/>
      <c r="E483" s="132"/>
      <c r="F483" s="131"/>
      <c r="G483" s="361"/>
      <c r="H483" s="363"/>
      <c r="I483" s="364"/>
      <c r="J483" s="361"/>
      <c r="K483" s="361"/>
      <c r="L483" s="361"/>
      <c r="M483" s="361"/>
      <c r="N483" s="361"/>
      <c r="O483" s="361"/>
      <c r="P483" s="361"/>
      <c r="Q483" s="361"/>
      <c r="R483" s="361"/>
      <c r="S483" s="361"/>
      <c r="T483" s="361"/>
      <c r="U483" s="361"/>
      <c r="V483" s="361"/>
      <c r="W483" s="361"/>
      <c r="X483" s="365"/>
      <c r="Y483" s="361"/>
      <c r="Z483" s="361"/>
      <c r="AA483" s="116"/>
      <c r="AB483" s="116"/>
      <c r="AC483" s="116"/>
      <c r="AD483" s="116"/>
      <c r="AE483" s="365"/>
      <c r="AF483" s="116"/>
      <c r="AG483" s="116"/>
      <c r="AH483" s="116"/>
      <c r="AI483" s="116"/>
      <c r="AJ483" s="116"/>
      <c r="AK483" s="116"/>
      <c r="AL483" s="116"/>
    </row>
    <row r="484" ht="16.5" customHeight="1">
      <c r="A484" s="362"/>
      <c r="B484" s="362"/>
      <c r="C484" s="362"/>
      <c r="D484" s="362"/>
      <c r="E484" s="132"/>
      <c r="F484" s="131"/>
      <c r="G484" s="361"/>
      <c r="H484" s="363"/>
      <c r="I484" s="364"/>
      <c r="J484" s="361"/>
      <c r="K484" s="361"/>
      <c r="L484" s="361"/>
      <c r="M484" s="361"/>
      <c r="N484" s="361"/>
      <c r="O484" s="361"/>
      <c r="P484" s="361"/>
      <c r="Q484" s="361"/>
      <c r="R484" s="361"/>
      <c r="S484" s="361"/>
      <c r="T484" s="361"/>
      <c r="U484" s="361"/>
      <c r="V484" s="361"/>
      <c r="W484" s="361"/>
      <c r="X484" s="365"/>
      <c r="Y484" s="361"/>
      <c r="Z484" s="361"/>
      <c r="AA484" s="116"/>
      <c r="AB484" s="116"/>
      <c r="AC484" s="116"/>
      <c r="AD484" s="116"/>
      <c r="AE484" s="365"/>
      <c r="AF484" s="116"/>
      <c r="AG484" s="116"/>
      <c r="AH484" s="116"/>
      <c r="AI484" s="116"/>
      <c r="AJ484" s="116"/>
      <c r="AK484" s="116"/>
      <c r="AL484" s="116"/>
    </row>
    <row r="485" ht="16.5" customHeight="1">
      <c r="A485" s="362"/>
      <c r="B485" s="362"/>
      <c r="C485" s="362"/>
      <c r="D485" s="362"/>
      <c r="E485" s="132"/>
      <c r="F485" s="131"/>
      <c r="G485" s="361"/>
      <c r="H485" s="363"/>
      <c r="I485" s="364"/>
      <c r="J485" s="361"/>
      <c r="K485" s="361"/>
      <c r="L485" s="361"/>
      <c r="M485" s="361"/>
      <c r="N485" s="361"/>
      <c r="O485" s="361"/>
      <c r="P485" s="361"/>
      <c r="Q485" s="361"/>
      <c r="R485" s="361"/>
      <c r="S485" s="361"/>
      <c r="T485" s="361"/>
      <c r="U485" s="361"/>
      <c r="V485" s="361"/>
      <c r="W485" s="361"/>
      <c r="X485" s="365"/>
      <c r="Y485" s="361"/>
      <c r="Z485" s="361"/>
      <c r="AA485" s="116"/>
      <c r="AB485" s="116"/>
      <c r="AC485" s="116"/>
      <c r="AD485" s="116"/>
      <c r="AE485" s="365"/>
      <c r="AF485" s="116"/>
      <c r="AG485" s="116"/>
      <c r="AH485" s="116"/>
      <c r="AI485" s="116"/>
      <c r="AJ485" s="116"/>
      <c r="AK485" s="116"/>
      <c r="AL485" s="116"/>
    </row>
    <row r="486" ht="16.5" customHeight="1">
      <c r="A486" s="362"/>
      <c r="B486" s="362"/>
      <c r="C486" s="362"/>
      <c r="D486" s="362"/>
      <c r="E486" s="132"/>
      <c r="F486" s="131"/>
      <c r="G486" s="361"/>
      <c r="H486" s="363"/>
      <c r="I486" s="364"/>
      <c r="J486" s="361"/>
      <c r="K486" s="361"/>
      <c r="L486" s="361"/>
      <c r="M486" s="361"/>
      <c r="N486" s="361"/>
      <c r="O486" s="361"/>
      <c r="P486" s="361"/>
      <c r="Q486" s="361"/>
      <c r="R486" s="361"/>
      <c r="S486" s="361"/>
      <c r="T486" s="361"/>
      <c r="U486" s="361"/>
      <c r="V486" s="361"/>
      <c r="W486" s="361"/>
      <c r="X486" s="365"/>
      <c r="Y486" s="361"/>
      <c r="Z486" s="361"/>
      <c r="AA486" s="116"/>
      <c r="AB486" s="116"/>
      <c r="AC486" s="116"/>
      <c r="AD486" s="116"/>
      <c r="AE486" s="365"/>
      <c r="AF486" s="116"/>
      <c r="AG486" s="116"/>
      <c r="AH486" s="116"/>
      <c r="AI486" s="116"/>
      <c r="AJ486" s="116"/>
      <c r="AK486" s="116"/>
      <c r="AL486" s="116"/>
    </row>
    <row r="487" ht="16.5" customHeight="1">
      <c r="A487" s="362"/>
      <c r="B487" s="362"/>
      <c r="C487" s="362"/>
      <c r="D487" s="362"/>
      <c r="E487" s="132"/>
      <c r="F487" s="131"/>
      <c r="G487" s="361"/>
      <c r="H487" s="363"/>
      <c r="I487" s="364"/>
      <c r="J487" s="361"/>
      <c r="K487" s="361"/>
      <c r="L487" s="361"/>
      <c r="M487" s="361"/>
      <c r="N487" s="361"/>
      <c r="O487" s="361"/>
      <c r="P487" s="361"/>
      <c r="Q487" s="361"/>
      <c r="R487" s="361"/>
      <c r="S487" s="361"/>
      <c r="T487" s="361"/>
      <c r="U487" s="361"/>
      <c r="V487" s="361"/>
      <c r="W487" s="361"/>
      <c r="X487" s="365"/>
      <c r="Y487" s="361"/>
      <c r="Z487" s="361"/>
      <c r="AA487" s="116"/>
      <c r="AB487" s="116"/>
      <c r="AC487" s="116"/>
      <c r="AD487" s="116"/>
      <c r="AE487" s="365"/>
      <c r="AF487" s="116"/>
      <c r="AG487" s="116"/>
      <c r="AH487" s="116"/>
      <c r="AI487" s="116"/>
      <c r="AJ487" s="116"/>
      <c r="AK487" s="116"/>
      <c r="AL487" s="116"/>
    </row>
    <row r="488" ht="16.5" customHeight="1">
      <c r="A488" s="362"/>
      <c r="B488" s="362"/>
      <c r="C488" s="362"/>
      <c r="D488" s="362"/>
      <c r="E488" s="132"/>
      <c r="F488" s="131"/>
      <c r="G488" s="361"/>
      <c r="H488" s="363"/>
      <c r="I488" s="364"/>
      <c r="J488" s="361"/>
      <c r="K488" s="361"/>
      <c r="L488" s="361"/>
      <c r="M488" s="361"/>
      <c r="N488" s="361"/>
      <c r="O488" s="361"/>
      <c r="P488" s="361"/>
      <c r="Q488" s="361"/>
      <c r="R488" s="361"/>
      <c r="S488" s="361"/>
      <c r="T488" s="361"/>
      <c r="U488" s="361"/>
      <c r="V488" s="361"/>
      <c r="W488" s="361"/>
      <c r="X488" s="365"/>
      <c r="Y488" s="361"/>
      <c r="Z488" s="361"/>
      <c r="AA488" s="116"/>
      <c r="AB488" s="116"/>
      <c r="AC488" s="116"/>
      <c r="AD488" s="116"/>
      <c r="AE488" s="365"/>
      <c r="AF488" s="116"/>
      <c r="AG488" s="116"/>
      <c r="AH488" s="116"/>
      <c r="AI488" s="116"/>
      <c r="AJ488" s="116"/>
      <c r="AK488" s="116"/>
      <c r="AL488" s="116"/>
    </row>
    <row r="489" ht="16.5" customHeight="1">
      <c r="A489" s="362"/>
      <c r="B489" s="362"/>
      <c r="C489" s="362"/>
      <c r="D489" s="362"/>
      <c r="E489" s="132"/>
      <c r="F489" s="131"/>
      <c r="G489" s="361"/>
      <c r="H489" s="363"/>
      <c r="I489" s="364"/>
      <c r="J489" s="361"/>
      <c r="K489" s="361"/>
      <c r="L489" s="361"/>
      <c r="M489" s="361"/>
      <c r="N489" s="361"/>
      <c r="O489" s="361"/>
      <c r="P489" s="361"/>
      <c r="Q489" s="361"/>
      <c r="R489" s="361"/>
      <c r="S489" s="361"/>
      <c r="T489" s="361"/>
      <c r="U489" s="361"/>
      <c r="V489" s="361"/>
      <c r="W489" s="361"/>
      <c r="X489" s="365"/>
      <c r="Y489" s="361"/>
      <c r="Z489" s="361"/>
      <c r="AA489" s="116"/>
      <c r="AB489" s="116"/>
      <c r="AC489" s="116"/>
      <c r="AD489" s="116"/>
      <c r="AE489" s="365"/>
      <c r="AF489" s="116"/>
      <c r="AG489" s="116"/>
      <c r="AH489" s="116"/>
      <c r="AI489" s="116"/>
      <c r="AJ489" s="116"/>
      <c r="AK489" s="116"/>
      <c r="AL489" s="116"/>
    </row>
    <row r="490" ht="16.5" customHeight="1">
      <c r="A490" s="362"/>
      <c r="B490" s="362"/>
      <c r="C490" s="362"/>
      <c r="D490" s="362"/>
      <c r="E490" s="132"/>
      <c r="F490" s="131"/>
      <c r="G490" s="361"/>
      <c r="H490" s="363"/>
      <c r="I490" s="364"/>
      <c r="J490" s="361"/>
      <c r="K490" s="361"/>
      <c r="L490" s="361"/>
      <c r="M490" s="361"/>
      <c r="N490" s="361"/>
      <c r="O490" s="361"/>
      <c r="P490" s="361"/>
      <c r="Q490" s="361"/>
      <c r="R490" s="361"/>
      <c r="S490" s="361"/>
      <c r="T490" s="361"/>
      <c r="U490" s="361"/>
      <c r="V490" s="361"/>
      <c r="W490" s="361"/>
      <c r="X490" s="365"/>
      <c r="Y490" s="361"/>
      <c r="Z490" s="361"/>
      <c r="AA490" s="116"/>
      <c r="AB490" s="116"/>
      <c r="AC490" s="116"/>
      <c r="AD490" s="116"/>
      <c r="AE490" s="365"/>
      <c r="AF490" s="116"/>
      <c r="AG490" s="116"/>
      <c r="AH490" s="116"/>
      <c r="AI490" s="116"/>
      <c r="AJ490" s="116"/>
      <c r="AK490" s="116"/>
      <c r="AL490" s="116"/>
    </row>
    <row r="491" ht="16.5" customHeight="1">
      <c r="A491" s="362"/>
      <c r="B491" s="362"/>
      <c r="C491" s="362"/>
      <c r="D491" s="362"/>
      <c r="E491" s="132"/>
      <c r="F491" s="131"/>
      <c r="G491" s="361"/>
      <c r="H491" s="363"/>
      <c r="I491" s="364"/>
      <c r="J491" s="361"/>
      <c r="K491" s="361"/>
      <c r="L491" s="361"/>
      <c r="M491" s="361"/>
      <c r="N491" s="361"/>
      <c r="O491" s="361"/>
      <c r="P491" s="361"/>
      <c r="Q491" s="361"/>
      <c r="R491" s="361"/>
      <c r="S491" s="361"/>
      <c r="T491" s="361"/>
      <c r="U491" s="361"/>
      <c r="V491" s="361"/>
      <c r="W491" s="361"/>
      <c r="X491" s="365"/>
      <c r="Y491" s="361"/>
      <c r="Z491" s="361"/>
      <c r="AA491" s="116"/>
      <c r="AB491" s="116"/>
      <c r="AC491" s="116"/>
      <c r="AD491" s="116"/>
      <c r="AE491" s="365"/>
      <c r="AF491" s="116"/>
      <c r="AG491" s="116"/>
      <c r="AH491" s="116"/>
      <c r="AI491" s="116"/>
      <c r="AJ491" s="116"/>
      <c r="AK491" s="116"/>
      <c r="AL491" s="116"/>
    </row>
    <row r="492" ht="16.5" customHeight="1">
      <c r="A492" s="362"/>
      <c r="B492" s="362"/>
      <c r="C492" s="362"/>
      <c r="D492" s="362"/>
      <c r="E492" s="132"/>
      <c r="F492" s="131"/>
      <c r="G492" s="361"/>
      <c r="H492" s="363"/>
      <c r="I492" s="364"/>
      <c r="J492" s="361"/>
      <c r="K492" s="361"/>
      <c r="L492" s="361"/>
      <c r="M492" s="361"/>
      <c r="N492" s="361"/>
      <c r="O492" s="361"/>
      <c r="P492" s="361"/>
      <c r="Q492" s="361"/>
      <c r="R492" s="361"/>
      <c r="S492" s="361"/>
      <c r="T492" s="361"/>
      <c r="U492" s="361"/>
      <c r="V492" s="361"/>
      <c r="W492" s="361"/>
      <c r="X492" s="365"/>
      <c r="Y492" s="361"/>
      <c r="Z492" s="361"/>
      <c r="AA492" s="116"/>
      <c r="AB492" s="116"/>
      <c r="AC492" s="116"/>
      <c r="AD492" s="116"/>
      <c r="AE492" s="365"/>
      <c r="AF492" s="116"/>
      <c r="AG492" s="116"/>
      <c r="AH492" s="116"/>
      <c r="AI492" s="116"/>
      <c r="AJ492" s="116"/>
      <c r="AK492" s="116"/>
      <c r="AL492" s="116"/>
    </row>
    <row r="493" ht="16.5" customHeight="1">
      <c r="A493" s="362"/>
      <c r="B493" s="362"/>
      <c r="C493" s="362"/>
      <c r="D493" s="362"/>
      <c r="E493" s="132"/>
      <c r="F493" s="131"/>
      <c r="G493" s="361"/>
      <c r="H493" s="363"/>
      <c r="I493" s="364"/>
      <c r="J493" s="361"/>
      <c r="K493" s="361"/>
      <c r="L493" s="361"/>
      <c r="M493" s="361"/>
      <c r="N493" s="361"/>
      <c r="O493" s="361"/>
      <c r="P493" s="361"/>
      <c r="Q493" s="361"/>
      <c r="R493" s="361"/>
      <c r="S493" s="361"/>
      <c r="T493" s="361"/>
      <c r="U493" s="361"/>
      <c r="V493" s="361"/>
      <c r="W493" s="361"/>
      <c r="X493" s="365"/>
      <c r="Y493" s="361"/>
      <c r="Z493" s="361"/>
      <c r="AA493" s="116"/>
      <c r="AB493" s="116"/>
      <c r="AC493" s="116"/>
      <c r="AD493" s="116"/>
      <c r="AE493" s="365"/>
      <c r="AF493" s="116"/>
      <c r="AG493" s="116"/>
      <c r="AH493" s="116"/>
      <c r="AI493" s="116"/>
      <c r="AJ493" s="116"/>
      <c r="AK493" s="116"/>
      <c r="AL493" s="116"/>
    </row>
    <row r="494" ht="16.5" customHeight="1">
      <c r="A494" s="362"/>
      <c r="B494" s="362"/>
      <c r="C494" s="362"/>
      <c r="D494" s="362"/>
      <c r="E494" s="132"/>
      <c r="F494" s="131"/>
      <c r="G494" s="361"/>
      <c r="H494" s="363"/>
      <c r="I494" s="364"/>
      <c r="J494" s="361"/>
      <c r="K494" s="361"/>
      <c r="L494" s="361"/>
      <c r="M494" s="361"/>
      <c r="N494" s="361"/>
      <c r="O494" s="361"/>
      <c r="P494" s="361"/>
      <c r="Q494" s="361"/>
      <c r="R494" s="361"/>
      <c r="S494" s="361"/>
      <c r="T494" s="361"/>
      <c r="U494" s="361"/>
      <c r="V494" s="361"/>
      <c r="W494" s="361"/>
      <c r="X494" s="365"/>
      <c r="Y494" s="361"/>
      <c r="Z494" s="361"/>
      <c r="AA494" s="116"/>
      <c r="AB494" s="116"/>
      <c r="AC494" s="116"/>
      <c r="AD494" s="116"/>
      <c r="AE494" s="365"/>
      <c r="AF494" s="116"/>
      <c r="AG494" s="116"/>
      <c r="AH494" s="116"/>
      <c r="AI494" s="116"/>
      <c r="AJ494" s="116"/>
      <c r="AK494" s="116"/>
      <c r="AL494" s="116"/>
    </row>
    <row r="495" ht="16.5" customHeight="1">
      <c r="A495" s="362"/>
      <c r="B495" s="362"/>
      <c r="C495" s="362"/>
      <c r="D495" s="362"/>
      <c r="E495" s="132"/>
      <c r="F495" s="131"/>
      <c r="G495" s="361"/>
      <c r="H495" s="363"/>
      <c r="I495" s="364"/>
      <c r="J495" s="361"/>
      <c r="K495" s="361"/>
      <c r="L495" s="361"/>
      <c r="M495" s="361"/>
      <c r="N495" s="361"/>
      <c r="O495" s="361"/>
      <c r="P495" s="361"/>
      <c r="Q495" s="361"/>
      <c r="R495" s="361"/>
      <c r="S495" s="361"/>
      <c r="T495" s="361"/>
      <c r="U495" s="361"/>
      <c r="V495" s="361"/>
      <c r="W495" s="361"/>
      <c r="X495" s="365"/>
      <c r="Y495" s="361"/>
      <c r="Z495" s="361"/>
      <c r="AA495" s="116"/>
      <c r="AB495" s="116"/>
      <c r="AC495" s="116"/>
      <c r="AD495" s="116"/>
      <c r="AE495" s="365"/>
      <c r="AF495" s="116"/>
      <c r="AG495" s="116"/>
      <c r="AH495" s="116"/>
      <c r="AI495" s="116"/>
      <c r="AJ495" s="116"/>
      <c r="AK495" s="116"/>
      <c r="AL495" s="116"/>
    </row>
    <row r="496" ht="16.5" customHeight="1">
      <c r="A496" s="362"/>
      <c r="B496" s="362"/>
      <c r="C496" s="362"/>
      <c r="D496" s="362"/>
      <c r="E496" s="132"/>
      <c r="F496" s="131"/>
      <c r="G496" s="361"/>
      <c r="H496" s="363"/>
      <c r="I496" s="364"/>
      <c r="J496" s="361"/>
      <c r="K496" s="361"/>
      <c r="L496" s="361"/>
      <c r="M496" s="361"/>
      <c r="N496" s="361"/>
      <c r="O496" s="361"/>
      <c r="P496" s="361"/>
      <c r="Q496" s="361"/>
      <c r="R496" s="361"/>
      <c r="S496" s="361"/>
      <c r="T496" s="361"/>
      <c r="U496" s="361"/>
      <c r="V496" s="361"/>
      <c r="W496" s="361"/>
      <c r="X496" s="365"/>
      <c r="Y496" s="361"/>
      <c r="Z496" s="361"/>
      <c r="AA496" s="116"/>
      <c r="AB496" s="116"/>
      <c r="AC496" s="116"/>
      <c r="AD496" s="116"/>
      <c r="AE496" s="365"/>
      <c r="AF496" s="116"/>
      <c r="AG496" s="116"/>
      <c r="AH496" s="116"/>
      <c r="AI496" s="116"/>
      <c r="AJ496" s="116"/>
      <c r="AK496" s="116"/>
      <c r="AL496" s="116"/>
    </row>
    <row r="497" ht="16.5" customHeight="1">
      <c r="A497" s="362"/>
      <c r="B497" s="362"/>
      <c r="C497" s="362"/>
      <c r="D497" s="362"/>
      <c r="E497" s="132"/>
      <c r="F497" s="131"/>
      <c r="G497" s="361"/>
      <c r="H497" s="363"/>
      <c r="I497" s="364"/>
      <c r="J497" s="361"/>
      <c r="K497" s="361"/>
      <c r="L497" s="361"/>
      <c r="M497" s="361"/>
      <c r="N497" s="361"/>
      <c r="O497" s="361"/>
      <c r="P497" s="361"/>
      <c r="Q497" s="361"/>
      <c r="R497" s="361"/>
      <c r="S497" s="361"/>
      <c r="T497" s="361"/>
      <c r="U497" s="361"/>
      <c r="V497" s="361"/>
      <c r="W497" s="361"/>
      <c r="X497" s="365"/>
      <c r="Y497" s="361"/>
      <c r="Z497" s="361"/>
      <c r="AA497" s="116"/>
      <c r="AB497" s="116"/>
      <c r="AC497" s="116"/>
      <c r="AD497" s="116"/>
      <c r="AE497" s="365"/>
      <c r="AF497" s="116"/>
      <c r="AG497" s="116"/>
      <c r="AH497" s="116"/>
      <c r="AI497" s="116"/>
      <c r="AJ497" s="116"/>
      <c r="AK497" s="116"/>
      <c r="AL497" s="116"/>
    </row>
    <row r="498" ht="16.5" customHeight="1">
      <c r="A498" s="362"/>
      <c r="B498" s="362"/>
      <c r="C498" s="362"/>
      <c r="D498" s="362"/>
      <c r="E498" s="132"/>
      <c r="F498" s="131"/>
      <c r="G498" s="361"/>
      <c r="H498" s="363"/>
      <c r="I498" s="364"/>
      <c r="J498" s="361"/>
      <c r="K498" s="361"/>
      <c r="L498" s="361"/>
      <c r="M498" s="361"/>
      <c r="N498" s="361"/>
      <c r="O498" s="361"/>
      <c r="P498" s="361"/>
      <c r="Q498" s="361"/>
      <c r="R498" s="361"/>
      <c r="S498" s="361"/>
      <c r="T498" s="361"/>
      <c r="U498" s="361"/>
      <c r="V498" s="361"/>
      <c r="W498" s="361"/>
      <c r="X498" s="365"/>
      <c r="Y498" s="361"/>
      <c r="Z498" s="361"/>
      <c r="AA498" s="116"/>
      <c r="AB498" s="116"/>
      <c r="AC498" s="116"/>
      <c r="AD498" s="116"/>
      <c r="AE498" s="365"/>
      <c r="AF498" s="116"/>
      <c r="AG498" s="116"/>
      <c r="AH498" s="116"/>
      <c r="AI498" s="116"/>
      <c r="AJ498" s="116"/>
      <c r="AK498" s="116"/>
      <c r="AL498" s="116"/>
    </row>
    <row r="499" ht="16.5" customHeight="1">
      <c r="A499" s="362"/>
      <c r="B499" s="362"/>
      <c r="C499" s="362"/>
      <c r="D499" s="362"/>
      <c r="E499" s="132"/>
      <c r="F499" s="131"/>
      <c r="G499" s="361"/>
      <c r="H499" s="363"/>
      <c r="I499" s="364"/>
      <c r="J499" s="361"/>
      <c r="K499" s="361"/>
      <c r="L499" s="361"/>
      <c r="M499" s="361"/>
      <c r="N499" s="361"/>
      <c r="O499" s="361"/>
      <c r="P499" s="361"/>
      <c r="Q499" s="361"/>
      <c r="R499" s="361"/>
      <c r="S499" s="361"/>
      <c r="T499" s="361"/>
      <c r="U499" s="361"/>
      <c r="V499" s="361"/>
      <c r="W499" s="361"/>
      <c r="X499" s="365"/>
      <c r="Y499" s="361"/>
      <c r="Z499" s="361"/>
      <c r="AA499" s="116"/>
      <c r="AB499" s="116"/>
      <c r="AC499" s="116"/>
      <c r="AD499" s="116"/>
      <c r="AE499" s="365"/>
      <c r="AF499" s="116"/>
      <c r="AG499" s="116"/>
      <c r="AH499" s="116"/>
      <c r="AI499" s="116"/>
      <c r="AJ499" s="116"/>
      <c r="AK499" s="116"/>
      <c r="AL499" s="116"/>
    </row>
    <row r="500" ht="16.5" customHeight="1">
      <c r="A500" s="362"/>
      <c r="B500" s="362"/>
      <c r="C500" s="362"/>
      <c r="D500" s="362"/>
      <c r="E500" s="132"/>
      <c r="F500" s="131"/>
      <c r="G500" s="361"/>
      <c r="H500" s="363"/>
      <c r="I500" s="364"/>
      <c r="J500" s="361"/>
      <c r="K500" s="361"/>
      <c r="L500" s="361"/>
      <c r="M500" s="361"/>
      <c r="N500" s="361"/>
      <c r="O500" s="361"/>
      <c r="P500" s="361"/>
      <c r="Q500" s="361"/>
      <c r="R500" s="361"/>
      <c r="S500" s="361"/>
      <c r="T500" s="361"/>
      <c r="U500" s="361"/>
      <c r="V500" s="361"/>
      <c r="W500" s="361"/>
      <c r="X500" s="365"/>
      <c r="Y500" s="361"/>
      <c r="Z500" s="361"/>
      <c r="AA500" s="116"/>
      <c r="AB500" s="116"/>
      <c r="AC500" s="116"/>
      <c r="AD500" s="116"/>
      <c r="AE500" s="365"/>
      <c r="AF500" s="116"/>
      <c r="AG500" s="116"/>
      <c r="AH500" s="116"/>
      <c r="AI500" s="116"/>
      <c r="AJ500" s="116"/>
      <c r="AK500" s="116"/>
      <c r="AL500" s="116"/>
    </row>
    <row r="501" ht="16.5" customHeight="1">
      <c r="A501" s="362"/>
      <c r="B501" s="362"/>
      <c r="C501" s="362"/>
      <c r="D501" s="362"/>
      <c r="E501" s="132"/>
      <c r="F501" s="131"/>
      <c r="G501" s="361"/>
      <c r="H501" s="363"/>
      <c r="I501" s="364"/>
      <c r="J501" s="361"/>
      <c r="K501" s="361"/>
      <c r="L501" s="361"/>
      <c r="M501" s="361"/>
      <c r="N501" s="361"/>
      <c r="O501" s="361"/>
      <c r="P501" s="361"/>
      <c r="Q501" s="361"/>
      <c r="R501" s="361"/>
      <c r="S501" s="361"/>
      <c r="T501" s="361"/>
      <c r="U501" s="361"/>
      <c r="V501" s="361"/>
      <c r="W501" s="361"/>
      <c r="X501" s="365"/>
      <c r="Y501" s="361"/>
      <c r="Z501" s="361"/>
      <c r="AA501" s="116"/>
      <c r="AB501" s="116"/>
      <c r="AC501" s="116"/>
      <c r="AD501" s="116"/>
      <c r="AE501" s="365"/>
      <c r="AF501" s="116"/>
      <c r="AG501" s="116"/>
      <c r="AH501" s="116"/>
      <c r="AI501" s="116"/>
      <c r="AJ501" s="116"/>
      <c r="AK501" s="116"/>
      <c r="AL501" s="116"/>
    </row>
    <row r="502" ht="16.5" customHeight="1">
      <c r="A502" s="362"/>
      <c r="B502" s="362"/>
      <c r="C502" s="362"/>
      <c r="D502" s="362"/>
      <c r="E502" s="132"/>
      <c r="F502" s="131"/>
      <c r="G502" s="361"/>
      <c r="H502" s="363"/>
      <c r="I502" s="364"/>
      <c r="J502" s="361"/>
      <c r="K502" s="361"/>
      <c r="L502" s="361"/>
      <c r="M502" s="361"/>
      <c r="N502" s="361"/>
      <c r="O502" s="361"/>
      <c r="P502" s="361"/>
      <c r="Q502" s="361"/>
      <c r="R502" s="361"/>
      <c r="S502" s="361"/>
      <c r="T502" s="361"/>
      <c r="U502" s="361"/>
      <c r="V502" s="361"/>
      <c r="W502" s="361"/>
      <c r="X502" s="365"/>
      <c r="Y502" s="361"/>
      <c r="Z502" s="361"/>
      <c r="AA502" s="116"/>
      <c r="AB502" s="116"/>
      <c r="AC502" s="116"/>
      <c r="AD502" s="116"/>
      <c r="AE502" s="365"/>
      <c r="AF502" s="116"/>
      <c r="AG502" s="116"/>
      <c r="AH502" s="116"/>
      <c r="AI502" s="116"/>
      <c r="AJ502" s="116"/>
      <c r="AK502" s="116"/>
      <c r="AL502" s="116"/>
    </row>
    <row r="503" ht="16.5" customHeight="1">
      <c r="A503" s="362"/>
      <c r="B503" s="362"/>
      <c r="C503" s="362"/>
      <c r="D503" s="362"/>
      <c r="E503" s="132"/>
      <c r="F503" s="131"/>
      <c r="G503" s="361"/>
      <c r="H503" s="363"/>
      <c r="I503" s="364"/>
      <c r="J503" s="361"/>
      <c r="K503" s="361"/>
      <c r="L503" s="361"/>
      <c r="M503" s="361"/>
      <c r="N503" s="361"/>
      <c r="O503" s="361"/>
      <c r="P503" s="361"/>
      <c r="Q503" s="361"/>
      <c r="R503" s="361"/>
      <c r="S503" s="361"/>
      <c r="T503" s="361"/>
      <c r="U503" s="361"/>
      <c r="V503" s="361"/>
      <c r="W503" s="361"/>
      <c r="X503" s="365"/>
      <c r="Y503" s="361"/>
      <c r="Z503" s="361"/>
      <c r="AA503" s="116"/>
      <c r="AB503" s="116"/>
      <c r="AC503" s="116"/>
      <c r="AD503" s="116"/>
      <c r="AE503" s="365"/>
      <c r="AF503" s="116"/>
      <c r="AG503" s="116"/>
      <c r="AH503" s="116"/>
      <c r="AI503" s="116"/>
      <c r="AJ503" s="116"/>
      <c r="AK503" s="116"/>
      <c r="AL503" s="116"/>
    </row>
    <row r="504" ht="16.5" customHeight="1">
      <c r="A504" s="362"/>
      <c r="B504" s="362"/>
      <c r="C504" s="362"/>
      <c r="D504" s="362"/>
      <c r="E504" s="132"/>
      <c r="F504" s="131"/>
      <c r="G504" s="361"/>
      <c r="H504" s="363"/>
      <c r="I504" s="364"/>
      <c r="J504" s="361"/>
      <c r="K504" s="361"/>
      <c r="L504" s="361"/>
      <c r="M504" s="361"/>
      <c r="N504" s="361"/>
      <c r="O504" s="361"/>
      <c r="P504" s="361"/>
      <c r="Q504" s="361"/>
      <c r="R504" s="361"/>
      <c r="S504" s="361"/>
      <c r="T504" s="361"/>
      <c r="U504" s="361"/>
      <c r="V504" s="361"/>
      <c r="W504" s="361"/>
      <c r="X504" s="365"/>
      <c r="Y504" s="361"/>
      <c r="Z504" s="361"/>
      <c r="AA504" s="116"/>
      <c r="AB504" s="116"/>
      <c r="AC504" s="116"/>
      <c r="AD504" s="116"/>
      <c r="AE504" s="365"/>
      <c r="AF504" s="116"/>
      <c r="AG504" s="116"/>
      <c r="AH504" s="116"/>
      <c r="AI504" s="116"/>
      <c r="AJ504" s="116"/>
      <c r="AK504" s="116"/>
      <c r="AL504" s="116"/>
    </row>
    <row r="505" ht="16.5" customHeight="1">
      <c r="A505" s="362"/>
      <c r="B505" s="362"/>
      <c r="C505" s="362"/>
      <c r="D505" s="362"/>
      <c r="E505" s="132"/>
      <c r="F505" s="131"/>
      <c r="G505" s="361"/>
      <c r="H505" s="363"/>
      <c r="I505" s="364"/>
      <c r="J505" s="361"/>
      <c r="K505" s="361"/>
      <c r="L505" s="361"/>
      <c r="M505" s="361"/>
      <c r="N505" s="361"/>
      <c r="O505" s="361"/>
      <c r="P505" s="361"/>
      <c r="Q505" s="361"/>
      <c r="R505" s="361"/>
      <c r="S505" s="361"/>
      <c r="T505" s="361"/>
      <c r="U505" s="361"/>
      <c r="V505" s="361"/>
      <c r="W505" s="361"/>
      <c r="X505" s="365"/>
      <c r="Y505" s="361"/>
      <c r="Z505" s="361"/>
      <c r="AA505" s="116"/>
      <c r="AB505" s="116"/>
      <c r="AC505" s="116"/>
      <c r="AD505" s="116"/>
      <c r="AE505" s="365"/>
      <c r="AF505" s="116"/>
      <c r="AG505" s="116"/>
      <c r="AH505" s="116"/>
      <c r="AI505" s="116"/>
      <c r="AJ505" s="116"/>
      <c r="AK505" s="116"/>
      <c r="AL505" s="116"/>
    </row>
    <row r="506" ht="16.5" customHeight="1">
      <c r="A506" s="362"/>
      <c r="B506" s="362"/>
      <c r="C506" s="362"/>
      <c r="D506" s="362"/>
      <c r="E506" s="132"/>
      <c r="F506" s="131"/>
      <c r="G506" s="361"/>
      <c r="H506" s="363"/>
      <c r="I506" s="364"/>
      <c r="J506" s="361"/>
      <c r="K506" s="361"/>
      <c r="L506" s="361"/>
      <c r="M506" s="361"/>
      <c r="N506" s="361"/>
      <c r="O506" s="361"/>
      <c r="P506" s="361"/>
      <c r="Q506" s="361"/>
      <c r="R506" s="361"/>
      <c r="S506" s="361"/>
      <c r="T506" s="361"/>
      <c r="U506" s="361"/>
      <c r="V506" s="361"/>
      <c r="W506" s="361"/>
      <c r="X506" s="365"/>
      <c r="Y506" s="361"/>
      <c r="Z506" s="361"/>
      <c r="AA506" s="116"/>
      <c r="AB506" s="116"/>
      <c r="AC506" s="116"/>
      <c r="AD506" s="116"/>
      <c r="AE506" s="365"/>
      <c r="AF506" s="116"/>
      <c r="AG506" s="116"/>
      <c r="AH506" s="116"/>
      <c r="AI506" s="116"/>
      <c r="AJ506" s="116"/>
      <c r="AK506" s="116"/>
      <c r="AL506" s="116"/>
    </row>
    <row r="507" ht="16.5" customHeight="1">
      <c r="A507" s="362"/>
      <c r="B507" s="362"/>
      <c r="C507" s="362"/>
      <c r="D507" s="362"/>
      <c r="E507" s="132"/>
      <c r="F507" s="131"/>
      <c r="G507" s="361"/>
      <c r="H507" s="363"/>
      <c r="I507" s="364"/>
      <c r="J507" s="361"/>
      <c r="K507" s="361"/>
      <c r="L507" s="361"/>
      <c r="M507" s="361"/>
      <c r="N507" s="361"/>
      <c r="O507" s="361"/>
      <c r="P507" s="361"/>
      <c r="Q507" s="361"/>
      <c r="R507" s="361"/>
      <c r="S507" s="361"/>
      <c r="T507" s="361"/>
      <c r="U507" s="361"/>
      <c r="V507" s="361"/>
      <c r="W507" s="361"/>
      <c r="X507" s="365"/>
      <c r="Y507" s="361"/>
      <c r="Z507" s="361"/>
      <c r="AA507" s="116"/>
      <c r="AB507" s="116"/>
      <c r="AC507" s="116"/>
      <c r="AD507" s="116"/>
      <c r="AE507" s="365"/>
      <c r="AF507" s="116"/>
      <c r="AG507" s="116"/>
      <c r="AH507" s="116"/>
      <c r="AI507" s="116"/>
      <c r="AJ507" s="116"/>
      <c r="AK507" s="116"/>
      <c r="AL507" s="116"/>
    </row>
    <row r="508" ht="16.5" customHeight="1">
      <c r="A508" s="362"/>
      <c r="B508" s="362"/>
      <c r="C508" s="362"/>
      <c r="D508" s="362"/>
      <c r="E508" s="132"/>
      <c r="F508" s="131"/>
      <c r="G508" s="361"/>
      <c r="H508" s="363"/>
      <c r="I508" s="364"/>
      <c r="J508" s="361"/>
      <c r="K508" s="361"/>
      <c r="L508" s="361"/>
      <c r="M508" s="361"/>
      <c r="N508" s="361"/>
      <c r="O508" s="361"/>
      <c r="P508" s="361"/>
      <c r="Q508" s="361"/>
      <c r="R508" s="361"/>
      <c r="S508" s="361"/>
      <c r="T508" s="361"/>
      <c r="U508" s="361"/>
      <c r="V508" s="361"/>
      <c r="W508" s="361"/>
      <c r="X508" s="365"/>
      <c r="Y508" s="361"/>
      <c r="Z508" s="361"/>
      <c r="AA508" s="116"/>
      <c r="AB508" s="116"/>
      <c r="AC508" s="116"/>
      <c r="AD508" s="116"/>
      <c r="AE508" s="365"/>
      <c r="AF508" s="116"/>
      <c r="AG508" s="116"/>
      <c r="AH508" s="116"/>
      <c r="AI508" s="116"/>
      <c r="AJ508" s="116"/>
      <c r="AK508" s="116"/>
      <c r="AL508" s="116"/>
    </row>
    <row r="509" ht="16.5" customHeight="1">
      <c r="A509" s="362"/>
      <c r="B509" s="362"/>
      <c r="C509" s="362"/>
      <c r="D509" s="362"/>
      <c r="E509" s="132"/>
      <c r="F509" s="131"/>
      <c r="G509" s="361"/>
      <c r="H509" s="363"/>
      <c r="I509" s="364"/>
      <c r="J509" s="361"/>
      <c r="K509" s="361"/>
      <c r="L509" s="361"/>
      <c r="M509" s="361"/>
      <c r="N509" s="361"/>
      <c r="O509" s="361"/>
      <c r="P509" s="361"/>
      <c r="Q509" s="361"/>
      <c r="R509" s="361"/>
      <c r="S509" s="361"/>
      <c r="T509" s="361"/>
      <c r="U509" s="361"/>
      <c r="V509" s="361"/>
      <c r="W509" s="361"/>
      <c r="X509" s="365"/>
      <c r="Y509" s="361"/>
      <c r="Z509" s="361"/>
      <c r="AA509" s="116"/>
      <c r="AB509" s="116"/>
      <c r="AC509" s="116"/>
      <c r="AD509" s="116"/>
      <c r="AE509" s="365"/>
      <c r="AF509" s="116"/>
      <c r="AG509" s="116"/>
      <c r="AH509" s="116"/>
      <c r="AI509" s="116"/>
      <c r="AJ509" s="116"/>
      <c r="AK509" s="116"/>
      <c r="AL509" s="116"/>
    </row>
    <row r="510" ht="16.5" customHeight="1">
      <c r="A510" s="362"/>
      <c r="B510" s="362"/>
      <c r="C510" s="362"/>
      <c r="D510" s="362"/>
      <c r="E510" s="132"/>
      <c r="F510" s="131"/>
      <c r="G510" s="361"/>
      <c r="H510" s="363"/>
      <c r="I510" s="364"/>
      <c r="J510" s="361"/>
      <c r="K510" s="361"/>
      <c r="L510" s="361"/>
      <c r="M510" s="361"/>
      <c r="N510" s="361"/>
      <c r="O510" s="361"/>
      <c r="P510" s="361"/>
      <c r="Q510" s="361"/>
      <c r="R510" s="361"/>
      <c r="S510" s="361"/>
      <c r="T510" s="361"/>
      <c r="U510" s="361"/>
      <c r="V510" s="361"/>
      <c r="W510" s="361"/>
      <c r="X510" s="365"/>
      <c r="Y510" s="361"/>
      <c r="Z510" s="361"/>
      <c r="AA510" s="116"/>
      <c r="AB510" s="116"/>
      <c r="AC510" s="116"/>
      <c r="AD510" s="116"/>
      <c r="AE510" s="365"/>
      <c r="AF510" s="116"/>
      <c r="AG510" s="116"/>
      <c r="AH510" s="116"/>
      <c r="AI510" s="116"/>
      <c r="AJ510" s="116"/>
      <c r="AK510" s="116"/>
      <c r="AL510" s="116"/>
    </row>
    <row r="511" ht="16.5" customHeight="1">
      <c r="A511" s="362"/>
      <c r="B511" s="362"/>
      <c r="C511" s="362"/>
      <c r="D511" s="362"/>
      <c r="E511" s="132"/>
      <c r="F511" s="131"/>
      <c r="G511" s="361"/>
      <c r="H511" s="363"/>
      <c r="I511" s="364"/>
      <c r="J511" s="361"/>
      <c r="K511" s="361"/>
      <c r="L511" s="361"/>
      <c r="M511" s="361"/>
      <c r="N511" s="361"/>
      <c r="O511" s="361"/>
      <c r="P511" s="361"/>
      <c r="Q511" s="361"/>
      <c r="R511" s="361"/>
      <c r="S511" s="361"/>
      <c r="T511" s="361"/>
      <c r="U511" s="361"/>
      <c r="V511" s="361"/>
      <c r="W511" s="361"/>
      <c r="X511" s="365"/>
      <c r="Y511" s="361"/>
      <c r="Z511" s="361"/>
      <c r="AA511" s="116"/>
      <c r="AB511" s="116"/>
      <c r="AC511" s="116"/>
      <c r="AD511" s="116"/>
      <c r="AE511" s="365"/>
      <c r="AF511" s="116"/>
      <c r="AG511" s="116"/>
      <c r="AH511" s="116"/>
      <c r="AI511" s="116"/>
      <c r="AJ511" s="116"/>
      <c r="AK511" s="116"/>
      <c r="AL511" s="116"/>
    </row>
    <row r="512" ht="16.5" customHeight="1">
      <c r="A512" s="362"/>
      <c r="B512" s="362"/>
      <c r="C512" s="362"/>
      <c r="D512" s="362"/>
      <c r="E512" s="132"/>
      <c r="F512" s="131"/>
      <c r="G512" s="361"/>
      <c r="H512" s="363"/>
      <c r="I512" s="364"/>
      <c r="J512" s="361"/>
      <c r="K512" s="361"/>
      <c r="L512" s="361"/>
      <c r="M512" s="361"/>
      <c r="N512" s="361"/>
      <c r="O512" s="361"/>
      <c r="P512" s="361"/>
      <c r="Q512" s="361"/>
      <c r="R512" s="361"/>
      <c r="S512" s="361"/>
      <c r="T512" s="361"/>
      <c r="U512" s="361"/>
      <c r="V512" s="361"/>
      <c r="W512" s="361"/>
      <c r="X512" s="365"/>
      <c r="Y512" s="361"/>
      <c r="Z512" s="361"/>
      <c r="AA512" s="116"/>
      <c r="AB512" s="116"/>
      <c r="AC512" s="116"/>
      <c r="AD512" s="116"/>
      <c r="AE512" s="365"/>
      <c r="AF512" s="116"/>
      <c r="AG512" s="116"/>
      <c r="AH512" s="116"/>
      <c r="AI512" s="116"/>
      <c r="AJ512" s="116"/>
      <c r="AK512" s="116"/>
      <c r="AL512" s="116"/>
    </row>
    <row r="513" ht="16.5" customHeight="1">
      <c r="A513" s="362"/>
      <c r="B513" s="362"/>
      <c r="C513" s="362"/>
      <c r="D513" s="362"/>
      <c r="E513" s="132"/>
      <c r="F513" s="131"/>
      <c r="G513" s="361"/>
      <c r="H513" s="363"/>
      <c r="I513" s="364"/>
      <c r="J513" s="361"/>
      <c r="K513" s="361"/>
      <c r="L513" s="361"/>
      <c r="M513" s="361"/>
      <c r="N513" s="361"/>
      <c r="O513" s="361"/>
      <c r="P513" s="361"/>
      <c r="Q513" s="361"/>
      <c r="R513" s="361"/>
      <c r="S513" s="361"/>
      <c r="T513" s="361"/>
      <c r="U513" s="361"/>
      <c r="V513" s="361"/>
      <c r="W513" s="361"/>
      <c r="X513" s="365"/>
      <c r="Y513" s="361"/>
      <c r="Z513" s="361"/>
      <c r="AA513" s="116"/>
      <c r="AB513" s="116"/>
      <c r="AC513" s="116"/>
      <c r="AD513" s="116"/>
      <c r="AE513" s="365"/>
      <c r="AF513" s="116"/>
      <c r="AG513" s="116"/>
      <c r="AH513" s="116"/>
      <c r="AI513" s="116"/>
      <c r="AJ513" s="116"/>
      <c r="AK513" s="116"/>
      <c r="AL513" s="116"/>
    </row>
    <row r="514" ht="16.5" customHeight="1">
      <c r="A514" s="362"/>
      <c r="B514" s="362"/>
      <c r="C514" s="362"/>
      <c r="D514" s="362"/>
      <c r="E514" s="132"/>
      <c r="F514" s="131"/>
      <c r="G514" s="361"/>
      <c r="H514" s="363"/>
      <c r="I514" s="364"/>
      <c r="J514" s="361"/>
      <c r="K514" s="361"/>
      <c r="L514" s="361"/>
      <c r="M514" s="361"/>
      <c r="N514" s="361"/>
      <c r="O514" s="361"/>
      <c r="P514" s="361"/>
      <c r="Q514" s="361"/>
      <c r="R514" s="361"/>
      <c r="S514" s="361"/>
      <c r="T514" s="361"/>
      <c r="U514" s="361"/>
      <c r="V514" s="361"/>
      <c r="W514" s="361"/>
      <c r="X514" s="365"/>
      <c r="Y514" s="361"/>
      <c r="Z514" s="361"/>
      <c r="AA514" s="116"/>
      <c r="AB514" s="116"/>
      <c r="AC514" s="116"/>
      <c r="AD514" s="116"/>
      <c r="AE514" s="365"/>
      <c r="AF514" s="116"/>
      <c r="AG514" s="116"/>
      <c r="AH514" s="116"/>
      <c r="AI514" s="116"/>
      <c r="AJ514" s="116"/>
      <c r="AK514" s="116"/>
      <c r="AL514" s="116"/>
    </row>
    <row r="515" ht="16.5" customHeight="1">
      <c r="A515" s="362"/>
      <c r="B515" s="362"/>
      <c r="C515" s="362"/>
      <c r="D515" s="362"/>
      <c r="E515" s="132"/>
      <c r="F515" s="131"/>
      <c r="G515" s="361"/>
      <c r="H515" s="363"/>
      <c r="I515" s="364"/>
      <c r="J515" s="361"/>
      <c r="K515" s="361"/>
      <c r="L515" s="361"/>
      <c r="M515" s="361"/>
      <c r="N515" s="361"/>
      <c r="O515" s="361"/>
      <c r="P515" s="361"/>
      <c r="Q515" s="361"/>
      <c r="R515" s="361"/>
      <c r="S515" s="361"/>
      <c r="T515" s="361"/>
      <c r="U515" s="361"/>
      <c r="V515" s="361"/>
      <c r="W515" s="361"/>
      <c r="X515" s="365"/>
      <c r="Y515" s="361"/>
      <c r="Z515" s="361"/>
      <c r="AA515" s="116"/>
      <c r="AB515" s="116"/>
      <c r="AC515" s="116"/>
      <c r="AD515" s="116"/>
      <c r="AE515" s="365"/>
      <c r="AF515" s="116"/>
      <c r="AG515" s="116"/>
      <c r="AH515" s="116"/>
      <c r="AI515" s="116"/>
      <c r="AJ515" s="116"/>
      <c r="AK515" s="116"/>
      <c r="AL515" s="116"/>
    </row>
    <row r="516" ht="16.5" customHeight="1">
      <c r="A516" s="362"/>
      <c r="B516" s="362"/>
      <c r="C516" s="362"/>
      <c r="D516" s="362"/>
      <c r="E516" s="132"/>
      <c r="F516" s="131"/>
      <c r="G516" s="361"/>
      <c r="H516" s="363"/>
      <c r="I516" s="364"/>
      <c r="J516" s="361"/>
      <c r="K516" s="361"/>
      <c r="L516" s="361"/>
      <c r="M516" s="361"/>
      <c r="N516" s="361"/>
      <c r="O516" s="361"/>
      <c r="P516" s="361"/>
      <c r="Q516" s="361"/>
      <c r="R516" s="361"/>
      <c r="S516" s="361"/>
      <c r="T516" s="361"/>
      <c r="U516" s="361"/>
      <c r="V516" s="361"/>
      <c r="W516" s="361"/>
      <c r="X516" s="365"/>
      <c r="Y516" s="361"/>
      <c r="Z516" s="361"/>
      <c r="AA516" s="116"/>
      <c r="AB516" s="116"/>
      <c r="AC516" s="116"/>
      <c r="AD516" s="116"/>
      <c r="AE516" s="365"/>
      <c r="AF516" s="116"/>
      <c r="AG516" s="116"/>
      <c r="AH516" s="116"/>
      <c r="AI516" s="116"/>
      <c r="AJ516" s="116"/>
      <c r="AK516" s="116"/>
      <c r="AL516" s="116"/>
    </row>
    <row r="517" ht="16.5" customHeight="1">
      <c r="A517" s="362"/>
      <c r="B517" s="362"/>
      <c r="C517" s="362"/>
      <c r="D517" s="362"/>
      <c r="E517" s="132"/>
      <c r="F517" s="131"/>
      <c r="G517" s="361"/>
      <c r="H517" s="363"/>
      <c r="I517" s="364"/>
      <c r="J517" s="361"/>
      <c r="K517" s="361"/>
      <c r="L517" s="361"/>
      <c r="M517" s="361"/>
      <c r="N517" s="361"/>
      <c r="O517" s="361"/>
      <c r="P517" s="361"/>
      <c r="Q517" s="361"/>
      <c r="R517" s="361"/>
      <c r="S517" s="361"/>
      <c r="T517" s="361"/>
      <c r="U517" s="361"/>
      <c r="V517" s="361"/>
      <c r="W517" s="361"/>
      <c r="X517" s="365"/>
      <c r="Y517" s="361"/>
      <c r="Z517" s="361"/>
      <c r="AA517" s="116"/>
      <c r="AB517" s="116"/>
      <c r="AC517" s="116"/>
      <c r="AD517" s="116"/>
      <c r="AE517" s="365"/>
      <c r="AF517" s="116"/>
      <c r="AG517" s="116"/>
      <c r="AH517" s="116"/>
      <c r="AI517" s="116"/>
      <c r="AJ517" s="116"/>
      <c r="AK517" s="116"/>
      <c r="AL517" s="116"/>
    </row>
    <row r="518" ht="16.5" customHeight="1">
      <c r="A518" s="362"/>
      <c r="B518" s="362"/>
      <c r="C518" s="362"/>
      <c r="D518" s="362"/>
      <c r="E518" s="132"/>
      <c r="F518" s="131"/>
      <c r="G518" s="361"/>
      <c r="H518" s="363"/>
      <c r="I518" s="364"/>
      <c r="J518" s="361"/>
      <c r="K518" s="361"/>
      <c r="L518" s="361"/>
      <c r="M518" s="361"/>
      <c r="N518" s="361"/>
      <c r="O518" s="361"/>
      <c r="P518" s="361"/>
      <c r="Q518" s="361"/>
      <c r="R518" s="361"/>
      <c r="S518" s="361"/>
      <c r="T518" s="361"/>
      <c r="U518" s="361"/>
      <c r="V518" s="361"/>
      <c r="W518" s="361"/>
      <c r="X518" s="365"/>
      <c r="Y518" s="361"/>
      <c r="Z518" s="361"/>
      <c r="AA518" s="116"/>
      <c r="AB518" s="116"/>
      <c r="AC518" s="116"/>
      <c r="AD518" s="116"/>
      <c r="AE518" s="365"/>
      <c r="AF518" s="116"/>
      <c r="AG518" s="116"/>
      <c r="AH518" s="116"/>
      <c r="AI518" s="116"/>
      <c r="AJ518" s="116"/>
      <c r="AK518" s="116"/>
      <c r="AL518" s="116"/>
    </row>
    <row r="519" ht="16.5" customHeight="1">
      <c r="A519" s="362"/>
      <c r="B519" s="362"/>
      <c r="C519" s="362"/>
      <c r="D519" s="362"/>
      <c r="E519" s="132"/>
      <c r="F519" s="131"/>
      <c r="G519" s="361"/>
      <c r="H519" s="363"/>
      <c r="I519" s="364"/>
      <c r="J519" s="361"/>
      <c r="K519" s="361"/>
      <c r="L519" s="361"/>
      <c r="M519" s="361"/>
      <c r="N519" s="361"/>
      <c r="O519" s="361"/>
      <c r="P519" s="361"/>
      <c r="Q519" s="361"/>
      <c r="R519" s="361"/>
      <c r="S519" s="361"/>
      <c r="T519" s="361"/>
      <c r="U519" s="361"/>
      <c r="V519" s="361"/>
      <c r="W519" s="361"/>
      <c r="X519" s="365"/>
      <c r="Y519" s="361"/>
      <c r="Z519" s="361"/>
      <c r="AA519" s="116"/>
      <c r="AB519" s="116"/>
      <c r="AC519" s="116"/>
      <c r="AD519" s="116"/>
      <c r="AE519" s="365"/>
      <c r="AF519" s="116"/>
      <c r="AG519" s="116"/>
      <c r="AH519" s="116"/>
      <c r="AI519" s="116"/>
      <c r="AJ519" s="116"/>
      <c r="AK519" s="116"/>
      <c r="AL519" s="116"/>
    </row>
    <row r="520" ht="16.5" customHeight="1">
      <c r="A520" s="362"/>
      <c r="B520" s="362"/>
      <c r="C520" s="362"/>
      <c r="D520" s="362"/>
      <c r="E520" s="132"/>
      <c r="F520" s="131"/>
      <c r="G520" s="361"/>
      <c r="H520" s="363"/>
      <c r="I520" s="364"/>
      <c r="J520" s="361"/>
      <c r="K520" s="361"/>
      <c r="L520" s="361"/>
      <c r="M520" s="361"/>
      <c r="N520" s="361"/>
      <c r="O520" s="361"/>
      <c r="P520" s="361"/>
      <c r="Q520" s="361"/>
      <c r="R520" s="361"/>
      <c r="S520" s="361"/>
      <c r="T520" s="361"/>
      <c r="U520" s="361"/>
      <c r="V520" s="361"/>
      <c r="W520" s="361"/>
      <c r="X520" s="365"/>
      <c r="Y520" s="361"/>
      <c r="Z520" s="361"/>
      <c r="AA520" s="116"/>
      <c r="AB520" s="116"/>
      <c r="AC520" s="116"/>
      <c r="AD520" s="116"/>
      <c r="AE520" s="365"/>
      <c r="AF520" s="116"/>
      <c r="AG520" s="116"/>
      <c r="AH520" s="116"/>
      <c r="AI520" s="116"/>
      <c r="AJ520" s="116"/>
      <c r="AK520" s="116"/>
      <c r="AL520" s="116"/>
    </row>
    <row r="521" ht="16.5" customHeight="1">
      <c r="A521" s="362"/>
      <c r="B521" s="362"/>
      <c r="C521" s="362"/>
      <c r="D521" s="362"/>
      <c r="E521" s="132"/>
      <c r="F521" s="131"/>
      <c r="G521" s="361"/>
      <c r="H521" s="363"/>
      <c r="I521" s="364"/>
      <c r="J521" s="361"/>
      <c r="K521" s="361"/>
      <c r="L521" s="361"/>
      <c r="M521" s="361"/>
      <c r="N521" s="361"/>
      <c r="O521" s="361"/>
      <c r="P521" s="361"/>
      <c r="Q521" s="361"/>
      <c r="R521" s="361"/>
      <c r="S521" s="361"/>
      <c r="T521" s="361"/>
      <c r="U521" s="361"/>
      <c r="V521" s="361"/>
      <c r="W521" s="361"/>
      <c r="X521" s="365"/>
      <c r="Y521" s="361"/>
      <c r="Z521" s="361"/>
      <c r="AA521" s="116"/>
      <c r="AB521" s="116"/>
      <c r="AC521" s="116"/>
      <c r="AD521" s="116"/>
      <c r="AE521" s="365"/>
      <c r="AF521" s="116"/>
      <c r="AG521" s="116"/>
      <c r="AH521" s="116"/>
      <c r="AI521" s="116"/>
      <c r="AJ521" s="116"/>
      <c r="AK521" s="116"/>
      <c r="AL521" s="116"/>
    </row>
    <row r="522" ht="16.5" customHeight="1">
      <c r="A522" s="362"/>
      <c r="B522" s="362"/>
      <c r="C522" s="362"/>
      <c r="D522" s="362"/>
      <c r="E522" s="132"/>
      <c r="F522" s="131"/>
      <c r="G522" s="361"/>
      <c r="H522" s="363"/>
      <c r="I522" s="364"/>
      <c r="J522" s="361"/>
      <c r="K522" s="361"/>
      <c r="L522" s="361"/>
      <c r="M522" s="361"/>
      <c r="N522" s="361"/>
      <c r="O522" s="361"/>
      <c r="P522" s="361"/>
      <c r="Q522" s="361"/>
      <c r="R522" s="361"/>
      <c r="S522" s="361"/>
      <c r="T522" s="361"/>
      <c r="U522" s="361"/>
      <c r="V522" s="361"/>
      <c r="W522" s="361"/>
      <c r="X522" s="365"/>
      <c r="Y522" s="361"/>
      <c r="Z522" s="361"/>
      <c r="AA522" s="116"/>
      <c r="AB522" s="116"/>
      <c r="AC522" s="116"/>
      <c r="AD522" s="116"/>
      <c r="AE522" s="365"/>
      <c r="AF522" s="116"/>
      <c r="AG522" s="116"/>
      <c r="AH522" s="116"/>
      <c r="AI522" s="116"/>
      <c r="AJ522" s="116"/>
      <c r="AK522" s="116"/>
      <c r="AL522" s="116"/>
    </row>
    <row r="523" ht="16.5" customHeight="1">
      <c r="A523" s="362"/>
      <c r="B523" s="362"/>
      <c r="C523" s="362"/>
      <c r="D523" s="362"/>
      <c r="E523" s="132"/>
      <c r="F523" s="131"/>
      <c r="G523" s="361"/>
      <c r="H523" s="363"/>
      <c r="I523" s="364"/>
      <c r="J523" s="361"/>
      <c r="K523" s="361"/>
      <c r="L523" s="361"/>
      <c r="M523" s="361"/>
      <c r="N523" s="361"/>
      <c r="O523" s="361"/>
      <c r="P523" s="361"/>
      <c r="Q523" s="361"/>
      <c r="R523" s="361"/>
      <c r="S523" s="361"/>
      <c r="T523" s="361"/>
      <c r="U523" s="361"/>
      <c r="V523" s="361"/>
      <c r="W523" s="361"/>
      <c r="X523" s="365"/>
      <c r="Y523" s="361"/>
      <c r="Z523" s="361"/>
      <c r="AA523" s="116"/>
      <c r="AB523" s="116"/>
      <c r="AC523" s="116"/>
      <c r="AD523" s="116"/>
      <c r="AE523" s="365"/>
      <c r="AF523" s="116"/>
      <c r="AG523" s="116"/>
      <c r="AH523" s="116"/>
      <c r="AI523" s="116"/>
      <c r="AJ523" s="116"/>
      <c r="AK523" s="116"/>
      <c r="AL523" s="116"/>
    </row>
    <row r="524" ht="16.5" customHeight="1">
      <c r="A524" s="362"/>
      <c r="B524" s="362"/>
      <c r="C524" s="362"/>
      <c r="D524" s="362"/>
      <c r="E524" s="132"/>
      <c r="F524" s="131"/>
      <c r="G524" s="361"/>
      <c r="H524" s="363"/>
      <c r="I524" s="364"/>
      <c r="J524" s="361"/>
      <c r="K524" s="361"/>
      <c r="L524" s="361"/>
      <c r="M524" s="361"/>
      <c r="N524" s="361"/>
      <c r="O524" s="361"/>
      <c r="P524" s="361"/>
      <c r="Q524" s="361"/>
      <c r="R524" s="361"/>
      <c r="S524" s="361"/>
      <c r="T524" s="361"/>
      <c r="U524" s="361"/>
      <c r="V524" s="361"/>
      <c r="W524" s="361"/>
      <c r="X524" s="365"/>
      <c r="Y524" s="361"/>
      <c r="Z524" s="361"/>
      <c r="AA524" s="116"/>
      <c r="AB524" s="116"/>
      <c r="AC524" s="116"/>
      <c r="AD524" s="116"/>
      <c r="AE524" s="365"/>
      <c r="AF524" s="116"/>
      <c r="AG524" s="116"/>
      <c r="AH524" s="116"/>
      <c r="AI524" s="116"/>
      <c r="AJ524" s="116"/>
      <c r="AK524" s="116"/>
      <c r="AL524" s="116"/>
    </row>
    <row r="525" ht="16.5" customHeight="1">
      <c r="A525" s="362"/>
      <c r="B525" s="362"/>
      <c r="C525" s="362"/>
      <c r="D525" s="362"/>
      <c r="E525" s="132"/>
      <c r="F525" s="131"/>
      <c r="G525" s="361"/>
      <c r="H525" s="363"/>
      <c r="I525" s="364"/>
      <c r="J525" s="361"/>
      <c r="K525" s="361"/>
      <c r="L525" s="361"/>
      <c r="M525" s="361"/>
      <c r="N525" s="361"/>
      <c r="O525" s="361"/>
      <c r="P525" s="361"/>
      <c r="Q525" s="361"/>
      <c r="R525" s="361"/>
      <c r="S525" s="361"/>
      <c r="T525" s="361"/>
      <c r="U525" s="361"/>
      <c r="V525" s="361"/>
      <c r="W525" s="361"/>
      <c r="X525" s="365"/>
      <c r="Y525" s="361"/>
      <c r="Z525" s="361"/>
      <c r="AA525" s="116"/>
      <c r="AB525" s="116"/>
      <c r="AC525" s="116"/>
      <c r="AD525" s="116"/>
      <c r="AE525" s="365"/>
      <c r="AF525" s="116"/>
      <c r="AG525" s="116"/>
      <c r="AH525" s="116"/>
      <c r="AI525" s="116"/>
      <c r="AJ525" s="116"/>
      <c r="AK525" s="116"/>
      <c r="AL525" s="116"/>
    </row>
    <row r="526" ht="16.5" customHeight="1">
      <c r="A526" s="362"/>
      <c r="B526" s="362"/>
      <c r="C526" s="362"/>
      <c r="D526" s="362"/>
      <c r="E526" s="132"/>
      <c r="F526" s="131"/>
      <c r="G526" s="361"/>
      <c r="H526" s="363"/>
      <c r="I526" s="364"/>
      <c r="J526" s="361"/>
      <c r="K526" s="361"/>
      <c r="L526" s="361"/>
      <c r="M526" s="361"/>
      <c r="N526" s="361"/>
      <c r="O526" s="361"/>
      <c r="P526" s="361"/>
      <c r="Q526" s="361"/>
      <c r="R526" s="361"/>
      <c r="S526" s="361"/>
      <c r="T526" s="361"/>
      <c r="U526" s="361"/>
      <c r="V526" s="361"/>
      <c r="W526" s="361"/>
      <c r="X526" s="365"/>
      <c r="Y526" s="361"/>
      <c r="Z526" s="361"/>
      <c r="AA526" s="116"/>
      <c r="AB526" s="116"/>
      <c r="AC526" s="116"/>
      <c r="AD526" s="116"/>
      <c r="AE526" s="365"/>
      <c r="AF526" s="116"/>
      <c r="AG526" s="116"/>
      <c r="AH526" s="116"/>
      <c r="AI526" s="116"/>
      <c r="AJ526" s="116"/>
      <c r="AK526" s="116"/>
      <c r="AL526" s="116"/>
    </row>
    <row r="527" ht="16.5" customHeight="1">
      <c r="A527" s="362"/>
      <c r="B527" s="362"/>
      <c r="C527" s="362"/>
      <c r="D527" s="362"/>
      <c r="E527" s="132"/>
      <c r="F527" s="131"/>
      <c r="G527" s="361"/>
      <c r="H527" s="363"/>
      <c r="I527" s="364"/>
      <c r="J527" s="361"/>
      <c r="K527" s="361"/>
      <c r="L527" s="361"/>
      <c r="M527" s="361"/>
      <c r="N527" s="361"/>
      <c r="O527" s="361"/>
      <c r="P527" s="361"/>
      <c r="Q527" s="361"/>
      <c r="R527" s="361"/>
      <c r="S527" s="361"/>
      <c r="T527" s="361"/>
      <c r="U527" s="361"/>
      <c r="V527" s="361"/>
      <c r="W527" s="361"/>
      <c r="X527" s="365"/>
      <c r="Y527" s="361"/>
      <c r="Z527" s="361"/>
      <c r="AA527" s="116"/>
      <c r="AB527" s="116"/>
      <c r="AC527" s="116"/>
      <c r="AD527" s="116"/>
      <c r="AE527" s="365"/>
      <c r="AF527" s="116"/>
      <c r="AG527" s="116"/>
      <c r="AH527" s="116"/>
      <c r="AI527" s="116"/>
      <c r="AJ527" s="116"/>
      <c r="AK527" s="116"/>
      <c r="AL527" s="116"/>
    </row>
    <row r="528" ht="16.5" customHeight="1">
      <c r="A528" s="362"/>
      <c r="B528" s="362"/>
      <c r="C528" s="362"/>
      <c r="D528" s="362"/>
      <c r="E528" s="132"/>
      <c r="F528" s="131"/>
      <c r="G528" s="361"/>
      <c r="H528" s="363"/>
      <c r="I528" s="364"/>
      <c r="J528" s="361"/>
      <c r="K528" s="361"/>
      <c r="L528" s="361"/>
      <c r="M528" s="361"/>
      <c r="N528" s="361"/>
      <c r="O528" s="361"/>
      <c r="P528" s="361"/>
      <c r="Q528" s="361"/>
      <c r="R528" s="361"/>
      <c r="S528" s="361"/>
      <c r="T528" s="361"/>
      <c r="U528" s="361"/>
      <c r="V528" s="361"/>
      <c r="W528" s="361"/>
      <c r="X528" s="365"/>
      <c r="Y528" s="361"/>
      <c r="Z528" s="361"/>
      <c r="AA528" s="116"/>
      <c r="AB528" s="116"/>
      <c r="AC528" s="116"/>
      <c r="AD528" s="116"/>
      <c r="AE528" s="365"/>
      <c r="AF528" s="116"/>
      <c r="AG528" s="116"/>
      <c r="AH528" s="116"/>
      <c r="AI528" s="116"/>
      <c r="AJ528" s="116"/>
      <c r="AK528" s="116"/>
      <c r="AL528" s="116"/>
    </row>
    <row r="529" ht="16.5" customHeight="1">
      <c r="A529" s="362"/>
      <c r="B529" s="362"/>
      <c r="C529" s="362"/>
      <c r="D529" s="362"/>
      <c r="E529" s="132"/>
      <c r="F529" s="131"/>
      <c r="G529" s="361"/>
      <c r="H529" s="363"/>
      <c r="I529" s="364"/>
      <c r="J529" s="361"/>
      <c r="K529" s="361"/>
      <c r="L529" s="361"/>
      <c r="M529" s="361"/>
      <c r="N529" s="361"/>
      <c r="O529" s="361"/>
      <c r="P529" s="361"/>
      <c r="Q529" s="361"/>
      <c r="R529" s="361"/>
      <c r="S529" s="361"/>
      <c r="T529" s="361"/>
      <c r="U529" s="361"/>
      <c r="V529" s="361"/>
      <c r="W529" s="361"/>
      <c r="X529" s="365"/>
      <c r="Y529" s="361"/>
      <c r="Z529" s="361"/>
      <c r="AA529" s="116"/>
      <c r="AB529" s="116"/>
      <c r="AC529" s="116"/>
      <c r="AD529" s="116"/>
      <c r="AE529" s="365"/>
      <c r="AF529" s="116"/>
      <c r="AG529" s="116"/>
      <c r="AH529" s="116"/>
      <c r="AI529" s="116"/>
      <c r="AJ529" s="116"/>
      <c r="AK529" s="116"/>
      <c r="AL529" s="116"/>
    </row>
    <row r="530" ht="16.5" customHeight="1">
      <c r="A530" s="362"/>
      <c r="B530" s="362"/>
      <c r="C530" s="362"/>
      <c r="D530" s="362"/>
      <c r="E530" s="132"/>
      <c r="F530" s="131"/>
      <c r="G530" s="361"/>
      <c r="H530" s="363"/>
      <c r="I530" s="364"/>
      <c r="J530" s="361"/>
      <c r="K530" s="361"/>
      <c r="L530" s="361"/>
      <c r="M530" s="361"/>
      <c r="N530" s="361"/>
      <c r="O530" s="361"/>
      <c r="P530" s="361"/>
      <c r="Q530" s="361"/>
      <c r="R530" s="361"/>
      <c r="S530" s="361"/>
      <c r="T530" s="361"/>
      <c r="U530" s="361"/>
      <c r="V530" s="361"/>
      <c r="W530" s="361"/>
      <c r="X530" s="365"/>
      <c r="Y530" s="361"/>
      <c r="Z530" s="361"/>
      <c r="AA530" s="116"/>
      <c r="AB530" s="116"/>
      <c r="AC530" s="116"/>
      <c r="AD530" s="116"/>
      <c r="AE530" s="365"/>
      <c r="AF530" s="116"/>
      <c r="AG530" s="116"/>
      <c r="AH530" s="116"/>
      <c r="AI530" s="116"/>
      <c r="AJ530" s="116"/>
      <c r="AK530" s="116"/>
      <c r="AL530" s="116"/>
    </row>
    <row r="531" ht="16.5" customHeight="1">
      <c r="A531" s="362"/>
      <c r="B531" s="362"/>
      <c r="C531" s="362"/>
      <c r="D531" s="362"/>
      <c r="E531" s="132"/>
      <c r="F531" s="131"/>
      <c r="G531" s="361"/>
      <c r="H531" s="363"/>
      <c r="I531" s="364"/>
      <c r="J531" s="361"/>
      <c r="K531" s="361"/>
      <c r="L531" s="361"/>
      <c r="M531" s="361"/>
      <c r="N531" s="361"/>
      <c r="O531" s="361"/>
      <c r="P531" s="361"/>
      <c r="Q531" s="361"/>
      <c r="R531" s="361"/>
      <c r="S531" s="361"/>
      <c r="T531" s="361"/>
      <c r="U531" s="361"/>
      <c r="V531" s="361"/>
      <c r="W531" s="361"/>
      <c r="X531" s="365"/>
      <c r="Y531" s="361"/>
      <c r="Z531" s="361"/>
      <c r="AA531" s="116"/>
      <c r="AB531" s="116"/>
      <c r="AC531" s="116"/>
      <c r="AD531" s="116"/>
      <c r="AE531" s="365"/>
      <c r="AF531" s="116"/>
      <c r="AG531" s="116"/>
      <c r="AH531" s="116"/>
      <c r="AI531" s="116"/>
      <c r="AJ531" s="116"/>
      <c r="AK531" s="116"/>
      <c r="AL531" s="116"/>
    </row>
    <row r="532" ht="16.5" customHeight="1">
      <c r="A532" s="362"/>
      <c r="B532" s="362"/>
      <c r="C532" s="362"/>
      <c r="D532" s="362"/>
      <c r="E532" s="132"/>
      <c r="F532" s="131"/>
      <c r="G532" s="361"/>
      <c r="H532" s="363"/>
      <c r="I532" s="364"/>
      <c r="J532" s="361"/>
      <c r="K532" s="361"/>
      <c r="L532" s="361"/>
      <c r="M532" s="361"/>
      <c r="N532" s="361"/>
      <c r="O532" s="361"/>
      <c r="P532" s="361"/>
      <c r="Q532" s="361"/>
      <c r="R532" s="361"/>
      <c r="S532" s="361"/>
      <c r="T532" s="361"/>
      <c r="U532" s="361"/>
      <c r="V532" s="361"/>
      <c r="W532" s="361"/>
      <c r="X532" s="365"/>
      <c r="Y532" s="361"/>
      <c r="Z532" s="361"/>
      <c r="AA532" s="116"/>
      <c r="AB532" s="116"/>
      <c r="AC532" s="116"/>
      <c r="AD532" s="116"/>
      <c r="AE532" s="365"/>
      <c r="AF532" s="116"/>
      <c r="AG532" s="116"/>
      <c r="AH532" s="116"/>
      <c r="AI532" s="116"/>
      <c r="AJ532" s="116"/>
      <c r="AK532" s="116"/>
      <c r="AL532" s="116"/>
    </row>
    <row r="533" ht="16.5" customHeight="1">
      <c r="A533" s="362"/>
      <c r="B533" s="362"/>
      <c r="C533" s="362"/>
      <c r="D533" s="362"/>
      <c r="E533" s="132"/>
      <c r="F533" s="131"/>
      <c r="G533" s="361"/>
      <c r="H533" s="363"/>
      <c r="I533" s="364"/>
      <c r="J533" s="361"/>
      <c r="K533" s="361"/>
      <c r="L533" s="361"/>
      <c r="M533" s="361"/>
      <c r="N533" s="361"/>
      <c r="O533" s="361"/>
      <c r="P533" s="361"/>
      <c r="Q533" s="361"/>
      <c r="R533" s="361"/>
      <c r="S533" s="361"/>
      <c r="T533" s="361"/>
      <c r="U533" s="361"/>
      <c r="V533" s="361"/>
      <c r="W533" s="361"/>
      <c r="X533" s="365"/>
      <c r="Y533" s="361"/>
      <c r="Z533" s="361"/>
      <c r="AA533" s="116"/>
      <c r="AB533" s="116"/>
      <c r="AC533" s="116"/>
      <c r="AD533" s="116"/>
      <c r="AE533" s="365"/>
      <c r="AF533" s="116"/>
      <c r="AG533" s="116"/>
      <c r="AH533" s="116"/>
      <c r="AI533" s="116"/>
      <c r="AJ533" s="116"/>
      <c r="AK533" s="116"/>
      <c r="AL533" s="116"/>
    </row>
    <row r="534" ht="16.5" customHeight="1">
      <c r="A534" s="362"/>
      <c r="B534" s="362"/>
      <c r="C534" s="362"/>
      <c r="D534" s="362"/>
      <c r="E534" s="132"/>
      <c r="F534" s="131"/>
      <c r="G534" s="361"/>
      <c r="H534" s="363"/>
      <c r="I534" s="364"/>
      <c r="J534" s="361"/>
      <c r="K534" s="361"/>
      <c r="L534" s="361"/>
      <c r="M534" s="361"/>
      <c r="N534" s="361"/>
      <c r="O534" s="361"/>
      <c r="P534" s="361"/>
      <c r="Q534" s="361"/>
      <c r="R534" s="361"/>
      <c r="S534" s="361"/>
      <c r="T534" s="361"/>
      <c r="U534" s="361"/>
      <c r="V534" s="361"/>
      <c r="W534" s="361"/>
      <c r="X534" s="365"/>
      <c r="Y534" s="361"/>
      <c r="Z534" s="361"/>
      <c r="AA534" s="116"/>
      <c r="AB534" s="116"/>
      <c r="AC534" s="116"/>
      <c r="AD534" s="116"/>
      <c r="AE534" s="365"/>
      <c r="AF534" s="116"/>
      <c r="AG534" s="116"/>
      <c r="AH534" s="116"/>
      <c r="AI534" s="116"/>
      <c r="AJ534" s="116"/>
      <c r="AK534" s="116"/>
      <c r="AL534" s="116"/>
    </row>
    <row r="535" ht="16.5" customHeight="1">
      <c r="A535" s="362"/>
      <c r="B535" s="362"/>
      <c r="C535" s="362"/>
      <c r="D535" s="362"/>
      <c r="E535" s="132"/>
      <c r="F535" s="131"/>
      <c r="G535" s="361"/>
      <c r="H535" s="363"/>
      <c r="I535" s="364"/>
      <c r="J535" s="361"/>
      <c r="K535" s="361"/>
      <c r="L535" s="361"/>
      <c r="M535" s="361"/>
      <c r="N535" s="361"/>
      <c r="O535" s="361"/>
      <c r="P535" s="361"/>
      <c r="Q535" s="361"/>
      <c r="R535" s="361"/>
      <c r="S535" s="361"/>
      <c r="T535" s="361"/>
      <c r="U535" s="361"/>
      <c r="V535" s="361"/>
      <c r="W535" s="361"/>
      <c r="X535" s="365"/>
      <c r="Y535" s="361"/>
      <c r="Z535" s="361"/>
      <c r="AA535" s="116"/>
      <c r="AB535" s="116"/>
      <c r="AC535" s="116"/>
      <c r="AD535" s="116"/>
      <c r="AE535" s="365"/>
      <c r="AF535" s="116"/>
      <c r="AG535" s="116"/>
      <c r="AH535" s="116"/>
      <c r="AI535" s="116"/>
      <c r="AJ535" s="116"/>
      <c r="AK535" s="116"/>
      <c r="AL535" s="116"/>
    </row>
    <row r="536" ht="16.5" customHeight="1">
      <c r="A536" s="362"/>
      <c r="B536" s="362"/>
      <c r="C536" s="362"/>
      <c r="D536" s="362"/>
      <c r="E536" s="132"/>
      <c r="F536" s="131"/>
      <c r="G536" s="361"/>
      <c r="H536" s="363"/>
      <c r="I536" s="364"/>
      <c r="J536" s="361"/>
      <c r="K536" s="361"/>
      <c r="L536" s="361"/>
      <c r="M536" s="361"/>
      <c r="N536" s="361"/>
      <c r="O536" s="361"/>
      <c r="P536" s="361"/>
      <c r="Q536" s="361"/>
      <c r="R536" s="361"/>
      <c r="S536" s="361"/>
      <c r="T536" s="361"/>
      <c r="U536" s="361"/>
      <c r="V536" s="361"/>
      <c r="W536" s="361"/>
      <c r="X536" s="365"/>
      <c r="Y536" s="361"/>
      <c r="Z536" s="361"/>
      <c r="AA536" s="116"/>
      <c r="AB536" s="116"/>
      <c r="AC536" s="116"/>
      <c r="AD536" s="116"/>
      <c r="AE536" s="365"/>
      <c r="AF536" s="116"/>
      <c r="AG536" s="116"/>
      <c r="AH536" s="116"/>
      <c r="AI536" s="116"/>
      <c r="AJ536" s="116"/>
      <c r="AK536" s="116"/>
      <c r="AL536" s="116"/>
    </row>
    <row r="537" ht="16.5" customHeight="1">
      <c r="A537" s="362"/>
      <c r="B537" s="362"/>
      <c r="C537" s="362"/>
      <c r="D537" s="362"/>
      <c r="E537" s="132"/>
      <c r="F537" s="131"/>
      <c r="G537" s="361"/>
      <c r="H537" s="363"/>
      <c r="I537" s="364"/>
      <c r="J537" s="361"/>
      <c r="K537" s="361"/>
      <c r="L537" s="361"/>
      <c r="M537" s="361"/>
      <c r="N537" s="361"/>
      <c r="O537" s="361"/>
      <c r="P537" s="361"/>
      <c r="Q537" s="361"/>
      <c r="R537" s="361"/>
      <c r="S537" s="361"/>
      <c r="T537" s="361"/>
      <c r="U537" s="361"/>
      <c r="V537" s="361"/>
      <c r="W537" s="361"/>
      <c r="X537" s="365"/>
      <c r="Y537" s="361"/>
      <c r="Z537" s="361"/>
      <c r="AA537" s="116"/>
      <c r="AB537" s="116"/>
      <c r="AC537" s="116"/>
      <c r="AD537" s="116"/>
      <c r="AE537" s="365"/>
      <c r="AF537" s="116"/>
      <c r="AG537" s="116"/>
      <c r="AH537" s="116"/>
      <c r="AI537" s="116"/>
      <c r="AJ537" s="116"/>
      <c r="AK537" s="116"/>
      <c r="AL537" s="116"/>
    </row>
    <row r="538" ht="16.5" customHeight="1">
      <c r="A538" s="362"/>
      <c r="B538" s="362"/>
      <c r="C538" s="362"/>
      <c r="D538" s="362"/>
      <c r="E538" s="132"/>
      <c r="F538" s="131"/>
      <c r="G538" s="361"/>
      <c r="H538" s="363"/>
      <c r="I538" s="364"/>
      <c r="J538" s="361"/>
      <c r="K538" s="361"/>
      <c r="L538" s="361"/>
      <c r="M538" s="361"/>
      <c r="N538" s="361"/>
      <c r="O538" s="361"/>
      <c r="P538" s="361"/>
      <c r="Q538" s="361"/>
      <c r="R538" s="361"/>
      <c r="S538" s="361"/>
      <c r="T538" s="361"/>
      <c r="U538" s="361"/>
      <c r="V538" s="361"/>
      <c r="W538" s="361"/>
      <c r="X538" s="365"/>
      <c r="Y538" s="361"/>
      <c r="Z538" s="361"/>
      <c r="AA538" s="116"/>
      <c r="AB538" s="116"/>
      <c r="AC538" s="116"/>
      <c r="AD538" s="116"/>
      <c r="AE538" s="365"/>
      <c r="AF538" s="116"/>
      <c r="AG538" s="116"/>
      <c r="AH538" s="116"/>
      <c r="AI538" s="116"/>
      <c r="AJ538" s="116"/>
      <c r="AK538" s="116"/>
      <c r="AL538" s="116"/>
    </row>
    <row r="539" ht="16.5" customHeight="1">
      <c r="A539" s="362"/>
      <c r="B539" s="362"/>
      <c r="C539" s="362"/>
      <c r="D539" s="362"/>
      <c r="E539" s="132"/>
      <c r="F539" s="131"/>
      <c r="G539" s="361"/>
      <c r="H539" s="363"/>
      <c r="I539" s="364"/>
      <c r="J539" s="361"/>
      <c r="K539" s="361"/>
      <c r="L539" s="361"/>
      <c r="M539" s="361"/>
      <c r="N539" s="361"/>
      <c r="O539" s="361"/>
      <c r="P539" s="361"/>
      <c r="Q539" s="361"/>
      <c r="R539" s="361"/>
      <c r="S539" s="361"/>
      <c r="T539" s="361"/>
      <c r="U539" s="361"/>
      <c r="V539" s="361"/>
      <c r="W539" s="361"/>
      <c r="X539" s="365"/>
      <c r="Y539" s="361"/>
      <c r="Z539" s="361"/>
      <c r="AA539" s="116"/>
      <c r="AB539" s="116"/>
      <c r="AC539" s="116"/>
      <c r="AD539" s="116"/>
      <c r="AE539" s="365"/>
      <c r="AF539" s="116"/>
      <c r="AG539" s="116"/>
      <c r="AH539" s="116"/>
      <c r="AI539" s="116"/>
      <c r="AJ539" s="116"/>
      <c r="AK539" s="116"/>
      <c r="AL539" s="116"/>
    </row>
    <row r="540" ht="16.5" customHeight="1">
      <c r="A540" s="362"/>
      <c r="B540" s="362"/>
      <c r="C540" s="362"/>
      <c r="D540" s="362"/>
      <c r="E540" s="132"/>
      <c r="F540" s="131"/>
      <c r="G540" s="361"/>
      <c r="H540" s="363"/>
      <c r="I540" s="364"/>
      <c r="J540" s="361"/>
      <c r="K540" s="361"/>
      <c r="L540" s="361"/>
      <c r="M540" s="361"/>
      <c r="N540" s="361"/>
      <c r="O540" s="361"/>
      <c r="P540" s="361"/>
      <c r="Q540" s="361"/>
      <c r="R540" s="361"/>
      <c r="S540" s="361"/>
      <c r="T540" s="361"/>
      <c r="U540" s="361"/>
      <c r="V540" s="361"/>
      <c r="W540" s="361"/>
      <c r="X540" s="365"/>
      <c r="Y540" s="361"/>
      <c r="Z540" s="361"/>
      <c r="AA540" s="116"/>
      <c r="AB540" s="116"/>
      <c r="AC540" s="116"/>
      <c r="AD540" s="116"/>
      <c r="AE540" s="365"/>
      <c r="AF540" s="116"/>
      <c r="AG540" s="116"/>
      <c r="AH540" s="116"/>
      <c r="AI540" s="116"/>
      <c r="AJ540" s="116"/>
      <c r="AK540" s="116"/>
      <c r="AL540" s="116"/>
    </row>
    <row r="541" ht="16.5" customHeight="1">
      <c r="A541" s="362"/>
      <c r="B541" s="362"/>
      <c r="C541" s="362"/>
      <c r="D541" s="362"/>
      <c r="E541" s="132"/>
      <c r="F541" s="131"/>
      <c r="G541" s="361"/>
      <c r="H541" s="363"/>
      <c r="I541" s="364"/>
      <c r="J541" s="361"/>
      <c r="K541" s="361"/>
      <c r="L541" s="361"/>
      <c r="M541" s="361"/>
      <c r="N541" s="361"/>
      <c r="O541" s="361"/>
      <c r="P541" s="361"/>
      <c r="Q541" s="361"/>
      <c r="R541" s="361"/>
      <c r="S541" s="361"/>
      <c r="T541" s="361"/>
      <c r="U541" s="361"/>
      <c r="V541" s="361"/>
      <c r="W541" s="361"/>
      <c r="X541" s="365"/>
      <c r="Y541" s="361"/>
      <c r="Z541" s="361"/>
      <c r="AA541" s="116"/>
      <c r="AB541" s="116"/>
      <c r="AC541" s="116"/>
      <c r="AD541" s="116"/>
      <c r="AE541" s="365"/>
      <c r="AF541" s="116"/>
      <c r="AG541" s="116"/>
      <c r="AH541" s="116"/>
      <c r="AI541" s="116"/>
      <c r="AJ541" s="116"/>
      <c r="AK541" s="116"/>
      <c r="AL541" s="116"/>
    </row>
    <row r="542" ht="16.5" customHeight="1">
      <c r="A542" s="362"/>
      <c r="B542" s="362"/>
      <c r="C542" s="362"/>
      <c r="D542" s="362"/>
      <c r="E542" s="132"/>
      <c r="F542" s="131"/>
      <c r="G542" s="361"/>
      <c r="H542" s="363"/>
      <c r="I542" s="364"/>
      <c r="J542" s="361"/>
      <c r="K542" s="361"/>
      <c r="L542" s="361"/>
      <c r="M542" s="361"/>
      <c r="N542" s="361"/>
      <c r="O542" s="361"/>
      <c r="P542" s="361"/>
      <c r="Q542" s="361"/>
      <c r="R542" s="361"/>
      <c r="S542" s="361"/>
      <c r="T542" s="361"/>
      <c r="U542" s="361"/>
      <c r="V542" s="361"/>
      <c r="W542" s="361"/>
      <c r="X542" s="365"/>
      <c r="Y542" s="361"/>
      <c r="Z542" s="361"/>
      <c r="AA542" s="116"/>
      <c r="AB542" s="116"/>
      <c r="AC542" s="116"/>
      <c r="AD542" s="116"/>
      <c r="AE542" s="365"/>
      <c r="AF542" s="116"/>
      <c r="AG542" s="116"/>
      <c r="AH542" s="116"/>
      <c r="AI542" s="116"/>
      <c r="AJ542" s="116"/>
      <c r="AK542" s="116"/>
      <c r="AL542" s="116"/>
    </row>
    <row r="543" ht="16.5" customHeight="1">
      <c r="A543" s="362"/>
      <c r="B543" s="362"/>
      <c r="C543" s="362"/>
      <c r="D543" s="362"/>
      <c r="E543" s="132"/>
      <c r="F543" s="131"/>
      <c r="G543" s="361"/>
      <c r="H543" s="363"/>
      <c r="I543" s="364"/>
      <c r="J543" s="361"/>
      <c r="K543" s="361"/>
      <c r="L543" s="361"/>
      <c r="M543" s="361"/>
      <c r="N543" s="361"/>
      <c r="O543" s="361"/>
      <c r="P543" s="361"/>
      <c r="Q543" s="361"/>
      <c r="R543" s="361"/>
      <c r="S543" s="361"/>
      <c r="T543" s="361"/>
      <c r="U543" s="361"/>
      <c r="V543" s="361"/>
      <c r="W543" s="361"/>
      <c r="X543" s="365"/>
      <c r="Y543" s="361"/>
      <c r="Z543" s="361"/>
      <c r="AA543" s="116"/>
      <c r="AB543" s="116"/>
      <c r="AC543" s="116"/>
      <c r="AD543" s="116"/>
      <c r="AE543" s="365"/>
      <c r="AF543" s="116"/>
      <c r="AG543" s="116"/>
      <c r="AH543" s="116"/>
      <c r="AI543" s="116"/>
      <c r="AJ543" s="116"/>
      <c r="AK543" s="116"/>
      <c r="AL543" s="116"/>
    </row>
    <row r="544" ht="16.5" customHeight="1">
      <c r="A544" s="362"/>
      <c r="B544" s="362"/>
      <c r="C544" s="362"/>
      <c r="D544" s="362"/>
      <c r="E544" s="132"/>
      <c r="F544" s="131"/>
      <c r="G544" s="361"/>
      <c r="H544" s="363"/>
      <c r="I544" s="364"/>
      <c r="J544" s="361"/>
      <c r="K544" s="361"/>
      <c r="L544" s="361"/>
      <c r="M544" s="361"/>
      <c r="N544" s="361"/>
      <c r="O544" s="361"/>
      <c r="P544" s="361"/>
      <c r="Q544" s="361"/>
      <c r="R544" s="361"/>
      <c r="S544" s="361"/>
      <c r="T544" s="361"/>
      <c r="U544" s="361"/>
      <c r="V544" s="361"/>
      <c r="W544" s="361"/>
      <c r="X544" s="365"/>
      <c r="Y544" s="361"/>
      <c r="Z544" s="361"/>
      <c r="AA544" s="116"/>
      <c r="AB544" s="116"/>
      <c r="AC544" s="116"/>
      <c r="AD544" s="116"/>
      <c r="AE544" s="365"/>
      <c r="AF544" s="116"/>
      <c r="AG544" s="116"/>
      <c r="AH544" s="116"/>
      <c r="AI544" s="116"/>
      <c r="AJ544" s="116"/>
      <c r="AK544" s="116"/>
      <c r="AL544" s="116"/>
    </row>
    <row r="545" ht="16.5" customHeight="1">
      <c r="A545" s="362"/>
      <c r="B545" s="362"/>
      <c r="C545" s="362"/>
      <c r="D545" s="362"/>
      <c r="E545" s="132"/>
      <c r="F545" s="131"/>
      <c r="G545" s="361"/>
      <c r="H545" s="363"/>
      <c r="I545" s="364"/>
      <c r="J545" s="361"/>
      <c r="K545" s="361"/>
      <c r="L545" s="361"/>
      <c r="M545" s="361"/>
      <c r="N545" s="361"/>
      <c r="O545" s="361"/>
      <c r="P545" s="361"/>
      <c r="Q545" s="361"/>
      <c r="R545" s="361"/>
      <c r="S545" s="361"/>
      <c r="T545" s="361"/>
      <c r="U545" s="361"/>
      <c r="V545" s="361"/>
      <c r="W545" s="361"/>
      <c r="X545" s="365"/>
      <c r="Y545" s="361"/>
      <c r="Z545" s="361"/>
      <c r="AA545" s="116"/>
      <c r="AB545" s="116"/>
      <c r="AC545" s="116"/>
      <c r="AD545" s="116"/>
      <c r="AE545" s="365"/>
      <c r="AF545" s="116"/>
      <c r="AG545" s="116"/>
      <c r="AH545" s="116"/>
      <c r="AI545" s="116"/>
      <c r="AJ545" s="116"/>
      <c r="AK545" s="116"/>
      <c r="AL545" s="116"/>
    </row>
    <row r="546" ht="16.5" customHeight="1">
      <c r="A546" s="362"/>
      <c r="B546" s="362"/>
      <c r="C546" s="362"/>
      <c r="D546" s="362"/>
      <c r="E546" s="132"/>
      <c r="F546" s="131"/>
      <c r="G546" s="361"/>
      <c r="H546" s="363"/>
      <c r="I546" s="364"/>
      <c r="J546" s="361"/>
      <c r="K546" s="361"/>
      <c r="L546" s="361"/>
      <c r="M546" s="361"/>
      <c r="N546" s="361"/>
      <c r="O546" s="361"/>
      <c r="P546" s="361"/>
      <c r="Q546" s="361"/>
      <c r="R546" s="361"/>
      <c r="S546" s="361"/>
      <c r="T546" s="361"/>
      <c r="U546" s="361"/>
      <c r="V546" s="361"/>
      <c r="W546" s="361"/>
      <c r="X546" s="365"/>
      <c r="Y546" s="361"/>
      <c r="Z546" s="361"/>
      <c r="AA546" s="116"/>
      <c r="AB546" s="116"/>
      <c r="AC546" s="116"/>
      <c r="AD546" s="116"/>
      <c r="AE546" s="365"/>
      <c r="AF546" s="116"/>
      <c r="AG546" s="116"/>
      <c r="AH546" s="116"/>
      <c r="AI546" s="116"/>
      <c r="AJ546" s="116"/>
      <c r="AK546" s="116"/>
      <c r="AL546" s="116"/>
    </row>
    <row r="547" ht="16.5" customHeight="1">
      <c r="A547" s="362"/>
      <c r="B547" s="362"/>
      <c r="C547" s="362"/>
      <c r="D547" s="362"/>
      <c r="E547" s="132"/>
      <c r="F547" s="131"/>
      <c r="G547" s="361"/>
      <c r="H547" s="363"/>
      <c r="I547" s="364"/>
      <c r="J547" s="361"/>
      <c r="K547" s="361"/>
      <c r="L547" s="361"/>
      <c r="M547" s="361"/>
      <c r="N547" s="361"/>
      <c r="O547" s="361"/>
      <c r="P547" s="361"/>
      <c r="Q547" s="361"/>
      <c r="R547" s="361"/>
      <c r="S547" s="361"/>
      <c r="T547" s="361"/>
      <c r="U547" s="361"/>
      <c r="V547" s="361"/>
      <c r="W547" s="361"/>
      <c r="X547" s="365"/>
      <c r="Y547" s="361"/>
      <c r="Z547" s="361"/>
      <c r="AA547" s="116"/>
      <c r="AB547" s="116"/>
      <c r="AC547" s="116"/>
      <c r="AD547" s="116"/>
      <c r="AE547" s="365"/>
      <c r="AF547" s="116"/>
      <c r="AG547" s="116"/>
      <c r="AH547" s="116"/>
      <c r="AI547" s="116"/>
      <c r="AJ547" s="116"/>
      <c r="AK547" s="116"/>
      <c r="AL547" s="116"/>
    </row>
    <row r="548" ht="16.5" customHeight="1">
      <c r="A548" s="362"/>
      <c r="B548" s="362"/>
      <c r="C548" s="362"/>
      <c r="D548" s="362"/>
      <c r="E548" s="132"/>
      <c r="F548" s="131"/>
      <c r="G548" s="361"/>
      <c r="H548" s="363"/>
      <c r="I548" s="364"/>
      <c r="J548" s="361"/>
      <c r="K548" s="361"/>
      <c r="L548" s="361"/>
      <c r="M548" s="361"/>
      <c r="N548" s="361"/>
      <c r="O548" s="361"/>
      <c r="P548" s="361"/>
      <c r="Q548" s="361"/>
      <c r="R548" s="361"/>
      <c r="S548" s="361"/>
      <c r="T548" s="361"/>
      <c r="U548" s="361"/>
      <c r="V548" s="361"/>
      <c r="W548" s="361"/>
      <c r="X548" s="365"/>
      <c r="Y548" s="361"/>
      <c r="Z548" s="361"/>
      <c r="AA548" s="116"/>
      <c r="AB548" s="116"/>
      <c r="AC548" s="116"/>
      <c r="AD548" s="116"/>
      <c r="AE548" s="365"/>
      <c r="AF548" s="116"/>
      <c r="AG548" s="116"/>
      <c r="AH548" s="116"/>
      <c r="AI548" s="116"/>
      <c r="AJ548" s="116"/>
      <c r="AK548" s="116"/>
      <c r="AL548" s="116"/>
    </row>
    <row r="549" ht="16.5" customHeight="1">
      <c r="A549" s="362"/>
      <c r="B549" s="362"/>
      <c r="C549" s="362"/>
      <c r="D549" s="362"/>
      <c r="E549" s="132"/>
      <c r="F549" s="131"/>
      <c r="G549" s="361"/>
      <c r="H549" s="363"/>
      <c r="I549" s="364"/>
      <c r="J549" s="361"/>
      <c r="K549" s="361"/>
      <c r="L549" s="361"/>
      <c r="M549" s="361"/>
      <c r="N549" s="361"/>
      <c r="O549" s="361"/>
      <c r="P549" s="361"/>
      <c r="Q549" s="361"/>
      <c r="R549" s="361"/>
      <c r="S549" s="361"/>
      <c r="T549" s="361"/>
      <c r="U549" s="361"/>
      <c r="V549" s="361"/>
      <c r="W549" s="361"/>
      <c r="X549" s="365"/>
      <c r="Y549" s="361"/>
      <c r="Z549" s="361"/>
      <c r="AA549" s="116"/>
      <c r="AB549" s="116"/>
      <c r="AC549" s="116"/>
      <c r="AD549" s="116"/>
      <c r="AE549" s="365"/>
      <c r="AF549" s="116"/>
      <c r="AG549" s="116"/>
      <c r="AH549" s="116"/>
      <c r="AI549" s="116"/>
      <c r="AJ549" s="116"/>
      <c r="AK549" s="116"/>
      <c r="AL549" s="116"/>
    </row>
    <row r="550" ht="16.5" customHeight="1">
      <c r="A550" s="362"/>
      <c r="B550" s="362"/>
      <c r="C550" s="362"/>
      <c r="D550" s="362"/>
      <c r="E550" s="132"/>
      <c r="F550" s="131"/>
      <c r="G550" s="361"/>
      <c r="H550" s="363"/>
      <c r="I550" s="364"/>
      <c r="J550" s="361"/>
      <c r="K550" s="361"/>
      <c r="L550" s="361"/>
      <c r="M550" s="361"/>
      <c r="N550" s="361"/>
      <c r="O550" s="361"/>
      <c r="P550" s="361"/>
      <c r="Q550" s="361"/>
      <c r="R550" s="361"/>
      <c r="S550" s="361"/>
      <c r="T550" s="361"/>
      <c r="U550" s="361"/>
      <c r="V550" s="361"/>
      <c r="W550" s="361"/>
      <c r="X550" s="365"/>
      <c r="Y550" s="361"/>
      <c r="Z550" s="361"/>
      <c r="AA550" s="116"/>
      <c r="AB550" s="116"/>
      <c r="AC550" s="116"/>
      <c r="AD550" s="116"/>
      <c r="AE550" s="365"/>
      <c r="AF550" s="116"/>
      <c r="AG550" s="116"/>
      <c r="AH550" s="116"/>
      <c r="AI550" s="116"/>
      <c r="AJ550" s="116"/>
      <c r="AK550" s="116"/>
      <c r="AL550" s="116"/>
    </row>
    <row r="551" ht="16.5" customHeight="1">
      <c r="A551" s="362"/>
      <c r="B551" s="362"/>
      <c r="C551" s="362"/>
      <c r="D551" s="362"/>
      <c r="E551" s="132"/>
      <c r="F551" s="131"/>
      <c r="G551" s="361"/>
      <c r="H551" s="363"/>
      <c r="I551" s="364"/>
      <c r="J551" s="361"/>
      <c r="K551" s="361"/>
      <c r="L551" s="361"/>
      <c r="M551" s="361"/>
      <c r="N551" s="361"/>
      <c r="O551" s="361"/>
      <c r="P551" s="361"/>
      <c r="Q551" s="361"/>
      <c r="R551" s="361"/>
      <c r="S551" s="361"/>
      <c r="T551" s="361"/>
      <c r="U551" s="361"/>
      <c r="V551" s="361"/>
      <c r="W551" s="361"/>
      <c r="X551" s="365"/>
      <c r="Y551" s="361"/>
      <c r="Z551" s="361"/>
      <c r="AA551" s="116"/>
      <c r="AB551" s="116"/>
      <c r="AC551" s="116"/>
      <c r="AD551" s="116"/>
      <c r="AE551" s="365"/>
      <c r="AF551" s="116"/>
      <c r="AG551" s="116"/>
      <c r="AH551" s="116"/>
      <c r="AI551" s="116"/>
      <c r="AJ551" s="116"/>
      <c r="AK551" s="116"/>
      <c r="AL551" s="116"/>
    </row>
    <row r="552" ht="16.5" customHeight="1">
      <c r="A552" s="362"/>
      <c r="B552" s="362"/>
      <c r="C552" s="362"/>
      <c r="D552" s="362"/>
      <c r="E552" s="132"/>
      <c r="F552" s="131"/>
      <c r="G552" s="361"/>
      <c r="H552" s="363"/>
      <c r="I552" s="364"/>
      <c r="J552" s="361"/>
      <c r="K552" s="361"/>
      <c r="L552" s="361"/>
      <c r="M552" s="361"/>
      <c r="N552" s="361"/>
      <c r="O552" s="361"/>
      <c r="P552" s="361"/>
      <c r="Q552" s="361"/>
      <c r="R552" s="361"/>
      <c r="S552" s="361"/>
      <c r="T552" s="361"/>
      <c r="U552" s="361"/>
      <c r="V552" s="361"/>
      <c r="W552" s="361"/>
      <c r="X552" s="365"/>
      <c r="Y552" s="361"/>
      <c r="Z552" s="361"/>
      <c r="AA552" s="116"/>
      <c r="AB552" s="116"/>
      <c r="AC552" s="116"/>
      <c r="AD552" s="116"/>
      <c r="AE552" s="365"/>
      <c r="AF552" s="116"/>
      <c r="AG552" s="116"/>
      <c r="AH552" s="116"/>
      <c r="AI552" s="116"/>
      <c r="AJ552" s="116"/>
      <c r="AK552" s="116"/>
      <c r="AL552" s="116"/>
    </row>
    <row r="553" ht="16.5" customHeight="1">
      <c r="A553" s="362"/>
      <c r="B553" s="362"/>
      <c r="C553" s="362"/>
      <c r="D553" s="362"/>
      <c r="E553" s="132"/>
      <c r="F553" s="131"/>
      <c r="G553" s="361"/>
      <c r="H553" s="363"/>
      <c r="I553" s="364"/>
      <c r="J553" s="361"/>
      <c r="K553" s="361"/>
      <c r="L553" s="361"/>
      <c r="M553" s="361"/>
      <c r="N553" s="361"/>
      <c r="O553" s="361"/>
      <c r="P553" s="361"/>
      <c r="Q553" s="361"/>
      <c r="R553" s="361"/>
      <c r="S553" s="361"/>
      <c r="T553" s="361"/>
      <c r="U553" s="361"/>
      <c r="V553" s="361"/>
      <c r="W553" s="361"/>
      <c r="X553" s="365"/>
      <c r="Y553" s="361"/>
      <c r="Z553" s="361"/>
      <c r="AA553" s="116"/>
      <c r="AB553" s="116"/>
      <c r="AC553" s="116"/>
      <c r="AD553" s="116"/>
      <c r="AE553" s="365"/>
      <c r="AF553" s="116"/>
      <c r="AG553" s="116"/>
      <c r="AH553" s="116"/>
      <c r="AI553" s="116"/>
      <c r="AJ553" s="116"/>
      <c r="AK553" s="116"/>
      <c r="AL553" s="116"/>
    </row>
    <row r="554" ht="16.5" customHeight="1">
      <c r="A554" s="362"/>
      <c r="B554" s="362"/>
      <c r="C554" s="362"/>
      <c r="D554" s="362"/>
      <c r="E554" s="132"/>
      <c r="F554" s="131"/>
      <c r="G554" s="361"/>
      <c r="H554" s="363"/>
      <c r="I554" s="364"/>
      <c r="J554" s="361"/>
      <c r="K554" s="361"/>
      <c r="L554" s="361"/>
      <c r="M554" s="361"/>
      <c r="N554" s="361"/>
      <c r="O554" s="361"/>
      <c r="P554" s="361"/>
      <c r="Q554" s="361"/>
      <c r="R554" s="361"/>
      <c r="S554" s="361"/>
      <c r="T554" s="361"/>
      <c r="U554" s="361"/>
      <c r="V554" s="361"/>
      <c r="W554" s="361"/>
      <c r="X554" s="365"/>
      <c r="Y554" s="361"/>
      <c r="Z554" s="361"/>
      <c r="AA554" s="116"/>
      <c r="AB554" s="116"/>
      <c r="AC554" s="116"/>
      <c r="AD554" s="116"/>
      <c r="AE554" s="365"/>
      <c r="AF554" s="116"/>
      <c r="AG554" s="116"/>
      <c r="AH554" s="116"/>
      <c r="AI554" s="116"/>
      <c r="AJ554" s="116"/>
      <c r="AK554" s="116"/>
      <c r="AL554" s="116"/>
    </row>
    <row r="555" ht="16.5" customHeight="1">
      <c r="A555" s="362"/>
      <c r="B555" s="362"/>
      <c r="C555" s="362"/>
      <c r="D555" s="362"/>
      <c r="E555" s="132"/>
      <c r="F555" s="131"/>
      <c r="G555" s="361"/>
      <c r="H555" s="363"/>
      <c r="I555" s="364"/>
      <c r="J555" s="361"/>
      <c r="K555" s="361"/>
      <c r="L555" s="361"/>
      <c r="M555" s="361"/>
      <c r="N555" s="361"/>
      <c r="O555" s="361"/>
      <c r="P555" s="361"/>
      <c r="Q555" s="361"/>
      <c r="R555" s="361"/>
      <c r="S555" s="361"/>
      <c r="T555" s="361"/>
      <c r="U555" s="361"/>
      <c r="V555" s="361"/>
      <c r="W555" s="361"/>
      <c r="X555" s="365"/>
      <c r="Y555" s="361"/>
      <c r="Z555" s="361"/>
      <c r="AA555" s="116"/>
      <c r="AB555" s="116"/>
      <c r="AC555" s="116"/>
      <c r="AD555" s="116"/>
      <c r="AE555" s="365"/>
      <c r="AF555" s="116"/>
      <c r="AG555" s="116"/>
      <c r="AH555" s="116"/>
      <c r="AI555" s="116"/>
      <c r="AJ555" s="116"/>
      <c r="AK555" s="116"/>
      <c r="AL555" s="116"/>
    </row>
    <row r="556" ht="16.5" customHeight="1">
      <c r="A556" s="362"/>
      <c r="B556" s="362"/>
      <c r="C556" s="362"/>
      <c r="D556" s="362"/>
      <c r="E556" s="132"/>
      <c r="F556" s="131"/>
      <c r="G556" s="361"/>
      <c r="H556" s="363"/>
      <c r="I556" s="364"/>
      <c r="J556" s="361"/>
      <c r="K556" s="361"/>
      <c r="L556" s="361"/>
      <c r="M556" s="361"/>
      <c r="N556" s="361"/>
      <c r="O556" s="361"/>
      <c r="P556" s="361"/>
      <c r="Q556" s="361"/>
      <c r="R556" s="361"/>
      <c r="S556" s="361"/>
      <c r="T556" s="361"/>
      <c r="U556" s="361"/>
      <c r="V556" s="361"/>
      <c r="W556" s="361"/>
      <c r="X556" s="365"/>
      <c r="Y556" s="361"/>
      <c r="Z556" s="361"/>
      <c r="AA556" s="116"/>
      <c r="AB556" s="116"/>
      <c r="AC556" s="116"/>
      <c r="AD556" s="116"/>
      <c r="AE556" s="365"/>
      <c r="AF556" s="116"/>
      <c r="AG556" s="116"/>
      <c r="AH556" s="116"/>
      <c r="AI556" s="116"/>
      <c r="AJ556" s="116"/>
      <c r="AK556" s="116"/>
      <c r="AL556" s="116"/>
    </row>
    <row r="557" ht="16.5" customHeight="1">
      <c r="A557" s="362"/>
      <c r="B557" s="362"/>
      <c r="C557" s="362"/>
      <c r="D557" s="362"/>
      <c r="E557" s="132"/>
      <c r="F557" s="131"/>
      <c r="G557" s="361"/>
      <c r="H557" s="363"/>
      <c r="I557" s="364"/>
      <c r="J557" s="361"/>
      <c r="K557" s="361"/>
      <c r="L557" s="361"/>
      <c r="M557" s="361"/>
      <c r="N557" s="361"/>
      <c r="O557" s="361"/>
      <c r="P557" s="361"/>
      <c r="Q557" s="361"/>
      <c r="R557" s="361"/>
      <c r="S557" s="361"/>
      <c r="T557" s="361"/>
      <c r="U557" s="361"/>
      <c r="V557" s="361"/>
      <c r="W557" s="361"/>
      <c r="X557" s="365"/>
      <c r="Y557" s="361"/>
      <c r="Z557" s="361"/>
      <c r="AA557" s="116"/>
      <c r="AB557" s="116"/>
      <c r="AC557" s="116"/>
      <c r="AD557" s="116"/>
      <c r="AE557" s="365"/>
      <c r="AF557" s="116"/>
      <c r="AG557" s="116"/>
      <c r="AH557" s="116"/>
      <c r="AI557" s="116"/>
      <c r="AJ557" s="116"/>
      <c r="AK557" s="116"/>
      <c r="AL557" s="116"/>
    </row>
    <row r="558" ht="16.5" customHeight="1">
      <c r="A558" s="362"/>
      <c r="B558" s="362"/>
      <c r="C558" s="362"/>
      <c r="D558" s="362"/>
      <c r="E558" s="132"/>
      <c r="F558" s="131"/>
      <c r="G558" s="361"/>
      <c r="H558" s="363"/>
      <c r="I558" s="364"/>
      <c r="J558" s="361"/>
      <c r="K558" s="361"/>
      <c r="L558" s="361"/>
      <c r="M558" s="361"/>
      <c r="N558" s="361"/>
      <c r="O558" s="361"/>
      <c r="P558" s="361"/>
      <c r="Q558" s="361"/>
      <c r="R558" s="361"/>
      <c r="S558" s="361"/>
      <c r="T558" s="361"/>
      <c r="U558" s="361"/>
      <c r="V558" s="361"/>
      <c r="W558" s="361"/>
      <c r="X558" s="365"/>
      <c r="Y558" s="361"/>
      <c r="Z558" s="361"/>
      <c r="AA558" s="116"/>
      <c r="AB558" s="116"/>
      <c r="AC558" s="116"/>
      <c r="AD558" s="116"/>
      <c r="AE558" s="365"/>
      <c r="AF558" s="116"/>
      <c r="AG558" s="116"/>
      <c r="AH558" s="116"/>
      <c r="AI558" s="116"/>
      <c r="AJ558" s="116"/>
      <c r="AK558" s="116"/>
      <c r="AL558" s="116"/>
    </row>
    <row r="559" ht="16.5" customHeight="1">
      <c r="A559" s="362"/>
      <c r="B559" s="362"/>
      <c r="C559" s="362"/>
      <c r="D559" s="362"/>
      <c r="E559" s="132"/>
      <c r="F559" s="131"/>
      <c r="G559" s="361"/>
      <c r="H559" s="363"/>
      <c r="I559" s="364"/>
      <c r="J559" s="361"/>
      <c r="K559" s="361"/>
      <c r="L559" s="361"/>
      <c r="M559" s="361"/>
      <c r="N559" s="361"/>
      <c r="O559" s="361"/>
      <c r="P559" s="361"/>
      <c r="Q559" s="361"/>
      <c r="R559" s="361"/>
      <c r="S559" s="361"/>
      <c r="T559" s="361"/>
      <c r="U559" s="361"/>
      <c r="V559" s="361"/>
      <c r="W559" s="361"/>
      <c r="X559" s="365"/>
      <c r="Y559" s="361"/>
      <c r="Z559" s="361"/>
      <c r="AA559" s="116"/>
      <c r="AB559" s="116"/>
      <c r="AC559" s="116"/>
      <c r="AD559" s="116"/>
      <c r="AE559" s="365"/>
      <c r="AF559" s="116"/>
      <c r="AG559" s="116"/>
      <c r="AH559" s="116"/>
      <c r="AI559" s="116"/>
      <c r="AJ559" s="116"/>
      <c r="AK559" s="116"/>
      <c r="AL559" s="116"/>
    </row>
    <row r="560" ht="16.5" customHeight="1">
      <c r="A560" s="362"/>
      <c r="B560" s="362"/>
      <c r="C560" s="362"/>
      <c r="D560" s="362"/>
      <c r="E560" s="132"/>
      <c r="F560" s="131"/>
      <c r="G560" s="361"/>
      <c r="H560" s="363"/>
      <c r="I560" s="364"/>
      <c r="J560" s="361"/>
      <c r="K560" s="361"/>
      <c r="L560" s="361"/>
      <c r="M560" s="361"/>
      <c r="N560" s="361"/>
      <c r="O560" s="361"/>
      <c r="P560" s="361"/>
      <c r="Q560" s="361"/>
      <c r="R560" s="361"/>
      <c r="S560" s="361"/>
      <c r="T560" s="361"/>
      <c r="U560" s="361"/>
      <c r="V560" s="361"/>
      <c r="W560" s="361"/>
      <c r="X560" s="365"/>
      <c r="Y560" s="361"/>
      <c r="Z560" s="361"/>
      <c r="AA560" s="116"/>
      <c r="AB560" s="116"/>
      <c r="AC560" s="116"/>
      <c r="AD560" s="116"/>
      <c r="AE560" s="365"/>
      <c r="AF560" s="116"/>
      <c r="AG560" s="116"/>
      <c r="AH560" s="116"/>
      <c r="AI560" s="116"/>
      <c r="AJ560" s="116"/>
      <c r="AK560" s="116"/>
      <c r="AL560" s="116"/>
    </row>
    <row r="561" ht="16.5" customHeight="1">
      <c r="A561" s="362"/>
      <c r="B561" s="362"/>
      <c r="C561" s="362"/>
      <c r="D561" s="362"/>
      <c r="E561" s="132"/>
      <c r="F561" s="131"/>
      <c r="G561" s="361"/>
      <c r="H561" s="363"/>
      <c r="I561" s="364"/>
      <c r="J561" s="361"/>
      <c r="K561" s="361"/>
      <c r="L561" s="361"/>
      <c r="M561" s="361"/>
      <c r="N561" s="361"/>
      <c r="O561" s="361"/>
      <c r="P561" s="361"/>
      <c r="Q561" s="361"/>
      <c r="R561" s="361"/>
      <c r="S561" s="361"/>
      <c r="T561" s="361"/>
      <c r="U561" s="361"/>
      <c r="V561" s="361"/>
      <c r="W561" s="361"/>
      <c r="X561" s="365"/>
      <c r="Y561" s="361"/>
      <c r="Z561" s="361"/>
      <c r="AA561" s="116"/>
      <c r="AB561" s="116"/>
      <c r="AC561" s="116"/>
      <c r="AD561" s="116"/>
      <c r="AE561" s="365"/>
      <c r="AF561" s="116"/>
      <c r="AG561" s="116"/>
      <c r="AH561" s="116"/>
      <c r="AI561" s="116"/>
      <c r="AJ561" s="116"/>
      <c r="AK561" s="116"/>
      <c r="AL561" s="116"/>
    </row>
    <row r="562" ht="16.5" customHeight="1">
      <c r="A562" s="362"/>
      <c r="B562" s="362"/>
      <c r="C562" s="362"/>
      <c r="D562" s="362"/>
      <c r="E562" s="132"/>
      <c r="F562" s="131"/>
      <c r="G562" s="361"/>
      <c r="H562" s="363"/>
      <c r="I562" s="364"/>
      <c r="J562" s="361"/>
      <c r="K562" s="361"/>
      <c r="L562" s="361"/>
      <c r="M562" s="361"/>
      <c r="N562" s="361"/>
      <c r="O562" s="361"/>
      <c r="P562" s="361"/>
      <c r="Q562" s="361"/>
      <c r="R562" s="361"/>
      <c r="S562" s="361"/>
      <c r="T562" s="361"/>
      <c r="U562" s="361"/>
      <c r="V562" s="361"/>
      <c r="W562" s="361"/>
      <c r="X562" s="365"/>
      <c r="Y562" s="361"/>
      <c r="Z562" s="361"/>
      <c r="AA562" s="116"/>
      <c r="AB562" s="116"/>
      <c r="AC562" s="116"/>
      <c r="AD562" s="116"/>
      <c r="AE562" s="365"/>
      <c r="AF562" s="116"/>
      <c r="AG562" s="116"/>
      <c r="AH562" s="116"/>
      <c r="AI562" s="116"/>
      <c r="AJ562" s="116"/>
      <c r="AK562" s="116"/>
      <c r="AL562" s="116"/>
    </row>
    <row r="563" ht="16.5" customHeight="1">
      <c r="A563" s="362"/>
      <c r="B563" s="362"/>
      <c r="C563" s="362"/>
      <c r="D563" s="362"/>
      <c r="E563" s="132"/>
      <c r="F563" s="131"/>
      <c r="G563" s="361"/>
      <c r="H563" s="363"/>
      <c r="I563" s="364"/>
      <c r="J563" s="361"/>
      <c r="K563" s="361"/>
      <c r="L563" s="361"/>
      <c r="M563" s="361"/>
      <c r="N563" s="361"/>
      <c r="O563" s="361"/>
      <c r="P563" s="361"/>
      <c r="Q563" s="361"/>
      <c r="R563" s="361"/>
      <c r="S563" s="361"/>
      <c r="T563" s="361"/>
      <c r="U563" s="361"/>
      <c r="V563" s="361"/>
      <c r="W563" s="361"/>
      <c r="X563" s="365"/>
      <c r="Y563" s="361"/>
      <c r="Z563" s="361"/>
      <c r="AA563" s="116"/>
      <c r="AB563" s="116"/>
      <c r="AC563" s="116"/>
      <c r="AD563" s="116"/>
      <c r="AE563" s="365"/>
      <c r="AF563" s="116"/>
      <c r="AG563" s="116"/>
      <c r="AH563" s="116"/>
      <c r="AI563" s="116"/>
      <c r="AJ563" s="116"/>
      <c r="AK563" s="116"/>
      <c r="AL563" s="116"/>
    </row>
    <row r="564" ht="16.5" customHeight="1">
      <c r="A564" s="362"/>
      <c r="B564" s="362"/>
      <c r="C564" s="362"/>
      <c r="D564" s="362"/>
      <c r="E564" s="132"/>
      <c r="F564" s="131"/>
      <c r="G564" s="361"/>
      <c r="H564" s="363"/>
      <c r="I564" s="364"/>
      <c r="J564" s="361"/>
      <c r="K564" s="361"/>
      <c r="L564" s="361"/>
      <c r="M564" s="361"/>
      <c r="N564" s="361"/>
      <c r="O564" s="361"/>
      <c r="P564" s="361"/>
      <c r="Q564" s="361"/>
      <c r="R564" s="361"/>
      <c r="S564" s="361"/>
      <c r="T564" s="361"/>
      <c r="U564" s="361"/>
      <c r="V564" s="361"/>
      <c r="W564" s="361"/>
      <c r="X564" s="365"/>
      <c r="Y564" s="361"/>
      <c r="Z564" s="361"/>
      <c r="AA564" s="116"/>
      <c r="AB564" s="116"/>
      <c r="AC564" s="116"/>
      <c r="AD564" s="116"/>
      <c r="AE564" s="365"/>
      <c r="AF564" s="116"/>
      <c r="AG564" s="116"/>
      <c r="AH564" s="116"/>
      <c r="AI564" s="116"/>
      <c r="AJ564" s="116"/>
      <c r="AK564" s="116"/>
      <c r="AL564" s="116"/>
    </row>
    <row r="565" ht="16.5" customHeight="1">
      <c r="A565" s="362"/>
      <c r="B565" s="362"/>
      <c r="C565" s="362"/>
      <c r="D565" s="362"/>
      <c r="E565" s="132"/>
      <c r="F565" s="131"/>
      <c r="G565" s="361"/>
      <c r="H565" s="363"/>
      <c r="I565" s="364"/>
      <c r="J565" s="361"/>
      <c r="K565" s="361"/>
      <c r="L565" s="361"/>
      <c r="M565" s="361"/>
      <c r="N565" s="361"/>
      <c r="O565" s="361"/>
      <c r="P565" s="361"/>
      <c r="Q565" s="361"/>
      <c r="R565" s="361"/>
      <c r="S565" s="361"/>
      <c r="T565" s="361"/>
      <c r="U565" s="361"/>
      <c r="V565" s="361"/>
      <c r="W565" s="361"/>
      <c r="X565" s="365"/>
      <c r="Y565" s="361"/>
      <c r="Z565" s="361"/>
      <c r="AA565" s="116"/>
      <c r="AB565" s="116"/>
      <c r="AC565" s="116"/>
      <c r="AD565" s="116"/>
      <c r="AE565" s="365"/>
      <c r="AF565" s="116"/>
      <c r="AG565" s="116"/>
      <c r="AH565" s="116"/>
      <c r="AI565" s="116"/>
      <c r="AJ565" s="116"/>
      <c r="AK565" s="116"/>
      <c r="AL565" s="116"/>
    </row>
    <row r="566" ht="16.5" customHeight="1">
      <c r="A566" s="362"/>
      <c r="B566" s="362"/>
      <c r="C566" s="362"/>
      <c r="D566" s="362"/>
      <c r="E566" s="132"/>
      <c r="F566" s="131"/>
      <c r="G566" s="361"/>
      <c r="H566" s="363"/>
      <c r="I566" s="364"/>
      <c r="J566" s="361"/>
      <c r="K566" s="361"/>
      <c r="L566" s="361"/>
      <c r="M566" s="361"/>
      <c r="N566" s="361"/>
      <c r="O566" s="361"/>
      <c r="P566" s="361"/>
      <c r="Q566" s="361"/>
      <c r="R566" s="361"/>
      <c r="S566" s="361"/>
      <c r="T566" s="361"/>
      <c r="U566" s="361"/>
      <c r="V566" s="361"/>
      <c r="W566" s="361"/>
      <c r="X566" s="365"/>
      <c r="Y566" s="361"/>
      <c r="Z566" s="361"/>
      <c r="AA566" s="116"/>
      <c r="AB566" s="116"/>
      <c r="AC566" s="116"/>
      <c r="AD566" s="116"/>
      <c r="AE566" s="365"/>
      <c r="AF566" s="116"/>
      <c r="AG566" s="116"/>
      <c r="AH566" s="116"/>
      <c r="AI566" s="116"/>
      <c r="AJ566" s="116"/>
      <c r="AK566" s="116"/>
      <c r="AL566" s="116"/>
    </row>
    <row r="567" ht="16.5" customHeight="1">
      <c r="A567" s="362"/>
      <c r="B567" s="362"/>
      <c r="C567" s="362"/>
      <c r="D567" s="362"/>
      <c r="E567" s="132"/>
      <c r="F567" s="131"/>
      <c r="G567" s="361"/>
      <c r="H567" s="363"/>
      <c r="I567" s="364"/>
      <c r="J567" s="361"/>
      <c r="K567" s="361"/>
      <c r="L567" s="361"/>
      <c r="M567" s="361"/>
      <c r="N567" s="361"/>
      <c r="O567" s="361"/>
      <c r="P567" s="361"/>
      <c r="Q567" s="361"/>
      <c r="R567" s="361"/>
      <c r="S567" s="361"/>
      <c r="T567" s="361"/>
      <c r="U567" s="361"/>
      <c r="V567" s="361"/>
      <c r="W567" s="361"/>
      <c r="X567" s="365"/>
      <c r="Y567" s="361"/>
      <c r="Z567" s="361"/>
      <c r="AA567" s="116"/>
      <c r="AB567" s="116"/>
      <c r="AC567" s="116"/>
      <c r="AD567" s="116"/>
      <c r="AE567" s="365"/>
      <c r="AF567" s="116"/>
      <c r="AG567" s="116"/>
      <c r="AH567" s="116"/>
      <c r="AI567" s="116"/>
      <c r="AJ567" s="116"/>
      <c r="AK567" s="116"/>
      <c r="AL567" s="116"/>
    </row>
    <row r="568" ht="16.5" customHeight="1">
      <c r="A568" s="362"/>
      <c r="B568" s="362"/>
      <c r="C568" s="362"/>
      <c r="D568" s="362"/>
      <c r="E568" s="132"/>
      <c r="F568" s="131"/>
      <c r="G568" s="361"/>
      <c r="H568" s="363"/>
      <c r="I568" s="364"/>
      <c r="J568" s="361"/>
      <c r="K568" s="361"/>
      <c r="L568" s="361"/>
      <c r="M568" s="361"/>
      <c r="N568" s="361"/>
      <c r="O568" s="361"/>
      <c r="P568" s="361"/>
      <c r="Q568" s="361"/>
      <c r="R568" s="361"/>
      <c r="S568" s="361"/>
      <c r="T568" s="361"/>
      <c r="U568" s="361"/>
      <c r="V568" s="361"/>
      <c r="W568" s="361"/>
      <c r="X568" s="365"/>
      <c r="Y568" s="361"/>
      <c r="Z568" s="361"/>
      <c r="AA568" s="116"/>
      <c r="AB568" s="116"/>
      <c r="AC568" s="116"/>
      <c r="AD568" s="116"/>
      <c r="AE568" s="365"/>
      <c r="AF568" s="116"/>
      <c r="AG568" s="116"/>
      <c r="AH568" s="116"/>
      <c r="AI568" s="116"/>
      <c r="AJ568" s="116"/>
      <c r="AK568" s="116"/>
      <c r="AL568" s="116"/>
    </row>
    <row r="569" ht="16.5" customHeight="1">
      <c r="A569" s="362"/>
      <c r="B569" s="362"/>
      <c r="C569" s="362"/>
      <c r="D569" s="362"/>
      <c r="E569" s="132"/>
      <c r="F569" s="131"/>
      <c r="G569" s="361"/>
      <c r="H569" s="363"/>
      <c r="I569" s="364"/>
      <c r="J569" s="361"/>
      <c r="K569" s="361"/>
      <c r="L569" s="361"/>
      <c r="M569" s="361"/>
      <c r="N569" s="361"/>
      <c r="O569" s="361"/>
      <c r="P569" s="361"/>
      <c r="Q569" s="361"/>
      <c r="R569" s="361"/>
      <c r="S569" s="361"/>
      <c r="T569" s="361"/>
      <c r="U569" s="361"/>
      <c r="V569" s="361"/>
      <c r="W569" s="361"/>
      <c r="X569" s="365"/>
      <c r="Y569" s="361"/>
      <c r="Z569" s="361"/>
      <c r="AA569" s="116"/>
      <c r="AB569" s="116"/>
      <c r="AC569" s="116"/>
      <c r="AD569" s="116"/>
      <c r="AE569" s="365"/>
      <c r="AF569" s="116"/>
      <c r="AG569" s="116"/>
      <c r="AH569" s="116"/>
      <c r="AI569" s="116"/>
      <c r="AJ569" s="116"/>
      <c r="AK569" s="116"/>
      <c r="AL569" s="116"/>
    </row>
    <row r="570" ht="16.5" customHeight="1">
      <c r="A570" s="362"/>
      <c r="B570" s="362"/>
      <c r="C570" s="362"/>
      <c r="D570" s="362"/>
      <c r="E570" s="132"/>
      <c r="F570" s="131"/>
      <c r="G570" s="361"/>
      <c r="H570" s="363"/>
      <c r="I570" s="364"/>
      <c r="J570" s="361"/>
      <c r="K570" s="361"/>
      <c r="L570" s="361"/>
      <c r="M570" s="361"/>
      <c r="N570" s="361"/>
      <c r="O570" s="361"/>
      <c r="P570" s="361"/>
      <c r="Q570" s="361"/>
      <c r="R570" s="361"/>
      <c r="S570" s="361"/>
      <c r="T570" s="361"/>
      <c r="U570" s="361"/>
      <c r="V570" s="361"/>
      <c r="W570" s="361"/>
      <c r="X570" s="365"/>
      <c r="Y570" s="361"/>
      <c r="Z570" s="361"/>
      <c r="AA570" s="116"/>
      <c r="AB570" s="116"/>
      <c r="AC570" s="116"/>
      <c r="AD570" s="116"/>
      <c r="AE570" s="365"/>
      <c r="AF570" s="116"/>
      <c r="AG570" s="116"/>
      <c r="AH570" s="116"/>
      <c r="AI570" s="116"/>
      <c r="AJ570" s="116"/>
      <c r="AK570" s="116"/>
      <c r="AL570" s="116"/>
    </row>
    <row r="571" ht="16.5" customHeight="1">
      <c r="A571" s="362"/>
      <c r="B571" s="362"/>
      <c r="C571" s="362"/>
      <c r="D571" s="362"/>
      <c r="E571" s="132"/>
      <c r="F571" s="131"/>
      <c r="G571" s="361"/>
      <c r="H571" s="363"/>
      <c r="I571" s="364"/>
      <c r="J571" s="361"/>
      <c r="K571" s="361"/>
      <c r="L571" s="361"/>
      <c r="M571" s="361"/>
      <c r="N571" s="361"/>
      <c r="O571" s="361"/>
      <c r="P571" s="361"/>
      <c r="Q571" s="361"/>
      <c r="R571" s="361"/>
      <c r="S571" s="361"/>
      <c r="T571" s="361"/>
      <c r="U571" s="361"/>
      <c r="V571" s="361"/>
      <c r="W571" s="361"/>
      <c r="X571" s="365"/>
      <c r="Y571" s="361"/>
      <c r="Z571" s="361"/>
      <c r="AA571" s="116"/>
      <c r="AB571" s="116"/>
      <c r="AC571" s="116"/>
      <c r="AD571" s="116"/>
      <c r="AE571" s="365"/>
      <c r="AF571" s="116"/>
      <c r="AG571" s="116"/>
      <c r="AH571" s="116"/>
      <c r="AI571" s="116"/>
      <c r="AJ571" s="116"/>
      <c r="AK571" s="116"/>
      <c r="AL571" s="116"/>
    </row>
    <row r="572" ht="16.5" customHeight="1">
      <c r="A572" s="362"/>
      <c r="B572" s="362"/>
      <c r="C572" s="362"/>
      <c r="D572" s="362"/>
      <c r="E572" s="132"/>
      <c r="F572" s="131"/>
      <c r="G572" s="361"/>
      <c r="H572" s="363"/>
      <c r="I572" s="364"/>
      <c r="J572" s="361"/>
      <c r="K572" s="361"/>
      <c r="L572" s="361"/>
      <c r="M572" s="361"/>
      <c r="N572" s="361"/>
      <c r="O572" s="361"/>
      <c r="P572" s="361"/>
      <c r="Q572" s="361"/>
      <c r="R572" s="361"/>
      <c r="S572" s="361"/>
      <c r="T572" s="361"/>
      <c r="U572" s="361"/>
      <c r="V572" s="361"/>
      <c r="W572" s="361"/>
      <c r="X572" s="365"/>
      <c r="Y572" s="361"/>
      <c r="Z572" s="361"/>
      <c r="AA572" s="116"/>
      <c r="AB572" s="116"/>
      <c r="AC572" s="116"/>
      <c r="AD572" s="116"/>
      <c r="AE572" s="365"/>
      <c r="AF572" s="116"/>
      <c r="AG572" s="116"/>
      <c r="AH572" s="116"/>
      <c r="AI572" s="116"/>
      <c r="AJ572" s="116"/>
      <c r="AK572" s="116"/>
      <c r="AL572" s="116"/>
    </row>
    <row r="573" ht="16.5" customHeight="1">
      <c r="A573" s="362"/>
      <c r="B573" s="362"/>
      <c r="C573" s="362"/>
      <c r="D573" s="362"/>
      <c r="E573" s="132"/>
      <c r="F573" s="131"/>
      <c r="G573" s="361"/>
      <c r="H573" s="363"/>
      <c r="I573" s="364"/>
      <c r="J573" s="361"/>
      <c r="K573" s="361"/>
      <c r="L573" s="361"/>
      <c r="M573" s="361"/>
      <c r="N573" s="361"/>
      <c r="O573" s="361"/>
      <c r="P573" s="361"/>
      <c r="Q573" s="361"/>
      <c r="R573" s="361"/>
      <c r="S573" s="361"/>
      <c r="T573" s="361"/>
      <c r="U573" s="361"/>
      <c r="V573" s="361"/>
      <c r="W573" s="361"/>
      <c r="X573" s="365"/>
      <c r="Y573" s="361"/>
      <c r="Z573" s="361"/>
      <c r="AA573" s="116"/>
      <c r="AB573" s="116"/>
      <c r="AC573" s="116"/>
      <c r="AD573" s="116"/>
      <c r="AE573" s="365"/>
      <c r="AF573" s="116"/>
      <c r="AG573" s="116"/>
      <c r="AH573" s="116"/>
      <c r="AI573" s="116"/>
      <c r="AJ573" s="116"/>
      <c r="AK573" s="116"/>
      <c r="AL573" s="116"/>
    </row>
    <row r="574" ht="16.5" customHeight="1">
      <c r="A574" s="362"/>
      <c r="B574" s="362"/>
      <c r="C574" s="362"/>
      <c r="D574" s="362"/>
      <c r="E574" s="132"/>
      <c r="F574" s="131"/>
      <c r="G574" s="361"/>
      <c r="H574" s="363"/>
      <c r="I574" s="364"/>
      <c r="J574" s="361"/>
      <c r="K574" s="361"/>
      <c r="L574" s="361"/>
      <c r="M574" s="361"/>
      <c r="N574" s="361"/>
      <c r="O574" s="361"/>
      <c r="P574" s="361"/>
      <c r="Q574" s="361"/>
      <c r="R574" s="361"/>
      <c r="S574" s="361"/>
      <c r="T574" s="361"/>
      <c r="U574" s="361"/>
      <c r="V574" s="361"/>
      <c r="W574" s="361"/>
      <c r="X574" s="365"/>
      <c r="Y574" s="361"/>
      <c r="Z574" s="361"/>
      <c r="AA574" s="116"/>
      <c r="AB574" s="116"/>
      <c r="AC574" s="116"/>
      <c r="AD574" s="116"/>
      <c r="AE574" s="365"/>
      <c r="AF574" s="116"/>
      <c r="AG574" s="116"/>
      <c r="AH574" s="116"/>
      <c r="AI574" s="116"/>
      <c r="AJ574" s="116"/>
      <c r="AK574" s="116"/>
      <c r="AL574" s="116"/>
    </row>
    <row r="575" ht="16.5" customHeight="1">
      <c r="A575" s="362"/>
      <c r="B575" s="362"/>
      <c r="C575" s="362"/>
      <c r="D575" s="362"/>
      <c r="E575" s="132"/>
      <c r="F575" s="131"/>
      <c r="G575" s="361"/>
      <c r="H575" s="363"/>
      <c r="I575" s="364"/>
      <c r="J575" s="361"/>
      <c r="K575" s="361"/>
      <c r="L575" s="361"/>
      <c r="M575" s="361"/>
      <c r="N575" s="361"/>
      <c r="O575" s="361"/>
      <c r="P575" s="361"/>
      <c r="Q575" s="361"/>
      <c r="R575" s="361"/>
      <c r="S575" s="361"/>
      <c r="T575" s="361"/>
      <c r="U575" s="361"/>
      <c r="V575" s="361"/>
      <c r="W575" s="361"/>
      <c r="X575" s="365"/>
      <c r="Y575" s="361"/>
      <c r="Z575" s="361"/>
      <c r="AA575" s="116"/>
      <c r="AB575" s="116"/>
      <c r="AC575" s="116"/>
      <c r="AD575" s="116"/>
      <c r="AE575" s="365"/>
      <c r="AF575" s="116"/>
      <c r="AG575" s="116"/>
      <c r="AH575" s="116"/>
      <c r="AI575" s="116"/>
      <c r="AJ575" s="116"/>
      <c r="AK575" s="116"/>
      <c r="AL575" s="116"/>
    </row>
    <row r="576" ht="16.5" customHeight="1">
      <c r="A576" s="362"/>
      <c r="B576" s="362"/>
      <c r="C576" s="362"/>
      <c r="D576" s="362"/>
      <c r="E576" s="132"/>
      <c r="F576" s="131"/>
      <c r="G576" s="361"/>
      <c r="H576" s="363"/>
      <c r="I576" s="364"/>
      <c r="J576" s="361"/>
      <c r="K576" s="361"/>
      <c r="L576" s="361"/>
      <c r="M576" s="361"/>
      <c r="N576" s="361"/>
      <c r="O576" s="361"/>
      <c r="P576" s="361"/>
      <c r="Q576" s="361"/>
      <c r="R576" s="361"/>
      <c r="S576" s="361"/>
      <c r="T576" s="361"/>
      <c r="U576" s="361"/>
      <c r="V576" s="361"/>
      <c r="W576" s="361"/>
      <c r="X576" s="365"/>
      <c r="Y576" s="361"/>
      <c r="Z576" s="361"/>
      <c r="AA576" s="116"/>
      <c r="AB576" s="116"/>
      <c r="AC576" s="116"/>
      <c r="AD576" s="116"/>
      <c r="AE576" s="365"/>
      <c r="AF576" s="116"/>
      <c r="AG576" s="116"/>
      <c r="AH576" s="116"/>
      <c r="AI576" s="116"/>
      <c r="AJ576" s="116"/>
      <c r="AK576" s="116"/>
      <c r="AL576" s="116"/>
    </row>
    <row r="577" ht="16.5" customHeight="1">
      <c r="A577" s="362"/>
      <c r="B577" s="362"/>
      <c r="C577" s="362"/>
      <c r="D577" s="362"/>
      <c r="E577" s="132"/>
      <c r="F577" s="131"/>
      <c r="G577" s="361"/>
      <c r="H577" s="363"/>
      <c r="I577" s="364"/>
      <c r="J577" s="361"/>
      <c r="K577" s="361"/>
      <c r="L577" s="361"/>
      <c r="M577" s="361"/>
      <c r="N577" s="361"/>
      <c r="O577" s="361"/>
      <c r="P577" s="361"/>
      <c r="Q577" s="361"/>
      <c r="R577" s="361"/>
      <c r="S577" s="361"/>
      <c r="T577" s="361"/>
      <c r="U577" s="361"/>
      <c r="V577" s="361"/>
      <c r="W577" s="361"/>
      <c r="X577" s="365"/>
      <c r="Y577" s="361"/>
      <c r="Z577" s="361"/>
      <c r="AA577" s="116"/>
      <c r="AB577" s="116"/>
      <c r="AC577" s="116"/>
      <c r="AD577" s="116"/>
      <c r="AE577" s="365"/>
      <c r="AF577" s="116"/>
      <c r="AG577" s="116"/>
      <c r="AH577" s="116"/>
      <c r="AI577" s="116"/>
      <c r="AJ577" s="116"/>
      <c r="AK577" s="116"/>
      <c r="AL577" s="116"/>
    </row>
    <row r="578" ht="16.5" customHeight="1">
      <c r="A578" s="362"/>
      <c r="B578" s="362"/>
      <c r="C578" s="362"/>
      <c r="D578" s="362"/>
      <c r="E578" s="132"/>
      <c r="F578" s="131"/>
      <c r="G578" s="361"/>
      <c r="H578" s="363"/>
      <c r="I578" s="364"/>
      <c r="J578" s="361"/>
      <c r="K578" s="361"/>
      <c r="L578" s="361"/>
      <c r="M578" s="361"/>
      <c r="N578" s="361"/>
      <c r="O578" s="361"/>
      <c r="P578" s="361"/>
      <c r="Q578" s="361"/>
      <c r="R578" s="361"/>
      <c r="S578" s="361"/>
      <c r="T578" s="361"/>
      <c r="U578" s="361"/>
      <c r="V578" s="361"/>
      <c r="W578" s="361"/>
      <c r="X578" s="365"/>
      <c r="Y578" s="361"/>
      <c r="Z578" s="361"/>
      <c r="AA578" s="116"/>
      <c r="AB578" s="116"/>
      <c r="AC578" s="116"/>
      <c r="AD578" s="116"/>
      <c r="AE578" s="365"/>
      <c r="AF578" s="116"/>
      <c r="AG578" s="116"/>
      <c r="AH578" s="116"/>
      <c r="AI578" s="116"/>
      <c r="AJ578" s="116"/>
      <c r="AK578" s="116"/>
      <c r="AL578" s="116"/>
    </row>
    <row r="579" ht="16.5" customHeight="1">
      <c r="A579" s="362"/>
      <c r="B579" s="362"/>
      <c r="C579" s="362"/>
      <c r="D579" s="362"/>
      <c r="E579" s="132"/>
      <c r="F579" s="131"/>
      <c r="G579" s="361"/>
      <c r="H579" s="363"/>
      <c r="I579" s="364"/>
      <c r="J579" s="361"/>
      <c r="K579" s="361"/>
      <c r="L579" s="361"/>
      <c r="M579" s="361"/>
      <c r="N579" s="361"/>
      <c r="O579" s="361"/>
      <c r="P579" s="361"/>
      <c r="Q579" s="361"/>
      <c r="R579" s="361"/>
      <c r="S579" s="361"/>
      <c r="T579" s="361"/>
      <c r="U579" s="361"/>
      <c r="V579" s="361"/>
      <c r="W579" s="361"/>
      <c r="X579" s="365"/>
      <c r="Y579" s="361"/>
      <c r="Z579" s="361"/>
      <c r="AA579" s="116"/>
      <c r="AB579" s="116"/>
      <c r="AC579" s="116"/>
      <c r="AD579" s="116"/>
      <c r="AE579" s="365"/>
      <c r="AF579" s="116"/>
      <c r="AG579" s="116"/>
      <c r="AH579" s="116"/>
      <c r="AI579" s="116"/>
      <c r="AJ579" s="116"/>
      <c r="AK579" s="116"/>
      <c r="AL579" s="116"/>
    </row>
    <row r="580" ht="16.5" customHeight="1">
      <c r="A580" s="362"/>
      <c r="B580" s="362"/>
      <c r="C580" s="362"/>
      <c r="D580" s="362"/>
      <c r="E580" s="132"/>
      <c r="F580" s="131"/>
      <c r="G580" s="361"/>
      <c r="H580" s="363"/>
      <c r="I580" s="364"/>
      <c r="J580" s="361"/>
      <c r="K580" s="361"/>
      <c r="L580" s="361"/>
      <c r="M580" s="361"/>
      <c r="N580" s="361"/>
      <c r="O580" s="361"/>
      <c r="P580" s="361"/>
      <c r="Q580" s="361"/>
      <c r="R580" s="361"/>
      <c r="S580" s="361"/>
      <c r="T580" s="361"/>
      <c r="U580" s="361"/>
      <c r="V580" s="361"/>
      <c r="W580" s="361"/>
      <c r="X580" s="365"/>
      <c r="Y580" s="361"/>
      <c r="Z580" s="361"/>
      <c r="AA580" s="116"/>
      <c r="AB580" s="116"/>
      <c r="AC580" s="116"/>
      <c r="AD580" s="116"/>
      <c r="AE580" s="365"/>
      <c r="AF580" s="116"/>
      <c r="AG580" s="116"/>
      <c r="AH580" s="116"/>
      <c r="AI580" s="116"/>
      <c r="AJ580" s="116"/>
      <c r="AK580" s="116"/>
      <c r="AL580" s="116"/>
    </row>
    <row r="581" ht="16.5" customHeight="1">
      <c r="A581" s="362"/>
      <c r="B581" s="362"/>
      <c r="C581" s="362"/>
      <c r="D581" s="362"/>
      <c r="E581" s="132"/>
      <c r="F581" s="131"/>
      <c r="G581" s="361"/>
      <c r="H581" s="363"/>
      <c r="I581" s="364"/>
      <c r="J581" s="361"/>
      <c r="K581" s="361"/>
      <c r="L581" s="361"/>
      <c r="M581" s="361"/>
      <c r="N581" s="361"/>
      <c r="O581" s="361"/>
      <c r="P581" s="361"/>
      <c r="Q581" s="361"/>
      <c r="R581" s="361"/>
      <c r="S581" s="361"/>
      <c r="T581" s="361"/>
      <c r="U581" s="361"/>
      <c r="V581" s="361"/>
      <c r="W581" s="361"/>
      <c r="X581" s="365"/>
      <c r="Y581" s="361"/>
      <c r="Z581" s="361"/>
      <c r="AA581" s="116"/>
      <c r="AB581" s="116"/>
      <c r="AC581" s="116"/>
      <c r="AD581" s="116"/>
      <c r="AE581" s="365"/>
      <c r="AF581" s="116"/>
      <c r="AG581" s="116"/>
      <c r="AH581" s="116"/>
      <c r="AI581" s="116"/>
      <c r="AJ581" s="116"/>
      <c r="AK581" s="116"/>
      <c r="AL581" s="116"/>
    </row>
    <row r="582" ht="16.5" customHeight="1">
      <c r="A582" s="362"/>
      <c r="B582" s="362"/>
      <c r="C582" s="362"/>
      <c r="D582" s="362"/>
      <c r="E582" s="132"/>
      <c r="F582" s="131"/>
      <c r="G582" s="361"/>
      <c r="H582" s="363"/>
      <c r="I582" s="364"/>
      <c r="J582" s="361"/>
      <c r="K582" s="361"/>
      <c r="L582" s="361"/>
      <c r="M582" s="361"/>
      <c r="N582" s="361"/>
      <c r="O582" s="361"/>
      <c r="P582" s="361"/>
      <c r="Q582" s="361"/>
      <c r="R582" s="361"/>
      <c r="S582" s="361"/>
      <c r="T582" s="361"/>
      <c r="U582" s="361"/>
      <c r="V582" s="361"/>
      <c r="W582" s="361"/>
      <c r="X582" s="365"/>
      <c r="Y582" s="361"/>
      <c r="Z582" s="361"/>
      <c r="AA582" s="116"/>
      <c r="AB582" s="116"/>
      <c r="AC582" s="116"/>
      <c r="AD582" s="116"/>
      <c r="AE582" s="365"/>
      <c r="AF582" s="116"/>
      <c r="AG582" s="116"/>
      <c r="AH582" s="116"/>
      <c r="AI582" s="116"/>
      <c r="AJ582" s="116"/>
      <c r="AK582" s="116"/>
      <c r="AL582" s="116"/>
    </row>
    <row r="583" ht="16.5" customHeight="1">
      <c r="A583" s="362"/>
      <c r="B583" s="362"/>
      <c r="C583" s="362"/>
      <c r="D583" s="362"/>
      <c r="E583" s="132"/>
      <c r="F583" s="131"/>
      <c r="G583" s="361"/>
      <c r="H583" s="363"/>
      <c r="I583" s="364"/>
      <c r="J583" s="361"/>
      <c r="K583" s="361"/>
      <c r="L583" s="361"/>
      <c r="M583" s="361"/>
      <c r="N583" s="361"/>
      <c r="O583" s="361"/>
      <c r="P583" s="361"/>
      <c r="Q583" s="361"/>
      <c r="R583" s="361"/>
      <c r="S583" s="361"/>
      <c r="T583" s="361"/>
      <c r="U583" s="361"/>
      <c r="V583" s="361"/>
      <c r="W583" s="361"/>
      <c r="X583" s="365"/>
      <c r="Y583" s="361"/>
      <c r="Z583" s="361"/>
      <c r="AA583" s="116"/>
      <c r="AB583" s="116"/>
      <c r="AC583" s="116"/>
      <c r="AD583" s="116"/>
      <c r="AE583" s="365"/>
      <c r="AF583" s="116"/>
      <c r="AG583" s="116"/>
      <c r="AH583" s="116"/>
      <c r="AI583" s="116"/>
      <c r="AJ583" s="116"/>
      <c r="AK583" s="116"/>
      <c r="AL583" s="116"/>
    </row>
    <row r="584" ht="16.5" customHeight="1">
      <c r="A584" s="362"/>
      <c r="B584" s="362"/>
      <c r="C584" s="362"/>
      <c r="D584" s="362"/>
      <c r="E584" s="132"/>
      <c r="F584" s="131"/>
      <c r="G584" s="361"/>
      <c r="H584" s="363"/>
      <c r="I584" s="364"/>
      <c r="J584" s="361"/>
      <c r="K584" s="361"/>
      <c r="L584" s="361"/>
      <c r="M584" s="361"/>
      <c r="N584" s="361"/>
      <c r="O584" s="361"/>
      <c r="P584" s="361"/>
      <c r="Q584" s="361"/>
      <c r="R584" s="361"/>
      <c r="S584" s="361"/>
      <c r="T584" s="361"/>
      <c r="U584" s="361"/>
      <c r="V584" s="361"/>
      <c r="W584" s="361"/>
      <c r="X584" s="365"/>
      <c r="Y584" s="361"/>
      <c r="Z584" s="361"/>
      <c r="AA584" s="116"/>
      <c r="AB584" s="116"/>
      <c r="AC584" s="116"/>
      <c r="AD584" s="116"/>
      <c r="AE584" s="365"/>
      <c r="AF584" s="116"/>
      <c r="AG584" s="116"/>
      <c r="AH584" s="116"/>
      <c r="AI584" s="116"/>
      <c r="AJ584" s="116"/>
      <c r="AK584" s="116"/>
      <c r="AL584" s="116"/>
    </row>
    <row r="585" ht="16.5" customHeight="1">
      <c r="A585" s="362"/>
      <c r="B585" s="362"/>
      <c r="C585" s="362"/>
      <c r="D585" s="362"/>
      <c r="E585" s="132"/>
      <c r="F585" s="131"/>
      <c r="G585" s="361"/>
      <c r="H585" s="363"/>
      <c r="I585" s="364"/>
      <c r="J585" s="361"/>
      <c r="K585" s="361"/>
      <c r="L585" s="361"/>
      <c r="M585" s="361"/>
      <c r="N585" s="361"/>
      <c r="O585" s="361"/>
      <c r="P585" s="361"/>
      <c r="Q585" s="361"/>
      <c r="R585" s="361"/>
      <c r="S585" s="361"/>
      <c r="T585" s="361"/>
      <c r="U585" s="361"/>
      <c r="V585" s="361"/>
      <c r="W585" s="361"/>
      <c r="X585" s="365"/>
      <c r="Y585" s="361"/>
      <c r="Z585" s="361"/>
      <c r="AA585" s="116"/>
      <c r="AB585" s="116"/>
      <c r="AC585" s="116"/>
      <c r="AD585" s="116"/>
      <c r="AE585" s="365"/>
      <c r="AF585" s="116"/>
      <c r="AG585" s="116"/>
      <c r="AH585" s="116"/>
      <c r="AI585" s="116"/>
      <c r="AJ585" s="116"/>
      <c r="AK585" s="116"/>
      <c r="AL585" s="116"/>
    </row>
    <row r="586" ht="16.5" customHeight="1">
      <c r="A586" s="362"/>
      <c r="B586" s="362"/>
      <c r="C586" s="362"/>
      <c r="D586" s="362"/>
      <c r="E586" s="132"/>
      <c r="F586" s="131"/>
      <c r="G586" s="361"/>
      <c r="H586" s="363"/>
      <c r="I586" s="364"/>
      <c r="J586" s="361"/>
      <c r="K586" s="361"/>
      <c r="L586" s="361"/>
      <c r="M586" s="361"/>
      <c r="N586" s="361"/>
      <c r="O586" s="361"/>
      <c r="P586" s="361"/>
      <c r="Q586" s="361"/>
      <c r="R586" s="361"/>
      <c r="S586" s="361"/>
      <c r="T586" s="361"/>
      <c r="U586" s="361"/>
      <c r="V586" s="361"/>
      <c r="W586" s="361"/>
      <c r="X586" s="365"/>
      <c r="Y586" s="361"/>
      <c r="Z586" s="361"/>
      <c r="AA586" s="116"/>
      <c r="AB586" s="116"/>
      <c r="AC586" s="116"/>
      <c r="AD586" s="116"/>
      <c r="AE586" s="365"/>
      <c r="AF586" s="116"/>
      <c r="AG586" s="116"/>
      <c r="AH586" s="116"/>
      <c r="AI586" s="116"/>
      <c r="AJ586" s="116"/>
      <c r="AK586" s="116"/>
      <c r="AL586" s="116"/>
    </row>
    <row r="587" ht="16.5" customHeight="1">
      <c r="A587" s="362"/>
      <c r="B587" s="362"/>
      <c r="C587" s="362"/>
      <c r="D587" s="362"/>
      <c r="E587" s="132"/>
      <c r="F587" s="131"/>
      <c r="G587" s="361"/>
      <c r="H587" s="363"/>
      <c r="I587" s="364"/>
      <c r="J587" s="361"/>
      <c r="K587" s="361"/>
      <c r="L587" s="361"/>
      <c r="M587" s="361"/>
      <c r="N587" s="361"/>
      <c r="O587" s="361"/>
      <c r="P587" s="361"/>
      <c r="Q587" s="361"/>
      <c r="R587" s="361"/>
      <c r="S587" s="361"/>
      <c r="T587" s="361"/>
      <c r="U587" s="361"/>
      <c r="V587" s="361"/>
      <c r="W587" s="361"/>
      <c r="X587" s="365"/>
      <c r="Y587" s="361"/>
      <c r="Z587" s="361"/>
      <c r="AA587" s="116"/>
      <c r="AB587" s="116"/>
      <c r="AC587" s="116"/>
      <c r="AD587" s="116"/>
      <c r="AE587" s="365"/>
      <c r="AF587" s="116"/>
      <c r="AG587" s="116"/>
      <c r="AH587" s="116"/>
      <c r="AI587" s="116"/>
      <c r="AJ587" s="116"/>
      <c r="AK587" s="116"/>
      <c r="AL587" s="116"/>
    </row>
    <row r="588" ht="16.5" customHeight="1">
      <c r="A588" s="362"/>
      <c r="B588" s="362"/>
      <c r="C588" s="362"/>
      <c r="D588" s="362"/>
      <c r="E588" s="132"/>
      <c r="F588" s="131"/>
      <c r="G588" s="361"/>
      <c r="H588" s="363"/>
      <c r="I588" s="364"/>
      <c r="J588" s="361"/>
      <c r="K588" s="361"/>
      <c r="L588" s="361"/>
      <c r="M588" s="361"/>
      <c r="N588" s="361"/>
      <c r="O588" s="361"/>
      <c r="P588" s="361"/>
      <c r="Q588" s="361"/>
      <c r="R588" s="361"/>
      <c r="S588" s="361"/>
      <c r="T588" s="361"/>
      <c r="U588" s="361"/>
      <c r="V588" s="361"/>
      <c r="W588" s="361"/>
      <c r="X588" s="365"/>
      <c r="Y588" s="361"/>
      <c r="Z588" s="361"/>
      <c r="AA588" s="116"/>
      <c r="AB588" s="116"/>
      <c r="AC588" s="116"/>
      <c r="AD588" s="116"/>
      <c r="AE588" s="365"/>
      <c r="AF588" s="116"/>
      <c r="AG588" s="116"/>
      <c r="AH588" s="116"/>
      <c r="AI588" s="116"/>
      <c r="AJ588" s="116"/>
      <c r="AK588" s="116"/>
      <c r="AL588" s="116"/>
    </row>
    <row r="589" ht="16.5" customHeight="1">
      <c r="A589" s="362"/>
      <c r="B589" s="362"/>
      <c r="C589" s="362"/>
      <c r="D589" s="362"/>
      <c r="E589" s="132"/>
      <c r="F589" s="131"/>
      <c r="G589" s="361"/>
      <c r="H589" s="363"/>
      <c r="I589" s="364"/>
      <c r="J589" s="361"/>
      <c r="K589" s="361"/>
      <c r="L589" s="361"/>
      <c r="M589" s="361"/>
      <c r="N589" s="361"/>
      <c r="O589" s="361"/>
      <c r="P589" s="361"/>
      <c r="Q589" s="361"/>
      <c r="R589" s="361"/>
      <c r="S589" s="361"/>
      <c r="T589" s="361"/>
      <c r="U589" s="361"/>
      <c r="V589" s="361"/>
      <c r="W589" s="361"/>
      <c r="X589" s="365"/>
      <c r="Y589" s="361"/>
      <c r="Z589" s="361"/>
      <c r="AA589" s="116"/>
      <c r="AB589" s="116"/>
      <c r="AC589" s="116"/>
      <c r="AD589" s="116"/>
      <c r="AE589" s="365"/>
      <c r="AF589" s="116"/>
      <c r="AG589" s="116"/>
      <c r="AH589" s="116"/>
      <c r="AI589" s="116"/>
      <c r="AJ589" s="116"/>
      <c r="AK589" s="116"/>
      <c r="AL589" s="116"/>
    </row>
    <row r="590" ht="16.5" customHeight="1">
      <c r="A590" s="362"/>
      <c r="B590" s="362"/>
      <c r="C590" s="362"/>
      <c r="D590" s="362"/>
      <c r="E590" s="132"/>
      <c r="F590" s="131"/>
      <c r="G590" s="361"/>
      <c r="H590" s="363"/>
      <c r="I590" s="364"/>
      <c r="J590" s="361"/>
      <c r="K590" s="361"/>
      <c r="L590" s="361"/>
      <c r="M590" s="361"/>
      <c r="N590" s="361"/>
      <c r="O590" s="361"/>
      <c r="P590" s="361"/>
      <c r="Q590" s="361"/>
      <c r="R590" s="361"/>
      <c r="S590" s="361"/>
      <c r="T590" s="361"/>
      <c r="U590" s="361"/>
      <c r="V590" s="361"/>
      <c r="W590" s="361"/>
      <c r="X590" s="365"/>
      <c r="Y590" s="361"/>
      <c r="Z590" s="361"/>
      <c r="AA590" s="116"/>
      <c r="AB590" s="116"/>
      <c r="AC590" s="116"/>
      <c r="AD590" s="116"/>
      <c r="AE590" s="365"/>
      <c r="AF590" s="116"/>
      <c r="AG590" s="116"/>
      <c r="AH590" s="116"/>
      <c r="AI590" s="116"/>
      <c r="AJ590" s="116"/>
      <c r="AK590" s="116"/>
      <c r="AL590" s="116"/>
    </row>
    <row r="591" ht="16.5" customHeight="1">
      <c r="A591" s="362"/>
      <c r="B591" s="362"/>
      <c r="C591" s="362"/>
      <c r="D591" s="362"/>
      <c r="E591" s="132"/>
      <c r="F591" s="131"/>
      <c r="G591" s="361"/>
      <c r="H591" s="363"/>
      <c r="I591" s="364"/>
      <c r="J591" s="361"/>
      <c r="K591" s="361"/>
      <c r="L591" s="361"/>
      <c r="M591" s="361"/>
      <c r="N591" s="361"/>
      <c r="O591" s="361"/>
      <c r="P591" s="361"/>
      <c r="Q591" s="361"/>
      <c r="R591" s="361"/>
      <c r="S591" s="361"/>
      <c r="T591" s="361"/>
      <c r="U591" s="361"/>
      <c r="V591" s="361"/>
      <c r="W591" s="361"/>
      <c r="X591" s="365"/>
      <c r="Y591" s="361"/>
      <c r="Z591" s="361"/>
      <c r="AA591" s="116"/>
      <c r="AB591" s="116"/>
      <c r="AC591" s="116"/>
      <c r="AD591" s="116"/>
      <c r="AE591" s="365"/>
      <c r="AF591" s="116"/>
      <c r="AG591" s="116"/>
      <c r="AH591" s="116"/>
      <c r="AI591" s="116"/>
      <c r="AJ591" s="116"/>
      <c r="AK591" s="116"/>
      <c r="AL591" s="116"/>
    </row>
    <row r="592" ht="16.5" customHeight="1">
      <c r="A592" s="362"/>
      <c r="B592" s="362"/>
      <c r="C592" s="362"/>
      <c r="D592" s="362"/>
      <c r="E592" s="132"/>
      <c r="F592" s="131"/>
      <c r="G592" s="361"/>
      <c r="H592" s="363"/>
      <c r="I592" s="364"/>
      <c r="J592" s="361"/>
      <c r="K592" s="361"/>
      <c r="L592" s="361"/>
      <c r="M592" s="361"/>
      <c r="N592" s="361"/>
      <c r="O592" s="361"/>
      <c r="P592" s="361"/>
      <c r="Q592" s="361"/>
      <c r="R592" s="361"/>
      <c r="S592" s="361"/>
      <c r="T592" s="361"/>
      <c r="U592" s="361"/>
      <c r="V592" s="361"/>
      <c r="W592" s="361"/>
      <c r="X592" s="365"/>
      <c r="Y592" s="361"/>
      <c r="Z592" s="361"/>
      <c r="AA592" s="116"/>
      <c r="AB592" s="116"/>
      <c r="AC592" s="116"/>
      <c r="AD592" s="116"/>
      <c r="AE592" s="365"/>
      <c r="AF592" s="116"/>
      <c r="AG592" s="116"/>
      <c r="AH592" s="116"/>
      <c r="AI592" s="116"/>
      <c r="AJ592" s="116"/>
      <c r="AK592" s="116"/>
      <c r="AL592" s="116"/>
    </row>
    <row r="593" ht="16.5" customHeight="1">
      <c r="A593" s="362"/>
      <c r="B593" s="362"/>
      <c r="C593" s="362"/>
      <c r="D593" s="362"/>
      <c r="E593" s="132"/>
      <c r="F593" s="131"/>
      <c r="G593" s="361"/>
      <c r="H593" s="363"/>
      <c r="I593" s="364"/>
      <c r="J593" s="361"/>
      <c r="K593" s="361"/>
      <c r="L593" s="361"/>
      <c r="M593" s="361"/>
      <c r="N593" s="361"/>
      <c r="O593" s="361"/>
      <c r="P593" s="361"/>
      <c r="Q593" s="361"/>
      <c r="R593" s="361"/>
      <c r="S593" s="361"/>
      <c r="T593" s="361"/>
      <c r="U593" s="361"/>
      <c r="V593" s="361"/>
      <c r="W593" s="361"/>
      <c r="X593" s="365"/>
      <c r="Y593" s="361"/>
      <c r="Z593" s="361"/>
      <c r="AA593" s="116"/>
      <c r="AB593" s="116"/>
      <c r="AC593" s="116"/>
      <c r="AD593" s="116"/>
      <c r="AE593" s="365"/>
      <c r="AF593" s="116"/>
      <c r="AG593" s="116"/>
      <c r="AH593" s="116"/>
      <c r="AI593" s="116"/>
      <c r="AJ593" s="116"/>
      <c r="AK593" s="116"/>
      <c r="AL593" s="116"/>
    </row>
    <row r="594" ht="16.5" customHeight="1">
      <c r="A594" s="362"/>
      <c r="B594" s="362"/>
      <c r="C594" s="362"/>
      <c r="D594" s="362"/>
      <c r="E594" s="132"/>
      <c r="F594" s="131"/>
      <c r="G594" s="361"/>
      <c r="H594" s="363"/>
      <c r="I594" s="364"/>
      <c r="J594" s="361"/>
      <c r="K594" s="361"/>
      <c r="L594" s="361"/>
      <c r="M594" s="361"/>
      <c r="N594" s="361"/>
      <c r="O594" s="361"/>
      <c r="P594" s="361"/>
      <c r="Q594" s="361"/>
      <c r="R594" s="361"/>
      <c r="S594" s="361"/>
      <c r="T594" s="361"/>
      <c r="U594" s="361"/>
      <c r="V594" s="361"/>
      <c r="W594" s="361"/>
      <c r="X594" s="365"/>
      <c r="Y594" s="361"/>
      <c r="Z594" s="361"/>
      <c r="AA594" s="116"/>
      <c r="AB594" s="116"/>
      <c r="AC594" s="116"/>
      <c r="AD594" s="116"/>
      <c r="AE594" s="365"/>
      <c r="AF594" s="116"/>
      <c r="AG594" s="116"/>
      <c r="AH594" s="116"/>
      <c r="AI594" s="116"/>
      <c r="AJ594" s="116"/>
      <c r="AK594" s="116"/>
      <c r="AL594" s="116"/>
    </row>
    <row r="595" ht="16.5" customHeight="1">
      <c r="A595" s="362"/>
      <c r="B595" s="362"/>
      <c r="C595" s="362"/>
      <c r="D595" s="362"/>
      <c r="E595" s="132"/>
      <c r="F595" s="131"/>
      <c r="G595" s="361"/>
      <c r="H595" s="363"/>
      <c r="I595" s="364"/>
      <c r="J595" s="361"/>
      <c r="K595" s="361"/>
      <c r="L595" s="361"/>
      <c r="M595" s="361"/>
      <c r="N595" s="361"/>
      <c r="O595" s="361"/>
      <c r="P595" s="361"/>
      <c r="Q595" s="361"/>
      <c r="R595" s="361"/>
      <c r="S595" s="361"/>
      <c r="T595" s="361"/>
      <c r="U595" s="361"/>
      <c r="V595" s="361"/>
      <c r="W595" s="361"/>
      <c r="X595" s="365"/>
      <c r="Y595" s="361"/>
      <c r="Z595" s="361"/>
      <c r="AA595" s="116"/>
      <c r="AB595" s="116"/>
      <c r="AC595" s="116"/>
      <c r="AD595" s="116"/>
      <c r="AE595" s="365"/>
      <c r="AF595" s="116"/>
      <c r="AG595" s="116"/>
      <c r="AH595" s="116"/>
      <c r="AI595" s="116"/>
      <c r="AJ595" s="116"/>
      <c r="AK595" s="116"/>
      <c r="AL595" s="116"/>
    </row>
    <row r="596" ht="16.5" customHeight="1">
      <c r="A596" s="362"/>
      <c r="B596" s="362"/>
      <c r="C596" s="362"/>
      <c r="D596" s="362"/>
      <c r="E596" s="132"/>
      <c r="F596" s="131"/>
      <c r="G596" s="361"/>
      <c r="H596" s="363"/>
      <c r="I596" s="364"/>
      <c r="J596" s="361"/>
      <c r="K596" s="361"/>
      <c r="L596" s="361"/>
      <c r="M596" s="361"/>
      <c r="N596" s="361"/>
      <c r="O596" s="361"/>
      <c r="P596" s="361"/>
      <c r="Q596" s="361"/>
      <c r="R596" s="361"/>
      <c r="S596" s="361"/>
      <c r="T596" s="361"/>
      <c r="U596" s="361"/>
      <c r="V596" s="361"/>
      <c r="W596" s="361"/>
      <c r="X596" s="365"/>
      <c r="Y596" s="361"/>
      <c r="Z596" s="361"/>
      <c r="AA596" s="116"/>
      <c r="AB596" s="116"/>
      <c r="AC596" s="116"/>
      <c r="AD596" s="116"/>
      <c r="AE596" s="365"/>
      <c r="AF596" s="116"/>
      <c r="AG596" s="116"/>
      <c r="AH596" s="116"/>
      <c r="AI596" s="116"/>
      <c r="AJ596" s="116"/>
      <c r="AK596" s="116"/>
      <c r="AL596" s="116"/>
    </row>
    <row r="597" ht="16.5" customHeight="1">
      <c r="A597" s="362"/>
      <c r="B597" s="362"/>
      <c r="C597" s="362"/>
      <c r="D597" s="362"/>
      <c r="E597" s="132"/>
      <c r="F597" s="131"/>
      <c r="G597" s="361"/>
      <c r="H597" s="363"/>
      <c r="I597" s="364"/>
      <c r="J597" s="361"/>
      <c r="K597" s="361"/>
      <c r="L597" s="361"/>
      <c r="M597" s="361"/>
      <c r="N597" s="361"/>
      <c r="O597" s="361"/>
      <c r="P597" s="361"/>
      <c r="Q597" s="361"/>
      <c r="R597" s="361"/>
      <c r="S597" s="361"/>
      <c r="T597" s="361"/>
      <c r="U597" s="361"/>
      <c r="V597" s="361"/>
      <c r="W597" s="361"/>
      <c r="X597" s="365"/>
      <c r="Y597" s="361"/>
      <c r="Z597" s="361"/>
      <c r="AA597" s="116"/>
      <c r="AB597" s="116"/>
      <c r="AC597" s="116"/>
      <c r="AD597" s="116"/>
      <c r="AE597" s="365"/>
      <c r="AF597" s="116"/>
      <c r="AG597" s="116"/>
      <c r="AH597" s="116"/>
      <c r="AI597" s="116"/>
      <c r="AJ597" s="116"/>
      <c r="AK597" s="116"/>
      <c r="AL597" s="116"/>
    </row>
    <row r="598" ht="16.5" customHeight="1">
      <c r="A598" s="362"/>
      <c r="B598" s="362"/>
      <c r="C598" s="362"/>
      <c r="D598" s="362"/>
      <c r="E598" s="132"/>
      <c r="F598" s="131"/>
      <c r="G598" s="361"/>
      <c r="H598" s="363"/>
      <c r="I598" s="364"/>
      <c r="J598" s="361"/>
      <c r="K598" s="361"/>
      <c r="L598" s="361"/>
      <c r="M598" s="361"/>
      <c r="N598" s="361"/>
      <c r="O598" s="361"/>
      <c r="P598" s="361"/>
      <c r="Q598" s="361"/>
      <c r="R598" s="361"/>
      <c r="S598" s="361"/>
      <c r="T598" s="361"/>
      <c r="U598" s="361"/>
      <c r="V598" s="361"/>
      <c r="W598" s="361"/>
      <c r="X598" s="365"/>
      <c r="Y598" s="361"/>
      <c r="Z598" s="361"/>
      <c r="AA598" s="116"/>
      <c r="AB598" s="116"/>
      <c r="AC598" s="116"/>
      <c r="AD598" s="116"/>
      <c r="AE598" s="365"/>
      <c r="AF598" s="116"/>
      <c r="AG598" s="116"/>
      <c r="AH598" s="116"/>
      <c r="AI598" s="116"/>
      <c r="AJ598" s="116"/>
      <c r="AK598" s="116"/>
      <c r="AL598" s="116"/>
    </row>
    <row r="599" ht="16.5" customHeight="1">
      <c r="A599" s="362"/>
      <c r="B599" s="362"/>
      <c r="C599" s="362"/>
      <c r="D599" s="362"/>
      <c r="E599" s="132"/>
      <c r="F599" s="131"/>
      <c r="G599" s="361"/>
      <c r="H599" s="363"/>
      <c r="I599" s="364"/>
      <c r="J599" s="361"/>
      <c r="K599" s="361"/>
      <c r="L599" s="361"/>
      <c r="M599" s="361"/>
      <c r="N599" s="361"/>
      <c r="O599" s="361"/>
      <c r="P599" s="361"/>
      <c r="Q599" s="361"/>
      <c r="R599" s="361"/>
      <c r="S599" s="361"/>
      <c r="T599" s="361"/>
      <c r="U599" s="361"/>
      <c r="V599" s="361"/>
      <c r="W599" s="361"/>
      <c r="X599" s="365"/>
      <c r="Y599" s="361"/>
      <c r="Z599" s="361"/>
      <c r="AA599" s="116"/>
      <c r="AB599" s="116"/>
      <c r="AC599" s="116"/>
      <c r="AD599" s="116"/>
      <c r="AE599" s="365"/>
      <c r="AF599" s="116"/>
      <c r="AG599" s="116"/>
      <c r="AH599" s="116"/>
      <c r="AI599" s="116"/>
      <c r="AJ599" s="116"/>
      <c r="AK599" s="116"/>
      <c r="AL599" s="116"/>
    </row>
    <row r="600" ht="16.5" customHeight="1">
      <c r="A600" s="362"/>
      <c r="B600" s="362"/>
      <c r="C600" s="362"/>
      <c r="D600" s="362"/>
      <c r="E600" s="132"/>
      <c r="F600" s="131"/>
      <c r="G600" s="361"/>
      <c r="H600" s="363"/>
      <c r="I600" s="364"/>
      <c r="J600" s="361"/>
      <c r="K600" s="361"/>
      <c r="L600" s="361"/>
      <c r="M600" s="361"/>
      <c r="N600" s="361"/>
      <c r="O600" s="361"/>
      <c r="P600" s="361"/>
      <c r="Q600" s="361"/>
      <c r="R600" s="361"/>
      <c r="S600" s="361"/>
      <c r="T600" s="361"/>
      <c r="U600" s="361"/>
      <c r="V600" s="361"/>
      <c r="W600" s="361"/>
      <c r="X600" s="365"/>
      <c r="Y600" s="361"/>
      <c r="Z600" s="361"/>
      <c r="AA600" s="116"/>
      <c r="AB600" s="116"/>
      <c r="AC600" s="116"/>
      <c r="AD600" s="116"/>
      <c r="AE600" s="365"/>
      <c r="AF600" s="116"/>
      <c r="AG600" s="116"/>
      <c r="AH600" s="116"/>
      <c r="AI600" s="116"/>
      <c r="AJ600" s="116"/>
      <c r="AK600" s="116"/>
      <c r="AL600" s="116"/>
    </row>
    <row r="601" ht="16.5" customHeight="1">
      <c r="A601" s="362"/>
      <c r="B601" s="362"/>
      <c r="C601" s="362"/>
      <c r="D601" s="362"/>
      <c r="E601" s="132"/>
      <c r="F601" s="131"/>
      <c r="G601" s="361"/>
      <c r="H601" s="363"/>
      <c r="I601" s="364"/>
      <c r="J601" s="361"/>
      <c r="K601" s="361"/>
      <c r="L601" s="361"/>
      <c r="M601" s="361"/>
      <c r="N601" s="361"/>
      <c r="O601" s="361"/>
      <c r="P601" s="361"/>
      <c r="Q601" s="361"/>
      <c r="R601" s="361"/>
      <c r="S601" s="361"/>
      <c r="T601" s="361"/>
      <c r="U601" s="361"/>
      <c r="V601" s="361"/>
      <c r="W601" s="361"/>
      <c r="X601" s="365"/>
      <c r="Y601" s="361"/>
      <c r="Z601" s="361"/>
      <c r="AA601" s="116"/>
      <c r="AB601" s="116"/>
      <c r="AC601" s="116"/>
      <c r="AD601" s="116"/>
      <c r="AE601" s="365"/>
      <c r="AF601" s="116"/>
      <c r="AG601" s="116"/>
      <c r="AH601" s="116"/>
      <c r="AI601" s="116"/>
      <c r="AJ601" s="116"/>
      <c r="AK601" s="116"/>
      <c r="AL601" s="116"/>
    </row>
    <row r="602" ht="16.5" customHeight="1">
      <c r="A602" s="362"/>
      <c r="B602" s="362"/>
      <c r="C602" s="362"/>
      <c r="D602" s="362"/>
      <c r="E602" s="132"/>
      <c r="F602" s="131"/>
      <c r="G602" s="361"/>
      <c r="H602" s="363"/>
      <c r="I602" s="364"/>
      <c r="J602" s="361"/>
      <c r="K602" s="361"/>
      <c r="L602" s="361"/>
      <c r="M602" s="361"/>
      <c r="N602" s="361"/>
      <c r="O602" s="361"/>
      <c r="P602" s="361"/>
      <c r="Q602" s="361"/>
      <c r="R602" s="361"/>
      <c r="S602" s="361"/>
      <c r="T602" s="361"/>
      <c r="U602" s="361"/>
      <c r="V602" s="361"/>
      <c r="W602" s="361"/>
      <c r="X602" s="365"/>
      <c r="Y602" s="361"/>
      <c r="Z602" s="361"/>
      <c r="AA602" s="116"/>
      <c r="AB602" s="116"/>
      <c r="AC602" s="116"/>
      <c r="AD602" s="116"/>
      <c r="AE602" s="365"/>
      <c r="AF602" s="116"/>
      <c r="AG602" s="116"/>
      <c r="AH602" s="116"/>
      <c r="AI602" s="116"/>
      <c r="AJ602" s="116"/>
      <c r="AK602" s="116"/>
      <c r="AL602" s="116"/>
    </row>
    <row r="603" ht="16.5" customHeight="1">
      <c r="A603" s="362"/>
      <c r="B603" s="362"/>
      <c r="C603" s="362"/>
      <c r="D603" s="362"/>
      <c r="E603" s="132"/>
      <c r="F603" s="131"/>
      <c r="G603" s="361"/>
      <c r="H603" s="363"/>
      <c r="I603" s="364"/>
      <c r="J603" s="361"/>
      <c r="K603" s="361"/>
      <c r="L603" s="361"/>
      <c r="M603" s="361"/>
      <c r="N603" s="361"/>
      <c r="O603" s="361"/>
      <c r="P603" s="361"/>
      <c r="Q603" s="361"/>
      <c r="R603" s="361"/>
      <c r="S603" s="361"/>
      <c r="T603" s="361"/>
      <c r="U603" s="361"/>
      <c r="V603" s="361"/>
      <c r="W603" s="361"/>
      <c r="X603" s="365"/>
      <c r="Y603" s="361"/>
      <c r="Z603" s="361"/>
      <c r="AA603" s="116"/>
      <c r="AB603" s="116"/>
      <c r="AC603" s="116"/>
      <c r="AD603" s="116"/>
      <c r="AE603" s="365"/>
      <c r="AF603" s="116"/>
      <c r="AG603" s="116"/>
      <c r="AH603" s="116"/>
      <c r="AI603" s="116"/>
      <c r="AJ603" s="116"/>
      <c r="AK603" s="116"/>
      <c r="AL603" s="116"/>
    </row>
    <row r="604" ht="16.5" customHeight="1">
      <c r="A604" s="362"/>
      <c r="B604" s="362"/>
      <c r="C604" s="362"/>
      <c r="D604" s="362"/>
      <c r="E604" s="132"/>
      <c r="F604" s="131"/>
      <c r="G604" s="361"/>
      <c r="H604" s="363"/>
      <c r="I604" s="364"/>
      <c r="J604" s="361"/>
      <c r="K604" s="361"/>
      <c r="L604" s="361"/>
      <c r="M604" s="361"/>
      <c r="N604" s="361"/>
      <c r="O604" s="361"/>
      <c r="P604" s="361"/>
      <c r="Q604" s="361"/>
      <c r="R604" s="361"/>
      <c r="S604" s="361"/>
      <c r="T604" s="361"/>
      <c r="U604" s="361"/>
      <c r="V604" s="361"/>
      <c r="W604" s="361"/>
      <c r="X604" s="365"/>
      <c r="Y604" s="361"/>
      <c r="Z604" s="361"/>
      <c r="AA604" s="116"/>
      <c r="AB604" s="116"/>
      <c r="AC604" s="116"/>
      <c r="AD604" s="116"/>
      <c r="AE604" s="365"/>
      <c r="AF604" s="116"/>
      <c r="AG604" s="116"/>
      <c r="AH604" s="116"/>
      <c r="AI604" s="116"/>
      <c r="AJ604" s="116"/>
      <c r="AK604" s="116"/>
      <c r="AL604" s="116"/>
    </row>
    <row r="605" ht="16.5" customHeight="1">
      <c r="A605" s="362"/>
      <c r="B605" s="362"/>
      <c r="C605" s="362"/>
      <c r="D605" s="362"/>
      <c r="E605" s="132"/>
      <c r="F605" s="131"/>
      <c r="G605" s="361"/>
      <c r="H605" s="363"/>
      <c r="I605" s="364"/>
      <c r="J605" s="361"/>
      <c r="K605" s="361"/>
      <c r="L605" s="361"/>
      <c r="M605" s="361"/>
      <c r="N605" s="361"/>
      <c r="O605" s="361"/>
      <c r="P605" s="361"/>
      <c r="Q605" s="361"/>
      <c r="R605" s="361"/>
      <c r="S605" s="361"/>
      <c r="T605" s="361"/>
      <c r="U605" s="361"/>
      <c r="V605" s="361"/>
      <c r="W605" s="361"/>
      <c r="X605" s="365"/>
      <c r="Y605" s="361"/>
      <c r="Z605" s="361"/>
      <c r="AA605" s="116"/>
      <c r="AB605" s="116"/>
      <c r="AC605" s="116"/>
      <c r="AD605" s="116"/>
      <c r="AE605" s="365"/>
      <c r="AF605" s="116"/>
      <c r="AG605" s="116"/>
      <c r="AH605" s="116"/>
      <c r="AI605" s="116"/>
      <c r="AJ605" s="116"/>
      <c r="AK605" s="116"/>
      <c r="AL605" s="116"/>
    </row>
    <row r="606" ht="16.5" customHeight="1">
      <c r="A606" s="362"/>
      <c r="B606" s="362"/>
      <c r="C606" s="362"/>
      <c r="D606" s="362"/>
      <c r="E606" s="132"/>
      <c r="F606" s="131"/>
      <c r="G606" s="361"/>
      <c r="H606" s="363"/>
      <c r="I606" s="364"/>
      <c r="J606" s="361"/>
      <c r="K606" s="361"/>
      <c r="L606" s="361"/>
      <c r="M606" s="361"/>
      <c r="N606" s="361"/>
      <c r="O606" s="361"/>
      <c r="P606" s="361"/>
      <c r="Q606" s="361"/>
      <c r="R606" s="361"/>
      <c r="S606" s="361"/>
      <c r="T606" s="361"/>
      <c r="U606" s="361"/>
      <c r="V606" s="361"/>
      <c r="W606" s="361"/>
      <c r="X606" s="365"/>
      <c r="Y606" s="361"/>
      <c r="Z606" s="361"/>
      <c r="AA606" s="116"/>
      <c r="AB606" s="116"/>
      <c r="AC606" s="116"/>
      <c r="AD606" s="116"/>
      <c r="AE606" s="365"/>
      <c r="AF606" s="116"/>
      <c r="AG606" s="116"/>
      <c r="AH606" s="116"/>
      <c r="AI606" s="116"/>
      <c r="AJ606" s="116"/>
      <c r="AK606" s="116"/>
      <c r="AL606" s="116"/>
    </row>
    <row r="607" ht="16.5" customHeight="1">
      <c r="A607" s="362"/>
      <c r="B607" s="362"/>
      <c r="C607" s="362"/>
      <c r="D607" s="362"/>
      <c r="E607" s="132"/>
      <c r="F607" s="131"/>
      <c r="G607" s="361"/>
      <c r="H607" s="363"/>
      <c r="I607" s="364"/>
      <c r="J607" s="361"/>
      <c r="K607" s="361"/>
      <c r="L607" s="361"/>
      <c r="M607" s="361"/>
      <c r="N607" s="361"/>
      <c r="O607" s="361"/>
      <c r="P607" s="361"/>
      <c r="Q607" s="361"/>
      <c r="R607" s="361"/>
      <c r="S607" s="361"/>
      <c r="T607" s="361"/>
      <c r="U607" s="361"/>
      <c r="V607" s="361"/>
      <c r="W607" s="361"/>
      <c r="X607" s="365"/>
      <c r="Y607" s="361"/>
      <c r="Z607" s="361"/>
      <c r="AA607" s="116"/>
      <c r="AB607" s="116"/>
      <c r="AC607" s="116"/>
      <c r="AD607" s="116"/>
      <c r="AE607" s="365"/>
      <c r="AF607" s="116"/>
      <c r="AG607" s="116"/>
      <c r="AH607" s="116"/>
      <c r="AI607" s="116"/>
      <c r="AJ607" s="116"/>
      <c r="AK607" s="116"/>
      <c r="AL607" s="116"/>
    </row>
    <row r="608" ht="16.5" customHeight="1">
      <c r="A608" s="362"/>
      <c r="B608" s="362"/>
      <c r="C608" s="362"/>
      <c r="D608" s="362"/>
      <c r="E608" s="132"/>
      <c r="F608" s="131"/>
      <c r="G608" s="361"/>
      <c r="H608" s="363"/>
      <c r="I608" s="364"/>
      <c r="J608" s="361"/>
      <c r="K608" s="361"/>
      <c r="L608" s="361"/>
      <c r="M608" s="361"/>
      <c r="N608" s="361"/>
      <c r="O608" s="361"/>
      <c r="P608" s="361"/>
      <c r="Q608" s="361"/>
      <c r="R608" s="361"/>
      <c r="S608" s="361"/>
      <c r="T608" s="361"/>
      <c r="U608" s="361"/>
      <c r="V608" s="361"/>
      <c r="W608" s="361"/>
      <c r="X608" s="365"/>
      <c r="Y608" s="361"/>
      <c r="Z608" s="361"/>
      <c r="AA608" s="116"/>
      <c r="AB608" s="116"/>
      <c r="AC608" s="116"/>
      <c r="AD608" s="116"/>
      <c r="AE608" s="365"/>
      <c r="AF608" s="116"/>
      <c r="AG608" s="116"/>
      <c r="AH608" s="116"/>
      <c r="AI608" s="116"/>
      <c r="AJ608" s="116"/>
      <c r="AK608" s="116"/>
      <c r="AL608" s="116"/>
    </row>
    <row r="609" ht="16.5" customHeight="1">
      <c r="A609" s="362"/>
      <c r="B609" s="362"/>
      <c r="C609" s="362"/>
      <c r="D609" s="362"/>
      <c r="E609" s="132"/>
      <c r="F609" s="131"/>
      <c r="G609" s="361"/>
      <c r="H609" s="363"/>
      <c r="I609" s="364"/>
      <c r="J609" s="361"/>
      <c r="K609" s="361"/>
      <c r="L609" s="361"/>
      <c r="M609" s="361"/>
      <c r="N609" s="361"/>
      <c r="O609" s="361"/>
      <c r="P609" s="361"/>
      <c r="Q609" s="361"/>
      <c r="R609" s="361"/>
      <c r="S609" s="361"/>
      <c r="T609" s="361"/>
      <c r="U609" s="361"/>
      <c r="V609" s="361"/>
      <c r="W609" s="361"/>
      <c r="X609" s="365"/>
      <c r="Y609" s="361"/>
      <c r="Z609" s="361"/>
      <c r="AA609" s="116"/>
      <c r="AB609" s="116"/>
      <c r="AC609" s="116"/>
      <c r="AD609" s="116"/>
      <c r="AE609" s="365"/>
      <c r="AF609" s="116"/>
      <c r="AG609" s="116"/>
      <c r="AH609" s="116"/>
      <c r="AI609" s="116"/>
      <c r="AJ609" s="116"/>
      <c r="AK609" s="116"/>
      <c r="AL609" s="116"/>
    </row>
    <row r="610" ht="16.5" customHeight="1">
      <c r="A610" s="362"/>
      <c r="B610" s="362"/>
      <c r="C610" s="362"/>
      <c r="D610" s="362"/>
      <c r="E610" s="132"/>
      <c r="F610" s="131"/>
      <c r="G610" s="361"/>
      <c r="H610" s="363"/>
      <c r="I610" s="364"/>
      <c r="J610" s="361"/>
      <c r="K610" s="361"/>
      <c r="L610" s="361"/>
      <c r="M610" s="361"/>
      <c r="N610" s="361"/>
      <c r="O610" s="361"/>
      <c r="P610" s="361"/>
      <c r="Q610" s="361"/>
      <c r="R610" s="361"/>
      <c r="S610" s="361"/>
      <c r="T610" s="361"/>
      <c r="U610" s="361"/>
      <c r="V610" s="361"/>
      <c r="W610" s="361"/>
      <c r="X610" s="365"/>
      <c r="Y610" s="361"/>
      <c r="Z610" s="361"/>
      <c r="AA610" s="116"/>
      <c r="AB610" s="116"/>
      <c r="AC610" s="116"/>
      <c r="AD610" s="116"/>
      <c r="AE610" s="365"/>
      <c r="AF610" s="116"/>
      <c r="AG610" s="116"/>
      <c r="AH610" s="116"/>
      <c r="AI610" s="116"/>
      <c r="AJ610" s="116"/>
      <c r="AK610" s="116"/>
      <c r="AL610" s="116"/>
    </row>
    <row r="611" ht="16.5" customHeight="1">
      <c r="A611" s="362"/>
      <c r="B611" s="362"/>
      <c r="C611" s="362"/>
      <c r="D611" s="362"/>
      <c r="E611" s="132"/>
      <c r="F611" s="131"/>
      <c r="G611" s="361"/>
      <c r="H611" s="363"/>
      <c r="I611" s="364"/>
      <c r="J611" s="361"/>
      <c r="K611" s="361"/>
      <c r="L611" s="361"/>
      <c r="M611" s="361"/>
      <c r="N611" s="361"/>
      <c r="O611" s="361"/>
      <c r="P611" s="361"/>
      <c r="Q611" s="361"/>
      <c r="R611" s="361"/>
      <c r="S611" s="361"/>
      <c r="T611" s="361"/>
      <c r="U611" s="361"/>
      <c r="V611" s="361"/>
      <c r="W611" s="361"/>
      <c r="X611" s="365"/>
      <c r="Y611" s="361"/>
      <c r="Z611" s="361"/>
      <c r="AA611" s="116"/>
      <c r="AB611" s="116"/>
      <c r="AC611" s="116"/>
      <c r="AD611" s="116"/>
      <c r="AE611" s="365"/>
      <c r="AF611" s="116"/>
      <c r="AG611" s="116"/>
      <c r="AH611" s="116"/>
      <c r="AI611" s="116"/>
      <c r="AJ611" s="116"/>
      <c r="AK611" s="116"/>
      <c r="AL611" s="116"/>
    </row>
    <row r="612" ht="16.5" customHeight="1">
      <c r="A612" s="362"/>
      <c r="B612" s="362"/>
      <c r="C612" s="362"/>
      <c r="D612" s="362"/>
      <c r="E612" s="132"/>
      <c r="F612" s="131"/>
      <c r="G612" s="361"/>
      <c r="H612" s="363"/>
      <c r="I612" s="364"/>
      <c r="J612" s="361"/>
      <c r="K612" s="361"/>
      <c r="L612" s="361"/>
      <c r="M612" s="361"/>
      <c r="N612" s="361"/>
      <c r="O612" s="361"/>
      <c r="P612" s="361"/>
      <c r="Q612" s="361"/>
      <c r="R612" s="361"/>
      <c r="S612" s="361"/>
      <c r="T612" s="361"/>
      <c r="U612" s="361"/>
      <c r="V612" s="361"/>
      <c r="W612" s="361"/>
      <c r="X612" s="365"/>
      <c r="Y612" s="361"/>
      <c r="Z612" s="361"/>
      <c r="AA612" s="116"/>
      <c r="AB612" s="116"/>
      <c r="AC612" s="116"/>
      <c r="AD612" s="116"/>
      <c r="AE612" s="365"/>
      <c r="AF612" s="116"/>
      <c r="AG612" s="116"/>
      <c r="AH612" s="116"/>
      <c r="AI612" s="116"/>
      <c r="AJ612" s="116"/>
      <c r="AK612" s="116"/>
      <c r="AL612" s="116"/>
    </row>
    <row r="613" ht="16.5" customHeight="1">
      <c r="A613" s="362"/>
      <c r="B613" s="362"/>
      <c r="C613" s="362"/>
      <c r="D613" s="362"/>
      <c r="E613" s="132"/>
      <c r="F613" s="131"/>
      <c r="G613" s="361"/>
      <c r="H613" s="363"/>
      <c r="I613" s="364"/>
      <c r="J613" s="361"/>
      <c r="K613" s="361"/>
      <c r="L613" s="361"/>
      <c r="M613" s="361"/>
      <c r="N613" s="361"/>
      <c r="O613" s="361"/>
      <c r="P613" s="361"/>
      <c r="Q613" s="361"/>
      <c r="R613" s="361"/>
      <c r="S613" s="361"/>
      <c r="T613" s="361"/>
      <c r="U613" s="361"/>
      <c r="V613" s="361"/>
      <c r="W613" s="361"/>
      <c r="X613" s="365"/>
      <c r="Y613" s="361"/>
      <c r="Z613" s="361"/>
      <c r="AA613" s="116"/>
      <c r="AB613" s="116"/>
      <c r="AC613" s="116"/>
      <c r="AD613" s="116"/>
      <c r="AE613" s="365"/>
      <c r="AF613" s="116"/>
      <c r="AG613" s="116"/>
      <c r="AH613" s="116"/>
      <c r="AI613" s="116"/>
      <c r="AJ613" s="116"/>
      <c r="AK613" s="116"/>
      <c r="AL613" s="116"/>
    </row>
    <row r="614" ht="16.5" customHeight="1">
      <c r="A614" s="362"/>
      <c r="B614" s="362"/>
      <c r="C614" s="362"/>
      <c r="D614" s="362"/>
      <c r="E614" s="132"/>
      <c r="F614" s="131"/>
      <c r="G614" s="361"/>
      <c r="H614" s="363"/>
      <c r="I614" s="364"/>
      <c r="J614" s="361"/>
      <c r="K614" s="361"/>
      <c r="L614" s="361"/>
      <c r="M614" s="361"/>
      <c r="N614" s="361"/>
      <c r="O614" s="361"/>
      <c r="P614" s="361"/>
      <c r="Q614" s="361"/>
      <c r="R614" s="361"/>
      <c r="S614" s="361"/>
      <c r="T614" s="361"/>
      <c r="U614" s="361"/>
      <c r="V614" s="361"/>
      <c r="W614" s="361"/>
      <c r="X614" s="365"/>
      <c r="Y614" s="361"/>
      <c r="Z614" s="361"/>
      <c r="AA614" s="116"/>
      <c r="AB614" s="116"/>
      <c r="AC614" s="116"/>
      <c r="AD614" s="116"/>
      <c r="AE614" s="365"/>
      <c r="AF614" s="116"/>
      <c r="AG614" s="116"/>
      <c r="AH614" s="116"/>
      <c r="AI614" s="116"/>
      <c r="AJ614" s="116"/>
      <c r="AK614" s="116"/>
      <c r="AL614" s="116"/>
    </row>
    <row r="615" ht="16.5" customHeight="1">
      <c r="A615" s="362"/>
      <c r="B615" s="362"/>
      <c r="C615" s="362"/>
      <c r="D615" s="362"/>
      <c r="E615" s="132"/>
      <c r="F615" s="131"/>
      <c r="G615" s="361"/>
      <c r="H615" s="363"/>
      <c r="I615" s="364"/>
      <c r="J615" s="361"/>
      <c r="K615" s="361"/>
      <c r="L615" s="361"/>
      <c r="M615" s="361"/>
      <c r="N615" s="361"/>
      <c r="O615" s="361"/>
      <c r="P615" s="361"/>
      <c r="Q615" s="361"/>
      <c r="R615" s="361"/>
      <c r="S615" s="361"/>
      <c r="T615" s="361"/>
      <c r="U615" s="361"/>
      <c r="V615" s="361"/>
      <c r="W615" s="361"/>
      <c r="X615" s="365"/>
      <c r="Y615" s="361"/>
      <c r="Z615" s="361"/>
      <c r="AA615" s="116"/>
      <c r="AB615" s="116"/>
      <c r="AC615" s="116"/>
      <c r="AD615" s="116"/>
      <c r="AE615" s="365"/>
      <c r="AF615" s="116"/>
      <c r="AG615" s="116"/>
      <c r="AH615" s="116"/>
      <c r="AI615" s="116"/>
      <c r="AJ615" s="116"/>
      <c r="AK615" s="116"/>
      <c r="AL615" s="116"/>
    </row>
    <row r="616" ht="16.5" customHeight="1">
      <c r="A616" s="362"/>
      <c r="B616" s="362"/>
      <c r="C616" s="362"/>
      <c r="D616" s="362"/>
      <c r="E616" s="132"/>
      <c r="F616" s="131"/>
      <c r="G616" s="361"/>
      <c r="H616" s="363"/>
      <c r="I616" s="364"/>
      <c r="J616" s="361"/>
      <c r="K616" s="361"/>
      <c r="L616" s="361"/>
      <c r="M616" s="361"/>
      <c r="N616" s="361"/>
      <c r="O616" s="361"/>
      <c r="P616" s="361"/>
      <c r="Q616" s="361"/>
      <c r="R616" s="361"/>
      <c r="S616" s="361"/>
      <c r="T616" s="361"/>
      <c r="U616" s="361"/>
      <c r="V616" s="361"/>
      <c r="W616" s="361"/>
      <c r="X616" s="365"/>
      <c r="Y616" s="361"/>
      <c r="Z616" s="361"/>
      <c r="AA616" s="116"/>
      <c r="AB616" s="116"/>
      <c r="AC616" s="116"/>
      <c r="AD616" s="116"/>
      <c r="AE616" s="365"/>
      <c r="AF616" s="116"/>
      <c r="AG616" s="116"/>
      <c r="AH616" s="116"/>
      <c r="AI616" s="116"/>
      <c r="AJ616" s="116"/>
      <c r="AK616" s="116"/>
      <c r="AL616" s="116"/>
    </row>
    <row r="617" ht="16.5" customHeight="1">
      <c r="A617" s="362"/>
      <c r="B617" s="362"/>
      <c r="C617" s="362"/>
      <c r="D617" s="362"/>
      <c r="E617" s="132"/>
      <c r="F617" s="131"/>
      <c r="G617" s="361"/>
      <c r="H617" s="363"/>
      <c r="I617" s="364"/>
      <c r="J617" s="361"/>
      <c r="K617" s="361"/>
      <c r="L617" s="361"/>
      <c r="M617" s="361"/>
      <c r="N617" s="361"/>
      <c r="O617" s="361"/>
      <c r="P617" s="361"/>
      <c r="Q617" s="361"/>
      <c r="R617" s="361"/>
      <c r="S617" s="361"/>
      <c r="T617" s="361"/>
      <c r="U617" s="361"/>
      <c r="V617" s="361"/>
      <c r="W617" s="361"/>
      <c r="X617" s="365"/>
      <c r="Y617" s="361"/>
      <c r="Z617" s="361"/>
      <c r="AA617" s="116"/>
      <c r="AB617" s="116"/>
      <c r="AC617" s="116"/>
      <c r="AD617" s="116"/>
      <c r="AE617" s="365"/>
      <c r="AF617" s="116"/>
      <c r="AG617" s="116"/>
      <c r="AH617" s="116"/>
      <c r="AI617" s="116"/>
      <c r="AJ617" s="116"/>
      <c r="AK617" s="116"/>
      <c r="AL617" s="116"/>
    </row>
    <row r="618" ht="16.5" customHeight="1">
      <c r="A618" s="362"/>
      <c r="B618" s="362"/>
      <c r="C618" s="362"/>
      <c r="D618" s="362"/>
      <c r="E618" s="132"/>
      <c r="F618" s="131"/>
      <c r="G618" s="361"/>
      <c r="H618" s="363"/>
      <c r="I618" s="364"/>
      <c r="J618" s="361"/>
      <c r="K618" s="361"/>
      <c r="L618" s="361"/>
      <c r="M618" s="361"/>
      <c r="N618" s="361"/>
      <c r="O618" s="361"/>
      <c r="P618" s="361"/>
      <c r="Q618" s="361"/>
      <c r="R618" s="361"/>
      <c r="S618" s="361"/>
      <c r="T618" s="361"/>
      <c r="U618" s="361"/>
      <c r="V618" s="361"/>
      <c r="W618" s="361"/>
      <c r="X618" s="365"/>
      <c r="Y618" s="361"/>
      <c r="Z618" s="361"/>
      <c r="AA618" s="116"/>
      <c r="AB618" s="116"/>
      <c r="AC618" s="116"/>
      <c r="AD618" s="116"/>
      <c r="AE618" s="365"/>
      <c r="AF618" s="116"/>
      <c r="AG618" s="116"/>
      <c r="AH618" s="116"/>
      <c r="AI618" s="116"/>
      <c r="AJ618" s="116"/>
      <c r="AK618" s="116"/>
      <c r="AL618" s="116"/>
    </row>
    <row r="619" ht="16.5" customHeight="1">
      <c r="A619" s="362"/>
      <c r="B619" s="362"/>
      <c r="C619" s="362"/>
      <c r="D619" s="362"/>
      <c r="E619" s="132"/>
      <c r="F619" s="131"/>
      <c r="G619" s="361"/>
      <c r="H619" s="363"/>
      <c r="I619" s="364"/>
      <c r="J619" s="361"/>
      <c r="K619" s="361"/>
      <c r="L619" s="361"/>
      <c r="M619" s="361"/>
      <c r="N619" s="361"/>
      <c r="O619" s="361"/>
      <c r="P619" s="361"/>
      <c r="Q619" s="361"/>
      <c r="R619" s="361"/>
      <c r="S619" s="361"/>
      <c r="T619" s="361"/>
      <c r="U619" s="361"/>
      <c r="V619" s="361"/>
      <c r="W619" s="361"/>
      <c r="X619" s="365"/>
      <c r="Y619" s="361"/>
      <c r="Z619" s="361"/>
      <c r="AA619" s="116"/>
      <c r="AB619" s="116"/>
      <c r="AC619" s="116"/>
      <c r="AD619" s="116"/>
      <c r="AE619" s="365"/>
      <c r="AF619" s="116"/>
      <c r="AG619" s="116"/>
      <c r="AH619" s="116"/>
      <c r="AI619" s="116"/>
      <c r="AJ619" s="116"/>
      <c r="AK619" s="116"/>
      <c r="AL619" s="116"/>
    </row>
    <row r="620" ht="16.5" customHeight="1">
      <c r="A620" s="362"/>
      <c r="B620" s="362"/>
      <c r="C620" s="362"/>
      <c r="D620" s="362"/>
      <c r="E620" s="132"/>
      <c r="F620" s="131"/>
      <c r="G620" s="361"/>
      <c r="H620" s="363"/>
      <c r="I620" s="364"/>
      <c r="J620" s="361"/>
      <c r="K620" s="361"/>
      <c r="L620" s="361"/>
      <c r="M620" s="361"/>
      <c r="N620" s="361"/>
      <c r="O620" s="361"/>
      <c r="P620" s="361"/>
      <c r="Q620" s="361"/>
      <c r="R620" s="361"/>
      <c r="S620" s="361"/>
      <c r="T620" s="361"/>
      <c r="U620" s="361"/>
      <c r="V620" s="361"/>
      <c r="W620" s="361"/>
      <c r="X620" s="365"/>
      <c r="Y620" s="361"/>
      <c r="Z620" s="361"/>
      <c r="AA620" s="116"/>
      <c r="AB620" s="116"/>
      <c r="AC620" s="116"/>
      <c r="AD620" s="116"/>
      <c r="AE620" s="365"/>
      <c r="AF620" s="116"/>
      <c r="AG620" s="116"/>
      <c r="AH620" s="116"/>
      <c r="AI620" s="116"/>
      <c r="AJ620" s="116"/>
      <c r="AK620" s="116"/>
      <c r="AL620" s="116"/>
    </row>
    <row r="621" ht="16.5" customHeight="1">
      <c r="A621" s="362"/>
      <c r="B621" s="362"/>
      <c r="C621" s="362"/>
      <c r="D621" s="362"/>
      <c r="E621" s="132"/>
      <c r="F621" s="131"/>
      <c r="G621" s="361"/>
      <c r="H621" s="363"/>
      <c r="I621" s="364"/>
      <c r="J621" s="361"/>
      <c r="K621" s="361"/>
      <c r="L621" s="361"/>
      <c r="M621" s="361"/>
      <c r="N621" s="361"/>
      <c r="O621" s="361"/>
      <c r="P621" s="361"/>
      <c r="Q621" s="361"/>
      <c r="R621" s="361"/>
      <c r="S621" s="361"/>
      <c r="T621" s="361"/>
      <c r="U621" s="361"/>
      <c r="V621" s="361"/>
      <c r="W621" s="361"/>
      <c r="X621" s="365"/>
      <c r="Y621" s="361"/>
      <c r="Z621" s="361"/>
      <c r="AA621" s="116"/>
      <c r="AB621" s="116"/>
      <c r="AC621" s="116"/>
      <c r="AD621" s="116"/>
      <c r="AE621" s="365"/>
      <c r="AF621" s="116"/>
      <c r="AG621" s="116"/>
      <c r="AH621" s="116"/>
      <c r="AI621" s="116"/>
      <c r="AJ621" s="116"/>
      <c r="AK621" s="116"/>
      <c r="AL621" s="116"/>
    </row>
    <row r="622" ht="16.5" customHeight="1">
      <c r="A622" s="362"/>
      <c r="B622" s="362"/>
      <c r="C622" s="362"/>
      <c r="D622" s="362"/>
      <c r="E622" s="132"/>
      <c r="F622" s="131"/>
      <c r="G622" s="361"/>
      <c r="H622" s="363"/>
      <c r="I622" s="364"/>
      <c r="J622" s="361"/>
      <c r="K622" s="361"/>
      <c r="L622" s="361"/>
      <c r="M622" s="361"/>
      <c r="N622" s="361"/>
      <c r="O622" s="361"/>
      <c r="P622" s="361"/>
      <c r="Q622" s="361"/>
      <c r="R622" s="361"/>
      <c r="S622" s="361"/>
      <c r="T622" s="361"/>
      <c r="U622" s="361"/>
      <c r="V622" s="361"/>
      <c r="W622" s="361"/>
      <c r="X622" s="365"/>
      <c r="Y622" s="361"/>
      <c r="Z622" s="361"/>
      <c r="AA622" s="116"/>
      <c r="AB622" s="116"/>
      <c r="AC622" s="116"/>
      <c r="AD622" s="116"/>
      <c r="AE622" s="365"/>
      <c r="AF622" s="116"/>
      <c r="AG622" s="116"/>
      <c r="AH622" s="116"/>
      <c r="AI622" s="116"/>
      <c r="AJ622" s="116"/>
      <c r="AK622" s="116"/>
      <c r="AL622" s="116"/>
    </row>
    <row r="623" ht="16.5" customHeight="1">
      <c r="A623" s="362"/>
      <c r="B623" s="362"/>
      <c r="C623" s="362"/>
      <c r="D623" s="362"/>
      <c r="E623" s="132"/>
      <c r="F623" s="131"/>
      <c r="G623" s="361"/>
      <c r="H623" s="363"/>
      <c r="I623" s="364"/>
      <c r="J623" s="361"/>
      <c r="K623" s="361"/>
      <c r="L623" s="361"/>
      <c r="M623" s="361"/>
      <c r="N623" s="361"/>
      <c r="O623" s="361"/>
      <c r="P623" s="361"/>
      <c r="Q623" s="361"/>
      <c r="R623" s="361"/>
      <c r="S623" s="361"/>
      <c r="T623" s="361"/>
      <c r="U623" s="361"/>
      <c r="V623" s="361"/>
      <c r="W623" s="361"/>
      <c r="X623" s="365"/>
      <c r="Y623" s="361"/>
      <c r="Z623" s="361"/>
      <c r="AA623" s="116"/>
      <c r="AB623" s="116"/>
      <c r="AC623" s="116"/>
      <c r="AD623" s="116"/>
      <c r="AE623" s="365"/>
      <c r="AF623" s="116"/>
      <c r="AG623" s="116"/>
      <c r="AH623" s="116"/>
      <c r="AI623" s="116"/>
      <c r="AJ623" s="116"/>
      <c r="AK623" s="116"/>
      <c r="AL623" s="116"/>
    </row>
    <row r="624" ht="16.5" customHeight="1">
      <c r="A624" s="362"/>
      <c r="B624" s="362"/>
      <c r="C624" s="362"/>
      <c r="D624" s="362"/>
      <c r="E624" s="132"/>
      <c r="F624" s="131"/>
      <c r="G624" s="361"/>
      <c r="H624" s="363"/>
      <c r="I624" s="364"/>
      <c r="J624" s="361"/>
      <c r="K624" s="361"/>
      <c r="L624" s="361"/>
      <c r="M624" s="361"/>
      <c r="N624" s="361"/>
      <c r="O624" s="361"/>
      <c r="P624" s="361"/>
      <c r="Q624" s="361"/>
      <c r="R624" s="361"/>
      <c r="S624" s="361"/>
      <c r="T624" s="361"/>
      <c r="U624" s="361"/>
      <c r="V624" s="361"/>
      <c r="W624" s="361"/>
      <c r="X624" s="365"/>
      <c r="Y624" s="361"/>
      <c r="Z624" s="361"/>
      <c r="AA624" s="116"/>
      <c r="AB624" s="116"/>
      <c r="AC624" s="116"/>
      <c r="AD624" s="116"/>
      <c r="AE624" s="365"/>
      <c r="AF624" s="116"/>
      <c r="AG624" s="116"/>
      <c r="AH624" s="116"/>
      <c r="AI624" s="116"/>
      <c r="AJ624" s="116"/>
      <c r="AK624" s="116"/>
      <c r="AL624" s="116"/>
    </row>
    <row r="625" ht="16.5" customHeight="1">
      <c r="A625" s="362"/>
      <c r="B625" s="362"/>
      <c r="C625" s="362"/>
      <c r="D625" s="362"/>
      <c r="E625" s="132"/>
      <c r="F625" s="131"/>
      <c r="G625" s="361"/>
      <c r="H625" s="363"/>
      <c r="I625" s="364"/>
      <c r="J625" s="361"/>
      <c r="K625" s="361"/>
      <c r="L625" s="361"/>
      <c r="M625" s="361"/>
      <c r="N625" s="361"/>
      <c r="O625" s="361"/>
      <c r="P625" s="361"/>
      <c r="Q625" s="361"/>
      <c r="R625" s="361"/>
      <c r="S625" s="361"/>
      <c r="T625" s="361"/>
      <c r="U625" s="361"/>
      <c r="V625" s="361"/>
      <c r="W625" s="361"/>
      <c r="X625" s="365"/>
      <c r="Y625" s="361"/>
      <c r="Z625" s="361"/>
      <c r="AA625" s="116"/>
      <c r="AB625" s="116"/>
      <c r="AC625" s="116"/>
      <c r="AD625" s="116"/>
      <c r="AE625" s="365"/>
      <c r="AF625" s="116"/>
      <c r="AG625" s="116"/>
      <c r="AH625" s="116"/>
      <c r="AI625" s="116"/>
      <c r="AJ625" s="116"/>
      <c r="AK625" s="116"/>
      <c r="AL625" s="116"/>
    </row>
    <row r="626" ht="16.5" customHeight="1">
      <c r="A626" s="362"/>
      <c r="B626" s="362"/>
      <c r="C626" s="362"/>
      <c r="D626" s="362"/>
      <c r="E626" s="132"/>
      <c r="F626" s="131"/>
      <c r="G626" s="361"/>
      <c r="H626" s="363"/>
      <c r="I626" s="364"/>
      <c r="J626" s="361"/>
      <c r="K626" s="361"/>
      <c r="L626" s="361"/>
      <c r="M626" s="361"/>
      <c r="N626" s="361"/>
      <c r="O626" s="361"/>
      <c r="P626" s="361"/>
      <c r="Q626" s="361"/>
      <c r="R626" s="361"/>
      <c r="S626" s="361"/>
      <c r="T626" s="361"/>
      <c r="U626" s="361"/>
      <c r="V626" s="361"/>
      <c r="W626" s="361"/>
      <c r="X626" s="365"/>
      <c r="Y626" s="361"/>
      <c r="Z626" s="361"/>
      <c r="AA626" s="116"/>
      <c r="AB626" s="116"/>
      <c r="AC626" s="116"/>
      <c r="AD626" s="116"/>
      <c r="AE626" s="365"/>
      <c r="AF626" s="116"/>
      <c r="AG626" s="116"/>
      <c r="AH626" s="116"/>
      <c r="AI626" s="116"/>
      <c r="AJ626" s="116"/>
      <c r="AK626" s="116"/>
      <c r="AL626" s="116"/>
    </row>
    <row r="627" ht="16.5" customHeight="1">
      <c r="A627" s="362"/>
      <c r="B627" s="362"/>
      <c r="C627" s="362"/>
      <c r="D627" s="362"/>
      <c r="E627" s="132"/>
      <c r="F627" s="131"/>
      <c r="G627" s="361"/>
      <c r="H627" s="363"/>
      <c r="I627" s="364"/>
      <c r="J627" s="361"/>
      <c r="K627" s="361"/>
      <c r="L627" s="361"/>
      <c r="M627" s="361"/>
      <c r="N627" s="361"/>
      <c r="O627" s="361"/>
      <c r="P627" s="361"/>
      <c r="Q627" s="361"/>
      <c r="R627" s="361"/>
      <c r="S627" s="361"/>
      <c r="T627" s="361"/>
      <c r="U627" s="361"/>
      <c r="V627" s="361"/>
      <c r="W627" s="361"/>
      <c r="X627" s="365"/>
      <c r="Y627" s="361"/>
      <c r="Z627" s="361"/>
      <c r="AA627" s="116"/>
      <c r="AB627" s="116"/>
      <c r="AC627" s="116"/>
      <c r="AD627" s="116"/>
      <c r="AE627" s="365"/>
      <c r="AF627" s="116"/>
      <c r="AG627" s="116"/>
      <c r="AH627" s="116"/>
      <c r="AI627" s="116"/>
      <c r="AJ627" s="116"/>
      <c r="AK627" s="116"/>
      <c r="AL627" s="116"/>
    </row>
    <row r="628" ht="16.5" customHeight="1">
      <c r="A628" s="362"/>
      <c r="B628" s="362"/>
      <c r="C628" s="362"/>
      <c r="D628" s="362"/>
      <c r="E628" s="132"/>
      <c r="F628" s="131"/>
      <c r="G628" s="361"/>
      <c r="H628" s="363"/>
      <c r="I628" s="364"/>
      <c r="J628" s="361"/>
      <c r="K628" s="361"/>
      <c r="L628" s="361"/>
      <c r="M628" s="361"/>
      <c r="N628" s="361"/>
      <c r="O628" s="361"/>
      <c r="P628" s="361"/>
      <c r="Q628" s="361"/>
      <c r="R628" s="361"/>
      <c r="S628" s="361"/>
      <c r="T628" s="361"/>
      <c r="U628" s="361"/>
      <c r="V628" s="361"/>
      <c r="W628" s="361"/>
      <c r="X628" s="365"/>
      <c r="Y628" s="361"/>
      <c r="Z628" s="361"/>
      <c r="AA628" s="116"/>
      <c r="AB628" s="116"/>
      <c r="AC628" s="116"/>
      <c r="AD628" s="116"/>
      <c r="AE628" s="365"/>
      <c r="AF628" s="116"/>
      <c r="AG628" s="116"/>
      <c r="AH628" s="116"/>
      <c r="AI628" s="116"/>
      <c r="AJ628" s="116"/>
      <c r="AK628" s="116"/>
      <c r="AL628" s="116"/>
    </row>
    <row r="629" ht="16.5" customHeight="1">
      <c r="A629" s="362"/>
      <c r="B629" s="362"/>
      <c r="C629" s="362"/>
      <c r="D629" s="362"/>
      <c r="E629" s="132"/>
      <c r="F629" s="131"/>
      <c r="G629" s="361"/>
      <c r="H629" s="363"/>
      <c r="I629" s="364"/>
      <c r="J629" s="361"/>
      <c r="K629" s="361"/>
      <c r="L629" s="361"/>
      <c r="M629" s="361"/>
      <c r="N629" s="361"/>
      <c r="O629" s="361"/>
      <c r="P629" s="361"/>
      <c r="Q629" s="361"/>
      <c r="R629" s="361"/>
      <c r="S629" s="361"/>
      <c r="T629" s="361"/>
      <c r="U629" s="361"/>
      <c r="V629" s="361"/>
      <c r="W629" s="361"/>
      <c r="X629" s="365"/>
      <c r="Y629" s="361"/>
      <c r="Z629" s="361"/>
      <c r="AA629" s="116"/>
      <c r="AB629" s="116"/>
      <c r="AC629" s="116"/>
      <c r="AD629" s="116"/>
      <c r="AE629" s="365"/>
      <c r="AF629" s="116"/>
      <c r="AG629" s="116"/>
      <c r="AH629" s="116"/>
      <c r="AI629" s="116"/>
      <c r="AJ629" s="116"/>
      <c r="AK629" s="116"/>
      <c r="AL629" s="116"/>
    </row>
    <row r="630" ht="16.5" customHeight="1">
      <c r="A630" s="362"/>
      <c r="B630" s="362"/>
      <c r="C630" s="362"/>
      <c r="D630" s="362"/>
      <c r="E630" s="132"/>
      <c r="F630" s="131"/>
      <c r="G630" s="361"/>
      <c r="H630" s="363"/>
      <c r="I630" s="364"/>
      <c r="J630" s="361"/>
      <c r="K630" s="361"/>
      <c r="L630" s="361"/>
      <c r="M630" s="361"/>
      <c r="N630" s="361"/>
      <c r="O630" s="361"/>
      <c r="P630" s="361"/>
      <c r="Q630" s="361"/>
      <c r="R630" s="361"/>
      <c r="S630" s="361"/>
      <c r="T630" s="361"/>
      <c r="U630" s="361"/>
      <c r="V630" s="361"/>
      <c r="W630" s="361"/>
      <c r="X630" s="365"/>
      <c r="Y630" s="361"/>
      <c r="Z630" s="361"/>
      <c r="AA630" s="116"/>
      <c r="AB630" s="116"/>
      <c r="AC630" s="116"/>
      <c r="AD630" s="116"/>
      <c r="AE630" s="365"/>
      <c r="AF630" s="116"/>
      <c r="AG630" s="116"/>
      <c r="AH630" s="116"/>
      <c r="AI630" s="116"/>
      <c r="AJ630" s="116"/>
      <c r="AK630" s="116"/>
      <c r="AL630" s="116"/>
    </row>
    <row r="631" ht="16.5" customHeight="1">
      <c r="A631" s="362"/>
      <c r="B631" s="362"/>
      <c r="C631" s="362"/>
      <c r="D631" s="362"/>
      <c r="E631" s="132"/>
      <c r="F631" s="131"/>
      <c r="G631" s="361"/>
      <c r="H631" s="363"/>
      <c r="I631" s="364"/>
      <c r="J631" s="361"/>
      <c r="K631" s="361"/>
      <c r="L631" s="361"/>
      <c r="M631" s="361"/>
      <c r="N631" s="361"/>
      <c r="O631" s="361"/>
      <c r="P631" s="361"/>
      <c r="Q631" s="361"/>
      <c r="R631" s="361"/>
      <c r="S631" s="361"/>
      <c r="T631" s="361"/>
      <c r="U631" s="361"/>
      <c r="V631" s="361"/>
      <c r="W631" s="361"/>
      <c r="X631" s="365"/>
      <c r="Y631" s="361"/>
      <c r="Z631" s="361"/>
      <c r="AA631" s="116"/>
      <c r="AB631" s="116"/>
      <c r="AC631" s="116"/>
      <c r="AD631" s="116"/>
      <c r="AE631" s="365"/>
      <c r="AF631" s="116"/>
      <c r="AG631" s="116"/>
      <c r="AH631" s="116"/>
      <c r="AI631" s="116"/>
      <c r="AJ631" s="116"/>
      <c r="AK631" s="116"/>
      <c r="AL631" s="116"/>
    </row>
    <row r="632" ht="16.5" customHeight="1">
      <c r="A632" s="362"/>
      <c r="B632" s="362"/>
      <c r="C632" s="362"/>
      <c r="D632" s="362"/>
      <c r="E632" s="132"/>
      <c r="F632" s="131"/>
      <c r="G632" s="361"/>
      <c r="H632" s="363"/>
      <c r="I632" s="364"/>
      <c r="J632" s="361"/>
      <c r="K632" s="361"/>
      <c r="L632" s="361"/>
      <c r="M632" s="361"/>
      <c r="N632" s="361"/>
      <c r="O632" s="361"/>
      <c r="P632" s="361"/>
      <c r="Q632" s="361"/>
      <c r="R632" s="361"/>
      <c r="S632" s="361"/>
      <c r="T632" s="361"/>
      <c r="U632" s="361"/>
      <c r="V632" s="361"/>
      <c r="W632" s="361"/>
      <c r="X632" s="365"/>
      <c r="Y632" s="361"/>
      <c r="Z632" s="361"/>
      <c r="AA632" s="116"/>
      <c r="AB632" s="116"/>
      <c r="AC632" s="116"/>
      <c r="AD632" s="116"/>
      <c r="AE632" s="365"/>
      <c r="AF632" s="116"/>
      <c r="AG632" s="116"/>
      <c r="AH632" s="116"/>
      <c r="AI632" s="116"/>
      <c r="AJ632" s="116"/>
      <c r="AK632" s="116"/>
      <c r="AL632" s="116"/>
    </row>
    <row r="633" ht="16.5" customHeight="1">
      <c r="A633" s="362"/>
      <c r="B633" s="362"/>
      <c r="C633" s="362"/>
      <c r="D633" s="362"/>
      <c r="E633" s="132"/>
      <c r="F633" s="131"/>
      <c r="G633" s="361"/>
      <c r="H633" s="363"/>
      <c r="I633" s="364"/>
      <c r="J633" s="361"/>
      <c r="K633" s="361"/>
      <c r="L633" s="361"/>
      <c r="M633" s="361"/>
      <c r="N633" s="361"/>
      <c r="O633" s="361"/>
      <c r="P633" s="361"/>
      <c r="Q633" s="361"/>
      <c r="R633" s="361"/>
      <c r="S633" s="361"/>
      <c r="T633" s="361"/>
      <c r="U633" s="361"/>
      <c r="V633" s="361"/>
      <c r="W633" s="361"/>
      <c r="X633" s="365"/>
      <c r="Y633" s="361"/>
      <c r="Z633" s="361"/>
      <c r="AA633" s="116"/>
      <c r="AB633" s="116"/>
      <c r="AC633" s="116"/>
      <c r="AD633" s="116"/>
      <c r="AE633" s="365"/>
      <c r="AF633" s="116"/>
      <c r="AG633" s="116"/>
      <c r="AH633" s="116"/>
      <c r="AI633" s="116"/>
      <c r="AJ633" s="116"/>
      <c r="AK633" s="116"/>
      <c r="AL633" s="116"/>
    </row>
    <row r="634" ht="16.5" customHeight="1">
      <c r="A634" s="362"/>
      <c r="B634" s="362"/>
      <c r="C634" s="362"/>
      <c r="D634" s="362"/>
      <c r="E634" s="132"/>
      <c r="F634" s="131"/>
      <c r="G634" s="361"/>
      <c r="H634" s="363"/>
      <c r="I634" s="364"/>
      <c r="J634" s="361"/>
      <c r="K634" s="361"/>
      <c r="L634" s="361"/>
      <c r="M634" s="361"/>
      <c r="N634" s="361"/>
      <c r="O634" s="361"/>
      <c r="P634" s="361"/>
      <c r="Q634" s="361"/>
      <c r="R634" s="361"/>
      <c r="S634" s="361"/>
      <c r="T634" s="361"/>
      <c r="U634" s="361"/>
      <c r="V634" s="361"/>
      <c r="W634" s="361"/>
      <c r="X634" s="365"/>
      <c r="Y634" s="361"/>
      <c r="Z634" s="361"/>
      <c r="AA634" s="116"/>
      <c r="AB634" s="116"/>
      <c r="AC634" s="116"/>
      <c r="AD634" s="116"/>
      <c r="AE634" s="365"/>
      <c r="AF634" s="116"/>
      <c r="AG634" s="116"/>
      <c r="AH634" s="116"/>
      <c r="AI634" s="116"/>
      <c r="AJ634" s="116"/>
      <c r="AK634" s="116"/>
      <c r="AL634" s="116"/>
    </row>
    <row r="635" ht="16.5" customHeight="1">
      <c r="A635" s="362"/>
      <c r="B635" s="362"/>
      <c r="C635" s="362"/>
      <c r="D635" s="362"/>
      <c r="E635" s="132"/>
      <c r="F635" s="131"/>
      <c r="G635" s="361"/>
      <c r="H635" s="363"/>
      <c r="I635" s="364"/>
      <c r="J635" s="361"/>
      <c r="K635" s="361"/>
      <c r="L635" s="361"/>
      <c r="M635" s="361"/>
      <c r="N635" s="361"/>
      <c r="O635" s="361"/>
      <c r="P635" s="361"/>
      <c r="Q635" s="361"/>
      <c r="R635" s="361"/>
      <c r="S635" s="361"/>
      <c r="T635" s="361"/>
      <c r="U635" s="361"/>
      <c r="V635" s="361"/>
      <c r="W635" s="361"/>
      <c r="X635" s="365"/>
      <c r="Y635" s="361"/>
      <c r="Z635" s="361"/>
      <c r="AA635" s="116"/>
      <c r="AB635" s="116"/>
      <c r="AC635" s="116"/>
      <c r="AD635" s="116"/>
      <c r="AE635" s="365"/>
      <c r="AF635" s="116"/>
      <c r="AG635" s="116"/>
      <c r="AH635" s="116"/>
      <c r="AI635" s="116"/>
      <c r="AJ635" s="116"/>
      <c r="AK635" s="116"/>
      <c r="AL635" s="116"/>
    </row>
    <row r="636" ht="16.5" customHeight="1">
      <c r="A636" s="362"/>
      <c r="B636" s="362"/>
      <c r="C636" s="362"/>
      <c r="D636" s="362"/>
      <c r="E636" s="132"/>
      <c r="F636" s="131"/>
      <c r="G636" s="361"/>
      <c r="H636" s="363"/>
      <c r="I636" s="364"/>
      <c r="J636" s="361"/>
      <c r="K636" s="361"/>
      <c r="L636" s="361"/>
      <c r="M636" s="361"/>
      <c r="N636" s="361"/>
      <c r="O636" s="361"/>
      <c r="P636" s="361"/>
      <c r="Q636" s="361"/>
      <c r="R636" s="361"/>
      <c r="S636" s="361"/>
      <c r="T636" s="361"/>
      <c r="U636" s="361"/>
      <c r="V636" s="361"/>
      <c r="W636" s="361"/>
      <c r="X636" s="365"/>
      <c r="Y636" s="361"/>
      <c r="Z636" s="361"/>
      <c r="AA636" s="116"/>
      <c r="AB636" s="116"/>
      <c r="AC636" s="116"/>
      <c r="AD636" s="116"/>
      <c r="AE636" s="365"/>
      <c r="AF636" s="116"/>
      <c r="AG636" s="116"/>
      <c r="AH636" s="116"/>
      <c r="AI636" s="116"/>
      <c r="AJ636" s="116"/>
      <c r="AK636" s="116"/>
      <c r="AL636" s="116"/>
    </row>
    <row r="637" ht="16.5" customHeight="1">
      <c r="A637" s="362"/>
      <c r="B637" s="362"/>
      <c r="C637" s="362"/>
      <c r="D637" s="362"/>
      <c r="E637" s="132"/>
      <c r="F637" s="131"/>
      <c r="G637" s="361"/>
      <c r="H637" s="363"/>
      <c r="I637" s="364"/>
      <c r="J637" s="361"/>
      <c r="K637" s="361"/>
      <c r="L637" s="361"/>
      <c r="M637" s="361"/>
      <c r="N637" s="361"/>
      <c r="O637" s="361"/>
      <c r="P637" s="361"/>
      <c r="Q637" s="361"/>
      <c r="R637" s="361"/>
      <c r="S637" s="361"/>
      <c r="T637" s="361"/>
      <c r="U637" s="361"/>
      <c r="V637" s="361"/>
      <c r="W637" s="361"/>
      <c r="X637" s="365"/>
      <c r="Y637" s="361"/>
      <c r="Z637" s="361"/>
      <c r="AA637" s="116"/>
      <c r="AB637" s="116"/>
      <c r="AC637" s="116"/>
      <c r="AD637" s="116"/>
      <c r="AE637" s="365"/>
      <c r="AF637" s="116"/>
      <c r="AG637" s="116"/>
      <c r="AH637" s="116"/>
      <c r="AI637" s="116"/>
      <c r="AJ637" s="116"/>
      <c r="AK637" s="116"/>
      <c r="AL637" s="116"/>
    </row>
    <row r="638" ht="16.5" customHeight="1">
      <c r="A638" s="362"/>
      <c r="B638" s="362"/>
      <c r="C638" s="362"/>
      <c r="D638" s="362"/>
      <c r="E638" s="132"/>
      <c r="F638" s="131"/>
      <c r="G638" s="361"/>
      <c r="H638" s="363"/>
      <c r="I638" s="364"/>
      <c r="J638" s="361"/>
      <c r="K638" s="361"/>
      <c r="L638" s="361"/>
      <c r="M638" s="361"/>
      <c r="N638" s="361"/>
      <c r="O638" s="361"/>
      <c r="P638" s="361"/>
      <c r="Q638" s="361"/>
      <c r="R638" s="361"/>
      <c r="S638" s="361"/>
      <c r="T638" s="361"/>
      <c r="U638" s="361"/>
      <c r="V638" s="361"/>
      <c r="W638" s="361"/>
      <c r="X638" s="365"/>
      <c r="Y638" s="361"/>
      <c r="Z638" s="361"/>
      <c r="AA638" s="116"/>
      <c r="AB638" s="116"/>
      <c r="AC638" s="116"/>
      <c r="AD638" s="116"/>
      <c r="AE638" s="365"/>
      <c r="AF638" s="116"/>
      <c r="AG638" s="116"/>
      <c r="AH638" s="116"/>
      <c r="AI638" s="116"/>
      <c r="AJ638" s="116"/>
      <c r="AK638" s="116"/>
      <c r="AL638" s="116"/>
    </row>
    <row r="639" ht="16.5" customHeight="1">
      <c r="A639" s="362"/>
      <c r="B639" s="362"/>
      <c r="C639" s="362"/>
      <c r="D639" s="362"/>
      <c r="E639" s="132"/>
      <c r="F639" s="131"/>
      <c r="G639" s="361"/>
      <c r="H639" s="363"/>
      <c r="I639" s="364"/>
      <c r="J639" s="361"/>
      <c r="K639" s="361"/>
      <c r="L639" s="361"/>
      <c r="M639" s="361"/>
      <c r="N639" s="361"/>
      <c r="O639" s="361"/>
      <c r="P639" s="361"/>
      <c r="Q639" s="361"/>
      <c r="R639" s="361"/>
      <c r="S639" s="361"/>
      <c r="T639" s="361"/>
      <c r="U639" s="361"/>
      <c r="V639" s="361"/>
      <c r="W639" s="361"/>
      <c r="X639" s="365"/>
      <c r="Y639" s="361"/>
      <c r="Z639" s="361"/>
      <c r="AA639" s="116"/>
      <c r="AB639" s="116"/>
      <c r="AC639" s="116"/>
      <c r="AD639" s="116"/>
      <c r="AE639" s="365"/>
      <c r="AF639" s="116"/>
      <c r="AG639" s="116"/>
      <c r="AH639" s="116"/>
      <c r="AI639" s="116"/>
      <c r="AJ639" s="116"/>
      <c r="AK639" s="116"/>
      <c r="AL639" s="116"/>
    </row>
    <row r="640" ht="16.5" customHeight="1">
      <c r="A640" s="362"/>
      <c r="B640" s="362"/>
      <c r="C640" s="362"/>
      <c r="D640" s="362"/>
      <c r="E640" s="132"/>
      <c r="F640" s="131"/>
      <c r="G640" s="361"/>
      <c r="H640" s="363"/>
      <c r="I640" s="364"/>
      <c r="J640" s="361"/>
      <c r="K640" s="361"/>
      <c r="L640" s="361"/>
      <c r="M640" s="361"/>
      <c r="N640" s="361"/>
      <c r="O640" s="361"/>
      <c r="P640" s="361"/>
      <c r="Q640" s="361"/>
      <c r="R640" s="361"/>
      <c r="S640" s="361"/>
      <c r="T640" s="361"/>
      <c r="U640" s="361"/>
      <c r="V640" s="361"/>
      <c r="W640" s="361"/>
      <c r="X640" s="365"/>
      <c r="Y640" s="361"/>
      <c r="Z640" s="361"/>
      <c r="AA640" s="116"/>
      <c r="AB640" s="116"/>
      <c r="AC640" s="116"/>
      <c r="AD640" s="116"/>
      <c r="AE640" s="365"/>
      <c r="AF640" s="116"/>
      <c r="AG640" s="116"/>
      <c r="AH640" s="116"/>
      <c r="AI640" s="116"/>
      <c r="AJ640" s="116"/>
      <c r="AK640" s="116"/>
      <c r="AL640" s="116"/>
    </row>
    <row r="641" ht="16.5" customHeight="1">
      <c r="A641" s="362"/>
      <c r="B641" s="362"/>
      <c r="C641" s="362"/>
      <c r="D641" s="362"/>
      <c r="E641" s="132"/>
      <c r="F641" s="131"/>
      <c r="G641" s="361"/>
      <c r="H641" s="363"/>
      <c r="I641" s="364"/>
      <c r="J641" s="361"/>
      <c r="K641" s="361"/>
      <c r="L641" s="361"/>
      <c r="M641" s="361"/>
      <c r="N641" s="361"/>
      <c r="O641" s="361"/>
      <c r="P641" s="361"/>
      <c r="Q641" s="361"/>
      <c r="R641" s="361"/>
      <c r="S641" s="361"/>
      <c r="T641" s="361"/>
      <c r="U641" s="361"/>
      <c r="V641" s="361"/>
      <c r="W641" s="361"/>
      <c r="X641" s="365"/>
      <c r="Y641" s="361"/>
      <c r="Z641" s="361"/>
      <c r="AA641" s="116"/>
      <c r="AB641" s="116"/>
      <c r="AC641" s="116"/>
      <c r="AD641" s="116"/>
      <c r="AE641" s="365"/>
      <c r="AF641" s="116"/>
      <c r="AG641" s="116"/>
      <c r="AH641" s="116"/>
      <c r="AI641" s="116"/>
      <c r="AJ641" s="116"/>
      <c r="AK641" s="116"/>
      <c r="AL641" s="116"/>
    </row>
    <row r="642" ht="16.5" customHeight="1">
      <c r="A642" s="362"/>
      <c r="B642" s="362"/>
      <c r="C642" s="362"/>
      <c r="D642" s="362"/>
      <c r="E642" s="132"/>
      <c r="F642" s="131"/>
      <c r="G642" s="361"/>
      <c r="H642" s="363"/>
      <c r="I642" s="364"/>
      <c r="J642" s="361"/>
      <c r="K642" s="361"/>
      <c r="L642" s="361"/>
      <c r="M642" s="361"/>
      <c r="N642" s="361"/>
      <c r="O642" s="361"/>
      <c r="P642" s="361"/>
      <c r="Q642" s="361"/>
      <c r="R642" s="361"/>
      <c r="S642" s="361"/>
      <c r="T642" s="361"/>
      <c r="U642" s="361"/>
      <c r="V642" s="361"/>
      <c r="W642" s="361"/>
      <c r="X642" s="365"/>
      <c r="Y642" s="361"/>
      <c r="Z642" s="361"/>
      <c r="AA642" s="116"/>
      <c r="AB642" s="116"/>
      <c r="AC642" s="116"/>
      <c r="AD642" s="116"/>
      <c r="AE642" s="365"/>
      <c r="AF642" s="116"/>
      <c r="AG642" s="116"/>
      <c r="AH642" s="116"/>
      <c r="AI642" s="116"/>
      <c r="AJ642" s="116"/>
      <c r="AK642" s="116"/>
      <c r="AL642" s="116"/>
    </row>
    <row r="643" ht="16.5" customHeight="1">
      <c r="A643" s="362"/>
      <c r="B643" s="362"/>
      <c r="C643" s="362"/>
      <c r="D643" s="362"/>
      <c r="E643" s="132"/>
      <c r="F643" s="131"/>
      <c r="G643" s="361"/>
      <c r="H643" s="363"/>
      <c r="I643" s="364"/>
      <c r="J643" s="361"/>
      <c r="K643" s="361"/>
      <c r="L643" s="361"/>
      <c r="M643" s="361"/>
      <c r="N643" s="361"/>
      <c r="O643" s="361"/>
      <c r="P643" s="361"/>
      <c r="Q643" s="361"/>
      <c r="R643" s="361"/>
      <c r="S643" s="361"/>
      <c r="T643" s="361"/>
      <c r="U643" s="361"/>
      <c r="V643" s="361"/>
      <c r="W643" s="361"/>
      <c r="X643" s="365"/>
      <c r="Y643" s="361"/>
      <c r="Z643" s="361"/>
      <c r="AA643" s="116"/>
      <c r="AB643" s="116"/>
      <c r="AC643" s="116"/>
      <c r="AD643" s="116"/>
      <c r="AE643" s="365"/>
      <c r="AF643" s="116"/>
      <c r="AG643" s="116"/>
      <c r="AH643" s="116"/>
      <c r="AI643" s="116"/>
      <c r="AJ643" s="116"/>
      <c r="AK643" s="116"/>
      <c r="AL643" s="116"/>
    </row>
    <row r="644" ht="16.5" customHeight="1">
      <c r="A644" s="362"/>
      <c r="B644" s="362"/>
      <c r="C644" s="362"/>
      <c r="D644" s="362"/>
      <c r="E644" s="132"/>
      <c r="F644" s="131"/>
      <c r="G644" s="361"/>
      <c r="H644" s="363"/>
      <c r="I644" s="364"/>
      <c r="J644" s="361"/>
      <c r="K644" s="361"/>
      <c r="L644" s="361"/>
      <c r="M644" s="361"/>
      <c r="N644" s="361"/>
      <c r="O644" s="361"/>
      <c r="P644" s="361"/>
      <c r="Q644" s="361"/>
      <c r="R644" s="361"/>
      <c r="S644" s="361"/>
      <c r="T644" s="361"/>
      <c r="U644" s="361"/>
      <c r="V644" s="361"/>
      <c r="W644" s="361"/>
      <c r="X644" s="365"/>
      <c r="Y644" s="361"/>
      <c r="Z644" s="361"/>
      <c r="AA644" s="116"/>
      <c r="AB644" s="116"/>
      <c r="AC644" s="116"/>
      <c r="AD644" s="116"/>
      <c r="AE644" s="365"/>
      <c r="AF644" s="116"/>
      <c r="AG644" s="116"/>
      <c r="AH644" s="116"/>
      <c r="AI644" s="116"/>
      <c r="AJ644" s="116"/>
      <c r="AK644" s="116"/>
      <c r="AL644" s="116"/>
    </row>
    <row r="645" ht="16.5" customHeight="1">
      <c r="A645" s="362"/>
      <c r="B645" s="362"/>
      <c r="C645" s="362"/>
      <c r="D645" s="362"/>
      <c r="E645" s="132"/>
      <c r="F645" s="131"/>
      <c r="G645" s="361"/>
      <c r="H645" s="363"/>
      <c r="I645" s="364"/>
      <c r="J645" s="361"/>
      <c r="K645" s="361"/>
      <c r="L645" s="361"/>
      <c r="M645" s="361"/>
      <c r="N645" s="361"/>
      <c r="O645" s="361"/>
      <c r="P645" s="361"/>
      <c r="Q645" s="361"/>
      <c r="R645" s="361"/>
      <c r="S645" s="361"/>
      <c r="T645" s="361"/>
      <c r="U645" s="361"/>
      <c r="V645" s="361"/>
      <c r="W645" s="361"/>
      <c r="X645" s="365"/>
      <c r="Y645" s="361"/>
      <c r="Z645" s="361"/>
      <c r="AA645" s="116"/>
      <c r="AB645" s="116"/>
      <c r="AC645" s="116"/>
      <c r="AD645" s="116"/>
      <c r="AE645" s="365"/>
      <c r="AF645" s="116"/>
      <c r="AG645" s="116"/>
      <c r="AH645" s="116"/>
      <c r="AI645" s="116"/>
      <c r="AJ645" s="116"/>
      <c r="AK645" s="116"/>
      <c r="AL645" s="116"/>
    </row>
    <row r="646" ht="16.5" customHeight="1">
      <c r="A646" s="362"/>
      <c r="B646" s="362"/>
      <c r="C646" s="362"/>
      <c r="D646" s="362"/>
      <c r="E646" s="132"/>
      <c r="F646" s="131"/>
      <c r="G646" s="361"/>
      <c r="H646" s="363"/>
      <c r="I646" s="364"/>
      <c r="J646" s="361"/>
      <c r="K646" s="361"/>
      <c r="L646" s="361"/>
      <c r="M646" s="361"/>
      <c r="N646" s="361"/>
      <c r="O646" s="361"/>
      <c r="P646" s="361"/>
      <c r="Q646" s="361"/>
      <c r="R646" s="361"/>
      <c r="S646" s="361"/>
      <c r="T646" s="361"/>
      <c r="U646" s="361"/>
      <c r="V646" s="361"/>
      <c r="W646" s="361"/>
      <c r="X646" s="365"/>
      <c r="Y646" s="361"/>
      <c r="Z646" s="361"/>
      <c r="AA646" s="116"/>
      <c r="AB646" s="116"/>
      <c r="AC646" s="116"/>
      <c r="AD646" s="116"/>
      <c r="AE646" s="365"/>
      <c r="AF646" s="116"/>
      <c r="AG646" s="116"/>
      <c r="AH646" s="116"/>
      <c r="AI646" s="116"/>
      <c r="AJ646" s="116"/>
      <c r="AK646" s="116"/>
      <c r="AL646" s="116"/>
    </row>
    <row r="647" ht="16.5" customHeight="1">
      <c r="A647" s="362"/>
      <c r="B647" s="362"/>
      <c r="C647" s="362"/>
      <c r="D647" s="362"/>
      <c r="E647" s="132"/>
      <c r="F647" s="131"/>
      <c r="G647" s="361"/>
      <c r="H647" s="363"/>
      <c r="I647" s="364"/>
      <c r="J647" s="361"/>
      <c r="K647" s="361"/>
      <c r="L647" s="361"/>
      <c r="M647" s="361"/>
      <c r="N647" s="361"/>
      <c r="O647" s="361"/>
      <c r="P647" s="361"/>
      <c r="Q647" s="361"/>
      <c r="R647" s="361"/>
      <c r="S647" s="361"/>
      <c r="T647" s="361"/>
      <c r="U647" s="361"/>
      <c r="V647" s="361"/>
      <c r="W647" s="361"/>
      <c r="X647" s="365"/>
      <c r="Y647" s="361"/>
      <c r="Z647" s="361"/>
      <c r="AA647" s="116"/>
      <c r="AB647" s="116"/>
      <c r="AC647" s="116"/>
      <c r="AD647" s="116"/>
      <c r="AE647" s="365"/>
      <c r="AF647" s="116"/>
      <c r="AG647" s="116"/>
      <c r="AH647" s="116"/>
      <c r="AI647" s="116"/>
      <c r="AJ647" s="116"/>
      <c r="AK647" s="116"/>
      <c r="AL647" s="116"/>
    </row>
    <row r="648" ht="16.5" customHeight="1">
      <c r="A648" s="362"/>
      <c r="B648" s="362"/>
      <c r="C648" s="362"/>
      <c r="D648" s="362"/>
      <c r="E648" s="132"/>
      <c r="F648" s="131"/>
      <c r="G648" s="361"/>
      <c r="H648" s="363"/>
      <c r="I648" s="364"/>
      <c r="J648" s="361"/>
      <c r="K648" s="361"/>
      <c r="L648" s="361"/>
      <c r="M648" s="361"/>
      <c r="N648" s="361"/>
      <c r="O648" s="361"/>
      <c r="P648" s="361"/>
      <c r="Q648" s="361"/>
      <c r="R648" s="361"/>
      <c r="S648" s="361"/>
      <c r="T648" s="361"/>
      <c r="U648" s="361"/>
      <c r="V648" s="361"/>
      <c r="W648" s="361"/>
      <c r="X648" s="365"/>
      <c r="Y648" s="361"/>
      <c r="Z648" s="361"/>
      <c r="AA648" s="116"/>
      <c r="AB648" s="116"/>
      <c r="AC648" s="116"/>
      <c r="AD648" s="116"/>
      <c r="AE648" s="365"/>
      <c r="AF648" s="116"/>
      <c r="AG648" s="116"/>
      <c r="AH648" s="116"/>
      <c r="AI648" s="116"/>
      <c r="AJ648" s="116"/>
      <c r="AK648" s="116"/>
      <c r="AL648" s="116"/>
    </row>
    <row r="649" ht="16.5" customHeight="1">
      <c r="A649" s="362"/>
      <c r="B649" s="362"/>
      <c r="C649" s="362"/>
      <c r="D649" s="362"/>
      <c r="E649" s="132"/>
      <c r="F649" s="131"/>
      <c r="G649" s="361"/>
      <c r="H649" s="363"/>
      <c r="I649" s="364"/>
      <c r="J649" s="361"/>
      <c r="K649" s="361"/>
      <c r="L649" s="361"/>
      <c r="M649" s="361"/>
      <c r="N649" s="361"/>
      <c r="O649" s="361"/>
      <c r="P649" s="361"/>
      <c r="Q649" s="361"/>
      <c r="R649" s="361"/>
      <c r="S649" s="361"/>
      <c r="T649" s="361"/>
      <c r="U649" s="361"/>
      <c r="V649" s="361"/>
      <c r="W649" s="361"/>
      <c r="X649" s="365"/>
      <c r="Y649" s="361"/>
      <c r="Z649" s="361"/>
      <c r="AA649" s="116"/>
      <c r="AB649" s="116"/>
      <c r="AC649" s="116"/>
      <c r="AD649" s="116"/>
      <c r="AE649" s="365"/>
      <c r="AF649" s="116"/>
      <c r="AG649" s="116"/>
      <c r="AH649" s="116"/>
      <c r="AI649" s="116"/>
      <c r="AJ649" s="116"/>
      <c r="AK649" s="116"/>
      <c r="AL649" s="116"/>
    </row>
    <row r="650" ht="16.5" customHeight="1">
      <c r="A650" s="362"/>
      <c r="B650" s="362"/>
      <c r="C650" s="362"/>
      <c r="D650" s="362"/>
      <c r="E650" s="132"/>
      <c r="F650" s="131"/>
      <c r="G650" s="361"/>
      <c r="H650" s="363"/>
      <c r="I650" s="364"/>
      <c r="J650" s="361"/>
      <c r="K650" s="361"/>
      <c r="L650" s="361"/>
      <c r="M650" s="361"/>
      <c r="N650" s="361"/>
      <c r="O650" s="361"/>
      <c r="P650" s="361"/>
      <c r="Q650" s="361"/>
      <c r="R650" s="361"/>
      <c r="S650" s="361"/>
      <c r="T650" s="361"/>
      <c r="U650" s="361"/>
      <c r="V650" s="361"/>
      <c r="W650" s="361"/>
      <c r="X650" s="365"/>
      <c r="Y650" s="361"/>
      <c r="Z650" s="361"/>
      <c r="AA650" s="116"/>
      <c r="AB650" s="116"/>
      <c r="AC650" s="116"/>
      <c r="AD650" s="116"/>
      <c r="AE650" s="365"/>
      <c r="AF650" s="116"/>
      <c r="AG650" s="116"/>
      <c r="AH650" s="116"/>
      <c r="AI650" s="116"/>
      <c r="AJ650" s="116"/>
      <c r="AK650" s="116"/>
      <c r="AL650" s="116"/>
    </row>
    <row r="651" ht="16.5" customHeight="1">
      <c r="A651" s="362"/>
      <c r="B651" s="362"/>
      <c r="C651" s="362"/>
      <c r="D651" s="362"/>
      <c r="E651" s="132"/>
      <c r="F651" s="131"/>
      <c r="G651" s="361"/>
      <c r="H651" s="363"/>
      <c r="I651" s="364"/>
      <c r="J651" s="361"/>
      <c r="K651" s="361"/>
      <c r="L651" s="361"/>
      <c r="M651" s="361"/>
      <c r="N651" s="361"/>
      <c r="O651" s="361"/>
      <c r="P651" s="361"/>
      <c r="Q651" s="361"/>
      <c r="R651" s="361"/>
      <c r="S651" s="361"/>
      <c r="T651" s="361"/>
      <c r="U651" s="361"/>
      <c r="V651" s="361"/>
      <c r="W651" s="361"/>
      <c r="X651" s="365"/>
      <c r="Y651" s="361"/>
      <c r="Z651" s="361"/>
      <c r="AA651" s="116"/>
      <c r="AB651" s="116"/>
      <c r="AC651" s="116"/>
      <c r="AD651" s="116"/>
      <c r="AE651" s="365"/>
      <c r="AF651" s="116"/>
      <c r="AG651" s="116"/>
      <c r="AH651" s="116"/>
      <c r="AI651" s="116"/>
      <c r="AJ651" s="116"/>
      <c r="AK651" s="116"/>
      <c r="AL651" s="116"/>
    </row>
    <row r="652" ht="16.5" customHeight="1">
      <c r="A652" s="362"/>
      <c r="B652" s="362"/>
      <c r="C652" s="362"/>
      <c r="D652" s="362"/>
      <c r="E652" s="132"/>
      <c r="F652" s="131"/>
      <c r="G652" s="361"/>
      <c r="H652" s="363"/>
      <c r="I652" s="364"/>
      <c r="J652" s="361"/>
      <c r="K652" s="361"/>
      <c r="L652" s="361"/>
      <c r="M652" s="361"/>
      <c r="N652" s="361"/>
      <c r="O652" s="361"/>
      <c r="P652" s="361"/>
      <c r="Q652" s="361"/>
      <c r="R652" s="361"/>
      <c r="S652" s="361"/>
      <c r="T652" s="361"/>
      <c r="U652" s="361"/>
      <c r="V652" s="361"/>
      <c r="W652" s="361"/>
      <c r="X652" s="365"/>
      <c r="Y652" s="361"/>
      <c r="Z652" s="361"/>
      <c r="AA652" s="116"/>
      <c r="AB652" s="116"/>
      <c r="AC652" s="116"/>
      <c r="AD652" s="116"/>
      <c r="AE652" s="365"/>
      <c r="AF652" s="116"/>
      <c r="AG652" s="116"/>
      <c r="AH652" s="116"/>
      <c r="AI652" s="116"/>
      <c r="AJ652" s="116"/>
      <c r="AK652" s="116"/>
      <c r="AL652" s="116"/>
    </row>
    <row r="653" ht="16.5" customHeight="1">
      <c r="A653" s="362"/>
      <c r="B653" s="362"/>
      <c r="C653" s="362"/>
      <c r="D653" s="362"/>
      <c r="E653" s="132"/>
      <c r="F653" s="131"/>
      <c r="G653" s="361"/>
      <c r="H653" s="363"/>
      <c r="I653" s="364"/>
      <c r="J653" s="361"/>
      <c r="K653" s="361"/>
      <c r="L653" s="361"/>
      <c r="M653" s="361"/>
      <c r="N653" s="361"/>
      <c r="O653" s="361"/>
      <c r="P653" s="361"/>
      <c r="Q653" s="361"/>
      <c r="R653" s="361"/>
      <c r="S653" s="361"/>
      <c r="T653" s="361"/>
      <c r="U653" s="361"/>
      <c r="V653" s="361"/>
      <c r="W653" s="361"/>
      <c r="X653" s="365"/>
      <c r="Y653" s="361"/>
      <c r="Z653" s="361"/>
      <c r="AA653" s="116"/>
      <c r="AB653" s="116"/>
      <c r="AC653" s="116"/>
      <c r="AD653" s="116"/>
      <c r="AE653" s="365"/>
      <c r="AF653" s="116"/>
      <c r="AG653" s="116"/>
      <c r="AH653" s="116"/>
      <c r="AI653" s="116"/>
      <c r="AJ653" s="116"/>
      <c r="AK653" s="116"/>
      <c r="AL653" s="116"/>
    </row>
    <row r="654" ht="16.5" customHeight="1">
      <c r="A654" s="362"/>
      <c r="B654" s="362"/>
      <c r="C654" s="362"/>
      <c r="D654" s="362"/>
      <c r="E654" s="132"/>
      <c r="F654" s="131"/>
      <c r="G654" s="361"/>
      <c r="H654" s="363"/>
      <c r="I654" s="364"/>
      <c r="J654" s="361"/>
      <c r="K654" s="361"/>
      <c r="L654" s="361"/>
      <c r="M654" s="361"/>
      <c r="N654" s="361"/>
      <c r="O654" s="361"/>
      <c r="P654" s="361"/>
      <c r="Q654" s="361"/>
      <c r="R654" s="361"/>
      <c r="S654" s="361"/>
      <c r="T654" s="361"/>
      <c r="U654" s="361"/>
      <c r="V654" s="361"/>
      <c r="W654" s="361"/>
      <c r="X654" s="365"/>
      <c r="Y654" s="361"/>
      <c r="Z654" s="361"/>
      <c r="AA654" s="116"/>
      <c r="AB654" s="116"/>
      <c r="AC654" s="116"/>
      <c r="AD654" s="116"/>
      <c r="AE654" s="365"/>
      <c r="AF654" s="116"/>
      <c r="AG654" s="116"/>
      <c r="AH654" s="116"/>
      <c r="AI654" s="116"/>
      <c r="AJ654" s="116"/>
      <c r="AK654" s="116"/>
      <c r="AL654" s="116"/>
    </row>
    <row r="655" ht="16.5" customHeight="1">
      <c r="A655" s="362"/>
      <c r="B655" s="362"/>
      <c r="C655" s="362"/>
      <c r="D655" s="362"/>
      <c r="E655" s="132"/>
      <c r="F655" s="131"/>
      <c r="G655" s="361"/>
      <c r="H655" s="363"/>
      <c r="I655" s="364"/>
      <c r="J655" s="361"/>
      <c r="K655" s="361"/>
      <c r="L655" s="361"/>
      <c r="M655" s="361"/>
      <c r="N655" s="361"/>
      <c r="O655" s="361"/>
      <c r="P655" s="361"/>
      <c r="Q655" s="361"/>
      <c r="R655" s="361"/>
      <c r="S655" s="361"/>
      <c r="T655" s="361"/>
      <c r="U655" s="361"/>
      <c r="V655" s="361"/>
      <c r="W655" s="361"/>
      <c r="X655" s="365"/>
      <c r="Y655" s="361"/>
      <c r="Z655" s="361"/>
      <c r="AA655" s="116"/>
      <c r="AB655" s="116"/>
      <c r="AC655" s="116"/>
      <c r="AD655" s="116"/>
      <c r="AE655" s="365"/>
      <c r="AF655" s="116"/>
      <c r="AG655" s="116"/>
      <c r="AH655" s="116"/>
      <c r="AI655" s="116"/>
      <c r="AJ655" s="116"/>
      <c r="AK655" s="116"/>
      <c r="AL655" s="116"/>
    </row>
    <row r="656" ht="16.5" customHeight="1">
      <c r="A656" s="362"/>
      <c r="B656" s="362"/>
      <c r="C656" s="362"/>
      <c r="D656" s="362"/>
      <c r="E656" s="132"/>
      <c r="F656" s="131"/>
      <c r="G656" s="361"/>
      <c r="H656" s="363"/>
      <c r="I656" s="364"/>
      <c r="J656" s="361"/>
      <c r="K656" s="361"/>
      <c r="L656" s="361"/>
      <c r="M656" s="361"/>
      <c r="N656" s="361"/>
      <c r="O656" s="361"/>
      <c r="P656" s="361"/>
      <c r="Q656" s="361"/>
      <c r="R656" s="361"/>
      <c r="S656" s="361"/>
      <c r="T656" s="361"/>
      <c r="U656" s="361"/>
      <c r="V656" s="361"/>
      <c r="W656" s="361"/>
      <c r="X656" s="365"/>
      <c r="Y656" s="361"/>
      <c r="Z656" s="361"/>
      <c r="AA656" s="116"/>
      <c r="AB656" s="116"/>
      <c r="AC656" s="116"/>
      <c r="AD656" s="116"/>
      <c r="AE656" s="365"/>
      <c r="AF656" s="116"/>
      <c r="AG656" s="116"/>
      <c r="AH656" s="116"/>
      <c r="AI656" s="116"/>
      <c r="AJ656" s="116"/>
      <c r="AK656" s="116"/>
      <c r="AL656" s="116"/>
    </row>
    <row r="657" ht="16.5" customHeight="1">
      <c r="A657" s="362"/>
      <c r="B657" s="362"/>
      <c r="C657" s="362"/>
      <c r="D657" s="362"/>
      <c r="E657" s="132"/>
      <c r="F657" s="131"/>
      <c r="G657" s="361"/>
      <c r="H657" s="363"/>
      <c r="I657" s="364"/>
      <c r="J657" s="361"/>
      <c r="K657" s="361"/>
      <c r="L657" s="361"/>
      <c r="M657" s="361"/>
      <c r="N657" s="361"/>
      <c r="O657" s="361"/>
      <c r="P657" s="361"/>
      <c r="Q657" s="361"/>
      <c r="R657" s="361"/>
      <c r="S657" s="361"/>
      <c r="T657" s="361"/>
      <c r="U657" s="361"/>
      <c r="V657" s="361"/>
      <c r="W657" s="361"/>
      <c r="X657" s="365"/>
      <c r="Y657" s="361"/>
      <c r="Z657" s="361"/>
      <c r="AA657" s="116"/>
      <c r="AB657" s="116"/>
      <c r="AC657" s="116"/>
      <c r="AD657" s="116"/>
      <c r="AE657" s="365"/>
      <c r="AF657" s="116"/>
      <c r="AG657" s="116"/>
      <c r="AH657" s="116"/>
      <c r="AI657" s="116"/>
      <c r="AJ657" s="116"/>
      <c r="AK657" s="116"/>
      <c r="AL657" s="116"/>
    </row>
    <row r="658" ht="16.5" customHeight="1">
      <c r="A658" s="362"/>
      <c r="B658" s="362"/>
      <c r="C658" s="362"/>
      <c r="D658" s="362"/>
      <c r="E658" s="132"/>
      <c r="F658" s="131"/>
      <c r="G658" s="361"/>
      <c r="H658" s="363"/>
      <c r="I658" s="364"/>
      <c r="J658" s="361"/>
      <c r="K658" s="361"/>
      <c r="L658" s="361"/>
      <c r="M658" s="361"/>
      <c r="N658" s="361"/>
      <c r="O658" s="361"/>
      <c r="P658" s="361"/>
      <c r="Q658" s="361"/>
      <c r="R658" s="361"/>
      <c r="S658" s="361"/>
      <c r="T658" s="361"/>
      <c r="U658" s="361"/>
      <c r="V658" s="361"/>
      <c r="W658" s="361"/>
      <c r="X658" s="365"/>
      <c r="Y658" s="361"/>
      <c r="Z658" s="361"/>
      <c r="AA658" s="116"/>
      <c r="AB658" s="116"/>
      <c r="AC658" s="116"/>
      <c r="AD658" s="116"/>
      <c r="AE658" s="365"/>
      <c r="AF658" s="116"/>
      <c r="AG658" s="116"/>
      <c r="AH658" s="116"/>
      <c r="AI658" s="116"/>
      <c r="AJ658" s="116"/>
      <c r="AK658" s="116"/>
      <c r="AL658" s="116"/>
    </row>
    <row r="659" ht="16.5" customHeight="1">
      <c r="A659" s="362"/>
      <c r="B659" s="362"/>
      <c r="C659" s="362"/>
      <c r="D659" s="362"/>
      <c r="E659" s="132"/>
      <c r="F659" s="131"/>
      <c r="G659" s="361"/>
      <c r="H659" s="363"/>
      <c r="I659" s="364"/>
      <c r="J659" s="361"/>
      <c r="K659" s="361"/>
      <c r="L659" s="361"/>
      <c r="M659" s="361"/>
      <c r="N659" s="361"/>
      <c r="O659" s="361"/>
      <c r="P659" s="361"/>
      <c r="Q659" s="361"/>
      <c r="R659" s="361"/>
      <c r="S659" s="361"/>
      <c r="T659" s="361"/>
      <c r="U659" s="361"/>
      <c r="V659" s="361"/>
      <c r="W659" s="361"/>
      <c r="X659" s="365"/>
      <c r="Y659" s="361"/>
      <c r="Z659" s="361"/>
      <c r="AA659" s="116"/>
      <c r="AB659" s="116"/>
      <c r="AC659" s="116"/>
      <c r="AD659" s="116"/>
      <c r="AE659" s="365"/>
      <c r="AF659" s="116"/>
      <c r="AG659" s="116"/>
      <c r="AH659" s="116"/>
      <c r="AI659" s="116"/>
      <c r="AJ659" s="116"/>
      <c r="AK659" s="116"/>
      <c r="AL659" s="116"/>
    </row>
    <row r="660" ht="16.5" customHeight="1">
      <c r="A660" s="362"/>
      <c r="B660" s="362"/>
      <c r="C660" s="362"/>
      <c r="D660" s="362"/>
      <c r="E660" s="132"/>
      <c r="F660" s="131"/>
      <c r="G660" s="361"/>
      <c r="H660" s="363"/>
      <c r="I660" s="364"/>
      <c r="J660" s="361"/>
      <c r="K660" s="361"/>
      <c r="L660" s="361"/>
      <c r="M660" s="361"/>
      <c r="N660" s="361"/>
      <c r="O660" s="361"/>
      <c r="P660" s="361"/>
      <c r="Q660" s="361"/>
      <c r="R660" s="361"/>
      <c r="S660" s="361"/>
      <c r="T660" s="361"/>
      <c r="U660" s="361"/>
      <c r="V660" s="361"/>
      <c r="W660" s="361"/>
      <c r="X660" s="365"/>
      <c r="Y660" s="361"/>
      <c r="Z660" s="361"/>
      <c r="AA660" s="116"/>
      <c r="AB660" s="116"/>
      <c r="AC660" s="116"/>
      <c r="AD660" s="116"/>
      <c r="AE660" s="365"/>
      <c r="AF660" s="116"/>
      <c r="AG660" s="116"/>
      <c r="AH660" s="116"/>
      <c r="AI660" s="116"/>
      <c r="AJ660" s="116"/>
      <c r="AK660" s="116"/>
      <c r="AL660" s="116"/>
    </row>
    <row r="661" ht="16.5" customHeight="1">
      <c r="A661" s="362"/>
      <c r="B661" s="362"/>
      <c r="C661" s="362"/>
      <c r="D661" s="362"/>
      <c r="E661" s="132"/>
      <c r="F661" s="131"/>
      <c r="G661" s="361"/>
      <c r="H661" s="363"/>
      <c r="I661" s="364"/>
      <c r="J661" s="361"/>
      <c r="K661" s="361"/>
      <c r="L661" s="361"/>
      <c r="M661" s="361"/>
      <c r="N661" s="361"/>
      <c r="O661" s="361"/>
      <c r="P661" s="361"/>
      <c r="Q661" s="361"/>
      <c r="R661" s="361"/>
      <c r="S661" s="361"/>
      <c r="T661" s="361"/>
      <c r="U661" s="361"/>
      <c r="V661" s="361"/>
      <c r="W661" s="361"/>
      <c r="X661" s="365"/>
      <c r="Y661" s="361"/>
      <c r="Z661" s="361"/>
      <c r="AA661" s="116"/>
      <c r="AB661" s="116"/>
      <c r="AC661" s="116"/>
      <c r="AD661" s="116"/>
      <c r="AE661" s="365"/>
      <c r="AF661" s="116"/>
      <c r="AG661" s="116"/>
      <c r="AH661" s="116"/>
      <c r="AI661" s="116"/>
      <c r="AJ661" s="116"/>
      <c r="AK661" s="116"/>
      <c r="AL661" s="116"/>
    </row>
    <row r="662" ht="16.5" customHeight="1">
      <c r="A662" s="362"/>
      <c r="B662" s="362"/>
      <c r="C662" s="362"/>
      <c r="D662" s="362"/>
      <c r="E662" s="132"/>
      <c r="F662" s="131"/>
      <c r="G662" s="361"/>
      <c r="H662" s="363"/>
      <c r="I662" s="364"/>
      <c r="J662" s="361"/>
      <c r="K662" s="361"/>
      <c r="L662" s="361"/>
      <c r="M662" s="361"/>
      <c r="N662" s="361"/>
      <c r="O662" s="361"/>
      <c r="P662" s="361"/>
      <c r="Q662" s="361"/>
      <c r="R662" s="361"/>
      <c r="S662" s="361"/>
      <c r="T662" s="361"/>
      <c r="U662" s="361"/>
      <c r="V662" s="361"/>
      <c r="W662" s="361"/>
      <c r="X662" s="365"/>
      <c r="Y662" s="361"/>
      <c r="Z662" s="361"/>
      <c r="AA662" s="116"/>
      <c r="AB662" s="116"/>
      <c r="AC662" s="116"/>
      <c r="AD662" s="116"/>
      <c r="AE662" s="365"/>
      <c r="AF662" s="116"/>
      <c r="AG662" s="116"/>
      <c r="AH662" s="116"/>
      <c r="AI662" s="116"/>
      <c r="AJ662" s="116"/>
      <c r="AK662" s="116"/>
      <c r="AL662" s="116"/>
    </row>
    <row r="663" ht="16.5" customHeight="1">
      <c r="A663" s="362"/>
      <c r="B663" s="362"/>
      <c r="C663" s="362"/>
      <c r="D663" s="362"/>
      <c r="E663" s="132"/>
      <c r="F663" s="131"/>
      <c r="G663" s="361"/>
      <c r="H663" s="363"/>
      <c r="I663" s="364"/>
      <c r="J663" s="361"/>
      <c r="K663" s="361"/>
      <c r="L663" s="361"/>
      <c r="M663" s="361"/>
      <c r="N663" s="361"/>
      <c r="O663" s="361"/>
      <c r="P663" s="361"/>
      <c r="Q663" s="361"/>
      <c r="R663" s="361"/>
      <c r="S663" s="361"/>
      <c r="T663" s="361"/>
      <c r="U663" s="361"/>
      <c r="V663" s="361"/>
      <c r="W663" s="361"/>
      <c r="X663" s="365"/>
      <c r="Y663" s="361"/>
      <c r="Z663" s="361"/>
      <c r="AA663" s="116"/>
      <c r="AB663" s="116"/>
      <c r="AC663" s="116"/>
      <c r="AD663" s="116"/>
      <c r="AE663" s="365"/>
      <c r="AF663" s="116"/>
      <c r="AG663" s="116"/>
      <c r="AH663" s="116"/>
      <c r="AI663" s="116"/>
      <c r="AJ663" s="116"/>
      <c r="AK663" s="116"/>
      <c r="AL663" s="116"/>
    </row>
    <row r="664" ht="16.5" customHeight="1">
      <c r="A664" s="362"/>
      <c r="B664" s="362"/>
      <c r="C664" s="362"/>
      <c r="D664" s="362"/>
      <c r="E664" s="132"/>
      <c r="F664" s="131"/>
      <c r="G664" s="361"/>
      <c r="H664" s="363"/>
      <c r="I664" s="364"/>
      <c r="J664" s="361"/>
      <c r="K664" s="361"/>
      <c r="L664" s="361"/>
      <c r="M664" s="361"/>
      <c r="N664" s="361"/>
      <c r="O664" s="361"/>
      <c r="P664" s="361"/>
      <c r="Q664" s="361"/>
      <c r="R664" s="361"/>
      <c r="S664" s="361"/>
      <c r="T664" s="361"/>
      <c r="U664" s="361"/>
      <c r="V664" s="361"/>
      <c r="W664" s="361"/>
      <c r="X664" s="365"/>
      <c r="Y664" s="361"/>
      <c r="Z664" s="361"/>
      <c r="AA664" s="116"/>
      <c r="AB664" s="116"/>
      <c r="AC664" s="116"/>
      <c r="AD664" s="116"/>
      <c r="AE664" s="365"/>
      <c r="AF664" s="116"/>
      <c r="AG664" s="116"/>
      <c r="AH664" s="116"/>
      <c r="AI664" s="116"/>
      <c r="AJ664" s="116"/>
      <c r="AK664" s="116"/>
      <c r="AL664" s="116"/>
    </row>
    <row r="665" ht="16.5" customHeight="1">
      <c r="A665" s="362"/>
      <c r="B665" s="362"/>
      <c r="C665" s="362"/>
      <c r="D665" s="362"/>
      <c r="E665" s="132"/>
      <c r="F665" s="131"/>
      <c r="G665" s="361"/>
      <c r="H665" s="363"/>
      <c r="I665" s="364"/>
      <c r="J665" s="361"/>
      <c r="K665" s="361"/>
      <c r="L665" s="361"/>
      <c r="M665" s="361"/>
      <c r="N665" s="361"/>
      <c r="O665" s="361"/>
      <c r="P665" s="361"/>
      <c r="Q665" s="361"/>
      <c r="R665" s="361"/>
      <c r="S665" s="361"/>
      <c r="T665" s="361"/>
      <c r="U665" s="361"/>
      <c r="V665" s="361"/>
      <c r="W665" s="361"/>
      <c r="X665" s="365"/>
      <c r="Y665" s="361"/>
      <c r="Z665" s="361"/>
      <c r="AA665" s="116"/>
      <c r="AB665" s="116"/>
      <c r="AC665" s="116"/>
      <c r="AD665" s="116"/>
      <c r="AE665" s="365"/>
      <c r="AF665" s="116"/>
      <c r="AG665" s="116"/>
      <c r="AH665" s="116"/>
      <c r="AI665" s="116"/>
      <c r="AJ665" s="116"/>
      <c r="AK665" s="116"/>
      <c r="AL665" s="116"/>
    </row>
    <row r="666" ht="16.5" customHeight="1">
      <c r="A666" s="362"/>
      <c r="B666" s="362"/>
      <c r="C666" s="362"/>
      <c r="D666" s="362"/>
      <c r="E666" s="132"/>
      <c r="F666" s="131"/>
      <c r="G666" s="361"/>
      <c r="H666" s="363"/>
      <c r="I666" s="364"/>
      <c r="J666" s="361"/>
      <c r="K666" s="361"/>
      <c r="L666" s="361"/>
      <c r="M666" s="361"/>
      <c r="N666" s="361"/>
      <c r="O666" s="361"/>
      <c r="P666" s="361"/>
      <c r="Q666" s="361"/>
      <c r="R666" s="361"/>
      <c r="S666" s="361"/>
      <c r="T666" s="361"/>
      <c r="U666" s="361"/>
      <c r="V666" s="361"/>
      <c r="W666" s="361"/>
      <c r="X666" s="365"/>
      <c r="Y666" s="361"/>
      <c r="Z666" s="361"/>
      <c r="AA666" s="116"/>
      <c r="AB666" s="116"/>
      <c r="AC666" s="116"/>
      <c r="AD666" s="116"/>
      <c r="AE666" s="365"/>
      <c r="AF666" s="116"/>
      <c r="AG666" s="116"/>
      <c r="AH666" s="116"/>
      <c r="AI666" s="116"/>
      <c r="AJ666" s="116"/>
      <c r="AK666" s="116"/>
      <c r="AL666" s="116"/>
    </row>
    <row r="667" ht="16.5" customHeight="1">
      <c r="A667" s="362"/>
      <c r="B667" s="362"/>
      <c r="C667" s="362"/>
      <c r="D667" s="362"/>
      <c r="E667" s="132"/>
      <c r="F667" s="131"/>
      <c r="G667" s="361"/>
      <c r="H667" s="363"/>
      <c r="I667" s="364"/>
      <c r="J667" s="361"/>
      <c r="K667" s="361"/>
      <c r="L667" s="361"/>
      <c r="M667" s="361"/>
      <c r="N667" s="361"/>
      <c r="O667" s="361"/>
      <c r="P667" s="361"/>
      <c r="Q667" s="361"/>
      <c r="R667" s="361"/>
      <c r="S667" s="361"/>
      <c r="T667" s="361"/>
      <c r="U667" s="361"/>
      <c r="V667" s="361"/>
      <c r="W667" s="361"/>
      <c r="X667" s="365"/>
      <c r="Y667" s="361"/>
      <c r="Z667" s="361"/>
      <c r="AA667" s="116"/>
      <c r="AB667" s="116"/>
      <c r="AC667" s="116"/>
      <c r="AD667" s="116"/>
      <c r="AE667" s="365"/>
      <c r="AF667" s="116"/>
      <c r="AG667" s="116"/>
      <c r="AH667" s="116"/>
      <c r="AI667" s="116"/>
      <c r="AJ667" s="116"/>
      <c r="AK667" s="116"/>
      <c r="AL667" s="116"/>
    </row>
    <row r="668" ht="16.5" customHeight="1">
      <c r="A668" s="362"/>
      <c r="B668" s="362"/>
      <c r="C668" s="362"/>
      <c r="D668" s="362"/>
      <c r="E668" s="132"/>
      <c r="F668" s="131"/>
      <c r="G668" s="361"/>
      <c r="H668" s="363"/>
      <c r="I668" s="364"/>
      <c r="J668" s="361"/>
      <c r="K668" s="361"/>
      <c r="L668" s="361"/>
      <c r="M668" s="361"/>
      <c r="N668" s="361"/>
      <c r="O668" s="361"/>
      <c r="P668" s="361"/>
      <c r="Q668" s="361"/>
      <c r="R668" s="361"/>
      <c r="S668" s="361"/>
      <c r="T668" s="361"/>
      <c r="U668" s="361"/>
      <c r="V668" s="361"/>
      <c r="W668" s="361"/>
      <c r="X668" s="365"/>
      <c r="Y668" s="361"/>
      <c r="Z668" s="361"/>
      <c r="AA668" s="116"/>
      <c r="AB668" s="116"/>
      <c r="AC668" s="116"/>
      <c r="AD668" s="116"/>
      <c r="AE668" s="365"/>
      <c r="AF668" s="116"/>
      <c r="AG668" s="116"/>
      <c r="AH668" s="116"/>
      <c r="AI668" s="116"/>
      <c r="AJ668" s="116"/>
      <c r="AK668" s="116"/>
      <c r="AL668" s="116"/>
    </row>
    <row r="669" ht="16.5" customHeight="1">
      <c r="A669" s="362"/>
      <c r="B669" s="362"/>
      <c r="C669" s="362"/>
      <c r="D669" s="362"/>
      <c r="E669" s="132"/>
      <c r="F669" s="131"/>
      <c r="G669" s="361"/>
      <c r="H669" s="363"/>
      <c r="I669" s="364"/>
      <c r="J669" s="361"/>
      <c r="K669" s="361"/>
      <c r="L669" s="361"/>
      <c r="M669" s="361"/>
      <c r="N669" s="361"/>
      <c r="O669" s="361"/>
      <c r="P669" s="361"/>
      <c r="Q669" s="361"/>
      <c r="R669" s="361"/>
      <c r="S669" s="361"/>
      <c r="T669" s="361"/>
      <c r="U669" s="361"/>
      <c r="V669" s="361"/>
      <c r="W669" s="361"/>
      <c r="X669" s="365"/>
      <c r="Y669" s="361"/>
      <c r="Z669" s="361"/>
      <c r="AA669" s="116"/>
      <c r="AB669" s="116"/>
      <c r="AC669" s="116"/>
      <c r="AD669" s="116"/>
      <c r="AE669" s="365"/>
      <c r="AF669" s="116"/>
      <c r="AG669" s="116"/>
      <c r="AH669" s="116"/>
      <c r="AI669" s="116"/>
      <c r="AJ669" s="116"/>
      <c r="AK669" s="116"/>
      <c r="AL669" s="116"/>
    </row>
    <row r="670" ht="16.5" customHeight="1">
      <c r="A670" s="362"/>
      <c r="B670" s="362"/>
      <c r="C670" s="362"/>
      <c r="D670" s="362"/>
      <c r="E670" s="132"/>
      <c r="F670" s="131"/>
      <c r="G670" s="361"/>
      <c r="H670" s="363"/>
      <c r="I670" s="364"/>
      <c r="J670" s="361"/>
      <c r="K670" s="361"/>
      <c r="L670" s="361"/>
      <c r="M670" s="361"/>
      <c r="N670" s="361"/>
      <c r="O670" s="361"/>
      <c r="P670" s="361"/>
      <c r="Q670" s="361"/>
      <c r="R670" s="361"/>
      <c r="S670" s="361"/>
      <c r="T670" s="361"/>
      <c r="U670" s="361"/>
      <c r="V670" s="361"/>
      <c r="W670" s="361"/>
      <c r="X670" s="365"/>
      <c r="Y670" s="361"/>
      <c r="Z670" s="361"/>
      <c r="AA670" s="116"/>
      <c r="AB670" s="116"/>
      <c r="AC670" s="116"/>
      <c r="AD670" s="116"/>
      <c r="AE670" s="365"/>
      <c r="AF670" s="116"/>
      <c r="AG670" s="116"/>
      <c r="AH670" s="116"/>
      <c r="AI670" s="116"/>
      <c r="AJ670" s="116"/>
      <c r="AK670" s="116"/>
      <c r="AL670" s="116"/>
    </row>
    <row r="671" ht="16.5" customHeight="1">
      <c r="A671" s="362"/>
      <c r="B671" s="362"/>
      <c r="C671" s="362"/>
      <c r="D671" s="362"/>
      <c r="E671" s="132"/>
      <c r="F671" s="131"/>
      <c r="G671" s="361"/>
      <c r="H671" s="363"/>
      <c r="I671" s="364"/>
      <c r="J671" s="361"/>
      <c r="K671" s="361"/>
      <c r="L671" s="361"/>
      <c r="M671" s="361"/>
      <c r="N671" s="361"/>
      <c r="O671" s="361"/>
      <c r="P671" s="361"/>
      <c r="Q671" s="361"/>
      <c r="R671" s="361"/>
      <c r="S671" s="361"/>
      <c r="T671" s="361"/>
      <c r="U671" s="361"/>
      <c r="V671" s="361"/>
      <c r="W671" s="361"/>
      <c r="X671" s="365"/>
      <c r="Y671" s="361"/>
      <c r="Z671" s="361"/>
      <c r="AA671" s="116"/>
      <c r="AB671" s="116"/>
      <c r="AC671" s="116"/>
      <c r="AD671" s="116"/>
      <c r="AE671" s="365"/>
      <c r="AF671" s="116"/>
      <c r="AG671" s="116"/>
      <c r="AH671" s="116"/>
      <c r="AI671" s="116"/>
      <c r="AJ671" s="116"/>
      <c r="AK671" s="116"/>
      <c r="AL671" s="116"/>
    </row>
    <row r="672" ht="16.5" customHeight="1">
      <c r="A672" s="362"/>
      <c r="B672" s="362"/>
      <c r="C672" s="362"/>
      <c r="D672" s="362"/>
      <c r="E672" s="132"/>
      <c r="F672" s="131"/>
      <c r="G672" s="361"/>
      <c r="H672" s="363"/>
      <c r="I672" s="364"/>
      <c r="J672" s="361"/>
      <c r="K672" s="361"/>
      <c r="L672" s="361"/>
      <c r="M672" s="361"/>
      <c r="N672" s="361"/>
      <c r="O672" s="361"/>
      <c r="P672" s="361"/>
      <c r="Q672" s="361"/>
      <c r="R672" s="361"/>
      <c r="S672" s="361"/>
      <c r="T672" s="361"/>
      <c r="U672" s="361"/>
      <c r="V672" s="361"/>
      <c r="W672" s="361"/>
      <c r="X672" s="365"/>
      <c r="Y672" s="361"/>
      <c r="Z672" s="361"/>
      <c r="AA672" s="116"/>
      <c r="AB672" s="116"/>
      <c r="AC672" s="116"/>
      <c r="AD672" s="116"/>
      <c r="AE672" s="365"/>
      <c r="AF672" s="116"/>
      <c r="AG672" s="116"/>
      <c r="AH672" s="116"/>
      <c r="AI672" s="116"/>
      <c r="AJ672" s="116"/>
      <c r="AK672" s="116"/>
      <c r="AL672" s="116"/>
    </row>
    <row r="673" ht="16.5" customHeight="1">
      <c r="A673" s="362"/>
      <c r="B673" s="362"/>
      <c r="C673" s="362"/>
      <c r="D673" s="362"/>
      <c r="E673" s="132"/>
      <c r="F673" s="131"/>
      <c r="G673" s="361"/>
      <c r="H673" s="363"/>
      <c r="I673" s="364"/>
      <c r="J673" s="361"/>
      <c r="K673" s="361"/>
      <c r="L673" s="361"/>
      <c r="M673" s="361"/>
      <c r="N673" s="361"/>
      <c r="O673" s="361"/>
      <c r="P673" s="361"/>
      <c r="Q673" s="361"/>
      <c r="R673" s="361"/>
      <c r="S673" s="361"/>
      <c r="T673" s="361"/>
      <c r="U673" s="361"/>
      <c r="V673" s="361"/>
      <c r="W673" s="361"/>
      <c r="X673" s="365"/>
      <c r="Y673" s="361"/>
      <c r="Z673" s="361"/>
      <c r="AA673" s="116"/>
      <c r="AB673" s="116"/>
      <c r="AC673" s="116"/>
      <c r="AD673" s="116"/>
      <c r="AE673" s="365"/>
      <c r="AF673" s="116"/>
      <c r="AG673" s="116"/>
      <c r="AH673" s="116"/>
      <c r="AI673" s="116"/>
      <c r="AJ673" s="116"/>
      <c r="AK673" s="116"/>
      <c r="AL673" s="116"/>
    </row>
    <row r="674" ht="16.5" customHeight="1">
      <c r="A674" s="362"/>
      <c r="B674" s="362"/>
      <c r="C674" s="362"/>
      <c r="D674" s="362"/>
      <c r="E674" s="132"/>
      <c r="F674" s="131"/>
      <c r="G674" s="361"/>
      <c r="H674" s="363"/>
      <c r="I674" s="364"/>
      <c r="J674" s="361"/>
      <c r="K674" s="361"/>
      <c r="L674" s="361"/>
      <c r="M674" s="361"/>
      <c r="N674" s="361"/>
      <c r="O674" s="361"/>
      <c r="P674" s="361"/>
      <c r="Q674" s="361"/>
      <c r="R674" s="361"/>
      <c r="S674" s="361"/>
      <c r="T674" s="361"/>
      <c r="U674" s="361"/>
      <c r="V674" s="361"/>
      <c r="W674" s="361"/>
      <c r="X674" s="365"/>
      <c r="Y674" s="361"/>
      <c r="Z674" s="361"/>
      <c r="AA674" s="116"/>
      <c r="AB674" s="116"/>
      <c r="AC674" s="116"/>
      <c r="AD674" s="116"/>
      <c r="AE674" s="365"/>
      <c r="AF674" s="116"/>
      <c r="AG674" s="116"/>
      <c r="AH674" s="116"/>
      <c r="AI674" s="116"/>
      <c r="AJ674" s="116"/>
      <c r="AK674" s="116"/>
      <c r="AL674" s="116"/>
    </row>
    <row r="675" ht="16.5" customHeight="1">
      <c r="A675" s="362"/>
      <c r="B675" s="362"/>
      <c r="C675" s="362"/>
      <c r="D675" s="362"/>
      <c r="E675" s="132"/>
      <c r="F675" s="131"/>
      <c r="G675" s="361"/>
      <c r="H675" s="363"/>
      <c r="I675" s="364"/>
      <c r="J675" s="361"/>
      <c r="K675" s="361"/>
      <c r="L675" s="361"/>
      <c r="M675" s="361"/>
      <c r="N675" s="361"/>
      <c r="O675" s="361"/>
      <c r="P675" s="361"/>
      <c r="Q675" s="361"/>
      <c r="R675" s="361"/>
      <c r="S675" s="361"/>
      <c r="T675" s="361"/>
      <c r="U675" s="361"/>
      <c r="V675" s="361"/>
      <c r="W675" s="361"/>
      <c r="X675" s="365"/>
      <c r="Y675" s="361"/>
      <c r="Z675" s="361"/>
      <c r="AA675" s="116"/>
      <c r="AB675" s="116"/>
      <c r="AC675" s="116"/>
      <c r="AD675" s="116"/>
      <c r="AE675" s="365"/>
      <c r="AF675" s="116"/>
      <c r="AG675" s="116"/>
      <c r="AH675" s="116"/>
      <c r="AI675" s="116"/>
      <c r="AJ675" s="116"/>
      <c r="AK675" s="116"/>
      <c r="AL675" s="116"/>
    </row>
    <row r="676" ht="16.5" customHeight="1">
      <c r="A676" s="362"/>
      <c r="B676" s="362"/>
      <c r="C676" s="362"/>
      <c r="D676" s="362"/>
      <c r="E676" s="132"/>
      <c r="F676" s="131"/>
      <c r="G676" s="361"/>
      <c r="H676" s="363"/>
      <c r="I676" s="364"/>
      <c r="J676" s="361"/>
      <c r="K676" s="361"/>
      <c r="L676" s="361"/>
      <c r="M676" s="361"/>
      <c r="N676" s="361"/>
      <c r="O676" s="361"/>
      <c r="P676" s="361"/>
      <c r="Q676" s="361"/>
      <c r="R676" s="361"/>
      <c r="S676" s="361"/>
      <c r="T676" s="361"/>
      <c r="U676" s="361"/>
      <c r="V676" s="361"/>
      <c r="W676" s="361"/>
      <c r="X676" s="365"/>
      <c r="Y676" s="361"/>
      <c r="Z676" s="361"/>
      <c r="AA676" s="116"/>
      <c r="AB676" s="116"/>
      <c r="AC676" s="116"/>
      <c r="AD676" s="116"/>
      <c r="AE676" s="365"/>
      <c r="AF676" s="116"/>
      <c r="AG676" s="116"/>
      <c r="AH676" s="116"/>
      <c r="AI676" s="116"/>
      <c r="AJ676" s="116"/>
      <c r="AK676" s="116"/>
      <c r="AL676" s="116"/>
    </row>
    <row r="677" ht="16.5" customHeight="1">
      <c r="A677" s="362"/>
      <c r="B677" s="362"/>
      <c r="C677" s="362"/>
      <c r="D677" s="362"/>
      <c r="E677" s="132"/>
      <c r="F677" s="131"/>
      <c r="G677" s="361"/>
      <c r="H677" s="363"/>
      <c r="I677" s="364"/>
      <c r="J677" s="361"/>
      <c r="K677" s="361"/>
      <c r="L677" s="361"/>
      <c r="M677" s="361"/>
      <c r="N677" s="361"/>
      <c r="O677" s="361"/>
      <c r="P677" s="361"/>
      <c r="Q677" s="361"/>
      <c r="R677" s="361"/>
      <c r="S677" s="361"/>
      <c r="T677" s="361"/>
      <c r="U677" s="361"/>
      <c r="V677" s="361"/>
      <c r="W677" s="361"/>
      <c r="X677" s="365"/>
      <c r="Y677" s="361"/>
      <c r="Z677" s="361"/>
      <c r="AA677" s="116"/>
      <c r="AB677" s="116"/>
      <c r="AC677" s="116"/>
      <c r="AD677" s="116"/>
      <c r="AE677" s="365"/>
      <c r="AF677" s="116"/>
      <c r="AG677" s="116"/>
      <c r="AH677" s="116"/>
      <c r="AI677" s="116"/>
      <c r="AJ677" s="116"/>
      <c r="AK677" s="116"/>
      <c r="AL677" s="116"/>
    </row>
    <row r="678" ht="16.5" customHeight="1">
      <c r="A678" s="362"/>
      <c r="B678" s="362"/>
      <c r="C678" s="362"/>
      <c r="D678" s="362"/>
      <c r="E678" s="132"/>
      <c r="F678" s="131"/>
      <c r="G678" s="361"/>
      <c r="H678" s="363"/>
      <c r="I678" s="364"/>
      <c r="J678" s="361"/>
      <c r="K678" s="361"/>
      <c r="L678" s="361"/>
      <c r="M678" s="361"/>
      <c r="N678" s="361"/>
      <c r="O678" s="361"/>
      <c r="P678" s="361"/>
      <c r="Q678" s="361"/>
      <c r="R678" s="361"/>
      <c r="S678" s="361"/>
      <c r="T678" s="361"/>
      <c r="U678" s="361"/>
      <c r="V678" s="361"/>
      <c r="W678" s="361"/>
      <c r="X678" s="365"/>
      <c r="Y678" s="361"/>
      <c r="Z678" s="361"/>
      <c r="AA678" s="116"/>
      <c r="AB678" s="116"/>
      <c r="AC678" s="116"/>
      <c r="AD678" s="116"/>
      <c r="AE678" s="365"/>
      <c r="AF678" s="116"/>
      <c r="AG678" s="116"/>
      <c r="AH678" s="116"/>
      <c r="AI678" s="116"/>
      <c r="AJ678" s="116"/>
      <c r="AK678" s="116"/>
      <c r="AL678" s="116"/>
    </row>
    <row r="679" ht="16.5" customHeight="1">
      <c r="A679" s="362"/>
      <c r="B679" s="362"/>
      <c r="C679" s="362"/>
      <c r="D679" s="362"/>
      <c r="E679" s="132"/>
      <c r="F679" s="131"/>
      <c r="G679" s="361"/>
      <c r="H679" s="363"/>
      <c r="I679" s="364"/>
      <c r="J679" s="361"/>
      <c r="K679" s="361"/>
      <c r="L679" s="361"/>
      <c r="M679" s="361"/>
      <c r="N679" s="361"/>
      <c r="O679" s="361"/>
      <c r="P679" s="361"/>
      <c r="Q679" s="361"/>
      <c r="R679" s="361"/>
      <c r="S679" s="361"/>
      <c r="T679" s="361"/>
      <c r="U679" s="361"/>
      <c r="V679" s="361"/>
      <c r="W679" s="361"/>
      <c r="X679" s="365"/>
      <c r="Y679" s="361"/>
      <c r="Z679" s="361"/>
      <c r="AA679" s="116"/>
      <c r="AB679" s="116"/>
      <c r="AC679" s="116"/>
      <c r="AD679" s="116"/>
      <c r="AE679" s="365"/>
      <c r="AF679" s="116"/>
      <c r="AG679" s="116"/>
      <c r="AH679" s="116"/>
      <c r="AI679" s="116"/>
      <c r="AJ679" s="116"/>
      <c r="AK679" s="116"/>
      <c r="AL679" s="116"/>
    </row>
    <row r="680" ht="16.5" customHeight="1">
      <c r="A680" s="362"/>
      <c r="B680" s="362"/>
      <c r="C680" s="362"/>
      <c r="D680" s="362"/>
      <c r="E680" s="132"/>
      <c r="F680" s="131"/>
      <c r="G680" s="361"/>
      <c r="H680" s="363"/>
      <c r="I680" s="364"/>
      <c r="J680" s="361"/>
      <c r="K680" s="361"/>
      <c r="L680" s="361"/>
      <c r="M680" s="361"/>
      <c r="N680" s="361"/>
      <c r="O680" s="361"/>
      <c r="P680" s="361"/>
      <c r="Q680" s="361"/>
      <c r="R680" s="361"/>
      <c r="S680" s="361"/>
      <c r="T680" s="361"/>
      <c r="U680" s="361"/>
      <c r="V680" s="361"/>
      <c r="W680" s="361"/>
      <c r="X680" s="365"/>
      <c r="Y680" s="361"/>
      <c r="Z680" s="361"/>
      <c r="AA680" s="116"/>
      <c r="AB680" s="116"/>
      <c r="AC680" s="116"/>
      <c r="AD680" s="116"/>
      <c r="AE680" s="365"/>
      <c r="AF680" s="116"/>
      <c r="AG680" s="116"/>
      <c r="AH680" s="116"/>
      <c r="AI680" s="116"/>
      <c r="AJ680" s="116"/>
      <c r="AK680" s="116"/>
      <c r="AL680" s="116"/>
    </row>
    <row r="681" ht="16.5" customHeight="1">
      <c r="A681" s="362"/>
      <c r="B681" s="362"/>
      <c r="C681" s="362"/>
      <c r="D681" s="362"/>
      <c r="E681" s="132"/>
      <c r="F681" s="131"/>
      <c r="G681" s="361"/>
      <c r="H681" s="363"/>
      <c r="I681" s="364"/>
      <c r="J681" s="361"/>
      <c r="K681" s="361"/>
      <c r="L681" s="361"/>
      <c r="M681" s="361"/>
      <c r="N681" s="361"/>
      <c r="O681" s="361"/>
      <c r="P681" s="361"/>
      <c r="Q681" s="361"/>
      <c r="R681" s="361"/>
      <c r="S681" s="361"/>
      <c r="T681" s="361"/>
      <c r="U681" s="361"/>
      <c r="V681" s="361"/>
      <c r="W681" s="361"/>
      <c r="X681" s="365"/>
      <c r="Y681" s="361"/>
      <c r="Z681" s="361"/>
      <c r="AA681" s="116"/>
      <c r="AB681" s="116"/>
      <c r="AC681" s="116"/>
      <c r="AD681" s="116"/>
      <c r="AE681" s="365"/>
      <c r="AF681" s="116"/>
      <c r="AG681" s="116"/>
      <c r="AH681" s="116"/>
      <c r="AI681" s="116"/>
      <c r="AJ681" s="116"/>
      <c r="AK681" s="116"/>
      <c r="AL681" s="116"/>
    </row>
    <row r="682" ht="16.5" customHeight="1">
      <c r="A682" s="362"/>
      <c r="B682" s="362"/>
      <c r="C682" s="362"/>
      <c r="D682" s="362"/>
      <c r="E682" s="132"/>
      <c r="F682" s="131"/>
      <c r="G682" s="361"/>
      <c r="H682" s="363"/>
      <c r="I682" s="364"/>
      <c r="J682" s="361"/>
      <c r="K682" s="361"/>
      <c r="L682" s="361"/>
      <c r="M682" s="361"/>
      <c r="N682" s="361"/>
      <c r="O682" s="361"/>
      <c r="P682" s="361"/>
      <c r="Q682" s="361"/>
      <c r="R682" s="361"/>
      <c r="S682" s="361"/>
      <c r="T682" s="361"/>
      <c r="U682" s="361"/>
      <c r="V682" s="361"/>
      <c r="W682" s="361"/>
      <c r="X682" s="365"/>
      <c r="Y682" s="361"/>
      <c r="Z682" s="361"/>
      <c r="AA682" s="116"/>
      <c r="AB682" s="116"/>
      <c r="AC682" s="116"/>
      <c r="AD682" s="116"/>
      <c r="AE682" s="365"/>
      <c r="AF682" s="116"/>
      <c r="AG682" s="116"/>
      <c r="AH682" s="116"/>
      <c r="AI682" s="116"/>
      <c r="AJ682" s="116"/>
      <c r="AK682" s="116"/>
      <c r="AL682" s="116"/>
    </row>
    <row r="683" ht="16.5" customHeight="1">
      <c r="A683" s="362"/>
      <c r="B683" s="362"/>
      <c r="C683" s="362"/>
      <c r="D683" s="362"/>
      <c r="E683" s="132"/>
      <c r="F683" s="131"/>
      <c r="G683" s="361"/>
      <c r="H683" s="363"/>
      <c r="I683" s="364"/>
      <c r="J683" s="361"/>
      <c r="K683" s="361"/>
      <c r="L683" s="361"/>
      <c r="M683" s="361"/>
      <c r="N683" s="361"/>
      <c r="O683" s="361"/>
      <c r="P683" s="361"/>
      <c r="Q683" s="361"/>
      <c r="R683" s="361"/>
      <c r="S683" s="361"/>
      <c r="T683" s="361"/>
      <c r="U683" s="361"/>
      <c r="V683" s="361"/>
      <c r="W683" s="361"/>
      <c r="X683" s="365"/>
      <c r="Y683" s="361"/>
      <c r="Z683" s="361"/>
      <c r="AA683" s="116"/>
      <c r="AB683" s="116"/>
      <c r="AC683" s="116"/>
      <c r="AD683" s="116"/>
      <c r="AE683" s="365"/>
      <c r="AF683" s="116"/>
      <c r="AG683" s="116"/>
      <c r="AH683" s="116"/>
      <c r="AI683" s="116"/>
      <c r="AJ683" s="116"/>
      <c r="AK683" s="116"/>
      <c r="AL683" s="116"/>
    </row>
    <row r="684" ht="16.5" customHeight="1">
      <c r="A684" s="362"/>
      <c r="B684" s="362"/>
      <c r="C684" s="362"/>
      <c r="D684" s="362"/>
      <c r="E684" s="132"/>
      <c r="F684" s="131"/>
      <c r="G684" s="361"/>
      <c r="H684" s="363"/>
      <c r="I684" s="364"/>
      <c r="J684" s="361"/>
      <c r="K684" s="361"/>
      <c r="L684" s="361"/>
      <c r="M684" s="361"/>
      <c r="N684" s="361"/>
      <c r="O684" s="361"/>
      <c r="P684" s="361"/>
      <c r="Q684" s="361"/>
      <c r="R684" s="361"/>
      <c r="S684" s="361"/>
      <c r="T684" s="361"/>
      <c r="U684" s="361"/>
      <c r="V684" s="361"/>
      <c r="W684" s="361"/>
      <c r="X684" s="365"/>
      <c r="Y684" s="361"/>
      <c r="Z684" s="361"/>
      <c r="AA684" s="116"/>
      <c r="AB684" s="116"/>
      <c r="AC684" s="116"/>
      <c r="AD684" s="116"/>
      <c r="AE684" s="365"/>
      <c r="AF684" s="116"/>
      <c r="AG684" s="116"/>
      <c r="AH684" s="116"/>
      <c r="AI684" s="116"/>
      <c r="AJ684" s="116"/>
      <c r="AK684" s="116"/>
      <c r="AL684" s="116"/>
    </row>
    <row r="685" ht="16.5" customHeight="1">
      <c r="A685" s="362"/>
      <c r="B685" s="362"/>
      <c r="C685" s="362"/>
      <c r="D685" s="362"/>
      <c r="E685" s="132"/>
      <c r="F685" s="131"/>
      <c r="G685" s="361"/>
      <c r="H685" s="363"/>
      <c r="I685" s="364"/>
      <c r="J685" s="361"/>
      <c r="K685" s="361"/>
      <c r="L685" s="361"/>
      <c r="M685" s="361"/>
      <c r="N685" s="361"/>
      <c r="O685" s="361"/>
      <c r="P685" s="361"/>
      <c r="Q685" s="361"/>
      <c r="R685" s="361"/>
      <c r="S685" s="361"/>
      <c r="T685" s="361"/>
      <c r="U685" s="361"/>
      <c r="V685" s="361"/>
      <c r="W685" s="361"/>
      <c r="X685" s="365"/>
      <c r="Y685" s="361"/>
      <c r="Z685" s="361"/>
      <c r="AA685" s="116"/>
      <c r="AB685" s="116"/>
      <c r="AC685" s="116"/>
      <c r="AD685" s="116"/>
      <c r="AE685" s="365"/>
      <c r="AF685" s="116"/>
      <c r="AG685" s="116"/>
      <c r="AH685" s="116"/>
      <c r="AI685" s="116"/>
      <c r="AJ685" s="116"/>
      <c r="AK685" s="116"/>
      <c r="AL685" s="116"/>
    </row>
    <row r="686" ht="16.5" customHeight="1">
      <c r="A686" s="362"/>
      <c r="B686" s="362"/>
      <c r="C686" s="362"/>
      <c r="D686" s="362"/>
      <c r="E686" s="132"/>
      <c r="F686" s="131"/>
      <c r="G686" s="361"/>
      <c r="H686" s="363"/>
      <c r="I686" s="364"/>
      <c r="J686" s="361"/>
      <c r="K686" s="361"/>
      <c r="L686" s="361"/>
      <c r="M686" s="361"/>
      <c r="N686" s="361"/>
      <c r="O686" s="361"/>
      <c r="P686" s="361"/>
      <c r="Q686" s="361"/>
      <c r="R686" s="361"/>
      <c r="S686" s="361"/>
      <c r="T686" s="361"/>
      <c r="U686" s="361"/>
      <c r="V686" s="361"/>
      <c r="W686" s="361"/>
      <c r="X686" s="365"/>
      <c r="Y686" s="361"/>
      <c r="Z686" s="361"/>
      <c r="AA686" s="116"/>
      <c r="AB686" s="116"/>
      <c r="AC686" s="116"/>
      <c r="AD686" s="116"/>
      <c r="AE686" s="365"/>
      <c r="AF686" s="116"/>
      <c r="AG686" s="116"/>
      <c r="AH686" s="116"/>
      <c r="AI686" s="116"/>
      <c r="AJ686" s="116"/>
      <c r="AK686" s="116"/>
      <c r="AL686" s="116"/>
    </row>
    <row r="687" ht="16.5" customHeight="1">
      <c r="A687" s="362"/>
      <c r="B687" s="362"/>
      <c r="C687" s="362"/>
      <c r="D687" s="362"/>
      <c r="E687" s="132"/>
      <c r="F687" s="131"/>
      <c r="G687" s="361"/>
      <c r="H687" s="363"/>
      <c r="I687" s="364"/>
      <c r="J687" s="361"/>
      <c r="K687" s="361"/>
      <c r="L687" s="361"/>
      <c r="M687" s="361"/>
      <c r="N687" s="361"/>
      <c r="O687" s="361"/>
      <c r="P687" s="361"/>
      <c r="Q687" s="361"/>
      <c r="R687" s="361"/>
      <c r="S687" s="361"/>
      <c r="T687" s="361"/>
      <c r="U687" s="361"/>
      <c r="V687" s="361"/>
      <c r="W687" s="361"/>
      <c r="X687" s="365"/>
      <c r="Y687" s="361"/>
      <c r="Z687" s="361"/>
      <c r="AA687" s="116"/>
      <c r="AB687" s="116"/>
      <c r="AC687" s="116"/>
      <c r="AD687" s="116"/>
      <c r="AE687" s="365"/>
      <c r="AF687" s="116"/>
      <c r="AG687" s="116"/>
      <c r="AH687" s="116"/>
      <c r="AI687" s="116"/>
      <c r="AJ687" s="116"/>
      <c r="AK687" s="116"/>
      <c r="AL687" s="116"/>
    </row>
    <row r="688" ht="16.5" customHeight="1">
      <c r="A688" s="362"/>
      <c r="B688" s="362"/>
      <c r="C688" s="362"/>
      <c r="D688" s="362"/>
      <c r="E688" s="132"/>
      <c r="F688" s="131"/>
      <c r="G688" s="361"/>
      <c r="H688" s="363"/>
      <c r="I688" s="364"/>
      <c r="J688" s="361"/>
      <c r="K688" s="361"/>
      <c r="L688" s="361"/>
      <c r="M688" s="361"/>
      <c r="N688" s="361"/>
      <c r="O688" s="361"/>
      <c r="P688" s="361"/>
      <c r="Q688" s="361"/>
      <c r="R688" s="361"/>
      <c r="S688" s="361"/>
      <c r="T688" s="361"/>
      <c r="U688" s="361"/>
      <c r="V688" s="361"/>
      <c r="W688" s="361"/>
      <c r="X688" s="365"/>
      <c r="Y688" s="361"/>
      <c r="Z688" s="361"/>
      <c r="AA688" s="116"/>
      <c r="AB688" s="116"/>
      <c r="AC688" s="116"/>
      <c r="AD688" s="116"/>
      <c r="AE688" s="365"/>
      <c r="AF688" s="116"/>
      <c r="AG688" s="116"/>
      <c r="AH688" s="116"/>
      <c r="AI688" s="116"/>
      <c r="AJ688" s="116"/>
      <c r="AK688" s="116"/>
      <c r="AL688" s="116"/>
    </row>
    <row r="689" ht="16.5" customHeight="1">
      <c r="A689" s="362"/>
      <c r="B689" s="362"/>
      <c r="C689" s="362"/>
      <c r="D689" s="362"/>
      <c r="E689" s="132"/>
      <c r="F689" s="131"/>
      <c r="G689" s="361"/>
      <c r="H689" s="363"/>
      <c r="I689" s="364"/>
      <c r="J689" s="361"/>
      <c r="K689" s="361"/>
      <c r="L689" s="361"/>
      <c r="M689" s="361"/>
      <c r="N689" s="361"/>
      <c r="O689" s="361"/>
      <c r="P689" s="361"/>
      <c r="Q689" s="361"/>
      <c r="R689" s="361"/>
      <c r="S689" s="361"/>
      <c r="T689" s="361"/>
      <c r="U689" s="361"/>
      <c r="V689" s="361"/>
      <c r="W689" s="361"/>
      <c r="X689" s="365"/>
      <c r="Y689" s="361"/>
      <c r="Z689" s="361"/>
      <c r="AA689" s="116"/>
      <c r="AB689" s="116"/>
      <c r="AC689" s="116"/>
      <c r="AD689" s="116"/>
      <c r="AE689" s="365"/>
      <c r="AF689" s="116"/>
      <c r="AG689" s="116"/>
      <c r="AH689" s="116"/>
      <c r="AI689" s="116"/>
      <c r="AJ689" s="116"/>
      <c r="AK689" s="116"/>
      <c r="AL689" s="116"/>
    </row>
    <row r="690" ht="16.5" customHeight="1">
      <c r="A690" s="362"/>
      <c r="B690" s="362"/>
      <c r="C690" s="362"/>
      <c r="D690" s="362"/>
      <c r="E690" s="132"/>
      <c r="F690" s="131"/>
      <c r="G690" s="361"/>
      <c r="H690" s="363"/>
      <c r="I690" s="364"/>
      <c r="J690" s="361"/>
      <c r="K690" s="361"/>
      <c r="L690" s="361"/>
      <c r="M690" s="361"/>
      <c r="N690" s="361"/>
      <c r="O690" s="361"/>
      <c r="P690" s="361"/>
      <c r="Q690" s="361"/>
      <c r="R690" s="361"/>
      <c r="S690" s="361"/>
      <c r="T690" s="361"/>
      <c r="U690" s="361"/>
      <c r="V690" s="361"/>
      <c r="W690" s="361"/>
      <c r="X690" s="365"/>
      <c r="Y690" s="361"/>
      <c r="Z690" s="361"/>
      <c r="AA690" s="116"/>
      <c r="AB690" s="116"/>
      <c r="AC690" s="116"/>
      <c r="AD690" s="116"/>
      <c r="AE690" s="365"/>
      <c r="AF690" s="116"/>
      <c r="AG690" s="116"/>
      <c r="AH690" s="116"/>
      <c r="AI690" s="116"/>
      <c r="AJ690" s="116"/>
      <c r="AK690" s="116"/>
      <c r="AL690" s="116"/>
    </row>
    <row r="691" ht="16.5" customHeight="1">
      <c r="A691" s="362"/>
      <c r="B691" s="362"/>
      <c r="C691" s="362"/>
      <c r="D691" s="362"/>
      <c r="E691" s="132"/>
      <c r="F691" s="131"/>
      <c r="G691" s="361"/>
      <c r="H691" s="363"/>
      <c r="I691" s="364"/>
      <c r="J691" s="361"/>
      <c r="K691" s="361"/>
      <c r="L691" s="361"/>
      <c r="M691" s="361"/>
      <c r="N691" s="361"/>
      <c r="O691" s="361"/>
      <c r="P691" s="361"/>
      <c r="Q691" s="361"/>
      <c r="R691" s="361"/>
      <c r="S691" s="361"/>
      <c r="T691" s="361"/>
      <c r="U691" s="361"/>
      <c r="V691" s="361"/>
      <c r="W691" s="361"/>
      <c r="X691" s="365"/>
      <c r="Y691" s="361"/>
      <c r="Z691" s="361"/>
      <c r="AA691" s="116"/>
      <c r="AB691" s="116"/>
      <c r="AC691" s="116"/>
      <c r="AD691" s="116"/>
      <c r="AE691" s="365"/>
      <c r="AF691" s="116"/>
      <c r="AG691" s="116"/>
      <c r="AH691" s="116"/>
      <c r="AI691" s="116"/>
      <c r="AJ691" s="116"/>
      <c r="AK691" s="116"/>
      <c r="AL691" s="116"/>
    </row>
    <row r="692" ht="16.5" customHeight="1">
      <c r="A692" s="362"/>
      <c r="B692" s="362"/>
      <c r="C692" s="362"/>
      <c r="D692" s="362"/>
      <c r="E692" s="132"/>
      <c r="F692" s="131"/>
      <c r="G692" s="361"/>
      <c r="H692" s="363"/>
      <c r="I692" s="364"/>
      <c r="J692" s="361"/>
      <c r="K692" s="361"/>
      <c r="L692" s="361"/>
      <c r="M692" s="361"/>
      <c r="N692" s="361"/>
      <c r="O692" s="361"/>
      <c r="P692" s="361"/>
      <c r="Q692" s="361"/>
      <c r="R692" s="361"/>
      <c r="S692" s="361"/>
      <c r="T692" s="361"/>
      <c r="U692" s="361"/>
      <c r="V692" s="361"/>
      <c r="W692" s="361"/>
      <c r="X692" s="365"/>
      <c r="Y692" s="361"/>
      <c r="Z692" s="361"/>
      <c r="AA692" s="116"/>
      <c r="AB692" s="116"/>
      <c r="AC692" s="116"/>
      <c r="AD692" s="116"/>
      <c r="AE692" s="365"/>
      <c r="AF692" s="116"/>
      <c r="AG692" s="116"/>
      <c r="AH692" s="116"/>
      <c r="AI692" s="116"/>
      <c r="AJ692" s="116"/>
      <c r="AK692" s="116"/>
      <c r="AL692" s="116"/>
    </row>
    <row r="693" ht="16.5" customHeight="1">
      <c r="A693" s="362"/>
      <c r="B693" s="362"/>
      <c r="C693" s="362"/>
      <c r="D693" s="362"/>
      <c r="E693" s="132"/>
      <c r="F693" s="131"/>
      <c r="G693" s="361"/>
      <c r="H693" s="363"/>
      <c r="I693" s="364"/>
      <c r="J693" s="361"/>
      <c r="K693" s="361"/>
      <c r="L693" s="361"/>
      <c r="M693" s="361"/>
      <c r="N693" s="361"/>
      <c r="O693" s="361"/>
      <c r="P693" s="361"/>
      <c r="Q693" s="361"/>
      <c r="R693" s="361"/>
      <c r="S693" s="361"/>
      <c r="T693" s="361"/>
      <c r="U693" s="361"/>
      <c r="V693" s="361"/>
      <c r="W693" s="361"/>
      <c r="X693" s="365"/>
      <c r="Y693" s="361"/>
      <c r="Z693" s="361"/>
      <c r="AA693" s="116"/>
      <c r="AB693" s="116"/>
      <c r="AC693" s="116"/>
      <c r="AD693" s="116"/>
      <c r="AE693" s="365"/>
      <c r="AF693" s="116"/>
      <c r="AG693" s="116"/>
      <c r="AH693" s="116"/>
      <c r="AI693" s="116"/>
      <c r="AJ693" s="116"/>
      <c r="AK693" s="116"/>
      <c r="AL693" s="116"/>
    </row>
    <row r="694" ht="16.5" customHeight="1">
      <c r="A694" s="362"/>
      <c r="B694" s="362"/>
      <c r="C694" s="362"/>
      <c r="D694" s="362"/>
      <c r="E694" s="132"/>
      <c r="F694" s="131"/>
      <c r="G694" s="361"/>
      <c r="H694" s="363"/>
      <c r="I694" s="364"/>
      <c r="J694" s="361"/>
      <c r="K694" s="361"/>
      <c r="L694" s="361"/>
      <c r="M694" s="361"/>
      <c r="N694" s="361"/>
      <c r="O694" s="361"/>
      <c r="P694" s="361"/>
      <c r="Q694" s="361"/>
      <c r="R694" s="361"/>
      <c r="S694" s="361"/>
      <c r="T694" s="361"/>
      <c r="U694" s="361"/>
      <c r="V694" s="361"/>
      <c r="W694" s="361"/>
      <c r="X694" s="365"/>
      <c r="Y694" s="361"/>
      <c r="Z694" s="361"/>
      <c r="AA694" s="116"/>
      <c r="AB694" s="116"/>
      <c r="AC694" s="116"/>
      <c r="AD694" s="116"/>
      <c r="AE694" s="365"/>
      <c r="AF694" s="116"/>
      <c r="AG694" s="116"/>
      <c r="AH694" s="116"/>
      <c r="AI694" s="116"/>
      <c r="AJ694" s="116"/>
      <c r="AK694" s="116"/>
      <c r="AL694" s="116"/>
    </row>
    <row r="695" ht="16.5" customHeight="1">
      <c r="A695" s="362"/>
      <c r="B695" s="362"/>
      <c r="C695" s="362"/>
      <c r="D695" s="362"/>
      <c r="E695" s="132"/>
      <c r="F695" s="131"/>
      <c r="G695" s="361"/>
      <c r="H695" s="363"/>
      <c r="I695" s="364"/>
      <c r="J695" s="361"/>
      <c r="K695" s="361"/>
      <c r="L695" s="361"/>
      <c r="M695" s="361"/>
      <c r="N695" s="361"/>
      <c r="O695" s="361"/>
      <c r="P695" s="361"/>
      <c r="Q695" s="361"/>
      <c r="R695" s="361"/>
      <c r="S695" s="361"/>
      <c r="T695" s="361"/>
      <c r="U695" s="361"/>
      <c r="V695" s="361"/>
      <c r="W695" s="361"/>
      <c r="X695" s="365"/>
      <c r="Y695" s="361"/>
      <c r="Z695" s="361"/>
      <c r="AA695" s="116"/>
      <c r="AB695" s="116"/>
      <c r="AC695" s="116"/>
      <c r="AD695" s="116"/>
      <c r="AE695" s="365"/>
      <c r="AF695" s="116"/>
      <c r="AG695" s="116"/>
      <c r="AH695" s="116"/>
      <c r="AI695" s="116"/>
      <c r="AJ695" s="116"/>
      <c r="AK695" s="116"/>
      <c r="AL695" s="116"/>
    </row>
    <row r="696" ht="16.5" customHeight="1">
      <c r="A696" s="362"/>
      <c r="B696" s="362"/>
      <c r="C696" s="362"/>
      <c r="D696" s="362"/>
      <c r="E696" s="132"/>
      <c r="F696" s="131"/>
      <c r="G696" s="361"/>
      <c r="H696" s="363"/>
      <c r="I696" s="364"/>
      <c r="J696" s="361"/>
      <c r="K696" s="361"/>
      <c r="L696" s="361"/>
      <c r="M696" s="361"/>
      <c r="N696" s="361"/>
      <c r="O696" s="361"/>
      <c r="P696" s="361"/>
      <c r="Q696" s="361"/>
      <c r="R696" s="361"/>
      <c r="S696" s="361"/>
      <c r="T696" s="361"/>
      <c r="U696" s="361"/>
      <c r="V696" s="361"/>
      <c r="W696" s="361"/>
      <c r="X696" s="365"/>
      <c r="Y696" s="361"/>
      <c r="Z696" s="361"/>
      <c r="AA696" s="116"/>
      <c r="AB696" s="116"/>
      <c r="AC696" s="116"/>
      <c r="AD696" s="116"/>
      <c r="AE696" s="365"/>
      <c r="AF696" s="116"/>
      <c r="AG696" s="116"/>
      <c r="AH696" s="116"/>
      <c r="AI696" s="116"/>
      <c r="AJ696" s="116"/>
      <c r="AK696" s="116"/>
      <c r="AL696" s="116"/>
    </row>
    <row r="697" ht="16.5" customHeight="1">
      <c r="A697" s="362"/>
      <c r="B697" s="362"/>
      <c r="C697" s="362"/>
      <c r="D697" s="362"/>
      <c r="E697" s="132"/>
      <c r="F697" s="131"/>
      <c r="G697" s="361"/>
      <c r="H697" s="363"/>
      <c r="I697" s="364"/>
      <c r="J697" s="361"/>
      <c r="K697" s="361"/>
      <c r="L697" s="361"/>
      <c r="M697" s="361"/>
      <c r="N697" s="361"/>
      <c r="O697" s="361"/>
      <c r="P697" s="361"/>
      <c r="Q697" s="361"/>
      <c r="R697" s="361"/>
      <c r="S697" s="361"/>
      <c r="T697" s="361"/>
      <c r="U697" s="361"/>
      <c r="V697" s="361"/>
      <c r="W697" s="361"/>
      <c r="X697" s="365"/>
      <c r="Y697" s="361"/>
      <c r="Z697" s="361"/>
      <c r="AA697" s="116"/>
      <c r="AB697" s="116"/>
      <c r="AC697" s="116"/>
      <c r="AD697" s="116"/>
      <c r="AE697" s="365"/>
      <c r="AF697" s="116"/>
      <c r="AG697" s="116"/>
      <c r="AH697" s="116"/>
      <c r="AI697" s="116"/>
      <c r="AJ697" s="116"/>
      <c r="AK697" s="116"/>
      <c r="AL697" s="116"/>
    </row>
    <row r="698" ht="16.5" customHeight="1">
      <c r="A698" s="362"/>
      <c r="B698" s="362"/>
      <c r="C698" s="362"/>
      <c r="D698" s="362"/>
      <c r="E698" s="132"/>
      <c r="F698" s="131"/>
      <c r="G698" s="361"/>
      <c r="H698" s="363"/>
      <c r="I698" s="364"/>
      <c r="J698" s="361"/>
      <c r="K698" s="361"/>
      <c r="L698" s="361"/>
      <c r="M698" s="361"/>
      <c r="N698" s="361"/>
      <c r="O698" s="361"/>
      <c r="P698" s="361"/>
      <c r="Q698" s="361"/>
      <c r="R698" s="361"/>
      <c r="S698" s="361"/>
      <c r="T698" s="361"/>
      <c r="U698" s="361"/>
      <c r="V698" s="361"/>
      <c r="W698" s="361"/>
      <c r="X698" s="365"/>
      <c r="Y698" s="361"/>
      <c r="Z698" s="361"/>
      <c r="AA698" s="116"/>
      <c r="AB698" s="116"/>
      <c r="AC698" s="116"/>
      <c r="AD698" s="116"/>
      <c r="AE698" s="365"/>
      <c r="AF698" s="116"/>
      <c r="AG698" s="116"/>
      <c r="AH698" s="116"/>
      <c r="AI698" s="116"/>
      <c r="AJ698" s="116"/>
      <c r="AK698" s="116"/>
      <c r="AL698" s="116"/>
    </row>
    <row r="699" ht="16.5" customHeight="1">
      <c r="A699" s="362"/>
      <c r="B699" s="362"/>
      <c r="C699" s="362"/>
      <c r="D699" s="362"/>
      <c r="E699" s="132"/>
      <c r="F699" s="131"/>
      <c r="G699" s="361"/>
      <c r="H699" s="363"/>
      <c r="I699" s="364"/>
      <c r="J699" s="361"/>
      <c r="K699" s="361"/>
      <c r="L699" s="361"/>
      <c r="M699" s="361"/>
      <c r="N699" s="361"/>
      <c r="O699" s="361"/>
      <c r="P699" s="361"/>
      <c r="Q699" s="361"/>
      <c r="R699" s="361"/>
      <c r="S699" s="361"/>
      <c r="T699" s="361"/>
      <c r="U699" s="361"/>
      <c r="V699" s="361"/>
      <c r="W699" s="361"/>
      <c r="X699" s="365"/>
      <c r="Y699" s="361"/>
      <c r="Z699" s="361"/>
      <c r="AA699" s="116"/>
      <c r="AB699" s="116"/>
      <c r="AC699" s="116"/>
      <c r="AD699" s="116"/>
      <c r="AE699" s="365"/>
      <c r="AF699" s="116"/>
      <c r="AG699" s="116"/>
      <c r="AH699" s="116"/>
      <c r="AI699" s="116"/>
      <c r="AJ699" s="116"/>
      <c r="AK699" s="116"/>
      <c r="AL699" s="116"/>
    </row>
    <row r="700" ht="16.5" customHeight="1">
      <c r="A700" s="362"/>
      <c r="B700" s="362"/>
      <c r="C700" s="362"/>
      <c r="D700" s="362"/>
      <c r="E700" s="132"/>
      <c r="F700" s="131"/>
      <c r="G700" s="361"/>
      <c r="H700" s="363"/>
      <c r="I700" s="364"/>
      <c r="J700" s="361"/>
      <c r="K700" s="361"/>
      <c r="L700" s="361"/>
      <c r="M700" s="361"/>
      <c r="N700" s="361"/>
      <c r="O700" s="361"/>
      <c r="P700" s="361"/>
      <c r="Q700" s="361"/>
      <c r="R700" s="361"/>
      <c r="S700" s="361"/>
      <c r="T700" s="361"/>
      <c r="U700" s="361"/>
      <c r="V700" s="361"/>
      <c r="W700" s="361"/>
      <c r="X700" s="365"/>
      <c r="Y700" s="361"/>
      <c r="Z700" s="361"/>
      <c r="AA700" s="116"/>
      <c r="AB700" s="116"/>
      <c r="AC700" s="116"/>
      <c r="AD700" s="116"/>
      <c r="AE700" s="365"/>
      <c r="AF700" s="116"/>
      <c r="AG700" s="116"/>
      <c r="AH700" s="116"/>
      <c r="AI700" s="116"/>
      <c r="AJ700" s="116"/>
      <c r="AK700" s="116"/>
      <c r="AL700" s="116"/>
    </row>
    <row r="701" ht="16.5" customHeight="1">
      <c r="A701" s="362"/>
      <c r="B701" s="362"/>
      <c r="C701" s="362"/>
      <c r="D701" s="362"/>
      <c r="E701" s="132"/>
      <c r="F701" s="131"/>
      <c r="G701" s="361"/>
      <c r="H701" s="363"/>
      <c r="I701" s="364"/>
      <c r="J701" s="361"/>
      <c r="K701" s="361"/>
      <c r="L701" s="361"/>
      <c r="M701" s="361"/>
      <c r="N701" s="361"/>
      <c r="O701" s="361"/>
      <c r="P701" s="361"/>
      <c r="Q701" s="361"/>
      <c r="R701" s="361"/>
      <c r="S701" s="361"/>
      <c r="T701" s="361"/>
      <c r="U701" s="361"/>
      <c r="V701" s="361"/>
      <c r="W701" s="361"/>
      <c r="X701" s="365"/>
      <c r="Y701" s="361"/>
      <c r="Z701" s="361"/>
      <c r="AA701" s="116"/>
      <c r="AB701" s="116"/>
      <c r="AC701" s="116"/>
      <c r="AD701" s="116"/>
      <c r="AE701" s="365"/>
      <c r="AF701" s="116"/>
      <c r="AG701" s="116"/>
      <c r="AH701" s="116"/>
      <c r="AI701" s="116"/>
      <c r="AJ701" s="116"/>
      <c r="AK701" s="116"/>
      <c r="AL701" s="116"/>
    </row>
    <row r="702" ht="16.5" customHeight="1">
      <c r="A702" s="362"/>
      <c r="B702" s="362"/>
      <c r="C702" s="362"/>
      <c r="D702" s="362"/>
      <c r="E702" s="132"/>
      <c r="F702" s="131"/>
      <c r="G702" s="361"/>
      <c r="H702" s="363"/>
      <c r="I702" s="364"/>
      <c r="J702" s="361"/>
      <c r="K702" s="361"/>
      <c r="L702" s="361"/>
      <c r="M702" s="361"/>
      <c r="N702" s="361"/>
      <c r="O702" s="361"/>
      <c r="P702" s="361"/>
      <c r="Q702" s="361"/>
      <c r="R702" s="361"/>
      <c r="S702" s="361"/>
      <c r="T702" s="361"/>
      <c r="U702" s="361"/>
      <c r="V702" s="361"/>
      <c r="W702" s="361"/>
      <c r="X702" s="365"/>
      <c r="Y702" s="361"/>
      <c r="Z702" s="361"/>
      <c r="AA702" s="116"/>
      <c r="AB702" s="116"/>
      <c r="AC702" s="116"/>
      <c r="AD702" s="116"/>
      <c r="AE702" s="365"/>
      <c r="AF702" s="116"/>
      <c r="AG702" s="116"/>
      <c r="AH702" s="116"/>
      <c r="AI702" s="116"/>
      <c r="AJ702" s="116"/>
      <c r="AK702" s="116"/>
      <c r="AL702" s="116"/>
    </row>
    <row r="703" ht="16.5" customHeight="1">
      <c r="A703" s="362"/>
      <c r="B703" s="362"/>
      <c r="C703" s="362"/>
      <c r="D703" s="362"/>
      <c r="E703" s="132"/>
      <c r="F703" s="131"/>
      <c r="G703" s="361"/>
      <c r="H703" s="363"/>
      <c r="I703" s="364"/>
      <c r="J703" s="361"/>
      <c r="K703" s="361"/>
      <c r="L703" s="361"/>
      <c r="M703" s="361"/>
      <c r="N703" s="361"/>
      <c r="O703" s="361"/>
      <c r="P703" s="361"/>
      <c r="Q703" s="361"/>
      <c r="R703" s="361"/>
      <c r="S703" s="361"/>
      <c r="T703" s="361"/>
      <c r="U703" s="361"/>
      <c r="V703" s="361"/>
      <c r="W703" s="361"/>
      <c r="X703" s="365"/>
      <c r="Y703" s="361"/>
      <c r="Z703" s="361"/>
      <c r="AA703" s="116"/>
      <c r="AB703" s="116"/>
      <c r="AC703" s="116"/>
      <c r="AD703" s="116"/>
      <c r="AE703" s="365"/>
      <c r="AF703" s="116"/>
      <c r="AG703" s="116"/>
      <c r="AH703" s="116"/>
      <c r="AI703" s="116"/>
      <c r="AJ703" s="116"/>
      <c r="AK703" s="116"/>
      <c r="AL703" s="116"/>
    </row>
    <row r="704" ht="16.5" customHeight="1">
      <c r="A704" s="362"/>
      <c r="B704" s="362"/>
      <c r="C704" s="362"/>
      <c r="D704" s="362"/>
      <c r="E704" s="132"/>
      <c r="F704" s="131"/>
      <c r="G704" s="361"/>
      <c r="H704" s="363"/>
      <c r="I704" s="364"/>
      <c r="J704" s="361"/>
      <c r="K704" s="361"/>
      <c r="L704" s="361"/>
      <c r="M704" s="361"/>
      <c r="N704" s="361"/>
      <c r="O704" s="361"/>
      <c r="P704" s="361"/>
      <c r="Q704" s="361"/>
      <c r="R704" s="361"/>
      <c r="S704" s="361"/>
      <c r="T704" s="361"/>
      <c r="U704" s="361"/>
      <c r="V704" s="361"/>
      <c r="W704" s="361"/>
      <c r="X704" s="365"/>
      <c r="Y704" s="361"/>
      <c r="Z704" s="361"/>
      <c r="AA704" s="116"/>
      <c r="AB704" s="116"/>
      <c r="AC704" s="116"/>
      <c r="AD704" s="116"/>
      <c r="AE704" s="365"/>
      <c r="AF704" s="116"/>
      <c r="AG704" s="116"/>
      <c r="AH704" s="116"/>
      <c r="AI704" s="116"/>
      <c r="AJ704" s="116"/>
      <c r="AK704" s="116"/>
      <c r="AL704" s="116"/>
    </row>
    <row r="705" ht="16.5" customHeight="1">
      <c r="A705" s="362"/>
      <c r="B705" s="362"/>
      <c r="C705" s="362"/>
      <c r="D705" s="362"/>
      <c r="E705" s="132"/>
      <c r="F705" s="131"/>
      <c r="G705" s="361"/>
      <c r="H705" s="363"/>
      <c r="I705" s="364"/>
      <c r="J705" s="361"/>
      <c r="K705" s="361"/>
      <c r="L705" s="361"/>
      <c r="M705" s="361"/>
      <c r="N705" s="361"/>
      <c r="O705" s="361"/>
      <c r="P705" s="361"/>
      <c r="Q705" s="361"/>
      <c r="R705" s="361"/>
      <c r="S705" s="361"/>
      <c r="T705" s="361"/>
      <c r="U705" s="361"/>
      <c r="V705" s="361"/>
      <c r="W705" s="361"/>
      <c r="X705" s="365"/>
      <c r="Y705" s="361"/>
      <c r="Z705" s="361"/>
      <c r="AA705" s="116"/>
      <c r="AB705" s="116"/>
      <c r="AC705" s="116"/>
      <c r="AD705" s="116"/>
      <c r="AE705" s="365"/>
      <c r="AF705" s="116"/>
      <c r="AG705" s="116"/>
      <c r="AH705" s="116"/>
      <c r="AI705" s="116"/>
      <c r="AJ705" s="116"/>
      <c r="AK705" s="116"/>
      <c r="AL705" s="116"/>
    </row>
    <row r="706" ht="16.5" customHeight="1">
      <c r="A706" s="362"/>
      <c r="B706" s="362"/>
      <c r="C706" s="362"/>
      <c r="D706" s="362"/>
      <c r="E706" s="132"/>
      <c r="F706" s="131"/>
      <c r="G706" s="361"/>
      <c r="H706" s="363"/>
      <c r="I706" s="364"/>
      <c r="J706" s="361"/>
      <c r="K706" s="361"/>
      <c r="L706" s="361"/>
      <c r="M706" s="361"/>
      <c r="N706" s="361"/>
      <c r="O706" s="361"/>
      <c r="P706" s="361"/>
      <c r="Q706" s="361"/>
      <c r="R706" s="361"/>
      <c r="S706" s="361"/>
      <c r="T706" s="361"/>
      <c r="U706" s="361"/>
      <c r="V706" s="361"/>
      <c r="W706" s="361"/>
      <c r="X706" s="365"/>
      <c r="Y706" s="361"/>
      <c r="Z706" s="361"/>
      <c r="AA706" s="116"/>
      <c r="AB706" s="116"/>
      <c r="AC706" s="116"/>
      <c r="AD706" s="116"/>
      <c r="AE706" s="365"/>
      <c r="AF706" s="116"/>
      <c r="AG706" s="116"/>
      <c r="AH706" s="116"/>
      <c r="AI706" s="116"/>
      <c r="AJ706" s="116"/>
      <c r="AK706" s="116"/>
      <c r="AL706" s="116"/>
    </row>
    <row r="707" ht="16.5" customHeight="1">
      <c r="A707" s="362"/>
      <c r="B707" s="362"/>
      <c r="C707" s="362"/>
      <c r="D707" s="362"/>
      <c r="E707" s="132"/>
      <c r="F707" s="131"/>
      <c r="G707" s="361"/>
      <c r="H707" s="363"/>
      <c r="I707" s="364"/>
      <c r="J707" s="361"/>
      <c r="K707" s="361"/>
      <c r="L707" s="361"/>
      <c r="M707" s="361"/>
      <c r="N707" s="361"/>
      <c r="O707" s="361"/>
      <c r="P707" s="361"/>
      <c r="Q707" s="361"/>
      <c r="R707" s="361"/>
      <c r="S707" s="361"/>
      <c r="T707" s="361"/>
      <c r="U707" s="361"/>
      <c r="V707" s="361"/>
      <c r="W707" s="361"/>
      <c r="X707" s="365"/>
      <c r="Y707" s="361"/>
      <c r="Z707" s="361"/>
      <c r="AA707" s="116"/>
      <c r="AB707" s="116"/>
      <c r="AC707" s="116"/>
      <c r="AD707" s="116"/>
      <c r="AE707" s="365"/>
      <c r="AF707" s="116"/>
      <c r="AG707" s="116"/>
      <c r="AH707" s="116"/>
      <c r="AI707" s="116"/>
      <c r="AJ707" s="116"/>
      <c r="AK707" s="116"/>
      <c r="AL707" s="116"/>
    </row>
    <row r="708" ht="16.5" customHeight="1">
      <c r="A708" s="362"/>
      <c r="B708" s="362"/>
      <c r="C708" s="362"/>
      <c r="D708" s="362"/>
      <c r="E708" s="132"/>
      <c r="F708" s="131"/>
      <c r="G708" s="361"/>
      <c r="H708" s="363"/>
      <c r="I708" s="364"/>
      <c r="J708" s="361"/>
      <c r="K708" s="361"/>
      <c r="L708" s="361"/>
      <c r="M708" s="361"/>
      <c r="N708" s="361"/>
      <c r="O708" s="361"/>
      <c r="P708" s="361"/>
      <c r="Q708" s="361"/>
      <c r="R708" s="361"/>
      <c r="S708" s="361"/>
      <c r="T708" s="361"/>
      <c r="U708" s="361"/>
      <c r="V708" s="361"/>
      <c r="W708" s="361"/>
      <c r="X708" s="365"/>
      <c r="Y708" s="361"/>
      <c r="Z708" s="361"/>
      <c r="AA708" s="116"/>
      <c r="AB708" s="116"/>
      <c r="AC708" s="116"/>
      <c r="AD708" s="116"/>
      <c r="AE708" s="365"/>
      <c r="AF708" s="116"/>
      <c r="AG708" s="116"/>
      <c r="AH708" s="116"/>
      <c r="AI708" s="116"/>
      <c r="AJ708" s="116"/>
      <c r="AK708" s="116"/>
      <c r="AL708" s="116"/>
    </row>
    <row r="709" ht="16.5" customHeight="1">
      <c r="A709" s="362"/>
      <c r="B709" s="362"/>
      <c r="C709" s="362"/>
      <c r="D709" s="362"/>
      <c r="E709" s="132"/>
      <c r="F709" s="131"/>
      <c r="G709" s="361"/>
      <c r="H709" s="363"/>
      <c r="I709" s="364"/>
      <c r="J709" s="361"/>
      <c r="K709" s="361"/>
      <c r="L709" s="361"/>
      <c r="M709" s="361"/>
      <c r="N709" s="361"/>
      <c r="O709" s="361"/>
      <c r="P709" s="361"/>
      <c r="Q709" s="361"/>
      <c r="R709" s="361"/>
      <c r="S709" s="361"/>
      <c r="T709" s="361"/>
      <c r="U709" s="361"/>
      <c r="V709" s="361"/>
      <c r="W709" s="361"/>
      <c r="X709" s="365"/>
      <c r="Y709" s="361"/>
      <c r="Z709" s="361"/>
      <c r="AA709" s="116"/>
      <c r="AB709" s="116"/>
      <c r="AC709" s="116"/>
      <c r="AD709" s="116"/>
      <c r="AE709" s="365"/>
      <c r="AF709" s="116"/>
      <c r="AG709" s="116"/>
      <c r="AH709" s="116"/>
      <c r="AI709" s="116"/>
      <c r="AJ709" s="116"/>
      <c r="AK709" s="116"/>
      <c r="AL709" s="116"/>
    </row>
    <row r="710" ht="16.5" customHeight="1">
      <c r="A710" s="362"/>
      <c r="B710" s="362"/>
      <c r="C710" s="362"/>
      <c r="D710" s="362"/>
      <c r="E710" s="132"/>
      <c r="F710" s="131"/>
      <c r="G710" s="361"/>
      <c r="H710" s="363"/>
      <c r="I710" s="364"/>
      <c r="J710" s="361"/>
      <c r="K710" s="361"/>
      <c r="L710" s="361"/>
      <c r="M710" s="361"/>
      <c r="N710" s="361"/>
      <c r="O710" s="361"/>
      <c r="P710" s="361"/>
      <c r="Q710" s="361"/>
      <c r="R710" s="361"/>
      <c r="S710" s="361"/>
      <c r="T710" s="361"/>
      <c r="U710" s="361"/>
      <c r="V710" s="361"/>
      <c r="W710" s="361"/>
      <c r="X710" s="365"/>
      <c r="Y710" s="361"/>
      <c r="Z710" s="361"/>
      <c r="AA710" s="116"/>
      <c r="AB710" s="116"/>
      <c r="AC710" s="116"/>
      <c r="AD710" s="116"/>
      <c r="AE710" s="365"/>
      <c r="AF710" s="116"/>
      <c r="AG710" s="116"/>
      <c r="AH710" s="116"/>
      <c r="AI710" s="116"/>
      <c r="AJ710" s="116"/>
      <c r="AK710" s="116"/>
      <c r="AL710" s="116"/>
    </row>
    <row r="711" ht="16.5" customHeight="1">
      <c r="A711" s="362"/>
      <c r="B711" s="362"/>
      <c r="C711" s="362"/>
      <c r="D711" s="362"/>
      <c r="E711" s="132"/>
      <c r="F711" s="131"/>
      <c r="G711" s="361"/>
      <c r="H711" s="363"/>
      <c r="I711" s="364"/>
      <c r="J711" s="361"/>
      <c r="K711" s="361"/>
      <c r="L711" s="361"/>
      <c r="M711" s="361"/>
      <c r="N711" s="361"/>
      <c r="O711" s="361"/>
      <c r="P711" s="361"/>
      <c r="Q711" s="361"/>
      <c r="R711" s="361"/>
      <c r="S711" s="361"/>
      <c r="T711" s="361"/>
      <c r="U711" s="361"/>
      <c r="V711" s="361"/>
      <c r="W711" s="361"/>
      <c r="X711" s="365"/>
      <c r="Y711" s="361"/>
      <c r="Z711" s="361"/>
      <c r="AA711" s="116"/>
      <c r="AB711" s="116"/>
      <c r="AC711" s="116"/>
      <c r="AD711" s="116"/>
      <c r="AE711" s="365"/>
      <c r="AF711" s="116"/>
      <c r="AG711" s="116"/>
      <c r="AH711" s="116"/>
      <c r="AI711" s="116"/>
      <c r="AJ711" s="116"/>
      <c r="AK711" s="116"/>
      <c r="AL711" s="116"/>
    </row>
    <row r="712" ht="16.5" customHeight="1">
      <c r="A712" s="362"/>
      <c r="B712" s="362"/>
      <c r="C712" s="362"/>
      <c r="D712" s="362"/>
      <c r="E712" s="132"/>
      <c r="F712" s="131"/>
      <c r="G712" s="361"/>
      <c r="H712" s="363"/>
      <c r="I712" s="364"/>
      <c r="J712" s="361"/>
      <c r="K712" s="361"/>
      <c r="L712" s="361"/>
      <c r="M712" s="361"/>
      <c r="N712" s="361"/>
      <c r="O712" s="361"/>
      <c r="P712" s="361"/>
      <c r="Q712" s="361"/>
      <c r="R712" s="361"/>
      <c r="S712" s="361"/>
      <c r="T712" s="361"/>
      <c r="U712" s="361"/>
      <c r="V712" s="361"/>
      <c r="W712" s="361"/>
      <c r="X712" s="365"/>
      <c r="Y712" s="361"/>
      <c r="Z712" s="361"/>
      <c r="AA712" s="116"/>
      <c r="AB712" s="116"/>
      <c r="AC712" s="116"/>
      <c r="AD712" s="116"/>
      <c r="AE712" s="365"/>
      <c r="AF712" s="116"/>
      <c r="AG712" s="116"/>
      <c r="AH712" s="116"/>
      <c r="AI712" s="116"/>
      <c r="AJ712" s="116"/>
      <c r="AK712" s="116"/>
      <c r="AL712" s="116"/>
    </row>
    <row r="713" ht="16.5" customHeight="1">
      <c r="A713" s="362"/>
      <c r="B713" s="362"/>
      <c r="C713" s="362"/>
      <c r="D713" s="362"/>
      <c r="E713" s="132"/>
      <c r="F713" s="131"/>
      <c r="G713" s="361"/>
      <c r="H713" s="363"/>
      <c r="I713" s="364"/>
      <c r="J713" s="361"/>
      <c r="K713" s="361"/>
      <c r="L713" s="361"/>
      <c r="M713" s="361"/>
      <c r="N713" s="361"/>
      <c r="O713" s="361"/>
      <c r="P713" s="361"/>
      <c r="Q713" s="361"/>
      <c r="R713" s="361"/>
      <c r="S713" s="361"/>
      <c r="T713" s="361"/>
      <c r="U713" s="361"/>
      <c r="V713" s="361"/>
      <c r="W713" s="361"/>
      <c r="X713" s="365"/>
      <c r="Y713" s="361"/>
      <c r="Z713" s="361"/>
      <c r="AA713" s="116"/>
      <c r="AB713" s="116"/>
      <c r="AC713" s="116"/>
      <c r="AD713" s="116"/>
      <c r="AE713" s="365"/>
      <c r="AF713" s="116"/>
      <c r="AG713" s="116"/>
      <c r="AH713" s="116"/>
      <c r="AI713" s="116"/>
      <c r="AJ713" s="116"/>
      <c r="AK713" s="116"/>
      <c r="AL713" s="116"/>
    </row>
    <row r="714" ht="16.5" customHeight="1">
      <c r="A714" s="362"/>
      <c r="B714" s="362"/>
      <c r="C714" s="362"/>
      <c r="D714" s="362"/>
      <c r="E714" s="132"/>
      <c r="F714" s="131"/>
      <c r="G714" s="361"/>
      <c r="H714" s="363"/>
      <c r="I714" s="364"/>
      <c r="J714" s="361"/>
      <c r="K714" s="361"/>
      <c r="L714" s="361"/>
      <c r="M714" s="361"/>
      <c r="N714" s="361"/>
      <c r="O714" s="361"/>
      <c r="P714" s="361"/>
      <c r="Q714" s="361"/>
      <c r="R714" s="361"/>
      <c r="S714" s="361"/>
      <c r="T714" s="361"/>
      <c r="U714" s="361"/>
      <c r="V714" s="361"/>
      <c r="W714" s="361"/>
      <c r="X714" s="365"/>
      <c r="Y714" s="361"/>
      <c r="Z714" s="361"/>
      <c r="AA714" s="116"/>
      <c r="AB714" s="116"/>
      <c r="AC714" s="116"/>
      <c r="AD714" s="116"/>
      <c r="AE714" s="365"/>
      <c r="AF714" s="116"/>
      <c r="AG714" s="116"/>
      <c r="AH714" s="116"/>
      <c r="AI714" s="116"/>
      <c r="AJ714" s="116"/>
      <c r="AK714" s="116"/>
      <c r="AL714" s="116"/>
    </row>
    <row r="715" ht="16.5" customHeight="1">
      <c r="A715" s="362"/>
      <c r="B715" s="362"/>
      <c r="C715" s="362"/>
      <c r="D715" s="362"/>
      <c r="E715" s="132"/>
      <c r="F715" s="131"/>
      <c r="G715" s="361"/>
      <c r="H715" s="363"/>
      <c r="I715" s="364"/>
      <c r="J715" s="361"/>
      <c r="K715" s="361"/>
      <c r="L715" s="361"/>
      <c r="M715" s="361"/>
      <c r="N715" s="361"/>
      <c r="O715" s="361"/>
      <c r="P715" s="361"/>
      <c r="Q715" s="361"/>
      <c r="R715" s="361"/>
      <c r="S715" s="361"/>
      <c r="T715" s="361"/>
      <c r="U715" s="361"/>
      <c r="V715" s="361"/>
      <c r="W715" s="361"/>
      <c r="X715" s="365"/>
      <c r="Y715" s="361"/>
      <c r="Z715" s="361"/>
      <c r="AA715" s="116"/>
      <c r="AB715" s="116"/>
      <c r="AC715" s="116"/>
      <c r="AD715" s="116"/>
      <c r="AE715" s="365"/>
      <c r="AF715" s="116"/>
      <c r="AG715" s="116"/>
      <c r="AH715" s="116"/>
      <c r="AI715" s="116"/>
      <c r="AJ715" s="116"/>
      <c r="AK715" s="116"/>
      <c r="AL715" s="116"/>
    </row>
    <row r="716" ht="16.5" customHeight="1">
      <c r="A716" s="362"/>
      <c r="B716" s="362"/>
      <c r="C716" s="362"/>
      <c r="D716" s="362"/>
      <c r="E716" s="132"/>
      <c r="F716" s="131"/>
      <c r="G716" s="361"/>
      <c r="H716" s="363"/>
      <c r="I716" s="364"/>
      <c r="J716" s="361"/>
      <c r="K716" s="361"/>
      <c r="L716" s="361"/>
      <c r="M716" s="361"/>
      <c r="N716" s="361"/>
      <c r="O716" s="361"/>
      <c r="P716" s="361"/>
      <c r="Q716" s="361"/>
      <c r="R716" s="361"/>
      <c r="S716" s="361"/>
      <c r="T716" s="361"/>
      <c r="U716" s="361"/>
      <c r="V716" s="361"/>
      <c r="W716" s="361"/>
      <c r="X716" s="365"/>
      <c r="Y716" s="361"/>
      <c r="Z716" s="361"/>
      <c r="AA716" s="116"/>
      <c r="AB716" s="116"/>
      <c r="AC716" s="116"/>
      <c r="AD716" s="116"/>
      <c r="AE716" s="365"/>
      <c r="AF716" s="116"/>
      <c r="AG716" s="116"/>
      <c r="AH716" s="116"/>
      <c r="AI716" s="116"/>
      <c r="AJ716" s="116"/>
      <c r="AK716" s="116"/>
      <c r="AL716" s="116"/>
    </row>
    <row r="717" ht="16.5" customHeight="1">
      <c r="A717" s="362"/>
      <c r="B717" s="362"/>
      <c r="C717" s="362"/>
      <c r="D717" s="362"/>
      <c r="E717" s="132"/>
      <c r="F717" s="131"/>
      <c r="G717" s="361"/>
      <c r="H717" s="363"/>
      <c r="I717" s="364"/>
      <c r="J717" s="361"/>
      <c r="K717" s="361"/>
      <c r="L717" s="361"/>
      <c r="M717" s="361"/>
      <c r="N717" s="361"/>
      <c r="O717" s="361"/>
      <c r="P717" s="361"/>
      <c r="Q717" s="361"/>
      <c r="R717" s="361"/>
      <c r="S717" s="361"/>
      <c r="T717" s="361"/>
      <c r="U717" s="361"/>
      <c r="V717" s="361"/>
      <c r="W717" s="361"/>
      <c r="X717" s="365"/>
      <c r="Y717" s="361"/>
      <c r="Z717" s="361"/>
      <c r="AA717" s="116"/>
      <c r="AB717" s="116"/>
      <c r="AC717" s="116"/>
      <c r="AD717" s="116"/>
      <c r="AE717" s="365"/>
      <c r="AF717" s="116"/>
      <c r="AG717" s="116"/>
      <c r="AH717" s="116"/>
      <c r="AI717" s="116"/>
      <c r="AJ717" s="116"/>
      <c r="AK717" s="116"/>
      <c r="AL717" s="116"/>
    </row>
    <row r="718" ht="16.5" customHeight="1">
      <c r="A718" s="362"/>
      <c r="B718" s="362"/>
      <c r="C718" s="362"/>
      <c r="D718" s="362"/>
      <c r="E718" s="132"/>
      <c r="F718" s="131"/>
      <c r="G718" s="361"/>
      <c r="H718" s="363"/>
      <c r="I718" s="364"/>
      <c r="J718" s="361"/>
      <c r="K718" s="361"/>
      <c r="L718" s="361"/>
      <c r="M718" s="361"/>
      <c r="N718" s="361"/>
      <c r="O718" s="361"/>
      <c r="P718" s="361"/>
      <c r="Q718" s="361"/>
      <c r="R718" s="361"/>
      <c r="S718" s="361"/>
      <c r="T718" s="361"/>
      <c r="U718" s="361"/>
      <c r="V718" s="361"/>
      <c r="W718" s="361"/>
      <c r="X718" s="365"/>
      <c r="Y718" s="361"/>
      <c r="Z718" s="361"/>
      <c r="AA718" s="116"/>
      <c r="AB718" s="116"/>
      <c r="AC718" s="116"/>
      <c r="AD718" s="116"/>
      <c r="AE718" s="365"/>
      <c r="AF718" s="116"/>
      <c r="AG718" s="116"/>
      <c r="AH718" s="116"/>
      <c r="AI718" s="116"/>
      <c r="AJ718" s="116"/>
      <c r="AK718" s="116"/>
      <c r="AL718" s="116"/>
    </row>
    <row r="719" ht="16.5" customHeight="1">
      <c r="A719" s="362"/>
      <c r="B719" s="362"/>
      <c r="C719" s="362"/>
      <c r="D719" s="362"/>
      <c r="E719" s="132"/>
      <c r="F719" s="131"/>
      <c r="G719" s="361"/>
      <c r="H719" s="363"/>
      <c r="I719" s="364"/>
      <c r="J719" s="361"/>
      <c r="K719" s="361"/>
      <c r="L719" s="361"/>
      <c r="M719" s="361"/>
      <c r="N719" s="361"/>
      <c r="O719" s="361"/>
      <c r="P719" s="361"/>
      <c r="Q719" s="361"/>
      <c r="R719" s="361"/>
      <c r="S719" s="361"/>
      <c r="T719" s="361"/>
      <c r="U719" s="361"/>
      <c r="V719" s="361"/>
      <c r="W719" s="361"/>
      <c r="X719" s="365"/>
      <c r="Y719" s="361"/>
      <c r="Z719" s="361"/>
      <c r="AA719" s="116"/>
      <c r="AB719" s="116"/>
      <c r="AC719" s="116"/>
      <c r="AD719" s="116"/>
      <c r="AE719" s="365"/>
      <c r="AF719" s="116"/>
      <c r="AG719" s="116"/>
      <c r="AH719" s="116"/>
      <c r="AI719" s="116"/>
      <c r="AJ719" s="116"/>
      <c r="AK719" s="116"/>
      <c r="AL719" s="116"/>
    </row>
    <row r="720" ht="16.5" customHeight="1">
      <c r="A720" s="362"/>
      <c r="B720" s="362"/>
      <c r="C720" s="362"/>
      <c r="D720" s="362"/>
      <c r="E720" s="132"/>
      <c r="F720" s="131"/>
      <c r="G720" s="361"/>
      <c r="H720" s="363"/>
      <c r="I720" s="364"/>
      <c r="J720" s="361"/>
      <c r="K720" s="361"/>
      <c r="L720" s="361"/>
      <c r="M720" s="361"/>
      <c r="N720" s="361"/>
      <c r="O720" s="361"/>
      <c r="P720" s="361"/>
      <c r="Q720" s="361"/>
      <c r="R720" s="361"/>
      <c r="S720" s="361"/>
      <c r="T720" s="361"/>
      <c r="U720" s="361"/>
      <c r="V720" s="361"/>
      <c r="W720" s="361"/>
      <c r="X720" s="365"/>
      <c r="Y720" s="361"/>
      <c r="Z720" s="361"/>
      <c r="AA720" s="116"/>
      <c r="AB720" s="116"/>
      <c r="AC720" s="116"/>
      <c r="AD720" s="116"/>
      <c r="AE720" s="365"/>
      <c r="AF720" s="116"/>
      <c r="AG720" s="116"/>
      <c r="AH720" s="116"/>
      <c r="AI720" s="116"/>
      <c r="AJ720" s="116"/>
      <c r="AK720" s="116"/>
      <c r="AL720" s="116"/>
    </row>
    <row r="721" ht="16.5" customHeight="1">
      <c r="A721" s="362"/>
      <c r="B721" s="362"/>
      <c r="C721" s="362"/>
      <c r="D721" s="362"/>
      <c r="E721" s="132"/>
      <c r="F721" s="131"/>
      <c r="G721" s="361"/>
      <c r="H721" s="363"/>
      <c r="I721" s="364"/>
      <c r="J721" s="361"/>
      <c r="K721" s="361"/>
      <c r="L721" s="361"/>
      <c r="M721" s="361"/>
      <c r="N721" s="361"/>
      <c r="O721" s="361"/>
      <c r="P721" s="361"/>
      <c r="Q721" s="361"/>
      <c r="R721" s="361"/>
      <c r="S721" s="361"/>
      <c r="T721" s="361"/>
      <c r="U721" s="361"/>
      <c r="V721" s="361"/>
      <c r="W721" s="361"/>
      <c r="X721" s="365"/>
      <c r="Y721" s="361"/>
      <c r="Z721" s="361"/>
      <c r="AA721" s="116"/>
      <c r="AB721" s="116"/>
      <c r="AC721" s="116"/>
      <c r="AD721" s="116"/>
      <c r="AE721" s="365"/>
      <c r="AF721" s="116"/>
      <c r="AG721" s="116"/>
      <c r="AH721" s="116"/>
      <c r="AI721" s="116"/>
      <c r="AJ721" s="116"/>
      <c r="AK721" s="116"/>
      <c r="AL721" s="116"/>
    </row>
    <row r="722" ht="16.5" customHeight="1">
      <c r="A722" s="362"/>
      <c r="B722" s="362"/>
      <c r="C722" s="362"/>
      <c r="D722" s="362"/>
      <c r="E722" s="132"/>
      <c r="F722" s="131"/>
      <c r="G722" s="361"/>
      <c r="H722" s="363"/>
      <c r="I722" s="364"/>
      <c r="J722" s="361"/>
      <c r="K722" s="361"/>
      <c r="L722" s="361"/>
      <c r="M722" s="361"/>
      <c r="N722" s="361"/>
      <c r="O722" s="361"/>
      <c r="P722" s="361"/>
      <c r="Q722" s="361"/>
      <c r="R722" s="361"/>
      <c r="S722" s="361"/>
      <c r="T722" s="361"/>
      <c r="U722" s="361"/>
      <c r="V722" s="361"/>
      <c r="W722" s="361"/>
      <c r="X722" s="365"/>
      <c r="Y722" s="361"/>
      <c r="Z722" s="361"/>
      <c r="AA722" s="116"/>
      <c r="AB722" s="116"/>
      <c r="AC722" s="116"/>
      <c r="AD722" s="116"/>
      <c r="AE722" s="365"/>
      <c r="AF722" s="116"/>
      <c r="AG722" s="116"/>
      <c r="AH722" s="116"/>
      <c r="AI722" s="116"/>
      <c r="AJ722" s="116"/>
      <c r="AK722" s="116"/>
      <c r="AL722" s="116"/>
    </row>
    <row r="723" ht="16.5" customHeight="1">
      <c r="A723" s="362"/>
      <c r="B723" s="362"/>
      <c r="C723" s="362"/>
      <c r="D723" s="362"/>
      <c r="E723" s="132"/>
      <c r="F723" s="131"/>
      <c r="G723" s="361"/>
      <c r="H723" s="363"/>
      <c r="I723" s="364"/>
      <c r="J723" s="361"/>
      <c r="K723" s="361"/>
      <c r="L723" s="361"/>
      <c r="M723" s="361"/>
      <c r="N723" s="361"/>
      <c r="O723" s="361"/>
      <c r="P723" s="361"/>
      <c r="Q723" s="361"/>
      <c r="R723" s="361"/>
      <c r="S723" s="361"/>
      <c r="T723" s="361"/>
      <c r="U723" s="361"/>
      <c r="V723" s="361"/>
      <c r="W723" s="361"/>
      <c r="X723" s="365"/>
      <c r="Y723" s="361"/>
      <c r="Z723" s="361"/>
      <c r="AA723" s="116"/>
      <c r="AB723" s="116"/>
      <c r="AC723" s="116"/>
      <c r="AD723" s="116"/>
      <c r="AE723" s="365"/>
      <c r="AF723" s="116"/>
      <c r="AG723" s="116"/>
      <c r="AH723" s="116"/>
      <c r="AI723" s="116"/>
      <c r="AJ723" s="116"/>
      <c r="AK723" s="116"/>
      <c r="AL723" s="116"/>
    </row>
    <row r="724" ht="16.5" customHeight="1">
      <c r="A724" s="362"/>
      <c r="B724" s="362"/>
      <c r="C724" s="362"/>
      <c r="D724" s="362"/>
      <c r="E724" s="132"/>
      <c r="F724" s="131"/>
      <c r="G724" s="361"/>
      <c r="H724" s="363"/>
      <c r="I724" s="364"/>
      <c r="J724" s="361"/>
      <c r="K724" s="361"/>
      <c r="L724" s="361"/>
      <c r="M724" s="361"/>
      <c r="N724" s="361"/>
      <c r="O724" s="361"/>
      <c r="P724" s="361"/>
      <c r="Q724" s="361"/>
      <c r="R724" s="361"/>
      <c r="S724" s="361"/>
      <c r="T724" s="361"/>
      <c r="U724" s="361"/>
      <c r="V724" s="361"/>
      <c r="W724" s="361"/>
      <c r="X724" s="365"/>
      <c r="Y724" s="361"/>
      <c r="Z724" s="361"/>
      <c r="AA724" s="116"/>
      <c r="AB724" s="116"/>
      <c r="AC724" s="116"/>
      <c r="AD724" s="116"/>
      <c r="AE724" s="365"/>
      <c r="AF724" s="116"/>
      <c r="AG724" s="116"/>
      <c r="AH724" s="116"/>
      <c r="AI724" s="116"/>
      <c r="AJ724" s="116"/>
      <c r="AK724" s="116"/>
      <c r="AL724" s="116"/>
    </row>
    <row r="725" ht="16.5" customHeight="1">
      <c r="A725" s="362"/>
      <c r="B725" s="362"/>
      <c r="C725" s="362"/>
      <c r="D725" s="362"/>
      <c r="E725" s="132"/>
      <c r="F725" s="131"/>
      <c r="G725" s="361"/>
      <c r="H725" s="363"/>
      <c r="I725" s="364"/>
      <c r="J725" s="361"/>
      <c r="K725" s="361"/>
      <c r="L725" s="361"/>
      <c r="M725" s="361"/>
      <c r="N725" s="361"/>
      <c r="O725" s="361"/>
      <c r="P725" s="361"/>
      <c r="Q725" s="361"/>
      <c r="R725" s="361"/>
      <c r="S725" s="361"/>
      <c r="T725" s="361"/>
      <c r="U725" s="361"/>
      <c r="V725" s="361"/>
      <c r="W725" s="361"/>
      <c r="X725" s="365"/>
      <c r="Y725" s="361"/>
      <c r="Z725" s="361"/>
      <c r="AA725" s="116"/>
      <c r="AB725" s="116"/>
      <c r="AC725" s="116"/>
      <c r="AD725" s="116"/>
      <c r="AE725" s="365"/>
      <c r="AF725" s="116"/>
      <c r="AG725" s="116"/>
      <c r="AH725" s="116"/>
      <c r="AI725" s="116"/>
      <c r="AJ725" s="116"/>
      <c r="AK725" s="116"/>
      <c r="AL725" s="116"/>
    </row>
    <row r="726" ht="16.5" customHeight="1">
      <c r="A726" s="362"/>
      <c r="B726" s="362"/>
      <c r="C726" s="362"/>
      <c r="D726" s="362"/>
      <c r="E726" s="132"/>
      <c r="F726" s="131"/>
      <c r="G726" s="361"/>
      <c r="H726" s="363"/>
      <c r="I726" s="364"/>
      <c r="J726" s="361"/>
      <c r="K726" s="361"/>
      <c r="L726" s="361"/>
      <c r="M726" s="361"/>
      <c r="N726" s="361"/>
      <c r="O726" s="361"/>
      <c r="P726" s="361"/>
      <c r="Q726" s="361"/>
      <c r="R726" s="361"/>
      <c r="S726" s="361"/>
      <c r="T726" s="361"/>
      <c r="U726" s="361"/>
      <c r="V726" s="361"/>
      <c r="W726" s="361"/>
      <c r="X726" s="365"/>
      <c r="Y726" s="361"/>
      <c r="Z726" s="361"/>
      <c r="AA726" s="116"/>
      <c r="AB726" s="116"/>
      <c r="AC726" s="116"/>
      <c r="AD726" s="116"/>
      <c r="AE726" s="365"/>
      <c r="AF726" s="116"/>
      <c r="AG726" s="116"/>
      <c r="AH726" s="116"/>
      <c r="AI726" s="116"/>
      <c r="AJ726" s="116"/>
      <c r="AK726" s="116"/>
      <c r="AL726" s="116"/>
    </row>
    <row r="727" ht="16.5" customHeight="1">
      <c r="A727" s="362"/>
      <c r="B727" s="362"/>
      <c r="C727" s="362"/>
      <c r="D727" s="362"/>
      <c r="E727" s="132"/>
      <c r="F727" s="131"/>
      <c r="G727" s="361"/>
      <c r="H727" s="363"/>
      <c r="I727" s="364"/>
      <c r="J727" s="361"/>
      <c r="K727" s="361"/>
      <c r="L727" s="361"/>
      <c r="M727" s="361"/>
      <c r="N727" s="361"/>
      <c r="O727" s="361"/>
      <c r="P727" s="361"/>
      <c r="Q727" s="361"/>
      <c r="R727" s="361"/>
      <c r="S727" s="361"/>
      <c r="T727" s="361"/>
      <c r="U727" s="361"/>
      <c r="V727" s="361"/>
      <c r="W727" s="361"/>
      <c r="X727" s="365"/>
      <c r="Y727" s="361"/>
      <c r="Z727" s="361"/>
      <c r="AA727" s="116"/>
      <c r="AB727" s="116"/>
      <c r="AC727" s="116"/>
      <c r="AD727" s="116"/>
      <c r="AE727" s="365"/>
      <c r="AF727" s="116"/>
      <c r="AG727" s="116"/>
      <c r="AH727" s="116"/>
      <c r="AI727" s="116"/>
      <c r="AJ727" s="116"/>
      <c r="AK727" s="116"/>
      <c r="AL727" s="116"/>
    </row>
    <row r="728" ht="16.5" customHeight="1">
      <c r="A728" s="362"/>
      <c r="B728" s="362"/>
      <c r="C728" s="362"/>
      <c r="D728" s="362"/>
      <c r="E728" s="132"/>
      <c r="F728" s="131"/>
      <c r="G728" s="361"/>
      <c r="H728" s="363"/>
      <c r="I728" s="364"/>
      <c r="J728" s="361"/>
      <c r="K728" s="361"/>
      <c r="L728" s="361"/>
      <c r="M728" s="361"/>
      <c r="N728" s="361"/>
      <c r="O728" s="361"/>
      <c r="P728" s="361"/>
      <c r="Q728" s="361"/>
      <c r="R728" s="361"/>
      <c r="S728" s="361"/>
      <c r="T728" s="361"/>
      <c r="U728" s="361"/>
      <c r="V728" s="361"/>
      <c r="W728" s="361"/>
      <c r="X728" s="365"/>
      <c r="Y728" s="361"/>
      <c r="Z728" s="361"/>
      <c r="AA728" s="116"/>
      <c r="AB728" s="116"/>
      <c r="AC728" s="116"/>
      <c r="AD728" s="116"/>
      <c r="AE728" s="365"/>
      <c r="AF728" s="116"/>
      <c r="AG728" s="116"/>
      <c r="AH728" s="116"/>
      <c r="AI728" s="116"/>
      <c r="AJ728" s="116"/>
      <c r="AK728" s="116"/>
      <c r="AL728" s="116"/>
    </row>
    <row r="729" ht="16.5" customHeight="1">
      <c r="A729" s="362"/>
      <c r="B729" s="362"/>
      <c r="C729" s="362"/>
      <c r="D729" s="362"/>
      <c r="E729" s="132"/>
      <c r="F729" s="131"/>
      <c r="G729" s="361"/>
      <c r="H729" s="363"/>
      <c r="I729" s="364"/>
      <c r="J729" s="361"/>
      <c r="K729" s="361"/>
      <c r="L729" s="361"/>
      <c r="M729" s="361"/>
      <c r="N729" s="361"/>
      <c r="O729" s="361"/>
      <c r="P729" s="361"/>
      <c r="Q729" s="361"/>
      <c r="R729" s="361"/>
      <c r="S729" s="361"/>
      <c r="T729" s="361"/>
      <c r="U729" s="361"/>
      <c r="V729" s="361"/>
      <c r="W729" s="361"/>
      <c r="X729" s="365"/>
      <c r="Y729" s="361"/>
      <c r="Z729" s="361"/>
      <c r="AA729" s="116"/>
      <c r="AB729" s="116"/>
      <c r="AC729" s="116"/>
      <c r="AD729" s="116"/>
      <c r="AE729" s="365"/>
      <c r="AF729" s="116"/>
      <c r="AG729" s="116"/>
      <c r="AH729" s="116"/>
      <c r="AI729" s="116"/>
      <c r="AJ729" s="116"/>
      <c r="AK729" s="116"/>
      <c r="AL729" s="116"/>
    </row>
    <row r="730" ht="16.5" customHeight="1">
      <c r="A730" s="362"/>
      <c r="B730" s="362"/>
      <c r="C730" s="362"/>
      <c r="D730" s="362"/>
      <c r="E730" s="132"/>
      <c r="F730" s="131"/>
      <c r="G730" s="361"/>
      <c r="H730" s="363"/>
      <c r="I730" s="364"/>
      <c r="J730" s="361"/>
      <c r="K730" s="361"/>
      <c r="L730" s="361"/>
      <c r="M730" s="361"/>
      <c r="N730" s="361"/>
      <c r="O730" s="361"/>
      <c r="P730" s="361"/>
      <c r="Q730" s="361"/>
      <c r="R730" s="361"/>
      <c r="S730" s="361"/>
      <c r="T730" s="361"/>
      <c r="U730" s="361"/>
      <c r="V730" s="361"/>
      <c r="W730" s="361"/>
      <c r="X730" s="365"/>
      <c r="Y730" s="361"/>
      <c r="Z730" s="361"/>
      <c r="AA730" s="116"/>
      <c r="AB730" s="116"/>
      <c r="AC730" s="116"/>
      <c r="AD730" s="116"/>
      <c r="AE730" s="365"/>
      <c r="AF730" s="116"/>
      <c r="AG730" s="116"/>
      <c r="AH730" s="116"/>
      <c r="AI730" s="116"/>
      <c r="AJ730" s="116"/>
      <c r="AK730" s="116"/>
      <c r="AL730" s="116"/>
    </row>
    <row r="731" ht="16.5" customHeight="1">
      <c r="A731" s="362"/>
      <c r="B731" s="362"/>
      <c r="C731" s="362"/>
      <c r="D731" s="362"/>
      <c r="E731" s="132"/>
      <c r="F731" s="131"/>
      <c r="G731" s="361"/>
      <c r="H731" s="363"/>
      <c r="I731" s="364"/>
      <c r="J731" s="361"/>
      <c r="K731" s="361"/>
      <c r="L731" s="361"/>
      <c r="M731" s="361"/>
      <c r="N731" s="361"/>
      <c r="O731" s="361"/>
      <c r="P731" s="361"/>
      <c r="Q731" s="361"/>
      <c r="R731" s="361"/>
      <c r="S731" s="361"/>
      <c r="T731" s="361"/>
      <c r="U731" s="361"/>
      <c r="V731" s="361"/>
      <c r="W731" s="361"/>
      <c r="X731" s="365"/>
      <c r="Y731" s="361"/>
      <c r="Z731" s="361"/>
      <c r="AA731" s="116"/>
      <c r="AB731" s="116"/>
      <c r="AC731" s="116"/>
      <c r="AD731" s="116"/>
      <c r="AE731" s="365"/>
      <c r="AF731" s="116"/>
      <c r="AG731" s="116"/>
      <c r="AH731" s="116"/>
      <c r="AI731" s="116"/>
      <c r="AJ731" s="116"/>
      <c r="AK731" s="116"/>
      <c r="AL731" s="116"/>
    </row>
    <row r="732" ht="16.5" customHeight="1">
      <c r="A732" s="362"/>
      <c r="B732" s="362"/>
      <c r="C732" s="362"/>
      <c r="D732" s="362"/>
      <c r="E732" s="132"/>
      <c r="F732" s="131"/>
      <c r="G732" s="361"/>
      <c r="H732" s="363"/>
      <c r="I732" s="364"/>
      <c r="J732" s="361"/>
      <c r="K732" s="361"/>
      <c r="L732" s="361"/>
      <c r="M732" s="361"/>
      <c r="N732" s="361"/>
      <c r="O732" s="361"/>
      <c r="P732" s="361"/>
      <c r="Q732" s="361"/>
      <c r="R732" s="361"/>
      <c r="S732" s="361"/>
      <c r="T732" s="361"/>
      <c r="U732" s="361"/>
      <c r="V732" s="361"/>
      <c r="W732" s="361"/>
      <c r="X732" s="365"/>
      <c r="Y732" s="361"/>
      <c r="Z732" s="361"/>
      <c r="AA732" s="116"/>
      <c r="AB732" s="116"/>
      <c r="AC732" s="116"/>
      <c r="AD732" s="116"/>
      <c r="AE732" s="365"/>
      <c r="AF732" s="116"/>
      <c r="AG732" s="116"/>
      <c r="AH732" s="116"/>
      <c r="AI732" s="116"/>
      <c r="AJ732" s="116"/>
      <c r="AK732" s="116"/>
      <c r="AL732" s="116"/>
    </row>
    <row r="733" ht="16.5" customHeight="1">
      <c r="A733" s="362"/>
      <c r="B733" s="362"/>
      <c r="C733" s="362"/>
      <c r="D733" s="362"/>
      <c r="E733" s="132"/>
      <c r="F733" s="131"/>
      <c r="G733" s="361"/>
      <c r="H733" s="363"/>
      <c r="I733" s="364"/>
      <c r="J733" s="361"/>
      <c r="K733" s="361"/>
      <c r="L733" s="361"/>
      <c r="M733" s="361"/>
      <c r="N733" s="361"/>
      <c r="O733" s="361"/>
      <c r="P733" s="361"/>
      <c r="Q733" s="361"/>
      <c r="R733" s="361"/>
      <c r="S733" s="361"/>
      <c r="T733" s="361"/>
      <c r="U733" s="361"/>
      <c r="V733" s="361"/>
      <c r="W733" s="361"/>
      <c r="X733" s="365"/>
      <c r="Y733" s="361"/>
      <c r="Z733" s="361"/>
      <c r="AA733" s="116"/>
      <c r="AB733" s="116"/>
      <c r="AC733" s="116"/>
      <c r="AD733" s="116"/>
      <c r="AE733" s="365"/>
      <c r="AF733" s="116"/>
      <c r="AG733" s="116"/>
      <c r="AH733" s="116"/>
      <c r="AI733" s="116"/>
      <c r="AJ733" s="116"/>
      <c r="AK733" s="116"/>
      <c r="AL733" s="116"/>
    </row>
    <row r="734" ht="16.5" customHeight="1">
      <c r="A734" s="362"/>
      <c r="B734" s="362"/>
      <c r="C734" s="362"/>
      <c r="D734" s="362"/>
      <c r="E734" s="132"/>
      <c r="F734" s="131"/>
      <c r="G734" s="361"/>
      <c r="H734" s="363"/>
      <c r="I734" s="364"/>
      <c r="J734" s="361"/>
      <c r="K734" s="361"/>
      <c r="L734" s="361"/>
      <c r="M734" s="361"/>
      <c r="N734" s="361"/>
      <c r="O734" s="361"/>
      <c r="P734" s="361"/>
      <c r="Q734" s="361"/>
      <c r="R734" s="361"/>
      <c r="S734" s="361"/>
      <c r="T734" s="361"/>
      <c r="U734" s="361"/>
      <c r="V734" s="361"/>
      <c r="W734" s="361"/>
      <c r="X734" s="365"/>
      <c r="Y734" s="361"/>
      <c r="Z734" s="361"/>
      <c r="AA734" s="116"/>
      <c r="AB734" s="116"/>
      <c r="AC734" s="116"/>
      <c r="AD734" s="116"/>
      <c r="AE734" s="365"/>
      <c r="AF734" s="116"/>
      <c r="AG734" s="116"/>
      <c r="AH734" s="116"/>
      <c r="AI734" s="116"/>
      <c r="AJ734" s="116"/>
      <c r="AK734" s="116"/>
      <c r="AL734" s="116"/>
    </row>
    <row r="735" ht="16.5" customHeight="1">
      <c r="A735" s="362"/>
      <c r="B735" s="362"/>
      <c r="C735" s="362"/>
      <c r="D735" s="362"/>
      <c r="E735" s="132"/>
      <c r="F735" s="131"/>
      <c r="G735" s="361"/>
      <c r="H735" s="363"/>
      <c r="I735" s="364"/>
      <c r="J735" s="361"/>
      <c r="K735" s="361"/>
      <c r="L735" s="361"/>
      <c r="M735" s="361"/>
      <c r="N735" s="361"/>
      <c r="O735" s="361"/>
      <c r="P735" s="361"/>
      <c r="Q735" s="361"/>
      <c r="R735" s="361"/>
      <c r="S735" s="361"/>
      <c r="T735" s="361"/>
      <c r="U735" s="361"/>
      <c r="V735" s="361"/>
      <c r="W735" s="361"/>
      <c r="X735" s="365"/>
      <c r="Y735" s="361"/>
      <c r="Z735" s="361"/>
      <c r="AA735" s="116"/>
      <c r="AB735" s="116"/>
      <c r="AC735" s="116"/>
      <c r="AD735" s="116"/>
      <c r="AE735" s="365"/>
      <c r="AF735" s="116"/>
      <c r="AG735" s="116"/>
      <c r="AH735" s="116"/>
      <c r="AI735" s="116"/>
      <c r="AJ735" s="116"/>
      <c r="AK735" s="116"/>
      <c r="AL735" s="116"/>
    </row>
    <row r="736" ht="16.5" customHeight="1">
      <c r="A736" s="362"/>
      <c r="B736" s="362"/>
      <c r="C736" s="362"/>
      <c r="D736" s="362"/>
      <c r="E736" s="132"/>
      <c r="F736" s="131"/>
      <c r="G736" s="361"/>
      <c r="H736" s="363"/>
      <c r="I736" s="364"/>
      <c r="J736" s="361"/>
      <c r="K736" s="361"/>
      <c r="L736" s="361"/>
      <c r="M736" s="361"/>
      <c r="N736" s="361"/>
      <c r="O736" s="361"/>
      <c r="P736" s="361"/>
      <c r="Q736" s="361"/>
      <c r="R736" s="361"/>
      <c r="S736" s="361"/>
      <c r="T736" s="361"/>
      <c r="U736" s="361"/>
      <c r="V736" s="361"/>
      <c r="W736" s="361"/>
      <c r="X736" s="365"/>
      <c r="Y736" s="361"/>
      <c r="Z736" s="361"/>
      <c r="AA736" s="116"/>
      <c r="AB736" s="116"/>
      <c r="AC736" s="116"/>
      <c r="AD736" s="116"/>
      <c r="AE736" s="365"/>
      <c r="AF736" s="116"/>
      <c r="AG736" s="116"/>
      <c r="AH736" s="116"/>
      <c r="AI736" s="116"/>
      <c r="AJ736" s="116"/>
      <c r="AK736" s="116"/>
      <c r="AL736" s="116"/>
    </row>
    <row r="737" ht="16.5" customHeight="1">
      <c r="A737" s="362"/>
      <c r="B737" s="362"/>
      <c r="C737" s="362"/>
      <c r="D737" s="362"/>
      <c r="E737" s="132"/>
      <c r="F737" s="131"/>
      <c r="G737" s="361"/>
      <c r="H737" s="363"/>
      <c r="I737" s="364"/>
      <c r="J737" s="361"/>
      <c r="K737" s="361"/>
      <c r="L737" s="361"/>
      <c r="M737" s="361"/>
      <c r="N737" s="361"/>
      <c r="O737" s="361"/>
      <c r="P737" s="361"/>
      <c r="Q737" s="361"/>
      <c r="R737" s="361"/>
      <c r="S737" s="361"/>
      <c r="T737" s="361"/>
      <c r="U737" s="361"/>
      <c r="V737" s="361"/>
      <c r="W737" s="361"/>
      <c r="X737" s="365"/>
      <c r="Y737" s="361"/>
      <c r="Z737" s="361"/>
      <c r="AA737" s="116"/>
      <c r="AB737" s="116"/>
      <c r="AC737" s="116"/>
      <c r="AD737" s="116"/>
      <c r="AE737" s="365"/>
      <c r="AF737" s="116"/>
      <c r="AG737" s="116"/>
      <c r="AH737" s="116"/>
      <c r="AI737" s="116"/>
      <c r="AJ737" s="116"/>
      <c r="AK737" s="116"/>
      <c r="AL737" s="116"/>
    </row>
    <row r="738" ht="16.5" customHeight="1">
      <c r="A738" s="362"/>
      <c r="B738" s="362"/>
      <c r="C738" s="362"/>
      <c r="D738" s="362"/>
      <c r="E738" s="132"/>
      <c r="F738" s="131"/>
      <c r="G738" s="361"/>
      <c r="H738" s="363"/>
      <c r="I738" s="364"/>
      <c r="J738" s="361"/>
      <c r="K738" s="361"/>
      <c r="L738" s="361"/>
      <c r="M738" s="361"/>
      <c r="N738" s="361"/>
      <c r="O738" s="361"/>
      <c r="P738" s="361"/>
      <c r="Q738" s="361"/>
      <c r="R738" s="361"/>
      <c r="S738" s="361"/>
      <c r="T738" s="361"/>
      <c r="U738" s="361"/>
      <c r="V738" s="361"/>
      <c r="W738" s="361"/>
      <c r="X738" s="365"/>
      <c r="Y738" s="361"/>
      <c r="Z738" s="361"/>
      <c r="AA738" s="116"/>
      <c r="AB738" s="116"/>
      <c r="AC738" s="116"/>
      <c r="AD738" s="116"/>
      <c r="AE738" s="365"/>
      <c r="AF738" s="116"/>
      <c r="AG738" s="116"/>
      <c r="AH738" s="116"/>
      <c r="AI738" s="116"/>
      <c r="AJ738" s="116"/>
      <c r="AK738" s="116"/>
      <c r="AL738" s="116"/>
    </row>
    <row r="739" ht="16.5" customHeight="1">
      <c r="A739" s="362"/>
      <c r="B739" s="362"/>
      <c r="C739" s="362"/>
      <c r="D739" s="362"/>
      <c r="E739" s="132"/>
      <c r="F739" s="131"/>
      <c r="G739" s="361"/>
      <c r="H739" s="363"/>
      <c r="I739" s="364"/>
      <c r="J739" s="361"/>
      <c r="K739" s="361"/>
      <c r="L739" s="361"/>
      <c r="M739" s="361"/>
      <c r="N739" s="361"/>
      <c r="O739" s="361"/>
      <c r="P739" s="361"/>
      <c r="Q739" s="361"/>
      <c r="R739" s="361"/>
      <c r="S739" s="361"/>
      <c r="T739" s="361"/>
      <c r="U739" s="361"/>
      <c r="V739" s="361"/>
      <c r="W739" s="361"/>
      <c r="X739" s="365"/>
      <c r="Y739" s="361"/>
      <c r="Z739" s="361"/>
      <c r="AA739" s="116"/>
      <c r="AB739" s="116"/>
      <c r="AC739" s="116"/>
      <c r="AD739" s="116"/>
      <c r="AE739" s="365"/>
      <c r="AF739" s="116"/>
      <c r="AG739" s="116"/>
      <c r="AH739" s="116"/>
      <c r="AI739" s="116"/>
      <c r="AJ739" s="116"/>
      <c r="AK739" s="116"/>
      <c r="AL739" s="116"/>
    </row>
    <row r="740" ht="16.5" customHeight="1">
      <c r="A740" s="362"/>
      <c r="B740" s="362"/>
      <c r="C740" s="362"/>
      <c r="D740" s="362"/>
      <c r="E740" s="132"/>
      <c r="F740" s="131"/>
      <c r="G740" s="361"/>
      <c r="H740" s="363"/>
      <c r="I740" s="364"/>
      <c r="J740" s="361"/>
      <c r="K740" s="361"/>
      <c r="L740" s="361"/>
      <c r="M740" s="361"/>
      <c r="N740" s="361"/>
      <c r="O740" s="361"/>
      <c r="P740" s="361"/>
      <c r="Q740" s="361"/>
      <c r="R740" s="361"/>
      <c r="S740" s="361"/>
      <c r="T740" s="361"/>
      <c r="U740" s="361"/>
      <c r="V740" s="361"/>
      <c r="W740" s="361"/>
      <c r="X740" s="365"/>
      <c r="Y740" s="361"/>
      <c r="Z740" s="361"/>
      <c r="AA740" s="116"/>
      <c r="AB740" s="116"/>
      <c r="AC740" s="116"/>
      <c r="AD740" s="116"/>
      <c r="AE740" s="365"/>
      <c r="AF740" s="116"/>
      <c r="AG740" s="116"/>
      <c r="AH740" s="116"/>
      <c r="AI740" s="116"/>
      <c r="AJ740" s="116"/>
      <c r="AK740" s="116"/>
      <c r="AL740" s="116"/>
    </row>
    <row r="741" ht="16.5" customHeight="1">
      <c r="A741" s="362"/>
      <c r="B741" s="362"/>
      <c r="C741" s="362"/>
      <c r="D741" s="362"/>
      <c r="E741" s="132"/>
      <c r="F741" s="131"/>
      <c r="G741" s="361"/>
      <c r="H741" s="363"/>
      <c r="I741" s="364"/>
      <c r="J741" s="361"/>
      <c r="K741" s="361"/>
      <c r="L741" s="361"/>
      <c r="M741" s="361"/>
      <c r="N741" s="361"/>
      <c r="O741" s="361"/>
      <c r="P741" s="361"/>
      <c r="Q741" s="361"/>
      <c r="R741" s="361"/>
      <c r="S741" s="361"/>
      <c r="T741" s="361"/>
      <c r="U741" s="361"/>
      <c r="V741" s="361"/>
      <c r="W741" s="361"/>
      <c r="X741" s="365"/>
      <c r="Y741" s="361"/>
      <c r="Z741" s="361"/>
      <c r="AA741" s="116"/>
      <c r="AB741" s="116"/>
      <c r="AC741" s="116"/>
      <c r="AD741" s="116"/>
      <c r="AE741" s="365"/>
      <c r="AF741" s="116"/>
      <c r="AG741" s="116"/>
      <c r="AH741" s="116"/>
      <c r="AI741" s="116"/>
      <c r="AJ741" s="116"/>
      <c r="AK741" s="116"/>
      <c r="AL741" s="116"/>
    </row>
    <row r="742" ht="16.5" customHeight="1">
      <c r="A742" s="362"/>
      <c r="B742" s="362"/>
      <c r="C742" s="362"/>
      <c r="D742" s="362"/>
      <c r="E742" s="132"/>
      <c r="F742" s="131"/>
      <c r="G742" s="361"/>
      <c r="H742" s="363"/>
      <c r="I742" s="364"/>
      <c r="J742" s="361"/>
      <c r="K742" s="361"/>
      <c r="L742" s="361"/>
      <c r="M742" s="361"/>
      <c r="N742" s="361"/>
      <c r="O742" s="361"/>
      <c r="P742" s="361"/>
      <c r="Q742" s="361"/>
      <c r="R742" s="361"/>
      <c r="S742" s="361"/>
      <c r="T742" s="361"/>
      <c r="U742" s="361"/>
      <c r="V742" s="361"/>
      <c r="W742" s="361"/>
      <c r="X742" s="365"/>
      <c r="Y742" s="361"/>
      <c r="Z742" s="361"/>
      <c r="AA742" s="116"/>
      <c r="AB742" s="116"/>
      <c r="AC742" s="116"/>
      <c r="AD742" s="116"/>
      <c r="AE742" s="365"/>
      <c r="AF742" s="116"/>
      <c r="AG742" s="116"/>
      <c r="AH742" s="116"/>
      <c r="AI742" s="116"/>
      <c r="AJ742" s="116"/>
      <c r="AK742" s="116"/>
      <c r="AL742" s="116"/>
    </row>
    <row r="743" ht="16.5" customHeight="1">
      <c r="A743" s="362"/>
      <c r="B743" s="362"/>
      <c r="C743" s="362"/>
      <c r="D743" s="362"/>
      <c r="E743" s="132"/>
      <c r="F743" s="131"/>
      <c r="G743" s="361"/>
      <c r="H743" s="363"/>
      <c r="I743" s="364"/>
      <c r="J743" s="361"/>
      <c r="K743" s="361"/>
      <c r="L743" s="361"/>
      <c r="M743" s="361"/>
      <c r="N743" s="361"/>
      <c r="O743" s="361"/>
      <c r="P743" s="361"/>
      <c r="Q743" s="361"/>
      <c r="R743" s="361"/>
      <c r="S743" s="361"/>
      <c r="T743" s="361"/>
      <c r="U743" s="361"/>
      <c r="V743" s="361"/>
      <c r="W743" s="361"/>
      <c r="X743" s="365"/>
      <c r="Y743" s="361"/>
      <c r="Z743" s="361"/>
      <c r="AA743" s="116"/>
      <c r="AB743" s="116"/>
      <c r="AC743" s="116"/>
      <c r="AD743" s="116"/>
      <c r="AE743" s="365"/>
      <c r="AF743" s="116"/>
      <c r="AG743" s="116"/>
      <c r="AH743" s="116"/>
      <c r="AI743" s="116"/>
      <c r="AJ743" s="116"/>
      <c r="AK743" s="116"/>
      <c r="AL743" s="116"/>
    </row>
    <row r="744" ht="16.5" customHeight="1">
      <c r="A744" s="362"/>
      <c r="B744" s="362"/>
      <c r="C744" s="362"/>
      <c r="D744" s="362"/>
      <c r="E744" s="132"/>
      <c r="F744" s="131"/>
      <c r="G744" s="361"/>
      <c r="H744" s="363"/>
      <c r="I744" s="364"/>
      <c r="J744" s="361"/>
      <c r="K744" s="361"/>
      <c r="L744" s="361"/>
      <c r="M744" s="361"/>
      <c r="N744" s="361"/>
      <c r="O744" s="361"/>
      <c r="P744" s="361"/>
      <c r="Q744" s="361"/>
      <c r="R744" s="361"/>
      <c r="S744" s="361"/>
      <c r="T744" s="361"/>
      <c r="U744" s="361"/>
      <c r="V744" s="361"/>
      <c r="W744" s="361"/>
      <c r="X744" s="365"/>
      <c r="Y744" s="361"/>
      <c r="Z744" s="361"/>
      <c r="AA744" s="116"/>
      <c r="AB744" s="116"/>
      <c r="AC744" s="116"/>
      <c r="AD744" s="116"/>
      <c r="AE744" s="365"/>
      <c r="AF744" s="116"/>
      <c r="AG744" s="116"/>
      <c r="AH744" s="116"/>
      <c r="AI744" s="116"/>
      <c r="AJ744" s="116"/>
      <c r="AK744" s="116"/>
      <c r="AL744" s="116"/>
    </row>
    <row r="745" ht="16.5" customHeight="1">
      <c r="A745" s="362"/>
      <c r="B745" s="362"/>
      <c r="C745" s="362"/>
      <c r="D745" s="362"/>
      <c r="E745" s="132"/>
      <c r="F745" s="131"/>
      <c r="G745" s="361"/>
      <c r="H745" s="363"/>
      <c r="I745" s="364"/>
      <c r="J745" s="361"/>
      <c r="K745" s="361"/>
      <c r="L745" s="361"/>
      <c r="M745" s="361"/>
      <c r="N745" s="361"/>
      <c r="O745" s="361"/>
      <c r="P745" s="361"/>
      <c r="Q745" s="361"/>
      <c r="R745" s="361"/>
      <c r="S745" s="361"/>
      <c r="T745" s="361"/>
      <c r="U745" s="361"/>
      <c r="V745" s="361"/>
      <c r="W745" s="361"/>
      <c r="X745" s="365"/>
      <c r="Y745" s="361"/>
      <c r="Z745" s="361"/>
      <c r="AA745" s="116"/>
      <c r="AB745" s="116"/>
      <c r="AC745" s="116"/>
      <c r="AD745" s="116"/>
      <c r="AE745" s="365"/>
      <c r="AF745" s="116"/>
      <c r="AG745" s="116"/>
      <c r="AH745" s="116"/>
      <c r="AI745" s="116"/>
      <c r="AJ745" s="116"/>
      <c r="AK745" s="116"/>
      <c r="AL745" s="116"/>
    </row>
    <row r="746" ht="16.5" customHeight="1">
      <c r="A746" s="362"/>
      <c r="B746" s="362"/>
      <c r="C746" s="362"/>
      <c r="D746" s="362"/>
      <c r="E746" s="132"/>
      <c r="F746" s="131"/>
      <c r="G746" s="361"/>
      <c r="H746" s="363"/>
      <c r="I746" s="364"/>
      <c r="J746" s="361"/>
      <c r="K746" s="361"/>
      <c r="L746" s="361"/>
      <c r="M746" s="361"/>
      <c r="N746" s="361"/>
      <c r="O746" s="361"/>
      <c r="P746" s="361"/>
      <c r="Q746" s="361"/>
      <c r="R746" s="361"/>
      <c r="S746" s="361"/>
      <c r="T746" s="361"/>
      <c r="U746" s="361"/>
      <c r="V746" s="361"/>
      <c r="W746" s="361"/>
      <c r="X746" s="365"/>
      <c r="Y746" s="361"/>
      <c r="Z746" s="361"/>
      <c r="AA746" s="116"/>
      <c r="AB746" s="116"/>
      <c r="AC746" s="116"/>
      <c r="AD746" s="116"/>
      <c r="AE746" s="365"/>
      <c r="AF746" s="116"/>
      <c r="AG746" s="116"/>
      <c r="AH746" s="116"/>
      <c r="AI746" s="116"/>
      <c r="AJ746" s="116"/>
      <c r="AK746" s="116"/>
      <c r="AL746" s="116"/>
    </row>
    <row r="747" ht="16.5" customHeight="1">
      <c r="A747" s="362"/>
      <c r="B747" s="362"/>
      <c r="C747" s="362"/>
      <c r="D747" s="362"/>
      <c r="E747" s="132"/>
      <c r="F747" s="131"/>
      <c r="G747" s="361"/>
      <c r="H747" s="363"/>
      <c r="I747" s="364"/>
      <c r="J747" s="361"/>
      <c r="K747" s="361"/>
      <c r="L747" s="361"/>
      <c r="M747" s="361"/>
      <c r="N747" s="361"/>
      <c r="O747" s="361"/>
      <c r="P747" s="361"/>
      <c r="Q747" s="361"/>
      <c r="R747" s="361"/>
      <c r="S747" s="361"/>
      <c r="T747" s="361"/>
      <c r="U747" s="361"/>
      <c r="V747" s="361"/>
      <c r="W747" s="361"/>
      <c r="X747" s="365"/>
      <c r="Y747" s="361"/>
      <c r="Z747" s="361"/>
      <c r="AA747" s="116"/>
      <c r="AB747" s="116"/>
      <c r="AC747" s="116"/>
      <c r="AD747" s="116"/>
      <c r="AE747" s="365"/>
      <c r="AF747" s="116"/>
      <c r="AG747" s="116"/>
      <c r="AH747" s="116"/>
      <c r="AI747" s="116"/>
      <c r="AJ747" s="116"/>
      <c r="AK747" s="116"/>
      <c r="AL747" s="116"/>
    </row>
    <row r="748" ht="16.5" customHeight="1">
      <c r="A748" s="362"/>
      <c r="B748" s="362"/>
      <c r="C748" s="362"/>
      <c r="D748" s="362"/>
      <c r="E748" s="132"/>
      <c r="F748" s="131"/>
      <c r="G748" s="361"/>
      <c r="H748" s="363"/>
      <c r="I748" s="364"/>
      <c r="J748" s="361"/>
      <c r="K748" s="361"/>
      <c r="L748" s="361"/>
      <c r="M748" s="361"/>
      <c r="N748" s="361"/>
      <c r="O748" s="361"/>
      <c r="P748" s="361"/>
      <c r="Q748" s="361"/>
      <c r="R748" s="361"/>
      <c r="S748" s="361"/>
      <c r="T748" s="361"/>
      <c r="U748" s="361"/>
      <c r="V748" s="361"/>
      <c r="W748" s="361"/>
      <c r="X748" s="365"/>
      <c r="Y748" s="361"/>
      <c r="Z748" s="361"/>
      <c r="AA748" s="116"/>
      <c r="AB748" s="116"/>
      <c r="AC748" s="116"/>
      <c r="AD748" s="116"/>
      <c r="AE748" s="365"/>
      <c r="AF748" s="116"/>
      <c r="AG748" s="116"/>
      <c r="AH748" s="116"/>
      <c r="AI748" s="116"/>
      <c r="AJ748" s="116"/>
      <c r="AK748" s="116"/>
      <c r="AL748" s="116"/>
    </row>
    <row r="749" ht="16.5" customHeight="1">
      <c r="A749" s="362"/>
      <c r="B749" s="362"/>
      <c r="C749" s="362"/>
      <c r="D749" s="362"/>
      <c r="E749" s="132"/>
      <c r="F749" s="131"/>
      <c r="G749" s="361"/>
      <c r="H749" s="363"/>
      <c r="I749" s="364"/>
      <c r="J749" s="361"/>
      <c r="K749" s="361"/>
      <c r="L749" s="361"/>
      <c r="M749" s="361"/>
      <c r="N749" s="361"/>
      <c r="O749" s="361"/>
      <c r="P749" s="361"/>
      <c r="Q749" s="361"/>
      <c r="R749" s="361"/>
      <c r="S749" s="361"/>
      <c r="T749" s="361"/>
      <c r="U749" s="361"/>
      <c r="V749" s="361"/>
      <c r="W749" s="361"/>
      <c r="X749" s="365"/>
      <c r="Y749" s="361"/>
      <c r="Z749" s="361"/>
      <c r="AA749" s="116"/>
      <c r="AB749" s="116"/>
      <c r="AC749" s="116"/>
      <c r="AD749" s="116"/>
      <c r="AE749" s="365"/>
      <c r="AF749" s="116"/>
      <c r="AG749" s="116"/>
      <c r="AH749" s="116"/>
      <c r="AI749" s="116"/>
      <c r="AJ749" s="116"/>
      <c r="AK749" s="116"/>
      <c r="AL749" s="116"/>
    </row>
    <row r="750" ht="16.5" customHeight="1">
      <c r="A750" s="362"/>
      <c r="B750" s="362"/>
      <c r="C750" s="362"/>
      <c r="D750" s="362"/>
      <c r="E750" s="132"/>
      <c r="F750" s="131"/>
      <c r="G750" s="361"/>
      <c r="H750" s="363"/>
      <c r="I750" s="364"/>
      <c r="J750" s="361"/>
      <c r="K750" s="361"/>
      <c r="L750" s="361"/>
      <c r="M750" s="361"/>
      <c r="N750" s="361"/>
      <c r="O750" s="361"/>
      <c r="P750" s="361"/>
      <c r="Q750" s="361"/>
      <c r="R750" s="361"/>
      <c r="S750" s="361"/>
      <c r="T750" s="361"/>
      <c r="U750" s="361"/>
      <c r="V750" s="361"/>
      <c r="W750" s="361"/>
      <c r="X750" s="365"/>
      <c r="Y750" s="361"/>
      <c r="Z750" s="361"/>
      <c r="AA750" s="116"/>
      <c r="AB750" s="116"/>
      <c r="AC750" s="116"/>
      <c r="AD750" s="116"/>
      <c r="AE750" s="365"/>
      <c r="AF750" s="116"/>
      <c r="AG750" s="116"/>
      <c r="AH750" s="116"/>
      <c r="AI750" s="116"/>
      <c r="AJ750" s="116"/>
      <c r="AK750" s="116"/>
      <c r="AL750" s="116"/>
    </row>
    <row r="751" ht="16.5" customHeight="1">
      <c r="A751" s="362"/>
      <c r="B751" s="362"/>
      <c r="C751" s="362"/>
      <c r="D751" s="362"/>
      <c r="E751" s="132"/>
      <c r="F751" s="131"/>
      <c r="G751" s="361"/>
      <c r="H751" s="363"/>
      <c r="I751" s="364"/>
      <c r="J751" s="361"/>
      <c r="K751" s="361"/>
      <c r="L751" s="361"/>
      <c r="M751" s="361"/>
      <c r="N751" s="361"/>
      <c r="O751" s="361"/>
      <c r="P751" s="361"/>
      <c r="Q751" s="361"/>
      <c r="R751" s="361"/>
      <c r="S751" s="361"/>
      <c r="T751" s="361"/>
      <c r="U751" s="361"/>
      <c r="V751" s="361"/>
      <c r="W751" s="361"/>
      <c r="X751" s="365"/>
      <c r="Y751" s="361"/>
      <c r="Z751" s="361"/>
      <c r="AA751" s="116"/>
      <c r="AB751" s="116"/>
      <c r="AC751" s="116"/>
      <c r="AD751" s="116"/>
      <c r="AE751" s="365"/>
      <c r="AF751" s="116"/>
      <c r="AG751" s="116"/>
      <c r="AH751" s="116"/>
      <c r="AI751" s="116"/>
      <c r="AJ751" s="116"/>
      <c r="AK751" s="116"/>
      <c r="AL751" s="116"/>
    </row>
    <row r="752" ht="16.5" customHeight="1">
      <c r="A752" s="362"/>
      <c r="B752" s="362"/>
      <c r="C752" s="362"/>
      <c r="D752" s="362"/>
      <c r="E752" s="132"/>
      <c r="F752" s="131"/>
      <c r="G752" s="361"/>
      <c r="H752" s="363"/>
      <c r="I752" s="364"/>
      <c r="J752" s="361"/>
      <c r="K752" s="361"/>
      <c r="L752" s="361"/>
      <c r="M752" s="361"/>
      <c r="N752" s="361"/>
      <c r="O752" s="361"/>
      <c r="P752" s="361"/>
      <c r="Q752" s="361"/>
      <c r="R752" s="361"/>
      <c r="S752" s="361"/>
      <c r="T752" s="361"/>
      <c r="U752" s="361"/>
      <c r="V752" s="361"/>
      <c r="W752" s="361"/>
      <c r="X752" s="365"/>
      <c r="Y752" s="361"/>
      <c r="Z752" s="361"/>
      <c r="AA752" s="116"/>
      <c r="AB752" s="116"/>
      <c r="AC752" s="116"/>
      <c r="AD752" s="116"/>
      <c r="AE752" s="365"/>
      <c r="AF752" s="116"/>
      <c r="AG752" s="116"/>
      <c r="AH752" s="116"/>
      <c r="AI752" s="116"/>
      <c r="AJ752" s="116"/>
      <c r="AK752" s="116"/>
      <c r="AL752" s="116"/>
    </row>
    <row r="753" ht="16.5" customHeight="1">
      <c r="A753" s="362"/>
      <c r="B753" s="362"/>
      <c r="C753" s="362"/>
      <c r="D753" s="362"/>
      <c r="E753" s="132"/>
      <c r="F753" s="131"/>
      <c r="G753" s="361"/>
      <c r="H753" s="363"/>
      <c r="I753" s="364"/>
      <c r="J753" s="361"/>
      <c r="K753" s="361"/>
      <c r="L753" s="361"/>
      <c r="M753" s="361"/>
      <c r="N753" s="361"/>
      <c r="O753" s="361"/>
      <c r="P753" s="361"/>
      <c r="Q753" s="361"/>
      <c r="R753" s="361"/>
      <c r="S753" s="361"/>
      <c r="T753" s="361"/>
      <c r="U753" s="361"/>
      <c r="V753" s="361"/>
      <c r="W753" s="361"/>
      <c r="X753" s="365"/>
      <c r="Y753" s="361"/>
      <c r="Z753" s="361"/>
      <c r="AA753" s="116"/>
      <c r="AB753" s="116"/>
      <c r="AC753" s="116"/>
      <c r="AD753" s="116"/>
      <c r="AE753" s="365"/>
      <c r="AF753" s="116"/>
      <c r="AG753" s="116"/>
      <c r="AH753" s="116"/>
      <c r="AI753" s="116"/>
      <c r="AJ753" s="116"/>
      <c r="AK753" s="116"/>
      <c r="AL753" s="116"/>
    </row>
    <row r="754" ht="16.5" customHeight="1">
      <c r="A754" s="362"/>
      <c r="B754" s="362"/>
      <c r="C754" s="362"/>
      <c r="D754" s="362"/>
      <c r="E754" s="132"/>
      <c r="F754" s="131"/>
      <c r="G754" s="361"/>
      <c r="H754" s="363"/>
      <c r="I754" s="364"/>
      <c r="J754" s="361"/>
      <c r="K754" s="361"/>
      <c r="L754" s="361"/>
      <c r="M754" s="361"/>
      <c r="N754" s="361"/>
      <c r="O754" s="361"/>
      <c r="P754" s="361"/>
      <c r="Q754" s="361"/>
      <c r="R754" s="361"/>
      <c r="S754" s="361"/>
      <c r="T754" s="361"/>
      <c r="U754" s="361"/>
      <c r="V754" s="361"/>
      <c r="W754" s="361"/>
      <c r="X754" s="365"/>
      <c r="Y754" s="361"/>
      <c r="Z754" s="361"/>
      <c r="AA754" s="116"/>
      <c r="AB754" s="116"/>
      <c r="AC754" s="116"/>
      <c r="AD754" s="116"/>
      <c r="AE754" s="365"/>
      <c r="AF754" s="116"/>
      <c r="AG754" s="116"/>
      <c r="AH754" s="116"/>
      <c r="AI754" s="116"/>
      <c r="AJ754" s="116"/>
      <c r="AK754" s="116"/>
      <c r="AL754" s="116"/>
    </row>
    <row r="755" ht="16.5" customHeight="1">
      <c r="A755" s="362"/>
      <c r="B755" s="362"/>
      <c r="C755" s="362"/>
      <c r="D755" s="362"/>
      <c r="E755" s="132"/>
      <c r="F755" s="131"/>
      <c r="G755" s="361"/>
      <c r="H755" s="363"/>
      <c r="I755" s="364"/>
      <c r="J755" s="361"/>
      <c r="K755" s="361"/>
      <c r="L755" s="361"/>
      <c r="M755" s="361"/>
      <c r="N755" s="361"/>
      <c r="O755" s="361"/>
      <c r="P755" s="361"/>
      <c r="Q755" s="361"/>
      <c r="R755" s="361"/>
      <c r="S755" s="361"/>
      <c r="T755" s="361"/>
      <c r="U755" s="361"/>
      <c r="V755" s="361"/>
      <c r="W755" s="361"/>
      <c r="X755" s="365"/>
      <c r="Y755" s="361"/>
      <c r="Z755" s="361"/>
      <c r="AA755" s="116"/>
      <c r="AB755" s="116"/>
      <c r="AC755" s="116"/>
      <c r="AD755" s="116"/>
      <c r="AE755" s="365"/>
      <c r="AF755" s="116"/>
      <c r="AG755" s="116"/>
      <c r="AH755" s="116"/>
      <c r="AI755" s="116"/>
      <c r="AJ755" s="116"/>
      <c r="AK755" s="116"/>
      <c r="AL755" s="116"/>
    </row>
    <row r="756" ht="16.5" customHeight="1">
      <c r="A756" s="362"/>
      <c r="B756" s="362"/>
      <c r="C756" s="362"/>
      <c r="D756" s="362"/>
      <c r="E756" s="132"/>
      <c r="F756" s="131"/>
      <c r="G756" s="361"/>
      <c r="H756" s="363"/>
      <c r="I756" s="364"/>
      <c r="J756" s="361"/>
      <c r="K756" s="361"/>
      <c r="L756" s="361"/>
      <c r="M756" s="361"/>
      <c r="N756" s="361"/>
      <c r="O756" s="361"/>
      <c r="P756" s="361"/>
      <c r="Q756" s="361"/>
      <c r="R756" s="361"/>
      <c r="S756" s="361"/>
      <c r="T756" s="361"/>
      <c r="U756" s="361"/>
      <c r="V756" s="361"/>
      <c r="W756" s="361"/>
      <c r="X756" s="365"/>
      <c r="Y756" s="361"/>
      <c r="Z756" s="361"/>
      <c r="AA756" s="116"/>
      <c r="AB756" s="116"/>
      <c r="AC756" s="116"/>
      <c r="AD756" s="116"/>
      <c r="AE756" s="365"/>
      <c r="AF756" s="116"/>
      <c r="AG756" s="116"/>
      <c r="AH756" s="116"/>
      <c r="AI756" s="116"/>
      <c r="AJ756" s="116"/>
      <c r="AK756" s="116"/>
      <c r="AL756" s="116"/>
    </row>
    <row r="757" ht="16.5" customHeight="1">
      <c r="A757" s="362"/>
      <c r="B757" s="362"/>
      <c r="C757" s="362"/>
      <c r="D757" s="362"/>
      <c r="E757" s="132"/>
      <c r="F757" s="131"/>
      <c r="G757" s="361"/>
      <c r="H757" s="363"/>
      <c r="I757" s="364"/>
      <c r="J757" s="361"/>
      <c r="K757" s="361"/>
      <c r="L757" s="361"/>
      <c r="M757" s="361"/>
      <c r="N757" s="361"/>
      <c r="O757" s="361"/>
      <c r="P757" s="361"/>
      <c r="Q757" s="361"/>
      <c r="R757" s="361"/>
      <c r="S757" s="361"/>
      <c r="T757" s="361"/>
      <c r="U757" s="361"/>
      <c r="V757" s="361"/>
      <c r="W757" s="361"/>
      <c r="X757" s="365"/>
      <c r="Y757" s="361"/>
      <c r="Z757" s="361"/>
      <c r="AA757" s="116"/>
      <c r="AB757" s="116"/>
      <c r="AC757" s="116"/>
      <c r="AD757" s="116"/>
      <c r="AE757" s="365"/>
      <c r="AF757" s="116"/>
      <c r="AG757" s="116"/>
      <c r="AH757" s="116"/>
      <c r="AI757" s="116"/>
      <c r="AJ757" s="116"/>
      <c r="AK757" s="116"/>
      <c r="AL757" s="116"/>
    </row>
    <row r="758" ht="16.5" customHeight="1">
      <c r="A758" s="362"/>
      <c r="B758" s="362"/>
      <c r="C758" s="362"/>
      <c r="D758" s="362"/>
      <c r="E758" s="132"/>
      <c r="F758" s="131"/>
      <c r="G758" s="361"/>
      <c r="H758" s="363"/>
      <c r="I758" s="364"/>
      <c r="J758" s="361"/>
      <c r="K758" s="361"/>
      <c r="L758" s="361"/>
      <c r="M758" s="361"/>
      <c r="N758" s="361"/>
      <c r="O758" s="361"/>
      <c r="P758" s="361"/>
      <c r="Q758" s="361"/>
      <c r="R758" s="361"/>
      <c r="S758" s="361"/>
      <c r="T758" s="361"/>
      <c r="U758" s="361"/>
      <c r="V758" s="361"/>
      <c r="W758" s="361"/>
      <c r="X758" s="365"/>
      <c r="Y758" s="361"/>
      <c r="Z758" s="361"/>
      <c r="AA758" s="116"/>
      <c r="AB758" s="116"/>
      <c r="AC758" s="116"/>
      <c r="AD758" s="116"/>
      <c r="AE758" s="365"/>
      <c r="AF758" s="116"/>
      <c r="AG758" s="116"/>
      <c r="AH758" s="116"/>
      <c r="AI758" s="116"/>
      <c r="AJ758" s="116"/>
      <c r="AK758" s="116"/>
      <c r="AL758" s="116"/>
    </row>
    <row r="759" ht="16.5" customHeight="1">
      <c r="A759" s="362"/>
      <c r="B759" s="362"/>
      <c r="C759" s="362"/>
      <c r="D759" s="362"/>
      <c r="E759" s="132"/>
      <c r="F759" s="131"/>
      <c r="G759" s="361"/>
      <c r="H759" s="363"/>
      <c r="I759" s="364"/>
      <c r="J759" s="361"/>
      <c r="K759" s="361"/>
      <c r="L759" s="361"/>
      <c r="M759" s="361"/>
      <c r="N759" s="361"/>
      <c r="O759" s="361"/>
      <c r="P759" s="361"/>
      <c r="Q759" s="361"/>
      <c r="R759" s="361"/>
      <c r="S759" s="361"/>
      <c r="T759" s="361"/>
      <c r="U759" s="361"/>
      <c r="V759" s="361"/>
      <c r="W759" s="361"/>
      <c r="X759" s="365"/>
      <c r="Y759" s="361"/>
      <c r="Z759" s="361"/>
      <c r="AA759" s="116"/>
      <c r="AB759" s="116"/>
      <c r="AC759" s="116"/>
      <c r="AD759" s="116"/>
      <c r="AE759" s="365"/>
      <c r="AF759" s="116"/>
      <c r="AG759" s="116"/>
      <c r="AH759" s="116"/>
      <c r="AI759" s="116"/>
      <c r="AJ759" s="116"/>
      <c r="AK759" s="116"/>
      <c r="AL759" s="116"/>
    </row>
    <row r="760" ht="16.5" customHeight="1">
      <c r="A760" s="362"/>
      <c r="B760" s="362"/>
      <c r="C760" s="362"/>
      <c r="D760" s="362"/>
      <c r="E760" s="132"/>
      <c r="F760" s="131"/>
      <c r="G760" s="361"/>
      <c r="H760" s="363"/>
      <c r="I760" s="364"/>
      <c r="J760" s="361"/>
      <c r="K760" s="361"/>
      <c r="L760" s="361"/>
      <c r="M760" s="361"/>
      <c r="N760" s="361"/>
      <c r="O760" s="361"/>
      <c r="P760" s="361"/>
      <c r="Q760" s="361"/>
      <c r="R760" s="361"/>
      <c r="S760" s="361"/>
      <c r="T760" s="361"/>
      <c r="U760" s="361"/>
      <c r="V760" s="361"/>
      <c r="W760" s="361"/>
      <c r="X760" s="365"/>
      <c r="Y760" s="361"/>
      <c r="Z760" s="361"/>
      <c r="AA760" s="116"/>
      <c r="AB760" s="116"/>
      <c r="AC760" s="116"/>
      <c r="AD760" s="116"/>
      <c r="AE760" s="365"/>
      <c r="AF760" s="116"/>
      <c r="AG760" s="116"/>
      <c r="AH760" s="116"/>
      <c r="AI760" s="116"/>
      <c r="AJ760" s="116"/>
      <c r="AK760" s="116"/>
      <c r="AL760" s="116"/>
    </row>
    <row r="761" ht="16.5" customHeight="1">
      <c r="A761" s="362"/>
      <c r="B761" s="362"/>
      <c r="C761" s="362"/>
      <c r="D761" s="362"/>
      <c r="E761" s="132"/>
      <c r="F761" s="131"/>
      <c r="G761" s="361"/>
      <c r="H761" s="363"/>
      <c r="I761" s="364"/>
      <c r="J761" s="361"/>
      <c r="K761" s="361"/>
      <c r="L761" s="361"/>
      <c r="M761" s="361"/>
      <c r="N761" s="361"/>
      <c r="O761" s="361"/>
      <c r="P761" s="361"/>
      <c r="Q761" s="361"/>
      <c r="R761" s="361"/>
      <c r="S761" s="361"/>
      <c r="T761" s="361"/>
      <c r="U761" s="361"/>
      <c r="V761" s="361"/>
      <c r="W761" s="361"/>
      <c r="X761" s="365"/>
      <c r="Y761" s="361"/>
      <c r="Z761" s="361"/>
      <c r="AA761" s="116"/>
      <c r="AB761" s="116"/>
      <c r="AC761" s="116"/>
      <c r="AD761" s="116"/>
      <c r="AE761" s="365"/>
      <c r="AF761" s="116"/>
      <c r="AG761" s="116"/>
      <c r="AH761" s="116"/>
      <c r="AI761" s="116"/>
      <c r="AJ761" s="116"/>
      <c r="AK761" s="116"/>
      <c r="AL761" s="116"/>
    </row>
    <row r="762" ht="16.5" customHeight="1">
      <c r="A762" s="362"/>
      <c r="B762" s="362"/>
      <c r="C762" s="362"/>
      <c r="D762" s="362"/>
      <c r="E762" s="132"/>
      <c r="F762" s="131"/>
      <c r="G762" s="361"/>
      <c r="H762" s="363"/>
      <c r="I762" s="364"/>
      <c r="J762" s="361"/>
      <c r="K762" s="361"/>
      <c r="L762" s="361"/>
      <c r="M762" s="361"/>
      <c r="N762" s="361"/>
      <c r="O762" s="361"/>
      <c r="P762" s="361"/>
      <c r="Q762" s="361"/>
      <c r="R762" s="361"/>
      <c r="S762" s="361"/>
      <c r="T762" s="361"/>
      <c r="U762" s="361"/>
      <c r="V762" s="361"/>
      <c r="W762" s="361"/>
      <c r="X762" s="365"/>
      <c r="Y762" s="361"/>
      <c r="Z762" s="361"/>
      <c r="AA762" s="116"/>
      <c r="AB762" s="116"/>
      <c r="AC762" s="116"/>
      <c r="AD762" s="116"/>
      <c r="AE762" s="365"/>
      <c r="AF762" s="116"/>
      <c r="AG762" s="116"/>
      <c r="AH762" s="116"/>
      <c r="AI762" s="116"/>
      <c r="AJ762" s="116"/>
      <c r="AK762" s="116"/>
      <c r="AL762" s="116"/>
    </row>
    <row r="763" ht="16.5" customHeight="1">
      <c r="A763" s="362"/>
      <c r="B763" s="362"/>
      <c r="C763" s="362"/>
      <c r="D763" s="362"/>
      <c r="E763" s="132"/>
      <c r="F763" s="131"/>
      <c r="G763" s="361"/>
      <c r="H763" s="363"/>
      <c r="I763" s="364"/>
      <c r="J763" s="361"/>
      <c r="K763" s="361"/>
      <c r="L763" s="361"/>
      <c r="M763" s="361"/>
      <c r="N763" s="361"/>
      <c r="O763" s="361"/>
      <c r="P763" s="361"/>
      <c r="Q763" s="361"/>
      <c r="R763" s="361"/>
      <c r="S763" s="361"/>
      <c r="T763" s="361"/>
      <c r="U763" s="361"/>
      <c r="V763" s="361"/>
      <c r="W763" s="361"/>
      <c r="X763" s="365"/>
      <c r="Y763" s="361"/>
      <c r="Z763" s="361"/>
      <c r="AA763" s="116"/>
      <c r="AB763" s="116"/>
      <c r="AC763" s="116"/>
      <c r="AD763" s="116"/>
      <c r="AE763" s="365"/>
      <c r="AF763" s="116"/>
      <c r="AG763" s="116"/>
      <c r="AH763" s="116"/>
      <c r="AI763" s="116"/>
      <c r="AJ763" s="116"/>
      <c r="AK763" s="116"/>
      <c r="AL763" s="116"/>
    </row>
    <row r="764" ht="16.5" customHeight="1">
      <c r="A764" s="362"/>
      <c r="B764" s="362"/>
      <c r="C764" s="362"/>
      <c r="D764" s="362"/>
      <c r="E764" s="132"/>
      <c r="F764" s="131"/>
      <c r="G764" s="361"/>
      <c r="H764" s="363"/>
      <c r="I764" s="364"/>
      <c r="J764" s="361"/>
      <c r="K764" s="361"/>
      <c r="L764" s="361"/>
      <c r="M764" s="361"/>
      <c r="N764" s="361"/>
      <c r="O764" s="361"/>
      <c r="P764" s="361"/>
      <c r="Q764" s="361"/>
      <c r="R764" s="361"/>
      <c r="S764" s="361"/>
      <c r="T764" s="361"/>
      <c r="U764" s="361"/>
      <c r="V764" s="361"/>
      <c r="W764" s="361"/>
      <c r="X764" s="365"/>
      <c r="Y764" s="361"/>
      <c r="Z764" s="361"/>
      <c r="AA764" s="116"/>
      <c r="AB764" s="116"/>
      <c r="AC764" s="116"/>
      <c r="AD764" s="116"/>
      <c r="AE764" s="365"/>
      <c r="AF764" s="116"/>
      <c r="AG764" s="116"/>
      <c r="AH764" s="116"/>
      <c r="AI764" s="116"/>
      <c r="AJ764" s="116"/>
      <c r="AK764" s="116"/>
      <c r="AL764" s="116"/>
    </row>
    <row r="765" ht="16.5" customHeight="1">
      <c r="A765" s="362"/>
      <c r="B765" s="362"/>
      <c r="C765" s="362"/>
      <c r="D765" s="362"/>
      <c r="E765" s="132"/>
      <c r="F765" s="131"/>
      <c r="G765" s="361"/>
      <c r="H765" s="363"/>
      <c r="I765" s="364"/>
      <c r="J765" s="361"/>
      <c r="K765" s="361"/>
      <c r="L765" s="361"/>
      <c r="M765" s="361"/>
      <c r="N765" s="361"/>
      <c r="O765" s="361"/>
      <c r="P765" s="361"/>
      <c r="Q765" s="361"/>
      <c r="R765" s="361"/>
      <c r="S765" s="361"/>
      <c r="T765" s="361"/>
      <c r="U765" s="361"/>
      <c r="V765" s="361"/>
      <c r="W765" s="361"/>
      <c r="X765" s="365"/>
      <c r="Y765" s="361"/>
      <c r="Z765" s="361"/>
      <c r="AA765" s="116"/>
      <c r="AB765" s="116"/>
      <c r="AC765" s="116"/>
      <c r="AD765" s="116"/>
      <c r="AE765" s="365"/>
      <c r="AF765" s="116"/>
      <c r="AG765" s="116"/>
      <c r="AH765" s="116"/>
      <c r="AI765" s="116"/>
      <c r="AJ765" s="116"/>
      <c r="AK765" s="116"/>
      <c r="AL765" s="116"/>
    </row>
    <row r="766" ht="16.5" customHeight="1">
      <c r="A766" s="362"/>
      <c r="B766" s="362"/>
      <c r="C766" s="362"/>
      <c r="D766" s="362"/>
      <c r="E766" s="132"/>
      <c r="F766" s="131"/>
      <c r="G766" s="361"/>
      <c r="H766" s="363"/>
      <c r="I766" s="364"/>
      <c r="J766" s="361"/>
      <c r="K766" s="361"/>
      <c r="L766" s="361"/>
      <c r="M766" s="361"/>
      <c r="N766" s="361"/>
      <c r="O766" s="361"/>
      <c r="P766" s="361"/>
      <c r="Q766" s="361"/>
      <c r="R766" s="361"/>
      <c r="S766" s="361"/>
      <c r="T766" s="361"/>
      <c r="U766" s="361"/>
      <c r="V766" s="361"/>
      <c r="W766" s="361"/>
      <c r="X766" s="365"/>
      <c r="Y766" s="361"/>
      <c r="Z766" s="361"/>
      <c r="AA766" s="116"/>
      <c r="AB766" s="116"/>
      <c r="AC766" s="116"/>
      <c r="AD766" s="116"/>
      <c r="AE766" s="365"/>
      <c r="AF766" s="116"/>
      <c r="AG766" s="116"/>
      <c r="AH766" s="116"/>
      <c r="AI766" s="116"/>
      <c r="AJ766" s="116"/>
      <c r="AK766" s="116"/>
      <c r="AL766" s="116"/>
    </row>
    <row r="767" ht="16.5" customHeight="1">
      <c r="A767" s="362"/>
      <c r="B767" s="362"/>
      <c r="C767" s="362"/>
      <c r="D767" s="362"/>
      <c r="E767" s="132"/>
      <c r="F767" s="131"/>
      <c r="G767" s="361"/>
      <c r="H767" s="363"/>
      <c r="I767" s="364"/>
      <c r="J767" s="361"/>
      <c r="K767" s="361"/>
      <c r="L767" s="361"/>
      <c r="M767" s="361"/>
      <c r="N767" s="361"/>
      <c r="O767" s="361"/>
      <c r="P767" s="361"/>
      <c r="Q767" s="361"/>
      <c r="R767" s="361"/>
      <c r="S767" s="361"/>
      <c r="T767" s="361"/>
      <c r="U767" s="361"/>
      <c r="V767" s="361"/>
      <c r="W767" s="361"/>
      <c r="X767" s="365"/>
      <c r="Y767" s="361"/>
      <c r="Z767" s="361"/>
      <c r="AA767" s="116"/>
      <c r="AB767" s="116"/>
      <c r="AC767" s="116"/>
      <c r="AD767" s="116"/>
      <c r="AE767" s="365"/>
      <c r="AF767" s="116"/>
      <c r="AG767" s="116"/>
      <c r="AH767" s="116"/>
      <c r="AI767" s="116"/>
      <c r="AJ767" s="116"/>
      <c r="AK767" s="116"/>
      <c r="AL767" s="116"/>
    </row>
    <row r="768" ht="16.5" customHeight="1">
      <c r="A768" s="362"/>
      <c r="B768" s="362"/>
      <c r="C768" s="362"/>
      <c r="D768" s="362"/>
      <c r="E768" s="132"/>
      <c r="F768" s="131"/>
      <c r="G768" s="361"/>
      <c r="H768" s="363"/>
      <c r="I768" s="364"/>
      <c r="J768" s="361"/>
      <c r="K768" s="361"/>
      <c r="L768" s="361"/>
      <c r="M768" s="361"/>
      <c r="N768" s="361"/>
      <c r="O768" s="361"/>
      <c r="P768" s="361"/>
      <c r="Q768" s="361"/>
      <c r="R768" s="361"/>
      <c r="S768" s="361"/>
      <c r="T768" s="361"/>
      <c r="U768" s="361"/>
      <c r="V768" s="361"/>
      <c r="W768" s="361"/>
      <c r="X768" s="365"/>
      <c r="Y768" s="361"/>
      <c r="Z768" s="361"/>
      <c r="AA768" s="116"/>
      <c r="AB768" s="116"/>
      <c r="AC768" s="116"/>
      <c r="AD768" s="116"/>
      <c r="AE768" s="365"/>
      <c r="AF768" s="116"/>
      <c r="AG768" s="116"/>
      <c r="AH768" s="116"/>
      <c r="AI768" s="116"/>
      <c r="AJ768" s="116"/>
      <c r="AK768" s="116"/>
      <c r="AL768" s="116"/>
    </row>
    <row r="769" ht="16.5" customHeight="1">
      <c r="A769" s="362"/>
      <c r="B769" s="362"/>
      <c r="C769" s="362"/>
      <c r="D769" s="362"/>
      <c r="E769" s="132"/>
      <c r="F769" s="131"/>
      <c r="G769" s="361"/>
      <c r="H769" s="363"/>
      <c r="I769" s="364"/>
      <c r="J769" s="361"/>
      <c r="K769" s="361"/>
      <c r="L769" s="361"/>
      <c r="M769" s="361"/>
      <c r="N769" s="361"/>
      <c r="O769" s="361"/>
      <c r="P769" s="361"/>
      <c r="Q769" s="361"/>
      <c r="R769" s="361"/>
      <c r="S769" s="361"/>
      <c r="T769" s="361"/>
      <c r="U769" s="361"/>
      <c r="V769" s="361"/>
      <c r="W769" s="361"/>
      <c r="X769" s="365"/>
      <c r="Y769" s="361"/>
      <c r="Z769" s="361"/>
      <c r="AA769" s="116"/>
      <c r="AB769" s="116"/>
      <c r="AC769" s="116"/>
      <c r="AD769" s="116"/>
      <c r="AE769" s="365"/>
      <c r="AF769" s="116"/>
      <c r="AG769" s="116"/>
      <c r="AH769" s="116"/>
      <c r="AI769" s="116"/>
      <c r="AJ769" s="116"/>
      <c r="AK769" s="116"/>
      <c r="AL769" s="116"/>
    </row>
    <row r="770" ht="16.5" customHeight="1">
      <c r="A770" s="362"/>
      <c r="B770" s="362"/>
      <c r="C770" s="362"/>
      <c r="D770" s="362"/>
      <c r="E770" s="132"/>
      <c r="F770" s="131"/>
      <c r="G770" s="361"/>
      <c r="H770" s="363"/>
      <c r="I770" s="364"/>
      <c r="J770" s="361"/>
      <c r="K770" s="361"/>
      <c r="L770" s="361"/>
      <c r="M770" s="361"/>
      <c r="N770" s="361"/>
      <c r="O770" s="361"/>
      <c r="P770" s="361"/>
      <c r="Q770" s="361"/>
      <c r="R770" s="361"/>
      <c r="S770" s="361"/>
      <c r="T770" s="361"/>
      <c r="U770" s="361"/>
      <c r="V770" s="361"/>
      <c r="W770" s="361"/>
      <c r="X770" s="365"/>
      <c r="Y770" s="361"/>
      <c r="Z770" s="361"/>
      <c r="AA770" s="116"/>
      <c r="AB770" s="116"/>
      <c r="AC770" s="116"/>
      <c r="AD770" s="116"/>
      <c r="AE770" s="365"/>
      <c r="AF770" s="116"/>
      <c r="AG770" s="116"/>
      <c r="AH770" s="116"/>
      <c r="AI770" s="116"/>
      <c r="AJ770" s="116"/>
      <c r="AK770" s="116"/>
      <c r="AL770" s="116"/>
    </row>
    <row r="771" ht="16.5" customHeight="1">
      <c r="A771" s="362"/>
      <c r="B771" s="362"/>
      <c r="C771" s="362"/>
      <c r="D771" s="362"/>
      <c r="E771" s="132"/>
      <c r="F771" s="131"/>
      <c r="G771" s="361"/>
      <c r="H771" s="363"/>
      <c r="I771" s="364"/>
      <c r="J771" s="361"/>
      <c r="K771" s="361"/>
      <c r="L771" s="361"/>
      <c r="M771" s="361"/>
      <c r="N771" s="361"/>
      <c r="O771" s="361"/>
      <c r="P771" s="361"/>
      <c r="Q771" s="361"/>
      <c r="R771" s="361"/>
      <c r="S771" s="361"/>
      <c r="T771" s="361"/>
      <c r="U771" s="361"/>
      <c r="V771" s="361"/>
      <c r="W771" s="361"/>
      <c r="X771" s="365"/>
      <c r="Y771" s="361"/>
      <c r="Z771" s="361"/>
      <c r="AA771" s="116"/>
      <c r="AB771" s="116"/>
      <c r="AC771" s="116"/>
      <c r="AD771" s="116"/>
      <c r="AE771" s="365"/>
      <c r="AF771" s="116"/>
      <c r="AG771" s="116"/>
      <c r="AH771" s="116"/>
      <c r="AI771" s="116"/>
      <c r="AJ771" s="116"/>
      <c r="AK771" s="116"/>
      <c r="AL771" s="116"/>
    </row>
    <row r="772" ht="16.5" customHeight="1">
      <c r="A772" s="362"/>
      <c r="B772" s="362"/>
      <c r="C772" s="362"/>
      <c r="D772" s="362"/>
      <c r="E772" s="132"/>
      <c r="F772" s="131"/>
      <c r="G772" s="361"/>
      <c r="H772" s="363"/>
      <c r="I772" s="364"/>
      <c r="J772" s="361"/>
      <c r="K772" s="361"/>
      <c r="L772" s="361"/>
      <c r="M772" s="361"/>
      <c r="N772" s="361"/>
      <c r="O772" s="361"/>
      <c r="P772" s="361"/>
      <c r="Q772" s="361"/>
      <c r="R772" s="361"/>
      <c r="S772" s="361"/>
      <c r="T772" s="361"/>
      <c r="U772" s="361"/>
      <c r="V772" s="361"/>
      <c r="W772" s="361"/>
      <c r="X772" s="365"/>
      <c r="Y772" s="361"/>
      <c r="Z772" s="361"/>
      <c r="AA772" s="116"/>
      <c r="AB772" s="116"/>
      <c r="AC772" s="116"/>
      <c r="AD772" s="116"/>
      <c r="AE772" s="365"/>
      <c r="AF772" s="116"/>
      <c r="AG772" s="116"/>
      <c r="AH772" s="116"/>
      <c r="AI772" s="116"/>
      <c r="AJ772" s="116"/>
      <c r="AK772" s="116"/>
      <c r="AL772" s="116"/>
    </row>
    <row r="773" ht="16.5" customHeight="1">
      <c r="A773" s="362"/>
      <c r="B773" s="362"/>
      <c r="C773" s="362"/>
      <c r="D773" s="362"/>
      <c r="E773" s="132"/>
      <c r="F773" s="131"/>
      <c r="G773" s="361"/>
      <c r="H773" s="363"/>
      <c r="I773" s="364"/>
      <c r="J773" s="361"/>
      <c r="K773" s="361"/>
      <c r="L773" s="361"/>
      <c r="M773" s="361"/>
      <c r="N773" s="361"/>
      <c r="O773" s="361"/>
      <c r="P773" s="361"/>
      <c r="Q773" s="361"/>
      <c r="R773" s="361"/>
      <c r="S773" s="361"/>
      <c r="T773" s="361"/>
      <c r="U773" s="361"/>
      <c r="V773" s="361"/>
      <c r="W773" s="361"/>
      <c r="X773" s="365"/>
      <c r="Y773" s="361"/>
      <c r="Z773" s="361"/>
      <c r="AA773" s="116"/>
      <c r="AB773" s="116"/>
      <c r="AC773" s="116"/>
      <c r="AD773" s="116"/>
      <c r="AE773" s="365"/>
      <c r="AF773" s="116"/>
      <c r="AG773" s="116"/>
      <c r="AH773" s="116"/>
      <c r="AI773" s="116"/>
      <c r="AJ773" s="116"/>
      <c r="AK773" s="116"/>
      <c r="AL773" s="116"/>
    </row>
    <row r="774" ht="16.5" customHeight="1">
      <c r="A774" s="362"/>
      <c r="B774" s="362"/>
      <c r="C774" s="362"/>
      <c r="D774" s="362"/>
      <c r="E774" s="132"/>
      <c r="F774" s="131"/>
      <c r="G774" s="361"/>
      <c r="H774" s="363"/>
      <c r="I774" s="364"/>
      <c r="J774" s="361"/>
      <c r="K774" s="361"/>
      <c r="L774" s="361"/>
      <c r="M774" s="361"/>
      <c r="N774" s="361"/>
      <c r="O774" s="361"/>
      <c r="P774" s="361"/>
      <c r="Q774" s="361"/>
      <c r="R774" s="361"/>
      <c r="S774" s="361"/>
      <c r="T774" s="361"/>
      <c r="U774" s="361"/>
      <c r="V774" s="361"/>
      <c r="W774" s="361"/>
      <c r="X774" s="365"/>
      <c r="Y774" s="361"/>
      <c r="Z774" s="361"/>
      <c r="AA774" s="116"/>
      <c r="AB774" s="116"/>
      <c r="AC774" s="116"/>
      <c r="AD774" s="116"/>
      <c r="AE774" s="365"/>
      <c r="AF774" s="116"/>
      <c r="AG774" s="116"/>
      <c r="AH774" s="116"/>
      <c r="AI774" s="116"/>
      <c r="AJ774" s="116"/>
      <c r="AK774" s="116"/>
      <c r="AL774" s="116"/>
    </row>
    <row r="775" ht="16.5" customHeight="1">
      <c r="A775" s="362"/>
      <c r="B775" s="362"/>
      <c r="C775" s="362"/>
      <c r="D775" s="362"/>
      <c r="E775" s="132"/>
      <c r="F775" s="131"/>
      <c r="G775" s="361"/>
      <c r="H775" s="363"/>
      <c r="I775" s="364"/>
      <c r="J775" s="361"/>
      <c r="K775" s="361"/>
      <c r="L775" s="361"/>
      <c r="M775" s="361"/>
      <c r="N775" s="361"/>
      <c r="O775" s="361"/>
      <c r="P775" s="361"/>
      <c r="Q775" s="361"/>
      <c r="R775" s="361"/>
      <c r="S775" s="361"/>
      <c r="T775" s="361"/>
      <c r="U775" s="361"/>
      <c r="V775" s="361"/>
      <c r="W775" s="361"/>
      <c r="X775" s="365"/>
      <c r="Y775" s="361"/>
      <c r="Z775" s="361"/>
      <c r="AA775" s="116"/>
      <c r="AB775" s="116"/>
      <c r="AC775" s="116"/>
      <c r="AD775" s="116"/>
      <c r="AE775" s="365"/>
      <c r="AF775" s="116"/>
      <c r="AG775" s="116"/>
      <c r="AH775" s="116"/>
      <c r="AI775" s="116"/>
      <c r="AJ775" s="116"/>
      <c r="AK775" s="116"/>
      <c r="AL775" s="116"/>
    </row>
    <row r="776" ht="16.5" customHeight="1">
      <c r="A776" s="362"/>
      <c r="B776" s="362"/>
      <c r="C776" s="362"/>
      <c r="D776" s="362"/>
      <c r="E776" s="132"/>
      <c r="F776" s="131"/>
      <c r="G776" s="361"/>
      <c r="H776" s="363"/>
      <c r="I776" s="364"/>
      <c r="J776" s="361"/>
      <c r="K776" s="361"/>
      <c r="L776" s="361"/>
      <c r="M776" s="361"/>
      <c r="N776" s="361"/>
      <c r="O776" s="361"/>
      <c r="P776" s="361"/>
      <c r="Q776" s="361"/>
      <c r="R776" s="361"/>
      <c r="S776" s="361"/>
      <c r="T776" s="361"/>
      <c r="U776" s="361"/>
      <c r="V776" s="361"/>
      <c r="W776" s="361"/>
      <c r="X776" s="365"/>
      <c r="Y776" s="361"/>
      <c r="Z776" s="361"/>
      <c r="AA776" s="116"/>
      <c r="AB776" s="116"/>
      <c r="AC776" s="116"/>
      <c r="AD776" s="116"/>
      <c r="AE776" s="365"/>
      <c r="AF776" s="116"/>
      <c r="AG776" s="116"/>
      <c r="AH776" s="116"/>
      <c r="AI776" s="116"/>
      <c r="AJ776" s="116"/>
      <c r="AK776" s="116"/>
      <c r="AL776" s="116"/>
    </row>
    <row r="777" ht="16.5" customHeight="1">
      <c r="A777" s="362"/>
      <c r="B777" s="362"/>
      <c r="C777" s="362"/>
      <c r="D777" s="362"/>
      <c r="E777" s="132"/>
      <c r="F777" s="131"/>
      <c r="G777" s="361"/>
      <c r="H777" s="363"/>
      <c r="I777" s="364"/>
      <c r="J777" s="361"/>
      <c r="K777" s="361"/>
      <c r="L777" s="361"/>
      <c r="M777" s="361"/>
      <c r="N777" s="361"/>
      <c r="O777" s="361"/>
      <c r="P777" s="361"/>
      <c r="Q777" s="361"/>
      <c r="R777" s="361"/>
      <c r="S777" s="361"/>
      <c r="T777" s="361"/>
      <c r="U777" s="361"/>
      <c r="V777" s="361"/>
      <c r="W777" s="361"/>
      <c r="X777" s="365"/>
      <c r="Y777" s="361"/>
      <c r="Z777" s="361"/>
      <c r="AA777" s="116"/>
      <c r="AB777" s="116"/>
      <c r="AC777" s="116"/>
      <c r="AD777" s="116"/>
      <c r="AE777" s="365"/>
      <c r="AF777" s="116"/>
      <c r="AG777" s="116"/>
      <c r="AH777" s="116"/>
      <c r="AI777" s="116"/>
      <c r="AJ777" s="116"/>
      <c r="AK777" s="116"/>
      <c r="AL777" s="116"/>
    </row>
    <row r="778" ht="16.5" customHeight="1">
      <c r="A778" s="362"/>
      <c r="B778" s="362"/>
      <c r="C778" s="362"/>
      <c r="D778" s="362"/>
      <c r="E778" s="132"/>
      <c r="F778" s="131"/>
      <c r="G778" s="361"/>
      <c r="H778" s="363"/>
      <c r="I778" s="364"/>
      <c r="J778" s="361"/>
      <c r="K778" s="361"/>
      <c r="L778" s="361"/>
      <c r="M778" s="361"/>
      <c r="N778" s="361"/>
      <c r="O778" s="361"/>
      <c r="P778" s="361"/>
      <c r="Q778" s="361"/>
      <c r="R778" s="361"/>
      <c r="S778" s="361"/>
      <c r="T778" s="361"/>
      <c r="U778" s="361"/>
      <c r="V778" s="361"/>
      <c r="W778" s="361"/>
      <c r="X778" s="365"/>
      <c r="Y778" s="361"/>
      <c r="Z778" s="361"/>
      <c r="AA778" s="116"/>
      <c r="AB778" s="116"/>
      <c r="AC778" s="116"/>
      <c r="AD778" s="116"/>
      <c r="AE778" s="365"/>
      <c r="AF778" s="116"/>
      <c r="AG778" s="116"/>
      <c r="AH778" s="116"/>
      <c r="AI778" s="116"/>
      <c r="AJ778" s="116"/>
      <c r="AK778" s="116"/>
      <c r="AL778" s="116"/>
    </row>
    <row r="779" ht="16.5" customHeight="1">
      <c r="A779" s="362"/>
      <c r="B779" s="362"/>
      <c r="C779" s="362"/>
      <c r="D779" s="362"/>
      <c r="E779" s="132"/>
      <c r="F779" s="131"/>
      <c r="G779" s="361"/>
      <c r="H779" s="363"/>
      <c r="I779" s="364"/>
      <c r="J779" s="361"/>
      <c r="K779" s="361"/>
      <c r="L779" s="361"/>
      <c r="M779" s="361"/>
      <c r="N779" s="361"/>
      <c r="O779" s="361"/>
      <c r="P779" s="361"/>
      <c r="Q779" s="361"/>
      <c r="R779" s="361"/>
      <c r="S779" s="361"/>
      <c r="T779" s="361"/>
      <c r="U779" s="361"/>
      <c r="V779" s="361"/>
      <c r="W779" s="361"/>
      <c r="X779" s="365"/>
      <c r="Y779" s="361"/>
      <c r="Z779" s="361"/>
      <c r="AA779" s="116"/>
      <c r="AB779" s="116"/>
      <c r="AC779" s="116"/>
      <c r="AD779" s="116"/>
      <c r="AE779" s="365"/>
      <c r="AF779" s="116"/>
      <c r="AG779" s="116"/>
      <c r="AH779" s="116"/>
      <c r="AI779" s="116"/>
      <c r="AJ779" s="116"/>
      <c r="AK779" s="116"/>
      <c r="AL779" s="116"/>
    </row>
    <row r="780" ht="16.5" customHeight="1">
      <c r="A780" s="362"/>
      <c r="B780" s="362"/>
      <c r="C780" s="362"/>
      <c r="D780" s="362"/>
      <c r="E780" s="132"/>
      <c r="F780" s="131"/>
      <c r="G780" s="361"/>
      <c r="H780" s="363"/>
      <c r="I780" s="364"/>
      <c r="J780" s="361"/>
      <c r="K780" s="361"/>
      <c r="L780" s="361"/>
      <c r="M780" s="361"/>
      <c r="N780" s="361"/>
      <c r="O780" s="361"/>
      <c r="P780" s="361"/>
      <c r="Q780" s="361"/>
      <c r="R780" s="361"/>
      <c r="S780" s="361"/>
      <c r="T780" s="361"/>
      <c r="U780" s="361"/>
      <c r="V780" s="361"/>
      <c r="W780" s="361"/>
      <c r="X780" s="365"/>
      <c r="Y780" s="361"/>
      <c r="Z780" s="361"/>
      <c r="AA780" s="116"/>
      <c r="AB780" s="116"/>
      <c r="AC780" s="116"/>
      <c r="AD780" s="116"/>
      <c r="AE780" s="365"/>
      <c r="AF780" s="116"/>
      <c r="AG780" s="116"/>
      <c r="AH780" s="116"/>
      <c r="AI780" s="116"/>
      <c r="AJ780" s="116"/>
      <c r="AK780" s="116"/>
      <c r="AL780" s="116"/>
    </row>
    <row r="781" ht="16.5" customHeight="1">
      <c r="A781" s="362"/>
      <c r="B781" s="362"/>
      <c r="C781" s="362"/>
      <c r="D781" s="362"/>
      <c r="E781" s="132"/>
      <c r="F781" s="131"/>
      <c r="G781" s="361"/>
      <c r="H781" s="363"/>
      <c r="I781" s="364"/>
      <c r="J781" s="361"/>
      <c r="K781" s="361"/>
      <c r="L781" s="361"/>
      <c r="M781" s="361"/>
      <c r="N781" s="361"/>
      <c r="O781" s="361"/>
      <c r="P781" s="361"/>
      <c r="Q781" s="361"/>
      <c r="R781" s="361"/>
      <c r="S781" s="361"/>
      <c r="T781" s="361"/>
      <c r="U781" s="361"/>
      <c r="V781" s="361"/>
      <c r="W781" s="361"/>
      <c r="X781" s="365"/>
      <c r="Y781" s="361"/>
      <c r="Z781" s="361"/>
      <c r="AA781" s="116"/>
      <c r="AB781" s="116"/>
      <c r="AC781" s="116"/>
      <c r="AD781" s="116"/>
      <c r="AE781" s="365"/>
      <c r="AF781" s="116"/>
      <c r="AG781" s="116"/>
      <c r="AH781" s="116"/>
      <c r="AI781" s="116"/>
      <c r="AJ781" s="116"/>
      <c r="AK781" s="116"/>
      <c r="AL781" s="116"/>
    </row>
    <row r="782" ht="16.5" customHeight="1">
      <c r="A782" s="362"/>
      <c r="B782" s="362"/>
      <c r="C782" s="362"/>
      <c r="D782" s="362"/>
      <c r="E782" s="132"/>
      <c r="F782" s="131"/>
      <c r="G782" s="361"/>
      <c r="H782" s="363"/>
      <c r="I782" s="364"/>
      <c r="J782" s="361"/>
      <c r="K782" s="361"/>
      <c r="L782" s="361"/>
      <c r="M782" s="361"/>
      <c r="N782" s="361"/>
      <c r="O782" s="361"/>
      <c r="P782" s="361"/>
      <c r="Q782" s="361"/>
      <c r="R782" s="361"/>
      <c r="S782" s="361"/>
      <c r="T782" s="361"/>
      <c r="U782" s="361"/>
      <c r="V782" s="361"/>
      <c r="W782" s="361"/>
      <c r="X782" s="365"/>
      <c r="Y782" s="361"/>
      <c r="Z782" s="361"/>
      <c r="AA782" s="116"/>
      <c r="AB782" s="116"/>
      <c r="AC782" s="116"/>
      <c r="AD782" s="116"/>
      <c r="AE782" s="365"/>
      <c r="AF782" s="116"/>
      <c r="AG782" s="116"/>
      <c r="AH782" s="116"/>
      <c r="AI782" s="116"/>
      <c r="AJ782" s="116"/>
      <c r="AK782" s="116"/>
      <c r="AL782" s="116"/>
    </row>
    <row r="783" ht="16.5" customHeight="1">
      <c r="A783" s="362"/>
      <c r="B783" s="362"/>
      <c r="C783" s="362"/>
      <c r="D783" s="362"/>
      <c r="E783" s="132"/>
      <c r="F783" s="131"/>
      <c r="G783" s="361"/>
      <c r="H783" s="363"/>
      <c r="I783" s="364"/>
      <c r="J783" s="361"/>
      <c r="K783" s="361"/>
      <c r="L783" s="361"/>
      <c r="M783" s="361"/>
      <c r="N783" s="361"/>
      <c r="O783" s="361"/>
      <c r="P783" s="361"/>
      <c r="Q783" s="361"/>
      <c r="R783" s="361"/>
      <c r="S783" s="361"/>
      <c r="T783" s="361"/>
      <c r="U783" s="361"/>
      <c r="V783" s="361"/>
      <c r="W783" s="361"/>
      <c r="X783" s="365"/>
      <c r="Y783" s="361"/>
      <c r="Z783" s="361"/>
      <c r="AA783" s="116"/>
      <c r="AB783" s="116"/>
      <c r="AC783" s="116"/>
      <c r="AD783" s="116"/>
      <c r="AE783" s="365"/>
      <c r="AF783" s="116"/>
      <c r="AG783" s="116"/>
      <c r="AH783" s="116"/>
      <c r="AI783" s="116"/>
      <c r="AJ783" s="116"/>
      <c r="AK783" s="116"/>
      <c r="AL783" s="116"/>
    </row>
    <row r="784" ht="16.5" customHeight="1">
      <c r="A784" s="362"/>
      <c r="B784" s="362"/>
      <c r="C784" s="362"/>
      <c r="D784" s="362"/>
      <c r="E784" s="132"/>
      <c r="F784" s="131"/>
      <c r="G784" s="361"/>
      <c r="H784" s="363"/>
      <c r="I784" s="364"/>
      <c r="J784" s="361"/>
      <c r="K784" s="361"/>
      <c r="L784" s="361"/>
      <c r="M784" s="361"/>
      <c r="N784" s="361"/>
      <c r="O784" s="361"/>
      <c r="P784" s="361"/>
      <c r="Q784" s="361"/>
      <c r="R784" s="361"/>
      <c r="S784" s="361"/>
      <c r="T784" s="361"/>
      <c r="U784" s="361"/>
      <c r="V784" s="361"/>
      <c r="W784" s="361"/>
      <c r="X784" s="365"/>
      <c r="Y784" s="361"/>
      <c r="Z784" s="361"/>
      <c r="AA784" s="116"/>
      <c r="AB784" s="116"/>
      <c r="AC784" s="116"/>
      <c r="AD784" s="116"/>
      <c r="AE784" s="365"/>
      <c r="AF784" s="116"/>
      <c r="AG784" s="116"/>
      <c r="AH784" s="116"/>
      <c r="AI784" s="116"/>
      <c r="AJ784" s="116"/>
      <c r="AK784" s="116"/>
      <c r="AL784" s="116"/>
    </row>
    <row r="785" ht="16.5" customHeight="1">
      <c r="A785" s="362"/>
      <c r="B785" s="362"/>
      <c r="C785" s="362"/>
      <c r="D785" s="362"/>
      <c r="E785" s="132"/>
      <c r="F785" s="131"/>
      <c r="G785" s="361"/>
      <c r="H785" s="363"/>
      <c r="I785" s="364"/>
      <c r="J785" s="361"/>
      <c r="K785" s="361"/>
      <c r="L785" s="361"/>
      <c r="M785" s="361"/>
      <c r="N785" s="361"/>
      <c r="O785" s="361"/>
      <c r="P785" s="361"/>
      <c r="Q785" s="361"/>
      <c r="R785" s="361"/>
      <c r="S785" s="361"/>
      <c r="T785" s="361"/>
      <c r="U785" s="361"/>
      <c r="V785" s="361"/>
      <c r="W785" s="361"/>
      <c r="X785" s="365"/>
      <c r="Y785" s="361"/>
      <c r="Z785" s="361"/>
      <c r="AA785" s="116"/>
      <c r="AB785" s="116"/>
      <c r="AC785" s="116"/>
      <c r="AD785" s="116"/>
      <c r="AE785" s="365"/>
      <c r="AF785" s="116"/>
      <c r="AG785" s="116"/>
      <c r="AH785" s="116"/>
      <c r="AI785" s="116"/>
      <c r="AJ785" s="116"/>
      <c r="AK785" s="116"/>
      <c r="AL785" s="116"/>
    </row>
    <row r="786" ht="16.5" customHeight="1">
      <c r="A786" s="362"/>
      <c r="B786" s="362"/>
      <c r="C786" s="362"/>
      <c r="D786" s="362"/>
      <c r="E786" s="132"/>
      <c r="F786" s="131"/>
      <c r="G786" s="361"/>
      <c r="H786" s="363"/>
      <c r="I786" s="364"/>
      <c r="J786" s="361"/>
      <c r="K786" s="361"/>
      <c r="L786" s="361"/>
      <c r="M786" s="361"/>
      <c r="N786" s="361"/>
      <c r="O786" s="361"/>
      <c r="P786" s="361"/>
      <c r="Q786" s="361"/>
      <c r="R786" s="361"/>
      <c r="S786" s="361"/>
      <c r="T786" s="361"/>
      <c r="U786" s="361"/>
      <c r="V786" s="361"/>
      <c r="W786" s="361"/>
      <c r="X786" s="365"/>
      <c r="Y786" s="361"/>
      <c r="Z786" s="361"/>
      <c r="AA786" s="116"/>
      <c r="AB786" s="116"/>
      <c r="AC786" s="116"/>
      <c r="AD786" s="116"/>
      <c r="AE786" s="365"/>
      <c r="AF786" s="116"/>
      <c r="AG786" s="116"/>
      <c r="AH786" s="116"/>
      <c r="AI786" s="116"/>
      <c r="AJ786" s="116"/>
      <c r="AK786" s="116"/>
      <c r="AL786" s="116"/>
    </row>
    <row r="787" ht="16.5" customHeight="1">
      <c r="A787" s="362"/>
      <c r="B787" s="362"/>
      <c r="C787" s="362"/>
      <c r="D787" s="362"/>
      <c r="E787" s="132"/>
      <c r="F787" s="131"/>
      <c r="G787" s="361"/>
      <c r="H787" s="363"/>
      <c r="I787" s="364"/>
      <c r="J787" s="361"/>
      <c r="K787" s="361"/>
      <c r="L787" s="361"/>
      <c r="M787" s="361"/>
      <c r="N787" s="361"/>
      <c r="O787" s="361"/>
      <c r="P787" s="361"/>
      <c r="Q787" s="361"/>
      <c r="R787" s="361"/>
      <c r="S787" s="361"/>
      <c r="T787" s="361"/>
      <c r="U787" s="361"/>
      <c r="V787" s="361"/>
      <c r="W787" s="361"/>
      <c r="X787" s="365"/>
      <c r="Y787" s="361"/>
      <c r="Z787" s="361"/>
      <c r="AA787" s="116"/>
      <c r="AB787" s="116"/>
      <c r="AC787" s="116"/>
      <c r="AD787" s="116"/>
      <c r="AE787" s="365"/>
      <c r="AF787" s="116"/>
      <c r="AG787" s="116"/>
      <c r="AH787" s="116"/>
      <c r="AI787" s="116"/>
      <c r="AJ787" s="116"/>
      <c r="AK787" s="116"/>
      <c r="AL787" s="116"/>
    </row>
    <row r="788" ht="16.5" customHeight="1">
      <c r="A788" s="362"/>
      <c r="B788" s="362"/>
      <c r="C788" s="362"/>
      <c r="D788" s="362"/>
      <c r="E788" s="132"/>
      <c r="F788" s="131"/>
      <c r="G788" s="361"/>
      <c r="H788" s="363"/>
      <c r="I788" s="364"/>
      <c r="J788" s="361"/>
      <c r="K788" s="361"/>
      <c r="L788" s="361"/>
      <c r="M788" s="361"/>
      <c r="N788" s="361"/>
      <c r="O788" s="361"/>
      <c r="P788" s="361"/>
      <c r="Q788" s="361"/>
      <c r="R788" s="361"/>
      <c r="S788" s="361"/>
      <c r="T788" s="361"/>
      <c r="U788" s="361"/>
      <c r="V788" s="361"/>
      <c r="W788" s="361"/>
      <c r="X788" s="365"/>
      <c r="Y788" s="361"/>
      <c r="Z788" s="361"/>
      <c r="AA788" s="116"/>
      <c r="AB788" s="116"/>
      <c r="AC788" s="116"/>
      <c r="AD788" s="116"/>
      <c r="AE788" s="365"/>
      <c r="AF788" s="116"/>
      <c r="AG788" s="116"/>
      <c r="AH788" s="116"/>
      <c r="AI788" s="116"/>
      <c r="AJ788" s="116"/>
      <c r="AK788" s="116"/>
      <c r="AL788" s="116"/>
    </row>
    <row r="789" ht="16.5" customHeight="1">
      <c r="A789" s="362"/>
      <c r="B789" s="362"/>
      <c r="C789" s="362"/>
      <c r="D789" s="362"/>
      <c r="E789" s="132"/>
      <c r="F789" s="131"/>
      <c r="G789" s="361"/>
      <c r="H789" s="363"/>
      <c r="I789" s="364"/>
      <c r="J789" s="361"/>
      <c r="K789" s="361"/>
      <c r="L789" s="361"/>
      <c r="M789" s="361"/>
      <c r="N789" s="361"/>
      <c r="O789" s="361"/>
      <c r="P789" s="361"/>
      <c r="Q789" s="361"/>
      <c r="R789" s="361"/>
      <c r="S789" s="361"/>
      <c r="T789" s="361"/>
      <c r="U789" s="361"/>
      <c r="V789" s="361"/>
      <c r="W789" s="361"/>
      <c r="X789" s="365"/>
      <c r="Y789" s="361"/>
      <c r="Z789" s="361"/>
      <c r="AA789" s="116"/>
      <c r="AB789" s="116"/>
      <c r="AC789" s="116"/>
      <c r="AD789" s="116"/>
      <c r="AE789" s="365"/>
      <c r="AF789" s="116"/>
      <c r="AG789" s="116"/>
      <c r="AH789" s="116"/>
      <c r="AI789" s="116"/>
      <c r="AJ789" s="116"/>
      <c r="AK789" s="116"/>
      <c r="AL789" s="116"/>
    </row>
    <row r="790" ht="16.5" customHeight="1">
      <c r="A790" s="362"/>
      <c r="B790" s="362"/>
      <c r="C790" s="362"/>
      <c r="D790" s="362"/>
      <c r="E790" s="132"/>
      <c r="F790" s="131"/>
      <c r="G790" s="361"/>
      <c r="H790" s="363"/>
      <c r="I790" s="364"/>
      <c r="J790" s="361"/>
      <c r="K790" s="361"/>
      <c r="L790" s="361"/>
      <c r="M790" s="361"/>
      <c r="N790" s="361"/>
      <c r="O790" s="361"/>
      <c r="P790" s="361"/>
      <c r="Q790" s="361"/>
      <c r="R790" s="361"/>
      <c r="S790" s="361"/>
      <c r="T790" s="361"/>
      <c r="U790" s="361"/>
      <c r="V790" s="361"/>
      <c r="W790" s="361"/>
      <c r="X790" s="365"/>
      <c r="Y790" s="361"/>
      <c r="Z790" s="361"/>
      <c r="AA790" s="116"/>
      <c r="AB790" s="116"/>
      <c r="AC790" s="116"/>
      <c r="AD790" s="116"/>
      <c r="AE790" s="365"/>
      <c r="AF790" s="116"/>
      <c r="AG790" s="116"/>
      <c r="AH790" s="116"/>
      <c r="AI790" s="116"/>
      <c r="AJ790" s="116"/>
      <c r="AK790" s="116"/>
      <c r="AL790" s="116"/>
    </row>
    <row r="791" ht="16.5" customHeight="1">
      <c r="A791" s="362"/>
      <c r="B791" s="362"/>
      <c r="C791" s="362"/>
      <c r="D791" s="362"/>
      <c r="E791" s="132"/>
      <c r="F791" s="131"/>
      <c r="G791" s="361"/>
      <c r="H791" s="363"/>
      <c r="I791" s="364"/>
      <c r="J791" s="361"/>
      <c r="K791" s="361"/>
      <c r="L791" s="361"/>
      <c r="M791" s="361"/>
      <c r="N791" s="361"/>
      <c r="O791" s="361"/>
      <c r="P791" s="361"/>
      <c r="Q791" s="361"/>
      <c r="R791" s="361"/>
      <c r="S791" s="361"/>
      <c r="T791" s="361"/>
      <c r="U791" s="361"/>
      <c r="V791" s="361"/>
      <c r="W791" s="361"/>
      <c r="X791" s="365"/>
      <c r="Y791" s="361"/>
      <c r="Z791" s="361"/>
      <c r="AA791" s="116"/>
      <c r="AB791" s="116"/>
      <c r="AC791" s="116"/>
      <c r="AD791" s="116"/>
      <c r="AE791" s="365"/>
      <c r="AF791" s="116"/>
      <c r="AG791" s="116"/>
      <c r="AH791" s="116"/>
      <c r="AI791" s="116"/>
      <c r="AJ791" s="116"/>
      <c r="AK791" s="116"/>
      <c r="AL791" s="116"/>
    </row>
    <row r="792" ht="16.5" customHeight="1">
      <c r="A792" s="362"/>
      <c r="B792" s="362"/>
      <c r="C792" s="362"/>
      <c r="D792" s="362"/>
      <c r="E792" s="132"/>
      <c r="F792" s="131"/>
      <c r="G792" s="361"/>
      <c r="H792" s="363"/>
      <c r="I792" s="364"/>
      <c r="J792" s="361"/>
      <c r="K792" s="361"/>
      <c r="L792" s="361"/>
      <c r="M792" s="361"/>
      <c r="N792" s="361"/>
      <c r="O792" s="361"/>
      <c r="P792" s="361"/>
      <c r="Q792" s="361"/>
      <c r="R792" s="361"/>
      <c r="S792" s="361"/>
      <c r="T792" s="361"/>
      <c r="U792" s="361"/>
      <c r="V792" s="361"/>
      <c r="W792" s="361"/>
      <c r="X792" s="365"/>
      <c r="Y792" s="361"/>
      <c r="Z792" s="361"/>
      <c r="AA792" s="116"/>
      <c r="AB792" s="116"/>
      <c r="AC792" s="116"/>
      <c r="AD792" s="116"/>
      <c r="AE792" s="365"/>
      <c r="AF792" s="116"/>
      <c r="AG792" s="116"/>
      <c r="AH792" s="116"/>
      <c r="AI792" s="116"/>
      <c r="AJ792" s="116"/>
      <c r="AK792" s="116"/>
      <c r="AL792" s="116"/>
    </row>
    <row r="793" ht="16.5" customHeight="1">
      <c r="A793" s="362"/>
      <c r="B793" s="362"/>
      <c r="C793" s="362"/>
      <c r="D793" s="362"/>
      <c r="E793" s="132"/>
      <c r="F793" s="131"/>
      <c r="G793" s="361"/>
      <c r="H793" s="363"/>
      <c r="I793" s="364"/>
      <c r="J793" s="361"/>
      <c r="K793" s="361"/>
      <c r="L793" s="361"/>
      <c r="M793" s="361"/>
      <c r="N793" s="361"/>
      <c r="O793" s="361"/>
      <c r="P793" s="361"/>
      <c r="Q793" s="361"/>
      <c r="R793" s="361"/>
      <c r="S793" s="361"/>
      <c r="T793" s="361"/>
      <c r="U793" s="361"/>
      <c r="V793" s="361"/>
      <c r="W793" s="361"/>
      <c r="X793" s="365"/>
      <c r="Y793" s="361"/>
      <c r="Z793" s="361"/>
      <c r="AA793" s="116"/>
      <c r="AB793" s="116"/>
      <c r="AC793" s="116"/>
      <c r="AD793" s="116"/>
      <c r="AE793" s="365"/>
      <c r="AF793" s="116"/>
      <c r="AG793" s="116"/>
      <c r="AH793" s="116"/>
      <c r="AI793" s="116"/>
      <c r="AJ793" s="116"/>
      <c r="AK793" s="116"/>
      <c r="AL793" s="116"/>
    </row>
    <row r="794" ht="16.5" customHeight="1">
      <c r="A794" s="362"/>
      <c r="B794" s="362"/>
      <c r="C794" s="362"/>
      <c r="D794" s="362"/>
      <c r="E794" s="132"/>
      <c r="F794" s="131"/>
      <c r="G794" s="361"/>
      <c r="H794" s="363"/>
      <c r="I794" s="364"/>
      <c r="J794" s="361"/>
      <c r="K794" s="361"/>
      <c r="L794" s="361"/>
      <c r="M794" s="361"/>
      <c r="N794" s="361"/>
      <c r="O794" s="361"/>
      <c r="P794" s="361"/>
      <c r="Q794" s="361"/>
      <c r="R794" s="361"/>
      <c r="S794" s="361"/>
      <c r="T794" s="361"/>
      <c r="U794" s="361"/>
      <c r="V794" s="361"/>
      <c r="W794" s="361"/>
      <c r="X794" s="365"/>
      <c r="Y794" s="361"/>
      <c r="Z794" s="361"/>
      <c r="AA794" s="116"/>
      <c r="AB794" s="116"/>
      <c r="AC794" s="116"/>
      <c r="AD794" s="116"/>
      <c r="AE794" s="365"/>
      <c r="AF794" s="116"/>
      <c r="AG794" s="116"/>
      <c r="AH794" s="116"/>
      <c r="AI794" s="116"/>
      <c r="AJ794" s="116"/>
      <c r="AK794" s="116"/>
      <c r="AL794" s="116"/>
    </row>
    <row r="795" ht="16.5" customHeight="1">
      <c r="A795" s="362"/>
      <c r="B795" s="362"/>
      <c r="C795" s="362"/>
      <c r="D795" s="362"/>
      <c r="E795" s="132"/>
      <c r="F795" s="131"/>
      <c r="G795" s="361"/>
      <c r="H795" s="363"/>
      <c r="I795" s="364"/>
      <c r="J795" s="361"/>
      <c r="K795" s="361"/>
      <c r="L795" s="361"/>
      <c r="M795" s="361"/>
      <c r="N795" s="361"/>
      <c r="O795" s="361"/>
      <c r="P795" s="361"/>
      <c r="Q795" s="361"/>
      <c r="R795" s="361"/>
      <c r="S795" s="361"/>
      <c r="T795" s="361"/>
      <c r="U795" s="361"/>
      <c r="V795" s="361"/>
      <c r="W795" s="361"/>
      <c r="X795" s="365"/>
      <c r="Y795" s="361"/>
      <c r="Z795" s="361"/>
      <c r="AA795" s="116"/>
      <c r="AB795" s="116"/>
      <c r="AC795" s="116"/>
      <c r="AD795" s="116"/>
      <c r="AE795" s="365"/>
      <c r="AF795" s="116"/>
      <c r="AG795" s="116"/>
      <c r="AH795" s="116"/>
      <c r="AI795" s="116"/>
      <c r="AJ795" s="116"/>
      <c r="AK795" s="116"/>
      <c r="AL795" s="116"/>
    </row>
    <row r="796" ht="16.5" customHeight="1">
      <c r="A796" s="362"/>
      <c r="B796" s="362"/>
      <c r="C796" s="362"/>
      <c r="D796" s="362"/>
      <c r="E796" s="132"/>
      <c r="F796" s="131"/>
      <c r="G796" s="361"/>
      <c r="H796" s="363"/>
      <c r="I796" s="364"/>
      <c r="J796" s="361"/>
      <c r="K796" s="361"/>
      <c r="L796" s="361"/>
      <c r="M796" s="361"/>
      <c r="N796" s="361"/>
      <c r="O796" s="361"/>
      <c r="P796" s="361"/>
      <c r="Q796" s="361"/>
      <c r="R796" s="361"/>
      <c r="S796" s="361"/>
      <c r="T796" s="361"/>
      <c r="U796" s="361"/>
      <c r="V796" s="361"/>
      <c r="W796" s="361"/>
      <c r="X796" s="365"/>
      <c r="Y796" s="361"/>
      <c r="Z796" s="361"/>
      <c r="AA796" s="116"/>
      <c r="AB796" s="116"/>
      <c r="AC796" s="116"/>
      <c r="AD796" s="116"/>
      <c r="AE796" s="365"/>
      <c r="AF796" s="116"/>
      <c r="AG796" s="116"/>
      <c r="AH796" s="116"/>
      <c r="AI796" s="116"/>
      <c r="AJ796" s="116"/>
      <c r="AK796" s="116"/>
      <c r="AL796" s="116"/>
    </row>
    <row r="797" ht="16.5" customHeight="1">
      <c r="A797" s="362"/>
      <c r="B797" s="362"/>
      <c r="C797" s="362"/>
      <c r="D797" s="362"/>
      <c r="E797" s="132"/>
      <c r="F797" s="131"/>
      <c r="G797" s="361"/>
      <c r="H797" s="363"/>
      <c r="I797" s="364"/>
      <c r="J797" s="361"/>
      <c r="K797" s="361"/>
      <c r="L797" s="361"/>
      <c r="M797" s="361"/>
      <c r="N797" s="361"/>
      <c r="O797" s="361"/>
      <c r="P797" s="361"/>
      <c r="Q797" s="361"/>
      <c r="R797" s="361"/>
      <c r="S797" s="361"/>
      <c r="T797" s="361"/>
      <c r="U797" s="361"/>
      <c r="V797" s="361"/>
      <c r="W797" s="361"/>
      <c r="X797" s="365"/>
      <c r="Y797" s="361"/>
      <c r="Z797" s="361"/>
      <c r="AA797" s="116"/>
      <c r="AB797" s="116"/>
      <c r="AC797" s="116"/>
      <c r="AD797" s="116"/>
      <c r="AE797" s="365"/>
      <c r="AF797" s="116"/>
      <c r="AG797" s="116"/>
      <c r="AH797" s="116"/>
      <c r="AI797" s="116"/>
      <c r="AJ797" s="116"/>
      <c r="AK797" s="116"/>
      <c r="AL797" s="116"/>
    </row>
    <row r="798" ht="16.5" customHeight="1">
      <c r="A798" s="362"/>
      <c r="B798" s="362"/>
      <c r="C798" s="362"/>
      <c r="D798" s="362"/>
      <c r="E798" s="132"/>
      <c r="F798" s="131"/>
      <c r="G798" s="361"/>
      <c r="H798" s="363"/>
      <c r="I798" s="364"/>
      <c r="J798" s="361"/>
      <c r="K798" s="361"/>
      <c r="L798" s="361"/>
      <c r="M798" s="361"/>
      <c r="N798" s="361"/>
      <c r="O798" s="361"/>
      <c r="P798" s="361"/>
      <c r="Q798" s="361"/>
      <c r="R798" s="361"/>
      <c r="S798" s="361"/>
      <c r="T798" s="361"/>
      <c r="U798" s="361"/>
      <c r="V798" s="361"/>
      <c r="W798" s="361"/>
      <c r="X798" s="365"/>
      <c r="Y798" s="361"/>
      <c r="Z798" s="361"/>
      <c r="AA798" s="116"/>
      <c r="AB798" s="116"/>
      <c r="AC798" s="116"/>
      <c r="AD798" s="116"/>
      <c r="AE798" s="365"/>
      <c r="AF798" s="116"/>
      <c r="AG798" s="116"/>
      <c r="AH798" s="116"/>
      <c r="AI798" s="116"/>
      <c r="AJ798" s="116"/>
      <c r="AK798" s="116"/>
      <c r="AL798" s="116"/>
    </row>
    <row r="799" ht="16.5" customHeight="1">
      <c r="A799" s="362"/>
      <c r="B799" s="362"/>
      <c r="C799" s="362"/>
      <c r="D799" s="362"/>
      <c r="E799" s="132"/>
      <c r="F799" s="131"/>
      <c r="G799" s="361"/>
      <c r="H799" s="363"/>
      <c r="I799" s="364"/>
      <c r="J799" s="361"/>
      <c r="K799" s="361"/>
      <c r="L799" s="361"/>
      <c r="M799" s="361"/>
      <c r="N799" s="361"/>
      <c r="O799" s="361"/>
      <c r="P799" s="361"/>
      <c r="Q799" s="361"/>
      <c r="R799" s="361"/>
      <c r="S799" s="361"/>
      <c r="T799" s="361"/>
      <c r="U799" s="361"/>
      <c r="V799" s="361"/>
      <c r="W799" s="361"/>
      <c r="X799" s="365"/>
      <c r="Y799" s="361"/>
      <c r="Z799" s="361"/>
      <c r="AA799" s="116"/>
      <c r="AB799" s="116"/>
      <c r="AC799" s="116"/>
      <c r="AD799" s="116"/>
      <c r="AE799" s="365"/>
      <c r="AF799" s="116"/>
      <c r="AG799" s="116"/>
      <c r="AH799" s="116"/>
      <c r="AI799" s="116"/>
      <c r="AJ799" s="116"/>
      <c r="AK799" s="116"/>
      <c r="AL799" s="116"/>
    </row>
    <row r="800" ht="16.5" customHeight="1">
      <c r="A800" s="362"/>
      <c r="B800" s="362"/>
      <c r="C800" s="362"/>
      <c r="D800" s="362"/>
      <c r="E800" s="132"/>
      <c r="F800" s="131"/>
      <c r="G800" s="361"/>
      <c r="H800" s="363"/>
      <c r="I800" s="364"/>
      <c r="J800" s="361"/>
      <c r="K800" s="361"/>
      <c r="L800" s="361"/>
      <c r="M800" s="361"/>
      <c r="N800" s="361"/>
      <c r="O800" s="361"/>
      <c r="P800" s="361"/>
      <c r="Q800" s="361"/>
      <c r="R800" s="361"/>
      <c r="S800" s="361"/>
      <c r="T800" s="361"/>
      <c r="U800" s="361"/>
      <c r="V800" s="361"/>
      <c r="W800" s="361"/>
      <c r="X800" s="365"/>
      <c r="Y800" s="361"/>
      <c r="Z800" s="361"/>
      <c r="AA800" s="116"/>
      <c r="AB800" s="116"/>
      <c r="AC800" s="116"/>
      <c r="AD800" s="116"/>
      <c r="AE800" s="365"/>
      <c r="AF800" s="116"/>
      <c r="AG800" s="116"/>
      <c r="AH800" s="116"/>
      <c r="AI800" s="116"/>
      <c r="AJ800" s="116"/>
      <c r="AK800" s="116"/>
      <c r="AL800" s="116"/>
    </row>
    <row r="801" ht="16.5" customHeight="1">
      <c r="A801" s="362"/>
      <c r="B801" s="362"/>
      <c r="C801" s="362"/>
      <c r="D801" s="362"/>
      <c r="E801" s="132"/>
      <c r="F801" s="131"/>
      <c r="G801" s="361"/>
      <c r="H801" s="363"/>
      <c r="I801" s="364"/>
      <c r="J801" s="361"/>
      <c r="K801" s="361"/>
      <c r="L801" s="361"/>
      <c r="M801" s="361"/>
      <c r="N801" s="361"/>
      <c r="O801" s="361"/>
      <c r="P801" s="361"/>
      <c r="Q801" s="361"/>
      <c r="R801" s="361"/>
      <c r="S801" s="361"/>
      <c r="T801" s="361"/>
      <c r="U801" s="361"/>
      <c r="V801" s="361"/>
      <c r="W801" s="361"/>
      <c r="X801" s="365"/>
      <c r="Y801" s="361"/>
      <c r="Z801" s="361"/>
      <c r="AA801" s="116"/>
      <c r="AB801" s="116"/>
      <c r="AC801" s="116"/>
      <c r="AD801" s="116"/>
      <c r="AE801" s="365"/>
      <c r="AF801" s="116"/>
      <c r="AG801" s="116"/>
      <c r="AH801" s="116"/>
      <c r="AI801" s="116"/>
      <c r="AJ801" s="116"/>
      <c r="AK801" s="116"/>
      <c r="AL801" s="116"/>
    </row>
    <row r="802" ht="16.5" customHeight="1">
      <c r="A802" s="362"/>
      <c r="B802" s="362"/>
      <c r="C802" s="362"/>
      <c r="D802" s="362"/>
      <c r="E802" s="132"/>
      <c r="F802" s="131"/>
      <c r="G802" s="361"/>
      <c r="H802" s="363"/>
      <c r="I802" s="364"/>
      <c r="J802" s="361"/>
      <c r="K802" s="361"/>
      <c r="L802" s="361"/>
      <c r="M802" s="361"/>
      <c r="N802" s="361"/>
      <c r="O802" s="361"/>
      <c r="P802" s="361"/>
      <c r="Q802" s="361"/>
      <c r="R802" s="361"/>
      <c r="S802" s="361"/>
      <c r="T802" s="361"/>
      <c r="U802" s="361"/>
      <c r="V802" s="361"/>
      <c r="W802" s="361"/>
      <c r="X802" s="365"/>
      <c r="Y802" s="361"/>
      <c r="Z802" s="361"/>
      <c r="AA802" s="116"/>
      <c r="AB802" s="116"/>
      <c r="AC802" s="116"/>
      <c r="AD802" s="116"/>
      <c r="AE802" s="365"/>
      <c r="AF802" s="116"/>
      <c r="AG802" s="116"/>
      <c r="AH802" s="116"/>
      <c r="AI802" s="116"/>
      <c r="AJ802" s="116"/>
      <c r="AK802" s="116"/>
      <c r="AL802" s="116"/>
    </row>
    <row r="803" ht="16.5" customHeight="1">
      <c r="A803" s="362"/>
      <c r="B803" s="362"/>
      <c r="C803" s="362"/>
      <c r="D803" s="362"/>
      <c r="E803" s="132"/>
      <c r="F803" s="131"/>
      <c r="G803" s="361"/>
      <c r="H803" s="363"/>
      <c r="I803" s="364"/>
      <c r="J803" s="361"/>
      <c r="K803" s="361"/>
      <c r="L803" s="361"/>
      <c r="M803" s="361"/>
      <c r="N803" s="361"/>
      <c r="O803" s="361"/>
      <c r="P803" s="361"/>
      <c r="Q803" s="361"/>
      <c r="R803" s="361"/>
      <c r="S803" s="361"/>
      <c r="T803" s="361"/>
      <c r="U803" s="361"/>
      <c r="V803" s="361"/>
      <c r="W803" s="361"/>
      <c r="X803" s="365"/>
      <c r="Y803" s="361"/>
      <c r="Z803" s="361"/>
      <c r="AA803" s="116"/>
      <c r="AB803" s="116"/>
      <c r="AC803" s="116"/>
      <c r="AD803" s="116"/>
      <c r="AE803" s="365"/>
      <c r="AF803" s="116"/>
      <c r="AG803" s="116"/>
      <c r="AH803" s="116"/>
      <c r="AI803" s="116"/>
      <c r="AJ803" s="116"/>
      <c r="AK803" s="116"/>
      <c r="AL803" s="116"/>
    </row>
    <row r="804" ht="16.5" customHeight="1">
      <c r="A804" s="362"/>
      <c r="B804" s="362"/>
      <c r="C804" s="362"/>
      <c r="D804" s="362"/>
      <c r="E804" s="132"/>
      <c r="F804" s="131"/>
      <c r="G804" s="361"/>
      <c r="H804" s="363"/>
      <c r="I804" s="364"/>
      <c r="J804" s="361"/>
      <c r="K804" s="361"/>
      <c r="L804" s="361"/>
      <c r="M804" s="361"/>
      <c r="N804" s="361"/>
      <c r="O804" s="361"/>
      <c r="P804" s="361"/>
      <c r="Q804" s="361"/>
      <c r="R804" s="361"/>
      <c r="S804" s="361"/>
      <c r="T804" s="361"/>
      <c r="U804" s="361"/>
      <c r="V804" s="361"/>
      <c r="W804" s="361"/>
      <c r="X804" s="365"/>
      <c r="Y804" s="361"/>
      <c r="Z804" s="361"/>
      <c r="AA804" s="116"/>
      <c r="AB804" s="116"/>
      <c r="AC804" s="116"/>
      <c r="AD804" s="116"/>
      <c r="AE804" s="365"/>
      <c r="AF804" s="116"/>
      <c r="AG804" s="116"/>
      <c r="AH804" s="116"/>
      <c r="AI804" s="116"/>
      <c r="AJ804" s="116"/>
      <c r="AK804" s="116"/>
      <c r="AL804" s="116"/>
    </row>
    <row r="805" ht="16.5" customHeight="1">
      <c r="A805" s="362"/>
      <c r="B805" s="362"/>
      <c r="C805" s="362"/>
      <c r="D805" s="362"/>
      <c r="E805" s="132"/>
      <c r="F805" s="131"/>
      <c r="G805" s="361"/>
      <c r="H805" s="363"/>
      <c r="I805" s="364"/>
      <c r="J805" s="361"/>
      <c r="K805" s="361"/>
      <c r="L805" s="361"/>
      <c r="M805" s="361"/>
      <c r="N805" s="361"/>
      <c r="O805" s="361"/>
      <c r="P805" s="361"/>
      <c r="Q805" s="361"/>
      <c r="R805" s="361"/>
      <c r="S805" s="361"/>
      <c r="T805" s="361"/>
      <c r="U805" s="361"/>
      <c r="V805" s="361"/>
      <c r="W805" s="361"/>
      <c r="X805" s="365"/>
      <c r="Y805" s="361"/>
      <c r="Z805" s="361"/>
      <c r="AA805" s="116"/>
      <c r="AB805" s="116"/>
      <c r="AC805" s="116"/>
      <c r="AD805" s="116"/>
      <c r="AE805" s="365"/>
      <c r="AF805" s="116"/>
      <c r="AG805" s="116"/>
      <c r="AH805" s="116"/>
      <c r="AI805" s="116"/>
      <c r="AJ805" s="116"/>
      <c r="AK805" s="116"/>
      <c r="AL805" s="116"/>
    </row>
    <row r="806" ht="16.5" customHeight="1">
      <c r="A806" s="362"/>
      <c r="B806" s="362"/>
      <c r="C806" s="362"/>
      <c r="D806" s="362"/>
      <c r="E806" s="132"/>
      <c r="F806" s="131"/>
      <c r="G806" s="361"/>
      <c r="H806" s="363"/>
      <c r="I806" s="364"/>
      <c r="J806" s="361"/>
      <c r="K806" s="361"/>
      <c r="L806" s="361"/>
      <c r="M806" s="361"/>
      <c r="N806" s="361"/>
      <c r="O806" s="361"/>
      <c r="P806" s="361"/>
      <c r="Q806" s="361"/>
      <c r="R806" s="361"/>
      <c r="S806" s="361"/>
      <c r="T806" s="361"/>
      <c r="U806" s="361"/>
      <c r="V806" s="361"/>
      <c r="W806" s="361"/>
      <c r="X806" s="365"/>
      <c r="Y806" s="361"/>
      <c r="Z806" s="361"/>
      <c r="AA806" s="116"/>
      <c r="AB806" s="116"/>
      <c r="AC806" s="116"/>
      <c r="AD806" s="116"/>
      <c r="AE806" s="365"/>
      <c r="AF806" s="116"/>
      <c r="AG806" s="116"/>
      <c r="AH806" s="116"/>
      <c r="AI806" s="116"/>
      <c r="AJ806" s="116"/>
      <c r="AK806" s="116"/>
      <c r="AL806" s="116"/>
    </row>
    <row r="807" ht="16.5" customHeight="1">
      <c r="A807" s="362"/>
      <c r="B807" s="362"/>
      <c r="C807" s="362"/>
      <c r="D807" s="362"/>
      <c r="E807" s="132"/>
      <c r="F807" s="131"/>
      <c r="G807" s="361"/>
      <c r="H807" s="363"/>
      <c r="I807" s="364"/>
      <c r="J807" s="361"/>
      <c r="K807" s="361"/>
      <c r="L807" s="361"/>
      <c r="M807" s="361"/>
      <c r="N807" s="361"/>
      <c r="O807" s="361"/>
      <c r="P807" s="361"/>
      <c r="Q807" s="361"/>
      <c r="R807" s="361"/>
      <c r="S807" s="361"/>
      <c r="T807" s="361"/>
      <c r="U807" s="361"/>
      <c r="V807" s="361"/>
      <c r="W807" s="361"/>
      <c r="X807" s="365"/>
      <c r="Y807" s="361"/>
      <c r="Z807" s="361"/>
      <c r="AA807" s="116"/>
      <c r="AB807" s="116"/>
      <c r="AC807" s="116"/>
      <c r="AD807" s="116"/>
      <c r="AE807" s="365"/>
      <c r="AF807" s="116"/>
      <c r="AG807" s="116"/>
      <c r="AH807" s="116"/>
      <c r="AI807" s="116"/>
      <c r="AJ807" s="116"/>
      <c r="AK807" s="116"/>
      <c r="AL807" s="116"/>
    </row>
    <row r="808" ht="16.5" customHeight="1">
      <c r="A808" s="362"/>
      <c r="B808" s="362"/>
      <c r="C808" s="362"/>
      <c r="D808" s="362"/>
      <c r="E808" s="132"/>
      <c r="F808" s="131"/>
      <c r="G808" s="361"/>
      <c r="H808" s="363"/>
      <c r="I808" s="364"/>
      <c r="J808" s="361"/>
      <c r="K808" s="361"/>
      <c r="L808" s="361"/>
      <c r="M808" s="361"/>
      <c r="N808" s="361"/>
      <c r="O808" s="361"/>
      <c r="P808" s="361"/>
      <c r="Q808" s="361"/>
      <c r="R808" s="361"/>
      <c r="S808" s="361"/>
      <c r="T808" s="361"/>
      <c r="U808" s="361"/>
      <c r="V808" s="361"/>
      <c r="W808" s="361"/>
      <c r="X808" s="365"/>
      <c r="Y808" s="361"/>
      <c r="Z808" s="361"/>
      <c r="AA808" s="116"/>
      <c r="AB808" s="116"/>
      <c r="AC808" s="116"/>
      <c r="AD808" s="116"/>
      <c r="AE808" s="365"/>
      <c r="AF808" s="116"/>
      <c r="AG808" s="116"/>
      <c r="AH808" s="116"/>
      <c r="AI808" s="116"/>
      <c r="AJ808" s="116"/>
      <c r="AK808" s="116"/>
      <c r="AL808" s="116"/>
    </row>
    <row r="809" ht="16.5" customHeight="1">
      <c r="A809" s="362"/>
      <c r="B809" s="362"/>
      <c r="C809" s="362"/>
      <c r="D809" s="362"/>
      <c r="E809" s="132"/>
      <c r="F809" s="131"/>
      <c r="G809" s="361"/>
      <c r="H809" s="363"/>
      <c r="I809" s="364"/>
      <c r="J809" s="361"/>
      <c r="K809" s="361"/>
      <c r="L809" s="361"/>
      <c r="M809" s="361"/>
      <c r="N809" s="361"/>
      <c r="O809" s="361"/>
      <c r="P809" s="361"/>
      <c r="Q809" s="361"/>
      <c r="R809" s="361"/>
      <c r="S809" s="361"/>
      <c r="T809" s="361"/>
      <c r="U809" s="361"/>
      <c r="V809" s="361"/>
      <c r="W809" s="361"/>
      <c r="X809" s="365"/>
      <c r="Y809" s="361"/>
      <c r="Z809" s="361"/>
      <c r="AA809" s="116"/>
      <c r="AB809" s="116"/>
      <c r="AC809" s="116"/>
      <c r="AD809" s="116"/>
      <c r="AE809" s="365"/>
      <c r="AF809" s="116"/>
      <c r="AG809" s="116"/>
      <c r="AH809" s="116"/>
      <c r="AI809" s="116"/>
      <c r="AJ809" s="116"/>
      <c r="AK809" s="116"/>
      <c r="AL809" s="116"/>
    </row>
    <row r="810" ht="16.5" customHeight="1">
      <c r="A810" s="362"/>
      <c r="B810" s="362"/>
      <c r="C810" s="362"/>
      <c r="D810" s="362"/>
      <c r="E810" s="132"/>
      <c r="F810" s="131"/>
      <c r="G810" s="361"/>
      <c r="H810" s="363"/>
      <c r="I810" s="364"/>
      <c r="J810" s="361"/>
      <c r="K810" s="361"/>
      <c r="L810" s="361"/>
      <c r="M810" s="361"/>
      <c r="N810" s="361"/>
      <c r="O810" s="361"/>
      <c r="P810" s="361"/>
      <c r="Q810" s="361"/>
      <c r="R810" s="361"/>
      <c r="S810" s="361"/>
      <c r="T810" s="361"/>
      <c r="U810" s="361"/>
      <c r="V810" s="361"/>
      <c r="W810" s="361"/>
      <c r="X810" s="365"/>
      <c r="Y810" s="361"/>
      <c r="Z810" s="361"/>
      <c r="AA810" s="116"/>
      <c r="AB810" s="116"/>
      <c r="AC810" s="116"/>
      <c r="AD810" s="116"/>
      <c r="AE810" s="365"/>
      <c r="AF810" s="116"/>
      <c r="AG810" s="116"/>
      <c r="AH810" s="116"/>
      <c r="AI810" s="116"/>
      <c r="AJ810" s="116"/>
      <c r="AK810" s="116"/>
      <c r="AL810" s="116"/>
    </row>
    <row r="811" ht="16.5" customHeight="1">
      <c r="A811" s="362"/>
      <c r="B811" s="362"/>
      <c r="C811" s="362"/>
      <c r="D811" s="362"/>
      <c r="E811" s="132"/>
      <c r="F811" s="131"/>
      <c r="G811" s="361"/>
      <c r="H811" s="363"/>
      <c r="I811" s="364"/>
      <c r="J811" s="361"/>
      <c r="K811" s="361"/>
      <c r="L811" s="361"/>
      <c r="M811" s="361"/>
      <c r="N811" s="361"/>
      <c r="O811" s="361"/>
      <c r="P811" s="361"/>
      <c r="Q811" s="361"/>
      <c r="R811" s="361"/>
      <c r="S811" s="361"/>
      <c r="T811" s="361"/>
      <c r="U811" s="361"/>
      <c r="V811" s="361"/>
      <c r="W811" s="361"/>
      <c r="X811" s="365"/>
      <c r="Y811" s="361"/>
      <c r="Z811" s="361"/>
      <c r="AA811" s="116"/>
      <c r="AB811" s="116"/>
      <c r="AC811" s="116"/>
      <c r="AD811" s="116"/>
      <c r="AE811" s="365"/>
      <c r="AF811" s="116"/>
      <c r="AG811" s="116"/>
      <c r="AH811" s="116"/>
      <c r="AI811" s="116"/>
      <c r="AJ811" s="116"/>
      <c r="AK811" s="116"/>
      <c r="AL811" s="116"/>
    </row>
    <row r="812" ht="16.5" customHeight="1">
      <c r="A812" s="362"/>
      <c r="B812" s="362"/>
      <c r="C812" s="362"/>
      <c r="D812" s="362"/>
      <c r="E812" s="132"/>
      <c r="F812" s="131"/>
      <c r="G812" s="361"/>
      <c r="H812" s="363"/>
      <c r="I812" s="364"/>
      <c r="J812" s="361"/>
      <c r="K812" s="361"/>
      <c r="L812" s="361"/>
      <c r="M812" s="361"/>
      <c r="N812" s="361"/>
      <c r="O812" s="361"/>
      <c r="P812" s="361"/>
      <c r="Q812" s="361"/>
      <c r="R812" s="361"/>
      <c r="S812" s="361"/>
      <c r="T812" s="361"/>
      <c r="U812" s="361"/>
      <c r="V812" s="361"/>
      <c r="W812" s="361"/>
      <c r="X812" s="365"/>
      <c r="Y812" s="361"/>
      <c r="Z812" s="361"/>
      <c r="AA812" s="116"/>
      <c r="AB812" s="116"/>
      <c r="AC812" s="116"/>
      <c r="AD812" s="116"/>
      <c r="AE812" s="365"/>
      <c r="AF812" s="116"/>
      <c r="AG812" s="116"/>
      <c r="AH812" s="116"/>
      <c r="AI812" s="116"/>
      <c r="AJ812" s="116"/>
      <c r="AK812" s="116"/>
      <c r="AL812" s="116"/>
    </row>
    <row r="813" ht="16.5" customHeight="1">
      <c r="A813" s="362"/>
      <c r="B813" s="362"/>
      <c r="C813" s="362"/>
      <c r="D813" s="362"/>
      <c r="E813" s="132"/>
      <c r="F813" s="131"/>
      <c r="G813" s="361"/>
      <c r="H813" s="363"/>
      <c r="I813" s="364"/>
      <c r="J813" s="361"/>
      <c r="K813" s="361"/>
      <c r="L813" s="361"/>
      <c r="M813" s="361"/>
      <c r="N813" s="361"/>
      <c r="O813" s="361"/>
      <c r="P813" s="361"/>
      <c r="Q813" s="361"/>
      <c r="R813" s="361"/>
      <c r="S813" s="361"/>
      <c r="T813" s="361"/>
      <c r="U813" s="361"/>
      <c r="V813" s="361"/>
      <c r="W813" s="361"/>
      <c r="X813" s="365"/>
      <c r="Y813" s="361"/>
      <c r="Z813" s="361"/>
      <c r="AA813" s="116"/>
      <c r="AB813" s="116"/>
      <c r="AC813" s="116"/>
      <c r="AD813" s="116"/>
      <c r="AE813" s="365"/>
      <c r="AF813" s="116"/>
      <c r="AG813" s="116"/>
      <c r="AH813" s="116"/>
      <c r="AI813" s="116"/>
      <c r="AJ813" s="116"/>
      <c r="AK813" s="116"/>
      <c r="AL813" s="116"/>
    </row>
    <row r="814" ht="16.5" customHeight="1">
      <c r="A814" s="362"/>
      <c r="B814" s="362"/>
      <c r="C814" s="362"/>
      <c r="D814" s="362"/>
      <c r="E814" s="132"/>
      <c r="F814" s="131"/>
      <c r="G814" s="361"/>
      <c r="H814" s="363"/>
      <c r="I814" s="364"/>
      <c r="J814" s="361"/>
      <c r="K814" s="361"/>
      <c r="L814" s="361"/>
      <c r="M814" s="361"/>
      <c r="N814" s="361"/>
      <c r="O814" s="361"/>
      <c r="P814" s="361"/>
      <c r="Q814" s="361"/>
      <c r="R814" s="361"/>
      <c r="S814" s="361"/>
      <c r="T814" s="361"/>
      <c r="U814" s="361"/>
      <c r="V814" s="361"/>
      <c r="W814" s="361"/>
      <c r="X814" s="365"/>
      <c r="Y814" s="361"/>
      <c r="Z814" s="361"/>
      <c r="AA814" s="116"/>
      <c r="AB814" s="116"/>
      <c r="AC814" s="116"/>
      <c r="AD814" s="116"/>
      <c r="AE814" s="365"/>
      <c r="AF814" s="116"/>
      <c r="AG814" s="116"/>
      <c r="AH814" s="116"/>
      <c r="AI814" s="116"/>
      <c r="AJ814" s="116"/>
      <c r="AK814" s="116"/>
      <c r="AL814" s="116"/>
    </row>
    <row r="815" ht="16.5" customHeight="1">
      <c r="A815" s="362"/>
      <c r="B815" s="362"/>
      <c r="C815" s="362"/>
      <c r="D815" s="362"/>
      <c r="E815" s="132"/>
      <c r="F815" s="131"/>
      <c r="G815" s="361"/>
      <c r="H815" s="363"/>
      <c r="I815" s="364"/>
      <c r="J815" s="361"/>
      <c r="K815" s="361"/>
      <c r="L815" s="361"/>
      <c r="M815" s="361"/>
      <c r="N815" s="361"/>
      <c r="O815" s="361"/>
      <c r="P815" s="361"/>
      <c r="Q815" s="361"/>
      <c r="R815" s="361"/>
      <c r="S815" s="361"/>
      <c r="T815" s="361"/>
      <c r="U815" s="361"/>
      <c r="V815" s="361"/>
      <c r="W815" s="361"/>
      <c r="X815" s="365"/>
      <c r="Y815" s="361"/>
      <c r="Z815" s="361"/>
      <c r="AA815" s="116"/>
      <c r="AB815" s="116"/>
      <c r="AC815" s="116"/>
      <c r="AD815" s="116"/>
      <c r="AE815" s="365"/>
      <c r="AF815" s="116"/>
      <c r="AG815" s="116"/>
      <c r="AH815" s="116"/>
      <c r="AI815" s="116"/>
      <c r="AJ815" s="116"/>
      <c r="AK815" s="116"/>
      <c r="AL815" s="116"/>
    </row>
    <row r="816" ht="16.5" customHeight="1">
      <c r="A816" s="362"/>
      <c r="B816" s="362"/>
      <c r="C816" s="362"/>
      <c r="D816" s="362"/>
      <c r="E816" s="132"/>
      <c r="F816" s="131"/>
      <c r="G816" s="361"/>
      <c r="H816" s="363"/>
      <c r="I816" s="364"/>
      <c r="J816" s="361"/>
      <c r="K816" s="361"/>
      <c r="L816" s="361"/>
      <c r="M816" s="361"/>
      <c r="N816" s="361"/>
      <c r="O816" s="361"/>
      <c r="P816" s="361"/>
      <c r="Q816" s="361"/>
      <c r="R816" s="361"/>
      <c r="S816" s="361"/>
      <c r="T816" s="361"/>
      <c r="U816" s="361"/>
      <c r="V816" s="361"/>
      <c r="W816" s="361"/>
      <c r="X816" s="365"/>
      <c r="Y816" s="361"/>
      <c r="Z816" s="361"/>
      <c r="AA816" s="116"/>
      <c r="AB816" s="116"/>
      <c r="AC816" s="116"/>
      <c r="AD816" s="116"/>
      <c r="AE816" s="365"/>
      <c r="AF816" s="116"/>
      <c r="AG816" s="116"/>
      <c r="AH816" s="116"/>
      <c r="AI816" s="116"/>
      <c r="AJ816" s="116"/>
      <c r="AK816" s="116"/>
      <c r="AL816" s="116"/>
    </row>
    <row r="817" ht="16.5" customHeight="1">
      <c r="A817" s="362"/>
      <c r="B817" s="362"/>
      <c r="C817" s="362"/>
      <c r="D817" s="362"/>
      <c r="E817" s="132"/>
      <c r="F817" s="131"/>
      <c r="G817" s="361"/>
      <c r="H817" s="363"/>
      <c r="I817" s="364"/>
      <c r="J817" s="361"/>
      <c r="K817" s="361"/>
      <c r="L817" s="361"/>
      <c r="M817" s="361"/>
      <c r="N817" s="361"/>
      <c r="O817" s="361"/>
      <c r="P817" s="361"/>
      <c r="Q817" s="361"/>
      <c r="R817" s="361"/>
      <c r="S817" s="361"/>
      <c r="T817" s="361"/>
      <c r="U817" s="361"/>
      <c r="V817" s="361"/>
      <c r="W817" s="361"/>
      <c r="X817" s="365"/>
      <c r="Y817" s="361"/>
      <c r="Z817" s="361"/>
      <c r="AA817" s="116"/>
      <c r="AB817" s="116"/>
      <c r="AC817" s="116"/>
      <c r="AD817" s="116"/>
      <c r="AE817" s="365"/>
      <c r="AF817" s="116"/>
      <c r="AG817" s="116"/>
      <c r="AH817" s="116"/>
      <c r="AI817" s="116"/>
      <c r="AJ817" s="116"/>
      <c r="AK817" s="116"/>
      <c r="AL817" s="116"/>
    </row>
    <row r="818" ht="16.5" customHeight="1">
      <c r="A818" s="362"/>
      <c r="B818" s="362"/>
      <c r="C818" s="362"/>
      <c r="D818" s="362"/>
      <c r="E818" s="132"/>
      <c r="F818" s="131"/>
      <c r="G818" s="361"/>
      <c r="H818" s="363"/>
      <c r="I818" s="364"/>
      <c r="J818" s="361"/>
      <c r="K818" s="361"/>
      <c r="L818" s="361"/>
      <c r="M818" s="361"/>
      <c r="N818" s="361"/>
      <c r="O818" s="361"/>
      <c r="P818" s="361"/>
      <c r="Q818" s="361"/>
      <c r="R818" s="361"/>
      <c r="S818" s="361"/>
      <c r="T818" s="361"/>
      <c r="U818" s="361"/>
      <c r="V818" s="361"/>
      <c r="W818" s="361"/>
      <c r="X818" s="365"/>
      <c r="Y818" s="361"/>
      <c r="Z818" s="361"/>
      <c r="AA818" s="116"/>
      <c r="AB818" s="116"/>
      <c r="AC818" s="116"/>
      <c r="AD818" s="116"/>
      <c r="AE818" s="365"/>
      <c r="AF818" s="116"/>
      <c r="AG818" s="116"/>
      <c r="AH818" s="116"/>
      <c r="AI818" s="116"/>
      <c r="AJ818" s="116"/>
      <c r="AK818" s="116"/>
      <c r="AL818" s="116"/>
    </row>
    <row r="819" ht="16.5" customHeight="1">
      <c r="A819" s="362"/>
      <c r="B819" s="362"/>
      <c r="C819" s="362"/>
      <c r="D819" s="362"/>
      <c r="E819" s="132"/>
      <c r="F819" s="131"/>
      <c r="G819" s="361"/>
      <c r="H819" s="363"/>
      <c r="I819" s="364"/>
      <c r="J819" s="361"/>
      <c r="K819" s="361"/>
      <c r="L819" s="361"/>
      <c r="M819" s="361"/>
      <c r="N819" s="361"/>
      <c r="O819" s="361"/>
      <c r="P819" s="361"/>
      <c r="Q819" s="361"/>
      <c r="R819" s="361"/>
      <c r="S819" s="361"/>
      <c r="T819" s="361"/>
      <c r="U819" s="361"/>
      <c r="V819" s="361"/>
      <c r="W819" s="361"/>
      <c r="X819" s="365"/>
      <c r="Y819" s="361"/>
      <c r="Z819" s="361"/>
      <c r="AA819" s="116"/>
      <c r="AB819" s="116"/>
      <c r="AC819" s="116"/>
      <c r="AD819" s="116"/>
      <c r="AE819" s="365"/>
      <c r="AF819" s="116"/>
      <c r="AG819" s="116"/>
      <c r="AH819" s="116"/>
      <c r="AI819" s="116"/>
      <c r="AJ819" s="116"/>
      <c r="AK819" s="116"/>
      <c r="AL819" s="116"/>
    </row>
    <row r="820" ht="16.5" customHeight="1">
      <c r="A820" s="362"/>
      <c r="B820" s="362"/>
      <c r="C820" s="362"/>
      <c r="D820" s="362"/>
      <c r="E820" s="132"/>
      <c r="F820" s="131"/>
      <c r="G820" s="361"/>
      <c r="H820" s="363"/>
      <c r="I820" s="364"/>
      <c r="J820" s="361"/>
      <c r="K820" s="361"/>
      <c r="L820" s="361"/>
      <c r="M820" s="361"/>
      <c r="N820" s="361"/>
      <c r="O820" s="361"/>
      <c r="P820" s="361"/>
      <c r="Q820" s="361"/>
      <c r="R820" s="361"/>
      <c r="S820" s="361"/>
      <c r="T820" s="361"/>
      <c r="U820" s="361"/>
      <c r="V820" s="361"/>
      <c r="W820" s="361"/>
      <c r="X820" s="365"/>
      <c r="Y820" s="361"/>
      <c r="Z820" s="361"/>
      <c r="AA820" s="116"/>
      <c r="AB820" s="116"/>
      <c r="AC820" s="116"/>
      <c r="AD820" s="116"/>
      <c r="AE820" s="365"/>
      <c r="AF820" s="116"/>
      <c r="AG820" s="116"/>
      <c r="AH820" s="116"/>
      <c r="AI820" s="116"/>
      <c r="AJ820" s="116"/>
      <c r="AK820" s="116"/>
      <c r="AL820" s="116"/>
    </row>
    <row r="821" ht="16.5" customHeight="1">
      <c r="A821" s="362"/>
      <c r="B821" s="362"/>
      <c r="C821" s="362"/>
      <c r="D821" s="362"/>
      <c r="E821" s="132"/>
      <c r="F821" s="131"/>
      <c r="G821" s="361"/>
      <c r="H821" s="363"/>
      <c r="I821" s="364"/>
      <c r="J821" s="361"/>
      <c r="K821" s="361"/>
      <c r="L821" s="361"/>
      <c r="M821" s="361"/>
      <c r="N821" s="361"/>
      <c r="O821" s="361"/>
      <c r="P821" s="361"/>
      <c r="Q821" s="361"/>
      <c r="R821" s="361"/>
      <c r="S821" s="361"/>
      <c r="T821" s="361"/>
      <c r="U821" s="361"/>
      <c r="V821" s="361"/>
      <c r="W821" s="361"/>
      <c r="X821" s="365"/>
      <c r="Y821" s="361"/>
      <c r="Z821" s="361"/>
      <c r="AA821" s="116"/>
      <c r="AB821" s="116"/>
      <c r="AC821" s="116"/>
      <c r="AD821" s="116"/>
      <c r="AE821" s="365"/>
      <c r="AF821" s="116"/>
      <c r="AG821" s="116"/>
      <c r="AH821" s="116"/>
      <c r="AI821" s="116"/>
      <c r="AJ821" s="116"/>
      <c r="AK821" s="116"/>
      <c r="AL821" s="116"/>
    </row>
    <row r="822" ht="16.5" customHeight="1">
      <c r="A822" s="362"/>
      <c r="B822" s="362"/>
      <c r="C822" s="362"/>
      <c r="D822" s="362"/>
      <c r="E822" s="132"/>
      <c r="F822" s="131"/>
      <c r="G822" s="361"/>
      <c r="H822" s="363"/>
      <c r="I822" s="364"/>
      <c r="J822" s="361"/>
      <c r="K822" s="361"/>
      <c r="L822" s="361"/>
      <c r="M822" s="361"/>
      <c r="N822" s="361"/>
      <c r="O822" s="361"/>
      <c r="P822" s="361"/>
      <c r="Q822" s="361"/>
      <c r="R822" s="361"/>
      <c r="S822" s="361"/>
      <c r="T822" s="361"/>
      <c r="U822" s="361"/>
      <c r="V822" s="361"/>
      <c r="W822" s="361"/>
      <c r="X822" s="365"/>
      <c r="Y822" s="361"/>
      <c r="Z822" s="361"/>
      <c r="AA822" s="116"/>
      <c r="AB822" s="116"/>
      <c r="AC822" s="116"/>
      <c r="AD822" s="116"/>
      <c r="AE822" s="365"/>
      <c r="AF822" s="116"/>
      <c r="AG822" s="116"/>
      <c r="AH822" s="116"/>
      <c r="AI822" s="116"/>
      <c r="AJ822" s="116"/>
      <c r="AK822" s="116"/>
      <c r="AL822" s="116"/>
    </row>
    <row r="823" ht="16.5" customHeight="1">
      <c r="A823" s="362"/>
      <c r="B823" s="362"/>
      <c r="C823" s="362"/>
      <c r="D823" s="362"/>
      <c r="E823" s="132"/>
      <c r="F823" s="131"/>
      <c r="G823" s="361"/>
      <c r="H823" s="363"/>
      <c r="I823" s="364"/>
      <c r="J823" s="361"/>
      <c r="K823" s="361"/>
      <c r="L823" s="361"/>
      <c r="M823" s="361"/>
      <c r="N823" s="361"/>
      <c r="O823" s="361"/>
      <c r="P823" s="361"/>
      <c r="Q823" s="361"/>
      <c r="R823" s="361"/>
      <c r="S823" s="361"/>
      <c r="T823" s="361"/>
      <c r="U823" s="361"/>
      <c r="V823" s="361"/>
      <c r="W823" s="361"/>
      <c r="X823" s="365"/>
      <c r="Y823" s="361"/>
      <c r="Z823" s="361"/>
      <c r="AA823" s="116"/>
      <c r="AB823" s="116"/>
      <c r="AC823" s="116"/>
      <c r="AD823" s="116"/>
      <c r="AE823" s="365"/>
      <c r="AF823" s="116"/>
      <c r="AG823" s="116"/>
      <c r="AH823" s="116"/>
      <c r="AI823" s="116"/>
      <c r="AJ823" s="116"/>
      <c r="AK823" s="116"/>
      <c r="AL823" s="116"/>
    </row>
    <row r="824" ht="16.5" customHeight="1">
      <c r="A824" s="362"/>
      <c r="B824" s="362"/>
      <c r="C824" s="362"/>
      <c r="D824" s="362"/>
      <c r="E824" s="132"/>
      <c r="F824" s="131"/>
      <c r="G824" s="361"/>
      <c r="H824" s="363"/>
      <c r="I824" s="364"/>
      <c r="J824" s="361"/>
      <c r="K824" s="361"/>
      <c r="L824" s="361"/>
      <c r="M824" s="361"/>
      <c r="N824" s="361"/>
      <c r="O824" s="361"/>
      <c r="P824" s="361"/>
      <c r="Q824" s="361"/>
      <c r="R824" s="361"/>
      <c r="S824" s="361"/>
      <c r="T824" s="361"/>
      <c r="U824" s="361"/>
      <c r="V824" s="361"/>
      <c r="W824" s="361"/>
      <c r="X824" s="365"/>
      <c r="Y824" s="361"/>
      <c r="Z824" s="361"/>
      <c r="AA824" s="116"/>
      <c r="AB824" s="116"/>
      <c r="AC824" s="116"/>
      <c r="AD824" s="116"/>
      <c r="AE824" s="365"/>
      <c r="AF824" s="116"/>
      <c r="AG824" s="116"/>
      <c r="AH824" s="116"/>
      <c r="AI824" s="116"/>
      <c r="AJ824" s="116"/>
      <c r="AK824" s="116"/>
      <c r="AL824" s="116"/>
    </row>
    <row r="825" ht="16.5" customHeight="1">
      <c r="A825" s="362"/>
      <c r="B825" s="362"/>
      <c r="C825" s="362"/>
      <c r="D825" s="362"/>
      <c r="E825" s="132"/>
      <c r="F825" s="131"/>
      <c r="G825" s="361"/>
      <c r="H825" s="363"/>
      <c r="I825" s="364"/>
      <c r="J825" s="361"/>
      <c r="K825" s="361"/>
      <c r="L825" s="361"/>
      <c r="M825" s="361"/>
      <c r="N825" s="361"/>
      <c r="O825" s="361"/>
      <c r="P825" s="361"/>
      <c r="Q825" s="361"/>
      <c r="R825" s="361"/>
      <c r="S825" s="361"/>
      <c r="T825" s="361"/>
      <c r="U825" s="361"/>
      <c r="V825" s="361"/>
      <c r="W825" s="361"/>
      <c r="X825" s="365"/>
      <c r="Y825" s="361"/>
      <c r="Z825" s="361"/>
      <c r="AA825" s="116"/>
      <c r="AB825" s="116"/>
      <c r="AC825" s="116"/>
      <c r="AD825" s="116"/>
      <c r="AE825" s="365"/>
      <c r="AF825" s="116"/>
      <c r="AG825" s="116"/>
      <c r="AH825" s="116"/>
      <c r="AI825" s="116"/>
      <c r="AJ825" s="116"/>
      <c r="AK825" s="116"/>
      <c r="AL825" s="116"/>
    </row>
    <row r="826" ht="16.5" customHeight="1">
      <c r="A826" s="362"/>
      <c r="B826" s="362"/>
      <c r="C826" s="362"/>
      <c r="D826" s="362"/>
      <c r="E826" s="132"/>
      <c r="F826" s="131"/>
      <c r="G826" s="361"/>
      <c r="H826" s="363"/>
      <c r="I826" s="364"/>
      <c r="J826" s="361"/>
      <c r="K826" s="361"/>
      <c r="L826" s="361"/>
      <c r="M826" s="361"/>
      <c r="N826" s="361"/>
      <c r="O826" s="361"/>
      <c r="P826" s="361"/>
      <c r="Q826" s="361"/>
      <c r="R826" s="361"/>
      <c r="S826" s="361"/>
      <c r="T826" s="361"/>
      <c r="U826" s="361"/>
      <c r="V826" s="361"/>
      <c r="W826" s="361"/>
      <c r="X826" s="365"/>
      <c r="Y826" s="361"/>
      <c r="Z826" s="361"/>
      <c r="AA826" s="116"/>
      <c r="AB826" s="116"/>
      <c r="AC826" s="116"/>
      <c r="AD826" s="116"/>
      <c r="AE826" s="365"/>
      <c r="AF826" s="116"/>
      <c r="AG826" s="116"/>
      <c r="AH826" s="116"/>
      <c r="AI826" s="116"/>
      <c r="AJ826" s="116"/>
      <c r="AK826" s="116"/>
      <c r="AL826" s="116"/>
    </row>
    <row r="827" ht="16.5" customHeight="1">
      <c r="A827" s="362"/>
      <c r="B827" s="362"/>
      <c r="C827" s="362"/>
      <c r="D827" s="362"/>
      <c r="E827" s="132"/>
      <c r="F827" s="131"/>
      <c r="G827" s="361"/>
      <c r="H827" s="363"/>
      <c r="I827" s="364"/>
      <c r="J827" s="361"/>
      <c r="K827" s="361"/>
      <c r="L827" s="361"/>
      <c r="M827" s="361"/>
      <c r="N827" s="361"/>
      <c r="O827" s="361"/>
      <c r="P827" s="361"/>
      <c r="Q827" s="361"/>
      <c r="R827" s="361"/>
      <c r="S827" s="361"/>
      <c r="T827" s="361"/>
      <c r="U827" s="361"/>
      <c r="V827" s="361"/>
      <c r="W827" s="361"/>
      <c r="X827" s="365"/>
      <c r="Y827" s="361"/>
      <c r="Z827" s="361"/>
      <c r="AA827" s="116"/>
      <c r="AB827" s="116"/>
      <c r="AC827" s="116"/>
      <c r="AD827" s="116"/>
      <c r="AE827" s="365"/>
      <c r="AF827" s="116"/>
      <c r="AG827" s="116"/>
      <c r="AH827" s="116"/>
      <c r="AI827" s="116"/>
      <c r="AJ827" s="116"/>
      <c r="AK827" s="116"/>
      <c r="AL827" s="116"/>
    </row>
    <row r="828" ht="16.5" customHeight="1">
      <c r="A828" s="362"/>
      <c r="B828" s="362"/>
      <c r="C828" s="362"/>
      <c r="D828" s="362"/>
      <c r="E828" s="132"/>
      <c r="F828" s="131"/>
      <c r="G828" s="361"/>
      <c r="H828" s="363"/>
      <c r="I828" s="364"/>
      <c r="J828" s="361"/>
      <c r="K828" s="361"/>
      <c r="L828" s="361"/>
      <c r="M828" s="361"/>
      <c r="N828" s="361"/>
      <c r="O828" s="361"/>
      <c r="P828" s="361"/>
      <c r="Q828" s="361"/>
      <c r="R828" s="361"/>
      <c r="S828" s="361"/>
      <c r="T828" s="361"/>
      <c r="U828" s="361"/>
      <c r="V828" s="361"/>
      <c r="W828" s="361"/>
      <c r="X828" s="365"/>
      <c r="Y828" s="361"/>
      <c r="Z828" s="361"/>
      <c r="AA828" s="116"/>
      <c r="AB828" s="116"/>
      <c r="AC828" s="116"/>
      <c r="AD828" s="116"/>
      <c r="AE828" s="365"/>
      <c r="AF828" s="116"/>
      <c r="AG828" s="116"/>
      <c r="AH828" s="116"/>
      <c r="AI828" s="116"/>
      <c r="AJ828" s="116"/>
      <c r="AK828" s="116"/>
      <c r="AL828" s="116"/>
    </row>
    <row r="829" ht="16.5" customHeight="1">
      <c r="A829" s="362"/>
      <c r="B829" s="362"/>
      <c r="C829" s="362"/>
      <c r="D829" s="362"/>
      <c r="E829" s="132"/>
      <c r="F829" s="131"/>
      <c r="G829" s="361"/>
      <c r="H829" s="363"/>
      <c r="I829" s="364"/>
      <c r="J829" s="361"/>
      <c r="K829" s="361"/>
      <c r="L829" s="361"/>
      <c r="M829" s="361"/>
      <c r="N829" s="361"/>
      <c r="O829" s="361"/>
      <c r="P829" s="361"/>
      <c r="Q829" s="361"/>
      <c r="R829" s="361"/>
      <c r="S829" s="361"/>
      <c r="T829" s="361"/>
      <c r="U829" s="361"/>
      <c r="V829" s="361"/>
      <c r="W829" s="361"/>
      <c r="X829" s="365"/>
      <c r="Y829" s="361"/>
      <c r="Z829" s="361"/>
      <c r="AA829" s="116"/>
      <c r="AB829" s="116"/>
      <c r="AC829" s="116"/>
      <c r="AD829" s="116"/>
      <c r="AE829" s="365"/>
      <c r="AF829" s="116"/>
      <c r="AG829" s="116"/>
      <c r="AH829" s="116"/>
      <c r="AI829" s="116"/>
      <c r="AJ829" s="116"/>
      <c r="AK829" s="116"/>
      <c r="AL829" s="116"/>
    </row>
    <row r="830" ht="16.5" customHeight="1">
      <c r="A830" s="362"/>
      <c r="B830" s="362"/>
      <c r="C830" s="362"/>
      <c r="D830" s="362"/>
      <c r="E830" s="132"/>
      <c r="F830" s="131"/>
      <c r="G830" s="361"/>
      <c r="H830" s="363"/>
      <c r="I830" s="364"/>
      <c r="J830" s="361"/>
      <c r="K830" s="361"/>
      <c r="L830" s="361"/>
      <c r="M830" s="361"/>
      <c r="N830" s="361"/>
      <c r="O830" s="361"/>
      <c r="P830" s="361"/>
      <c r="Q830" s="361"/>
      <c r="R830" s="361"/>
      <c r="S830" s="361"/>
      <c r="T830" s="361"/>
      <c r="U830" s="361"/>
      <c r="V830" s="361"/>
      <c r="W830" s="361"/>
      <c r="X830" s="365"/>
      <c r="Y830" s="361"/>
      <c r="Z830" s="361"/>
      <c r="AA830" s="116"/>
      <c r="AB830" s="116"/>
      <c r="AC830" s="116"/>
      <c r="AD830" s="116"/>
      <c r="AE830" s="365"/>
      <c r="AF830" s="116"/>
      <c r="AG830" s="116"/>
      <c r="AH830" s="116"/>
      <c r="AI830" s="116"/>
      <c r="AJ830" s="116"/>
      <c r="AK830" s="116"/>
      <c r="AL830" s="116"/>
    </row>
    <row r="831" ht="16.5" customHeight="1">
      <c r="A831" s="362"/>
      <c r="B831" s="362"/>
      <c r="C831" s="362"/>
      <c r="D831" s="362"/>
      <c r="E831" s="132"/>
      <c r="F831" s="131"/>
      <c r="G831" s="361"/>
      <c r="H831" s="363"/>
      <c r="I831" s="364"/>
      <c r="J831" s="361"/>
      <c r="K831" s="361"/>
      <c r="L831" s="361"/>
      <c r="M831" s="361"/>
      <c r="N831" s="361"/>
      <c r="O831" s="361"/>
      <c r="P831" s="361"/>
      <c r="Q831" s="361"/>
      <c r="R831" s="361"/>
      <c r="S831" s="361"/>
      <c r="T831" s="361"/>
      <c r="U831" s="361"/>
      <c r="V831" s="361"/>
      <c r="W831" s="361"/>
      <c r="X831" s="365"/>
      <c r="Y831" s="361"/>
      <c r="Z831" s="361"/>
      <c r="AA831" s="116"/>
      <c r="AB831" s="116"/>
      <c r="AC831" s="116"/>
      <c r="AD831" s="116"/>
      <c r="AE831" s="365"/>
      <c r="AF831" s="116"/>
      <c r="AG831" s="116"/>
      <c r="AH831" s="116"/>
      <c r="AI831" s="116"/>
      <c r="AJ831" s="116"/>
      <c r="AK831" s="116"/>
      <c r="AL831" s="116"/>
    </row>
    <row r="832" ht="16.5" customHeight="1">
      <c r="A832" s="362"/>
      <c r="B832" s="362"/>
      <c r="C832" s="362"/>
      <c r="D832" s="362"/>
      <c r="E832" s="132"/>
      <c r="F832" s="131"/>
      <c r="G832" s="361"/>
      <c r="H832" s="363"/>
      <c r="I832" s="364"/>
      <c r="J832" s="361"/>
      <c r="K832" s="361"/>
      <c r="L832" s="361"/>
      <c r="M832" s="361"/>
      <c r="N832" s="361"/>
      <c r="O832" s="361"/>
      <c r="P832" s="361"/>
      <c r="Q832" s="361"/>
      <c r="R832" s="361"/>
      <c r="S832" s="361"/>
      <c r="T832" s="361"/>
      <c r="U832" s="361"/>
      <c r="V832" s="361"/>
      <c r="W832" s="361"/>
      <c r="X832" s="365"/>
      <c r="Y832" s="361"/>
      <c r="Z832" s="361"/>
      <c r="AA832" s="116"/>
      <c r="AB832" s="116"/>
      <c r="AC832" s="116"/>
      <c r="AD832" s="116"/>
      <c r="AE832" s="365"/>
      <c r="AF832" s="116"/>
      <c r="AG832" s="116"/>
      <c r="AH832" s="116"/>
      <c r="AI832" s="116"/>
      <c r="AJ832" s="116"/>
      <c r="AK832" s="116"/>
      <c r="AL832" s="116"/>
    </row>
    <row r="833" ht="16.5" customHeight="1">
      <c r="A833" s="362"/>
      <c r="B833" s="362"/>
      <c r="C833" s="362"/>
      <c r="D833" s="362"/>
      <c r="E833" s="132"/>
      <c r="F833" s="131"/>
      <c r="G833" s="361"/>
      <c r="H833" s="363"/>
      <c r="I833" s="364"/>
      <c r="J833" s="361"/>
      <c r="K833" s="361"/>
      <c r="L833" s="361"/>
      <c r="M833" s="361"/>
      <c r="N833" s="361"/>
      <c r="O833" s="361"/>
      <c r="P833" s="361"/>
      <c r="Q833" s="361"/>
      <c r="R833" s="361"/>
      <c r="S833" s="361"/>
      <c r="T833" s="361"/>
      <c r="U833" s="361"/>
      <c r="V833" s="361"/>
      <c r="W833" s="361"/>
      <c r="X833" s="365"/>
      <c r="Y833" s="361"/>
      <c r="Z833" s="361"/>
      <c r="AA833" s="116"/>
      <c r="AB833" s="116"/>
      <c r="AC833" s="116"/>
      <c r="AD833" s="116"/>
      <c r="AE833" s="365"/>
      <c r="AF833" s="116"/>
      <c r="AG833" s="116"/>
      <c r="AH833" s="116"/>
      <c r="AI833" s="116"/>
      <c r="AJ833" s="116"/>
      <c r="AK833" s="116"/>
      <c r="AL833" s="116"/>
    </row>
    <row r="834" ht="16.5" customHeight="1">
      <c r="A834" s="362"/>
      <c r="B834" s="362"/>
      <c r="C834" s="362"/>
      <c r="D834" s="362"/>
      <c r="E834" s="132"/>
      <c r="F834" s="131"/>
      <c r="G834" s="361"/>
      <c r="H834" s="363"/>
      <c r="I834" s="364"/>
      <c r="J834" s="361"/>
      <c r="K834" s="361"/>
      <c r="L834" s="361"/>
      <c r="M834" s="361"/>
      <c r="N834" s="361"/>
      <c r="O834" s="361"/>
      <c r="P834" s="361"/>
      <c r="Q834" s="361"/>
      <c r="R834" s="361"/>
      <c r="S834" s="361"/>
      <c r="T834" s="361"/>
      <c r="U834" s="361"/>
      <c r="V834" s="361"/>
      <c r="W834" s="361"/>
      <c r="X834" s="365"/>
      <c r="Y834" s="361"/>
      <c r="Z834" s="361"/>
      <c r="AA834" s="116"/>
      <c r="AB834" s="116"/>
      <c r="AC834" s="116"/>
      <c r="AD834" s="116"/>
      <c r="AE834" s="365"/>
      <c r="AF834" s="116"/>
      <c r="AG834" s="116"/>
      <c r="AH834" s="116"/>
      <c r="AI834" s="116"/>
      <c r="AJ834" s="116"/>
      <c r="AK834" s="116"/>
      <c r="AL834" s="116"/>
    </row>
    <row r="835" ht="16.5" customHeight="1">
      <c r="A835" s="362"/>
      <c r="B835" s="362"/>
      <c r="C835" s="362"/>
      <c r="D835" s="362"/>
      <c r="E835" s="132"/>
      <c r="F835" s="131"/>
      <c r="G835" s="361"/>
      <c r="H835" s="363"/>
      <c r="I835" s="364"/>
      <c r="J835" s="361"/>
      <c r="K835" s="361"/>
      <c r="L835" s="361"/>
      <c r="M835" s="361"/>
      <c r="N835" s="361"/>
      <c r="O835" s="361"/>
      <c r="P835" s="361"/>
      <c r="Q835" s="361"/>
      <c r="R835" s="361"/>
      <c r="S835" s="361"/>
      <c r="T835" s="361"/>
      <c r="U835" s="361"/>
      <c r="V835" s="361"/>
      <c r="W835" s="361"/>
      <c r="X835" s="365"/>
      <c r="Y835" s="361"/>
      <c r="Z835" s="361"/>
      <c r="AA835" s="116"/>
      <c r="AB835" s="116"/>
      <c r="AC835" s="116"/>
      <c r="AD835" s="116"/>
      <c r="AE835" s="365"/>
      <c r="AF835" s="116"/>
      <c r="AG835" s="116"/>
      <c r="AH835" s="116"/>
      <c r="AI835" s="116"/>
      <c r="AJ835" s="116"/>
      <c r="AK835" s="116"/>
      <c r="AL835" s="116"/>
    </row>
    <row r="836" ht="16.5" customHeight="1">
      <c r="A836" s="362"/>
      <c r="B836" s="362"/>
      <c r="C836" s="362"/>
      <c r="D836" s="362"/>
      <c r="E836" s="132"/>
      <c r="F836" s="131"/>
      <c r="G836" s="361"/>
      <c r="H836" s="363"/>
      <c r="I836" s="364"/>
      <c r="J836" s="361"/>
      <c r="K836" s="361"/>
      <c r="L836" s="361"/>
      <c r="M836" s="361"/>
      <c r="N836" s="361"/>
      <c r="O836" s="361"/>
      <c r="P836" s="361"/>
      <c r="Q836" s="361"/>
      <c r="R836" s="361"/>
      <c r="S836" s="361"/>
      <c r="T836" s="361"/>
      <c r="U836" s="361"/>
      <c r="V836" s="361"/>
      <c r="W836" s="361"/>
      <c r="X836" s="365"/>
      <c r="Y836" s="361"/>
      <c r="Z836" s="361"/>
      <c r="AA836" s="116"/>
      <c r="AB836" s="116"/>
      <c r="AC836" s="116"/>
      <c r="AD836" s="116"/>
      <c r="AE836" s="365"/>
      <c r="AF836" s="116"/>
      <c r="AG836" s="116"/>
      <c r="AH836" s="116"/>
      <c r="AI836" s="116"/>
      <c r="AJ836" s="116"/>
      <c r="AK836" s="116"/>
      <c r="AL836" s="116"/>
    </row>
    <row r="837" ht="16.5" customHeight="1">
      <c r="A837" s="362"/>
      <c r="B837" s="362"/>
      <c r="C837" s="362"/>
      <c r="D837" s="362"/>
      <c r="E837" s="132"/>
      <c r="F837" s="131"/>
      <c r="G837" s="361"/>
      <c r="H837" s="363"/>
      <c r="I837" s="364"/>
      <c r="J837" s="361"/>
      <c r="K837" s="361"/>
      <c r="L837" s="361"/>
      <c r="M837" s="361"/>
      <c r="N837" s="361"/>
      <c r="O837" s="361"/>
      <c r="P837" s="361"/>
      <c r="Q837" s="361"/>
      <c r="R837" s="361"/>
      <c r="S837" s="361"/>
      <c r="T837" s="361"/>
      <c r="U837" s="361"/>
      <c r="V837" s="361"/>
      <c r="W837" s="361"/>
      <c r="X837" s="365"/>
      <c r="Y837" s="361"/>
      <c r="Z837" s="361"/>
      <c r="AA837" s="116"/>
      <c r="AB837" s="116"/>
      <c r="AC837" s="116"/>
      <c r="AD837" s="116"/>
      <c r="AE837" s="365"/>
      <c r="AF837" s="116"/>
      <c r="AG837" s="116"/>
      <c r="AH837" s="116"/>
      <c r="AI837" s="116"/>
      <c r="AJ837" s="116"/>
      <c r="AK837" s="116"/>
      <c r="AL837" s="116"/>
    </row>
    <row r="838" ht="16.5" customHeight="1">
      <c r="A838" s="362"/>
      <c r="B838" s="362"/>
      <c r="C838" s="362"/>
      <c r="D838" s="362"/>
      <c r="E838" s="132"/>
      <c r="F838" s="131"/>
      <c r="G838" s="361"/>
      <c r="H838" s="363"/>
      <c r="I838" s="364"/>
      <c r="J838" s="361"/>
      <c r="K838" s="361"/>
      <c r="L838" s="361"/>
      <c r="M838" s="361"/>
      <c r="N838" s="361"/>
      <c r="O838" s="361"/>
      <c r="P838" s="361"/>
      <c r="Q838" s="361"/>
      <c r="R838" s="361"/>
      <c r="S838" s="361"/>
      <c r="T838" s="361"/>
      <c r="U838" s="361"/>
      <c r="V838" s="361"/>
      <c r="W838" s="361"/>
      <c r="X838" s="365"/>
      <c r="Y838" s="361"/>
      <c r="Z838" s="361"/>
      <c r="AA838" s="116"/>
      <c r="AB838" s="116"/>
      <c r="AC838" s="116"/>
      <c r="AD838" s="116"/>
      <c r="AE838" s="365"/>
      <c r="AF838" s="116"/>
      <c r="AG838" s="116"/>
      <c r="AH838" s="116"/>
      <c r="AI838" s="116"/>
      <c r="AJ838" s="116"/>
      <c r="AK838" s="116"/>
      <c r="AL838" s="116"/>
    </row>
    <row r="839" ht="16.5" customHeight="1">
      <c r="A839" s="362"/>
      <c r="B839" s="362"/>
      <c r="C839" s="362"/>
      <c r="D839" s="362"/>
      <c r="E839" s="132"/>
      <c r="F839" s="131"/>
      <c r="G839" s="361"/>
      <c r="H839" s="363"/>
      <c r="I839" s="364"/>
      <c r="J839" s="361"/>
      <c r="K839" s="361"/>
      <c r="L839" s="361"/>
      <c r="M839" s="361"/>
      <c r="N839" s="361"/>
      <c r="O839" s="361"/>
      <c r="P839" s="361"/>
      <c r="Q839" s="361"/>
      <c r="R839" s="361"/>
      <c r="S839" s="361"/>
      <c r="T839" s="361"/>
      <c r="U839" s="361"/>
      <c r="V839" s="361"/>
      <c r="W839" s="361"/>
      <c r="X839" s="365"/>
      <c r="Y839" s="361"/>
      <c r="Z839" s="361"/>
      <c r="AA839" s="116"/>
      <c r="AB839" s="116"/>
      <c r="AC839" s="116"/>
      <c r="AD839" s="116"/>
      <c r="AE839" s="365"/>
      <c r="AF839" s="116"/>
      <c r="AG839" s="116"/>
      <c r="AH839" s="116"/>
      <c r="AI839" s="116"/>
      <c r="AJ839" s="116"/>
      <c r="AK839" s="116"/>
      <c r="AL839" s="116"/>
    </row>
    <row r="840" ht="16.5" customHeight="1">
      <c r="A840" s="362"/>
      <c r="B840" s="362"/>
      <c r="C840" s="362"/>
      <c r="D840" s="362"/>
      <c r="E840" s="132"/>
      <c r="F840" s="131"/>
      <c r="G840" s="361"/>
      <c r="H840" s="363"/>
      <c r="I840" s="364"/>
      <c r="J840" s="361"/>
      <c r="K840" s="361"/>
      <c r="L840" s="361"/>
      <c r="M840" s="361"/>
      <c r="N840" s="361"/>
      <c r="O840" s="361"/>
      <c r="P840" s="361"/>
      <c r="Q840" s="361"/>
      <c r="R840" s="361"/>
      <c r="S840" s="361"/>
      <c r="T840" s="361"/>
      <c r="U840" s="361"/>
      <c r="V840" s="361"/>
      <c r="W840" s="361"/>
      <c r="X840" s="365"/>
      <c r="Y840" s="361"/>
      <c r="Z840" s="361"/>
      <c r="AA840" s="116"/>
      <c r="AB840" s="116"/>
      <c r="AC840" s="116"/>
      <c r="AD840" s="116"/>
      <c r="AE840" s="365"/>
      <c r="AF840" s="116"/>
      <c r="AG840" s="116"/>
      <c r="AH840" s="116"/>
      <c r="AI840" s="116"/>
      <c r="AJ840" s="116"/>
      <c r="AK840" s="116"/>
      <c r="AL840" s="116"/>
    </row>
    <row r="841" ht="16.5" customHeight="1">
      <c r="A841" s="362"/>
      <c r="B841" s="362"/>
      <c r="C841" s="362"/>
      <c r="D841" s="362"/>
      <c r="E841" s="132"/>
      <c r="F841" s="131"/>
      <c r="G841" s="361"/>
      <c r="H841" s="363"/>
      <c r="I841" s="364"/>
      <c r="J841" s="361"/>
      <c r="K841" s="361"/>
      <c r="L841" s="361"/>
      <c r="M841" s="361"/>
      <c r="N841" s="361"/>
      <c r="O841" s="361"/>
      <c r="P841" s="361"/>
      <c r="Q841" s="361"/>
      <c r="R841" s="361"/>
      <c r="S841" s="361"/>
      <c r="T841" s="361"/>
      <c r="U841" s="361"/>
      <c r="V841" s="361"/>
      <c r="W841" s="361"/>
      <c r="X841" s="365"/>
      <c r="Y841" s="361"/>
      <c r="Z841" s="361"/>
      <c r="AA841" s="116"/>
      <c r="AB841" s="116"/>
      <c r="AC841" s="116"/>
      <c r="AD841" s="116"/>
      <c r="AE841" s="365"/>
      <c r="AF841" s="116"/>
      <c r="AG841" s="116"/>
      <c r="AH841" s="116"/>
      <c r="AI841" s="116"/>
      <c r="AJ841" s="116"/>
      <c r="AK841" s="116"/>
      <c r="AL841" s="116"/>
    </row>
    <row r="842" ht="16.5" customHeight="1">
      <c r="A842" s="362"/>
      <c r="B842" s="362"/>
      <c r="C842" s="362"/>
      <c r="D842" s="362"/>
      <c r="E842" s="132"/>
      <c r="F842" s="131"/>
      <c r="G842" s="361"/>
      <c r="H842" s="363"/>
      <c r="I842" s="364"/>
      <c r="J842" s="361"/>
      <c r="K842" s="361"/>
      <c r="L842" s="361"/>
      <c r="M842" s="361"/>
      <c r="N842" s="361"/>
      <c r="O842" s="361"/>
      <c r="P842" s="361"/>
      <c r="Q842" s="361"/>
      <c r="R842" s="361"/>
      <c r="S842" s="361"/>
      <c r="T842" s="361"/>
      <c r="U842" s="361"/>
      <c r="V842" s="361"/>
      <c r="W842" s="361"/>
      <c r="X842" s="365"/>
      <c r="Y842" s="361"/>
      <c r="Z842" s="361"/>
      <c r="AA842" s="116"/>
      <c r="AB842" s="116"/>
      <c r="AC842" s="116"/>
      <c r="AD842" s="116"/>
      <c r="AE842" s="365"/>
      <c r="AF842" s="116"/>
      <c r="AG842" s="116"/>
      <c r="AH842" s="116"/>
      <c r="AI842" s="116"/>
      <c r="AJ842" s="116"/>
      <c r="AK842" s="116"/>
      <c r="AL842" s="116"/>
    </row>
    <row r="843" ht="16.5" customHeight="1">
      <c r="A843" s="362"/>
      <c r="B843" s="362"/>
      <c r="C843" s="362"/>
      <c r="D843" s="362"/>
      <c r="E843" s="132"/>
      <c r="F843" s="131"/>
      <c r="G843" s="361"/>
      <c r="H843" s="363"/>
      <c r="I843" s="364"/>
      <c r="J843" s="361"/>
      <c r="K843" s="361"/>
      <c r="L843" s="361"/>
      <c r="M843" s="361"/>
      <c r="N843" s="361"/>
      <c r="O843" s="361"/>
      <c r="P843" s="361"/>
      <c r="Q843" s="361"/>
      <c r="R843" s="361"/>
      <c r="S843" s="361"/>
      <c r="T843" s="361"/>
      <c r="U843" s="361"/>
      <c r="V843" s="361"/>
      <c r="W843" s="361"/>
      <c r="X843" s="365"/>
      <c r="Y843" s="361"/>
      <c r="Z843" s="361"/>
      <c r="AA843" s="116"/>
      <c r="AB843" s="116"/>
      <c r="AC843" s="116"/>
      <c r="AD843" s="116"/>
      <c r="AE843" s="365"/>
      <c r="AF843" s="116"/>
      <c r="AG843" s="116"/>
      <c r="AH843" s="116"/>
      <c r="AI843" s="116"/>
      <c r="AJ843" s="116"/>
      <c r="AK843" s="116"/>
      <c r="AL843" s="116"/>
    </row>
    <row r="844" ht="16.5" customHeight="1">
      <c r="A844" s="362"/>
      <c r="B844" s="362"/>
      <c r="C844" s="362"/>
      <c r="D844" s="362"/>
      <c r="E844" s="132"/>
      <c r="F844" s="131"/>
      <c r="G844" s="361"/>
      <c r="H844" s="363"/>
      <c r="I844" s="364"/>
      <c r="J844" s="361"/>
      <c r="K844" s="361"/>
      <c r="L844" s="361"/>
      <c r="M844" s="361"/>
      <c r="N844" s="361"/>
      <c r="O844" s="361"/>
      <c r="P844" s="361"/>
      <c r="Q844" s="361"/>
      <c r="R844" s="361"/>
      <c r="S844" s="361"/>
      <c r="T844" s="361"/>
      <c r="U844" s="361"/>
      <c r="V844" s="361"/>
      <c r="W844" s="361"/>
      <c r="X844" s="365"/>
      <c r="Y844" s="361"/>
      <c r="Z844" s="361"/>
      <c r="AA844" s="116"/>
      <c r="AB844" s="116"/>
      <c r="AC844" s="116"/>
      <c r="AD844" s="116"/>
      <c r="AE844" s="365"/>
      <c r="AF844" s="116"/>
      <c r="AG844" s="116"/>
      <c r="AH844" s="116"/>
      <c r="AI844" s="116"/>
      <c r="AJ844" s="116"/>
      <c r="AK844" s="116"/>
      <c r="AL844" s="116"/>
    </row>
    <row r="845" ht="16.5" customHeight="1">
      <c r="A845" s="362"/>
      <c r="B845" s="362"/>
      <c r="C845" s="362"/>
      <c r="D845" s="362"/>
      <c r="E845" s="132"/>
      <c r="F845" s="131"/>
      <c r="G845" s="361"/>
      <c r="H845" s="363"/>
      <c r="I845" s="364"/>
      <c r="J845" s="361"/>
      <c r="K845" s="361"/>
      <c r="L845" s="361"/>
      <c r="M845" s="361"/>
      <c r="N845" s="361"/>
      <c r="O845" s="361"/>
      <c r="P845" s="361"/>
      <c r="Q845" s="361"/>
      <c r="R845" s="361"/>
      <c r="S845" s="361"/>
      <c r="T845" s="361"/>
      <c r="U845" s="361"/>
      <c r="V845" s="361"/>
      <c r="W845" s="361"/>
      <c r="X845" s="365"/>
      <c r="Y845" s="361"/>
      <c r="Z845" s="361"/>
      <c r="AA845" s="116"/>
      <c r="AB845" s="116"/>
      <c r="AC845" s="116"/>
      <c r="AD845" s="116"/>
      <c r="AE845" s="365"/>
      <c r="AF845" s="116"/>
      <c r="AG845" s="116"/>
      <c r="AH845" s="116"/>
      <c r="AI845" s="116"/>
      <c r="AJ845" s="116"/>
      <c r="AK845" s="116"/>
      <c r="AL845" s="116"/>
    </row>
    <row r="846" ht="16.5" customHeight="1">
      <c r="A846" s="362"/>
      <c r="B846" s="362"/>
      <c r="C846" s="362"/>
      <c r="D846" s="362"/>
      <c r="E846" s="132"/>
      <c r="F846" s="131"/>
      <c r="G846" s="361"/>
      <c r="H846" s="363"/>
      <c r="I846" s="364"/>
      <c r="J846" s="361"/>
      <c r="K846" s="361"/>
      <c r="L846" s="361"/>
      <c r="M846" s="361"/>
      <c r="N846" s="361"/>
      <c r="O846" s="361"/>
      <c r="P846" s="361"/>
      <c r="Q846" s="361"/>
      <c r="R846" s="361"/>
      <c r="S846" s="361"/>
      <c r="T846" s="361"/>
      <c r="U846" s="361"/>
      <c r="V846" s="361"/>
      <c r="W846" s="361"/>
      <c r="X846" s="365"/>
      <c r="Y846" s="361"/>
      <c r="Z846" s="361"/>
      <c r="AA846" s="116"/>
      <c r="AB846" s="116"/>
      <c r="AC846" s="116"/>
      <c r="AD846" s="116"/>
      <c r="AE846" s="365"/>
      <c r="AF846" s="116"/>
      <c r="AG846" s="116"/>
      <c r="AH846" s="116"/>
      <c r="AI846" s="116"/>
      <c r="AJ846" s="116"/>
      <c r="AK846" s="116"/>
      <c r="AL846" s="116"/>
    </row>
    <row r="847" ht="16.5" customHeight="1">
      <c r="A847" s="362"/>
      <c r="B847" s="362"/>
      <c r="C847" s="362"/>
      <c r="D847" s="362"/>
      <c r="E847" s="132"/>
      <c r="F847" s="131"/>
      <c r="G847" s="361"/>
      <c r="H847" s="363"/>
      <c r="I847" s="364"/>
      <c r="J847" s="361"/>
      <c r="K847" s="361"/>
      <c r="L847" s="361"/>
      <c r="M847" s="361"/>
      <c r="N847" s="361"/>
      <c r="O847" s="361"/>
      <c r="P847" s="361"/>
      <c r="Q847" s="361"/>
      <c r="R847" s="361"/>
      <c r="S847" s="361"/>
      <c r="T847" s="361"/>
      <c r="U847" s="361"/>
      <c r="V847" s="361"/>
      <c r="W847" s="361"/>
      <c r="X847" s="365"/>
      <c r="Y847" s="361"/>
      <c r="Z847" s="361"/>
      <c r="AA847" s="116"/>
      <c r="AB847" s="116"/>
      <c r="AC847" s="116"/>
      <c r="AD847" s="116"/>
      <c r="AE847" s="365"/>
      <c r="AF847" s="116"/>
      <c r="AG847" s="116"/>
      <c r="AH847" s="116"/>
      <c r="AI847" s="116"/>
      <c r="AJ847" s="116"/>
      <c r="AK847" s="116"/>
      <c r="AL847" s="116"/>
    </row>
    <row r="848" ht="16.5" customHeight="1">
      <c r="A848" s="362"/>
      <c r="B848" s="362"/>
      <c r="C848" s="362"/>
      <c r="D848" s="362"/>
      <c r="E848" s="132"/>
      <c r="F848" s="131"/>
      <c r="G848" s="361"/>
      <c r="H848" s="363"/>
      <c r="I848" s="364"/>
      <c r="J848" s="361"/>
      <c r="K848" s="361"/>
      <c r="L848" s="361"/>
      <c r="M848" s="361"/>
      <c r="N848" s="361"/>
      <c r="O848" s="361"/>
      <c r="P848" s="361"/>
      <c r="Q848" s="361"/>
      <c r="R848" s="361"/>
      <c r="S848" s="361"/>
      <c r="T848" s="361"/>
      <c r="U848" s="361"/>
      <c r="V848" s="361"/>
      <c r="W848" s="361"/>
      <c r="X848" s="365"/>
      <c r="Y848" s="361"/>
      <c r="Z848" s="361"/>
      <c r="AA848" s="116"/>
      <c r="AB848" s="116"/>
      <c r="AC848" s="116"/>
      <c r="AD848" s="116"/>
      <c r="AE848" s="365"/>
      <c r="AF848" s="116"/>
      <c r="AG848" s="116"/>
      <c r="AH848" s="116"/>
      <c r="AI848" s="116"/>
      <c r="AJ848" s="116"/>
      <c r="AK848" s="116"/>
      <c r="AL848" s="116"/>
    </row>
    <row r="849" ht="16.5" customHeight="1">
      <c r="A849" s="362"/>
      <c r="B849" s="362"/>
      <c r="C849" s="362"/>
      <c r="D849" s="362"/>
      <c r="E849" s="132"/>
      <c r="F849" s="131"/>
      <c r="G849" s="361"/>
      <c r="H849" s="363"/>
      <c r="I849" s="364"/>
      <c r="J849" s="361"/>
      <c r="K849" s="361"/>
      <c r="L849" s="361"/>
      <c r="M849" s="361"/>
      <c r="N849" s="361"/>
      <c r="O849" s="361"/>
      <c r="P849" s="361"/>
      <c r="Q849" s="361"/>
      <c r="R849" s="361"/>
      <c r="S849" s="361"/>
      <c r="T849" s="361"/>
      <c r="U849" s="361"/>
      <c r="V849" s="361"/>
      <c r="W849" s="361"/>
      <c r="X849" s="365"/>
      <c r="Y849" s="361"/>
      <c r="Z849" s="361"/>
      <c r="AA849" s="116"/>
      <c r="AB849" s="116"/>
      <c r="AC849" s="116"/>
      <c r="AD849" s="116"/>
      <c r="AE849" s="365"/>
      <c r="AF849" s="116"/>
      <c r="AG849" s="116"/>
      <c r="AH849" s="116"/>
      <c r="AI849" s="116"/>
      <c r="AJ849" s="116"/>
      <c r="AK849" s="116"/>
      <c r="AL849" s="116"/>
    </row>
    <row r="850" ht="16.5" customHeight="1">
      <c r="A850" s="362"/>
      <c r="B850" s="362"/>
      <c r="C850" s="362"/>
      <c r="D850" s="362"/>
      <c r="E850" s="132"/>
      <c r="F850" s="131"/>
      <c r="G850" s="361"/>
      <c r="H850" s="363"/>
      <c r="I850" s="364"/>
      <c r="J850" s="361"/>
      <c r="K850" s="361"/>
      <c r="L850" s="361"/>
      <c r="M850" s="361"/>
      <c r="N850" s="361"/>
      <c r="O850" s="361"/>
      <c r="P850" s="361"/>
      <c r="Q850" s="361"/>
      <c r="R850" s="361"/>
      <c r="S850" s="361"/>
      <c r="T850" s="361"/>
      <c r="U850" s="361"/>
      <c r="V850" s="361"/>
      <c r="W850" s="361"/>
      <c r="X850" s="365"/>
      <c r="Y850" s="361"/>
      <c r="Z850" s="361"/>
      <c r="AA850" s="116"/>
      <c r="AB850" s="116"/>
      <c r="AC850" s="116"/>
      <c r="AD850" s="116"/>
      <c r="AE850" s="365"/>
      <c r="AF850" s="116"/>
      <c r="AG850" s="116"/>
      <c r="AH850" s="116"/>
      <c r="AI850" s="116"/>
      <c r="AJ850" s="116"/>
      <c r="AK850" s="116"/>
      <c r="AL850" s="116"/>
    </row>
    <row r="851" ht="16.5" customHeight="1">
      <c r="A851" s="362"/>
      <c r="B851" s="362"/>
      <c r="C851" s="362"/>
      <c r="D851" s="362"/>
      <c r="E851" s="132"/>
      <c r="F851" s="131"/>
      <c r="G851" s="361"/>
      <c r="H851" s="363"/>
      <c r="I851" s="364"/>
      <c r="J851" s="361"/>
      <c r="K851" s="361"/>
      <c r="L851" s="361"/>
      <c r="M851" s="361"/>
      <c r="N851" s="361"/>
      <c r="O851" s="361"/>
      <c r="P851" s="361"/>
      <c r="Q851" s="361"/>
      <c r="R851" s="361"/>
      <c r="S851" s="361"/>
      <c r="T851" s="361"/>
      <c r="U851" s="361"/>
      <c r="V851" s="361"/>
      <c r="W851" s="361"/>
      <c r="X851" s="365"/>
      <c r="Y851" s="361"/>
      <c r="Z851" s="361"/>
      <c r="AA851" s="116"/>
      <c r="AB851" s="116"/>
      <c r="AC851" s="116"/>
      <c r="AD851" s="116"/>
      <c r="AE851" s="365"/>
      <c r="AF851" s="116"/>
      <c r="AG851" s="116"/>
      <c r="AH851" s="116"/>
      <c r="AI851" s="116"/>
      <c r="AJ851" s="116"/>
      <c r="AK851" s="116"/>
      <c r="AL851" s="116"/>
    </row>
    <row r="852" ht="16.5" customHeight="1">
      <c r="A852" s="362"/>
      <c r="B852" s="362"/>
      <c r="C852" s="362"/>
      <c r="D852" s="362"/>
      <c r="E852" s="132"/>
      <c r="F852" s="131"/>
      <c r="G852" s="361"/>
      <c r="H852" s="363"/>
      <c r="I852" s="364"/>
      <c r="J852" s="361"/>
      <c r="K852" s="361"/>
      <c r="L852" s="361"/>
      <c r="M852" s="361"/>
      <c r="N852" s="361"/>
      <c r="O852" s="361"/>
      <c r="P852" s="361"/>
      <c r="Q852" s="361"/>
      <c r="R852" s="361"/>
      <c r="S852" s="361"/>
      <c r="T852" s="361"/>
      <c r="U852" s="361"/>
      <c r="V852" s="361"/>
      <c r="W852" s="361"/>
      <c r="X852" s="365"/>
      <c r="Y852" s="361"/>
      <c r="Z852" s="361"/>
      <c r="AA852" s="116"/>
      <c r="AB852" s="116"/>
      <c r="AC852" s="116"/>
      <c r="AD852" s="116"/>
      <c r="AE852" s="365"/>
      <c r="AF852" s="116"/>
      <c r="AG852" s="116"/>
      <c r="AH852" s="116"/>
      <c r="AI852" s="116"/>
      <c r="AJ852" s="116"/>
      <c r="AK852" s="116"/>
      <c r="AL852" s="116"/>
    </row>
    <row r="853" ht="16.5" customHeight="1">
      <c r="A853" s="362"/>
      <c r="B853" s="362"/>
      <c r="C853" s="362"/>
      <c r="D853" s="362"/>
      <c r="E853" s="132"/>
      <c r="F853" s="131"/>
      <c r="G853" s="361"/>
      <c r="H853" s="363"/>
      <c r="I853" s="364"/>
      <c r="J853" s="361"/>
      <c r="K853" s="361"/>
      <c r="L853" s="361"/>
      <c r="M853" s="361"/>
      <c r="N853" s="361"/>
      <c r="O853" s="361"/>
      <c r="P853" s="361"/>
      <c r="Q853" s="361"/>
      <c r="R853" s="361"/>
      <c r="S853" s="361"/>
      <c r="T853" s="361"/>
      <c r="U853" s="361"/>
      <c r="V853" s="361"/>
      <c r="W853" s="361"/>
      <c r="X853" s="365"/>
      <c r="Y853" s="361"/>
      <c r="Z853" s="361"/>
      <c r="AA853" s="116"/>
      <c r="AB853" s="116"/>
      <c r="AC853" s="116"/>
      <c r="AD853" s="116"/>
      <c r="AE853" s="365"/>
      <c r="AF853" s="116"/>
      <c r="AG853" s="116"/>
      <c r="AH853" s="116"/>
      <c r="AI853" s="116"/>
      <c r="AJ853" s="116"/>
      <c r="AK853" s="116"/>
      <c r="AL853" s="116"/>
    </row>
    <row r="854" ht="16.5" customHeight="1">
      <c r="A854" s="362"/>
      <c r="B854" s="362"/>
      <c r="C854" s="362"/>
      <c r="D854" s="362"/>
      <c r="E854" s="132"/>
      <c r="F854" s="131"/>
      <c r="G854" s="361"/>
      <c r="H854" s="363"/>
      <c r="I854" s="364"/>
      <c r="J854" s="361"/>
      <c r="K854" s="361"/>
      <c r="L854" s="361"/>
      <c r="M854" s="361"/>
      <c r="N854" s="361"/>
      <c r="O854" s="361"/>
      <c r="P854" s="361"/>
      <c r="Q854" s="361"/>
      <c r="R854" s="361"/>
      <c r="S854" s="361"/>
      <c r="T854" s="361"/>
      <c r="U854" s="361"/>
      <c r="V854" s="361"/>
      <c r="W854" s="361"/>
      <c r="X854" s="365"/>
      <c r="Y854" s="361"/>
      <c r="Z854" s="361"/>
      <c r="AA854" s="116"/>
      <c r="AB854" s="116"/>
      <c r="AC854" s="116"/>
      <c r="AD854" s="116"/>
      <c r="AE854" s="365"/>
      <c r="AF854" s="116"/>
      <c r="AG854" s="116"/>
      <c r="AH854" s="116"/>
      <c r="AI854" s="116"/>
      <c r="AJ854" s="116"/>
      <c r="AK854" s="116"/>
      <c r="AL854" s="116"/>
    </row>
    <row r="855" ht="16.5" customHeight="1">
      <c r="A855" s="362"/>
      <c r="B855" s="362"/>
      <c r="C855" s="362"/>
      <c r="D855" s="362"/>
      <c r="E855" s="132"/>
      <c r="F855" s="131"/>
      <c r="G855" s="361"/>
      <c r="H855" s="363"/>
      <c r="I855" s="364"/>
      <c r="J855" s="361"/>
      <c r="K855" s="361"/>
      <c r="L855" s="361"/>
      <c r="M855" s="361"/>
      <c r="N855" s="361"/>
      <c r="O855" s="361"/>
      <c r="P855" s="361"/>
      <c r="Q855" s="361"/>
      <c r="R855" s="361"/>
      <c r="S855" s="361"/>
      <c r="T855" s="361"/>
      <c r="U855" s="361"/>
      <c r="V855" s="361"/>
      <c r="W855" s="361"/>
      <c r="X855" s="365"/>
      <c r="Y855" s="361"/>
      <c r="Z855" s="361"/>
      <c r="AA855" s="116"/>
      <c r="AB855" s="116"/>
      <c r="AC855" s="116"/>
      <c r="AD855" s="116"/>
      <c r="AE855" s="365"/>
      <c r="AF855" s="116"/>
      <c r="AG855" s="116"/>
      <c r="AH855" s="116"/>
      <c r="AI855" s="116"/>
      <c r="AJ855" s="116"/>
      <c r="AK855" s="116"/>
      <c r="AL855" s="116"/>
    </row>
    <row r="856" ht="16.5" customHeight="1">
      <c r="A856" s="362"/>
      <c r="B856" s="362"/>
      <c r="C856" s="362"/>
      <c r="D856" s="362"/>
      <c r="E856" s="132"/>
      <c r="F856" s="131"/>
      <c r="G856" s="361"/>
      <c r="H856" s="363"/>
      <c r="I856" s="364"/>
      <c r="J856" s="361"/>
      <c r="K856" s="361"/>
      <c r="L856" s="361"/>
      <c r="M856" s="361"/>
      <c r="N856" s="361"/>
      <c r="O856" s="361"/>
      <c r="P856" s="361"/>
      <c r="Q856" s="361"/>
      <c r="R856" s="361"/>
      <c r="S856" s="361"/>
      <c r="T856" s="361"/>
      <c r="U856" s="361"/>
      <c r="V856" s="361"/>
      <c r="W856" s="361"/>
      <c r="X856" s="365"/>
      <c r="Y856" s="361"/>
      <c r="Z856" s="361"/>
      <c r="AA856" s="116"/>
      <c r="AB856" s="116"/>
      <c r="AC856" s="116"/>
      <c r="AD856" s="116"/>
      <c r="AE856" s="365"/>
      <c r="AF856" s="116"/>
      <c r="AG856" s="116"/>
      <c r="AH856" s="116"/>
      <c r="AI856" s="116"/>
      <c r="AJ856" s="116"/>
      <c r="AK856" s="116"/>
      <c r="AL856" s="116"/>
    </row>
    <row r="857" ht="16.5" customHeight="1">
      <c r="A857" s="362"/>
      <c r="B857" s="362"/>
      <c r="C857" s="362"/>
      <c r="D857" s="362"/>
      <c r="E857" s="132"/>
      <c r="F857" s="131"/>
      <c r="G857" s="361"/>
      <c r="H857" s="363"/>
      <c r="I857" s="364"/>
      <c r="J857" s="361"/>
      <c r="K857" s="361"/>
      <c r="L857" s="361"/>
      <c r="M857" s="361"/>
      <c r="N857" s="361"/>
      <c r="O857" s="361"/>
      <c r="P857" s="361"/>
      <c r="Q857" s="361"/>
      <c r="R857" s="361"/>
      <c r="S857" s="361"/>
      <c r="T857" s="361"/>
      <c r="U857" s="361"/>
      <c r="V857" s="361"/>
      <c r="W857" s="361"/>
      <c r="X857" s="365"/>
      <c r="Y857" s="361"/>
      <c r="Z857" s="361"/>
      <c r="AA857" s="116"/>
      <c r="AB857" s="116"/>
      <c r="AC857" s="116"/>
      <c r="AD857" s="116"/>
      <c r="AE857" s="365"/>
      <c r="AF857" s="116"/>
      <c r="AG857" s="116"/>
      <c r="AH857" s="116"/>
      <c r="AI857" s="116"/>
      <c r="AJ857" s="116"/>
      <c r="AK857" s="116"/>
      <c r="AL857" s="116"/>
    </row>
    <row r="858" ht="16.5" customHeight="1">
      <c r="A858" s="362"/>
      <c r="B858" s="362"/>
      <c r="C858" s="362"/>
      <c r="D858" s="362"/>
      <c r="E858" s="132"/>
      <c r="F858" s="131"/>
      <c r="G858" s="361"/>
      <c r="H858" s="363"/>
      <c r="I858" s="364"/>
      <c r="J858" s="361"/>
      <c r="K858" s="361"/>
      <c r="L858" s="361"/>
      <c r="M858" s="361"/>
      <c r="N858" s="361"/>
      <c r="O858" s="361"/>
      <c r="P858" s="361"/>
      <c r="Q858" s="361"/>
      <c r="R858" s="361"/>
      <c r="S858" s="361"/>
      <c r="T858" s="361"/>
      <c r="U858" s="361"/>
      <c r="V858" s="361"/>
      <c r="W858" s="361"/>
      <c r="X858" s="365"/>
      <c r="Y858" s="361"/>
      <c r="Z858" s="361"/>
      <c r="AA858" s="116"/>
      <c r="AB858" s="116"/>
      <c r="AC858" s="116"/>
      <c r="AD858" s="116"/>
      <c r="AE858" s="365"/>
      <c r="AF858" s="116"/>
      <c r="AG858" s="116"/>
      <c r="AH858" s="116"/>
      <c r="AI858" s="116"/>
      <c r="AJ858" s="116"/>
      <c r="AK858" s="116"/>
      <c r="AL858" s="116"/>
    </row>
    <row r="859" ht="16.5" customHeight="1">
      <c r="A859" s="362"/>
      <c r="B859" s="362"/>
      <c r="C859" s="362"/>
      <c r="D859" s="362"/>
      <c r="E859" s="132"/>
      <c r="F859" s="131"/>
      <c r="G859" s="361"/>
      <c r="H859" s="363"/>
      <c r="I859" s="364"/>
      <c r="J859" s="361"/>
      <c r="K859" s="361"/>
      <c r="L859" s="361"/>
      <c r="M859" s="361"/>
      <c r="N859" s="361"/>
      <c r="O859" s="361"/>
      <c r="P859" s="361"/>
      <c r="Q859" s="361"/>
      <c r="R859" s="361"/>
      <c r="S859" s="361"/>
      <c r="T859" s="361"/>
      <c r="U859" s="361"/>
      <c r="V859" s="361"/>
      <c r="W859" s="361"/>
      <c r="X859" s="365"/>
      <c r="Y859" s="361"/>
      <c r="Z859" s="361"/>
      <c r="AA859" s="116"/>
      <c r="AB859" s="116"/>
      <c r="AC859" s="116"/>
      <c r="AD859" s="116"/>
      <c r="AE859" s="365"/>
      <c r="AF859" s="116"/>
      <c r="AG859" s="116"/>
      <c r="AH859" s="116"/>
      <c r="AI859" s="116"/>
      <c r="AJ859" s="116"/>
      <c r="AK859" s="116"/>
      <c r="AL859" s="116"/>
    </row>
    <row r="860" ht="16.5" customHeight="1">
      <c r="A860" s="362"/>
      <c r="B860" s="362"/>
      <c r="C860" s="362"/>
      <c r="D860" s="362"/>
      <c r="E860" s="132"/>
      <c r="F860" s="131"/>
      <c r="G860" s="361"/>
      <c r="H860" s="363"/>
      <c r="I860" s="364"/>
      <c r="J860" s="361"/>
      <c r="K860" s="361"/>
      <c r="L860" s="361"/>
      <c r="M860" s="361"/>
      <c r="N860" s="361"/>
      <c r="O860" s="361"/>
      <c r="P860" s="361"/>
      <c r="Q860" s="361"/>
      <c r="R860" s="361"/>
      <c r="S860" s="361"/>
      <c r="T860" s="361"/>
      <c r="U860" s="361"/>
      <c r="V860" s="361"/>
      <c r="W860" s="361"/>
      <c r="X860" s="365"/>
      <c r="Y860" s="361"/>
      <c r="Z860" s="361"/>
      <c r="AA860" s="116"/>
      <c r="AB860" s="116"/>
      <c r="AC860" s="116"/>
      <c r="AD860" s="116"/>
      <c r="AE860" s="365"/>
      <c r="AF860" s="116"/>
      <c r="AG860" s="116"/>
      <c r="AH860" s="116"/>
      <c r="AI860" s="116"/>
      <c r="AJ860" s="116"/>
      <c r="AK860" s="116"/>
      <c r="AL860" s="116"/>
    </row>
    <row r="861" ht="16.5" customHeight="1">
      <c r="A861" s="362"/>
      <c r="B861" s="362"/>
      <c r="C861" s="362"/>
      <c r="D861" s="362"/>
      <c r="E861" s="132"/>
      <c r="F861" s="131"/>
      <c r="G861" s="361"/>
      <c r="H861" s="363"/>
      <c r="I861" s="364"/>
      <c r="J861" s="361"/>
      <c r="K861" s="361"/>
      <c r="L861" s="361"/>
      <c r="M861" s="361"/>
      <c r="N861" s="361"/>
      <c r="O861" s="361"/>
      <c r="P861" s="361"/>
      <c r="Q861" s="361"/>
      <c r="R861" s="361"/>
      <c r="S861" s="361"/>
      <c r="T861" s="361"/>
      <c r="U861" s="361"/>
      <c r="V861" s="361"/>
      <c r="W861" s="361"/>
      <c r="X861" s="365"/>
      <c r="Y861" s="361"/>
      <c r="Z861" s="361"/>
      <c r="AA861" s="116"/>
      <c r="AB861" s="116"/>
      <c r="AC861" s="116"/>
      <c r="AD861" s="116"/>
      <c r="AE861" s="365"/>
      <c r="AF861" s="116"/>
      <c r="AG861" s="116"/>
      <c r="AH861" s="116"/>
      <c r="AI861" s="116"/>
      <c r="AJ861" s="116"/>
      <c r="AK861" s="116"/>
      <c r="AL861" s="116"/>
    </row>
    <row r="862" ht="16.5" customHeight="1">
      <c r="A862" s="362"/>
      <c r="B862" s="362"/>
      <c r="C862" s="362"/>
      <c r="D862" s="362"/>
      <c r="E862" s="132"/>
      <c r="F862" s="131"/>
      <c r="G862" s="361"/>
      <c r="H862" s="363"/>
      <c r="I862" s="364"/>
      <c r="J862" s="361"/>
      <c r="K862" s="361"/>
      <c r="L862" s="361"/>
      <c r="M862" s="361"/>
      <c r="N862" s="361"/>
      <c r="O862" s="361"/>
      <c r="P862" s="361"/>
      <c r="Q862" s="361"/>
      <c r="R862" s="361"/>
      <c r="S862" s="361"/>
      <c r="T862" s="361"/>
      <c r="U862" s="361"/>
      <c r="V862" s="361"/>
      <c r="W862" s="361"/>
      <c r="X862" s="365"/>
      <c r="Y862" s="361"/>
      <c r="Z862" s="361"/>
      <c r="AA862" s="116"/>
      <c r="AB862" s="116"/>
      <c r="AC862" s="116"/>
      <c r="AD862" s="116"/>
      <c r="AE862" s="365"/>
      <c r="AF862" s="116"/>
      <c r="AG862" s="116"/>
      <c r="AH862" s="116"/>
      <c r="AI862" s="116"/>
      <c r="AJ862" s="116"/>
      <c r="AK862" s="116"/>
      <c r="AL862" s="116"/>
    </row>
    <row r="863" ht="16.5" customHeight="1">
      <c r="A863" s="362"/>
      <c r="B863" s="362"/>
      <c r="C863" s="362"/>
      <c r="D863" s="362"/>
      <c r="E863" s="132"/>
      <c r="F863" s="131"/>
      <c r="G863" s="361"/>
      <c r="H863" s="363"/>
      <c r="I863" s="364"/>
      <c r="J863" s="361"/>
      <c r="K863" s="361"/>
      <c r="L863" s="361"/>
      <c r="M863" s="361"/>
      <c r="N863" s="361"/>
      <c r="O863" s="361"/>
      <c r="P863" s="361"/>
      <c r="Q863" s="361"/>
      <c r="R863" s="361"/>
      <c r="S863" s="361"/>
      <c r="T863" s="361"/>
      <c r="U863" s="361"/>
      <c r="V863" s="361"/>
      <c r="W863" s="361"/>
      <c r="X863" s="365"/>
      <c r="Y863" s="361"/>
      <c r="Z863" s="361"/>
      <c r="AA863" s="116"/>
      <c r="AB863" s="116"/>
      <c r="AC863" s="116"/>
      <c r="AD863" s="116"/>
      <c r="AE863" s="365"/>
      <c r="AF863" s="116"/>
      <c r="AG863" s="116"/>
      <c r="AH863" s="116"/>
      <c r="AI863" s="116"/>
      <c r="AJ863" s="116"/>
      <c r="AK863" s="116"/>
      <c r="AL863" s="116"/>
    </row>
    <row r="864" ht="16.5" customHeight="1">
      <c r="A864" s="362"/>
      <c r="B864" s="362"/>
      <c r="C864" s="362"/>
      <c r="D864" s="362"/>
      <c r="E864" s="132"/>
      <c r="F864" s="131"/>
      <c r="G864" s="361"/>
      <c r="H864" s="363"/>
      <c r="I864" s="364"/>
      <c r="J864" s="361"/>
      <c r="K864" s="361"/>
      <c r="L864" s="361"/>
      <c r="M864" s="361"/>
      <c r="N864" s="361"/>
      <c r="O864" s="361"/>
      <c r="P864" s="361"/>
      <c r="Q864" s="361"/>
      <c r="R864" s="361"/>
      <c r="S864" s="361"/>
      <c r="T864" s="361"/>
      <c r="U864" s="361"/>
      <c r="V864" s="361"/>
      <c r="W864" s="361"/>
      <c r="X864" s="365"/>
      <c r="Y864" s="361"/>
      <c r="Z864" s="361"/>
      <c r="AA864" s="116"/>
      <c r="AB864" s="116"/>
      <c r="AC864" s="116"/>
      <c r="AD864" s="116"/>
      <c r="AE864" s="365"/>
      <c r="AF864" s="116"/>
      <c r="AG864" s="116"/>
      <c r="AH864" s="116"/>
      <c r="AI864" s="116"/>
      <c r="AJ864" s="116"/>
      <c r="AK864" s="116"/>
      <c r="AL864" s="116"/>
    </row>
    <row r="865" ht="16.5" customHeight="1">
      <c r="A865" s="362"/>
      <c r="B865" s="362"/>
      <c r="C865" s="362"/>
      <c r="D865" s="362"/>
      <c r="E865" s="132"/>
      <c r="F865" s="131"/>
      <c r="G865" s="361"/>
      <c r="H865" s="363"/>
      <c r="I865" s="364"/>
      <c r="J865" s="361"/>
      <c r="K865" s="361"/>
      <c r="L865" s="361"/>
      <c r="M865" s="361"/>
      <c r="N865" s="361"/>
      <c r="O865" s="361"/>
      <c r="P865" s="361"/>
      <c r="Q865" s="361"/>
      <c r="R865" s="361"/>
      <c r="S865" s="361"/>
      <c r="T865" s="361"/>
      <c r="U865" s="361"/>
      <c r="V865" s="361"/>
      <c r="W865" s="361"/>
      <c r="X865" s="365"/>
      <c r="Y865" s="361"/>
      <c r="Z865" s="361"/>
      <c r="AA865" s="116"/>
      <c r="AB865" s="116"/>
      <c r="AC865" s="116"/>
      <c r="AD865" s="116"/>
      <c r="AE865" s="365"/>
      <c r="AF865" s="116"/>
      <c r="AG865" s="116"/>
      <c r="AH865" s="116"/>
      <c r="AI865" s="116"/>
      <c r="AJ865" s="116"/>
      <c r="AK865" s="116"/>
      <c r="AL865" s="116"/>
    </row>
    <row r="866" ht="16.5" customHeight="1">
      <c r="A866" s="362"/>
      <c r="B866" s="362"/>
      <c r="C866" s="362"/>
      <c r="D866" s="362"/>
      <c r="E866" s="132"/>
      <c r="F866" s="131"/>
      <c r="G866" s="361"/>
      <c r="H866" s="363"/>
      <c r="I866" s="364"/>
      <c r="J866" s="361"/>
      <c r="K866" s="361"/>
      <c r="L866" s="361"/>
      <c r="M866" s="361"/>
      <c r="N866" s="361"/>
      <c r="O866" s="361"/>
      <c r="P866" s="361"/>
      <c r="Q866" s="361"/>
      <c r="R866" s="361"/>
      <c r="S866" s="361"/>
      <c r="T866" s="361"/>
      <c r="U866" s="361"/>
      <c r="V866" s="361"/>
      <c r="W866" s="361"/>
      <c r="X866" s="365"/>
      <c r="Y866" s="361"/>
      <c r="Z866" s="361"/>
      <c r="AA866" s="116"/>
      <c r="AB866" s="116"/>
      <c r="AC866" s="116"/>
      <c r="AD866" s="116"/>
      <c r="AE866" s="365"/>
      <c r="AF866" s="116"/>
      <c r="AG866" s="116"/>
      <c r="AH866" s="116"/>
      <c r="AI866" s="116"/>
      <c r="AJ866" s="116"/>
      <c r="AK866" s="116"/>
      <c r="AL866" s="116"/>
    </row>
    <row r="867" ht="16.5" customHeight="1">
      <c r="A867" s="362"/>
      <c r="B867" s="362"/>
      <c r="C867" s="362"/>
      <c r="D867" s="362"/>
      <c r="E867" s="132"/>
      <c r="F867" s="131"/>
      <c r="G867" s="361"/>
      <c r="H867" s="363"/>
      <c r="I867" s="364"/>
      <c r="J867" s="361"/>
      <c r="K867" s="361"/>
      <c r="L867" s="361"/>
      <c r="M867" s="361"/>
      <c r="N867" s="361"/>
      <c r="O867" s="361"/>
      <c r="P867" s="361"/>
      <c r="Q867" s="361"/>
      <c r="R867" s="361"/>
      <c r="S867" s="361"/>
      <c r="T867" s="361"/>
      <c r="U867" s="361"/>
      <c r="V867" s="361"/>
      <c r="W867" s="361"/>
      <c r="X867" s="365"/>
      <c r="Y867" s="361"/>
      <c r="Z867" s="361"/>
      <c r="AA867" s="116"/>
      <c r="AB867" s="116"/>
      <c r="AC867" s="116"/>
      <c r="AD867" s="116"/>
      <c r="AE867" s="365"/>
      <c r="AF867" s="116"/>
      <c r="AG867" s="116"/>
      <c r="AH867" s="116"/>
      <c r="AI867" s="116"/>
      <c r="AJ867" s="116"/>
      <c r="AK867" s="116"/>
      <c r="AL867" s="116"/>
    </row>
    <row r="868" ht="16.5" customHeight="1">
      <c r="A868" s="362"/>
      <c r="B868" s="362"/>
      <c r="C868" s="362"/>
      <c r="D868" s="362"/>
      <c r="E868" s="132"/>
      <c r="F868" s="131"/>
      <c r="G868" s="361"/>
      <c r="H868" s="363"/>
      <c r="I868" s="364"/>
      <c r="J868" s="361"/>
      <c r="K868" s="361"/>
      <c r="L868" s="361"/>
      <c r="M868" s="361"/>
      <c r="N868" s="361"/>
      <c r="O868" s="361"/>
      <c r="P868" s="361"/>
      <c r="Q868" s="361"/>
      <c r="R868" s="361"/>
      <c r="S868" s="361"/>
      <c r="T868" s="361"/>
      <c r="U868" s="361"/>
      <c r="V868" s="361"/>
      <c r="W868" s="361"/>
      <c r="X868" s="365"/>
      <c r="Y868" s="361"/>
      <c r="Z868" s="361"/>
      <c r="AA868" s="116"/>
      <c r="AB868" s="116"/>
      <c r="AC868" s="116"/>
      <c r="AD868" s="116"/>
      <c r="AE868" s="365"/>
      <c r="AF868" s="116"/>
      <c r="AG868" s="116"/>
      <c r="AH868" s="116"/>
      <c r="AI868" s="116"/>
      <c r="AJ868" s="116"/>
      <c r="AK868" s="116"/>
      <c r="AL868" s="116"/>
    </row>
    <row r="869" ht="16.5" customHeight="1">
      <c r="A869" s="362"/>
      <c r="B869" s="362"/>
      <c r="C869" s="362"/>
      <c r="D869" s="362"/>
      <c r="E869" s="132"/>
      <c r="F869" s="131"/>
      <c r="G869" s="361"/>
      <c r="H869" s="363"/>
      <c r="I869" s="364"/>
      <c r="J869" s="361"/>
      <c r="K869" s="361"/>
      <c r="L869" s="361"/>
      <c r="M869" s="361"/>
      <c r="N869" s="361"/>
      <c r="O869" s="361"/>
      <c r="P869" s="361"/>
      <c r="Q869" s="361"/>
      <c r="R869" s="361"/>
      <c r="S869" s="361"/>
      <c r="T869" s="361"/>
      <c r="U869" s="361"/>
      <c r="V869" s="361"/>
      <c r="W869" s="361"/>
      <c r="X869" s="365"/>
      <c r="Y869" s="361"/>
      <c r="Z869" s="361"/>
      <c r="AA869" s="116"/>
      <c r="AB869" s="116"/>
      <c r="AC869" s="116"/>
      <c r="AD869" s="116"/>
      <c r="AE869" s="365"/>
      <c r="AF869" s="116"/>
      <c r="AG869" s="116"/>
      <c r="AH869" s="116"/>
      <c r="AI869" s="116"/>
      <c r="AJ869" s="116"/>
      <c r="AK869" s="116"/>
      <c r="AL869" s="116"/>
    </row>
    <row r="870" ht="16.5" customHeight="1">
      <c r="A870" s="362"/>
      <c r="B870" s="362"/>
      <c r="C870" s="362"/>
      <c r="D870" s="362"/>
      <c r="E870" s="132"/>
      <c r="F870" s="131"/>
      <c r="G870" s="361"/>
      <c r="H870" s="363"/>
      <c r="I870" s="364"/>
      <c r="J870" s="361"/>
      <c r="K870" s="361"/>
      <c r="L870" s="361"/>
      <c r="M870" s="361"/>
      <c r="N870" s="361"/>
      <c r="O870" s="361"/>
      <c r="P870" s="361"/>
      <c r="Q870" s="361"/>
      <c r="R870" s="361"/>
      <c r="S870" s="361"/>
      <c r="T870" s="361"/>
      <c r="U870" s="361"/>
      <c r="V870" s="361"/>
      <c r="W870" s="361"/>
      <c r="X870" s="365"/>
      <c r="Y870" s="361"/>
      <c r="Z870" s="361"/>
      <c r="AA870" s="116"/>
      <c r="AB870" s="116"/>
      <c r="AC870" s="116"/>
      <c r="AD870" s="116"/>
      <c r="AE870" s="365"/>
      <c r="AF870" s="116"/>
      <c r="AG870" s="116"/>
      <c r="AH870" s="116"/>
      <c r="AI870" s="116"/>
      <c r="AJ870" s="116"/>
      <c r="AK870" s="116"/>
      <c r="AL870" s="116"/>
    </row>
    <row r="871" ht="16.5" customHeight="1">
      <c r="A871" s="362"/>
      <c r="B871" s="362"/>
      <c r="C871" s="362"/>
      <c r="D871" s="362"/>
      <c r="E871" s="132"/>
      <c r="F871" s="131"/>
      <c r="G871" s="361"/>
      <c r="H871" s="363"/>
      <c r="I871" s="364"/>
      <c r="J871" s="361"/>
      <c r="K871" s="361"/>
      <c r="L871" s="361"/>
      <c r="M871" s="361"/>
      <c r="N871" s="361"/>
      <c r="O871" s="361"/>
      <c r="P871" s="361"/>
      <c r="Q871" s="361"/>
      <c r="R871" s="361"/>
      <c r="S871" s="361"/>
      <c r="T871" s="361"/>
      <c r="U871" s="361"/>
      <c r="V871" s="361"/>
      <c r="W871" s="361"/>
      <c r="X871" s="365"/>
      <c r="Y871" s="361"/>
      <c r="Z871" s="361"/>
      <c r="AA871" s="116"/>
      <c r="AB871" s="116"/>
      <c r="AC871" s="116"/>
      <c r="AD871" s="116"/>
      <c r="AE871" s="365"/>
      <c r="AF871" s="116"/>
      <c r="AG871" s="116"/>
      <c r="AH871" s="116"/>
      <c r="AI871" s="116"/>
      <c r="AJ871" s="116"/>
      <c r="AK871" s="116"/>
      <c r="AL871" s="116"/>
    </row>
    <row r="872" ht="16.5" customHeight="1">
      <c r="A872" s="362"/>
      <c r="B872" s="362"/>
      <c r="C872" s="362"/>
      <c r="D872" s="362"/>
      <c r="E872" s="132"/>
      <c r="F872" s="131"/>
      <c r="G872" s="361"/>
      <c r="H872" s="363"/>
      <c r="I872" s="364"/>
      <c r="J872" s="361"/>
      <c r="K872" s="361"/>
      <c r="L872" s="361"/>
      <c r="M872" s="361"/>
      <c r="N872" s="361"/>
      <c r="O872" s="361"/>
      <c r="P872" s="361"/>
      <c r="Q872" s="361"/>
      <c r="R872" s="361"/>
      <c r="S872" s="361"/>
      <c r="T872" s="361"/>
      <c r="U872" s="361"/>
      <c r="V872" s="361"/>
      <c r="W872" s="361"/>
      <c r="X872" s="365"/>
      <c r="Y872" s="361"/>
      <c r="Z872" s="361"/>
      <c r="AA872" s="116"/>
      <c r="AB872" s="116"/>
      <c r="AC872" s="116"/>
      <c r="AD872" s="116"/>
      <c r="AE872" s="365"/>
      <c r="AF872" s="116"/>
      <c r="AG872" s="116"/>
      <c r="AH872" s="116"/>
      <c r="AI872" s="116"/>
      <c r="AJ872" s="116"/>
      <c r="AK872" s="116"/>
      <c r="AL872" s="116"/>
    </row>
    <row r="873" ht="16.5" customHeight="1">
      <c r="A873" s="362"/>
      <c r="B873" s="362"/>
      <c r="C873" s="362"/>
      <c r="D873" s="362"/>
      <c r="E873" s="132"/>
      <c r="F873" s="131"/>
      <c r="G873" s="361"/>
      <c r="H873" s="363"/>
      <c r="I873" s="364"/>
      <c r="J873" s="361"/>
      <c r="K873" s="361"/>
      <c r="L873" s="361"/>
      <c r="M873" s="361"/>
      <c r="N873" s="361"/>
      <c r="O873" s="361"/>
      <c r="P873" s="361"/>
      <c r="Q873" s="361"/>
      <c r="R873" s="361"/>
      <c r="S873" s="361"/>
      <c r="T873" s="361"/>
      <c r="U873" s="361"/>
      <c r="V873" s="361"/>
      <c r="W873" s="361"/>
      <c r="X873" s="365"/>
      <c r="Y873" s="361"/>
      <c r="Z873" s="361"/>
      <c r="AA873" s="116"/>
      <c r="AB873" s="116"/>
      <c r="AC873" s="116"/>
      <c r="AD873" s="116"/>
      <c r="AE873" s="365"/>
      <c r="AF873" s="116"/>
      <c r="AG873" s="116"/>
      <c r="AH873" s="116"/>
      <c r="AI873" s="116"/>
      <c r="AJ873" s="116"/>
      <c r="AK873" s="116"/>
      <c r="AL873" s="116"/>
    </row>
    <row r="874" ht="16.5" customHeight="1">
      <c r="A874" s="362"/>
      <c r="B874" s="362"/>
      <c r="C874" s="362"/>
      <c r="D874" s="362"/>
      <c r="E874" s="132"/>
      <c r="F874" s="131"/>
      <c r="G874" s="361"/>
      <c r="H874" s="363"/>
      <c r="I874" s="364"/>
      <c r="J874" s="361"/>
      <c r="K874" s="361"/>
      <c r="L874" s="361"/>
      <c r="M874" s="361"/>
      <c r="N874" s="361"/>
      <c r="O874" s="361"/>
      <c r="P874" s="361"/>
      <c r="Q874" s="361"/>
      <c r="R874" s="361"/>
      <c r="S874" s="361"/>
      <c r="T874" s="361"/>
      <c r="U874" s="361"/>
      <c r="V874" s="361"/>
      <c r="W874" s="361"/>
      <c r="X874" s="365"/>
      <c r="Y874" s="361"/>
      <c r="Z874" s="361"/>
      <c r="AA874" s="116"/>
      <c r="AB874" s="116"/>
      <c r="AC874" s="116"/>
      <c r="AD874" s="116"/>
      <c r="AE874" s="365"/>
      <c r="AF874" s="116"/>
      <c r="AG874" s="116"/>
      <c r="AH874" s="116"/>
      <c r="AI874" s="116"/>
      <c r="AJ874" s="116"/>
      <c r="AK874" s="116"/>
      <c r="AL874" s="116"/>
    </row>
    <row r="875" ht="16.5" customHeight="1">
      <c r="A875" s="362"/>
      <c r="B875" s="362"/>
      <c r="C875" s="362"/>
      <c r="D875" s="362"/>
      <c r="E875" s="132"/>
      <c r="F875" s="131"/>
      <c r="G875" s="361"/>
      <c r="H875" s="363"/>
      <c r="I875" s="364"/>
      <c r="J875" s="361"/>
      <c r="K875" s="361"/>
      <c r="L875" s="361"/>
      <c r="M875" s="361"/>
      <c r="N875" s="361"/>
      <c r="O875" s="361"/>
      <c r="P875" s="361"/>
      <c r="Q875" s="361"/>
      <c r="R875" s="361"/>
      <c r="S875" s="361"/>
      <c r="T875" s="361"/>
      <c r="U875" s="361"/>
      <c r="V875" s="361"/>
      <c r="W875" s="361"/>
      <c r="X875" s="365"/>
      <c r="Y875" s="361"/>
      <c r="Z875" s="361"/>
      <c r="AA875" s="116"/>
      <c r="AB875" s="116"/>
      <c r="AC875" s="116"/>
      <c r="AD875" s="116"/>
      <c r="AE875" s="365"/>
      <c r="AF875" s="116"/>
      <c r="AG875" s="116"/>
      <c r="AH875" s="116"/>
      <c r="AI875" s="116"/>
      <c r="AJ875" s="116"/>
      <c r="AK875" s="116"/>
      <c r="AL875" s="116"/>
    </row>
    <row r="876" ht="16.5" customHeight="1">
      <c r="A876" s="362"/>
      <c r="B876" s="362"/>
      <c r="C876" s="362"/>
      <c r="D876" s="362"/>
      <c r="E876" s="132"/>
      <c r="F876" s="131"/>
      <c r="G876" s="361"/>
      <c r="H876" s="363"/>
      <c r="I876" s="364"/>
      <c r="J876" s="361"/>
      <c r="K876" s="361"/>
      <c r="L876" s="361"/>
      <c r="M876" s="361"/>
      <c r="N876" s="361"/>
      <c r="O876" s="361"/>
      <c r="P876" s="361"/>
      <c r="Q876" s="361"/>
      <c r="R876" s="361"/>
      <c r="S876" s="361"/>
      <c r="T876" s="361"/>
      <c r="U876" s="361"/>
      <c r="V876" s="361"/>
      <c r="W876" s="361"/>
      <c r="X876" s="365"/>
      <c r="Y876" s="361"/>
      <c r="Z876" s="361"/>
      <c r="AA876" s="116"/>
      <c r="AB876" s="116"/>
      <c r="AC876" s="116"/>
      <c r="AD876" s="116"/>
      <c r="AE876" s="365"/>
      <c r="AF876" s="116"/>
      <c r="AG876" s="116"/>
      <c r="AH876" s="116"/>
      <c r="AI876" s="116"/>
      <c r="AJ876" s="116"/>
      <c r="AK876" s="116"/>
      <c r="AL876" s="116"/>
    </row>
    <row r="877" ht="16.5" customHeight="1">
      <c r="A877" s="362"/>
      <c r="B877" s="362"/>
      <c r="C877" s="362"/>
      <c r="D877" s="362"/>
      <c r="E877" s="132"/>
      <c r="F877" s="131"/>
      <c r="G877" s="361"/>
      <c r="H877" s="363"/>
      <c r="I877" s="364"/>
      <c r="J877" s="361"/>
      <c r="K877" s="361"/>
      <c r="L877" s="361"/>
      <c r="M877" s="361"/>
      <c r="N877" s="361"/>
      <c r="O877" s="361"/>
      <c r="P877" s="361"/>
      <c r="Q877" s="361"/>
      <c r="R877" s="361"/>
      <c r="S877" s="361"/>
      <c r="T877" s="361"/>
      <c r="U877" s="361"/>
      <c r="V877" s="361"/>
      <c r="W877" s="361"/>
      <c r="X877" s="365"/>
      <c r="Y877" s="361"/>
      <c r="Z877" s="361"/>
      <c r="AA877" s="116"/>
      <c r="AB877" s="116"/>
      <c r="AC877" s="116"/>
      <c r="AD877" s="116"/>
      <c r="AE877" s="365"/>
      <c r="AF877" s="116"/>
      <c r="AG877" s="116"/>
      <c r="AH877" s="116"/>
      <c r="AI877" s="116"/>
      <c r="AJ877" s="116"/>
      <c r="AK877" s="116"/>
      <c r="AL877" s="116"/>
    </row>
    <row r="878" ht="16.5" customHeight="1">
      <c r="A878" s="362"/>
      <c r="B878" s="362"/>
      <c r="C878" s="362"/>
      <c r="D878" s="362"/>
      <c r="E878" s="132"/>
      <c r="F878" s="131"/>
      <c r="G878" s="361"/>
      <c r="H878" s="363"/>
      <c r="I878" s="364"/>
      <c r="J878" s="361"/>
      <c r="K878" s="361"/>
      <c r="L878" s="361"/>
      <c r="M878" s="361"/>
      <c r="N878" s="361"/>
      <c r="O878" s="361"/>
      <c r="P878" s="361"/>
      <c r="Q878" s="361"/>
      <c r="R878" s="361"/>
      <c r="S878" s="361"/>
      <c r="T878" s="361"/>
      <c r="U878" s="361"/>
      <c r="V878" s="361"/>
      <c r="W878" s="361"/>
      <c r="X878" s="365"/>
      <c r="Y878" s="361"/>
      <c r="Z878" s="361"/>
      <c r="AA878" s="116"/>
      <c r="AB878" s="116"/>
      <c r="AC878" s="116"/>
      <c r="AD878" s="116"/>
      <c r="AE878" s="365"/>
      <c r="AF878" s="116"/>
      <c r="AG878" s="116"/>
      <c r="AH878" s="116"/>
      <c r="AI878" s="116"/>
      <c r="AJ878" s="116"/>
      <c r="AK878" s="116"/>
      <c r="AL878" s="116"/>
    </row>
    <row r="879" ht="16.5" customHeight="1">
      <c r="A879" s="362"/>
      <c r="B879" s="362"/>
      <c r="C879" s="362"/>
      <c r="D879" s="362"/>
      <c r="E879" s="132"/>
      <c r="F879" s="131"/>
      <c r="G879" s="361"/>
      <c r="H879" s="363"/>
      <c r="I879" s="364"/>
      <c r="J879" s="361"/>
      <c r="K879" s="361"/>
      <c r="L879" s="361"/>
      <c r="M879" s="361"/>
      <c r="N879" s="361"/>
      <c r="O879" s="361"/>
      <c r="P879" s="361"/>
      <c r="Q879" s="361"/>
      <c r="R879" s="361"/>
      <c r="S879" s="361"/>
      <c r="T879" s="361"/>
      <c r="U879" s="361"/>
      <c r="V879" s="361"/>
      <c r="W879" s="361"/>
      <c r="X879" s="365"/>
      <c r="Y879" s="361"/>
      <c r="Z879" s="361"/>
      <c r="AA879" s="116"/>
      <c r="AB879" s="116"/>
      <c r="AC879" s="116"/>
      <c r="AD879" s="116"/>
      <c r="AE879" s="365"/>
      <c r="AF879" s="116"/>
      <c r="AG879" s="116"/>
      <c r="AH879" s="116"/>
      <c r="AI879" s="116"/>
      <c r="AJ879" s="116"/>
      <c r="AK879" s="116"/>
      <c r="AL879" s="116"/>
    </row>
    <row r="880" ht="16.5" customHeight="1">
      <c r="A880" s="362"/>
      <c r="B880" s="362"/>
      <c r="C880" s="362"/>
      <c r="D880" s="362"/>
      <c r="E880" s="132"/>
      <c r="F880" s="131"/>
      <c r="G880" s="361"/>
      <c r="H880" s="363"/>
      <c r="I880" s="364"/>
      <c r="J880" s="361"/>
      <c r="K880" s="361"/>
      <c r="L880" s="361"/>
      <c r="M880" s="361"/>
      <c r="N880" s="361"/>
      <c r="O880" s="361"/>
      <c r="P880" s="361"/>
      <c r="Q880" s="361"/>
      <c r="R880" s="361"/>
      <c r="S880" s="361"/>
      <c r="T880" s="361"/>
      <c r="U880" s="361"/>
      <c r="V880" s="361"/>
      <c r="W880" s="361"/>
      <c r="X880" s="365"/>
      <c r="Y880" s="361"/>
      <c r="Z880" s="361"/>
      <c r="AA880" s="116"/>
      <c r="AB880" s="116"/>
      <c r="AC880" s="116"/>
      <c r="AD880" s="116"/>
      <c r="AE880" s="365"/>
      <c r="AF880" s="116"/>
      <c r="AG880" s="116"/>
      <c r="AH880" s="116"/>
      <c r="AI880" s="116"/>
      <c r="AJ880" s="116"/>
      <c r="AK880" s="116"/>
      <c r="AL880" s="116"/>
    </row>
    <row r="881" ht="16.5" customHeight="1">
      <c r="A881" s="362"/>
      <c r="B881" s="362"/>
      <c r="C881" s="362"/>
      <c r="D881" s="362"/>
      <c r="E881" s="132"/>
      <c r="F881" s="131"/>
      <c r="G881" s="361"/>
      <c r="H881" s="363"/>
      <c r="I881" s="364"/>
      <c r="J881" s="361"/>
      <c r="K881" s="361"/>
      <c r="L881" s="361"/>
      <c r="M881" s="361"/>
      <c r="N881" s="361"/>
      <c r="O881" s="361"/>
      <c r="P881" s="361"/>
      <c r="Q881" s="361"/>
      <c r="R881" s="361"/>
      <c r="S881" s="361"/>
      <c r="T881" s="361"/>
      <c r="U881" s="361"/>
      <c r="V881" s="361"/>
      <c r="W881" s="361"/>
      <c r="X881" s="365"/>
      <c r="Y881" s="361"/>
      <c r="Z881" s="361"/>
      <c r="AA881" s="116"/>
      <c r="AB881" s="116"/>
      <c r="AC881" s="116"/>
      <c r="AD881" s="116"/>
      <c r="AE881" s="365"/>
      <c r="AF881" s="116"/>
      <c r="AG881" s="116"/>
      <c r="AH881" s="116"/>
      <c r="AI881" s="116"/>
      <c r="AJ881" s="116"/>
      <c r="AK881" s="116"/>
      <c r="AL881" s="116"/>
    </row>
    <row r="882" ht="16.5" customHeight="1">
      <c r="A882" s="362"/>
      <c r="B882" s="362"/>
      <c r="C882" s="362"/>
      <c r="D882" s="362"/>
      <c r="E882" s="132"/>
      <c r="F882" s="131"/>
      <c r="G882" s="361"/>
      <c r="H882" s="363"/>
      <c r="I882" s="364"/>
      <c r="J882" s="361"/>
      <c r="K882" s="361"/>
      <c r="L882" s="361"/>
      <c r="M882" s="361"/>
      <c r="N882" s="361"/>
      <c r="O882" s="361"/>
      <c r="P882" s="361"/>
      <c r="Q882" s="361"/>
      <c r="R882" s="361"/>
      <c r="S882" s="361"/>
      <c r="T882" s="361"/>
      <c r="U882" s="361"/>
      <c r="V882" s="361"/>
      <c r="W882" s="361"/>
      <c r="X882" s="365"/>
      <c r="Y882" s="361"/>
      <c r="Z882" s="361"/>
      <c r="AA882" s="116"/>
      <c r="AB882" s="116"/>
      <c r="AC882" s="116"/>
      <c r="AD882" s="116"/>
      <c r="AE882" s="365"/>
      <c r="AF882" s="116"/>
      <c r="AG882" s="116"/>
      <c r="AH882" s="116"/>
      <c r="AI882" s="116"/>
      <c r="AJ882" s="116"/>
      <c r="AK882" s="116"/>
      <c r="AL882" s="116"/>
    </row>
    <row r="883" ht="16.5" customHeight="1">
      <c r="A883" s="362"/>
      <c r="B883" s="362"/>
      <c r="C883" s="362"/>
      <c r="D883" s="362"/>
      <c r="E883" s="132"/>
      <c r="F883" s="131"/>
      <c r="G883" s="361"/>
      <c r="H883" s="363"/>
      <c r="I883" s="364"/>
      <c r="J883" s="361"/>
      <c r="K883" s="361"/>
      <c r="L883" s="361"/>
      <c r="M883" s="361"/>
      <c r="N883" s="361"/>
      <c r="O883" s="361"/>
      <c r="P883" s="361"/>
      <c r="Q883" s="361"/>
      <c r="R883" s="361"/>
      <c r="S883" s="361"/>
      <c r="T883" s="361"/>
      <c r="U883" s="361"/>
      <c r="V883" s="361"/>
      <c r="W883" s="361"/>
      <c r="X883" s="365"/>
      <c r="Y883" s="361"/>
      <c r="Z883" s="361"/>
      <c r="AA883" s="116"/>
      <c r="AB883" s="116"/>
      <c r="AC883" s="116"/>
      <c r="AD883" s="116"/>
      <c r="AE883" s="365"/>
      <c r="AF883" s="116"/>
      <c r="AG883" s="116"/>
      <c r="AH883" s="116"/>
      <c r="AI883" s="116"/>
      <c r="AJ883" s="116"/>
      <c r="AK883" s="116"/>
      <c r="AL883" s="116"/>
    </row>
    <row r="884" ht="16.5" customHeight="1">
      <c r="A884" s="362"/>
      <c r="B884" s="362"/>
      <c r="C884" s="362"/>
      <c r="D884" s="362"/>
      <c r="E884" s="132"/>
      <c r="F884" s="131"/>
      <c r="G884" s="361"/>
      <c r="H884" s="363"/>
      <c r="I884" s="364"/>
      <c r="J884" s="361"/>
      <c r="K884" s="361"/>
      <c r="L884" s="361"/>
      <c r="M884" s="361"/>
      <c r="N884" s="361"/>
      <c r="O884" s="361"/>
      <c r="P884" s="361"/>
      <c r="Q884" s="361"/>
      <c r="R884" s="361"/>
      <c r="S884" s="361"/>
      <c r="T884" s="361"/>
      <c r="U884" s="361"/>
      <c r="V884" s="361"/>
      <c r="W884" s="361"/>
      <c r="X884" s="365"/>
      <c r="Y884" s="361"/>
      <c r="Z884" s="361"/>
      <c r="AA884" s="116"/>
      <c r="AB884" s="116"/>
      <c r="AC884" s="116"/>
      <c r="AD884" s="116"/>
      <c r="AE884" s="365"/>
      <c r="AF884" s="116"/>
      <c r="AG884" s="116"/>
      <c r="AH884" s="116"/>
      <c r="AI884" s="116"/>
      <c r="AJ884" s="116"/>
      <c r="AK884" s="116"/>
      <c r="AL884" s="116"/>
    </row>
    <row r="885" ht="16.5" customHeight="1">
      <c r="A885" s="362"/>
      <c r="B885" s="362"/>
      <c r="C885" s="362"/>
      <c r="D885" s="362"/>
      <c r="E885" s="132"/>
      <c r="F885" s="131"/>
      <c r="G885" s="361"/>
      <c r="H885" s="363"/>
      <c r="I885" s="364"/>
      <c r="J885" s="361"/>
      <c r="K885" s="361"/>
      <c r="L885" s="361"/>
      <c r="M885" s="361"/>
      <c r="N885" s="361"/>
      <c r="O885" s="361"/>
      <c r="P885" s="361"/>
      <c r="Q885" s="361"/>
      <c r="R885" s="361"/>
      <c r="S885" s="361"/>
      <c r="T885" s="361"/>
      <c r="U885" s="361"/>
      <c r="V885" s="361"/>
      <c r="W885" s="361"/>
      <c r="X885" s="365"/>
      <c r="Y885" s="361"/>
      <c r="Z885" s="361"/>
      <c r="AA885" s="116"/>
      <c r="AB885" s="116"/>
      <c r="AC885" s="116"/>
      <c r="AD885" s="116"/>
      <c r="AE885" s="365"/>
      <c r="AF885" s="116"/>
      <c r="AG885" s="116"/>
      <c r="AH885" s="116"/>
      <c r="AI885" s="116"/>
      <c r="AJ885" s="116"/>
      <c r="AK885" s="116"/>
      <c r="AL885" s="116"/>
    </row>
    <row r="886" ht="16.5" customHeight="1">
      <c r="A886" s="362"/>
      <c r="B886" s="362"/>
      <c r="C886" s="362"/>
      <c r="D886" s="362"/>
      <c r="E886" s="132"/>
      <c r="F886" s="131"/>
      <c r="G886" s="361"/>
      <c r="H886" s="363"/>
      <c r="I886" s="364"/>
      <c r="J886" s="361"/>
      <c r="K886" s="361"/>
      <c r="L886" s="361"/>
      <c r="M886" s="361"/>
      <c r="N886" s="361"/>
      <c r="O886" s="361"/>
      <c r="P886" s="361"/>
      <c r="Q886" s="361"/>
      <c r="R886" s="361"/>
      <c r="S886" s="361"/>
      <c r="T886" s="361"/>
      <c r="U886" s="361"/>
      <c r="V886" s="361"/>
      <c r="W886" s="361"/>
      <c r="X886" s="365"/>
      <c r="Y886" s="361"/>
      <c r="Z886" s="361"/>
      <c r="AA886" s="116"/>
      <c r="AB886" s="116"/>
      <c r="AC886" s="116"/>
      <c r="AD886" s="116"/>
      <c r="AE886" s="365"/>
      <c r="AF886" s="116"/>
      <c r="AG886" s="116"/>
      <c r="AH886" s="116"/>
      <c r="AI886" s="116"/>
      <c r="AJ886" s="116"/>
      <c r="AK886" s="116"/>
      <c r="AL886" s="116"/>
    </row>
    <row r="887" ht="16.5" customHeight="1">
      <c r="A887" s="362"/>
      <c r="B887" s="362"/>
      <c r="C887" s="362"/>
      <c r="D887" s="362"/>
      <c r="E887" s="132"/>
      <c r="F887" s="131"/>
      <c r="G887" s="361"/>
      <c r="H887" s="363"/>
      <c r="I887" s="364"/>
      <c r="J887" s="361"/>
      <c r="K887" s="361"/>
      <c r="L887" s="361"/>
      <c r="M887" s="361"/>
      <c r="N887" s="361"/>
      <c r="O887" s="361"/>
      <c r="P887" s="361"/>
      <c r="Q887" s="361"/>
      <c r="R887" s="361"/>
      <c r="S887" s="361"/>
      <c r="T887" s="361"/>
      <c r="U887" s="361"/>
      <c r="V887" s="361"/>
      <c r="W887" s="361"/>
      <c r="X887" s="365"/>
      <c r="Y887" s="361"/>
      <c r="Z887" s="361"/>
      <c r="AA887" s="116"/>
      <c r="AB887" s="116"/>
      <c r="AC887" s="116"/>
      <c r="AD887" s="116"/>
      <c r="AE887" s="365"/>
      <c r="AF887" s="116"/>
      <c r="AG887" s="116"/>
      <c r="AH887" s="116"/>
      <c r="AI887" s="116"/>
      <c r="AJ887" s="116"/>
      <c r="AK887" s="116"/>
      <c r="AL887" s="116"/>
    </row>
    <row r="888" ht="16.5" customHeight="1">
      <c r="A888" s="362"/>
      <c r="B888" s="362"/>
      <c r="C888" s="362"/>
      <c r="D888" s="362"/>
      <c r="E888" s="132"/>
      <c r="F888" s="131"/>
      <c r="G888" s="361"/>
      <c r="H888" s="363"/>
      <c r="I888" s="364"/>
      <c r="J888" s="361"/>
      <c r="K888" s="361"/>
      <c r="L888" s="361"/>
      <c r="M888" s="361"/>
      <c r="N888" s="361"/>
      <c r="O888" s="361"/>
      <c r="P888" s="361"/>
      <c r="Q888" s="361"/>
      <c r="R888" s="361"/>
      <c r="S888" s="361"/>
      <c r="T888" s="361"/>
      <c r="U888" s="361"/>
      <c r="V888" s="361"/>
      <c r="W888" s="361"/>
      <c r="X888" s="365"/>
      <c r="Y888" s="361"/>
      <c r="Z888" s="361"/>
      <c r="AA888" s="116"/>
      <c r="AB888" s="116"/>
      <c r="AC888" s="116"/>
      <c r="AD888" s="116"/>
      <c r="AE888" s="365"/>
      <c r="AF888" s="116"/>
      <c r="AG888" s="116"/>
      <c r="AH888" s="116"/>
      <c r="AI888" s="116"/>
      <c r="AJ888" s="116"/>
      <c r="AK888" s="116"/>
      <c r="AL888" s="116"/>
    </row>
    <row r="889" ht="16.5" customHeight="1">
      <c r="A889" s="362"/>
      <c r="B889" s="362"/>
      <c r="C889" s="362"/>
      <c r="D889" s="362"/>
      <c r="E889" s="132"/>
      <c r="F889" s="131"/>
      <c r="G889" s="361"/>
      <c r="H889" s="363"/>
      <c r="I889" s="364"/>
      <c r="J889" s="361"/>
      <c r="K889" s="361"/>
      <c r="L889" s="361"/>
      <c r="M889" s="361"/>
      <c r="N889" s="361"/>
      <c r="O889" s="361"/>
      <c r="P889" s="361"/>
      <c r="Q889" s="361"/>
      <c r="R889" s="361"/>
      <c r="S889" s="361"/>
      <c r="T889" s="361"/>
      <c r="U889" s="361"/>
      <c r="V889" s="361"/>
      <c r="W889" s="361"/>
      <c r="X889" s="365"/>
      <c r="Y889" s="361"/>
      <c r="Z889" s="361"/>
      <c r="AA889" s="116"/>
      <c r="AB889" s="116"/>
      <c r="AC889" s="116"/>
      <c r="AD889" s="116"/>
      <c r="AE889" s="365"/>
      <c r="AF889" s="116"/>
      <c r="AG889" s="116"/>
      <c r="AH889" s="116"/>
      <c r="AI889" s="116"/>
      <c r="AJ889" s="116"/>
      <c r="AK889" s="116"/>
      <c r="AL889" s="116"/>
    </row>
    <row r="890" ht="16.5" customHeight="1">
      <c r="A890" s="362"/>
      <c r="B890" s="362"/>
      <c r="C890" s="362"/>
      <c r="D890" s="362"/>
      <c r="E890" s="132"/>
      <c r="F890" s="131"/>
      <c r="G890" s="361"/>
      <c r="H890" s="363"/>
      <c r="I890" s="364"/>
      <c r="J890" s="361"/>
      <c r="K890" s="361"/>
      <c r="L890" s="361"/>
      <c r="M890" s="361"/>
      <c r="N890" s="361"/>
      <c r="O890" s="361"/>
      <c r="P890" s="361"/>
      <c r="Q890" s="361"/>
      <c r="R890" s="361"/>
      <c r="S890" s="361"/>
      <c r="T890" s="361"/>
      <c r="U890" s="361"/>
      <c r="V890" s="361"/>
      <c r="W890" s="361"/>
      <c r="X890" s="365"/>
      <c r="Y890" s="361"/>
      <c r="Z890" s="361"/>
      <c r="AA890" s="116"/>
      <c r="AB890" s="116"/>
      <c r="AC890" s="116"/>
      <c r="AD890" s="116"/>
      <c r="AE890" s="365"/>
      <c r="AF890" s="116"/>
      <c r="AG890" s="116"/>
      <c r="AH890" s="116"/>
      <c r="AI890" s="116"/>
      <c r="AJ890" s="116"/>
      <c r="AK890" s="116"/>
      <c r="AL890" s="116"/>
    </row>
    <row r="891" ht="16.5" customHeight="1">
      <c r="A891" s="362"/>
      <c r="B891" s="362"/>
      <c r="C891" s="362"/>
      <c r="D891" s="362"/>
      <c r="E891" s="132"/>
      <c r="F891" s="131"/>
      <c r="G891" s="361"/>
      <c r="H891" s="363"/>
      <c r="I891" s="364"/>
      <c r="J891" s="361"/>
      <c r="K891" s="361"/>
      <c r="L891" s="361"/>
      <c r="M891" s="361"/>
      <c r="N891" s="361"/>
      <c r="O891" s="361"/>
      <c r="P891" s="361"/>
      <c r="Q891" s="361"/>
      <c r="R891" s="361"/>
      <c r="S891" s="361"/>
      <c r="T891" s="361"/>
      <c r="U891" s="361"/>
      <c r="V891" s="361"/>
      <c r="W891" s="361"/>
      <c r="X891" s="365"/>
      <c r="Y891" s="361"/>
      <c r="Z891" s="361"/>
      <c r="AA891" s="116"/>
      <c r="AB891" s="116"/>
      <c r="AC891" s="116"/>
      <c r="AD891" s="116"/>
      <c r="AE891" s="365"/>
      <c r="AF891" s="116"/>
      <c r="AG891" s="116"/>
      <c r="AH891" s="116"/>
      <c r="AI891" s="116"/>
      <c r="AJ891" s="116"/>
      <c r="AK891" s="116"/>
      <c r="AL891" s="116"/>
    </row>
    <row r="892" ht="16.5" customHeight="1">
      <c r="A892" s="362"/>
      <c r="B892" s="362"/>
      <c r="C892" s="362"/>
      <c r="D892" s="362"/>
      <c r="E892" s="132"/>
      <c r="F892" s="131"/>
      <c r="G892" s="361"/>
      <c r="H892" s="363"/>
      <c r="I892" s="364"/>
      <c r="J892" s="361"/>
      <c r="K892" s="361"/>
      <c r="L892" s="361"/>
      <c r="M892" s="361"/>
      <c r="N892" s="361"/>
      <c r="O892" s="361"/>
      <c r="P892" s="361"/>
      <c r="Q892" s="361"/>
      <c r="R892" s="361"/>
      <c r="S892" s="361"/>
      <c r="T892" s="361"/>
      <c r="U892" s="361"/>
      <c r="V892" s="361"/>
      <c r="W892" s="361"/>
      <c r="X892" s="365"/>
      <c r="Y892" s="361"/>
      <c r="Z892" s="361"/>
      <c r="AA892" s="116"/>
      <c r="AB892" s="116"/>
      <c r="AC892" s="116"/>
      <c r="AD892" s="116"/>
      <c r="AE892" s="365"/>
      <c r="AF892" s="116"/>
      <c r="AG892" s="116"/>
      <c r="AH892" s="116"/>
      <c r="AI892" s="116"/>
      <c r="AJ892" s="116"/>
      <c r="AK892" s="116"/>
      <c r="AL892" s="116"/>
    </row>
    <row r="893" ht="16.5" customHeight="1">
      <c r="A893" s="362"/>
      <c r="B893" s="362"/>
      <c r="C893" s="362"/>
      <c r="D893" s="362"/>
      <c r="E893" s="132"/>
      <c r="F893" s="131"/>
      <c r="G893" s="361"/>
      <c r="H893" s="363"/>
      <c r="I893" s="364"/>
      <c r="J893" s="361"/>
      <c r="K893" s="361"/>
      <c r="L893" s="361"/>
      <c r="M893" s="361"/>
      <c r="N893" s="361"/>
      <c r="O893" s="361"/>
      <c r="P893" s="361"/>
      <c r="Q893" s="361"/>
      <c r="R893" s="361"/>
      <c r="S893" s="361"/>
      <c r="T893" s="361"/>
      <c r="U893" s="361"/>
      <c r="V893" s="361"/>
      <c r="W893" s="361"/>
      <c r="X893" s="365"/>
      <c r="Y893" s="361"/>
      <c r="Z893" s="361"/>
      <c r="AA893" s="116"/>
      <c r="AB893" s="116"/>
      <c r="AC893" s="116"/>
      <c r="AD893" s="116"/>
      <c r="AE893" s="365"/>
      <c r="AF893" s="116"/>
      <c r="AG893" s="116"/>
      <c r="AH893" s="116"/>
      <c r="AI893" s="116"/>
      <c r="AJ893" s="116"/>
      <c r="AK893" s="116"/>
      <c r="AL893" s="116"/>
    </row>
    <row r="894" ht="16.5" customHeight="1">
      <c r="A894" s="362"/>
      <c r="B894" s="362"/>
      <c r="C894" s="362"/>
      <c r="D894" s="362"/>
      <c r="E894" s="132"/>
      <c r="F894" s="131"/>
      <c r="G894" s="361"/>
      <c r="H894" s="363"/>
      <c r="I894" s="364"/>
      <c r="J894" s="361"/>
      <c r="K894" s="361"/>
      <c r="L894" s="361"/>
      <c r="M894" s="361"/>
      <c r="N894" s="361"/>
      <c r="O894" s="361"/>
      <c r="P894" s="361"/>
      <c r="Q894" s="361"/>
      <c r="R894" s="361"/>
      <c r="S894" s="361"/>
      <c r="T894" s="361"/>
      <c r="U894" s="361"/>
      <c r="V894" s="361"/>
      <c r="W894" s="361"/>
      <c r="X894" s="365"/>
      <c r="Y894" s="361"/>
      <c r="Z894" s="361"/>
      <c r="AA894" s="116"/>
      <c r="AB894" s="116"/>
      <c r="AC894" s="116"/>
      <c r="AD894" s="116"/>
      <c r="AE894" s="365"/>
      <c r="AF894" s="116"/>
      <c r="AG894" s="116"/>
      <c r="AH894" s="116"/>
      <c r="AI894" s="116"/>
      <c r="AJ894" s="116"/>
      <c r="AK894" s="116"/>
      <c r="AL894" s="116"/>
    </row>
    <row r="895" ht="16.5" customHeight="1">
      <c r="A895" s="362"/>
      <c r="B895" s="362"/>
      <c r="C895" s="362"/>
      <c r="D895" s="362"/>
      <c r="E895" s="132"/>
      <c r="F895" s="131"/>
      <c r="G895" s="361"/>
      <c r="H895" s="363"/>
      <c r="I895" s="364"/>
      <c r="J895" s="361"/>
      <c r="K895" s="361"/>
      <c r="L895" s="361"/>
      <c r="M895" s="361"/>
      <c r="N895" s="361"/>
      <c r="O895" s="361"/>
      <c r="P895" s="361"/>
      <c r="Q895" s="361"/>
      <c r="R895" s="361"/>
      <c r="S895" s="361"/>
      <c r="T895" s="361"/>
      <c r="U895" s="361"/>
      <c r="V895" s="361"/>
      <c r="W895" s="361"/>
      <c r="X895" s="365"/>
      <c r="Y895" s="361"/>
      <c r="Z895" s="361"/>
      <c r="AA895" s="116"/>
      <c r="AB895" s="116"/>
      <c r="AC895" s="116"/>
      <c r="AD895" s="116"/>
      <c r="AE895" s="365"/>
      <c r="AF895" s="116"/>
      <c r="AG895" s="116"/>
      <c r="AH895" s="116"/>
      <c r="AI895" s="116"/>
      <c r="AJ895" s="116"/>
      <c r="AK895" s="116"/>
      <c r="AL895" s="116"/>
    </row>
    <row r="896" ht="16.5" customHeight="1">
      <c r="A896" s="362"/>
      <c r="B896" s="362"/>
      <c r="C896" s="362"/>
      <c r="D896" s="362"/>
      <c r="E896" s="132"/>
      <c r="F896" s="131"/>
      <c r="G896" s="361"/>
      <c r="H896" s="363"/>
      <c r="I896" s="364"/>
      <c r="J896" s="361"/>
      <c r="K896" s="361"/>
      <c r="L896" s="361"/>
      <c r="M896" s="361"/>
      <c r="N896" s="361"/>
      <c r="O896" s="361"/>
      <c r="P896" s="361"/>
      <c r="Q896" s="361"/>
      <c r="R896" s="361"/>
      <c r="S896" s="361"/>
      <c r="T896" s="361"/>
      <c r="U896" s="361"/>
      <c r="V896" s="361"/>
      <c r="W896" s="361"/>
      <c r="X896" s="365"/>
      <c r="Y896" s="361"/>
      <c r="Z896" s="361"/>
      <c r="AA896" s="116"/>
      <c r="AB896" s="116"/>
      <c r="AC896" s="116"/>
      <c r="AD896" s="116"/>
      <c r="AE896" s="365"/>
      <c r="AF896" s="116"/>
      <c r="AG896" s="116"/>
      <c r="AH896" s="116"/>
      <c r="AI896" s="116"/>
      <c r="AJ896" s="116"/>
      <c r="AK896" s="116"/>
      <c r="AL896" s="116"/>
    </row>
    <row r="897" ht="16.5" customHeight="1">
      <c r="A897" s="362"/>
      <c r="B897" s="362"/>
      <c r="C897" s="362"/>
      <c r="D897" s="362"/>
      <c r="E897" s="132"/>
      <c r="F897" s="131"/>
      <c r="G897" s="361"/>
      <c r="H897" s="363"/>
      <c r="I897" s="364"/>
      <c r="J897" s="361"/>
      <c r="K897" s="361"/>
      <c r="L897" s="361"/>
      <c r="M897" s="361"/>
      <c r="N897" s="361"/>
      <c r="O897" s="361"/>
      <c r="P897" s="361"/>
      <c r="Q897" s="361"/>
      <c r="R897" s="361"/>
      <c r="S897" s="361"/>
      <c r="T897" s="361"/>
      <c r="U897" s="361"/>
      <c r="V897" s="361"/>
      <c r="W897" s="361"/>
      <c r="X897" s="365"/>
      <c r="Y897" s="361"/>
      <c r="Z897" s="361"/>
      <c r="AA897" s="116"/>
      <c r="AB897" s="116"/>
      <c r="AC897" s="116"/>
      <c r="AD897" s="116"/>
      <c r="AE897" s="365"/>
      <c r="AF897" s="116"/>
      <c r="AG897" s="116"/>
      <c r="AH897" s="116"/>
      <c r="AI897" s="116"/>
      <c r="AJ897" s="116"/>
      <c r="AK897" s="116"/>
      <c r="AL897" s="116"/>
    </row>
    <row r="898" ht="16.5" customHeight="1">
      <c r="A898" s="362"/>
      <c r="B898" s="362"/>
      <c r="C898" s="362"/>
      <c r="D898" s="362"/>
      <c r="E898" s="132"/>
      <c r="F898" s="131"/>
      <c r="G898" s="361"/>
      <c r="H898" s="363"/>
      <c r="I898" s="364"/>
      <c r="J898" s="361"/>
      <c r="K898" s="361"/>
      <c r="L898" s="361"/>
      <c r="M898" s="361"/>
      <c r="N898" s="361"/>
      <c r="O898" s="361"/>
      <c r="P898" s="361"/>
      <c r="Q898" s="361"/>
      <c r="R898" s="361"/>
      <c r="S898" s="361"/>
      <c r="T898" s="361"/>
      <c r="U898" s="361"/>
      <c r="V898" s="361"/>
      <c r="W898" s="361"/>
      <c r="X898" s="365"/>
      <c r="Y898" s="361"/>
      <c r="Z898" s="361"/>
      <c r="AA898" s="116"/>
      <c r="AB898" s="116"/>
      <c r="AC898" s="116"/>
      <c r="AD898" s="116"/>
      <c r="AE898" s="365"/>
      <c r="AF898" s="116"/>
      <c r="AG898" s="116"/>
      <c r="AH898" s="116"/>
      <c r="AI898" s="116"/>
      <c r="AJ898" s="116"/>
      <c r="AK898" s="116"/>
      <c r="AL898" s="116"/>
    </row>
    <row r="899" ht="16.5" customHeight="1">
      <c r="A899" s="362"/>
      <c r="B899" s="362"/>
      <c r="C899" s="362"/>
      <c r="D899" s="362"/>
      <c r="E899" s="132"/>
      <c r="F899" s="131"/>
      <c r="G899" s="361"/>
      <c r="H899" s="363"/>
      <c r="I899" s="364"/>
      <c r="J899" s="361"/>
      <c r="K899" s="361"/>
      <c r="L899" s="361"/>
      <c r="M899" s="361"/>
      <c r="N899" s="361"/>
      <c r="O899" s="361"/>
      <c r="P899" s="361"/>
      <c r="Q899" s="361"/>
      <c r="R899" s="361"/>
      <c r="S899" s="361"/>
      <c r="T899" s="361"/>
      <c r="U899" s="361"/>
      <c r="V899" s="361"/>
      <c r="W899" s="361"/>
      <c r="X899" s="365"/>
      <c r="Y899" s="361"/>
      <c r="Z899" s="361"/>
      <c r="AA899" s="116"/>
      <c r="AB899" s="116"/>
      <c r="AC899" s="116"/>
      <c r="AD899" s="116"/>
      <c r="AE899" s="365"/>
      <c r="AF899" s="116"/>
      <c r="AG899" s="116"/>
      <c r="AH899" s="116"/>
      <c r="AI899" s="116"/>
      <c r="AJ899" s="116"/>
      <c r="AK899" s="116"/>
      <c r="AL899" s="116"/>
    </row>
    <row r="900" ht="16.5" customHeight="1">
      <c r="A900" s="362"/>
      <c r="B900" s="362"/>
      <c r="C900" s="362"/>
      <c r="D900" s="362"/>
      <c r="E900" s="132"/>
      <c r="F900" s="131"/>
      <c r="G900" s="361"/>
      <c r="H900" s="363"/>
      <c r="I900" s="364"/>
      <c r="J900" s="361"/>
      <c r="K900" s="361"/>
      <c r="L900" s="361"/>
      <c r="M900" s="361"/>
      <c r="N900" s="361"/>
      <c r="O900" s="361"/>
      <c r="P900" s="361"/>
      <c r="Q900" s="361"/>
      <c r="R900" s="361"/>
      <c r="S900" s="361"/>
      <c r="T900" s="361"/>
      <c r="U900" s="361"/>
      <c r="V900" s="361"/>
      <c r="W900" s="361"/>
      <c r="X900" s="365"/>
      <c r="Y900" s="361"/>
      <c r="Z900" s="361"/>
      <c r="AA900" s="116"/>
      <c r="AB900" s="116"/>
      <c r="AC900" s="116"/>
      <c r="AD900" s="116"/>
      <c r="AE900" s="365"/>
      <c r="AF900" s="116"/>
      <c r="AG900" s="116"/>
      <c r="AH900" s="116"/>
      <c r="AI900" s="116"/>
      <c r="AJ900" s="116"/>
      <c r="AK900" s="116"/>
      <c r="AL900" s="116"/>
    </row>
    <row r="901" ht="16.5" customHeight="1">
      <c r="A901" s="362"/>
      <c r="B901" s="362"/>
      <c r="C901" s="362"/>
      <c r="D901" s="362"/>
      <c r="E901" s="132"/>
      <c r="F901" s="131"/>
      <c r="G901" s="361"/>
      <c r="H901" s="363"/>
      <c r="I901" s="364"/>
      <c r="J901" s="361"/>
      <c r="K901" s="361"/>
      <c r="L901" s="361"/>
      <c r="M901" s="361"/>
      <c r="N901" s="361"/>
      <c r="O901" s="361"/>
      <c r="P901" s="361"/>
      <c r="Q901" s="361"/>
      <c r="R901" s="361"/>
      <c r="S901" s="361"/>
      <c r="T901" s="361"/>
      <c r="U901" s="361"/>
      <c r="V901" s="361"/>
      <c r="W901" s="361"/>
      <c r="X901" s="365"/>
      <c r="Y901" s="361"/>
      <c r="Z901" s="361"/>
      <c r="AA901" s="116"/>
      <c r="AB901" s="116"/>
      <c r="AC901" s="116"/>
      <c r="AD901" s="116"/>
      <c r="AE901" s="365"/>
      <c r="AF901" s="116"/>
      <c r="AG901" s="116"/>
      <c r="AH901" s="116"/>
      <c r="AI901" s="116"/>
      <c r="AJ901" s="116"/>
      <c r="AK901" s="116"/>
      <c r="AL901" s="116"/>
    </row>
    <row r="902" ht="16.5" customHeight="1">
      <c r="A902" s="362"/>
      <c r="B902" s="362"/>
      <c r="C902" s="362"/>
      <c r="D902" s="362"/>
      <c r="E902" s="132"/>
      <c r="F902" s="131"/>
      <c r="G902" s="361"/>
      <c r="H902" s="363"/>
      <c r="I902" s="364"/>
      <c r="J902" s="361"/>
      <c r="K902" s="361"/>
      <c r="L902" s="361"/>
      <c r="M902" s="361"/>
      <c r="N902" s="361"/>
      <c r="O902" s="361"/>
      <c r="P902" s="361"/>
      <c r="Q902" s="361"/>
      <c r="R902" s="361"/>
      <c r="S902" s="361"/>
      <c r="T902" s="361"/>
      <c r="U902" s="361"/>
      <c r="V902" s="361"/>
      <c r="W902" s="361"/>
      <c r="X902" s="365"/>
      <c r="Y902" s="361"/>
      <c r="Z902" s="361"/>
      <c r="AA902" s="116"/>
      <c r="AB902" s="116"/>
      <c r="AC902" s="116"/>
      <c r="AD902" s="116"/>
      <c r="AE902" s="365"/>
      <c r="AF902" s="116"/>
      <c r="AG902" s="116"/>
      <c r="AH902" s="116"/>
      <c r="AI902" s="116"/>
      <c r="AJ902" s="116"/>
      <c r="AK902" s="116"/>
      <c r="AL902" s="116"/>
    </row>
    <row r="903" ht="16.5" customHeight="1">
      <c r="A903" s="362"/>
      <c r="B903" s="362"/>
      <c r="C903" s="362"/>
      <c r="D903" s="362"/>
      <c r="E903" s="132"/>
      <c r="F903" s="131"/>
      <c r="G903" s="361"/>
      <c r="H903" s="363"/>
      <c r="I903" s="364"/>
      <c r="J903" s="361"/>
      <c r="K903" s="361"/>
      <c r="L903" s="361"/>
      <c r="M903" s="361"/>
      <c r="N903" s="361"/>
      <c r="O903" s="361"/>
      <c r="P903" s="361"/>
      <c r="Q903" s="361"/>
      <c r="R903" s="361"/>
      <c r="S903" s="361"/>
      <c r="T903" s="361"/>
      <c r="U903" s="361"/>
      <c r="V903" s="361"/>
      <c r="W903" s="361"/>
      <c r="X903" s="365"/>
      <c r="Y903" s="361"/>
      <c r="Z903" s="361"/>
      <c r="AA903" s="116"/>
      <c r="AB903" s="116"/>
      <c r="AC903" s="116"/>
      <c r="AD903" s="116"/>
      <c r="AE903" s="365"/>
      <c r="AF903" s="116"/>
      <c r="AG903" s="116"/>
      <c r="AH903" s="116"/>
      <c r="AI903" s="116"/>
      <c r="AJ903" s="116"/>
      <c r="AK903" s="116"/>
      <c r="AL903" s="116"/>
    </row>
    <row r="904" ht="16.5" customHeight="1">
      <c r="A904" s="362"/>
      <c r="B904" s="362"/>
      <c r="C904" s="362"/>
      <c r="D904" s="362"/>
      <c r="E904" s="132"/>
      <c r="F904" s="131"/>
      <c r="G904" s="361"/>
      <c r="H904" s="363"/>
      <c r="I904" s="364"/>
      <c r="J904" s="361"/>
      <c r="K904" s="361"/>
      <c r="L904" s="361"/>
      <c r="M904" s="361"/>
      <c r="N904" s="361"/>
      <c r="O904" s="361"/>
      <c r="P904" s="361"/>
      <c r="Q904" s="361"/>
      <c r="R904" s="361"/>
      <c r="S904" s="361"/>
      <c r="T904" s="361"/>
      <c r="U904" s="361"/>
      <c r="V904" s="361"/>
      <c r="W904" s="361"/>
      <c r="X904" s="365"/>
      <c r="Y904" s="361"/>
      <c r="Z904" s="361"/>
      <c r="AA904" s="116"/>
      <c r="AB904" s="116"/>
      <c r="AC904" s="116"/>
      <c r="AD904" s="116"/>
      <c r="AE904" s="365"/>
      <c r="AF904" s="116"/>
      <c r="AG904" s="116"/>
      <c r="AH904" s="116"/>
      <c r="AI904" s="116"/>
      <c r="AJ904" s="116"/>
      <c r="AK904" s="116"/>
      <c r="AL904" s="116"/>
    </row>
    <row r="905" ht="16.5" customHeight="1">
      <c r="A905" s="362"/>
      <c r="B905" s="362"/>
      <c r="C905" s="362"/>
      <c r="D905" s="362"/>
      <c r="E905" s="132"/>
      <c r="F905" s="131"/>
      <c r="G905" s="361"/>
      <c r="H905" s="363"/>
      <c r="I905" s="364"/>
      <c r="J905" s="361"/>
      <c r="K905" s="361"/>
      <c r="L905" s="361"/>
      <c r="M905" s="361"/>
      <c r="N905" s="361"/>
      <c r="O905" s="361"/>
      <c r="P905" s="361"/>
      <c r="Q905" s="361"/>
      <c r="R905" s="361"/>
      <c r="S905" s="361"/>
      <c r="T905" s="361"/>
      <c r="U905" s="361"/>
      <c r="V905" s="361"/>
      <c r="W905" s="361"/>
      <c r="X905" s="365"/>
      <c r="Y905" s="361"/>
      <c r="Z905" s="361"/>
      <c r="AA905" s="116"/>
      <c r="AB905" s="116"/>
      <c r="AC905" s="116"/>
      <c r="AD905" s="116"/>
      <c r="AE905" s="365"/>
      <c r="AF905" s="116"/>
      <c r="AG905" s="116"/>
      <c r="AH905" s="116"/>
      <c r="AI905" s="116"/>
      <c r="AJ905" s="116"/>
      <c r="AK905" s="116"/>
      <c r="AL905" s="116"/>
    </row>
    <row r="906" ht="16.5" customHeight="1">
      <c r="A906" s="362"/>
      <c r="B906" s="362"/>
      <c r="C906" s="362"/>
      <c r="D906" s="362"/>
      <c r="E906" s="132"/>
      <c r="F906" s="131"/>
      <c r="G906" s="361"/>
      <c r="H906" s="363"/>
      <c r="I906" s="364"/>
      <c r="J906" s="361"/>
      <c r="K906" s="361"/>
      <c r="L906" s="361"/>
      <c r="M906" s="361"/>
      <c r="N906" s="361"/>
      <c r="O906" s="361"/>
      <c r="P906" s="361"/>
      <c r="Q906" s="361"/>
      <c r="R906" s="361"/>
      <c r="S906" s="361"/>
      <c r="T906" s="361"/>
      <c r="U906" s="361"/>
      <c r="V906" s="361"/>
      <c r="W906" s="361"/>
      <c r="X906" s="365"/>
      <c r="Y906" s="361"/>
      <c r="Z906" s="361"/>
      <c r="AA906" s="116"/>
      <c r="AB906" s="116"/>
      <c r="AC906" s="116"/>
      <c r="AD906" s="116"/>
      <c r="AE906" s="365"/>
      <c r="AF906" s="116"/>
      <c r="AG906" s="116"/>
      <c r="AH906" s="116"/>
      <c r="AI906" s="116"/>
      <c r="AJ906" s="116"/>
      <c r="AK906" s="116"/>
      <c r="AL906" s="116"/>
    </row>
    <row r="907" ht="16.5" customHeight="1">
      <c r="A907" s="362"/>
      <c r="B907" s="362"/>
      <c r="C907" s="362"/>
      <c r="D907" s="362"/>
      <c r="E907" s="132"/>
      <c r="F907" s="131"/>
      <c r="G907" s="361"/>
      <c r="H907" s="363"/>
      <c r="I907" s="364"/>
      <c r="J907" s="361"/>
      <c r="K907" s="361"/>
      <c r="L907" s="361"/>
      <c r="M907" s="361"/>
      <c r="N907" s="361"/>
      <c r="O907" s="361"/>
      <c r="P907" s="361"/>
      <c r="Q907" s="361"/>
      <c r="R907" s="361"/>
      <c r="S907" s="361"/>
      <c r="T907" s="361"/>
      <c r="U907" s="361"/>
      <c r="V907" s="361"/>
      <c r="W907" s="361"/>
      <c r="X907" s="365"/>
      <c r="Y907" s="361"/>
      <c r="Z907" s="361"/>
      <c r="AA907" s="116"/>
      <c r="AB907" s="116"/>
      <c r="AC907" s="116"/>
      <c r="AD907" s="116"/>
      <c r="AE907" s="365"/>
      <c r="AF907" s="116"/>
      <c r="AG907" s="116"/>
      <c r="AH907" s="116"/>
      <c r="AI907" s="116"/>
      <c r="AJ907" s="116"/>
      <c r="AK907" s="116"/>
      <c r="AL907" s="116"/>
    </row>
    <row r="908" ht="16.5" customHeight="1">
      <c r="A908" s="362"/>
      <c r="B908" s="362"/>
      <c r="C908" s="362"/>
      <c r="D908" s="362"/>
      <c r="E908" s="132"/>
      <c r="F908" s="131"/>
      <c r="G908" s="361"/>
      <c r="H908" s="363"/>
      <c r="I908" s="364"/>
      <c r="J908" s="361"/>
      <c r="K908" s="361"/>
      <c r="L908" s="361"/>
      <c r="M908" s="361"/>
      <c r="N908" s="361"/>
      <c r="O908" s="361"/>
      <c r="P908" s="361"/>
      <c r="Q908" s="361"/>
      <c r="R908" s="361"/>
      <c r="S908" s="361"/>
      <c r="T908" s="361"/>
      <c r="U908" s="361"/>
      <c r="V908" s="361"/>
      <c r="W908" s="361"/>
      <c r="X908" s="365"/>
      <c r="Y908" s="361"/>
      <c r="Z908" s="361"/>
      <c r="AA908" s="116"/>
      <c r="AB908" s="116"/>
      <c r="AC908" s="116"/>
      <c r="AD908" s="116"/>
      <c r="AE908" s="365"/>
      <c r="AF908" s="116"/>
      <c r="AG908" s="116"/>
      <c r="AH908" s="116"/>
      <c r="AI908" s="116"/>
      <c r="AJ908" s="116"/>
      <c r="AK908" s="116"/>
      <c r="AL908" s="116"/>
    </row>
    <row r="909" ht="16.5" customHeight="1">
      <c r="A909" s="362"/>
      <c r="B909" s="362"/>
      <c r="C909" s="362"/>
      <c r="D909" s="362"/>
      <c r="E909" s="132"/>
      <c r="F909" s="131"/>
      <c r="G909" s="361"/>
      <c r="H909" s="363"/>
      <c r="I909" s="364"/>
      <c r="J909" s="361"/>
      <c r="K909" s="361"/>
      <c r="L909" s="361"/>
      <c r="M909" s="361"/>
      <c r="N909" s="361"/>
      <c r="O909" s="361"/>
      <c r="P909" s="361"/>
      <c r="Q909" s="361"/>
      <c r="R909" s="361"/>
      <c r="S909" s="361"/>
      <c r="T909" s="361"/>
      <c r="U909" s="361"/>
      <c r="V909" s="361"/>
      <c r="W909" s="361"/>
      <c r="X909" s="365"/>
      <c r="Y909" s="361"/>
      <c r="Z909" s="361"/>
      <c r="AA909" s="116"/>
      <c r="AB909" s="116"/>
      <c r="AC909" s="116"/>
      <c r="AD909" s="116"/>
      <c r="AE909" s="365"/>
      <c r="AF909" s="116"/>
      <c r="AG909" s="116"/>
      <c r="AH909" s="116"/>
      <c r="AI909" s="116"/>
      <c r="AJ909" s="116"/>
      <c r="AK909" s="116"/>
      <c r="AL909" s="116"/>
    </row>
    <row r="910" ht="16.5" customHeight="1">
      <c r="A910" s="362"/>
      <c r="B910" s="362"/>
      <c r="C910" s="362"/>
      <c r="D910" s="362"/>
      <c r="E910" s="132"/>
      <c r="F910" s="131"/>
      <c r="G910" s="361"/>
      <c r="H910" s="363"/>
      <c r="I910" s="364"/>
      <c r="J910" s="361"/>
      <c r="K910" s="361"/>
      <c r="L910" s="361"/>
      <c r="M910" s="361"/>
      <c r="N910" s="361"/>
      <c r="O910" s="361"/>
      <c r="P910" s="361"/>
      <c r="Q910" s="361"/>
      <c r="R910" s="361"/>
      <c r="S910" s="361"/>
      <c r="T910" s="361"/>
      <c r="U910" s="361"/>
      <c r="V910" s="361"/>
      <c r="W910" s="361"/>
      <c r="X910" s="365"/>
      <c r="Y910" s="361"/>
      <c r="Z910" s="361"/>
      <c r="AA910" s="116"/>
      <c r="AB910" s="116"/>
      <c r="AC910" s="116"/>
      <c r="AD910" s="116"/>
      <c r="AE910" s="365"/>
      <c r="AF910" s="116"/>
      <c r="AG910" s="116"/>
      <c r="AH910" s="116"/>
      <c r="AI910" s="116"/>
      <c r="AJ910" s="116"/>
      <c r="AK910" s="116"/>
      <c r="AL910" s="116"/>
    </row>
    <row r="911" ht="16.5" customHeight="1">
      <c r="A911" s="362"/>
      <c r="B911" s="362"/>
      <c r="C911" s="362"/>
      <c r="D911" s="362"/>
      <c r="E911" s="132"/>
      <c r="F911" s="131"/>
      <c r="G911" s="361"/>
      <c r="H911" s="363"/>
      <c r="I911" s="364"/>
      <c r="J911" s="361"/>
      <c r="K911" s="361"/>
      <c r="L911" s="361"/>
      <c r="M911" s="361"/>
      <c r="N911" s="361"/>
      <c r="O911" s="361"/>
      <c r="P911" s="361"/>
      <c r="Q911" s="361"/>
      <c r="R911" s="361"/>
      <c r="S911" s="361"/>
      <c r="T911" s="361"/>
      <c r="U911" s="361"/>
      <c r="V911" s="361"/>
      <c r="W911" s="361"/>
      <c r="X911" s="365"/>
      <c r="Y911" s="361"/>
      <c r="Z911" s="361"/>
      <c r="AA911" s="116"/>
      <c r="AB911" s="116"/>
      <c r="AC911" s="116"/>
      <c r="AD911" s="116"/>
      <c r="AE911" s="365"/>
      <c r="AF911" s="116"/>
      <c r="AG911" s="116"/>
      <c r="AH911" s="116"/>
      <c r="AI911" s="116"/>
      <c r="AJ911" s="116"/>
      <c r="AK911" s="116"/>
      <c r="AL911" s="116"/>
    </row>
    <row r="912" ht="16.5" customHeight="1">
      <c r="A912" s="362"/>
      <c r="B912" s="362"/>
      <c r="C912" s="362"/>
      <c r="D912" s="362"/>
      <c r="E912" s="132"/>
      <c r="F912" s="131"/>
      <c r="G912" s="361"/>
      <c r="H912" s="363"/>
      <c r="I912" s="364"/>
      <c r="J912" s="361"/>
      <c r="K912" s="361"/>
      <c r="L912" s="361"/>
      <c r="M912" s="361"/>
      <c r="N912" s="361"/>
      <c r="O912" s="361"/>
      <c r="P912" s="361"/>
      <c r="Q912" s="361"/>
      <c r="R912" s="361"/>
      <c r="S912" s="361"/>
      <c r="T912" s="361"/>
      <c r="U912" s="361"/>
      <c r="V912" s="361"/>
      <c r="W912" s="361"/>
      <c r="X912" s="365"/>
      <c r="Y912" s="361"/>
      <c r="Z912" s="361"/>
      <c r="AA912" s="116"/>
      <c r="AB912" s="116"/>
      <c r="AC912" s="116"/>
      <c r="AD912" s="116"/>
      <c r="AE912" s="365"/>
      <c r="AF912" s="116"/>
      <c r="AG912" s="116"/>
      <c r="AH912" s="116"/>
      <c r="AI912" s="116"/>
      <c r="AJ912" s="116"/>
      <c r="AK912" s="116"/>
      <c r="AL912" s="116"/>
    </row>
    <row r="913" ht="16.5" customHeight="1">
      <c r="A913" s="362"/>
      <c r="B913" s="362"/>
      <c r="C913" s="362"/>
      <c r="D913" s="362"/>
      <c r="E913" s="132"/>
      <c r="F913" s="131"/>
      <c r="G913" s="361"/>
      <c r="H913" s="363"/>
      <c r="I913" s="364"/>
      <c r="J913" s="361"/>
      <c r="K913" s="361"/>
      <c r="L913" s="361"/>
      <c r="M913" s="361"/>
      <c r="N913" s="361"/>
      <c r="O913" s="361"/>
      <c r="P913" s="361"/>
      <c r="Q913" s="361"/>
      <c r="R913" s="361"/>
      <c r="S913" s="361"/>
      <c r="T913" s="361"/>
      <c r="U913" s="361"/>
      <c r="V913" s="361"/>
      <c r="W913" s="361"/>
      <c r="X913" s="365"/>
      <c r="Y913" s="361"/>
      <c r="Z913" s="361"/>
      <c r="AA913" s="116"/>
      <c r="AB913" s="116"/>
      <c r="AC913" s="116"/>
      <c r="AD913" s="116"/>
      <c r="AE913" s="365"/>
      <c r="AF913" s="116"/>
      <c r="AG913" s="116"/>
      <c r="AH913" s="116"/>
      <c r="AI913" s="116"/>
      <c r="AJ913" s="116"/>
      <c r="AK913" s="116"/>
      <c r="AL913" s="116"/>
    </row>
    <row r="914" ht="16.5" customHeight="1">
      <c r="A914" s="362"/>
      <c r="B914" s="362"/>
      <c r="C914" s="362"/>
      <c r="D914" s="362"/>
      <c r="E914" s="132"/>
      <c r="F914" s="131"/>
      <c r="G914" s="361"/>
      <c r="H914" s="363"/>
      <c r="I914" s="364"/>
      <c r="J914" s="361"/>
      <c r="K914" s="361"/>
      <c r="L914" s="361"/>
      <c r="M914" s="361"/>
      <c r="N914" s="361"/>
      <c r="O914" s="361"/>
      <c r="P914" s="361"/>
      <c r="Q914" s="361"/>
      <c r="R914" s="361"/>
      <c r="S914" s="361"/>
      <c r="T914" s="361"/>
      <c r="U914" s="361"/>
      <c r="V914" s="361"/>
      <c r="W914" s="361"/>
      <c r="X914" s="365"/>
      <c r="Y914" s="361"/>
      <c r="Z914" s="361"/>
      <c r="AA914" s="116"/>
      <c r="AB914" s="116"/>
      <c r="AC914" s="116"/>
      <c r="AD914" s="116"/>
      <c r="AE914" s="365"/>
      <c r="AF914" s="116"/>
      <c r="AG914" s="116"/>
      <c r="AH914" s="116"/>
      <c r="AI914" s="116"/>
      <c r="AJ914" s="116"/>
      <c r="AK914" s="116"/>
      <c r="AL914" s="116"/>
    </row>
    <row r="915" ht="16.5" customHeight="1">
      <c r="A915" s="362"/>
      <c r="B915" s="362"/>
      <c r="C915" s="362"/>
      <c r="D915" s="362"/>
      <c r="E915" s="132"/>
      <c r="F915" s="131"/>
      <c r="G915" s="361"/>
      <c r="H915" s="363"/>
      <c r="I915" s="364"/>
      <c r="J915" s="361"/>
      <c r="K915" s="361"/>
      <c r="L915" s="361"/>
      <c r="M915" s="361"/>
      <c r="N915" s="361"/>
      <c r="O915" s="361"/>
      <c r="P915" s="361"/>
      <c r="Q915" s="361"/>
      <c r="R915" s="361"/>
      <c r="S915" s="361"/>
      <c r="T915" s="361"/>
      <c r="U915" s="361"/>
      <c r="V915" s="361"/>
      <c r="W915" s="361"/>
      <c r="X915" s="365"/>
      <c r="Y915" s="361"/>
      <c r="Z915" s="361"/>
      <c r="AA915" s="116"/>
      <c r="AB915" s="116"/>
      <c r="AC915" s="116"/>
      <c r="AD915" s="116"/>
      <c r="AE915" s="365"/>
      <c r="AF915" s="116"/>
      <c r="AG915" s="116"/>
      <c r="AH915" s="116"/>
      <c r="AI915" s="116"/>
      <c r="AJ915" s="116"/>
      <c r="AK915" s="116"/>
      <c r="AL915" s="116"/>
    </row>
    <row r="916" ht="16.5" customHeight="1">
      <c r="A916" s="362"/>
      <c r="B916" s="362"/>
      <c r="C916" s="362"/>
      <c r="D916" s="362"/>
      <c r="E916" s="132"/>
      <c r="F916" s="131"/>
      <c r="G916" s="361"/>
      <c r="H916" s="363"/>
      <c r="I916" s="364"/>
      <c r="J916" s="361"/>
      <c r="K916" s="361"/>
      <c r="L916" s="361"/>
      <c r="M916" s="361"/>
      <c r="N916" s="361"/>
      <c r="O916" s="361"/>
      <c r="P916" s="361"/>
      <c r="Q916" s="361"/>
      <c r="R916" s="361"/>
      <c r="S916" s="361"/>
      <c r="T916" s="361"/>
      <c r="U916" s="361"/>
      <c r="V916" s="361"/>
      <c r="W916" s="361"/>
      <c r="X916" s="365"/>
      <c r="Y916" s="361"/>
      <c r="Z916" s="361"/>
      <c r="AA916" s="116"/>
      <c r="AB916" s="116"/>
      <c r="AC916" s="116"/>
      <c r="AD916" s="116"/>
      <c r="AE916" s="365"/>
      <c r="AF916" s="116"/>
      <c r="AG916" s="116"/>
      <c r="AH916" s="116"/>
      <c r="AI916" s="116"/>
      <c r="AJ916" s="116"/>
      <c r="AK916" s="116"/>
      <c r="AL916" s="116"/>
    </row>
    <row r="917" ht="16.5" customHeight="1">
      <c r="A917" s="362"/>
      <c r="B917" s="362"/>
      <c r="C917" s="362"/>
      <c r="D917" s="362"/>
      <c r="E917" s="132"/>
      <c r="F917" s="131"/>
      <c r="G917" s="361"/>
      <c r="H917" s="363"/>
      <c r="I917" s="364"/>
      <c r="J917" s="361"/>
      <c r="K917" s="361"/>
      <c r="L917" s="361"/>
      <c r="M917" s="361"/>
      <c r="N917" s="361"/>
      <c r="O917" s="361"/>
      <c r="P917" s="361"/>
      <c r="Q917" s="361"/>
      <c r="R917" s="361"/>
      <c r="S917" s="361"/>
      <c r="T917" s="361"/>
      <c r="U917" s="361"/>
      <c r="V917" s="361"/>
      <c r="W917" s="361"/>
      <c r="X917" s="365"/>
      <c r="Y917" s="361"/>
      <c r="Z917" s="361"/>
      <c r="AA917" s="116"/>
      <c r="AB917" s="116"/>
      <c r="AC917" s="116"/>
      <c r="AD917" s="116"/>
      <c r="AE917" s="365"/>
      <c r="AF917" s="116"/>
      <c r="AG917" s="116"/>
      <c r="AH917" s="116"/>
      <c r="AI917" s="116"/>
      <c r="AJ917" s="116"/>
      <c r="AK917" s="116"/>
      <c r="AL917" s="116"/>
    </row>
    <row r="918" ht="16.5" customHeight="1">
      <c r="A918" s="362"/>
      <c r="B918" s="362"/>
      <c r="C918" s="362"/>
      <c r="D918" s="362"/>
      <c r="E918" s="132"/>
      <c r="F918" s="131"/>
      <c r="G918" s="361"/>
      <c r="H918" s="363"/>
      <c r="I918" s="364"/>
      <c r="J918" s="361"/>
      <c r="K918" s="361"/>
      <c r="L918" s="361"/>
      <c r="M918" s="361"/>
      <c r="N918" s="361"/>
      <c r="O918" s="361"/>
      <c r="P918" s="361"/>
      <c r="Q918" s="361"/>
      <c r="R918" s="361"/>
      <c r="S918" s="361"/>
      <c r="T918" s="361"/>
      <c r="U918" s="361"/>
      <c r="V918" s="361"/>
      <c r="W918" s="361"/>
      <c r="X918" s="365"/>
      <c r="Y918" s="361"/>
      <c r="Z918" s="361"/>
      <c r="AA918" s="116"/>
      <c r="AB918" s="116"/>
      <c r="AC918" s="116"/>
      <c r="AD918" s="116"/>
      <c r="AE918" s="365"/>
      <c r="AF918" s="116"/>
      <c r="AG918" s="116"/>
      <c r="AH918" s="116"/>
      <c r="AI918" s="116"/>
      <c r="AJ918" s="116"/>
      <c r="AK918" s="116"/>
      <c r="AL918" s="116"/>
    </row>
    <row r="919" ht="16.5" customHeight="1">
      <c r="A919" s="362"/>
      <c r="B919" s="362"/>
      <c r="C919" s="362"/>
      <c r="D919" s="362"/>
      <c r="E919" s="132"/>
      <c r="F919" s="131"/>
      <c r="G919" s="361"/>
      <c r="H919" s="363"/>
      <c r="I919" s="364"/>
      <c r="J919" s="361"/>
      <c r="K919" s="361"/>
      <c r="L919" s="361"/>
      <c r="M919" s="361"/>
      <c r="N919" s="361"/>
      <c r="O919" s="361"/>
      <c r="P919" s="361"/>
      <c r="Q919" s="361"/>
      <c r="R919" s="361"/>
      <c r="S919" s="361"/>
      <c r="T919" s="361"/>
      <c r="U919" s="361"/>
      <c r="V919" s="361"/>
      <c r="W919" s="361"/>
      <c r="X919" s="365"/>
      <c r="Y919" s="361"/>
      <c r="Z919" s="361"/>
      <c r="AA919" s="116"/>
      <c r="AB919" s="116"/>
      <c r="AC919" s="116"/>
      <c r="AD919" s="116"/>
      <c r="AE919" s="365"/>
      <c r="AF919" s="116"/>
      <c r="AG919" s="116"/>
      <c r="AH919" s="116"/>
      <c r="AI919" s="116"/>
      <c r="AJ919" s="116"/>
      <c r="AK919" s="116"/>
      <c r="AL919" s="116"/>
    </row>
    <row r="920" ht="16.5" customHeight="1">
      <c r="A920" s="362"/>
      <c r="B920" s="362"/>
      <c r="C920" s="362"/>
      <c r="D920" s="362"/>
      <c r="E920" s="132"/>
      <c r="F920" s="131"/>
      <c r="G920" s="361"/>
      <c r="H920" s="363"/>
      <c r="I920" s="364"/>
      <c r="J920" s="361"/>
      <c r="K920" s="361"/>
      <c r="L920" s="361"/>
      <c r="M920" s="361"/>
      <c r="N920" s="361"/>
      <c r="O920" s="361"/>
      <c r="P920" s="361"/>
      <c r="Q920" s="361"/>
      <c r="R920" s="361"/>
      <c r="S920" s="361"/>
      <c r="T920" s="361"/>
      <c r="U920" s="361"/>
      <c r="V920" s="361"/>
      <c r="W920" s="361"/>
      <c r="X920" s="365"/>
      <c r="Y920" s="361"/>
      <c r="Z920" s="361"/>
      <c r="AA920" s="116"/>
      <c r="AB920" s="116"/>
      <c r="AC920" s="116"/>
      <c r="AD920" s="116"/>
      <c r="AE920" s="365"/>
      <c r="AF920" s="116"/>
      <c r="AG920" s="116"/>
      <c r="AH920" s="116"/>
      <c r="AI920" s="116"/>
      <c r="AJ920" s="116"/>
      <c r="AK920" s="116"/>
      <c r="AL920" s="116"/>
    </row>
    <row r="921" ht="16.5" customHeight="1">
      <c r="A921" s="362"/>
      <c r="B921" s="362"/>
      <c r="C921" s="362"/>
      <c r="D921" s="362"/>
      <c r="E921" s="132"/>
      <c r="F921" s="131"/>
      <c r="G921" s="361"/>
      <c r="H921" s="363"/>
      <c r="I921" s="364"/>
      <c r="J921" s="361"/>
      <c r="K921" s="361"/>
      <c r="L921" s="361"/>
      <c r="M921" s="361"/>
      <c r="N921" s="361"/>
      <c r="O921" s="361"/>
      <c r="P921" s="361"/>
      <c r="Q921" s="361"/>
      <c r="R921" s="361"/>
      <c r="S921" s="361"/>
      <c r="T921" s="361"/>
      <c r="U921" s="361"/>
      <c r="V921" s="361"/>
      <c r="W921" s="361"/>
      <c r="X921" s="365"/>
      <c r="Y921" s="361"/>
      <c r="Z921" s="361"/>
      <c r="AA921" s="116"/>
      <c r="AB921" s="116"/>
      <c r="AC921" s="116"/>
      <c r="AD921" s="116"/>
      <c r="AE921" s="365"/>
      <c r="AF921" s="116"/>
      <c r="AG921" s="116"/>
      <c r="AH921" s="116"/>
      <c r="AI921" s="116"/>
      <c r="AJ921" s="116"/>
      <c r="AK921" s="116"/>
      <c r="AL921" s="116"/>
    </row>
    <row r="922" ht="16.5" customHeight="1">
      <c r="A922" s="362"/>
      <c r="B922" s="362"/>
      <c r="C922" s="362"/>
      <c r="D922" s="362"/>
      <c r="E922" s="132"/>
      <c r="F922" s="131"/>
      <c r="G922" s="361"/>
      <c r="H922" s="363"/>
      <c r="I922" s="364"/>
      <c r="J922" s="361"/>
      <c r="K922" s="361"/>
      <c r="L922" s="361"/>
      <c r="M922" s="361"/>
      <c r="N922" s="361"/>
      <c r="O922" s="361"/>
      <c r="P922" s="361"/>
      <c r="Q922" s="361"/>
      <c r="R922" s="361"/>
      <c r="S922" s="361"/>
      <c r="T922" s="361"/>
      <c r="U922" s="361"/>
      <c r="V922" s="361"/>
      <c r="W922" s="361"/>
      <c r="X922" s="365"/>
      <c r="Y922" s="361"/>
      <c r="Z922" s="361"/>
      <c r="AA922" s="116"/>
      <c r="AB922" s="116"/>
      <c r="AC922" s="116"/>
      <c r="AD922" s="116"/>
      <c r="AE922" s="365"/>
      <c r="AF922" s="116"/>
      <c r="AG922" s="116"/>
      <c r="AH922" s="116"/>
      <c r="AI922" s="116"/>
      <c r="AJ922" s="116"/>
      <c r="AK922" s="116"/>
      <c r="AL922" s="116"/>
    </row>
    <row r="923" ht="16.5" customHeight="1">
      <c r="A923" s="362"/>
      <c r="B923" s="362"/>
      <c r="C923" s="362"/>
      <c r="D923" s="362"/>
      <c r="E923" s="132"/>
      <c r="F923" s="131"/>
      <c r="G923" s="361"/>
      <c r="H923" s="363"/>
      <c r="I923" s="364"/>
      <c r="J923" s="361"/>
      <c r="K923" s="361"/>
      <c r="L923" s="361"/>
      <c r="M923" s="361"/>
      <c r="N923" s="361"/>
      <c r="O923" s="361"/>
      <c r="P923" s="361"/>
      <c r="Q923" s="361"/>
      <c r="R923" s="361"/>
      <c r="S923" s="361"/>
      <c r="T923" s="361"/>
      <c r="U923" s="361"/>
      <c r="V923" s="361"/>
      <c r="W923" s="361"/>
      <c r="X923" s="365"/>
      <c r="Y923" s="361"/>
      <c r="Z923" s="361"/>
      <c r="AA923" s="116"/>
      <c r="AB923" s="116"/>
      <c r="AC923" s="116"/>
      <c r="AD923" s="116"/>
      <c r="AE923" s="365"/>
      <c r="AF923" s="116"/>
      <c r="AG923" s="116"/>
      <c r="AH923" s="116"/>
      <c r="AI923" s="116"/>
      <c r="AJ923" s="116"/>
      <c r="AK923" s="116"/>
      <c r="AL923" s="116"/>
    </row>
    <row r="924" ht="16.5" customHeight="1">
      <c r="A924" s="362"/>
      <c r="B924" s="362"/>
      <c r="C924" s="362"/>
      <c r="D924" s="362"/>
      <c r="E924" s="132"/>
      <c r="F924" s="131"/>
      <c r="G924" s="361"/>
      <c r="H924" s="363"/>
      <c r="I924" s="364"/>
      <c r="J924" s="361"/>
      <c r="K924" s="361"/>
      <c r="L924" s="361"/>
      <c r="M924" s="361"/>
      <c r="N924" s="361"/>
      <c r="O924" s="361"/>
      <c r="P924" s="361"/>
      <c r="Q924" s="361"/>
      <c r="R924" s="361"/>
      <c r="S924" s="361"/>
      <c r="T924" s="361"/>
      <c r="U924" s="361"/>
      <c r="V924" s="361"/>
      <c r="W924" s="361"/>
      <c r="X924" s="365"/>
      <c r="Y924" s="361"/>
      <c r="Z924" s="361"/>
      <c r="AA924" s="116"/>
      <c r="AB924" s="116"/>
      <c r="AC924" s="116"/>
      <c r="AD924" s="116"/>
      <c r="AE924" s="365"/>
      <c r="AF924" s="116"/>
      <c r="AG924" s="116"/>
      <c r="AH924" s="116"/>
      <c r="AI924" s="116"/>
      <c r="AJ924" s="116"/>
      <c r="AK924" s="116"/>
      <c r="AL924" s="116"/>
    </row>
    <row r="925" ht="16.5" customHeight="1">
      <c r="A925" s="362"/>
      <c r="B925" s="362"/>
      <c r="C925" s="362"/>
      <c r="D925" s="362"/>
      <c r="E925" s="132"/>
      <c r="F925" s="131"/>
      <c r="G925" s="361"/>
      <c r="H925" s="363"/>
      <c r="I925" s="364"/>
      <c r="J925" s="361"/>
      <c r="K925" s="361"/>
      <c r="L925" s="361"/>
      <c r="M925" s="361"/>
      <c r="N925" s="361"/>
      <c r="O925" s="361"/>
      <c r="P925" s="361"/>
      <c r="Q925" s="361"/>
      <c r="R925" s="361"/>
      <c r="S925" s="361"/>
      <c r="T925" s="361"/>
      <c r="U925" s="361"/>
      <c r="V925" s="361"/>
      <c r="W925" s="361"/>
      <c r="X925" s="365"/>
      <c r="Y925" s="361"/>
      <c r="Z925" s="361"/>
      <c r="AA925" s="116"/>
      <c r="AB925" s="116"/>
      <c r="AC925" s="116"/>
      <c r="AD925" s="116"/>
      <c r="AE925" s="365"/>
      <c r="AF925" s="116"/>
      <c r="AG925" s="116"/>
      <c r="AH925" s="116"/>
      <c r="AI925" s="116"/>
      <c r="AJ925" s="116"/>
      <c r="AK925" s="116"/>
      <c r="AL925" s="116"/>
    </row>
    <row r="926" ht="16.5" customHeight="1">
      <c r="A926" s="362"/>
      <c r="B926" s="362"/>
      <c r="C926" s="362"/>
      <c r="D926" s="362"/>
      <c r="E926" s="132"/>
      <c r="F926" s="131"/>
      <c r="G926" s="361"/>
      <c r="H926" s="363"/>
      <c r="I926" s="364"/>
      <c r="J926" s="361"/>
      <c r="K926" s="361"/>
      <c r="L926" s="361"/>
      <c r="M926" s="361"/>
      <c r="N926" s="361"/>
      <c r="O926" s="361"/>
      <c r="P926" s="361"/>
      <c r="Q926" s="361"/>
      <c r="R926" s="361"/>
      <c r="S926" s="361"/>
      <c r="T926" s="361"/>
      <c r="U926" s="361"/>
      <c r="V926" s="361"/>
      <c r="W926" s="361"/>
      <c r="X926" s="365"/>
      <c r="Y926" s="361"/>
      <c r="Z926" s="361"/>
      <c r="AA926" s="116"/>
      <c r="AB926" s="116"/>
      <c r="AC926" s="116"/>
      <c r="AD926" s="116"/>
      <c r="AE926" s="365"/>
      <c r="AF926" s="116"/>
      <c r="AG926" s="116"/>
      <c r="AH926" s="116"/>
      <c r="AI926" s="116"/>
      <c r="AJ926" s="116"/>
      <c r="AK926" s="116"/>
      <c r="AL926" s="116"/>
    </row>
    <row r="927" ht="16.5" customHeight="1">
      <c r="A927" s="362"/>
      <c r="B927" s="362"/>
      <c r="C927" s="362"/>
      <c r="D927" s="362"/>
      <c r="E927" s="132"/>
      <c r="F927" s="131"/>
      <c r="G927" s="361"/>
      <c r="H927" s="363"/>
      <c r="I927" s="364"/>
      <c r="J927" s="361"/>
      <c r="K927" s="361"/>
      <c r="L927" s="361"/>
      <c r="M927" s="361"/>
      <c r="N927" s="361"/>
      <c r="O927" s="361"/>
      <c r="P927" s="361"/>
      <c r="Q927" s="361"/>
      <c r="R927" s="361"/>
      <c r="S927" s="361"/>
      <c r="T927" s="361"/>
      <c r="U927" s="361"/>
      <c r="V927" s="361"/>
      <c r="W927" s="361"/>
      <c r="X927" s="365"/>
      <c r="Y927" s="361"/>
      <c r="Z927" s="361"/>
      <c r="AA927" s="116"/>
      <c r="AB927" s="116"/>
      <c r="AC927" s="116"/>
      <c r="AD927" s="116"/>
      <c r="AE927" s="365"/>
      <c r="AF927" s="116"/>
      <c r="AG927" s="116"/>
      <c r="AH927" s="116"/>
      <c r="AI927" s="116"/>
      <c r="AJ927" s="116"/>
      <c r="AK927" s="116"/>
      <c r="AL927" s="116"/>
    </row>
    <row r="928" ht="16.5" customHeight="1">
      <c r="A928" s="362"/>
      <c r="B928" s="362"/>
      <c r="C928" s="362"/>
      <c r="D928" s="362"/>
      <c r="E928" s="132"/>
      <c r="F928" s="131"/>
      <c r="G928" s="361"/>
      <c r="H928" s="363"/>
      <c r="I928" s="364"/>
      <c r="J928" s="361"/>
      <c r="K928" s="361"/>
      <c r="L928" s="361"/>
      <c r="M928" s="361"/>
      <c r="N928" s="361"/>
      <c r="O928" s="361"/>
      <c r="P928" s="361"/>
      <c r="Q928" s="361"/>
      <c r="R928" s="361"/>
      <c r="S928" s="361"/>
      <c r="T928" s="361"/>
      <c r="U928" s="361"/>
      <c r="V928" s="361"/>
      <c r="W928" s="361"/>
      <c r="X928" s="365"/>
      <c r="Y928" s="361"/>
      <c r="Z928" s="361"/>
      <c r="AA928" s="116"/>
      <c r="AB928" s="116"/>
      <c r="AC928" s="116"/>
      <c r="AD928" s="116"/>
      <c r="AE928" s="365"/>
      <c r="AF928" s="116"/>
      <c r="AG928" s="116"/>
      <c r="AH928" s="116"/>
      <c r="AI928" s="116"/>
      <c r="AJ928" s="116"/>
      <c r="AK928" s="116"/>
      <c r="AL928" s="116"/>
    </row>
    <row r="929" ht="16.5" customHeight="1">
      <c r="A929" s="362"/>
      <c r="B929" s="362"/>
      <c r="C929" s="362"/>
      <c r="D929" s="362"/>
      <c r="E929" s="132"/>
      <c r="F929" s="131"/>
      <c r="G929" s="361"/>
      <c r="H929" s="363"/>
      <c r="I929" s="364"/>
      <c r="J929" s="361"/>
      <c r="K929" s="361"/>
      <c r="L929" s="361"/>
      <c r="M929" s="361"/>
      <c r="N929" s="361"/>
      <c r="O929" s="361"/>
      <c r="P929" s="361"/>
      <c r="Q929" s="361"/>
      <c r="R929" s="361"/>
      <c r="S929" s="361"/>
      <c r="T929" s="361"/>
      <c r="U929" s="361"/>
      <c r="V929" s="361"/>
      <c r="W929" s="361"/>
      <c r="X929" s="365"/>
      <c r="Y929" s="361"/>
      <c r="Z929" s="361"/>
      <c r="AA929" s="116"/>
      <c r="AB929" s="116"/>
      <c r="AC929" s="116"/>
      <c r="AD929" s="116"/>
      <c r="AE929" s="365"/>
      <c r="AF929" s="116"/>
      <c r="AG929" s="116"/>
      <c r="AH929" s="116"/>
      <c r="AI929" s="116"/>
      <c r="AJ929" s="116"/>
      <c r="AK929" s="116"/>
      <c r="AL929" s="116"/>
    </row>
    <row r="930" ht="16.5" customHeight="1">
      <c r="A930" s="362"/>
      <c r="B930" s="362"/>
      <c r="C930" s="362"/>
      <c r="D930" s="362"/>
      <c r="E930" s="132"/>
      <c r="F930" s="131"/>
      <c r="G930" s="361"/>
      <c r="H930" s="363"/>
      <c r="I930" s="364"/>
      <c r="J930" s="361"/>
      <c r="K930" s="361"/>
      <c r="L930" s="361"/>
      <c r="M930" s="361"/>
      <c r="N930" s="361"/>
      <c r="O930" s="361"/>
      <c r="P930" s="361"/>
      <c r="Q930" s="361"/>
      <c r="R930" s="361"/>
      <c r="S930" s="361"/>
      <c r="T930" s="361"/>
      <c r="U930" s="361"/>
      <c r="V930" s="361"/>
      <c r="W930" s="361"/>
      <c r="X930" s="365"/>
      <c r="Y930" s="361"/>
      <c r="Z930" s="361"/>
      <c r="AA930" s="116"/>
      <c r="AB930" s="116"/>
      <c r="AC930" s="116"/>
      <c r="AD930" s="116"/>
      <c r="AE930" s="365"/>
      <c r="AF930" s="116"/>
      <c r="AG930" s="116"/>
      <c r="AH930" s="116"/>
      <c r="AI930" s="116"/>
      <c r="AJ930" s="116"/>
      <c r="AK930" s="116"/>
      <c r="AL930" s="116"/>
    </row>
    <row r="931" ht="16.5" customHeight="1">
      <c r="A931" s="362"/>
      <c r="B931" s="362"/>
      <c r="C931" s="362"/>
      <c r="D931" s="362"/>
      <c r="E931" s="132"/>
      <c r="F931" s="131"/>
      <c r="G931" s="361"/>
      <c r="H931" s="363"/>
      <c r="I931" s="364"/>
      <c r="J931" s="361"/>
      <c r="K931" s="361"/>
      <c r="L931" s="361"/>
      <c r="M931" s="361"/>
      <c r="N931" s="361"/>
      <c r="O931" s="361"/>
      <c r="P931" s="361"/>
      <c r="Q931" s="361"/>
      <c r="R931" s="361"/>
      <c r="S931" s="361"/>
      <c r="T931" s="361"/>
      <c r="U931" s="361"/>
      <c r="V931" s="361"/>
      <c r="W931" s="361"/>
      <c r="X931" s="365"/>
      <c r="Y931" s="361"/>
      <c r="Z931" s="361"/>
      <c r="AA931" s="116"/>
      <c r="AB931" s="116"/>
      <c r="AC931" s="116"/>
      <c r="AD931" s="116"/>
      <c r="AE931" s="365"/>
      <c r="AF931" s="116"/>
      <c r="AG931" s="116"/>
      <c r="AH931" s="116"/>
      <c r="AI931" s="116"/>
      <c r="AJ931" s="116"/>
      <c r="AK931" s="116"/>
      <c r="AL931" s="116"/>
    </row>
    <row r="932" ht="16.5" customHeight="1">
      <c r="A932" s="362"/>
      <c r="B932" s="362"/>
      <c r="C932" s="362"/>
      <c r="D932" s="362"/>
      <c r="E932" s="132"/>
      <c r="F932" s="131"/>
      <c r="G932" s="361"/>
      <c r="H932" s="363"/>
      <c r="I932" s="364"/>
      <c r="J932" s="361"/>
      <c r="K932" s="361"/>
      <c r="L932" s="361"/>
      <c r="M932" s="361"/>
      <c r="N932" s="361"/>
      <c r="O932" s="361"/>
      <c r="P932" s="361"/>
      <c r="Q932" s="361"/>
      <c r="R932" s="361"/>
      <c r="S932" s="361"/>
      <c r="T932" s="361"/>
      <c r="U932" s="361"/>
      <c r="V932" s="361"/>
      <c r="W932" s="361"/>
      <c r="X932" s="365"/>
      <c r="Y932" s="361"/>
      <c r="Z932" s="361"/>
      <c r="AA932" s="116"/>
      <c r="AB932" s="116"/>
      <c r="AC932" s="116"/>
      <c r="AD932" s="116"/>
      <c r="AE932" s="365"/>
      <c r="AF932" s="116"/>
      <c r="AG932" s="116"/>
      <c r="AH932" s="116"/>
      <c r="AI932" s="116"/>
      <c r="AJ932" s="116"/>
      <c r="AK932" s="116"/>
      <c r="AL932" s="116"/>
    </row>
    <row r="933" ht="16.5" customHeight="1">
      <c r="A933" s="362"/>
      <c r="B933" s="362"/>
      <c r="C933" s="362"/>
      <c r="D933" s="362"/>
      <c r="E933" s="132"/>
      <c r="F933" s="131"/>
      <c r="G933" s="361"/>
      <c r="H933" s="363"/>
      <c r="I933" s="364"/>
      <c r="J933" s="361"/>
      <c r="K933" s="361"/>
      <c r="L933" s="361"/>
      <c r="M933" s="361"/>
      <c r="N933" s="361"/>
      <c r="O933" s="361"/>
      <c r="P933" s="361"/>
      <c r="Q933" s="361"/>
      <c r="R933" s="361"/>
      <c r="S933" s="361"/>
      <c r="T933" s="361"/>
      <c r="U933" s="361"/>
      <c r="V933" s="361"/>
      <c r="W933" s="361"/>
      <c r="X933" s="365"/>
      <c r="Y933" s="361"/>
      <c r="Z933" s="361"/>
      <c r="AA933" s="116"/>
      <c r="AB933" s="116"/>
      <c r="AC933" s="116"/>
      <c r="AD933" s="116"/>
      <c r="AE933" s="365"/>
      <c r="AF933" s="116"/>
      <c r="AG933" s="116"/>
      <c r="AH933" s="116"/>
      <c r="AI933" s="116"/>
      <c r="AJ933" s="116"/>
      <c r="AK933" s="116"/>
      <c r="AL933" s="116"/>
    </row>
    <row r="934" ht="16.5" customHeight="1">
      <c r="A934" s="362"/>
      <c r="B934" s="362"/>
      <c r="C934" s="362"/>
      <c r="D934" s="362"/>
      <c r="E934" s="132"/>
      <c r="F934" s="131"/>
      <c r="G934" s="361"/>
      <c r="H934" s="363"/>
      <c r="I934" s="364"/>
      <c r="J934" s="361"/>
      <c r="K934" s="361"/>
      <c r="L934" s="361"/>
      <c r="M934" s="361"/>
      <c r="N934" s="361"/>
      <c r="O934" s="361"/>
      <c r="P934" s="361"/>
      <c r="Q934" s="361"/>
      <c r="R934" s="361"/>
      <c r="S934" s="361"/>
      <c r="T934" s="361"/>
      <c r="U934" s="361"/>
      <c r="V934" s="361"/>
      <c r="W934" s="361"/>
      <c r="X934" s="365"/>
      <c r="Y934" s="361"/>
      <c r="Z934" s="361"/>
      <c r="AA934" s="116"/>
      <c r="AB934" s="116"/>
      <c r="AC934" s="116"/>
      <c r="AD934" s="116"/>
      <c r="AE934" s="365"/>
      <c r="AF934" s="116"/>
      <c r="AG934" s="116"/>
      <c r="AH934" s="116"/>
      <c r="AI934" s="116"/>
      <c r="AJ934" s="116"/>
      <c r="AK934" s="116"/>
      <c r="AL934" s="116"/>
    </row>
    <row r="935" ht="16.5" customHeight="1">
      <c r="A935" s="362"/>
      <c r="B935" s="362"/>
      <c r="C935" s="362"/>
      <c r="D935" s="362"/>
      <c r="E935" s="132"/>
      <c r="F935" s="131"/>
      <c r="G935" s="361"/>
      <c r="H935" s="363"/>
      <c r="I935" s="364"/>
      <c r="J935" s="361"/>
      <c r="K935" s="361"/>
      <c r="L935" s="361"/>
      <c r="M935" s="361"/>
      <c r="N935" s="361"/>
      <c r="O935" s="361"/>
      <c r="P935" s="361"/>
      <c r="Q935" s="361"/>
      <c r="R935" s="361"/>
      <c r="S935" s="361"/>
      <c r="T935" s="361"/>
      <c r="U935" s="361"/>
      <c r="V935" s="361"/>
      <c r="W935" s="361"/>
      <c r="X935" s="365"/>
      <c r="Y935" s="361"/>
      <c r="Z935" s="361"/>
      <c r="AA935" s="116"/>
      <c r="AB935" s="116"/>
      <c r="AC935" s="116"/>
      <c r="AD935" s="116"/>
      <c r="AE935" s="365"/>
      <c r="AF935" s="116"/>
      <c r="AG935" s="116"/>
      <c r="AH935" s="116"/>
      <c r="AI935" s="116"/>
      <c r="AJ935" s="116"/>
      <c r="AK935" s="116"/>
      <c r="AL935" s="116"/>
    </row>
    <row r="936" ht="16.5" customHeight="1">
      <c r="A936" s="362"/>
      <c r="B936" s="362"/>
      <c r="C936" s="362"/>
      <c r="D936" s="362"/>
      <c r="E936" s="132"/>
      <c r="F936" s="131"/>
      <c r="G936" s="361"/>
      <c r="H936" s="363"/>
      <c r="I936" s="364"/>
      <c r="J936" s="361"/>
      <c r="K936" s="361"/>
      <c r="L936" s="361"/>
      <c r="M936" s="361"/>
      <c r="N936" s="361"/>
      <c r="O936" s="361"/>
      <c r="P936" s="361"/>
      <c r="Q936" s="361"/>
      <c r="R936" s="361"/>
      <c r="S936" s="361"/>
      <c r="T936" s="361"/>
      <c r="U936" s="361"/>
      <c r="V936" s="361"/>
      <c r="W936" s="361"/>
      <c r="X936" s="365"/>
      <c r="Y936" s="361"/>
      <c r="Z936" s="361"/>
      <c r="AA936" s="116"/>
      <c r="AB936" s="116"/>
      <c r="AC936" s="116"/>
      <c r="AD936" s="116"/>
      <c r="AE936" s="365"/>
      <c r="AF936" s="116"/>
      <c r="AG936" s="116"/>
      <c r="AH936" s="116"/>
      <c r="AI936" s="116"/>
      <c r="AJ936" s="116"/>
      <c r="AK936" s="116"/>
      <c r="AL936" s="116"/>
    </row>
    <row r="937" ht="16.5" customHeight="1">
      <c r="A937" s="362"/>
      <c r="B937" s="362"/>
      <c r="C937" s="362"/>
      <c r="D937" s="362"/>
      <c r="E937" s="132"/>
      <c r="F937" s="131"/>
      <c r="G937" s="361"/>
      <c r="H937" s="363"/>
      <c r="I937" s="364"/>
      <c r="J937" s="361"/>
      <c r="K937" s="361"/>
      <c r="L937" s="361"/>
      <c r="M937" s="361"/>
      <c r="N937" s="361"/>
      <c r="O937" s="361"/>
      <c r="P937" s="361"/>
      <c r="Q937" s="361"/>
      <c r="R937" s="361"/>
      <c r="S937" s="361"/>
      <c r="T937" s="361"/>
      <c r="U937" s="361"/>
      <c r="V937" s="361"/>
      <c r="W937" s="361"/>
      <c r="X937" s="365"/>
      <c r="Y937" s="361"/>
      <c r="Z937" s="361"/>
      <c r="AA937" s="116"/>
      <c r="AB937" s="116"/>
      <c r="AC937" s="116"/>
      <c r="AD937" s="116"/>
      <c r="AE937" s="365"/>
      <c r="AF937" s="116"/>
      <c r="AG937" s="116"/>
      <c r="AH937" s="116"/>
      <c r="AI937" s="116"/>
      <c r="AJ937" s="116"/>
      <c r="AK937" s="116"/>
      <c r="AL937" s="116"/>
    </row>
    <row r="938" ht="16.5" customHeight="1">
      <c r="A938" s="362"/>
      <c r="B938" s="362"/>
      <c r="C938" s="362"/>
      <c r="D938" s="362"/>
      <c r="E938" s="132"/>
      <c r="F938" s="131"/>
      <c r="G938" s="361"/>
      <c r="H938" s="363"/>
      <c r="I938" s="364"/>
      <c r="J938" s="361"/>
      <c r="K938" s="361"/>
      <c r="L938" s="361"/>
      <c r="M938" s="361"/>
      <c r="N938" s="361"/>
      <c r="O938" s="361"/>
      <c r="P938" s="361"/>
      <c r="Q938" s="361"/>
      <c r="R938" s="361"/>
      <c r="S938" s="361"/>
      <c r="T938" s="361"/>
      <c r="U938" s="361"/>
      <c r="V938" s="361"/>
      <c r="W938" s="361"/>
      <c r="X938" s="365"/>
      <c r="Y938" s="361"/>
      <c r="Z938" s="361"/>
      <c r="AA938" s="116"/>
      <c r="AB938" s="116"/>
      <c r="AC938" s="116"/>
      <c r="AD938" s="116"/>
      <c r="AE938" s="365"/>
      <c r="AF938" s="116"/>
      <c r="AG938" s="116"/>
      <c r="AH938" s="116"/>
      <c r="AI938" s="116"/>
      <c r="AJ938" s="116"/>
      <c r="AK938" s="116"/>
      <c r="AL938" s="116"/>
    </row>
    <row r="939" ht="16.5" customHeight="1">
      <c r="A939" s="362"/>
      <c r="B939" s="362"/>
      <c r="C939" s="362"/>
      <c r="D939" s="362"/>
      <c r="E939" s="132"/>
      <c r="F939" s="131"/>
      <c r="G939" s="361"/>
      <c r="H939" s="363"/>
      <c r="I939" s="364"/>
      <c r="J939" s="361"/>
      <c r="K939" s="361"/>
      <c r="L939" s="361"/>
      <c r="M939" s="361"/>
      <c r="N939" s="361"/>
      <c r="O939" s="361"/>
      <c r="P939" s="361"/>
      <c r="Q939" s="361"/>
      <c r="R939" s="361"/>
      <c r="S939" s="361"/>
      <c r="T939" s="361"/>
      <c r="U939" s="361"/>
      <c r="V939" s="361"/>
      <c r="W939" s="361"/>
      <c r="X939" s="365"/>
      <c r="Y939" s="361"/>
      <c r="Z939" s="361"/>
      <c r="AA939" s="116"/>
      <c r="AB939" s="116"/>
      <c r="AC939" s="116"/>
      <c r="AD939" s="116"/>
      <c r="AE939" s="365"/>
      <c r="AF939" s="116"/>
      <c r="AG939" s="116"/>
      <c r="AH939" s="116"/>
      <c r="AI939" s="116"/>
      <c r="AJ939" s="116"/>
      <c r="AK939" s="116"/>
      <c r="AL939" s="116"/>
    </row>
    <row r="940" ht="16.5" customHeight="1">
      <c r="A940" s="362"/>
      <c r="B940" s="362"/>
      <c r="C940" s="362"/>
      <c r="D940" s="362"/>
      <c r="E940" s="132"/>
      <c r="F940" s="131"/>
      <c r="G940" s="361"/>
      <c r="H940" s="363"/>
      <c r="I940" s="364"/>
      <c r="J940" s="361"/>
      <c r="K940" s="361"/>
      <c r="L940" s="361"/>
      <c r="M940" s="361"/>
      <c r="N940" s="361"/>
      <c r="O940" s="361"/>
      <c r="P940" s="361"/>
      <c r="Q940" s="361"/>
      <c r="R940" s="361"/>
      <c r="S940" s="361"/>
      <c r="T940" s="361"/>
      <c r="U940" s="361"/>
      <c r="V940" s="361"/>
      <c r="W940" s="361"/>
      <c r="X940" s="365"/>
      <c r="Y940" s="361"/>
      <c r="Z940" s="361"/>
      <c r="AA940" s="116"/>
      <c r="AB940" s="116"/>
      <c r="AC940" s="116"/>
      <c r="AD940" s="116"/>
      <c r="AE940" s="365"/>
      <c r="AF940" s="116"/>
      <c r="AG940" s="116"/>
      <c r="AH940" s="116"/>
      <c r="AI940" s="116"/>
      <c r="AJ940" s="116"/>
      <c r="AK940" s="116"/>
      <c r="AL940" s="116"/>
    </row>
    <row r="941" ht="16.5" customHeight="1">
      <c r="A941" s="362"/>
      <c r="B941" s="362"/>
      <c r="C941" s="362"/>
      <c r="D941" s="362"/>
      <c r="E941" s="132"/>
      <c r="F941" s="131"/>
      <c r="G941" s="361"/>
      <c r="H941" s="363"/>
      <c r="I941" s="364"/>
      <c r="J941" s="361"/>
      <c r="K941" s="361"/>
      <c r="L941" s="361"/>
      <c r="M941" s="361"/>
      <c r="N941" s="361"/>
      <c r="O941" s="361"/>
      <c r="P941" s="361"/>
      <c r="Q941" s="361"/>
      <c r="R941" s="361"/>
      <c r="S941" s="361"/>
      <c r="T941" s="361"/>
      <c r="U941" s="361"/>
      <c r="V941" s="361"/>
      <c r="W941" s="361"/>
      <c r="X941" s="365"/>
      <c r="Y941" s="361"/>
      <c r="Z941" s="361"/>
      <c r="AA941" s="116"/>
      <c r="AB941" s="116"/>
      <c r="AC941" s="116"/>
      <c r="AD941" s="116"/>
      <c r="AE941" s="365"/>
      <c r="AF941" s="116"/>
      <c r="AG941" s="116"/>
      <c r="AH941" s="116"/>
      <c r="AI941" s="116"/>
      <c r="AJ941" s="116"/>
      <c r="AK941" s="116"/>
      <c r="AL941" s="116"/>
    </row>
    <row r="942" ht="16.5" customHeight="1">
      <c r="A942" s="362"/>
      <c r="B942" s="362"/>
      <c r="C942" s="362"/>
      <c r="D942" s="362"/>
      <c r="E942" s="132"/>
      <c r="F942" s="131"/>
      <c r="G942" s="361"/>
      <c r="H942" s="363"/>
      <c r="I942" s="364"/>
      <c r="J942" s="361"/>
      <c r="K942" s="361"/>
      <c r="L942" s="361"/>
      <c r="M942" s="361"/>
      <c r="N942" s="361"/>
      <c r="O942" s="361"/>
      <c r="P942" s="361"/>
      <c r="Q942" s="361"/>
      <c r="R942" s="361"/>
      <c r="S942" s="361"/>
      <c r="T942" s="361"/>
      <c r="U942" s="361"/>
      <c r="V942" s="361"/>
      <c r="W942" s="361"/>
      <c r="X942" s="365"/>
      <c r="Y942" s="361"/>
      <c r="Z942" s="361"/>
      <c r="AA942" s="116"/>
      <c r="AB942" s="116"/>
      <c r="AC942" s="116"/>
      <c r="AD942" s="116"/>
      <c r="AE942" s="365"/>
      <c r="AF942" s="116"/>
      <c r="AG942" s="116"/>
      <c r="AH942" s="116"/>
      <c r="AI942" s="116"/>
      <c r="AJ942" s="116"/>
      <c r="AK942" s="116"/>
      <c r="AL942" s="116"/>
    </row>
    <row r="943" ht="16.5" customHeight="1">
      <c r="A943" s="362"/>
      <c r="B943" s="362"/>
      <c r="C943" s="362"/>
      <c r="D943" s="362"/>
      <c r="E943" s="132"/>
      <c r="F943" s="131"/>
      <c r="G943" s="361"/>
      <c r="H943" s="363"/>
      <c r="I943" s="364"/>
      <c r="J943" s="361"/>
      <c r="K943" s="361"/>
      <c r="L943" s="361"/>
      <c r="M943" s="361"/>
      <c r="N943" s="361"/>
      <c r="O943" s="361"/>
      <c r="P943" s="361"/>
      <c r="Q943" s="361"/>
      <c r="R943" s="361"/>
      <c r="S943" s="361"/>
      <c r="T943" s="361"/>
      <c r="U943" s="361"/>
      <c r="V943" s="361"/>
      <c r="W943" s="361"/>
      <c r="X943" s="365"/>
      <c r="Y943" s="361"/>
      <c r="Z943" s="361"/>
      <c r="AA943" s="116"/>
      <c r="AB943" s="116"/>
      <c r="AC943" s="116"/>
      <c r="AD943" s="116"/>
      <c r="AE943" s="365"/>
      <c r="AF943" s="116"/>
      <c r="AG943" s="116"/>
      <c r="AH943" s="116"/>
      <c r="AI943" s="116"/>
      <c r="AJ943" s="116"/>
      <c r="AK943" s="116"/>
      <c r="AL943" s="116"/>
    </row>
    <row r="944" ht="16.5" customHeight="1">
      <c r="A944" s="362"/>
      <c r="B944" s="362"/>
      <c r="C944" s="362"/>
      <c r="D944" s="362"/>
      <c r="E944" s="132"/>
      <c r="F944" s="131"/>
      <c r="G944" s="361"/>
      <c r="H944" s="363"/>
      <c r="I944" s="364"/>
      <c r="J944" s="361"/>
      <c r="K944" s="361"/>
      <c r="L944" s="361"/>
      <c r="M944" s="361"/>
      <c r="N944" s="361"/>
      <c r="O944" s="361"/>
      <c r="P944" s="361"/>
      <c r="Q944" s="361"/>
      <c r="R944" s="361"/>
      <c r="S944" s="361"/>
      <c r="T944" s="361"/>
      <c r="U944" s="361"/>
      <c r="V944" s="361"/>
      <c r="W944" s="361"/>
      <c r="X944" s="365"/>
      <c r="Y944" s="361"/>
      <c r="Z944" s="361"/>
      <c r="AA944" s="116"/>
      <c r="AB944" s="116"/>
      <c r="AC944" s="116"/>
      <c r="AD944" s="116"/>
      <c r="AE944" s="365"/>
      <c r="AF944" s="116"/>
      <c r="AG944" s="116"/>
      <c r="AH944" s="116"/>
      <c r="AI944" s="116"/>
      <c r="AJ944" s="116"/>
      <c r="AK944" s="116"/>
      <c r="AL944" s="116"/>
    </row>
    <row r="945" ht="16.5" customHeight="1">
      <c r="A945" s="362"/>
      <c r="B945" s="362"/>
      <c r="C945" s="362"/>
      <c r="D945" s="362"/>
      <c r="E945" s="132"/>
      <c r="F945" s="131"/>
      <c r="G945" s="361"/>
      <c r="H945" s="363"/>
      <c r="I945" s="364"/>
      <c r="J945" s="361"/>
      <c r="K945" s="361"/>
      <c r="L945" s="361"/>
      <c r="M945" s="361"/>
      <c r="N945" s="361"/>
      <c r="O945" s="361"/>
      <c r="P945" s="361"/>
      <c r="Q945" s="361"/>
      <c r="R945" s="361"/>
      <c r="S945" s="361"/>
      <c r="T945" s="361"/>
      <c r="U945" s="361"/>
      <c r="V945" s="361"/>
      <c r="W945" s="361"/>
      <c r="X945" s="365"/>
      <c r="Y945" s="361"/>
      <c r="Z945" s="361"/>
      <c r="AA945" s="116"/>
      <c r="AB945" s="116"/>
      <c r="AC945" s="116"/>
      <c r="AD945" s="116"/>
      <c r="AE945" s="365"/>
      <c r="AF945" s="116"/>
      <c r="AG945" s="116"/>
      <c r="AH945" s="116"/>
      <c r="AI945" s="116"/>
      <c r="AJ945" s="116"/>
      <c r="AK945" s="116"/>
      <c r="AL945" s="116"/>
    </row>
    <row r="946" ht="16.5" customHeight="1">
      <c r="A946" s="362"/>
      <c r="B946" s="362"/>
      <c r="C946" s="362"/>
      <c r="D946" s="362"/>
      <c r="E946" s="132"/>
      <c r="F946" s="131"/>
      <c r="G946" s="361"/>
      <c r="H946" s="363"/>
      <c r="I946" s="364"/>
      <c r="J946" s="361"/>
      <c r="K946" s="361"/>
      <c r="L946" s="361"/>
      <c r="M946" s="361"/>
      <c r="N946" s="361"/>
      <c r="O946" s="361"/>
      <c r="P946" s="361"/>
      <c r="Q946" s="361"/>
      <c r="R946" s="361"/>
      <c r="S946" s="361"/>
      <c r="T946" s="361"/>
      <c r="U946" s="361"/>
      <c r="V946" s="361"/>
      <c r="W946" s="361"/>
      <c r="X946" s="365"/>
      <c r="Y946" s="361"/>
      <c r="Z946" s="361"/>
      <c r="AA946" s="116"/>
      <c r="AB946" s="116"/>
      <c r="AC946" s="116"/>
      <c r="AD946" s="116"/>
      <c r="AE946" s="365"/>
      <c r="AF946" s="116"/>
      <c r="AG946" s="116"/>
      <c r="AH946" s="116"/>
      <c r="AI946" s="116"/>
      <c r="AJ946" s="116"/>
      <c r="AK946" s="116"/>
      <c r="AL946" s="116"/>
    </row>
    <row r="947" ht="16.5" customHeight="1">
      <c r="A947" s="362"/>
      <c r="B947" s="362"/>
      <c r="C947" s="362"/>
      <c r="D947" s="362"/>
      <c r="E947" s="132"/>
      <c r="F947" s="131"/>
      <c r="G947" s="361"/>
      <c r="H947" s="363"/>
      <c r="I947" s="364"/>
      <c r="J947" s="361"/>
      <c r="K947" s="361"/>
      <c r="L947" s="361"/>
      <c r="M947" s="361"/>
      <c r="N947" s="361"/>
      <c r="O947" s="361"/>
      <c r="P947" s="361"/>
      <c r="Q947" s="361"/>
      <c r="R947" s="361"/>
      <c r="S947" s="361"/>
      <c r="T947" s="361"/>
      <c r="U947" s="361"/>
      <c r="V947" s="361"/>
      <c r="W947" s="361"/>
      <c r="X947" s="365"/>
      <c r="Y947" s="361"/>
      <c r="Z947" s="361"/>
      <c r="AA947" s="116"/>
      <c r="AB947" s="116"/>
      <c r="AC947" s="116"/>
      <c r="AD947" s="116"/>
      <c r="AE947" s="365"/>
      <c r="AF947" s="116"/>
      <c r="AG947" s="116"/>
      <c r="AH947" s="116"/>
      <c r="AI947" s="116"/>
      <c r="AJ947" s="116"/>
      <c r="AK947" s="116"/>
      <c r="AL947" s="116"/>
    </row>
    <row r="948" ht="16.5" customHeight="1">
      <c r="A948" s="362"/>
      <c r="B948" s="362"/>
      <c r="C948" s="362"/>
      <c r="D948" s="362"/>
      <c r="E948" s="132"/>
      <c r="F948" s="131"/>
      <c r="G948" s="361"/>
      <c r="H948" s="363"/>
      <c r="I948" s="364"/>
      <c r="J948" s="361"/>
      <c r="K948" s="361"/>
      <c r="L948" s="361"/>
      <c r="M948" s="361"/>
      <c r="N948" s="361"/>
      <c r="O948" s="361"/>
      <c r="P948" s="361"/>
      <c r="Q948" s="361"/>
      <c r="R948" s="361"/>
      <c r="S948" s="361"/>
      <c r="T948" s="361"/>
      <c r="U948" s="361"/>
      <c r="V948" s="361"/>
      <c r="W948" s="361"/>
      <c r="X948" s="365"/>
      <c r="Y948" s="361"/>
      <c r="Z948" s="361"/>
      <c r="AA948" s="116"/>
      <c r="AB948" s="116"/>
      <c r="AC948" s="116"/>
      <c r="AD948" s="116"/>
      <c r="AE948" s="365"/>
      <c r="AF948" s="116"/>
      <c r="AG948" s="116"/>
      <c r="AH948" s="116"/>
      <c r="AI948" s="116"/>
      <c r="AJ948" s="116"/>
      <c r="AK948" s="116"/>
      <c r="AL948" s="116"/>
    </row>
    <row r="949" ht="16.5" customHeight="1">
      <c r="A949" s="362"/>
      <c r="B949" s="362"/>
      <c r="C949" s="362"/>
      <c r="D949" s="362"/>
      <c r="E949" s="132"/>
      <c r="F949" s="131"/>
      <c r="G949" s="361"/>
      <c r="H949" s="363"/>
      <c r="I949" s="364"/>
      <c r="J949" s="361"/>
      <c r="K949" s="361"/>
      <c r="L949" s="361"/>
      <c r="M949" s="361"/>
      <c r="N949" s="361"/>
      <c r="O949" s="361"/>
      <c r="P949" s="361"/>
      <c r="Q949" s="361"/>
      <c r="R949" s="361"/>
      <c r="S949" s="361"/>
      <c r="T949" s="361"/>
      <c r="U949" s="361"/>
      <c r="V949" s="361"/>
      <c r="W949" s="361"/>
      <c r="X949" s="365"/>
      <c r="Y949" s="361"/>
      <c r="Z949" s="361"/>
      <c r="AA949" s="116"/>
      <c r="AB949" s="116"/>
      <c r="AC949" s="116"/>
      <c r="AD949" s="116"/>
      <c r="AE949" s="365"/>
      <c r="AF949" s="116"/>
      <c r="AG949" s="116"/>
      <c r="AH949" s="116"/>
      <c r="AI949" s="116"/>
      <c r="AJ949" s="116"/>
      <c r="AK949" s="116"/>
      <c r="AL949" s="116"/>
    </row>
    <row r="950" ht="16.5" customHeight="1">
      <c r="A950" s="362"/>
      <c r="B950" s="362"/>
      <c r="C950" s="362"/>
      <c r="D950" s="362"/>
      <c r="E950" s="132"/>
      <c r="F950" s="131"/>
      <c r="G950" s="361"/>
      <c r="H950" s="363"/>
      <c r="I950" s="364"/>
      <c r="J950" s="361"/>
      <c r="K950" s="361"/>
      <c r="L950" s="361"/>
      <c r="M950" s="361"/>
      <c r="N950" s="361"/>
      <c r="O950" s="361"/>
      <c r="P950" s="361"/>
      <c r="Q950" s="361"/>
      <c r="R950" s="361"/>
      <c r="S950" s="361"/>
      <c r="T950" s="361"/>
      <c r="U950" s="361"/>
      <c r="V950" s="361"/>
      <c r="W950" s="361"/>
      <c r="X950" s="365"/>
      <c r="Y950" s="361"/>
      <c r="Z950" s="361"/>
      <c r="AA950" s="116"/>
      <c r="AB950" s="116"/>
      <c r="AC950" s="116"/>
      <c r="AD950" s="116"/>
      <c r="AE950" s="365"/>
      <c r="AF950" s="116"/>
      <c r="AG950" s="116"/>
      <c r="AH950" s="116"/>
      <c r="AI950" s="116"/>
      <c r="AJ950" s="116"/>
      <c r="AK950" s="116"/>
      <c r="AL950" s="116"/>
    </row>
    <row r="951" ht="16.5" customHeight="1">
      <c r="A951" s="362"/>
      <c r="B951" s="362"/>
      <c r="C951" s="362"/>
      <c r="D951" s="362"/>
      <c r="E951" s="132"/>
      <c r="F951" s="131"/>
      <c r="G951" s="361"/>
      <c r="H951" s="363"/>
      <c r="I951" s="364"/>
      <c r="J951" s="361"/>
      <c r="K951" s="361"/>
      <c r="L951" s="361"/>
      <c r="M951" s="361"/>
      <c r="N951" s="361"/>
      <c r="O951" s="361"/>
      <c r="P951" s="361"/>
      <c r="Q951" s="361"/>
      <c r="R951" s="361"/>
      <c r="S951" s="361"/>
      <c r="T951" s="361"/>
      <c r="U951" s="361"/>
      <c r="V951" s="361"/>
      <c r="W951" s="361"/>
      <c r="X951" s="365"/>
      <c r="Y951" s="361"/>
      <c r="Z951" s="361"/>
      <c r="AA951" s="116"/>
      <c r="AB951" s="116"/>
      <c r="AC951" s="116"/>
      <c r="AD951" s="116"/>
      <c r="AE951" s="365"/>
      <c r="AF951" s="116"/>
      <c r="AG951" s="116"/>
      <c r="AH951" s="116"/>
      <c r="AI951" s="116"/>
      <c r="AJ951" s="116"/>
      <c r="AK951" s="116"/>
      <c r="AL951" s="116"/>
    </row>
    <row r="952" ht="16.5" customHeight="1">
      <c r="A952" s="362"/>
      <c r="B952" s="362"/>
      <c r="C952" s="362"/>
      <c r="D952" s="362"/>
      <c r="E952" s="132"/>
      <c r="F952" s="131"/>
      <c r="G952" s="361"/>
      <c r="H952" s="363"/>
      <c r="I952" s="364"/>
      <c r="J952" s="361"/>
      <c r="K952" s="361"/>
      <c r="L952" s="361"/>
      <c r="M952" s="361"/>
      <c r="N952" s="361"/>
      <c r="O952" s="361"/>
      <c r="P952" s="361"/>
      <c r="Q952" s="361"/>
      <c r="R952" s="361"/>
      <c r="S952" s="361"/>
      <c r="T952" s="361"/>
      <c r="U952" s="361"/>
      <c r="V952" s="361"/>
      <c r="W952" s="361"/>
      <c r="X952" s="365"/>
      <c r="Y952" s="361"/>
      <c r="Z952" s="361"/>
      <c r="AA952" s="116"/>
      <c r="AB952" s="116"/>
      <c r="AC952" s="116"/>
      <c r="AD952" s="116"/>
      <c r="AE952" s="365"/>
      <c r="AF952" s="116"/>
      <c r="AG952" s="116"/>
      <c r="AH952" s="116"/>
      <c r="AI952" s="116"/>
      <c r="AJ952" s="116"/>
      <c r="AK952" s="116"/>
      <c r="AL952" s="116"/>
    </row>
    <row r="953" ht="16.5" customHeight="1">
      <c r="A953" s="362"/>
      <c r="B953" s="362"/>
      <c r="C953" s="362"/>
      <c r="D953" s="362"/>
      <c r="E953" s="132"/>
      <c r="F953" s="131"/>
      <c r="G953" s="361"/>
      <c r="H953" s="363"/>
      <c r="I953" s="364"/>
      <c r="J953" s="361"/>
      <c r="K953" s="361"/>
      <c r="L953" s="361"/>
      <c r="M953" s="361"/>
      <c r="N953" s="361"/>
      <c r="O953" s="361"/>
      <c r="P953" s="361"/>
      <c r="Q953" s="361"/>
      <c r="R953" s="361"/>
      <c r="S953" s="361"/>
      <c r="T953" s="361"/>
      <c r="U953" s="361"/>
      <c r="V953" s="361"/>
      <c r="W953" s="361"/>
      <c r="X953" s="365"/>
      <c r="Y953" s="361"/>
      <c r="Z953" s="361"/>
      <c r="AA953" s="116"/>
      <c r="AB953" s="116"/>
      <c r="AC953" s="116"/>
      <c r="AD953" s="116"/>
      <c r="AE953" s="365"/>
      <c r="AF953" s="116"/>
      <c r="AG953" s="116"/>
      <c r="AH953" s="116"/>
      <c r="AI953" s="116"/>
      <c r="AJ953" s="116"/>
      <c r="AK953" s="116"/>
      <c r="AL953" s="116"/>
    </row>
    <row r="954" ht="16.5" customHeight="1">
      <c r="A954" s="362"/>
      <c r="B954" s="362"/>
      <c r="C954" s="362"/>
      <c r="D954" s="362"/>
      <c r="E954" s="132"/>
      <c r="F954" s="131"/>
      <c r="G954" s="361"/>
      <c r="H954" s="363"/>
      <c r="I954" s="364"/>
      <c r="J954" s="361"/>
      <c r="K954" s="361"/>
      <c r="L954" s="361"/>
      <c r="M954" s="361"/>
      <c r="N954" s="361"/>
      <c r="O954" s="361"/>
      <c r="P954" s="361"/>
      <c r="Q954" s="361"/>
      <c r="R954" s="361"/>
      <c r="S954" s="361"/>
      <c r="T954" s="361"/>
      <c r="U954" s="361"/>
      <c r="V954" s="361"/>
      <c r="W954" s="361"/>
      <c r="X954" s="365"/>
      <c r="Y954" s="361"/>
      <c r="Z954" s="361"/>
      <c r="AA954" s="116"/>
      <c r="AB954" s="116"/>
      <c r="AC954" s="116"/>
      <c r="AD954" s="116"/>
      <c r="AE954" s="365"/>
      <c r="AF954" s="116"/>
      <c r="AG954" s="116"/>
      <c r="AH954" s="116"/>
      <c r="AI954" s="116"/>
      <c r="AJ954" s="116"/>
      <c r="AK954" s="116"/>
      <c r="AL954" s="116"/>
    </row>
    <row r="955" ht="16.5" customHeight="1">
      <c r="A955" s="362"/>
      <c r="B955" s="362"/>
      <c r="C955" s="362"/>
      <c r="D955" s="362"/>
      <c r="E955" s="132"/>
      <c r="F955" s="131"/>
      <c r="G955" s="361"/>
      <c r="H955" s="363"/>
      <c r="I955" s="364"/>
      <c r="J955" s="361"/>
      <c r="K955" s="361"/>
      <c r="L955" s="361"/>
      <c r="M955" s="361"/>
      <c r="N955" s="361"/>
      <c r="O955" s="361"/>
      <c r="P955" s="361"/>
      <c r="Q955" s="361"/>
      <c r="R955" s="361"/>
      <c r="S955" s="361"/>
      <c r="T955" s="361"/>
      <c r="U955" s="361"/>
      <c r="V955" s="361"/>
      <c r="W955" s="361"/>
      <c r="X955" s="365"/>
      <c r="Y955" s="361"/>
      <c r="Z955" s="361"/>
      <c r="AA955" s="116"/>
      <c r="AB955" s="116"/>
      <c r="AC955" s="116"/>
      <c r="AD955" s="116"/>
      <c r="AE955" s="365"/>
      <c r="AF955" s="116"/>
      <c r="AG955" s="116"/>
      <c r="AH955" s="116"/>
      <c r="AI955" s="116"/>
      <c r="AJ955" s="116"/>
      <c r="AK955" s="116"/>
      <c r="AL955" s="116"/>
    </row>
    <row r="956" ht="16.5" customHeight="1">
      <c r="A956" s="362"/>
      <c r="B956" s="362"/>
      <c r="C956" s="362"/>
      <c r="D956" s="362"/>
      <c r="E956" s="132"/>
      <c r="F956" s="131"/>
      <c r="G956" s="361"/>
      <c r="H956" s="363"/>
      <c r="I956" s="364"/>
      <c r="J956" s="361"/>
      <c r="K956" s="361"/>
      <c r="L956" s="361"/>
      <c r="M956" s="361"/>
      <c r="N956" s="361"/>
      <c r="O956" s="361"/>
      <c r="P956" s="361"/>
      <c r="Q956" s="361"/>
      <c r="R956" s="361"/>
      <c r="S956" s="361"/>
      <c r="T956" s="361"/>
      <c r="U956" s="361"/>
      <c r="V956" s="361"/>
      <c r="W956" s="361"/>
      <c r="X956" s="365"/>
      <c r="Y956" s="361"/>
      <c r="Z956" s="361"/>
      <c r="AA956" s="116"/>
      <c r="AB956" s="116"/>
      <c r="AC956" s="116"/>
      <c r="AD956" s="116"/>
      <c r="AE956" s="365"/>
      <c r="AF956" s="116"/>
      <c r="AG956" s="116"/>
      <c r="AH956" s="116"/>
      <c r="AI956" s="116"/>
      <c r="AJ956" s="116"/>
      <c r="AK956" s="116"/>
      <c r="AL956" s="116"/>
    </row>
    <row r="957" ht="16.5" customHeight="1">
      <c r="A957" s="362"/>
      <c r="B957" s="362"/>
      <c r="C957" s="362"/>
      <c r="D957" s="362"/>
      <c r="E957" s="132"/>
      <c r="F957" s="131"/>
      <c r="G957" s="361"/>
      <c r="H957" s="363"/>
      <c r="I957" s="364"/>
      <c r="J957" s="361"/>
      <c r="K957" s="361"/>
      <c r="L957" s="361"/>
      <c r="M957" s="361"/>
      <c r="N957" s="361"/>
      <c r="O957" s="361"/>
      <c r="P957" s="361"/>
      <c r="Q957" s="361"/>
      <c r="R957" s="361"/>
      <c r="S957" s="361"/>
      <c r="T957" s="361"/>
      <c r="U957" s="361"/>
      <c r="V957" s="361"/>
      <c r="W957" s="361"/>
      <c r="X957" s="365"/>
      <c r="Y957" s="361"/>
      <c r="Z957" s="361"/>
      <c r="AA957" s="116"/>
      <c r="AB957" s="116"/>
      <c r="AC957" s="116"/>
      <c r="AD957" s="116"/>
      <c r="AE957" s="365"/>
      <c r="AF957" s="116"/>
      <c r="AG957" s="116"/>
      <c r="AH957" s="116"/>
      <c r="AI957" s="116"/>
      <c r="AJ957" s="116"/>
      <c r="AK957" s="116"/>
      <c r="AL957" s="116"/>
    </row>
    <row r="958" ht="16.5" customHeight="1">
      <c r="A958" s="362"/>
      <c r="B958" s="362"/>
      <c r="C958" s="362"/>
      <c r="D958" s="362"/>
      <c r="E958" s="132"/>
      <c r="F958" s="131"/>
      <c r="G958" s="361"/>
      <c r="H958" s="363"/>
      <c r="I958" s="364"/>
      <c r="J958" s="361"/>
      <c r="K958" s="361"/>
      <c r="L958" s="361"/>
      <c r="M958" s="361"/>
      <c r="N958" s="361"/>
      <c r="O958" s="361"/>
      <c r="P958" s="361"/>
      <c r="Q958" s="361"/>
      <c r="R958" s="361"/>
      <c r="S958" s="361"/>
      <c r="T958" s="361"/>
      <c r="U958" s="361"/>
      <c r="V958" s="361"/>
      <c r="W958" s="361"/>
      <c r="X958" s="365"/>
      <c r="Y958" s="361"/>
      <c r="Z958" s="361"/>
      <c r="AA958" s="116"/>
      <c r="AB958" s="116"/>
      <c r="AC958" s="116"/>
      <c r="AD958" s="116"/>
      <c r="AE958" s="365"/>
      <c r="AF958" s="116"/>
      <c r="AG958" s="116"/>
      <c r="AH958" s="116"/>
      <c r="AI958" s="116"/>
      <c r="AJ958" s="116"/>
      <c r="AK958" s="116"/>
      <c r="AL958" s="116"/>
    </row>
    <row r="959" ht="16.5" customHeight="1">
      <c r="A959" s="362"/>
      <c r="B959" s="362"/>
      <c r="C959" s="362"/>
      <c r="D959" s="362"/>
      <c r="E959" s="132"/>
      <c r="F959" s="131"/>
      <c r="G959" s="361"/>
      <c r="H959" s="363"/>
      <c r="I959" s="364"/>
      <c r="J959" s="361"/>
      <c r="K959" s="361"/>
      <c r="L959" s="361"/>
      <c r="M959" s="361"/>
      <c r="N959" s="361"/>
      <c r="O959" s="361"/>
      <c r="P959" s="361"/>
      <c r="Q959" s="361"/>
      <c r="R959" s="361"/>
      <c r="S959" s="361"/>
      <c r="T959" s="361"/>
      <c r="U959" s="361"/>
      <c r="V959" s="361"/>
      <c r="W959" s="361"/>
      <c r="X959" s="365"/>
      <c r="Y959" s="361"/>
      <c r="Z959" s="361"/>
      <c r="AA959" s="116"/>
      <c r="AB959" s="116"/>
      <c r="AC959" s="116"/>
      <c r="AD959" s="116"/>
      <c r="AE959" s="365"/>
      <c r="AF959" s="116"/>
      <c r="AG959" s="116"/>
      <c r="AH959" s="116"/>
      <c r="AI959" s="116"/>
      <c r="AJ959" s="116"/>
      <c r="AK959" s="116"/>
      <c r="AL959" s="116"/>
    </row>
    <row r="960" ht="16.5" customHeight="1">
      <c r="A960" s="362"/>
      <c r="B960" s="362"/>
      <c r="C960" s="362"/>
      <c r="D960" s="362"/>
      <c r="E960" s="132"/>
      <c r="F960" s="131"/>
      <c r="G960" s="361"/>
      <c r="H960" s="363"/>
      <c r="I960" s="364"/>
      <c r="J960" s="361"/>
      <c r="K960" s="361"/>
      <c r="L960" s="361"/>
      <c r="M960" s="361"/>
      <c r="N960" s="361"/>
      <c r="O960" s="361"/>
      <c r="P960" s="361"/>
      <c r="Q960" s="361"/>
      <c r="R960" s="361"/>
      <c r="S960" s="361"/>
      <c r="T960" s="361"/>
      <c r="U960" s="361"/>
      <c r="V960" s="361"/>
      <c r="W960" s="361"/>
      <c r="X960" s="365"/>
      <c r="Y960" s="361"/>
      <c r="Z960" s="361"/>
      <c r="AA960" s="116"/>
      <c r="AB960" s="116"/>
      <c r="AC960" s="116"/>
      <c r="AD960" s="116"/>
      <c r="AE960" s="365"/>
      <c r="AF960" s="116"/>
      <c r="AG960" s="116"/>
      <c r="AH960" s="116"/>
      <c r="AI960" s="116"/>
      <c r="AJ960" s="116"/>
      <c r="AK960" s="116"/>
      <c r="AL960" s="116"/>
    </row>
    <row r="961" ht="16.5" customHeight="1">
      <c r="A961" s="362"/>
      <c r="B961" s="362"/>
      <c r="C961" s="362"/>
      <c r="D961" s="362"/>
      <c r="E961" s="132"/>
      <c r="F961" s="131"/>
      <c r="G961" s="361"/>
      <c r="H961" s="363"/>
      <c r="I961" s="364"/>
      <c r="J961" s="361"/>
      <c r="K961" s="361"/>
      <c r="L961" s="361"/>
      <c r="M961" s="361"/>
      <c r="N961" s="361"/>
      <c r="O961" s="361"/>
      <c r="P961" s="361"/>
      <c r="Q961" s="361"/>
      <c r="R961" s="361"/>
      <c r="S961" s="361"/>
      <c r="T961" s="361"/>
      <c r="U961" s="361"/>
      <c r="V961" s="361"/>
      <c r="W961" s="361"/>
      <c r="X961" s="365"/>
      <c r="Y961" s="361"/>
      <c r="Z961" s="361"/>
      <c r="AA961" s="116"/>
      <c r="AB961" s="116"/>
      <c r="AC961" s="116"/>
      <c r="AD961" s="116"/>
      <c r="AE961" s="365"/>
      <c r="AF961" s="116"/>
      <c r="AG961" s="116"/>
      <c r="AH961" s="116"/>
      <c r="AI961" s="116"/>
      <c r="AJ961" s="116"/>
      <c r="AK961" s="116"/>
      <c r="AL961" s="116"/>
    </row>
    <row r="962" ht="16.5" customHeight="1">
      <c r="A962" s="362"/>
      <c r="B962" s="362"/>
      <c r="C962" s="362"/>
      <c r="D962" s="362"/>
      <c r="E962" s="132"/>
      <c r="F962" s="131"/>
      <c r="G962" s="361"/>
      <c r="H962" s="363"/>
      <c r="I962" s="364"/>
      <c r="J962" s="361"/>
      <c r="K962" s="361"/>
      <c r="L962" s="361"/>
      <c r="M962" s="361"/>
      <c r="N962" s="361"/>
      <c r="O962" s="361"/>
      <c r="P962" s="361"/>
      <c r="Q962" s="361"/>
      <c r="R962" s="361"/>
      <c r="S962" s="361"/>
      <c r="T962" s="361"/>
      <c r="U962" s="361"/>
      <c r="V962" s="361"/>
      <c r="W962" s="361"/>
      <c r="X962" s="365"/>
      <c r="Y962" s="361"/>
      <c r="Z962" s="361"/>
      <c r="AA962" s="116"/>
      <c r="AB962" s="116"/>
      <c r="AC962" s="116"/>
      <c r="AD962" s="116"/>
      <c r="AE962" s="365"/>
      <c r="AF962" s="116"/>
      <c r="AG962" s="116"/>
      <c r="AH962" s="116"/>
      <c r="AI962" s="116"/>
      <c r="AJ962" s="116"/>
      <c r="AK962" s="116"/>
      <c r="AL962" s="116"/>
    </row>
    <row r="963" ht="16.5" customHeight="1">
      <c r="A963" s="362"/>
      <c r="B963" s="362"/>
      <c r="C963" s="362"/>
      <c r="D963" s="362"/>
      <c r="E963" s="132"/>
      <c r="F963" s="131"/>
      <c r="G963" s="361"/>
      <c r="H963" s="363"/>
      <c r="I963" s="364"/>
      <c r="J963" s="361"/>
      <c r="K963" s="361"/>
      <c r="L963" s="361"/>
      <c r="M963" s="361"/>
      <c r="N963" s="361"/>
      <c r="O963" s="361"/>
      <c r="P963" s="361"/>
      <c r="Q963" s="361"/>
      <c r="R963" s="361"/>
      <c r="S963" s="361"/>
      <c r="T963" s="361"/>
      <c r="U963" s="361"/>
      <c r="V963" s="361"/>
      <c r="W963" s="361"/>
      <c r="X963" s="365"/>
      <c r="Y963" s="361"/>
      <c r="Z963" s="361"/>
      <c r="AA963" s="116"/>
      <c r="AB963" s="116"/>
      <c r="AC963" s="116"/>
      <c r="AD963" s="116"/>
      <c r="AE963" s="365"/>
      <c r="AF963" s="116"/>
      <c r="AG963" s="116"/>
      <c r="AH963" s="116"/>
      <c r="AI963" s="116"/>
      <c r="AJ963" s="116"/>
      <c r="AK963" s="116"/>
      <c r="AL963" s="116"/>
    </row>
    <row r="964" ht="16.5" customHeight="1">
      <c r="A964" s="362"/>
      <c r="B964" s="362"/>
      <c r="C964" s="362"/>
      <c r="D964" s="362"/>
      <c r="E964" s="132"/>
      <c r="F964" s="131"/>
      <c r="G964" s="361"/>
      <c r="H964" s="363"/>
      <c r="I964" s="364"/>
      <c r="J964" s="361"/>
      <c r="K964" s="361"/>
      <c r="L964" s="361"/>
      <c r="M964" s="361"/>
      <c r="N964" s="361"/>
      <c r="O964" s="361"/>
      <c r="P964" s="361"/>
      <c r="Q964" s="361"/>
      <c r="R964" s="361"/>
      <c r="S964" s="361"/>
      <c r="T964" s="361"/>
      <c r="U964" s="361"/>
      <c r="V964" s="361"/>
      <c r="W964" s="361"/>
      <c r="X964" s="365"/>
      <c r="Y964" s="361"/>
      <c r="Z964" s="361"/>
      <c r="AA964" s="116"/>
      <c r="AB964" s="116"/>
      <c r="AC964" s="116"/>
      <c r="AD964" s="116"/>
      <c r="AE964" s="365"/>
      <c r="AF964" s="116"/>
      <c r="AG964" s="116"/>
      <c r="AH964" s="116"/>
      <c r="AI964" s="116"/>
      <c r="AJ964" s="116"/>
      <c r="AK964" s="116"/>
      <c r="AL964" s="116"/>
    </row>
    <row r="965" ht="16.5" customHeight="1">
      <c r="A965" s="362"/>
      <c r="B965" s="362"/>
      <c r="C965" s="362"/>
      <c r="D965" s="362"/>
      <c r="E965" s="132"/>
      <c r="F965" s="131"/>
      <c r="G965" s="361"/>
      <c r="H965" s="363"/>
      <c r="I965" s="364"/>
      <c r="J965" s="361"/>
      <c r="K965" s="361"/>
      <c r="L965" s="361"/>
      <c r="M965" s="361"/>
      <c r="N965" s="361"/>
      <c r="O965" s="361"/>
      <c r="P965" s="361"/>
      <c r="Q965" s="361"/>
      <c r="R965" s="361"/>
      <c r="S965" s="361"/>
      <c r="T965" s="361"/>
      <c r="U965" s="361"/>
      <c r="V965" s="361"/>
      <c r="W965" s="361"/>
      <c r="X965" s="365"/>
      <c r="Y965" s="361"/>
      <c r="Z965" s="361"/>
      <c r="AA965" s="116"/>
      <c r="AB965" s="116"/>
      <c r="AC965" s="116"/>
      <c r="AD965" s="116"/>
      <c r="AE965" s="365"/>
      <c r="AF965" s="116"/>
      <c r="AG965" s="116"/>
      <c r="AH965" s="116"/>
      <c r="AI965" s="116"/>
      <c r="AJ965" s="116"/>
      <c r="AK965" s="116"/>
      <c r="AL965" s="116"/>
    </row>
    <row r="966" ht="16.5" customHeight="1">
      <c r="A966" s="362"/>
      <c r="B966" s="362"/>
      <c r="C966" s="362"/>
      <c r="D966" s="362"/>
      <c r="E966" s="132"/>
      <c r="F966" s="131"/>
      <c r="G966" s="361"/>
      <c r="H966" s="363"/>
      <c r="I966" s="364"/>
      <c r="J966" s="361"/>
      <c r="K966" s="361"/>
      <c r="L966" s="361"/>
      <c r="M966" s="361"/>
      <c r="N966" s="361"/>
      <c r="O966" s="361"/>
      <c r="P966" s="361"/>
      <c r="Q966" s="361"/>
      <c r="R966" s="361"/>
      <c r="S966" s="361"/>
      <c r="T966" s="361"/>
      <c r="U966" s="361"/>
      <c r="V966" s="361"/>
      <c r="W966" s="361"/>
      <c r="X966" s="365"/>
      <c r="Y966" s="361"/>
      <c r="Z966" s="361"/>
      <c r="AA966" s="116"/>
      <c r="AB966" s="116"/>
      <c r="AC966" s="116"/>
      <c r="AD966" s="116"/>
      <c r="AE966" s="365"/>
      <c r="AF966" s="116"/>
      <c r="AG966" s="116"/>
      <c r="AH966" s="116"/>
      <c r="AI966" s="116"/>
      <c r="AJ966" s="116"/>
      <c r="AK966" s="116"/>
      <c r="AL966" s="116"/>
    </row>
    <row r="967" ht="16.5" customHeight="1">
      <c r="A967" s="362"/>
      <c r="B967" s="362"/>
      <c r="C967" s="362"/>
      <c r="D967" s="362"/>
      <c r="E967" s="132"/>
      <c r="F967" s="131"/>
      <c r="G967" s="361"/>
      <c r="H967" s="363"/>
      <c r="I967" s="364"/>
      <c r="J967" s="361"/>
      <c r="K967" s="361"/>
      <c r="L967" s="361"/>
      <c r="M967" s="361"/>
      <c r="N967" s="361"/>
      <c r="O967" s="361"/>
      <c r="P967" s="361"/>
      <c r="Q967" s="361"/>
      <c r="R967" s="361"/>
      <c r="S967" s="361"/>
      <c r="T967" s="361"/>
      <c r="U967" s="361"/>
      <c r="V967" s="361"/>
      <c r="W967" s="361"/>
      <c r="X967" s="365"/>
      <c r="Y967" s="361"/>
      <c r="Z967" s="361"/>
      <c r="AA967" s="116"/>
      <c r="AB967" s="116"/>
      <c r="AC967" s="116"/>
      <c r="AD967" s="116"/>
      <c r="AE967" s="365"/>
      <c r="AF967" s="116"/>
      <c r="AG967" s="116"/>
      <c r="AH967" s="116"/>
      <c r="AI967" s="116"/>
      <c r="AJ967" s="116"/>
      <c r="AK967" s="116"/>
      <c r="AL967" s="116"/>
    </row>
    <row r="968" ht="16.5" customHeight="1">
      <c r="A968" s="362"/>
      <c r="B968" s="362"/>
      <c r="C968" s="362"/>
      <c r="D968" s="362"/>
      <c r="E968" s="132"/>
      <c r="F968" s="131"/>
      <c r="G968" s="361"/>
      <c r="H968" s="363"/>
      <c r="I968" s="364"/>
      <c r="J968" s="361"/>
      <c r="K968" s="361"/>
      <c r="L968" s="361"/>
      <c r="M968" s="361"/>
      <c r="N968" s="361"/>
      <c r="O968" s="361"/>
      <c r="P968" s="361"/>
      <c r="Q968" s="361"/>
      <c r="R968" s="361"/>
      <c r="S968" s="361"/>
      <c r="T968" s="361"/>
      <c r="U968" s="361"/>
      <c r="V968" s="361"/>
      <c r="W968" s="361"/>
      <c r="X968" s="365"/>
      <c r="Y968" s="361"/>
      <c r="Z968" s="361"/>
      <c r="AA968" s="116"/>
      <c r="AB968" s="116"/>
      <c r="AC968" s="116"/>
      <c r="AD968" s="116"/>
      <c r="AE968" s="365"/>
      <c r="AF968" s="116"/>
      <c r="AG968" s="116"/>
      <c r="AH968" s="116"/>
      <c r="AI968" s="116"/>
      <c r="AJ968" s="116"/>
      <c r="AK968" s="116"/>
      <c r="AL968" s="116"/>
    </row>
    <row r="969" ht="16.5" customHeight="1">
      <c r="A969" s="362"/>
      <c r="B969" s="362"/>
      <c r="C969" s="362"/>
      <c r="D969" s="362"/>
      <c r="E969" s="132"/>
      <c r="F969" s="131"/>
      <c r="G969" s="361"/>
      <c r="H969" s="363"/>
      <c r="I969" s="364"/>
      <c r="J969" s="361"/>
      <c r="K969" s="361"/>
      <c r="L969" s="361"/>
      <c r="M969" s="361"/>
      <c r="N969" s="361"/>
      <c r="O969" s="361"/>
      <c r="P969" s="361"/>
      <c r="Q969" s="361"/>
      <c r="R969" s="361"/>
      <c r="S969" s="361"/>
      <c r="T969" s="361"/>
      <c r="U969" s="361"/>
      <c r="V969" s="361"/>
      <c r="W969" s="361"/>
      <c r="X969" s="365"/>
      <c r="Y969" s="361"/>
      <c r="Z969" s="361"/>
      <c r="AA969" s="116"/>
      <c r="AB969" s="116"/>
      <c r="AC969" s="116"/>
      <c r="AD969" s="116"/>
      <c r="AE969" s="365"/>
      <c r="AF969" s="116"/>
      <c r="AG969" s="116"/>
      <c r="AH969" s="116"/>
      <c r="AI969" s="116"/>
      <c r="AJ969" s="116"/>
      <c r="AK969" s="116"/>
      <c r="AL969" s="116"/>
    </row>
    <row r="970" ht="16.5" customHeight="1">
      <c r="A970" s="362"/>
      <c r="B970" s="362"/>
      <c r="C970" s="362"/>
      <c r="D970" s="362"/>
      <c r="E970" s="132"/>
      <c r="F970" s="131"/>
      <c r="G970" s="361"/>
      <c r="H970" s="363"/>
      <c r="I970" s="364"/>
      <c r="J970" s="361"/>
      <c r="K970" s="361"/>
      <c r="L970" s="361"/>
      <c r="M970" s="361"/>
      <c r="N970" s="361"/>
      <c r="O970" s="361"/>
      <c r="P970" s="361"/>
      <c r="Q970" s="361"/>
      <c r="R970" s="361"/>
      <c r="S970" s="361"/>
      <c r="T970" s="361"/>
      <c r="U970" s="361"/>
      <c r="V970" s="361"/>
      <c r="W970" s="361"/>
      <c r="X970" s="365"/>
      <c r="Y970" s="361"/>
      <c r="Z970" s="361"/>
      <c r="AA970" s="116"/>
      <c r="AB970" s="116"/>
      <c r="AC970" s="116"/>
      <c r="AD970" s="116"/>
      <c r="AE970" s="365"/>
      <c r="AF970" s="116"/>
      <c r="AG970" s="116"/>
      <c r="AH970" s="116"/>
      <c r="AI970" s="116"/>
      <c r="AJ970" s="116"/>
      <c r="AK970" s="116"/>
      <c r="AL970" s="116"/>
    </row>
    <row r="971" ht="16.5" customHeight="1">
      <c r="A971" s="362"/>
      <c r="B971" s="362"/>
      <c r="C971" s="362"/>
      <c r="D971" s="362"/>
      <c r="E971" s="132"/>
      <c r="F971" s="131"/>
      <c r="G971" s="361"/>
      <c r="H971" s="363"/>
      <c r="I971" s="364"/>
      <c r="J971" s="361"/>
      <c r="K971" s="361"/>
      <c r="L971" s="361"/>
      <c r="M971" s="361"/>
      <c r="N971" s="361"/>
      <c r="O971" s="361"/>
      <c r="P971" s="361"/>
      <c r="Q971" s="361"/>
      <c r="R971" s="361"/>
      <c r="S971" s="361"/>
      <c r="T971" s="361"/>
      <c r="U971" s="361"/>
      <c r="V971" s="361"/>
      <c r="W971" s="361"/>
      <c r="X971" s="365"/>
      <c r="Y971" s="361"/>
      <c r="Z971" s="361"/>
      <c r="AA971" s="116"/>
      <c r="AB971" s="116"/>
      <c r="AC971" s="116"/>
      <c r="AD971" s="116"/>
      <c r="AE971" s="365"/>
      <c r="AF971" s="116"/>
      <c r="AG971" s="116"/>
      <c r="AH971" s="116"/>
      <c r="AI971" s="116"/>
      <c r="AJ971" s="116"/>
      <c r="AK971" s="116"/>
      <c r="AL971" s="116"/>
    </row>
    <row r="972" ht="16.5" customHeight="1">
      <c r="A972" s="362"/>
      <c r="B972" s="362"/>
      <c r="C972" s="362"/>
      <c r="D972" s="362"/>
      <c r="E972" s="132"/>
      <c r="F972" s="131"/>
      <c r="G972" s="361"/>
      <c r="H972" s="363"/>
      <c r="I972" s="364"/>
      <c r="J972" s="361"/>
      <c r="K972" s="361"/>
      <c r="L972" s="361"/>
      <c r="M972" s="361"/>
      <c r="N972" s="361"/>
      <c r="O972" s="361"/>
      <c r="P972" s="361"/>
      <c r="Q972" s="361"/>
      <c r="R972" s="361"/>
      <c r="S972" s="361"/>
      <c r="T972" s="361"/>
      <c r="U972" s="361"/>
      <c r="V972" s="361"/>
      <c r="W972" s="361"/>
      <c r="X972" s="365"/>
      <c r="Y972" s="361"/>
      <c r="Z972" s="361"/>
      <c r="AA972" s="116"/>
      <c r="AB972" s="116"/>
      <c r="AC972" s="116"/>
      <c r="AD972" s="116"/>
      <c r="AE972" s="365"/>
      <c r="AF972" s="116"/>
      <c r="AG972" s="116"/>
      <c r="AH972" s="116"/>
      <c r="AI972" s="116"/>
      <c r="AJ972" s="116"/>
      <c r="AK972" s="116"/>
      <c r="AL972" s="116"/>
    </row>
    <row r="973" ht="16.5" customHeight="1">
      <c r="A973" s="362"/>
      <c r="B973" s="362"/>
      <c r="C973" s="362"/>
      <c r="D973" s="362"/>
      <c r="E973" s="132"/>
      <c r="F973" s="131"/>
      <c r="G973" s="361"/>
      <c r="H973" s="363"/>
      <c r="I973" s="364"/>
      <c r="J973" s="361"/>
      <c r="K973" s="361"/>
      <c r="L973" s="361"/>
      <c r="M973" s="361"/>
      <c r="N973" s="361"/>
      <c r="O973" s="361"/>
      <c r="P973" s="361"/>
      <c r="Q973" s="361"/>
      <c r="R973" s="361"/>
      <c r="S973" s="361"/>
      <c r="T973" s="361"/>
      <c r="U973" s="361"/>
      <c r="V973" s="361"/>
      <c r="W973" s="361"/>
      <c r="X973" s="365"/>
      <c r="Y973" s="361"/>
      <c r="Z973" s="361"/>
      <c r="AA973" s="116"/>
      <c r="AB973" s="116"/>
      <c r="AC973" s="116"/>
      <c r="AD973" s="116"/>
      <c r="AE973" s="365"/>
      <c r="AF973" s="116"/>
      <c r="AG973" s="116"/>
      <c r="AH973" s="116"/>
      <c r="AI973" s="116"/>
      <c r="AJ973" s="116"/>
      <c r="AK973" s="116"/>
      <c r="AL973" s="116"/>
    </row>
    <row r="974" ht="16.5" customHeight="1">
      <c r="A974" s="362"/>
      <c r="B974" s="362"/>
      <c r="C974" s="362"/>
      <c r="D974" s="362"/>
      <c r="E974" s="132"/>
      <c r="F974" s="131"/>
      <c r="G974" s="361"/>
      <c r="H974" s="363"/>
      <c r="I974" s="364"/>
      <c r="J974" s="361"/>
      <c r="K974" s="361"/>
      <c r="L974" s="361"/>
      <c r="M974" s="361"/>
      <c r="N974" s="361"/>
      <c r="O974" s="361"/>
      <c r="P974" s="361"/>
      <c r="Q974" s="361"/>
      <c r="R974" s="361"/>
      <c r="S974" s="361"/>
      <c r="T974" s="361"/>
      <c r="U974" s="361"/>
      <c r="V974" s="361"/>
      <c r="W974" s="361"/>
      <c r="X974" s="365"/>
      <c r="Y974" s="361"/>
      <c r="Z974" s="361"/>
      <c r="AA974" s="116"/>
      <c r="AB974" s="116"/>
      <c r="AC974" s="116"/>
      <c r="AD974" s="116"/>
      <c r="AE974" s="365"/>
      <c r="AF974" s="116"/>
      <c r="AG974" s="116"/>
      <c r="AH974" s="116"/>
      <c r="AI974" s="116"/>
      <c r="AJ974" s="116"/>
      <c r="AK974" s="116"/>
      <c r="AL974" s="116"/>
    </row>
    <row r="975" ht="16.5" customHeight="1">
      <c r="A975" s="362"/>
      <c r="B975" s="362"/>
      <c r="C975" s="362"/>
      <c r="D975" s="362"/>
      <c r="E975" s="132"/>
      <c r="F975" s="131"/>
      <c r="G975" s="361"/>
      <c r="H975" s="363"/>
      <c r="I975" s="364"/>
      <c r="J975" s="361"/>
      <c r="K975" s="361"/>
      <c r="L975" s="361"/>
      <c r="M975" s="361"/>
      <c r="N975" s="361"/>
      <c r="O975" s="361"/>
      <c r="P975" s="361"/>
      <c r="Q975" s="361"/>
      <c r="R975" s="361"/>
      <c r="S975" s="361"/>
      <c r="T975" s="361"/>
      <c r="U975" s="361"/>
      <c r="V975" s="361"/>
      <c r="W975" s="361"/>
      <c r="X975" s="365"/>
      <c r="Y975" s="361"/>
      <c r="Z975" s="361"/>
      <c r="AA975" s="116"/>
      <c r="AB975" s="116"/>
      <c r="AC975" s="116"/>
      <c r="AD975" s="116"/>
      <c r="AE975" s="365"/>
      <c r="AF975" s="116"/>
      <c r="AG975" s="116"/>
      <c r="AH975" s="116"/>
      <c r="AI975" s="116"/>
      <c r="AJ975" s="116"/>
      <c r="AK975" s="116"/>
      <c r="AL975" s="116"/>
    </row>
    <row r="976" ht="16.5" customHeight="1">
      <c r="A976" s="362"/>
      <c r="B976" s="362"/>
      <c r="C976" s="362"/>
      <c r="D976" s="362"/>
      <c r="E976" s="132"/>
      <c r="F976" s="131"/>
      <c r="G976" s="361"/>
      <c r="H976" s="363"/>
      <c r="I976" s="364"/>
      <c r="J976" s="361"/>
      <c r="K976" s="361"/>
      <c r="L976" s="361"/>
      <c r="M976" s="361"/>
      <c r="N976" s="361"/>
      <c r="O976" s="361"/>
      <c r="P976" s="361"/>
      <c r="Q976" s="361"/>
      <c r="R976" s="361"/>
      <c r="S976" s="361"/>
      <c r="T976" s="361"/>
      <c r="U976" s="361"/>
      <c r="V976" s="361"/>
      <c r="W976" s="361"/>
      <c r="X976" s="365"/>
      <c r="Y976" s="361"/>
      <c r="Z976" s="361"/>
      <c r="AA976" s="116"/>
      <c r="AB976" s="116"/>
      <c r="AC976" s="116"/>
      <c r="AD976" s="116"/>
      <c r="AE976" s="365"/>
      <c r="AF976" s="116"/>
      <c r="AG976" s="116"/>
      <c r="AH976" s="116"/>
      <c r="AI976" s="116"/>
      <c r="AJ976" s="116"/>
      <c r="AK976" s="116"/>
      <c r="AL976" s="116"/>
    </row>
    <row r="977" ht="16.5" customHeight="1">
      <c r="A977" s="362"/>
      <c r="B977" s="362"/>
      <c r="C977" s="362"/>
      <c r="D977" s="362"/>
      <c r="E977" s="132"/>
      <c r="F977" s="131"/>
      <c r="G977" s="361"/>
      <c r="H977" s="363"/>
      <c r="I977" s="364"/>
      <c r="J977" s="361"/>
      <c r="K977" s="361"/>
      <c r="L977" s="361"/>
      <c r="M977" s="361"/>
      <c r="N977" s="361"/>
      <c r="O977" s="361"/>
      <c r="P977" s="361"/>
      <c r="Q977" s="361"/>
      <c r="R977" s="361"/>
      <c r="S977" s="361"/>
      <c r="T977" s="361"/>
      <c r="U977" s="361"/>
      <c r="V977" s="361"/>
      <c r="W977" s="361"/>
      <c r="X977" s="365"/>
      <c r="Y977" s="361"/>
      <c r="Z977" s="361"/>
      <c r="AA977" s="116"/>
      <c r="AB977" s="116"/>
      <c r="AC977" s="116"/>
      <c r="AD977" s="116"/>
      <c r="AE977" s="365"/>
      <c r="AF977" s="116"/>
      <c r="AG977" s="116"/>
      <c r="AH977" s="116"/>
      <c r="AI977" s="116"/>
      <c r="AJ977" s="116"/>
      <c r="AK977" s="116"/>
      <c r="AL977" s="116"/>
    </row>
    <row r="978" ht="16.5" customHeight="1">
      <c r="A978" s="362"/>
      <c r="B978" s="362"/>
      <c r="C978" s="362"/>
      <c r="D978" s="362"/>
      <c r="E978" s="132"/>
      <c r="F978" s="131"/>
      <c r="G978" s="361"/>
      <c r="H978" s="363"/>
      <c r="I978" s="364"/>
      <c r="J978" s="361"/>
      <c r="K978" s="361"/>
      <c r="L978" s="361"/>
      <c r="M978" s="361"/>
      <c r="N978" s="361"/>
      <c r="O978" s="361"/>
      <c r="P978" s="361"/>
      <c r="Q978" s="361"/>
      <c r="R978" s="361"/>
      <c r="S978" s="361"/>
      <c r="T978" s="361"/>
      <c r="U978" s="361"/>
      <c r="V978" s="361"/>
      <c r="W978" s="361"/>
      <c r="X978" s="365"/>
      <c r="Y978" s="361"/>
      <c r="Z978" s="361"/>
      <c r="AA978" s="116"/>
      <c r="AB978" s="116"/>
      <c r="AC978" s="116"/>
      <c r="AD978" s="116"/>
      <c r="AE978" s="365"/>
      <c r="AF978" s="116"/>
      <c r="AG978" s="116"/>
      <c r="AH978" s="116"/>
      <c r="AI978" s="116"/>
      <c r="AJ978" s="116"/>
      <c r="AK978" s="116"/>
      <c r="AL978" s="116"/>
    </row>
    <row r="979" ht="16.5" customHeight="1">
      <c r="A979" s="362"/>
      <c r="B979" s="362"/>
      <c r="C979" s="362"/>
      <c r="D979" s="362"/>
      <c r="E979" s="132"/>
      <c r="F979" s="131"/>
      <c r="G979" s="361"/>
      <c r="H979" s="363"/>
      <c r="I979" s="364"/>
      <c r="J979" s="361"/>
      <c r="K979" s="361"/>
      <c r="L979" s="361"/>
      <c r="M979" s="361"/>
      <c r="N979" s="361"/>
      <c r="O979" s="361"/>
      <c r="P979" s="361"/>
      <c r="Q979" s="361"/>
      <c r="R979" s="361"/>
      <c r="S979" s="361"/>
      <c r="T979" s="361"/>
      <c r="U979" s="361"/>
      <c r="V979" s="361"/>
      <c r="W979" s="361"/>
      <c r="X979" s="365"/>
      <c r="Y979" s="361"/>
      <c r="Z979" s="361"/>
      <c r="AA979" s="116"/>
      <c r="AB979" s="116"/>
      <c r="AC979" s="116"/>
      <c r="AD979" s="116"/>
      <c r="AE979" s="365"/>
      <c r="AF979" s="116"/>
      <c r="AG979" s="116"/>
      <c r="AH979" s="116"/>
      <c r="AI979" s="116"/>
      <c r="AJ979" s="116"/>
      <c r="AK979" s="116"/>
      <c r="AL979" s="116"/>
    </row>
    <row r="980" ht="16.5" customHeight="1">
      <c r="A980" s="362"/>
      <c r="B980" s="362"/>
      <c r="C980" s="362"/>
      <c r="D980" s="362"/>
      <c r="E980" s="132"/>
      <c r="F980" s="131"/>
      <c r="G980" s="361"/>
      <c r="H980" s="363"/>
      <c r="I980" s="364"/>
      <c r="J980" s="361"/>
      <c r="K980" s="361"/>
      <c r="L980" s="361"/>
      <c r="M980" s="361"/>
      <c r="N980" s="361"/>
      <c r="O980" s="361"/>
      <c r="P980" s="361"/>
      <c r="Q980" s="361"/>
      <c r="R980" s="361"/>
      <c r="S980" s="361"/>
      <c r="T980" s="361"/>
      <c r="U980" s="361"/>
      <c r="V980" s="361"/>
      <c r="W980" s="361"/>
      <c r="X980" s="365"/>
      <c r="Y980" s="361"/>
      <c r="Z980" s="361"/>
      <c r="AA980" s="116"/>
      <c r="AB980" s="116"/>
      <c r="AC980" s="116"/>
      <c r="AD980" s="116"/>
      <c r="AE980" s="365"/>
      <c r="AF980" s="116"/>
      <c r="AG980" s="116"/>
      <c r="AH980" s="116"/>
      <c r="AI980" s="116"/>
      <c r="AJ980" s="116"/>
      <c r="AK980" s="116"/>
      <c r="AL980" s="116"/>
    </row>
    <row r="981" ht="16.5" customHeight="1">
      <c r="A981" s="362"/>
      <c r="B981" s="362"/>
      <c r="C981" s="362"/>
      <c r="D981" s="362"/>
      <c r="E981" s="132"/>
      <c r="F981" s="131"/>
      <c r="G981" s="361"/>
      <c r="H981" s="363"/>
      <c r="I981" s="364"/>
      <c r="J981" s="361"/>
      <c r="K981" s="361"/>
      <c r="L981" s="361"/>
      <c r="M981" s="361"/>
      <c r="N981" s="361"/>
      <c r="O981" s="361"/>
      <c r="P981" s="361"/>
      <c r="Q981" s="361"/>
      <c r="R981" s="361"/>
      <c r="S981" s="361"/>
      <c r="T981" s="361"/>
      <c r="U981" s="361"/>
      <c r="V981" s="361"/>
      <c r="W981" s="361"/>
      <c r="X981" s="365"/>
      <c r="Y981" s="361"/>
      <c r="Z981" s="361"/>
      <c r="AA981" s="116"/>
      <c r="AB981" s="116"/>
      <c r="AC981" s="116"/>
      <c r="AD981" s="116"/>
      <c r="AE981" s="365"/>
      <c r="AF981" s="116"/>
      <c r="AG981" s="116"/>
      <c r="AH981" s="116"/>
      <c r="AI981" s="116"/>
      <c r="AJ981" s="116"/>
      <c r="AK981" s="116"/>
      <c r="AL981" s="116"/>
    </row>
    <row r="982" ht="16.5" customHeight="1">
      <c r="A982" s="362"/>
      <c r="B982" s="362"/>
      <c r="C982" s="362"/>
      <c r="D982" s="362"/>
      <c r="E982" s="132"/>
      <c r="F982" s="131"/>
      <c r="G982" s="361"/>
      <c r="H982" s="363"/>
      <c r="I982" s="364"/>
      <c r="J982" s="361"/>
      <c r="K982" s="361"/>
      <c r="L982" s="361"/>
      <c r="M982" s="361"/>
      <c r="N982" s="361"/>
      <c r="O982" s="361"/>
      <c r="P982" s="361"/>
      <c r="Q982" s="361"/>
      <c r="R982" s="361"/>
      <c r="S982" s="361"/>
      <c r="T982" s="361"/>
      <c r="U982" s="361"/>
      <c r="V982" s="361"/>
      <c r="W982" s="361"/>
      <c r="X982" s="365"/>
      <c r="Y982" s="361"/>
      <c r="Z982" s="361"/>
      <c r="AA982" s="116"/>
      <c r="AB982" s="116"/>
      <c r="AC982" s="116"/>
      <c r="AD982" s="116"/>
      <c r="AE982" s="365"/>
      <c r="AF982" s="116"/>
      <c r="AG982" s="116"/>
      <c r="AH982" s="116"/>
      <c r="AI982" s="116"/>
      <c r="AJ982" s="116"/>
      <c r="AK982" s="116"/>
      <c r="AL982" s="116"/>
    </row>
    <row r="983" ht="16.5" customHeight="1">
      <c r="A983" s="362"/>
      <c r="B983" s="362"/>
      <c r="C983" s="362"/>
      <c r="D983" s="362"/>
      <c r="E983" s="132"/>
      <c r="F983" s="131"/>
      <c r="G983" s="361"/>
      <c r="H983" s="363"/>
      <c r="I983" s="364"/>
      <c r="J983" s="361"/>
      <c r="K983" s="361"/>
      <c r="L983" s="361"/>
      <c r="M983" s="361"/>
      <c r="N983" s="361"/>
      <c r="O983" s="361"/>
      <c r="P983" s="361"/>
      <c r="Q983" s="361"/>
      <c r="R983" s="361"/>
      <c r="S983" s="361"/>
      <c r="T983" s="361"/>
      <c r="U983" s="361"/>
      <c r="V983" s="361"/>
      <c r="W983" s="361"/>
      <c r="X983" s="365"/>
      <c r="Y983" s="361"/>
      <c r="Z983" s="361"/>
      <c r="AA983" s="116"/>
      <c r="AB983" s="116"/>
      <c r="AC983" s="116"/>
      <c r="AD983" s="116"/>
      <c r="AE983" s="365"/>
      <c r="AF983" s="116"/>
      <c r="AG983" s="116"/>
      <c r="AH983" s="116"/>
      <c r="AI983" s="116"/>
      <c r="AJ983" s="116"/>
      <c r="AK983" s="116"/>
      <c r="AL983" s="116"/>
    </row>
    <row r="984" ht="16.5" customHeight="1">
      <c r="A984" s="362"/>
      <c r="B984" s="362"/>
      <c r="C984" s="362"/>
      <c r="D984" s="362"/>
      <c r="E984" s="132"/>
      <c r="F984" s="131"/>
      <c r="G984" s="361"/>
      <c r="H984" s="363"/>
      <c r="I984" s="364"/>
      <c r="J984" s="361"/>
      <c r="K984" s="361"/>
      <c r="L984" s="361"/>
      <c r="M984" s="361"/>
      <c r="N984" s="361"/>
      <c r="O984" s="361"/>
      <c r="P984" s="361"/>
      <c r="Q984" s="361"/>
      <c r="R984" s="361"/>
      <c r="S984" s="361"/>
      <c r="T984" s="361"/>
      <c r="U984" s="361"/>
      <c r="V984" s="361"/>
      <c r="W984" s="361"/>
      <c r="X984" s="365"/>
      <c r="Y984" s="361"/>
      <c r="Z984" s="361"/>
      <c r="AA984" s="116"/>
      <c r="AB984" s="116"/>
      <c r="AC984" s="116"/>
      <c r="AD984" s="116"/>
      <c r="AE984" s="365"/>
      <c r="AF984" s="116"/>
      <c r="AG984" s="116"/>
      <c r="AH984" s="116"/>
      <c r="AI984" s="116"/>
      <c r="AJ984" s="116"/>
      <c r="AK984" s="116"/>
      <c r="AL984" s="116"/>
    </row>
    <row r="985" ht="16.5" customHeight="1">
      <c r="A985" s="362"/>
      <c r="B985" s="362"/>
      <c r="C985" s="362"/>
      <c r="D985" s="362"/>
      <c r="E985" s="132"/>
      <c r="F985" s="131"/>
      <c r="G985" s="361"/>
      <c r="H985" s="363"/>
      <c r="I985" s="364"/>
      <c r="J985" s="361"/>
      <c r="K985" s="361"/>
      <c r="L985" s="361"/>
      <c r="M985" s="361"/>
      <c r="N985" s="361"/>
      <c r="O985" s="361"/>
      <c r="P985" s="361"/>
      <c r="Q985" s="361"/>
      <c r="R985" s="361"/>
      <c r="S985" s="361"/>
      <c r="T985" s="361"/>
      <c r="U985" s="361"/>
      <c r="V985" s="361"/>
      <c r="W985" s="361"/>
      <c r="X985" s="365"/>
      <c r="Y985" s="361"/>
      <c r="Z985" s="361"/>
      <c r="AA985" s="116"/>
      <c r="AB985" s="116"/>
      <c r="AC985" s="116"/>
      <c r="AD985" s="116"/>
      <c r="AE985" s="365"/>
      <c r="AF985" s="116"/>
      <c r="AG985" s="116"/>
      <c r="AH985" s="116"/>
      <c r="AI985" s="116"/>
      <c r="AJ985" s="116"/>
      <c r="AK985" s="116"/>
      <c r="AL985" s="116"/>
    </row>
    <row r="986" ht="16.5" customHeight="1">
      <c r="A986" s="362"/>
      <c r="B986" s="362"/>
      <c r="C986" s="362"/>
      <c r="D986" s="362"/>
      <c r="E986" s="132"/>
      <c r="F986" s="131"/>
      <c r="G986" s="361"/>
      <c r="H986" s="363"/>
      <c r="I986" s="364"/>
      <c r="J986" s="361"/>
      <c r="K986" s="361"/>
      <c r="L986" s="361"/>
      <c r="M986" s="361"/>
      <c r="N986" s="361"/>
      <c r="O986" s="361"/>
      <c r="P986" s="361"/>
      <c r="Q986" s="361"/>
      <c r="R986" s="361"/>
      <c r="S986" s="361"/>
      <c r="T986" s="361"/>
      <c r="U986" s="361"/>
      <c r="V986" s="361"/>
      <c r="W986" s="361"/>
      <c r="X986" s="365"/>
      <c r="Y986" s="361"/>
      <c r="Z986" s="361"/>
      <c r="AA986" s="116"/>
      <c r="AB986" s="116"/>
      <c r="AC986" s="116"/>
      <c r="AD986" s="116"/>
      <c r="AE986" s="365"/>
      <c r="AF986" s="116"/>
      <c r="AG986" s="116"/>
      <c r="AH986" s="116"/>
      <c r="AI986" s="116"/>
      <c r="AJ986" s="116"/>
      <c r="AK986" s="116"/>
      <c r="AL986" s="116"/>
    </row>
    <row r="987" ht="16.5" customHeight="1">
      <c r="A987" s="362"/>
      <c r="B987" s="362"/>
      <c r="C987" s="362"/>
      <c r="D987" s="362"/>
      <c r="E987" s="132"/>
      <c r="F987" s="131"/>
      <c r="G987" s="361"/>
      <c r="H987" s="363"/>
      <c r="I987" s="364"/>
      <c r="J987" s="361"/>
      <c r="K987" s="361"/>
      <c r="L987" s="361"/>
      <c r="M987" s="361"/>
      <c r="N987" s="361"/>
      <c r="O987" s="361"/>
      <c r="P987" s="361"/>
      <c r="Q987" s="361"/>
      <c r="R987" s="361"/>
      <c r="S987" s="361"/>
      <c r="T987" s="361"/>
      <c r="U987" s="361"/>
      <c r="V987" s="361"/>
      <c r="W987" s="361"/>
      <c r="X987" s="365"/>
      <c r="Y987" s="361"/>
      <c r="Z987" s="361"/>
      <c r="AA987" s="116"/>
      <c r="AB987" s="116"/>
      <c r="AC987" s="116"/>
      <c r="AD987" s="116"/>
      <c r="AE987" s="365"/>
      <c r="AF987" s="116"/>
      <c r="AG987" s="116"/>
      <c r="AH987" s="116"/>
      <c r="AI987" s="116"/>
      <c r="AJ987" s="116"/>
      <c r="AK987" s="116"/>
      <c r="AL987" s="116"/>
    </row>
    <row r="988" ht="16.5" customHeight="1">
      <c r="A988" s="362"/>
      <c r="B988" s="362"/>
      <c r="C988" s="362"/>
      <c r="D988" s="362"/>
      <c r="E988" s="132"/>
      <c r="F988" s="131"/>
      <c r="G988" s="361"/>
      <c r="H988" s="363"/>
      <c r="I988" s="364"/>
      <c r="J988" s="361"/>
      <c r="K988" s="361"/>
      <c r="L988" s="361"/>
      <c r="M988" s="361"/>
      <c r="N988" s="361"/>
      <c r="O988" s="361"/>
      <c r="P988" s="361"/>
      <c r="Q988" s="361"/>
      <c r="R988" s="361"/>
      <c r="S988" s="361"/>
      <c r="T988" s="361"/>
      <c r="U988" s="361"/>
      <c r="V988" s="361"/>
      <c r="W988" s="361"/>
      <c r="X988" s="365"/>
      <c r="Y988" s="361"/>
      <c r="Z988" s="361"/>
      <c r="AA988" s="116"/>
      <c r="AB988" s="116"/>
      <c r="AC988" s="116"/>
      <c r="AD988" s="116"/>
      <c r="AE988" s="365"/>
      <c r="AF988" s="116"/>
      <c r="AG988" s="116"/>
      <c r="AH988" s="116"/>
      <c r="AI988" s="116"/>
      <c r="AJ988" s="116"/>
      <c r="AK988" s="116"/>
      <c r="AL988" s="116"/>
    </row>
    <row r="989" ht="16.5" customHeight="1">
      <c r="A989" s="362"/>
      <c r="B989" s="362"/>
      <c r="C989" s="362"/>
      <c r="D989" s="362"/>
      <c r="E989" s="132"/>
      <c r="F989" s="131"/>
      <c r="G989" s="361"/>
      <c r="H989" s="363"/>
      <c r="I989" s="364"/>
      <c r="J989" s="361"/>
      <c r="K989" s="361"/>
      <c r="L989" s="361"/>
      <c r="M989" s="361"/>
      <c r="N989" s="361"/>
      <c r="O989" s="361"/>
      <c r="P989" s="361"/>
      <c r="Q989" s="361"/>
      <c r="R989" s="361"/>
      <c r="S989" s="361"/>
      <c r="T989" s="361"/>
      <c r="U989" s="361"/>
      <c r="V989" s="361"/>
      <c r="W989" s="361"/>
      <c r="X989" s="365"/>
      <c r="Y989" s="361"/>
      <c r="Z989" s="361"/>
      <c r="AA989" s="116"/>
      <c r="AB989" s="116"/>
      <c r="AC989" s="116"/>
      <c r="AD989" s="116"/>
      <c r="AE989" s="365"/>
      <c r="AF989" s="116"/>
      <c r="AG989" s="116"/>
      <c r="AH989" s="116"/>
      <c r="AI989" s="116"/>
      <c r="AJ989" s="116"/>
      <c r="AK989" s="116"/>
      <c r="AL989" s="116"/>
    </row>
    <row r="990" ht="16.5" customHeight="1">
      <c r="A990" s="362"/>
      <c r="B990" s="362"/>
      <c r="C990" s="362"/>
      <c r="D990" s="362"/>
      <c r="E990" s="132"/>
      <c r="F990" s="131"/>
      <c r="G990" s="361"/>
      <c r="H990" s="363"/>
      <c r="I990" s="364"/>
      <c r="J990" s="361"/>
      <c r="K990" s="361"/>
      <c r="L990" s="361"/>
      <c r="M990" s="361"/>
      <c r="N990" s="361"/>
      <c r="O990" s="361"/>
      <c r="P990" s="361"/>
      <c r="Q990" s="361"/>
      <c r="R990" s="361"/>
      <c r="S990" s="361"/>
      <c r="T990" s="361"/>
      <c r="U990" s="361"/>
      <c r="V990" s="361"/>
      <c r="W990" s="361"/>
      <c r="X990" s="365"/>
      <c r="Y990" s="361"/>
      <c r="Z990" s="361"/>
      <c r="AA990" s="116"/>
      <c r="AB990" s="116"/>
      <c r="AC990" s="116"/>
      <c r="AD990" s="116"/>
      <c r="AE990" s="365"/>
      <c r="AF990" s="116"/>
      <c r="AG990" s="116"/>
      <c r="AH990" s="116"/>
      <c r="AI990" s="116"/>
      <c r="AJ990" s="116"/>
      <c r="AK990" s="116"/>
      <c r="AL990" s="116"/>
    </row>
    <row r="991" ht="16.5" customHeight="1">
      <c r="A991" s="362"/>
      <c r="B991" s="362"/>
      <c r="C991" s="362"/>
      <c r="D991" s="362"/>
      <c r="E991" s="132"/>
      <c r="F991" s="131"/>
      <c r="G991" s="361"/>
      <c r="H991" s="363"/>
      <c r="I991" s="364"/>
      <c r="J991" s="361"/>
      <c r="K991" s="361"/>
      <c r="L991" s="361"/>
      <c r="M991" s="361"/>
      <c r="N991" s="361"/>
      <c r="O991" s="361"/>
      <c r="P991" s="361"/>
      <c r="Q991" s="361"/>
      <c r="R991" s="361"/>
      <c r="S991" s="361"/>
      <c r="T991" s="361"/>
      <c r="U991" s="361"/>
      <c r="V991" s="361"/>
      <c r="W991" s="361"/>
      <c r="X991" s="365"/>
      <c r="Y991" s="361"/>
      <c r="Z991" s="361"/>
      <c r="AA991" s="116"/>
      <c r="AB991" s="116"/>
      <c r="AC991" s="116"/>
      <c r="AD991" s="116"/>
      <c r="AE991" s="365"/>
      <c r="AF991" s="116"/>
      <c r="AG991" s="116"/>
      <c r="AH991" s="116"/>
      <c r="AI991" s="116"/>
      <c r="AJ991" s="116"/>
      <c r="AK991" s="116"/>
      <c r="AL991" s="116"/>
    </row>
    <row r="992" ht="16.5" customHeight="1">
      <c r="A992" s="362"/>
      <c r="B992" s="362"/>
      <c r="C992" s="362"/>
      <c r="D992" s="362"/>
      <c r="E992" s="132"/>
      <c r="F992" s="131"/>
      <c r="G992" s="361"/>
      <c r="H992" s="363"/>
      <c r="I992" s="364"/>
      <c r="J992" s="361"/>
      <c r="K992" s="361"/>
      <c r="L992" s="361"/>
      <c r="M992" s="361"/>
      <c r="N992" s="361"/>
      <c r="O992" s="361"/>
      <c r="P992" s="361"/>
      <c r="Q992" s="361"/>
      <c r="R992" s="361"/>
      <c r="S992" s="361"/>
      <c r="T992" s="361"/>
      <c r="U992" s="361"/>
      <c r="V992" s="361"/>
      <c r="W992" s="361"/>
      <c r="X992" s="365"/>
      <c r="Y992" s="361"/>
      <c r="Z992" s="361"/>
      <c r="AA992" s="116"/>
      <c r="AB992" s="116"/>
      <c r="AC992" s="116"/>
      <c r="AD992" s="116"/>
      <c r="AE992" s="365"/>
      <c r="AF992" s="116"/>
      <c r="AG992" s="116"/>
      <c r="AH992" s="116"/>
      <c r="AI992" s="116"/>
      <c r="AJ992" s="116"/>
      <c r="AK992" s="116"/>
      <c r="AL992" s="116"/>
    </row>
    <row r="993" ht="16.5" customHeight="1">
      <c r="A993" s="362"/>
      <c r="B993" s="362"/>
      <c r="C993" s="362"/>
      <c r="D993" s="362"/>
      <c r="E993" s="132"/>
      <c r="F993" s="131"/>
      <c r="G993" s="361"/>
      <c r="H993" s="363"/>
      <c r="I993" s="364"/>
      <c r="J993" s="361"/>
      <c r="K993" s="361"/>
      <c r="L993" s="361"/>
      <c r="M993" s="361"/>
      <c r="N993" s="361"/>
      <c r="O993" s="361"/>
      <c r="P993" s="361"/>
      <c r="Q993" s="361"/>
      <c r="R993" s="361"/>
      <c r="S993" s="361"/>
      <c r="T993" s="361"/>
      <c r="U993" s="361"/>
      <c r="V993" s="361"/>
      <c r="W993" s="361"/>
      <c r="X993" s="365"/>
      <c r="Y993" s="361"/>
      <c r="Z993" s="361"/>
      <c r="AA993" s="116"/>
      <c r="AB993" s="116"/>
      <c r="AC993" s="116"/>
      <c r="AD993" s="116"/>
      <c r="AE993" s="365"/>
      <c r="AF993" s="116"/>
      <c r="AG993" s="116"/>
      <c r="AH993" s="116"/>
      <c r="AI993" s="116"/>
      <c r="AJ993" s="116"/>
      <c r="AK993" s="116"/>
      <c r="AL993" s="116"/>
    </row>
    <row r="994" ht="16.5" customHeight="1">
      <c r="A994" s="362"/>
      <c r="B994" s="362"/>
      <c r="C994" s="362"/>
      <c r="D994" s="362"/>
      <c r="E994" s="132"/>
      <c r="F994" s="131"/>
      <c r="G994" s="361"/>
      <c r="H994" s="363"/>
      <c r="I994" s="364"/>
      <c r="J994" s="361"/>
      <c r="K994" s="361"/>
      <c r="L994" s="361"/>
      <c r="M994" s="361"/>
      <c r="N994" s="361"/>
      <c r="O994" s="361"/>
      <c r="P994" s="361"/>
      <c r="Q994" s="361"/>
      <c r="R994" s="361"/>
      <c r="S994" s="361"/>
      <c r="T994" s="361"/>
      <c r="U994" s="361"/>
      <c r="V994" s="361"/>
      <c r="W994" s="361"/>
      <c r="X994" s="365"/>
      <c r="Y994" s="361"/>
      <c r="Z994" s="361"/>
      <c r="AA994" s="116"/>
      <c r="AB994" s="116"/>
      <c r="AC994" s="116"/>
      <c r="AD994" s="116"/>
      <c r="AE994" s="365"/>
      <c r="AF994" s="116"/>
      <c r="AG994" s="116"/>
      <c r="AH994" s="116"/>
      <c r="AI994" s="116"/>
      <c r="AJ994" s="116"/>
      <c r="AK994" s="116"/>
      <c r="AL994" s="116"/>
    </row>
    <row r="995" ht="16.5" customHeight="1">
      <c r="A995" s="362"/>
      <c r="B995" s="362"/>
      <c r="C995" s="362"/>
      <c r="D995" s="362"/>
      <c r="E995" s="132"/>
      <c r="F995" s="131"/>
      <c r="G995" s="361"/>
      <c r="H995" s="363"/>
      <c r="I995" s="364"/>
      <c r="J995" s="361"/>
      <c r="K995" s="361"/>
      <c r="L995" s="361"/>
      <c r="M995" s="361"/>
      <c r="N995" s="361"/>
      <c r="O995" s="361"/>
      <c r="P995" s="361"/>
      <c r="Q995" s="361"/>
      <c r="R995" s="361"/>
      <c r="S995" s="361"/>
      <c r="T995" s="361"/>
      <c r="U995" s="361"/>
      <c r="V995" s="361"/>
      <c r="W995" s="361"/>
      <c r="X995" s="365"/>
      <c r="Y995" s="361"/>
      <c r="Z995" s="361"/>
      <c r="AA995" s="116"/>
      <c r="AB995" s="116"/>
      <c r="AC995" s="116"/>
      <c r="AD995" s="116"/>
      <c r="AE995" s="365"/>
      <c r="AF995" s="116"/>
      <c r="AG995" s="116"/>
      <c r="AH995" s="116"/>
      <c r="AI995" s="116"/>
      <c r="AJ995" s="116"/>
      <c r="AK995" s="116"/>
      <c r="AL995" s="116"/>
    </row>
    <row r="996" ht="16.5" customHeight="1">
      <c r="A996" s="362"/>
      <c r="B996" s="362"/>
      <c r="C996" s="362"/>
      <c r="D996" s="362"/>
      <c r="E996" s="132"/>
      <c r="F996" s="131"/>
      <c r="G996" s="361"/>
      <c r="H996" s="363"/>
      <c r="I996" s="364"/>
      <c r="J996" s="361"/>
      <c r="K996" s="361"/>
      <c r="L996" s="361"/>
      <c r="M996" s="361"/>
      <c r="N996" s="361"/>
      <c r="O996" s="361"/>
      <c r="P996" s="361"/>
      <c r="Q996" s="361"/>
      <c r="R996" s="361"/>
      <c r="S996" s="361"/>
      <c r="T996" s="361"/>
      <c r="U996" s="361"/>
      <c r="V996" s="361"/>
      <c r="W996" s="361"/>
      <c r="X996" s="365"/>
      <c r="Y996" s="361"/>
      <c r="Z996" s="361"/>
      <c r="AA996" s="116"/>
      <c r="AB996" s="116"/>
      <c r="AC996" s="116"/>
      <c r="AD996" s="116"/>
      <c r="AE996" s="365"/>
      <c r="AF996" s="116"/>
      <c r="AG996" s="116"/>
      <c r="AH996" s="116"/>
      <c r="AI996" s="116"/>
      <c r="AJ996" s="116"/>
      <c r="AK996" s="116"/>
      <c r="AL996" s="116"/>
    </row>
    <row r="997" ht="16.5" customHeight="1">
      <c r="A997" s="362"/>
      <c r="B997" s="362"/>
      <c r="C997" s="362"/>
      <c r="D997" s="362"/>
      <c r="E997" s="132"/>
      <c r="F997" s="131"/>
      <c r="G997" s="361"/>
      <c r="H997" s="363"/>
      <c r="I997" s="364"/>
      <c r="J997" s="361"/>
      <c r="K997" s="361"/>
      <c r="L997" s="361"/>
      <c r="M997" s="361"/>
      <c r="N997" s="361"/>
      <c r="O997" s="361"/>
      <c r="P997" s="361"/>
      <c r="Q997" s="361"/>
      <c r="R997" s="361"/>
      <c r="S997" s="361"/>
      <c r="T997" s="361"/>
      <c r="U997" s="361"/>
      <c r="V997" s="361"/>
      <c r="W997" s="361"/>
      <c r="X997" s="365"/>
      <c r="Y997" s="361"/>
      <c r="Z997" s="361"/>
      <c r="AA997" s="116"/>
      <c r="AB997" s="116"/>
      <c r="AC997" s="116"/>
      <c r="AD997" s="116"/>
      <c r="AE997" s="365"/>
      <c r="AF997" s="116"/>
      <c r="AG997" s="116"/>
      <c r="AH997" s="116"/>
      <c r="AI997" s="116"/>
      <c r="AJ997" s="116"/>
      <c r="AK997" s="116"/>
      <c r="AL997" s="116"/>
    </row>
    <row r="998" ht="16.5" customHeight="1">
      <c r="A998" s="362"/>
      <c r="B998" s="362"/>
      <c r="C998" s="362"/>
      <c r="D998" s="362"/>
      <c r="E998" s="132"/>
      <c r="F998" s="131"/>
      <c r="G998" s="361"/>
      <c r="H998" s="363"/>
      <c r="I998" s="364"/>
      <c r="J998" s="361"/>
      <c r="K998" s="361"/>
      <c r="L998" s="361"/>
      <c r="M998" s="361"/>
      <c r="N998" s="361"/>
      <c r="O998" s="361"/>
      <c r="P998" s="361"/>
      <c r="Q998" s="361"/>
      <c r="R998" s="361"/>
      <c r="S998" s="361"/>
      <c r="T998" s="361"/>
      <c r="U998" s="361"/>
      <c r="V998" s="361"/>
      <c r="W998" s="361"/>
      <c r="X998" s="365"/>
      <c r="Y998" s="361"/>
      <c r="Z998" s="361"/>
      <c r="AA998" s="116"/>
      <c r="AB998" s="116"/>
      <c r="AC998" s="116"/>
      <c r="AD998" s="116"/>
      <c r="AE998" s="365"/>
      <c r="AF998" s="116"/>
      <c r="AG998" s="116"/>
      <c r="AH998" s="116"/>
      <c r="AI998" s="116"/>
      <c r="AJ998" s="116"/>
      <c r="AK998" s="116"/>
      <c r="AL998" s="116"/>
    </row>
    <row r="999" ht="16.5" customHeight="1">
      <c r="A999" s="362"/>
      <c r="B999" s="362"/>
      <c r="C999" s="362"/>
      <c r="D999" s="362"/>
      <c r="E999" s="132"/>
      <c r="F999" s="131"/>
      <c r="G999" s="361"/>
      <c r="H999" s="363"/>
      <c r="I999" s="364"/>
      <c r="J999" s="361"/>
      <c r="K999" s="361"/>
      <c r="L999" s="361"/>
      <c r="M999" s="361"/>
      <c r="N999" s="361"/>
      <c r="O999" s="361"/>
      <c r="P999" s="361"/>
      <c r="Q999" s="361"/>
      <c r="R999" s="361"/>
      <c r="S999" s="361"/>
      <c r="T999" s="361"/>
      <c r="U999" s="361"/>
      <c r="V999" s="361"/>
      <c r="W999" s="361"/>
      <c r="X999" s="365"/>
      <c r="Y999" s="361"/>
      <c r="Z999" s="361"/>
      <c r="AA999" s="116"/>
      <c r="AB999" s="116"/>
      <c r="AC999" s="116"/>
      <c r="AD999" s="116"/>
      <c r="AE999" s="365"/>
      <c r="AF999" s="116"/>
      <c r="AG999" s="116"/>
      <c r="AH999" s="116"/>
      <c r="AI999" s="116"/>
      <c r="AJ999" s="116"/>
      <c r="AK999" s="116"/>
      <c r="AL999" s="116"/>
    </row>
    <row r="1000" ht="16.5" customHeight="1">
      <c r="A1000" s="362"/>
      <c r="B1000" s="362"/>
      <c r="C1000" s="362"/>
      <c r="D1000" s="362"/>
      <c r="E1000" s="132"/>
      <c r="F1000" s="131"/>
      <c r="G1000" s="361"/>
      <c r="H1000" s="363"/>
      <c r="I1000" s="364"/>
      <c r="J1000" s="361"/>
      <c r="K1000" s="361"/>
      <c r="L1000" s="361"/>
      <c r="M1000" s="361"/>
      <c r="N1000" s="361"/>
      <c r="O1000" s="361"/>
      <c r="P1000" s="361"/>
      <c r="Q1000" s="361"/>
      <c r="R1000" s="361"/>
      <c r="S1000" s="361"/>
      <c r="T1000" s="361"/>
      <c r="U1000" s="361"/>
      <c r="V1000" s="361"/>
      <c r="W1000" s="361"/>
      <c r="X1000" s="365"/>
      <c r="Y1000" s="361"/>
      <c r="Z1000" s="361"/>
      <c r="AA1000" s="116"/>
      <c r="AB1000" s="116"/>
      <c r="AC1000" s="116"/>
      <c r="AD1000" s="116"/>
      <c r="AE1000" s="365"/>
      <c r="AF1000" s="116"/>
      <c r="AG1000" s="116"/>
      <c r="AH1000" s="116"/>
      <c r="AI1000" s="116"/>
      <c r="AJ1000" s="116"/>
      <c r="AK1000" s="116"/>
      <c r="AL1000" s="116"/>
    </row>
  </sheetData>
  <mergeCells count="4">
    <mergeCell ref="H1:I1"/>
    <mergeCell ref="L2:L24"/>
    <mergeCell ref="W2:W24"/>
    <mergeCell ref="AD2:AD24"/>
  </mergeCells>
  <conditionalFormatting sqref="H2:I24">
    <cfRule type="cellIs" dxfId="21" priority="1" operator="equal">
      <formula>"/"</formula>
    </cfRule>
  </conditionalFormatting>
  <conditionalFormatting sqref="H2:I24">
    <cfRule type="cellIs" dxfId="4" priority="2" operator="lessThan">
      <formula>0</formula>
    </cfRule>
  </conditionalFormatting>
  <conditionalFormatting sqref="H2:I24">
    <cfRule type="cellIs" dxfId="22" priority="3" operator="greaterThan">
      <formula>0</formula>
    </cfRule>
  </conditionalFormatting>
  <conditionalFormatting sqref="F2:F24">
    <cfRule type="expression" dxfId="27" priority="4">
      <formula>$H$1="差距(UQ)"</formula>
    </cfRule>
  </conditionalFormatting>
  <conditionalFormatting sqref="Q11:V11">
    <cfRule type="expression" dxfId="29" priority="5">
      <formula>MOD(ROW(),2)=0</formula>
    </cfRule>
  </conditionalFormatting>
  <conditionalFormatting sqref="W2">
    <cfRule type="expression" dxfId="28" priority="6">
      <formula>MOD(ROW(),2)=0</formula>
    </cfRule>
  </conditionalFormatting>
  <conditionalFormatting sqref="W2 AD2 AK2:AK24">
    <cfRule type="expression" dxfId="7" priority="7">
      <formula>TRUE</formula>
    </cfRule>
  </conditionalFormatting>
  <conditionalFormatting sqref="AL2:AL24">
    <cfRule type="expression" dxfId="29" priority="8">
      <formula>MOD(ROW(),2)=0</formula>
    </cfRule>
  </conditionalFormatting>
  <conditionalFormatting sqref="K2:K24 R2:V24">
    <cfRule type="cellIs" dxfId="24" priority="9" operator="equal">
      <formula>2</formula>
    </cfRule>
  </conditionalFormatting>
  <conditionalFormatting sqref="K2:K24 R2:V24">
    <cfRule type="cellIs" dxfId="26" priority="10" operator="equal">
      <formula>1</formula>
    </cfRule>
  </conditionalFormatting>
  <conditionalFormatting sqref="K2:K24 R2:V24">
    <cfRule type="cellIs" dxfId="25" priority="11" operator="equal">
      <formula>0</formula>
    </cfRule>
  </conditionalFormatting>
  <dataValidations>
    <dataValidation type="list" allowBlank="1" showErrorMessage="1" sqref="W2">
      <formula1>'選單'!$I$1:$I$3</formula1>
    </dataValidation>
  </dataValidations>
  <hyperlinks>
    <hyperlink r:id="rId2" ref="A36"/>
  </hyperlinks>
  <printOptions/>
  <pageMargins bottom="0.75" footer="0.0" header="0.0" left="0.7" right="0.7" top="0.75"/>
  <pageSetup paperSize="9" orientation="portrait"/>
  <drawing r:id="rId3"/>
  <legacy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8" width="7.78"/>
    <col customWidth="1" min="9" max="10" width="7.67"/>
    <col customWidth="1" min="11" max="11" width="4.89"/>
    <col customWidth="1" min="12" max="12" width="4.67"/>
    <col customWidth="1" min="13" max="13" width="9.78"/>
    <col customWidth="1" min="14" max="23" width="2.22"/>
    <col customWidth="1" min="24" max="24" width="8.89"/>
    <col customWidth="1" min="25" max="30" width="6.33"/>
    <col customWidth="1" min="31" max="31" width="8.89"/>
    <col customWidth="1" min="32" max="37" width="6.33"/>
    <col customWidth="1" min="38" max="38" width="3.11"/>
    <col customWidth="1" min="39" max="39" width="8.11"/>
  </cols>
  <sheetData>
    <row r="1" ht="18.0" customHeight="1">
      <c r="A1" s="366" t="s">
        <v>1056</v>
      </c>
      <c r="B1" s="366" t="s">
        <v>1066</v>
      </c>
      <c r="C1" s="366" t="s">
        <v>1057</v>
      </c>
      <c r="D1" s="366"/>
      <c r="E1" s="367" t="s">
        <v>44</v>
      </c>
      <c r="F1" s="367" t="s">
        <v>46</v>
      </c>
      <c r="G1" s="367" t="s">
        <v>47</v>
      </c>
      <c r="H1" s="367" t="s">
        <v>48</v>
      </c>
      <c r="I1" s="368" t="s">
        <v>157</v>
      </c>
      <c r="J1" s="185"/>
      <c r="K1" s="367" t="s">
        <v>49</v>
      </c>
      <c r="L1" s="367" t="s">
        <v>955</v>
      </c>
      <c r="M1" s="367" t="s">
        <v>1067</v>
      </c>
      <c r="N1" s="367" t="s">
        <v>1058</v>
      </c>
      <c r="O1" s="367" t="s">
        <v>1059</v>
      </c>
      <c r="P1" s="367" t="s">
        <v>1060</v>
      </c>
      <c r="Q1" s="367" t="s">
        <v>1061</v>
      </c>
      <c r="R1" s="367" t="s">
        <v>218</v>
      </c>
      <c r="S1" s="367" t="s">
        <v>1058</v>
      </c>
      <c r="T1" s="367" t="s">
        <v>1059</v>
      </c>
      <c r="U1" s="367" t="s">
        <v>1060</v>
      </c>
      <c r="V1" s="367" t="s">
        <v>1061</v>
      </c>
      <c r="W1" s="367" t="s">
        <v>218</v>
      </c>
      <c r="X1" s="367" t="s">
        <v>50</v>
      </c>
      <c r="Y1" s="367" t="s">
        <v>1068</v>
      </c>
      <c r="Z1" s="367" t="s">
        <v>39</v>
      </c>
      <c r="AA1" s="367" t="s">
        <v>1069</v>
      </c>
      <c r="AB1" s="367" t="s">
        <v>1070</v>
      </c>
      <c r="AC1" s="367" t="s">
        <v>1071</v>
      </c>
      <c r="AD1" s="367" t="s">
        <v>1072</v>
      </c>
      <c r="AE1" s="367" t="s">
        <v>1073</v>
      </c>
      <c r="AF1" s="367" t="s">
        <v>1068</v>
      </c>
      <c r="AG1" s="367" t="s">
        <v>39</v>
      </c>
      <c r="AH1" s="367" t="s">
        <v>1069</v>
      </c>
      <c r="AI1" s="367" t="s">
        <v>1070</v>
      </c>
      <c r="AJ1" s="367" t="s">
        <v>1071</v>
      </c>
      <c r="AK1" s="367" t="s">
        <v>1072</v>
      </c>
      <c r="AL1" s="367"/>
      <c r="AM1" s="367"/>
    </row>
    <row r="2" ht="18.0" customHeight="1">
      <c r="A2" s="351" t="s">
        <v>774</v>
      </c>
      <c r="B2" s="351" t="s">
        <v>1154</v>
      </c>
      <c r="C2" s="351" t="s">
        <v>763</v>
      </c>
      <c r="D2" s="351" t="s">
        <v>1649</v>
      </c>
      <c r="E2" s="352" t="s">
        <v>775</v>
      </c>
      <c r="F2" s="369">
        <v>16.0</v>
      </c>
      <c r="G2" s="369">
        <v>14.0</v>
      </c>
      <c r="H2" s="354">
        <f>'計分版'!D340</f>
        <v>0.00000000195</v>
      </c>
      <c r="I2" s="355">
        <f t="shared" ref="I2:I18" si="1">IF(I$1="差距(Median)",H2-F2,IF(I$1="差距(UQ)",H2-#REF!,IF(I$1="差距(LQ)",H2-G2)))</f>
        <v>-16</v>
      </c>
      <c r="J2" s="356">
        <f t="shared" ref="J2:J18" si="2">IF(I$1="差距(Median)",(H2-F2)/H2,IF(I$1="差距(UQ)",(H2-#REF!)/H2,IF(I$1="差距(LQ)",(H2-G2)/H2)))</f>
        <v>-8205128204</v>
      </c>
      <c r="K2" s="353">
        <v>90.0</v>
      </c>
      <c r="L2" s="357">
        <f>'入學要求'!S326</f>
        <v>0</v>
      </c>
      <c r="M2" s="352" t="s">
        <v>541</v>
      </c>
      <c r="N2" s="352">
        <v>3.0</v>
      </c>
      <c r="O2" s="352">
        <v>3.0</v>
      </c>
      <c r="P2" s="352">
        <v>2.0</v>
      </c>
      <c r="Q2" s="352">
        <v>2.0</v>
      </c>
      <c r="R2" s="352">
        <v>2.0</v>
      </c>
      <c r="S2" s="358">
        <f>'入學要求'!L326</f>
        <v>0</v>
      </c>
      <c r="T2" s="358">
        <f>'入學要求'!M326</f>
        <v>0</v>
      </c>
      <c r="U2" s="358">
        <f>'入學要求'!N326</f>
        <v>0</v>
      </c>
      <c r="V2" s="358">
        <f>'入學要求'!O326</f>
        <v>0</v>
      </c>
      <c r="W2" s="358">
        <f>'入學要求'!P326</f>
        <v>0</v>
      </c>
      <c r="X2" s="196" t="s">
        <v>38</v>
      </c>
      <c r="Y2" s="353">
        <f>IF($X$2="2018年",'Offer Statistics'!EV2,IF($X$2="2019年",'Offer Statistics'!EV38,IF($X$2="2020年",'Offer Statistics'!EV74)))</f>
        <v>312</v>
      </c>
      <c r="Z2" s="359">
        <f>IF($X$2="2018年",'Offer Statistics'!EQ2,IF($X$2="2019年",'Offer Statistics'!EQ38,IF($X$2="2020年",'Offer Statistics'!EQ74)))</f>
        <v>133</v>
      </c>
      <c r="AA2" s="359">
        <f>IF($X$2="2018年",'Offer Statistics'!ER2,IF($X$2="2019年",'Offer Statistics'!ER38,IF($X$2="2020年",'Offer Statistics'!ER74)))</f>
        <v>65</v>
      </c>
      <c r="AB2" s="359">
        <f>IF($X$2="2018年",'Offer Statistics'!ES2,IF($X$2="2019年",'Offer Statistics'!ES38,IF($X$2="2020年",'Offer Statistics'!ES74)))</f>
        <v>38</v>
      </c>
      <c r="AC2" s="359">
        <f>IF($X$2="2018年",'Offer Statistics'!ET2,IF($X$2="2019年",'Offer Statistics'!ET38,IF($X$2="2020年",'Offer Statistics'!ET74)))</f>
        <v>48</v>
      </c>
      <c r="AD2" s="359">
        <f>IF($X$2="2018年",'Offer Statistics'!EU2,IF($X$2="2019年",'Offer Statistics'!EU38,IF($X$2="2020年",'Offer Statistics'!EU74)))</f>
        <v>28</v>
      </c>
      <c r="AE2" s="196" t="str">
        <f>X2</f>
        <v>2020年</v>
      </c>
      <c r="AF2" s="353">
        <f>IF($X$2="2018年",'Offer Statistics'!EN2,IF($X$2="2019年",'Offer Statistics'!EN38,IF($X$2="2020年",'Offer Statistics'!EN74)))</f>
        <v>5474</v>
      </c>
      <c r="AG2" s="359">
        <f>IF($X$2="2018年",'Offer Statistics'!EI2,IF($X$2="2019年",'Offer Statistics'!EI38,IF($X$2="2020年",'Offer Statistics'!EI74)))</f>
        <v>626</v>
      </c>
      <c r="AH2" s="359">
        <f>IF($X$2="2018年",'Offer Statistics'!EJ2,IF($X$2="2019年",'Offer Statistics'!EJ38,IF($X$2="2020年",'Offer Statistics'!EJ74)))</f>
        <v>979</v>
      </c>
      <c r="AI2" s="359">
        <f>IF($X$2="2018年",'Offer Statistics'!EK2,IF($X$2="2019年",'Offer Statistics'!EK38,IF($X$2="2020年",'Offer Statistics'!EK74)))</f>
        <v>1135</v>
      </c>
      <c r="AJ2" s="359">
        <f>IF($X$2="2018年",'Offer Statistics'!EL2,IF($X$2="2019年",'Offer Statistics'!EL38,IF($X$2="2020年",'Offer Statistics'!EL74)))</f>
        <v>1339</v>
      </c>
      <c r="AK2" s="359">
        <f>IF($X$2="2018年",'Offer Statistics'!EM2,IF($X$2="2019年",'Offer Statistics'!EM38,IF($X$2="2020年",'Offer Statistics'!EM74)))</f>
        <v>1395</v>
      </c>
      <c r="AL2" s="352"/>
      <c r="AM2" s="352" t="str">
        <f t="shared" ref="AM2:AM36" si="3">A2</f>
        <v>JS9001</v>
      </c>
    </row>
    <row r="3" ht="18.0" customHeight="1">
      <c r="A3" s="142" t="s">
        <v>776</v>
      </c>
      <c r="B3" s="142" t="s">
        <v>1154</v>
      </c>
      <c r="C3" s="142" t="s">
        <v>777</v>
      </c>
      <c r="D3" s="142" t="s">
        <v>1650</v>
      </c>
      <c r="E3" s="131" t="s">
        <v>775</v>
      </c>
      <c r="F3" s="199">
        <v>17.0</v>
      </c>
      <c r="G3" s="199">
        <v>16.0</v>
      </c>
      <c r="H3" s="200">
        <f>'計分版'!D341</f>
        <v>0.00000000195</v>
      </c>
      <c r="I3" s="201">
        <f t="shared" si="1"/>
        <v>-17</v>
      </c>
      <c r="J3" s="202">
        <f t="shared" si="2"/>
        <v>-8717948717</v>
      </c>
      <c r="K3" s="132">
        <v>27.0</v>
      </c>
      <c r="L3" s="203">
        <f>'入學要求'!S327</f>
        <v>0</v>
      </c>
      <c r="M3" s="131" t="s">
        <v>541</v>
      </c>
      <c r="N3" s="131">
        <v>3.0</v>
      </c>
      <c r="O3" s="131">
        <v>3.0</v>
      </c>
      <c r="P3" s="131">
        <v>2.0</v>
      </c>
      <c r="Q3" s="131">
        <v>2.0</v>
      </c>
      <c r="R3" s="131">
        <v>2.0</v>
      </c>
      <c r="S3" s="204">
        <f>'入學要求'!L327</f>
        <v>0</v>
      </c>
      <c r="T3" s="204">
        <f>'入學要求'!M327</f>
        <v>0</v>
      </c>
      <c r="U3" s="204">
        <f>'入學要求'!N327</f>
        <v>0</v>
      </c>
      <c r="V3" s="204">
        <f>'入學要求'!O327</f>
        <v>0</v>
      </c>
      <c r="W3" s="204">
        <f>'入學要求'!P327</f>
        <v>0</v>
      </c>
      <c r="X3" s="205"/>
      <c r="Y3" s="132">
        <f>IF($X$2="2018年",'Offer Statistics'!EV3,IF($X$2="2019年",'Offer Statistics'!EV39,IF($X$2="2020年",'Offer Statistics'!EV75)))</f>
        <v>82</v>
      </c>
      <c r="Z3" s="206">
        <f>IF($X$2="2018年",'Offer Statistics'!EQ3,IF($X$2="2019年",'Offer Statistics'!EQ39,IF($X$2="2020年",'Offer Statistics'!EQ75)))</f>
        <v>32</v>
      </c>
      <c r="AA3" s="206">
        <f>IF($X$2="2018年",'Offer Statistics'!ER3,IF($X$2="2019年",'Offer Statistics'!ER39,IF($X$2="2020年",'Offer Statistics'!ER75)))</f>
        <v>18</v>
      </c>
      <c r="AB3" s="206">
        <f>IF($X$2="2018年",'Offer Statistics'!ES3,IF($X$2="2019年",'Offer Statistics'!ES39,IF($X$2="2020年",'Offer Statistics'!ES75)))</f>
        <v>9</v>
      </c>
      <c r="AC3" s="206">
        <f>IF($X$2="2018年",'Offer Statistics'!ET3,IF($X$2="2019年",'Offer Statistics'!ET39,IF($X$2="2020年",'Offer Statistics'!ET75)))</f>
        <v>8</v>
      </c>
      <c r="AD3" s="206">
        <f>IF($X$2="2018年",'Offer Statistics'!EU3,IF($X$2="2019年",'Offer Statistics'!EU39,IF($X$2="2020年",'Offer Statistics'!EU75)))</f>
        <v>15</v>
      </c>
      <c r="AE3" s="205"/>
      <c r="AF3" s="132">
        <f>IF($X$2="2018年",'Offer Statistics'!EN3,IF($X$2="2019年",'Offer Statistics'!EN39,IF($X$2="2020年",'Offer Statistics'!EN75)))</f>
        <v>1678</v>
      </c>
      <c r="AG3" s="206">
        <f>IF($X$2="2018年",'Offer Statistics'!EI3,IF($X$2="2019年",'Offer Statistics'!EI39,IF($X$2="2020年",'Offer Statistics'!EI75)))</f>
        <v>149</v>
      </c>
      <c r="AH3" s="206">
        <f>IF($X$2="2018年",'Offer Statistics'!EJ3,IF($X$2="2019年",'Offer Statistics'!EJ39,IF($X$2="2020年",'Offer Statistics'!EJ75)))</f>
        <v>259</v>
      </c>
      <c r="AI3" s="206">
        <f>IF($X$2="2018年",'Offer Statistics'!EK3,IF($X$2="2019年",'Offer Statistics'!EK39,IF($X$2="2020年",'Offer Statistics'!EK75)))</f>
        <v>350</v>
      </c>
      <c r="AJ3" s="206">
        <f>IF($X$2="2018年",'Offer Statistics'!EL3,IF($X$2="2019年",'Offer Statistics'!EL39,IF($X$2="2020年",'Offer Statistics'!EL75)))</f>
        <v>436</v>
      </c>
      <c r="AK3" s="206">
        <f>IF($X$2="2018年",'Offer Statistics'!EM3,IF($X$2="2019年",'Offer Statistics'!EM39,IF($X$2="2020年",'Offer Statistics'!EM75)))</f>
        <v>484</v>
      </c>
      <c r="AL3" s="131"/>
      <c r="AM3" s="131" t="str">
        <f t="shared" si="3"/>
        <v>JS9003</v>
      </c>
    </row>
    <row r="4" ht="18.0" customHeight="1">
      <c r="A4" s="351" t="s">
        <v>778</v>
      </c>
      <c r="B4" s="351" t="s">
        <v>1154</v>
      </c>
      <c r="C4" s="351" t="s">
        <v>779</v>
      </c>
      <c r="D4" s="351" t="s">
        <v>1651</v>
      </c>
      <c r="E4" s="352" t="s">
        <v>775</v>
      </c>
      <c r="F4" s="369">
        <v>18.0</v>
      </c>
      <c r="G4" s="369">
        <v>17.0</v>
      </c>
      <c r="H4" s="354">
        <f>'計分版'!D342</f>
        <v>0.00000000195</v>
      </c>
      <c r="I4" s="355">
        <f t="shared" si="1"/>
        <v>-18</v>
      </c>
      <c r="J4" s="356">
        <f t="shared" si="2"/>
        <v>-9230769230</v>
      </c>
      <c r="K4" s="353">
        <v>36.0</v>
      </c>
      <c r="L4" s="370">
        <f>'入學要求'!S328</f>
        <v>0</v>
      </c>
      <c r="M4" s="352" t="s">
        <v>541</v>
      </c>
      <c r="N4" s="352">
        <v>3.0</v>
      </c>
      <c r="O4" s="352">
        <v>3.0</v>
      </c>
      <c r="P4" s="352">
        <v>2.0</v>
      </c>
      <c r="Q4" s="352">
        <v>2.0</v>
      </c>
      <c r="R4" s="352">
        <v>2.0</v>
      </c>
      <c r="S4" s="358">
        <f>'入學要求'!L328</f>
        <v>0</v>
      </c>
      <c r="T4" s="358">
        <f>'入學要求'!M328</f>
        <v>0</v>
      </c>
      <c r="U4" s="358">
        <f>'入學要求'!N328</f>
        <v>0</v>
      </c>
      <c r="V4" s="358">
        <f>'入學要求'!O328</f>
        <v>0</v>
      </c>
      <c r="W4" s="358">
        <f>'入學要求'!P328</f>
        <v>0</v>
      </c>
      <c r="X4" s="205"/>
      <c r="Y4" s="353">
        <f>IF($X$2="2018年",'Offer Statistics'!EV4,IF($X$2="2019年",'Offer Statistics'!EV40,IF($X$2="2020年",'Offer Statistics'!EV76)))</f>
        <v>88</v>
      </c>
      <c r="Z4" s="359">
        <f>IF($X$2="2018年",'Offer Statistics'!EQ4,IF($X$2="2019年",'Offer Statistics'!EQ40,IF($X$2="2020年",'Offer Statistics'!EQ76)))</f>
        <v>44</v>
      </c>
      <c r="AA4" s="359">
        <f>IF($X$2="2018年",'Offer Statistics'!ER4,IF($X$2="2019年",'Offer Statistics'!ER40,IF($X$2="2020年",'Offer Statistics'!ER76)))</f>
        <v>19</v>
      </c>
      <c r="AB4" s="359">
        <f>IF($X$2="2018年",'Offer Statistics'!ES4,IF($X$2="2019年",'Offer Statistics'!ES40,IF($X$2="2020年",'Offer Statistics'!ES76)))</f>
        <v>8</v>
      </c>
      <c r="AC4" s="359">
        <f>IF($X$2="2018年",'Offer Statistics'!ET4,IF($X$2="2019年",'Offer Statistics'!ET40,IF($X$2="2020年",'Offer Statistics'!ET76)))</f>
        <v>8</v>
      </c>
      <c r="AD4" s="359">
        <f>IF($X$2="2018年",'Offer Statistics'!EU4,IF($X$2="2019年",'Offer Statistics'!EU40,IF($X$2="2020年",'Offer Statistics'!EU76)))</f>
        <v>9</v>
      </c>
      <c r="AE4" s="205"/>
      <c r="AF4" s="353">
        <f>IF($X$2="2018年",'Offer Statistics'!EN4,IF($X$2="2019年",'Offer Statistics'!EN40,IF($X$2="2020年",'Offer Statistics'!EN76)))</f>
        <v>2542</v>
      </c>
      <c r="AG4" s="359">
        <f>IF($X$2="2018年",'Offer Statistics'!EI4,IF($X$2="2019年",'Offer Statistics'!EI40,IF($X$2="2020年",'Offer Statistics'!EI76)))</f>
        <v>236</v>
      </c>
      <c r="AH4" s="359">
        <f>IF($X$2="2018年",'Offer Statistics'!EJ4,IF($X$2="2019年",'Offer Statistics'!EJ40,IF($X$2="2020年",'Offer Statistics'!EJ76)))</f>
        <v>382</v>
      </c>
      <c r="AI4" s="359">
        <f>IF($X$2="2018年",'Offer Statistics'!EK4,IF($X$2="2019年",'Offer Statistics'!EK40,IF($X$2="2020年",'Offer Statistics'!EK76)))</f>
        <v>542</v>
      </c>
      <c r="AJ4" s="359">
        <f>IF($X$2="2018年",'Offer Statistics'!EL4,IF($X$2="2019年",'Offer Statistics'!EL40,IF($X$2="2020年",'Offer Statistics'!EL76)))</f>
        <v>687</v>
      </c>
      <c r="AK4" s="359">
        <f>IF($X$2="2018年",'Offer Statistics'!EM4,IF($X$2="2019年",'Offer Statistics'!EM40,IF($X$2="2020年",'Offer Statistics'!EM76)))</f>
        <v>695</v>
      </c>
      <c r="AL4" s="352"/>
      <c r="AM4" s="352" t="str">
        <f t="shared" si="3"/>
        <v>JS9004</v>
      </c>
    </row>
    <row r="5" ht="18.0" customHeight="1">
      <c r="A5" s="142" t="s">
        <v>780</v>
      </c>
      <c r="B5" s="142" t="s">
        <v>1154</v>
      </c>
      <c r="C5" s="142" t="s">
        <v>781</v>
      </c>
      <c r="D5" s="142" t="s">
        <v>1652</v>
      </c>
      <c r="E5" s="131" t="s">
        <v>775</v>
      </c>
      <c r="F5" s="199">
        <v>16.0</v>
      </c>
      <c r="G5" s="199">
        <v>15.0</v>
      </c>
      <c r="H5" s="200">
        <f>'計分版'!D343</f>
        <v>0.00000000195</v>
      </c>
      <c r="I5" s="201">
        <f t="shared" si="1"/>
        <v>-16</v>
      </c>
      <c r="J5" s="202">
        <f t="shared" si="2"/>
        <v>-8205128204</v>
      </c>
      <c r="K5" s="132">
        <v>20.0</v>
      </c>
      <c r="L5" s="203">
        <f>'入學要求'!S329</f>
        <v>0</v>
      </c>
      <c r="M5" s="131" t="s">
        <v>541</v>
      </c>
      <c r="N5" s="131">
        <v>3.0</v>
      </c>
      <c r="O5" s="131">
        <v>3.0</v>
      </c>
      <c r="P5" s="131">
        <v>2.0</v>
      </c>
      <c r="Q5" s="131">
        <v>2.0</v>
      </c>
      <c r="R5" s="131">
        <v>2.0</v>
      </c>
      <c r="S5" s="204">
        <f>'入學要求'!L329</f>
        <v>0</v>
      </c>
      <c r="T5" s="204">
        <f>'入學要求'!M329</f>
        <v>0</v>
      </c>
      <c r="U5" s="204">
        <f>'入學要求'!N329</f>
        <v>0</v>
      </c>
      <c r="V5" s="204">
        <f>'入學要求'!O329</f>
        <v>0</v>
      </c>
      <c r="W5" s="204">
        <f>'入學要求'!P329</f>
        <v>0</v>
      </c>
      <c r="X5" s="205"/>
      <c r="Y5" s="132">
        <f>IF($X$2="2018年",'Offer Statistics'!EV5,IF($X$2="2019年",'Offer Statistics'!EV41,IF($X$2="2020年",'Offer Statistics'!EV77)))</f>
        <v>39</v>
      </c>
      <c r="Z5" s="206">
        <f>IF($X$2="2018年",'Offer Statistics'!EQ5,IF($X$2="2019年",'Offer Statistics'!EQ41,IF($X$2="2020年",'Offer Statistics'!EQ77)))</f>
        <v>19</v>
      </c>
      <c r="AA5" s="206">
        <f>IF($X$2="2018年",'Offer Statistics'!ER5,IF($X$2="2019年",'Offer Statistics'!ER41,IF($X$2="2020年",'Offer Statistics'!ER77)))</f>
        <v>11</v>
      </c>
      <c r="AB5" s="206">
        <f>IF($X$2="2018年",'Offer Statistics'!ES5,IF($X$2="2019年",'Offer Statistics'!ES41,IF($X$2="2020年",'Offer Statistics'!ES77)))</f>
        <v>5</v>
      </c>
      <c r="AC5" s="206">
        <f>IF($X$2="2018年",'Offer Statistics'!ET5,IF($X$2="2019年",'Offer Statistics'!ET41,IF($X$2="2020年",'Offer Statistics'!ET77)))</f>
        <v>1</v>
      </c>
      <c r="AD5" s="206">
        <f>IF($X$2="2018年",'Offer Statistics'!EU5,IF($X$2="2019年",'Offer Statistics'!EU41,IF($X$2="2020年",'Offer Statistics'!EU77)))</f>
        <v>3</v>
      </c>
      <c r="AE5" s="205"/>
      <c r="AF5" s="132">
        <f>IF($X$2="2018年",'Offer Statistics'!EN5,IF($X$2="2019年",'Offer Statistics'!EN41,IF($X$2="2020年",'Offer Statistics'!EN77)))</f>
        <v>941</v>
      </c>
      <c r="AG5" s="206">
        <f>IF($X$2="2018年",'Offer Statistics'!EI5,IF($X$2="2019年",'Offer Statistics'!EI41,IF($X$2="2020年",'Offer Statistics'!EI77)))</f>
        <v>76</v>
      </c>
      <c r="AH5" s="206">
        <f>IF($X$2="2018年",'Offer Statistics'!EJ5,IF($X$2="2019年",'Offer Statistics'!EJ41,IF($X$2="2020年",'Offer Statistics'!EJ77)))</f>
        <v>159</v>
      </c>
      <c r="AI5" s="206">
        <f>IF($X$2="2018年",'Offer Statistics'!EK5,IF($X$2="2019年",'Offer Statistics'!EK41,IF($X$2="2020年",'Offer Statistics'!EK77)))</f>
        <v>176</v>
      </c>
      <c r="AJ5" s="206">
        <f>IF($X$2="2018年",'Offer Statistics'!EL5,IF($X$2="2019年",'Offer Statistics'!EL41,IF($X$2="2020年",'Offer Statistics'!EL77)))</f>
        <v>248</v>
      </c>
      <c r="AK5" s="206">
        <f>IF($X$2="2018年",'Offer Statistics'!EM5,IF($X$2="2019年",'Offer Statistics'!EM41,IF($X$2="2020年",'Offer Statistics'!EM77)))</f>
        <v>282</v>
      </c>
      <c r="AL5" s="131"/>
      <c r="AM5" s="131" t="str">
        <f t="shared" si="3"/>
        <v>JS9005</v>
      </c>
    </row>
    <row r="6" ht="18.0" customHeight="1">
      <c r="A6" s="351" t="s">
        <v>782</v>
      </c>
      <c r="B6" s="351" t="s">
        <v>1154</v>
      </c>
      <c r="C6" s="351" t="s">
        <v>783</v>
      </c>
      <c r="D6" s="351" t="s">
        <v>1653</v>
      </c>
      <c r="E6" s="352" t="s">
        <v>775</v>
      </c>
      <c r="F6" s="369">
        <v>15.0</v>
      </c>
      <c r="G6" s="369">
        <v>15.0</v>
      </c>
      <c r="H6" s="354">
        <f>'計分版'!D344</f>
        <v>0.00000000195</v>
      </c>
      <c r="I6" s="355">
        <f t="shared" si="1"/>
        <v>-15</v>
      </c>
      <c r="J6" s="356">
        <f t="shared" si="2"/>
        <v>-7692307691</v>
      </c>
      <c r="K6" s="353">
        <v>18.0</v>
      </c>
      <c r="L6" s="370">
        <f>'入學要求'!S330</f>
        <v>0</v>
      </c>
      <c r="M6" s="352" t="s">
        <v>541</v>
      </c>
      <c r="N6" s="352">
        <v>3.0</v>
      </c>
      <c r="O6" s="352">
        <v>3.0</v>
      </c>
      <c r="P6" s="352">
        <v>2.0</v>
      </c>
      <c r="Q6" s="352">
        <v>2.0</v>
      </c>
      <c r="R6" s="352">
        <v>2.0</v>
      </c>
      <c r="S6" s="358">
        <f>'入學要求'!L330</f>
        <v>0</v>
      </c>
      <c r="T6" s="358">
        <f>'入學要求'!M330</f>
        <v>0</v>
      </c>
      <c r="U6" s="358">
        <f>'入學要求'!N330</f>
        <v>0</v>
      </c>
      <c r="V6" s="358">
        <f>'入學要求'!O330</f>
        <v>0</v>
      </c>
      <c r="W6" s="358">
        <f>'入學要求'!P330</f>
        <v>0</v>
      </c>
      <c r="X6" s="205"/>
      <c r="Y6" s="353">
        <f>IF($X$2="2018年",'Offer Statistics'!EV6,IF($X$2="2019年",'Offer Statistics'!EV42,IF($X$2="2020年",'Offer Statistics'!EV78)))</f>
        <v>34</v>
      </c>
      <c r="Z6" s="359">
        <f>IF($X$2="2018年",'Offer Statistics'!EQ6,IF($X$2="2019年",'Offer Statistics'!EQ42,IF($X$2="2020年",'Offer Statistics'!EQ78)))</f>
        <v>21</v>
      </c>
      <c r="AA6" s="359">
        <f>IF($X$2="2018年",'Offer Statistics'!ER6,IF($X$2="2019年",'Offer Statistics'!ER42,IF($X$2="2020年",'Offer Statistics'!ER78)))</f>
        <v>7</v>
      </c>
      <c r="AB6" s="359">
        <f>IF($X$2="2018年",'Offer Statistics'!ES6,IF($X$2="2019年",'Offer Statistics'!ES42,IF($X$2="2020年",'Offer Statistics'!ES78)))</f>
        <v>3</v>
      </c>
      <c r="AC6" s="359">
        <f>IF($X$2="2018年",'Offer Statistics'!ET6,IF($X$2="2019年",'Offer Statistics'!ET42,IF($X$2="2020年",'Offer Statistics'!ET78)))</f>
        <v>1</v>
      </c>
      <c r="AD6" s="359">
        <f>IF($X$2="2018年",'Offer Statistics'!EU6,IF($X$2="2019年",'Offer Statistics'!EU42,IF($X$2="2020年",'Offer Statistics'!EU78)))</f>
        <v>2</v>
      </c>
      <c r="AE6" s="205"/>
      <c r="AF6" s="353">
        <f>IF($X$2="2018年",'Offer Statistics'!EN6,IF($X$2="2019年",'Offer Statistics'!EN42,IF($X$2="2020年",'Offer Statistics'!EN78)))</f>
        <v>1249</v>
      </c>
      <c r="AG6" s="359">
        <f>IF($X$2="2018年",'Offer Statistics'!EI6,IF($X$2="2019年",'Offer Statistics'!EI42,IF($X$2="2020年",'Offer Statistics'!EI78)))</f>
        <v>133</v>
      </c>
      <c r="AH6" s="359">
        <f>IF($X$2="2018年",'Offer Statistics'!EJ6,IF($X$2="2019年",'Offer Statistics'!EJ42,IF($X$2="2020年",'Offer Statistics'!EJ78)))</f>
        <v>202</v>
      </c>
      <c r="AI6" s="359">
        <f>IF($X$2="2018年",'Offer Statistics'!EK6,IF($X$2="2019年",'Offer Statistics'!EK42,IF($X$2="2020年",'Offer Statistics'!EK78)))</f>
        <v>255</v>
      </c>
      <c r="AJ6" s="359">
        <f>IF($X$2="2018年",'Offer Statistics'!EL6,IF($X$2="2019年",'Offer Statistics'!EL42,IF($X$2="2020年",'Offer Statistics'!EL78)))</f>
        <v>324</v>
      </c>
      <c r="AK6" s="359">
        <f>IF($X$2="2018年",'Offer Statistics'!EM6,IF($X$2="2019年",'Offer Statistics'!EM42,IF($X$2="2020年",'Offer Statistics'!EM78)))</f>
        <v>335</v>
      </c>
      <c r="AL6" s="352"/>
      <c r="AM6" s="352" t="str">
        <f t="shared" si="3"/>
        <v>JS9006</v>
      </c>
    </row>
    <row r="7" ht="18.0" customHeight="1">
      <c r="A7" s="142" t="s">
        <v>784</v>
      </c>
      <c r="B7" s="142" t="s">
        <v>1154</v>
      </c>
      <c r="C7" s="142" t="s">
        <v>785</v>
      </c>
      <c r="D7" s="142" t="s">
        <v>1654</v>
      </c>
      <c r="E7" s="131" t="s">
        <v>775</v>
      </c>
      <c r="F7" s="199">
        <v>18.0</v>
      </c>
      <c r="G7" s="199">
        <v>17.0</v>
      </c>
      <c r="H7" s="200">
        <f>'計分版'!D345</f>
        <v>0.00000000195</v>
      </c>
      <c r="I7" s="201">
        <f t="shared" si="1"/>
        <v>-18</v>
      </c>
      <c r="J7" s="202">
        <f t="shared" si="2"/>
        <v>-9230769230</v>
      </c>
      <c r="K7" s="132">
        <v>20.0</v>
      </c>
      <c r="L7" s="203">
        <f>'入學要求'!S331</f>
        <v>0</v>
      </c>
      <c r="M7" s="131" t="s">
        <v>541</v>
      </c>
      <c r="N7" s="131">
        <v>3.0</v>
      </c>
      <c r="O7" s="131">
        <v>3.0</v>
      </c>
      <c r="P7" s="131">
        <v>2.0</v>
      </c>
      <c r="Q7" s="131">
        <v>2.0</v>
      </c>
      <c r="R7" s="131">
        <v>2.0</v>
      </c>
      <c r="S7" s="204">
        <f>'入學要求'!L331</f>
        <v>0</v>
      </c>
      <c r="T7" s="204">
        <f>'入學要求'!M331</f>
        <v>0</v>
      </c>
      <c r="U7" s="204">
        <f>'入學要求'!N331</f>
        <v>0</v>
      </c>
      <c r="V7" s="204">
        <f>'入學要求'!O331</f>
        <v>0</v>
      </c>
      <c r="W7" s="204">
        <f>'入學要求'!P331</f>
        <v>0</v>
      </c>
      <c r="X7" s="205"/>
      <c r="Y7" s="132">
        <f>IF($X$2="2018年",'Offer Statistics'!EV7,IF($X$2="2019年",'Offer Statistics'!EV43,IF($X$2="2020年",'Offer Statistics'!EV79)))</f>
        <v>12</v>
      </c>
      <c r="Z7" s="206">
        <f>IF($X$2="2018年",'Offer Statistics'!EQ7,IF($X$2="2019年",'Offer Statistics'!EQ43,IF($X$2="2020年",'Offer Statistics'!EQ79)))</f>
        <v>7</v>
      </c>
      <c r="AA7" s="206">
        <f>IF($X$2="2018年",'Offer Statistics'!ER7,IF($X$2="2019年",'Offer Statistics'!ER43,IF($X$2="2020年",'Offer Statistics'!ER79)))</f>
        <v>3</v>
      </c>
      <c r="AB7" s="206">
        <f>IF($X$2="2018年",'Offer Statistics'!ES7,IF($X$2="2019年",'Offer Statistics'!ES43,IF($X$2="2020年",'Offer Statistics'!ES79)))</f>
        <v>1</v>
      </c>
      <c r="AC7" s="206">
        <f>IF($X$2="2018年",'Offer Statistics'!ET7,IF($X$2="2019年",'Offer Statistics'!ET43,IF($X$2="2020年",'Offer Statistics'!ET79)))</f>
        <v>1</v>
      </c>
      <c r="AD7" s="206">
        <f>IF($X$2="2018年",'Offer Statistics'!EU7,IF($X$2="2019年",'Offer Statistics'!EU43,IF($X$2="2020年",'Offer Statistics'!EU79)))</f>
        <v>0</v>
      </c>
      <c r="AE7" s="205"/>
      <c r="AF7" s="132">
        <f>IF($X$2="2018年",'Offer Statistics'!EN7,IF($X$2="2019年",'Offer Statistics'!EN43,IF($X$2="2020年",'Offer Statistics'!EN79)))</f>
        <v>699</v>
      </c>
      <c r="AG7" s="206">
        <f>IF($X$2="2018年",'Offer Statistics'!EI7,IF($X$2="2019年",'Offer Statistics'!EI43,IF($X$2="2020年",'Offer Statistics'!EI79)))</f>
        <v>44</v>
      </c>
      <c r="AH7" s="206">
        <f>IF($X$2="2018年",'Offer Statistics'!EJ7,IF($X$2="2019年",'Offer Statistics'!EJ43,IF($X$2="2020年",'Offer Statistics'!EJ79)))</f>
        <v>95</v>
      </c>
      <c r="AI7" s="206">
        <f>IF($X$2="2018年",'Offer Statistics'!EK7,IF($X$2="2019年",'Offer Statistics'!EK43,IF($X$2="2020年",'Offer Statistics'!EK79)))</f>
        <v>129</v>
      </c>
      <c r="AJ7" s="206">
        <f>IF($X$2="2018年",'Offer Statistics'!EL7,IF($X$2="2019年",'Offer Statistics'!EL43,IF($X$2="2020年",'Offer Statistics'!EL79)))</f>
        <v>184</v>
      </c>
      <c r="AK7" s="206">
        <f>IF($X$2="2018年",'Offer Statistics'!EM7,IF($X$2="2019年",'Offer Statistics'!EM43,IF($X$2="2020年",'Offer Statistics'!EM79)))</f>
        <v>247</v>
      </c>
      <c r="AL7" s="131"/>
      <c r="AM7" s="131" t="str">
        <f t="shared" si="3"/>
        <v>JS9007</v>
      </c>
    </row>
    <row r="8" ht="18.0" customHeight="1">
      <c r="A8" s="351" t="s">
        <v>786</v>
      </c>
      <c r="B8" s="351" t="s">
        <v>1154</v>
      </c>
      <c r="C8" s="351" t="s">
        <v>787</v>
      </c>
      <c r="D8" s="351" t="s">
        <v>1655</v>
      </c>
      <c r="E8" s="352" t="s">
        <v>775</v>
      </c>
      <c r="F8" s="369">
        <v>17.0</v>
      </c>
      <c r="G8" s="369">
        <v>15.0</v>
      </c>
      <c r="H8" s="354">
        <f>'計分版'!D346</f>
        <v>0.00000000195</v>
      </c>
      <c r="I8" s="355">
        <f t="shared" si="1"/>
        <v>-17</v>
      </c>
      <c r="J8" s="356">
        <f t="shared" si="2"/>
        <v>-8717948717</v>
      </c>
      <c r="K8" s="353">
        <v>63.0</v>
      </c>
      <c r="L8" s="370">
        <f>'入學要求'!S332</f>
        <v>0</v>
      </c>
      <c r="M8" s="352" t="s">
        <v>541</v>
      </c>
      <c r="N8" s="352">
        <v>3.0</v>
      </c>
      <c r="O8" s="352">
        <v>3.0</v>
      </c>
      <c r="P8" s="352">
        <v>2.0</v>
      </c>
      <c r="Q8" s="352">
        <v>2.0</v>
      </c>
      <c r="R8" s="352">
        <v>2.0</v>
      </c>
      <c r="S8" s="358">
        <f>'入學要求'!L332</f>
        <v>0</v>
      </c>
      <c r="T8" s="358">
        <f>'入學要求'!M332</f>
        <v>0</v>
      </c>
      <c r="U8" s="358">
        <f>'入學要求'!N332</f>
        <v>0</v>
      </c>
      <c r="V8" s="358">
        <f>'入學要求'!O332</f>
        <v>0</v>
      </c>
      <c r="W8" s="358">
        <f>'入學要求'!P332</f>
        <v>0</v>
      </c>
      <c r="X8" s="205"/>
      <c r="Y8" s="353">
        <f>IF($X$2="2018年",'Offer Statistics'!EV8,IF($X$2="2019年",'Offer Statistics'!EV44,IF($X$2="2020年",'Offer Statistics'!EV80)))</f>
        <v>83</v>
      </c>
      <c r="Z8" s="359">
        <f>IF($X$2="2018年",'Offer Statistics'!EQ8,IF($X$2="2019年",'Offer Statistics'!EQ44,IF($X$2="2020年",'Offer Statistics'!EQ80)))</f>
        <v>35</v>
      </c>
      <c r="AA8" s="359">
        <f>IF($X$2="2018年",'Offer Statistics'!ER8,IF($X$2="2019年",'Offer Statistics'!ER44,IF($X$2="2020年",'Offer Statistics'!ER80)))</f>
        <v>19</v>
      </c>
      <c r="AB8" s="359">
        <f>IF($X$2="2018年",'Offer Statistics'!ES8,IF($X$2="2019年",'Offer Statistics'!ES44,IF($X$2="2020年",'Offer Statistics'!ES80)))</f>
        <v>10</v>
      </c>
      <c r="AC8" s="359">
        <f>IF($X$2="2018年",'Offer Statistics'!ET8,IF($X$2="2019年",'Offer Statistics'!ET44,IF($X$2="2020年",'Offer Statistics'!ET80)))</f>
        <v>8</v>
      </c>
      <c r="AD8" s="359">
        <f>IF($X$2="2018年",'Offer Statistics'!EU8,IF($X$2="2019年",'Offer Statistics'!EU44,IF($X$2="2020年",'Offer Statistics'!EU80)))</f>
        <v>11</v>
      </c>
      <c r="AE8" s="205"/>
      <c r="AF8" s="353">
        <f>IF($X$2="2018年",'Offer Statistics'!EN8,IF($X$2="2019年",'Offer Statistics'!EN44,IF($X$2="2020年",'Offer Statistics'!EN80)))</f>
        <v>3053</v>
      </c>
      <c r="AG8" s="359">
        <f>IF($X$2="2018年",'Offer Statistics'!EI8,IF($X$2="2019年",'Offer Statistics'!EI44,IF($X$2="2020年",'Offer Statistics'!EI80)))</f>
        <v>268</v>
      </c>
      <c r="AH8" s="359">
        <f>IF($X$2="2018年",'Offer Statistics'!EJ8,IF($X$2="2019年",'Offer Statistics'!EJ44,IF($X$2="2020年",'Offer Statistics'!EJ80)))</f>
        <v>526</v>
      </c>
      <c r="AI8" s="359">
        <f>IF($X$2="2018年",'Offer Statistics'!EK8,IF($X$2="2019年",'Offer Statistics'!EK44,IF($X$2="2020年",'Offer Statistics'!EK80)))</f>
        <v>667</v>
      </c>
      <c r="AJ8" s="359">
        <f>IF($X$2="2018年",'Offer Statistics'!EL8,IF($X$2="2019年",'Offer Statistics'!EL44,IF($X$2="2020年",'Offer Statistics'!EL80)))</f>
        <v>770</v>
      </c>
      <c r="AK8" s="359">
        <f>IF($X$2="2018年",'Offer Statistics'!EM8,IF($X$2="2019年",'Offer Statistics'!EM44,IF($X$2="2020年",'Offer Statistics'!EM80)))</f>
        <v>822</v>
      </c>
      <c r="AL8" s="352"/>
      <c r="AM8" s="352" t="str">
        <f t="shared" si="3"/>
        <v>JS9008</v>
      </c>
    </row>
    <row r="9" ht="18.0" customHeight="1">
      <c r="A9" s="142" t="s">
        <v>788</v>
      </c>
      <c r="B9" s="142" t="s">
        <v>1154</v>
      </c>
      <c r="C9" s="142" t="s">
        <v>789</v>
      </c>
      <c r="D9" s="142" t="s">
        <v>1656</v>
      </c>
      <c r="E9" s="132" t="s">
        <v>775</v>
      </c>
      <c r="F9" s="199">
        <v>21.0</v>
      </c>
      <c r="G9" s="199">
        <v>19.0</v>
      </c>
      <c r="H9" s="200">
        <f>'計分版'!D347</f>
        <v>0.00000000205</v>
      </c>
      <c r="I9" s="201">
        <f t="shared" si="1"/>
        <v>-21</v>
      </c>
      <c r="J9" s="202">
        <f t="shared" si="2"/>
        <v>-10243902438</v>
      </c>
      <c r="K9" s="132">
        <v>40.0</v>
      </c>
      <c r="L9" s="203">
        <f>'入學要求'!S333</f>
        <v>0</v>
      </c>
      <c r="M9" s="131" t="s">
        <v>541</v>
      </c>
      <c r="N9" s="131">
        <v>3.0</v>
      </c>
      <c r="O9" s="131">
        <v>3.0</v>
      </c>
      <c r="P9" s="131">
        <v>2.0</v>
      </c>
      <c r="Q9" s="131">
        <v>2.0</v>
      </c>
      <c r="R9" s="131">
        <v>2.0</v>
      </c>
      <c r="S9" s="204">
        <f>'入學要求'!L333</f>
        <v>0</v>
      </c>
      <c r="T9" s="204">
        <f>'入學要求'!M333</f>
        <v>0</v>
      </c>
      <c r="U9" s="204">
        <f>'入學要求'!N333</f>
        <v>0</v>
      </c>
      <c r="V9" s="204">
        <f>'入學要求'!O333</f>
        <v>0</v>
      </c>
      <c r="W9" s="204">
        <f>'入學要求'!P333</f>
        <v>0</v>
      </c>
      <c r="X9" s="205"/>
      <c r="Y9" s="132">
        <f>IF($X$2="2018年",'Offer Statistics'!EV9,IF($X$2="2019年",'Offer Statistics'!EV45,IF($X$2="2020年",'Offer Statistics'!EV81)))</f>
        <v>89</v>
      </c>
      <c r="Z9" s="206">
        <f>IF($X$2="2018年",'Offer Statistics'!EQ9,IF($X$2="2019年",'Offer Statistics'!EQ45,IF($X$2="2020年",'Offer Statistics'!EQ81)))</f>
        <v>36</v>
      </c>
      <c r="AA9" s="206">
        <f>IF($X$2="2018年",'Offer Statistics'!ER9,IF($X$2="2019年",'Offer Statistics'!ER45,IF($X$2="2020年",'Offer Statistics'!ER81)))</f>
        <v>16</v>
      </c>
      <c r="AB9" s="206">
        <f>IF($X$2="2018年",'Offer Statistics'!ES9,IF($X$2="2019年",'Offer Statistics'!ES45,IF($X$2="2020年",'Offer Statistics'!ES81)))</f>
        <v>9</v>
      </c>
      <c r="AC9" s="206">
        <f>IF($X$2="2018年",'Offer Statistics'!ET9,IF($X$2="2019年",'Offer Statistics'!ET45,IF($X$2="2020年",'Offer Statistics'!ET81)))</f>
        <v>12</v>
      </c>
      <c r="AD9" s="206">
        <f>IF($X$2="2018年",'Offer Statistics'!EU9,IF($X$2="2019年",'Offer Statistics'!EU45,IF($X$2="2020年",'Offer Statistics'!EU81)))</f>
        <v>16</v>
      </c>
      <c r="AE9" s="205"/>
      <c r="AF9" s="132">
        <f>IF($X$2="2018年",'Offer Statistics'!EN9,IF($X$2="2019年",'Offer Statistics'!EN45,IF($X$2="2020年",'Offer Statistics'!EN81)))</f>
        <v>1373</v>
      </c>
      <c r="AG9" s="206">
        <f>IF($X$2="2018年",'Offer Statistics'!EI9,IF($X$2="2019年",'Offer Statistics'!EI45,IF($X$2="2020年",'Offer Statistics'!EI81)))</f>
        <v>135</v>
      </c>
      <c r="AH9" s="206">
        <f>IF($X$2="2018年",'Offer Statistics'!EJ9,IF($X$2="2019年",'Offer Statistics'!EJ45,IF($X$2="2020年",'Offer Statistics'!EJ81)))</f>
        <v>221</v>
      </c>
      <c r="AI9" s="206">
        <f>IF($X$2="2018年",'Offer Statistics'!EK9,IF($X$2="2019年",'Offer Statistics'!EK45,IF($X$2="2020年",'Offer Statistics'!EK81)))</f>
        <v>299</v>
      </c>
      <c r="AJ9" s="206">
        <f>IF($X$2="2018年",'Offer Statistics'!EL9,IF($X$2="2019年",'Offer Statistics'!EL45,IF($X$2="2020年",'Offer Statistics'!EL81)))</f>
        <v>334</v>
      </c>
      <c r="AK9" s="206">
        <f>IF($X$2="2018年",'Offer Statistics'!EM9,IF($X$2="2019年",'Offer Statistics'!EM45,IF($X$2="2020年",'Offer Statistics'!EM81)))</f>
        <v>384</v>
      </c>
      <c r="AL9" s="131"/>
      <c r="AM9" s="131" t="str">
        <f t="shared" si="3"/>
        <v>JS9011</v>
      </c>
    </row>
    <row r="10" ht="18.0" customHeight="1">
      <c r="A10" s="351" t="s">
        <v>790</v>
      </c>
      <c r="B10" s="351" t="s">
        <v>1154</v>
      </c>
      <c r="C10" s="351" t="s">
        <v>791</v>
      </c>
      <c r="D10" s="351" t="s">
        <v>1657</v>
      </c>
      <c r="E10" s="353" t="s">
        <v>775</v>
      </c>
      <c r="F10" s="369">
        <v>21.0</v>
      </c>
      <c r="G10" s="369">
        <v>19.0</v>
      </c>
      <c r="H10" s="354">
        <f>'計分版'!D348</f>
        <v>0.0000000021</v>
      </c>
      <c r="I10" s="355">
        <f t="shared" si="1"/>
        <v>-21</v>
      </c>
      <c r="J10" s="356">
        <f t="shared" si="2"/>
        <v>-9999999999</v>
      </c>
      <c r="K10" s="353">
        <v>55.0</v>
      </c>
      <c r="L10" s="370">
        <f>'入學要求'!S334</f>
        <v>0</v>
      </c>
      <c r="M10" s="352" t="s">
        <v>541</v>
      </c>
      <c r="N10" s="352">
        <v>3.0</v>
      </c>
      <c r="O10" s="352">
        <v>3.0</v>
      </c>
      <c r="P10" s="352">
        <v>2.0</v>
      </c>
      <c r="Q10" s="352">
        <v>2.0</v>
      </c>
      <c r="R10" s="352">
        <v>2.0</v>
      </c>
      <c r="S10" s="358">
        <f>'入學要求'!L334</f>
        <v>0</v>
      </c>
      <c r="T10" s="358">
        <f>'入學要求'!M334</f>
        <v>0</v>
      </c>
      <c r="U10" s="358">
        <f>'入學要求'!N334</f>
        <v>0</v>
      </c>
      <c r="V10" s="358">
        <f>'入學要求'!O334</f>
        <v>0</v>
      </c>
      <c r="W10" s="358">
        <f>'入學要求'!P334</f>
        <v>0</v>
      </c>
      <c r="X10" s="205"/>
      <c r="Y10" s="353">
        <f>IF($X$2="2018年",'Offer Statistics'!EV10,IF($X$2="2019年",'Offer Statistics'!EV46,IF($X$2="2020年",'Offer Statistics'!EV82)))</f>
        <v>140</v>
      </c>
      <c r="Z10" s="359">
        <f>IF($X$2="2018年",'Offer Statistics'!EQ10,IF($X$2="2019年",'Offer Statistics'!EQ46,IF($X$2="2020年",'Offer Statistics'!EQ82)))</f>
        <v>62</v>
      </c>
      <c r="AA10" s="359">
        <f>IF($X$2="2018年",'Offer Statistics'!ER10,IF($X$2="2019年",'Offer Statistics'!ER46,IF($X$2="2020年",'Offer Statistics'!ER82)))</f>
        <v>35</v>
      </c>
      <c r="AB10" s="359">
        <f>IF($X$2="2018年",'Offer Statistics'!ES10,IF($X$2="2019年",'Offer Statistics'!ES46,IF($X$2="2020年",'Offer Statistics'!ES82)))</f>
        <v>13</v>
      </c>
      <c r="AC10" s="359">
        <f>IF($X$2="2018年",'Offer Statistics'!ET10,IF($X$2="2019年",'Offer Statistics'!ET46,IF($X$2="2020年",'Offer Statistics'!ET82)))</f>
        <v>12</v>
      </c>
      <c r="AD10" s="359">
        <f>IF($X$2="2018年",'Offer Statistics'!EU10,IF($X$2="2019年",'Offer Statistics'!EU46,IF($X$2="2020年",'Offer Statistics'!EU82)))</f>
        <v>18</v>
      </c>
      <c r="AE10" s="205"/>
      <c r="AF10" s="353">
        <f>IF($X$2="2018年",'Offer Statistics'!EN10,IF($X$2="2019年",'Offer Statistics'!EN46,IF($X$2="2020年",'Offer Statistics'!EN82)))</f>
        <v>1758</v>
      </c>
      <c r="AG10" s="359">
        <f>IF($X$2="2018年",'Offer Statistics'!EI10,IF($X$2="2019年",'Offer Statistics'!EI46,IF($X$2="2020年",'Offer Statistics'!EI82)))</f>
        <v>197</v>
      </c>
      <c r="AH10" s="359">
        <f>IF($X$2="2018年",'Offer Statistics'!EJ10,IF($X$2="2019年",'Offer Statistics'!EJ46,IF($X$2="2020年",'Offer Statistics'!EJ82)))</f>
        <v>303</v>
      </c>
      <c r="AI10" s="359">
        <f>IF($X$2="2018年",'Offer Statistics'!EK10,IF($X$2="2019年",'Offer Statistics'!EK46,IF($X$2="2020年",'Offer Statistics'!EK82)))</f>
        <v>336</v>
      </c>
      <c r="AJ10" s="359">
        <f>IF($X$2="2018年",'Offer Statistics'!EL10,IF($X$2="2019年",'Offer Statistics'!EL46,IF($X$2="2020年",'Offer Statistics'!EL82)))</f>
        <v>397</v>
      </c>
      <c r="AK10" s="359">
        <f>IF($X$2="2018年",'Offer Statistics'!EM10,IF($X$2="2019年",'Offer Statistics'!EM46,IF($X$2="2020年",'Offer Statistics'!EM82)))</f>
        <v>525</v>
      </c>
      <c r="AL10" s="352"/>
      <c r="AM10" s="352" t="str">
        <f t="shared" si="3"/>
        <v>JS9013</v>
      </c>
    </row>
    <row r="11" ht="18.0" customHeight="1">
      <c r="A11" s="142" t="s">
        <v>792</v>
      </c>
      <c r="B11" s="142" t="s">
        <v>1154</v>
      </c>
      <c r="C11" s="142" t="s">
        <v>793</v>
      </c>
      <c r="D11" s="142" t="s">
        <v>1658</v>
      </c>
      <c r="E11" s="132" t="s">
        <v>775</v>
      </c>
      <c r="F11" s="199">
        <v>19.0</v>
      </c>
      <c r="G11" s="199">
        <v>18.0</v>
      </c>
      <c r="H11" s="200">
        <f>'計分版'!D349</f>
        <v>0.0000000021</v>
      </c>
      <c r="I11" s="201">
        <f t="shared" si="1"/>
        <v>-19</v>
      </c>
      <c r="J11" s="202">
        <f t="shared" si="2"/>
        <v>-9047619047</v>
      </c>
      <c r="K11" s="132">
        <v>70.0</v>
      </c>
      <c r="L11" s="203">
        <f>'入學要求'!S335</f>
        <v>0</v>
      </c>
      <c r="M11" s="131" t="s">
        <v>541</v>
      </c>
      <c r="N11" s="131">
        <v>3.0</v>
      </c>
      <c r="O11" s="131">
        <v>3.0</v>
      </c>
      <c r="P11" s="131">
        <v>2.0</v>
      </c>
      <c r="Q11" s="131">
        <v>2.0</v>
      </c>
      <c r="R11" s="131">
        <v>2.0</v>
      </c>
      <c r="S11" s="204">
        <f>'入學要求'!L335</f>
        <v>0</v>
      </c>
      <c r="T11" s="204">
        <f>'入學要求'!M335</f>
        <v>0</v>
      </c>
      <c r="U11" s="204">
        <f>'入學要求'!N335</f>
        <v>0</v>
      </c>
      <c r="V11" s="204">
        <f>'入學要求'!O335</f>
        <v>0</v>
      </c>
      <c r="W11" s="204">
        <f>'入學要求'!P335</f>
        <v>0</v>
      </c>
      <c r="X11" s="205"/>
      <c r="Y11" s="132">
        <f>IF($X$2="2018年",'Offer Statistics'!EV11,IF($X$2="2019年",'Offer Statistics'!EV47,IF($X$2="2020年",'Offer Statistics'!EV83)))</f>
        <v>199</v>
      </c>
      <c r="Z11" s="206">
        <f>IF($X$2="2018年",'Offer Statistics'!EQ11,IF($X$2="2019年",'Offer Statistics'!EQ47,IF($X$2="2020年",'Offer Statistics'!EQ83)))</f>
        <v>81</v>
      </c>
      <c r="AA11" s="206">
        <f>IF($X$2="2018年",'Offer Statistics'!ER11,IF($X$2="2019年",'Offer Statistics'!ER47,IF($X$2="2020年",'Offer Statistics'!ER83)))</f>
        <v>42</v>
      </c>
      <c r="AB11" s="206">
        <f>IF($X$2="2018年",'Offer Statistics'!ES11,IF($X$2="2019年",'Offer Statistics'!ES47,IF($X$2="2020年",'Offer Statistics'!ES83)))</f>
        <v>24</v>
      </c>
      <c r="AC11" s="206">
        <f>IF($X$2="2018年",'Offer Statistics'!ET11,IF($X$2="2019年",'Offer Statistics'!ET47,IF($X$2="2020年",'Offer Statistics'!ET83)))</f>
        <v>31</v>
      </c>
      <c r="AD11" s="206">
        <f>IF($X$2="2018年",'Offer Statistics'!EU11,IF($X$2="2019年",'Offer Statistics'!EU47,IF($X$2="2020年",'Offer Statistics'!EU83)))</f>
        <v>21</v>
      </c>
      <c r="AE11" s="205"/>
      <c r="AF11" s="132">
        <f>IF($X$2="2018年",'Offer Statistics'!EN11,IF($X$2="2019年",'Offer Statistics'!EN47,IF($X$2="2020年",'Offer Statistics'!EN83)))</f>
        <v>3778</v>
      </c>
      <c r="AG11" s="206">
        <f>IF($X$2="2018年",'Offer Statistics'!EI11,IF($X$2="2019年",'Offer Statistics'!EI47,IF($X$2="2020年",'Offer Statistics'!EI83)))</f>
        <v>480</v>
      </c>
      <c r="AH11" s="206">
        <f>IF($X$2="2018年",'Offer Statistics'!EJ11,IF($X$2="2019年",'Offer Statistics'!EJ47,IF($X$2="2020年",'Offer Statistics'!EJ83)))</f>
        <v>685</v>
      </c>
      <c r="AI11" s="206">
        <f>IF($X$2="2018年",'Offer Statistics'!EK11,IF($X$2="2019年",'Offer Statistics'!EK47,IF($X$2="2020年",'Offer Statistics'!EK83)))</f>
        <v>862</v>
      </c>
      <c r="AJ11" s="206">
        <f>IF($X$2="2018年",'Offer Statistics'!EL11,IF($X$2="2019年",'Offer Statistics'!EL47,IF($X$2="2020年",'Offer Statistics'!EL83)))</f>
        <v>885</v>
      </c>
      <c r="AK11" s="206">
        <f>IF($X$2="2018年",'Offer Statistics'!EM11,IF($X$2="2019年",'Offer Statistics'!EM47,IF($X$2="2020年",'Offer Statistics'!EM83)))</f>
        <v>866</v>
      </c>
      <c r="AL11" s="131"/>
      <c r="AM11" s="131" t="str">
        <f t="shared" si="3"/>
        <v>JS9016</v>
      </c>
    </row>
    <row r="12" ht="18.0" customHeight="1">
      <c r="A12" s="351" t="s">
        <v>794</v>
      </c>
      <c r="B12" s="351" t="s">
        <v>1154</v>
      </c>
      <c r="C12" s="351" t="s">
        <v>795</v>
      </c>
      <c r="D12" s="351" t="s">
        <v>1659</v>
      </c>
      <c r="E12" s="352" t="s">
        <v>775</v>
      </c>
      <c r="F12" s="369">
        <v>16.0</v>
      </c>
      <c r="G12" s="369">
        <v>16.0</v>
      </c>
      <c r="H12" s="354">
        <f>'計分版'!D350</f>
        <v>0.00000000195</v>
      </c>
      <c r="I12" s="355">
        <f t="shared" si="1"/>
        <v>-16</v>
      </c>
      <c r="J12" s="356">
        <f t="shared" si="2"/>
        <v>-8205128204</v>
      </c>
      <c r="K12" s="353">
        <v>25.0</v>
      </c>
      <c r="L12" s="370">
        <f>'入學要求'!S336</f>
        <v>0</v>
      </c>
      <c r="M12" s="352" t="s">
        <v>541</v>
      </c>
      <c r="N12" s="352">
        <v>3.0</v>
      </c>
      <c r="O12" s="352">
        <v>3.0</v>
      </c>
      <c r="P12" s="352">
        <v>2.0</v>
      </c>
      <c r="Q12" s="352">
        <v>2.0</v>
      </c>
      <c r="R12" s="352">
        <v>2.0</v>
      </c>
      <c r="S12" s="358">
        <f>'入學要求'!L336</f>
        <v>0</v>
      </c>
      <c r="T12" s="358">
        <f>'入學要求'!M336</f>
        <v>0</v>
      </c>
      <c r="U12" s="358">
        <f>'入學要求'!N336</f>
        <v>0</v>
      </c>
      <c r="V12" s="358">
        <f>'入學要求'!O336</f>
        <v>0</v>
      </c>
      <c r="W12" s="358">
        <f>'入學要求'!P336</f>
        <v>0</v>
      </c>
      <c r="X12" s="205"/>
      <c r="Y12" s="353">
        <f>IF($X$2="2018年",'Offer Statistics'!EV12,IF($X$2="2019年",'Offer Statistics'!EV48,IF($X$2="2020年",'Offer Statistics'!EV84)))</f>
        <v>23</v>
      </c>
      <c r="Z12" s="359">
        <f>IF($X$2="2018年",'Offer Statistics'!EQ12,IF($X$2="2019年",'Offer Statistics'!EQ48,IF($X$2="2020年",'Offer Statistics'!EQ84)))</f>
        <v>14</v>
      </c>
      <c r="AA12" s="359">
        <f>IF($X$2="2018年",'Offer Statistics'!ER12,IF($X$2="2019年",'Offer Statistics'!ER48,IF($X$2="2020年",'Offer Statistics'!ER84)))</f>
        <v>1</v>
      </c>
      <c r="AB12" s="359">
        <f>IF($X$2="2018年",'Offer Statistics'!ES12,IF($X$2="2019年",'Offer Statistics'!ES48,IF($X$2="2020年",'Offer Statistics'!ES84)))</f>
        <v>2</v>
      </c>
      <c r="AC12" s="359">
        <f>IF($X$2="2018年",'Offer Statistics'!ET12,IF($X$2="2019年",'Offer Statistics'!ET48,IF($X$2="2020年",'Offer Statistics'!ET84)))</f>
        <v>5</v>
      </c>
      <c r="AD12" s="359">
        <f>IF($X$2="2018年",'Offer Statistics'!EU12,IF($X$2="2019年",'Offer Statistics'!EU48,IF($X$2="2020年",'Offer Statistics'!EU84)))</f>
        <v>1</v>
      </c>
      <c r="AE12" s="205"/>
      <c r="AF12" s="353">
        <f>IF($X$2="2018年",'Offer Statistics'!EN12,IF($X$2="2019年",'Offer Statistics'!EN48,IF($X$2="2020年",'Offer Statistics'!EN84)))</f>
        <v>642</v>
      </c>
      <c r="AG12" s="359">
        <f>IF($X$2="2018年",'Offer Statistics'!EI12,IF($X$2="2019年",'Offer Statistics'!EI48,IF($X$2="2020年",'Offer Statistics'!EI84)))</f>
        <v>58</v>
      </c>
      <c r="AH12" s="359">
        <f>IF($X$2="2018年",'Offer Statistics'!EJ12,IF($X$2="2019年",'Offer Statistics'!EJ48,IF($X$2="2020年",'Offer Statistics'!EJ84)))</f>
        <v>114</v>
      </c>
      <c r="AI12" s="359">
        <f>IF($X$2="2018年",'Offer Statistics'!EK12,IF($X$2="2019年",'Offer Statistics'!EK48,IF($X$2="2020年",'Offer Statistics'!EK84)))</f>
        <v>116</v>
      </c>
      <c r="AJ12" s="359">
        <f>IF($X$2="2018年",'Offer Statistics'!EL12,IF($X$2="2019年",'Offer Statistics'!EL48,IF($X$2="2020年",'Offer Statistics'!EL84)))</f>
        <v>157</v>
      </c>
      <c r="AK12" s="359">
        <f>IF($X$2="2018年",'Offer Statistics'!EM12,IF($X$2="2019年",'Offer Statistics'!EM48,IF($X$2="2020年",'Offer Statistics'!EM84)))</f>
        <v>197</v>
      </c>
      <c r="AL12" s="352"/>
      <c r="AM12" s="352" t="str">
        <f t="shared" si="3"/>
        <v>JS9019</v>
      </c>
    </row>
    <row r="13" ht="18.0" customHeight="1">
      <c r="A13" s="142" t="s">
        <v>796</v>
      </c>
      <c r="B13" s="142" t="s">
        <v>1660</v>
      </c>
      <c r="C13" s="142" t="s">
        <v>797</v>
      </c>
      <c r="D13" s="142" t="s">
        <v>1661</v>
      </c>
      <c r="E13" s="131" t="s">
        <v>775</v>
      </c>
      <c r="F13" s="199">
        <v>18.0</v>
      </c>
      <c r="G13" s="199">
        <v>16.0</v>
      </c>
      <c r="H13" s="200">
        <f>'計分版'!D351</f>
        <v>0.00000000195</v>
      </c>
      <c r="I13" s="201">
        <f t="shared" si="1"/>
        <v>-18</v>
      </c>
      <c r="J13" s="202">
        <f t="shared" si="2"/>
        <v>-9230769230</v>
      </c>
      <c r="K13" s="132">
        <v>40.0</v>
      </c>
      <c r="L13" s="203">
        <f>'入學要求'!S337</f>
        <v>0</v>
      </c>
      <c r="M13" s="131" t="s">
        <v>541</v>
      </c>
      <c r="N13" s="131">
        <v>3.0</v>
      </c>
      <c r="O13" s="131">
        <v>3.0</v>
      </c>
      <c r="P13" s="131">
        <v>2.0</v>
      </c>
      <c r="Q13" s="131">
        <v>2.0</v>
      </c>
      <c r="R13" s="131">
        <v>2.0</v>
      </c>
      <c r="S13" s="204">
        <f>'入學要求'!L337</f>
        <v>0</v>
      </c>
      <c r="T13" s="204">
        <f>'入學要求'!M337</f>
        <v>0</v>
      </c>
      <c r="U13" s="204">
        <f>'入學要求'!N337</f>
        <v>0</v>
      </c>
      <c r="V13" s="204">
        <f>'入學要求'!O337</f>
        <v>0</v>
      </c>
      <c r="W13" s="204">
        <f>'入學要求'!P337</f>
        <v>0</v>
      </c>
      <c r="X13" s="205"/>
      <c r="Y13" s="132">
        <f>IF($X$2="2018年",'Offer Statistics'!EV13,IF($X$2="2019年",'Offer Statistics'!EV49,IF($X$2="2020年",'Offer Statistics'!EV85)))</f>
        <v>88</v>
      </c>
      <c r="Z13" s="206">
        <f>IF($X$2="2018年",'Offer Statistics'!EQ13,IF($X$2="2019年",'Offer Statistics'!EQ49,IF($X$2="2020年",'Offer Statistics'!EQ85)))</f>
        <v>40</v>
      </c>
      <c r="AA13" s="206">
        <f>IF($X$2="2018年",'Offer Statistics'!ER13,IF($X$2="2019年",'Offer Statistics'!ER49,IF($X$2="2020年",'Offer Statistics'!ER85)))</f>
        <v>19</v>
      </c>
      <c r="AB13" s="206">
        <f>IF($X$2="2018年",'Offer Statistics'!ES13,IF($X$2="2019年",'Offer Statistics'!ES49,IF($X$2="2020年",'Offer Statistics'!ES85)))</f>
        <v>15</v>
      </c>
      <c r="AC13" s="206">
        <f>IF($X$2="2018年",'Offer Statistics'!ET13,IF($X$2="2019年",'Offer Statistics'!ET49,IF($X$2="2020年",'Offer Statistics'!ET85)))</f>
        <v>9</v>
      </c>
      <c r="AD13" s="206">
        <f>IF($X$2="2018年",'Offer Statistics'!EU13,IF($X$2="2019年",'Offer Statistics'!EU49,IF($X$2="2020年",'Offer Statistics'!EU85)))</f>
        <v>5</v>
      </c>
      <c r="AE13" s="205"/>
      <c r="AF13" s="132">
        <f>IF($X$2="2018年",'Offer Statistics'!EN13,IF($X$2="2019年",'Offer Statistics'!EN49,IF($X$2="2020年",'Offer Statistics'!EN85)))</f>
        <v>1617</v>
      </c>
      <c r="AG13" s="206">
        <f>IF($X$2="2018年",'Offer Statistics'!EI13,IF($X$2="2019年",'Offer Statistics'!EI49,IF($X$2="2020年",'Offer Statistics'!EI85)))</f>
        <v>168</v>
      </c>
      <c r="AH13" s="206">
        <f>IF($X$2="2018年",'Offer Statistics'!EJ13,IF($X$2="2019年",'Offer Statistics'!EJ49,IF($X$2="2020年",'Offer Statistics'!EJ85)))</f>
        <v>271</v>
      </c>
      <c r="AI13" s="206">
        <f>IF($X$2="2018年",'Offer Statistics'!EK13,IF($X$2="2019年",'Offer Statistics'!EK49,IF($X$2="2020年",'Offer Statistics'!EK85)))</f>
        <v>339</v>
      </c>
      <c r="AJ13" s="206">
        <f>IF($X$2="2018年",'Offer Statistics'!EL13,IF($X$2="2019年",'Offer Statistics'!EL49,IF($X$2="2020年",'Offer Statistics'!EL85)))</f>
        <v>389</v>
      </c>
      <c r="AK13" s="206">
        <f>IF($X$2="2018年",'Offer Statistics'!EM13,IF($X$2="2019年",'Offer Statistics'!EM49,IF($X$2="2020年",'Offer Statistics'!EM85)))</f>
        <v>450</v>
      </c>
      <c r="AL13" s="131"/>
      <c r="AM13" s="131" t="str">
        <f t="shared" si="3"/>
        <v>JS9220</v>
      </c>
    </row>
    <row r="14" ht="18.0" customHeight="1">
      <c r="A14" s="351" t="s">
        <v>798</v>
      </c>
      <c r="B14" s="351" t="s">
        <v>1660</v>
      </c>
      <c r="C14" s="351" t="s">
        <v>799</v>
      </c>
      <c r="D14" s="351" t="s">
        <v>1662</v>
      </c>
      <c r="E14" s="352" t="s">
        <v>775</v>
      </c>
      <c r="F14" s="369">
        <v>18.0</v>
      </c>
      <c r="G14" s="369">
        <v>17.0</v>
      </c>
      <c r="H14" s="354">
        <f>'計分版'!D352</f>
        <v>0.00000000195</v>
      </c>
      <c r="I14" s="355">
        <f t="shared" si="1"/>
        <v>-18</v>
      </c>
      <c r="J14" s="356">
        <f t="shared" si="2"/>
        <v>-9230769230</v>
      </c>
      <c r="K14" s="353">
        <v>20.0</v>
      </c>
      <c r="L14" s="370">
        <f>'入學要求'!S338</f>
        <v>0</v>
      </c>
      <c r="M14" s="352" t="s">
        <v>541</v>
      </c>
      <c r="N14" s="352">
        <v>3.0</v>
      </c>
      <c r="O14" s="352">
        <v>3.0</v>
      </c>
      <c r="P14" s="352">
        <v>2.0</v>
      </c>
      <c r="Q14" s="352">
        <v>2.0</v>
      </c>
      <c r="R14" s="352">
        <v>2.0</v>
      </c>
      <c r="S14" s="358">
        <f>'入學要求'!L338</f>
        <v>0</v>
      </c>
      <c r="T14" s="358">
        <f>'入學要求'!M338</f>
        <v>0</v>
      </c>
      <c r="U14" s="358">
        <f>'入學要求'!N338</f>
        <v>0</v>
      </c>
      <c r="V14" s="358">
        <f>'入學要求'!O338</f>
        <v>0</v>
      </c>
      <c r="W14" s="358">
        <f>'入學要求'!P338</f>
        <v>0</v>
      </c>
      <c r="X14" s="205"/>
      <c r="Y14" s="353">
        <f>IF($X$2="2018年",'Offer Statistics'!EV14,IF($X$2="2019年",'Offer Statistics'!EV50,IF($X$2="2020年",'Offer Statistics'!EV86)))</f>
        <v>26</v>
      </c>
      <c r="Z14" s="359">
        <f>IF($X$2="2018年",'Offer Statistics'!EQ14,IF($X$2="2019年",'Offer Statistics'!EQ50,IF($X$2="2020年",'Offer Statistics'!EQ86)))</f>
        <v>8</v>
      </c>
      <c r="AA14" s="359">
        <f>IF($X$2="2018年",'Offer Statistics'!ER14,IF($X$2="2019年",'Offer Statistics'!ER50,IF($X$2="2020年",'Offer Statistics'!ER86)))</f>
        <v>8</v>
      </c>
      <c r="AB14" s="359">
        <f>IF($X$2="2018年",'Offer Statistics'!ES14,IF($X$2="2019年",'Offer Statistics'!ES50,IF($X$2="2020年",'Offer Statistics'!ES86)))</f>
        <v>1</v>
      </c>
      <c r="AC14" s="359">
        <f>IF($X$2="2018年",'Offer Statistics'!ET14,IF($X$2="2019年",'Offer Statistics'!ET50,IF($X$2="2020年",'Offer Statistics'!ET86)))</f>
        <v>5</v>
      </c>
      <c r="AD14" s="359">
        <f>IF($X$2="2018年",'Offer Statistics'!EU14,IF($X$2="2019年",'Offer Statistics'!EU50,IF($X$2="2020年",'Offer Statistics'!EU86)))</f>
        <v>4</v>
      </c>
      <c r="AE14" s="205"/>
      <c r="AF14" s="353">
        <f>IF($X$2="2018年",'Offer Statistics'!EN14,IF($X$2="2019年",'Offer Statistics'!EN50,IF($X$2="2020年",'Offer Statistics'!EN86)))</f>
        <v>1155</v>
      </c>
      <c r="AG14" s="359">
        <f>IF($X$2="2018年",'Offer Statistics'!EI14,IF($X$2="2019年",'Offer Statistics'!EI50,IF($X$2="2020年",'Offer Statistics'!EI86)))</f>
        <v>78</v>
      </c>
      <c r="AH14" s="359">
        <f>IF($X$2="2018年",'Offer Statistics'!EJ14,IF($X$2="2019年",'Offer Statistics'!EJ50,IF($X$2="2020年",'Offer Statistics'!EJ86)))</f>
        <v>168</v>
      </c>
      <c r="AI14" s="359">
        <f>IF($X$2="2018年",'Offer Statistics'!EK14,IF($X$2="2019年",'Offer Statistics'!EK50,IF($X$2="2020年",'Offer Statistics'!EK86)))</f>
        <v>243</v>
      </c>
      <c r="AJ14" s="359">
        <f>IF($X$2="2018年",'Offer Statistics'!EL14,IF($X$2="2019年",'Offer Statistics'!EL50,IF($X$2="2020年",'Offer Statistics'!EL86)))</f>
        <v>319</v>
      </c>
      <c r="AK14" s="359">
        <f>IF($X$2="2018年",'Offer Statistics'!EM14,IF($X$2="2019年",'Offer Statistics'!EM50,IF($X$2="2020年",'Offer Statistics'!EM86)))</f>
        <v>347</v>
      </c>
      <c r="AL14" s="352"/>
      <c r="AM14" s="352" t="str">
        <f t="shared" si="3"/>
        <v>JS9222</v>
      </c>
    </row>
    <row r="15" ht="18.0" customHeight="1">
      <c r="A15" s="142" t="s">
        <v>800</v>
      </c>
      <c r="B15" s="142" t="s">
        <v>1660</v>
      </c>
      <c r="C15" s="142" t="s">
        <v>801</v>
      </c>
      <c r="D15" s="142" t="s">
        <v>1663</v>
      </c>
      <c r="E15" s="131" t="s">
        <v>775</v>
      </c>
      <c r="F15" s="199">
        <v>16.0</v>
      </c>
      <c r="G15" s="199">
        <v>15.0</v>
      </c>
      <c r="H15" s="200">
        <f>'計分版'!D353</f>
        <v>0.00000000195</v>
      </c>
      <c r="I15" s="201">
        <f t="shared" si="1"/>
        <v>-16</v>
      </c>
      <c r="J15" s="202">
        <f t="shared" si="2"/>
        <v>-8205128204</v>
      </c>
      <c r="K15" s="132">
        <v>40.0</v>
      </c>
      <c r="L15" s="203">
        <f>'入學要求'!S339</f>
        <v>0</v>
      </c>
      <c r="M15" s="131" t="s">
        <v>541</v>
      </c>
      <c r="N15" s="131">
        <v>3.0</v>
      </c>
      <c r="O15" s="131">
        <v>3.0</v>
      </c>
      <c r="P15" s="131">
        <v>2.0</v>
      </c>
      <c r="Q15" s="131">
        <v>2.0</v>
      </c>
      <c r="R15" s="131">
        <v>2.0</v>
      </c>
      <c r="S15" s="204">
        <f>'入學要求'!L339</f>
        <v>0</v>
      </c>
      <c r="T15" s="204">
        <f>'入學要求'!M339</f>
        <v>0</v>
      </c>
      <c r="U15" s="204">
        <f>'入學要求'!N339</f>
        <v>0</v>
      </c>
      <c r="V15" s="204">
        <f>'入學要求'!O339</f>
        <v>0</v>
      </c>
      <c r="W15" s="204">
        <f>'入學要求'!P339</f>
        <v>0</v>
      </c>
      <c r="X15" s="205"/>
      <c r="Y15" s="132">
        <f>IF($X$2="2018年",'Offer Statistics'!EV15,IF($X$2="2019年",'Offer Statistics'!EV51,IF($X$2="2020年",'Offer Statistics'!EV87)))</f>
        <v>126</v>
      </c>
      <c r="Z15" s="206">
        <f>IF($X$2="2018年",'Offer Statistics'!EQ15,IF($X$2="2019年",'Offer Statistics'!EQ51,IF($X$2="2020年",'Offer Statistics'!EQ87)))</f>
        <v>62</v>
      </c>
      <c r="AA15" s="206">
        <f>IF($X$2="2018年",'Offer Statistics'!ER15,IF($X$2="2019年",'Offer Statistics'!ER51,IF($X$2="2020年",'Offer Statistics'!ER87)))</f>
        <v>26</v>
      </c>
      <c r="AB15" s="206">
        <f>IF($X$2="2018年",'Offer Statistics'!ES15,IF($X$2="2019年",'Offer Statistics'!ES51,IF($X$2="2020年",'Offer Statistics'!ES87)))</f>
        <v>11</v>
      </c>
      <c r="AC15" s="206">
        <f>IF($X$2="2018年",'Offer Statistics'!ET15,IF($X$2="2019年",'Offer Statistics'!ET51,IF($X$2="2020年",'Offer Statistics'!ET87)))</f>
        <v>11</v>
      </c>
      <c r="AD15" s="206">
        <f>IF($X$2="2018年",'Offer Statistics'!EU15,IF($X$2="2019年",'Offer Statistics'!EU51,IF($X$2="2020年",'Offer Statistics'!EU87)))</f>
        <v>16</v>
      </c>
      <c r="AE15" s="205"/>
      <c r="AF15" s="132">
        <f>IF($X$2="2018年",'Offer Statistics'!EN15,IF($X$2="2019年",'Offer Statistics'!EN51,IF($X$2="2020年",'Offer Statistics'!EN87)))</f>
        <v>3466</v>
      </c>
      <c r="AG15" s="206">
        <f>IF($X$2="2018年",'Offer Statistics'!EI15,IF($X$2="2019年",'Offer Statistics'!EI51,IF($X$2="2020年",'Offer Statistics'!EI87)))</f>
        <v>517</v>
      </c>
      <c r="AH15" s="206">
        <f>IF($X$2="2018年",'Offer Statistics'!EJ15,IF($X$2="2019年",'Offer Statistics'!EJ51,IF($X$2="2020年",'Offer Statistics'!EJ87)))</f>
        <v>586</v>
      </c>
      <c r="AI15" s="206">
        <f>IF($X$2="2018年",'Offer Statistics'!EK15,IF($X$2="2019年",'Offer Statistics'!EK51,IF($X$2="2020年",'Offer Statistics'!EK87)))</f>
        <v>664</v>
      </c>
      <c r="AJ15" s="206">
        <f>IF($X$2="2018年",'Offer Statistics'!EL15,IF($X$2="2019年",'Offer Statistics'!EL51,IF($X$2="2020年",'Offer Statistics'!EL87)))</f>
        <v>774</v>
      </c>
      <c r="AK15" s="206">
        <f>IF($X$2="2018年",'Offer Statistics'!EM15,IF($X$2="2019年",'Offer Statistics'!EM51,IF($X$2="2020年",'Offer Statistics'!EM87)))</f>
        <v>925</v>
      </c>
      <c r="AL15" s="131"/>
      <c r="AM15" s="131" t="str">
        <f t="shared" si="3"/>
        <v>JS9230</v>
      </c>
    </row>
    <row r="16" ht="18.0" customHeight="1">
      <c r="A16" s="351" t="s">
        <v>802</v>
      </c>
      <c r="B16" s="351" t="s">
        <v>1660</v>
      </c>
      <c r="C16" s="351" t="s">
        <v>803</v>
      </c>
      <c r="D16" s="351" t="s">
        <v>1664</v>
      </c>
      <c r="E16" s="352" t="s">
        <v>775</v>
      </c>
      <c r="F16" s="369">
        <v>17.0</v>
      </c>
      <c r="G16" s="369">
        <v>16.0</v>
      </c>
      <c r="H16" s="354">
        <f>'計分版'!D354</f>
        <v>0.00000000195</v>
      </c>
      <c r="I16" s="355">
        <f t="shared" si="1"/>
        <v>-17</v>
      </c>
      <c r="J16" s="356">
        <f t="shared" si="2"/>
        <v>-8717948717</v>
      </c>
      <c r="K16" s="353">
        <v>40.0</v>
      </c>
      <c r="L16" s="370">
        <f>'入學要求'!S340</f>
        <v>0</v>
      </c>
      <c r="M16" s="352" t="s">
        <v>541</v>
      </c>
      <c r="N16" s="352">
        <v>3.0</v>
      </c>
      <c r="O16" s="352">
        <v>3.0</v>
      </c>
      <c r="P16" s="352">
        <v>2.0</v>
      </c>
      <c r="Q16" s="352">
        <v>2.0</v>
      </c>
      <c r="R16" s="352">
        <v>2.0</v>
      </c>
      <c r="S16" s="358">
        <f>'入學要求'!L340</f>
        <v>0</v>
      </c>
      <c r="T16" s="358">
        <f>'入學要求'!M340</f>
        <v>0</v>
      </c>
      <c r="U16" s="358">
        <f>'入學要求'!N340</f>
        <v>0</v>
      </c>
      <c r="V16" s="358">
        <f>'入學要求'!O340</f>
        <v>0</v>
      </c>
      <c r="W16" s="358">
        <f>'入學要求'!P340</f>
        <v>0</v>
      </c>
      <c r="X16" s="205"/>
      <c r="Y16" s="353">
        <f>IF($X$2="2018年",'Offer Statistics'!EV16,IF($X$2="2019年",'Offer Statistics'!EV52,IF($X$2="2020年",'Offer Statistics'!EV88)))</f>
        <v>122</v>
      </c>
      <c r="Z16" s="359">
        <f>IF($X$2="2018年",'Offer Statistics'!EQ16,IF($X$2="2019年",'Offer Statistics'!EQ52,IF($X$2="2020年",'Offer Statistics'!EQ88)))</f>
        <v>58</v>
      </c>
      <c r="AA16" s="359">
        <f>IF($X$2="2018年",'Offer Statistics'!ER16,IF($X$2="2019年",'Offer Statistics'!ER52,IF($X$2="2020年",'Offer Statistics'!ER88)))</f>
        <v>26</v>
      </c>
      <c r="AB16" s="359">
        <f>IF($X$2="2018年",'Offer Statistics'!ES16,IF($X$2="2019年",'Offer Statistics'!ES52,IF($X$2="2020年",'Offer Statistics'!ES88)))</f>
        <v>10</v>
      </c>
      <c r="AC16" s="359">
        <f>IF($X$2="2018年",'Offer Statistics'!ET16,IF($X$2="2019年",'Offer Statistics'!ET52,IF($X$2="2020年",'Offer Statistics'!ET88)))</f>
        <v>19</v>
      </c>
      <c r="AD16" s="359">
        <f>IF($X$2="2018年",'Offer Statistics'!EU16,IF($X$2="2019年",'Offer Statistics'!EU52,IF($X$2="2020年",'Offer Statistics'!EU88)))</f>
        <v>9</v>
      </c>
      <c r="AE16" s="205"/>
      <c r="AF16" s="353">
        <f>IF($X$2="2018年",'Offer Statistics'!EN16,IF($X$2="2019年",'Offer Statistics'!EN52,IF($X$2="2020年",'Offer Statistics'!EN88)))</f>
        <v>2487</v>
      </c>
      <c r="AG16" s="359">
        <f>IF($X$2="2018年",'Offer Statistics'!EI16,IF($X$2="2019年",'Offer Statistics'!EI52,IF($X$2="2020年",'Offer Statistics'!EI88)))</f>
        <v>240</v>
      </c>
      <c r="AH16" s="359">
        <f>IF($X$2="2018年",'Offer Statistics'!EJ16,IF($X$2="2019年",'Offer Statistics'!EJ52,IF($X$2="2020年",'Offer Statistics'!EJ88)))</f>
        <v>416</v>
      </c>
      <c r="AI16" s="359">
        <f>IF($X$2="2018年",'Offer Statistics'!EK16,IF($X$2="2019年",'Offer Statistics'!EK52,IF($X$2="2020年",'Offer Statistics'!EK88)))</f>
        <v>514</v>
      </c>
      <c r="AJ16" s="359">
        <f>IF($X$2="2018年",'Offer Statistics'!EL16,IF($X$2="2019年",'Offer Statistics'!EL52,IF($X$2="2020年",'Offer Statistics'!EL88)))</f>
        <v>577</v>
      </c>
      <c r="AK16" s="359">
        <f>IF($X$2="2018年",'Offer Statistics'!EM16,IF($X$2="2019年",'Offer Statistics'!EM52,IF($X$2="2020年",'Offer Statistics'!EM88)))</f>
        <v>740</v>
      </c>
      <c r="AL16" s="352"/>
      <c r="AM16" s="352" t="str">
        <f t="shared" si="3"/>
        <v>JS9240</v>
      </c>
    </row>
    <row r="17" ht="18.0" customHeight="1">
      <c r="A17" s="142" t="s">
        <v>804</v>
      </c>
      <c r="B17" s="142" t="s">
        <v>1660</v>
      </c>
      <c r="C17" s="142" t="s">
        <v>805</v>
      </c>
      <c r="D17" s="142" t="s">
        <v>1665</v>
      </c>
      <c r="E17" s="131" t="s">
        <v>775</v>
      </c>
      <c r="F17" s="199">
        <v>18.0</v>
      </c>
      <c r="G17" s="199">
        <v>18.0</v>
      </c>
      <c r="H17" s="200">
        <f>'計分版'!D355</f>
        <v>0.00000000195</v>
      </c>
      <c r="I17" s="201">
        <f t="shared" si="1"/>
        <v>-18</v>
      </c>
      <c r="J17" s="202">
        <f t="shared" si="2"/>
        <v>-9230769230</v>
      </c>
      <c r="K17" s="132">
        <v>10.0</v>
      </c>
      <c r="L17" s="203">
        <f>'入學要求'!S341</f>
        <v>0</v>
      </c>
      <c r="M17" s="131" t="s">
        <v>541</v>
      </c>
      <c r="N17" s="131">
        <v>3.0</v>
      </c>
      <c r="O17" s="131">
        <v>3.0</v>
      </c>
      <c r="P17" s="131">
        <v>2.0</v>
      </c>
      <c r="Q17" s="131">
        <v>2.0</v>
      </c>
      <c r="R17" s="131">
        <v>2.0</v>
      </c>
      <c r="S17" s="204">
        <f>'入學要求'!L341</f>
        <v>0</v>
      </c>
      <c r="T17" s="204">
        <f>'入學要求'!M341</f>
        <v>0</v>
      </c>
      <c r="U17" s="204">
        <f>'入學要求'!N341</f>
        <v>0</v>
      </c>
      <c r="V17" s="204">
        <f>'入學要求'!O341</f>
        <v>0</v>
      </c>
      <c r="W17" s="204">
        <f>'入學要求'!P341</f>
        <v>0</v>
      </c>
      <c r="X17" s="205"/>
      <c r="Y17" s="132">
        <f>IF($X$2="2018年",'Offer Statistics'!EV17,IF($X$2="2019年",'Offer Statistics'!EV53,IF($X$2="2020年",'Offer Statistics'!EV89)))</f>
        <v>13</v>
      </c>
      <c r="Z17" s="206">
        <f>IF($X$2="2018年",'Offer Statistics'!EQ17,IF($X$2="2019年",'Offer Statistics'!EQ53,IF($X$2="2020年",'Offer Statistics'!EQ89)))</f>
        <v>8</v>
      </c>
      <c r="AA17" s="206">
        <f>IF($X$2="2018年",'Offer Statistics'!ER17,IF($X$2="2019年",'Offer Statistics'!ER53,IF($X$2="2020年",'Offer Statistics'!ER89)))</f>
        <v>2</v>
      </c>
      <c r="AB17" s="206">
        <f>IF($X$2="2018年",'Offer Statistics'!ES17,IF($X$2="2019年",'Offer Statistics'!ES53,IF($X$2="2020年",'Offer Statistics'!ES89)))</f>
        <v>3</v>
      </c>
      <c r="AC17" s="206">
        <f>IF($X$2="2018年",'Offer Statistics'!ET17,IF($X$2="2019年",'Offer Statistics'!ET53,IF($X$2="2020年",'Offer Statistics'!ET89)))</f>
        <v>0</v>
      </c>
      <c r="AD17" s="206">
        <f>IF($X$2="2018年",'Offer Statistics'!EU17,IF($X$2="2019年",'Offer Statistics'!EU53,IF($X$2="2020年",'Offer Statistics'!EU89)))</f>
        <v>0</v>
      </c>
      <c r="AE17" s="205"/>
      <c r="AF17" s="132">
        <f>IF($X$2="2018年",'Offer Statistics'!EN17,IF($X$2="2019年",'Offer Statistics'!EN53,IF($X$2="2020年",'Offer Statistics'!EN89)))</f>
        <v>1492</v>
      </c>
      <c r="AG17" s="206">
        <f>IF($X$2="2018年",'Offer Statistics'!EI17,IF($X$2="2019年",'Offer Statistics'!EI53,IF($X$2="2020年",'Offer Statistics'!EI89)))</f>
        <v>131</v>
      </c>
      <c r="AH17" s="206">
        <f>IF($X$2="2018年",'Offer Statistics'!EJ17,IF($X$2="2019年",'Offer Statistics'!EJ53,IF($X$2="2020年",'Offer Statistics'!EJ89)))</f>
        <v>260</v>
      </c>
      <c r="AI17" s="206">
        <f>IF($X$2="2018年",'Offer Statistics'!EK17,IF($X$2="2019年",'Offer Statistics'!EK53,IF($X$2="2020年",'Offer Statistics'!EK89)))</f>
        <v>293</v>
      </c>
      <c r="AJ17" s="206">
        <f>IF($X$2="2018年",'Offer Statistics'!EL17,IF($X$2="2019年",'Offer Statistics'!EL53,IF($X$2="2020年",'Offer Statistics'!EL89)))</f>
        <v>387</v>
      </c>
      <c r="AK17" s="206">
        <f>IF($X$2="2018年",'Offer Statistics'!EM17,IF($X$2="2019年",'Offer Statistics'!EM53,IF($X$2="2020年",'Offer Statistics'!EM89)))</f>
        <v>421</v>
      </c>
      <c r="AL17" s="131"/>
      <c r="AM17" s="131" t="str">
        <f t="shared" si="3"/>
        <v>JS9250</v>
      </c>
    </row>
    <row r="18" ht="18.0" customHeight="1">
      <c r="A18" s="351" t="s">
        <v>806</v>
      </c>
      <c r="B18" s="351" t="s">
        <v>1660</v>
      </c>
      <c r="C18" s="351" t="s">
        <v>807</v>
      </c>
      <c r="D18" s="351" t="s">
        <v>1666</v>
      </c>
      <c r="E18" s="352" t="s">
        <v>775</v>
      </c>
      <c r="F18" s="369">
        <v>12.0</v>
      </c>
      <c r="G18" s="369">
        <v>12.0</v>
      </c>
      <c r="H18" s="354">
        <f>'計分版'!D356</f>
        <v>0.00000000195</v>
      </c>
      <c r="I18" s="355">
        <f t="shared" si="1"/>
        <v>-12</v>
      </c>
      <c r="J18" s="356">
        <f t="shared" si="2"/>
        <v>-6153846153</v>
      </c>
      <c r="K18" s="353">
        <v>10.0</v>
      </c>
      <c r="L18" s="370">
        <f>'入學要求'!S342</f>
        <v>0</v>
      </c>
      <c r="M18" s="352" t="s">
        <v>541</v>
      </c>
      <c r="N18" s="352">
        <v>3.0</v>
      </c>
      <c r="O18" s="352">
        <v>3.0</v>
      </c>
      <c r="P18" s="352">
        <v>2.0</v>
      </c>
      <c r="Q18" s="352">
        <v>2.0</v>
      </c>
      <c r="R18" s="352">
        <v>2.0</v>
      </c>
      <c r="S18" s="358">
        <f>'入學要求'!L342</f>
        <v>0</v>
      </c>
      <c r="T18" s="358">
        <f>'入學要求'!M342</f>
        <v>0</v>
      </c>
      <c r="U18" s="358">
        <f>'入學要求'!N342</f>
        <v>0</v>
      </c>
      <c r="V18" s="358">
        <f>'入學要求'!O342</f>
        <v>0</v>
      </c>
      <c r="W18" s="358">
        <f>'入學要求'!P342</f>
        <v>0</v>
      </c>
      <c r="X18" s="205"/>
      <c r="Y18" s="353">
        <f>IF($X$2="2018年",'Offer Statistics'!EV18,IF($X$2="2019年",'Offer Statistics'!EV54,IF($X$2="2020年",'Offer Statistics'!EV90)))</f>
        <v>7</v>
      </c>
      <c r="Z18" s="359">
        <f>IF($X$2="2018年",'Offer Statistics'!EQ18,IF($X$2="2019年",'Offer Statistics'!EQ54,IF($X$2="2020年",'Offer Statistics'!EQ90)))</f>
        <v>1</v>
      </c>
      <c r="AA18" s="359">
        <f>IF($X$2="2018年",'Offer Statistics'!ER18,IF($X$2="2019年",'Offer Statistics'!ER54,IF($X$2="2020年",'Offer Statistics'!ER90)))</f>
        <v>5</v>
      </c>
      <c r="AB18" s="359">
        <f>IF($X$2="2018年",'Offer Statistics'!ES18,IF($X$2="2019年",'Offer Statistics'!ES54,IF($X$2="2020年",'Offer Statistics'!ES90)))</f>
        <v>0</v>
      </c>
      <c r="AC18" s="359">
        <f>IF($X$2="2018年",'Offer Statistics'!ET18,IF($X$2="2019年",'Offer Statistics'!ET54,IF($X$2="2020年",'Offer Statistics'!ET90)))</f>
        <v>1</v>
      </c>
      <c r="AD18" s="359">
        <f>IF($X$2="2018年",'Offer Statistics'!EU18,IF($X$2="2019年",'Offer Statistics'!EU54,IF($X$2="2020年",'Offer Statistics'!EU90)))</f>
        <v>0</v>
      </c>
      <c r="AE18" s="205"/>
      <c r="AF18" s="353">
        <f>IF($X$2="2018年",'Offer Statistics'!EN18,IF($X$2="2019年",'Offer Statistics'!EN54,IF($X$2="2020年",'Offer Statistics'!EN90)))</f>
        <v>455</v>
      </c>
      <c r="AG18" s="359">
        <f>IF($X$2="2018年",'Offer Statistics'!EI18,IF($X$2="2019年",'Offer Statistics'!EI54,IF($X$2="2020年",'Offer Statistics'!EI90)))</f>
        <v>20</v>
      </c>
      <c r="AH18" s="359">
        <f>IF($X$2="2018年",'Offer Statistics'!EJ18,IF($X$2="2019年",'Offer Statistics'!EJ54,IF($X$2="2020年",'Offer Statistics'!EJ90)))</f>
        <v>52</v>
      </c>
      <c r="AI18" s="359">
        <f>IF($X$2="2018年",'Offer Statistics'!EK18,IF($X$2="2019年",'Offer Statistics'!EK54,IF($X$2="2020年",'Offer Statistics'!EK90)))</f>
        <v>82</v>
      </c>
      <c r="AJ18" s="359">
        <f>IF($X$2="2018年",'Offer Statistics'!EL18,IF($X$2="2019年",'Offer Statistics'!EL54,IF($X$2="2020年",'Offer Statistics'!EL90)))</f>
        <v>139</v>
      </c>
      <c r="AK18" s="359">
        <f>IF($X$2="2018年",'Offer Statistics'!EM18,IF($X$2="2019年",'Offer Statistics'!EM54,IF($X$2="2020年",'Offer Statistics'!EM90)))</f>
        <v>162</v>
      </c>
      <c r="AL18" s="352"/>
      <c r="AM18" s="352" t="str">
        <f t="shared" si="3"/>
        <v>JS9261</v>
      </c>
    </row>
    <row r="19" ht="18.0" customHeight="1">
      <c r="A19" s="142" t="s">
        <v>808</v>
      </c>
      <c r="B19" s="142" t="s">
        <v>1660</v>
      </c>
      <c r="C19" s="142" t="s">
        <v>809</v>
      </c>
      <c r="D19" s="142" t="s">
        <v>1667</v>
      </c>
      <c r="E19" s="131" t="s">
        <v>775</v>
      </c>
      <c r="F19" s="199" t="s">
        <v>541</v>
      </c>
      <c r="G19" s="199" t="s">
        <v>541</v>
      </c>
      <c r="H19" s="200">
        <f>'計分版'!D357</f>
        <v>0.00000000195</v>
      </c>
      <c r="I19" s="215" t="s">
        <v>541</v>
      </c>
      <c r="J19" s="215" t="s">
        <v>541</v>
      </c>
      <c r="K19" s="132">
        <v>10.0</v>
      </c>
      <c r="L19" s="203">
        <f>'入學要求'!S343</f>
        <v>0</v>
      </c>
      <c r="M19" s="131" t="s">
        <v>541</v>
      </c>
      <c r="N19" s="131">
        <v>3.0</v>
      </c>
      <c r="O19" s="131">
        <v>3.0</v>
      </c>
      <c r="P19" s="131">
        <v>2.0</v>
      </c>
      <c r="Q19" s="131">
        <v>2.0</v>
      </c>
      <c r="R19" s="131">
        <v>2.0</v>
      </c>
      <c r="S19" s="204">
        <f>'入學要求'!L343</f>
        <v>0</v>
      </c>
      <c r="T19" s="204">
        <f>'入學要求'!M343</f>
        <v>0</v>
      </c>
      <c r="U19" s="204">
        <f>'入學要求'!N343</f>
        <v>0</v>
      </c>
      <c r="V19" s="204">
        <f>'入學要求'!O343</f>
        <v>0</v>
      </c>
      <c r="W19" s="204">
        <f>'入學要求'!P343</f>
        <v>0</v>
      </c>
      <c r="X19" s="205"/>
      <c r="Y19" s="132">
        <f>IF($X$2="2018年",'Offer Statistics'!EV19,IF($X$2="2019年",'Offer Statistics'!EV55,IF($X$2="2020年",'Offer Statistics'!EV91)))</f>
        <v>14</v>
      </c>
      <c r="Z19" s="206">
        <f>IF($X$2="2018年",'Offer Statistics'!EQ19,IF($X$2="2019年",'Offer Statistics'!EQ55,IF($X$2="2020年",'Offer Statistics'!EQ91)))</f>
        <v>4</v>
      </c>
      <c r="AA19" s="206">
        <f>IF($X$2="2018年",'Offer Statistics'!ER19,IF($X$2="2019年",'Offer Statistics'!ER55,IF($X$2="2020年",'Offer Statistics'!ER91)))</f>
        <v>4</v>
      </c>
      <c r="AB19" s="206">
        <f>IF($X$2="2018年",'Offer Statistics'!ES19,IF($X$2="2019年",'Offer Statistics'!ES55,IF($X$2="2020年",'Offer Statistics'!ES91)))</f>
        <v>2</v>
      </c>
      <c r="AC19" s="206">
        <f>IF($X$2="2018年",'Offer Statistics'!ET19,IF($X$2="2019年",'Offer Statistics'!ET55,IF($X$2="2020年",'Offer Statistics'!ET91)))</f>
        <v>3</v>
      </c>
      <c r="AD19" s="206">
        <f>IF($X$2="2018年",'Offer Statistics'!EU19,IF($X$2="2019年",'Offer Statistics'!EU55,IF($X$2="2020年",'Offer Statistics'!EU91)))</f>
        <v>1</v>
      </c>
      <c r="AE19" s="205"/>
      <c r="AF19" s="132">
        <f>IF($X$2="2018年",'Offer Statistics'!EN19,IF($X$2="2019年",'Offer Statistics'!EN55,IF($X$2="2020年",'Offer Statistics'!EN91)))</f>
        <v>918</v>
      </c>
      <c r="AG19" s="206">
        <f>IF($X$2="2018年",'Offer Statistics'!EI19,IF($X$2="2019年",'Offer Statistics'!EI55,IF($X$2="2020年",'Offer Statistics'!EI91)))</f>
        <v>54</v>
      </c>
      <c r="AH19" s="206">
        <f>IF($X$2="2018年",'Offer Statistics'!EJ19,IF($X$2="2019年",'Offer Statistics'!EJ55,IF($X$2="2020年",'Offer Statistics'!EJ91)))</f>
        <v>118</v>
      </c>
      <c r="AI19" s="206">
        <f>IF($X$2="2018年",'Offer Statistics'!EK19,IF($X$2="2019年",'Offer Statistics'!EK55,IF($X$2="2020年",'Offer Statistics'!EK91)))</f>
        <v>178</v>
      </c>
      <c r="AJ19" s="206">
        <f>IF($X$2="2018年",'Offer Statistics'!EL19,IF($X$2="2019年",'Offer Statistics'!EL55,IF($X$2="2020年",'Offer Statistics'!EL91)))</f>
        <v>255</v>
      </c>
      <c r="AK19" s="206">
        <f>IF($X$2="2018年",'Offer Statistics'!EM19,IF($X$2="2019年",'Offer Statistics'!EM55,IF($X$2="2020年",'Offer Statistics'!EM91)))</f>
        <v>313</v>
      </c>
      <c r="AL19" s="131"/>
      <c r="AM19" s="131" t="str">
        <f t="shared" si="3"/>
        <v>JS9272</v>
      </c>
    </row>
    <row r="20" ht="18.0" customHeight="1">
      <c r="A20" s="351" t="s">
        <v>810</v>
      </c>
      <c r="B20" s="351" t="s">
        <v>1660</v>
      </c>
      <c r="C20" s="351" t="s">
        <v>811</v>
      </c>
      <c r="D20" s="351" t="s">
        <v>1668</v>
      </c>
      <c r="E20" s="352" t="s">
        <v>775</v>
      </c>
      <c r="F20" s="369">
        <v>16.0</v>
      </c>
      <c r="G20" s="369">
        <v>16.0</v>
      </c>
      <c r="H20" s="354">
        <f>'計分版'!D358</f>
        <v>0.00000000195</v>
      </c>
      <c r="I20" s="355">
        <f t="shared" ref="I20:I29" si="4">IF(I$1="差距(Median)",H20-F20,IF(I$1="差距(UQ)",H20-#REF!,IF(I$1="差距(LQ)",H20-G20)))</f>
        <v>-16</v>
      </c>
      <c r="J20" s="356">
        <f t="shared" ref="J20:J29" si="5">IF(I$1="差距(Median)",(H20-F20)/H20,IF(I$1="差距(UQ)",(H20-#REF!)/H20,IF(I$1="差距(LQ)",(H20-G20)/H20)))</f>
        <v>-8205128204</v>
      </c>
      <c r="K20" s="353">
        <v>10.0</v>
      </c>
      <c r="L20" s="370">
        <f>'入學要求'!S344</f>
        <v>0</v>
      </c>
      <c r="M20" s="352" t="s">
        <v>541</v>
      </c>
      <c r="N20" s="352">
        <v>3.0</v>
      </c>
      <c r="O20" s="352">
        <v>3.0</v>
      </c>
      <c r="P20" s="352">
        <v>2.0</v>
      </c>
      <c r="Q20" s="352">
        <v>2.0</v>
      </c>
      <c r="R20" s="352">
        <v>2.0</v>
      </c>
      <c r="S20" s="358">
        <f>'入學要求'!L344</f>
        <v>0</v>
      </c>
      <c r="T20" s="358">
        <f>'入學要求'!M344</f>
        <v>0</v>
      </c>
      <c r="U20" s="358">
        <f>'入學要求'!N344</f>
        <v>0</v>
      </c>
      <c r="V20" s="358">
        <f>'入學要求'!O344</f>
        <v>0</v>
      </c>
      <c r="W20" s="358">
        <f>'入學要求'!P344</f>
        <v>0</v>
      </c>
      <c r="X20" s="205"/>
      <c r="Y20" s="353">
        <f>IF($X$2="2018年",'Offer Statistics'!EV20,IF($X$2="2019年",'Offer Statistics'!EV56,IF($X$2="2020年",'Offer Statistics'!EV92)))</f>
        <v>9</v>
      </c>
      <c r="Z20" s="359">
        <f>IF($X$2="2018年",'Offer Statistics'!EQ20,IF($X$2="2019年",'Offer Statistics'!EQ56,IF($X$2="2020年",'Offer Statistics'!EQ92)))</f>
        <v>2</v>
      </c>
      <c r="AA20" s="359">
        <f>IF($X$2="2018年",'Offer Statistics'!ER20,IF($X$2="2019年",'Offer Statistics'!ER56,IF($X$2="2020年",'Offer Statistics'!ER92)))</f>
        <v>2</v>
      </c>
      <c r="AB20" s="359">
        <f>IF($X$2="2018年",'Offer Statistics'!ES20,IF($X$2="2019年",'Offer Statistics'!ES56,IF($X$2="2020年",'Offer Statistics'!ES92)))</f>
        <v>1</v>
      </c>
      <c r="AC20" s="359">
        <f>IF($X$2="2018年",'Offer Statistics'!ET20,IF($X$2="2019年",'Offer Statistics'!ET56,IF($X$2="2020年",'Offer Statistics'!ET92)))</f>
        <v>3</v>
      </c>
      <c r="AD20" s="359">
        <f>IF($X$2="2018年",'Offer Statistics'!EU20,IF($X$2="2019年",'Offer Statistics'!EU56,IF($X$2="2020年",'Offer Statistics'!EU92)))</f>
        <v>1</v>
      </c>
      <c r="AE20" s="205"/>
      <c r="AF20" s="353">
        <f>IF($X$2="2018年",'Offer Statistics'!EN20,IF($X$2="2019年",'Offer Statistics'!EN56,IF($X$2="2020年",'Offer Statistics'!EN92)))</f>
        <v>644</v>
      </c>
      <c r="AG20" s="359">
        <f>IF($X$2="2018年",'Offer Statistics'!EI20,IF($X$2="2019年",'Offer Statistics'!EI56,IF($X$2="2020年",'Offer Statistics'!EI92)))</f>
        <v>28</v>
      </c>
      <c r="AH20" s="359">
        <f>IF($X$2="2018年",'Offer Statistics'!EJ20,IF($X$2="2019年",'Offer Statistics'!EJ56,IF($X$2="2020年",'Offer Statistics'!EJ92)))</f>
        <v>86</v>
      </c>
      <c r="AI20" s="359">
        <f>IF($X$2="2018年",'Offer Statistics'!EK20,IF($X$2="2019年",'Offer Statistics'!EK56,IF($X$2="2020年",'Offer Statistics'!EK92)))</f>
        <v>159</v>
      </c>
      <c r="AJ20" s="359">
        <f>IF($X$2="2018年",'Offer Statistics'!EL20,IF($X$2="2019年",'Offer Statistics'!EL56,IF($X$2="2020年",'Offer Statistics'!EL92)))</f>
        <v>174</v>
      </c>
      <c r="AK20" s="359">
        <f>IF($X$2="2018年",'Offer Statistics'!EM20,IF($X$2="2019年",'Offer Statistics'!EM56,IF($X$2="2020年",'Offer Statistics'!EM92)))</f>
        <v>197</v>
      </c>
      <c r="AL20" s="352"/>
      <c r="AM20" s="352" t="str">
        <f t="shared" si="3"/>
        <v>JS9276</v>
      </c>
    </row>
    <row r="21" ht="18.0" customHeight="1">
      <c r="A21" s="142" t="s">
        <v>812</v>
      </c>
      <c r="B21" s="142" t="s">
        <v>1660</v>
      </c>
      <c r="C21" s="142" t="s">
        <v>813</v>
      </c>
      <c r="D21" s="142" t="s">
        <v>1669</v>
      </c>
      <c r="E21" s="131" t="s">
        <v>775</v>
      </c>
      <c r="F21" s="199">
        <v>17.0</v>
      </c>
      <c r="G21" s="199">
        <v>16.0</v>
      </c>
      <c r="H21" s="200">
        <f>'計分版'!D359</f>
        <v>0.00000000195</v>
      </c>
      <c r="I21" s="201">
        <f t="shared" si="4"/>
        <v>-17</v>
      </c>
      <c r="J21" s="202">
        <f t="shared" si="5"/>
        <v>-8717948717</v>
      </c>
      <c r="K21" s="132">
        <v>30.0</v>
      </c>
      <c r="L21" s="203">
        <f>'入學要求'!S345</f>
        <v>0</v>
      </c>
      <c r="M21" s="131" t="s">
        <v>541</v>
      </c>
      <c r="N21" s="131">
        <v>3.0</v>
      </c>
      <c r="O21" s="131">
        <v>3.0</v>
      </c>
      <c r="P21" s="131">
        <v>2.0</v>
      </c>
      <c r="Q21" s="131">
        <v>2.0</v>
      </c>
      <c r="R21" s="131">
        <v>2.0</v>
      </c>
      <c r="S21" s="204">
        <f>'入學要求'!L345</f>
        <v>0</v>
      </c>
      <c r="T21" s="204">
        <f>'入學要求'!M345</f>
        <v>0</v>
      </c>
      <c r="U21" s="204">
        <f>'入學要求'!N345</f>
        <v>0</v>
      </c>
      <c r="V21" s="204">
        <f>'入學要求'!O345</f>
        <v>0</v>
      </c>
      <c r="W21" s="204">
        <f>'入學要求'!P345</f>
        <v>0</v>
      </c>
      <c r="X21" s="205"/>
      <c r="Y21" s="132">
        <f>IF($X$2="2018年",'Offer Statistics'!EV21,IF($X$2="2019年",'Offer Statistics'!EV57,IF($X$2="2020年",'Offer Statistics'!EV93)))</f>
        <v>63</v>
      </c>
      <c r="Z21" s="206">
        <f>IF($X$2="2018年",'Offer Statistics'!EQ21,IF($X$2="2019年",'Offer Statistics'!EQ57,IF($X$2="2020年",'Offer Statistics'!EQ93)))</f>
        <v>35</v>
      </c>
      <c r="AA21" s="206">
        <f>IF($X$2="2018年",'Offer Statistics'!ER21,IF($X$2="2019年",'Offer Statistics'!ER57,IF($X$2="2020年",'Offer Statistics'!ER93)))</f>
        <v>14</v>
      </c>
      <c r="AB21" s="206">
        <f>IF($X$2="2018年",'Offer Statistics'!ES21,IF($X$2="2019年",'Offer Statistics'!ES57,IF($X$2="2020年",'Offer Statistics'!ES93)))</f>
        <v>6</v>
      </c>
      <c r="AC21" s="206">
        <f>IF($X$2="2018年",'Offer Statistics'!ET21,IF($X$2="2019年",'Offer Statistics'!ET57,IF($X$2="2020年",'Offer Statistics'!ET93)))</f>
        <v>5</v>
      </c>
      <c r="AD21" s="206">
        <f>IF($X$2="2018年",'Offer Statistics'!EU21,IF($X$2="2019年",'Offer Statistics'!EU57,IF($X$2="2020年",'Offer Statistics'!EU93)))</f>
        <v>3</v>
      </c>
      <c r="AE21" s="205"/>
      <c r="AF21" s="132">
        <f>IF($X$2="2018年",'Offer Statistics'!EN21,IF($X$2="2019年",'Offer Statistics'!EN57,IF($X$2="2020年",'Offer Statistics'!EN93)))</f>
        <v>2325</v>
      </c>
      <c r="AG21" s="206">
        <f>IF($X$2="2018年",'Offer Statistics'!EI21,IF($X$2="2019年",'Offer Statistics'!EI57,IF($X$2="2020年",'Offer Statistics'!EI93)))</f>
        <v>191</v>
      </c>
      <c r="AH21" s="206">
        <f>IF($X$2="2018年",'Offer Statistics'!EJ21,IF($X$2="2019年",'Offer Statistics'!EJ57,IF($X$2="2020年",'Offer Statistics'!EJ93)))</f>
        <v>373</v>
      </c>
      <c r="AI21" s="206">
        <f>IF($X$2="2018年",'Offer Statistics'!EK21,IF($X$2="2019年",'Offer Statistics'!EK57,IF($X$2="2020年",'Offer Statistics'!EK93)))</f>
        <v>502</v>
      </c>
      <c r="AJ21" s="206">
        <f>IF($X$2="2018年",'Offer Statistics'!EL21,IF($X$2="2019年",'Offer Statistics'!EL57,IF($X$2="2020年",'Offer Statistics'!EL93)))</f>
        <v>614</v>
      </c>
      <c r="AK21" s="206">
        <f>IF($X$2="2018年",'Offer Statistics'!EM21,IF($X$2="2019年",'Offer Statistics'!EM57,IF($X$2="2020年",'Offer Statistics'!EM93)))</f>
        <v>645</v>
      </c>
      <c r="AL21" s="131"/>
      <c r="AM21" s="131" t="str">
        <f t="shared" si="3"/>
        <v>JS9280</v>
      </c>
    </row>
    <row r="22" ht="18.0" customHeight="1">
      <c r="A22" s="351" t="s">
        <v>814</v>
      </c>
      <c r="B22" s="351" t="s">
        <v>1660</v>
      </c>
      <c r="C22" s="351" t="s">
        <v>815</v>
      </c>
      <c r="D22" s="351" t="s">
        <v>1670</v>
      </c>
      <c r="E22" s="352" t="s">
        <v>775</v>
      </c>
      <c r="F22" s="369">
        <v>16.0</v>
      </c>
      <c r="G22" s="369">
        <v>15.0</v>
      </c>
      <c r="H22" s="354">
        <f>'計分版'!D360</f>
        <v>0.00000000195</v>
      </c>
      <c r="I22" s="355">
        <f t="shared" si="4"/>
        <v>-16</v>
      </c>
      <c r="J22" s="356">
        <f t="shared" si="5"/>
        <v>-8205128204</v>
      </c>
      <c r="K22" s="353">
        <v>30.0</v>
      </c>
      <c r="L22" s="370">
        <f>'入學要求'!S346</f>
        <v>0</v>
      </c>
      <c r="M22" s="352" t="s">
        <v>541</v>
      </c>
      <c r="N22" s="352">
        <v>3.0</v>
      </c>
      <c r="O22" s="352">
        <v>3.0</v>
      </c>
      <c r="P22" s="352">
        <v>2.0</v>
      </c>
      <c r="Q22" s="352">
        <v>2.0</v>
      </c>
      <c r="R22" s="352">
        <v>2.0</v>
      </c>
      <c r="S22" s="358">
        <f>'入學要求'!L346</f>
        <v>0</v>
      </c>
      <c r="T22" s="358">
        <f>'入學要求'!M346</f>
        <v>0</v>
      </c>
      <c r="U22" s="358">
        <f>'入學要求'!N346</f>
        <v>0</v>
      </c>
      <c r="V22" s="358">
        <f>'入學要求'!O346</f>
        <v>0</v>
      </c>
      <c r="W22" s="358">
        <f>'入學要求'!P346</f>
        <v>0</v>
      </c>
      <c r="X22" s="205"/>
      <c r="Y22" s="353">
        <f>IF($X$2="2018年",'Offer Statistics'!EV22,IF($X$2="2019年",'Offer Statistics'!EV58,IF($X$2="2020年",'Offer Statistics'!EV94)))</f>
        <v>138</v>
      </c>
      <c r="Z22" s="359">
        <f>IF($X$2="2018年",'Offer Statistics'!EQ22,IF($X$2="2019年",'Offer Statistics'!EQ58,IF($X$2="2020年",'Offer Statistics'!EQ94)))</f>
        <v>82</v>
      </c>
      <c r="AA22" s="359">
        <f>IF($X$2="2018年",'Offer Statistics'!ER22,IF($X$2="2019年",'Offer Statistics'!ER58,IF($X$2="2020年",'Offer Statistics'!ER94)))</f>
        <v>21</v>
      </c>
      <c r="AB22" s="359">
        <f>IF($X$2="2018年",'Offer Statistics'!ES22,IF($X$2="2019年",'Offer Statistics'!ES58,IF($X$2="2020年",'Offer Statistics'!ES94)))</f>
        <v>10</v>
      </c>
      <c r="AC22" s="359">
        <f>IF($X$2="2018年",'Offer Statistics'!ET22,IF($X$2="2019年",'Offer Statistics'!ET58,IF($X$2="2020年",'Offer Statistics'!ET94)))</f>
        <v>9</v>
      </c>
      <c r="AD22" s="359">
        <f>IF($X$2="2018年",'Offer Statistics'!EU22,IF($X$2="2019年",'Offer Statistics'!EU58,IF($X$2="2020年",'Offer Statistics'!EU94)))</f>
        <v>16</v>
      </c>
      <c r="AE22" s="205"/>
      <c r="AF22" s="353">
        <f>IF($X$2="2018年",'Offer Statistics'!EN22,IF($X$2="2019年",'Offer Statistics'!EN58,IF($X$2="2020年",'Offer Statistics'!EN94)))</f>
        <v>4248</v>
      </c>
      <c r="AG22" s="359">
        <f>IF($X$2="2018年",'Offer Statistics'!EI22,IF($X$2="2019年",'Offer Statistics'!EI58,IF($X$2="2020年",'Offer Statistics'!EI94)))</f>
        <v>690</v>
      </c>
      <c r="AH22" s="359">
        <f>IF($X$2="2018年",'Offer Statistics'!EJ22,IF($X$2="2019年",'Offer Statistics'!EJ58,IF($X$2="2020年",'Offer Statistics'!EJ94)))</f>
        <v>765</v>
      </c>
      <c r="AI22" s="359">
        <f>IF($X$2="2018年",'Offer Statistics'!EK22,IF($X$2="2019年",'Offer Statistics'!EK58,IF($X$2="2020年",'Offer Statistics'!EK94)))</f>
        <v>897</v>
      </c>
      <c r="AJ22" s="359">
        <f>IF($X$2="2018年",'Offer Statistics'!EL22,IF($X$2="2019年",'Offer Statistics'!EL58,IF($X$2="2020年",'Offer Statistics'!EL94)))</f>
        <v>908</v>
      </c>
      <c r="AK22" s="359">
        <f>IF($X$2="2018年",'Offer Statistics'!EM22,IF($X$2="2019年",'Offer Statistics'!EM58,IF($X$2="2020年",'Offer Statistics'!EM94)))</f>
        <v>988</v>
      </c>
      <c r="AL22" s="352"/>
      <c r="AM22" s="352" t="str">
        <f t="shared" si="3"/>
        <v>JS9291</v>
      </c>
    </row>
    <row r="23" ht="18.0" customHeight="1">
      <c r="A23" s="142" t="s">
        <v>816</v>
      </c>
      <c r="B23" s="142" t="s">
        <v>1660</v>
      </c>
      <c r="C23" s="142" t="s">
        <v>817</v>
      </c>
      <c r="D23" s="142" t="s">
        <v>1671</v>
      </c>
      <c r="E23" s="131" t="s">
        <v>775</v>
      </c>
      <c r="F23" s="131">
        <v>15.0</v>
      </c>
      <c r="G23" s="199">
        <v>15.0</v>
      </c>
      <c r="H23" s="200">
        <f>'計分版'!D361</f>
        <v>0.00000000195</v>
      </c>
      <c r="I23" s="201">
        <f t="shared" si="4"/>
        <v>-15</v>
      </c>
      <c r="J23" s="202">
        <f t="shared" si="5"/>
        <v>-7692307691</v>
      </c>
      <c r="K23" s="132">
        <v>30.0</v>
      </c>
      <c r="L23" s="203">
        <f>'入學要求'!S347</f>
        <v>0</v>
      </c>
      <c r="M23" s="131" t="s">
        <v>541</v>
      </c>
      <c r="N23" s="131">
        <v>3.0</v>
      </c>
      <c r="O23" s="131">
        <v>3.0</v>
      </c>
      <c r="P23" s="131">
        <v>2.0</v>
      </c>
      <c r="Q23" s="131">
        <v>2.0</v>
      </c>
      <c r="R23" s="131">
        <v>2.0</v>
      </c>
      <c r="S23" s="204">
        <f>'入學要求'!L347</f>
        <v>0</v>
      </c>
      <c r="T23" s="204">
        <f>'入學要求'!M347</f>
        <v>0</v>
      </c>
      <c r="U23" s="204">
        <f>'入學要求'!N347</f>
        <v>0</v>
      </c>
      <c r="V23" s="204">
        <f>'入學要求'!O347</f>
        <v>0</v>
      </c>
      <c r="W23" s="204">
        <f>'入學要求'!P347</f>
        <v>0</v>
      </c>
      <c r="X23" s="205"/>
      <c r="Y23" s="132">
        <f>IF($X$2="2018年",'Offer Statistics'!EV23,IF($X$2="2019年",'Offer Statistics'!EV59,IF($X$2="2020年",'Offer Statistics'!EV95)))</f>
        <v>36</v>
      </c>
      <c r="Z23" s="206">
        <f>IF($X$2="2018年",'Offer Statistics'!EQ23,IF($X$2="2019年",'Offer Statistics'!EQ59,IF($X$2="2020年",'Offer Statistics'!EQ95)))</f>
        <v>9</v>
      </c>
      <c r="AA23" s="206">
        <f>IF($X$2="2018年",'Offer Statistics'!ER23,IF($X$2="2019年",'Offer Statistics'!ER59,IF($X$2="2020年",'Offer Statistics'!ER95)))</f>
        <v>9</v>
      </c>
      <c r="AB23" s="206">
        <f>IF($X$2="2018年",'Offer Statistics'!ES23,IF($X$2="2019年",'Offer Statistics'!ES59,IF($X$2="2020年",'Offer Statistics'!ES95)))</f>
        <v>5</v>
      </c>
      <c r="AC23" s="206">
        <f>IF($X$2="2018年",'Offer Statistics'!ET23,IF($X$2="2019年",'Offer Statistics'!ET59,IF($X$2="2020年",'Offer Statistics'!ET95)))</f>
        <v>4</v>
      </c>
      <c r="AD23" s="206">
        <f>IF($X$2="2018年",'Offer Statistics'!EU23,IF($X$2="2019年",'Offer Statistics'!EU59,IF($X$2="2020年",'Offer Statistics'!EU95)))</f>
        <v>9</v>
      </c>
      <c r="AE23" s="205"/>
      <c r="AF23" s="132">
        <f>IF($X$2="2018年",'Offer Statistics'!EN23,IF($X$2="2019年",'Offer Statistics'!EN59,IF($X$2="2020年",'Offer Statistics'!EN95)))</f>
        <v>1932</v>
      </c>
      <c r="AG23" s="206">
        <f>IF($X$2="2018年",'Offer Statistics'!EI23,IF($X$2="2019年",'Offer Statistics'!EI59,IF($X$2="2020年",'Offer Statistics'!EI95)))</f>
        <v>260</v>
      </c>
      <c r="AH23" s="206">
        <f>IF($X$2="2018年",'Offer Statistics'!EJ23,IF($X$2="2019年",'Offer Statistics'!EJ59,IF($X$2="2020年",'Offer Statistics'!EJ95)))</f>
        <v>376</v>
      </c>
      <c r="AI23" s="206">
        <f>IF($X$2="2018年",'Offer Statistics'!EK23,IF($X$2="2019年",'Offer Statistics'!EK59,IF($X$2="2020年",'Offer Statistics'!EK95)))</f>
        <v>370</v>
      </c>
      <c r="AJ23" s="206">
        <f>IF($X$2="2018年",'Offer Statistics'!EL23,IF($X$2="2019年",'Offer Statistics'!EL59,IF($X$2="2020年",'Offer Statistics'!EL95)))</f>
        <v>463</v>
      </c>
      <c r="AK23" s="206">
        <f>IF($X$2="2018年",'Offer Statistics'!EM23,IF($X$2="2019年",'Offer Statistics'!EM59,IF($X$2="2020年",'Offer Statistics'!EM95)))</f>
        <v>463</v>
      </c>
      <c r="AL23" s="131"/>
      <c r="AM23" s="131" t="str">
        <f t="shared" si="3"/>
        <v>JS9294</v>
      </c>
    </row>
    <row r="24" ht="18.0" customHeight="1">
      <c r="A24" s="351" t="s">
        <v>818</v>
      </c>
      <c r="B24" s="351" t="s">
        <v>1672</v>
      </c>
      <c r="C24" s="351" t="s">
        <v>819</v>
      </c>
      <c r="D24" s="351" t="s">
        <v>1673</v>
      </c>
      <c r="E24" s="353" t="s">
        <v>21</v>
      </c>
      <c r="F24" s="369">
        <v>22.0</v>
      </c>
      <c r="G24" s="369">
        <v>21.0</v>
      </c>
      <c r="H24" s="354">
        <f>'計分版'!D362</f>
        <v>0.00000000395</v>
      </c>
      <c r="I24" s="355">
        <f t="shared" si="4"/>
        <v>-22</v>
      </c>
      <c r="J24" s="356">
        <f t="shared" si="5"/>
        <v>-5569620252</v>
      </c>
      <c r="K24" s="353">
        <v>30.0</v>
      </c>
      <c r="L24" s="370">
        <f>'入學要求'!S348</f>
        <v>0</v>
      </c>
      <c r="M24" s="371" t="s">
        <v>1166</v>
      </c>
      <c r="N24" s="352">
        <v>3.0</v>
      </c>
      <c r="O24" s="352">
        <v>3.0</v>
      </c>
      <c r="P24" s="352">
        <v>2.0</v>
      </c>
      <c r="Q24" s="352">
        <v>2.0</v>
      </c>
      <c r="R24" s="352">
        <v>2.0</v>
      </c>
      <c r="S24" s="358">
        <f>'入學要求'!L348</f>
        <v>0</v>
      </c>
      <c r="T24" s="358">
        <f>'入學要求'!M348</f>
        <v>0</v>
      </c>
      <c r="U24" s="358">
        <f>'入學要求'!N348</f>
        <v>0</v>
      </c>
      <c r="V24" s="358">
        <f>'入學要求'!O348</f>
        <v>0</v>
      </c>
      <c r="W24" s="358">
        <f>'入學要求'!P348</f>
        <v>0</v>
      </c>
      <c r="X24" s="205"/>
      <c r="Y24" s="353">
        <f>IF($X$2="2018年",'Offer Statistics'!EV24,IF($X$2="2019年",'Offer Statistics'!EV60,IF($X$2="2020年",'Offer Statistics'!EV96)))</f>
        <v>32</v>
      </c>
      <c r="Z24" s="359">
        <f>IF($X$2="2018年",'Offer Statistics'!EQ24,IF($X$2="2019年",'Offer Statistics'!EQ60,IF($X$2="2020年",'Offer Statistics'!EQ96)))</f>
        <v>27</v>
      </c>
      <c r="AA24" s="359">
        <f>IF($X$2="2018年",'Offer Statistics'!ER24,IF($X$2="2019年",'Offer Statistics'!ER60,IF($X$2="2020年",'Offer Statistics'!ER96)))</f>
        <v>5</v>
      </c>
      <c r="AB24" s="359">
        <f>IF($X$2="2018年",'Offer Statistics'!ES24,IF($X$2="2019年",'Offer Statistics'!ES60,IF($X$2="2020年",'Offer Statistics'!ES96)))</f>
        <v>0</v>
      </c>
      <c r="AC24" s="359">
        <f>IF($X$2="2018年",'Offer Statistics'!ET24,IF($X$2="2019年",'Offer Statistics'!ET60,IF($X$2="2020年",'Offer Statistics'!ET96)))</f>
        <v>0</v>
      </c>
      <c r="AD24" s="359">
        <f>IF($X$2="2018年",'Offer Statistics'!EU24,IF($X$2="2019年",'Offer Statistics'!EU60,IF($X$2="2020年",'Offer Statistics'!EU96)))</f>
        <v>0</v>
      </c>
      <c r="AE24" s="205"/>
      <c r="AF24" s="353">
        <f>IF($X$2="2018年",'Offer Statistics'!EN24,IF($X$2="2019年",'Offer Statistics'!EN60,IF($X$2="2020年",'Offer Statistics'!EN96)))</f>
        <v>739</v>
      </c>
      <c r="AG24" s="359">
        <f>IF($X$2="2018年",'Offer Statistics'!EI24,IF($X$2="2019年",'Offer Statistics'!EI60,IF($X$2="2020年",'Offer Statistics'!EI96)))</f>
        <v>116</v>
      </c>
      <c r="AH24" s="359">
        <f>IF($X$2="2018年",'Offer Statistics'!EJ24,IF($X$2="2019年",'Offer Statistics'!EJ60,IF($X$2="2020年",'Offer Statistics'!EJ96)))</f>
        <v>139</v>
      </c>
      <c r="AI24" s="359">
        <f>IF($X$2="2018年",'Offer Statistics'!EK24,IF($X$2="2019年",'Offer Statistics'!EK60,IF($X$2="2020年",'Offer Statistics'!EK96)))</f>
        <v>137</v>
      </c>
      <c r="AJ24" s="359">
        <f>IF($X$2="2018年",'Offer Statistics'!EL24,IF($X$2="2019年",'Offer Statistics'!EL60,IF($X$2="2020年",'Offer Statistics'!EL96)))</f>
        <v>149</v>
      </c>
      <c r="AK24" s="359">
        <f>IF($X$2="2018年",'Offer Statistics'!EM24,IF($X$2="2019年",'Offer Statistics'!EM60,IF($X$2="2020年",'Offer Statistics'!EM96)))</f>
        <v>198</v>
      </c>
      <c r="AL24" s="352"/>
      <c r="AM24" s="352" t="str">
        <f t="shared" si="3"/>
        <v>JS9530</v>
      </c>
    </row>
    <row r="25" ht="18.0" customHeight="1">
      <c r="A25" s="142" t="s">
        <v>820</v>
      </c>
      <c r="B25" s="142" t="s">
        <v>1672</v>
      </c>
      <c r="C25" s="142" t="s">
        <v>821</v>
      </c>
      <c r="D25" s="142" t="s">
        <v>1674</v>
      </c>
      <c r="E25" s="132" t="s">
        <v>21</v>
      </c>
      <c r="F25" s="199">
        <v>20.0</v>
      </c>
      <c r="G25" s="199">
        <v>19.0</v>
      </c>
      <c r="H25" s="200">
        <f>'計分版'!D363</f>
        <v>0.00000000395</v>
      </c>
      <c r="I25" s="201">
        <f t="shared" si="4"/>
        <v>-20</v>
      </c>
      <c r="J25" s="202">
        <f t="shared" si="5"/>
        <v>-5063291138</v>
      </c>
      <c r="K25" s="132">
        <v>25.0</v>
      </c>
      <c r="L25" s="203">
        <f>'入學要求'!S349</f>
        <v>0</v>
      </c>
      <c r="M25" s="131" t="s">
        <v>541</v>
      </c>
      <c r="N25" s="131">
        <v>3.0</v>
      </c>
      <c r="O25" s="131">
        <v>3.0</v>
      </c>
      <c r="P25" s="131">
        <v>2.0</v>
      </c>
      <c r="Q25" s="131">
        <v>2.0</v>
      </c>
      <c r="R25" s="131">
        <v>2.0</v>
      </c>
      <c r="S25" s="204">
        <f>'入學要求'!L349</f>
        <v>0</v>
      </c>
      <c r="T25" s="204">
        <f>'入學要求'!M349</f>
        <v>0</v>
      </c>
      <c r="U25" s="204">
        <f>'入學要求'!N349</f>
        <v>0</v>
      </c>
      <c r="V25" s="204">
        <f>'入學要求'!O349</f>
        <v>0</v>
      </c>
      <c r="W25" s="204">
        <f>'入學要求'!P349</f>
        <v>0</v>
      </c>
      <c r="X25" s="205"/>
      <c r="Y25" s="132">
        <f>IF($X$2="2018年",'Offer Statistics'!EV25,IF($X$2="2019年",'Offer Statistics'!EV61,IF($X$2="2020年",'Offer Statistics'!EV97)))</f>
        <v>56</v>
      </c>
      <c r="Z25" s="206">
        <f>IF($X$2="2018年",'Offer Statistics'!EQ25,IF($X$2="2019年",'Offer Statistics'!EQ61,IF($X$2="2020年",'Offer Statistics'!EQ97)))</f>
        <v>32</v>
      </c>
      <c r="AA25" s="206">
        <f>IF($X$2="2018年",'Offer Statistics'!ER25,IF($X$2="2019年",'Offer Statistics'!ER61,IF($X$2="2020年",'Offer Statistics'!ER97)))</f>
        <v>16</v>
      </c>
      <c r="AB25" s="206">
        <f>IF($X$2="2018年",'Offer Statistics'!ES25,IF($X$2="2019年",'Offer Statistics'!ES61,IF($X$2="2020年",'Offer Statistics'!ES97)))</f>
        <v>4</v>
      </c>
      <c r="AC25" s="206">
        <f>IF($X$2="2018年",'Offer Statistics'!ET25,IF($X$2="2019年",'Offer Statistics'!ET61,IF($X$2="2020年",'Offer Statistics'!ET97)))</f>
        <v>0</v>
      </c>
      <c r="AD25" s="206">
        <f>IF($X$2="2018年",'Offer Statistics'!EU25,IF($X$2="2019年",'Offer Statistics'!EU61,IF($X$2="2020年",'Offer Statistics'!EU97)))</f>
        <v>4</v>
      </c>
      <c r="AE25" s="205"/>
      <c r="AF25" s="132">
        <f>IF($X$2="2018年",'Offer Statistics'!EN25,IF($X$2="2019年",'Offer Statistics'!EN61,IF($X$2="2020年",'Offer Statistics'!EN97)))</f>
        <v>772</v>
      </c>
      <c r="AG25" s="206">
        <f>IF($X$2="2018年",'Offer Statistics'!EI25,IF($X$2="2019年",'Offer Statistics'!EI61,IF($X$2="2020年",'Offer Statistics'!EI97)))</f>
        <v>87</v>
      </c>
      <c r="AH25" s="206">
        <f>IF($X$2="2018年",'Offer Statistics'!EJ25,IF($X$2="2019年",'Offer Statistics'!EJ61,IF($X$2="2020年",'Offer Statistics'!EJ97)))</f>
        <v>139</v>
      </c>
      <c r="AI25" s="206">
        <f>IF($X$2="2018年",'Offer Statistics'!EK25,IF($X$2="2019年",'Offer Statistics'!EK61,IF($X$2="2020年",'Offer Statistics'!EK97)))</f>
        <v>145</v>
      </c>
      <c r="AJ25" s="206">
        <f>IF($X$2="2018年",'Offer Statistics'!EL25,IF($X$2="2019年",'Offer Statistics'!EL61,IF($X$2="2020年",'Offer Statistics'!EL97)))</f>
        <v>192</v>
      </c>
      <c r="AK25" s="206">
        <f>IF($X$2="2018年",'Offer Statistics'!EM25,IF($X$2="2019年",'Offer Statistics'!EM61,IF($X$2="2020年",'Offer Statistics'!EM97)))</f>
        <v>209</v>
      </c>
      <c r="AL25" s="131"/>
      <c r="AM25" s="131" t="str">
        <f t="shared" si="3"/>
        <v>JS9540</v>
      </c>
    </row>
    <row r="26" ht="18.0" customHeight="1">
      <c r="A26" s="351" t="s">
        <v>822</v>
      </c>
      <c r="B26" s="351" t="s">
        <v>1672</v>
      </c>
      <c r="C26" s="351" t="s">
        <v>823</v>
      </c>
      <c r="D26" s="351" t="s">
        <v>1675</v>
      </c>
      <c r="E26" s="353" t="s">
        <v>21</v>
      </c>
      <c r="F26" s="369">
        <v>20.0</v>
      </c>
      <c r="G26" s="369">
        <v>20.0</v>
      </c>
      <c r="H26" s="354">
        <f>'計分版'!D364</f>
        <v>0.00000000395</v>
      </c>
      <c r="I26" s="355">
        <f t="shared" si="4"/>
        <v>-20</v>
      </c>
      <c r="J26" s="356">
        <f t="shared" si="5"/>
        <v>-5063291138</v>
      </c>
      <c r="K26" s="353">
        <v>20.0</v>
      </c>
      <c r="L26" s="370">
        <f>'入學要求'!S350</f>
        <v>0</v>
      </c>
      <c r="M26" s="352" t="s">
        <v>541</v>
      </c>
      <c r="N26" s="352">
        <v>3.0</v>
      </c>
      <c r="O26" s="352">
        <v>3.0</v>
      </c>
      <c r="P26" s="352">
        <v>2.0</v>
      </c>
      <c r="Q26" s="352">
        <v>2.0</v>
      </c>
      <c r="R26" s="352">
        <v>2.0</v>
      </c>
      <c r="S26" s="358">
        <f>'入學要求'!L350</f>
        <v>0</v>
      </c>
      <c r="T26" s="358">
        <f>'入學要求'!M350</f>
        <v>0</v>
      </c>
      <c r="U26" s="358">
        <f>'入學要求'!N350</f>
        <v>0</v>
      </c>
      <c r="V26" s="358">
        <f>'入學要求'!O350</f>
        <v>0</v>
      </c>
      <c r="W26" s="358">
        <f>'入學要求'!P350</f>
        <v>0</v>
      </c>
      <c r="X26" s="205"/>
      <c r="Y26" s="353">
        <f>IF($X$2="2018年",'Offer Statistics'!EV26,IF($X$2="2019年",'Offer Statistics'!EV62,IF($X$2="2020年",'Offer Statistics'!EV98)))</f>
        <v>28</v>
      </c>
      <c r="Z26" s="359">
        <f>IF($X$2="2018年",'Offer Statistics'!EQ26,IF($X$2="2019年",'Offer Statistics'!EQ62,IF($X$2="2020年",'Offer Statistics'!EQ98)))</f>
        <v>11</v>
      </c>
      <c r="AA26" s="359">
        <f>IF($X$2="2018年",'Offer Statistics'!ER26,IF($X$2="2019年",'Offer Statistics'!ER62,IF($X$2="2020年",'Offer Statistics'!ER98)))</f>
        <v>6</v>
      </c>
      <c r="AB26" s="359">
        <f>IF($X$2="2018年",'Offer Statistics'!ES26,IF($X$2="2019年",'Offer Statistics'!ES62,IF($X$2="2020年",'Offer Statistics'!ES98)))</f>
        <v>3</v>
      </c>
      <c r="AC26" s="359">
        <f>IF($X$2="2018年",'Offer Statistics'!ET26,IF($X$2="2019年",'Offer Statistics'!ET62,IF($X$2="2020年",'Offer Statistics'!ET98)))</f>
        <v>4</v>
      </c>
      <c r="AD26" s="359">
        <f>IF($X$2="2018年",'Offer Statistics'!EU26,IF($X$2="2019年",'Offer Statistics'!EU62,IF($X$2="2020年",'Offer Statistics'!EU98)))</f>
        <v>4</v>
      </c>
      <c r="AE26" s="205"/>
      <c r="AF26" s="353">
        <f>IF($X$2="2018年",'Offer Statistics'!EN26,IF($X$2="2019年",'Offer Statistics'!EN62,IF($X$2="2020年",'Offer Statistics'!EN98)))</f>
        <v>767</v>
      </c>
      <c r="AG26" s="359">
        <f>IF($X$2="2018年",'Offer Statistics'!EI26,IF($X$2="2019年",'Offer Statistics'!EI62,IF($X$2="2020年",'Offer Statistics'!EI98)))</f>
        <v>54</v>
      </c>
      <c r="AH26" s="359">
        <f>IF($X$2="2018年",'Offer Statistics'!EJ26,IF($X$2="2019年",'Offer Statistics'!EJ62,IF($X$2="2020年",'Offer Statistics'!EJ98)))</f>
        <v>94</v>
      </c>
      <c r="AI26" s="359">
        <f>IF($X$2="2018年",'Offer Statistics'!EK26,IF($X$2="2019年",'Offer Statistics'!EK62,IF($X$2="2020年",'Offer Statistics'!EK98)))</f>
        <v>156</v>
      </c>
      <c r="AJ26" s="359">
        <f>IF($X$2="2018年",'Offer Statistics'!EL26,IF($X$2="2019年",'Offer Statistics'!EL62,IF($X$2="2020年",'Offer Statistics'!EL98)))</f>
        <v>208</v>
      </c>
      <c r="AK26" s="359">
        <f>IF($X$2="2018年",'Offer Statistics'!EM26,IF($X$2="2019年",'Offer Statistics'!EM62,IF($X$2="2020年",'Offer Statistics'!EM98)))</f>
        <v>255</v>
      </c>
      <c r="AL26" s="352"/>
      <c r="AM26" s="352" t="str">
        <f t="shared" si="3"/>
        <v>JS9550</v>
      </c>
    </row>
    <row r="27" ht="18.0" customHeight="1">
      <c r="A27" s="142" t="s">
        <v>824</v>
      </c>
      <c r="B27" s="142" t="s">
        <v>1672</v>
      </c>
      <c r="C27" s="142" t="s">
        <v>825</v>
      </c>
      <c r="D27" s="142" t="s">
        <v>1676</v>
      </c>
      <c r="E27" s="132" t="s">
        <v>21</v>
      </c>
      <c r="F27" s="199">
        <v>23.0</v>
      </c>
      <c r="G27" s="199">
        <v>22.0</v>
      </c>
      <c r="H27" s="200">
        <f>'計分版'!D365</f>
        <v>0.00000000395</v>
      </c>
      <c r="I27" s="201">
        <f t="shared" si="4"/>
        <v>-23</v>
      </c>
      <c r="J27" s="202">
        <f t="shared" si="5"/>
        <v>-5822784809</v>
      </c>
      <c r="K27" s="132">
        <v>35.0</v>
      </c>
      <c r="L27" s="203">
        <f>'入學要求'!S351</f>
        <v>0</v>
      </c>
      <c r="M27" s="131" t="s">
        <v>1677</v>
      </c>
      <c r="N27" s="131">
        <v>3.0</v>
      </c>
      <c r="O27" s="131">
        <v>3.0</v>
      </c>
      <c r="P27" s="131">
        <v>2.0</v>
      </c>
      <c r="Q27" s="131">
        <v>2.0</v>
      </c>
      <c r="R27" s="131">
        <v>2.0</v>
      </c>
      <c r="S27" s="204">
        <f>'入學要求'!L351</f>
        <v>0</v>
      </c>
      <c r="T27" s="204">
        <f>'入學要求'!M351</f>
        <v>0</v>
      </c>
      <c r="U27" s="204">
        <f>'入學要求'!N351</f>
        <v>0</v>
      </c>
      <c r="V27" s="204">
        <f>'入學要求'!O351</f>
        <v>0</v>
      </c>
      <c r="W27" s="204">
        <f>'入學要求'!P351</f>
        <v>0</v>
      </c>
      <c r="X27" s="205"/>
      <c r="Y27" s="132">
        <f>IF($X$2="2018年",'Offer Statistics'!EV27,IF($X$2="2019年",'Offer Statistics'!EV63,IF($X$2="2020年",'Offer Statistics'!EV99)))</f>
        <v>35</v>
      </c>
      <c r="Z27" s="206">
        <f>IF($X$2="2018年",'Offer Statistics'!EQ27,IF($X$2="2019年",'Offer Statistics'!EQ63,IF($X$2="2020年",'Offer Statistics'!EQ99)))</f>
        <v>27</v>
      </c>
      <c r="AA27" s="206">
        <f>IF($X$2="2018年",'Offer Statistics'!ER27,IF($X$2="2019年",'Offer Statistics'!ER63,IF($X$2="2020年",'Offer Statistics'!ER99)))</f>
        <v>7</v>
      </c>
      <c r="AB27" s="206">
        <f>IF($X$2="2018年",'Offer Statistics'!ES27,IF($X$2="2019年",'Offer Statistics'!ES63,IF($X$2="2020年",'Offer Statistics'!ES99)))</f>
        <v>1</v>
      </c>
      <c r="AC27" s="206">
        <f>IF($X$2="2018年",'Offer Statistics'!ET27,IF($X$2="2019年",'Offer Statistics'!ET63,IF($X$2="2020年",'Offer Statistics'!ET99)))</f>
        <v>0</v>
      </c>
      <c r="AD27" s="206">
        <f>IF($X$2="2018年",'Offer Statistics'!EU27,IF($X$2="2019年",'Offer Statistics'!EU63,IF($X$2="2020年",'Offer Statistics'!EU99)))</f>
        <v>0</v>
      </c>
      <c r="AE27" s="205"/>
      <c r="AF27" s="132">
        <f>IF($X$2="2018年",'Offer Statistics'!EN27,IF($X$2="2019年",'Offer Statistics'!EN63,IF($X$2="2020年",'Offer Statistics'!EN99)))</f>
        <v>1027</v>
      </c>
      <c r="AG27" s="206">
        <f>IF($X$2="2018年",'Offer Statistics'!EI27,IF($X$2="2019年",'Offer Statistics'!EI63,IF($X$2="2020年",'Offer Statistics'!EI99)))</f>
        <v>146</v>
      </c>
      <c r="AH27" s="206">
        <f>IF($X$2="2018年",'Offer Statistics'!EJ27,IF($X$2="2019年",'Offer Statistics'!EJ63,IF($X$2="2020年",'Offer Statistics'!EJ99)))</f>
        <v>168</v>
      </c>
      <c r="AI27" s="206">
        <f>IF($X$2="2018年",'Offer Statistics'!EK27,IF($X$2="2019年",'Offer Statistics'!EK63,IF($X$2="2020年",'Offer Statistics'!EK99)))</f>
        <v>210</v>
      </c>
      <c r="AJ27" s="206">
        <f>IF($X$2="2018年",'Offer Statistics'!EL27,IF($X$2="2019年",'Offer Statistics'!EL63,IF($X$2="2020年",'Offer Statistics'!EL99)))</f>
        <v>231</v>
      </c>
      <c r="AK27" s="206">
        <f>IF($X$2="2018年",'Offer Statistics'!EM27,IF($X$2="2019年",'Offer Statistics'!EM63,IF($X$2="2020年",'Offer Statistics'!EM99)))</f>
        <v>272</v>
      </c>
      <c r="AL27" s="131"/>
      <c r="AM27" s="131" t="str">
        <f t="shared" si="3"/>
        <v>JS9560</v>
      </c>
    </row>
    <row r="28" ht="18.0" customHeight="1">
      <c r="A28" s="351" t="s">
        <v>826</v>
      </c>
      <c r="B28" s="351" t="s">
        <v>1672</v>
      </c>
      <c r="C28" s="351" t="s">
        <v>827</v>
      </c>
      <c r="D28" s="351" t="s">
        <v>1678</v>
      </c>
      <c r="E28" s="352" t="s">
        <v>21</v>
      </c>
      <c r="F28" s="369">
        <v>16.0</v>
      </c>
      <c r="G28" s="369">
        <v>16.0</v>
      </c>
      <c r="H28" s="354">
        <f>'計分版'!D366</f>
        <v>0.00000000395</v>
      </c>
      <c r="I28" s="355">
        <f t="shared" si="4"/>
        <v>-16</v>
      </c>
      <c r="J28" s="356">
        <f t="shared" si="5"/>
        <v>-4050632910</v>
      </c>
      <c r="K28" s="353">
        <v>20.0</v>
      </c>
      <c r="L28" s="370">
        <f>'入學要求'!S352</f>
        <v>0</v>
      </c>
      <c r="M28" s="352" t="s">
        <v>541</v>
      </c>
      <c r="N28" s="352">
        <v>3.0</v>
      </c>
      <c r="O28" s="352">
        <v>3.0</v>
      </c>
      <c r="P28" s="352">
        <v>2.0</v>
      </c>
      <c r="Q28" s="352">
        <v>2.0</v>
      </c>
      <c r="R28" s="352">
        <v>2.0</v>
      </c>
      <c r="S28" s="358">
        <f>'入學要求'!L352</f>
        <v>0</v>
      </c>
      <c r="T28" s="358">
        <f>'入學要求'!M352</f>
        <v>0</v>
      </c>
      <c r="U28" s="358">
        <f>'入學要求'!N352</f>
        <v>0</v>
      </c>
      <c r="V28" s="358">
        <f>'入學要求'!O352</f>
        <v>0</v>
      </c>
      <c r="W28" s="358">
        <f>'入學要求'!P352</f>
        <v>0</v>
      </c>
      <c r="X28" s="205"/>
      <c r="Y28" s="353">
        <f>IF($X$2="2018年",'Offer Statistics'!EV28,IF($X$2="2019年",'Offer Statistics'!EV64,IF($X$2="2020年",'Offer Statistics'!EV100)))</f>
        <v>46</v>
      </c>
      <c r="Z28" s="359">
        <f>IF($X$2="2018年",'Offer Statistics'!EQ28,IF($X$2="2019年",'Offer Statistics'!EQ64,IF($X$2="2020年",'Offer Statistics'!EQ100)))</f>
        <v>30</v>
      </c>
      <c r="AA28" s="359">
        <f>IF($X$2="2018年",'Offer Statistics'!ER28,IF($X$2="2019年",'Offer Statistics'!ER64,IF($X$2="2020年",'Offer Statistics'!ER100)))</f>
        <v>8</v>
      </c>
      <c r="AB28" s="359">
        <f>IF($X$2="2018年",'Offer Statistics'!ES28,IF($X$2="2019年",'Offer Statistics'!ES64,IF($X$2="2020年",'Offer Statistics'!ES100)))</f>
        <v>4</v>
      </c>
      <c r="AC28" s="359">
        <f>IF($X$2="2018年",'Offer Statistics'!ET28,IF($X$2="2019年",'Offer Statistics'!ET64,IF($X$2="2020年",'Offer Statistics'!ET100)))</f>
        <v>0</v>
      </c>
      <c r="AD28" s="359">
        <f>IF($X$2="2018年",'Offer Statistics'!EU28,IF($X$2="2019年",'Offer Statistics'!EU64,IF($X$2="2020年",'Offer Statistics'!EU100)))</f>
        <v>4</v>
      </c>
      <c r="AE28" s="205"/>
      <c r="AF28" s="353">
        <f>IF($X$2="2018年",'Offer Statistics'!EN28,IF($X$2="2019年",'Offer Statistics'!EN64,IF($X$2="2020年",'Offer Statistics'!EN100)))</f>
        <v>813</v>
      </c>
      <c r="AG28" s="359">
        <f>IF($X$2="2018年",'Offer Statistics'!EI28,IF($X$2="2019年",'Offer Statistics'!EI64,IF($X$2="2020年",'Offer Statistics'!EI100)))</f>
        <v>104</v>
      </c>
      <c r="AH28" s="359">
        <f>IF($X$2="2018年",'Offer Statistics'!EJ28,IF($X$2="2019年",'Offer Statistics'!EJ64,IF($X$2="2020年",'Offer Statistics'!EJ100)))</f>
        <v>146</v>
      </c>
      <c r="AI28" s="359">
        <f>IF($X$2="2018年",'Offer Statistics'!EK28,IF($X$2="2019年",'Offer Statistics'!EK64,IF($X$2="2020年",'Offer Statistics'!EK100)))</f>
        <v>172</v>
      </c>
      <c r="AJ28" s="359">
        <f>IF($X$2="2018年",'Offer Statistics'!EL28,IF($X$2="2019年",'Offer Statistics'!EL64,IF($X$2="2020年",'Offer Statistics'!EL100)))</f>
        <v>168</v>
      </c>
      <c r="AK28" s="359">
        <f>IF($X$2="2018年",'Offer Statistics'!EM28,IF($X$2="2019年",'Offer Statistics'!EM64,IF($X$2="2020年",'Offer Statistics'!EM100)))</f>
        <v>223</v>
      </c>
      <c r="AL28" s="352"/>
      <c r="AM28" s="352" t="str">
        <f t="shared" si="3"/>
        <v>JS9570</v>
      </c>
    </row>
    <row r="29" ht="18.0" customHeight="1">
      <c r="A29" s="142" t="s">
        <v>828</v>
      </c>
      <c r="B29" s="142" t="s">
        <v>1672</v>
      </c>
      <c r="C29" s="142" t="s">
        <v>829</v>
      </c>
      <c r="D29" s="142" t="s">
        <v>1679</v>
      </c>
      <c r="E29" s="132" t="s">
        <v>21</v>
      </c>
      <c r="F29" s="199">
        <v>16.0</v>
      </c>
      <c r="G29" s="199">
        <v>15.0</v>
      </c>
      <c r="H29" s="200">
        <f>'計分版'!D367</f>
        <v>0.00000000395</v>
      </c>
      <c r="I29" s="201">
        <f t="shared" si="4"/>
        <v>-16</v>
      </c>
      <c r="J29" s="202">
        <f t="shared" si="5"/>
        <v>-4050632910</v>
      </c>
      <c r="K29" s="132">
        <v>40.0</v>
      </c>
      <c r="L29" s="203">
        <f>'入學要求'!S353</f>
        <v>0</v>
      </c>
      <c r="M29" s="131" t="s">
        <v>1677</v>
      </c>
      <c r="N29" s="131">
        <v>3.0</v>
      </c>
      <c r="O29" s="131">
        <v>3.0</v>
      </c>
      <c r="P29" s="131">
        <v>2.0</v>
      </c>
      <c r="Q29" s="131">
        <v>2.0</v>
      </c>
      <c r="R29" s="131">
        <v>2.0</v>
      </c>
      <c r="S29" s="204">
        <f>'入學要求'!L353</f>
        <v>0</v>
      </c>
      <c r="T29" s="204">
        <f>'入學要求'!M353</f>
        <v>0</v>
      </c>
      <c r="U29" s="204">
        <f>'入學要求'!N353</f>
        <v>0</v>
      </c>
      <c r="V29" s="204">
        <f>'入學要求'!O353</f>
        <v>0</v>
      </c>
      <c r="W29" s="204">
        <f>'入學要求'!P353</f>
        <v>0</v>
      </c>
      <c r="X29" s="205"/>
      <c r="Y29" s="132">
        <f>IF($X$2="2018年",'Offer Statistics'!EV29,IF($X$2="2019年",'Offer Statistics'!EV65,IF($X$2="2020年",'Offer Statistics'!EV101)))</f>
        <v>98</v>
      </c>
      <c r="Z29" s="206">
        <f>IF($X$2="2018年",'Offer Statistics'!EQ29,IF($X$2="2019年",'Offer Statistics'!EQ65,IF($X$2="2020年",'Offer Statistics'!EQ101)))</f>
        <v>90</v>
      </c>
      <c r="AA29" s="206">
        <f>IF($X$2="2018年",'Offer Statistics'!ER29,IF($X$2="2019年",'Offer Statistics'!ER65,IF($X$2="2020年",'Offer Statistics'!ER101)))</f>
        <v>8</v>
      </c>
      <c r="AB29" s="206">
        <f>IF($X$2="2018年",'Offer Statistics'!ES29,IF($X$2="2019年",'Offer Statistics'!ES65,IF($X$2="2020年",'Offer Statistics'!ES101)))</f>
        <v>0</v>
      </c>
      <c r="AC29" s="206">
        <f>IF($X$2="2018年",'Offer Statistics'!ET29,IF($X$2="2019年",'Offer Statistics'!ET65,IF($X$2="2020年",'Offer Statistics'!ET101)))</f>
        <v>0</v>
      </c>
      <c r="AD29" s="206">
        <f>IF($X$2="2018年",'Offer Statistics'!EU29,IF($X$2="2019年",'Offer Statistics'!EU65,IF($X$2="2020年",'Offer Statistics'!EU101)))</f>
        <v>0</v>
      </c>
      <c r="AE29" s="205"/>
      <c r="AF29" s="132">
        <f>IF($X$2="2018年",'Offer Statistics'!EN29,IF($X$2="2019年",'Offer Statistics'!EN65,IF($X$2="2020年",'Offer Statistics'!EN101)))</f>
        <v>3397</v>
      </c>
      <c r="AG29" s="206">
        <f>IF($X$2="2018年",'Offer Statistics'!EI29,IF($X$2="2019年",'Offer Statistics'!EI65,IF($X$2="2020年",'Offer Statistics'!EI101)))</f>
        <v>762</v>
      </c>
      <c r="AH29" s="206">
        <f>IF($X$2="2018年",'Offer Statistics'!EJ29,IF($X$2="2019年",'Offer Statistics'!EJ65,IF($X$2="2020年",'Offer Statistics'!EJ101)))</f>
        <v>708</v>
      </c>
      <c r="AI29" s="206">
        <f>IF($X$2="2018年",'Offer Statistics'!EK29,IF($X$2="2019年",'Offer Statistics'!EK65,IF($X$2="2020年",'Offer Statistics'!EK101)))</f>
        <v>584</v>
      </c>
      <c r="AJ29" s="206">
        <f>IF($X$2="2018年",'Offer Statistics'!EL29,IF($X$2="2019年",'Offer Statistics'!EL65,IF($X$2="2020年",'Offer Statistics'!EL101)))</f>
        <v>661</v>
      </c>
      <c r="AK29" s="206">
        <f>IF($X$2="2018年",'Offer Statistics'!EM29,IF($X$2="2019年",'Offer Statistics'!EM65,IF($X$2="2020年",'Offer Statistics'!EM101)))</f>
        <v>682</v>
      </c>
      <c r="AL29" s="131"/>
      <c r="AM29" s="131" t="str">
        <f t="shared" si="3"/>
        <v>JS9580</v>
      </c>
    </row>
    <row r="30" ht="18.0" customHeight="1">
      <c r="A30" s="351" t="s">
        <v>830</v>
      </c>
      <c r="B30" s="351" t="s">
        <v>1680</v>
      </c>
      <c r="C30" s="351" t="s">
        <v>831</v>
      </c>
      <c r="D30" s="351" t="s">
        <v>1681</v>
      </c>
      <c r="E30" s="371" t="s">
        <v>775</v>
      </c>
      <c r="F30" s="369" t="s">
        <v>541</v>
      </c>
      <c r="G30" s="369" t="s">
        <v>541</v>
      </c>
      <c r="H30" s="354">
        <f>'計分版'!D368</f>
        <v>0.00000000195</v>
      </c>
      <c r="I30" s="372" t="s">
        <v>541</v>
      </c>
      <c r="J30" s="372" t="s">
        <v>541</v>
      </c>
      <c r="K30" s="353">
        <v>35.0</v>
      </c>
      <c r="L30" s="370">
        <f>'入學要求'!S354</f>
        <v>0</v>
      </c>
      <c r="M30" s="352" t="s">
        <v>541</v>
      </c>
      <c r="N30" s="352">
        <v>3.0</v>
      </c>
      <c r="O30" s="352">
        <v>3.0</v>
      </c>
      <c r="P30" s="352">
        <v>2.0</v>
      </c>
      <c r="Q30" s="352">
        <v>2.0</v>
      </c>
      <c r="R30" s="352">
        <v>2.0</v>
      </c>
      <c r="S30" s="358">
        <f>'入學要求'!L354</f>
        <v>0</v>
      </c>
      <c r="T30" s="358">
        <f>'入學要求'!M354</f>
        <v>0</v>
      </c>
      <c r="U30" s="358">
        <f>'入學要求'!N354</f>
        <v>0</v>
      </c>
      <c r="V30" s="358">
        <f>'入學要求'!O354</f>
        <v>0</v>
      </c>
      <c r="W30" s="358">
        <f>'入學要求'!P354</f>
        <v>0</v>
      </c>
      <c r="X30" s="205"/>
      <c r="Y30" s="353" t="str">
        <f>IF($X$2="2018年",'Offer Statistics'!EV30,IF($X$2="2019年",'Offer Statistics'!EV66,IF($X$2="2020年",'Offer Statistics'!EV102)))</f>
        <v>/</v>
      </c>
      <c r="Z30" s="359" t="str">
        <f>IF($X$2="2018年",'Offer Statistics'!EQ30,IF($X$2="2019年",'Offer Statistics'!EQ66,IF($X$2="2020年",'Offer Statistics'!EQ102)))</f>
        <v>/</v>
      </c>
      <c r="AA30" s="359" t="str">
        <f>IF($X$2="2018年",'Offer Statistics'!ER30,IF($X$2="2019年",'Offer Statistics'!ER66,IF($X$2="2020年",'Offer Statistics'!ER102)))</f>
        <v>/</v>
      </c>
      <c r="AB30" s="359" t="str">
        <f>IF($X$2="2018年",'Offer Statistics'!ES30,IF($X$2="2019年",'Offer Statistics'!ES66,IF($X$2="2020年",'Offer Statistics'!ES102)))</f>
        <v>/</v>
      </c>
      <c r="AC30" s="359" t="str">
        <f>IF($X$2="2018年",'Offer Statistics'!ET30,IF($X$2="2019年",'Offer Statistics'!ET66,IF($X$2="2020年",'Offer Statistics'!ET102)))</f>
        <v>/</v>
      </c>
      <c r="AD30" s="359" t="str">
        <f>IF($X$2="2018年",'Offer Statistics'!EU30,IF($X$2="2019年",'Offer Statistics'!EU66,IF($X$2="2020年",'Offer Statistics'!EU102)))</f>
        <v>/</v>
      </c>
      <c r="AE30" s="205"/>
      <c r="AF30" s="353" t="str">
        <f>IF($X$2="2018年",'Offer Statistics'!EN30,IF($X$2="2019年",'Offer Statistics'!EN66,IF($X$2="2020年",'Offer Statistics'!EN102)))</f>
        <v>/</v>
      </c>
      <c r="AG30" s="359" t="str">
        <f>IF($X$2="2018年",'Offer Statistics'!EI30,IF($X$2="2019年",'Offer Statistics'!EI66,IF($X$2="2020年",'Offer Statistics'!EI102)))</f>
        <v>/</v>
      </c>
      <c r="AH30" s="359" t="str">
        <f>IF($X$2="2018年",'Offer Statistics'!EJ30,IF($X$2="2019年",'Offer Statistics'!EJ66,IF($X$2="2020年",'Offer Statistics'!EJ102)))</f>
        <v>/</v>
      </c>
      <c r="AI30" s="359" t="str">
        <f>IF($X$2="2018年",'Offer Statistics'!EK30,IF($X$2="2019年",'Offer Statistics'!EK66,IF($X$2="2020年",'Offer Statistics'!EK102)))</f>
        <v>/</v>
      </c>
      <c r="AJ30" s="359" t="str">
        <f>IF($X$2="2018年",'Offer Statistics'!EL30,IF($X$2="2019年",'Offer Statistics'!EL66,IF($X$2="2020年",'Offer Statistics'!EL102)))</f>
        <v>/</v>
      </c>
      <c r="AK30" s="359" t="str">
        <f>IF($X$2="2018年",'Offer Statistics'!EM30,IF($X$2="2019年",'Offer Statistics'!EM66,IF($X$2="2020年",'Offer Statistics'!EM102)))</f>
        <v>/</v>
      </c>
      <c r="AL30" s="352"/>
      <c r="AM30" s="352" t="str">
        <f t="shared" si="3"/>
        <v>JS9718</v>
      </c>
    </row>
    <row r="31" ht="18.0" customHeight="1">
      <c r="A31" s="142" t="s">
        <v>832</v>
      </c>
      <c r="B31" s="142" t="s">
        <v>1680</v>
      </c>
      <c r="C31" s="142" t="s">
        <v>833</v>
      </c>
      <c r="D31" s="142" t="s">
        <v>1682</v>
      </c>
      <c r="E31" s="135" t="s">
        <v>775</v>
      </c>
      <c r="F31" s="199" t="s">
        <v>541</v>
      </c>
      <c r="G31" s="199" t="s">
        <v>541</v>
      </c>
      <c r="H31" s="200">
        <f>'計分版'!D369</f>
        <v>0.00000000195</v>
      </c>
      <c r="I31" s="215" t="s">
        <v>541</v>
      </c>
      <c r="J31" s="215" t="s">
        <v>541</v>
      </c>
      <c r="K31" s="132">
        <v>30.0</v>
      </c>
      <c r="L31" s="203">
        <f>'入學要求'!S355</f>
        <v>0</v>
      </c>
      <c r="M31" s="131" t="s">
        <v>541</v>
      </c>
      <c r="N31" s="131">
        <v>3.0</v>
      </c>
      <c r="O31" s="131">
        <v>3.0</v>
      </c>
      <c r="P31" s="131">
        <v>2.0</v>
      </c>
      <c r="Q31" s="131">
        <v>2.0</v>
      </c>
      <c r="R31" s="131">
        <v>2.0</v>
      </c>
      <c r="S31" s="204">
        <f>'入學要求'!L355</f>
        <v>0</v>
      </c>
      <c r="T31" s="204">
        <f>'入學要求'!M355</f>
        <v>0</v>
      </c>
      <c r="U31" s="204">
        <f>'入學要求'!N355</f>
        <v>0</v>
      </c>
      <c r="V31" s="204">
        <f>'入學要求'!O355</f>
        <v>0</v>
      </c>
      <c r="W31" s="204">
        <f>'入學要求'!P355</f>
        <v>0</v>
      </c>
      <c r="X31" s="205"/>
      <c r="Y31" s="132" t="str">
        <f>IF($X$2="2018年",'Offer Statistics'!EV31,IF($X$2="2019年",'Offer Statistics'!EV67,IF($X$2="2020年",'Offer Statistics'!EV103)))</f>
        <v>/</v>
      </c>
      <c r="Z31" s="206" t="str">
        <f>IF($X$2="2018年",'Offer Statistics'!EQ31,IF($X$2="2019年",'Offer Statistics'!EQ67,IF($X$2="2020年",'Offer Statistics'!EQ103)))</f>
        <v>/</v>
      </c>
      <c r="AA31" s="206" t="str">
        <f>IF($X$2="2018年",'Offer Statistics'!ER31,IF($X$2="2019年",'Offer Statistics'!ER67,IF($X$2="2020年",'Offer Statistics'!ER103)))</f>
        <v>/</v>
      </c>
      <c r="AB31" s="206" t="str">
        <f>IF($X$2="2018年",'Offer Statistics'!ES31,IF($X$2="2019年",'Offer Statistics'!ES67,IF($X$2="2020年",'Offer Statistics'!ES103)))</f>
        <v>/</v>
      </c>
      <c r="AC31" s="206" t="str">
        <f>IF($X$2="2018年",'Offer Statistics'!ET31,IF($X$2="2019年",'Offer Statistics'!ET67,IF($X$2="2020年",'Offer Statistics'!ET103)))</f>
        <v>/</v>
      </c>
      <c r="AD31" s="206" t="str">
        <f>IF($X$2="2018年",'Offer Statistics'!EU31,IF($X$2="2019年",'Offer Statistics'!EU67,IF($X$2="2020年",'Offer Statistics'!EU103)))</f>
        <v>/</v>
      </c>
      <c r="AE31" s="205"/>
      <c r="AF31" s="132" t="str">
        <f>IF($X$2="2018年",'Offer Statistics'!EN31,IF($X$2="2019年",'Offer Statistics'!EN67,IF($X$2="2020年",'Offer Statistics'!EN103)))</f>
        <v>/</v>
      </c>
      <c r="AG31" s="206" t="str">
        <f>IF($X$2="2018年",'Offer Statistics'!EI31,IF($X$2="2019年",'Offer Statistics'!EI67,IF($X$2="2020年",'Offer Statistics'!EI103)))</f>
        <v>/</v>
      </c>
      <c r="AH31" s="206" t="str">
        <f>IF($X$2="2018年",'Offer Statistics'!EJ31,IF($X$2="2019年",'Offer Statistics'!EJ67,IF($X$2="2020年",'Offer Statistics'!EJ103)))</f>
        <v>/</v>
      </c>
      <c r="AI31" s="206" t="str">
        <f>IF($X$2="2018年",'Offer Statistics'!EK31,IF($X$2="2019年",'Offer Statistics'!EK67,IF($X$2="2020年",'Offer Statistics'!EK103)))</f>
        <v>/</v>
      </c>
      <c r="AJ31" s="206" t="str">
        <f>IF($X$2="2018年",'Offer Statistics'!EL31,IF($X$2="2019年",'Offer Statistics'!EL67,IF($X$2="2020年",'Offer Statistics'!EL103)))</f>
        <v>/</v>
      </c>
      <c r="AK31" s="206" t="str">
        <f>IF($X$2="2018年",'Offer Statistics'!EM31,IF($X$2="2019年",'Offer Statistics'!EM67,IF($X$2="2020年",'Offer Statistics'!EM103)))</f>
        <v>/</v>
      </c>
      <c r="AL31" s="131"/>
      <c r="AM31" s="131" t="str">
        <f t="shared" si="3"/>
        <v>JS9719</v>
      </c>
    </row>
    <row r="32" ht="18.0" customHeight="1">
      <c r="A32" s="351" t="s">
        <v>834</v>
      </c>
      <c r="B32" s="351" t="s">
        <v>1680</v>
      </c>
      <c r="C32" s="351" t="s">
        <v>835</v>
      </c>
      <c r="D32" s="351" t="s">
        <v>1683</v>
      </c>
      <c r="E32" s="352" t="s">
        <v>775</v>
      </c>
      <c r="F32" s="369">
        <v>16.0</v>
      </c>
      <c r="G32" s="369">
        <v>15.0</v>
      </c>
      <c r="H32" s="354">
        <f>'計分版'!D370</f>
        <v>0.00000000195</v>
      </c>
      <c r="I32" s="355">
        <f>IF(I$1="差距(Median)",H32-F32,IF(I$1="差距(UQ)",H32-#REF!,IF(I$1="差距(LQ)",H32-G32)))</f>
        <v>-16</v>
      </c>
      <c r="J32" s="356">
        <f>IF(I$1="差距(Median)",(H32-F32)/H32,IF(I$1="差距(UQ)",(H32-#REF!)/H32,IF(I$1="差距(LQ)",(H32-G32)/H32)))</f>
        <v>-8205128204</v>
      </c>
      <c r="K32" s="353">
        <v>35.0</v>
      </c>
      <c r="L32" s="370">
        <f>'入學要求'!S356</f>
        <v>0</v>
      </c>
      <c r="M32" s="352" t="s">
        <v>541</v>
      </c>
      <c r="N32" s="352">
        <v>3.0</v>
      </c>
      <c r="O32" s="352">
        <v>3.0</v>
      </c>
      <c r="P32" s="352">
        <v>2.0</v>
      </c>
      <c r="Q32" s="352">
        <v>2.0</v>
      </c>
      <c r="R32" s="352">
        <v>2.0</v>
      </c>
      <c r="S32" s="358">
        <f>'入學要求'!L356</f>
        <v>0</v>
      </c>
      <c r="T32" s="358">
        <f>'入學要求'!M356</f>
        <v>0</v>
      </c>
      <c r="U32" s="358">
        <f>'入學要求'!N356</f>
        <v>0</v>
      </c>
      <c r="V32" s="358">
        <f>'入學要求'!O356</f>
        <v>0</v>
      </c>
      <c r="W32" s="358">
        <f>'入學要求'!P356</f>
        <v>0</v>
      </c>
      <c r="X32" s="205"/>
      <c r="Y32" s="353">
        <f>IF($X$2="2018年",'Offer Statistics'!EV32,IF($X$2="2019年",'Offer Statistics'!EV68,IF($X$2="2020年",'Offer Statistics'!EV104)))</f>
        <v>53</v>
      </c>
      <c r="Z32" s="359">
        <f>IF($X$2="2018年",'Offer Statistics'!EQ32,IF($X$2="2019年",'Offer Statistics'!EQ68,IF($X$2="2020年",'Offer Statistics'!EQ104)))</f>
        <v>32</v>
      </c>
      <c r="AA32" s="359">
        <f>IF($X$2="2018年",'Offer Statistics'!ER32,IF($X$2="2019年",'Offer Statistics'!ER68,IF($X$2="2020年",'Offer Statistics'!ER104)))</f>
        <v>8</v>
      </c>
      <c r="AB32" s="359">
        <f>IF($X$2="2018年",'Offer Statistics'!ES32,IF($X$2="2019年",'Offer Statistics'!ES68,IF($X$2="2020年",'Offer Statistics'!ES104)))</f>
        <v>4</v>
      </c>
      <c r="AC32" s="359">
        <f>IF($X$2="2018年",'Offer Statistics'!ET32,IF($X$2="2019年",'Offer Statistics'!ET68,IF($X$2="2020年",'Offer Statistics'!ET104)))</f>
        <v>3</v>
      </c>
      <c r="AD32" s="359">
        <f>IF($X$2="2018年",'Offer Statistics'!EU32,IF($X$2="2019年",'Offer Statistics'!EU68,IF($X$2="2020年",'Offer Statistics'!EU104)))</f>
        <v>6</v>
      </c>
      <c r="AE32" s="205"/>
      <c r="AF32" s="353">
        <f>IF($X$2="2018年",'Offer Statistics'!EN32,IF($X$2="2019年",'Offer Statistics'!EN68,IF($X$2="2020年",'Offer Statistics'!EN104)))</f>
        <v>1585</v>
      </c>
      <c r="AG32" s="359">
        <f>IF($X$2="2018年",'Offer Statistics'!EI32,IF($X$2="2019年",'Offer Statistics'!EI68,IF($X$2="2020年",'Offer Statistics'!EI104)))</f>
        <v>168</v>
      </c>
      <c r="AH32" s="359">
        <f>IF($X$2="2018年",'Offer Statistics'!EJ32,IF($X$2="2019年",'Offer Statistics'!EJ68,IF($X$2="2020年",'Offer Statistics'!EJ104)))</f>
        <v>243</v>
      </c>
      <c r="AI32" s="359">
        <f>IF($X$2="2018年",'Offer Statistics'!EK32,IF($X$2="2019年",'Offer Statistics'!EK68,IF($X$2="2020年",'Offer Statistics'!EK104)))</f>
        <v>338</v>
      </c>
      <c r="AJ32" s="359">
        <f>IF($X$2="2018年",'Offer Statistics'!EL32,IF($X$2="2019年",'Offer Statistics'!EL68,IF($X$2="2020年",'Offer Statistics'!EL104)))</f>
        <v>419</v>
      </c>
      <c r="AK32" s="359">
        <f>IF($X$2="2018年",'Offer Statistics'!EM32,IF($X$2="2019年",'Offer Statistics'!EM68,IF($X$2="2020年",'Offer Statistics'!EM104)))</f>
        <v>417</v>
      </c>
      <c r="AL32" s="352"/>
      <c r="AM32" s="352" t="str">
        <f t="shared" si="3"/>
        <v>JS9720</v>
      </c>
    </row>
    <row r="33" ht="18.0" customHeight="1">
      <c r="A33" s="142" t="s">
        <v>836</v>
      </c>
      <c r="B33" s="142" t="s">
        <v>1680</v>
      </c>
      <c r="C33" s="142" t="s">
        <v>837</v>
      </c>
      <c r="D33" s="142" t="s">
        <v>1684</v>
      </c>
      <c r="E33" s="135" t="s">
        <v>775</v>
      </c>
      <c r="F33" s="199" t="s">
        <v>541</v>
      </c>
      <c r="G33" s="199" t="s">
        <v>541</v>
      </c>
      <c r="H33" s="200">
        <f>'計分版'!D371</f>
        <v>0.00000000195</v>
      </c>
      <c r="I33" s="215" t="s">
        <v>541</v>
      </c>
      <c r="J33" s="215" t="s">
        <v>541</v>
      </c>
      <c r="K33" s="132">
        <v>30.0</v>
      </c>
      <c r="L33" s="203">
        <f>'入學要求'!S357</f>
        <v>0</v>
      </c>
      <c r="M33" s="131" t="s">
        <v>541</v>
      </c>
      <c r="N33" s="131">
        <v>3.0</v>
      </c>
      <c r="O33" s="131">
        <v>3.0</v>
      </c>
      <c r="P33" s="131">
        <v>2.0</v>
      </c>
      <c r="Q33" s="131">
        <v>2.0</v>
      </c>
      <c r="R33" s="131">
        <v>2.0</v>
      </c>
      <c r="S33" s="204">
        <f>'入學要求'!L357</f>
        <v>0</v>
      </c>
      <c r="T33" s="204">
        <f>'入學要求'!M357</f>
        <v>0</v>
      </c>
      <c r="U33" s="204">
        <f>'入學要求'!N357</f>
        <v>0</v>
      </c>
      <c r="V33" s="204">
        <f>'入學要求'!O357</f>
        <v>0</v>
      </c>
      <c r="W33" s="204">
        <f>'入學要求'!P357</f>
        <v>0</v>
      </c>
      <c r="X33" s="205"/>
      <c r="Y33" s="132" t="str">
        <f>IF($X$2="2018年",'Offer Statistics'!EV33,IF($X$2="2019年",'Offer Statistics'!EV69,IF($X$2="2020年",'Offer Statistics'!EV105)))</f>
        <v>/</v>
      </c>
      <c r="Z33" s="206" t="str">
        <f>IF($X$2="2018年",'Offer Statistics'!EQ33,IF($X$2="2019年",'Offer Statistics'!EQ69,IF($X$2="2020年",'Offer Statistics'!EQ105)))</f>
        <v>/</v>
      </c>
      <c r="AA33" s="206" t="str">
        <f>IF($X$2="2018年",'Offer Statistics'!ER33,IF($X$2="2019年",'Offer Statistics'!ER69,IF($X$2="2020年",'Offer Statistics'!ER105)))</f>
        <v>/</v>
      </c>
      <c r="AB33" s="206" t="str">
        <f>IF($X$2="2018年",'Offer Statistics'!ES33,IF($X$2="2019年",'Offer Statistics'!ES69,IF($X$2="2020年",'Offer Statistics'!ES105)))</f>
        <v>/</v>
      </c>
      <c r="AC33" s="206" t="str">
        <f>IF($X$2="2018年",'Offer Statistics'!ET33,IF($X$2="2019年",'Offer Statistics'!ET69,IF($X$2="2020年",'Offer Statistics'!ET105)))</f>
        <v>/</v>
      </c>
      <c r="AD33" s="206" t="str">
        <f>IF($X$2="2018年",'Offer Statistics'!EU33,IF($X$2="2019年",'Offer Statistics'!EU69,IF($X$2="2020年",'Offer Statistics'!EU105)))</f>
        <v>/</v>
      </c>
      <c r="AE33" s="205"/>
      <c r="AF33" s="132" t="str">
        <f>IF($X$2="2018年",'Offer Statistics'!EN33,IF($X$2="2019年",'Offer Statistics'!EN69,IF($X$2="2020年",'Offer Statistics'!EN105)))</f>
        <v>/</v>
      </c>
      <c r="AG33" s="206" t="str">
        <f>IF($X$2="2018年",'Offer Statistics'!EI33,IF($X$2="2019年",'Offer Statistics'!EI69,IF($X$2="2020年",'Offer Statistics'!EI105)))</f>
        <v>/</v>
      </c>
      <c r="AH33" s="206" t="str">
        <f>IF($X$2="2018年",'Offer Statistics'!EJ33,IF($X$2="2019年",'Offer Statistics'!EJ69,IF($X$2="2020年",'Offer Statistics'!EJ105)))</f>
        <v>/</v>
      </c>
      <c r="AI33" s="206" t="str">
        <f>IF($X$2="2018年",'Offer Statistics'!EK33,IF($X$2="2019年",'Offer Statistics'!EK69,IF($X$2="2020年",'Offer Statistics'!EK105)))</f>
        <v>/</v>
      </c>
      <c r="AJ33" s="206" t="str">
        <f>IF($X$2="2018年",'Offer Statistics'!EL33,IF($X$2="2019年",'Offer Statistics'!EL69,IF($X$2="2020年",'Offer Statistics'!EL105)))</f>
        <v>/</v>
      </c>
      <c r="AK33" s="206" t="str">
        <f>IF($X$2="2018年",'Offer Statistics'!EM33,IF($X$2="2019年",'Offer Statistics'!EM69,IF($X$2="2020年",'Offer Statistics'!EM105)))</f>
        <v>/</v>
      </c>
      <c r="AL33" s="131"/>
      <c r="AM33" s="131" t="str">
        <f t="shared" si="3"/>
        <v>JS9721</v>
      </c>
    </row>
    <row r="34" ht="18.0" customHeight="1">
      <c r="A34" s="351" t="s">
        <v>839</v>
      </c>
      <c r="B34" s="351" t="s">
        <v>1680</v>
      </c>
      <c r="C34" s="351" t="s">
        <v>840</v>
      </c>
      <c r="D34" s="351" t="s">
        <v>1685</v>
      </c>
      <c r="E34" s="371" t="s">
        <v>775</v>
      </c>
      <c r="F34" s="369" t="s">
        <v>541</v>
      </c>
      <c r="G34" s="369" t="s">
        <v>541</v>
      </c>
      <c r="H34" s="354">
        <f>'計分版'!D372</f>
        <v>0.00000000195</v>
      </c>
      <c r="I34" s="372" t="s">
        <v>541</v>
      </c>
      <c r="J34" s="372" t="s">
        <v>541</v>
      </c>
      <c r="K34" s="353">
        <v>30.0</v>
      </c>
      <c r="L34" s="370">
        <f>'入學要求'!S358</f>
        <v>0</v>
      </c>
      <c r="M34" s="352" t="s">
        <v>541</v>
      </c>
      <c r="N34" s="352">
        <v>3.0</v>
      </c>
      <c r="O34" s="352">
        <v>3.0</v>
      </c>
      <c r="P34" s="352">
        <v>2.0</v>
      </c>
      <c r="Q34" s="352">
        <v>2.0</v>
      </c>
      <c r="R34" s="352">
        <v>2.0</v>
      </c>
      <c r="S34" s="358">
        <f>'入學要求'!L358</f>
        <v>0</v>
      </c>
      <c r="T34" s="358">
        <f>'入學要求'!M358</f>
        <v>0</v>
      </c>
      <c r="U34" s="358">
        <f>'入學要求'!N358</f>
        <v>0</v>
      </c>
      <c r="V34" s="358">
        <f>'入學要求'!O358</f>
        <v>0</v>
      </c>
      <c r="W34" s="358">
        <f>'入學要求'!P358</f>
        <v>0</v>
      </c>
      <c r="X34" s="205"/>
      <c r="Y34" s="353" t="str">
        <f>IF($X$2="2018年",'Offer Statistics'!EV34,IF($X$2="2019年",'Offer Statistics'!EV70,IF($X$2="2020年",'Offer Statistics'!EV106)))</f>
        <v>/</v>
      </c>
      <c r="Z34" s="359" t="str">
        <f>IF($X$2="2018年",'Offer Statistics'!EQ34,IF($X$2="2019年",'Offer Statistics'!EQ70,IF($X$2="2020年",'Offer Statistics'!EQ106)))</f>
        <v>/</v>
      </c>
      <c r="AA34" s="359" t="str">
        <f>IF($X$2="2018年",'Offer Statistics'!ER34,IF($X$2="2019年",'Offer Statistics'!ER70,IF($X$2="2020年",'Offer Statistics'!ER106)))</f>
        <v>/</v>
      </c>
      <c r="AB34" s="359" t="str">
        <f>IF($X$2="2018年",'Offer Statistics'!ES34,IF($X$2="2019年",'Offer Statistics'!ES70,IF($X$2="2020年",'Offer Statistics'!ES106)))</f>
        <v>/</v>
      </c>
      <c r="AC34" s="359" t="str">
        <f>IF($X$2="2018年",'Offer Statistics'!ET34,IF($X$2="2019年",'Offer Statistics'!ET70,IF($X$2="2020年",'Offer Statistics'!ET106)))</f>
        <v>/</v>
      </c>
      <c r="AD34" s="359" t="str">
        <f>IF($X$2="2018年",'Offer Statistics'!EU34,IF($X$2="2019年",'Offer Statistics'!EU70,IF($X$2="2020年",'Offer Statistics'!EU106)))</f>
        <v>/</v>
      </c>
      <c r="AE34" s="205"/>
      <c r="AF34" s="353" t="str">
        <f>IF($X$2="2018年",'Offer Statistics'!EN34,IF($X$2="2019年",'Offer Statistics'!EN70,IF($X$2="2020年",'Offer Statistics'!EN106)))</f>
        <v>/</v>
      </c>
      <c r="AG34" s="359" t="str">
        <f>IF($X$2="2018年",'Offer Statistics'!EI34,IF($X$2="2019年",'Offer Statistics'!EI70,IF($X$2="2020年",'Offer Statistics'!EI106)))</f>
        <v>/</v>
      </c>
      <c r="AH34" s="359" t="str">
        <f>IF($X$2="2018年",'Offer Statistics'!EJ34,IF($X$2="2019年",'Offer Statistics'!EJ70,IF($X$2="2020年",'Offer Statistics'!EJ106)))</f>
        <v>/</v>
      </c>
      <c r="AI34" s="359" t="str">
        <f>IF($X$2="2018年",'Offer Statistics'!EK34,IF($X$2="2019年",'Offer Statistics'!EK70,IF($X$2="2020年",'Offer Statistics'!EK106)))</f>
        <v>/</v>
      </c>
      <c r="AJ34" s="359" t="str">
        <f>IF($X$2="2018年",'Offer Statistics'!EL34,IF($X$2="2019年",'Offer Statistics'!EL70,IF($X$2="2020年",'Offer Statistics'!EL106)))</f>
        <v>/</v>
      </c>
      <c r="AK34" s="359" t="str">
        <f>IF($X$2="2018年",'Offer Statistics'!EM34,IF($X$2="2019年",'Offer Statistics'!EM70,IF($X$2="2020年",'Offer Statistics'!EM106)))</f>
        <v>/</v>
      </c>
      <c r="AL34" s="352"/>
      <c r="AM34" s="352" t="str">
        <f t="shared" si="3"/>
        <v>JS9722</v>
      </c>
    </row>
    <row r="35" ht="18.0" customHeight="1">
      <c r="A35" s="142" t="s">
        <v>841</v>
      </c>
      <c r="B35" s="142" t="s">
        <v>1680</v>
      </c>
      <c r="C35" s="142" t="s">
        <v>842</v>
      </c>
      <c r="D35" s="142" t="s">
        <v>1686</v>
      </c>
      <c r="E35" s="131" t="s">
        <v>775</v>
      </c>
      <c r="F35" s="199">
        <v>16.0</v>
      </c>
      <c r="G35" s="199">
        <v>14.0</v>
      </c>
      <c r="H35" s="200">
        <f>'計分版'!D373</f>
        <v>0.00000000195</v>
      </c>
      <c r="I35" s="201">
        <f t="shared" ref="I35:I36" si="6">IF(I$1="差距(Median)",H35-F35,IF(I$1="差距(UQ)",H35-#REF!,IF(I$1="差距(LQ)",H35-G35)))</f>
        <v>-16</v>
      </c>
      <c r="J35" s="202">
        <f t="shared" ref="J35:J36" si="7">IF(I$1="差距(Median)",(H35-F35)/H35,IF(I$1="差距(UQ)",(H35-#REF!)/H35,IF(I$1="差距(LQ)",(H35-G35)/H35)))</f>
        <v>-8205128204</v>
      </c>
      <c r="K35" s="132">
        <v>35.0</v>
      </c>
      <c r="L35" s="203">
        <f>'入學要求'!S359</f>
        <v>0</v>
      </c>
      <c r="M35" s="131" t="s">
        <v>541</v>
      </c>
      <c r="N35" s="131">
        <v>3.0</v>
      </c>
      <c r="O35" s="131">
        <v>3.0</v>
      </c>
      <c r="P35" s="131">
        <v>2.0</v>
      </c>
      <c r="Q35" s="131">
        <v>2.0</v>
      </c>
      <c r="R35" s="131">
        <v>2.0</v>
      </c>
      <c r="S35" s="204">
        <f>'入學要求'!L359</f>
        <v>0</v>
      </c>
      <c r="T35" s="204">
        <f>'入學要求'!M359</f>
        <v>0</v>
      </c>
      <c r="U35" s="204">
        <f>'入學要求'!N359</f>
        <v>0</v>
      </c>
      <c r="V35" s="204">
        <f>'入學要求'!O359</f>
        <v>0</v>
      </c>
      <c r="W35" s="204">
        <f>'入學要求'!P359</f>
        <v>0</v>
      </c>
      <c r="X35" s="205"/>
      <c r="Y35" s="132">
        <f>IF($X$2="2018年",'Offer Statistics'!EV35,IF($X$2="2019年",'Offer Statistics'!EV71,IF($X$2="2020年",'Offer Statistics'!EV107)))</f>
        <v>21</v>
      </c>
      <c r="Z35" s="206">
        <f>IF($X$2="2018年",'Offer Statistics'!EQ35,IF($X$2="2019年",'Offer Statistics'!EQ71,IF($X$2="2020年",'Offer Statistics'!EQ107)))</f>
        <v>7</v>
      </c>
      <c r="AA35" s="206">
        <f>IF($X$2="2018年",'Offer Statistics'!ER35,IF($X$2="2019年",'Offer Statistics'!ER71,IF($X$2="2020年",'Offer Statistics'!ER107)))</f>
        <v>10</v>
      </c>
      <c r="AB35" s="206">
        <f>IF($X$2="2018年",'Offer Statistics'!ES35,IF($X$2="2019年",'Offer Statistics'!ES71,IF($X$2="2020年",'Offer Statistics'!ES107)))</f>
        <v>3</v>
      </c>
      <c r="AC35" s="206">
        <f>IF($X$2="2018年",'Offer Statistics'!ET35,IF($X$2="2019年",'Offer Statistics'!ET71,IF($X$2="2020年",'Offer Statistics'!ET107)))</f>
        <v>0</v>
      </c>
      <c r="AD35" s="206">
        <f>IF($X$2="2018年",'Offer Statistics'!EU35,IF($X$2="2019年",'Offer Statistics'!EU71,IF($X$2="2020年",'Offer Statistics'!EU107)))</f>
        <v>1</v>
      </c>
      <c r="AE35" s="205"/>
      <c r="AF35" s="132">
        <f>IF($X$2="2018年",'Offer Statistics'!EN35,IF($X$2="2019年",'Offer Statistics'!EN71,IF($X$2="2020年",'Offer Statistics'!EN107)))</f>
        <v>1038</v>
      </c>
      <c r="AG35" s="206">
        <f>IF($X$2="2018年",'Offer Statistics'!EI35,IF($X$2="2019年",'Offer Statistics'!EI71,IF($X$2="2020年",'Offer Statistics'!EI107)))</f>
        <v>88</v>
      </c>
      <c r="AH35" s="206">
        <f>IF($X$2="2018年",'Offer Statistics'!EJ35,IF($X$2="2019年",'Offer Statistics'!EJ71,IF($X$2="2020年",'Offer Statistics'!EJ107)))</f>
        <v>151</v>
      </c>
      <c r="AI35" s="206">
        <f>IF($X$2="2018年",'Offer Statistics'!EK35,IF($X$2="2019年",'Offer Statistics'!EK71,IF($X$2="2020年",'Offer Statistics'!EK107)))</f>
        <v>224</v>
      </c>
      <c r="AJ35" s="206">
        <f>IF($X$2="2018年",'Offer Statistics'!EL35,IF($X$2="2019年",'Offer Statistics'!EL71,IF($X$2="2020年",'Offer Statistics'!EL107)))</f>
        <v>258</v>
      </c>
      <c r="AK35" s="206">
        <f>IF($X$2="2018年",'Offer Statistics'!EM35,IF($X$2="2019年",'Offer Statistics'!EM71,IF($X$2="2020年",'Offer Statistics'!EM107)))</f>
        <v>317</v>
      </c>
      <c r="AL35" s="131"/>
      <c r="AM35" s="131" t="str">
        <f t="shared" si="3"/>
        <v>JS9731</v>
      </c>
    </row>
    <row r="36" ht="18.0" customHeight="1">
      <c r="A36" s="351" t="s">
        <v>843</v>
      </c>
      <c r="B36" s="351" t="s">
        <v>1680</v>
      </c>
      <c r="C36" s="351" t="s">
        <v>844</v>
      </c>
      <c r="D36" s="351" t="s">
        <v>1687</v>
      </c>
      <c r="E36" s="352" t="s">
        <v>775</v>
      </c>
      <c r="F36" s="369">
        <v>17.0</v>
      </c>
      <c r="G36" s="369">
        <v>16.0</v>
      </c>
      <c r="H36" s="354">
        <f>'計分版'!D374</f>
        <v>0.00000000195</v>
      </c>
      <c r="I36" s="355">
        <f t="shared" si="6"/>
        <v>-17</v>
      </c>
      <c r="J36" s="356">
        <f t="shared" si="7"/>
        <v>-8717948717</v>
      </c>
      <c r="K36" s="353">
        <v>30.0</v>
      </c>
      <c r="L36" s="370">
        <f>'入學要求'!S360</f>
        <v>0</v>
      </c>
      <c r="M36" s="352" t="s">
        <v>541</v>
      </c>
      <c r="N36" s="352">
        <v>3.0</v>
      </c>
      <c r="O36" s="352">
        <v>3.0</v>
      </c>
      <c r="P36" s="352">
        <v>2.0</v>
      </c>
      <c r="Q36" s="352">
        <v>2.0</v>
      </c>
      <c r="R36" s="352">
        <v>2.0</v>
      </c>
      <c r="S36" s="358">
        <f>'入學要求'!L360</f>
        <v>0</v>
      </c>
      <c r="T36" s="358">
        <f>'入學要求'!M360</f>
        <v>0</v>
      </c>
      <c r="U36" s="358">
        <f>'入學要求'!N360</f>
        <v>0</v>
      </c>
      <c r="V36" s="358">
        <f>'入學要求'!O360</f>
        <v>0</v>
      </c>
      <c r="W36" s="358">
        <f>'入學要求'!P360</f>
        <v>0</v>
      </c>
      <c r="X36" s="205"/>
      <c r="Y36" s="353">
        <f>IF($X$2="2018年",'Offer Statistics'!EV36,IF($X$2="2019年",'Offer Statistics'!EV72,IF($X$2="2020年",'Offer Statistics'!EV108)))</f>
        <v>25</v>
      </c>
      <c r="Z36" s="359">
        <f>IF($X$2="2018年",'Offer Statistics'!EQ36,IF($X$2="2019年",'Offer Statistics'!EQ72,IF($X$2="2020年",'Offer Statistics'!EQ108)))</f>
        <v>13</v>
      </c>
      <c r="AA36" s="359">
        <f>IF($X$2="2018年",'Offer Statistics'!ER36,IF($X$2="2019年",'Offer Statistics'!ER72,IF($X$2="2020年",'Offer Statistics'!ER108)))</f>
        <v>7</v>
      </c>
      <c r="AB36" s="359">
        <f>IF($X$2="2018年",'Offer Statistics'!ES36,IF($X$2="2019年",'Offer Statistics'!ES72,IF($X$2="2020年",'Offer Statistics'!ES108)))</f>
        <v>0</v>
      </c>
      <c r="AC36" s="359">
        <f>IF($X$2="2018年",'Offer Statistics'!ET36,IF($X$2="2019年",'Offer Statistics'!ET72,IF($X$2="2020年",'Offer Statistics'!ET108)))</f>
        <v>2</v>
      </c>
      <c r="AD36" s="359">
        <f>IF($X$2="2018年",'Offer Statistics'!EU36,IF($X$2="2019年",'Offer Statistics'!EU72,IF($X$2="2020年",'Offer Statistics'!EU108)))</f>
        <v>3</v>
      </c>
      <c r="AE36" s="205"/>
      <c r="AF36" s="353">
        <f>IF($X$2="2018年",'Offer Statistics'!EN36,IF($X$2="2019年",'Offer Statistics'!EN72,IF($X$2="2020年",'Offer Statistics'!EN108)))</f>
        <v>800</v>
      </c>
      <c r="AG36" s="359">
        <f>IF($X$2="2018年",'Offer Statistics'!EI36,IF($X$2="2019年",'Offer Statistics'!EI72,IF($X$2="2020年",'Offer Statistics'!EI108)))</f>
        <v>67</v>
      </c>
      <c r="AH36" s="359">
        <f>IF($X$2="2018年",'Offer Statistics'!EJ36,IF($X$2="2019年",'Offer Statistics'!EJ72,IF($X$2="2020年",'Offer Statistics'!EJ108)))</f>
        <v>109</v>
      </c>
      <c r="AI36" s="359">
        <f>IF($X$2="2018年",'Offer Statistics'!EK36,IF($X$2="2019年",'Offer Statistics'!EK72,IF($X$2="2020年",'Offer Statistics'!EK108)))</f>
        <v>142</v>
      </c>
      <c r="AJ36" s="359">
        <f>IF($X$2="2018年",'Offer Statistics'!EL36,IF($X$2="2019年",'Offer Statistics'!EL72,IF($X$2="2020年",'Offer Statistics'!EL108)))</f>
        <v>209</v>
      </c>
      <c r="AK36" s="359">
        <f>IF($X$2="2018年",'Offer Statistics'!EM36,IF($X$2="2019年",'Offer Statistics'!EM72,IF($X$2="2020年",'Offer Statistics'!EM108)))</f>
        <v>273</v>
      </c>
      <c r="AL36" s="352"/>
      <c r="AM36" s="352" t="str">
        <f t="shared" si="3"/>
        <v>JS9732</v>
      </c>
    </row>
    <row r="37" ht="18.0" customHeight="1">
      <c r="A37" s="278"/>
      <c r="B37" s="278"/>
      <c r="C37" s="278"/>
      <c r="D37" s="278"/>
      <c r="E37" s="132"/>
      <c r="F37" s="116"/>
      <c r="G37" s="116"/>
      <c r="H37" s="116"/>
      <c r="I37" s="373"/>
      <c r="J37" s="147"/>
      <c r="K37" s="116"/>
      <c r="L37" s="116"/>
      <c r="M37" s="116"/>
      <c r="N37" s="116"/>
      <c r="O37" s="116"/>
      <c r="P37" s="116"/>
      <c r="Q37" s="116"/>
      <c r="R37" s="116"/>
      <c r="S37" s="116"/>
      <c r="T37" s="116"/>
      <c r="U37" s="116"/>
      <c r="V37" s="116"/>
      <c r="W37" s="116"/>
      <c r="X37" s="278"/>
      <c r="Y37" s="142"/>
      <c r="Z37" s="142"/>
      <c r="AA37" s="142"/>
      <c r="AB37" s="142"/>
      <c r="AC37" s="142"/>
      <c r="AD37" s="142"/>
      <c r="AE37" s="142"/>
      <c r="AF37" s="142"/>
      <c r="AG37" s="142"/>
      <c r="AH37" s="142"/>
      <c r="AI37" s="142"/>
      <c r="AJ37" s="142"/>
      <c r="AK37" s="142"/>
      <c r="AL37" s="142"/>
      <c r="AM37" s="142"/>
    </row>
    <row r="38" ht="18.0" customHeight="1">
      <c r="A38" s="142" t="s">
        <v>1688</v>
      </c>
      <c r="B38" s="142"/>
      <c r="C38" s="142"/>
      <c r="D38" s="142"/>
      <c r="E38" s="132"/>
      <c r="F38" s="131"/>
      <c r="G38" s="131"/>
      <c r="H38" s="131"/>
      <c r="I38" s="219"/>
      <c r="J38" s="198"/>
      <c r="K38" s="131"/>
      <c r="L38" s="131"/>
      <c r="M38" s="131"/>
      <c r="N38" s="131"/>
      <c r="O38" s="131"/>
      <c r="P38" s="131"/>
      <c r="Q38" s="131"/>
      <c r="R38" s="131"/>
      <c r="S38" s="131"/>
      <c r="T38" s="131"/>
      <c r="U38" s="131"/>
      <c r="V38" s="131"/>
      <c r="W38" s="131"/>
      <c r="X38" s="278"/>
      <c r="Y38" s="142"/>
      <c r="Z38" s="142"/>
      <c r="AA38" s="142"/>
      <c r="AB38" s="142"/>
      <c r="AC38" s="142"/>
      <c r="AD38" s="142"/>
      <c r="AE38" s="142"/>
      <c r="AF38" s="142"/>
      <c r="AG38" s="142"/>
      <c r="AH38" s="142"/>
      <c r="AI38" s="142"/>
      <c r="AJ38" s="142"/>
      <c r="AK38" s="142"/>
      <c r="AL38" s="142"/>
      <c r="AM38" s="142"/>
    </row>
    <row r="39" ht="18.0" customHeight="1">
      <c r="A39" s="142" t="s">
        <v>1689</v>
      </c>
      <c r="B39" s="142"/>
      <c r="C39" s="142"/>
      <c r="D39" s="142"/>
      <c r="E39" s="132"/>
      <c r="F39" s="131"/>
      <c r="G39" s="131"/>
      <c r="H39" s="131"/>
      <c r="I39" s="219"/>
      <c r="J39" s="198"/>
      <c r="K39" s="131"/>
      <c r="L39" s="131"/>
      <c r="M39" s="131"/>
      <c r="N39" s="131"/>
      <c r="O39" s="131"/>
      <c r="P39" s="131"/>
      <c r="Q39" s="131"/>
      <c r="R39" s="131"/>
      <c r="S39" s="131"/>
      <c r="T39" s="131"/>
      <c r="U39" s="131"/>
      <c r="V39" s="131"/>
      <c r="W39" s="131"/>
      <c r="X39" s="278"/>
      <c r="Y39" s="142"/>
      <c r="Z39" s="142"/>
      <c r="AA39" s="142"/>
      <c r="AB39" s="142"/>
      <c r="AC39" s="142"/>
      <c r="AD39" s="142"/>
      <c r="AE39" s="142"/>
      <c r="AF39" s="142"/>
      <c r="AG39" s="142"/>
      <c r="AH39" s="142"/>
      <c r="AI39" s="142"/>
      <c r="AJ39" s="142"/>
      <c r="AK39" s="142"/>
      <c r="AL39" s="142"/>
      <c r="AM39" s="142"/>
    </row>
    <row r="40" ht="18.0" customHeight="1">
      <c r="A40" s="142"/>
      <c r="B40" s="142"/>
      <c r="C40" s="198"/>
      <c r="D40" s="142"/>
      <c r="E40" s="131"/>
      <c r="F40" s="142"/>
      <c r="G40" s="142"/>
      <c r="H40" s="131"/>
      <c r="I40" s="142"/>
      <c r="J40" s="142"/>
      <c r="K40" s="132"/>
      <c r="L40" s="131"/>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row>
    <row r="41" ht="18.0" customHeight="1">
      <c r="A41" s="142" t="s">
        <v>1229</v>
      </c>
      <c r="B41" s="142"/>
      <c r="C41" s="142"/>
      <c r="D41" s="142"/>
      <c r="E41" s="132"/>
      <c r="F41" s="131"/>
      <c r="G41" s="131"/>
      <c r="H41" s="131"/>
      <c r="I41" s="131"/>
      <c r="J41" s="219"/>
      <c r="K41" s="198"/>
      <c r="L41" s="131"/>
      <c r="M41" s="142"/>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row>
    <row r="42" ht="18.0" customHeight="1">
      <c r="A42" s="142"/>
      <c r="B42" s="142"/>
      <c r="C42" s="142"/>
      <c r="D42" s="142"/>
      <c r="E42" s="132"/>
      <c r="F42" s="131"/>
      <c r="G42" s="131"/>
      <c r="H42" s="131"/>
      <c r="I42" s="219"/>
      <c r="J42" s="198"/>
      <c r="K42" s="131"/>
      <c r="L42" s="131"/>
      <c r="M42" s="131"/>
      <c r="N42" s="131"/>
      <c r="O42" s="131"/>
      <c r="P42" s="131"/>
      <c r="Q42" s="131"/>
      <c r="R42" s="131"/>
      <c r="S42" s="131"/>
      <c r="T42" s="131"/>
      <c r="U42" s="131"/>
      <c r="V42" s="131"/>
      <c r="W42" s="131"/>
      <c r="X42" s="278"/>
      <c r="Y42" s="142"/>
      <c r="Z42" s="142"/>
      <c r="AA42" s="142"/>
      <c r="AB42" s="142"/>
      <c r="AC42" s="142"/>
      <c r="AD42" s="142"/>
      <c r="AE42" s="142"/>
      <c r="AF42" s="142"/>
      <c r="AG42" s="142"/>
      <c r="AH42" s="142"/>
      <c r="AI42" s="142"/>
      <c r="AJ42" s="142"/>
      <c r="AK42" s="142"/>
      <c r="AL42" s="142"/>
      <c r="AM42" s="142"/>
    </row>
    <row r="43" ht="18.0" customHeight="1">
      <c r="A43" s="220" t="s">
        <v>1230</v>
      </c>
      <c r="B43" s="142"/>
      <c r="C43" s="142"/>
      <c r="D43" s="142"/>
      <c r="E43" s="132"/>
      <c r="F43" s="131"/>
      <c r="G43" s="131"/>
      <c r="H43" s="131"/>
      <c r="I43" s="219"/>
      <c r="J43" s="198"/>
      <c r="K43" s="131"/>
      <c r="L43" s="131"/>
      <c r="M43" s="131"/>
      <c r="N43" s="131"/>
      <c r="O43" s="131"/>
      <c r="P43" s="131"/>
      <c r="Q43" s="131"/>
      <c r="R43" s="131"/>
      <c r="S43" s="131"/>
      <c r="T43" s="131"/>
      <c r="U43" s="131"/>
      <c r="V43" s="131"/>
      <c r="W43" s="131"/>
      <c r="X43" s="278"/>
      <c r="Y43" s="142"/>
      <c r="Z43" s="142"/>
      <c r="AA43" s="142"/>
      <c r="AB43" s="142"/>
      <c r="AC43" s="142"/>
      <c r="AD43" s="142"/>
      <c r="AE43" s="142"/>
      <c r="AF43" s="142"/>
      <c r="AG43" s="142"/>
      <c r="AH43" s="142"/>
      <c r="AI43" s="142"/>
      <c r="AJ43" s="142"/>
      <c r="AK43" s="142"/>
      <c r="AL43" s="142"/>
      <c r="AM43" s="142"/>
    </row>
    <row r="44" ht="18.0" customHeight="1">
      <c r="A44" s="142" t="s">
        <v>1690</v>
      </c>
      <c r="B44" s="278"/>
      <c r="C44" s="278"/>
      <c r="D44" s="278"/>
      <c r="E44" s="132"/>
      <c r="F44" s="116"/>
      <c r="G44" s="116"/>
      <c r="H44" s="116"/>
      <c r="I44" s="373"/>
      <c r="J44" s="147"/>
      <c r="K44" s="116"/>
      <c r="L44" s="116"/>
      <c r="M44" s="116"/>
      <c r="N44" s="116"/>
      <c r="O44" s="116"/>
      <c r="P44" s="116"/>
      <c r="Q44" s="116"/>
      <c r="R44" s="116"/>
      <c r="S44" s="116"/>
      <c r="T44" s="116"/>
      <c r="U44" s="116"/>
      <c r="V44" s="116"/>
      <c r="W44" s="116"/>
      <c r="X44" s="278"/>
      <c r="Y44" s="142"/>
      <c r="Z44" s="142"/>
      <c r="AA44" s="142"/>
      <c r="AB44" s="142"/>
      <c r="AC44" s="142"/>
      <c r="AD44" s="142"/>
      <c r="AE44" s="142"/>
      <c r="AF44" s="142"/>
      <c r="AG44" s="142"/>
      <c r="AH44" s="142"/>
      <c r="AI44" s="142"/>
      <c r="AJ44" s="142"/>
      <c r="AK44" s="142"/>
      <c r="AL44" s="142"/>
      <c r="AM44" s="142"/>
    </row>
    <row r="45" ht="18.0" customHeight="1">
      <c r="A45" s="142"/>
      <c r="B45" s="278"/>
      <c r="C45" s="278"/>
      <c r="D45" s="278"/>
      <c r="E45" s="132"/>
      <c r="F45" s="116"/>
      <c r="G45" s="116"/>
      <c r="H45" s="116"/>
      <c r="I45" s="373"/>
      <c r="J45" s="147"/>
      <c r="K45" s="116"/>
      <c r="L45" s="116"/>
      <c r="M45" s="116"/>
      <c r="N45" s="116"/>
      <c r="O45" s="116"/>
      <c r="P45" s="116"/>
      <c r="Q45" s="116"/>
      <c r="R45" s="116"/>
      <c r="S45" s="116"/>
      <c r="T45" s="116"/>
      <c r="U45" s="116"/>
      <c r="V45" s="116"/>
      <c r="W45" s="116"/>
      <c r="X45" s="278"/>
      <c r="Y45" s="142"/>
      <c r="Z45" s="142"/>
      <c r="AA45" s="142"/>
      <c r="AB45" s="142"/>
      <c r="AC45" s="142"/>
      <c r="AD45" s="142"/>
      <c r="AE45" s="142"/>
      <c r="AF45" s="142"/>
      <c r="AG45" s="142"/>
      <c r="AH45" s="142"/>
      <c r="AI45" s="142"/>
      <c r="AJ45" s="142"/>
      <c r="AK45" s="142"/>
      <c r="AL45" s="142"/>
      <c r="AM45" s="142"/>
    </row>
    <row r="46" ht="18.0" customHeight="1">
      <c r="A46" s="142" t="s">
        <v>1232</v>
      </c>
      <c r="B46" s="142"/>
      <c r="C46" s="142"/>
      <c r="D46" s="142"/>
      <c r="E46" s="132"/>
      <c r="F46" s="131"/>
      <c r="G46" s="131"/>
      <c r="H46" s="131"/>
      <c r="I46" s="219"/>
      <c r="J46" s="198"/>
      <c r="K46" s="131"/>
      <c r="L46" s="131"/>
      <c r="M46" s="131"/>
      <c r="N46" s="131"/>
      <c r="O46" s="131"/>
      <c r="P46" s="131"/>
      <c r="Q46" s="131"/>
      <c r="R46" s="131"/>
      <c r="S46" s="131"/>
      <c r="T46" s="131"/>
      <c r="U46" s="131"/>
      <c r="V46" s="131"/>
      <c r="W46" s="131"/>
      <c r="X46" s="278"/>
      <c r="Y46" s="142"/>
      <c r="Z46" s="142"/>
      <c r="AA46" s="142"/>
      <c r="AB46" s="142"/>
      <c r="AC46" s="142"/>
      <c r="AD46" s="142"/>
      <c r="AE46" s="142"/>
      <c r="AF46" s="142"/>
      <c r="AG46" s="142"/>
      <c r="AH46" s="142"/>
      <c r="AI46" s="142"/>
      <c r="AJ46" s="142"/>
      <c r="AK46" s="142"/>
      <c r="AL46" s="142"/>
      <c r="AM46" s="142"/>
    </row>
    <row r="47" ht="18.0" customHeight="1">
      <c r="A47" s="221" t="s">
        <v>1691</v>
      </c>
      <c r="B47" s="142"/>
      <c r="C47" s="142"/>
      <c r="D47" s="142"/>
      <c r="E47" s="132"/>
      <c r="F47" s="131"/>
      <c r="G47" s="131"/>
      <c r="H47" s="131"/>
      <c r="I47" s="219"/>
      <c r="J47" s="198"/>
      <c r="K47" s="131"/>
      <c r="L47" s="131"/>
      <c r="M47" s="131"/>
      <c r="N47" s="131"/>
      <c r="O47" s="131"/>
      <c r="P47" s="131"/>
      <c r="Q47" s="131"/>
      <c r="R47" s="131"/>
      <c r="S47" s="131"/>
      <c r="T47" s="131"/>
      <c r="U47" s="131"/>
      <c r="V47" s="131"/>
      <c r="W47" s="131"/>
      <c r="X47" s="142"/>
      <c r="Y47" s="142"/>
      <c r="Z47" s="142"/>
      <c r="AA47" s="142"/>
      <c r="AB47" s="142"/>
      <c r="AC47" s="142"/>
      <c r="AD47" s="142"/>
      <c r="AE47" s="142"/>
      <c r="AF47" s="142"/>
      <c r="AG47" s="142"/>
      <c r="AH47" s="142"/>
      <c r="AI47" s="142"/>
      <c r="AJ47" s="142"/>
      <c r="AK47" s="142"/>
      <c r="AL47" s="142"/>
      <c r="AM47" s="142"/>
    </row>
    <row r="48" ht="18.0" customHeight="1">
      <c r="A48" s="242" t="s">
        <v>1692</v>
      </c>
      <c r="B48" s="142"/>
      <c r="C48" s="142"/>
      <c r="D48" s="142"/>
      <c r="E48" s="132"/>
      <c r="F48" s="131"/>
      <c r="G48" s="131"/>
      <c r="H48" s="131"/>
      <c r="I48" s="219"/>
      <c r="J48" s="198"/>
      <c r="K48" s="131"/>
      <c r="L48" s="131"/>
      <c r="M48" s="131"/>
      <c r="N48" s="131"/>
      <c r="O48" s="131"/>
      <c r="P48" s="131"/>
      <c r="Q48" s="131"/>
      <c r="R48" s="131"/>
      <c r="S48" s="131"/>
      <c r="T48" s="131"/>
      <c r="U48" s="131"/>
      <c r="V48" s="131"/>
      <c r="W48" s="131"/>
      <c r="X48" s="142"/>
      <c r="Y48" s="142"/>
      <c r="Z48" s="142"/>
      <c r="AA48" s="142"/>
      <c r="AB48" s="142"/>
      <c r="AC48" s="142"/>
      <c r="AD48" s="142"/>
      <c r="AE48" s="142"/>
      <c r="AF48" s="142"/>
      <c r="AG48" s="142"/>
      <c r="AH48" s="142"/>
      <c r="AI48" s="142"/>
      <c r="AJ48" s="142"/>
      <c r="AK48" s="142"/>
      <c r="AL48" s="142"/>
      <c r="AM48" s="142"/>
    </row>
    <row r="49" ht="18.0" customHeight="1">
      <c r="A49" s="142"/>
      <c r="B49" s="142"/>
      <c r="C49" s="142"/>
      <c r="D49" s="142"/>
      <c r="E49" s="132"/>
      <c r="F49" s="116"/>
      <c r="G49" s="116"/>
      <c r="H49" s="116"/>
      <c r="I49" s="373"/>
      <c r="J49" s="147"/>
      <c r="K49" s="116"/>
      <c r="L49" s="116"/>
      <c r="M49" s="116"/>
      <c r="N49" s="116"/>
      <c r="O49" s="116"/>
      <c r="P49" s="116"/>
      <c r="Q49" s="116"/>
      <c r="R49" s="116"/>
      <c r="S49" s="116"/>
      <c r="T49" s="116"/>
      <c r="U49" s="116"/>
      <c r="V49" s="116"/>
      <c r="W49" s="116"/>
      <c r="X49" s="278"/>
      <c r="Y49" s="142"/>
      <c r="Z49" s="142"/>
      <c r="AA49" s="142"/>
      <c r="AB49" s="142"/>
      <c r="AC49" s="142"/>
      <c r="AD49" s="142"/>
      <c r="AE49" s="142"/>
      <c r="AF49" s="142"/>
      <c r="AG49" s="142"/>
      <c r="AH49" s="142"/>
      <c r="AI49" s="142"/>
      <c r="AJ49" s="142"/>
      <c r="AK49" s="142"/>
      <c r="AL49" s="142"/>
      <c r="AM49" s="142"/>
    </row>
    <row r="50" ht="15.75" hidden="1" customHeight="1">
      <c r="A50" s="278"/>
      <c r="B50" s="278"/>
      <c r="C50" s="278"/>
      <c r="D50" s="278"/>
      <c r="E50" s="132"/>
      <c r="F50" s="116"/>
      <c r="G50" s="116"/>
      <c r="H50" s="116"/>
      <c r="I50" s="373"/>
      <c r="J50" s="147"/>
      <c r="K50" s="116"/>
      <c r="L50" s="116"/>
      <c r="M50" s="116"/>
      <c r="N50" s="116"/>
      <c r="O50" s="116"/>
      <c r="P50" s="116"/>
      <c r="Q50" s="116"/>
      <c r="R50" s="116"/>
      <c r="S50" s="116"/>
      <c r="T50" s="116"/>
      <c r="U50" s="116"/>
      <c r="V50" s="116"/>
      <c r="W50" s="116"/>
      <c r="X50" s="278"/>
      <c r="Y50" s="142"/>
      <c r="Z50" s="142"/>
      <c r="AA50" s="142"/>
      <c r="AB50" s="142"/>
      <c r="AC50" s="142"/>
      <c r="AD50" s="142"/>
      <c r="AE50" s="142"/>
      <c r="AF50" s="142"/>
      <c r="AG50" s="142"/>
      <c r="AH50" s="142"/>
      <c r="AI50" s="142"/>
      <c r="AJ50" s="142"/>
      <c r="AK50" s="142"/>
      <c r="AL50" s="142"/>
      <c r="AM50" s="142"/>
    </row>
    <row r="51" ht="15.75" hidden="1" customHeight="1">
      <c r="A51" s="278"/>
      <c r="B51" s="278"/>
      <c r="C51" s="278"/>
      <c r="D51" s="278"/>
      <c r="E51" s="132"/>
      <c r="F51" s="116"/>
      <c r="G51" s="116"/>
      <c r="H51" s="116"/>
      <c r="I51" s="373"/>
      <c r="J51" s="147"/>
      <c r="K51" s="116"/>
      <c r="L51" s="116"/>
      <c r="M51" s="116"/>
      <c r="N51" s="116"/>
      <c r="O51" s="116"/>
      <c r="P51" s="116"/>
      <c r="Q51" s="116"/>
      <c r="R51" s="116"/>
      <c r="S51" s="116"/>
      <c r="T51" s="116"/>
      <c r="U51" s="116"/>
      <c r="V51" s="116"/>
      <c r="W51" s="116"/>
      <c r="X51" s="278"/>
      <c r="Y51" s="142"/>
      <c r="Z51" s="142"/>
      <c r="AA51" s="142"/>
      <c r="AB51" s="142"/>
      <c r="AC51" s="142"/>
      <c r="AD51" s="142"/>
      <c r="AE51" s="142"/>
      <c r="AF51" s="142"/>
      <c r="AG51" s="142"/>
      <c r="AH51" s="142"/>
      <c r="AI51" s="142"/>
      <c r="AJ51" s="142"/>
      <c r="AK51" s="142"/>
      <c r="AL51" s="142"/>
      <c r="AM51" s="142"/>
    </row>
    <row r="52" ht="15.75" hidden="1" customHeight="1">
      <c r="A52" s="278"/>
      <c r="B52" s="278"/>
      <c r="C52" s="278"/>
      <c r="D52" s="278"/>
      <c r="E52" s="132"/>
      <c r="F52" s="116"/>
      <c r="G52" s="116"/>
      <c r="H52" s="116"/>
      <c r="I52" s="373"/>
      <c r="J52" s="147"/>
      <c r="K52" s="116"/>
      <c r="L52" s="116"/>
      <c r="M52" s="116"/>
      <c r="N52" s="116"/>
      <c r="O52" s="116"/>
      <c r="P52" s="116"/>
      <c r="Q52" s="116"/>
      <c r="R52" s="116"/>
      <c r="S52" s="116"/>
      <c r="T52" s="116"/>
      <c r="U52" s="116"/>
      <c r="V52" s="116"/>
      <c r="W52" s="116"/>
      <c r="X52" s="278"/>
      <c r="Y52" s="142"/>
      <c r="Z52" s="142"/>
      <c r="AA52" s="142"/>
      <c r="AB52" s="142"/>
      <c r="AC52" s="142"/>
      <c r="AD52" s="142"/>
      <c r="AE52" s="142"/>
      <c r="AF52" s="142"/>
      <c r="AG52" s="142"/>
      <c r="AH52" s="142"/>
      <c r="AI52" s="142"/>
      <c r="AJ52" s="142"/>
      <c r="AK52" s="142"/>
      <c r="AL52" s="142"/>
      <c r="AM52" s="142"/>
    </row>
    <row r="53" ht="16.5" hidden="1" customHeight="1">
      <c r="A53" s="278"/>
      <c r="B53" s="278"/>
      <c r="C53" s="278"/>
      <c r="D53" s="278"/>
      <c r="E53" s="132"/>
      <c r="F53" s="116"/>
      <c r="G53" s="116"/>
      <c r="H53" s="116"/>
      <c r="I53" s="373"/>
      <c r="J53" s="147"/>
      <c r="K53" s="116"/>
      <c r="L53" s="116"/>
      <c r="M53" s="116"/>
      <c r="N53" s="116"/>
      <c r="O53" s="116"/>
      <c r="P53" s="116"/>
      <c r="Q53" s="116"/>
      <c r="R53" s="116"/>
      <c r="S53" s="116"/>
      <c r="T53" s="116"/>
      <c r="U53" s="116"/>
      <c r="V53" s="116"/>
      <c r="W53" s="116"/>
      <c r="X53" s="278"/>
      <c r="Y53" s="142"/>
      <c r="Z53" s="142"/>
      <c r="AA53" s="142"/>
      <c r="AB53" s="142"/>
      <c r="AC53" s="142"/>
      <c r="AD53" s="142"/>
      <c r="AE53" s="142"/>
      <c r="AF53" s="130"/>
      <c r="AG53" s="142"/>
      <c r="AH53" s="142"/>
      <c r="AI53" s="142"/>
      <c r="AJ53" s="130"/>
      <c r="AK53" s="130"/>
      <c r="AL53" s="130"/>
      <c r="AM53" s="130"/>
    </row>
    <row r="54" ht="16.5" hidden="1" customHeight="1">
      <c r="A54" s="278"/>
      <c r="B54" s="278"/>
      <c r="C54" s="278"/>
      <c r="D54" s="278"/>
      <c r="E54" s="132"/>
      <c r="F54" s="116"/>
      <c r="G54" s="116"/>
      <c r="H54" s="116"/>
      <c r="I54" s="373"/>
      <c r="J54" s="147"/>
      <c r="K54" s="116"/>
      <c r="L54" s="116"/>
      <c r="M54" s="116"/>
      <c r="N54" s="116"/>
      <c r="O54" s="116"/>
      <c r="P54" s="116"/>
      <c r="Q54" s="116"/>
      <c r="R54" s="116"/>
      <c r="S54" s="116"/>
      <c r="T54" s="116"/>
      <c r="U54" s="116"/>
      <c r="V54" s="116"/>
      <c r="W54" s="116"/>
      <c r="X54" s="278"/>
      <c r="Y54" s="142"/>
      <c r="Z54" s="142"/>
      <c r="AA54" s="142"/>
      <c r="AB54" s="142"/>
      <c r="AC54" s="142"/>
      <c r="AD54" s="142"/>
      <c r="AE54" s="142"/>
      <c r="AF54" s="130"/>
      <c r="AG54" s="142"/>
      <c r="AH54" s="142"/>
      <c r="AI54" s="142"/>
      <c r="AJ54" s="130"/>
      <c r="AK54" s="130"/>
      <c r="AL54" s="130"/>
      <c r="AM54" s="130"/>
    </row>
    <row r="55" ht="16.5" hidden="1" customHeight="1">
      <c r="A55" s="278"/>
      <c r="B55" s="278"/>
      <c r="C55" s="278"/>
      <c r="D55" s="278"/>
      <c r="E55" s="132"/>
      <c r="F55" s="116"/>
      <c r="G55" s="116"/>
      <c r="H55" s="116"/>
      <c r="I55" s="373"/>
      <c r="J55" s="147"/>
      <c r="K55" s="116"/>
      <c r="L55" s="116"/>
      <c r="M55" s="116"/>
      <c r="N55" s="116"/>
      <c r="O55" s="116"/>
      <c r="P55" s="116"/>
      <c r="Q55" s="116"/>
      <c r="R55" s="116"/>
      <c r="S55" s="116"/>
      <c r="T55" s="116"/>
      <c r="U55" s="116"/>
      <c r="V55" s="116"/>
      <c r="W55" s="116"/>
      <c r="X55" s="278"/>
      <c r="Y55" s="142"/>
      <c r="Z55" s="142"/>
      <c r="AA55" s="142"/>
      <c r="AB55" s="142"/>
      <c r="AC55" s="142"/>
      <c r="AD55" s="142"/>
      <c r="AE55" s="142"/>
      <c r="AF55" s="130"/>
      <c r="AG55" s="142"/>
      <c r="AH55" s="142"/>
      <c r="AI55" s="142"/>
      <c r="AJ55" s="130"/>
      <c r="AK55" s="130"/>
      <c r="AL55" s="130"/>
      <c r="AM55" s="130"/>
    </row>
    <row r="56" ht="16.5" hidden="1" customHeight="1">
      <c r="A56" s="278"/>
      <c r="B56" s="278"/>
      <c r="C56" s="278"/>
      <c r="D56" s="278"/>
      <c r="E56" s="132"/>
      <c r="F56" s="116"/>
      <c r="G56" s="116"/>
      <c r="H56" s="116"/>
      <c r="I56" s="373"/>
      <c r="J56" s="147"/>
      <c r="K56" s="116"/>
      <c r="L56" s="116"/>
      <c r="M56" s="116"/>
      <c r="N56" s="116"/>
      <c r="O56" s="116"/>
      <c r="P56" s="116"/>
      <c r="Q56" s="116"/>
      <c r="R56" s="116"/>
      <c r="S56" s="116"/>
      <c r="T56" s="116"/>
      <c r="U56" s="116"/>
      <c r="V56" s="116"/>
      <c r="W56" s="116"/>
      <c r="X56" s="278"/>
      <c r="Y56" s="142"/>
      <c r="Z56" s="142"/>
      <c r="AA56" s="142"/>
      <c r="AB56" s="142"/>
      <c r="AC56" s="142"/>
      <c r="AD56" s="142"/>
      <c r="AE56" s="142"/>
      <c r="AF56" s="130"/>
      <c r="AG56" s="142"/>
      <c r="AH56" s="142"/>
      <c r="AI56" s="142"/>
      <c r="AJ56" s="130"/>
      <c r="AK56" s="130"/>
      <c r="AL56" s="130"/>
      <c r="AM56" s="130"/>
    </row>
    <row r="57" ht="16.5" hidden="1" customHeight="1">
      <c r="A57" s="278"/>
      <c r="B57" s="278"/>
      <c r="C57" s="278"/>
      <c r="D57" s="278"/>
      <c r="E57" s="132"/>
      <c r="F57" s="116"/>
      <c r="G57" s="116"/>
      <c r="H57" s="116"/>
      <c r="I57" s="373"/>
      <c r="J57" s="147"/>
      <c r="K57" s="116"/>
      <c r="L57" s="116"/>
      <c r="M57" s="116"/>
      <c r="N57" s="116"/>
      <c r="O57" s="116"/>
      <c r="P57" s="116"/>
      <c r="Q57" s="116"/>
      <c r="R57" s="116"/>
      <c r="S57" s="116"/>
      <c r="T57" s="116"/>
      <c r="U57" s="116"/>
      <c r="V57" s="116"/>
      <c r="W57" s="116"/>
      <c r="X57" s="278"/>
      <c r="Y57" s="142"/>
      <c r="Z57" s="142"/>
      <c r="AA57" s="142"/>
      <c r="AB57" s="142"/>
      <c r="AC57" s="142"/>
      <c r="AD57" s="142"/>
      <c r="AE57" s="142"/>
      <c r="AF57" s="130"/>
      <c r="AG57" s="142"/>
      <c r="AH57" s="142"/>
      <c r="AI57" s="142"/>
      <c r="AJ57" s="130"/>
      <c r="AK57" s="130"/>
      <c r="AL57" s="130"/>
      <c r="AM57" s="130"/>
    </row>
    <row r="58" ht="16.5" hidden="1" customHeight="1">
      <c r="A58" s="278"/>
      <c r="B58" s="278"/>
      <c r="C58" s="278"/>
      <c r="D58" s="278"/>
      <c r="E58" s="132"/>
      <c r="F58" s="116"/>
      <c r="G58" s="116"/>
      <c r="H58" s="116"/>
      <c r="I58" s="373"/>
      <c r="J58" s="147"/>
      <c r="K58" s="116"/>
      <c r="L58" s="116"/>
      <c r="M58" s="116"/>
      <c r="N58" s="116"/>
      <c r="O58" s="116"/>
      <c r="P58" s="116"/>
      <c r="Q58" s="116"/>
      <c r="R58" s="116"/>
      <c r="S58" s="116"/>
      <c r="T58" s="116"/>
      <c r="U58" s="116"/>
      <c r="V58" s="116"/>
      <c r="W58" s="116"/>
      <c r="X58" s="278"/>
      <c r="Y58" s="142"/>
      <c r="Z58" s="142"/>
      <c r="AA58" s="142"/>
      <c r="AB58" s="142"/>
      <c r="AC58" s="142"/>
      <c r="AD58" s="142"/>
      <c r="AE58" s="142"/>
      <c r="AF58" s="130"/>
      <c r="AG58" s="142"/>
      <c r="AH58" s="142"/>
      <c r="AI58" s="142"/>
      <c r="AJ58" s="130"/>
      <c r="AK58" s="130"/>
      <c r="AL58" s="130"/>
      <c r="AM58" s="130"/>
    </row>
    <row r="59" ht="16.5" hidden="1" customHeight="1">
      <c r="A59" s="278"/>
      <c r="B59" s="278"/>
      <c r="C59" s="278"/>
      <c r="D59" s="278"/>
      <c r="E59" s="132"/>
      <c r="F59" s="116"/>
      <c r="G59" s="116"/>
      <c r="H59" s="116"/>
      <c r="I59" s="373"/>
      <c r="J59" s="147"/>
      <c r="K59" s="116"/>
      <c r="L59" s="116"/>
      <c r="M59" s="116"/>
      <c r="N59" s="116"/>
      <c r="O59" s="116"/>
      <c r="P59" s="116"/>
      <c r="Q59" s="116"/>
      <c r="R59" s="116"/>
      <c r="S59" s="116"/>
      <c r="T59" s="116"/>
      <c r="U59" s="116"/>
      <c r="V59" s="116"/>
      <c r="W59" s="116"/>
      <c r="X59" s="278"/>
      <c r="Y59" s="142"/>
      <c r="Z59" s="142"/>
      <c r="AA59" s="142"/>
      <c r="AB59" s="142"/>
      <c r="AC59" s="142"/>
      <c r="AD59" s="142"/>
      <c r="AE59" s="142"/>
      <c r="AF59" s="130"/>
      <c r="AG59" s="142"/>
      <c r="AH59" s="142"/>
      <c r="AI59" s="142"/>
      <c r="AJ59" s="130"/>
      <c r="AK59" s="130"/>
      <c r="AL59" s="130"/>
      <c r="AM59" s="130"/>
    </row>
    <row r="60" ht="16.5" hidden="1" customHeight="1">
      <c r="A60" s="278"/>
      <c r="B60" s="278"/>
      <c r="C60" s="278"/>
      <c r="D60" s="278"/>
      <c r="E60" s="132"/>
      <c r="F60" s="116"/>
      <c r="G60" s="116"/>
      <c r="H60" s="116"/>
      <c r="I60" s="373"/>
      <c r="J60" s="147"/>
      <c r="K60" s="116"/>
      <c r="L60" s="116"/>
      <c r="M60" s="116"/>
      <c r="N60" s="116"/>
      <c r="O60" s="116"/>
      <c r="P60" s="116"/>
      <c r="Q60" s="116"/>
      <c r="R60" s="116"/>
      <c r="S60" s="116"/>
      <c r="T60" s="116"/>
      <c r="U60" s="116"/>
      <c r="V60" s="116"/>
      <c r="W60" s="116"/>
      <c r="X60" s="278"/>
      <c r="Y60" s="142"/>
      <c r="Z60" s="142"/>
      <c r="AA60" s="142"/>
      <c r="AB60" s="142"/>
      <c r="AC60" s="142"/>
      <c r="AD60" s="142"/>
      <c r="AE60" s="142"/>
      <c r="AF60" s="130"/>
      <c r="AG60" s="142"/>
      <c r="AH60" s="142"/>
      <c r="AI60" s="142"/>
      <c r="AJ60" s="130"/>
      <c r="AK60" s="130"/>
      <c r="AL60" s="130"/>
      <c r="AM60" s="130"/>
    </row>
    <row r="61" ht="16.5" hidden="1" customHeight="1">
      <c r="A61" s="278"/>
      <c r="B61" s="278"/>
      <c r="C61" s="278"/>
      <c r="D61" s="278"/>
      <c r="E61" s="132"/>
      <c r="F61" s="116"/>
      <c r="G61" s="116"/>
      <c r="H61" s="116"/>
      <c r="I61" s="373"/>
      <c r="J61" s="147"/>
      <c r="K61" s="116"/>
      <c r="L61" s="116"/>
      <c r="M61" s="116"/>
      <c r="N61" s="116"/>
      <c r="O61" s="116"/>
      <c r="P61" s="116"/>
      <c r="Q61" s="116"/>
      <c r="R61" s="116"/>
      <c r="S61" s="116"/>
      <c r="T61" s="116"/>
      <c r="U61" s="116"/>
      <c r="V61" s="116"/>
      <c r="W61" s="116"/>
      <c r="X61" s="278"/>
      <c r="Y61" s="142"/>
      <c r="Z61" s="142"/>
      <c r="AA61" s="142"/>
      <c r="AB61" s="142"/>
      <c r="AC61" s="142"/>
      <c r="AD61" s="142"/>
      <c r="AE61" s="142"/>
      <c r="AF61" s="130"/>
      <c r="AG61" s="142"/>
      <c r="AH61" s="142"/>
      <c r="AI61" s="142"/>
      <c r="AJ61" s="130"/>
      <c r="AK61" s="130"/>
      <c r="AL61" s="130"/>
      <c r="AM61" s="130"/>
    </row>
    <row r="62" ht="16.5" hidden="1" customHeight="1">
      <c r="A62" s="278"/>
      <c r="B62" s="278"/>
      <c r="C62" s="278"/>
      <c r="D62" s="278"/>
      <c r="E62" s="132"/>
      <c r="F62" s="116"/>
      <c r="G62" s="116"/>
      <c r="H62" s="116"/>
      <c r="I62" s="373"/>
      <c r="J62" s="147"/>
      <c r="K62" s="116"/>
      <c r="L62" s="116"/>
      <c r="M62" s="116"/>
      <c r="N62" s="116"/>
      <c r="O62" s="116"/>
      <c r="P62" s="116"/>
      <c r="Q62" s="116"/>
      <c r="R62" s="116"/>
      <c r="S62" s="116"/>
      <c r="T62" s="116"/>
      <c r="U62" s="116"/>
      <c r="V62" s="116"/>
      <c r="W62" s="116"/>
      <c r="X62" s="278"/>
      <c r="Y62" s="142"/>
      <c r="Z62" s="142"/>
      <c r="AA62" s="142"/>
      <c r="AB62" s="142"/>
      <c r="AC62" s="142"/>
      <c r="AD62" s="142"/>
      <c r="AE62" s="142"/>
      <c r="AF62" s="130"/>
      <c r="AG62" s="142"/>
      <c r="AH62" s="142"/>
      <c r="AI62" s="142"/>
      <c r="AJ62" s="130"/>
      <c r="AK62" s="130"/>
      <c r="AL62" s="130"/>
      <c r="AM62" s="130"/>
    </row>
    <row r="63" ht="16.5" hidden="1" customHeight="1">
      <c r="A63" s="278"/>
      <c r="B63" s="278"/>
      <c r="C63" s="278"/>
      <c r="D63" s="278"/>
      <c r="E63" s="132"/>
      <c r="F63" s="116"/>
      <c r="G63" s="116"/>
      <c r="H63" s="116"/>
      <c r="I63" s="373"/>
      <c r="J63" s="147"/>
      <c r="K63" s="116"/>
      <c r="L63" s="116"/>
      <c r="M63" s="116"/>
      <c r="N63" s="116"/>
      <c r="O63" s="116"/>
      <c r="P63" s="116"/>
      <c r="Q63" s="116"/>
      <c r="R63" s="116"/>
      <c r="S63" s="116"/>
      <c r="T63" s="116"/>
      <c r="U63" s="116"/>
      <c r="V63" s="116"/>
      <c r="W63" s="116"/>
      <c r="X63" s="278"/>
      <c r="Y63" s="142"/>
      <c r="Z63" s="142"/>
      <c r="AA63" s="142"/>
      <c r="AB63" s="142"/>
      <c r="AC63" s="142"/>
      <c r="AD63" s="142"/>
      <c r="AE63" s="142"/>
      <c r="AF63" s="130"/>
      <c r="AG63" s="142"/>
      <c r="AH63" s="142"/>
      <c r="AI63" s="142"/>
      <c r="AJ63" s="130"/>
      <c r="AK63" s="130"/>
      <c r="AL63" s="130"/>
      <c r="AM63" s="130"/>
    </row>
    <row r="64" ht="16.5" hidden="1" customHeight="1">
      <c r="A64" s="278"/>
      <c r="B64" s="278"/>
      <c r="C64" s="278"/>
      <c r="D64" s="278"/>
      <c r="E64" s="132"/>
      <c r="F64" s="116"/>
      <c r="G64" s="116"/>
      <c r="H64" s="116"/>
      <c r="I64" s="373"/>
      <c r="J64" s="147"/>
      <c r="K64" s="116"/>
      <c r="L64" s="116"/>
      <c r="M64" s="116"/>
      <c r="N64" s="116"/>
      <c r="O64" s="116"/>
      <c r="P64" s="116"/>
      <c r="Q64" s="116"/>
      <c r="R64" s="116"/>
      <c r="S64" s="116"/>
      <c r="T64" s="116"/>
      <c r="U64" s="116"/>
      <c r="V64" s="116"/>
      <c r="W64" s="116"/>
      <c r="X64" s="278"/>
      <c r="Y64" s="142"/>
      <c r="Z64" s="142"/>
      <c r="AA64" s="142"/>
      <c r="AB64" s="142"/>
      <c r="AC64" s="142"/>
      <c r="AD64" s="142"/>
      <c r="AE64" s="142"/>
      <c r="AF64" s="130"/>
      <c r="AG64" s="142"/>
      <c r="AH64" s="142"/>
      <c r="AI64" s="142"/>
      <c r="AJ64" s="130"/>
      <c r="AK64" s="130"/>
      <c r="AL64" s="130"/>
      <c r="AM64" s="130"/>
    </row>
    <row r="65" ht="16.5" hidden="1" customHeight="1">
      <c r="A65" s="278"/>
      <c r="B65" s="278"/>
      <c r="C65" s="278"/>
      <c r="D65" s="278"/>
      <c r="E65" s="132"/>
      <c r="F65" s="116"/>
      <c r="G65" s="116"/>
      <c r="H65" s="116"/>
      <c r="I65" s="373"/>
      <c r="J65" s="147"/>
      <c r="K65" s="116"/>
      <c r="L65" s="116"/>
      <c r="M65" s="116"/>
      <c r="N65" s="116"/>
      <c r="O65" s="116"/>
      <c r="P65" s="116"/>
      <c r="Q65" s="116"/>
      <c r="R65" s="116"/>
      <c r="S65" s="116"/>
      <c r="T65" s="116"/>
      <c r="U65" s="116"/>
      <c r="V65" s="116"/>
      <c r="W65" s="116"/>
      <c r="X65" s="278"/>
      <c r="Y65" s="142"/>
      <c r="Z65" s="142"/>
      <c r="AA65" s="142"/>
      <c r="AB65" s="142"/>
      <c r="AC65" s="142"/>
      <c r="AD65" s="142"/>
      <c r="AE65" s="142"/>
      <c r="AF65" s="130"/>
      <c r="AG65" s="142"/>
      <c r="AH65" s="142"/>
      <c r="AI65" s="142"/>
      <c r="AJ65" s="130"/>
      <c r="AK65" s="130"/>
      <c r="AL65" s="130"/>
      <c r="AM65" s="130"/>
    </row>
    <row r="66" ht="16.5" hidden="1" customHeight="1">
      <c r="A66" s="278"/>
      <c r="B66" s="278"/>
      <c r="C66" s="278"/>
      <c r="D66" s="278"/>
      <c r="E66" s="132"/>
      <c r="F66" s="116"/>
      <c r="G66" s="116"/>
      <c r="H66" s="116"/>
      <c r="I66" s="373"/>
      <c r="J66" s="147"/>
      <c r="K66" s="116"/>
      <c r="L66" s="116"/>
      <c r="M66" s="116"/>
      <c r="N66" s="116"/>
      <c r="O66" s="116"/>
      <c r="P66" s="116"/>
      <c r="Q66" s="116"/>
      <c r="R66" s="116"/>
      <c r="S66" s="116"/>
      <c r="T66" s="116"/>
      <c r="U66" s="116"/>
      <c r="V66" s="116"/>
      <c r="W66" s="116"/>
      <c r="X66" s="278"/>
      <c r="Y66" s="142"/>
      <c r="Z66" s="142"/>
      <c r="AA66" s="142"/>
      <c r="AB66" s="142"/>
      <c r="AC66" s="142"/>
      <c r="AD66" s="142"/>
      <c r="AE66" s="142"/>
      <c r="AF66" s="130"/>
      <c r="AG66" s="142"/>
      <c r="AH66" s="142"/>
      <c r="AI66" s="142"/>
      <c r="AJ66" s="130"/>
      <c r="AK66" s="130"/>
      <c r="AL66" s="130"/>
      <c r="AM66" s="130"/>
    </row>
    <row r="67" ht="16.5" hidden="1" customHeight="1">
      <c r="A67" s="278"/>
      <c r="B67" s="278"/>
      <c r="C67" s="278"/>
      <c r="D67" s="278"/>
      <c r="E67" s="132"/>
      <c r="F67" s="116"/>
      <c r="G67" s="116"/>
      <c r="H67" s="116"/>
      <c r="I67" s="373"/>
      <c r="J67" s="147"/>
      <c r="K67" s="116"/>
      <c r="L67" s="116"/>
      <c r="M67" s="116"/>
      <c r="N67" s="116"/>
      <c r="O67" s="116"/>
      <c r="P67" s="116"/>
      <c r="Q67" s="116"/>
      <c r="R67" s="116"/>
      <c r="S67" s="116"/>
      <c r="T67" s="116"/>
      <c r="U67" s="116"/>
      <c r="V67" s="116"/>
      <c r="W67" s="116"/>
      <c r="X67" s="278"/>
      <c r="Y67" s="142"/>
      <c r="Z67" s="142"/>
      <c r="AA67" s="142"/>
      <c r="AB67" s="142"/>
      <c r="AC67" s="142"/>
      <c r="AD67" s="142"/>
      <c r="AE67" s="142"/>
      <c r="AF67" s="130"/>
      <c r="AG67" s="142"/>
      <c r="AH67" s="142"/>
      <c r="AI67" s="142"/>
      <c r="AJ67" s="130"/>
      <c r="AK67" s="130"/>
      <c r="AL67" s="130"/>
      <c r="AM67" s="130"/>
    </row>
    <row r="68" ht="16.5" hidden="1" customHeight="1">
      <c r="A68" s="278"/>
      <c r="B68" s="278"/>
      <c r="C68" s="278"/>
      <c r="D68" s="278"/>
      <c r="E68" s="132"/>
      <c r="F68" s="116"/>
      <c r="G68" s="116"/>
      <c r="H68" s="116"/>
      <c r="I68" s="373"/>
      <c r="J68" s="147"/>
      <c r="K68" s="116"/>
      <c r="L68" s="116"/>
      <c r="M68" s="116"/>
      <c r="N68" s="116"/>
      <c r="O68" s="116"/>
      <c r="P68" s="116"/>
      <c r="Q68" s="116"/>
      <c r="R68" s="116"/>
      <c r="S68" s="116"/>
      <c r="T68" s="116"/>
      <c r="U68" s="116"/>
      <c r="V68" s="116"/>
      <c r="W68" s="116"/>
      <c r="X68" s="278"/>
      <c r="Y68" s="142"/>
      <c r="Z68" s="142"/>
      <c r="AA68" s="142"/>
      <c r="AB68" s="142"/>
      <c r="AC68" s="142"/>
      <c r="AD68" s="142"/>
      <c r="AE68" s="142"/>
      <c r="AF68" s="130"/>
      <c r="AG68" s="142"/>
      <c r="AH68" s="142"/>
      <c r="AI68" s="142"/>
      <c r="AJ68" s="130"/>
      <c r="AK68" s="130"/>
      <c r="AL68" s="130"/>
      <c r="AM68" s="130"/>
    </row>
    <row r="69" ht="16.5" hidden="1" customHeight="1">
      <c r="A69" s="278"/>
      <c r="B69" s="278"/>
      <c r="C69" s="278"/>
      <c r="D69" s="278"/>
      <c r="E69" s="132"/>
      <c r="F69" s="116"/>
      <c r="G69" s="116"/>
      <c r="H69" s="116"/>
      <c r="I69" s="373"/>
      <c r="J69" s="147"/>
      <c r="K69" s="116"/>
      <c r="L69" s="116"/>
      <c r="M69" s="116"/>
      <c r="N69" s="116"/>
      <c r="O69" s="116"/>
      <c r="P69" s="116"/>
      <c r="Q69" s="116"/>
      <c r="R69" s="116"/>
      <c r="S69" s="116"/>
      <c r="T69" s="116"/>
      <c r="U69" s="116"/>
      <c r="V69" s="116"/>
      <c r="W69" s="116"/>
      <c r="X69" s="278"/>
      <c r="Y69" s="142"/>
      <c r="Z69" s="142"/>
      <c r="AA69" s="142"/>
      <c r="AB69" s="142"/>
      <c r="AC69" s="142"/>
      <c r="AD69" s="142"/>
      <c r="AE69" s="142"/>
      <c r="AF69" s="130"/>
      <c r="AG69" s="142"/>
      <c r="AH69" s="142"/>
      <c r="AI69" s="142"/>
      <c r="AJ69" s="130"/>
      <c r="AK69" s="130"/>
      <c r="AL69" s="130"/>
      <c r="AM69" s="130"/>
    </row>
    <row r="70" ht="16.5" hidden="1" customHeight="1">
      <c r="A70" s="278"/>
      <c r="B70" s="278"/>
      <c r="C70" s="278"/>
      <c r="D70" s="278"/>
      <c r="E70" s="132"/>
      <c r="F70" s="116"/>
      <c r="G70" s="116"/>
      <c r="H70" s="116"/>
      <c r="I70" s="373"/>
      <c r="J70" s="147"/>
      <c r="K70" s="116"/>
      <c r="L70" s="116"/>
      <c r="M70" s="116"/>
      <c r="N70" s="116"/>
      <c r="O70" s="116"/>
      <c r="P70" s="116"/>
      <c r="Q70" s="116"/>
      <c r="R70" s="116"/>
      <c r="S70" s="116"/>
      <c r="T70" s="116"/>
      <c r="U70" s="116"/>
      <c r="V70" s="116"/>
      <c r="W70" s="116"/>
      <c r="X70" s="278"/>
      <c r="Y70" s="142"/>
      <c r="Z70" s="142"/>
      <c r="AA70" s="142"/>
      <c r="AB70" s="142"/>
      <c r="AC70" s="142"/>
      <c r="AD70" s="142"/>
      <c r="AE70" s="142"/>
      <c r="AF70" s="130"/>
      <c r="AG70" s="142"/>
      <c r="AH70" s="142"/>
      <c r="AI70" s="142"/>
      <c r="AJ70" s="130"/>
      <c r="AK70" s="130"/>
      <c r="AL70" s="130"/>
      <c r="AM70" s="130"/>
    </row>
    <row r="71" ht="16.5" hidden="1" customHeight="1">
      <c r="A71" s="278"/>
      <c r="B71" s="278"/>
      <c r="C71" s="278"/>
      <c r="D71" s="278"/>
      <c r="E71" s="132"/>
      <c r="F71" s="116"/>
      <c r="G71" s="116"/>
      <c r="H71" s="116"/>
      <c r="I71" s="373"/>
      <c r="J71" s="147"/>
      <c r="K71" s="116"/>
      <c r="L71" s="116"/>
      <c r="M71" s="116"/>
      <c r="N71" s="116"/>
      <c r="O71" s="116"/>
      <c r="P71" s="116"/>
      <c r="Q71" s="116"/>
      <c r="R71" s="116"/>
      <c r="S71" s="116"/>
      <c r="T71" s="116"/>
      <c r="U71" s="116"/>
      <c r="V71" s="116"/>
      <c r="W71" s="116"/>
      <c r="X71" s="278"/>
      <c r="Y71" s="142"/>
      <c r="Z71" s="142"/>
      <c r="AA71" s="142"/>
      <c r="AB71" s="142"/>
      <c r="AC71" s="142"/>
      <c r="AD71" s="142"/>
      <c r="AE71" s="142"/>
      <c r="AF71" s="130"/>
      <c r="AG71" s="142"/>
      <c r="AH71" s="142"/>
      <c r="AI71" s="142"/>
      <c r="AJ71" s="130"/>
      <c r="AK71" s="130"/>
      <c r="AL71" s="130"/>
      <c r="AM71" s="130"/>
    </row>
    <row r="72" ht="16.5" hidden="1" customHeight="1">
      <c r="A72" s="278"/>
      <c r="B72" s="278"/>
      <c r="C72" s="278"/>
      <c r="D72" s="278"/>
      <c r="E72" s="132"/>
      <c r="F72" s="116"/>
      <c r="G72" s="116"/>
      <c r="H72" s="116"/>
      <c r="I72" s="373"/>
      <c r="J72" s="147"/>
      <c r="K72" s="116"/>
      <c r="L72" s="116"/>
      <c r="M72" s="116"/>
      <c r="N72" s="116"/>
      <c r="O72" s="116"/>
      <c r="P72" s="116"/>
      <c r="Q72" s="116"/>
      <c r="R72" s="116"/>
      <c r="S72" s="116"/>
      <c r="T72" s="116"/>
      <c r="U72" s="116"/>
      <c r="V72" s="116"/>
      <c r="W72" s="116"/>
      <c r="X72" s="278"/>
      <c r="Y72" s="142"/>
      <c r="Z72" s="142"/>
      <c r="AA72" s="142"/>
      <c r="AB72" s="142"/>
      <c r="AC72" s="142"/>
      <c r="AD72" s="142"/>
      <c r="AE72" s="142"/>
      <c r="AF72" s="130"/>
      <c r="AG72" s="142"/>
      <c r="AH72" s="142"/>
      <c r="AI72" s="142"/>
      <c r="AJ72" s="130"/>
      <c r="AK72" s="130"/>
      <c r="AL72" s="130"/>
      <c r="AM72" s="130"/>
    </row>
    <row r="73" ht="16.5" hidden="1" customHeight="1">
      <c r="A73" s="278"/>
      <c r="B73" s="278"/>
      <c r="C73" s="278"/>
      <c r="D73" s="278"/>
      <c r="E73" s="132"/>
      <c r="F73" s="116"/>
      <c r="G73" s="116"/>
      <c r="H73" s="116"/>
      <c r="I73" s="373"/>
      <c r="J73" s="147"/>
      <c r="K73" s="116"/>
      <c r="L73" s="116"/>
      <c r="M73" s="116"/>
      <c r="N73" s="116"/>
      <c r="O73" s="116"/>
      <c r="P73" s="116"/>
      <c r="Q73" s="116"/>
      <c r="R73" s="116"/>
      <c r="S73" s="116"/>
      <c r="T73" s="116"/>
      <c r="U73" s="116"/>
      <c r="V73" s="116"/>
      <c r="W73" s="116"/>
      <c r="X73" s="278"/>
      <c r="Y73" s="142"/>
      <c r="Z73" s="142"/>
      <c r="AA73" s="142"/>
      <c r="AB73" s="142"/>
      <c r="AC73" s="142"/>
      <c r="AD73" s="142"/>
      <c r="AE73" s="142"/>
      <c r="AF73" s="130"/>
      <c r="AG73" s="142"/>
      <c r="AH73" s="142"/>
      <c r="AI73" s="142"/>
      <c r="AJ73" s="130"/>
      <c r="AK73" s="130"/>
      <c r="AL73" s="130"/>
      <c r="AM73" s="130"/>
    </row>
    <row r="74" ht="16.5" hidden="1" customHeight="1">
      <c r="A74" s="278"/>
      <c r="B74" s="278"/>
      <c r="C74" s="278"/>
      <c r="D74" s="278"/>
      <c r="E74" s="132"/>
      <c r="F74" s="116"/>
      <c r="G74" s="116"/>
      <c r="H74" s="116"/>
      <c r="I74" s="373"/>
      <c r="J74" s="147"/>
      <c r="K74" s="116"/>
      <c r="L74" s="116"/>
      <c r="M74" s="116"/>
      <c r="N74" s="116"/>
      <c r="O74" s="116"/>
      <c r="P74" s="116"/>
      <c r="Q74" s="116"/>
      <c r="R74" s="116"/>
      <c r="S74" s="116"/>
      <c r="T74" s="116"/>
      <c r="U74" s="116"/>
      <c r="V74" s="116"/>
      <c r="W74" s="116"/>
      <c r="X74" s="278"/>
      <c r="Y74" s="142"/>
      <c r="Z74" s="142"/>
      <c r="AA74" s="142"/>
      <c r="AB74" s="142"/>
      <c r="AC74" s="142"/>
      <c r="AD74" s="142"/>
      <c r="AE74" s="142"/>
      <c r="AF74" s="130"/>
      <c r="AG74" s="142"/>
      <c r="AH74" s="142"/>
      <c r="AI74" s="142"/>
      <c r="AJ74" s="130"/>
      <c r="AK74" s="130"/>
      <c r="AL74" s="130"/>
      <c r="AM74" s="130"/>
    </row>
    <row r="75" ht="16.5" hidden="1" customHeight="1">
      <c r="A75" s="278"/>
      <c r="B75" s="278"/>
      <c r="C75" s="278"/>
      <c r="D75" s="278"/>
      <c r="E75" s="132"/>
      <c r="F75" s="116"/>
      <c r="G75" s="116"/>
      <c r="H75" s="116"/>
      <c r="I75" s="373"/>
      <c r="J75" s="147"/>
      <c r="K75" s="116"/>
      <c r="L75" s="116"/>
      <c r="M75" s="116"/>
      <c r="N75" s="116"/>
      <c r="O75" s="116"/>
      <c r="P75" s="116"/>
      <c r="Q75" s="116"/>
      <c r="R75" s="116"/>
      <c r="S75" s="116"/>
      <c r="T75" s="116"/>
      <c r="U75" s="116"/>
      <c r="V75" s="116"/>
      <c r="W75" s="116"/>
      <c r="X75" s="278"/>
      <c r="Y75" s="142"/>
      <c r="Z75" s="142"/>
      <c r="AA75" s="142"/>
      <c r="AB75" s="142"/>
      <c r="AC75" s="142"/>
      <c r="AD75" s="142"/>
      <c r="AE75" s="142"/>
      <c r="AF75" s="130"/>
      <c r="AG75" s="142"/>
      <c r="AH75" s="142"/>
      <c r="AI75" s="142"/>
      <c r="AJ75" s="130"/>
      <c r="AK75" s="130"/>
      <c r="AL75" s="130"/>
      <c r="AM75" s="130"/>
    </row>
    <row r="76" ht="16.5" hidden="1" customHeight="1">
      <c r="A76" s="278"/>
      <c r="B76" s="278"/>
      <c r="C76" s="278"/>
      <c r="D76" s="278"/>
      <c r="E76" s="132"/>
      <c r="F76" s="116"/>
      <c r="G76" s="116"/>
      <c r="H76" s="116"/>
      <c r="I76" s="373"/>
      <c r="J76" s="147"/>
      <c r="K76" s="116"/>
      <c r="L76" s="116"/>
      <c r="M76" s="116"/>
      <c r="N76" s="116"/>
      <c r="O76" s="116"/>
      <c r="P76" s="116"/>
      <c r="Q76" s="116"/>
      <c r="R76" s="116"/>
      <c r="S76" s="116"/>
      <c r="T76" s="116"/>
      <c r="U76" s="116"/>
      <c r="V76" s="116"/>
      <c r="W76" s="116"/>
      <c r="X76" s="278"/>
      <c r="Y76" s="142"/>
      <c r="Z76" s="142"/>
      <c r="AA76" s="142"/>
      <c r="AB76" s="142"/>
      <c r="AC76" s="142"/>
      <c r="AD76" s="142"/>
      <c r="AE76" s="142"/>
      <c r="AF76" s="130"/>
      <c r="AG76" s="142"/>
      <c r="AH76" s="142"/>
      <c r="AI76" s="142"/>
      <c r="AJ76" s="130"/>
      <c r="AK76" s="130"/>
      <c r="AL76" s="130"/>
      <c r="AM76" s="130"/>
    </row>
    <row r="77" ht="16.5" hidden="1" customHeight="1">
      <c r="A77" s="278"/>
      <c r="B77" s="278"/>
      <c r="C77" s="278"/>
      <c r="D77" s="278"/>
      <c r="E77" s="132"/>
      <c r="F77" s="116"/>
      <c r="G77" s="116"/>
      <c r="H77" s="116"/>
      <c r="I77" s="373"/>
      <c r="J77" s="147"/>
      <c r="K77" s="116"/>
      <c r="L77" s="116"/>
      <c r="M77" s="116"/>
      <c r="N77" s="116"/>
      <c r="O77" s="116"/>
      <c r="P77" s="116"/>
      <c r="Q77" s="116"/>
      <c r="R77" s="116"/>
      <c r="S77" s="116"/>
      <c r="T77" s="116"/>
      <c r="U77" s="116"/>
      <c r="V77" s="116"/>
      <c r="W77" s="116"/>
      <c r="X77" s="278"/>
      <c r="Y77" s="142"/>
      <c r="Z77" s="142"/>
      <c r="AA77" s="142"/>
      <c r="AB77" s="142"/>
      <c r="AC77" s="142"/>
      <c r="AD77" s="142"/>
      <c r="AE77" s="142"/>
      <c r="AF77" s="130"/>
      <c r="AG77" s="142"/>
      <c r="AH77" s="142"/>
      <c r="AI77" s="142"/>
      <c r="AJ77" s="130"/>
      <c r="AK77" s="130"/>
      <c r="AL77" s="130"/>
      <c r="AM77" s="130"/>
    </row>
    <row r="78" ht="16.5" hidden="1" customHeight="1">
      <c r="A78" s="278"/>
      <c r="B78" s="278"/>
      <c r="C78" s="278"/>
      <c r="D78" s="278"/>
      <c r="E78" s="132"/>
      <c r="F78" s="116"/>
      <c r="G78" s="116"/>
      <c r="H78" s="116"/>
      <c r="I78" s="373"/>
      <c r="J78" s="147"/>
      <c r="K78" s="116"/>
      <c r="L78" s="116"/>
      <c r="M78" s="116"/>
      <c r="N78" s="116"/>
      <c r="O78" s="116"/>
      <c r="P78" s="116"/>
      <c r="Q78" s="116"/>
      <c r="R78" s="116"/>
      <c r="S78" s="116"/>
      <c r="T78" s="116"/>
      <c r="U78" s="116"/>
      <c r="V78" s="116"/>
      <c r="W78" s="116"/>
      <c r="X78" s="278"/>
      <c r="Y78" s="142"/>
      <c r="Z78" s="142"/>
      <c r="AA78" s="142"/>
      <c r="AB78" s="142"/>
      <c r="AC78" s="142"/>
      <c r="AD78" s="142"/>
      <c r="AE78" s="142"/>
      <c r="AF78" s="130"/>
      <c r="AG78" s="142"/>
      <c r="AH78" s="142"/>
      <c r="AI78" s="142"/>
      <c r="AJ78" s="130"/>
      <c r="AK78" s="130"/>
      <c r="AL78" s="130"/>
      <c r="AM78" s="130"/>
    </row>
    <row r="79" ht="16.5" hidden="1" customHeight="1">
      <c r="A79" s="278"/>
      <c r="B79" s="278"/>
      <c r="C79" s="278"/>
      <c r="D79" s="278"/>
      <c r="E79" s="132"/>
      <c r="F79" s="116"/>
      <c r="G79" s="116"/>
      <c r="H79" s="116"/>
      <c r="I79" s="373"/>
      <c r="J79" s="147"/>
      <c r="K79" s="116"/>
      <c r="L79" s="116"/>
      <c r="M79" s="116"/>
      <c r="N79" s="116"/>
      <c r="O79" s="116"/>
      <c r="P79" s="116"/>
      <c r="Q79" s="116"/>
      <c r="R79" s="116"/>
      <c r="S79" s="116"/>
      <c r="T79" s="116"/>
      <c r="U79" s="116"/>
      <c r="V79" s="116"/>
      <c r="W79" s="116"/>
      <c r="X79" s="278"/>
      <c r="Y79" s="142"/>
      <c r="Z79" s="142"/>
      <c r="AA79" s="142"/>
      <c r="AB79" s="142"/>
      <c r="AC79" s="142"/>
      <c r="AD79" s="142"/>
      <c r="AE79" s="142"/>
      <c r="AF79" s="130"/>
      <c r="AG79" s="142"/>
      <c r="AH79" s="142"/>
      <c r="AI79" s="142"/>
      <c r="AJ79" s="130"/>
      <c r="AK79" s="130"/>
      <c r="AL79" s="130"/>
      <c r="AM79" s="130"/>
    </row>
    <row r="80" ht="16.5" hidden="1" customHeight="1">
      <c r="A80" s="278"/>
      <c r="B80" s="278"/>
      <c r="C80" s="278"/>
      <c r="D80" s="278"/>
      <c r="E80" s="132"/>
      <c r="F80" s="116"/>
      <c r="G80" s="116"/>
      <c r="H80" s="116"/>
      <c r="I80" s="373"/>
      <c r="J80" s="147"/>
      <c r="K80" s="116"/>
      <c r="L80" s="116"/>
      <c r="M80" s="116"/>
      <c r="N80" s="116"/>
      <c r="O80" s="116"/>
      <c r="P80" s="116"/>
      <c r="Q80" s="116"/>
      <c r="R80" s="116"/>
      <c r="S80" s="116"/>
      <c r="T80" s="116"/>
      <c r="U80" s="116"/>
      <c r="V80" s="116"/>
      <c r="W80" s="116"/>
      <c r="X80" s="278"/>
      <c r="Y80" s="142"/>
      <c r="Z80" s="142"/>
      <c r="AA80" s="142"/>
      <c r="AB80" s="142"/>
      <c r="AC80" s="142"/>
      <c r="AD80" s="142"/>
      <c r="AE80" s="142"/>
      <c r="AF80" s="130"/>
      <c r="AG80" s="142"/>
      <c r="AH80" s="142"/>
      <c r="AI80" s="142"/>
      <c r="AJ80" s="130"/>
      <c r="AK80" s="130"/>
      <c r="AL80" s="130"/>
      <c r="AM80" s="130"/>
    </row>
    <row r="81" ht="16.5" hidden="1" customHeight="1">
      <c r="A81" s="278"/>
      <c r="B81" s="278"/>
      <c r="C81" s="278"/>
      <c r="D81" s="278"/>
      <c r="E81" s="132"/>
      <c r="F81" s="116"/>
      <c r="G81" s="116"/>
      <c r="H81" s="116"/>
      <c r="I81" s="373"/>
      <c r="J81" s="147"/>
      <c r="K81" s="116"/>
      <c r="L81" s="116"/>
      <c r="M81" s="116"/>
      <c r="N81" s="116"/>
      <c r="O81" s="116"/>
      <c r="P81" s="116"/>
      <c r="Q81" s="116"/>
      <c r="R81" s="116"/>
      <c r="S81" s="116"/>
      <c r="T81" s="116"/>
      <c r="U81" s="116"/>
      <c r="V81" s="116"/>
      <c r="W81" s="116"/>
      <c r="X81" s="278"/>
      <c r="Y81" s="142"/>
      <c r="Z81" s="142"/>
      <c r="AA81" s="142"/>
      <c r="AB81" s="142"/>
      <c r="AC81" s="142"/>
      <c r="AD81" s="142"/>
      <c r="AE81" s="142"/>
      <c r="AF81" s="130"/>
      <c r="AG81" s="142"/>
      <c r="AH81" s="142"/>
      <c r="AI81" s="142"/>
      <c r="AJ81" s="130"/>
      <c r="AK81" s="130"/>
      <c r="AL81" s="130"/>
      <c r="AM81" s="130"/>
    </row>
    <row r="82" ht="16.5" hidden="1" customHeight="1">
      <c r="A82" s="278"/>
      <c r="B82" s="278"/>
      <c r="C82" s="278"/>
      <c r="D82" s="278"/>
      <c r="E82" s="132"/>
      <c r="F82" s="116"/>
      <c r="G82" s="116"/>
      <c r="H82" s="116"/>
      <c r="I82" s="373"/>
      <c r="J82" s="147"/>
      <c r="K82" s="116"/>
      <c r="L82" s="116"/>
      <c r="M82" s="116"/>
      <c r="N82" s="116"/>
      <c r="O82" s="116"/>
      <c r="P82" s="116"/>
      <c r="Q82" s="116"/>
      <c r="R82" s="116"/>
      <c r="S82" s="116"/>
      <c r="T82" s="116"/>
      <c r="U82" s="116"/>
      <c r="V82" s="116"/>
      <c r="W82" s="116"/>
      <c r="X82" s="278"/>
      <c r="Y82" s="142"/>
      <c r="Z82" s="142"/>
      <c r="AA82" s="142"/>
      <c r="AB82" s="142"/>
      <c r="AC82" s="142"/>
      <c r="AD82" s="142"/>
      <c r="AE82" s="142"/>
      <c r="AF82" s="130"/>
      <c r="AG82" s="142"/>
      <c r="AH82" s="142"/>
      <c r="AI82" s="142"/>
      <c r="AJ82" s="130"/>
      <c r="AK82" s="130"/>
      <c r="AL82" s="130"/>
      <c r="AM82" s="130"/>
    </row>
    <row r="83" ht="16.5" hidden="1" customHeight="1">
      <c r="A83" s="278"/>
      <c r="B83" s="278"/>
      <c r="C83" s="278"/>
      <c r="D83" s="278"/>
      <c r="E83" s="132"/>
      <c r="F83" s="116"/>
      <c r="G83" s="116"/>
      <c r="H83" s="116"/>
      <c r="I83" s="373"/>
      <c r="J83" s="147"/>
      <c r="K83" s="116"/>
      <c r="L83" s="116"/>
      <c r="M83" s="116"/>
      <c r="N83" s="116"/>
      <c r="O83" s="116"/>
      <c r="P83" s="116"/>
      <c r="Q83" s="116"/>
      <c r="R83" s="116"/>
      <c r="S83" s="116"/>
      <c r="T83" s="116"/>
      <c r="U83" s="116"/>
      <c r="V83" s="116"/>
      <c r="W83" s="116"/>
      <c r="X83" s="278"/>
      <c r="Y83" s="142"/>
      <c r="Z83" s="142"/>
      <c r="AA83" s="142"/>
      <c r="AB83" s="142"/>
      <c r="AC83" s="142"/>
      <c r="AD83" s="142"/>
      <c r="AE83" s="142"/>
      <c r="AF83" s="130"/>
      <c r="AG83" s="142"/>
      <c r="AH83" s="142"/>
      <c r="AI83" s="142"/>
      <c r="AJ83" s="130"/>
      <c r="AK83" s="130"/>
      <c r="AL83" s="130"/>
      <c r="AM83" s="130"/>
    </row>
    <row r="84" ht="16.5" hidden="1" customHeight="1">
      <c r="A84" s="278"/>
      <c r="B84" s="278"/>
      <c r="C84" s="278"/>
      <c r="D84" s="278"/>
      <c r="E84" s="132"/>
      <c r="F84" s="116"/>
      <c r="G84" s="116"/>
      <c r="H84" s="116"/>
      <c r="I84" s="373"/>
      <c r="J84" s="147"/>
      <c r="K84" s="116"/>
      <c r="L84" s="116"/>
      <c r="M84" s="116"/>
      <c r="N84" s="116"/>
      <c r="O84" s="116"/>
      <c r="P84" s="116"/>
      <c r="Q84" s="116"/>
      <c r="R84" s="116"/>
      <c r="S84" s="116"/>
      <c r="T84" s="116"/>
      <c r="U84" s="116"/>
      <c r="V84" s="116"/>
      <c r="W84" s="116"/>
      <c r="X84" s="278"/>
      <c r="Y84" s="142"/>
      <c r="Z84" s="142"/>
      <c r="AA84" s="142"/>
      <c r="AB84" s="142"/>
      <c r="AC84" s="142"/>
      <c r="AD84" s="142"/>
      <c r="AE84" s="142"/>
      <c r="AF84" s="130"/>
      <c r="AG84" s="142"/>
      <c r="AH84" s="142"/>
      <c r="AI84" s="142"/>
      <c r="AJ84" s="130"/>
      <c r="AK84" s="130"/>
      <c r="AL84" s="130"/>
      <c r="AM84" s="130"/>
    </row>
    <row r="85" ht="16.5" hidden="1" customHeight="1">
      <c r="A85" s="278"/>
      <c r="B85" s="278"/>
      <c r="C85" s="278"/>
      <c r="D85" s="278"/>
      <c r="E85" s="132"/>
      <c r="F85" s="116"/>
      <c r="G85" s="116"/>
      <c r="H85" s="116"/>
      <c r="I85" s="373"/>
      <c r="J85" s="147"/>
      <c r="K85" s="116"/>
      <c r="L85" s="116"/>
      <c r="M85" s="116"/>
      <c r="N85" s="116"/>
      <c r="O85" s="116"/>
      <c r="P85" s="116"/>
      <c r="Q85" s="116"/>
      <c r="R85" s="116"/>
      <c r="S85" s="116"/>
      <c r="T85" s="116"/>
      <c r="U85" s="116"/>
      <c r="V85" s="116"/>
      <c r="W85" s="116"/>
      <c r="X85" s="278"/>
      <c r="Y85" s="142"/>
      <c r="Z85" s="142"/>
      <c r="AA85" s="142"/>
      <c r="AB85" s="142"/>
      <c r="AC85" s="142"/>
      <c r="AD85" s="142"/>
      <c r="AE85" s="142"/>
      <c r="AF85" s="130"/>
      <c r="AG85" s="142"/>
      <c r="AH85" s="142"/>
      <c r="AI85" s="142"/>
      <c r="AJ85" s="130"/>
      <c r="AK85" s="130"/>
      <c r="AL85" s="130"/>
      <c r="AM85" s="130"/>
    </row>
    <row r="86" ht="16.5" hidden="1" customHeight="1">
      <c r="A86" s="278"/>
      <c r="B86" s="278"/>
      <c r="C86" s="278"/>
      <c r="D86" s="278"/>
      <c r="E86" s="132"/>
      <c r="F86" s="116"/>
      <c r="G86" s="116"/>
      <c r="H86" s="116"/>
      <c r="I86" s="373"/>
      <c r="J86" s="147"/>
      <c r="K86" s="116"/>
      <c r="L86" s="116"/>
      <c r="M86" s="116"/>
      <c r="N86" s="116"/>
      <c r="O86" s="116"/>
      <c r="P86" s="116"/>
      <c r="Q86" s="116"/>
      <c r="R86" s="116"/>
      <c r="S86" s="116"/>
      <c r="T86" s="116"/>
      <c r="U86" s="116"/>
      <c r="V86" s="116"/>
      <c r="W86" s="116"/>
      <c r="X86" s="278"/>
      <c r="Y86" s="142"/>
      <c r="Z86" s="142"/>
      <c r="AA86" s="142"/>
      <c r="AB86" s="142"/>
      <c r="AC86" s="142"/>
      <c r="AD86" s="142"/>
      <c r="AE86" s="142"/>
      <c r="AF86" s="130"/>
      <c r="AG86" s="142"/>
      <c r="AH86" s="142"/>
      <c r="AI86" s="142"/>
      <c r="AJ86" s="130"/>
      <c r="AK86" s="130"/>
      <c r="AL86" s="130"/>
      <c r="AM86" s="130"/>
    </row>
    <row r="87" ht="16.5" hidden="1" customHeight="1">
      <c r="A87" s="278"/>
      <c r="B87" s="278"/>
      <c r="C87" s="278"/>
      <c r="D87" s="278"/>
      <c r="E87" s="132"/>
      <c r="F87" s="116"/>
      <c r="G87" s="116"/>
      <c r="H87" s="116"/>
      <c r="I87" s="373"/>
      <c r="J87" s="147"/>
      <c r="K87" s="116"/>
      <c r="L87" s="116"/>
      <c r="M87" s="116"/>
      <c r="N87" s="116"/>
      <c r="O87" s="116"/>
      <c r="P87" s="116"/>
      <c r="Q87" s="116"/>
      <c r="R87" s="116"/>
      <c r="S87" s="116"/>
      <c r="T87" s="116"/>
      <c r="U87" s="116"/>
      <c r="V87" s="116"/>
      <c r="W87" s="116"/>
      <c r="X87" s="278"/>
      <c r="Y87" s="142"/>
      <c r="Z87" s="142"/>
      <c r="AA87" s="142"/>
      <c r="AB87" s="142"/>
      <c r="AC87" s="142"/>
      <c r="AD87" s="142"/>
      <c r="AE87" s="142"/>
      <c r="AF87" s="130"/>
      <c r="AG87" s="142"/>
      <c r="AH87" s="142"/>
      <c r="AI87" s="142"/>
      <c r="AJ87" s="130"/>
      <c r="AK87" s="130"/>
      <c r="AL87" s="130"/>
      <c r="AM87" s="130"/>
    </row>
    <row r="88" ht="16.5" hidden="1" customHeight="1">
      <c r="A88" s="278"/>
      <c r="B88" s="278"/>
      <c r="C88" s="278"/>
      <c r="D88" s="278"/>
      <c r="E88" s="132"/>
      <c r="F88" s="116"/>
      <c r="G88" s="116"/>
      <c r="H88" s="116"/>
      <c r="I88" s="373"/>
      <c r="J88" s="147"/>
      <c r="K88" s="116"/>
      <c r="L88" s="116"/>
      <c r="M88" s="116"/>
      <c r="N88" s="116"/>
      <c r="O88" s="116"/>
      <c r="P88" s="116"/>
      <c r="Q88" s="116"/>
      <c r="R88" s="116"/>
      <c r="S88" s="116"/>
      <c r="T88" s="116"/>
      <c r="U88" s="116"/>
      <c r="V88" s="116"/>
      <c r="W88" s="116"/>
      <c r="X88" s="278"/>
      <c r="Y88" s="142"/>
      <c r="Z88" s="142"/>
      <c r="AA88" s="142"/>
      <c r="AB88" s="142"/>
      <c r="AC88" s="142"/>
      <c r="AD88" s="142"/>
      <c r="AE88" s="142"/>
      <c r="AF88" s="130"/>
      <c r="AG88" s="142"/>
      <c r="AH88" s="142"/>
      <c r="AI88" s="142"/>
      <c r="AJ88" s="130"/>
      <c r="AK88" s="130"/>
      <c r="AL88" s="130"/>
      <c r="AM88" s="130"/>
    </row>
    <row r="89" ht="16.5" hidden="1" customHeight="1">
      <c r="A89" s="278"/>
      <c r="B89" s="278"/>
      <c r="C89" s="278"/>
      <c r="D89" s="278"/>
      <c r="E89" s="132"/>
      <c r="F89" s="116"/>
      <c r="G89" s="116"/>
      <c r="H89" s="116"/>
      <c r="I89" s="373"/>
      <c r="J89" s="147"/>
      <c r="K89" s="116"/>
      <c r="L89" s="116"/>
      <c r="M89" s="116"/>
      <c r="N89" s="116"/>
      <c r="O89" s="116"/>
      <c r="P89" s="116"/>
      <c r="Q89" s="116"/>
      <c r="R89" s="116"/>
      <c r="S89" s="116"/>
      <c r="T89" s="116"/>
      <c r="U89" s="116"/>
      <c r="V89" s="116"/>
      <c r="W89" s="116"/>
      <c r="X89" s="278"/>
      <c r="Y89" s="142"/>
      <c r="Z89" s="142"/>
      <c r="AA89" s="142"/>
      <c r="AB89" s="142"/>
      <c r="AC89" s="142"/>
      <c r="AD89" s="142"/>
      <c r="AE89" s="142"/>
      <c r="AF89" s="130"/>
      <c r="AG89" s="142"/>
      <c r="AH89" s="142"/>
      <c r="AI89" s="142"/>
      <c r="AJ89" s="130"/>
      <c r="AK89" s="130"/>
      <c r="AL89" s="130"/>
      <c r="AM89" s="130"/>
    </row>
    <row r="90" ht="16.5" hidden="1" customHeight="1">
      <c r="A90" s="278"/>
      <c r="B90" s="278"/>
      <c r="C90" s="278"/>
      <c r="D90" s="278"/>
      <c r="E90" s="132"/>
      <c r="F90" s="116"/>
      <c r="G90" s="116"/>
      <c r="H90" s="116"/>
      <c r="I90" s="373"/>
      <c r="J90" s="147"/>
      <c r="K90" s="116"/>
      <c r="L90" s="116"/>
      <c r="M90" s="116"/>
      <c r="N90" s="116"/>
      <c r="O90" s="116"/>
      <c r="P90" s="116"/>
      <c r="Q90" s="116"/>
      <c r="R90" s="116"/>
      <c r="S90" s="116"/>
      <c r="T90" s="116"/>
      <c r="U90" s="116"/>
      <c r="V90" s="116"/>
      <c r="W90" s="116"/>
      <c r="X90" s="278"/>
      <c r="Y90" s="142"/>
      <c r="Z90" s="142"/>
      <c r="AA90" s="142"/>
      <c r="AB90" s="142"/>
      <c r="AC90" s="142"/>
      <c r="AD90" s="142"/>
      <c r="AE90" s="142"/>
      <c r="AF90" s="130"/>
      <c r="AG90" s="142"/>
      <c r="AH90" s="142"/>
      <c r="AI90" s="142"/>
      <c r="AJ90" s="130"/>
      <c r="AK90" s="130"/>
      <c r="AL90" s="130"/>
      <c r="AM90" s="130"/>
    </row>
    <row r="91" ht="16.5" hidden="1" customHeight="1">
      <c r="A91" s="278"/>
      <c r="B91" s="278"/>
      <c r="C91" s="278"/>
      <c r="D91" s="278"/>
      <c r="E91" s="132"/>
      <c r="F91" s="116"/>
      <c r="G91" s="116"/>
      <c r="H91" s="116"/>
      <c r="I91" s="373"/>
      <c r="J91" s="147"/>
      <c r="K91" s="116"/>
      <c r="L91" s="116"/>
      <c r="M91" s="116"/>
      <c r="N91" s="116"/>
      <c r="O91" s="116"/>
      <c r="P91" s="116"/>
      <c r="Q91" s="116"/>
      <c r="R91" s="116"/>
      <c r="S91" s="116"/>
      <c r="T91" s="116"/>
      <c r="U91" s="116"/>
      <c r="V91" s="116"/>
      <c r="W91" s="116"/>
      <c r="X91" s="278"/>
      <c r="Y91" s="142"/>
      <c r="Z91" s="142"/>
      <c r="AA91" s="142"/>
      <c r="AB91" s="142"/>
      <c r="AC91" s="142"/>
      <c r="AD91" s="142"/>
      <c r="AE91" s="142"/>
      <c r="AF91" s="130"/>
      <c r="AG91" s="142"/>
      <c r="AH91" s="142"/>
      <c r="AI91" s="142"/>
      <c r="AJ91" s="130"/>
      <c r="AK91" s="130"/>
      <c r="AL91" s="130"/>
      <c r="AM91" s="130"/>
    </row>
    <row r="92" ht="16.5" hidden="1" customHeight="1">
      <c r="A92" s="278"/>
      <c r="B92" s="278"/>
      <c r="C92" s="278"/>
      <c r="D92" s="278"/>
      <c r="E92" s="132"/>
      <c r="F92" s="116"/>
      <c r="G92" s="116"/>
      <c r="H92" s="116"/>
      <c r="I92" s="373"/>
      <c r="J92" s="147"/>
      <c r="K92" s="116"/>
      <c r="L92" s="116"/>
      <c r="M92" s="116"/>
      <c r="N92" s="116"/>
      <c r="O92" s="116"/>
      <c r="P92" s="116"/>
      <c r="Q92" s="116"/>
      <c r="R92" s="116"/>
      <c r="S92" s="116"/>
      <c r="T92" s="116"/>
      <c r="U92" s="116"/>
      <c r="V92" s="116"/>
      <c r="W92" s="116"/>
      <c r="X92" s="278"/>
      <c r="Y92" s="142"/>
      <c r="Z92" s="142"/>
      <c r="AA92" s="142"/>
      <c r="AB92" s="142"/>
      <c r="AC92" s="142"/>
      <c r="AD92" s="142"/>
      <c r="AE92" s="142"/>
      <c r="AF92" s="130"/>
      <c r="AG92" s="142"/>
      <c r="AH92" s="142"/>
      <c r="AI92" s="142"/>
      <c r="AJ92" s="130"/>
      <c r="AK92" s="130"/>
      <c r="AL92" s="130"/>
      <c r="AM92" s="130"/>
    </row>
    <row r="93" ht="16.5" hidden="1" customHeight="1">
      <c r="A93" s="278"/>
      <c r="B93" s="278"/>
      <c r="C93" s="278"/>
      <c r="D93" s="278"/>
      <c r="E93" s="132"/>
      <c r="F93" s="116"/>
      <c r="G93" s="116"/>
      <c r="H93" s="116"/>
      <c r="I93" s="373"/>
      <c r="J93" s="147"/>
      <c r="K93" s="116"/>
      <c r="L93" s="116"/>
      <c r="M93" s="116"/>
      <c r="N93" s="116"/>
      <c r="O93" s="116"/>
      <c r="P93" s="116"/>
      <c r="Q93" s="116"/>
      <c r="R93" s="116"/>
      <c r="S93" s="116"/>
      <c r="T93" s="116"/>
      <c r="U93" s="116"/>
      <c r="V93" s="116"/>
      <c r="W93" s="116"/>
      <c r="X93" s="278"/>
      <c r="Y93" s="142"/>
      <c r="Z93" s="142"/>
      <c r="AA93" s="142"/>
      <c r="AB93" s="142"/>
      <c r="AC93" s="142"/>
      <c r="AD93" s="142"/>
      <c r="AE93" s="142"/>
      <c r="AF93" s="130"/>
      <c r="AG93" s="142"/>
      <c r="AH93" s="142"/>
      <c r="AI93" s="142"/>
      <c r="AJ93" s="130"/>
      <c r="AK93" s="130"/>
      <c r="AL93" s="130"/>
      <c r="AM93" s="130"/>
    </row>
    <row r="94" ht="16.5" hidden="1" customHeight="1">
      <c r="A94" s="278"/>
      <c r="B94" s="278"/>
      <c r="C94" s="278"/>
      <c r="D94" s="278"/>
      <c r="E94" s="132"/>
      <c r="F94" s="116"/>
      <c r="G94" s="116"/>
      <c r="H94" s="116"/>
      <c r="I94" s="373"/>
      <c r="J94" s="147"/>
      <c r="K94" s="116"/>
      <c r="L94" s="116"/>
      <c r="M94" s="116"/>
      <c r="N94" s="116"/>
      <c r="O94" s="116"/>
      <c r="P94" s="116"/>
      <c r="Q94" s="116"/>
      <c r="R94" s="116"/>
      <c r="S94" s="116"/>
      <c r="T94" s="116"/>
      <c r="U94" s="116"/>
      <c r="V94" s="116"/>
      <c r="W94" s="116"/>
      <c r="X94" s="278"/>
      <c r="Y94" s="142"/>
      <c r="Z94" s="142"/>
      <c r="AA94" s="142"/>
      <c r="AB94" s="142"/>
      <c r="AC94" s="142"/>
      <c r="AD94" s="142"/>
      <c r="AE94" s="142"/>
      <c r="AF94" s="130"/>
      <c r="AG94" s="142"/>
      <c r="AH94" s="142"/>
      <c r="AI94" s="142"/>
      <c r="AJ94" s="130"/>
      <c r="AK94" s="130"/>
      <c r="AL94" s="130"/>
      <c r="AM94" s="130"/>
    </row>
    <row r="95" ht="16.5" hidden="1" customHeight="1">
      <c r="A95" s="278"/>
      <c r="B95" s="278"/>
      <c r="C95" s="278"/>
      <c r="D95" s="278"/>
      <c r="E95" s="132"/>
      <c r="F95" s="116"/>
      <c r="G95" s="116"/>
      <c r="H95" s="116"/>
      <c r="I95" s="373"/>
      <c r="J95" s="147"/>
      <c r="K95" s="116"/>
      <c r="L95" s="116"/>
      <c r="M95" s="116"/>
      <c r="N95" s="116"/>
      <c r="O95" s="116"/>
      <c r="P95" s="116"/>
      <c r="Q95" s="116"/>
      <c r="R95" s="116"/>
      <c r="S95" s="116"/>
      <c r="T95" s="116"/>
      <c r="U95" s="116"/>
      <c r="V95" s="116"/>
      <c r="W95" s="116"/>
      <c r="X95" s="278"/>
      <c r="Y95" s="142"/>
      <c r="Z95" s="142"/>
      <c r="AA95" s="142"/>
      <c r="AB95" s="142"/>
      <c r="AC95" s="142"/>
      <c r="AD95" s="142"/>
      <c r="AE95" s="142"/>
      <c r="AF95" s="130"/>
      <c r="AG95" s="142"/>
      <c r="AH95" s="142"/>
      <c r="AI95" s="142"/>
      <c r="AJ95" s="130"/>
      <c r="AK95" s="130"/>
      <c r="AL95" s="130"/>
      <c r="AM95" s="130"/>
    </row>
    <row r="96" ht="16.5" hidden="1" customHeight="1">
      <c r="A96" s="278"/>
      <c r="B96" s="278"/>
      <c r="C96" s="278"/>
      <c r="D96" s="278"/>
      <c r="E96" s="132"/>
      <c r="F96" s="116"/>
      <c r="G96" s="116"/>
      <c r="H96" s="116"/>
      <c r="I96" s="373"/>
      <c r="J96" s="147"/>
      <c r="K96" s="116"/>
      <c r="L96" s="116"/>
      <c r="M96" s="116"/>
      <c r="N96" s="116"/>
      <c r="O96" s="116"/>
      <c r="P96" s="116"/>
      <c r="Q96" s="116"/>
      <c r="R96" s="116"/>
      <c r="S96" s="116"/>
      <c r="T96" s="116"/>
      <c r="U96" s="116"/>
      <c r="V96" s="116"/>
      <c r="W96" s="116"/>
      <c r="X96" s="278"/>
      <c r="Y96" s="142"/>
      <c r="Z96" s="142"/>
      <c r="AA96" s="142"/>
      <c r="AB96" s="142"/>
      <c r="AC96" s="142"/>
      <c r="AD96" s="142"/>
      <c r="AE96" s="142"/>
      <c r="AF96" s="130"/>
      <c r="AG96" s="142"/>
      <c r="AH96" s="142"/>
      <c r="AI96" s="142"/>
      <c r="AJ96" s="130"/>
      <c r="AK96" s="130"/>
      <c r="AL96" s="130"/>
      <c r="AM96" s="130"/>
    </row>
    <row r="97" ht="16.5" hidden="1" customHeight="1">
      <c r="A97" s="278"/>
      <c r="B97" s="278"/>
      <c r="C97" s="278"/>
      <c r="D97" s="278"/>
      <c r="E97" s="132"/>
      <c r="F97" s="116"/>
      <c r="G97" s="116"/>
      <c r="H97" s="116"/>
      <c r="I97" s="373"/>
      <c r="J97" s="147"/>
      <c r="K97" s="116"/>
      <c r="L97" s="116"/>
      <c r="M97" s="116"/>
      <c r="N97" s="116"/>
      <c r="O97" s="116"/>
      <c r="P97" s="116"/>
      <c r="Q97" s="116"/>
      <c r="R97" s="116"/>
      <c r="S97" s="116"/>
      <c r="T97" s="116"/>
      <c r="U97" s="116"/>
      <c r="V97" s="116"/>
      <c r="W97" s="116"/>
      <c r="X97" s="278"/>
      <c r="Y97" s="142"/>
      <c r="Z97" s="142"/>
      <c r="AA97" s="142"/>
      <c r="AB97" s="142"/>
      <c r="AC97" s="142"/>
      <c r="AD97" s="142"/>
      <c r="AE97" s="142"/>
      <c r="AF97" s="130"/>
      <c r="AG97" s="142"/>
      <c r="AH97" s="142"/>
      <c r="AI97" s="142"/>
      <c r="AJ97" s="130"/>
      <c r="AK97" s="130"/>
      <c r="AL97" s="130"/>
      <c r="AM97" s="130"/>
    </row>
    <row r="98" ht="16.5" hidden="1" customHeight="1">
      <c r="A98" s="278"/>
      <c r="B98" s="278"/>
      <c r="C98" s="278"/>
      <c r="D98" s="278"/>
      <c r="E98" s="132"/>
      <c r="F98" s="116"/>
      <c r="G98" s="116"/>
      <c r="H98" s="116"/>
      <c r="I98" s="373"/>
      <c r="J98" s="147"/>
      <c r="K98" s="116"/>
      <c r="L98" s="116"/>
      <c r="M98" s="116"/>
      <c r="N98" s="116"/>
      <c r="O98" s="116"/>
      <c r="P98" s="116"/>
      <c r="Q98" s="116"/>
      <c r="R98" s="116"/>
      <c r="S98" s="116"/>
      <c r="T98" s="116"/>
      <c r="U98" s="116"/>
      <c r="V98" s="116"/>
      <c r="W98" s="116"/>
      <c r="X98" s="278"/>
      <c r="Y98" s="142"/>
      <c r="Z98" s="142"/>
      <c r="AA98" s="142"/>
      <c r="AB98" s="142"/>
      <c r="AC98" s="142"/>
      <c r="AD98" s="142"/>
      <c r="AE98" s="142"/>
      <c r="AF98" s="130"/>
      <c r="AG98" s="142"/>
      <c r="AH98" s="142"/>
      <c r="AI98" s="142"/>
      <c r="AJ98" s="130"/>
      <c r="AK98" s="130"/>
      <c r="AL98" s="130"/>
      <c r="AM98" s="130"/>
    </row>
    <row r="99" ht="16.5" hidden="1" customHeight="1">
      <c r="A99" s="278"/>
      <c r="B99" s="278"/>
      <c r="C99" s="278"/>
      <c r="D99" s="278"/>
      <c r="E99" s="132"/>
      <c r="F99" s="116"/>
      <c r="G99" s="116"/>
      <c r="H99" s="116"/>
      <c r="I99" s="373"/>
      <c r="J99" s="147"/>
      <c r="K99" s="116"/>
      <c r="L99" s="116"/>
      <c r="M99" s="116"/>
      <c r="N99" s="116"/>
      <c r="O99" s="116"/>
      <c r="P99" s="116"/>
      <c r="Q99" s="116"/>
      <c r="R99" s="116"/>
      <c r="S99" s="116"/>
      <c r="T99" s="116"/>
      <c r="U99" s="116"/>
      <c r="V99" s="116"/>
      <c r="W99" s="116"/>
      <c r="X99" s="278"/>
      <c r="Y99" s="142"/>
      <c r="Z99" s="142"/>
      <c r="AA99" s="142"/>
      <c r="AB99" s="142"/>
      <c r="AC99" s="142"/>
      <c r="AD99" s="142"/>
      <c r="AE99" s="142"/>
      <c r="AF99" s="130"/>
      <c r="AG99" s="142"/>
      <c r="AH99" s="142"/>
      <c r="AI99" s="142"/>
      <c r="AJ99" s="130"/>
      <c r="AK99" s="130"/>
      <c r="AL99" s="130"/>
      <c r="AM99" s="130"/>
    </row>
    <row r="100" ht="16.5" hidden="1" customHeight="1">
      <c r="A100" s="278"/>
      <c r="B100" s="278"/>
      <c r="C100" s="278"/>
      <c r="D100" s="278"/>
      <c r="E100" s="132"/>
      <c r="F100" s="116"/>
      <c r="G100" s="116"/>
      <c r="H100" s="116"/>
      <c r="I100" s="373"/>
      <c r="J100" s="147"/>
      <c r="K100" s="116"/>
      <c r="L100" s="116"/>
      <c r="M100" s="116"/>
      <c r="N100" s="116"/>
      <c r="O100" s="116"/>
      <c r="P100" s="116"/>
      <c r="Q100" s="116"/>
      <c r="R100" s="116"/>
      <c r="S100" s="116"/>
      <c r="T100" s="116"/>
      <c r="U100" s="116"/>
      <c r="V100" s="116"/>
      <c r="W100" s="116"/>
      <c r="X100" s="278"/>
      <c r="Y100" s="142"/>
      <c r="Z100" s="142"/>
      <c r="AA100" s="142"/>
      <c r="AB100" s="142"/>
      <c r="AC100" s="142"/>
      <c r="AD100" s="142"/>
      <c r="AE100" s="142"/>
      <c r="AF100" s="130"/>
      <c r="AG100" s="142"/>
      <c r="AH100" s="142"/>
      <c r="AI100" s="142"/>
      <c r="AJ100" s="130"/>
      <c r="AK100" s="130"/>
      <c r="AL100" s="130"/>
      <c r="AM100" s="130"/>
    </row>
    <row r="101" ht="16.5" hidden="1" customHeight="1">
      <c r="A101" s="278"/>
      <c r="B101" s="278"/>
      <c r="C101" s="278"/>
      <c r="D101" s="278"/>
      <c r="E101" s="132"/>
      <c r="F101" s="116"/>
      <c r="G101" s="116"/>
      <c r="H101" s="116"/>
      <c r="I101" s="373"/>
      <c r="J101" s="147"/>
      <c r="K101" s="116"/>
      <c r="L101" s="116"/>
      <c r="M101" s="116"/>
      <c r="N101" s="116"/>
      <c r="O101" s="116"/>
      <c r="P101" s="116"/>
      <c r="Q101" s="116"/>
      <c r="R101" s="116"/>
      <c r="S101" s="116"/>
      <c r="T101" s="116"/>
      <c r="U101" s="116"/>
      <c r="V101" s="116"/>
      <c r="W101" s="116"/>
      <c r="X101" s="278"/>
      <c r="Y101" s="142"/>
      <c r="Z101" s="142"/>
      <c r="AA101" s="142"/>
      <c r="AB101" s="142"/>
      <c r="AC101" s="142"/>
      <c r="AD101" s="142"/>
      <c r="AE101" s="142"/>
      <c r="AF101" s="130"/>
      <c r="AG101" s="142"/>
      <c r="AH101" s="142"/>
      <c r="AI101" s="142"/>
      <c r="AJ101" s="130"/>
      <c r="AK101" s="130"/>
      <c r="AL101" s="130"/>
      <c r="AM101" s="130"/>
    </row>
    <row r="102" ht="16.5" hidden="1" customHeight="1">
      <c r="A102" s="278"/>
      <c r="B102" s="278"/>
      <c r="C102" s="278"/>
      <c r="D102" s="278"/>
      <c r="E102" s="132"/>
      <c r="F102" s="116"/>
      <c r="G102" s="116"/>
      <c r="H102" s="116"/>
      <c r="I102" s="373"/>
      <c r="J102" s="147"/>
      <c r="K102" s="116"/>
      <c r="L102" s="116"/>
      <c r="M102" s="116"/>
      <c r="N102" s="116"/>
      <c r="O102" s="116"/>
      <c r="P102" s="116"/>
      <c r="Q102" s="116"/>
      <c r="R102" s="116"/>
      <c r="S102" s="116"/>
      <c r="T102" s="116"/>
      <c r="U102" s="116"/>
      <c r="V102" s="116"/>
      <c r="W102" s="116"/>
      <c r="X102" s="278"/>
      <c r="Y102" s="142"/>
      <c r="Z102" s="142"/>
      <c r="AA102" s="142"/>
      <c r="AB102" s="142"/>
      <c r="AC102" s="142"/>
      <c r="AD102" s="142"/>
      <c r="AE102" s="142"/>
      <c r="AF102" s="130"/>
      <c r="AG102" s="142"/>
      <c r="AH102" s="142"/>
      <c r="AI102" s="142"/>
      <c r="AJ102" s="130"/>
      <c r="AK102" s="130"/>
      <c r="AL102" s="130"/>
      <c r="AM102" s="130"/>
    </row>
    <row r="103" ht="16.5" hidden="1" customHeight="1">
      <c r="A103" s="278"/>
      <c r="B103" s="278"/>
      <c r="C103" s="278"/>
      <c r="D103" s="278"/>
      <c r="E103" s="132"/>
      <c r="F103" s="116"/>
      <c r="G103" s="116"/>
      <c r="H103" s="116"/>
      <c r="I103" s="373"/>
      <c r="J103" s="147"/>
      <c r="K103" s="116"/>
      <c r="L103" s="116"/>
      <c r="M103" s="116"/>
      <c r="N103" s="116"/>
      <c r="O103" s="116"/>
      <c r="P103" s="116"/>
      <c r="Q103" s="116"/>
      <c r="R103" s="116"/>
      <c r="S103" s="116"/>
      <c r="T103" s="116"/>
      <c r="U103" s="116"/>
      <c r="V103" s="116"/>
      <c r="W103" s="116"/>
      <c r="X103" s="278"/>
      <c r="Y103" s="142"/>
      <c r="Z103" s="142"/>
      <c r="AA103" s="142"/>
      <c r="AB103" s="142"/>
      <c r="AC103" s="142"/>
      <c r="AD103" s="142"/>
      <c r="AE103" s="142"/>
      <c r="AF103" s="130"/>
      <c r="AG103" s="142"/>
      <c r="AH103" s="142"/>
      <c r="AI103" s="142"/>
      <c r="AJ103" s="130"/>
      <c r="AK103" s="130"/>
      <c r="AL103" s="130"/>
      <c r="AM103" s="130"/>
    </row>
    <row r="104" ht="16.5" hidden="1" customHeight="1">
      <c r="A104" s="278"/>
      <c r="B104" s="278"/>
      <c r="C104" s="278"/>
      <c r="D104" s="278"/>
      <c r="E104" s="132"/>
      <c r="F104" s="116"/>
      <c r="G104" s="116"/>
      <c r="H104" s="116"/>
      <c r="I104" s="373"/>
      <c r="J104" s="147"/>
      <c r="K104" s="116"/>
      <c r="L104" s="116"/>
      <c r="M104" s="116"/>
      <c r="N104" s="116"/>
      <c r="O104" s="116"/>
      <c r="P104" s="116"/>
      <c r="Q104" s="116"/>
      <c r="R104" s="116"/>
      <c r="S104" s="116"/>
      <c r="T104" s="116"/>
      <c r="U104" s="116"/>
      <c r="V104" s="116"/>
      <c r="W104" s="116"/>
      <c r="X104" s="278"/>
      <c r="Y104" s="142"/>
      <c r="Z104" s="142"/>
      <c r="AA104" s="142"/>
      <c r="AB104" s="142"/>
      <c r="AC104" s="142"/>
      <c r="AD104" s="142"/>
      <c r="AE104" s="142"/>
      <c r="AF104" s="130"/>
      <c r="AG104" s="142"/>
      <c r="AH104" s="142"/>
      <c r="AI104" s="142"/>
      <c r="AJ104" s="130"/>
      <c r="AK104" s="130"/>
      <c r="AL104" s="130"/>
      <c r="AM104" s="130"/>
    </row>
    <row r="105" ht="16.5" hidden="1" customHeight="1">
      <c r="A105" s="278"/>
      <c r="B105" s="278"/>
      <c r="C105" s="278"/>
      <c r="D105" s="278"/>
      <c r="E105" s="132"/>
      <c r="F105" s="116"/>
      <c r="G105" s="116"/>
      <c r="H105" s="116"/>
      <c r="I105" s="373"/>
      <c r="J105" s="147"/>
      <c r="K105" s="116"/>
      <c r="L105" s="116"/>
      <c r="M105" s="116"/>
      <c r="N105" s="116"/>
      <c r="O105" s="116"/>
      <c r="P105" s="116"/>
      <c r="Q105" s="116"/>
      <c r="R105" s="116"/>
      <c r="S105" s="116"/>
      <c r="T105" s="116"/>
      <c r="U105" s="116"/>
      <c r="V105" s="116"/>
      <c r="W105" s="116"/>
      <c r="X105" s="278"/>
      <c r="Y105" s="142"/>
      <c r="Z105" s="142"/>
      <c r="AA105" s="142"/>
      <c r="AB105" s="142"/>
      <c r="AC105" s="142"/>
      <c r="AD105" s="142"/>
      <c r="AE105" s="142"/>
      <c r="AF105" s="130"/>
      <c r="AG105" s="142"/>
      <c r="AH105" s="142"/>
      <c r="AI105" s="142"/>
      <c r="AJ105" s="130"/>
      <c r="AK105" s="130"/>
      <c r="AL105" s="130"/>
      <c r="AM105" s="130"/>
    </row>
    <row r="106" ht="16.5" hidden="1" customHeight="1">
      <c r="A106" s="278"/>
      <c r="B106" s="278"/>
      <c r="C106" s="278"/>
      <c r="D106" s="278"/>
      <c r="E106" s="132"/>
      <c r="F106" s="116"/>
      <c r="G106" s="116"/>
      <c r="H106" s="116"/>
      <c r="I106" s="373"/>
      <c r="J106" s="147"/>
      <c r="K106" s="116"/>
      <c r="L106" s="116"/>
      <c r="M106" s="116"/>
      <c r="N106" s="116"/>
      <c r="O106" s="116"/>
      <c r="P106" s="116"/>
      <c r="Q106" s="116"/>
      <c r="R106" s="116"/>
      <c r="S106" s="116"/>
      <c r="T106" s="116"/>
      <c r="U106" s="116"/>
      <c r="V106" s="116"/>
      <c r="W106" s="116"/>
      <c r="X106" s="278"/>
      <c r="Y106" s="142"/>
      <c r="Z106" s="142"/>
      <c r="AA106" s="142"/>
      <c r="AB106" s="142"/>
      <c r="AC106" s="142"/>
      <c r="AD106" s="142"/>
      <c r="AE106" s="142"/>
      <c r="AF106" s="130"/>
      <c r="AG106" s="142"/>
      <c r="AH106" s="142"/>
      <c r="AI106" s="142"/>
      <c r="AJ106" s="130"/>
      <c r="AK106" s="130"/>
      <c r="AL106" s="130"/>
      <c r="AM106" s="130"/>
    </row>
    <row r="107" ht="16.5" hidden="1" customHeight="1">
      <c r="A107" s="278"/>
      <c r="B107" s="278"/>
      <c r="C107" s="278"/>
      <c r="D107" s="278"/>
      <c r="E107" s="132"/>
      <c r="F107" s="116"/>
      <c r="G107" s="116"/>
      <c r="H107" s="116"/>
      <c r="I107" s="373"/>
      <c r="J107" s="147"/>
      <c r="K107" s="116"/>
      <c r="L107" s="116"/>
      <c r="M107" s="116"/>
      <c r="N107" s="116"/>
      <c r="O107" s="116"/>
      <c r="P107" s="116"/>
      <c r="Q107" s="116"/>
      <c r="R107" s="116"/>
      <c r="S107" s="116"/>
      <c r="T107" s="116"/>
      <c r="U107" s="116"/>
      <c r="V107" s="116"/>
      <c r="W107" s="116"/>
      <c r="X107" s="278"/>
      <c r="Y107" s="142"/>
      <c r="Z107" s="142"/>
      <c r="AA107" s="142"/>
      <c r="AB107" s="142"/>
      <c r="AC107" s="142"/>
      <c r="AD107" s="142"/>
      <c r="AE107" s="142"/>
      <c r="AF107" s="130"/>
      <c r="AG107" s="142"/>
      <c r="AH107" s="142"/>
      <c r="AI107" s="142"/>
      <c r="AJ107" s="130"/>
      <c r="AK107" s="130"/>
      <c r="AL107" s="130"/>
      <c r="AM107" s="130"/>
    </row>
    <row r="108" ht="16.5" hidden="1" customHeight="1">
      <c r="A108" s="278"/>
      <c r="B108" s="278"/>
      <c r="C108" s="278"/>
      <c r="D108" s="278"/>
      <c r="E108" s="132"/>
      <c r="F108" s="116"/>
      <c r="G108" s="116"/>
      <c r="H108" s="116"/>
      <c r="I108" s="373"/>
      <c r="J108" s="147"/>
      <c r="K108" s="116"/>
      <c r="L108" s="116"/>
      <c r="M108" s="116"/>
      <c r="N108" s="116"/>
      <c r="O108" s="116"/>
      <c r="P108" s="116"/>
      <c r="Q108" s="116"/>
      <c r="R108" s="116"/>
      <c r="S108" s="116"/>
      <c r="T108" s="116"/>
      <c r="U108" s="116"/>
      <c r="V108" s="116"/>
      <c r="W108" s="116"/>
      <c r="X108" s="278"/>
      <c r="Y108" s="142"/>
      <c r="Z108" s="142"/>
      <c r="AA108" s="142"/>
      <c r="AB108" s="142"/>
      <c r="AC108" s="142"/>
      <c r="AD108" s="142"/>
      <c r="AE108" s="142"/>
      <c r="AF108" s="130"/>
      <c r="AG108" s="142"/>
      <c r="AH108" s="142"/>
      <c r="AI108" s="142"/>
      <c r="AJ108" s="130"/>
      <c r="AK108" s="130"/>
      <c r="AL108" s="130"/>
      <c r="AM108" s="130"/>
    </row>
    <row r="109" ht="16.5" hidden="1" customHeight="1">
      <c r="A109" s="278"/>
      <c r="B109" s="278"/>
      <c r="C109" s="278"/>
      <c r="D109" s="278"/>
      <c r="E109" s="132"/>
      <c r="F109" s="116"/>
      <c r="G109" s="116"/>
      <c r="H109" s="116"/>
      <c r="I109" s="373"/>
      <c r="J109" s="147"/>
      <c r="K109" s="116"/>
      <c r="L109" s="116"/>
      <c r="M109" s="116"/>
      <c r="N109" s="116"/>
      <c r="O109" s="116"/>
      <c r="P109" s="116"/>
      <c r="Q109" s="116"/>
      <c r="R109" s="116"/>
      <c r="S109" s="116"/>
      <c r="T109" s="116"/>
      <c r="U109" s="116"/>
      <c r="V109" s="116"/>
      <c r="W109" s="116"/>
      <c r="X109" s="278"/>
      <c r="Y109" s="142"/>
      <c r="Z109" s="142"/>
      <c r="AA109" s="142"/>
      <c r="AB109" s="142"/>
      <c r="AC109" s="142"/>
      <c r="AD109" s="142"/>
      <c r="AE109" s="142"/>
      <c r="AF109" s="130"/>
      <c r="AG109" s="142"/>
      <c r="AH109" s="142"/>
      <c r="AI109" s="142"/>
      <c r="AJ109" s="130"/>
      <c r="AK109" s="130"/>
      <c r="AL109" s="130"/>
      <c r="AM109" s="130"/>
    </row>
    <row r="110" ht="16.5" hidden="1" customHeight="1">
      <c r="A110" s="278"/>
      <c r="B110" s="278"/>
      <c r="C110" s="278"/>
      <c r="D110" s="278"/>
      <c r="E110" s="132"/>
      <c r="F110" s="116"/>
      <c r="G110" s="116"/>
      <c r="H110" s="116"/>
      <c r="I110" s="373"/>
      <c r="J110" s="147"/>
      <c r="K110" s="116"/>
      <c r="L110" s="116"/>
      <c r="M110" s="116"/>
      <c r="N110" s="116"/>
      <c r="O110" s="116"/>
      <c r="P110" s="116"/>
      <c r="Q110" s="116"/>
      <c r="R110" s="116"/>
      <c r="S110" s="116"/>
      <c r="T110" s="116"/>
      <c r="U110" s="116"/>
      <c r="V110" s="116"/>
      <c r="W110" s="116"/>
      <c r="X110" s="278"/>
      <c r="Y110" s="142"/>
      <c r="Z110" s="142"/>
      <c r="AA110" s="142"/>
      <c r="AB110" s="142"/>
      <c r="AC110" s="142"/>
      <c r="AD110" s="142"/>
      <c r="AE110" s="142"/>
      <c r="AF110" s="130"/>
      <c r="AG110" s="142"/>
      <c r="AH110" s="142"/>
      <c r="AI110" s="142"/>
      <c r="AJ110" s="130"/>
      <c r="AK110" s="130"/>
      <c r="AL110" s="130"/>
      <c r="AM110" s="130"/>
    </row>
    <row r="111" ht="16.5" hidden="1" customHeight="1">
      <c r="A111" s="278"/>
      <c r="B111" s="278"/>
      <c r="C111" s="278"/>
      <c r="D111" s="278"/>
      <c r="E111" s="132"/>
      <c r="F111" s="116"/>
      <c r="G111" s="116"/>
      <c r="H111" s="116"/>
      <c r="I111" s="373"/>
      <c r="J111" s="147"/>
      <c r="K111" s="116"/>
      <c r="L111" s="116"/>
      <c r="M111" s="116"/>
      <c r="N111" s="116"/>
      <c r="O111" s="116"/>
      <c r="P111" s="116"/>
      <c r="Q111" s="116"/>
      <c r="R111" s="116"/>
      <c r="S111" s="116"/>
      <c r="T111" s="116"/>
      <c r="U111" s="116"/>
      <c r="V111" s="116"/>
      <c r="W111" s="116"/>
      <c r="X111" s="278"/>
      <c r="Y111" s="142"/>
      <c r="Z111" s="142"/>
      <c r="AA111" s="142"/>
      <c r="AB111" s="142"/>
      <c r="AC111" s="142"/>
      <c r="AD111" s="142"/>
      <c r="AE111" s="142"/>
      <c r="AF111" s="130"/>
      <c r="AG111" s="142"/>
      <c r="AH111" s="142"/>
      <c r="AI111" s="142"/>
      <c r="AJ111" s="130"/>
      <c r="AK111" s="130"/>
      <c r="AL111" s="130"/>
      <c r="AM111" s="130"/>
    </row>
    <row r="112" ht="15.75" hidden="1" customHeight="1">
      <c r="A112" s="278"/>
      <c r="B112" s="278"/>
      <c r="C112" s="278"/>
      <c r="D112" s="278"/>
      <c r="E112" s="132"/>
      <c r="F112" s="116"/>
      <c r="G112" s="116"/>
      <c r="H112" s="116"/>
      <c r="I112" s="373"/>
      <c r="J112" s="147"/>
      <c r="K112" s="116"/>
      <c r="L112" s="116"/>
      <c r="M112" s="116"/>
      <c r="N112" s="116"/>
      <c r="O112" s="116"/>
      <c r="P112" s="116"/>
      <c r="Q112" s="116"/>
      <c r="R112" s="116"/>
      <c r="S112" s="116"/>
      <c r="T112" s="116"/>
      <c r="U112" s="116"/>
      <c r="V112" s="116"/>
      <c r="W112" s="116"/>
      <c r="X112" s="278"/>
      <c r="Y112" s="142"/>
      <c r="Z112" s="142"/>
      <c r="AA112" s="142"/>
      <c r="AB112" s="142"/>
      <c r="AC112" s="142"/>
      <c r="AD112" s="142"/>
      <c r="AE112" s="142"/>
      <c r="AF112" s="130"/>
      <c r="AG112" s="142"/>
      <c r="AH112" s="142"/>
      <c r="AI112" s="142"/>
      <c r="AJ112" s="130"/>
      <c r="AK112" s="130"/>
      <c r="AL112" s="130"/>
      <c r="AM112" s="130"/>
    </row>
    <row r="113" ht="15.75" hidden="1" customHeight="1">
      <c r="A113" s="278"/>
      <c r="B113" s="278"/>
      <c r="C113" s="278"/>
      <c r="D113" s="278"/>
      <c r="E113" s="132"/>
      <c r="F113" s="116"/>
      <c r="G113" s="116"/>
      <c r="H113" s="116"/>
      <c r="I113" s="373"/>
      <c r="J113" s="147"/>
      <c r="K113" s="116"/>
      <c r="L113" s="116"/>
      <c r="M113" s="116"/>
      <c r="N113" s="116"/>
      <c r="O113" s="116"/>
      <c r="P113" s="116"/>
      <c r="Q113" s="116"/>
      <c r="R113" s="116"/>
      <c r="S113" s="116"/>
      <c r="T113" s="116"/>
      <c r="U113" s="116"/>
      <c r="V113" s="116"/>
      <c r="W113" s="116"/>
      <c r="X113" s="278"/>
      <c r="Y113" s="142"/>
      <c r="Z113" s="142"/>
      <c r="AA113" s="142"/>
      <c r="AB113" s="142"/>
      <c r="AC113" s="142"/>
      <c r="AD113" s="142"/>
      <c r="AE113" s="142"/>
      <c r="AF113" s="130"/>
      <c r="AG113" s="142"/>
      <c r="AH113" s="142"/>
      <c r="AI113" s="142"/>
      <c r="AJ113" s="130"/>
      <c r="AK113" s="130"/>
      <c r="AL113" s="130"/>
      <c r="AM113" s="130"/>
    </row>
    <row r="114" ht="16.5" hidden="1" customHeight="1">
      <c r="A114" s="278"/>
      <c r="B114" s="278"/>
      <c r="C114" s="278"/>
      <c r="D114" s="278"/>
      <c r="E114" s="132"/>
      <c r="F114" s="116"/>
      <c r="G114" s="116"/>
      <c r="H114" s="116"/>
      <c r="I114" s="373"/>
      <c r="J114" s="147"/>
      <c r="K114" s="116"/>
      <c r="L114" s="116"/>
      <c r="M114" s="116"/>
      <c r="N114" s="116"/>
      <c r="O114" s="116"/>
      <c r="P114" s="116"/>
      <c r="Q114" s="116"/>
      <c r="R114" s="116"/>
      <c r="S114" s="116"/>
      <c r="T114" s="116"/>
      <c r="U114" s="116"/>
      <c r="V114" s="116"/>
      <c r="W114" s="116"/>
      <c r="X114" s="278"/>
      <c r="Y114" s="142"/>
      <c r="Z114" s="142"/>
      <c r="AA114" s="142"/>
      <c r="AB114" s="142"/>
      <c r="AC114" s="142"/>
      <c r="AD114" s="142"/>
      <c r="AE114" s="142"/>
      <c r="AF114" s="130"/>
      <c r="AG114" s="142"/>
      <c r="AH114" s="142"/>
      <c r="AI114" s="142"/>
      <c r="AJ114" s="130"/>
      <c r="AK114" s="130"/>
      <c r="AL114" s="130"/>
      <c r="AM114" s="130"/>
    </row>
    <row r="115" ht="16.5" hidden="1" customHeight="1">
      <c r="A115" s="278"/>
      <c r="B115" s="278"/>
      <c r="C115" s="278"/>
      <c r="D115" s="278"/>
      <c r="E115" s="132"/>
      <c r="F115" s="116"/>
      <c r="G115" s="116"/>
      <c r="H115" s="116"/>
      <c r="I115" s="373"/>
      <c r="J115" s="147"/>
      <c r="K115" s="116"/>
      <c r="L115" s="116"/>
      <c r="M115" s="116"/>
      <c r="N115" s="116"/>
      <c r="O115" s="116"/>
      <c r="P115" s="116"/>
      <c r="Q115" s="116"/>
      <c r="R115" s="116"/>
      <c r="S115" s="116"/>
      <c r="T115" s="116"/>
      <c r="U115" s="116"/>
      <c r="V115" s="116"/>
      <c r="W115" s="116"/>
      <c r="X115" s="278"/>
      <c r="Y115" s="142"/>
      <c r="Z115" s="142"/>
      <c r="AA115" s="142"/>
      <c r="AB115" s="142"/>
      <c r="AC115" s="142"/>
      <c r="AD115" s="142"/>
      <c r="AE115" s="142"/>
      <c r="AF115" s="130"/>
      <c r="AG115" s="142"/>
      <c r="AH115" s="142"/>
      <c r="AI115" s="142"/>
      <c r="AJ115" s="130"/>
      <c r="AK115" s="130"/>
      <c r="AL115" s="130"/>
      <c r="AM115" s="130"/>
    </row>
    <row r="116" ht="16.5" hidden="1" customHeight="1">
      <c r="A116" s="278"/>
      <c r="B116" s="278"/>
      <c r="C116" s="278"/>
      <c r="D116" s="278"/>
      <c r="E116" s="132"/>
      <c r="F116" s="116"/>
      <c r="G116" s="116"/>
      <c r="H116" s="116"/>
      <c r="I116" s="373"/>
      <c r="J116" s="147"/>
      <c r="K116" s="116"/>
      <c r="L116" s="116"/>
      <c r="M116" s="116"/>
      <c r="N116" s="116"/>
      <c r="O116" s="116"/>
      <c r="P116" s="116"/>
      <c r="Q116" s="116"/>
      <c r="R116" s="116"/>
      <c r="S116" s="116"/>
      <c r="T116" s="116"/>
      <c r="U116" s="116"/>
      <c r="V116" s="116"/>
      <c r="W116" s="116"/>
      <c r="X116" s="278"/>
      <c r="Y116" s="142"/>
      <c r="Z116" s="142"/>
      <c r="AA116" s="142"/>
      <c r="AB116" s="142"/>
      <c r="AC116" s="142"/>
      <c r="AD116" s="142"/>
      <c r="AE116" s="142"/>
      <c r="AF116" s="130"/>
      <c r="AG116" s="142"/>
      <c r="AH116" s="142"/>
      <c r="AI116" s="142"/>
      <c r="AJ116" s="130"/>
      <c r="AK116" s="130"/>
      <c r="AL116" s="130"/>
      <c r="AM116" s="130"/>
    </row>
    <row r="117" ht="16.5" hidden="1" customHeight="1">
      <c r="A117" s="278"/>
      <c r="B117" s="278"/>
      <c r="C117" s="278"/>
      <c r="D117" s="278"/>
      <c r="E117" s="132"/>
      <c r="F117" s="116"/>
      <c r="G117" s="116"/>
      <c r="H117" s="116"/>
      <c r="I117" s="373"/>
      <c r="J117" s="147"/>
      <c r="K117" s="116"/>
      <c r="L117" s="116"/>
      <c r="M117" s="116"/>
      <c r="N117" s="116"/>
      <c r="O117" s="116"/>
      <c r="P117" s="116"/>
      <c r="Q117" s="116"/>
      <c r="R117" s="116"/>
      <c r="S117" s="116"/>
      <c r="T117" s="116"/>
      <c r="U117" s="116"/>
      <c r="V117" s="116"/>
      <c r="W117" s="116"/>
      <c r="X117" s="278"/>
      <c r="Y117" s="142"/>
      <c r="Z117" s="142"/>
      <c r="AA117" s="142"/>
      <c r="AB117" s="142"/>
      <c r="AC117" s="142"/>
      <c r="AD117" s="142"/>
      <c r="AE117" s="142"/>
      <c r="AF117" s="130"/>
      <c r="AG117" s="142"/>
      <c r="AH117" s="142"/>
      <c r="AI117" s="142"/>
      <c r="AJ117" s="130"/>
      <c r="AK117" s="130"/>
      <c r="AL117" s="130"/>
      <c r="AM117" s="130"/>
    </row>
    <row r="118" ht="16.5" hidden="1" customHeight="1">
      <c r="A118" s="278"/>
      <c r="B118" s="278"/>
      <c r="C118" s="278"/>
      <c r="D118" s="278"/>
      <c r="E118" s="132"/>
      <c r="F118" s="116"/>
      <c r="G118" s="116"/>
      <c r="H118" s="116"/>
      <c r="I118" s="373"/>
      <c r="J118" s="147"/>
      <c r="K118" s="116"/>
      <c r="L118" s="116"/>
      <c r="M118" s="116"/>
      <c r="N118" s="116"/>
      <c r="O118" s="116"/>
      <c r="P118" s="116"/>
      <c r="Q118" s="116"/>
      <c r="R118" s="116"/>
      <c r="S118" s="116"/>
      <c r="T118" s="116"/>
      <c r="U118" s="116"/>
      <c r="V118" s="116"/>
      <c r="W118" s="116"/>
      <c r="X118" s="278"/>
      <c r="Y118" s="142"/>
      <c r="Z118" s="142"/>
      <c r="AA118" s="142"/>
      <c r="AB118" s="142"/>
      <c r="AC118" s="142"/>
      <c r="AD118" s="142"/>
      <c r="AE118" s="142"/>
      <c r="AF118" s="130"/>
      <c r="AG118" s="142"/>
      <c r="AH118" s="142"/>
      <c r="AI118" s="142"/>
      <c r="AJ118" s="130"/>
      <c r="AK118" s="130"/>
      <c r="AL118" s="130"/>
      <c r="AM118" s="130"/>
    </row>
    <row r="119" ht="16.5" hidden="1" customHeight="1">
      <c r="A119" s="278"/>
      <c r="B119" s="278"/>
      <c r="C119" s="278"/>
      <c r="D119" s="278"/>
      <c r="E119" s="132"/>
      <c r="F119" s="116"/>
      <c r="G119" s="116"/>
      <c r="H119" s="116"/>
      <c r="I119" s="373"/>
      <c r="J119" s="147"/>
      <c r="K119" s="116"/>
      <c r="L119" s="116"/>
      <c r="M119" s="116"/>
      <c r="N119" s="116"/>
      <c r="O119" s="116"/>
      <c r="P119" s="116"/>
      <c r="Q119" s="116"/>
      <c r="R119" s="116"/>
      <c r="S119" s="116"/>
      <c r="T119" s="116"/>
      <c r="U119" s="116"/>
      <c r="V119" s="116"/>
      <c r="W119" s="116"/>
      <c r="X119" s="278"/>
      <c r="Y119" s="142"/>
      <c r="Z119" s="142"/>
      <c r="AA119" s="142"/>
      <c r="AB119" s="142"/>
      <c r="AC119" s="142"/>
      <c r="AD119" s="142"/>
      <c r="AE119" s="142"/>
      <c r="AF119" s="130"/>
      <c r="AG119" s="142"/>
      <c r="AH119" s="142"/>
      <c r="AI119" s="142"/>
      <c r="AJ119" s="130"/>
      <c r="AK119" s="130"/>
      <c r="AL119" s="130"/>
      <c r="AM119" s="130"/>
    </row>
    <row r="120" ht="16.5" hidden="1" customHeight="1">
      <c r="A120" s="278"/>
      <c r="B120" s="278"/>
      <c r="C120" s="278"/>
      <c r="D120" s="278"/>
      <c r="E120" s="132"/>
      <c r="F120" s="116"/>
      <c r="G120" s="116"/>
      <c r="H120" s="116"/>
      <c r="I120" s="373"/>
      <c r="J120" s="147"/>
      <c r="K120" s="116"/>
      <c r="L120" s="116"/>
      <c r="M120" s="116"/>
      <c r="N120" s="116"/>
      <c r="O120" s="116"/>
      <c r="P120" s="116"/>
      <c r="Q120" s="116"/>
      <c r="R120" s="116"/>
      <c r="S120" s="116"/>
      <c r="T120" s="116"/>
      <c r="U120" s="116"/>
      <c r="V120" s="116"/>
      <c r="W120" s="116"/>
      <c r="X120" s="278"/>
      <c r="Y120" s="142"/>
      <c r="Z120" s="142"/>
      <c r="AA120" s="142"/>
      <c r="AB120" s="142"/>
      <c r="AC120" s="142"/>
      <c r="AD120" s="142"/>
      <c r="AE120" s="142"/>
      <c r="AF120" s="130"/>
      <c r="AG120" s="142"/>
      <c r="AH120" s="142"/>
      <c r="AI120" s="142"/>
      <c r="AJ120" s="130"/>
      <c r="AK120" s="130"/>
      <c r="AL120" s="130"/>
      <c r="AM120" s="130"/>
    </row>
    <row r="121" ht="16.5" hidden="1" customHeight="1">
      <c r="A121" s="278"/>
      <c r="B121" s="278"/>
      <c r="C121" s="278"/>
      <c r="D121" s="278"/>
      <c r="E121" s="132"/>
      <c r="F121" s="116"/>
      <c r="G121" s="116"/>
      <c r="H121" s="116"/>
      <c r="I121" s="373"/>
      <c r="J121" s="147"/>
      <c r="K121" s="116"/>
      <c r="L121" s="116"/>
      <c r="M121" s="116"/>
      <c r="N121" s="116"/>
      <c r="O121" s="116"/>
      <c r="P121" s="116"/>
      <c r="Q121" s="116"/>
      <c r="R121" s="116"/>
      <c r="S121" s="116"/>
      <c r="T121" s="116"/>
      <c r="U121" s="116"/>
      <c r="V121" s="116"/>
      <c r="W121" s="116"/>
      <c r="X121" s="278"/>
      <c r="Y121" s="142"/>
      <c r="Z121" s="142"/>
      <c r="AA121" s="142"/>
      <c r="AB121" s="142"/>
      <c r="AC121" s="142"/>
      <c r="AD121" s="142"/>
      <c r="AE121" s="142"/>
      <c r="AF121" s="130"/>
      <c r="AG121" s="142"/>
      <c r="AH121" s="142"/>
      <c r="AI121" s="142"/>
      <c r="AJ121" s="130"/>
      <c r="AK121" s="130"/>
      <c r="AL121" s="130"/>
      <c r="AM121" s="130"/>
    </row>
    <row r="122" ht="16.5" hidden="1" customHeight="1">
      <c r="A122" s="278"/>
      <c r="B122" s="278"/>
      <c r="C122" s="278"/>
      <c r="D122" s="278"/>
      <c r="E122" s="132"/>
      <c r="F122" s="116"/>
      <c r="G122" s="116"/>
      <c r="H122" s="116"/>
      <c r="I122" s="373"/>
      <c r="J122" s="147"/>
      <c r="K122" s="116"/>
      <c r="L122" s="116"/>
      <c r="M122" s="116"/>
      <c r="N122" s="116"/>
      <c r="O122" s="116"/>
      <c r="P122" s="116"/>
      <c r="Q122" s="116"/>
      <c r="R122" s="116"/>
      <c r="S122" s="116"/>
      <c r="T122" s="116"/>
      <c r="U122" s="116"/>
      <c r="V122" s="116"/>
      <c r="W122" s="116"/>
      <c r="X122" s="278"/>
      <c r="Y122" s="142"/>
      <c r="Z122" s="142"/>
      <c r="AA122" s="142"/>
      <c r="AB122" s="142"/>
      <c r="AC122" s="142"/>
      <c r="AD122" s="142"/>
      <c r="AE122" s="142"/>
      <c r="AF122" s="130"/>
      <c r="AG122" s="142"/>
      <c r="AH122" s="142"/>
      <c r="AI122" s="142"/>
      <c r="AJ122" s="130"/>
      <c r="AK122" s="130"/>
      <c r="AL122" s="130"/>
      <c r="AM122" s="130"/>
    </row>
    <row r="123" ht="16.5" hidden="1" customHeight="1">
      <c r="A123" s="278"/>
      <c r="B123" s="278"/>
      <c r="C123" s="278"/>
      <c r="D123" s="278"/>
      <c r="E123" s="132"/>
      <c r="F123" s="116"/>
      <c r="G123" s="116"/>
      <c r="H123" s="116"/>
      <c r="I123" s="373"/>
      <c r="J123" s="147"/>
      <c r="K123" s="116"/>
      <c r="L123" s="116"/>
      <c r="M123" s="116"/>
      <c r="N123" s="116"/>
      <c r="O123" s="116"/>
      <c r="P123" s="116"/>
      <c r="Q123" s="116"/>
      <c r="R123" s="116"/>
      <c r="S123" s="116"/>
      <c r="T123" s="116"/>
      <c r="U123" s="116"/>
      <c r="V123" s="116"/>
      <c r="W123" s="116"/>
      <c r="X123" s="278"/>
      <c r="Y123" s="142"/>
      <c r="Z123" s="142"/>
      <c r="AA123" s="142"/>
      <c r="AB123" s="142"/>
      <c r="AC123" s="142"/>
      <c r="AD123" s="142"/>
      <c r="AE123" s="142"/>
      <c r="AF123" s="130"/>
      <c r="AG123" s="142"/>
      <c r="AH123" s="142"/>
      <c r="AI123" s="142"/>
      <c r="AJ123" s="130"/>
      <c r="AK123" s="130"/>
      <c r="AL123" s="130"/>
      <c r="AM123" s="130"/>
    </row>
    <row r="124" ht="16.5" hidden="1" customHeight="1">
      <c r="A124" s="278"/>
      <c r="B124" s="278"/>
      <c r="C124" s="278"/>
      <c r="D124" s="278"/>
      <c r="E124" s="132"/>
      <c r="F124" s="116"/>
      <c r="G124" s="116"/>
      <c r="H124" s="116"/>
      <c r="I124" s="373"/>
      <c r="J124" s="147"/>
      <c r="K124" s="116"/>
      <c r="L124" s="116"/>
      <c r="M124" s="116"/>
      <c r="N124" s="116"/>
      <c r="O124" s="116"/>
      <c r="P124" s="116"/>
      <c r="Q124" s="116"/>
      <c r="R124" s="116"/>
      <c r="S124" s="116"/>
      <c r="T124" s="116"/>
      <c r="U124" s="116"/>
      <c r="V124" s="116"/>
      <c r="W124" s="116"/>
      <c r="X124" s="278"/>
      <c r="Y124" s="142"/>
      <c r="Z124" s="142"/>
      <c r="AA124" s="142"/>
      <c r="AB124" s="142"/>
      <c r="AC124" s="142"/>
      <c r="AD124" s="142"/>
      <c r="AE124" s="142"/>
      <c r="AF124" s="130"/>
      <c r="AG124" s="142"/>
      <c r="AH124" s="142"/>
      <c r="AI124" s="142"/>
      <c r="AJ124" s="130"/>
      <c r="AK124" s="130"/>
      <c r="AL124" s="130"/>
      <c r="AM124" s="130"/>
    </row>
    <row r="125" ht="16.5" hidden="1" customHeight="1">
      <c r="A125" s="278"/>
      <c r="B125" s="278"/>
      <c r="C125" s="278"/>
      <c r="D125" s="278"/>
      <c r="E125" s="132"/>
      <c r="F125" s="116"/>
      <c r="G125" s="116"/>
      <c r="H125" s="116"/>
      <c r="I125" s="373"/>
      <c r="J125" s="147"/>
      <c r="K125" s="116"/>
      <c r="L125" s="116"/>
      <c r="M125" s="116"/>
      <c r="N125" s="116"/>
      <c r="O125" s="116"/>
      <c r="P125" s="116"/>
      <c r="Q125" s="116"/>
      <c r="R125" s="116"/>
      <c r="S125" s="116"/>
      <c r="T125" s="116"/>
      <c r="U125" s="116"/>
      <c r="V125" s="116"/>
      <c r="W125" s="116"/>
      <c r="X125" s="278"/>
      <c r="Y125" s="142"/>
      <c r="Z125" s="142"/>
      <c r="AA125" s="142"/>
      <c r="AB125" s="142"/>
      <c r="AC125" s="142"/>
      <c r="AD125" s="142"/>
      <c r="AE125" s="142"/>
      <c r="AF125" s="130"/>
      <c r="AG125" s="142"/>
      <c r="AH125" s="142"/>
      <c r="AI125" s="142"/>
      <c r="AJ125" s="130"/>
      <c r="AK125" s="130"/>
      <c r="AL125" s="130"/>
      <c r="AM125" s="130"/>
    </row>
    <row r="126" ht="16.5" hidden="1" customHeight="1">
      <c r="A126" s="278"/>
      <c r="B126" s="278"/>
      <c r="C126" s="278"/>
      <c r="D126" s="278"/>
      <c r="E126" s="132"/>
      <c r="F126" s="116"/>
      <c r="G126" s="116"/>
      <c r="H126" s="116"/>
      <c r="I126" s="373"/>
      <c r="J126" s="147"/>
      <c r="K126" s="116"/>
      <c r="L126" s="116"/>
      <c r="M126" s="116"/>
      <c r="N126" s="116"/>
      <c r="O126" s="116"/>
      <c r="P126" s="116"/>
      <c r="Q126" s="116"/>
      <c r="R126" s="116"/>
      <c r="S126" s="116"/>
      <c r="T126" s="116"/>
      <c r="U126" s="116"/>
      <c r="V126" s="116"/>
      <c r="W126" s="116"/>
      <c r="X126" s="278"/>
      <c r="Y126" s="142"/>
      <c r="Z126" s="142"/>
      <c r="AA126" s="142"/>
      <c r="AB126" s="142"/>
      <c r="AC126" s="142"/>
      <c r="AD126" s="142"/>
      <c r="AE126" s="142"/>
      <c r="AF126" s="130"/>
      <c r="AG126" s="142"/>
      <c r="AH126" s="142"/>
      <c r="AI126" s="142"/>
      <c r="AJ126" s="130"/>
      <c r="AK126" s="130"/>
      <c r="AL126" s="130"/>
      <c r="AM126" s="130"/>
    </row>
    <row r="127" ht="16.5" hidden="1" customHeight="1">
      <c r="A127" s="278"/>
      <c r="B127" s="278"/>
      <c r="C127" s="278"/>
      <c r="D127" s="278"/>
      <c r="E127" s="132"/>
      <c r="F127" s="116"/>
      <c r="G127" s="116"/>
      <c r="H127" s="116"/>
      <c r="I127" s="373"/>
      <c r="J127" s="147"/>
      <c r="K127" s="116"/>
      <c r="L127" s="116"/>
      <c r="M127" s="116"/>
      <c r="N127" s="116"/>
      <c r="O127" s="116"/>
      <c r="P127" s="116"/>
      <c r="Q127" s="116"/>
      <c r="R127" s="116"/>
      <c r="S127" s="116"/>
      <c r="T127" s="116"/>
      <c r="U127" s="116"/>
      <c r="V127" s="116"/>
      <c r="W127" s="116"/>
      <c r="X127" s="278"/>
      <c r="Y127" s="142"/>
      <c r="Z127" s="142"/>
      <c r="AA127" s="142"/>
      <c r="AB127" s="142"/>
      <c r="AC127" s="142"/>
      <c r="AD127" s="142"/>
      <c r="AE127" s="142"/>
      <c r="AF127" s="130"/>
      <c r="AG127" s="142"/>
      <c r="AH127" s="142"/>
      <c r="AI127" s="142"/>
      <c r="AJ127" s="130"/>
      <c r="AK127" s="130"/>
      <c r="AL127" s="130"/>
      <c r="AM127" s="130"/>
    </row>
    <row r="128" ht="15.75" customHeight="1">
      <c r="A128" s="278"/>
      <c r="B128" s="278"/>
      <c r="C128" s="278"/>
      <c r="D128" s="278"/>
      <c r="E128" s="132"/>
      <c r="F128" s="116"/>
      <c r="G128" s="116"/>
      <c r="H128" s="116"/>
      <c r="I128" s="373"/>
      <c r="J128" s="147"/>
      <c r="K128" s="116"/>
      <c r="L128" s="116"/>
      <c r="M128" s="116"/>
      <c r="N128" s="116"/>
      <c r="O128" s="116"/>
      <c r="P128" s="116"/>
      <c r="Q128" s="116"/>
      <c r="R128" s="116"/>
      <c r="S128" s="116"/>
      <c r="T128" s="116"/>
      <c r="U128" s="116"/>
      <c r="V128" s="116"/>
      <c r="W128" s="116"/>
      <c r="X128" s="278"/>
      <c r="Y128" s="142"/>
      <c r="Z128" s="142"/>
      <c r="AA128" s="142"/>
      <c r="AB128" s="142"/>
      <c r="AC128" s="142"/>
      <c r="AD128" s="142"/>
      <c r="AE128" s="142"/>
      <c r="AF128" s="130"/>
      <c r="AG128" s="142"/>
      <c r="AH128" s="142"/>
      <c r="AI128" s="142"/>
      <c r="AJ128" s="130"/>
      <c r="AK128" s="130"/>
      <c r="AL128" s="130"/>
      <c r="AM128" s="130"/>
    </row>
    <row r="129" ht="15.75" customHeight="1">
      <c r="A129" s="278"/>
      <c r="B129" s="278"/>
      <c r="C129" s="278"/>
      <c r="D129" s="278"/>
      <c r="E129" s="132"/>
      <c r="F129" s="116"/>
      <c r="G129" s="116"/>
      <c r="H129" s="116"/>
      <c r="I129" s="373"/>
      <c r="J129" s="147"/>
      <c r="K129" s="116"/>
      <c r="L129" s="116"/>
      <c r="M129" s="116"/>
      <c r="N129" s="116"/>
      <c r="O129" s="116"/>
      <c r="P129" s="116"/>
      <c r="Q129" s="116"/>
      <c r="R129" s="116"/>
      <c r="S129" s="116"/>
      <c r="T129" s="116"/>
      <c r="U129" s="116"/>
      <c r="V129" s="116"/>
      <c r="W129" s="116"/>
      <c r="X129" s="278"/>
      <c r="Y129" s="142"/>
      <c r="Z129" s="142"/>
      <c r="AA129" s="142"/>
      <c r="AB129" s="142"/>
      <c r="AC129" s="142"/>
      <c r="AD129" s="142"/>
      <c r="AE129" s="142"/>
      <c r="AF129" s="130"/>
      <c r="AG129" s="142"/>
      <c r="AH129" s="142"/>
      <c r="AI129" s="142"/>
      <c r="AJ129" s="130"/>
      <c r="AK129" s="130"/>
      <c r="AL129" s="130"/>
      <c r="AM129" s="130"/>
    </row>
    <row r="130" ht="15.75" customHeight="1">
      <c r="A130" s="278"/>
      <c r="B130" s="278"/>
      <c r="C130" s="278"/>
      <c r="D130" s="278"/>
      <c r="E130" s="132"/>
      <c r="F130" s="116"/>
      <c r="G130" s="116"/>
      <c r="H130" s="116"/>
      <c r="I130" s="373"/>
      <c r="J130" s="147"/>
      <c r="K130" s="116"/>
      <c r="L130" s="116"/>
      <c r="M130" s="116"/>
      <c r="N130" s="116"/>
      <c r="O130" s="116"/>
      <c r="P130" s="116"/>
      <c r="Q130" s="116"/>
      <c r="R130" s="116"/>
      <c r="S130" s="116"/>
      <c r="T130" s="116"/>
      <c r="U130" s="116"/>
      <c r="V130" s="116"/>
      <c r="W130" s="116"/>
      <c r="X130" s="278"/>
      <c r="Y130" s="142"/>
      <c r="Z130" s="142"/>
      <c r="AA130" s="142"/>
      <c r="AB130" s="142"/>
      <c r="AC130" s="142"/>
      <c r="AD130" s="142"/>
      <c r="AE130" s="142"/>
      <c r="AF130" s="130"/>
      <c r="AG130" s="142"/>
      <c r="AH130" s="142"/>
      <c r="AI130" s="142"/>
      <c r="AJ130" s="130"/>
      <c r="AK130" s="130"/>
      <c r="AL130" s="130"/>
      <c r="AM130" s="130"/>
    </row>
    <row r="131" ht="15.75" customHeight="1">
      <c r="A131" s="278"/>
      <c r="B131" s="278"/>
      <c r="C131" s="278"/>
      <c r="D131" s="278"/>
      <c r="E131" s="132"/>
      <c r="F131" s="116"/>
      <c r="G131" s="116"/>
      <c r="H131" s="116"/>
      <c r="I131" s="373"/>
      <c r="J131" s="147"/>
      <c r="K131" s="116"/>
      <c r="L131" s="116"/>
      <c r="M131" s="116"/>
      <c r="N131" s="116"/>
      <c r="O131" s="116"/>
      <c r="P131" s="116"/>
      <c r="Q131" s="116"/>
      <c r="R131" s="116"/>
      <c r="S131" s="116"/>
      <c r="T131" s="116"/>
      <c r="U131" s="116"/>
      <c r="V131" s="116"/>
      <c r="W131" s="116"/>
      <c r="X131" s="278"/>
      <c r="Y131" s="142"/>
      <c r="Z131" s="142"/>
      <c r="AA131" s="142"/>
      <c r="AB131" s="142"/>
      <c r="AC131" s="142"/>
      <c r="AD131" s="142"/>
      <c r="AE131" s="142"/>
      <c r="AF131" s="130"/>
      <c r="AG131" s="142"/>
      <c r="AH131" s="142"/>
      <c r="AI131" s="142"/>
      <c r="AJ131" s="130"/>
      <c r="AK131" s="130"/>
      <c r="AL131" s="130"/>
      <c r="AM131" s="130"/>
    </row>
    <row r="132" ht="15.75" customHeight="1">
      <c r="A132" s="278"/>
      <c r="B132" s="278"/>
      <c r="C132" s="278"/>
      <c r="D132" s="278"/>
      <c r="E132" s="132"/>
      <c r="F132" s="116"/>
      <c r="G132" s="116"/>
      <c r="H132" s="116"/>
      <c r="I132" s="373"/>
      <c r="J132" s="147"/>
      <c r="K132" s="116"/>
      <c r="L132" s="116"/>
      <c r="M132" s="116"/>
      <c r="N132" s="116"/>
      <c r="O132" s="116"/>
      <c r="P132" s="116"/>
      <c r="Q132" s="116"/>
      <c r="R132" s="116"/>
      <c r="S132" s="116"/>
      <c r="T132" s="116"/>
      <c r="U132" s="116"/>
      <c r="V132" s="116"/>
      <c r="W132" s="116"/>
      <c r="X132" s="278"/>
      <c r="Y132" s="142"/>
      <c r="Z132" s="142"/>
      <c r="AA132" s="142"/>
      <c r="AB132" s="142"/>
      <c r="AC132" s="142"/>
      <c r="AD132" s="142"/>
      <c r="AE132" s="142"/>
      <c r="AF132" s="130"/>
      <c r="AG132" s="142"/>
      <c r="AH132" s="142"/>
      <c r="AI132" s="142"/>
      <c r="AJ132" s="130"/>
      <c r="AK132" s="130"/>
      <c r="AL132" s="130"/>
      <c r="AM132" s="130"/>
    </row>
    <row r="133" ht="15.75" customHeight="1">
      <c r="A133" s="278"/>
      <c r="B133" s="278"/>
      <c r="C133" s="278"/>
      <c r="D133" s="278"/>
      <c r="E133" s="132"/>
      <c r="F133" s="116"/>
      <c r="G133" s="116"/>
      <c r="H133" s="116"/>
      <c r="I133" s="373"/>
      <c r="J133" s="147"/>
      <c r="K133" s="116"/>
      <c r="L133" s="116"/>
      <c r="M133" s="116"/>
      <c r="N133" s="116"/>
      <c r="O133" s="116"/>
      <c r="P133" s="116"/>
      <c r="Q133" s="116"/>
      <c r="R133" s="116"/>
      <c r="S133" s="116"/>
      <c r="T133" s="116"/>
      <c r="U133" s="116"/>
      <c r="V133" s="116"/>
      <c r="W133" s="116"/>
      <c r="X133" s="278"/>
      <c r="Y133" s="142"/>
      <c r="Z133" s="142"/>
      <c r="AA133" s="142"/>
      <c r="AB133" s="142"/>
      <c r="AC133" s="142"/>
      <c r="AD133" s="142"/>
      <c r="AE133" s="142"/>
      <c r="AF133" s="130"/>
      <c r="AG133" s="142"/>
      <c r="AH133" s="142"/>
      <c r="AI133" s="142"/>
      <c r="AJ133" s="130"/>
      <c r="AK133" s="130"/>
      <c r="AL133" s="130"/>
      <c r="AM133" s="130"/>
    </row>
    <row r="134" ht="15.75" customHeight="1">
      <c r="A134" s="278"/>
      <c r="B134" s="278"/>
      <c r="C134" s="278"/>
      <c r="D134" s="278"/>
      <c r="E134" s="132"/>
      <c r="F134" s="116"/>
      <c r="G134" s="116"/>
      <c r="H134" s="116"/>
      <c r="I134" s="373"/>
      <c r="J134" s="147"/>
      <c r="K134" s="116"/>
      <c r="L134" s="116"/>
      <c r="M134" s="116"/>
      <c r="N134" s="116"/>
      <c r="O134" s="116"/>
      <c r="P134" s="116"/>
      <c r="Q134" s="116"/>
      <c r="R134" s="116"/>
      <c r="S134" s="116"/>
      <c r="T134" s="116"/>
      <c r="U134" s="116"/>
      <c r="V134" s="116"/>
      <c r="W134" s="116"/>
      <c r="X134" s="278"/>
      <c r="Y134" s="142"/>
      <c r="Z134" s="142"/>
      <c r="AA134" s="142"/>
      <c r="AB134" s="142"/>
      <c r="AC134" s="142"/>
      <c r="AD134" s="142"/>
      <c r="AE134" s="142"/>
      <c r="AF134" s="130"/>
      <c r="AG134" s="142"/>
      <c r="AH134" s="142"/>
      <c r="AI134" s="142"/>
      <c r="AJ134" s="130"/>
      <c r="AK134" s="130"/>
      <c r="AL134" s="130"/>
      <c r="AM134" s="130"/>
    </row>
    <row r="135" ht="15.75" customHeight="1">
      <c r="A135" s="278"/>
      <c r="B135" s="278"/>
      <c r="C135" s="278"/>
      <c r="D135" s="278"/>
      <c r="E135" s="132"/>
      <c r="F135" s="116"/>
      <c r="G135" s="116"/>
      <c r="H135" s="116"/>
      <c r="I135" s="373"/>
      <c r="J135" s="147"/>
      <c r="K135" s="116"/>
      <c r="L135" s="116"/>
      <c r="M135" s="116"/>
      <c r="N135" s="116"/>
      <c r="O135" s="116"/>
      <c r="P135" s="116"/>
      <c r="Q135" s="116"/>
      <c r="R135" s="116"/>
      <c r="S135" s="116"/>
      <c r="T135" s="116"/>
      <c r="U135" s="116"/>
      <c r="V135" s="116"/>
      <c r="W135" s="116"/>
      <c r="X135" s="278"/>
      <c r="Y135" s="142"/>
      <c r="Z135" s="142"/>
      <c r="AA135" s="142"/>
      <c r="AB135" s="142"/>
      <c r="AC135" s="142"/>
      <c r="AD135" s="142"/>
      <c r="AE135" s="142"/>
      <c r="AF135" s="130"/>
      <c r="AG135" s="142"/>
      <c r="AH135" s="142"/>
      <c r="AI135" s="142"/>
      <c r="AJ135" s="130"/>
      <c r="AK135" s="130"/>
      <c r="AL135" s="130"/>
      <c r="AM135" s="130"/>
    </row>
    <row r="136" ht="15.75" customHeight="1">
      <c r="A136" s="278"/>
      <c r="B136" s="278"/>
      <c r="C136" s="278"/>
      <c r="D136" s="278"/>
      <c r="E136" s="132"/>
      <c r="F136" s="116"/>
      <c r="G136" s="116"/>
      <c r="H136" s="116"/>
      <c r="I136" s="373"/>
      <c r="J136" s="147"/>
      <c r="K136" s="116"/>
      <c r="L136" s="116"/>
      <c r="M136" s="116"/>
      <c r="N136" s="116"/>
      <c r="O136" s="116"/>
      <c r="P136" s="116"/>
      <c r="Q136" s="116"/>
      <c r="R136" s="116"/>
      <c r="S136" s="116"/>
      <c r="T136" s="116"/>
      <c r="U136" s="116"/>
      <c r="V136" s="116"/>
      <c r="W136" s="116"/>
      <c r="X136" s="278"/>
      <c r="Y136" s="142"/>
      <c r="Z136" s="142"/>
      <c r="AA136" s="142"/>
      <c r="AB136" s="142"/>
      <c r="AC136" s="142"/>
      <c r="AD136" s="142"/>
      <c r="AE136" s="142"/>
      <c r="AF136" s="130"/>
      <c r="AG136" s="142"/>
      <c r="AH136" s="142"/>
      <c r="AI136" s="142"/>
      <c r="AJ136" s="130"/>
      <c r="AK136" s="130"/>
      <c r="AL136" s="130"/>
      <c r="AM136" s="130"/>
    </row>
    <row r="137" ht="15.75" customHeight="1">
      <c r="A137" s="278"/>
      <c r="B137" s="278"/>
      <c r="C137" s="278"/>
      <c r="D137" s="278"/>
      <c r="E137" s="132"/>
      <c r="F137" s="116"/>
      <c r="G137" s="116"/>
      <c r="H137" s="116"/>
      <c r="I137" s="373"/>
      <c r="J137" s="147"/>
      <c r="K137" s="116"/>
      <c r="L137" s="116"/>
      <c r="M137" s="116"/>
      <c r="N137" s="116"/>
      <c r="O137" s="116"/>
      <c r="P137" s="116"/>
      <c r="Q137" s="116"/>
      <c r="R137" s="116"/>
      <c r="S137" s="116"/>
      <c r="T137" s="116"/>
      <c r="U137" s="116"/>
      <c r="V137" s="116"/>
      <c r="W137" s="116"/>
      <c r="X137" s="278"/>
      <c r="Y137" s="142"/>
      <c r="Z137" s="142"/>
      <c r="AA137" s="142"/>
      <c r="AB137" s="142"/>
      <c r="AC137" s="142"/>
      <c r="AD137" s="142"/>
      <c r="AE137" s="142"/>
      <c r="AF137" s="130"/>
      <c r="AG137" s="142"/>
      <c r="AH137" s="142"/>
      <c r="AI137" s="142"/>
      <c r="AJ137" s="130"/>
      <c r="AK137" s="130"/>
      <c r="AL137" s="130"/>
      <c r="AM137" s="130"/>
    </row>
    <row r="138" ht="15.75" customHeight="1">
      <c r="A138" s="278"/>
      <c r="B138" s="278"/>
      <c r="C138" s="278"/>
      <c r="D138" s="278"/>
      <c r="E138" s="132"/>
      <c r="F138" s="116"/>
      <c r="G138" s="116"/>
      <c r="H138" s="116"/>
      <c r="I138" s="373"/>
      <c r="J138" s="147"/>
      <c r="K138" s="116"/>
      <c r="L138" s="116"/>
      <c r="M138" s="116"/>
      <c r="N138" s="116"/>
      <c r="O138" s="116"/>
      <c r="P138" s="116"/>
      <c r="Q138" s="116"/>
      <c r="R138" s="116"/>
      <c r="S138" s="116"/>
      <c r="T138" s="116"/>
      <c r="U138" s="116"/>
      <c r="V138" s="116"/>
      <c r="W138" s="116"/>
      <c r="X138" s="278"/>
      <c r="Y138" s="142"/>
      <c r="Z138" s="142"/>
      <c r="AA138" s="142"/>
      <c r="AB138" s="142"/>
      <c r="AC138" s="142"/>
      <c r="AD138" s="142"/>
      <c r="AE138" s="142"/>
      <c r="AF138" s="130"/>
      <c r="AG138" s="142"/>
      <c r="AH138" s="142"/>
      <c r="AI138" s="142"/>
      <c r="AJ138" s="130"/>
      <c r="AK138" s="130"/>
      <c r="AL138" s="130"/>
      <c r="AM138" s="130"/>
    </row>
    <row r="139" ht="15.75" customHeight="1">
      <c r="A139" s="278"/>
      <c r="B139" s="278"/>
      <c r="C139" s="278"/>
      <c r="D139" s="278"/>
      <c r="E139" s="132"/>
      <c r="F139" s="116"/>
      <c r="G139" s="116"/>
      <c r="H139" s="116"/>
      <c r="I139" s="373"/>
      <c r="J139" s="147"/>
      <c r="K139" s="116"/>
      <c r="L139" s="116"/>
      <c r="M139" s="116"/>
      <c r="N139" s="116"/>
      <c r="O139" s="116"/>
      <c r="P139" s="116"/>
      <c r="Q139" s="116"/>
      <c r="R139" s="116"/>
      <c r="S139" s="116"/>
      <c r="T139" s="116"/>
      <c r="U139" s="116"/>
      <c r="V139" s="116"/>
      <c r="W139" s="116"/>
      <c r="X139" s="278"/>
      <c r="Y139" s="142"/>
      <c r="Z139" s="142"/>
      <c r="AA139" s="142"/>
      <c r="AB139" s="142"/>
      <c r="AC139" s="142"/>
      <c r="AD139" s="142"/>
      <c r="AE139" s="142"/>
      <c r="AF139" s="130"/>
      <c r="AG139" s="142"/>
      <c r="AH139" s="142"/>
      <c r="AI139" s="142"/>
      <c r="AJ139" s="130"/>
      <c r="AK139" s="130"/>
      <c r="AL139" s="130"/>
      <c r="AM139" s="130"/>
    </row>
    <row r="140" ht="15.75" customHeight="1">
      <c r="A140" s="278"/>
      <c r="B140" s="278"/>
      <c r="C140" s="278"/>
      <c r="D140" s="278"/>
      <c r="E140" s="132"/>
      <c r="F140" s="116"/>
      <c r="G140" s="116"/>
      <c r="H140" s="116"/>
      <c r="I140" s="373"/>
      <c r="J140" s="147"/>
      <c r="K140" s="116"/>
      <c r="L140" s="116"/>
      <c r="M140" s="116"/>
      <c r="N140" s="116"/>
      <c r="O140" s="116"/>
      <c r="P140" s="116"/>
      <c r="Q140" s="116"/>
      <c r="R140" s="116"/>
      <c r="S140" s="116"/>
      <c r="T140" s="116"/>
      <c r="U140" s="116"/>
      <c r="V140" s="116"/>
      <c r="W140" s="116"/>
      <c r="X140" s="278"/>
      <c r="Y140" s="142"/>
      <c r="Z140" s="142"/>
      <c r="AA140" s="142"/>
      <c r="AB140" s="142"/>
      <c r="AC140" s="142"/>
      <c r="AD140" s="142"/>
      <c r="AE140" s="142"/>
      <c r="AF140" s="130"/>
      <c r="AG140" s="142"/>
      <c r="AH140" s="142"/>
      <c r="AI140" s="142"/>
      <c r="AJ140" s="130"/>
      <c r="AK140" s="130"/>
      <c r="AL140" s="130"/>
      <c r="AM140" s="130"/>
    </row>
    <row r="141" ht="15.75" customHeight="1">
      <c r="A141" s="278"/>
      <c r="B141" s="278"/>
      <c r="C141" s="278"/>
      <c r="D141" s="278"/>
      <c r="E141" s="132"/>
      <c r="F141" s="116"/>
      <c r="G141" s="116"/>
      <c r="H141" s="116"/>
      <c r="I141" s="373"/>
      <c r="J141" s="147"/>
      <c r="K141" s="116"/>
      <c r="L141" s="116"/>
      <c r="M141" s="116"/>
      <c r="N141" s="116"/>
      <c r="O141" s="116"/>
      <c r="P141" s="116"/>
      <c r="Q141" s="116"/>
      <c r="R141" s="116"/>
      <c r="S141" s="116"/>
      <c r="T141" s="116"/>
      <c r="U141" s="116"/>
      <c r="V141" s="116"/>
      <c r="W141" s="116"/>
      <c r="X141" s="278"/>
      <c r="Y141" s="142"/>
      <c r="Z141" s="142"/>
      <c r="AA141" s="142"/>
      <c r="AB141" s="142"/>
      <c r="AC141" s="142"/>
      <c r="AD141" s="142"/>
      <c r="AE141" s="142"/>
      <c r="AF141" s="130"/>
      <c r="AG141" s="142"/>
      <c r="AH141" s="142"/>
      <c r="AI141" s="142"/>
      <c r="AJ141" s="130"/>
      <c r="AK141" s="130"/>
      <c r="AL141" s="130"/>
      <c r="AM141" s="130"/>
    </row>
    <row r="142" ht="15.75" customHeight="1">
      <c r="A142" s="278"/>
      <c r="B142" s="278"/>
      <c r="C142" s="278"/>
      <c r="D142" s="278"/>
      <c r="E142" s="132"/>
      <c r="F142" s="116"/>
      <c r="G142" s="116"/>
      <c r="H142" s="116"/>
      <c r="I142" s="373"/>
      <c r="J142" s="147"/>
      <c r="K142" s="116"/>
      <c r="L142" s="116"/>
      <c r="M142" s="116"/>
      <c r="N142" s="116"/>
      <c r="O142" s="116"/>
      <c r="P142" s="116"/>
      <c r="Q142" s="116"/>
      <c r="R142" s="116"/>
      <c r="S142" s="116"/>
      <c r="T142" s="116"/>
      <c r="U142" s="116"/>
      <c r="V142" s="116"/>
      <c r="W142" s="116"/>
      <c r="X142" s="278"/>
      <c r="Y142" s="142"/>
      <c r="Z142" s="142"/>
      <c r="AA142" s="142"/>
      <c r="AB142" s="142"/>
      <c r="AC142" s="142"/>
      <c r="AD142" s="142"/>
      <c r="AE142" s="142"/>
      <c r="AF142" s="130"/>
      <c r="AG142" s="142"/>
      <c r="AH142" s="142"/>
      <c r="AI142" s="142"/>
      <c r="AJ142" s="130"/>
      <c r="AK142" s="130"/>
      <c r="AL142" s="130"/>
      <c r="AM142" s="130"/>
    </row>
    <row r="143" ht="15.75" customHeight="1">
      <c r="A143" s="278"/>
      <c r="B143" s="278"/>
      <c r="C143" s="278"/>
      <c r="D143" s="278"/>
      <c r="E143" s="132"/>
      <c r="F143" s="116"/>
      <c r="G143" s="116"/>
      <c r="H143" s="116"/>
      <c r="I143" s="373"/>
      <c r="J143" s="147"/>
      <c r="K143" s="116"/>
      <c r="L143" s="116"/>
      <c r="M143" s="116"/>
      <c r="N143" s="116"/>
      <c r="O143" s="116"/>
      <c r="P143" s="116"/>
      <c r="Q143" s="116"/>
      <c r="R143" s="116"/>
      <c r="S143" s="116"/>
      <c r="T143" s="116"/>
      <c r="U143" s="116"/>
      <c r="V143" s="116"/>
      <c r="W143" s="116"/>
      <c r="X143" s="278"/>
      <c r="Y143" s="142"/>
      <c r="Z143" s="142"/>
      <c r="AA143" s="142"/>
      <c r="AB143" s="142"/>
      <c r="AC143" s="142"/>
      <c r="AD143" s="142"/>
      <c r="AE143" s="142"/>
      <c r="AF143" s="130"/>
      <c r="AG143" s="142"/>
      <c r="AH143" s="142"/>
      <c r="AI143" s="142"/>
      <c r="AJ143" s="130"/>
      <c r="AK143" s="130"/>
      <c r="AL143" s="130"/>
      <c r="AM143" s="130"/>
    </row>
    <row r="144" ht="15.75" customHeight="1">
      <c r="A144" s="278"/>
      <c r="B144" s="278"/>
      <c r="C144" s="278"/>
      <c r="D144" s="278"/>
      <c r="E144" s="132"/>
      <c r="F144" s="116"/>
      <c r="G144" s="116"/>
      <c r="H144" s="116"/>
      <c r="I144" s="373"/>
      <c r="J144" s="147"/>
      <c r="K144" s="116"/>
      <c r="L144" s="116"/>
      <c r="M144" s="116"/>
      <c r="N144" s="116"/>
      <c r="O144" s="116"/>
      <c r="P144" s="116"/>
      <c r="Q144" s="116"/>
      <c r="R144" s="116"/>
      <c r="S144" s="116"/>
      <c r="T144" s="116"/>
      <c r="U144" s="116"/>
      <c r="V144" s="116"/>
      <c r="W144" s="116"/>
      <c r="X144" s="278"/>
      <c r="Y144" s="142"/>
      <c r="Z144" s="142"/>
      <c r="AA144" s="142"/>
      <c r="AB144" s="142"/>
      <c r="AC144" s="142"/>
      <c r="AD144" s="142"/>
      <c r="AE144" s="142"/>
      <c r="AF144" s="130"/>
      <c r="AG144" s="142"/>
      <c r="AH144" s="142"/>
      <c r="AI144" s="142"/>
      <c r="AJ144" s="130"/>
      <c r="AK144" s="130"/>
      <c r="AL144" s="130"/>
      <c r="AM144" s="130"/>
    </row>
    <row r="145" ht="15.75" customHeight="1">
      <c r="A145" s="278"/>
      <c r="B145" s="278"/>
      <c r="C145" s="278"/>
      <c r="D145" s="278"/>
      <c r="E145" s="132"/>
      <c r="F145" s="116"/>
      <c r="G145" s="116"/>
      <c r="H145" s="116"/>
      <c r="I145" s="373"/>
      <c r="J145" s="147"/>
      <c r="K145" s="116"/>
      <c r="L145" s="116"/>
      <c r="M145" s="116"/>
      <c r="N145" s="116"/>
      <c r="O145" s="116"/>
      <c r="P145" s="116"/>
      <c r="Q145" s="116"/>
      <c r="R145" s="116"/>
      <c r="S145" s="116"/>
      <c r="T145" s="116"/>
      <c r="U145" s="116"/>
      <c r="V145" s="116"/>
      <c r="W145" s="116"/>
      <c r="X145" s="278"/>
      <c r="Y145" s="142"/>
      <c r="Z145" s="142"/>
      <c r="AA145" s="142"/>
      <c r="AB145" s="142"/>
      <c r="AC145" s="142"/>
      <c r="AD145" s="142"/>
      <c r="AE145" s="142"/>
      <c r="AF145" s="130"/>
      <c r="AG145" s="142"/>
      <c r="AH145" s="142"/>
      <c r="AI145" s="142"/>
      <c r="AJ145" s="130"/>
      <c r="AK145" s="130"/>
      <c r="AL145" s="130"/>
      <c r="AM145" s="130"/>
    </row>
    <row r="146" ht="15.75" customHeight="1">
      <c r="A146" s="278"/>
      <c r="B146" s="278"/>
      <c r="C146" s="278"/>
      <c r="D146" s="278"/>
      <c r="E146" s="132"/>
      <c r="F146" s="116"/>
      <c r="G146" s="116"/>
      <c r="H146" s="116"/>
      <c r="I146" s="373"/>
      <c r="J146" s="147"/>
      <c r="K146" s="116"/>
      <c r="L146" s="116"/>
      <c r="M146" s="116"/>
      <c r="N146" s="116"/>
      <c r="O146" s="116"/>
      <c r="P146" s="116"/>
      <c r="Q146" s="116"/>
      <c r="R146" s="116"/>
      <c r="S146" s="116"/>
      <c r="T146" s="116"/>
      <c r="U146" s="116"/>
      <c r="V146" s="116"/>
      <c r="W146" s="116"/>
      <c r="X146" s="278"/>
      <c r="Y146" s="142"/>
      <c r="Z146" s="142"/>
      <c r="AA146" s="142"/>
      <c r="AB146" s="142"/>
      <c r="AC146" s="142"/>
      <c r="AD146" s="142"/>
      <c r="AE146" s="142"/>
      <c r="AF146" s="130"/>
      <c r="AG146" s="142"/>
      <c r="AH146" s="142"/>
      <c r="AI146" s="142"/>
      <c r="AJ146" s="130"/>
      <c r="AK146" s="130"/>
      <c r="AL146" s="130"/>
      <c r="AM146" s="130"/>
    </row>
    <row r="147" ht="15.75" customHeight="1">
      <c r="A147" s="278"/>
      <c r="B147" s="278"/>
      <c r="C147" s="278"/>
      <c r="D147" s="278"/>
      <c r="E147" s="132"/>
      <c r="F147" s="116"/>
      <c r="G147" s="116"/>
      <c r="H147" s="116"/>
      <c r="I147" s="373"/>
      <c r="J147" s="147"/>
      <c r="K147" s="116"/>
      <c r="L147" s="116"/>
      <c r="M147" s="116"/>
      <c r="N147" s="116"/>
      <c r="O147" s="116"/>
      <c r="P147" s="116"/>
      <c r="Q147" s="116"/>
      <c r="R147" s="116"/>
      <c r="S147" s="116"/>
      <c r="T147" s="116"/>
      <c r="U147" s="116"/>
      <c r="V147" s="116"/>
      <c r="W147" s="116"/>
      <c r="X147" s="278"/>
      <c r="Y147" s="142"/>
      <c r="Z147" s="142"/>
      <c r="AA147" s="142"/>
      <c r="AB147" s="142"/>
      <c r="AC147" s="142"/>
      <c r="AD147" s="142"/>
      <c r="AE147" s="142"/>
      <c r="AF147" s="130"/>
      <c r="AG147" s="142"/>
      <c r="AH147" s="142"/>
      <c r="AI147" s="142"/>
      <c r="AJ147" s="130"/>
      <c r="AK147" s="130"/>
      <c r="AL147" s="130"/>
      <c r="AM147" s="130"/>
    </row>
    <row r="148" ht="15.75" customHeight="1">
      <c r="A148" s="278"/>
      <c r="B148" s="278"/>
      <c r="C148" s="278"/>
      <c r="D148" s="278"/>
      <c r="E148" s="132"/>
      <c r="F148" s="116"/>
      <c r="G148" s="116"/>
      <c r="H148" s="116"/>
      <c r="I148" s="373"/>
      <c r="J148" s="147"/>
      <c r="K148" s="116"/>
      <c r="L148" s="116"/>
      <c r="M148" s="116"/>
      <c r="N148" s="116"/>
      <c r="O148" s="116"/>
      <c r="P148" s="116"/>
      <c r="Q148" s="116"/>
      <c r="R148" s="116"/>
      <c r="S148" s="116"/>
      <c r="T148" s="116"/>
      <c r="U148" s="116"/>
      <c r="V148" s="116"/>
      <c r="W148" s="116"/>
      <c r="X148" s="278"/>
      <c r="Y148" s="142"/>
      <c r="Z148" s="142"/>
      <c r="AA148" s="142"/>
      <c r="AB148" s="142"/>
      <c r="AC148" s="142"/>
      <c r="AD148" s="142"/>
      <c r="AE148" s="142"/>
      <c r="AF148" s="130"/>
      <c r="AG148" s="142"/>
      <c r="AH148" s="142"/>
      <c r="AI148" s="142"/>
      <c r="AJ148" s="130"/>
      <c r="AK148" s="130"/>
      <c r="AL148" s="130"/>
      <c r="AM148" s="130"/>
    </row>
    <row r="149" ht="15.75" customHeight="1">
      <c r="A149" s="278"/>
      <c r="B149" s="278"/>
      <c r="C149" s="278"/>
      <c r="D149" s="278"/>
      <c r="E149" s="132"/>
      <c r="F149" s="116"/>
      <c r="G149" s="116"/>
      <c r="H149" s="116"/>
      <c r="I149" s="373"/>
      <c r="J149" s="147"/>
      <c r="K149" s="116"/>
      <c r="L149" s="116"/>
      <c r="M149" s="116"/>
      <c r="N149" s="116"/>
      <c r="O149" s="116"/>
      <c r="P149" s="116"/>
      <c r="Q149" s="116"/>
      <c r="R149" s="116"/>
      <c r="S149" s="116"/>
      <c r="T149" s="116"/>
      <c r="U149" s="116"/>
      <c r="V149" s="116"/>
      <c r="W149" s="116"/>
      <c r="X149" s="278"/>
      <c r="Y149" s="142"/>
      <c r="Z149" s="142"/>
      <c r="AA149" s="142"/>
      <c r="AB149" s="142"/>
      <c r="AC149" s="142"/>
      <c r="AD149" s="142"/>
      <c r="AE149" s="142"/>
      <c r="AF149" s="130"/>
      <c r="AG149" s="142"/>
      <c r="AH149" s="142"/>
      <c r="AI149" s="142"/>
      <c r="AJ149" s="130"/>
      <c r="AK149" s="130"/>
      <c r="AL149" s="130"/>
      <c r="AM149" s="130"/>
    </row>
    <row r="150" ht="15.75" customHeight="1">
      <c r="A150" s="278"/>
      <c r="B150" s="278"/>
      <c r="C150" s="278"/>
      <c r="D150" s="278"/>
      <c r="E150" s="132"/>
      <c r="F150" s="116"/>
      <c r="G150" s="116"/>
      <c r="H150" s="116"/>
      <c r="I150" s="373"/>
      <c r="J150" s="147"/>
      <c r="K150" s="116"/>
      <c r="L150" s="116"/>
      <c r="M150" s="116"/>
      <c r="N150" s="116"/>
      <c r="O150" s="116"/>
      <c r="P150" s="116"/>
      <c r="Q150" s="116"/>
      <c r="R150" s="116"/>
      <c r="S150" s="116"/>
      <c r="T150" s="116"/>
      <c r="U150" s="116"/>
      <c r="V150" s="116"/>
      <c r="W150" s="116"/>
      <c r="X150" s="278"/>
      <c r="Y150" s="142"/>
      <c r="Z150" s="142"/>
      <c r="AA150" s="142"/>
      <c r="AB150" s="142"/>
      <c r="AC150" s="142"/>
      <c r="AD150" s="142"/>
      <c r="AE150" s="142"/>
      <c r="AF150" s="130"/>
      <c r="AG150" s="142"/>
      <c r="AH150" s="142"/>
      <c r="AI150" s="142"/>
      <c r="AJ150" s="130"/>
      <c r="AK150" s="130"/>
      <c r="AL150" s="130"/>
      <c r="AM150" s="130"/>
    </row>
    <row r="151" ht="15.75" customHeight="1">
      <c r="A151" s="278"/>
      <c r="B151" s="278"/>
      <c r="C151" s="278"/>
      <c r="D151" s="278"/>
      <c r="E151" s="132"/>
      <c r="F151" s="116"/>
      <c r="G151" s="116"/>
      <c r="H151" s="116"/>
      <c r="I151" s="373"/>
      <c r="J151" s="147"/>
      <c r="K151" s="116"/>
      <c r="L151" s="116"/>
      <c r="M151" s="116"/>
      <c r="N151" s="116"/>
      <c r="O151" s="116"/>
      <c r="P151" s="116"/>
      <c r="Q151" s="116"/>
      <c r="R151" s="116"/>
      <c r="S151" s="116"/>
      <c r="T151" s="116"/>
      <c r="U151" s="116"/>
      <c r="V151" s="116"/>
      <c r="W151" s="116"/>
      <c r="X151" s="278"/>
      <c r="Y151" s="142"/>
      <c r="Z151" s="142"/>
      <c r="AA151" s="142"/>
      <c r="AB151" s="142"/>
      <c r="AC151" s="142"/>
      <c r="AD151" s="142"/>
      <c r="AE151" s="142"/>
      <c r="AF151" s="130"/>
      <c r="AG151" s="142"/>
      <c r="AH151" s="142"/>
      <c r="AI151" s="142"/>
      <c r="AJ151" s="130"/>
      <c r="AK151" s="130"/>
      <c r="AL151" s="130"/>
      <c r="AM151" s="130"/>
    </row>
    <row r="152" ht="15.75" customHeight="1">
      <c r="A152" s="278"/>
      <c r="B152" s="278"/>
      <c r="C152" s="278"/>
      <c r="D152" s="278"/>
      <c r="E152" s="132"/>
      <c r="F152" s="116"/>
      <c r="G152" s="116"/>
      <c r="H152" s="116"/>
      <c r="I152" s="373"/>
      <c r="J152" s="147"/>
      <c r="K152" s="116"/>
      <c r="L152" s="116"/>
      <c r="M152" s="116"/>
      <c r="N152" s="116"/>
      <c r="O152" s="116"/>
      <c r="P152" s="116"/>
      <c r="Q152" s="116"/>
      <c r="R152" s="116"/>
      <c r="S152" s="116"/>
      <c r="T152" s="116"/>
      <c r="U152" s="116"/>
      <c r="V152" s="116"/>
      <c r="W152" s="116"/>
      <c r="X152" s="278"/>
      <c r="Y152" s="142"/>
      <c r="Z152" s="142"/>
      <c r="AA152" s="142"/>
      <c r="AB152" s="142"/>
      <c r="AC152" s="142"/>
      <c r="AD152" s="142"/>
      <c r="AE152" s="142"/>
      <c r="AF152" s="130"/>
      <c r="AG152" s="142"/>
      <c r="AH152" s="142"/>
      <c r="AI152" s="142"/>
      <c r="AJ152" s="130"/>
      <c r="AK152" s="130"/>
      <c r="AL152" s="130"/>
      <c r="AM152" s="130"/>
    </row>
    <row r="153" ht="15.75" customHeight="1">
      <c r="A153" s="278"/>
      <c r="B153" s="278"/>
      <c r="C153" s="278"/>
      <c r="D153" s="278"/>
      <c r="E153" s="132"/>
      <c r="F153" s="116"/>
      <c r="G153" s="116"/>
      <c r="H153" s="116"/>
      <c r="I153" s="373"/>
      <c r="J153" s="147"/>
      <c r="K153" s="116"/>
      <c r="L153" s="116"/>
      <c r="M153" s="116"/>
      <c r="N153" s="116"/>
      <c r="O153" s="116"/>
      <c r="P153" s="116"/>
      <c r="Q153" s="116"/>
      <c r="R153" s="116"/>
      <c r="S153" s="116"/>
      <c r="T153" s="116"/>
      <c r="U153" s="116"/>
      <c r="V153" s="116"/>
      <c r="W153" s="116"/>
      <c r="X153" s="278"/>
      <c r="Y153" s="142"/>
      <c r="Z153" s="142"/>
      <c r="AA153" s="142"/>
      <c r="AB153" s="142"/>
      <c r="AC153" s="142"/>
      <c r="AD153" s="142"/>
      <c r="AE153" s="142"/>
      <c r="AF153" s="130"/>
      <c r="AG153" s="142"/>
      <c r="AH153" s="142"/>
      <c r="AI153" s="142"/>
      <c r="AJ153" s="130"/>
      <c r="AK153" s="130"/>
      <c r="AL153" s="130"/>
      <c r="AM153" s="130"/>
    </row>
    <row r="154" ht="15.75" customHeight="1">
      <c r="A154" s="278"/>
      <c r="B154" s="278"/>
      <c r="C154" s="278"/>
      <c r="D154" s="278"/>
      <c r="E154" s="132"/>
      <c r="F154" s="116"/>
      <c r="G154" s="116"/>
      <c r="H154" s="116"/>
      <c r="I154" s="373"/>
      <c r="J154" s="147"/>
      <c r="K154" s="116"/>
      <c r="L154" s="116"/>
      <c r="M154" s="116"/>
      <c r="N154" s="116"/>
      <c r="O154" s="116"/>
      <c r="P154" s="116"/>
      <c r="Q154" s="116"/>
      <c r="R154" s="116"/>
      <c r="S154" s="116"/>
      <c r="T154" s="116"/>
      <c r="U154" s="116"/>
      <c r="V154" s="116"/>
      <c r="W154" s="116"/>
      <c r="X154" s="278"/>
      <c r="Y154" s="142"/>
      <c r="Z154" s="142"/>
      <c r="AA154" s="142"/>
      <c r="AB154" s="142"/>
      <c r="AC154" s="142"/>
      <c r="AD154" s="142"/>
      <c r="AE154" s="142"/>
      <c r="AF154" s="130"/>
      <c r="AG154" s="142"/>
      <c r="AH154" s="142"/>
      <c r="AI154" s="142"/>
      <c r="AJ154" s="130"/>
      <c r="AK154" s="130"/>
      <c r="AL154" s="130"/>
      <c r="AM154" s="130"/>
    </row>
    <row r="155" ht="15.75" customHeight="1">
      <c r="A155" s="278"/>
      <c r="B155" s="278"/>
      <c r="C155" s="278"/>
      <c r="D155" s="278"/>
      <c r="E155" s="132"/>
      <c r="F155" s="116"/>
      <c r="G155" s="116"/>
      <c r="H155" s="116"/>
      <c r="I155" s="373"/>
      <c r="J155" s="147"/>
      <c r="K155" s="116"/>
      <c r="L155" s="116"/>
      <c r="M155" s="116"/>
      <c r="N155" s="116"/>
      <c r="O155" s="116"/>
      <c r="P155" s="116"/>
      <c r="Q155" s="116"/>
      <c r="R155" s="116"/>
      <c r="S155" s="116"/>
      <c r="T155" s="116"/>
      <c r="U155" s="116"/>
      <c r="V155" s="116"/>
      <c r="W155" s="116"/>
      <c r="X155" s="278"/>
      <c r="Y155" s="142"/>
      <c r="Z155" s="142"/>
      <c r="AA155" s="142"/>
      <c r="AB155" s="142"/>
      <c r="AC155" s="142"/>
      <c r="AD155" s="142"/>
      <c r="AE155" s="142"/>
      <c r="AF155" s="130"/>
      <c r="AG155" s="142"/>
      <c r="AH155" s="142"/>
      <c r="AI155" s="142"/>
      <c r="AJ155" s="130"/>
      <c r="AK155" s="130"/>
      <c r="AL155" s="130"/>
      <c r="AM155" s="130"/>
    </row>
    <row r="156" ht="15.75" customHeight="1">
      <c r="A156" s="278"/>
      <c r="B156" s="278"/>
      <c r="C156" s="278"/>
      <c r="D156" s="278"/>
      <c r="E156" s="132"/>
      <c r="F156" s="116"/>
      <c r="G156" s="116"/>
      <c r="H156" s="116"/>
      <c r="I156" s="373"/>
      <c r="J156" s="147"/>
      <c r="K156" s="116"/>
      <c r="L156" s="116"/>
      <c r="M156" s="116"/>
      <c r="N156" s="116"/>
      <c r="O156" s="116"/>
      <c r="P156" s="116"/>
      <c r="Q156" s="116"/>
      <c r="R156" s="116"/>
      <c r="S156" s="116"/>
      <c r="T156" s="116"/>
      <c r="U156" s="116"/>
      <c r="V156" s="116"/>
      <c r="W156" s="116"/>
      <c r="X156" s="278"/>
      <c r="Y156" s="142"/>
      <c r="Z156" s="142"/>
      <c r="AA156" s="142"/>
      <c r="AB156" s="142"/>
      <c r="AC156" s="142"/>
      <c r="AD156" s="142"/>
      <c r="AE156" s="142"/>
      <c r="AF156" s="130"/>
      <c r="AG156" s="142"/>
      <c r="AH156" s="142"/>
      <c r="AI156" s="142"/>
      <c r="AJ156" s="130"/>
      <c r="AK156" s="130"/>
      <c r="AL156" s="130"/>
      <c r="AM156" s="130"/>
    </row>
    <row r="157" ht="15.75" customHeight="1">
      <c r="A157" s="278"/>
      <c r="B157" s="278"/>
      <c r="C157" s="278"/>
      <c r="D157" s="278"/>
      <c r="E157" s="132"/>
      <c r="F157" s="116"/>
      <c r="G157" s="116"/>
      <c r="H157" s="116"/>
      <c r="I157" s="373"/>
      <c r="J157" s="147"/>
      <c r="K157" s="116"/>
      <c r="L157" s="116"/>
      <c r="M157" s="116"/>
      <c r="N157" s="116"/>
      <c r="O157" s="116"/>
      <c r="P157" s="116"/>
      <c r="Q157" s="116"/>
      <c r="R157" s="116"/>
      <c r="S157" s="116"/>
      <c r="T157" s="116"/>
      <c r="U157" s="116"/>
      <c r="V157" s="116"/>
      <c r="W157" s="116"/>
      <c r="X157" s="278"/>
      <c r="Y157" s="142"/>
      <c r="Z157" s="142"/>
      <c r="AA157" s="142"/>
      <c r="AB157" s="142"/>
      <c r="AC157" s="142"/>
      <c r="AD157" s="142"/>
      <c r="AE157" s="142"/>
      <c r="AF157" s="130"/>
      <c r="AG157" s="142"/>
      <c r="AH157" s="142"/>
      <c r="AI157" s="142"/>
      <c r="AJ157" s="130"/>
      <c r="AK157" s="130"/>
      <c r="AL157" s="130"/>
      <c r="AM157" s="130"/>
    </row>
    <row r="158" ht="15.75" customHeight="1">
      <c r="A158" s="278"/>
      <c r="B158" s="278"/>
      <c r="C158" s="278"/>
      <c r="D158" s="278"/>
      <c r="E158" s="132"/>
      <c r="F158" s="116"/>
      <c r="G158" s="116"/>
      <c r="H158" s="116"/>
      <c r="I158" s="373"/>
      <c r="J158" s="147"/>
      <c r="K158" s="116"/>
      <c r="L158" s="116"/>
      <c r="M158" s="116"/>
      <c r="N158" s="116"/>
      <c r="O158" s="116"/>
      <c r="P158" s="116"/>
      <c r="Q158" s="116"/>
      <c r="R158" s="116"/>
      <c r="S158" s="116"/>
      <c r="T158" s="116"/>
      <c r="U158" s="116"/>
      <c r="V158" s="116"/>
      <c r="W158" s="116"/>
      <c r="X158" s="278"/>
      <c r="Y158" s="142"/>
      <c r="Z158" s="142"/>
      <c r="AA158" s="142"/>
      <c r="AB158" s="142"/>
      <c r="AC158" s="142"/>
      <c r="AD158" s="142"/>
      <c r="AE158" s="142"/>
      <c r="AF158" s="130"/>
      <c r="AG158" s="142"/>
      <c r="AH158" s="142"/>
      <c r="AI158" s="142"/>
      <c r="AJ158" s="130"/>
      <c r="AK158" s="130"/>
      <c r="AL158" s="130"/>
      <c r="AM158" s="130"/>
    </row>
    <row r="159" ht="15.75" customHeight="1">
      <c r="A159" s="278"/>
      <c r="B159" s="278"/>
      <c r="C159" s="278"/>
      <c r="D159" s="278"/>
      <c r="E159" s="132"/>
      <c r="F159" s="116"/>
      <c r="G159" s="116"/>
      <c r="H159" s="116"/>
      <c r="I159" s="373"/>
      <c r="J159" s="147"/>
      <c r="K159" s="116"/>
      <c r="L159" s="116"/>
      <c r="M159" s="116"/>
      <c r="N159" s="116"/>
      <c r="O159" s="116"/>
      <c r="P159" s="116"/>
      <c r="Q159" s="116"/>
      <c r="R159" s="116"/>
      <c r="S159" s="116"/>
      <c r="T159" s="116"/>
      <c r="U159" s="116"/>
      <c r="V159" s="116"/>
      <c r="W159" s="116"/>
      <c r="X159" s="278"/>
      <c r="Y159" s="142"/>
      <c r="Z159" s="142"/>
      <c r="AA159" s="142"/>
      <c r="AB159" s="142"/>
      <c r="AC159" s="142"/>
      <c r="AD159" s="142"/>
      <c r="AE159" s="142"/>
      <c r="AF159" s="130"/>
      <c r="AG159" s="142"/>
      <c r="AH159" s="142"/>
      <c r="AI159" s="142"/>
      <c r="AJ159" s="130"/>
      <c r="AK159" s="130"/>
      <c r="AL159" s="130"/>
      <c r="AM159" s="130"/>
    </row>
    <row r="160" ht="15.75" customHeight="1">
      <c r="A160" s="278"/>
      <c r="B160" s="278"/>
      <c r="C160" s="278"/>
      <c r="D160" s="278"/>
      <c r="E160" s="132"/>
      <c r="F160" s="116"/>
      <c r="G160" s="116"/>
      <c r="H160" s="116"/>
      <c r="I160" s="373"/>
      <c r="J160" s="147"/>
      <c r="K160" s="116"/>
      <c r="L160" s="116"/>
      <c r="M160" s="116"/>
      <c r="N160" s="116"/>
      <c r="O160" s="116"/>
      <c r="P160" s="116"/>
      <c r="Q160" s="116"/>
      <c r="R160" s="116"/>
      <c r="S160" s="116"/>
      <c r="T160" s="116"/>
      <c r="U160" s="116"/>
      <c r="V160" s="116"/>
      <c r="W160" s="116"/>
      <c r="X160" s="278"/>
      <c r="Y160" s="142"/>
      <c r="Z160" s="142"/>
      <c r="AA160" s="142"/>
      <c r="AB160" s="142"/>
      <c r="AC160" s="142"/>
      <c r="AD160" s="142"/>
      <c r="AE160" s="142"/>
      <c r="AF160" s="130"/>
      <c r="AG160" s="142"/>
      <c r="AH160" s="142"/>
      <c r="AI160" s="142"/>
      <c r="AJ160" s="130"/>
      <c r="AK160" s="130"/>
      <c r="AL160" s="130"/>
      <c r="AM160" s="130"/>
    </row>
    <row r="161" ht="15.75" customHeight="1">
      <c r="A161" s="278"/>
      <c r="B161" s="278"/>
      <c r="C161" s="278"/>
      <c r="D161" s="278"/>
      <c r="E161" s="132"/>
      <c r="F161" s="116"/>
      <c r="G161" s="116"/>
      <c r="H161" s="116"/>
      <c r="I161" s="373"/>
      <c r="J161" s="147"/>
      <c r="K161" s="116"/>
      <c r="L161" s="116"/>
      <c r="M161" s="116"/>
      <c r="N161" s="116"/>
      <c r="O161" s="116"/>
      <c r="P161" s="116"/>
      <c r="Q161" s="116"/>
      <c r="R161" s="116"/>
      <c r="S161" s="116"/>
      <c r="T161" s="116"/>
      <c r="U161" s="116"/>
      <c r="V161" s="116"/>
      <c r="W161" s="116"/>
      <c r="X161" s="278"/>
      <c r="Y161" s="142"/>
      <c r="Z161" s="142"/>
      <c r="AA161" s="142"/>
      <c r="AB161" s="142"/>
      <c r="AC161" s="142"/>
      <c r="AD161" s="142"/>
      <c r="AE161" s="142"/>
      <c r="AF161" s="130"/>
      <c r="AG161" s="142"/>
      <c r="AH161" s="142"/>
      <c r="AI161" s="142"/>
      <c r="AJ161" s="130"/>
      <c r="AK161" s="130"/>
      <c r="AL161" s="130"/>
      <c r="AM161" s="130"/>
    </row>
    <row r="162" ht="15.75" customHeight="1">
      <c r="A162" s="278"/>
      <c r="B162" s="278"/>
      <c r="C162" s="278"/>
      <c r="D162" s="278"/>
      <c r="E162" s="132"/>
      <c r="F162" s="116"/>
      <c r="G162" s="116"/>
      <c r="H162" s="116"/>
      <c r="I162" s="373"/>
      <c r="J162" s="147"/>
      <c r="K162" s="116"/>
      <c r="L162" s="116"/>
      <c r="M162" s="116"/>
      <c r="N162" s="116"/>
      <c r="O162" s="116"/>
      <c r="P162" s="116"/>
      <c r="Q162" s="116"/>
      <c r="R162" s="116"/>
      <c r="S162" s="116"/>
      <c r="T162" s="116"/>
      <c r="U162" s="116"/>
      <c r="V162" s="116"/>
      <c r="W162" s="116"/>
      <c r="X162" s="278"/>
      <c r="Y162" s="142"/>
      <c r="Z162" s="142"/>
      <c r="AA162" s="142"/>
      <c r="AB162" s="142"/>
      <c r="AC162" s="142"/>
      <c r="AD162" s="142"/>
      <c r="AE162" s="142"/>
      <c r="AF162" s="130"/>
      <c r="AG162" s="142"/>
      <c r="AH162" s="142"/>
      <c r="AI162" s="142"/>
      <c r="AJ162" s="130"/>
      <c r="AK162" s="130"/>
      <c r="AL162" s="130"/>
      <c r="AM162" s="130"/>
    </row>
    <row r="163" ht="15.75" customHeight="1">
      <c r="A163" s="278"/>
      <c r="B163" s="278"/>
      <c r="C163" s="278"/>
      <c r="D163" s="278"/>
      <c r="E163" s="132"/>
      <c r="F163" s="116"/>
      <c r="G163" s="116"/>
      <c r="H163" s="116"/>
      <c r="I163" s="373"/>
      <c r="J163" s="147"/>
      <c r="K163" s="116"/>
      <c r="L163" s="116"/>
      <c r="M163" s="116"/>
      <c r="N163" s="116"/>
      <c r="O163" s="116"/>
      <c r="P163" s="116"/>
      <c r="Q163" s="116"/>
      <c r="R163" s="116"/>
      <c r="S163" s="116"/>
      <c r="T163" s="116"/>
      <c r="U163" s="116"/>
      <c r="V163" s="116"/>
      <c r="W163" s="116"/>
      <c r="X163" s="278"/>
      <c r="Y163" s="142"/>
      <c r="Z163" s="142"/>
      <c r="AA163" s="142"/>
      <c r="AB163" s="142"/>
      <c r="AC163" s="142"/>
      <c r="AD163" s="142"/>
      <c r="AE163" s="142"/>
      <c r="AF163" s="130"/>
      <c r="AG163" s="142"/>
      <c r="AH163" s="142"/>
      <c r="AI163" s="142"/>
      <c r="AJ163" s="130"/>
      <c r="AK163" s="130"/>
      <c r="AL163" s="130"/>
      <c r="AM163" s="130"/>
    </row>
    <row r="164" ht="15.75" customHeight="1">
      <c r="A164" s="278"/>
      <c r="B164" s="278"/>
      <c r="C164" s="278"/>
      <c r="D164" s="278"/>
      <c r="E164" s="132"/>
      <c r="F164" s="116"/>
      <c r="G164" s="116"/>
      <c r="H164" s="116"/>
      <c r="I164" s="373"/>
      <c r="J164" s="147"/>
      <c r="K164" s="116"/>
      <c r="L164" s="116"/>
      <c r="M164" s="116"/>
      <c r="N164" s="116"/>
      <c r="O164" s="116"/>
      <c r="P164" s="116"/>
      <c r="Q164" s="116"/>
      <c r="R164" s="116"/>
      <c r="S164" s="116"/>
      <c r="T164" s="116"/>
      <c r="U164" s="116"/>
      <c r="V164" s="116"/>
      <c r="W164" s="116"/>
      <c r="X164" s="278"/>
      <c r="Y164" s="142"/>
      <c r="Z164" s="142"/>
      <c r="AA164" s="142"/>
      <c r="AB164" s="142"/>
      <c r="AC164" s="142"/>
      <c r="AD164" s="142"/>
      <c r="AE164" s="142"/>
      <c r="AF164" s="130"/>
      <c r="AG164" s="142"/>
      <c r="AH164" s="142"/>
      <c r="AI164" s="142"/>
      <c r="AJ164" s="130"/>
      <c r="AK164" s="130"/>
      <c r="AL164" s="130"/>
      <c r="AM164" s="130"/>
    </row>
    <row r="165" ht="15.75" customHeight="1">
      <c r="A165" s="278"/>
      <c r="B165" s="278"/>
      <c r="C165" s="278"/>
      <c r="D165" s="278"/>
      <c r="E165" s="132"/>
      <c r="F165" s="116"/>
      <c r="G165" s="116"/>
      <c r="H165" s="116"/>
      <c r="I165" s="373"/>
      <c r="J165" s="147"/>
      <c r="K165" s="116"/>
      <c r="L165" s="116"/>
      <c r="M165" s="116"/>
      <c r="N165" s="116"/>
      <c r="O165" s="116"/>
      <c r="P165" s="116"/>
      <c r="Q165" s="116"/>
      <c r="R165" s="116"/>
      <c r="S165" s="116"/>
      <c r="T165" s="116"/>
      <c r="U165" s="116"/>
      <c r="V165" s="116"/>
      <c r="W165" s="116"/>
      <c r="X165" s="278"/>
      <c r="Y165" s="142"/>
      <c r="Z165" s="142"/>
      <c r="AA165" s="142"/>
      <c r="AB165" s="142"/>
      <c r="AC165" s="142"/>
      <c r="AD165" s="142"/>
      <c r="AE165" s="142"/>
      <c r="AF165" s="130"/>
      <c r="AG165" s="142"/>
      <c r="AH165" s="142"/>
      <c r="AI165" s="142"/>
      <c r="AJ165" s="130"/>
      <c r="AK165" s="130"/>
      <c r="AL165" s="130"/>
      <c r="AM165" s="130"/>
    </row>
    <row r="166" ht="15.75" customHeight="1">
      <c r="A166" s="278"/>
      <c r="B166" s="278"/>
      <c r="C166" s="278"/>
      <c r="D166" s="278"/>
      <c r="E166" s="132"/>
      <c r="F166" s="116"/>
      <c r="G166" s="116"/>
      <c r="H166" s="116"/>
      <c r="I166" s="373"/>
      <c r="J166" s="147"/>
      <c r="K166" s="116"/>
      <c r="L166" s="116"/>
      <c r="M166" s="116"/>
      <c r="N166" s="116"/>
      <c r="O166" s="116"/>
      <c r="P166" s="116"/>
      <c r="Q166" s="116"/>
      <c r="R166" s="116"/>
      <c r="S166" s="116"/>
      <c r="T166" s="116"/>
      <c r="U166" s="116"/>
      <c r="V166" s="116"/>
      <c r="W166" s="116"/>
      <c r="X166" s="278"/>
      <c r="Y166" s="142"/>
      <c r="Z166" s="142"/>
      <c r="AA166" s="142"/>
      <c r="AB166" s="142"/>
      <c r="AC166" s="142"/>
      <c r="AD166" s="142"/>
      <c r="AE166" s="142"/>
      <c r="AF166" s="130"/>
      <c r="AG166" s="142"/>
      <c r="AH166" s="142"/>
      <c r="AI166" s="142"/>
      <c r="AJ166" s="130"/>
      <c r="AK166" s="130"/>
      <c r="AL166" s="130"/>
      <c r="AM166" s="130"/>
    </row>
    <row r="167" ht="15.75" customHeight="1">
      <c r="A167" s="278"/>
      <c r="B167" s="278"/>
      <c r="C167" s="278"/>
      <c r="D167" s="278"/>
      <c r="E167" s="132"/>
      <c r="F167" s="116"/>
      <c r="G167" s="116"/>
      <c r="H167" s="116"/>
      <c r="I167" s="373"/>
      <c r="J167" s="147"/>
      <c r="K167" s="116"/>
      <c r="L167" s="116"/>
      <c r="M167" s="116"/>
      <c r="N167" s="116"/>
      <c r="O167" s="116"/>
      <c r="P167" s="116"/>
      <c r="Q167" s="116"/>
      <c r="R167" s="116"/>
      <c r="S167" s="116"/>
      <c r="T167" s="116"/>
      <c r="U167" s="116"/>
      <c r="V167" s="116"/>
      <c r="W167" s="116"/>
      <c r="X167" s="278"/>
      <c r="Y167" s="142"/>
      <c r="Z167" s="142"/>
      <c r="AA167" s="142"/>
      <c r="AB167" s="142"/>
      <c r="AC167" s="142"/>
      <c r="AD167" s="142"/>
      <c r="AE167" s="142"/>
      <c r="AF167" s="130"/>
      <c r="AG167" s="142"/>
      <c r="AH167" s="142"/>
      <c r="AI167" s="142"/>
      <c r="AJ167" s="130"/>
      <c r="AK167" s="130"/>
      <c r="AL167" s="130"/>
      <c r="AM167" s="130"/>
    </row>
    <row r="168" ht="15.75" customHeight="1">
      <c r="A168" s="278"/>
      <c r="B168" s="278"/>
      <c r="C168" s="278"/>
      <c r="D168" s="278"/>
      <c r="E168" s="132"/>
      <c r="F168" s="116"/>
      <c r="G168" s="116"/>
      <c r="H168" s="116"/>
      <c r="I168" s="373"/>
      <c r="J168" s="147"/>
      <c r="K168" s="116"/>
      <c r="L168" s="116"/>
      <c r="M168" s="116"/>
      <c r="N168" s="116"/>
      <c r="O168" s="116"/>
      <c r="P168" s="116"/>
      <c r="Q168" s="116"/>
      <c r="R168" s="116"/>
      <c r="S168" s="116"/>
      <c r="T168" s="116"/>
      <c r="U168" s="116"/>
      <c r="V168" s="116"/>
      <c r="W168" s="116"/>
      <c r="X168" s="278"/>
      <c r="Y168" s="142"/>
      <c r="Z168" s="142"/>
      <c r="AA168" s="142"/>
      <c r="AB168" s="142"/>
      <c r="AC168" s="142"/>
      <c r="AD168" s="142"/>
      <c r="AE168" s="142"/>
      <c r="AF168" s="130"/>
      <c r="AG168" s="142"/>
      <c r="AH168" s="142"/>
      <c r="AI168" s="142"/>
      <c r="AJ168" s="130"/>
      <c r="AK168" s="130"/>
      <c r="AL168" s="130"/>
      <c r="AM168" s="130"/>
    </row>
    <row r="169" ht="15.75" customHeight="1">
      <c r="A169" s="278"/>
      <c r="B169" s="278"/>
      <c r="C169" s="278"/>
      <c r="D169" s="278"/>
      <c r="E169" s="132"/>
      <c r="F169" s="116"/>
      <c r="G169" s="116"/>
      <c r="H169" s="116"/>
      <c r="I169" s="373"/>
      <c r="J169" s="147"/>
      <c r="K169" s="116"/>
      <c r="L169" s="116"/>
      <c r="M169" s="116"/>
      <c r="N169" s="116"/>
      <c r="O169" s="116"/>
      <c r="P169" s="116"/>
      <c r="Q169" s="116"/>
      <c r="R169" s="116"/>
      <c r="S169" s="116"/>
      <c r="T169" s="116"/>
      <c r="U169" s="116"/>
      <c r="V169" s="116"/>
      <c r="W169" s="116"/>
      <c r="X169" s="278"/>
      <c r="Y169" s="142"/>
      <c r="Z169" s="142"/>
      <c r="AA169" s="142"/>
      <c r="AB169" s="142"/>
      <c r="AC169" s="142"/>
      <c r="AD169" s="142"/>
      <c r="AE169" s="142"/>
      <c r="AF169" s="130"/>
      <c r="AG169" s="142"/>
      <c r="AH169" s="142"/>
      <c r="AI169" s="142"/>
      <c r="AJ169" s="130"/>
      <c r="AK169" s="130"/>
      <c r="AL169" s="130"/>
      <c r="AM169" s="130"/>
    </row>
    <row r="170" ht="15.75" customHeight="1">
      <c r="A170" s="278"/>
      <c r="B170" s="278"/>
      <c r="C170" s="278"/>
      <c r="D170" s="278"/>
      <c r="E170" s="132"/>
      <c r="F170" s="116"/>
      <c r="G170" s="116"/>
      <c r="H170" s="116"/>
      <c r="I170" s="373"/>
      <c r="J170" s="147"/>
      <c r="K170" s="116"/>
      <c r="L170" s="116"/>
      <c r="M170" s="116"/>
      <c r="N170" s="116"/>
      <c r="O170" s="116"/>
      <c r="P170" s="116"/>
      <c r="Q170" s="116"/>
      <c r="R170" s="116"/>
      <c r="S170" s="116"/>
      <c r="T170" s="116"/>
      <c r="U170" s="116"/>
      <c r="V170" s="116"/>
      <c r="W170" s="116"/>
      <c r="X170" s="278"/>
      <c r="Y170" s="142"/>
      <c r="Z170" s="142"/>
      <c r="AA170" s="142"/>
      <c r="AB170" s="142"/>
      <c r="AC170" s="142"/>
      <c r="AD170" s="142"/>
      <c r="AE170" s="142"/>
      <c r="AF170" s="130"/>
      <c r="AG170" s="142"/>
      <c r="AH170" s="142"/>
      <c r="AI170" s="142"/>
      <c r="AJ170" s="130"/>
      <c r="AK170" s="130"/>
      <c r="AL170" s="130"/>
      <c r="AM170" s="130"/>
    </row>
    <row r="171" ht="15.75" customHeight="1">
      <c r="A171" s="278"/>
      <c r="B171" s="278"/>
      <c r="C171" s="278"/>
      <c r="D171" s="278"/>
      <c r="E171" s="132"/>
      <c r="F171" s="116"/>
      <c r="G171" s="116"/>
      <c r="H171" s="116"/>
      <c r="I171" s="373"/>
      <c r="J171" s="147"/>
      <c r="K171" s="116"/>
      <c r="L171" s="116"/>
      <c r="M171" s="116"/>
      <c r="N171" s="116"/>
      <c r="O171" s="116"/>
      <c r="P171" s="116"/>
      <c r="Q171" s="116"/>
      <c r="R171" s="116"/>
      <c r="S171" s="116"/>
      <c r="T171" s="116"/>
      <c r="U171" s="116"/>
      <c r="V171" s="116"/>
      <c r="W171" s="116"/>
      <c r="X171" s="278"/>
      <c r="Y171" s="142"/>
      <c r="Z171" s="142"/>
      <c r="AA171" s="142"/>
      <c r="AB171" s="142"/>
      <c r="AC171" s="142"/>
      <c r="AD171" s="142"/>
      <c r="AE171" s="142"/>
      <c r="AF171" s="130"/>
      <c r="AG171" s="142"/>
      <c r="AH171" s="142"/>
      <c r="AI171" s="142"/>
      <c r="AJ171" s="130"/>
      <c r="AK171" s="130"/>
      <c r="AL171" s="130"/>
      <c r="AM171" s="130"/>
    </row>
    <row r="172" ht="15.75" customHeight="1">
      <c r="A172" s="278"/>
      <c r="B172" s="278"/>
      <c r="C172" s="278"/>
      <c r="D172" s="278"/>
      <c r="E172" s="132"/>
      <c r="F172" s="116"/>
      <c r="G172" s="116"/>
      <c r="H172" s="116"/>
      <c r="I172" s="373"/>
      <c r="J172" s="147"/>
      <c r="K172" s="116"/>
      <c r="L172" s="116"/>
      <c r="M172" s="116"/>
      <c r="N172" s="116"/>
      <c r="O172" s="116"/>
      <c r="P172" s="116"/>
      <c r="Q172" s="116"/>
      <c r="R172" s="116"/>
      <c r="S172" s="116"/>
      <c r="T172" s="116"/>
      <c r="U172" s="116"/>
      <c r="V172" s="116"/>
      <c r="W172" s="116"/>
      <c r="X172" s="278"/>
      <c r="Y172" s="142"/>
      <c r="Z172" s="142"/>
      <c r="AA172" s="142"/>
      <c r="AB172" s="142"/>
      <c r="AC172" s="142"/>
      <c r="AD172" s="142"/>
      <c r="AE172" s="142"/>
      <c r="AF172" s="130"/>
      <c r="AG172" s="142"/>
      <c r="AH172" s="142"/>
      <c r="AI172" s="142"/>
      <c r="AJ172" s="130"/>
      <c r="AK172" s="130"/>
      <c r="AL172" s="130"/>
      <c r="AM172" s="130"/>
    </row>
    <row r="173" ht="15.75" customHeight="1">
      <c r="A173" s="278"/>
      <c r="B173" s="278"/>
      <c r="C173" s="278"/>
      <c r="D173" s="278"/>
      <c r="E173" s="132"/>
      <c r="F173" s="116"/>
      <c r="G173" s="116"/>
      <c r="H173" s="116"/>
      <c r="I173" s="373"/>
      <c r="J173" s="147"/>
      <c r="K173" s="116"/>
      <c r="L173" s="116"/>
      <c r="M173" s="116"/>
      <c r="N173" s="116"/>
      <c r="O173" s="116"/>
      <c r="P173" s="116"/>
      <c r="Q173" s="116"/>
      <c r="R173" s="116"/>
      <c r="S173" s="116"/>
      <c r="T173" s="116"/>
      <c r="U173" s="116"/>
      <c r="V173" s="116"/>
      <c r="W173" s="116"/>
      <c r="X173" s="278"/>
      <c r="Y173" s="142"/>
      <c r="Z173" s="142"/>
      <c r="AA173" s="142"/>
      <c r="AB173" s="142"/>
      <c r="AC173" s="142"/>
      <c r="AD173" s="142"/>
      <c r="AE173" s="142"/>
      <c r="AF173" s="130"/>
      <c r="AG173" s="142"/>
      <c r="AH173" s="142"/>
      <c r="AI173" s="142"/>
      <c r="AJ173" s="130"/>
      <c r="AK173" s="130"/>
      <c r="AL173" s="130"/>
      <c r="AM173" s="130"/>
    </row>
    <row r="174" ht="15.75" customHeight="1">
      <c r="A174" s="278"/>
      <c r="B174" s="278"/>
      <c r="C174" s="278"/>
      <c r="D174" s="278"/>
      <c r="E174" s="132"/>
      <c r="F174" s="116"/>
      <c r="G174" s="116"/>
      <c r="H174" s="116"/>
      <c r="I174" s="373"/>
      <c r="J174" s="147"/>
      <c r="K174" s="116"/>
      <c r="L174" s="116"/>
      <c r="M174" s="116"/>
      <c r="N174" s="116"/>
      <c r="O174" s="116"/>
      <c r="P174" s="116"/>
      <c r="Q174" s="116"/>
      <c r="R174" s="116"/>
      <c r="S174" s="116"/>
      <c r="T174" s="116"/>
      <c r="U174" s="116"/>
      <c r="V174" s="116"/>
      <c r="W174" s="116"/>
      <c r="X174" s="278"/>
      <c r="Y174" s="142"/>
      <c r="Z174" s="142"/>
      <c r="AA174" s="142"/>
      <c r="AB174" s="142"/>
      <c r="AC174" s="142"/>
      <c r="AD174" s="142"/>
      <c r="AE174" s="142"/>
      <c r="AF174" s="130"/>
      <c r="AG174" s="142"/>
      <c r="AH174" s="142"/>
      <c r="AI174" s="142"/>
      <c r="AJ174" s="130"/>
      <c r="AK174" s="130"/>
      <c r="AL174" s="130"/>
      <c r="AM174" s="130"/>
    </row>
    <row r="175" ht="15.75" customHeight="1">
      <c r="A175" s="278"/>
      <c r="B175" s="278"/>
      <c r="C175" s="278"/>
      <c r="D175" s="278"/>
      <c r="E175" s="132"/>
      <c r="F175" s="116"/>
      <c r="G175" s="116"/>
      <c r="H175" s="116"/>
      <c r="I175" s="373"/>
      <c r="J175" s="147"/>
      <c r="K175" s="116"/>
      <c r="L175" s="116"/>
      <c r="M175" s="116"/>
      <c r="N175" s="116"/>
      <c r="O175" s="116"/>
      <c r="P175" s="116"/>
      <c r="Q175" s="116"/>
      <c r="R175" s="116"/>
      <c r="S175" s="116"/>
      <c r="T175" s="116"/>
      <c r="U175" s="116"/>
      <c r="V175" s="116"/>
      <c r="W175" s="116"/>
      <c r="X175" s="278"/>
      <c r="Y175" s="142"/>
      <c r="Z175" s="142"/>
      <c r="AA175" s="142"/>
      <c r="AB175" s="142"/>
      <c r="AC175" s="142"/>
      <c r="AD175" s="142"/>
      <c r="AE175" s="142"/>
      <c r="AF175" s="130"/>
      <c r="AG175" s="142"/>
      <c r="AH175" s="142"/>
      <c r="AI175" s="142"/>
      <c r="AJ175" s="130"/>
      <c r="AK175" s="130"/>
      <c r="AL175" s="130"/>
      <c r="AM175" s="130"/>
    </row>
    <row r="176" ht="15.75" customHeight="1">
      <c r="A176" s="278"/>
      <c r="B176" s="278"/>
      <c r="C176" s="278"/>
      <c r="D176" s="278"/>
      <c r="E176" s="132"/>
      <c r="F176" s="116"/>
      <c r="G176" s="116"/>
      <c r="H176" s="116"/>
      <c r="I176" s="373"/>
      <c r="J176" s="147"/>
      <c r="K176" s="116"/>
      <c r="L176" s="116"/>
      <c r="M176" s="116"/>
      <c r="N176" s="116"/>
      <c r="O176" s="116"/>
      <c r="P176" s="116"/>
      <c r="Q176" s="116"/>
      <c r="R176" s="116"/>
      <c r="S176" s="116"/>
      <c r="T176" s="116"/>
      <c r="U176" s="116"/>
      <c r="V176" s="116"/>
      <c r="W176" s="116"/>
      <c r="X176" s="278"/>
      <c r="Y176" s="142"/>
      <c r="Z176" s="142"/>
      <c r="AA176" s="142"/>
      <c r="AB176" s="142"/>
      <c r="AC176" s="142"/>
      <c r="AD176" s="142"/>
      <c r="AE176" s="142"/>
      <c r="AF176" s="130"/>
      <c r="AG176" s="142"/>
      <c r="AH176" s="142"/>
      <c r="AI176" s="142"/>
      <c r="AJ176" s="130"/>
      <c r="AK176" s="130"/>
      <c r="AL176" s="130"/>
      <c r="AM176" s="130"/>
    </row>
    <row r="177" ht="15.75" customHeight="1">
      <c r="A177" s="278"/>
      <c r="B177" s="278"/>
      <c r="C177" s="278"/>
      <c r="D177" s="278"/>
      <c r="E177" s="132"/>
      <c r="F177" s="116"/>
      <c r="G177" s="116"/>
      <c r="H177" s="116"/>
      <c r="I177" s="373"/>
      <c r="J177" s="147"/>
      <c r="K177" s="116"/>
      <c r="L177" s="116"/>
      <c r="M177" s="116"/>
      <c r="N177" s="116"/>
      <c r="O177" s="116"/>
      <c r="P177" s="116"/>
      <c r="Q177" s="116"/>
      <c r="R177" s="116"/>
      <c r="S177" s="116"/>
      <c r="T177" s="116"/>
      <c r="U177" s="116"/>
      <c r="V177" s="116"/>
      <c r="W177" s="116"/>
      <c r="X177" s="278"/>
      <c r="Y177" s="142"/>
      <c r="Z177" s="142"/>
      <c r="AA177" s="142"/>
      <c r="AB177" s="142"/>
      <c r="AC177" s="142"/>
      <c r="AD177" s="142"/>
      <c r="AE177" s="142"/>
      <c r="AF177" s="130"/>
      <c r="AG177" s="142"/>
      <c r="AH177" s="142"/>
      <c r="AI177" s="142"/>
      <c r="AJ177" s="130"/>
      <c r="AK177" s="130"/>
      <c r="AL177" s="130"/>
      <c r="AM177" s="130"/>
    </row>
    <row r="178" ht="15.75" customHeight="1">
      <c r="A178" s="278"/>
      <c r="B178" s="278"/>
      <c r="C178" s="278"/>
      <c r="D178" s="278"/>
      <c r="E178" s="132"/>
      <c r="F178" s="116"/>
      <c r="G178" s="116"/>
      <c r="H178" s="116"/>
      <c r="I178" s="373"/>
      <c r="J178" s="147"/>
      <c r="K178" s="116"/>
      <c r="L178" s="116"/>
      <c r="M178" s="116"/>
      <c r="N178" s="116"/>
      <c r="O178" s="116"/>
      <c r="P178" s="116"/>
      <c r="Q178" s="116"/>
      <c r="R178" s="116"/>
      <c r="S178" s="116"/>
      <c r="T178" s="116"/>
      <c r="U178" s="116"/>
      <c r="V178" s="116"/>
      <c r="W178" s="116"/>
      <c r="X178" s="278"/>
      <c r="Y178" s="142"/>
      <c r="Z178" s="142"/>
      <c r="AA178" s="142"/>
      <c r="AB178" s="142"/>
      <c r="AC178" s="142"/>
      <c r="AD178" s="142"/>
      <c r="AE178" s="142"/>
      <c r="AF178" s="130"/>
      <c r="AG178" s="142"/>
      <c r="AH178" s="142"/>
      <c r="AI178" s="142"/>
      <c r="AJ178" s="130"/>
      <c r="AK178" s="130"/>
      <c r="AL178" s="130"/>
      <c r="AM178" s="130"/>
    </row>
    <row r="179" ht="15.75" customHeight="1">
      <c r="A179" s="278"/>
      <c r="B179" s="278"/>
      <c r="C179" s="278"/>
      <c r="D179" s="278"/>
      <c r="E179" s="132"/>
      <c r="F179" s="116"/>
      <c r="G179" s="116"/>
      <c r="H179" s="116"/>
      <c r="I179" s="373"/>
      <c r="J179" s="147"/>
      <c r="K179" s="116"/>
      <c r="L179" s="116"/>
      <c r="M179" s="116"/>
      <c r="N179" s="116"/>
      <c r="O179" s="116"/>
      <c r="P179" s="116"/>
      <c r="Q179" s="116"/>
      <c r="R179" s="116"/>
      <c r="S179" s="116"/>
      <c r="T179" s="116"/>
      <c r="U179" s="116"/>
      <c r="V179" s="116"/>
      <c r="W179" s="116"/>
      <c r="X179" s="278"/>
      <c r="Y179" s="142"/>
      <c r="Z179" s="142"/>
      <c r="AA179" s="142"/>
      <c r="AB179" s="142"/>
      <c r="AC179" s="142"/>
      <c r="AD179" s="142"/>
      <c r="AE179" s="142"/>
      <c r="AF179" s="130"/>
      <c r="AG179" s="142"/>
      <c r="AH179" s="142"/>
      <c r="AI179" s="142"/>
      <c r="AJ179" s="130"/>
      <c r="AK179" s="130"/>
      <c r="AL179" s="130"/>
      <c r="AM179" s="130"/>
    </row>
    <row r="180" ht="15.75" customHeight="1">
      <c r="A180" s="278"/>
      <c r="B180" s="278"/>
      <c r="C180" s="278"/>
      <c r="D180" s="278"/>
      <c r="E180" s="132"/>
      <c r="F180" s="116"/>
      <c r="G180" s="116"/>
      <c r="H180" s="116"/>
      <c r="I180" s="373"/>
      <c r="J180" s="147"/>
      <c r="K180" s="116"/>
      <c r="L180" s="116"/>
      <c r="M180" s="116"/>
      <c r="N180" s="116"/>
      <c r="O180" s="116"/>
      <c r="P180" s="116"/>
      <c r="Q180" s="116"/>
      <c r="R180" s="116"/>
      <c r="S180" s="116"/>
      <c r="T180" s="116"/>
      <c r="U180" s="116"/>
      <c r="V180" s="116"/>
      <c r="W180" s="116"/>
      <c r="X180" s="278"/>
      <c r="Y180" s="142"/>
      <c r="Z180" s="142"/>
      <c r="AA180" s="142"/>
      <c r="AB180" s="142"/>
      <c r="AC180" s="142"/>
      <c r="AD180" s="142"/>
      <c r="AE180" s="142"/>
      <c r="AF180" s="130"/>
      <c r="AG180" s="142"/>
      <c r="AH180" s="142"/>
      <c r="AI180" s="142"/>
      <c r="AJ180" s="130"/>
      <c r="AK180" s="130"/>
      <c r="AL180" s="130"/>
      <c r="AM180" s="130"/>
    </row>
    <row r="181" ht="15.75" customHeight="1">
      <c r="A181" s="278"/>
      <c r="B181" s="278"/>
      <c r="C181" s="278"/>
      <c r="D181" s="278"/>
      <c r="E181" s="132"/>
      <c r="F181" s="116"/>
      <c r="G181" s="116"/>
      <c r="H181" s="116"/>
      <c r="I181" s="373"/>
      <c r="J181" s="147"/>
      <c r="K181" s="116"/>
      <c r="L181" s="116"/>
      <c r="M181" s="116"/>
      <c r="N181" s="116"/>
      <c r="O181" s="116"/>
      <c r="P181" s="116"/>
      <c r="Q181" s="116"/>
      <c r="R181" s="116"/>
      <c r="S181" s="116"/>
      <c r="T181" s="116"/>
      <c r="U181" s="116"/>
      <c r="V181" s="116"/>
      <c r="W181" s="116"/>
      <c r="X181" s="278"/>
      <c r="Y181" s="142"/>
      <c r="Z181" s="142"/>
      <c r="AA181" s="142"/>
      <c r="AB181" s="142"/>
      <c r="AC181" s="142"/>
      <c r="AD181" s="142"/>
      <c r="AE181" s="142"/>
      <c r="AF181" s="130"/>
      <c r="AG181" s="142"/>
      <c r="AH181" s="142"/>
      <c r="AI181" s="142"/>
      <c r="AJ181" s="130"/>
      <c r="AK181" s="130"/>
      <c r="AL181" s="130"/>
      <c r="AM181" s="130"/>
    </row>
    <row r="182" ht="15.75" customHeight="1">
      <c r="A182" s="278"/>
      <c r="B182" s="278"/>
      <c r="C182" s="278"/>
      <c r="D182" s="278"/>
      <c r="E182" s="132"/>
      <c r="F182" s="116"/>
      <c r="G182" s="116"/>
      <c r="H182" s="116"/>
      <c r="I182" s="373"/>
      <c r="J182" s="147"/>
      <c r="K182" s="116"/>
      <c r="L182" s="116"/>
      <c r="M182" s="116"/>
      <c r="N182" s="116"/>
      <c r="O182" s="116"/>
      <c r="P182" s="116"/>
      <c r="Q182" s="116"/>
      <c r="R182" s="116"/>
      <c r="S182" s="116"/>
      <c r="T182" s="116"/>
      <c r="U182" s="116"/>
      <c r="V182" s="116"/>
      <c r="W182" s="116"/>
      <c r="X182" s="278"/>
      <c r="Y182" s="142"/>
      <c r="Z182" s="142"/>
      <c r="AA182" s="142"/>
      <c r="AB182" s="142"/>
      <c r="AC182" s="142"/>
      <c r="AD182" s="142"/>
      <c r="AE182" s="142"/>
      <c r="AF182" s="130"/>
      <c r="AG182" s="142"/>
      <c r="AH182" s="142"/>
      <c r="AI182" s="142"/>
      <c r="AJ182" s="130"/>
      <c r="AK182" s="130"/>
      <c r="AL182" s="130"/>
      <c r="AM182" s="130"/>
    </row>
    <row r="183" ht="15.75" customHeight="1">
      <c r="A183" s="278"/>
      <c r="B183" s="278"/>
      <c r="C183" s="278"/>
      <c r="D183" s="278"/>
      <c r="E183" s="132"/>
      <c r="F183" s="116"/>
      <c r="G183" s="116"/>
      <c r="H183" s="116"/>
      <c r="I183" s="373"/>
      <c r="J183" s="147"/>
      <c r="K183" s="116"/>
      <c r="L183" s="116"/>
      <c r="M183" s="116"/>
      <c r="N183" s="116"/>
      <c r="O183" s="116"/>
      <c r="P183" s="116"/>
      <c r="Q183" s="116"/>
      <c r="R183" s="116"/>
      <c r="S183" s="116"/>
      <c r="T183" s="116"/>
      <c r="U183" s="116"/>
      <c r="V183" s="116"/>
      <c r="W183" s="116"/>
      <c r="X183" s="278"/>
      <c r="Y183" s="142"/>
      <c r="Z183" s="142"/>
      <c r="AA183" s="142"/>
      <c r="AB183" s="142"/>
      <c r="AC183" s="142"/>
      <c r="AD183" s="142"/>
      <c r="AE183" s="142"/>
      <c r="AF183" s="130"/>
      <c r="AG183" s="142"/>
      <c r="AH183" s="142"/>
      <c r="AI183" s="142"/>
      <c r="AJ183" s="130"/>
      <c r="AK183" s="130"/>
      <c r="AL183" s="130"/>
      <c r="AM183" s="130"/>
    </row>
    <row r="184" ht="15.75" customHeight="1">
      <c r="A184" s="278"/>
      <c r="B184" s="278"/>
      <c r="C184" s="278"/>
      <c r="D184" s="278"/>
      <c r="E184" s="132"/>
      <c r="F184" s="116"/>
      <c r="G184" s="116"/>
      <c r="H184" s="116"/>
      <c r="I184" s="373"/>
      <c r="J184" s="147"/>
      <c r="K184" s="116"/>
      <c r="L184" s="116"/>
      <c r="M184" s="116"/>
      <c r="N184" s="116"/>
      <c r="O184" s="116"/>
      <c r="P184" s="116"/>
      <c r="Q184" s="116"/>
      <c r="R184" s="116"/>
      <c r="S184" s="116"/>
      <c r="T184" s="116"/>
      <c r="U184" s="116"/>
      <c r="V184" s="116"/>
      <c r="W184" s="116"/>
      <c r="X184" s="278"/>
      <c r="Y184" s="142"/>
      <c r="Z184" s="142"/>
      <c r="AA184" s="142"/>
      <c r="AB184" s="142"/>
      <c r="AC184" s="142"/>
      <c r="AD184" s="142"/>
      <c r="AE184" s="142"/>
      <c r="AF184" s="130"/>
      <c r="AG184" s="142"/>
      <c r="AH184" s="142"/>
      <c r="AI184" s="142"/>
      <c r="AJ184" s="130"/>
      <c r="AK184" s="130"/>
      <c r="AL184" s="130"/>
      <c r="AM184" s="130"/>
    </row>
    <row r="185" ht="15.75" customHeight="1">
      <c r="A185" s="278"/>
      <c r="B185" s="278"/>
      <c r="C185" s="278"/>
      <c r="D185" s="278"/>
      <c r="E185" s="132"/>
      <c r="F185" s="116"/>
      <c r="G185" s="116"/>
      <c r="H185" s="116"/>
      <c r="I185" s="373"/>
      <c r="J185" s="147"/>
      <c r="K185" s="116"/>
      <c r="L185" s="116"/>
      <c r="M185" s="116"/>
      <c r="N185" s="116"/>
      <c r="O185" s="116"/>
      <c r="P185" s="116"/>
      <c r="Q185" s="116"/>
      <c r="R185" s="116"/>
      <c r="S185" s="116"/>
      <c r="T185" s="116"/>
      <c r="U185" s="116"/>
      <c r="V185" s="116"/>
      <c r="W185" s="116"/>
      <c r="X185" s="278"/>
      <c r="Y185" s="142"/>
      <c r="Z185" s="142"/>
      <c r="AA185" s="142"/>
      <c r="AB185" s="142"/>
      <c r="AC185" s="142"/>
      <c r="AD185" s="142"/>
      <c r="AE185" s="142"/>
      <c r="AF185" s="130"/>
      <c r="AG185" s="142"/>
      <c r="AH185" s="142"/>
      <c r="AI185" s="142"/>
      <c r="AJ185" s="130"/>
      <c r="AK185" s="130"/>
      <c r="AL185" s="130"/>
      <c r="AM185" s="130"/>
    </row>
    <row r="186" ht="15.75" customHeight="1">
      <c r="A186" s="278"/>
      <c r="B186" s="278"/>
      <c r="C186" s="278"/>
      <c r="D186" s="278"/>
      <c r="E186" s="132"/>
      <c r="F186" s="116"/>
      <c r="G186" s="116"/>
      <c r="H186" s="116"/>
      <c r="I186" s="373"/>
      <c r="J186" s="147"/>
      <c r="K186" s="116"/>
      <c r="L186" s="116"/>
      <c r="M186" s="116"/>
      <c r="N186" s="116"/>
      <c r="O186" s="116"/>
      <c r="P186" s="116"/>
      <c r="Q186" s="116"/>
      <c r="R186" s="116"/>
      <c r="S186" s="116"/>
      <c r="T186" s="116"/>
      <c r="U186" s="116"/>
      <c r="V186" s="116"/>
      <c r="W186" s="116"/>
      <c r="X186" s="278"/>
      <c r="Y186" s="142"/>
      <c r="Z186" s="142"/>
      <c r="AA186" s="142"/>
      <c r="AB186" s="142"/>
      <c r="AC186" s="142"/>
      <c r="AD186" s="142"/>
      <c r="AE186" s="142"/>
      <c r="AF186" s="130"/>
      <c r="AG186" s="142"/>
      <c r="AH186" s="142"/>
      <c r="AI186" s="142"/>
      <c r="AJ186" s="130"/>
      <c r="AK186" s="130"/>
      <c r="AL186" s="130"/>
      <c r="AM186" s="130"/>
    </row>
    <row r="187" ht="15.75" customHeight="1">
      <c r="A187" s="278"/>
      <c r="B187" s="278"/>
      <c r="C187" s="278"/>
      <c r="D187" s="278"/>
      <c r="E187" s="132"/>
      <c r="F187" s="116"/>
      <c r="G187" s="116"/>
      <c r="H187" s="116"/>
      <c r="I187" s="373"/>
      <c r="J187" s="147"/>
      <c r="K187" s="116"/>
      <c r="L187" s="116"/>
      <c r="M187" s="116"/>
      <c r="N187" s="116"/>
      <c r="O187" s="116"/>
      <c r="P187" s="116"/>
      <c r="Q187" s="116"/>
      <c r="R187" s="116"/>
      <c r="S187" s="116"/>
      <c r="T187" s="116"/>
      <c r="U187" s="116"/>
      <c r="V187" s="116"/>
      <c r="W187" s="116"/>
      <c r="X187" s="278"/>
      <c r="Y187" s="142"/>
      <c r="Z187" s="142"/>
      <c r="AA187" s="142"/>
      <c r="AB187" s="142"/>
      <c r="AC187" s="142"/>
      <c r="AD187" s="142"/>
      <c r="AE187" s="142"/>
      <c r="AF187" s="130"/>
      <c r="AG187" s="142"/>
      <c r="AH187" s="142"/>
      <c r="AI187" s="142"/>
      <c r="AJ187" s="130"/>
      <c r="AK187" s="130"/>
      <c r="AL187" s="130"/>
      <c r="AM187" s="130"/>
    </row>
    <row r="188" ht="15.75" customHeight="1">
      <c r="A188" s="278"/>
      <c r="B188" s="278"/>
      <c r="C188" s="278"/>
      <c r="D188" s="278"/>
      <c r="E188" s="132"/>
      <c r="F188" s="116"/>
      <c r="G188" s="116"/>
      <c r="H188" s="116"/>
      <c r="I188" s="373"/>
      <c r="J188" s="147"/>
      <c r="K188" s="116"/>
      <c r="L188" s="116"/>
      <c r="M188" s="116"/>
      <c r="N188" s="116"/>
      <c r="O188" s="116"/>
      <c r="P188" s="116"/>
      <c r="Q188" s="116"/>
      <c r="R188" s="116"/>
      <c r="S188" s="116"/>
      <c r="T188" s="116"/>
      <c r="U188" s="116"/>
      <c r="V188" s="116"/>
      <c r="W188" s="116"/>
      <c r="X188" s="278"/>
      <c r="Y188" s="142"/>
      <c r="Z188" s="142"/>
      <c r="AA188" s="142"/>
      <c r="AB188" s="142"/>
      <c r="AC188" s="142"/>
      <c r="AD188" s="142"/>
      <c r="AE188" s="142"/>
      <c r="AF188" s="130"/>
      <c r="AG188" s="142"/>
      <c r="AH188" s="142"/>
      <c r="AI188" s="142"/>
      <c r="AJ188" s="130"/>
      <c r="AK188" s="130"/>
      <c r="AL188" s="130"/>
      <c r="AM188" s="130"/>
    </row>
    <row r="189" ht="15.75" customHeight="1">
      <c r="A189" s="278"/>
      <c r="B189" s="278"/>
      <c r="C189" s="278"/>
      <c r="D189" s="278"/>
      <c r="E189" s="132"/>
      <c r="F189" s="116"/>
      <c r="G189" s="116"/>
      <c r="H189" s="116"/>
      <c r="I189" s="373"/>
      <c r="J189" s="147"/>
      <c r="K189" s="116"/>
      <c r="L189" s="116"/>
      <c r="M189" s="116"/>
      <c r="N189" s="116"/>
      <c r="O189" s="116"/>
      <c r="P189" s="116"/>
      <c r="Q189" s="116"/>
      <c r="R189" s="116"/>
      <c r="S189" s="116"/>
      <c r="T189" s="116"/>
      <c r="U189" s="116"/>
      <c r="V189" s="116"/>
      <c r="W189" s="116"/>
      <c r="X189" s="278"/>
      <c r="Y189" s="142"/>
      <c r="Z189" s="142"/>
      <c r="AA189" s="142"/>
      <c r="AB189" s="142"/>
      <c r="AC189" s="142"/>
      <c r="AD189" s="142"/>
      <c r="AE189" s="142"/>
      <c r="AF189" s="130"/>
      <c r="AG189" s="142"/>
      <c r="AH189" s="142"/>
      <c r="AI189" s="142"/>
      <c r="AJ189" s="130"/>
      <c r="AK189" s="130"/>
      <c r="AL189" s="130"/>
      <c r="AM189" s="130"/>
    </row>
    <row r="190" ht="15.75" customHeight="1">
      <c r="A190" s="278"/>
      <c r="B190" s="278"/>
      <c r="C190" s="278"/>
      <c r="D190" s="278"/>
      <c r="E190" s="132"/>
      <c r="F190" s="116"/>
      <c r="G190" s="116"/>
      <c r="H190" s="116"/>
      <c r="I190" s="373"/>
      <c r="J190" s="147"/>
      <c r="K190" s="116"/>
      <c r="L190" s="116"/>
      <c r="M190" s="116"/>
      <c r="N190" s="116"/>
      <c r="O190" s="116"/>
      <c r="P190" s="116"/>
      <c r="Q190" s="116"/>
      <c r="R190" s="116"/>
      <c r="S190" s="116"/>
      <c r="T190" s="116"/>
      <c r="U190" s="116"/>
      <c r="V190" s="116"/>
      <c r="W190" s="116"/>
      <c r="X190" s="278"/>
      <c r="Y190" s="142"/>
      <c r="Z190" s="142"/>
      <c r="AA190" s="142"/>
      <c r="AB190" s="142"/>
      <c r="AC190" s="142"/>
      <c r="AD190" s="142"/>
      <c r="AE190" s="142"/>
      <c r="AF190" s="130"/>
      <c r="AG190" s="142"/>
      <c r="AH190" s="142"/>
      <c r="AI190" s="142"/>
      <c r="AJ190" s="130"/>
      <c r="AK190" s="130"/>
      <c r="AL190" s="130"/>
      <c r="AM190" s="130"/>
    </row>
    <row r="191" ht="15.75" customHeight="1">
      <c r="A191" s="278"/>
      <c r="B191" s="278"/>
      <c r="C191" s="278"/>
      <c r="D191" s="278"/>
      <c r="E191" s="132"/>
      <c r="F191" s="116"/>
      <c r="G191" s="116"/>
      <c r="H191" s="116"/>
      <c r="I191" s="373"/>
      <c r="J191" s="147"/>
      <c r="K191" s="116"/>
      <c r="L191" s="116"/>
      <c r="M191" s="116"/>
      <c r="N191" s="116"/>
      <c r="O191" s="116"/>
      <c r="P191" s="116"/>
      <c r="Q191" s="116"/>
      <c r="R191" s="116"/>
      <c r="S191" s="116"/>
      <c r="T191" s="116"/>
      <c r="U191" s="116"/>
      <c r="V191" s="116"/>
      <c r="W191" s="116"/>
      <c r="X191" s="278"/>
      <c r="Y191" s="142"/>
      <c r="Z191" s="142"/>
      <c r="AA191" s="142"/>
      <c r="AB191" s="142"/>
      <c r="AC191" s="142"/>
      <c r="AD191" s="142"/>
      <c r="AE191" s="142"/>
      <c r="AF191" s="130"/>
      <c r="AG191" s="142"/>
      <c r="AH191" s="142"/>
      <c r="AI191" s="142"/>
      <c r="AJ191" s="130"/>
      <c r="AK191" s="130"/>
      <c r="AL191" s="130"/>
      <c r="AM191" s="130"/>
    </row>
    <row r="192" ht="15.75" customHeight="1">
      <c r="A192" s="278"/>
      <c r="B192" s="278"/>
      <c r="C192" s="278"/>
      <c r="D192" s="278"/>
      <c r="E192" s="132"/>
      <c r="F192" s="116"/>
      <c r="G192" s="116"/>
      <c r="H192" s="116"/>
      <c r="I192" s="373"/>
      <c r="J192" s="147"/>
      <c r="K192" s="116"/>
      <c r="L192" s="116"/>
      <c r="M192" s="116"/>
      <c r="N192" s="116"/>
      <c r="O192" s="116"/>
      <c r="P192" s="116"/>
      <c r="Q192" s="116"/>
      <c r="R192" s="116"/>
      <c r="S192" s="116"/>
      <c r="T192" s="116"/>
      <c r="U192" s="116"/>
      <c r="V192" s="116"/>
      <c r="W192" s="116"/>
      <c r="X192" s="278"/>
      <c r="Y192" s="142"/>
      <c r="Z192" s="142"/>
      <c r="AA192" s="142"/>
      <c r="AB192" s="142"/>
      <c r="AC192" s="142"/>
      <c r="AD192" s="142"/>
      <c r="AE192" s="142"/>
      <c r="AF192" s="130"/>
      <c r="AG192" s="142"/>
      <c r="AH192" s="142"/>
      <c r="AI192" s="142"/>
      <c r="AJ192" s="130"/>
      <c r="AK192" s="130"/>
      <c r="AL192" s="130"/>
      <c r="AM192" s="130"/>
    </row>
    <row r="193" ht="15.75" customHeight="1">
      <c r="A193" s="278"/>
      <c r="B193" s="278"/>
      <c r="C193" s="278"/>
      <c r="D193" s="278"/>
      <c r="E193" s="132"/>
      <c r="F193" s="116"/>
      <c r="G193" s="116"/>
      <c r="H193" s="116"/>
      <c r="I193" s="373"/>
      <c r="J193" s="147"/>
      <c r="K193" s="116"/>
      <c r="L193" s="116"/>
      <c r="M193" s="116"/>
      <c r="N193" s="116"/>
      <c r="O193" s="116"/>
      <c r="P193" s="116"/>
      <c r="Q193" s="116"/>
      <c r="R193" s="116"/>
      <c r="S193" s="116"/>
      <c r="T193" s="116"/>
      <c r="U193" s="116"/>
      <c r="V193" s="116"/>
      <c r="W193" s="116"/>
      <c r="X193" s="278"/>
      <c r="Y193" s="142"/>
      <c r="Z193" s="142"/>
      <c r="AA193" s="142"/>
      <c r="AB193" s="142"/>
      <c r="AC193" s="142"/>
      <c r="AD193" s="142"/>
      <c r="AE193" s="142"/>
      <c r="AF193" s="130"/>
      <c r="AG193" s="142"/>
      <c r="AH193" s="142"/>
      <c r="AI193" s="142"/>
      <c r="AJ193" s="130"/>
      <c r="AK193" s="130"/>
      <c r="AL193" s="130"/>
      <c r="AM193" s="130"/>
    </row>
    <row r="194" ht="15.75" customHeight="1">
      <c r="A194" s="278"/>
      <c r="B194" s="278"/>
      <c r="C194" s="278"/>
      <c r="D194" s="278"/>
      <c r="E194" s="132"/>
      <c r="F194" s="116"/>
      <c r="G194" s="116"/>
      <c r="H194" s="116"/>
      <c r="I194" s="373"/>
      <c r="J194" s="147"/>
      <c r="K194" s="116"/>
      <c r="L194" s="116"/>
      <c r="M194" s="116"/>
      <c r="N194" s="116"/>
      <c r="O194" s="116"/>
      <c r="P194" s="116"/>
      <c r="Q194" s="116"/>
      <c r="R194" s="116"/>
      <c r="S194" s="116"/>
      <c r="T194" s="116"/>
      <c r="U194" s="116"/>
      <c r="V194" s="116"/>
      <c r="W194" s="116"/>
      <c r="X194" s="278"/>
      <c r="Y194" s="142"/>
      <c r="Z194" s="142"/>
      <c r="AA194" s="142"/>
      <c r="AB194" s="142"/>
      <c r="AC194" s="142"/>
      <c r="AD194" s="142"/>
      <c r="AE194" s="142"/>
      <c r="AF194" s="130"/>
      <c r="AG194" s="142"/>
      <c r="AH194" s="142"/>
      <c r="AI194" s="142"/>
      <c r="AJ194" s="130"/>
      <c r="AK194" s="130"/>
      <c r="AL194" s="130"/>
      <c r="AM194" s="130"/>
    </row>
    <row r="195" ht="15.75" customHeight="1">
      <c r="A195" s="278"/>
      <c r="B195" s="278"/>
      <c r="C195" s="278"/>
      <c r="D195" s="278"/>
      <c r="E195" s="132"/>
      <c r="F195" s="116"/>
      <c r="G195" s="116"/>
      <c r="H195" s="116"/>
      <c r="I195" s="373"/>
      <c r="J195" s="147"/>
      <c r="K195" s="116"/>
      <c r="L195" s="116"/>
      <c r="M195" s="116"/>
      <c r="N195" s="116"/>
      <c r="O195" s="116"/>
      <c r="P195" s="116"/>
      <c r="Q195" s="116"/>
      <c r="R195" s="116"/>
      <c r="S195" s="116"/>
      <c r="T195" s="116"/>
      <c r="U195" s="116"/>
      <c r="V195" s="116"/>
      <c r="W195" s="116"/>
      <c r="X195" s="278"/>
      <c r="Y195" s="142"/>
      <c r="Z195" s="142"/>
      <c r="AA195" s="142"/>
      <c r="AB195" s="142"/>
      <c r="AC195" s="142"/>
      <c r="AD195" s="142"/>
      <c r="AE195" s="142"/>
      <c r="AF195" s="130"/>
      <c r="AG195" s="142"/>
      <c r="AH195" s="142"/>
      <c r="AI195" s="142"/>
      <c r="AJ195" s="130"/>
      <c r="AK195" s="130"/>
      <c r="AL195" s="130"/>
      <c r="AM195" s="130"/>
    </row>
    <row r="196" ht="15.75" customHeight="1">
      <c r="A196" s="278"/>
      <c r="B196" s="278"/>
      <c r="C196" s="278"/>
      <c r="D196" s="278"/>
      <c r="E196" s="132"/>
      <c r="F196" s="116"/>
      <c r="G196" s="116"/>
      <c r="H196" s="116"/>
      <c r="I196" s="373"/>
      <c r="J196" s="147"/>
      <c r="K196" s="116"/>
      <c r="L196" s="116"/>
      <c r="M196" s="116"/>
      <c r="N196" s="116"/>
      <c r="O196" s="116"/>
      <c r="P196" s="116"/>
      <c r="Q196" s="116"/>
      <c r="R196" s="116"/>
      <c r="S196" s="116"/>
      <c r="T196" s="116"/>
      <c r="U196" s="116"/>
      <c r="V196" s="116"/>
      <c r="W196" s="116"/>
      <c r="X196" s="278"/>
      <c r="Y196" s="142"/>
      <c r="Z196" s="142"/>
      <c r="AA196" s="142"/>
      <c r="AB196" s="142"/>
      <c r="AC196" s="142"/>
      <c r="AD196" s="142"/>
      <c r="AE196" s="142"/>
      <c r="AF196" s="130"/>
      <c r="AG196" s="142"/>
      <c r="AH196" s="142"/>
      <c r="AI196" s="142"/>
      <c r="AJ196" s="130"/>
      <c r="AK196" s="130"/>
      <c r="AL196" s="130"/>
      <c r="AM196" s="130"/>
    </row>
    <row r="197" ht="15.75" customHeight="1">
      <c r="A197" s="278"/>
      <c r="B197" s="278"/>
      <c r="C197" s="278"/>
      <c r="D197" s="278"/>
      <c r="E197" s="132"/>
      <c r="F197" s="116"/>
      <c r="G197" s="116"/>
      <c r="H197" s="116"/>
      <c r="I197" s="373"/>
      <c r="J197" s="147"/>
      <c r="K197" s="116"/>
      <c r="L197" s="116"/>
      <c r="M197" s="116"/>
      <c r="N197" s="116"/>
      <c r="O197" s="116"/>
      <c r="P197" s="116"/>
      <c r="Q197" s="116"/>
      <c r="R197" s="116"/>
      <c r="S197" s="116"/>
      <c r="T197" s="116"/>
      <c r="U197" s="116"/>
      <c r="V197" s="116"/>
      <c r="W197" s="116"/>
      <c r="X197" s="278"/>
      <c r="Y197" s="142"/>
      <c r="Z197" s="142"/>
      <c r="AA197" s="142"/>
      <c r="AB197" s="142"/>
      <c r="AC197" s="142"/>
      <c r="AD197" s="142"/>
      <c r="AE197" s="142"/>
      <c r="AF197" s="130"/>
      <c r="AG197" s="142"/>
      <c r="AH197" s="142"/>
      <c r="AI197" s="142"/>
      <c r="AJ197" s="130"/>
      <c r="AK197" s="130"/>
      <c r="AL197" s="130"/>
      <c r="AM197" s="130"/>
    </row>
    <row r="198" ht="15.75" customHeight="1">
      <c r="A198" s="278"/>
      <c r="B198" s="278"/>
      <c r="C198" s="278"/>
      <c r="D198" s="278"/>
      <c r="E198" s="132"/>
      <c r="F198" s="116"/>
      <c r="G198" s="116"/>
      <c r="H198" s="116"/>
      <c r="I198" s="373"/>
      <c r="J198" s="147"/>
      <c r="K198" s="116"/>
      <c r="L198" s="116"/>
      <c r="M198" s="116"/>
      <c r="N198" s="116"/>
      <c r="O198" s="116"/>
      <c r="P198" s="116"/>
      <c r="Q198" s="116"/>
      <c r="R198" s="116"/>
      <c r="S198" s="116"/>
      <c r="T198" s="116"/>
      <c r="U198" s="116"/>
      <c r="V198" s="116"/>
      <c r="W198" s="116"/>
      <c r="X198" s="278"/>
      <c r="Y198" s="142"/>
      <c r="Z198" s="142"/>
      <c r="AA198" s="142"/>
      <c r="AB198" s="142"/>
      <c r="AC198" s="142"/>
      <c r="AD198" s="142"/>
      <c r="AE198" s="142"/>
      <c r="AF198" s="130"/>
      <c r="AG198" s="142"/>
      <c r="AH198" s="142"/>
      <c r="AI198" s="142"/>
      <c r="AJ198" s="130"/>
      <c r="AK198" s="130"/>
      <c r="AL198" s="130"/>
      <c r="AM198" s="130"/>
    </row>
    <row r="199" ht="15.75" customHeight="1">
      <c r="A199" s="278"/>
      <c r="B199" s="278"/>
      <c r="C199" s="278"/>
      <c r="D199" s="278"/>
      <c r="E199" s="132"/>
      <c r="F199" s="116"/>
      <c r="G199" s="116"/>
      <c r="H199" s="116"/>
      <c r="I199" s="373"/>
      <c r="J199" s="147"/>
      <c r="K199" s="116"/>
      <c r="L199" s="116"/>
      <c r="M199" s="116"/>
      <c r="N199" s="116"/>
      <c r="O199" s="116"/>
      <c r="P199" s="116"/>
      <c r="Q199" s="116"/>
      <c r="R199" s="116"/>
      <c r="S199" s="116"/>
      <c r="T199" s="116"/>
      <c r="U199" s="116"/>
      <c r="V199" s="116"/>
      <c r="W199" s="116"/>
      <c r="X199" s="278"/>
      <c r="Y199" s="142"/>
      <c r="Z199" s="142"/>
      <c r="AA199" s="142"/>
      <c r="AB199" s="142"/>
      <c r="AC199" s="142"/>
      <c r="AD199" s="142"/>
      <c r="AE199" s="142"/>
      <c r="AF199" s="130"/>
      <c r="AG199" s="142"/>
      <c r="AH199" s="142"/>
      <c r="AI199" s="142"/>
      <c r="AJ199" s="130"/>
      <c r="AK199" s="130"/>
      <c r="AL199" s="130"/>
      <c r="AM199" s="130"/>
    </row>
    <row r="200" ht="15.75" customHeight="1">
      <c r="A200" s="278"/>
      <c r="B200" s="278"/>
      <c r="C200" s="278"/>
      <c r="D200" s="278"/>
      <c r="E200" s="132"/>
      <c r="F200" s="116"/>
      <c r="G200" s="116"/>
      <c r="H200" s="116"/>
      <c r="I200" s="373"/>
      <c r="J200" s="147"/>
      <c r="K200" s="116"/>
      <c r="L200" s="116"/>
      <c r="M200" s="116"/>
      <c r="N200" s="116"/>
      <c r="O200" s="116"/>
      <c r="P200" s="116"/>
      <c r="Q200" s="116"/>
      <c r="R200" s="116"/>
      <c r="S200" s="116"/>
      <c r="T200" s="116"/>
      <c r="U200" s="116"/>
      <c r="V200" s="116"/>
      <c r="W200" s="116"/>
      <c r="X200" s="278"/>
      <c r="Y200" s="142"/>
      <c r="Z200" s="142"/>
      <c r="AA200" s="142"/>
      <c r="AB200" s="142"/>
      <c r="AC200" s="142"/>
      <c r="AD200" s="142"/>
      <c r="AE200" s="142"/>
      <c r="AF200" s="130"/>
      <c r="AG200" s="142"/>
      <c r="AH200" s="142"/>
      <c r="AI200" s="142"/>
      <c r="AJ200" s="130"/>
      <c r="AK200" s="130"/>
      <c r="AL200" s="130"/>
      <c r="AM200" s="130"/>
    </row>
    <row r="201" ht="15.75" customHeight="1">
      <c r="A201" s="278"/>
      <c r="B201" s="278"/>
      <c r="C201" s="278"/>
      <c r="D201" s="278"/>
      <c r="E201" s="132"/>
      <c r="F201" s="116"/>
      <c r="G201" s="116"/>
      <c r="H201" s="116"/>
      <c r="I201" s="373"/>
      <c r="J201" s="147"/>
      <c r="K201" s="116"/>
      <c r="L201" s="116"/>
      <c r="M201" s="116"/>
      <c r="N201" s="116"/>
      <c r="O201" s="116"/>
      <c r="P201" s="116"/>
      <c r="Q201" s="116"/>
      <c r="R201" s="116"/>
      <c r="S201" s="116"/>
      <c r="T201" s="116"/>
      <c r="U201" s="116"/>
      <c r="V201" s="116"/>
      <c r="W201" s="116"/>
      <c r="X201" s="278"/>
      <c r="Y201" s="142"/>
      <c r="Z201" s="142"/>
      <c r="AA201" s="142"/>
      <c r="AB201" s="142"/>
      <c r="AC201" s="142"/>
      <c r="AD201" s="142"/>
      <c r="AE201" s="142"/>
      <c r="AF201" s="130"/>
      <c r="AG201" s="142"/>
      <c r="AH201" s="142"/>
      <c r="AI201" s="142"/>
      <c r="AJ201" s="130"/>
      <c r="AK201" s="130"/>
      <c r="AL201" s="130"/>
      <c r="AM201" s="130"/>
    </row>
    <row r="202" ht="15.75" customHeight="1">
      <c r="A202" s="278"/>
      <c r="B202" s="278"/>
      <c r="C202" s="278"/>
      <c r="D202" s="278"/>
      <c r="E202" s="132"/>
      <c r="F202" s="116"/>
      <c r="G202" s="116"/>
      <c r="H202" s="116"/>
      <c r="I202" s="373"/>
      <c r="J202" s="147"/>
      <c r="K202" s="116"/>
      <c r="L202" s="116"/>
      <c r="M202" s="116"/>
      <c r="N202" s="116"/>
      <c r="O202" s="116"/>
      <c r="P202" s="116"/>
      <c r="Q202" s="116"/>
      <c r="R202" s="116"/>
      <c r="S202" s="116"/>
      <c r="T202" s="116"/>
      <c r="U202" s="116"/>
      <c r="V202" s="116"/>
      <c r="W202" s="116"/>
      <c r="X202" s="278"/>
      <c r="Y202" s="142"/>
      <c r="Z202" s="142"/>
      <c r="AA202" s="142"/>
      <c r="AB202" s="142"/>
      <c r="AC202" s="142"/>
      <c r="AD202" s="142"/>
      <c r="AE202" s="142"/>
      <c r="AF202" s="130"/>
      <c r="AG202" s="142"/>
      <c r="AH202" s="142"/>
      <c r="AI202" s="142"/>
      <c r="AJ202" s="130"/>
      <c r="AK202" s="130"/>
      <c r="AL202" s="130"/>
      <c r="AM202" s="130"/>
    </row>
    <row r="203" ht="15.75" customHeight="1">
      <c r="A203" s="278"/>
      <c r="B203" s="278"/>
      <c r="C203" s="278"/>
      <c r="D203" s="278"/>
      <c r="E203" s="132"/>
      <c r="F203" s="116"/>
      <c r="G203" s="116"/>
      <c r="H203" s="116"/>
      <c r="I203" s="373"/>
      <c r="J203" s="147"/>
      <c r="K203" s="116"/>
      <c r="L203" s="116"/>
      <c r="M203" s="116"/>
      <c r="N203" s="116"/>
      <c r="O203" s="116"/>
      <c r="P203" s="116"/>
      <c r="Q203" s="116"/>
      <c r="R203" s="116"/>
      <c r="S203" s="116"/>
      <c r="T203" s="116"/>
      <c r="U203" s="116"/>
      <c r="V203" s="116"/>
      <c r="W203" s="116"/>
      <c r="X203" s="278"/>
      <c r="Y203" s="142"/>
      <c r="Z203" s="142"/>
      <c r="AA203" s="142"/>
      <c r="AB203" s="142"/>
      <c r="AC203" s="142"/>
      <c r="AD203" s="142"/>
      <c r="AE203" s="142"/>
      <c r="AF203" s="130"/>
      <c r="AG203" s="142"/>
      <c r="AH203" s="142"/>
      <c r="AI203" s="142"/>
      <c r="AJ203" s="130"/>
      <c r="AK203" s="130"/>
      <c r="AL203" s="130"/>
      <c r="AM203" s="130"/>
    </row>
    <row r="204" ht="15.75" customHeight="1">
      <c r="A204" s="278"/>
      <c r="B204" s="278"/>
      <c r="C204" s="278"/>
      <c r="D204" s="278"/>
      <c r="E204" s="132"/>
      <c r="F204" s="116"/>
      <c r="G204" s="116"/>
      <c r="H204" s="116"/>
      <c r="I204" s="373"/>
      <c r="J204" s="147"/>
      <c r="K204" s="116"/>
      <c r="L204" s="116"/>
      <c r="M204" s="116"/>
      <c r="N204" s="116"/>
      <c r="O204" s="116"/>
      <c r="P204" s="116"/>
      <c r="Q204" s="116"/>
      <c r="R204" s="116"/>
      <c r="S204" s="116"/>
      <c r="T204" s="116"/>
      <c r="U204" s="116"/>
      <c r="V204" s="116"/>
      <c r="W204" s="116"/>
      <c r="X204" s="278"/>
      <c r="Y204" s="142"/>
      <c r="Z204" s="142"/>
      <c r="AA204" s="142"/>
      <c r="AB204" s="142"/>
      <c r="AC204" s="142"/>
      <c r="AD204" s="142"/>
      <c r="AE204" s="142"/>
      <c r="AF204" s="130"/>
      <c r="AG204" s="142"/>
      <c r="AH204" s="142"/>
      <c r="AI204" s="142"/>
      <c r="AJ204" s="130"/>
      <c r="AK204" s="130"/>
      <c r="AL204" s="130"/>
      <c r="AM204" s="130"/>
    </row>
    <row r="205" ht="15.75" customHeight="1">
      <c r="A205" s="278"/>
      <c r="B205" s="278"/>
      <c r="C205" s="278"/>
      <c r="D205" s="278"/>
      <c r="E205" s="132"/>
      <c r="F205" s="116"/>
      <c r="G205" s="116"/>
      <c r="H205" s="116"/>
      <c r="I205" s="373"/>
      <c r="J205" s="147"/>
      <c r="K205" s="116"/>
      <c r="L205" s="116"/>
      <c r="M205" s="116"/>
      <c r="N205" s="116"/>
      <c r="O205" s="116"/>
      <c r="P205" s="116"/>
      <c r="Q205" s="116"/>
      <c r="R205" s="116"/>
      <c r="S205" s="116"/>
      <c r="T205" s="116"/>
      <c r="U205" s="116"/>
      <c r="V205" s="116"/>
      <c r="W205" s="116"/>
      <c r="X205" s="278"/>
      <c r="Y205" s="142"/>
      <c r="Z205" s="142"/>
      <c r="AA205" s="142"/>
      <c r="AB205" s="142"/>
      <c r="AC205" s="142"/>
      <c r="AD205" s="142"/>
      <c r="AE205" s="142"/>
      <c r="AF205" s="130"/>
      <c r="AG205" s="142"/>
      <c r="AH205" s="142"/>
      <c r="AI205" s="142"/>
      <c r="AJ205" s="130"/>
      <c r="AK205" s="130"/>
      <c r="AL205" s="130"/>
      <c r="AM205" s="130"/>
    </row>
    <row r="206" ht="15.75" customHeight="1">
      <c r="A206" s="278"/>
      <c r="B206" s="278"/>
      <c r="C206" s="278"/>
      <c r="D206" s="278"/>
      <c r="E206" s="132"/>
      <c r="F206" s="116"/>
      <c r="G206" s="116"/>
      <c r="H206" s="116"/>
      <c r="I206" s="373"/>
      <c r="J206" s="147"/>
      <c r="K206" s="116"/>
      <c r="L206" s="116"/>
      <c r="M206" s="116"/>
      <c r="N206" s="116"/>
      <c r="O206" s="116"/>
      <c r="P206" s="116"/>
      <c r="Q206" s="116"/>
      <c r="R206" s="116"/>
      <c r="S206" s="116"/>
      <c r="T206" s="116"/>
      <c r="U206" s="116"/>
      <c r="V206" s="116"/>
      <c r="W206" s="116"/>
      <c r="X206" s="278"/>
      <c r="Y206" s="142"/>
      <c r="Z206" s="142"/>
      <c r="AA206" s="142"/>
      <c r="AB206" s="142"/>
      <c r="AC206" s="142"/>
      <c r="AD206" s="142"/>
      <c r="AE206" s="142"/>
      <c r="AF206" s="130"/>
      <c r="AG206" s="142"/>
      <c r="AH206" s="142"/>
      <c r="AI206" s="142"/>
      <c r="AJ206" s="130"/>
      <c r="AK206" s="130"/>
      <c r="AL206" s="130"/>
      <c r="AM206" s="130"/>
    </row>
    <row r="207" ht="15.75" customHeight="1">
      <c r="A207" s="278"/>
      <c r="B207" s="278"/>
      <c r="C207" s="278"/>
      <c r="D207" s="278"/>
      <c r="E207" s="132"/>
      <c r="F207" s="116"/>
      <c r="G207" s="116"/>
      <c r="H207" s="116"/>
      <c r="I207" s="373"/>
      <c r="J207" s="147"/>
      <c r="K207" s="116"/>
      <c r="L207" s="116"/>
      <c r="M207" s="116"/>
      <c r="N207" s="116"/>
      <c r="O207" s="116"/>
      <c r="P207" s="116"/>
      <c r="Q207" s="116"/>
      <c r="R207" s="116"/>
      <c r="S207" s="116"/>
      <c r="T207" s="116"/>
      <c r="U207" s="116"/>
      <c r="V207" s="116"/>
      <c r="W207" s="116"/>
      <c r="X207" s="278"/>
      <c r="Y207" s="142"/>
      <c r="Z207" s="142"/>
      <c r="AA207" s="142"/>
      <c r="AB207" s="142"/>
      <c r="AC207" s="142"/>
      <c r="AD207" s="142"/>
      <c r="AE207" s="142"/>
      <c r="AF207" s="130"/>
      <c r="AG207" s="142"/>
      <c r="AH207" s="142"/>
      <c r="AI207" s="142"/>
      <c r="AJ207" s="130"/>
      <c r="AK207" s="130"/>
      <c r="AL207" s="130"/>
      <c r="AM207" s="130"/>
    </row>
    <row r="208" ht="15.75" customHeight="1">
      <c r="A208" s="278"/>
      <c r="B208" s="278"/>
      <c r="C208" s="278"/>
      <c r="D208" s="278"/>
      <c r="E208" s="132"/>
      <c r="F208" s="116"/>
      <c r="G208" s="116"/>
      <c r="H208" s="116"/>
      <c r="I208" s="373"/>
      <c r="J208" s="147"/>
      <c r="K208" s="116"/>
      <c r="L208" s="116"/>
      <c r="M208" s="116"/>
      <c r="N208" s="116"/>
      <c r="O208" s="116"/>
      <c r="P208" s="116"/>
      <c r="Q208" s="116"/>
      <c r="R208" s="116"/>
      <c r="S208" s="116"/>
      <c r="T208" s="116"/>
      <c r="U208" s="116"/>
      <c r="V208" s="116"/>
      <c r="W208" s="116"/>
      <c r="X208" s="278"/>
      <c r="Y208" s="142"/>
      <c r="Z208" s="142"/>
      <c r="AA208" s="142"/>
      <c r="AB208" s="142"/>
      <c r="AC208" s="142"/>
      <c r="AD208" s="142"/>
      <c r="AE208" s="142"/>
      <c r="AF208" s="130"/>
      <c r="AG208" s="142"/>
      <c r="AH208" s="142"/>
      <c r="AI208" s="142"/>
      <c r="AJ208" s="130"/>
      <c r="AK208" s="130"/>
      <c r="AL208" s="130"/>
      <c r="AM208" s="130"/>
    </row>
    <row r="209" ht="15.75" customHeight="1">
      <c r="A209" s="278"/>
      <c r="B209" s="278"/>
      <c r="C209" s="278"/>
      <c r="D209" s="278"/>
      <c r="E209" s="132"/>
      <c r="F209" s="116"/>
      <c r="G209" s="116"/>
      <c r="H209" s="116"/>
      <c r="I209" s="373"/>
      <c r="J209" s="147"/>
      <c r="K209" s="116"/>
      <c r="L209" s="116"/>
      <c r="M209" s="116"/>
      <c r="N209" s="116"/>
      <c r="O209" s="116"/>
      <c r="P209" s="116"/>
      <c r="Q209" s="116"/>
      <c r="R209" s="116"/>
      <c r="S209" s="116"/>
      <c r="T209" s="116"/>
      <c r="U209" s="116"/>
      <c r="V209" s="116"/>
      <c r="W209" s="116"/>
      <c r="X209" s="278"/>
      <c r="Y209" s="142"/>
      <c r="Z209" s="142"/>
      <c r="AA209" s="142"/>
      <c r="AB209" s="142"/>
      <c r="AC209" s="142"/>
      <c r="AD209" s="142"/>
      <c r="AE209" s="142"/>
      <c r="AF209" s="130"/>
      <c r="AG209" s="142"/>
      <c r="AH209" s="142"/>
      <c r="AI209" s="142"/>
      <c r="AJ209" s="130"/>
      <c r="AK209" s="130"/>
      <c r="AL209" s="130"/>
      <c r="AM209" s="130"/>
    </row>
    <row r="210" ht="15.75" customHeight="1">
      <c r="A210" s="278"/>
      <c r="B210" s="278"/>
      <c r="C210" s="278"/>
      <c r="D210" s="278"/>
      <c r="E210" s="132"/>
      <c r="F210" s="116"/>
      <c r="G210" s="116"/>
      <c r="H210" s="116"/>
      <c r="I210" s="373"/>
      <c r="J210" s="147"/>
      <c r="K210" s="116"/>
      <c r="L210" s="116"/>
      <c r="M210" s="116"/>
      <c r="N210" s="116"/>
      <c r="O210" s="116"/>
      <c r="P210" s="116"/>
      <c r="Q210" s="116"/>
      <c r="R210" s="116"/>
      <c r="S210" s="116"/>
      <c r="T210" s="116"/>
      <c r="U210" s="116"/>
      <c r="V210" s="116"/>
      <c r="W210" s="116"/>
      <c r="X210" s="278"/>
      <c r="Y210" s="142"/>
      <c r="Z210" s="142"/>
      <c r="AA210" s="142"/>
      <c r="AB210" s="142"/>
      <c r="AC210" s="142"/>
      <c r="AD210" s="142"/>
      <c r="AE210" s="142"/>
      <c r="AF210" s="130"/>
      <c r="AG210" s="142"/>
      <c r="AH210" s="142"/>
      <c r="AI210" s="142"/>
      <c r="AJ210" s="130"/>
      <c r="AK210" s="130"/>
      <c r="AL210" s="130"/>
      <c r="AM210" s="130"/>
    </row>
    <row r="211" ht="15.75" customHeight="1">
      <c r="A211" s="278"/>
      <c r="B211" s="278"/>
      <c r="C211" s="278"/>
      <c r="D211" s="278"/>
      <c r="E211" s="132"/>
      <c r="F211" s="116"/>
      <c r="G211" s="116"/>
      <c r="H211" s="116"/>
      <c r="I211" s="373"/>
      <c r="J211" s="147"/>
      <c r="K211" s="116"/>
      <c r="L211" s="116"/>
      <c r="M211" s="116"/>
      <c r="N211" s="116"/>
      <c r="O211" s="116"/>
      <c r="P211" s="116"/>
      <c r="Q211" s="116"/>
      <c r="R211" s="116"/>
      <c r="S211" s="116"/>
      <c r="T211" s="116"/>
      <c r="U211" s="116"/>
      <c r="V211" s="116"/>
      <c r="W211" s="116"/>
      <c r="X211" s="278"/>
      <c r="Y211" s="142"/>
      <c r="Z211" s="142"/>
      <c r="AA211" s="142"/>
      <c r="AB211" s="142"/>
      <c r="AC211" s="142"/>
      <c r="AD211" s="142"/>
      <c r="AE211" s="142"/>
      <c r="AF211" s="130"/>
      <c r="AG211" s="142"/>
      <c r="AH211" s="142"/>
      <c r="AI211" s="142"/>
      <c r="AJ211" s="130"/>
      <c r="AK211" s="130"/>
      <c r="AL211" s="130"/>
      <c r="AM211" s="130"/>
    </row>
    <row r="212" ht="15.75" customHeight="1">
      <c r="A212" s="278"/>
      <c r="B212" s="278"/>
      <c r="C212" s="278"/>
      <c r="D212" s="278"/>
      <c r="E212" s="132"/>
      <c r="F212" s="116"/>
      <c r="G212" s="116"/>
      <c r="H212" s="116"/>
      <c r="I212" s="373"/>
      <c r="J212" s="147"/>
      <c r="K212" s="116"/>
      <c r="L212" s="116"/>
      <c r="M212" s="116"/>
      <c r="N212" s="116"/>
      <c r="O212" s="116"/>
      <c r="P212" s="116"/>
      <c r="Q212" s="116"/>
      <c r="R212" s="116"/>
      <c r="S212" s="116"/>
      <c r="T212" s="116"/>
      <c r="U212" s="116"/>
      <c r="V212" s="116"/>
      <c r="W212" s="116"/>
      <c r="X212" s="278"/>
      <c r="Y212" s="142"/>
      <c r="Z212" s="142"/>
      <c r="AA212" s="142"/>
      <c r="AB212" s="142"/>
      <c r="AC212" s="142"/>
      <c r="AD212" s="142"/>
      <c r="AE212" s="142"/>
      <c r="AF212" s="130"/>
      <c r="AG212" s="142"/>
      <c r="AH212" s="142"/>
      <c r="AI212" s="142"/>
      <c r="AJ212" s="130"/>
      <c r="AK212" s="130"/>
      <c r="AL212" s="130"/>
      <c r="AM212" s="130"/>
    </row>
    <row r="213" ht="15.75" customHeight="1">
      <c r="A213" s="278"/>
      <c r="B213" s="278"/>
      <c r="C213" s="278"/>
      <c r="D213" s="278"/>
      <c r="E213" s="132"/>
      <c r="F213" s="116"/>
      <c r="G213" s="116"/>
      <c r="H213" s="116"/>
      <c r="I213" s="373"/>
      <c r="J213" s="147"/>
      <c r="K213" s="116"/>
      <c r="L213" s="116"/>
      <c r="M213" s="116"/>
      <c r="N213" s="116"/>
      <c r="O213" s="116"/>
      <c r="P213" s="116"/>
      <c r="Q213" s="116"/>
      <c r="R213" s="116"/>
      <c r="S213" s="116"/>
      <c r="T213" s="116"/>
      <c r="U213" s="116"/>
      <c r="V213" s="116"/>
      <c r="W213" s="116"/>
      <c r="X213" s="278"/>
      <c r="Y213" s="142"/>
      <c r="Z213" s="142"/>
      <c r="AA213" s="142"/>
      <c r="AB213" s="142"/>
      <c r="AC213" s="142"/>
      <c r="AD213" s="142"/>
      <c r="AE213" s="142"/>
      <c r="AF213" s="130"/>
      <c r="AG213" s="142"/>
      <c r="AH213" s="142"/>
      <c r="AI213" s="142"/>
      <c r="AJ213" s="130"/>
      <c r="AK213" s="130"/>
      <c r="AL213" s="130"/>
      <c r="AM213" s="130"/>
    </row>
    <row r="214" ht="15.75" customHeight="1">
      <c r="A214" s="278"/>
      <c r="B214" s="278"/>
      <c r="C214" s="278"/>
      <c r="D214" s="278"/>
      <c r="E214" s="132"/>
      <c r="F214" s="116"/>
      <c r="G214" s="116"/>
      <c r="H214" s="116"/>
      <c r="I214" s="373"/>
      <c r="J214" s="147"/>
      <c r="K214" s="116"/>
      <c r="L214" s="116"/>
      <c r="M214" s="116"/>
      <c r="N214" s="116"/>
      <c r="O214" s="116"/>
      <c r="P214" s="116"/>
      <c r="Q214" s="116"/>
      <c r="R214" s="116"/>
      <c r="S214" s="116"/>
      <c r="T214" s="116"/>
      <c r="U214" s="116"/>
      <c r="V214" s="116"/>
      <c r="W214" s="116"/>
      <c r="X214" s="278"/>
      <c r="Y214" s="142"/>
      <c r="Z214" s="142"/>
      <c r="AA214" s="142"/>
      <c r="AB214" s="142"/>
      <c r="AC214" s="142"/>
      <c r="AD214" s="142"/>
      <c r="AE214" s="142"/>
      <c r="AF214" s="130"/>
      <c r="AG214" s="142"/>
      <c r="AH214" s="142"/>
      <c r="AI214" s="142"/>
      <c r="AJ214" s="130"/>
      <c r="AK214" s="130"/>
      <c r="AL214" s="130"/>
      <c r="AM214" s="130"/>
    </row>
    <row r="215" ht="15.75" customHeight="1">
      <c r="A215" s="278"/>
      <c r="B215" s="278"/>
      <c r="C215" s="278"/>
      <c r="D215" s="278"/>
      <c r="E215" s="132"/>
      <c r="F215" s="116"/>
      <c r="G215" s="116"/>
      <c r="H215" s="116"/>
      <c r="I215" s="373"/>
      <c r="J215" s="147"/>
      <c r="K215" s="116"/>
      <c r="L215" s="116"/>
      <c r="M215" s="116"/>
      <c r="N215" s="116"/>
      <c r="O215" s="116"/>
      <c r="P215" s="116"/>
      <c r="Q215" s="116"/>
      <c r="R215" s="116"/>
      <c r="S215" s="116"/>
      <c r="T215" s="116"/>
      <c r="U215" s="116"/>
      <c r="V215" s="116"/>
      <c r="W215" s="116"/>
      <c r="X215" s="278"/>
      <c r="Y215" s="142"/>
      <c r="Z215" s="142"/>
      <c r="AA215" s="142"/>
      <c r="AB215" s="142"/>
      <c r="AC215" s="142"/>
      <c r="AD215" s="142"/>
      <c r="AE215" s="142"/>
      <c r="AF215" s="130"/>
      <c r="AG215" s="142"/>
      <c r="AH215" s="142"/>
      <c r="AI215" s="142"/>
      <c r="AJ215" s="130"/>
      <c r="AK215" s="130"/>
      <c r="AL215" s="130"/>
      <c r="AM215" s="130"/>
    </row>
    <row r="216" ht="15.75" customHeight="1">
      <c r="A216" s="278"/>
      <c r="B216" s="278"/>
      <c r="C216" s="278"/>
      <c r="D216" s="278"/>
      <c r="E216" s="132"/>
      <c r="F216" s="116"/>
      <c r="G216" s="116"/>
      <c r="H216" s="116"/>
      <c r="I216" s="373"/>
      <c r="J216" s="147"/>
      <c r="K216" s="116"/>
      <c r="L216" s="116"/>
      <c r="M216" s="116"/>
      <c r="N216" s="116"/>
      <c r="O216" s="116"/>
      <c r="P216" s="116"/>
      <c r="Q216" s="116"/>
      <c r="R216" s="116"/>
      <c r="S216" s="116"/>
      <c r="T216" s="116"/>
      <c r="U216" s="116"/>
      <c r="V216" s="116"/>
      <c r="W216" s="116"/>
      <c r="X216" s="278"/>
      <c r="Y216" s="142"/>
      <c r="Z216" s="142"/>
      <c r="AA216" s="142"/>
      <c r="AB216" s="142"/>
      <c r="AC216" s="142"/>
      <c r="AD216" s="142"/>
      <c r="AE216" s="142"/>
      <c r="AF216" s="130"/>
      <c r="AG216" s="142"/>
      <c r="AH216" s="142"/>
      <c r="AI216" s="142"/>
      <c r="AJ216" s="130"/>
      <c r="AK216" s="130"/>
      <c r="AL216" s="130"/>
      <c r="AM216" s="130"/>
    </row>
    <row r="217" ht="15.75" customHeight="1">
      <c r="A217" s="278"/>
      <c r="B217" s="278"/>
      <c r="C217" s="278"/>
      <c r="D217" s="278"/>
      <c r="E217" s="132"/>
      <c r="F217" s="116"/>
      <c r="G217" s="116"/>
      <c r="H217" s="116"/>
      <c r="I217" s="373"/>
      <c r="J217" s="147"/>
      <c r="K217" s="116"/>
      <c r="L217" s="116"/>
      <c r="M217" s="116"/>
      <c r="N217" s="116"/>
      <c r="O217" s="116"/>
      <c r="P217" s="116"/>
      <c r="Q217" s="116"/>
      <c r="R217" s="116"/>
      <c r="S217" s="116"/>
      <c r="T217" s="116"/>
      <c r="U217" s="116"/>
      <c r="V217" s="116"/>
      <c r="W217" s="116"/>
      <c r="X217" s="278"/>
      <c r="Y217" s="142"/>
      <c r="Z217" s="142"/>
      <c r="AA217" s="142"/>
      <c r="AB217" s="142"/>
      <c r="AC217" s="142"/>
      <c r="AD217" s="142"/>
      <c r="AE217" s="142"/>
      <c r="AF217" s="130"/>
      <c r="AG217" s="142"/>
      <c r="AH217" s="142"/>
      <c r="AI217" s="142"/>
      <c r="AJ217" s="130"/>
      <c r="AK217" s="130"/>
      <c r="AL217" s="130"/>
      <c r="AM217" s="130"/>
    </row>
    <row r="218" ht="15.75" customHeight="1">
      <c r="A218" s="278"/>
      <c r="B218" s="278"/>
      <c r="C218" s="278"/>
      <c r="D218" s="278"/>
      <c r="E218" s="132"/>
      <c r="F218" s="116"/>
      <c r="G218" s="116"/>
      <c r="H218" s="116"/>
      <c r="I218" s="373"/>
      <c r="J218" s="147"/>
      <c r="K218" s="116"/>
      <c r="L218" s="116"/>
      <c r="M218" s="116"/>
      <c r="N218" s="116"/>
      <c r="O218" s="116"/>
      <c r="P218" s="116"/>
      <c r="Q218" s="116"/>
      <c r="R218" s="116"/>
      <c r="S218" s="116"/>
      <c r="T218" s="116"/>
      <c r="U218" s="116"/>
      <c r="V218" s="116"/>
      <c r="W218" s="116"/>
      <c r="X218" s="278"/>
      <c r="Y218" s="142"/>
      <c r="Z218" s="142"/>
      <c r="AA218" s="142"/>
      <c r="AB218" s="142"/>
      <c r="AC218" s="142"/>
      <c r="AD218" s="142"/>
      <c r="AE218" s="142"/>
      <c r="AF218" s="130"/>
      <c r="AG218" s="142"/>
      <c r="AH218" s="142"/>
      <c r="AI218" s="142"/>
      <c r="AJ218" s="130"/>
      <c r="AK218" s="130"/>
      <c r="AL218" s="130"/>
      <c r="AM218" s="130"/>
    </row>
    <row r="219" ht="15.75" customHeight="1">
      <c r="A219" s="278"/>
      <c r="B219" s="278"/>
      <c r="C219" s="278"/>
      <c r="D219" s="278"/>
      <c r="E219" s="132"/>
      <c r="F219" s="116"/>
      <c r="G219" s="116"/>
      <c r="H219" s="116"/>
      <c r="I219" s="373"/>
      <c r="J219" s="147"/>
      <c r="K219" s="116"/>
      <c r="L219" s="116"/>
      <c r="M219" s="116"/>
      <c r="N219" s="116"/>
      <c r="O219" s="116"/>
      <c r="P219" s="116"/>
      <c r="Q219" s="116"/>
      <c r="R219" s="116"/>
      <c r="S219" s="116"/>
      <c r="T219" s="116"/>
      <c r="U219" s="116"/>
      <c r="V219" s="116"/>
      <c r="W219" s="116"/>
      <c r="X219" s="278"/>
      <c r="Y219" s="142"/>
      <c r="Z219" s="142"/>
      <c r="AA219" s="142"/>
      <c r="AB219" s="142"/>
      <c r="AC219" s="142"/>
      <c r="AD219" s="142"/>
      <c r="AE219" s="142"/>
      <c r="AF219" s="130"/>
      <c r="AG219" s="142"/>
      <c r="AH219" s="142"/>
      <c r="AI219" s="142"/>
      <c r="AJ219" s="130"/>
      <c r="AK219" s="130"/>
      <c r="AL219" s="130"/>
      <c r="AM219" s="130"/>
    </row>
    <row r="220" ht="15.75" customHeight="1">
      <c r="A220" s="278"/>
      <c r="B220" s="278"/>
      <c r="C220" s="278"/>
      <c r="D220" s="278"/>
      <c r="E220" s="132"/>
      <c r="F220" s="116"/>
      <c r="G220" s="116"/>
      <c r="H220" s="116"/>
      <c r="I220" s="373"/>
      <c r="J220" s="147"/>
      <c r="K220" s="116"/>
      <c r="L220" s="116"/>
      <c r="M220" s="116"/>
      <c r="N220" s="116"/>
      <c r="O220" s="116"/>
      <c r="P220" s="116"/>
      <c r="Q220" s="116"/>
      <c r="R220" s="116"/>
      <c r="S220" s="116"/>
      <c r="T220" s="116"/>
      <c r="U220" s="116"/>
      <c r="V220" s="116"/>
      <c r="W220" s="116"/>
      <c r="X220" s="278"/>
      <c r="Y220" s="142"/>
      <c r="Z220" s="142"/>
      <c r="AA220" s="142"/>
      <c r="AB220" s="142"/>
      <c r="AC220" s="142"/>
      <c r="AD220" s="142"/>
      <c r="AE220" s="142"/>
      <c r="AF220" s="130"/>
      <c r="AG220" s="142"/>
      <c r="AH220" s="142"/>
      <c r="AI220" s="142"/>
      <c r="AJ220" s="130"/>
      <c r="AK220" s="130"/>
      <c r="AL220" s="130"/>
      <c r="AM220" s="130"/>
    </row>
    <row r="221" ht="15.75" customHeight="1">
      <c r="A221" s="278"/>
      <c r="B221" s="278"/>
      <c r="C221" s="278"/>
      <c r="D221" s="278"/>
      <c r="E221" s="132"/>
      <c r="F221" s="116"/>
      <c r="G221" s="116"/>
      <c r="H221" s="116"/>
      <c r="I221" s="373"/>
      <c r="J221" s="147"/>
      <c r="K221" s="116"/>
      <c r="L221" s="116"/>
      <c r="M221" s="116"/>
      <c r="N221" s="116"/>
      <c r="O221" s="116"/>
      <c r="P221" s="116"/>
      <c r="Q221" s="116"/>
      <c r="R221" s="116"/>
      <c r="S221" s="116"/>
      <c r="T221" s="116"/>
      <c r="U221" s="116"/>
      <c r="V221" s="116"/>
      <c r="W221" s="116"/>
      <c r="X221" s="278"/>
      <c r="Y221" s="142"/>
      <c r="Z221" s="142"/>
      <c r="AA221" s="142"/>
      <c r="AB221" s="142"/>
      <c r="AC221" s="142"/>
      <c r="AD221" s="142"/>
      <c r="AE221" s="142"/>
      <c r="AF221" s="130"/>
      <c r="AG221" s="142"/>
      <c r="AH221" s="142"/>
      <c r="AI221" s="142"/>
      <c r="AJ221" s="130"/>
      <c r="AK221" s="130"/>
      <c r="AL221" s="130"/>
      <c r="AM221" s="130"/>
    </row>
    <row r="222" ht="15.75" customHeight="1">
      <c r="A222" s="278"/>
      <c r="B222" s="278"/>
      <c r="C222" s="278"/>
      <c r="D222" s="278"/>
      <c r="E222" s="132"/>
      <c r="F222" s="116"/>
      <c r="G222" s="116"/>
      <c r="H222" s="116"/>
      <c r="I222" s="373"/>
      <c r="J222" s="147"/>
      <c r="K222" s="116"/>
      <c r="L222" s="116"/>
      <c r="M222" s="116"/>
      <c r="N222" s="116"/>
      <c r="O222" s="116"/>
      <c r="P222" s="116"/>
      <c r="Q222" s="116"/>
      <c r="R222" s="116"/>
      <c r="S222" s="116"/>
      <c r="T222" s="116"/>
      <c r="U222" s="116"/>
      <c r="V222" s="116"/>
      <c r="W222" s="116"/>
      <c r="X222" s="278"/>
      <c r="Y222" s="142"/>
      <c r="Z222" s="142"/>
      <c r="AA222" s="142"/>
      <c r="AB222" s="142"/>
      <c r="AC222" s="142"/>
      <c r="AD222" s="142"/>
      <c r="AE222" s="142"/>
      <c r="AF222" s="130"/>
      <c r="AG222" s="142"/>
      <c r="AH222" s="142"/>
      <c r="AI222" s="142"/>
      <c r="AJ222" s="130"/>
      <c r="AK222" s="130"/>
      <c r="AL222" s="130"/>
      <c r="AM222" s="130"/>
    </row>
    <row r="223" ht="15.75" customHeight="1">
      <c r="A223" s="278"/>
      <c r="B223" s="278"/>
      <c r="C223" s="278"/>
      <c r="D223" s="278"/>
      <c r="E223" s="132"/>
      <c r="F223" s="116"/>
      <c r="G223" s="116"/>
      <c r="H223" s="116"/>
      <c r="I223" s="373"/>
      <c r="J223" s="147"/>
      <c r="K223" s="116"/>
      <c r="L223" s="116"/>
      <c r="M223" s="116"/>
      <c r="N223" s="116"/>
      <c r="O223" s="116"/>
      <c r="P223" s="116"/>
      <c r="Q223" s="116"/>
      <c r="R223" s="116"/>
      <c r="S223" s="116"/>
      <c r="T223" s="116"/>
      <c r="U223" s="116"/>
      <c r="V223" s="116"/>
      <c r="W223" s="116"/>
      <c r="X223" s="278"/>
      <c r="Y223" s="142"/>
      <c r="Z223" s="142"/>
      <c r="AA223" s="142"/>
      <c r="AB223" s="142"/>
      <c r="AC223" s="142"/>
      <c r="AD223" s="142"/>
      <c r="AE223" s="142"/>
      <c r="AF223" s="130"/>
      <c r="AG223" s="142"/>
      <c r="AH223" s="142"/>
      <c r="AI223" s="142"/>
      <c r="AJ223" s="130"/>
      <c r="AK223" s="130"/>
      <c r="AL223" s="130"/>
      <c r="AM223" s="130"/>
    </row>
    <row r="224" ht="15.75" customHeight="1">
      <c r="A224" s="278"/>
      <c r="B224" s="278"/>
      <c r="C224" s="278"/>
      <c r="D224" s="278"/>
      <c r="E224" s="132"/>
      <c r="F224" s="116"/>
      <c r="G224" s="116"/>
      <c r="H224" s="116"/>
      <c r="I224" s="373"/>
      <c r="J224" s="147"/>
      <c r="K224" s="116"/>
      <c r="L224" s="116"/>
      <c r="M224" s="116"/>
      <c r="N224" s="116"/>
      <c r="O224" s="116"/>
      <c r="P224" s="116"/>
      <c r="Q224" s="116"/>
      <c r="R224" s="116"/>
      <c r="S224" s="116"/>
      <c r="T224" s="116"/>
      <c r="U224" s="116"/>
      <c r="V224" s="116"/>
      <c r="W224" s="116"/>
      <c r="X224" s="278"/>
      <c r="Y224" s="142"/>
      <c r="Z224" s="142"/>
      <c r="AA224" s="142"/>
      <c r="AB224" s="142"/>
      <c r="AC224" s="142"/>
      <c r="AD224" s="142"/>
      <c r="AE224" s="142"/>
      <c r="AF224" s="130"/>
      <c r="AG224" s="142"/>
      <c r="AH224" s="142"/>
      <c r="AI224" s="142"/>
      <c r="AJ224" s="130"/>
      <c r="AK224" s="130"/>
      <c r="AL224" s="130"/>
      <c r="AM224" s="130"/>
    </row>
    <row r="225" ht="15.75" customHeight="1">
      <c r="A225" s="278"/>
      <c r="B225" s="278"/>
      <c r="C225" s="278"/>
      <c r="D225" s="278"/>
      <c r="E225" s="132"/>
      <c r="F225" s="116"/>
      <c r="G225" s="116"/>
      <c r="H225" s="116"/>
      <c r="I225" s="373"/>
      <c r="J225" s="147"/>
      <c r="K225" s="116"/>
      <c r="L225" s="116"/>
      <c r="M225" s="116"/>
      <c r="N225" s="116"/>
      <c r="O225" s="116"/>
      <c r="P225" s="116"/>
      <c r="Q225" s="116"/>
      <c r="R225" s="116"/>
      <c r="S225" s="116"/>
      <c r="T225" s="116"/>
      <c r="U225" s="116"/>
      <c r="V225" s="116"/>
      <c r="W225" s="116"/>
      <c r="X225" s="278"/>
      <c r="Y225" s="142"/>
      <c r="Z225" s="142"/>
      <c r="AA225" s="142"/>
      <c r="AB225" s="142"/>
      <c r="AC225" s="142"/>
      <c r="AD225" s="142"/>
      <c r="AE225" s="142"/>
      <c r="AF225" s="130"/>
      <c r="AG225" s="142"/>
      <c r="AH225" s="142"/>
      <c r="AI225" s="142"/>
      <c r="AJ225" s="130"/>
      <c r="AK225" s="130"/>
      <c r="AL225" s="130"/>
      <c r="AM225" s="130"/>
    </row>
    <row r="226" ht="15.75" customHeight="1">
      <c r="A226" s="278"/>
      <c r="B226" s="278"/>
      <c r="C226" s="278"/>
      <c r="D226" s="278"/>
      <c r="E226" s="132"/>
      <c r="F226" s="116"/>
      <c r="G226" s="116"/>
      <c r="H226" s="116"/>
      <c r="I226" s="373"/>
      <c r="J226" s="147"/>
      <c r="K226" s="116"/>
      <c r="L226" s="116"/>
      <c r="M226" s="116"/>
      <c r="N226" s="116"/>
      <c r="O226" s="116"/>
      <c r="P226" s="116"/>
      <c r="Q226" s="116"/>
      <c r="R226" s="116"/>
      <c r="S226" s="116"/>
      <c r="T226" s="116"/>
      <c r="U226" s="116"/>
      <c r="V226" s="116"/>
      <c r="W226" s="116"/>
      <c r="X226" s="278"/>
      <c r="Y226" s="142"/>
      <c r="Z226" s="142"/>
      <c r="AA226" s="142"/>
      <c r="AB226" s="142"/>
      <c r="AC226" s="142"/>
      <c r="AD226" s="142"/>
      <c r="AE226" s="142"/>
      <c r="AF226" s="130"/>
      <c r="AG226" s="142"/>
      <c r="AH226" s="142"/>
      <c r="AI226" s="142"/>
      <c r="AJ226" s="130"/>
      <c r="AK226" s="130"/>
      <c r="AL226" s="130"/>
      <c r="AM226" s="130"/>
    </row>
    <row r="227" ht="15.75" customHeight="1">
      <c r="A227" s="278"/>
      <c r="B227" s="278"/>
      <c r="C227" s="278"/>
      <c r="D227" s="278"/>
      <c r="E227" s="132"/>
      <c r="F227" s="116"/>
      <c r="G227" s="116"/>
      <c r="H227" s="116"/>
      <c r="I227" s="373"/>
      <c r="J227" s="147"/>
      <c r="K227" s="116"/>
      <c r="L227" s="116"/>
      <c r="M227" s="116"/>
      <c r="N227" s="116"/>
      <c r="O227" s="116"/>
      <c r="P227" s="116"/>
      <c r="Q227" s="116"/>
      <c r="R227" s="116"/>
      <c r="S227" s="116"/>
      <c r="T227" s="116"/>
      <c r="U227" s="116"/>
      <c r="V227" s="116"/>
      <c r="W227" s="116"/>
      <c r="X227" s="278"/>
      <c r="Y227" s="142"/>
      <c r="Z227" s="142"/>
      <c r="AA227" s="142"/>
      <c r="AB227" s="142"/>
      <c r="AC227" s="142"/>
      <c r="AD227" s="142"/>
      <c r="AE227" s="142"/>
      <c r="AF227" s="130"/>
      <c r="AG227" s="142"/>
      <c r="AH227" s="142"/>
      <c r="AI227" s="142"/>
      <c r="AJ227" s="130"/>
      <c r="AK227" s="130"/>
      <c r="AL227" s="130"/>
      <c r="AM227" s="130"/>
    </row>
    <row r="228" ht="15.75" customHeight="1">
      <c r="A228" s="278"/>
      <c r="B228" s="278"/>
      <c r="C228" s="278"/>
      <c r="D228" s="278"/>
      <c r="E228" s="132"/>
      <c r="F228" s="116"/>
      <c r="G228" s="116"/>
      <c r="H228" s="116"/>
      <c r="I228" s="373"/>
      <c r="J228" s="147"/>
      <c r="K228" s="116"/>
      <c r="L228" s="116"/>
      <c r="M228" s="116"/>
      <c r="N228" s="116"/>
      <c r="O228" s="116"/>
      <c r="P228" s="116"/>
      <c r="Q228" s="116"/>
      <c r="R228" s="116"/>
      <c r="S228" s="116"/>
      <c r="T228" s="116"/>
      <c r="U228" s="116"/>
      <c r="V228" s="116"/>
      <c r="W228" s="116"/>
      <c r="X228" s="278"/>
      <c r="Y228" s="142"/>
      <c r="Z228" s="142"/>
      <c r="AA228" s="142"/>
      <c r="AB228" s="142"/>
      <c r="AC228" s="142"/>
      <c r="AD228" s="142"/>
      <c r="AE228" s="142"/>
      <c r="AF228" s="130"/>
      <c r="AG228" s="142"/>
      <c r="AH228" s="142"/>
      <c r="AI228" s="142"/>
      <c r="AJ228" s="130"/>
      <c r="AK228" s="130"/>
      <c r="AL228" s="130"/>
      <c r="AM228" s="130"/>
    </row>
    <row r="229" ht="15.75" customHeight="1">
      <c r="A229" s="278"/>
      <c r="B229" s="278"/>
      <c r="C229" s="278"/>
      <c r="D229" s="278"/>
      <c r="E229" s="132"/>
      <c r="F229" s="116"/>
      <c r="G229" s="116"/>
      <c r="H229" s="116"/>
      <c r="I229" s="373"/>
      <c r="J229" s="147"/>
      <c r="K229" s="116"/>
      <c r="L229" s="116"/>
      <c r="M229" s="116"/>
      <c r="N229" s="116"/>
      <c r="O229" s="116"/>
      <c r="P229" s="116"/>
      <c r="Q229" s="116"/>
      <c r="R229" s="116"/>
      <c r="S229" s="116"/>
      <c r="T229" s="116"/>
      <c r="U229" s="116"/>
      <c r="V229" s="116"/>
      <c r="W229" s="116"/>
      <c r="X229" s="278"/>
      <c r="Y229" s="142"/>
      <c r="Z229" s="142"/>
      <c r="AA229" s="142"/>
      <c r="AB229" s="142"/>
      <c r="AC229" s="142"/>
      <c r="AD229" s="142"/>
      <c r="AE229" s="142"/>
      <c r="AF229" s="130"/>
      <c r="AG229" s="142"/>
      <c r="AH229" s="142"/>
      <c r="AI229" s="142"/>
      <c r="AJ229" s="130"/>
      <c r="AK229" s="130"/>
      <c r="AL229" s="130"/>
      <c r="AM229" s="130"/>
    </row>
    <row r="230" ht="15.75" customHeight="1">
      <c r="A230" s="278"/>
      <c r="B230" s="278"/>
      <c r="C230" s="278"/>
      <c r="D230" s="278"/>
      <c r="E230" s="132"/>
      <c r="F230" s="116"/>
      <c r="G230" s="116"/>
      <c r="H230" s="116"/>
      <c r="I230" s="373"/>
      <c r="J230" s="147"/>
      <c r="K230" s="116"/>
      <c r="L230" s="116"/>
      <c r="M230" s="116"/>
      <c r="N230" s="116"/>
      <c r="O230" s="116"/>
      <c r="P230" s="116"/>
      <c r="Q230" s="116"/>
      <c r="R230" s="116"/>
      <c r="S230" s="116"/>
      <c r="T230" s="116"/>
      <c r="U230" s="116"/>
      <c r="V230" s="116"/>
      <c r="W230" s="116"/>
      <c r="X230" s="278"/>
      <c r="Y230" s="142"/>
      <c r="Z230" s="142"/>
      <c r="AA230" s="142"/>
      <c r="AB230" s="142"/>
      <c r="AC230" s="142"/>
      <c r="AD230" s="142"/>
      <c r="AE230" s="142"/>
      <c r="AF230" s="130"/>
      <c r="AG230" s="142"/>
      <c r="AH230" s="142"/>
      <c r="AI230" s="142"/>
      <c r="AJ230" s="130"/>
      <c r="AK230" s="130"/>
      <c r="AL230" s="130"/>
      <c r="AM230" s="130"/>
    </row>
    <row r="231" ht="15.75" customHeight="1">
      <c r="A231" s="278"/>
      <c r="B231" s="278"/>
      <c r="C231" s="278"/>
      <c r="D231" s="278"/>
      <c r="E231" s="132"/>
      <c r="F231" s="116"/>
      <c r="G231" s="116"/>
      <c r="H231" s="116"/>
      <c r="I231" s="373"/>
      <c r="J231" s="147"/>
      <c r="K231" s="116"/>
      <c r="L231" s="116"/>
      <c r="M231" s="116"/>
      <c r="N231" s="116"/>
      <c r="O231" s="116"/>
      <c r="P231" s="116"/>
      <c r="Q231" s="116"/>
      <c r="R231" s="116"/>
      <c r="S231" s="116"/>
      <c r="T231" s="116"/>
      <c r="U231" s="116"/>
      <c r="V231" s="116"/>
      <c r="W231" s="116"/>
      <c r="X231" s="278"/>
      <c r="Y231" s="142"/>
      <c r="Z231" s="142"/>
      <c r="AA231" s="142"/>
      <c r="AB231" s="142"/>
      <c r="AC231" s="142"/>
      <c r="AD231" s="142"/>
      <c r="AE231" s="142"/>
      <c r="AF231" s="130"/>
      <c r="AG231" s="142"/>
      <c r="AH231" s="142"/>
      <c r="AI231" s="142"/>
      <c r="AJ231" s="130"/>
      <c r="AK231" s="130"/>
      <c r="AL231" s="130"/>
      <c r="AM231" s="130"/>
    </row>
    <row r="232" ht="15.75" customHeight="1">
      <c r="A232" s="278"/>
      <c r="B232" s="278"/>
      <c r="C232" s="278"/>
      <c r="D232" s="278"/>
      <c r="E232" s="132"/>
      <c r="F232" s="116"/>
      <c r="G232" s="116"/>
      <c r="H232" s="116"/>
      <c r="I232" s="373"/>
      <c r="J232" s="147"/>
      <c r="K232" s="116"/>
      <c r="L232" s="116"/>
      <c r="M232" s="116"/>
      <c r="N232" s="116"/>
      <c r="O232" s="116"/>
      <c r="P232" s="116"/>
      <c r="Q232" s="116"/>
      <c r="R232" s="116"/>
      <c r="S232" s="116"/>
      <c r="T232" s="116"/>
      <c r="U232" s="116"/>
      <c r="V232" s="116"/>
      <c r="W232" s="116"/>
      <c r="X232" s="278"/>
      <c r="Y232" s="142"/>
      <c r="Z232" s="142"/>
      <c r="AA232" s="142"/>
      <c r="AB232" s="142"/>
      <c r="AC232" s="142"/>
      <c r="AD232" s="142"/>
      <c r="AE232" s="142"/>
      <c r="AF232" s="130"/>
      <c r="AG232" s="142"/>
      <c r="AH232" s="142"/>
      <c r="AI232" s="142"/>
      <c r="AJ232" s="130"/>
      <c r="AK232" s="130"/>
      <c r="AL232" s="130"/>
      <c r="AM232" s="130"/>
    </row>
    <row r="233" ht="15.75" customHeight="1">
      <c r="A233" s="278"/>
      <c r="B233" s="278"/>
      <c r="C233" s="278"/>
      <c r="D233" s="278"/>
      <c r="E233" s="132"/>
      <c r="F233" s="116"/>
      <c r="G233" s="116"/>
      <c r="H233" s="116"/>
      <c r="I233" s="373"/>
      <c r="J233" s="147"/>
      <c r="K233" s="116"/>
      <c r="L233" s="116"/>
      <c r="M233" s="116"/>
      <c r="N233" s="116"/>
      <c r="O233" s="116"/>
      <c r="P233" s="116"/>
      <c r="Q233" s="116"/>
      <c r="R233" s="116"/>
      <c r="S233" s="116"/>
      <c r="T233" s="116"/>
      <c r="U233" s="116"/>
      <c r="V233" s="116"/>
      <c r="W233" s="116"/>
      <c r="X233" s="278"/>
      <c r="Y233" s="142"/>
      <c r="Z233" s="142"/>
      <c r="AA233" s="142"/>
      <c r="AB233" s="142"/>
      <c r="AC233" s="142"/>
      <c r="AD233" s="142"/>
      <c r="AE233" s="142"/>
      <c r="AF233" s="130"/>
      <c r="AG233" s="142"/>
      <c r="AH233" s="142"/>
      <c r="AI233" s="142"/>
      <c r="AJ233" s="130"/>
      <c r="AK233" s="130"/>
      <c r="AL233" s="130"/>
      <c r="AM233" s="130"/>
    </row>
    <row r="234" ht="15.75" customHeight="1">
      <c r="A234" s="278"/>
      <c r="B234" s="278"/>
      <c r="C234" s="278"/>
      <c r="D234" s="278"/>
      <c r="E234" s="132"/>
      <c r="F234" s="116"/>
      <c r="G234" s="116"/>
      <c r="H234" s="116"/>
      <c r="I234" s="373"/>
      <c r="J234" s="147"/>
      <c r="K234" s="116"/>
      <c r="L234" s="116"/>
      <c r="M234" s="116"/>
      <c r="N234" s="116"/>
      <c r="O234" s="116"/>
      <c r="P234" s="116"/>
      <c r="Q234" s="116"/>
      <c r="R234" s="116"/>
      <c r="S234" s="116"/>
      <c r="T234" s="116"/>
      <c r="U234" s="116"/>
      <c r="V234" s="116"/>
      <c r="W234" s="116"/>
      <c r="X234" s="278"/>
      <c r="Y234" s="142"/>
      <c r="Z234" s="142"/>
      <c r="AA234" s="142"/>
      <c r="AB234" s="142"/>
      <c r="AC234" s="142"/>
      <c r="AD234" s="142"/>
      <c r="AE234" s="142"/>
      <c r="AF234" s="130"/>
      <c r="AG234" s="142"/>
      <c r="AH234" s="142"/>
      <c r="AI234" s="142"/>
      <c r="AJ234" s="130"/>
      <c r="AK234" s="130"/>
      <c r="AL234" s="130"/>
      <c r="AM234" s="130"/>
    </row>
    <row r="235" ht="15.75" customHeight="1">
      <c r="A235" s="278"/>
      <c r="B235" s="278"/>
      <c r="C235" s="278"/>
      <c r="D235" s="278"/>
      <c r="E235" s="132"/>
      <c r="F235" s="116"/>
      <c r="G235" s="116"/>
      <c r="H235" s="116"/>
      <c r="I235" s="373"/>
      <c r="J235" s="147"/>
      <c r="K235" s="116"/>
      <c r="L235" s="116"/>
      <c r="M235" s="116"/>
      <c r="N235" s="116"/>
      <c r="O235" s="116"/>
      <c r="P235" s="116"/>
      <c r="Q235" s="116"/>
      <c r="R235" s="116"/>
      <c r="S235" s="116"/>
      <c r="T235" s="116"/>
      <c r="U235" s="116"/>
      <c r="V235" s="116"/>
      <c r="W235" s="116"/>
      <c r="X235" s="278"/>
      <c r="Y235" s="142"/>
      <c r="Z235" s="142"/>
      <c r="AA235" s="142"/>
      <c r="AB235" s="142"/>
      <c r="AC235" s="142"/>
      <c r="AD235" s="142"/>
      <c r="AE235" s="142"/>
      <c r="AF235" s="130"/>
      <c r="AG235" s="142"/>
      <c r="AH235" s="142"/>
      <c r="AI235" s="142"/>
      <c r="AJ235" s="130"/>
      <c r="AK235" s="130"/>
      <c r="AL235" s="130"/>
      <c r="AM235" s="130"/>
    </row>
    <row r="236" ht="15.75" customHeight="1">
      <c r="A236" s="278"/>
      <c r="B236" s="278"/>
      <c r="C236" s="278"/>
      <c r="D236" s="278"/>
      <c r="E236" s="132"/>
      <c r="F236" s="116"/>
      <c r="G236" s="116"/>
      <c r="H236" s="116"/>
      <c r="I236" s="373"/>
      <c r="J236" s="147"/>
      <c r="K236" s="116"/>
      <c r="L236" s="116"/>
      <c r="M236" s="116"/>
      <c r="N236" s="116"/>
      <c r="O236" s="116"/>
      <c r="P236" s="116"/>
      <c r="Q236" s="116"/>
      <c r="R236" s="116"/>
      <c r="S236" s="116"/>
      <c r="T236" s="116"/>
      <c r="U236" s="116"/>
      <c r="V236" s="116"/>
      <c r="W236" s="116"/>
      <c r="X236" s="278"/>
      <c r="Y236" s="142"/>
      <c r="Z236" s="142"/>
      <c r="AA236" s="142"/>
      <c r="AB236" s="142"/>
      <c r="AC236" s="142"/>
      <c r="AD236" s="142"/>
      <c r="AE236" s="142"/>
      <c r="AF236" s="130"/>
      <c r="AG236" s="142"/>
      <c r="AH236" s="142"/>
      <c r="AI236" s="142"/>
      <c r="AJ236" s="130"/>
      <c r="AK236" s="130"/>
      <c r="AL236" s="130"/>
      <c r="AM236" s="130"/>
    </row>
    <row r="237" ht="15.75" customHeight="1">
      <c r="A237" s="278"/>
      <c r="B237" s="278"/>
      <c r="C237" s="278"/>
      <c r="D237" s="278"/>
      <c r="E237" s="132"/>
      <c r="F237" s="116"/>
      <c r="G237" s="116"/>
      <c r="H237" s="116"/>
      <c r="I237" s="373"/>
      <c r="J237" s="147"/>
      <c r="K237" s="116"/>
      <c r="L237" s="116"/>
      <c r="M237" s="116"/>
      <c r="N237" s="116"/>
      <c r="O237" s="116"/>
      <c r="P237" s="116"/>
      <c r="Q237" s="116"/>
      <c r="R237" s="116"/>
      <c r="S237" s="116"/>
      <c r="T237" s="116"/>
      <c r="U237" s="116"/>
      <c r="V237" s="116"/>
      <c r="W237" s="116"/>
      <c r="X237" s="278"/>
      <c r="Y237" s="142"/>
      <c r="Z237" s="142"/>
      <c r="AA237" s="142"/>
      <c r="AB237" s="142"/>
      <c r="AC237" s="142"/>
      <c r="AD237" s="142"/>
      <c r="AE237" s="142"/>
      <c r="AF237" s="130"/>
      <c r="AG237" s="142"/>
      <c r="AH237" s="142"/>
      <c r="AI237" s="142"/>
      <c r="AJ237" s="130"/>
      <c r="AK237" s="130"/>
      <c r="AL237" s="130"/>
      <c r="AM237" s="130"/>
    </row>
    <row r="238" ht="15.75" customHeight="1">
      <c r="A238" s="278"/>
      <c r="B238" s="278"/>
      <c r="C238" s="278"/>
      <c r="D238" s="278"/>
      <c r="E238" s="132"/>
      <c r="F238" s="116"/>
      <c r="G238" s="116"/>
      <c r="H238" s="116"/>
      <c r="I238" s="373"/>
      <c r="J238" s="147"/>
      <c r="K238" s="116"/>
      <c r="L238" s="116"/>
      <c r="M238" s="116"/>
      <c r="N238" s="116"/>
      <c r="O238" s="116"/>
      <c r="P238" s="116"/>
      <c r="Q238" s="116"/>
      <c r="R238" s="116"/>
      <c r="S238" s="116"/>
      <c r="T238" s="116"/>
      <c r="U238" s="116"/>
      <c r="V238" s="116"/>
      <c r="W238" s="116"/>
      <c r="X238" s="278"/>
      <c r="Y238" s="142"/>
      <c r="Z238" s="142"/>
      <c r="AA238" s="142"/>
      <c r="AB238" s="142"/>
      <c r="AC238" s="142"/>
      <c r="AD238" s="142"/>
      <c r="AE238" s="142"/>
      <c r="AF238" s="130"/>
      <c r="AG238" s="142"/>
      <c r="AH238" s="142"/>
      <c r="AI238" s="142"/>
      <c r="AJ238" s="130"/>
      <c r="AK238" s="130"/>
      <c r="AL238" s="130"/>
      <c r="AM238" s="130"/>
    </row>
    <row r="239" ht="15.75" customHeight="1">
      <c r="A239" s="278"/>
      <c r="B239" s="278"/>
      <c r="C239" s="278"/>
      <c r="D239" s="278"/>
      <c r="E239" s="132"/>
      <c r="F239" s="116"/>
      <c r="G239" s="116"/>
      <c r="H239" s="116"/>
      <c r="I239" s="373"/>
      <c r="J239" s="147"/>
      <c r="K239" s="116"/>
      <c r="L239" s="116"/>
      <c r="M239" s="116"/>
      <c r="N239" s="116"/>
      <c r="O239" s="116"/>
      <c r="P239" s="116"/>
      <c r="Q239" s="116"/>
      <c r="R239" s="116"/>
      <c r="S239" s="116"/>
      <c r="T239" s="116"/>
      <c r="U239" s="116"/>
      <c r="V239" s="116"/>
      <c r="W239" s="116"/>
      <c r="X239" s="278"/>
      <c r="Y239" s="142"/>
      <c r="Z239" s="142"/>
      <c r="AA239" s="142"/>
      <c r="AB239" s="142"/>
      <c r="AC239" s="142"/>
      <c r="AD239" s="142"/>
      <c r="AE239" s="142"/>
      <c r="AF239" s="130"/>
      <c r="AG239" s="142"/>
      <c r="AH239" s="142"/>
      <c r="AI239" s="142"/>
      <c r="AJ239" s="130"/>
      <c r="AK239" s="130"/>
      <c r="AL239" s="130"/>
      <c r="AM239" s="130"/>
    </row>
    <row r="240" ht="15.75" customHeight="1">
      <c r="A240" s="278"/>
      <c r="B240" s="278"/>
      <c r="C240" s="278"/>
      <c r="D240" s="278"/>
      <c r="E240" s="132"/>
      <c r="F240" s="116"/>
      <c r="G240" s="116"/>
      <c r="H240" s="116"/>
      <c r="I240" s="373"/>
      <c r="J240" s="147"/>
      <c r="K240" s="116"/>
      <c r="L240" s="116"/>
      <c r="M240" s="116"/>
      <c r="N240" s="116"/>
      <c r="O240" s="116"/>
      <c r="P240" s="116"/>
      <c r="Q240" s="116"/>
      <c r="R240" s="116"/>
      <c r="S240" s="116"/>
      <c r="T240" s="116"/>
      <c r="U240" s="116"/>
      <c r="V240" s="116"/>
      <c r="W240" s="116"/>
      <c r="X240" s="278"/>
      <c r="Y240" s="142"/>
      <c r="Z240" s="142"/>
      <c r="AA240" s="142"/>
      <c r="AB240" s="142"/>
      <c r="AC240" s="142"/>
      <c r="AD240" s="142"/>
      <c r="AE240" s="142"/>
      <c r="AF240" s="130"/>
      <c r="AG240" s="142"/>
      <c r="AH240" s="142"/>
      <c r="AI240" s="142"/>
      <c r="AJ240" s="130"/>
      <c r="AK240" s="130"/>
      <c r="AL240" s="130"/>
      <c r="AM240" s="130"/>
    </row>
    <row r="241" ht="15.75" customHeight="1">
      <c r="A241" s="278"/>
      <c r="B241" s="278"/>
      <c r="C241" s="278"/>
      <c r="D241" s="278"/>
      <c r="E241" s="132"/>
      <c r="F241" s="116"/>
      <c r="G241" s="116"/>
      <c r="H241" s="116"/>
      <c r="I241" s="373"/>
      <c r="J241" s="147"/>
      <c r="K241" s="116"/>
      <c r="L241" s="116"/>
      <c r="M241" s="116"/>
      <c r="N241" s="116"/>
      <c r="O241" s="116"/>
      <c r="P241" s="116"/>
      <c r="Q241" s="116"/>
      <c r="R241" s="116"/>
      <c r="S241" s="116"/>
      <c r="T241" s="116"/>
      <c r="U241" s="116"/>
      <c r="V241" s="116"/>
      <c r="W241" s="116"/>
      <c r="X241" s="278"/>
      <c r="Y241" s="142"/>
      <c r="Z241" s="142"/>
      <c r="AA241" s="142"/>
      <c r="AB241" s="142"/>
      <c r="AC241" s="142"/>
      <c r="AD241" s="142"/>
      <c r="AE241" s="142"/>
      <c r="AF241" s="130"/>
      <c r="AG241" s="142"/>
      <c r="AH241" s="142"/>
      <c r="AI241" s="142"/>
      <c r="AJ241" s="130"/>
      <c r="AK241" s="130"/>
      <c r="AL241" s="130"/>
      <c r="AM241" s="130"/>
    </row>
    <row r="242" ht="15.75" customHeight="1">
      <c r="A242" s="278"/>
      <c r="B242" s="278"/>
      <c r="C242" s="278"/>
      <c r="D242" s="278"/>
      <c r="E242" s="132"/>
      <c r="F242" s="116"/>
      <c r="G242" s="116"/>
      <c r="H242" s="116"/>
      <c r="I242" s="373"/>
      <c r="J242" s="147"/>
      <c r="K242" s="116"/>
      <c r="L242" s="116"/>
      <c r="M242" s="116"/>
      <c r="N242" s="116"/>
      <c r="O242" s="116"/>
      <c r="P242" s="116"/>
      <c r="Q242" s="116"/>
      <c r="R242" s="116"/>
      <c r="S242" s="116"/>
      <c r="T242" s="116"/>
      <c r="U242" s="116"/>
      <c r="V242" s="116"/>
      <c r="W242" s="116"/>
      <c r="X242" s="278"/>
      <c r="Y242" s="142"/>
      <c r="Z242" s="142"/>
      <c r="AA242" s="142"/>
      <c r="AB242" s="142"/>
      <c r="AC242" s="142"/>
      <c r="AD242" s="142"/>
      <c r="AE242" s="142"/>
      <c r="AF242" s="130"/>
      <c r="AG242" s="142"/>
      <c r="AH242" s="142"/>
      <c r="AI242" s="142"/>
      <c r="AJ242" s="130"/>
      <c r="AK242" s="130"/>
      <c r="AL242" s="130"/>
      <c r="AM242" s="130"/>
    </row>
    <row r="243" ht="15.75" customHeight="1">
      <c r="A243" s="278"/>
      <c r="B243" s="278"/>
      <c r="C243" s="278"/>
      <c r="D243" s="278"/>
      <c r="E243" s="132"/>
      <c r="F243" s="116"/>
      <c r="G243" s="116"/>
      <c r="H243" s="116"/>
      <c r="I243" s="373"/>
      <c r="J243" s="147"/>
      <c r="K243" s="116"/>
      <c r="L243" s="116"/>
      <c r="M243" s="116"/>
      <c r="N243" s="116"/>
      <c r="O243" s="116"/>
      <c r="P243" s="116"/>
      <c r="Q243" s="116"/>
      <c r="R243" s="116"/>
      <c r="S243" s="116"/>
      <c r="T243" s="116"/>
      <c r="U243" s="116"/>
      <c r="V243" s="116"/>
      <c r="W243" s="116"/>
      <c r="X243" s="278"/>
      <c r="Y243" s="142"/>
      <c r="Z243" s="142"/>
      <c r="AA243" s="142"/>
      <c r="AB243" s="142"/>
      <c r="AC243" s="142"/>
      <c r="AD243" s="142"/>
      <c r="AE243" s="142"/>
      <c r="AF243" s="130"/>
      <c r="AG243" s="142"/>
      <c r="AH243" s="142"/>
      <c r="AI243" s="142"/>
      <c r="AJ243" s="130"/>
      <c r="AK243" s="130"/>
      <c r="AL243" s="130"/>
      <c r="AM243" s="130"/>
    </row>
    <row r="244" ht="15.75" customHeight="1">
      <c r="A244" s="278"/>
      <c r="B244" s="278"/>
      <c r="C244" s="278"/>
      <c r="D244" s="278"/>
      <c r="E244" s="132"/>
      <c r="F244" s="116"/>
      <c r="G244" s="116"/>
      <c r="H244" s="116"/>
      <c r="I244" s="373"/>
      <c r="J244" s="147"/>
      <c r="K244" s="116"/>
      <c r="L244" s="116"/>
      <c r="M244" s="116"/>
      <c r="N244" s="116"/>
      <c r="O244" s="116"/>
      <c r="P244" s="116"/>
      <c r="Q244" s="116"/>
      <c r="R244" s="116"/>
      <c r="S244" s="116"/>
      <c r="T244" s="116"/>
      <c r="U244" s="116"/>
      <c r="V244" s="116"/>
      <c r="W244" s="116"/>
      <c r="X244" s="278"/>
      <c r="Y244" s="142"/>
      <c r="Z244" s="142"/>
      <c r="AA244" s="142"/>
      <c r="AB244" s="142"/>
      <c r="AC244" s="142"/>
      <c r="AD244" s="142"/>
      <c r="AE244" s="142"/>
      <c r="AF244" s="130"/>
      <c r="AG244" s="142"/>
      <c r="AH244" s="142"/>
      <c r="AI244" s="142"/>
      <c r="AJ244" s="130"/>
      <c r="AK244" s="130"/>
      <c r="AL244" s="130"/>
      <c r="AM244" s="130"/>
    </row>
    <row r="245" ht="15.75" customHeight="1">
      <c r="A245" s="278"/>
      <c r="B245" s="278"/>
      <c r="C245" s="278"/>
      <c r="D245" s="278"/>
      <c r="E245" s="132"/>
      <c r="F245" s="116"/>
      <c r="G245" s="116"/>
      <c r="H245" s="116"/>
      <c r="I245" s="373"/>
      <c r="J245" s="147"/>
      <c r="K245" s="116"/>
      <c r="L245" s="116"/>
      <c r="M245" s="116"/>
      <c r="N245" s="116"/>
      <c r="O245" s="116"/>
      <c r="P245" s="116"/>
      <c r="Q245" s="116"/>
      <c r="R245" s="116"/>
      <c r="S245" s="116"/>
      <c r="T245" s="116"/>
      <c r="U245" s="116"/>
      <c r="V245" s="116"/>
      <c r="W245" s="116"/>
      <c r="X245" s="278"/>
      <c r="Y245" s="142"/>
      <c r="Z245" s="142"/>
      <c r="AA245" s="142"/>
      <c r="AB245" s="142"/>
      <c r="AC245" s="142"/>
      <c r="AD245" s="142"/>
      <c r="AE245" s="142"/>
      <c r="AF245" s="130"/>
      <c r="AG245" s="142"/>
      <c r="AH245" s="142"/>
      <c r="AI245" s="142"/>
      <c r="AJ245" s="130"/>
      <c r="AK245" s="130"/>
      <c r="AL245" s="130"/>
      <c r="AM245" s="130"/>
    </row>
    <row r="246" ht="15.75" customHeight="1">
      <c r="A246" s="278"/>
      <c r="B246" s="278"/>
      <c r="C246" s="278"/>
      <c r="D246" s="278"/>
      <c r="E246" s="132"/>
      <c r="F246" s="116"/>
      <c r="G246" s="116"/>
      <c r="H246" s="116"/>
      <c r="I246" s="373"/>
      <c r="J246" s="147"/>
      <c r="K246" s="116"/>
      <c r="L246" s="116"/>
      <c r="M246" s="116"/>
      <c r="N246" s="116"/>
      <c r="O246" s="116"/>
      <c r="P246" s="116"/>
      <c r="Q246" s="116"/>
      <c r="R246" s="116"/>
      <c r="S246" s="116"/>
      <c r="T246" s="116"/>
      <c r="U246" s="116"/>
      <c r="V246" s="116"/>
      <c r="W246" s="116"/>
      <c r="X246" s="278"/>
      <c r="Y246" s="142"/>
      <c r="Z246" s="142"/>
      <c r="AA246" s="142"/>
      <c r="AB246" s="142"/>
      <c r="AC246" s="142"/>
      <c r="AD246" s="142"/>
      <c r="AE246" s="142"/>
      <c r="AF246" s="130"/>
      <c r="AG246" s="142"/>
      <c r="AH246" s="142"/>
      <c r="AI246" s="142"/>
      <c r="AJ246" s="130"/>
      <c r="AK246" s="130"/>
      <c r="AL246" s="130"/>
      <c r="AM246" s="130"/>
    </row>
    <row r="247" ht="15.75" customHeight="1">
      <c r="A247" s="278"/>
      <c r="B247" s="278"/>
      <c r="C247" s="278"/>
      <c r="D247" s="278"/>
      <c r="E247" s="132"/>
      <c r="F247" s="116"/>
      <c r="G247" s="116"/>
      <c r="H247" s="116"/>
      <c r="I247" s="373"/>
      <c r="J247" s="147"/>
      <c r="K247" s="116"/>
      <c r="L247" s="116"/>
      <c r="M247" s="116"/>
      <c r="N247" s="116"/>
      <c r="O247" s="116"/>
      <c r="P247" s="116"/>
      <c r="Q247" s="116"/>
      <c r="R247" s="116"/>
      <c r="S247" s="116"/>
      <c r="T247" s="116"/>
      <c r="U247" s="116"/>
      <c r="V247" s="116"/>
      <c r="W247" s="116"/>
      <c r="X247" s="278"/>
      <c r="Y247" s="142"/>
      <c r="Z247" s="142"/>
      <c r="AA247" s="142"/>
      <c r="AB247" s="142"/>
      <c r="AC247" s="142"/>
      <c r="AD247" s="142"/>
      <c r="AE247" s="142"/>
      <c r="AF247" s="130"/>
      <c r="AG247" s="142"/>
      <c r="AH247" s="142"/>
      <c r="AI247" s="142"/>
      <c r="AJ247" s="130"/>
      <c r="AK247" s="130"/>
      <c r="AL247" s="130"/>
      <c r="AM247" s="130"/>
    </row>
    <row r="248" ht="15.75" customHeight="1">
      <c r="A248" s="278"/>
      <c r="B248" s="278"/>
      <c r="C248" s="278"/>
      <c r="D248" s="278"/>
      <c r="E248" s="132"/>
      <c r="F248" s="116"/>
      <c r="G248" s="116"/>
      <c r="H248" s="116"/>
      <c r="I248" s="373"/>
      <c r="J248" s="147"/>
      <c r="K248" s="116"/>
      <c r="L248" s="116"/>
      <c r="M248" s="116"/>
      <c r="N248" s="116"/>
      <c r="O248" s="116"/>
      <c r="P248" s="116"/>
      <c r="Q248" s="116"/>
      <c r="R248" s="116"/>
      <c r="S248" s="116"/>
      <c r="T248" s="116"/>
      <c r="U248" s="116"/>
      <c r="V248" s="116"/>
      <c r="W248" s="116"/>
      <c r="X248" s="278"/>
      <c r="Y248" s="142"/>
      <c r="Z248" s="142"/>
      <c r="AA248" s="142"/>
      <c r="AB248" s="142"/>
      <c r="AC248" s="142"/>
      <c r="AD248" s="142"/>
      <c r="AE248" s="142"/>
      <c r="AF248" s="130"/>
      <c r="AG248" s="142"/>
      <c r="AH248" s="142"/>
      <c r="AI248" s="142"/>
      <c r="AJ248" s="130"/>
      <c r="AK248" s="130"/>
      <c r="AL248" s="130"/>
      <c r="AM248" s="130"/>
    </row>
    <row r="249" ht="15.75" customHeight="1">
      <c r="A249" s="278"/>
      <c r="B249" s="278"/>
      <c r="C249" s="278"/>
      <c r="D249" s="278"/>
      <c r="E249" s="132"/>
      <c r="F249" s="116"/>
      <c r="G249" s="116"/>
      <c r="H249" s="116"/>
      <c r="I249" s="373"/>
      <c r="J249" s="147"/>
      <c r="K249" s="116"/>
      <c r="L249" s="116"/>
      <c r="M249" s="116"/>
      <c r="N249" s="116"/>
      <c r="O249" s="116"/>
      <c r="P249" s="116"/>
      <c r="Q249" s="116"/>
      <c r="R249" s="116"/>
      <c r="S249" s="116"/>
      <c r="T249" s="116"/>
      <c r="U249" s="116"/>
      <c r="V249" s="116"/>
      <c r="W249" s="116"/>
      <c r="X249" s="278"/>
      <c r="Y249" s="142"/>
      <c r="Z249" s="142"/>
      <c r="AA249" s="142"/>
      <c r="AB249" s="142"/>
      <c r="AC249" s="142"/>
      <c r="AD249" s="142"/>
      <c r="AE249" s="142"/>
      <c r="AF249" s="130"/>
      <c r="AG249" s="142"/>
      <c r="AH249" s="142"/>
      <c r="AI249" s="142"/>
      <c r="AJ249" s="130"/>
      <c r="AK249" s="130"/>
      <c r="AL249" s="130"/>
      <c r="AM249" s="130"/>
    </row>
    <row r="250" ht="15.75" customHeight="1">
      <c r="A250" s="278"/>
      <c r="B250" s="278"/>
      <c r="C250" s="278"/>
      <c r="D250" s="278"/>
      <c r="E250" s="132"/>
      <c r="F250" s="116"/>
      <c r="G250" s="116"/>
      <c r="H250" s="116"/>
      <c r="I250" s="373"/>
      <c r="J250" s="147"/>
      <c r="K250" s="116"/>
      <c r="L250" s="116"/>
      <c r="M250" s="116"/>
      <c r="N250" s="116"/>
      <c r="O250" s="116"/>
      <c r="P250" s="116"/>
      <c r="Q250" s="116"/>
      <c r="R250" s="116"/>
      <c r="S250" s="116"/>
      <c r="T250" s="116"/>
      <c r="U250" s="116"/>
      <c r="V250" s="116"/>
      <c r="W250" s="116"/>
      <c r="X250" s="278"/>
      <c r="Y250" s="142"/>
      <c r="Z250" s="142"/>
      <c r="AA250" s="142"/>
      <c r="AB250" s="142"/>
      <c r="AC250" s="142"/>
      <c r="AD250" s="142"/>
      <c r="AE250" s="142"/>
      <c r="AF250" s="130"/>
      <c r="AG250" s="142"/>
      <c r="AH250" s="142"/>
      <c r="AI250" s="142"/>
      <c r="AJ250" s="130"/>
      <c r="AK250" s="130"/>
      <c r="AL250" s="130"/>
      <c r="AM250" s="130"/>
    </row>
    <row r="251" ht="15.75" customHeight="1">
      <c r="A251" s="278"/>
      <c r="B251" s="278"/>
      <c r="C251" s="278"/>
      <c r="D251" s="278"/>
      <c r="E251" s="132"/>
      <c r="F251" s="116"/>
      <c r="G251" s="116"/>
      <c r="H251" s="116"/>
      <c r="I251" s="373"/>
      <c r="J251" s="147"/>
      <c r="K251" s="116"/>
      <c r="L251" s="116"/>
      <c r="M251" s="116"/>
      <c r="N251" s="116"/>
      <c r="O251" s="116"/>
      <c r="P251" s="116"/>
      <c r="Q251" s="116"/>
      <c r="R251" s="116"/>
      <c r="S251" s="116"/>
      <c r="T251" s="116"/>
      <c r="U251" s="116"/>
      <c r="V251" s="116"/>
      <c r="W251" s="116"/>
      <c r="X251" s="278"/>
      <c r="Y251" s="142"/>
      <c r="Z251" s="142"/>
      <c r="AA251" s="142"/>
      <c r="AB251" s="142"/>
      <c r="AC251" s="142"/>
      <c r="AD251" s="142"/>
      <c r="AE251" s="142"/>
      <c r="AF251" s="130"/>
      <c r="AG251" s="142"/>
      <c r="AH251" s="142"/>
      <c r="AI251" s="142"/>
      <c r="AJ251" s="130"/>
      <c r="AK251" s="130"/>
      <c r="AL251" s="130"/>
      <c r="AM251" s="130"/>
    </row>
    <row r="252" ht="15.75" customHeight="1">
      <c r="A252" s="278"/>
      <c r="B252" s="278"/>
      <c r="C252" s="278"/>
      <c r="D252" s="278"/>
      <c r="E252" s="132"/>
      <c r="F252" s="116"/>
      <c r="G252" s="116"/>
      <c r="H252" s="116"/>
      <c r="I252" s="373"/>
      <c r="J252" s="147"/>
      <c r="K252" s="116"/>
      <c r="L252" s="116"/>
      <c r="M252" s="116"/>
      <c r="N252" s="116"/>
      <c r="O252" s="116"/>
      <c r="P252" s="116"/>
      <c r="Q252" s="116"/>
      <c r="R252" s="116"/>
      <c r="S252" s="116"/>
      <c r="T252" s="116"/>
      <c r="U252" s="116"/>
      <c r="V252" s="116"/>
      <c r="W252" s="116"/>
      <c r="X252" s="278"/>
      <c r="Y252" s="142"/>
      <c r="Z252" s="142"/>
      <c r="AA252" s="142"/>
      <c r="AB252" s="142"/>
      <c r="AC252" s="142"/>
      <c r="AD252" s="142"/>
      <c r="AE252" s="142"/>
      <c r="AF252" s="130"/>
      <c r="AG252" s="142"/>
      <c r="AH252" s="142"/>
      <c r="AI252" s="142"/>
      <c r="AJ252" s="130"/>
      <c r="AK252" s="130"/>
      <c r="AL252" s="130"/>
      <c r="AM252" s="130"/>
    </row>
    <row r="253" ht="15.75" customHeight="1">
      <c r="A253" s="278"/>
      <c r="B253" s="278"/>
      <c r="C253" s="278"/>
      <c r="D253" s="278"/>
      <c r="E253" s="132"/>
      <c r="F253" s="116"/>
      <c r="G253" s="116"/>
      <c r="H253" s="116"/>
      <c r="I253" s="373"/>
      <c r="J253" s="147"/>
      <c r="K253" s="116"/>
      <c r="L253" s="116"/>
      <c r="M253" s="116"/>
      <c r="N253" s="116"/>
      <c r="O253" s="116"/>
      <c r="P253" s="116"/>
      <c r="Q253" s="116"/>
      <c r="R253" s="116"/>
      <c r="S253" s="116"/>
      <c r="T253" s="116"/>
      <c r="U253" s="116"/>
      <c r="V253" s="116"/>
      <c r="W253" s="116"/>
      <c r="X253" s="278"/>
      <c r="Y253" s="142"/>
      <c r="Z253" s="142"/>
      <c r="AA253" s="142"/>
      <c r="AB253" s="142"/>
      <c r="AC253" s="142"/>
      <c r="AD253" s="142"/>
      <c r="AE253" s="142"/>
      <c r="AF253" s="130"/>
      <c r="AG253" s="142"/>
      <c r="AH253" s="142"/>
      <c r="AI253" s="142"/>
      <c r="AJ253" s="130"/>
      <c r="AK253" s="130"/>
      <c r="AL253" s="130"/>
      <c r="AM253" s="130"/>
    </row>
    <row r="254" ht="15.75" customHeight="1">
      <c r="A254" s="278"/>
      <c r="B254" s="278"/>
      <c r="C254" s="278"/>
      <c r="D254" s="278"/>
      <c r="E254" s="132"/>
      <c r="F254" s="116"/>
      <c r="G254" s="116"/>
      <c r="H254" s="116"/>
      <c r="I254" s="373"/>
      <c r="J254" s="147"/>
      <c r="K254" s="116"/>
      <c r="L254" s="116"/>
      <c r="M254" s="116"/>
      <c r="N254" s="116"/>
      <c r="O254" s="116"/>
      <c r="P254" s="116"/>
      <c r="Q254" s="116"/>
      <c r="R254" s="116"/>
      <c r="S254" s="116"/>
      <c r="T254" s="116"/>
      <c r="U254" s="116"/>
      <c r="V254" s="116"/>
      <c r="W254" s="116"/>
      <c r="X254" s="278"/>
      <c r="Y254" s="142"/>
      <c r="Z254" s="142"/>
      <c r="AA254" s="142"/>
      <c r="AB254" s="142"/>
      <c r="AC254" s="142"/>
      <c r="AD254" s="142"/>
      <c r="AE254" s="142"/>
      <c r="AF254" s="130"/>
      <c r="AG254" s="142"/>
      <c r="AH254" s="142"/>
      <c r="AI254" s="142"/>
      <c r="AJ254" s="130"/>
      <c r="AK254" s="130"/>
      <c r="AL254" s="130"/>
      <c r="AM254" s="130"/>
    </row>
    <row r="255" ht="15.75" customHeight="1">
      <c r="A255" s="278"/>
      <c r="B255" s="278"/>
      <c r="C255" s="278"/>
      <c r="D255" s="278"/>
      <c r="E255" s="132"/>
      <c r="F255" s="116"/>
      <c r="G255" s="116"/>
      <c r="H255" s="116"/>
      <c r="I255" s="373"/>
      <c r="J255" s="147"/>
      <c r="K255" s="116"/>
      <c r="L255" s="116"/>
      <c r="M255" s="116"/>
      <c r="N255" s="116"/>
      <c r="O255" s="116"/>
      <c r="P255" s="116"/>
      <c r="Q255" s="116"/>
      <c r="R255" s="116"/>
      <c r="S255" s="116"/>
      <c r="T255" s="116"/>
      <c r="U255" s="116"/>
      <c r="V255" s="116"/>
      <c r="W255" s="116"/>
      <c r="X255" s="278"/>
      <c r="Y255" s="142"/>
      <c r="Z255" s="142"/>
      <c r="AA255" s="142"/>
      <c r="AB255" s="142"/>
      <c r="AC255" s="142"/>
      <c r="AD255" s="142"/>
      <c r="AE255" s="142"/>
      <c r="AF255" s="130"/>
      <c r="AG255" s="142"/>
      <c r="AH255" s="142"/>
      <c r="AI255" s="142"/>
      <c r="AJ255" s="130"/>
      <c r="AK255" s="130"/>
      <c r="AL255" s="130"/>
      <c r="AM255" s="130"/>
    </row>
    <row r="256" ht="15.75" customHeight="1">
      <c r="A256" s="278"/>
      <c r="B256" s="278"/>
      <c r="C256" s="278"/>
      <c r="D256" s="278"/>
      <c r="E256" s="132"/>
      <c r="F256" s="116"/>
      <c r="G256" s="116"/>
      <c r="H256" s="116"/>
      <c r="I256" s="373"/>
      <c r="J256" s="147"/>
      <c r="K256" s="116"/>
      <c r="L256" s="116"/>
      <c r="M256" s="116"/>
      <c r="N256" s="116"/>
      <c r="O256" s="116"/>
      <c r="P256" s="116"/>
      <c r="Q256" s="116"/>
      <c r="R256" s="116"/>
      <c r="S256" s="116"/>
      <c r="T256" s="116"/>
      <c r="U256" s="116"/>
      <c r="V256" s="116"/>
      <c r="W256" s="116"/>
      <c r="X256" s="278"/>
      <c r="Y256" s="142"/>
      <c r="Z256" s="142"/>
      <c r="AA256" s="142"/>
      <c r="AB256" s="142"/>
      <c r="AC256" s="142"/>
      <c r="AD256" s="142"/>
      <c r="AE256" s="142"/>
      <c r="AF256" s="130"/>
      <c r="AG256" s="142"/>
      <c r="AH256" s="142"/>
      <c r="AI256" s="142"/>
      <c r="AJ256" s="130"/>
      <c r="AK256" s="130"/>
      <c r="AL256" s="130"/>
      <c r="AM256" s="130"/>
    </row>
    <row r="257" ht="15.75" customHeight="1">
      <c r="A257" s="278"/>
      <c r="B257" s="278"/>
      <c r="C257" s="278"/>
      <c r="D257" s="278"/>
      <c r="E257" s="132"/>
      <c r="F257" s="116"/>
      <c r="G257" s="116"/>
      <c r="H257" s="116"/>
      <c r="I257" s="373"/>
      <c r="J257" s="147"/>
      <c r="K257" s="116"/>
      <c r="L257" s="116"/>
      <c r="M257" s="116"/>
      <c r="N257" s="116"/>
      <c r="O257" s="116"/>
      <c r="P257" s="116"/>
      <c r="Q257" s="116"/>
      <c r="R257" s="116"/>
      <c r="S257" s="116"/>
      <c r="T257" s="116"/>
      <c r="U257" s="116"/>
      <c r="V257" s="116"/>
      <c r="W257" s="116"/>
      <c r="X257" s="278"/>
      <c r="Y257" s="142"/>
      <c r="Z257" s="142"/>
      <c r="AA257" s="142"/>
      <c r="AB257" s="142"/>
      <c r="AC257" s="142"/>
      <c r="AD257" s="142"/>
      <c r="AE257" s="142"/>
      <c r="AF257" s="130"/>
      <c r="AG257" s="142"/>
      <c r="AH257" s="142"/>
      <c r="AI257" s="142"/>
      <c r="AJ257" s="130"/>
      <c r="AK257" s="130"/>
      <c r="AL257" s="130"/>
      <c r="AM257" s="130"/>
    </row>
    <row r="258" ht="15.75" customHeight="1">
      <c r="A258" s="278"/>
      <c r="B258" s="278"/>
      <c r="C258" s="278"/>
      <c r="D258" s="278"/>
      <c r="E258" s="132"/>
      <c r="F258" s="116"/>
      <c r="G258" s="116"/>
      <c r="H258" s="116"/>
      <c r="I258" s="373"/>
      <c r="J258" s="147"/>
      <c r="K258" s="116"/>
      <c r="L258" s="116"/>
      <c r="M258" s="116"/>
      <c r="N258" s="116"/>
      <c r="O258" s="116"/>
      <c r="P258" s="116"/>
      <c r="Q258" s="116"/>
      <c r="R258" s="116"/>
      <c r="S258" s="116"/>
      <c r="T258" s="116"/>
      <c r="U258" s="116"/>
      <c r="V258" s="116"/>
      <c r="W258" s="116"/>
      <c r="X258" s="278"/>
      <c r="Y258" s="142"/>
      <c r="Z258" s="142"/>
      <c r="AA258" s="142"/>
      <c r="AB258" s="142"/>
      <c r="AC258" s="142"/>
      <c r="AD258" s="142"/>
      <c r="AE258" s="142"/>
      <c r="AF258" s="130"/>
      <c r="AG258" s="142"/>
      <c r="AH258" s="142"/>
      <c r="AI258" s="142"/>
      <c r="AJ258" s="130"/>
      <c r="AK258" s="130"/>
      <c r="AL258" s="130"/>
      <c r="AM258" s="130"/>
    </row>
    <row r="259" ht="15.75" customHeight="1">
      <c r="A259" s="278"/>
      <c r="B259" s="278"/>
      <c r="C259" s="278"/>
      <c r="D259" s="278"/>
      <c r="E259" s="132"/>
      <c r="F259" s="116"/>
      <c r="G259" s="116"/>
      <c r="H259" s="116"/>
      <c r="I259" s="373"/>
      <c r="J259" s="147"/>
      <c r="K259" s="116"/>
      <c r="L259" s="116"/>
      <c r="M259" s="116"/>
      <c r="N259" s="116"/>
      <c r="O259" s="116"/>
      <c r="P259" s="116"/>
      <c r="Q259" s="116"/>
      <c r="R259" s="116"/>
      <c r="S259" s="116"/>
      <c r="T259" s="116"/>
      <c r="U259" s="116"/>
      <c r="V259" s="116"/>
      <c r="W259" s="116"/>
      <c r="X259" s="278"/>
      <c r="Y259" s="142"/>
      <c r="Z259" s="142"/>
      <c r="AA259" s="142"/>
      <c r="AB259" s="142"/>
      <c r="AC259" s="142"/>
      <c r="AD259" s="142"/>
      <c r="AE259" s="142"/>
      <c r="AF259" s="130"/>
      <c r="AG259" s="142"/>
      <c r="AH259" s="142"/>
      <c r="AI259" s="142"/>
      <c r="AJ259" s="130"/>
      <c r="AK259" s="130"/>
      <c r="AL259" s="130"/>
      <c r="AM259" s="130"/>
    </row>
    <row r="260" ht="15.75" customHeight="1">
      <c r="A260" s="278"/>
      <c r="B260" s="278"/>
      <c r="C260" s="278"/>
      <c r="D260" s="278"/>
      <c r="E260" s="132"/>
      <c r="F260" s="116"/>
      <c r="G260" s="116"/>
      <c r="H260" s="116"/>
      <c r="I260" s="373"/>
      <c r="J260" s="147"/>
      <c r="K260" s="116"/>
      <c r="L260" s="116"/>
      <c r="M260" s="116"/>
      <c r="N260" s="116"/>
      <c r="O260" s="116"/>
      <c r="P260" s="116"/>
      <c r="Q260" s="116"/>
      <c r="R260" s="116"/>
      <c r="S260" s="116"/>
      <c r="T260" s="116"/>
      <c r="U260" s="116"/>
      <c r="V260" s="116"/>
      <c r="W260" s="116"/>
      <c r="X260" s="278"/>
      <c r="Y260" s="142"/>
      <c r="Z260" s="142"/>
      <c r="AA260" s="142"/>
      <c r="AB260" s="142"/>
      <c r="AC260" s="142"/>
      <c r="AD260" s="142"/>
      <c r="AE260" s="142"/>
      <c r="AF260" s="130"/>
      <c r="AG260" s="142"/>
      <c r="AH260" s="142"/>
      <c r="AI260" s="142"/>
      <c r="AJ260" s="130"/>
      <c r="AK260" s="130"/>
      <c r="AL260" s="130"/>
      <c r="AM260" s="130"/>
    </row>
    <row r="261" ht="15.75" customHeight="1">
      <c r="A261" s="278"/>
      <c r="B261" s="278"/>
      <c r="C261" s="278"/>
      <c r="D261" s="278"/>
      <c r="E261" s="132"/>
      <c r="F261" s="116"/>
      <c r="G261" s="116"/>
      <c r="H261" s="116"/>
      <c r="I261" s="373"/>
      <c r="J261" s="147"/>
      <c r="K261" s="116"/>
      <c r="L261" s="116"/>
      <c r="M261" s="116"/>
      <c r="N261" s="116"/>
      <c r="O261" s="116"/>
      <c r="P261" s="116"/>
      <c r="Q261" s="116"/>
      <c r="R261" s="116"/>
      <c r="S261" s="116"/>
      <c r="T261" s="116"/>
      <c r="U261" s="116"/>
      <c r="V261" s="116"/>
      <c r="W261" s="116"/>
      <c r="X261" s="278"/>
      <c r="Y261" s="142"/>
      <c r="Z261" s="142"/>
      <c r="AA261" s="142"/>
      <c r="AB261" s="142"/>
      <c r="AC261" s="142"/>
      <c r="AD261" s="142"/>
      <c r="AE261" s="142"/>
      <c r="AF261" s="130"/>
      <c r="AG261" s="142"/>
      <c r="AH261" s="142"/>
      <c r="AI261" s="142"/>
      <c r="AJ261" s="130"/>
      <c r="AK261" s="130"/>
      <c r="AL261" s="130"/>
      <c r="AM261" s="130"/>
    </row>
    <row r="262" ht="15.75" customHeight="1">
      <c r="A262" s="278"/>
      <c r="B262" s="278"/>
      <c r="C262" s="278"/>
      <c r="D262" s="278"/>
      <c r="E262" s="132"/>
      <c r="F262" s="116"/>
      <c r="G262" s="116"/>
      <c r="H262" s="116"/>
      <c r="I262" s="373"/>
      <c r="J262" s="147"/>
      <c r="K262" s="116"/>
      <c r="L262" s="116"/>
      <c r="M262" s="116"/>
      <c r="N262" s="116"/>
      <c r="O262" s="116"/>
      <c r="P262" s="116"/>
      <c r="Q262" s="116"/>
      <c r="R262" s="116"/>
      <c r="S262" s="116"/>
      <c r="T262" s="116"/>
      <c r="U262" s="116"/>
      <c r="V262" s="116"/>
      <c r="W262" s="116"/>
      <c r="X262" s="278"/>
      <c r="Y262" s="142"/>
      <c r="Z262" s="142"/>
      <c r="AA262" s="142"/>
      <c r="AB262" s="142"/>
      <c r="AC262" s="142"/>
      <c r="AD262" s="142"/>
      <c r="AE262" s="142"/>
      <c r="AF262" s="130"/>
      <c r="AG262" s="142"/>
      <c r="AH262" s="142"/>
      <c r="AI262" s="142"/>
      <c r="AJ262" s="130"/>
      <c r="AK262" s="130"/>
      <c r="AL262" s="130"/>
      <c r="AM262" s="130"/>
    </row>
    <row r="263" ht="15.75" customHeight="1">
      <c r="A263" s="278"/>
      <c r="B263" s="278"/>
      <c r="C263" s="278"/>
      <c r="D263" s="278"/>
      <c r="E263" s="132"/>
      <c r="F263" s="116"/>
      <c r="G263" s="116"/>
      <c r="H263" s="116"/>
      <c r="I263" s="373"/>
      <c r="J263" s="147"/>
      <c r="K263" s="116"/>
      <c r="L263" s="116"/>
      <c r="M263" s="116"/>
      <c r="N263" s="116"/>
      <c r="O263" s="116"/>
      <c r="P263" s="116"/>
      <c r="Q263" s="116"/>
      <c r="R263" s="116"/>
      <c r="S263" s="116"/>
      <c r="T263" s="116"/>
      <c r="U263" s="116"/>
      <c r="V263" s="116"/>
      <c r="W263" s="116"/>
      <c r="X263" s="278"/>
      <c r="Y263" s="142"/>
      <c r="Z263" s="142"/>
      <c r="AA263" s="142"/>
      <c r="AB263" s="142"/>
      <c r="AC263" s="142"/>
      <c r="AD263" s="142"/>
      <c r="AE263" s="142"/>
      <c r="AF263" s="130"/>
      <c r="AG263" s="142"/>
      <c r="AH263" s="142"/>
      <c r="AI263" s="142"/>
      <c r="AJ263" s="130"/>
      <c r="AK263" s="130"/>
      <c r="AL263" s="130"/>
      <c r="AM263" s="130"/>
    </row>
    <row r="264" ht="15.75" customHeight="1">
      <c r="A264" s="278"/>
      <c r="B264" s="278"/>
      <c r="C264" s="278"/>
      <c r="D264" s="278"/>
      <c r="E264" s="132"/>
      <c r="F264" s="116"/>
      <c r="G264" s="116"/>
      <c r="H264" s="116"/>
      <c r="I264" s="373"/>
      <c r="J264" s="147"/>
      <c r="K264" s="116"/>
      <c r="L264" s="116"/>
      <c r="M264" s="116"/>
      <c r="N264" s="116"/>
      <c r="O264" s="116"/>
      <c r="P264" s="116"/>
      <c r="Q264" s="116"/>
      <c r="R264" s="116"/>
      <c r="S264" s="116"/>
      <c r="T264" s="116"/>
      <c r="U264" s="116"/>
      <c r="V264" s="116"/>
      <c r="W264" s="116"/>
      <c r="X264" s="278"/>
      <c r="Y264" s="142"/>
      <c r="Z264" s="142"/>
      <c r="AA264" s="142"/>
      <c r="AB264" s="142"/>
      <c r="AC264" s="142"/>
      <c r="AD264" s="142"/>
      <c r="AE264" s="142"/>
      <c r="AF264" s="130"/>
      <c r="AG264" s="142"/>
      <c r="AH264" s="142"/>
      <c r="AI264" s="142"/>
      <c r="AJ264" s="130"/>
      <c r="AK264" s="130"/>
      <c r="AL264" s="130"/>
      <c r="AM264" s="130"/>
    </row>
    <row r="265" ht="15.75" customHeight="1">
      <c r="A265" s="278"/>
      <c r="B265" s="278"/>
      <c r="C265" s="278"/>
      <c r="D265" s="278"/>
      <c r="E265" s="132"/>
      <c r="F265" s="116"/>
      <c r="G265" s="116"/>
      <c r="H265" s="116"/>
      <c r="I265" s="373"/>
      <c r="J265" s="147"/>
      <c r="K265" s="116"/>
      <c r="L265" s="116"/>
      <c r="M265" s="116"/>
      <c r="N265" s="116"/>
      <c r="O265" s="116"/>
      <c r="P265" s="116"/>
      <c r="Q265" s="116"/>
      <c r="R265" s="116"/>
      <c r="S265" s="116"/>
      <c r="T265" s="116"/>
      <c r="U265" s="116"/>
      <c r="V265" s="116"/>
      <c r="W265" s="116"/>
      <c r="X265" s="278"/>
      <c r="Y265" s="142"/>
      <c r="Z265" s="142"/>
      <c r="AA265" s="142"/>
      <c r="AB265" s="142"/>
      <c r="AC265" s="142"/>
      <c r="AD265" s="142"/>
      <c r="AE265" s="142"/>
      <c r="AF265" s="130"/>
      <c r="AG265" s="142"/>
      <c r="AH265" s="142"/>
      <c r="AI265" s="142"/>
      <c r="AJ265" s="130"/>
      <c r="AK265" s="130"/>
      <c r="AL265" s="130"/>
      <c r="AM265" s="130"/>
    </row>
    <row r="266" ht="15.75" customHeight="1">
      <c r="A266" s="278"/>
      <c r="B266" s="278"/>
      <c r="C266" s="278"/>
      <c r="D266" s="278"/>
      <c r="E266" s="132"/>
      <c r="F266" s="116"/>
      <c r="G266" s="116"/>
      <c r="H266" s="116"/>
      <c r="I266" s="373"/>
      <c r="J266" s="147"/>
      <c r="K266" s="116"/>
      <c r="L266" s="116"/>
      <c r="M266" s="116"/>
      <c r="N266" s="116"/>
      <c r="O266" s="116"/>
      <c r="P266" s="116"/>
      <c r="Q266" s="116"/>
      <c r="R266" s="116"/>
      <c r="S266" s="116"/>
      <c r="T266" s="116"/>
      <c r="U266" s="116"/>
      <c r="V266" s="116"/>
      <c r="W266" s="116"/>
      <c r="X266" s="278"/>
      <c r="Y266" s="142"/>
      <c r="Z266" s="142"/>
      <c r="AA266" s="142"/>
      <c r="AB266" s="142"/>
      <c r="AC266" s="142"/>
      <c r="AD266" s="142"/>
      <c r="AE266" s="142"/>
      <c r="AF266" s="130"/>
      <c r="AG266" s="142"/>
      <c r="AH266" s="142"/>
      <c r="AI266" s="142"/>
      <c r="AJ266" s="130"/>
      <c r="AK266" s="130"/>
      <c r="AL266" s="130"/>
      <c r="AM266" s="130"/>
    </row>
    <row r="267" ht="15.75" customHeight="1">
      <c r="A267" s="278"/>
      <c r="B267" s="278"/>
      <c r="C267" s="278"/>
      <c r="D267" s="278"/>
      <c r="E267" s="132"/>
      <c r="F267" s="116"/>
      <c r="G267" s="116"/>
      <c r="H267" s="116"/>
      <c r="I267" s="373"/>
      <c r="J267" s="147"/>
      <c r="K267" s="116"/>
      <c r="L267" s="116"/>
      <c r="M267" s="116"/>
      <c r="N267" s="116"/>
      <c r="O267" s="116"/>
      <c r="P267" s="116"/>
      <c r="Q267" s="116"/>
      <c r="R267" s="116"/>
      <c r="S267" s="116"/>
      <c r="T267" s="116"/>
      <c r="U267" s="116"/>
      <c r="V267" s="116"/>
      <c r="W267" s="116"/>
      <c r="X267" s="278"/>
      <c r="Y267" s="142"/>
      <c r="Z267" s="142"/>
      <c r="AA267" s="142"/>
      <c r="AB267" s="142"/>
      <c r="AC267" s="142"/>
      <c r="AD267" s="142"/>
      <c r="AE267" s="142"/>
      <c r="AF267" s="130"/>
      <c r="AG267" s="142"/>
      <c r="AH267" s="142"/>
      <c r="AI267" s="142"/>
      <c r="AJ267" s="130"/>
      <c r="AK267" s="130"/>
      <c r="AL267" s="130"/>
      <c r="AM267" s="130"/>
    </row>
    <row r="268" ht="15.75" customHeight="1">
      <c r="A268" s="278"/>
      <c r="B268" s="278"/>
      <c r="C268" s="278"/>
      <c r="D268" s="278"/>
      <c r="E268" s="132"/>
      <c r="F268" s="116"/>
      <c r="G268" s="116"/>
      <c r="H268" s="116"/>
      <c r="I268" s="373"/>
      <c r="J268" s="147"/>
      <c r="K268" s="116"/>
      <c r="L268" s="116"/>
      <c r="M268" s="116"/>
      <c r="N268" s="116"/>
      <c r="O268" s="116"/>
      <c r="P268" s="116"/>
      <c r="Q268" s="116"/>
      <c r="R268" s="116"/>
      <c r="S268" s="116"/>
      <c r="T268" s="116"/>
      <c r="U268" s="116"/>
      <c r="V268" s="116"/>
      <c r="W268" s="116"/>
      <c r="X268" s="278"/>
      <c r="Y268" s="142"/>
      <c r="Z268" s="142"/>
      <c r="AA268" s="142"/>
      <c r="AB268" s="142"/>
      <c r="AC268" s="142"/>
      <c r="AD268" s="142"/>
      <c r="AE268" s="142"/>
      <c r="AF268" s="130"/>
      <c r="AG268" s="142"/>
      <c r="AH268" s="142"/>
      <c r="AI268" s="142"/>
      <c r="AJ268" s="130"/>
      <c r="AK268" s="130"/>
      <c r="AL268" s="130"/>
      <c r="AM268" s="130"/>
    </row>
    <row r="269" ht="15.75" customHeight="1">
      <c r="A269" s="278"/>
      <c r="B269" s="278"/>
      <c r="C269" s="278"/>
      <c r="D269" s="278"/>
      <c r="E269" s="132"/>
      <c r="F269" s="116"/>
      <c r="G269" s="116"/>
      <c r="H269" s="116"/>
      <c r="I269" s="373"/>
      <c r="J269" s="147"/>
      <c r="K269" s="116"/>
      <c r="L269" s="116"/>
      <c r="M269" s="116"/>
      <c r="N269" s="116"/>
      <c r="O269" s="116"/>
      <c r="P269" s="116"/>
      <c r="Q269" s="116"/>
      <c r="R269" s="116"/>
      <c r="S269" s="116"/>
      <c r="T269" s="116"/>
      <c r="U269" s="116"/>
      <c r="V269" s="116"/>
      <c r="W269" s="116"/>
      <c r="X269" s="278"/>
      <c r="Y269" s="142"/>
      <c r="Z269" s="142"/>
      <c r="AA269" s="142"/>
      <c r="AB269" s="142"/>
      <c r="AC269" s="142"/>
      <c r="AD269" s="142"/>
      <c r="AE269" s="142"/>
      <c r="AF269" s="130"/>
      <c r="AG269" s="142"/>
      <c r="AH269" s="142"/>
      <c r="AI269" s="142"/>
      <c r="AJ269" s="130"/>
      <c r="AK269" s="130"/>
      <c r="AL269" s="130"/>
      <c r="AM269" s="130"/>
    </row>
    <row r="270" ht="15.75" customHeight="1">
      <c r="A270" s="278"/>
      <c r="B270" s="278"/>
      <c r="C270" s="278"/>
      <c r="D270" s="278"/>
      <c r="E270" s="132"/>
      <c r="F270" s="116"/>
      <c r="G270" s="116"/>
      <c r="H270" s="116"/>
      <c r="I270" s="373"/>
      <c r="J270" s="147"/>
      <c r="K270" s="116"/>
      <c r="L270" s="116"/>
      <c r="M270" s="116"/>
      <c r="N270" s="116"/>
      <c r="O270" s="116"/>
      <c r="P270" s="116"/>
      <c r="Q270" s="116"/>
      <c r="R270" s="116"/>
      <c r="S270" s="116"/>
      <c r="T270" s="116"/>
      <c r="U270" s="116"/>
      <c r="V270" s="116"/>
      <c r="W270" s="116"/>
      <c r="X270" s="278"/>
      <c r="Y270" s="142"/>
      <c r="Z270" s="142"/>
      <c r="AA270" s="142"/>
      <c r="AB270" s="142"/>
      <c r="AC270" s="142"/>
      <c r="AD270" s="142"/>
      <c r="AE270" s="142"/>
      <c r="AF270" s="130"/>
      <c r="AG270" s="142"/>
      <c r="AH270" s="142"/>
      <c r="AI270" s="142"/>
      <c r="AJ270" s="130"/>
      <c r="AK270" s="130"/>
      <c r="AL270" s="130"/>
      <c r="AM270" s="130"/>
    </row>
    <row r="271" ht="15.75" customHeight="1">
      <c r="A271" s="278"/>
      <c r="B271" s="278"/>
      <c r="C271" s="278"/>
      <c r="D271" s="278"/>
      <c r="E271" s="132"/>
      <c r="F271" s="116"/>
      <c r="G271" s="116"/>
      <c r="H271" s="116"/>
      <c r="I271" s="373"/>
      <c r="J271" s="147"/>
      <c r="K271" s="116"/>
      <c r="L271" s="116"/>
      <c r="M271" s="116"/>
      <c r="N271" s="116"/>
      <c r="O271" s="116"/>
      <c r="P271" s="116"/>
      <c r="Q271" s="116"/>
      <c r="R271" s="116"/>
      <c r="S271" s="116"/>
      <c r="T271" s="116"/>
      <c r="U271" s="116"/>
      <c r="V271" s="116"/>
      <c r="W271" s="116"/>
      <c r="X271" s="278"/>
      <c r="Y271" s="142"/>
      <c r="Z271" s="142"/>
      <c r="AA271" s="142"/>
      <c r="AB271" s="142"/>
      <c r="AC271" s="142"/>
      <c r="AD271" s="142"/>
      <c r="AE271" s="142"/>
      <c r="AF271" s="130"/>
      <c r="AG271" s="142"/>
      <c r="AH271" s="142"/>
      <c r="AI271" s="142"/>
      <c r="AJ271" s="130"/>
      <c r="AK271" s="130"/>
      <c r="AL271" s="130"/>
      <c r="AM271" s="130"/>
    </row>
    <row r="272" ht="15.75" customHeight="1">
      <c r="A272" s="278"/>
      <c r="B272" s="278"/>
      <c r="C272" s="278"/>
      <c r="D272" s="278"/>
      <c r="E272" s="132"/>
      <c r="F272" s="116"/>
      <c r="G272" s="116"/>
      <c r="H272" s="116"/>
      <c r="I272" s="373"/>
      <c r="J272" s="147"/>
      <c r="K272" s="116"/>
      <c r="L272" s="116"/>
      <c r="M272" s="116"/>
      <c r="N272" s="116"/>
      <c r="O272" s="116"/>
      <c r="P272" s="116"/>
      <c r="Q272" s="116"/>
      <c r="R272" s="116"/>
      <c r="S272" s="116"/>
      <c r="T272" s="116"/>
      <c r="U272" s="116"/>
      <c r="V272" s="116"/>
      <c r="W272" s="116"/>
      <c r="X272" s="278"/>
      <c r="Y272" s="142"/>
      <c r="Z272" s="142"/>
      <c r="AA272" s="142"/>
      <c r="AB272" s="142"/>
      <c r="AC272" s="142"/>
      <c r="AD272" s="142"/>
      <c r="AE272" s="142"/>
      <c r="AF272" s="130"/>
      <c r="AG272" s="142"/>
      <c r="AH272" s="142"/>
      <c r="AI272" s="142"/>
      <c r="AJ272" s="130"/>
      <c r="AK272" s="130"/>
      <c r="AL272" s="130"/>
      <c r="AM272" s="130"/>
    </row>
    <row r="273" ht="15.75" customHeight="1">
      <c r="A273" s="278"/>
      <c r="B273" s="278"/>
      <c r="C273" s="278"/>
      <c r="D273" s="278"/>
      <c r="E273" s="132"/>
      <c r="F273" s="116"/>
      <c r="G273" s="116"/>
      <c r="H273" s="116"/>
      <c r="I273" s="373"/>
      <c r="J273" s="147"/>
      <c r="K273" s="116"/>
      <c r="L273" s="116"/>
      <c r="M273" s="116"/>
      <c r="N273" s="116"/>
      <c r="O273" s="116"/>
      <c r="P273" s="116"/>
      <c r="Q273" s="116"/>
      <c r="R273" s="116"/>
      <c r="S273" s="116"/>
      <c r="T273" s="116"/>
      <c r="U273" s="116"/>
      <c r="V273" s="116"/>
      <c r="W273" s="116"/>
      <c r="X273" s="278"/>
      <c r="Y273" s="142"/>
      <c r="Z273" s="142"/>
      <c r="AA273" s="142"/>
      <c r="AB273" s="142"/>
      <c r="AC273" s="142"/>
      <c r="AD273" s="142"/>
      <c r="AE273" s="142"/>
      <c r="AF273" s="130"/>
      <c r="AG273" s="142"/>
      <c r="AH273" s="142"/>
      <c r="AI273" s="142"/>
      <c r="AJ273" s="130"/>
      <c r="AK273" s="130"/>
      <c r="AL273" s="130"/>
      <c r="AM273" s="130"/>
    </row>
    <row r="274" ht="15.75" customHeight="1">
      <c r="A274" s="278"/>
      <c r="B274" s="278"/>
      <c r="C274" s="278"/>
      <c r="D274" s="278"/>
      <c r="E274" s="132"/>
      <c r="F274" s="116"/>
      <c r="G274" s="116"/>
      <c r="H274" s="116"/>
      <c r="I274" s="373"/>
      <c r="J274" s="147"/>
      <c r="K274" s="116"/>
      <c r="L274" s="116"/>
      <c r="M274" s="116"/>
      <c r="N274" s="116"/>
      <c r="O274" s="116"/>
      <c r="P274" s="116"/>
      <c r="Q274" s="116"/>
      <c r="R274" s="116"/>
      <c r="S274" s="116"/>
      <c r="T274" s="116"/>
      <c r="U274" s="116"/>
      <c r="V274" s="116"/>
      <c r="W274" s="116"/>
      <c r="X274" s="278"/>
      <c r="Y274" s="142"/>
      <c r="Z274" s="142"/>
      <c r="AA274" s="142"/>
      <c r="AB274" s="142"/>
      <c r="AC274" s="142"/>
      <c r="AD274" s="142"/>
      <c r="AE274" s="142"/>
      <c r="AF274" s="130"/>
      <c r="AG274" s="142"/>
      <c r="AH274" s="142"/>
      <c r="AI274" s="142"/>
      <c r="AJ274" s="130"/>
      <c r="AK274" s="130"/>
      <c r="AL274" s="130"/>
      <c r="AM274" s="130"/>
    </row>
    <row r="275" ht="15.75" customHeight="1">
      <c r="A275" s="278"/>
      <c r="B275" s="278"/>
      <c r="C275" s="278"/>
      <c r="D275" s="278"/>
      <c r="E275" s="132"/>
      <c r="F275" s="116"/>
      <c r="G275" s="116"/>
      <c r="H275" s="116"/>
      <c r="I275" s="373"/>
      <c r="J275" s="147"/>
      <c r="K275" s="116"/>
      <c r="L275" s="116"/>
      <c r="M275" s="116"/>
      <c r="N275" s="116"/>
      <c r="O275" s="116"/>
      <c r="P275" s="116"/>
      <c r="Q275" s="116"/>
      <c r="R275" s="116"/>
      <c r="S275" s="116"/>
      <c r="T275" s="116"/>
      <c r="U275" s="116"/>
      <c r="V275" s="116"/>
      <c r="W275" s="116"/>
      <c r="X275" s="278"/>
      <c r="Y275" s="142"/>
      <c r="Z275" s="142"/>
      <c r="AA275" s="142"/>
      <c r="AB275" s="142"/>
      <c r="AC275" s="142"/>
      <c r="AD275" s="142"/>
      <c r="AE275" s="142"/>
      <c r="AF275" s="130"/>
      <c r="AG275" s="142"/>
      <c r="AH275" s="142"/>
      <c r="AI275" s="142"/>
      <c r="AJ275" s="130"/>
      <c r="AK275" s="130"/>
      <c r="AL275" s="130"/>
      <c r="AM275" s="130"/>
    </row>
    <row r="276" ht="15.75" customHeight="1">
      <c r="A276" s="278"/>
      <c r="B276" s="278"/>
      <c r="C276" s="278"/>
      <c r="D276" s="278"/>
      <c r="E276" s="132"/>
      <c r="F276" s="116"/>
      <c r="G276" s="116"/>
      <c r="H276" s="116"/>
      <c r="I276" s="373"/>
      <c r="J276" s="147"/>
      <c r="K276" s="116"/>
      <c r="L276" s="116"/>
      <c r="M276" s="116"/>
      <c r="N276" s="116"/>
      <c r="O276" s="116"/>
      <c r="P276" s="116"/>
      <c r="Q276" s="116"/>
      <c r="R276" s="116"/>
      <c r="S276" s="116"/>
      <c r="T276" s="116"/>
      <c r="U276" s="116"/>
      <c r="V276" s="116"/>
      <c r="W276" s="116"/>
      <c r="X276" s="278"/>
      <c r="Y276" s="142"/>
      <c r="Z276" s="142"/>
      <c r="AA276" s="142"/>
      <c r="AB276" s="142"/>
      <c r="AC276" s="142"/>
      <c r="AD276" s="142"/>
      <c r="AE276" s="142"/>
      <c r="AF276" s="130"/>
      <c r="AG276" s="142"/>
      <c r="AH276" s="142"/>
      <c r="AI276" s="142"/>
      <c r="AJ276" s="130"/>
      <c r="AK276" s="130"/>
      <c r="AL276" s="130"/>
      <c r="AM276" s="130"/>
    </row>
    <row r="277" ht="15.75" customHeight="1">
      <c r="A277" s="278"/>
      <c r="B277" s="278"/>
      <c r="C277" s="278"/>
      <c r="D277" s="278"/>
      <c r="E277" s="132"/>
      <c r="F277" s="116"/>
      <c r="G277" s="116"/>
      <c r="H277" s="116"/>
      <c r="I277" s="373"/>
      <c r="J277" s="147"/>
      <c r="K277" s="116"/>
      <c r="L277" s="116"/>
      <c r="M277" s="116"/>
      <c r="N277" s="116"/>
      <c r="O277" s="116"/>
      <c r="P277" s="116"/>
      <c r="Q277" s="116"/>
      <c r="R277" s="116"/>
      <c r="S277" s="116"/>
      <c r="T277" s="116"/>
      <c r="U277" s="116"/>
      <c r="V277" s="116"/>
      <c r="W277" s="116"/>
      <c r="X277" s="278"/>
      <c r="Y277" s="142"/>
      <c r="Z277" s="142"/>
      <c r="AA277" s="142"/>
      <c r="AB277" s="142"/>
      <c r="AC277" s="142"/>
      <c r="AD277" s="142"/>
      <c r="AE277" s="142"/>
      <c r="AF277" s="130"/>
      <c r="AG277" s="142"/>
      <c r="AH277" s="142"/>
      <c r="AI277" s="142"/>
      <c r="AJ277" s="130"/>
      <c r="AK277" s="130"/>
      <c r="AL277" s="130"/>
      <c r="AM277" s="130"/>
    </row>
    <row r="278" ht="15.75" customHeight="1">
      <c r="A278" s="278"/>
      <c r="B278" s="278"/>
      <c r="C278" s="278"/>
      <c r="D278" s="278"/>
      <c r="E278" s="132"/>
      <c r="F278" s="116"/>
      <c r="G278" s="116"/>
      <c r="H278" s="116"/>
      <c r="I278" s="373"/>
      <c r="J278" s="147"/>
      <c r="K278" s="116"/>
      <c r="L278" s="116"/>
      <c r="M278" s="116"/>
      <c r="N278" s="116"/>
      <c r="O278" s="116"/>
      <c r="P278" s="116"/>
      <c r="Q278" s="116"/>
      <c r="R278" s="116"/>
      <c r="S278" s="116"/>
      <c r="T278" s="116"/>
      <c r="U278" s="116"/>
      <c r="V278" s="116"/>
      <c r="W278" s="116"/>
      <c r="X278" s="278"/>
      <c r="Y278" s="142"/>
      <c r="Z278" s="142"/>
      <c r="AA278" s="142"/>
      <c r="AB278" s="142"/>
      <c r="AC278" s="142"/>
      <c r="AD278" s="142"/>
      <c r="AE278" s="142"/>
      <c r="AF278" s="130"/>
      <c r="AG278" s="142"/>
      <c r="AH278" s="142"/>
      <c r="AI278" s="142"/>
      <c r="AJ278" s="130"/>
      <c r="AK278" s="130"/>
      <c r="AL278" s="130"/>
      <c r="AM278" s="130"/>
    </row>
    <row r="279" ht="15.75" customHeight="1">
      <c r="A279" s="278"/>
      <c r="B279" s="278"/>
      <c r="C279" s="278"/>
      <c r="D279" s="278"/>
      <c r="E279" s="132"/>
      <c r="F279" s="116"/>
      <c r="G279" s="116"/>
      <c r="H279" s="116"/>
      <c r="I279" s="373"/>
      <c r="J279" s="147"/>
      <c r="K279" s="116"/>
      <c r="L279" s="116"/>
      <c r="M279" s="116"/>
      <c r="N279" s="116"/>
      <c r="O279" s="116"/>
      <c r="P279" s="116"/>
      <c r="Q279" s="116"/>
      <c r="R279" s="116"/>
      <c r="S279" s="116"/>
      <c r="T279" s="116"/>
      <c r="U279" s="116"/>
      <c r="V279" s="116"/>
      <c r="W279" s="116"/>
      <c r="X279" s="278"/>
      <c r="Y279" s="142"/>
      <c r="Z279" s="142"/>
      <c r="AA279" s="142"/>
      <c r="AB279" s="142"/>
      <c r="AC279" s="142"/>
      <c r="AD279" s="142"/>
      <c r="AE279" s="142"/>
      <c r="AF279" s="130"/>
      <c r="AG279" s="142"/>
      <c r="AH279" s="142"/>
      <c r="AI279" s="142"/>
      <c r="AJ279" s="130"/>
      <c r="AK279" s="130"/>
      <c r="AL279" s="130"/>
      <c r="AM279" s="130"/>
    </row>
    <row r="280" ht="15.75" customHeight="1">
      <c r="A280" s="278"/>
      <c r="B280" s="278"/>
      <c r="C280" s="278"/>
      <c r="D280" s="278"/>
      <c r="E280" s="132"/>
      <c r="F280" s="116"/>
      <c r="G280" s="116"/>
      <c r="H280" s="116"/>
      <c r="I280" s="373"/>
      <c r="J280" s="147"/>
      <c r="K280" s="116"/>
      <c r="L280" s="116"/>
      <c r="M280" s="116"/>
      <c r="N280" s="116"/>
      <c r="O280" s="116"/>
      <c r="P280" s="116"/>
      <c r="Q280" s="116"/>
      <c r="R280" s="116"/>
      <c r="S280" s="116"/>
      <c r="T280" s="116"/>
      <c r="U280" s="116"/>
      <c r="V280" s="116"/>
      <c r="W280" s="116"/>
      <c r="X280" s="278"/>
      <c r="Y280" s="142"/>
      <c r="Z280" s="142"/>
      <c r="AA280" s="142"/>
      <c r="AB280" s="142"/>
      <c r="AC280" s="142"/>
      <c r="AD280" s="142"/>
      <c r="AE280" s="142"/>
      <c r="AF280" s="130"/>
      <c r="AG280" s="142"/>
      <c r="AH280" s="142"/>
      <c r="AI280" s="142"/>
      <c r="AJ280" s="130"/>
      <c r="AK280" s="130"/>
      <c r="AL280" s="130"/>
      <c r="AM280" s="130"/>
    </row>
    <row r="281" ht="15.75" customHeight="1">
      <c r="A281" s="278"/>
      <c r="B281" s="278"/>
      <c r="C281" s="278"/>
      <c r="D281" s="278"/>
      <c r="E281" s="132"/>
      <c r="F281" s="116"/>
      <c r="G281" s="116"/>
      <c r="H281" s="116"/>
      <c r="I281" s="373"/>
      <c r="J281" s="147"/>
      <c r="K281" s="116"/>
      <c r="L281" s="116"/>
      <c r="M281" s="116"/>
      <c r="N281" s="116"/>
      <c r="O281" s="116"/>
      <c r="P281" s="116"/>
      <c r="Q281" s="116"/>
      <c r="R281" s="116"/>
      <c r="S281" s="116"/>
      <c r="T281" s="116"/>
      <c r="U281" s="116"/>
      <c r="V281" s="116"/>
      <c r="W281" s="116"/>
      <c r="X281" s="278"/>
      <c r="Y281" s="142"/>
      <c r="Z281" s="142"/>
      <c r="AA281" s="142"/>
      <c r="AB281" s="142"/>
      <c r="AC281" s="142"/>
      <c r="AD281" s="142"/>
      <c r="AE281" s="142"/>
      <c r="AF281" s="130"/>
      <c r="AG281" s="142"/>
      <c r="AH281" s="142"/>
      <c r="AI281" s="142"/>
      <c r="AJ281" s="130"/>
      <c r="AK281" s="130"/>
      <c r="AL281" s="130"/>
      <c r="AM281" s="130"/>
    </row>
    <row r="282" ht="15.75" customHeight="1">
      <c r="A282" s="278"/>
      <c r="B282" s="278"/>
      <c r="C282" s="278"/>
      <c r="D282" s="278"/>
      <c r="E282" s="132"/>
      <c r="F282" s="116"/>
      <c r="G282" s="116"/>
      <c r="H282" s="116"/>
      <c r="I282" s="373"/>
      <c r="J282" s="147"/>
      <c r="K282" s="116"/>
      <c r="L282" s="116"/>
      <c r="M282" s="116"/>
      <c r="N282" s="116"/>
      <c r="O282" s="116"/>
      <c r="P282" s="116"/>
      <c r="Q282" s="116"/>
      <c r="R282" s="116"/>
      <c r="S282" s="116"/>
      <c r="T282" s="116"/>
      <c r="U282" s="116"/>
      <c r="V282" s="116"/>
      <c r="W282" s="116"/>
      <c r="X282" s="278"/>
      <c r="Y282" s="142"/>
      <c r="Z282" s="142"/>
      <c r="AA282" s="142"/>
      <c r="AB282" s="142"/>
      <c r="AC282" s="142"/>
      <c r="AD282" s="142"/>
      <c r="AE282" s="142"/>
      <c r="AF282" s="130"/>
      <c r="AG282" s="142"/>
      <c r="AH282" s="142"/>
      <c r="AI282" s="142"/>
      <c r="AJ282" s="130"/>
      <c r="AK282" s="130"/>
      <c r="AL282" s="130"/>
      <c r="AM282" s="130"/>
    </row>
    <row r="283" ht="15.75" customHeight="1">
      <c r="A283" s="278"/>
      <c r="B283" s="278"/>
      <c r="C283" s="278"/>
      <c r="D283" s="278"/>
      <c r="E283" s="132"/>
      <c r="F283" s="116"/>
      <c r="G283" s="116"/>
      <c r="H283" s="116"/>
      <c r="I283" s="373"/>
      <c r="J283" s="147"/>
      <c r="K283" s="116"/>
      <c r="L283" s="116"/>
      <c r="M283" s="116"/>
      <c r="N283" s="116"/>
      <c r="O283" s="116"/>
      <c r="P283" s="116"/>
      <c r="Q283" s="116"/>
      <c r="R283" s="116"/>
      <c r="S283" s="116"/>
      <c r="T283" s="116"/>
      <c r="U283" s="116"/>
      <c r="V283" s="116"/>
      <c r="W283" s="116"/>
      <c r="X283" s="278"/>
      <c r="Y283" s="142"/>
      <c r="Z283" s="142"/>
      <c r="AA283" s="142"/>
      <c r="AB283" s="142"/>
      <c r="AC283" s="142"/>
      <c r="AD283" s="142"/>
      <c r="AE283" s="142"/>
      <c r="AF283" s="130"/>
      <c r="AG283" s="142"/>
      <c r="AH283" s="142"/>
      <c r="AI283" s="142"/>
      <c r="AJ283" s="130"/>
      <c r="AK283" s="130"/>
      <c r="AL283" s="130"/>
      <c r="AM283" s="130"/>
    </row>
    <row r="284" ht="15.75" customHeight="1">
      <c r="A284" s="278"/>
      <c r="B284" s="278"/>
      <c r="C284" s="278"/>
      <c r="D284" s="278"/>
      <c r="E284" s="132"/>
      <c r="F284" s="116"/>
      <c r="G284" s="116"/>
      <c r="H284" s="116"/>
      <c r="I284" s="373"/>
      <c r="J284" s="147"/>
      <c r="K284" s="116"/>
      <c r="L284" s="116"/>
      <c r="M284" s="116"/>
      <c r="N284" s="116"/>
      <c r="O284" s="116"/>
      <c r="P284" s="116"/>
      <c r="Q284" s="116"/>
      <c r="R284" s="116"/>
      <c r="S284" s="116"/>
      <c r="T284" s="116"/>
      <c r="U284" s="116"/>
      <c r="V284" s="116"/>
      <c r="W284" s="116"/>
      <c r="X284" s="278"/>
      <c r="Y284" s="142"/>
      <c r="Z284" s="142"/>
      <c r="AA284" s="142"/>
      <c r="AB284" s="142"/>
      <c r="AC284" s="142"/>
      <c r="AD284" s="142"/>
      <c r="AE284" s="142"/>
      <c r="AF284" s="130"/>
      <c r="AG284" s="142"/>
      <c r="AH284" s="142"/>
      <c r="AI284" s="142"/>
      <c r="AJ284" s="130"/>
      <c r="AK284" s="130"/>
      <c r="AL284" s="130"/>
      <c r="AM284" s="130"/>
    </row>
    <row r="285" ht="15.75" customHeight="1">
      <c r="A285" s="278"/>
      <c r="B285" s="278"/>
      <c r="C285" s="278"/>
      <c r="D285" s="278"/>
      <c r="E285" s="132"/>
      <c r="F285" s="116"/>
      <c r="G285" s="116"/>
      <c r="H285" s="116"/>
      <c r="I285" s="373"/>
      <c r="J285" s="147"/>
      <c r="K285" s="116"/>
      <c r="L285" s="116"/>
      <c r="M285" s="116"/>
      <c r="N285" s="116"/>
      <c r="O285" s="116"/>
      <c r="P285" s="116"/>
      <c r="Q285" s="116"/>
      <c r="R285" s="116"/>
      <c r="S285" s="116"/>
      <c r="T285" s="116"/>
      <c r="U285" s="116"/>
      <c r="V285" s="116"/>
      <c r="W285" s="116"/>
      <c r="X285" s="278"/>
      <c r="Y285" s="142"/>
      <c r="Z285" s="142"/>
      <c r="AA285" s="142"/>
      <c r="AB285" s="142"/>
      <c r="AC285" s="142"/>
      <c r="AD285" s="142"/>
      <c r="AE285" s="142"/>
      <c r="AF285" s="130"/>
      <c r="AG285" s="142"/>
      <c r="AH285" s="142"/>
      <c r="AI285" s="142"/>
      <c r="AJ285" s="130"/>
      <c r="AK285" s="130"/>
      <c r="AL285" s="130"/>
      <c r="AM285" s="130"/>
    </row>
    <row r="286" ht="15.75" customHeight="1">
      <c r="A286" s="278"/>
      <c r="B286" s="278"/>
      <c r="C286" s="278"/>
      <c r="D286" s="278"/>
      <c r="E286" s="132"/>
      <c r="F286" s="116"/>
      <c r="G286" s="116"/>
      <c r="H286" s="116"/>
      <c r="I286" s="373"/>
      <c r="J286" s="147"/>
      <c r="K286" s="116"/>
      <c r="L286" s="116"/>
      <c r="M286" s="116"/>
      <c r="N286" s="116"/>
      <c r="O286" s="116"/>
      <c r="P286" s="116"/>
      <c r="Q286" s="116"/>
      <c r="R286" s="116"/>
      <c r="S286" s="116"/>
      <c r="T286" s="116"/>
      <c r="U286" s="116"/>
      <c r="V286" s="116"/>
      <c r="W286" s="116"/>
      <c r="X286" s="278"/>
      <c r="Y286" s="142"/>
      <c r="Z286" s="142"/>
      <c r="AA286" s="142"/>
      <c r="AB286" s="142"/>
      <c r="AC286" s="142"/>
      <c r="AD286" s="142"/>
      <c r="AE286" s="142"/>
      <c r="AF286" s="130"/>
      <c r="AG286" s="142"/>
      <c r="AH286" s="142"/>
      <c r="AI286" s="142"/>
      <c r="AJ286" s="130"/>
      <c r="AK286" s="130"/>
      <c r="AL286" s="130"/>
      <c r="AM286" s="130"/>
    </row>
    <row r="287" ht="15.75" customHeight="1">
      <c r="A287" s="278"/>
      <c r="B287" s="278"/>
      <c r="C287" s="278"/>
      <c r="D287" s="278"/>
      <c r="E287" s="132"/>
      <c r="F287" s="116"/>
      <c r="G287" s="116"/>
      <c r="H287" s="116"/>
      <c r="I287" s="373"/>
      <c r="J287" s="147"/>
      <c r="K287" s="116"/>
      <c r="L287" s="116"/>
      <c r="M287" s="116"/>
      <c r="N287" s="116"/>
      <c r="O287" s="116"/>
      <c r="P287" s="116"/>
      <c r="Q287" s="116"/>
      <c r="R287" s="116"/>
      <c r="S287" s="116"/>
      <c r="T287" s="116"/>
      <c r="U287" s="116"/>
      <c r="V287" s="116"/>
      <c r="W287" s="116"/>
      <c r="X287" s="278"/>
      <c r="Y287" s="142"/>
      <c r="Z287" s="142"/>
      <c r="AA287" s="142"/>
      <c r="AB287" s="142"/>
      <c r="AC287" s="142"/>
      <c r="AD287" s="142"/>
      <c r="AE287" s="142"/>
      <c r="AF287" s="130"/>
      <c r="AG287" s="142"/>
      <c r="AH287" s="142"/>
      <c r="AI287" s="142"/>
      <c r="AJ287" s="130"/>
      <c r="AK287" s="130"/>
      <c r="AL287" s="130"/>
      <c r="AM287" s="130"/>
    </row>
    <row r="288" ht="15.75" customHeight="1">
      <c r="A288" s="278"/>
      <c r="B288" s="278"/>
      <c r="C288" s="278"/>
      <c r="D288" s="278"/>
      <c r="E288" s="132"/>
      <c r="F288" s="116"/>
      <c r="G288" s="116"/>
      <c r="H288" s="116"/>
      <c r="I288" s="373"/>
      <c r="J288" s="147"/>
      <c r="K288" s="116"/>
      <c r="L288" s="116"/>
      <c r="M288" s="116"/>
      <c r="N288" s="116"/>
      <c r="O288" s="116"/>
      <c r="P288" s="116"/>
      <c r="Q288" s="116"/>
      <c r="R288" s="116"/>
      <c r="S288" s="116"/>
      <c r="T288" s="116"/>
      <c r="U288" s="116"/>
      <c r="V288" s="116"/>
      <c r="W288" s="116"/>
      <c r="X288" s="278"/>
      <c r="Y288" s="142"/>
      <c r="Z288" s="142"/>
      <c r="AA288" s="142"/>
      <c r="AB288" s="142"/>
      <c r="AC288" s="142"/>
      <c r="AD288" s="142"/>
      <c r="AE288" s="142"/>
      <c r="AF288" s="130"/>
      <c r="AG288" s="142"/>
      <c r="AH288" s="142"/>
      <c r="AI288" s="142"/>
      <c r="AJ288" s="130"/>
      <c r="AK288" s="130"/>
      <c r="AL288" s="130"/>
      <c r="AM288" s="130"/>
    </row>
    <row r="289" ht="15.75" customHeight="1">
      <c r="A289" s="278"/>
      <c r="B289" s="278"/>
      <c r="C289" s="278"/>
      <c r="D289" s="278"/>
      <c r="E289" s="132"/>
      <c r="F289" s="116"/>
      <c r="G289" s="116"/>
      <c r="H289" s="116"/>
      <c r="I289" s="373"/>
      <c r="J289" s="147"/>
      <c r="K289" s="116"/>
      <c r="L289" s="116"/>
      <c r="M289" s="116"/>
      <c r="N289" s="116"/>
      <c r="O289" s="116"/>
      <c r="P289" s="116"/>
      <c r="Q289" s="116"/>
      <c r="R289" s="116"/>
      <c r="S289" s="116"/>
      <c r="T289" s="116"/>
      <c r="U289" s="116"/>
      <c r="V289" s="116"/>
      <c r="W289" s="116"/>
      <c r="X289" s="278"/>
      <c r="Y289" s="142"/>
      <c r="Z289" s="142"/>
      <c r="AA289" s="142"/>
      <c r="AB289" s="142"/>
      <c r="AC289" s="142"/>
      <c r="AD289" s="142"/>
      <c r="AE289" s="142"/>
      <c r="AF289" s="130"/>
      <c r="AG289" s="142"/>
      <c r="AH289" s="142"/>
      <c r="AI289" s="142"/>
      <c r="AJ289" s="130"/>
      <c r="AK289" s="130"/>
      <c r="AL289" s="130"/>
      <c r="AM289" s="130"/>
    </row>
    <row r="290" ht="15.75" customHeight="1">
      <c r="A290" s="278"/>
      <c r="B290" s="278"/>
      <c r="C290" s="278"/>
      <c r="D290" s="278"/>
      <c r="E290" s="132"/>
      <c r="F290" s="116"/>
      <c r="G290" s="116"/>
      <c r="H290" s="116"/>
      <c r="I290" s="373"/>
      <c r="J290" s="147"/>
      <c r="K290" s="116"/>
      <c r="L290" s="116"/>
      <c r="M290" s="116"/>
      <c r="N290" s="116"/>
      <c r="O290" s="116"/>
      <c r="P290" s="116"/>
      <c r="Q290" s="116"/>
      <c r="R290" s="116"/>
      <c r="S290" s="116"/>
      <c r="T290" s="116"/>
      <c r="U290" s="116"/>
      <c r="V290" s="116"/>
      <c r="W290" s="116"/>
      <c r="X290" s="278"/>
      <c r="Y290" s="142"/>
      <c r="Z290" s="142"/>
      <c r="AA290" s="142"/>
      <c r="AB290" s="142"/>
      <c r="AC290" s="142"/>
      <c r="AD290" s="142"/>
      <c r="AE290" s="142"/>
      <c r="AF290" s="130"/>
      <c r="AG290" s="142"/>
      <c r="AH290" s="142"/>
      <c r="AI290" s="142"/>
      <c r="AJ290" s="130"/>
      <c r="AK290" s="130"/>
      <c r="AL290" s="130"/>
      <c r="AM290" s="130"/>
    </row>
    <row r="291" ht="15.75" customHeight="1">
      <c r="A291" s="278"/>
      <c r="B291" s="278"/>
      <c r="C291" s="278"/>
      <c r="D291" s="278"/>
      <c r="E291" s="132"/>
      <c r="F291" s="116"/>
      <c r="G291" s="116"/>
      <c r="H291" s="116"/>
      <c r="I291" s="373"/>
      <c r="J291" s="147"/>
      <c r="K291" s="116"/>
      <c r="L291" s="116"/>
      <c r="M291" s="116"/>
      <c r="N291" s="116"/>
      <c r="O291" s="116"/>
      <c r="P291" s="116"/>
      <c r="Q291" s="116"/>
      <c r="R291" s="116"/>
      <c r="S291" s="116"/>
      <c r="T291" s="116"/>
      <c r="U291" s="116"/>
      <c r="V291" s="116"/>
      <c r="W291" s="116"/>
      <c r="X291" s="278"/>
      <c r="Y291" s="142"/>
      <c r="Z291" s="142"/>
      <c r="AA291" s="142"/>
      <c r="AB291" s="142"/>
      <c r="AC291" s="142"/>
      <c r="AD291" s="142"/>
      <c r="AE291" s="142"/>
      <c r="AF291" s="130"/>
      <c r="AG291" s="142"/>
      <c r="AH291" s="142"/>
      <c r="AI291" s="142"/>
      <c r="AJ291" s="130"/>
      <c r="AK291" s="130"/>
      <c r="AL291" s="130"/>
      <c r="AM291" s="130"/>
    </row>
    <row r="292" ht="15.75" customHeight="1">
      <c r="A292" s="278"/>
      <c r="B292" s="278"/>
      <c r="C292" s="278"/>
      <c r="D292" s="278"/>
      <c r="E292" s="132"/>
      <c r="F292" s="116"/>
      <c r="G292" s="116"/>
      <c r="H292" s="116"/>
      <c r="I292" s="373"/>
      <c r="J292" s="147"/>
      <c r="K292" s="116"/>
      <c r="L292" s="116"/>
      <c r="M292" s="116"/>
      <c r="N292" s="116"/>
      <c r="O292" s="116"/>
      <c r="P292" s="116"/>
      <c r="Q292" s="116"/>
      <c r="R292" s="116"/>
      <c r="S292" s="116"/>
      <c r="T292" s="116"/>
      <c r="U292" s="116"/>
      <c r="V292" s="116"/>
      <c r="W292" s="116"/>
      <c r="X292" s="278"/>
      <c r="Y292" s="142"/>
      <c r="Z292" s="142"/>
      <c r="AA292" s="142"/>
      <c r="AB292" s="142"/>
      <c r="AC292" s="142"/>
      <c r="AD292" s="142"/>
      <c r="AE292" s="142"/>
      <c r="AF292" s="130"/>
      <c r="AG292" s="142"/>
      <c r="AH292" s="142"/>
      <c r="AI292" s="142"/>
      <c r="AJ292" s="130"/>
      <c r="AK292" s="130"/>
      <c r="AL292" s="130"/>
      <c r="AM292" s="130"/>
    </row>
    <row r="293" ht="15.75" customHeight="1">
      <c r="A293" s="278"/>
      <c r="B293" s="278"/>
      <c r="C293" s="278"/>
      <c r="D293" s="278"/>
      <c r="E293" s="132"/>
      <c r="F293" s="116"/>
      <c r="G293" s="116"/>
      <c r="H293" s="116"/>
      <c r="I293" s="373"/>
      <c r="J293" s="147"/>
      <c r="K293" s="116"/>
      <c r="L293" s="116"/>
      <c r="M293" s="116"/>
      <c r="N293" s="116"/>
      <c r="O293" s="116"/>
      <c r="P293" s="116"/>
      <c r="Q293" s="116"/>
      <c r="R293" s="116"/>
      <c r="S293" s="116"/>
      <c r="T293" s="116"/>
      <c r="U293" s="116"/>
      <c r="V293" s="116"/>
      <c r="W293" s="116"/>
      <c r="X293" s="278"/>
      <c r="Y293" s="142"/>
      <c r="Z293" s="142"/>
      <c r="AA293" s="142"/>
      <c r="AB293" s="142"/>
      <c r="AC293" s="142"/>
      <c r="AD293" s="142"/>
      <c r="AE293" s="142"/>
      <c r="AF293" s="130"/>
      <c r="AG293" s="142"/>
      <c r="AH293" s="142"/>
      <c r="AI293" s="142"/>
      <c r="AJ293" s="130"/>
      <c r="AK293" s="130"/>
      <c r="AL293" s="130"/>
      <c r="AM293" s="130"/>
    </row>
    <row r="294" ht="15.75" customHeight="1">
      <c r="A294" s="278"/>
      <c r="B294" s="278"/>
      <c r="C294" s="278"/>
      <c r="D294" s="278"/>
      <c r="E294" s="132"/>
      <c r="F294" s="116"/>
      <c r="G294" s="116"/>
      <c r="H294" s="116"/>
      <c r="I294" s="373"/>
      <c r="J294" s="147"/>
      <c r="K294" s="116"/>
      <c r="L294" s="116"/>
      <c r="M294" s="116"/>
      <c r="N294" s="116"/>
      <c r="O294" s="116"/>
      <c r="P294" s="116"/>
      <c r="Q294" s="116"/>
      <c r="R294" s="116"/>
      <c r="S294" s="116"/>
      <c r="T294" s="116"/>
      <c r="U294" s="116"/>
      <c r="V294" s="116"/>
      <c r="W294" s="116"/>
      <c r="X294" s="278"/>
      <c r="Y294" s="142"/>
      <c r="Z294" s="142"/>
      <c r="AA294" s="142"/>
      <c r="AB294" s="142"/>
      <c r="AC294" s="142"/>
      <c r="AD294" s="142"/>
      <c r="AE294" s="142"/>
      <c r="AF294" s="130"/>
      <c r="AG294" s="142"/>
      <c r="AH294" s="142"/>
      <c r="AI294" s="142"/>
      <c r="AJ294" s="130"/>
      <c r="AK294" s="130"/>
      <c r="AL294" s="130"/>
      <c r="AM294" s="130"/>
    </row>
    <row r="295" ht="15.75" customHeight="1">
      <c r="A295" s="278"/>
      <c r="B295" s="278"/>
      <c r="C295" s="278"/>
      <c r="D295" s="278"/>
      <c r="E295" s="132"/>
      <c r="F295" s="116"/>
      <c r="G295" s="116"/>
      <c r="H295" s="116"/>
      <c r="I295" s="373"/>
      <c r="J295" s="147"/>
      <c r="K295" s="116"/>
      <c r="L295" s="116"/>
      <c r="M295" s="116"/>
      <c r="N295" s="116"/>
      <c r="O295" s="116"/>
      <c r="P295" s="116"/>
      <c r="Q295" s="116"/>
      <c r="R295" s="116"/>
      <c r="S295" s="116"/>
      <c r="T295" s="116"/>
      <c r="U295" s="116"/>
      <c r="V295" s="116"/>
      <c r="W295" s="116"/>
      <c r="X295" s="278"/>
      <c r="Y295" s="142"/>
      <c r="Z295" s="142"/>
      <c r="AA295" s="142"/>
      <c r="AB295" s="142"/>
      <c r="AC295" s="142"/>
      <c r="AD295" s="142"/>
      <c r="AE295" s="142"/>
      <c r="AF295" s="130"/>
      <c r="AG295" s="142"/>
      <c r="AH295" s="142"/>
      <c r="AI295" s="142"/>
      <c r="AJ295" s="130"/>
      <c r="AK295" s="130"/>
      <c r="AL295" s="130"/>
      <c r="AM295" s="130"/>
    </row>
    <row r="296" ht="15.75" customHeight="1">
      <c r="A296" s="278"/>
      <c r="B296" s="278"/>
      <c r="C296" s="278"/>
      <c r="D296" s="278"/>
      <c r="E296" s="132"/>
      <c r="F296" s="116"/>
      <c r="G296" s="116"/>
      <c r="H296" s="116"/>
      <c r="I296" s="373"/>
      <c r="J296" s="147"/>
      <c r="K296" s="116"/>
      <c r="L296" s="116"/>
      <c r="M296" s="116"/>
      <c r="N296" s="116"/>
      <c r="O296" s="116"/>
      <c r="P296" s="116"/>
      <c r="Q296" s="116"/>
      <c r="R296" s="116"/>
      <c r="S296" s="116"/>
      <c r="T296" s="116"/>
      <c r="U296" s="116"/>
      <c r="V296" s="116"/>
      <c r="W296" s="116"/>
      <c r="X296" s="278"/>
      <c r="Y296" s="142"/>
      <c r="Z296" s="142"/>
      <c r="AA296" s="142"/>
      <c r="AB296" s="142"/>
      <c r="AC296" s="142"/>
      <c r="AD296" s="142"/>
      <c r="AE296" s="142"/>
      <c r="AF296" s="130"/>
      <c r="AG296" s="142"/>
      <c r="AH296" s="142"/>
      <c r="AI296" s="142"/>
      <c r="AJ296" s="130"/>
      <c r="AK296" s="130"/>
      <c r="AL296" s="130"/>
      <c r="AM296" s="130"/>
    </row>
    <row r="297" ht="15.75" customHeight="1">
      <c r="A297" s="278"/>
      <c r="B297" s="278"/>
      <c r="C297" s="278"/>
      <c r="D297" s="278"/>
      <c r="E297" s="132"/>
      <c r="F297" s="116"/>
      <c r="G297" s="116"/>
      <c r="H297" s="116"/>
      <c r="I297" s="373"/>
      <c r="J297" s="147"/>
      <c r="K297" s="116"/>
      <c r="L297" s="116"/>
      <c r="M297" s="116"/>
      <c r="N297" s="116"/>
      <c r="O297" s="116"/>
      <c r="P297" s="116"/>
      <c r="Q297" s="116"/>
      <c r="R297" s="116"/>
      <c r="S297" s="116"/>
      <c r="T297" s="116"/>
      <c r="U297" s="116"/>
      <c r="V297" s="116"/>
      <c r="W297" s="116"/>
      <c r="X297" s="278"/>
      <c r="Y297" s="142"/>
      <c r="Z297" s="142"/>
      <c r="AA297" s="142"/>
      <c r="AB297" s="142"/>
      <c r="AC297" s="142"/>
      <c r="AD297" s="142"/>
      <c r="AE297" s="142"/>
      <c r="AF297" s="130"/>
      <c r="AG297" s="142"/>
      <c r="AH297" s="142"/>
      <c r="AI297" s="142"/>
      <c r="AJ297" s="130"/>
      <c r="AK297" s="130"/>
      <c r="AL297" s="130"/>
      <c r="AM297" s="130"/>
    </row>
    <row r="298" ht="15.75" customHeight="1">
      <c r="A298" s="278"/>
      <c r="B298" s="278"/>
      <c r="C298" s="278"/>
      <c r="D298" s="278"/>
      <c r="E298" s="132"/>
      <c r="F298" s="116"/>
      <c r="G298" s="116"/>
      <c r="H298" s="116"/>
      <c r="I298" s="373"/>
      <c r="J298" s="147"/>
      <c r="K298" s="116"/>
      <c r="L298" s="116"/>
      <c r="M298" s="116"/>
      <c r="N298" s="116"/>
      <c r="O298" s="116"/>
      <c r="P298" s="116"/>
      <c r="Q298" s="116"/>
      <c r="R298" s="116"/>
      <c r="S298" s="116"/>
      <c r="T298" s="116"/>
      <c r="U298" s="116"/>
      <c r="V298" s="116"/>
      <c r="W298" s="116"/>
      <c r="X298" s="278"/>
      <c r="Y298" s="142"/>
      <c r="Z298" s="142"/>
      <c r="AA298" s="142"/>
      <c r="AB298" s="142"/>
      <c r="AC298" s="142"/>
      <c r="AD298" s="142"/>
      <c r="AE298" s="142"/>
      <c r="AF298" s="130"/>
      <c r="AG298" s="142"/>
      <c r="AH298" s="142"/>
      <c r="AI298" s="142"/>
      <c r="AJ298" s="130"/>
      <c r="AK298" s="130"/>
      <c r="AL298" s="130"/>
      <c r="AM298" s="130"/>
    </row>
    <row r="299" ht="15.75" customHeight="1">
      <c r="A299" s="278"/>
      <c r="B299" s="278"/>
      <c r="C299" s="278"/>
      <c r="D299" s="278"/>
      <c r="E299" s="132"/>
      <c r="F299" s="116"/>
      <c r="G299" s="116"/>
      <c r="H299" s="116"/>
      <c r="I299" s="373"/>
      <c r="J299" s="147"/>
      <c r="K299" s="116"/>
      <c r="L299" s="116"/>
      <c r="M299" s="116"/>
      <c r="N299" s="116"/>
      <c r="O299" s="116"/>
      <c r="P299" s="116"/>
      <c r="Q299" s="116"/>
      <c r="R299" s="116"/>
      <c r="S299" s="116"/>
      <c r="T299" s="116"/>
      <c r="U299" s="116"/>
      <c r="V299" s="116"/>
      <c r="W299" s="116"/>
      <c r="X299" s="278"/>
      <c r="Y299" s="142"/>
      <c r="Z299" s="142"/>
      <c r="AA299" s="142"/>
      <c r="AB299" s="142"/>
      <c r="AC299" s="142"/>
      <c r="AD299" s="142"/>
      <c r="AE299" s="142"/>
      <c r="AF299" s="130"/>
      <c r="AG299" s="142"/>
      <c r="AH299" s="142"/>
      <c r="AI299" s="142"/>
      <c r="AJ299" s="130"/>
      <c r="AK299" s="130"/>
      <c r="AL299" s="130"/>
      <c r="AM299" s="130"/>
    </row>
    <row r="300" ht="15.75" customHeight="1">
      <c r="A300" s="278"/>
      <c r="B300" s="278"/>
      <c r="C300" s="278"/>
      <c r="D300" s="278"/>
      <c r="E300" s="132"/>
      <c r="F300" s="116"/>
      <c r="G300" s="116"/>
      <c r="H300" s="116"/>
      <c r="I300" s="373"/>
      <c r="J300" s="147"/>
      <c r="K300" s="116"/>
      <c r="L300" s="116"/>
      <c r="M300" s="116"/>
      <c r="N300" s="116"/>
      <c r="O300" s="116"/>
      <c r="P300" s="116"/>
      <c r="Q300" s="116"/>
      <c r="R300" s="116"/>
      <c r="S300" s="116"/>
      <c r="T300" s="116"/>
      <c r="U300" s="116"/>
      <c r="V300" s="116"/>
      <c r="W300" s="116"/>
      <c r="X300" s="278"/>
      <c r="Y300" s="142"/>
      <c r="Z300" s="142"/>
      <c r="AA300" s="142"/>
      <c r="AB300" s="142"/>
      <c r="AC300" s="142"/>
      <c r="AD300" s="142"/>
      <c r="AE300" s="142"/>
      <c r="AF300" s="130"/>
      <c r="AG300" s="142"/>
      <c r="AH300" s="142"/>
      <c r="AI300" s="142"/>
      <c r="AJ300" s="130"/>
      <c r="AK300" s="130"/>
      <c r="AL300" s="130"/>
      <c r="AM300" s="130"/>
    </row>
    <row r="301" ht="15.75" customHeight="1">
      <c r="A301" s="278"/>
      <c r="B301" s="278"/>
      <c r="C301" s="278"/>
      <c r="D301" s="278"/>
      <c r="E301" s="132"/>
      <c r="F301" s="116"/>
      <c r="G301" s="116"/>
      <c r="H301" s="116"/>
      <c r="I301" s="373"/>
      <c r="J301" s="147"/>
      <c r="K301" s="116"/>
      <c r="L301" s="116"/>
      <c r="M301" s="116"/>
      <c r="N301" s="116"/>
      <c r="O301" s="116"/>
      <c r="P301" s="116"/>
      <c r="Q301" s="116"/>
      <c r="R301" s="116"/>
      <c r="S301" s="116"/>
      <c r="T301" s="116"/>
      <c r="U301" s="116"/>
      <c r="V301" s="116"/>
      <c r="W301" s="116"/>
      <c r="X301" s="278"/>
      <c r="Y301" s="142"/>
      <c r="Z301" s="142"/>
      <c r="AA301" s="142"/>
      <c r="AB301" s="142"/>
      <c r="AC301" s="142"/>
      <c r="AD301" s="142"/>
      <c r="AE301" s="142"/>
      <c r="AF301" s="130"/>
      <c r="AG301" s="142"/>
      <c r="AH301" s="142"/>
      <c r="AI301" s="142"/>
      <c r="AJ301" s="130"/>
      <c r="AK301" s="130"/>
      <c r="AL301" s="130"/>
      <c r="AM301" s="130"/>
    </row>
    <row r="302" ht="15.75" customHeight="1">
      <c r="A302" s="278"/>
      <c r="B302" s="278"/>
      <c r="C302" s="278"/>
      <c r="D302" s="278"/>
      <c r="E302" s="132"/>
      <c r="F302" s="116"/>
      <c r="G302" s="116"/>
      <c r="H302" s="116"/>
      <c r="I302" s="373"/>
      <c r="J302" s="147"/>
      <c r="K302" s="116"/>
      <c r="L302" s="116"/>
      <c r="M302" s="116"/>
      <c r="N302" s="116"/>
      <c r="O302" s="116"/>
      <c r="P302" s="116"/>
      <c r="Q302" s="116"/>
      <c r="R302" s="116"/>
      <c r="S302" s="116"/>
      <c r="T302" s="116"/>
      <c r="U302" s="116"/>
      <c r="V302" s="116"/>
      <c r="W302" s="116"/>
      <c r="X302" s="278"/>
      <c r="Y302" s="142"/>
      <c r="Z302" s="142"/>
      <c r="AA302" s="142"/>
      <c r="AB302" s="142"/>
      <c r="AC302" s="142"/>
      <c r="AD302" s="142"/>
      <c r="AE302" s="142"/>
      <c r="AF302" s="130"/>
      <c r="AG302" s="142"/>
      <c r="AH302" s="142"/>
      <c r="AI302" s="142"/>
      <c r="AJ302" s="130"/>
      <c r="AK302" s="130"/>
      <c r="AL302" s="130"/>
      <c r="AM302" s="130"/>
    </row>
    <row r="303" ht="15.75" customHeight="1">
      <c r="A303" s="278"/>
      <c r="B303" s="278"/>
      <c r="C303" s="278"/>
      <c r="D303" s="278"/>
      <c r="E303" s="132"/>
      <c r="F303" s="116"/>
      <c r="G303" s="116"/>
      <c r="H303" s="116"/>
      <c r="I303" s="373"/>
      <c r="J303" s="147"/>
      <c r="K303" s="116"/>
      <c r="L303" s="116"/>
      <c r="M303" s="116"/>
      <c r="N303" s="116"/>
      <c r="O303" s="116"/>
      <c r="P303" s="116"/>
      <c r="Q303" s="116"/>
      <c r="R303" s="116"/>
      <c r="S303" s="116"/>
      <c r="T303" s="116"/>
      <c r="U303" s="116"/>
      <c r="V303" s="116"/>
      <c r="W303" s="116"/>
      <c r="X303" s="278"/>
      <c r="Y303" s="142"/>
      <c r="Z303" s="142"/>
      <c r="AA303" s="142"/>
      <c r="AB303" s="142"/>
      <c r="AC303" s="142"/>
      <c r="AD303" s="142"/>
      <c r="AE303" s="142"/>
      <c r="AF303" s="130"/>
      <c r="AG303" s="142"/>
      <c r="AH303" s="142"/>
      <c r="AI303" s="142"/>
      <c r="AJ303" s="130"/>
      <c r="AK303" s="130"/>
      <c r="AL303" s="130"/>
      <c r="AM303" s="130"/>
    </row>
    <row r="304" ht="15.75" customHeight="1">
      <c r="A304" s="278"/>
      <c r="B304" s="278"/>
      <c r="C304" s="278"/>
      <c r="D304" s="278"/>
      <c r="E304" s="132"/>
      <c r="F304" s="116"/>
      <c r="G304" s="116"/>
      <c r="H304" s="116"/>
      <c r="I304" s="373"/>
      <c r="J304" s="147"/>
      <c r="K304" s="116"/>
      <c r="L304" s="116"/>
      <c r="M304" s="116"/>
      <c r="N304" s="116"/>
      <c r="O304" s="116"/>
      <c r="P304" s="116"/>
      <c r="Q304" s="116"/>
      <c r="R304" s="116"/>
      <c r="S304" s="116"/>
      <c r="T304" s="116"/>
      <c r="U304" s="116"/>
      <c r="V304" s="116"/>
      <c r="W304" s="116"/>
      <c r="X304" s="278"/>
      <c r="Y304" s="142"/>
      <c r="Z304" s="142"/>
      <c r="AA304" s="142"/>
      <c r="AB304" s="142"/>
      <c r="AC304" s="142"/>
      <c r="AD304" s="142"/>
      <c r="AE304" s="142"/>
      <c r="AF304" s="130"/>
      <c r="AG304" s="142"/>
      <c r="AH304" s="142"/>
      <c r="AI304" s="142"/>
      <c r="AJ304" s="130"/>
      <c r="AK304" s="130"/>
      <c r="AL304" s="130"/>
      <c r="AM304" s="130"/>
    </row>
    <row r="305" ht="15.75" customHeight="1">
      <c r="A305" s="278"/>
      <c r="B305" s="278"/>
      <c r="C305" s="278"/>
      <c r="D305" s="278"/>
      <c r="E305" s="132"/>
      <c r="F305" s="116"/>
      <c r="G305" s="116"/>
      <c r="H305" s="116"/>
      <c r="I305" s="373"/>
      <c r="J305" s="147"/>
      <c r="K305" s="116"/>
      <c r="L305" s="116"/>
      <c r="M305" s="116"/>
      <c r="N305" s="116"/>
      <c r="O305" s="116"/>
      <c r="P305" s="116"/>
      <c r="Q305" s="116"/>
      <c r="R305" s="116"/>
      <c r="S305" s="116"/>
      <c r="T305" s="116"/>
      <c r="U305" s="116"/>
      <c r="V305" s="116"/>
      <c r="W305" s="116"/>
      <c r="X305" s="278"/>
      <c r="Y305" s="142"/>
      <c r="Z305" s="142"/>
      <c r="AA305" s="142"/>
      <c r="AB305" s="142"/>
      <c r="AC305" s="142"/>
      <c r="AD305" s="142"/>
      <c r="AE305" s="142"/>
      <c r="AF305" s="130"/>
      <c r="AG305" s="142"/>
      <c r="AH305" s="142"/>
      <c r="AI305" s="142"/>
      <c r="AJ305" s="130"/>
      <c r="AK305" s="130"/>
      <c r="AL305" s="130"/>
      <c r="AM305" s="130"/>
    </row>
    <row r="306" ht="15.75" customHeight="1">
      <c r="A306" s="278"/>
      <c r="B306" s="278"/>
      <c r="C306" s="278"/>
      <c r="D306" s="278"/>
      <c r="E306" s="132"/>
      <c r="F306" s="116"/>
      <c r="G306" s="116"/>
      <c r="H306" s="116"/>
      <c r="I306" s="373"/>
      <c r="J306" s="147"/>
      <c r="K306" s="116"/>
      <c r="L306" s="116"/>
      <c r="M306" s="116"/>
      <c r="N306" s="116"/>
      <c r="O306" s="116"/>
      <c r="P306" s="116"/>
      <c r="Q306" s="116"/>
      <c r="R306" s="116"/>
      <c r="S306" s="116"/>
      <c r="T306" s="116"/>
      <c r="U306" s="116"/>
      <c r="V306" s="116"/>
      <c r="W306" s="116"/>
      <c r="X306" s="278"/>
      <c r="Y306" s="142"/>
      <c r="Z306" s="142"/>
      <c r="AA306" s="142"/>
      <c r="AB306" s="142"/>
      <c r="AC306" s="142"/>
      <c r="AD306" s="142"/>
      <c r="AE306" s="142"/>
      <c r="AF306" s="130"/>
      <c r="AG306" s="142"/>
      <c r="AH306" s="142"/>
      <c r="AI306" s="142"/>
      <c r="AJ306" s="130"/>
      <c r="AK306" s="130"/>
      <c r="AL306" s="130"/>
      <c r="AM306" s="130"/>
    </row>
    <row r="307" ht="15.75" customHeight="1">
      <c r="A307" s="278"/>
      <c r="B307" s="278"/>
      <c r="C307" s="278"/>
      <c r="D307" s="278"/>
      <c r="E307" s="132"/>
      <c r="F307" s="116"/>
      <c r="G307" s="116"/>
      <c r="H307" s="116"/>
      <c r="I307" s="373"/>
      <c r="J307" s="147"/>
      <c r="K307" s="116"/>
      <c r="L307" s="116"/>
      <c r="M307" s="116"/>
      <c r="N307" s="116"/>
      <c r="O307" s="116"/>
      <c r="P307" s="116"/>
      <c r="Q307" s="116"/>
      <c r="R307" s="116"/>
      <c r="S307" s="116"/>
      <c r="T307" s="116"/>
      <c r="U307" s="116"/>
      <c r="V307" s="116"/>
      <c r="W307" s="116"/>
      <c r="X307" s="278"/>
      <c r="Y307" s="142"/>
      <c r="Z307" s="142"/>
      <c r="AA307" s="142"/>
      <c r="AB307" s="142"/>
      <c r="AC307" s="142"/>
      <c r="AD307" s="142"/>
      <c r="AE307" s="142"/>
      <c r="AF307" s="130"/>
      <c r="AG307" s="142"/>
      <c r="AH307" s="142"/>
      <c r="AI307" s="142"/>
      <c r="AJ307" s="130"/>
      <c r="AK307" s="130"/>
      <c r="AL307" s="130"/>
      <c r="AM307" s="130"/>
    </row>
    <row r="308" ht="15.75" customHeight="1">
      <c r="A308" s="278"/>
      <c r="B308" s="278"/>
      <c r="C308" s="278"/>
      <c r="D308" s="278"/>
      <c r="E308" s="132"/>
      <c r="F308" s="116"/>
      <c r="G308" s="116"/>
      <c r="H308" s="116"/>
      <c r="I308" s="373"/>
      <c r="J308" s="147"/>
      <c r="K308" s="116"/>
      <c r="L308" s="116"/>
      <c r="M308" s="116"/>
      <c r="N308" s="116"/>
      <c r="O308" s="116"/>
      <c r="P308" s="116"/>
      <c r="Q308" s="116"/>
      <c r="R308" s="116"/>
      <c r="S308" s="116"/>
      <c r="T308" s="116"/>
      <c r="U308" s="116"/>
      <c r="V308" s="116"/>
      <c r="W308" s="116"/>
      <c r="X308" s="278"/>
      <c r="Y308" s="142"/>
      <c r="Z308" s="142"/>
      <c r="AA308" s="142"/>
      <c r="AB308" s="142"/>
      <c r="AC308" s="142"/>
      <c r="AD308" s="142"/>
      <c r="AE308" s="142"/>
      <c r="AF308" s="130"/>
      <c r="AG308" s="142"/>
      <c r="AH308" s="142"/>
      <c r="AI308" s="142"/>
      <c r="AJ308" s="130"/>
      <c r="AK308" s="130"/>
      <c r="AL308" s="130"/>
      <c r="AM308" s="130"/>
    </row>
    <row r="309" ht="15.75" customHeight="1">
      <c r="A309" s="278"/>
      <c r="B309" s="278"/>
      <c r="C309" s="278"/>
      <c r="D309" s="278"/>
      <c r="E309" s="132"/>
      <c r="F309" s="116"/>
      <c r="G309" s="116"/>
      <c r="H309" s="116"/>
      <c r="I309" s="373"/>
      <c r="J309" s="147"/>
      <c r="K309" s="116"/>
      <c r="L309" s="116"/>
      <c r="M309" s="116"/>
      <c r="N309" s="116"/>
      <c r="O309" s="116"/>
      <c r="P309" s="116"/>
      <c r="Q309" s="116"/>
      <c r="R309" s="116"/>
      <c r="S309" s="116"/>
      <c r="T309" s="116"/>
      <c r="U309" s="116"/>
      <c r="V309" s="116"/>
      <c r="W309" s="116"/>
      <c r="X309" s="278"/>
      <c r="Y309" s="142"/>
      <c r="Z309" s="142"/>
      <c r="AA309" s="142"/>
      <c r="AB309" s="142"/>
      <c r="AC309" s="142"/>
      <c r="AD309" s="142"/>
      <c r="AE309" s="142"/>
      <c r="AF309" s="130"/>
      <c r="AG309" s="142"/>
      <c r="AH309" s="142"/>
      <c r="AI309" s="142"/>
      <c r="AJ309" s="130"/>
      <c r="AK309" s="130"/>
      <c r="AL309" s="130"/>
      <c r="AM309" s="130"/>
    </row>
    <row r="310" ht="15.75" customHeight="1">
      <c r="A310" s="278"/>
      <c r="B310" s="278"/>
      <c r="C310" s="278"/>
      <c r="D310" s="278"/>
      <c r="E310" s="132"/>
      <c r="F310" s="116"/>
      <c r="G310" s="116"/>
      <c r="H310" s="116"/>
      <c r="I310" s="373"/>
      <c r="J310" s="147"/>
      <c r="K310" s="116"/>
      <c r="L310" s="116"/>
      <c r="M310" s="116"/>
      <c r="N310" s="116"/>
      <c r="O310" s="116"/>
      <c r="P310" s="116"/>
      <c r="Q310" s="116"/>
      <c r="R310" s="116"/>
      <c r="S310" s="116"/>
      <c r="T310" s="116"/>
      <c r="U310" s="116"/>
      <c r="V310" s="116"/>
      <c r="W310" s="116"/>
      <c r="X310" s="278"/>
      <c r="Y310" s="142"/>
      <c r="Z310" s="142"/>
      <c r="AA310" s="142"/>
      <c r="AB310" s="142"/>
      <c r="AC310" s="142"/>
      <c r="AD310" s="142"/>
      <c r="AE310" s="142"/>
      <c r="AF310" s="130"/>
      <c r="AG310" s="142"/>
      <c r="AH310" s="142"/>
      <c r="AI310" s="142"/>
      <c r="AJ310" s="130"/>
      <c r="AK310" s="130"/>
      <c r="AL310" s="130"/>
      <c r="AM310" s="130"/>
    </row>
    <row r="311" ht="15.75" customHeight="1">
      <c r="A311" s="278"/>
      <c r="B311" s="278"/>
      <c r="C311" s="278"/>
      <c r="D311" s="278"/>
      <c r="E311" s="132"/>
      <c r="F311" s="116"/>
      <c r="G311" s="116"/>
      <c r="H311" s="116"/>
      <c r="I311" s="373"/>
      <c r="J311" s="147"/>
      <c r="K311" s="116"/>
      <c r="L311" s="116"/>
      <c r="M311" s="116"/>
      <c r="N311" s="116"/>
      <c r="O311" s="116"/>
      <c r="P311" s="116"/>
      <c r="Q311" s="116"/>
      <c r="R311" s="116"/>
      <c r="S311" s="116"/>
      <c r="T311" s="116"/>
      <c r="U311" s="116"/>
      <c r="V311" s="116"/>
      <c r="W311" s="116"/>
      <c r="X311" s="278"/>
      <c r="Y311" s="142"/>
      <c r="Z311" s="142"/>
      <c r="AA311" s="142"/>
      <c r="AB311" s="142"/>
      <c r="AC311" s="142"/>
      <c r="AD311" s="142"/>
      <c r="AE311" s="142"/>
      <c r="AF311" s="130"/>
      <c r="AG311" s="142"/>
      <c r="AH311" s="142"/>
      <c r="AI311" s="142"/>
      <c r="AJ311" s="130"/>
      <c r="AK311" s="130"/>
      <c r="AL311" s="130"/>
      <c r="AM311" s="130"/>
    </row>
    <row r="312" ht="15.75" customHeight="1">
      <c r="A312" s="278"/>
      <c r="B312" s="278"/>
      <c r="C312" s="278"/>
      <c r="D312" s="278"/>
      <c r="E312" s="132"/>
      <c r="F312" s="116"/>
      <c r="G312" s="116"/>
      <c r="H312" s="116"/>
      <c r="I312" s="373"/>
      <c r="J312" s="147"/>
      <c r="K312" s="116"/>
      <c r="L312" s="116"/>
      <c r="M312" s="116"/>
      <c r="N312" s="116"/>
      <c r="O312" s="116"/>
      <c r="P312" s="116"/>
      <c r="Q312" s="116"/>
      <c r="R312" s="116"/>
      <c r="S312" s="116"/>
      <c r="T312" s="116"/>
      <c r="U312" s="116"/>
      <c r="V312" s="116"/>
      <c r="W312" s="116"/>
      <c r="X312" s="278"/>
      <c r="Y312" s="142"/>
      <c r="Z312" s="142"/>
      <c r="AA312" s="142"/>
      <c r="AB312" s="142"/>
      <c r="AC312" s="142"/>
      <c r="AD312" s="142"/>
      <c r="AE312" s="142"/>
      <c r="AF312" s="130"/>
      <c r="AG312" s="142"/>
      <c r="AH312" s="142"/>
      <c r="AI312" s="142"/>
      <c r="AJ312" s="130"/>
      <c r="AK312" s="130"/>
      <c r="AL312" s="130"/>
      <c r="AM312" s="130"/>
    </row>
    <row r="313" ht="15.75" customHeight="1">
      <c r="A313" s="278"/>
      <c r="B313" s="278"/>
      <c r="C313" s="278"/>
      <c r="D313" s="278"/>
      <c r="E313" s="132"/>
      <c r="F313" s="116"/>
      <c r="G313" s="116"/>
      <c r="H313" s="116"/>
      <c r="I313" s="373"/>
      <c r="J313" s="147"/>
      <c r="K313" s="116"/>
      <c r="L313" s="116"/>
      <c r="M313" s="116"/>
      <c r="N313" s="116"/>
      <c r="O313" s="116"/>
      <c r="P313" s="116"/>
      <c r="Q313" s="116"/>
      <c r="R313" s="116"/>
      <c r="S313" s="116"/>
      <c r="T313" s="116"/>
      <c r="U313" s="116"/>
      <c r="V313" s="116"/>
      <c r="W313" s="116"/>
      <c r="X313" s="278"/>
      <c r="Y313" s="142"/>
      <c r="Z313" s="142"/>
      <c r="AA313" s="142"/>
      <c r="AB313" s="142"/>
      <c r="AC313" s="142"/>
      <c r="AD313" s="142"/>
      <c r="AE313" s="142"/>
      <c r="AF313" s="130"/>
      <c r="AG313" s="142"/>
      <c r="AH313" s="142"/>
      <c r="AI313" s="142"/>
      <c r="AJ313" s="130"/>
      <c r="AK313" s="130"/>
      <c r="AL313" s="130"/>
      <c r="AM313" s="130"/>
    </row>
    <row r="314" ht="15.75" customHeight="1">
      <c r="A314" s="278"/>
      <c r="B314" s="278"/>
      <c r="C314" s="278"/>
      <c r="D314" s="278"/>
      <c r="E314" s="132"/>
      <c r="F314" s="116"/>
      <c r="G314" s="116"/>
      <c r="H314" s="116"/>
      <c r="I314" s="373"/>
      <c r="J314" s="147"/>
      <c r="K314" s="116"/>
      <c r="L314" s="116"/>
      <c r="M314" s="116"/>
      <c r="N314" s="116"/>
      <c r="O314" s="116"/>
      <c r="P314" s="116"/>
      <c r="Q314" s="116"/>
      <c r="R314" s="116"/>
      <c r="S314" s="116"/>
      <c r="T314" s="116"/>
      <c r="U314" s="116"/>
      <c r="V314" s="116"/>
      <c r="W314" s="116"/>
      <c r="X314" s="278"/>
      <c r="Y314" s="142"/>
      <c r="Z314" s="142"/>
      <c r="AA314" s="142"/>
      <c r="AB314" s="142"/>
      <c r="AC314" s="142"/>
      <c r="AD314" s="142"/>
      <c r="AE314" s="142"/>
      <c r="AF314" s="130"/>
      <c r="AG314" s="142"/>
      <c r="AH314" s="142"/>
      <c r="AI314" s="142"/>
      <c r="AJ314" s="130"/>
      <c r="AK314" s="130"/>
      <c r="AL314" s="130"/>
      <c r="AM314" s="130"/>
    </row>
    <row r="315" ht="15.75" customHeight="1">
      <c r="A315" s="278"/>
      <c r="B315" s="278"/>
      <c r="C315" s="278"/>
      <c r="D315" s="278"/>
      <c r="E315" s="132"/>
      <c r="F315" s="116"/>
      <c r="G315" s="116"/>
      <c r="H315" s="116"/>
      <c r="I315" s="373"/>
      <c r="J315" s="147"/>
      <c r="K315" s="116"/>
      <c r="L315" s="116"/>
      <c r="M315" s="116"/>
      <c r="N315" s="116"/>
      <c r="O315" s="116"/>
      <c r="P315" s="116"/>
      <c r="Q315" s="116"/>
      <c r="R315" s="116"/>
      <c r="S315" s="116"/>
      <c r="T315" s="116"/>
      <c r="U315" s="116"/>
      <c r="V315" s="116"/>
      <c r="W315" s="116"/>
      <c r="X315" s="278"/>
      <c r="Y315" s="142"/>
      <c r="Z315" s="142"/>
      <c r="AA315" s="142"/>
      <c r="AB315" s="142"/>
      <c r="AC315" s="142"/>
      <c r="AD315" s="142"/>
      <c r="AE315" s="142"/>
      <c r="AF315" s="130"/>
      <c r="AG315" s="142"/>
      <c r="AH315" s="142"/>
      <c r="AI315" s="142"/>
      <c r="AJ315" s="130"/>
      <c r="AK315" s="130"/>
      <c r="AL315" s="130"/>
      <c r="AM315" s="130"/>
    </row>
    <row r="316" ht="15.75" customHeight="1">
      <c r="A316" s="278"/>
      <c r="B316" s="278"/>
      <c r="C316" s="278"/>
      <c r="D316" s="278"/>
      <c r="E316" s="132"/>
      <c r="F316" s="116"/>
      <c r="G316" s="116"/>
      <c r="H316" s="116"/>
      <c r="I316" s="373"/>
      <c r="J316" s="147"/>
      <c r="K316" s="116"/>
      <c r="L316" s="116"/>
      <c r="M316" s="116"/>
      <c r="N316" s="116"/>
      <c r="O316" s="116"/>
      <c r="P316" s="116"/>
      <c r="Q316" s="116"/>
      <c r="R316" s="116"/>
      <c r="S316" s="116"/>
      <c r="T316" s="116"/>
      <c r="U316" s="116"/>
      <c r="V316" s="116"/>
      <c r="W316" s="116"/>
      <c r="X316" s="278"/>
      <c r="Y316" s="142"/>
      <c r="Z316" s="142"/>
      <c r="AA316" s="142"/>
      <c r="AB316" s="142"/>
      <c r="AC316" s="142"/>
      <c r="AD316" s="142"/>
      <c r="AE316" s="142"/>
      <c r="AF316" s="130"/>
      <c r="AG316" s="142"/>
      <c r="AH316" s="142"/>
      <c r="AI316" s="142"/>
      <c r="AJ316" s="130"/>
      <c r="AK316" s="130"/>
      <c r="AL316" s="130"/>
      <c r="AM316" s="130"/>
    </row>
    <row r="317" ht="15.75" customHeight="1">
      <c r="A317" s="278"/>
      <c r="B317" s="278"/>
      <c r="C317" s="278"/>
      <c r="D317" s="278"/>
      <c r="E317" s="132"/>
      <c r="F317" s="116"/>
      <c r="G317" s="116"/>
      <c r="H317" s="116"/>
      <c r="I317" s="373"/>
      <c r="J317" s="147"/>
      <c r="K317" s="116"/>
      <c r="L317" s="116"/>
      <c r="M317" s="116"/>
      <c r="N317" s="116"/>
      <c r="O317" s="116"/>
      <c r="P317" s="116"/>
      <c r="Q317" s="116"/>
      <c r="R317" s="116"/>
      <c r="S317" s="116"/>
      <c r="T317" s="116"/>
      <c r="U317" s="116"/>
      <c r="V317" s="116"/>
      <c r="W317" s="116"/>
      <c r="X317" s="278"/>
      <c r="Y317" s="142"/>
      <c r="Z317" s="142"/>
      <c r="AA317" s="142"/>
      <c r="AB317" s="142"/>
      <c r="AC317" s="142"/>
      <c r="AD317" s="142"/>
      <c r="AE317" s="142"/>
      <c r="AF317" s="130"/>
      <c r="AG317" s="142"/>
      <c r="AH317" s="142"/>
      <c r="AI317" s="142"/>
      <c r="AJ317" s="130"/>
      <c r="AK317" s="130"/>
      <c r="AL317" s="130"/>
      <c r="AM317" s="130"/>
    </row>
    <row r="318" ht="15.75" customHeight="1">
      <c r="A318" s="278"/>
      <c r="B318" s="278"/>
      <c r="C318" s="278"/>
      <c r="D318" s="278"/>
      <c r="E318" s="132"/>
      <c r="F318" s="116"/>
      <c r="G318" s="116"/>
      <c r="H318" s="116"/>
      <c r="I318" s="373"/>
      <c r="J318" s="147"/>
      <c r="K318" s="116"/>
      <c r="L318" s="116"/>
      <c r="M318" s="116"/>
      <c r="N318" s="116"/>
      <c r="O318" s="116"/>
      <c r="P318" s="116"/>
      <c r="Q318" s="116"/>
      <c r="R318" s="116"/>
      <c r="S318" s="116"/>
      <c r="T318" s="116"/>
      <c r="U318" s="116"/>
      <c r="V318" s="116"/>
      <c r="W318" s="116"/>
      <c r="X318" s="278"/>
      <c r="Y318" s="142"/>
      <c r="Z318" s="142"/>
      <c r="AA318" s="142"/>
      <c r="AB318" s="142"/>
      <c r="AC318" s="142"/>
      <c r="AD318" s="142"/>
      <c r="AE318" s="142"/>
      <c r="AF318" s="130"/>
      <c r="AG318" s="142"/>
      <c r="AH318" s="142"/>
      <c r="AI318" s="142"/>
      <c r="AJ318" s="130"/>
      <c r="AK318" s="130"/>
      <c r="AL318" s="130"/>
      <c r="AM318" s="130"/>
    </row>
    <row r="319" ht="15.75" customHeight="1">
      <c r="A319" s="278"/>
      <c r="B319" s="278"/>
      <c r="C319" s="278"/>
      <c r="D319" s="278"/>
      <c r="E319" s="132"/>
      <c r="F319" s="116"/>
      <c r="G319" s="116"/>
      <c r="H319" s="116"/>
      <c r="I319" s="373"/>
      <c r="J319" s="147"/>
      <c r="K319" s="116"/>
      <c r="L319" s="116"/>
      <c r="M319" s="116"/>
      <c r="N319" s="116"/>
      <c r="O319" s="116"/>
      <c r="P319" s="116"/>
      <c r="Q319" s="116"/>
      <c r="R319" s="116"/>
      <c r="S319" s="116"/>
      <c r="T319" s="116"/>
      <c r="U319" s="116"/>
      <c r="V319" s="116"/>
      <c r="W319" s="116"/>
      <c r="X319" s="278"/>
      <c r="Y319" s="142"/>
      <c r="Z319" s="142"/>
      <c r="AA319" s="142"/>
      <c r="AB319" s="142"/>
      <c r="AC319" s="142"/>
      <c r="AD319" s="142"/>
      <c r="AE319" s="142"/>
      <c r="AF319" s="130"/>
      <c r="AG319" s="142"/>
      <c r="AH319" s="142"/>
      <c r="AI319" s="142"/>
      <c r="AJ319" s="130"/>
      <c r="AK319" s="130"/>
      <c r="AL319" s="130"/>
      <c r="AM319" s="130"/>
    </row>
    <row r="320" ht="15.75" customHeight="1">
      <c r="A320" s="278"/>
      <c r="B320" s="278"/>
      <c r="C320" s="278"/>
      <c r="D320" s="278"/>
      <c r="E320" s="132"/>
      <c r="F320" s="116"/>
      <c r="G320" s="116"/>
      <c r="H320" s="116"/>
      <c r="I320" s="373"/>
      <c r="J320" s="147"/>
      <c r="K320" s="116"/>
      <c r="L320" s="116"/>
      <c r="M320" s="116"/>
      <c r="N320" s="116"/>
      <c r="O320" s="116"/>
      <c r="P320" s="116"/>
      <c r="Q320" s="116"/>
      <c r="R320" s="116"/>
      <c r="S320" s="116"/>
      <c r="T320" s="116"/>
      <c r="U320" s="116"/>
      <c r="V320" s="116"/>
      <c r="W320" s="116"/>
      <c r="X320" s="278"/>
      <c r="Y320" s="142"/>
      <c r="Z320" s="142"/>
      <c r="AA320" s="142"/>
      <c r="AB320" s="142"/>
      <c r="AC320" s="142"/>
      <c r="AD320" s="142"/>
      <c r="AE320" s="142"/>
      <c r="AF320" s="130"/>
      <c r="AG320" s="142"/>
      <c r="AH320" s="142"/>
      <c r="AI320" s="142"/>
      <c r="AJ320" s="130"/>
      <c r="AK320" s="130"/>
      <c r="AL320" s="130"/>
      <c r="AM320" s="130"/>
    </row>
    <row r="321" ht="15.75" customHeight="1">
      <c r="A321" s="278"/>
      <c r="B321" s="278"/>
      <c r="C321" s="278"/>
      <c r="D321" s="278"/>
      <c r="E321" s="132"/>
      <c r="F321" s="116"/>
      <c r="G321" s="116"/>
      <c r="H321" s="116"/>
      <c r="I321" s="373"/>
      <c r="J321" s="147"/>
      <c r="K321" s="116"/>
      <c r="L321" s="116"/>
      <c r="M321" s="116"/>
      <c r="N321" s="116"/>
      <c r="O321" s="116"/>
      <c r="P321" s="116"/>
      <c r="Q321" s="116"/>
      <c r="R321" s="116"/>
      <c r="S321" s="116"/>
      <c r="T321" s="116"/>
      <c r="U321" s="116"/>
      <c r="V321" s="116"/>
      <c r="W321" s="116"/>
      <c r="X321" s="278"/>
      <c r="Y321" s="142"/>
      <c r="Z321" s="142"/>
      <c r="AA321" s="142"/>
      <c r="AB321" s="142"/>
      <c r="AC321" s="142"/>
      <c r="AD321" s="142"/>
      <c r="AE321" s="142"/>
      <c r="AF321" s="130"/>
      <c r="AG321" s="142"/>
      <c r="AH321" s="142"/>
      <c r="AI321" s="142"/>
      <c r="AJ321" s="130"/>
      <c r="AK321" s="130"/>
      <c r="AL321" s="130"/>
      <c r="AM321" s="130"/>
    </row>
    <row r="322" ht="15.75" customHeight="1">
      <c r="A322" s="278"/>
      <c r="B322" s="278"/>
      <c r="C322" s="278"/>
      <c r="D322" s="278"/>
      <c r="E322" s="132"/>
      <c r="F322" s="116"/>
      <c r="G322" s="116"/>
      <c r="H322" s="116"/>
      <c r="I322" s="373"/>
      <c r="J322" s="147"/>
      <c r="K322" s="116"/>
      <c r="L322" s="116"/>
      <c r="M322" s="116"/>
      <c r="N322" s="116"/>
      <c r="O322" s="116"/>
      <c r="P322" s="116"/>
      <c r="Q322" s="116"/>
      <c r="R322" s="116"/>
      <c r="S322" s="116"/>
      <c r="T322" s="116"/>
      <c r="U322" s="116"/>
      <c r="V322" s="116"/>
      <c r="W322" s="116"/>
      <c r="X322" s="278"/>
      <c r="Y322" s="142"/>
      <c r="Z322" s="142"/>
      <c r="AA322" s="142"/>
      <c r="AB322" s="142"/>
      <c r="AC322" s="142"/>
      <c r="AD322" s="142"/>
      <c r="AE322" s="142"/>
      <c r="AF322" s="130"/>
      <c r="AG322" s="142"/>
      <c r="AH322" s="142"/>
      <c r="AI322" s="142"/>
      <c r="AJ322" s="130"/>
      <c r="AK322" s="130"/>
      <c r="AL322" s="130"/>
      <c r="AM322" s="130"/>
    </row>
    <row r="323" ht="15.75" customHeight="1">
      <c r="A323" s="278"/>
      <c r="B323" s="278"/>
      <c r="C323" s="278"/>
      <c r="D323" s="278"/>
      <c r="E323" s="132"/>
      <c r="F323" s="116"/>
      <c r="G323" s="116"/>
      <c r="H323" s="116"/>
      <c r="I323" s="373"/>
      <c r="J323" s="147"/>
      <c r="K323" s="116"/>
      <c r="L323" s="116"/>
      <c r="M323" s="116"/>
      <c r="N323" s="116"/>
      <c r="O323" s="116"/>
      <c r="P323" s="116"/>
      <c r="Q323" s="116"/>
      <c r="R323" s="116"/>
      <c r="S323" s="116"/>
      <c r="T323" s="116"/>
      <c r="U323" s="116"/>
      <c r="V323" s="116"/>
      <c r="W323" s="116"/>
      <c r="X323" s="278"/>
      <c r="Y323" s="142"/>
      <c r="Z323" s="142"/>
      <c r="AA323" s="142"/>
      <c r="AB323" s="142"/>
      <c r="AC323" s="142"/>
      <c r="AD323" s="142"/>
      <c r="AE323" s="142"/>
      <c r="AF323" s="130"/>
      <c r="AG323" s="142"/>
      <c r="AH323" s="142"/>
      <c r="AI323" s="142"/>
      <c r="AJ323" s="130"/>
      <c r="AK323" s="130"/>
      <c r="AL323" s="130"/>
      <c r="AM323" s="130"/>
    </row>
    <row r="324" ht="15.75" customHeight="1">
      <c r="A324" s="278"/>
      <c r="B324" s="278"/>
      <c r="C324" s="278"/>
      <c r="D324" s="278"/>
      <c r="E324" s="132"/>
      <c r="F324" s="116"/>
      <c r="G324" s="116"/>
      <c r="H324" s="116"/>
      <c r="I324" s="373"/>
      <c r="J324" s="147"/>
      <c r="K324" s="116"/>
      <c r="L324" s="116"/>
      <c r="M324" s="116"/>
      <c r="N324" s="116"/>
      <c r="O324" s="116"/>
      <c r="P324" s="116"/>
      <c r="Q324" s="116"/>
      <c r="R324" s="116"/>
      <c r="S324" s="116"/>
      <c r="T324" s="116"/>
      <c r="U324" s="116"/>
      <c r="V324" s="116"/>
      <c r="W324" s="116"/>
      <c r="X324" s="278"/>
      <c r="Y324" s="142"/>
      <c r="Z324" s="142"/>
      <c r="AA324" s="142"/>
      <c r="AB324" s="142"/>
      <c r="AC324" s="142"/>
      <c r="AD324" s="142"/>
      <c r="AE324" s="142"/>
      <c r="AF324" s="130"/>
      <c r="AG324" s="142"/>
      <c r="AH324" s="142"/>
      <c r="AI324" s="142"/>
      <c r="AJ324" s="130"/>
      <c r="AK324" s="130"/>
      <c r="AL324" s="130"/>
      <c r="AM324" s="130"/>
    </row>
    <row r="325" ht="15.75" customHeight="1">
      <c r="A325" s="278"/>
      <c r="B325" s="278"/>
      <c r="C325" s="278"/>
      <c r="D325" s="278"/>
      <c r="E325" s="132"/>
      <c r="F325" s="116"/>
      <c r="G325" s="116"/>
      <c r="H325" s="116"/>
      <c r="I325" s="373"/>
      <c r="J325" s="147"/>
      <c r="K325" s="116"/>
      <c r="L325" s="116"/>
      <c r="M325" s="116"/>
      <c r="N325" s="116"/>
      <c r="O325" s="116"/>
      <c r="P325" s="116"/>
      <c r="Q325" s="116"/>
      <c r="R325" s="116"/>
      <c r="S325" s="116"/>
      <c r="T325" s="116"/>
      <c r="U325" s="116"/>
      <c r="V325" s="116"/>
      <c r="W325" s="116"/>
      <c r="X325" s="278"/>
      <c r="Y325" s="142"/>
      <c r="Z325" s="142"/>
      <c r="AA325" s="142"/>
      <c r="AB325" s="142"/>
      <c r="AC325" s="142"/>
      <c r="AD325" s="142"/>
      <c r="AE325" s="142"/>
      <c r="AF325" s="130"/>
      <c r="AG325" s="142"/>
      <c r="AH325" s="142"/>
      <c r="AI325" s="142"/>
      <c r="AJ325" s="130"/>
      <c r="AK325" s="130"/>
      <c r="AL325" s="130"/>
      <c r="AM325" s="130"/>
    </row>
    <row r="326" ht="15.75" customHeight="1">
      <c r="A326" s="278"/>
      <c r="B326" s="278"/>
      <c r="C326" s="278"/>
      <c r="D326" s="278"/>
      <c r="E326" s="132"/>
      <c r="F326" s="116"/>
      <c r="G326" s="116"/>
      <c r="H326" s="116"/>
      <c r="I326" s="373"/>
      <c r="J326" s="147"/>
      <c r="K326" s="116"/>
      <c r="L326" s="116"/>
      <c r="M326" s="116"/>
      <c r="N326" s="116"/>
      <c r="O326" s="116"/>
      <c r="P326" s="116"/>
      <c r="Q326" s="116"/>
      <c r="R326" s="116"/>
      <c r="S326" s="116"/>
      <c r="T326" s="116"/>
      <c r="U326" s="116"/>
      <c r="V326" s="116"/>
      <c r="W326" s="116"/>
      <c r="X326" s="278"/>
      <c r="Y326" s="142"/>
      <c r="Z326" s="142"/>
      <c r="AA326" s="142"/>
      <c r="AB326" s="142"/>
      <c r="AC326" s="142"/>
      <c r="AD326" s="142"/>
      <c r="AE326" s="142"/>
      <c r="AF326" s="130"/>
      <c r="AG326" s="142"/>
      <c r="AH326" s="142"/>
      <c r="AI326" s="142"/>
      <c r="AJ326" s="130"/>
      <c r="AK326" s="130"/>
      <c r="AL326" s="130"/>
      <c r="AM326" s="130"/>
    </row>
    <row r="327" ht="15.75" customHeight="1">
      <c r="A327" s="278"/>
      <c r="B327" s="278"/>
      <c r="C327" s="278"/>
      <c r="D327" s="278"/>
      <c r="E327" s="132"/>
      <c r="F327" s="116"/>
      <c r="G327" s="116"/>
      <c r="H327" s="116"/>
      <c r="I327" s="373"/>
      <c r="J327" s="147"/>
      <c r="K327" s="116"/>
      <c r="L327" s="116"/>
      <c r="M327" s="116"/>
      <c r="N327" s="116"/>
      <c r="O327" s="116"/>
      <c r="P327" s="116"/>
      <c r="Q327" s="116"/>
      <c r="R327" s="116"/>
      <c r="S327" s="116"/>
      <c r="T327" s="116"/>
      <c r="U327" s="116"/>
      <c r="V327" s="116"/>
      <c r="W327" s="116"/>
      <c r="X327" s="278"/>
      <c r="Y327" s="142"/>
      <c r="Z327" s="142"/>
      <c r="AA327" s="142"/>
      <c r="AB327" s="142"/>
      <c r="AC327" s="142"/>
      <c r="AD327" s="142"/>
      <c r="AE327" s="142"/>
      <c r="AF327" s="130"/>
      <c r="AG327" s="142"/>
      <c r="AH327" s="142"/>
      <c r="AI327" s="142"/>
      <c r="AJ327" s="130"/>
      <c r="AK327" s="130"/>
      <c r="AL327" s="130"/>
      <c r="AM327" s="130"/>
    </row>
    <row r="328" ht="15.75" customHeight="1">
      <c r="A328" s="278"/>
      <c r="B328" s="278"/>
      <c r="C328" s="278"/>
      <c r="D328" s="278"/>
      <c r="E328" s="132"/>
      <c r="F328" s="116"/>
      <c r="G328" s="116"/>
      <c r="H328" s="116"/>
      <c r="I328" s="373"/>
      <c r="J328" s="147"/>
      <c r="K328" s="116"/>
      <c r="L328" s="116"/>
      <c r="M328" s="116"/>
      <c r="N328" s="116"/>
      <c r="O328" s="116"/>
      <c r="P328" s="116"/>
      <c r="Q328" s="116"/>
      <c r="R328" s="116"/>
      <c r="S328" s="116"/>
      <c r="T328" s="116"/>
      <c r="U328" s="116"/>
      <c r="V328" s="116"/>
      <c r="W328" s="116"/>
      <c r="X328" s="278"/>
      <c r="Y328" s="142"/>
      <c r="Z328" s="142"/>
      <c r="AA328" s="142"/>
      <c r="AB328" s="142"/>
      <c r="AC328" s="142"/>
      <c r="AD328" s="142"/>
      <c r="AE328" s="142"/>
      <c r="AF328" s="130"/>
      <c r="AG328" s="142"/>
      <c r="AH328" s="142"/>
      <c r="AI328" s="142"/>
      <c r="AJ328" s="130"/>
      <c r="AK328" s="130"/>
      <c r="AL328" s="130"/>
      <c r="AM328" s="130"/>
    </row>
    <row r="329" ht="15.75" customHeight="1">
      <c r="A329" s="278"/>
      <c r="B329" s="278"/>
      <c r="C329" s="278"/>
      <c r="D329" s="278"/>
      <c r="E329" s="132"/>
      <c r="F329" s="116"/>
      <c r="G329" s="116"/>
      <c r="H329" s="116"/>
      <c r="I329" s="373"/>
      <c r="J329" s="147"/>
      <c r="K329" s="116"/>
      <c r="L329" s="116"/>
      <c r="M329" s="116"/>
      <c r="N329" s="116"/>
      <c r="O329" s="116"/>
      <c r="P329" s="116"/>
      <c r="Q329" s="116"/>
      <c r="R329" s="116"/>
      <c r="S329" s="116"/>
      <c r="T329" s="116"/>
      <c r="U329" s="116"/>
      <c r="V329" s="116"/>
      <c r="W329" s="116"/>
      <c r="X329" s="278"/>
      <c r="Y329" s="142"/>
      <c r="Z329" s="142"/>
      <c r="AA329" s="142"/>
      <c r="AB329" s="142"/>
      <c r="AC329" s="142"/>
      <c r="AD329" s="142"/>
      <c r="AE329" s="142"/>
      <c r="AF329" s="130"/>
      <c r="AG329" s="142"/>
      <c r="AH329" s="142"/>
      <c r="AI329" s="142"/>
      <c r="AJ329" s="130"/>
      <c r="AK329" s="130"/>
      <c r="AL329" s="130"/>
      <c r="AM329" s="130"/>
    </row>
    <row r="330" ht="15.75" customHeight="1">
      <c r="A330" s="278"/>
      <c r="B330" s="278"/>
      <c r="C330" s="278"/>
      <c r="D330" s="278"/>
      <c r="E330" s="132"/>
      <c r="F330" s="116"/>
      <c r="G330" s="116"/>
      <c r="H330" s="116"/>
      <c r="I330" s="373"/>
      <c r="J330" s="147"/>
      <c r="K330" s="116"/>
      <c r="L330" s="116"/>
      <c r="M330" s="116"/>
      <c r="N330" s="116"/>
      <c r="O330" s="116"/>
      <c r="P330" s="116"/>
      <c r="Q330" s="116"/>
      <c r="R330" s="116"/>
      <c r="S330" s="116"/>
      <c r="T330" s="116"/>
      <c r="U330" s="116"/>
      <c r="V330" s="116"/>
      <c r="W330" s="116"/>
      <c r="X330" s="278"/>
      <c r="Y330" s="142"/>
      <c r="Z330" s="142"/>
      <c r="AA330" s="142"/>
      <c r="AB330" s="142"/>
      <c r="AC330" s="142"/>
      <c r="AD330" s="142"/>
      <c r="AE330" s="142"/>
      <c r="AF330" s="130"/>
      <c r="AG330" s="142"/>
      <c r="AH330" s="142"/>
      <c r="AI330" s="142"/>
      <c r="AJ330" s="130"/>
      <c r="AK330" s="130"/>
      <c r="AL330" s="130"/>
      <c r="AM330" s="130"/>
    </row>
    <row r="331" ht="15.75" customHeight="1">
      <c r="A331" s="278"/>
      <c r="B331" s="278"/>
      <c r="C331" s="278"/>
      <c r="D331" s="278"/>
      <c r="E331" s="132"/>
      <c r="F331" s="116"/>
      <c r="G331" s="116"/>
      <c r="H331" s="116"/>
      <c r="I331" s="373"/>
      <c r="J331" s="147"/>
      <c r="K331" s="116"/>
      <c r="L331" s="116"/>
      <c r="M331" s="116"/>
      <c r="N331" s="116"/>
      <c r="O331" s="116"/>
      <c r="P331" s="116"/>
      <c r="Q331" s="116"/>
      <c r="R331" s="116"/>
      <c r="S331" s="116"/>
      <c r="T331" s="116"/>
      <c r="U331" s="116"/>
      <c r="V331" s="116"/>
      <c r="W331" s="116"/>
      <c r="X331" s="278"/>
      <c r="Y331" s="142"/>
      <c r="Z331" s="142"/>
      <c r="AA331" s="142"/>
      <c r="AB331" s="142"/>
      <c r="AC331" s="142"/>
      <c r="AD331" s="142"/>
      <c r="AE331" s="142"/>
      <c r="AF331" s="130"/>
      <c r="AG331" s="142"/>
      <c r="AH331" s="142"/>
      <c r="AI331" s="142"/>
      <c r="AJ331" s="130"/>
      <c r="AK331" s="130"/>
      <c r="AL331" s="130"/>
      <c r="AM331" s="130"/>
    </row>
    <row r="332" ht="15.75" customHeight="1">
      <c r="A332" s="278"/>
      <c r="B332" s="278"/>
      <c r="C332" s="278"/>
      <c r="D332" s="278"/>
      <c r="E332" s="132"/>
      <c r="F332" s="116"/>
      <c r="G332" s="116"/>
      <c r="H332" s="116"/>
      <c r="I332" s="373"/>
      <c r="J332" s="147"/>
      <c r="K332" s="116"/>
      <c r="L332" s="116"/>
      <c r="M332" s="116"/>
      <c r="N332" s="116"/>
      <c r="O332" s="116"/>
      <c r="P332" s="116"/>
      <c r="Q332" s="116"/>
      <c r="R332" s="116"/>
      <c r="S332" s="116"/>
      <c r="T332" s="116"/>
      <c r="U332" s="116"/>
      <c r="V332" s="116"/>
      <c r="W332" s="116"/>
      <c r="X332" s="278"/>
      <c r="Y332" s="142"/>
      <c r="Z332" s="142"/>
      <c r="AA332" s="142"/>
      <c r="AB332" s="142"/>
      <c r="AC332" s="142"/>
      <c r="AD332" s="142"/>
      <c r="AE332" s="142"/>
      <c r="AF332" s="130"/>
      <c r="AG332" s="142"/>
      <c r="AH332" s="142"/>
      <c r="AI332" s="142"/>
      <c r="AJ332" s="130"/>
      <c r="AK332" s="130"/>
      <c r="AL332" s="130"/>
      <c r="AM332" s="130"/>
    </row>
    <row r="333" ht="15.75" customHeight="1">
      <c r="A333" s="278"/>
      <c r="B333" s="278"/>
      <c r="C333" s="278"/>
      <c r="D333" s="278"/>
      <c r="E333" s="132"/>
      <c r="F333" s="116"/>
      <c r="G333" s="116"/>
      <c r="H333" s="116"/>
      <c r="I333" s="373"/>
      <c r="J333" s="147"/>
      <c r="K333" s="116"/>
      <c r="L333" s="116"/>
      <c r="M333" s="116"/>
      <c r="N333" s="116"/>
      <c r="O333" s="116"/>
      <c r="P333" s="116"/>
      <c r="Q333" s="116"/>
      <c r="R333" s="116"/>
      <c r="S333" s="116"/>
      <c r="T333" s="116"/>
      <c r="U333" s="116"/>
      <c r="V333" s="116"/>
      <c r="W333" s="116"/>
      <c r="X333" s="278"/>
      <c r="Y333" s="142"/>
      <c r="Z333" s="142"/>
      <c r="AA333" s="142"/>
      <c r="AB333" s="142"/>
      <c r="AC333" s="142"/>
      <c r="AD333" s="142"/>
      <c r="AE333" s="142"/>
      <c r="AF333" s="130"/>
      <c r="AG333" s="142"/>
      <c r="AH333" s="142"/>
      <c r="AI333" s="142"/>
      <c r="AJ333" s="130"/>
      <c r="AK333" s="130"/>
      <c r="AL333" s="130"/>
      <c r="AM333" s="130"/>
    </row>
    <row r="334" ht="15.75" customHeight="1">
      <c r="A334" s="278"/>
      <c r="B334" s="278"/>
      <c r="C334" s="278"/>
      <c r="D334" s="278"/>
      <c r="E334" s="132"/>
      <c r="F334" s="116"/>
      <c r="G334" s="116"/>
      <c r="H334" s="116"/>
      <c r="I334" s="373"/>
      <c r="J334" s="147"/>
      <c r="K334" s="116"/>
      <c r="L334" s="116"/>
      <c r="M334" s="116"/>
      <c r="N334" s="116"/>
      <c r="O334" s="116"/>
      <c r="P334" s="116"/>
      <c r="Q334" s="116"/>
      <c r="R334" s="116"/>
      <c r="S334" s="116"/>
      <c r="T334" s="116"/>
      <c r="U334" s="116"/>
      <c r="V334" s="116"/>
      <c r="W334" s="116"/>
      <c r="X334" s="278"/>
      <c r="Y334" s="142"/>
      <c r="Z334" s="142"/>
      <c r="AA334" s="142"/>
      <c r="AB334" s="142"/>
      <c r="AC334" s="142"/>
      <c r="AD334" s="142"/>
      <c r="AE334" s="142"/>
      <c r="AF334" s="130"/>
      <c r="AG334" s="142"/>
      <c r="AH334" s="142"/>
      <c r="AI334" s="142"/>
      <c r="AJ334" s="130"/>
      <c r="AK334" s="130"/>
      <c r="AL334" s="130"/>
      <c r="AM334" s="130"/>
    </row>
    <row r="335" ht="15.75" customHeight="1">
      <c r="A335" s="278"/>
      <c r="B335" s="278"/>
      <c r="C335" s="278"/>
      <c r="D335" s="278"/>
      <c r="E335" s="132"/>
      <c r="F335" s="116"/>
      <c r="G335" s="116"/>
      <c r="H335" s="116"/>
      <c r="I335" s="373"/>
      <c r="J335" s="147"/>
      <c r="K335" s="116"/>
      <c r="L335" s="116"/>
      <c r="M335" s="116"/>
      <c r="N335" s="116"/>
      <c r="O335" s="116"/>
      <c r="P335" s="116"/>
      <c r="Q335" s="116"/>
      <c r="R335" s="116"/>
      <c r="S335" s="116"/>
      <c r="T335" s="116"/>
      <c r="U335" s="116"/>
      <c r="V335" s="116"/>
      <c r="W335" s="116"/>
      <c r="X335" s="278"/>
      <c r="Y335" s="142"/>
      <c r="Z335" s="142"/>
      <c r="AA335" s="142"/>
      <c r="AB335" s="142"/>
      <c r="AC335" s="142"/>
      <c r="AD335" s="142"/>
      <c r="AE335" s="142"/>
      <c r="AF335" s="130"/>
      <c r="AG335" s="142"/>
      <c r="AH335" s="142"/>
      <c r="AI335" s="142"/>
      <c r="AJ335" s="130"/>
      <c r="AK335" s="130"/>
      <c r="AL335" s="130"/>
      <c r="AM335" s="130"/>
    </row>
    <row r="336" ht="15.75" customHeight="1">
      <c r="A336" s="278"/>
      <c r="B336" s="278"/>
      <c r="C336" s="278"/>
      <c r="D336" s="278"/>
      <c r="E336" s="132"/>
      <c r="F336" s="116"/>
      <c r="G336" s="116"/>
      <c r="H336" s="116"/>
      <c r="I336" s="373"/>
      <c r="J336" s="147"/>
      <c r="K336" s="116"/>
      <c r="L336" s="116"/>
      <c r="M336" s="116"/>
      <c r="N336" s="116"/>
      <c r="O336" s="116"/>
      <c r="P336" s="116"/>
      <c r="Q336" s="116"/>
      <c r="R336" s="116"/>
      <c r="S336" s="116"/>
      <c r="T336" s="116"/>
      <c r="U336" s="116"/>
      <c r="V336" s="116"/>
      <c r="W336" s="116"/>
      <c r="X336" s="278"/>
      <c r="Y336" s="142"/>
      <c r="Z336" s="142"/>
      <c r="AA336" s="142"/>
      <c r="AB336" s="142"/>
      <c r="AC336" s="142"/>
      <c r="AD336" s="142"/>
      <c r="AE336" s="142"/>
      <c r="AF336" s="130"/>
      <c r="AG336" s="142"/>
      <c r="AH336" s="142"/>
      <c r="AI336" s="142"/>
      <c r="AJ336" s="130"/>
      <c r="AK336" s="130"/>
      <c r="AL336" s="130"/>
      <c r="AM336" s="130"/>
    </row>
    <row r="337" ht="15.75" customHeight="1">
      <c r="A337" s="278"/>
      <c r="B337" s="278"/>
      <c r="C337" s="278"/>
      <c r="D337" s="278"/>
      <c r="E337" s="132"/>
      <c r="F337" s="116"/>
      <c r="G337" s="116"/>
      <c r="H337" s="116"/>
      <c r="I337" s="373"/>
      <c r="J337" s="147"/>
      <c r="K337" s="116"/>
      <c r="L337" s="116"/>
      <c r="M337" s="116"/>
      <c r="N337" s="116"/>
      <c r="O337" s="116"/>
      <c r="P337" s="116"/>
      <c r="Q337" s="116"/>
      <c r="R337" s="116"/>
      <c r="S337" s="116"/>
      <c r="T337" s="116"/>
      <c r="U337" s="116"/>
      <c r="V337" s="116"/>
      <c r="W337" s="116"/>
      <c r="X337" s="278"/>
      <c r="Y337" s="142"/>
      <c r="Z337" s="142"/>
      <c r="AA337" s="142"/>
      <c r="AB337" s="142"/>
      <c r="AC337" s="142"/>
      <c r="AD337" s="142"/>
      <c r="AE337" s="142"/>
      <c r="AF337" s="130"/>
      <c r="AG337" s="142"/>
      <c r="AH337" s="142"/>
      <c r="AI337" s="142"/>
      <c r="AJ337" s="130"/>
      <c r="AK337" s="130"/>
      <c r="AL337" s="130"/>
      <c r="AM337" s="130"/>
    </row>
    <row r="338" ht="15.75" customHeight="1">
      <c r="A338" s="278"/>
      <c r="B338" s="278"/>
      <c r="C338" s="278"/>
      <c r="D338" s="278"/>
      <c r="E338" s="132"/>
      <c r="F338" s="116"/>
      <c r="G338" s="116"/>
      <c r="H338" s="116"/>
      <c r="I338" s="373"/>
      <c r="J338" s="147"/>
      <c r="K338" s="116"/>
      <c r="L338" s="116"/>
      <c r="M338" s="116"/>
      <c r="N338" s="116"/>
      <c r="O338" s="116"/>
      <c r="P338" s="116"/>
      <c r="Q338" s="116"/>
      <c r="R338" s="116"/>
      <c r="S338" s="116"/>
      <c r="T338" s="116"/>
      <c r="U338" s="116"/>
      <c r="V338" s="116"/>
      <c r="W338" s="116"/>
      <c r="X338" s="278"/>
      <c r="Y338" s="142"/>
      <c r="Z338" s="142"/>
      <c r="AA338" s="142"/>
      <c r="AB338" s="142"/>
      <c r="AC338" s="142"/>
      <c r="AD338" s="142"/>
      <c r="AE338" s="142"/>
      <c r="AF338" s="130"/>
      <c r="AG338" s="142"/>
      <c r="AH338" s="142"/>
      <c r="AI338" s="142"/>
      <c r="AJ338" s="130"/>
      <c r="AK338" s="130"/>
      <c r="AL338" s="130"/>
      <c r="AM338" s="130"/>
    </row>
    <row r="339" ht="15.75" customHeight="1">
      <c r="A339" s="278"/>
      <c r="B339" s="278"/>
      <c r="C339" s="278"/>
      <c r="D339" s="278"/>
      <c r="E339" s="132"/>
      <c r="F339" s="116"/>
      <c r="G339" s="116"/>
      <c r="H339" s="116"/>
      <c r="I339" s="373"/>
      <c r="J339" s="147"/>
      <c r="K339" s="116"/>
      <c r="L339" s="116"/>
      <c r="M339" s="116"/>
      <c r="N339" s="116"/>
      <c r="O339" s="116"/>
      <c r="P339" s="116"/>
      <c r="Q339" s="116"/>
      <c r="R339" s="116"/>
      <c r="S339" s="116"/>
      <c r="T339" s="116"/>
      <c r="U339" s="116"/>
      <c r="V339" s="116"/>
      <c r="W339" s="116"/>
      <c r="X339" s="278"/>
      <c r="Y339" s="142"/>
      <c r="Z339" s="142"/>
      <c r="AA339" s="142"/>
      <c r="AB339" s="142"/>
      <c r="AC339" s="142"/>
      <c r="AD339" s="142"/>
      <c r="AE339" s="142"/>
      <c r="AF339" s="130"/>
      <c r="AG339" s="142"/>
      <c r="AH339" s="142"/>
      <c r="AI339" s="142"/>
      <c r="AJ339" s="130"/>
      <c r="AK339" s="130"/>
      <c r="AL339" s="130"/>
      <c r="AM339" s="130"/>
    </row>
    <row r="340" ht="15.75" customHeight="1">
      <c r="A340" s="278"/>
      <c r="B340" s="278"/>
      <c r="C340" s="278"/>
      <c r="D340" s="278"/>
      <c r="E340" s="132"/>
      <c r="F340" s="116"/>
      <c r="G340" s="116"/>
      <c r="H340" s="116"/>
      <c r="I340" s="373"/>
      <c r="J340" s="147"/>
      <c r="K340" s="116"/>
      <c r="L340" s="116"/>
      <c r="M340" s="116"/>
      <c r="N340" s="116"/>
      <c r="O340" s="116"/>
      <c r="P340" s="116"/>
      <c r="Q340" s="116"/>
      <c r="R340" s="116"/>
      <c r="S340" s="116"/>
      <c r="T340" s="116"/>
      <c r="U340" s="116"/>
      <c r="V340" s="116"/>
      <c r="W340" s="116"/>
      <c r="X340" s="278"/>
      <c r="Y340" s="142"/>
      <c r="Z340" s="142"/>
      <c r="AA340" s="142"/>
      <c r="AB340" s="142"/>
      <c r="AC340" s="142"/>
      <c r="AD340" s="142"/>
      <c r="AE340" s="142"/>
      <c r="AF340" s="130"/>
      <c r="AG340" s="142"/>
      <c r="AH340" s="142"/>
      <c r="AI340" s="142"/>
      <c r="AJ340" s="130"/>
      <c r="AK340" s="130"/>
      <c r="AL340" s="130"/>
      <c r="AM340" s="130"/>
    </row>
    <row r="341" ht="15.75" customHeight="1">
      <c r="A341" s="278"/>
      <c r="B341" s="278"/>
      <c r="C341" s="278"/>
      <c r="D341" s="278"/>
      <c r="E341" s="132"/>
      <c r="F341" s="116"/>
      <c r="G341" s="116"/>
      <c r="H341" s="116"/>
      <c r="I341" s="373"/>
      <c r="J341" s="147"/>
      <c r="K341" s="116"/>
      <c r="L341" s="116"/>
      <c r="M341" s="116"/>
      <c r="N341" s="116"/>
      <c r="O341" s="116"/>
      <c r="P341" s="116"/>
      <c r="Q341" s="116"/>
      <c r="R341" s="116"/>
      <c r="S341" s="116"/>
      <c r="T341" s="116"/>
      <c r="U341" s="116"/>
      <c r="V341" s="116"/>
      <c r="W341" s="116"/>
      <c r="X341" s="278"/>
      <c r="Y341" s="142"/>
      <c r="Z341" s="142"/>
      <c r="AA341" s="142"/>
      <c r="AB341" s="142"/>
      <c r="AC341" s="142"/>
      <c r="AD341" s="142"/>
      <c r="AE341" s="142"/>
      <c r="AF341" s="130"/>
      <c r="AG341" s="142"/>
      <c r="AH341" s="142"/>
      <c r="AI341" s="142"/>
      <c r="AJ341" s="130"/>
      <c r="AK341" s="130"/>
      <c r="AL341" s="130"/>
      <c r="AM341" s="130"/>
    </row>
    <row r="342" ht="15.75" customHeight="1">
      <c r="A342" s="278"/>
      <c r="B342" s="278"/>
      <c r="C342" s="278"/>
      <c r="D342" s="278"/>
      <c r="E342" s="132"/>
      <c r="F342" s="116"/>
      <c r="G342" s="116"/>
      <c r="H342" s="116"/>
      <c r="I342" s="373"/>
      <c r="J342" s="147"/>
      <c r="K342" s="116"/>
      <c r="L342" s="116"/>
      <c r="M342" s="116"/>
      <c r="N342" s="116"/>
      <c r="O342" s="116"/>
      <c r="P342" s="116"/>
      <c r="Q342" s="116"/>
      <c r="R342" s="116"/>
      <c r="S342" s="116"/>
      <c r="T342" s="116"/>
      <c r="U342" s="116"/>
      <c r="V342" s="116"/>
      <c r="W342" s="116"/>
      <c r="X342" s="278"/>
      <c r="Y342" s="142"/>
      <c r="Z342" s="142"/>
      <c r="AA342" s="142"/>
      <c r="AB342" s="142"/>
      <c r="AC342" s="142"/>
      <c r="AD342" s="142"/>
      <c r="AE342" s="142"/>
      <c r="AF342" s="130"/>
      <c r="AG342" s="142"/>
      <c r="AH342" s="142"/>
      <c r="AI342" s="142"/>
      <c r="AJ342" s="130"/>
      <c r="AK342" s="130"/>
      <c r="AL342" s="130"/>
      <c r="AM342" s="130"/>
    </row>
    <row r="343" ht="15.75" customHeight="1">
      <c r="A343" s="278"/>
      <c r="B343" s="278"/>
      <c r="C343" s="278"/>
      <c r="D343" s="278"/>
      <c r="E343" s="132"/>
      <c r="F343" s="116"/>
      <c r="G343" s="116"/>
      <c r="H343" s="116"/>
      <c r="I343" s="373"/>
      <c r="J343" s="147"/>
      <c r="K343" s="116"/>
      <c r="L343" s="116"/>
      <c r="M343" s="116"/>
      <c r="N343" s="116"/>
      <c r="O343" s="116"/>
      <c r="P343" s="116"/>
      <c r="Q343" s="116"/>
      <c r="R343" s="116"/>
      <c r="S343" s="116"/>
      <c r="T343" s="116"/>
      <c r="U343" s="116"/>
      <c r="V343" s="116"/>
      <c r="W343" s="116"/>
      <c r="X343" s="278"/>
      <c r="Y343" s="142"/>
      <c r="Z343" s="142"/>
      <c r="AA343" s="142"/>
      <c r="AB343" s="142"/>
      <c r="AC343" s="142"/>
      <c r="AD343" s="142"/>
      <c r="AE343" s="142"/>
      <c r="AF343" s="130"/>
      <c r="AG343" s="142"/>
      <c r="AH343" s="142"/>
      <c r="AI343" s="142"/>
      <c r="AJ343" s="130"/>
      <c r="AK343" s="130"/>
      <c r="AL343" s="130"/>
      <c r="AM343" s="130"/>
    </row>
    <row r="344" ht="15.75" customHeight="1">
      <c r="A344" s="278"/>
      <c r="B344" s="278"/>
      <c r="C344" s="278"/>
      <c r="D344" s="278"/>
      <c r="E344" s="132"/>
      <c r="F344" s="116"/>
      <c r="G344" s="116"/>
      <c r="H344" s="116"/>
      <c r="I344" s="373"/>
      <c r="J344" s="147"/>
      <c r="K344" s="116"/>
      <c r="L344" s="116"/>
      <c r="M344" s="116"/>
      <c r="N344" s="116"/>
      <c r="O344" s="116"/>
      <c r="P344" s="116"/>
      <c r="Q344" s="116"/>
      <c r="R344" s="116"/>
      <c r="S344" s="116"/>
      <c r="T344" s="116"/>
      <c r="U344" s="116"/>
      <c r="V344" s="116"/>
      <c r="W344" s="116"/>
      <c r="X344" s="278"/>
      <c r="Y344" s="142"/>
      <c r="Z344" s="142"/>
      <c r="AA344" s="142"/>
      <c r="AB344" s="142"/>
      <c r="AC344" s="142"/>
      <c r="AD344" s="142"/>
      <c r="AE344" s="142"/>
      <c r="AF344" s="130"/>
      <c r="AG344" s="142"/>
      <c r="AH344" s="142"/>
      <c r="AI344" s="142"/>
      <c r="AJ344" s="130"/>
      <c r="AK344" s="130"/>
      <c r="AL344" s="130"/>
      <c r="AM344" s="130"/>
    </row>
    <row r="345" ht="15.75" customHeight="1">
      <c r="A345" s="278"/>
      <c r="B345" s="278"/>
      <c r="C345" s="278"/>
      <c r="D345" s="278"/>
      <c r="E345" s="132"/>
      <c r="F345" s="116"/>
      <c r="G345" s="116"/>
      <c r="H345" s="116"/>
      <c r="I345" s="373"/>
      <c r="J345" s="147"/>
      <c r="K345" s="116"/>
      <c r="L345" s="116"/>
      <c r="M345" s="116"/>
      <c r="N345" s="116"/>
      <c r="O345" s="116"/>
      <c r="P345" s="116"/>
      <c r="Q345" s="116"/>
      <c r="R345" s="116"/>
      <c r="S345" s="116"/>
      <c r="T345" s="116"/>
      <c r="U345" s="116"/>
      <c r="V345" s="116"/>
      <c r="W345" s="116"/>
      <c r="X345" s="278"/>
      <c r="Y345" s="142"/>
      <c r="Z345" s="142"/>
      <c r="AA345" s="142"/>
      <c r="AB345" s="142"/>
      <c r="AC345" s="142"/>
      <c r="AD345" s="142"/>
      <c r="AE345" s="142"/>
      <c r="AF345" s="130"/>
      <c r="AG345" s="142"/>
      <c r="AH345" s="142"/>
      <c r="AI345" s="142"/>
      <c r="AJ345" s="130"/>
      <c r="AK345" s="130"/>
      <c r="AL345" s="130"/>
      <c r="AM345" s="130"/>
    </row>
    <row r="346" ht="15.75" customHeight="1">
      <c r="A346" s="278"/>
      <c r="B346" s="278"/>
      <c r="C346" s="278"/>
      <c r="D346" s="278"/>
      <c r="E346" s="132"/>
      <c r="F346" s="116"/>
      <c r="G346" s="116"/>
      <c r="H346" s="116"/>
      <c r="I346" s="373"/>
      <c r="J346" s="147"/>
      <c r="K346" s="116"/>
      <c r="L346" s="116"/>
      <c r="M346" s="116"/>
      <c r="N346" s="116"/>
      <c r="O346" s="116"/>
      <c r="P346" s="116"/>
      <c r="Q346" s="116"/>
      <c r="R346" s="116"/>
      <c r="S346" s="116"/>
      <c r="T346" s="116"/>
      <c r="U346" s="116"/>
      <c r="V346" s="116"/>
      <c r="W346" s="116"/>
      <c r="X346" s="278"/>
      <c r="Y346" s="142"/>
      <c r="Z346" s="142"/>
      <c r="AA346" s="142"/>
      <c r="AB346" s="142"/>
      <c r="AC346" s="142"/>
      <c r="AD346" s="142"/>
      <c r="AE346" s="142"/>
      <c r="AF346" s="130"/>
      <c r="AG346" s="142"/>
      <c r="AH346" s="142"/>
      <c r="AI346" s="142"/>
      <c r="AJ346" s="130"/>
      <c r="AK346" s="130"/>
      <c r="AL346" s="130"/>
      <c r="AM346" s="130"/>
    </row>
    <row r="347" ht="15.75" customHeight="1">
      <c r="A347" s="278"/>
      <c r="B347" s="278"/>
      <c r="C347" s="278"/>
      <c r="D347" s="278"/>
      <c r="E347" s="132"/>
      <c r="F347" s="116"/>
      <c r="G347" s="116"/>
      <c r="H347" s="116"/>
      <c r="I347" s="373"/>
      <c r="J347" s="147"/>
      <c r="K347" s="116"/>
      <c r="L347" s="116"/>
      <c r="M347" s="116"/>
      <c r="N347" s="116"/>
      <c r="O347" s="116"/>
      <c r="P347" s="116"/>
      <c r="Q347" s="116"/>
      <c r="R347" s="116"/>
      <c r="S347" s="116"/>
      <c r="T347" s="116"/>
      <c r="U347" s="116"/>
      <c r="V347" s="116"/>
      <c r="W347" s="116"/>
      <c r="X347" s="278"/>
      <c r="Y347" s="142"/>
      <c r="Z347" s="142"/>
      <c r="AA347" s="142"/>
      <c r="AB347" s="142"/>
      <c r="AC347" s="142"/>
      <c r="AD347" s="142"/>
      <c r="AE347" s="142"/>
      <c r="AF347" s="130"/>
      <c r="AG347" s="142"/>
      <c r="AH347" s="142"/>
      <c r="AI347" s="142"/>
      <c r="AJ347" s="130"/>
      <c r="AK347" s="130"/>
      <c r="AL347" s="130"/>
      <c r="AM347" s="130"/>
    </row>
    <row r="348" ht="15.75" customHeight="1">
      <c r="A348" s="278"/>
      <c r="B348" s="278"/>
      <c r="C348" s="278"/>
      <c r="D348" s="278"/>
      <c r="E348" s="132"/>
      <c r="F348" s="116"/>
      <c r="G348" s="116"/>
      <c r="H348" s="116"/>
      <c r="I348" s="373"/>
      <c r="J348" s="147"/>
      <c r="K348" s="116"/>
      <c r="L348" s="116"/>
      <c r="M348" s="116"/>
      <c r="N348" s="116"/>
      <c r="O348" s="116"/>
      <c r="P348" s="116"/>
      <c r="Q348" s="116"/>
      <c r="R348" s="116"/>
      <c r="S348" s="116"/>
      <c r="T348" s="116"/>
      <c r="U348" s="116"/>
      <c r="V348" s="116"/>
      <c r="W348" s="116"/>
      <c r="X348" s="278"/>
      <c r="Y348" s="142"/>
      <c r="Z348" s="142"/>
      <c r="AA348" s="142"/>
      <c r="AB348" s="142"/>
      <c r="AC348" s="142"/>
      <c r="AD348" s="142"/>
      <c r="AE348" s="142"/>
      <c r="AF348" s="130"/>
      <c r="AG348" s="142"/>
      <c r="AH348" s="142"/>
      <c r="AI348" s="142"/>
      <c r="AJ348" s="130"/>
      <c r="AK348" s="130"/>
      <c r="AL348" s="130"/>
      <c r="AM348" s="130"/>
    </row>
    <row r="349" ht="15.75" customHeight="1">
      <c r="A349" s="278"/>
      <c r="B349" s="278"/>
      <c r="C349" s="278"/>
      <c r="D349" s="278"/>
      <c r="E349" s="132"/>
      <c r="F349" s="116"/>
      <c r="G349" s="116"/>
      <c r="H349" s="116"/>
      <c r="I349" s="373"/>
      <c r="J349" s="147"/>
      <c r="K349" s="116"/>
      <c r="L349" s="116"/>
      <c r="M349" s="116"/>
      <c r="N349" s="116"/>
      <c r="O349" s="116"/>
      <c r="P349" s="116"/>
      <c r="Q349" s="116"/>
      <c r="R349" s="116"/>
      <c r="S349" s="116"/>
      <c r="T349" s="116"/>
      <c r="U349" s="116"/>
      <c r="V349" s="116"/>
      <c r="W349" s="116"/>
      <c r="X349" s="278"/>
      <c r="Y349" s="142"/>
      <c r="Z349" s="142"/>
      <c r="AA349" s="142"/>
      <c r="AB349" s="142"/>
      <c r="AC349" s="142"/>
      <c r="AD349" s="142"/>
      <c r="AE349" s="142"/>
      <c r="AF349" s="130"/>
      <c r="AG349" s="142"/>
      <c r="AH349" s="142"/>
      <c r="AI349" s="142"/>
      <c r="AJ349" s="130"/>
      <c r="AK349" s="130"/>
      <c r="AL349" s="130"/>
      <c r="AM349" s="130"/>
    </row>
    <row r="350" ht="15.75" customHeight="1">
      <c r="A350" s="278"/>
      <c r="B350" s="278"/>
      <c r="C350" s="278"/>
      <c r="D350" s="278"/>
      <c r="E350" s="132"/>
      <c r="F350" s="116"/>
      <c r="G350" s="116"/>
      <c r="H350" s="116"/>
      <c r="I350" s="373"/>
      <c r="J350" s="147"/>
      <c r="K350" s="116"/>
      <c r="L350" s="116"/>
      <c r="M350" s="116"/>
      <c r="N350" s="116"/>
      <c r="O350" s="116"/>
      <c r="P350" s="116"/>
      <c r="Q350" s="116"/>
      <c r="R350" s="116"/>
      <c r="S350" s="116"/>
      <c r="T350" s="116"/>
      <c r="U350" s="116"/>
      <c r="V350" s="116"/>
      <c r="W350" s="116"/>
      <c r="X350" s="278"/>
      <c r="Y350" s="142"/>
      <c r="Z350" s="142"/>
      <c r="AA350" s="142"/>
      <c r="AB350" s="142"/>
      <c r="AC350" s="142"/>
      <c r="AD350" s="142"/>
      <c r="AE350" s="142"/>
      <c r="AF350" s="130"/>
      <c r="AG350" s="142"/>
      <c r="AH350" s="142"/>
      <c r="AI350" s="142"/>
      <c r="AJ350" s="130"/>
      <c r="AK350" s="130"/>
      <c r="AL350" s="130"/>
      <c r="AM350" s="130"/>
    </row>
    <row r="351" ht="15.75" customHeight="1">
      <c r="A351" s="278"/>
      <c r="B351" s="278"/>
      <c r="C351" s="278"/>
      <c r="D351" s="278"/>
      <c r="E351" s="132"/>
      <c r="F351" s="116"/>
      <c r="G351" s="116"/>
      <c r="H351" s="116"/>
      <c r="I351" s="373"/>
      <c r="J351" s="147"/>
      <c r="K351" s="116"/>
      <c r="L351" s="116"/>
      <c r="M351" s="116"/>
      <c r="N351" s="116"/>
      <c r="O351" s="116"/>
      <c r="P351" s="116"/>
      <c r="Q351" s="116"/>
      <c r="R351" s="116"/>
      <c r="S351" s="116"/>
      <c r="T351" s="116"/>
      <c r="U351" s="116"/>
      <c r="V351" s="116"/>
      <c r="W351" s="116"/>
      <c r="X351" s="278"/>
      <c r="Y351" s="142"/>
      <c r="Z351" s="142"/>
      <c r="AA351" s="142"/>
      <c r="AB351" s="142"/>
      <c r="AC351" s="142"/>
      <c r="AD351" s="142"/>
      <c r="AE351" s="142"/>
      <c r="AF351" s="130"/>
      <c r="AG351" s="142"/>
      <c r="AH351" s="142"/>
      <c r="AI351" s="142"/>
      <c r="AJ351" s="130"/>
      <c r="AK351" s="130"/>
      <c r="AL351" s="130"/>
      <c r="AM351" s="130"/>
    </row>
    <row r="352" ht="15.75" customHeight="1">
      <c r="A352" s="278"/>
      <c r="B352" s="278"/>
      <c r="C352" s="278"/>
      <c r="D352" s="278"/>
      <c r="E352" s="132"/>
      <c r="F352" s="116"/>
      <c r="G352" s="116"/>
      <c r="H352" s="116"/>
      <c r="I352" s="373"/>
      <c r="J352" s="147"/>
      <c r="K352" s="116"/>
      <c r="L352" s="116"/>
      <c r="M352" s="116"/>
      <c r="N352" s="116"/>
      <c r="O352" s="116"/>
      <c r="P352" s="116"/>
      <c r="Q352" s="116"/>
      <c r="R352" s="116"/>
      <c r="S352" s="116"/>
      <c r="T352" s="116"/>
      <c r="U352" s="116"/>
      <c r="V352" s="116"/>
      <c r="W352" s="116"/>
      <c r="X352" s="278"/>
      <c r="Y352" s="142"/>
      <c r="Z352" s="142"/>
      <c r="AA352" s="142"/>
      <c r="AB352" s="142"/>
      <c r="AC352" s="142"/>
      <c r="AD352" s="142"/>
      <c r="AE352" s="142"/>
      <c r="AF352" s="130"/>
      <c r="AG352" s="142"/>
      <c r="AH352" s="142"/>
      <c r="AI352" s="142"/>
      <c r="AJ352" s="130"/>
      <c r="AK352" s="130"/>
      <c r="AL352" s="130"/>
      <c r="AM352" s="130"/>
    </row>
    <row r="353" ht="15.75" customHeight="1">
      <c r="A353" s="278"/>
      <c r="B353" s="278"/>
      <c r="C353" s="278"/>
      <c r="D353" s="278"/>
      <c r="E353" s="132"/>
      <c r="F353" s="116"/>
      <c r="G353" s="116"/>
      <c r="H353" s="116"/>
      <c r="I353" s="373"/>
      <c r="J353" s="147"/>
      <c r="K353" s="116"/>
      <c r="L353" s="116"/>
      <c r="M353" s="116"/>
      <c r="N353" s="116"/>
      <c r="O353" s="116"/>
      <c r="P353" s="116"/>
      <c r="Q353" s="116"/>
      <c r="R353" s="116"/>
      <c r="S353" s="116"/>
      <c r="T353" s="116"/>
      <c r="U353" s="116"/>
      <c r="V353" s="116"/>
      <c r="W353" s="116"/>
      <c r="X353" s="278"/>
      <c r="Y353" s="142"/>
      <c r="Z353" s="142"/>
      <c r="AA353" s="142"/>
      <c r="AB353" s="142"/>
      <c r="AC353" s="142"/>
      <c r="AD353" s="142"/>
      <c r="AE353" s="142"/>
      <c r="AF353" s="130"/>
      <c r="AG353" s="142"/>
      <c r="AH353" s="142"/>
      <c r="AI353" s="142"/>
      <c r="AJ353" s="130"/>
      <c r="AK353" s="130"/>
      <c r="AL353" s="130"/>
      <c r="AM353" s="130"/>
    </row>
    <row r="354" ht="15.75" customHeight="1">
      <c r="A354" s="278"/>
      <c r="B354" s="278"/>
      <c r="C354" s="278"/>
      <c r="D354" s="278"/>
      <c r="E354" s="132"/>
      <c r="F354" s="116"/>
      <c r="G354" s="116"/>
      <c r="H354" s="116"/>
      <c r="I354" s="373"/>
      <c r="J354" s="147"/>
      <c r="K354" s="116"/>
      <c r="L354" s="116"/>
      <c r="M354" s="116"/>
      <c r="N354" s="116"/>
      <c r="O354" s="116"/>
      <c r="P354" s="116"/>
      <c r="Q354" s="116"/>
      <c r="R354" s="116"/>
      <c r="S354" s="116"/>
      <c r="T354" s="116"/>
      <c r="U354" s="116"/>
      <c r="V354" s="116"/>
      <c r="W354" s="116"/>
      <c r="X354" s="278"/>
      <c r="Y354" s="142"/>
      <c r="Z354" s="142"/>
      <c r="AA354" s="142"/>
      <c r="AB354" s="142"/>
      <c r="AC354" s="142"/>
      <c r="AD354" s="142"/>
      <c r="AE354" s="142"/>
      <c r="AF354" s="130"/>
      <c r="AG354" s="142"/>
      <c r="AH354" s="142"/>
      <c r="AI354" s="142"/>
      <c r="AJ354" s="130"/>
      <c r="AK354" s="130"/>
      <c r="AL354" s="130"/>
      <c r="AM354" s="130"/>
    </row>
    <row r="355" ht="15.75" customHeight="1">
      <c r="A355" s="278"/>
      <c r="B355" s="278"/>
      <c r="C355" s="278"/>
      <c r="D355" s="278"/>
      <c r="E355" s="132"/>
      <c r="F355" s="116"/>
      <c r="G355" s="116"/>
      <c r="H355" s="116"/>
      <c r="I355" s="373"/>
      <c r="J355" s="147"/>
      <c r="K355" s="116"/>
      <c r="L355" s="116"/>
      <c r="M355" s="116"/>
      <c r="N355" s="116"/>
      <c r="O355" s="116"/>
      <c r="P355" s="116"/>
      <c r="Q355" s="116"/>
      <c r="R355" s="116"/>
      <c r="S355" s="116"/>
      <c r="T355" s="116"/>
      <c r="U355" s="116"/>
      <c r="V355" s="116"/>
      <c r="W355" s="116"/>
      <c r="X355" s="278"/>
      <c r="Y355" s="142"/>
      <c r="Z355" s="142"/>
      <c r="AA355" s="142"/>
      <c r="AB355" s="142"/>
      <c r="AC355" s="142"/>
      <c r="AD355" s="142"/>
      <c r="AE355" s="142"/>
      <c r="AF355" s="130"/>
      <c r="AG355" s="142"/>
      <c r="AH355" s="142"/>
      <c r="AI355" s="142"/>
      <c r="AJ355" s="130"/>
      <c r="AK355" s="130"/>
      <c r="AL355" s="130"/>
      <c r="AM355" s="130"/>
    </row>
    <row r="356" ht="15.75" customHeight="1">
      <c r="A356" s="278"/>
      <c r="B356" s="278"/>
      <c r="C356" s="278"/>
      <c r="D356" s="278"/>
      <c r="E356" s="132"/>
      <c r="F356" s="116"/>
      <c r="G356" s="116"/>
      <c r="H356" s="116"/>
      <c r="I356" s="373"/>
      <c r="J356" s="147"/>
      <c r="K356" s="116"/>
      <c r="L356" s="116"/>
      <c r="M356" s="116"/>
      <c r="N356" s="116"/>
      <c r="O356" s="116"/>
      <c r="P356" s="116"/>
      <c r="Q356" s="116"/>
      <c r="R356" s="116"/>
      <c r="S356" s="116"/>
      <c r="T356" s="116"/>
      <c r="U356" s="116"/>
      <c r="V356" s="116"/>
      <c r="W356" s="116"/>
      <c r="X356" s="278"/>
      <c r="Y356" s="142"/>
      <c r="Z356" s="142"/>
      <c r="AA356" s="142"/>
      <c r="AB356" s="142"/>
      <c r="AC356" s="142"/>
      <c r="AD356" s="142"/>
      <c r="AE356" s="142"/>
      <c r="AF356" s="130"/>
      <c r="AG356" s="142"/>
      <c r="AH356" s="142"/>
      <c r="AI356" s="142"/>
      <c r="AJ356" s="130"/>
      <c r="AK356" s="130"/>
      <c r="AL356" s="130"/>
      <c r="AM356" s="130"/>
    </row>
    <row r="357" ht="15.75" customHeight="1">
      <c r="A357" s="278"/>
      <c r="B357" s="278"/>
      <c r="C357" s="278"/>
      <c r="D357" s="278"/>
      <c r="E357" s="132"/>
      <c r="F357" s="116"/>
      <c r="G357" s="116"/>
      <c r="H357" s="116"/>
      <c r="I357" s="373"/>
      <c r="J357" s="147"/>
      <c r="K357" s="116"/>
      <c r="L357" s="116"/>
      <c r="M357" s="116"/>
      <c r="N357" s="116"/>
      <c r="O357" s="116"/>
      <c r="P357" s="116"/>
      <c r="Q357" s="116"/>
      <c r="R357" s="116"/>
      <c r="S357" s="116"/>
      <c r="T357" s="116"/>
      <c r="U357" s="116"/>
      <c r="V357" s="116"/>
      <c r="W357" s="116"/>
      <c r="X357" s="278"/>
      <c r="Y357" s="142"/>
      <c r="Z357" s="142"/>
      <c r="AA357" s="142"/>
      <c r="AB357" s="142"/>
      <c r="AC357" s="142"/>
      <c r="AD357" s="142"/>
      <c r="AE357" s="142"/>
      <c r="AF357" s="130"/>
      <c r="AG357" s="142"/>
      <c r="AH357" s="142"/>
      <c r="AI357" s="142"/>
      <c r="AJ357" s="130"/>
      <c r="AK357" s="130"/>
      <c r="AL357" s="130"/>
      <c r="AM357" s="130"/>
    </row>
    <row r="358" ht="15.75" customHeight="1">
      <c r="A358" s="278"/>
      <c r="B358" s="278"/>
      <c r="C358" s="278"/>
      <c r="D358" s="278"/>
      <c r="E358" s="132"/>
      <c r="F358" s="116"/>
      <c r="G358" s="116"/>
      <c r="H358" s="116"/>
      <c r="I358" s="373"/>
      <c r="J358" s="147"/>
      <c r="K358" s="116"/>
      <c r="L358" s="116"/>
      <c r="M358" s="116"/>
      <c r="N358" s="116"/>
      <c r="O358" s="116"/>
      <c r="P358" s="116"/>
      <c r="Q358" s="116"/>
      <c r="R358" s="116"/>
      <c r="S358" s="116"/>
      <c r="T358" s="116"/>
      <c r="U358" s="116"/>
      <c r="V358" s="116"/>
      <c r="W358" s="116"/>
      <c r="X358" s="278"/>
      <c r="Y358" s="142"/>
      <c r="Z358" s="142"/>
      <c r="AA358" s="142"/>
      <c r="AB358" s="142"/>
      <c r="AC358" s="142"/>
      <c r="AD358" s="142"/>
      <c r="AE358" s="142"/>
      <c r="AF358" s="130"/>
      <c r="AG358" s="142"/>
      <c r="AH358" s="142"/>
      <c r="AI358" s="142"/>
      <c r="AJ358" s="130"/>
      <c r="AK358" s="130"/>
      <c r="AL358" s="130"/>
      <c r="AM358" s="130"/>
    </row>
    <row r="359" ht="15.75" customHeight="1">
      <c r="A359" s="278"/>
      <c r="B359" s="278"/>
      <c r="C359" s="278"/>
      <c r="D359" s="278"/>
      <c r="E359" s="132"/>
      <c r="F359" s="116"/>
      <c r="G359" s="116"/>
      <c r="H359" s="116"/>
      <c r="I359" s="373"/>
      <c r="J359" s="147"/>
      <c r="K359" s="116"/>
      <c r="L359" s="116"/>
      <c r="M359" s="116"/>
      <c r="N359" s="116"/>
      <c r="O359" s="116"/>
      <c r="P359" s="116"/>
      <c r="Q359" s="116"/>
      <c r="R359" s="116"/>
      <c r="S359" s="116"/>
      <c r="T359" s="116"/>
      <c r="U359" s="116"/>
      <c r="V359" s="116"/>
      <c r="W359" s="116"/>
      <c r="X359" s="278"/>
      <c r="Y359" s="142"/>
      <c r="Z359" s="142"/>
      <c r="AA359" s="142"/>
      <c r="AB359" s="142"/>
      <c r="AC359" s="142"/>
      <c r="AD359" s="142"/>
      <c r="AE359" s="142"/>
      <c r="AF359" s="130"/>
      <c r="AG359" s="142"/>
      <c r="AH359" s="142"/>
      <c r="AI359" s="142"/>
      <c r="AJ359" s="130"/>
      <c r="AK359" s="130"/>
      <c r="AL359" s="130"/>
      <c r="AM359" s="130"/>
    </row>
    <row r="360" ht="15.75" customHeight="1">
      <c r="A360" s="278"/>
      <c r="B360" s="278"/>
      <c r="C360" s="278"/>
      <c r="D360" s="278"/>
      <c r="E360" s="132"/>
      <c r="F360" s="116"/>
      <c r="G360" s="116"/>
      <c r="H360" s="116"/>
      <c r="I360" s="373"/>
      <c r="J360" s="147"/>
      <c r="K360" s="116"/>
      <c r="L360" s="116"/>
      <c r="M360" s="116"/>
      <c r="N360" s="116"/>
      <c r="O360" s="116"/>
      <c r="P360" s="116"/>
      <c r="Q360" s="116"/>
      <c r="R360" s="116"/>
      <c r="S360" s="116"/>
      <c r="T360" s="116"/>
      <c r="U360" s="116"/>
      <c r="V360" s="116"/>
      <c r="W360" s="116"/>
      <c r="X360" s="278"/>
      <c r="Y360" s="142"/>
      <c r="Z360" s="142"/>
      <c r="AA360" s="142"/>
      <c r="AB360" s="142"/>
      <c r="AC360" s="142"/>
      <c r="AD360" s="142"/>
      <c r="AE360" s="142"/>
      <c r="AF360" s="130"/>
      <c r="AG360" s="142"/>
      <c r="AH360" s="142"/>
      <c r="AI360" s="142"/>
      <c r="AJ360" s="130"/>
      <c r="AK360" s="130"/>
      <c r="AL360" s="130"/>
      <c r="AM360" s="130"/>
    </row>
    <row r="361" ht="15.75" customHeight="1">
      <c r="A361" s="278"/>
      <c r="B361" s="278"/>
      <c r="C361" s="278"/>
      <c r="D361" s="278"/>
      <c r="E361" s="132"/>
      <c r="F361" s="116"/>
      <c r="G361" s="116"/>
      <c r="H361" s="116"/>
      <c r="I361" s="373"/>
      <c r="J361" s="147"/>
      <c r="K361" s="116"/>
      <c r="L361" s="116"/>
      <c r="M361" s="116"/>
      <c r="N361" s="116"/>
      <c r="O361" s="116"/>
      <c r="P361" s="116"/>
      <c r="Q361" s="116"/>
      <c r="R361" s="116"/>
      <c r="S361" s="116"/>
      <c r="T361" s="116"/>
      <c r="U361" s="116"/>
      <c r="V361" s="116"/>
      <c r="W361" s="116"/>
      <c r="X361" s="278"/>
      <c r="Y361" s="142"/>
      <c r="Z361" s="142"/>
      <c r="AA361" s="142"/>
      <c r="AB361" s="142"/>
      <c r="AC361" s="142"/>
      <c r="AD361" s="142"/>
      <c r="AE361" s="142"/>
      <c r="AF361" s="130"/>
      <c r="AG361" s="142"/>
      <c r="AH361" s="142"/>
      <c r="AI361" s="142"/>
      <c r="AJ361" s="130"/>
      <c r="AK361" s="130"/>
      <c r="AL361" s="130"/>
      <c r="AM361" s="130"/>
    </row>
    <row r="362" ht="15.75" customHeight="1">
      <c r="A362" s="278"/>
      <c r="B362" s="278"/>
      <c r="C362" s="278"/>
      <c r="D362" s="278"/>
      <c r="E362" s="132"/>
      <c r="F362" s="116"/>
      <c r="G362" s="116"/>
      <c r="H362" s="116"/>
      <c r="I362" s="373"/>
      <c r="J362" s="147"/>
      <c r="K362" s="116"/>
      <c r="L362" s="116"/>
      <c r="M362" s="116"/>
      <c r="N362" s="116"/>
      <c r="O362" s="116"/>
      <c r="P362" s="116"/>
      <c r="Q362" s="116"/>
      <c r="R362" s="116"/>
      <c r="S362" s="116"/>
      <c r="T362" s="116"/>
      <c r="U362" s="116"/>
      <c r="V362" s="116"/>
      <c r="W362" s="116"/>
      <c r="X362" s="278"/>
      <c r="Y362" s="142"/>
      <c r="Z362" s="142"/>
      <c r="AA362" s="142"/>
      <c r="AB362" s="142"/>
      <c r="AC362" s="142"/>
      <c r="AD362" s="142"/>
      <c r="AE362" s="142"/>
      <c r="AF362" s="130"/>
      <c r="AG362" s="142"/>
      <c r="AH362" s="142"/>
      <c r="AI362" s="142"/>
      <c r="AJ362" s="130"/>
      <c r="AK362" s="130"/>
      <c r="AL362" s="130"/>
      <c r="AM362" s="130"/>
    </row>
    <row r="363" ht="15.75" customHeight="1">
      <c r="A363" s="278"/>
      <c r="B363" s="278"/>
      <c r="C363" s="278"/>
      <c r="D363" s="278"/>
      <c r="E363" s="132"/>
      <c r="F363" s="116"/>
      <c r="G363" s="116"/>
      <c r="H363" s="116"/>
      <c r="I363" s="373"/>
      <c r="J363" s="147"/>
      <c r="K363" s="116"/>
      <c r="L363" s="116"/>
      <c r="M363" s="116"/>
      <c r="N363" s="116"/>
      <c r="O363" s="116"/>
      <c r="P363" s="116"/>
      <c r="Q363" s="116"/>
      <c r="R363" s="116"/>
      <c r="S363" s="116"/>
      <c r="T363" s="116"/>
      <c r="U363" s="116"/>
      <c r="V363" s="116"/>
      <c r="W363" s="116"/>
      <c r="X363" s="278"/>
      <c r="Y363" s="142"/>
      <c r="Z363" s="142"/>
      <c r="AA363" s="142"/>
      <c r="AB363" s="142"/>
      <c r="AC363" s="142"/>
      <c r="AD363" s="142"/>
      <c r="AE363" s="142"/>
      <c r="AF363" s="130"/>
      <c r="AG363" s="142"/>
      <c r="AH363" s="142"/>
      <c r="AI363" s="142"/>
      <c r="AJ363" s="130"/>
      <c r="AK363" s="130"/>
      <c r="AL363" s="130"/>
      <c r="AM363" s="130"/>
    </row>
    <row r="364" ht="15.75" customHeight="1">
      <c r="A364" s="278"/>
      <c r="B364" s="278"/>
      <c r="C364" s="278"/>
      <c r="D364" s="278"/>
      <c r="E364" s="132"/>
      <c r="F364" s="116"/>
      <c r="G364" s="116"/>
      <c r="H364" s="116"/>
      <c r="I364" s="373"/>
      <c r="J364" s="147"/>
      <c r="K364" s="116"/>
      <c r="L364" s="116"/>
      <c r="M364" s="116"/>
      <c r="N364" s="116"/>
      <c r="O364" s="116"/>
      <c r="P364" s="116"/>
      <c r="Q364" s="116"/>
      <c r="R364" s="116"/>
      <c r="S364" s="116"/>
      <c r="T364" s="116"/>
      <c r="U364" s="116"/>
      <c r="V364" s="116"/>
      <c r="W364" s="116"/>
      <c r="X364" s="278"/>
      <c r="Y364" s="142"/>
      <c r="Z364" s="142"/>
      <c r="AA364" s="142"/>
      <c r="AB364" s="142"/>
      <c r="AC364" s="142"/>
      <c r="AD364" s="142"/>
      <c r="AE364" s="142"/>
      <c r="AF364" s="130"/>
      <c r="AG364" s="142"/>
      <c r="AH364" s="142"/>
      <c r="AI364" s="142"/>
      <c r="AJ364" s="130"/>
      <c r="AK364" s="130"/>
      <c r="AL364" s="130"/>
      <c r="AM364" s="130"/>
    </row>
    <row r="365" ht="15.75" customHeight="1">
      <c r="A365" s="278"/>
      <c r="B365" s="278"/>
      <c r="C365" s="278"/>
      <c r="D365" s="278"/>
      <c r="E365" s="132"/>
      <c r="F365" s="116"/>
      <c r="G365" s="116"/>
      <c r="H365" s="116"/>
      <c r="I365" s="373"/>
      <c r="J365" s="147"/>
      <c r="K365" s="116"/>
      <c r="L365" s="116"/>
      <c r="M365" s="116"/>
      <c r="N365" s="116"/>
      <c r="O365" s="116"/>
      <c r="P365" s="116"/>
      <c r="Q365" s="116"/>
      <c r="R365" s="116"/>
      <c r="S365" s="116"/>
      <c r="T365" s="116"/>
      <c r="U365" s="116"/>
      <c r="V365" s="116"/>
      <c r="W365" s="116"/>
      <c r="X365" s="278"/>
      <c r="Y365" s="142"/>
      <c r="Z365" s="142"/>
      <c r="AA365" s="142"/>
      <c r="AB365" s="142"/>
      <c r="AC365" s="142"/>
      <c r="AD365" s="142"/>
      <c r="AE365" s="142"/>
      <c r="AF365" s="130"/>
      <c r="AG365" s="142"/>
      <c r="AH365" s="142"/>
      <c r="AI365" s="142"/>
      <c r="AJ365" s="130"/>
      <c r="AK365" s="130"/>
      <c r="AL365" s="130"/>
      <c r="AM365" s="130"/>
    </row>
    <row r="366" ht="15.75" customHeight="1">
      <c r="A366" s="278"/>
      <c r="B366" s="278"/>
      <c r="C366" s="278"/>
      <c r="D366" s="278"/>
      <c r="E366" s="132"/>
      <c r="F366" s="116"/>
      <c r="G366" s="116"/>
      <c r="H366" s="116"/>
      <c r="I366" s="373"/>
      <c r="J366" s="147"/>
      <c r="K366" s="116"/>
      <c r="L366" s="116"/>
      <c r="M366" s="116"/>
      <c r="N366" s="116"/>
      <c r="O366" s="116"/>
      <c r="P366" s="116"/>
      <c r="Q366" s="116"/>
      <c r="R366" s="116"/>
      <c r="S366" s="116"/>
      <c r="T366" s="116"/>
      <c r="U366" s="116"/>
      <c r="V366" s="116"/>
      <c r="W366" s="116"/>
      <c r="X366" s="278"/>
      <c r="Y366" s="142"/>
      <c r="Z366" s="142"/>
      <c r="AA366" s="142"/>
      <c r="AB366" s="142"/>
      <c r="AC366" s="142"/>
      <c r="AD366" s="142"/>
      <c r="AE366" s="142"/>
      <c r="AF366" s="130"/>
      <c r="AG366" s="142"/>
      <c r="AH366" s="142"/>
      <c r="AI366" s="142"/>
      <c r="AJ366" s="130"/>
      <c r="AK366" s="130"/>
      <c r="AL366" s="130"/>
      <c r="AM366" s="130"/>
    </row>
    <row r="367" ht="15.75" customHeight="1">
      <c r="A367" s="278"/>
      <c r="B367" s="278"/>
      <c r="C367" s="278"/>
      <c r="D367" s="278"/>
      <c r="E367" s="132"/>
      <c r="F367" s="116"/>
      <c r="G367" s="116"/>
      <c r="H367" s="116"/>
      <c r="I367" s="373"/>
      <c r="J367" s="147"/>
      <c r="K367" s="116"/>
      <c r="L367" s="116"/>
      <c r="M367" s="116"/>
      <c r="N367" s="116"/>
      <c r="O367" s="116"/>
      <c r="P367" s="116"/>
      <c r="Q367" s="116"/>
      <c r="R367" s="116"/>
      <c r="S367" s="116"/>
      <c r="T367" s="116"/>
      <c r="U367" s="116"/>
      <c r="V367" s="116"/>
      <c r="W367" s="116"/>
      <c r="X367" s="278"/>
      <c r="Y367" s="142"/>
      <c r="Z367" s="142"/>
      <c r="AA367" s="142"/>
      <c r="AB367" s="142"/>
      <c r="AC367" s="142"/>
      <c r="AD367" s="142"/>
      <c r="AE367" s="142"/>
      <c r="AF367" s="130"/>
      <c r="AG367" s="142"/>
      <c r="AH367" s="142"/>
      <c r="AI367" s="142"/>
      <c r="AJ367" s="130"/>
      <c r="AK367" s="130"/>
      <c r="AL367" s="130"/>
      <c r="AM367" s="130"/>
    </row>
    <row r="368" ht="15.75" customHeight="1">
      <c r="A368" s="278"/>
      <c r="B368" s="278"/>
      <c r="C368" s="278"/>
      <c r="D368" s="278"/>
      <c r="E368" s="132"/>
      <c r="F368" s="116"/>
      <c r="G368" s="116"/>
      <c r="H368" s="116"/>
      <c r="I368" s="373"/>
      <c r="J368" s="147"/>
      <c r="K368" s="116"/>
      <c r="L368" s="116"/>
      <c r="M368" s="116"/>
      <c r="N368" s="116"/>
      <c r="O368" s="116"/>
      <c r="P368" s="116"/>
      <c r="Q368" s="116"/>
      <c r="R368" s="116"/>
      <c r="S368" s="116"/>
      <c r="T368" s="116"/>
      <c r="U368" s="116"/>
      <c r="V368" s="116"/>
      <c r="W368" s="116"/>
      <c r="X368" s="278"/>
      <c r="Y368" s="142"/>
      <c r="Z368" s="142"/>
      <c r="AA368" s="142"/>
      <c r="AB368" s="142"/>
      <c r="AC368" s="142"/>
      <c r="AD368" s="142"/>
      <c r="AE368" s="142"/>
      <c r="AF368" s="130"/>
      <c r="AG368" s="142"/>
      <c r="AH368" s="142"/>
      <c r="AI368" s="142"/>
      <c r="AJ368" s="130"/>
      <c r="AK368" s="130"/>
      <c r="AL368" s="130"/>
      <c r="AM368" s="130"/>
    </row>
    <row r="369" ht="15.75" customHeight="1">
      <c r="A369" s="278"/>
      <c r="B369" s="278"/>
      <c r="C369" s="278"/>
      <c r="D369" s="278"/>
      <c r="E369" s="132"/>
      <c r="F369" s="116"/>
      <c r="G369" s="116"/>
      <c r="H369" s="116"/>
      <c r="I369" s="373"/>
      <c r="J369" s="147"/>
      <c r="K369" s="116"/>
      <c r="L369" s="116"/>
      <c r="M369" s="116"/>
      <c r="N369" s="116"/>
      <c r="O369" s="116"/>
      <c r="P369" s="116"/>
      <c r="Q369" s="116"/>
      <c r="R369" s="116"/>
      <c r="S369" s="116"/>
      <c r="T369" s="116"/>
      <c r="U369" s="116"/>
      <c r="V369" s="116"/>
      <c r="W369" s="116"/>
      <c r="X369" s="278"/>
      <c r="Y369" s="142"/>
      <c r="Z369" s="142"/>
      <c r="AA369" s="142"/>
      <c r="AB369" s="142"/>
      <c r="AC369" s="142"/>
      <c r="AD369" s="142"/>
      <c r="AE369" s="142"/>
      <c r="AF369" s="130"/>
      <c r="AG369" s="142"/>
      <c r="AH369" s="142"/>
      <c r="AI369" s="142"/>
      <c r="AJ369" s="130"/>
      <c r="AK369" s="130"/>
      <c r="AL369" s="130"/>
      <c r="AM369" s="130"/>
    </row>
    <row r="370" ht="15.75" customHeight="1">
      <c r="A370" s="278"/>
      <c r="B370" s="278"/>
      <c r="C370" s="278"/>
      <c r="D370" s="278"/>
      <c r="E370" s="132"/>
      <c r="F370" s="116"/>
      <c r="G370" s="116"/>
      <c r="H370" s="116"/>
      <c r="I370" s="373"/>
      <c r="J370" s="147"/>
      <c r="K370" s="116"/>
      <c r="L370" s="116"/>
      <c r="M370" s="116"/>
      <c r="N370" s="116"/>
      <c r="O370" s="116"/>
      <c r="P370" s="116"/>
      <c r="Q370" s="116"/>
      <c r="R370" s="116"/>
      <c r="S370" s="116"/>
      <c r="T370" s="116"/>
      <c r="U370" s="116"/>
      <c r="V370" s="116"/>
      <c r="W370" s="116"/>
      <c r="X370" s="278"/>
      <c r="Y370" s="142"/>
      <c r="Z370" s="142"/>
      <c r="AA370" s="142"/>
      <c r="AB370" s="142"/>
      <c r="AC370" s="142"/>
      <c r="AD370" s="142"/>
      <c r="AE370" s="142"/>
      <c r="AF370" s="130"/>
      <c r="AG370" s="142"/>
      <c r="AH370" s="142"/>
      <c r="AI370" s="142"/>
      <c r="AJ370" s="130"/>
      <c r="AK370" s="130"/>
      <c r="AL370" s="130"/>
      <c r="AM370" s="130"/>
    </row>
    <row r="371" ht="15.75" customHeight="1">
      <c r="A371" s="278"/>
      <c r="B371" s="278"/>
      <c r="C371" s="278"/>
      <c r="D371" s="278"/>
      <c r="E371" s="132"/>
      <c r="F371" s="116"/>
      <c r="G371" s="116"/>
      <c r="H371" s="116"/>
      <c r="I371" s="373"/>
      <c r="J371" s="147"/>
      <c r="K371" s="116"/>
      <c r="L371" s="116"/>
      <c r="M371" s="116"/>
      <c r="N371" s="116"/>
      <c r="O371" s="116"/>
      <c r="P371" s="116"/>
      <c r="Q371" s="116"/>
      <c r="R371" s="116"/>
      <c r="S371" s="116"/>
      <c r="T371" s="116"/>
      <c r="U371" s="116"/>
      <c r="V371" s="116"/>
      <c r="W371" s="116"/>
      <c r="X371" s="278"/>
      <c r="Y371" s="142"/>
      <c r="Z371" s="142"/>
      <c r="AA371" s="142"/>
      <c r="AB371" s="142"/>
      <c r="AC371" s="142"/>
      <c r="AD371" s="142"/>
      <c r="AE371" s="142"/>
      <c r="AF371" s="130"/>
      <c r="AG371" s="142"/>
      <c r="AH371" s="142"/>
      <c r="AI371" s="142"/>
      <c r="AJ371" s="130"/>
      <c r="AK371" s="130"/>
      <c r="AL371" s="130"/>
      <c r="AM371" s="130"/>
    </row>
    <row r="372" ht="15.75" customHeight="1">
      <c r="A372" s="278"/>
      <c r="B372" s="278"/>
      <c r="C372" s="278"/>
      <c r="D372" s="278"/>
      <c r="E372" s="132"/>
      <c r="F372" s="116"/>
      <c r="G372" s="116"/>
      <c r="H372" s="116"/>
      <c r="I372" s="373"/>
      <c r="J372" s="147"/>
      <c r="K372" s="116"/>
      <c r="L372" s="116"/>
      <c r="M372" s="116"/>
      <c r="N372" s="116"/>
      <c r="O372" s="116"/>
      <c r="P372" s="116"/>
      <c r="Q372" s="116"/>
      <c r="R372" s="116"/>
      <c r="S372" s="116"/>
      <c r="T372" s="116"/>
      <c r="U372" s="116"/>
      <c r="V372" s="116"/>
      <c r="W372" s="116"/>
      <c r="X372" s="278"/>
      <c r="Y372" s="142"/>
      <c r="Z372" s="142"/>
      <c r="AA372" s="142"/>
      <c r="AB372" s="142"/>
      <c r="AC372" s="142"/>
      <c r="AD372" s="142"/>
      <c r="AE372" s="142"/>
      <c r="AF372" s="130"/>
      <c r="AG372" s="142"/>
      <c r="AH372" s="142"/>
      <c r="AI372" s="142"/>
      <c r="AJ372" s="130"/>
      <c r="AK372" s="130"/>
      <c r="AL372" s="130"/>
      <c r="AM372" s="130"/>
    </row>
    <row r="373" ht="15.75" customHeight="1">
      <c r="A373" s="278"/>
      <c r="B373" s="278"/>
      <c r="C373" s="278"/>
      <c r="D373" s="278"/>
      <c r="E373" s="132"/>
      <c r="F373" s="116"/>
      <c r="G373" s="116"/>
      <c r="H373" s="116"/>
      <c r="I373" s="373"/>
      <c r="J373" s="147"/>
      <c r="K373" s="116"/>
      <c r="L373" s="116"/>
      <c r="M373" s="116"/>
      <c r="N373" s="116"/>
      <c r="O373" s="116"/>
      <c r="P373" s="116"/>
      <c r="Q373" s="116"/>
      <c r="R373" s="116"/>
      <c r="S373" s="116"/>
      <c r="T373" s="116"/>
      <c r="U373" s="116"/>
      <c r="V373" s="116"/>
      <c r="W373" s="116"/>
      <c r="X373" s="278"/>
      <c r="Y373" s="142"/>
      <c r="Z373" s="142"/>
      <c r="AA373" s="142"/>
      <c r="AB373" s="142"/>
      <c r="AC373" s="142"/>
      <c r="AD373" s="142"/>
      <c r="AE373" s="142"/>
      <c r="AF373" s="130"/>
      <c r="AG373" s="142"/>
      <c r="AH373" s="142"/>
      <c r="AI373" s="142"/>
      <c r="AJ373" s="130"/>
      <c r="AK373" s="130"/>
      <c r="AL373" s="130"/>
      <c r="AM373" s="130"/>
    </row>
    <row r="374" ht="15.75" customHeight="1">
      <c r="A374" s="278"/>
      <c r="B374" s="278"/>
      <c r="C374" s="278"/>
      <c r="D374" s="278"/>
      <c r="E374" s="132"/>
      <c r="F374" s="116"/>
      <c r="G374" s="116"/>
      <c r="H374" s="116"/>
      <c r="I374" s="373"/>
      <c r="J374" s="147"/>
      <c r="K374" s="116"/>
      <c r="L374" s="116"/>
      <c r="M374" s="116"/>
      <c r="N374" s="116"/>
      <c r="O374" s="116"/>
      <c r="P374" s="116"/>
      <c r="Q374" s="116"/>
      <c r="R374" s="116"/>
      <c r="S374" s="116"/>
      <c r="T374" s="116"/>
      <c r="U374" s="116"/>
      <c r="V374" s="116"/>
      <c r="W374" s="116"/>
      <c r="X374" s="278"/>
      <c r="Y374" s="142"/>
      <c r="Z374" s="142"/>
      <c r="AA374" s="142"/>
      <c r="AB374" s="142"/>
      <c r="AC374" s="142"/>
      <c r="AD374" s="142"/>
      <c r="AE374" s="142"/>
      <c r="AF374" s="130"/>
      <c r="AG374" s="142"/>
      <c r="AH374" s="142"/>
      <c r="AI374" s="142"/>
      <c r="AJ374" s="130"/>
      <c r="AK374" s="130"/>
      <c r="AL374" s="130"/>
      <c r="AM374" s="130"/>
    </row>
    <row r="375" ht="15.75" customHeight="1">
      <c r="A375" s="278"/>
      <c r="B375" s="278"/>
      <c r="C375" s="278"/>
      <c r="D375" s="278"/>
      <c r="E375" s="132"/>
      <c r="F375" s="116"/>
      <c r="G375" s="116"/>
      <c r="H375" s="116"/>
      <c r="I375" s="373"/>
      <c r="J375" s="147"/>
      <c r="K375" s="116"/>
      <c r="L375" s="116"/>
      <c r="M375" s="116"/>
      <c r="N375" s="116"/>
      <c r="O375" s="116"/>
      <c r="P375" s="116"/>
      <c r="Q375" s="116"/>
      <c r="R375" s="116"/>
      <c r="S375" s="116"/>
      <c r="T375" s="116"/>
      <c r="U375" s="116"/>
      <c r="V375" s="116"/>
      <c r="W375" s="116"/>
      <c r="X375" s="278"/>
      <c r="Y375" s="142"/>
      <c r="Z375" s="142"/>
      <c r="AA375" s="142"/>
      <c r="AB375" s="142"/>
      <c r="AC375" s="142"/>
      <c r="AD375" s="142"/>
      <c r="AE375" s="142"/>
      <c r="AF375" s="130"/>
      <c r="AG375" s="142"/>
      <c r="AH375" s="142"/>
      <c r="AI375" s="142"/>
      <c r="AJ375" s="130"/>
      <c r="AK375" s="130"/>
      <c r="AL375" s="130"/>
      <c r="AM375" s="130"/>
    </row>
    <row r="376" ht="15.75" customHeight="1">
      <c r="A376" s="278"/>
      <c r="B376" s="278"/>
      <c r="C376" s="278"/>
      <c r="D376" s="278"/>
      <c r="E376" s="132"/>
      <c r="F376" s="116"/>
      <c r="G376" s="116"/>
      <c r="H376" s="116"/>
      <c r="I376" s="373"/>
      <c r="J376" s="147"/>
      <c r="K376" s="116"/>
      <c r="L376" s="116"/>
      <c r="M376" s="116"/>
      <c r="N376" s="116"/>
      <c r="O376" s="116"/>
      <c r="P376" s="116"/>
      <c r="Q376" s="116"/>
      <c r="R376" s="116"/>
      <c r="S376" s="116"/>
      <c r="T376" s="116"/>
      <c r="U376" s="116"/>
      <c r="V376" s="116"/>
      <c r="W376" s="116"/>
      <c r="X376" s="278"/>
      <c r="Y376" s="142"/>
      <c r="Z376" s="142"/>
      <c r="AA376" s="142"/>
      <c r="AB376" s="142"/>
      <c r="AC376" s="142"/>
      <c r="AD376" s="142"/>
      <c r="AE376" s="142"/>
      <c r="AF376" s="130"/>
      <c r="AG376" s="142"/>
      <c r="AH376" s="142"/>
      <c r="AI376" s="142"/>
      <c r="AJ376" s="130"/>
      <c r="AK376" s="130"/>
      <c r="AL376" s="130"/>
      <c r="AM376" s="130"/>
    </row>
    <row r="377" ht="15.75" customHeight="1">
      <c r="A377" s="278"/>
      <c r="B377" s="278"/>
      <c r="C377" s="278"/>
      <c r="D377" s="278"/>
      <c r="E377" s="132"/>
      <c r="F377" s="116"/>
      <c r="G377" s="116"/>
      <c r="H377" s="116"/>
      <c r="I377" s="373"/>
      <c r="J377" s="147"/>
      <c r="K377" s="116"/>
      <c r="L377" s="116"/>
      <c r="M377" s="116"/>
      <c r="N377" s="116"/>
      <c r="O377" s="116"/>
      <c r="P377" s="116"/>
      <c r="Q377" s="116"/>
      <c r="R377" s="116"/>
      <c r="S377" s="116"/>
      <c r="T377" s="116"/>
      <c r="U377" s="116"/>
      <c r="V377" s="116"/>
      <c r="W377" s="116"/>
      <c r="X377" s="278"/>
      <c r="Y377" s="142"/>
      <c r="Z377" s="142"/>
      <c r="AA377" s="142"/>
      <c r="AB377" s="142"/>
      <c r="AC377" s="142"/>
      <c r="AD377" s="142"/>
      <c r="AE377" s="142"/>
      <c r="AF377" s="130"/>
      <c r="AG377" s="142"/>
      <c r="AH377" s="142"/>
      <c r="AI377" s="142"/>
      <c r="AJ377" s="130"/>
      <c r="AK377" s="130"/>
      <c r="AL377" s="130"/>
      <c r="AM377" s="130"/>
    </row>
    <row r="378" ht="15.75" customHeight="1">
      <c r="A378" s="278"/>
      <c r="B378" s="278"/>
      <c r="C378" s="278"/>
      <c r="D378" s="278"/>
      <c r="E378" s="132"/>
      <c r="F378" s="116"/>
      <c r="G378" s="116"/>
      <c r="H378" s="116"/>
      <c r="I378" s="373"/>
      <c r="J378" s="147"/>
      <c r="K378" s="116"/>
      <c r="L378" s="116"/>
      <c r="M378" s="116"/>
      <c r="N378" s="116"/>
      <c r="O378" s="116"/>
      <c r="P378" s="116"/>
      <c r="Q378" s="116"/>
      <c r="R378" s="116"/>
      <c r="S378" s="116"/>
      <c r="T378" s="116"/>
      <c r="U378" s="116"/>
      <c r="V378" s="116"/>
      <c r="W378" s="116"/>
      <c r="X378" s="278"/>
      <c r="Y378" s="142"/>
      <c r="Z378" s="142"/>
      <c r="AA378" s="142"/>
      <c r="AB378" s="142"/>
      <c r="AC378" s="142"/>
      <c r="AD378" s="142"/>
      <c r="AE378" s="142"/>
      <c r="AF378" s="130"/>
      <c r="AG378" s="142"/>
      <c r="AH378" s="142"/>
      <c r="AI378" s="142"/>
      <c r="AJ378" s="130"/>
      <c r="AK378" s="130"/>
      <c r="AL378" s="130"/>
      <c r="AM378" s="130"/>
    </row>
    <row r="379" ht="15.75" customHeight="1">
      <c r="A379" s="278"/>
      <c r="B379" s="278"/>
      <c r="C379" s="278"/>
      <c r="D379" s="278"/>
      <c r="E379" s="132"/>
      <c r="F379" s="116"/>
      <c r="G379" s="116"/>
      <c r="H379" s="116"/>
      <c r="I379" s="373"/>
      <c r="J379" s="147"/>
      <c r="K379" s="116"/>
      <c r="L379" s="116"/>
      <c r="M379" s="116"/>
      <c r="N379" s="116"/>
      <c r="O379" s="116"/>
      <c r="P379" s="116"/>
      <c r="Q379" s="116"/>
      <c r="R379" s="116"/>
      <c r="S379" s="116"/>
      <c r="T379" s="116"/>
      <c r="U379" s="116"/>
      <c r="V379" s="116"/>
      <c r="W379" s="116"/>
      <c r="X379" s="278"/>
      <c r="Y379" s="142"/>
      <c r="Z379" s="142"/>
      <c r="AA379" s="142"/>
      <c r="AB379" s="142"/>
      <c r="AC379" s="142"/>
      <c r="AD379" s="142"/>
      <c r="AE379" s="142"/>
      <c r="AF379" s="130"/>
      <c r="AG379" s="142"/>
      <c r="AH379" s="142"/>
      <c r="AI379" s="142"/>
      <c r="AJ379" s="130"/>
      <c r="AK379" s="130"/>
      <c r="AL379" s="130"/>
      <c r="AM379" s="130"/>
    </row>
    <row r="380" ht="15.75" customHeight="1">
      <c r="A380" s="278"/>
      <c r="B380" s="278"/>
      <c r="C380" s="278"/>
      <c r="D380" s="278"/>
      <c r="E380" s="132"/>
      <c r="F380" s="116"/>
      <c r="G380" s="116"/>
      <c r="H380" s="116"/>
      <c r="I380" s="373"/>
      <c r="J380" s="147"/>
      <c r="K380" s="116"/>
      <c r="L380" s="116"/>
      <c r="M380" s="116"/>
      <c r="N380" s="116"/>
      <c r="O380" s="116"/>
      <c r="P380" s="116"/>
      <c r="Q380" s="116"/>
      <c r="R380" s="116"/>
      <c r="S380" s="116"/>
      <c r="T380" s="116"/>
      <c r="U380" s="116"/>
      <c r="V380" s="116"/>
      <c r="W380" s="116"/>
      <c r="X380" s="278"/>
      <c r="Y380" s="142"/>
      <c r="Z380" s="142"/>
      <c r="AA380" s="142"/>
      <c r="AB380" s="142"/>
      <c r="AC380" s="142"/>
      <c r="AD380" s="142"/>
      <c r="AE380" s="142"/>
      <c r="AF380" s="130"/>
      <c r="AG380" s="142"/>
      <c r="AH380" s="142"/>
      <c r="AI380" s="142"/>
      <c r="AJ380" s="130"/>
      <c r="AK380" s="130"/>
      <c r="AL380" s="130"/>
      <c r="AM380" s="130"/>
    </row>
    <row r="381" ht="15.75" customHeight="1">
      <c r="A381" s="278"/>
      <c r="B381" s="278"/>
      <c r="C381" s="278"/>
      <c r="D381" s="278"/>
      <c r="E381" s="132"/>
      <c r="F381" s="116"/>
      <c r="G381" s="116"/>
      <c r="H381" s="116"/>
      <c r="I381" s="373"/>
      <c r="J381" s="147"/>
      <c r="K381" s="116"/>
      <c r="L381" s="116"/>
      <c r="M381" s="116"/>
      <c r="N381" s="116"/>
      <c r="O381" s="116"/>
      <c r="P381" s="116"/>
      <c r="Q381" s="116"/>
      <c r="R381" s="116"/>
      <c r="S381" s="116"/>
      <c r="T381" s="116"/>
      <c r="U381" s="116"/>
      <c r="V381" s="116"/>
      <c r="W381" s="116"/>
      <c r="X381" s="278"/>
      <c r="Y381" s="142"/>
      <c r="Z381" s="142"/>
      <c r="AA381" s="142"/>
      <c r="AB381" s="142"/>
      <c r="AC381" s="142"/>
      <c r="AD381" s="142"/>
      <c r="AE381" s="142"/>
      <c r="AF381" s="130"/>
      <c r="AG381" s="142"/>
      <c r="AH381" s="142"/>
      <c r="AI381" s="142"/>
      <c r="AJ381" s="130"/>
      <c r="AK381" s="130"/>
      <c r="AL381" s="130"/>
      <c r="AM381" s="130"/>
    </row>
    <row r="382" ht="15.75" customHeight="1">
      <c r="A382" s="278"/>
      <c r="B382" s="278"/>
      <c r="C382" s="278"/>
      <c r="D382" s="278"/>
      <c r="E382" s="132"/>
      <c r="F382" s="116"/>
      <c r="G382" s="116"/>
      <c r="H382" s="116"/>
      <c r="I382" s="373"/>
      <c r="J382" s="147"/>
      <c r="K382" s="116"/>
      <c r="L382" s="116"/>
      <c r="M382" s="116"/>
      <c r="N382" s="116"/>
      <c r="O382" s="116"/>
      <c r="P382" s="116"/>
      <c r="Q382" s="116"/>
      <c r="R382" s="116"/>
      <c r="S382" s="116"/>
      <c r="T382" s="116"/>
      <c r="U382" s="116"/>
      <c r="V382" s="116"/>
      <c r="W382" s="116"/>
      <c r="X382" s="278"/>
      <c r="Y382" s="142"/>
      <c r="Z382" s="142"/>
      <c r="AA382" s="142"/>
      <c r="AB382" s="142"/>
      <c r="AC382" s="142"/>
      <c r="AD382" s="142"/>
      <c r="AE382" s="142"/>
      <c r="AF382" s="130"/>
      <c r="AG382" s="142"/>
      <c r="AH382" s="142"/>
      <c r="AI382" s="142"/>
      <c r="AJ382" s="130"/>
      <c r="AK382" s="130"/>
      <c r="AL382" s="130"/>
      <c r="AM382" s="130"/>
    </row>
    <row r="383" ht="15.75" customHeight="1">
      <c r="A383" s="278"/>
      <c r="B383" s="278"/>
      <c r="C383" s="278"/>
      <c r="D383" s="278"/>
      <c r="E383" s="132"/>
      <c r="F383" s="116"/>
      <c r="G383" s="116"/>
      <c r="H383" s="116"/>
      <c r="I383" s="373"/>
      <c r="J383" s="147"/>
      <c r="K383" s="116"/>
      <c r="L383" s="116"/>
      <c r="M383" s="116"/>
      <c r="N383" s="116"/>
      <c r="O383" s="116"/>
      <c r="P383" s="116"/>
      <c r="Q383" s="116"/>
      <c r="R383" s="116"/>
      <c r="S383" s="116"/>
      <c r="T383" s="116"/>
      <c r="U383" s="116"/>
      <c r="V383" s="116"/>
      <c r="W383" s="116"/>
      <c r="X383" s="278"/>
      <c r="Y383" s="142"/>
      <c r="Z383" s="142"/>
      <c r="AA383" s="142"/>
      <c r="AB383" s="142"/>
      <c r="AC383" s="142"/>
      <c r="AD383" s="142"/>
      <c r="AE383" s="142"/>
      <c r="AF383" s="130"/>
      <c r="AG383" s="142"/>
      <c r="AH383" s="142"/>
      <c r="AI383" s="142"/>
      <c r="AJ383" s="130"/>
      <c r="AK383" s="130"/>
      <c r="AL383" s="130"/>
      <c r="AM383" s="130"/>
    </row>
    <row r="384" ht="15.75" customHeight="1">
      <c r="A384" s="278"/>
      <c r="B384" s="278"/>
      <c r="C384" s="278"/>
      <c r="D384" s="278"/>
      <c r="E384" s="132"/>
      <c r="F384" s="116"/>
      <c r="G384" s="116"/>
      <c r="H384" s="116"/>
      <c r="I384" s="373"/>
      <c r="J384" s="147"/>
      <c r="K384" s="116"/>
      <c r="L384" s="116"/>
      <c r="M384" s="116"/>
      <c r="N384" s="116"/>
      <c r="O384" s="116"/>
      <c r="P384" s="116"/>
      <c r="Q384" s="116"/>
      <c r="R384" s="116"/>
      <c r="S384" s="116"/>
      <c r="T384" s="116"/>
      <c r="U384" s="116"/>
      <c r="V384" s="116"/>
      <c r="W384" s="116"/>
      <c r="X384" s="278"/>
      <c r="Y384" s="142"/>
      <c r="Z384" s="142"/>
      <c r="AA384" s="142"/>
      <c r="AB384" s="142"/>
      <c r="AC384" s="142"/>
      <c r="AD384" s="142"/>
      <c r="AE384" s="142"/>
      <c r="AF384" s="130"/>
      <c r="AG384" s="142"/>
      <c r="AH384" s="142"/>
      <c r="AI384" s="142"/>
      <c r="AJ384" s="130"/>
      <c r="AK384" s="130"/>
      <c r="AL384" s="130"/>
      <c r="AM384" s="130"/>
    </row>
    <row r="385" ht="15.75" customHeight="1">
      <c r="A385" s="278"/>
      <c r="B385" s="278"/>
      <c r="C385" s="278"/>
      <c r="D385" s="278"/>
      <c r="E385" s="132"/>
      <c r="F385" s="116"/>
      <c r="G385" s="116"/>
      <c r="H385" s="116"/>
      <c r="I385" s="373"/>
      <c r="J385" s="147"/>
      <c r="K385" s="116"/>
      <c r="L385" s="116"/>
      <c r="M385" s="116"/>
      <c r="N385" s="116"/>
      <c r="O385" s="116"/>
      <c r="P385" s="116"/>
      <c r="Q385" s="116"/>
      <c r="R385" s="116"/>
      <c r="S385" s="116"/>
      <c r="T385" s="116"/>
      <c r="U385" s="116"/>
      <c r="V385" s="116"/>
      <c r="W385" s="116"/>
      <c r="X385" s="278"/>
      <c r="Y385" s="142"/>
      <c r="Z385" s="142"/>
      <c r="AA385" s="142"/>
      <c r="AB385" s="142"/>
      <c r="AC385" s="142"/>
      <c r="AD385" s="142"/>
      <c r="AE385" s="142"/>
      <c r="AF385" s="130"/>
      <c r="AG385" s="142"/>
      <c r="AH385" s="142"/>
      <c r="AI385" s="142"/>
      <c r="AJ385" s="130"/>
      <c r="AK385" s="130"/>
      <c r="AL385" s="130"/>
      <c r="AM385" s="130"/>
    </row>
    <row r="386" ht="15.75" customHeight="1">
      <c r="A386" s="278"/>
      <c r="B386" s="278"/>
      <c r="C386" s="278"/>
      <c r="D386" s="278"/>
      <c r="E386" s="132"/>
      <c r="F386" s="116"/>
      <c r="G386" s="116"/>
      <c r="H386" s="116"/>
      <c r="I386" s="373"/>
      <c r="J386" s="147"/>
      <c r="K386" s="116"/>
      <c r="L386" s="116"/>
      <c r="M386" s="116"/>
      <c r="N386" s="116"/>
      <c r="O386" s="116"/>
      <c r="P386" s="116"/>
      <c r="Q386" s="116"/>
      <c r="R386" s="116"/>
      <c r="S386" s="116"/>
      <c r="T386" s="116"/>
      <c r="U386" s="116"/>
      <c r="V386" s="116"/>
      <c r="W386" s="116"/>
      <c r="X386" s="278"/>
      <c r="Y386" s="142"/>
      <c r="Z386" s="142"/>
      <c r="AA386" s="142"/>
      <c r="AB386" s="142"/>
      <c r="AC386" s="142"/>
      <c r="AD386" s="142"/>
      <c r="AE386" s="142"/>
      <c r="AF386" s="130"/>
      <c r="AG386" s="142"/>
      <c r="AH386" s="142"/>
      <c r="AI386" s="142"/>
      <c r="AJ386" s="130"/>
      <c r="AK386" s="130"/>
      <c r="AL386" s="130"/>
      <c r="AM386" s="130"/>
    </row>
    <row r="387" ht="15.75" customHeight="1">
      <c r="A387" s="278"/>
      <c r="B387" s="278"/>
      <c r="C387" s="278"/>
      <c r="D387" s="278"/>
      <c r="E387" s="132"/>
      <c r="F387" s="116"/>
      <c r="G387" s="116"/>
      <c r="H387" s="116"/>
      <c r="I387" s="373"/>
      <c r="J387" s="147"/>
      <c r="K387" s="116"/>
      <c r="L387" s="116"/>
      <c r="M387" s="116"/>
      <c r="N387" s="116"/>
      <c r="O387" s="116"/>
      <c r="P387" s="116"/>
      <c r="Q387" s="116"/>
      <c r="R387" s="116"/>
      <c r="S387" s="116"/>
      <c r="T387" s="116"/>
      <c r="U387" s="116"/>
      <c r="V387" s="116"/>
      <c r="W387" s="116"/>
      <c r="X387" s="278"/>
      <c r="Y387" s="142"/>
      <c r="Z387" s="142"/>
      <c r="AA387" s="142"/>
      <c r="AB387" s="142"/>
      <c r="AC387" s="142"/>
      <c r="AD387" s="142"/>
      <c r="AE387" s="142"/>
      <c r="AF387" s="130"/>
      <c r="AG387" s="142"/>
      <c r="AH387" s="142"/>
      <c r="AI387" s="142"/>
      <c r="AJ387" s="130"/>
      <c r="AK387" s="130"/>
      <c r="AL387" s="130"/>
      <c r="AM387" s="130"/>
    </row>
    <row r="388" ht="15.75" customHeight="1">
      <c r="A388" s="278"/>
      <c r="B388" s="278"/>
      <c r="C388" s="278"/>
      <c r="D388" s="278"/>
      <c r="E388" s="132"/>
      <c r="F388" s="116"/>
      <c r="G388" s="116"/>
      <c r="H388" s="116"/>
      <c r="I388" s="373"/>
      <c r="J388" s="147"/>
      <c r="K388" s="116"/>
      <c r="L388" s="116"/>
      <c r="M388" s="116"/>
      <c r="N388" s="116"/>
      <c r="O388" s="116"/>
      <c r="P388" s="116"/>
      <c r="Q388" s="116"/>
      <c r="R388" s="116"/>
      <c r="S388" s="116"/>
      <c r="T388" s="116"/>
      <c r="U388" s="116"/>
      <c r="V388" s="116"/>
      <c r="W388" s="116"/>
      <c r="X388" s="278"/>
      <c r="Y388" s="142"/>
      <c r="Z388" s="142"/>
      <c r="AA388" s="142"/>
      <c r="AB388" s="142"/>
      <c r="AC388" s="142"/>
      <c r="AD388" s="142"/>
      <c r="AE388" s="142"/>
      <c r="AF388" s="130"/>
      <c r="AG388" s="142"/>
      <c r="AH388" s="142"/>
      <c r="AI388" s="142"/>
      <c r="AJ388" s="130"/>
      <c r="AK388" s="130"/>
      <c r="AL388" s="130"/>
      <c r="AM388" s="130"/>
    </row>
    <row r="389" ht="15.75" customHeight="1">
      <c r="A389" s="278"/>
      <c r="B389" s="278"/>
      <c r="C389" s="278"/>
      <c r="D389" s="278"/>
      <c r="E389" s="132"/>
      <c r="F389" s="116"/>
      <c r="G389" s="116"/>
      <c r="H389" s="116"/>
      <c r="I389" s="373"/>
      <c r="J389" s="147"/>
      <c r="K389" s="116"/>
      <c r="L389" s="116"/>
      <c r="M389" s="116"/>
      <c r="N389" s="116"/>
      <c r="O389" s="116"/>
      <c r="P389" s="116"/>
      <c r="Q389" s="116"/>
      <c r="R389" s="116"/>
      <c r="S389" s="116"/>
      <c r="T389" s="116"/>
      <c r="U389" s="116"/>
      <c r="V389" s="116"/>
      <c r="W389" s="116"/>
      <c r="X389" s="278"/>
      <c r="Y389" s="142"/>
      <c r="Z389" s="142"/>
      <c r="AA389" s="142"/>
      <c r="AB389" s="142"/>
      <c r="AC389" s="142"/>
      <c r="AD389" s="142"/>
      <c r="AE389" s="142"/>
      <c r="AF389" s="130"/>
      <c r="AG389" s="142"/>
      <c r="AH389" s="142"/>
      <c r="AI389" s="142"/>
      <c r="AJ389" s="130"/>
      <c r="AK389" s="130"/>
      <c r="AL389" s="130"/>
      <c r="AM389" s="130"/>
    </row>
    <row r="390" ht="15.75" customHeight="1">
      <c r="A390" s="278"/>
      <c r="B390" s="278"/>
      <c r="C390" s="278"/>
      <c r="D390" s="278"/>
      <c r="E390" s="132"/>
      <c r="F390" s="116"/>
      <c r="G390" s="116"/>
      <c r="H390" s="116"/>
      <c r="I390" s="373"/>
      <c r="J390" s="147"/>
      <c r="K390" s="116"/>
      <c r="L390" s="116"/>
      <c r="M390" s="116"/>
      <c r="N390" s="116"/>
      <c r="O390" s="116"/>
      <c r="P390" s="116"/>
      <c r="Q390" s="116"/>
      <c r="R390" s="116"/>
      <c r="S390" s="116"/>
      <c r="T390" s="116"/>
      <c r="U390" s="116"/>
      <c r="V390" s="116"/>
      <c r="W390" s="116"/>
      <c r="X390" s="278"/>
      <c r="Y390" s="142"/>
      <c r="Z390" s="142"/>
      <c r="AA390" s="142"/>
      <c r="AB390" s="142"/>
      <c r="AC390" s="142"/>
      <c r="AD390" s="142"/>
      <c r="AE390" s="142"/>
      <c r="AF390" s="130"/>
      <c r="AG390" s="142"/>
      <c r="AH390" s="142"/>
      <c r="AI390" s="142"/>
      <c r="AJ390" s="130"/>
      <c r="AK390" s="130"/>
      <c r="AL390" s="130"/>
      <c r="AM390" s="130"/>
    </row>
    <row r="391" ht="15.75" customHeight="1">
      <c r="A391" s="278"/>
      <c r="B391" s="278"/>
      <c r="C391" s="278"/>
      <c r="D391" s="278"/>
      <c r="E391" s="132"/>
      <c r="F391" s="116"/>
      <c r="G391" s="116"/>
      <c r="H391" s="116"/>
      <c r="I391" s="373"/>
      <c r="J391" s="147"/>
      <c r="K391" s="116"/>
      <c r="L391" s="116"/>
      <c r="M391" s="116"/>
      <c r="N391" s="116"/>
      <c r="O391" s="116"/>
      <c r="P391" s="116"/>
      <c r="Q391" s="116"/>
      <c r="R391" s="116"/>
      <c r="S391" s="116"/>
      <c r="T391" s="116"/>
      <c r="U391" s="116"/>
      <c r="V391" s="116"/>
      <c r="W391" s="116"/>
      <c r="X391" s="278"/>
      <c r="Y391" s="142"/>
      <c r="Z391" s="142"/>
      <c r="AA391" s="142"/>
      <c r="AB391" s="142"/>
      <c r="AC391" s="142"/>
      <c r="AD391" s="142"/>
      <c r="AE391" s="142"/>
      <c r="AF391" s="130"/>
      <c r="AG391" s="142"/>
      <c r="AH391" s="142"/>
      <c r="AI391" s="142"/>
      <c r="AJ391" s="130"/>
      <c r="AK391" s="130"/>
      <c r="AL391" s="130"/>
      <c r="AM391" s="130"/>
    </row>
    <row r="392" ht="15.75" customHeight="1">
      <c r="A392" s="278"/>
      <c r="B392" s="278"/>
      <c r="C392" s="278"/>
      <c r="D392" s="278"/>
      <c r="E392" s="132"/>
      <c r="F392" s="116"/>
      <c r="G392" s="116"/>
      <c r="H392" s="116"/>
      <c r="I392" s="373"/>
      <c r="J392" s="147"/>
      <c r="K392" s="116"/>
      <c r="L392" s="116"/>
      <c r="M392" s="116"/>
      <c r="N392" s="116"/>
      <c r="O392" s="116"/>
      <c r="P392" s="116"/>
      <c r="Q392" s="116"/>
      <c r="R392" s="116"/>
      <c r="S392" s="116"/>
      <c r="T392" s="116"/>
      <c r="U392" s="116"/>
      <c r="V392" s="116"/>
      <c r="W392" s="116"/>
      <c r="X392" s="278"/>
      <c r="Y392" s="142"/>
      <c r="Z392" s="142"/>
      <c r="AA392" s="142"/>
      <c r="AB392" s="142"/>
      <c r="AC392" s="142"/>
      <c r="AD392" s="142"/>
      <c r="AE392" s="142"/>
      <c r="AF392" s="130"/>
      <c r="AG392" s="142"/>
      <c r="AH392" s="142"/>
      <c r="AI392" s="142"/>
      <c r="AJ392" s="130"/>
      <c r="AK392" s="130"/>
      <c r="AL392" s="130"/>
      <c r="AM392" s="130"/>
    </row>
    <row r="393" ht="15.75" customHeight="1">
      <c r="A393" s="278"/>
      <c r="B393" s="278"/>
      <c r="C393" s="278"/>
      <c r="D393" s="278"/>
      <c r="E393" s="132"/>
      <c r="F393" s="116"/>
      <c r="G393" s="116"/>
      <c r="H393" s="116"/>
      <c r="I393" s="373"/>
      <c r="J393" s="147"/>
      <c r="K393" s="116"/>
      <c r="L393" s="116"/>
      <c r="M393" s="116"/>
      <c r="N393" s="116"/>
      <c r="O393" s="116"/>
      <c r="P393" s="116"/>
      <c r="Q393" s="116"/>
      <c r="R393" s="116"/>
      <c r="S393" s="116"/>
      <c r="T393" s="116"/>
      <c r="U393" s="116"/>
      <c r="V393" s="116"/>
      <c r="W393" s="116"/>
      <c r="X393" s="278"/>
      <c r="Y393" s="142"/>
      <c r="Z393" s="142"/>
      <c r="AA393" s="142"/>
      <c r="AB393" s="142"/>
      <c r="AC393" s="142"/>
      <c r="AD393" s="142"/>
      <c r="AE393" s="142"/>
      <c r="AF393" s="130"/>
      <c r="AG393" s="142"/>
      <c r="AH393" s="142"/>
      <c r="AI393" s="142"/>
      <c r="AJ393" s="130"/>
      <c r="AK393" s="130"/>
      <c r="AL393" s="130"/>
      <c r="AM393" s="130"/>
    </row>
    <row r="394" ht="15.75" customHeight="1">
      <c r="A394" s="278"/>
      <c r="B394" s="278"/>
      <c r="C394" s="278"/>
      <c r="D394" s="278"/>
      <c r="E394" s="132"/>
      <c r="F394" s="116"/>
      <c r="G394" s="116"/>
      <c r="H394" s="116"/>
      <c r="I394" s="373"/>
      <c r="J394" s="147"/>
      <c r="K394" s="116"/>
      <c r="L394" s="116"/>
      <c r="M394" s="116"/>
      <c r="N394" s="116"/>
      <c r="O394" s="116"/>
      <c r="P394" s="116"/>
      <c r="Q394" s="116"/>
      <c r="R394" s="116"/>
      <c r="S394" s="116"/>
      <c r="T394" s="116"/>
      <c r="U394" s="116"/>
      <c r="V394" s="116"/>
      <c r="W394" s="116"/>
      <c r="X394" s="278"/>
      <c r="Y394" s="142"/>
      <c r="Z394" s="142"/>
      <c r="AA394" s="142"/>
      <c r="AB394" s="142"/>
      <c r="AC394" s="142"/>
      <c r="AD394" s="142"/>
      <c r="AE394" s="142"/>
      <c r="AF394" s="130"/>
      <c r="AG394" s="142"/>
      <c r="AH394" s="142"/>
      <c r="AI394" s="142"/>
      <c r="AJ394" s="130"/>
      <c r="AK394" s="130"/>
      <c r="AL394" s="130"/>
      <c r="AM394" s="130"/>
    </row>
    <row r="395" ht="15.75" customHeight="1">
      <c r="A395" s="278"/>
      <c r="B395" s="278"/>
      <c r="C395" s="278"/>
      <c r="D395" s="278"/>
      <c r="E395" s="132"/>
      <c r="F395" s="116"/>
      <c r="G395" s="116"/>
      <c r="H395" s="116"/>
      <c r="I395" s="373"/>
      <c r="J395" s="147"/>
      <c r="K395" s="116"/>
      <c r="L395" s="116"/>
      <c r="M395" s="116"/>
      <c r="N395" s="116"/>
      <c r="O395" s="116"/>
      <c r="P395" s="116"/>
      <c r="Q395" s="116"/>
      <c r="R395" s="116"/>
      <c r="S395" s="116"/>
      <c r="T395" s="116"/>
      <c r="U395" s="116"/>
      <c r="V395" s="116"/>
      <c r="W395" s="116"/>
      <c r="X395" s="278"/>
      <c r="Y395" s="142"/>
      <c r="Z395" s="142"/>
      <c r="AA395" s="142"/>
      <c r="AB395" s="142"/>
      <c r="AC395" s="142"/>
      <c r="AD395" s="142"/>
      <c r="AE395" s="142"/>
      <c r="AF395" s="130"/>
      <c r="AG395" s="142"/>
      <c r="AH395" s="142"/>
      <c r="AI395" s="142"/>
      <c r="AJ395" s="130"/>
      <c r="AK395" s="130"/>
      <c r="AL395" s="130"/>
      <c r="AM395" s="130"/>
    </row>
    <row r="396" ht="15.75" customHeight="1">
      <c r="A396" s="278"/>
      <c r="B396" s="278"/>
      <c r="C396" s="278"/>
      <c r="D396" s="278"/>
      <c r="E396" s="132"/>
      <c r="F396" s="116"/>
      <c r="G396" s="116"/>
      <c r="H396" s="116"/>
      <c r="I396" s="373"/>
      <c r="J396" s="147"/>
      <c r="K396" s="116"/>
      <c r="L396" s="116"/>
      <c r="M396" s="116"/>
      <c r="N396" s="116"/>
      <c r="O396" s="116"/>
      <c r="P396" s="116"/>
      <c r="Q396" s="116"/>
      <c r="R396" s="116"/>
      <c r="S396" s="116"/>
      <c r="T396" s="116"/>
      <c r="U396" s="116"/>
      <c r="V396" s="116"/>
      <c r="W396" s="116"/>
      <c r="X396" s="278"/>
      <c r="Y396" s="142"/>
      <c r="Z396" s="142"/>
      <c r="AA396" s="142"/>
      <c r="AB396" s="142"/>
      <c r="AC396" s="142"/>
      <c r="AD396" s="142"/>
      <c r="AE396" s="142"/>
      <c r="AF396" s="130"/>
      <c r="AG396" s="142"/>
      <c r="AH396" s="142"/>
      <c r="AI396" s="142"/>
      <c r="AJ396" s="130"/>
      <c r="AK396" s="130"/>
      <c r="AL396" s="130"/>
      <c r="AM396" s="130"/>
    </row>
    <row r="397" ht="15.75" customHeight="1">
      <c r="A397" s="278"/>
      <c r="B397" s="278"/>
      <c r="C397" s="278"/>
      <c r="D397" s="278"/>
      <c r="E397" s="132"/>
      <c r="F397" s="116"/>
      <c r="G397" s="116"/>
      <c r="H397" s="116"/>
      <c r="I397" s="373"/>
      <c r="J397" s="147"/>
      <c r="K397" s="116"/>
      <c r="L397" s="116"/>
      <c r="M397" s="116"/>
      <c r="N397" s="116"/>
      <c r="O397" s="116"/>
      <c r="P397" s="116"/>
      <c r="Q397" s="116"/>
      <c r="R397" s="116"/>
      <c r="S397" s="116"/>
      <c r="T397" s="116"/>
      <c r="U397" s="116"/>
      <c r="V397" s="116"/>
      <c r="W397" s="116"/>
      <c r="X397" s="278"/>
      <c r="Y397" s="142"/>
      <c r="Z397" s="142"/>
      <c r="AA397" s="142"/>
      <c r="AB397" s="142"/>
      <c r="AC397" s="142"/>
      <c r="AD397" s="142"/>
      <c r="AE397" s="142"/>
      <c r="AF397" s="130"/>
      <c r="AG397" s="142"/>
      <c r="AH397" s="142"/>
      <c r="AI397" s="142"/>
      <c r="AJ397" s="130"/>
      <c r="AK397" s="130"/>
      <c r="AL397" s="130"/>
      <c r="AM397" s="130"/>
    </row>
    <row r="398" ht="15.75" customHeight="1">
      <c r="A398" s="278"/>
      <c r="B398" s="278"/>
      <c r="C398" s="278"/>
      <c r="D398" s="278"/>
      <c r="E398" s="132"/>
      <c r="F398" s="116"/>
      <c r="G398" s="116"/>
      <c r="H398" s="116"/>
      <c r="I398" s="373"/>
      <c r="J398" s="147"/>
      <c r="K398" s="116"/>
      <c r="L398" s="116"/>
      <c r="M398" s="116"/>
      <c r="N398" s="116"/>
      <c r="O398" s="116"/>
      <c r="P398" s="116"/>
      <c r="Q398" s="116"/>
      <c r="R398" s="116"/>
      <c r="S398" s="116"/>
      <c r="T398" s="116"/>
      <c r="U398" s="116"/>
      <c r="V398" s="116"/>
      <c r="W398" s="116"/>
      <c r="X398" s="278"/>
      <c r="Y398" s="142"/>
      <c r="Z398" s="142"/>
      <c r="AA398" s="142"/>
      <c r="AB398" s="142"/>
      <c r="AC398" s="142"/>
      <c r="AD398" s="142"/>
      <c r="AE398" s="142"/>
      <c r="AF398" s="130"/>
      <c r="AG398" s="142"/>
      <c r="AH398" s="142"/>
      <c r="AI398" s="142"/>
      <c r="AJ398" s="130"/>
      <c r="AK398" s="130"/>
      <c r="AL398" s="130"/>
      <c r="AM398" s="130"/>
    </row>
    <row r="399" ht="15.75" customHeight="1">
      <c r="A399" s="278"/>
      <c r="B399" s="278"/>
      <c r="C399" s="278"/>
      <c r="D399" s="278"/>
      <c r="E399" s="132"/>
      <c r="F399" s="116"/>
      <c r="G399" s="116"/>
      <c r="H399" s="116"/>
      <c r="I399" s="373"/>
      <c r="J399" s="147"/>
      <c r="K399" s="116"/>
      <c r="L399" s="116"/>
      <c r="M399" s="116"/>
      <c r="N399" s="116"/>
      <c r="O399" s="116"/>
      <c r="P399" s="116"/>
      <c r="Q399" s="116"/>
      <c r="R399" s="116"/>
      <c r="S399" s="116"/>
      <c r="T399" s="116"/>
      <c r="U399" s="116"/>
      <c r="V399" s="116"/>
      <c r="W399" s="116"/>
      <c r="X399" s="278"/>
      <c r="Y399" s="142"/>
      <c r="Z399" s="142"/>
      <c r="AA399" s="142"/>
      <c r="AB399" s="142"/>
      <c r="AC399" s="142"/>
      <c r="AD399" s="142"/>
      <c r="AE399" s="142"/>
      <c r="AF399" s="130"/>
      <c r="AG399" s="142"/>
      <c r="AH399" s="142"/>
      <c r="AI399" s="142"/>
      <c r="AJ399" s="130"/>
      <c r="AK399" s="130"/>
      <c r="AL399" s="130"/>
      <c r="AM399" s="130"/>
    </row>
    <row r="400" ht="15.75" customHeight="1">
      <c r="A400" s="278"/>
      <c r="B400" s="278"/>
      <c r="C400" s="278"/>
      <c r="D400" s="278"/>
      <c r="E400" s="132"/>
      <c r="F400" s="116"/>
      <c r="G400" s="116"/>
      <c r="H400" s="116"/>
      <c r="I400" s="373"/>
      <c r="J400" s="147"/>
      <c r="K400" s="116"/>
      <c r="L400" s="116"/>
      <c r="M400" s="116"/>
      <c r="N400" s="116"/>
      <c r="O400" s="116"/>
      <c r="P400" s="116"/>
      <c r="Q400" s="116"/>
      <c r="R400" s="116"/>
      <c r="S400" s="116"/>
      <c r="T400" s="116"/>
      <c r="U400" s="116"/>
      <c r="V400" s="116"/>
      <c r="W400" s="116"/>
      <c r="X400" s="278"/>
      <c r="Y400" s="142"/>
      <c r="Z400" s="142"/>
      <c r="AA400" s="142"/>
      <c r="AB400" s="142"/>
      <c r="AC400" s="142"/>
      <c r="AD400" s="142"/>
      <c r="AE400" s="142"/>
      <c r="AF400" s="130"/>
      <c r="AG400" s="142"/>
      <c r="AH400" s="142"/>
      <c r="AI400" s="142"/>
      <c r="AJ400" s="130"/>
      <c r="AK400" s="130"/>
      <c r="AL400" s="130"/>
      <c r="AM400" s="130"/>
    </row>
    <row r="401" ht="15.75" customHeight="1">
      <c r="A401" s="278"/>
      <c r="B401" s="278"/>
      <c r="C401" s="278"/>
      <c r="D401" s="278"/>
      <c r="E401" s="132"/>
      <c r="F401" s="116"/>
      <c r="G401" s="116"/>
      <c r="H401" s="116"/>
      <c r="I401" s="373"/>
      <c r="J401" s="147"/>
      <c r="K401" s="116"/>
      <c r="L401" s="116"/>
      <c r="M401" s="116"/>
      <c r="N401" s="116"/>
      <c r="O401" s="116"/>
      <c r="P401" s="116"/>
      <c r="Q401" s="116"/>
      <c r="R401" s="116"/>
      <c r="S401" s="116"/>
      <c r="T401" s="116"/>
      <c r="U401" s="116"/>
      <c r="V401" s="116"/>
      <c r="W401" s="116"/>
      <c r="X401" s="278"/>
      <c r="Y401" s="142"/>
      <c r="Z401" s="142"/>
      <c r="AA401" s="142"/>
      <c r="AB401" s="142"/>
      <c r="AC401" s="142"/>
      <c r="AD401" s="142"/>
      <c r="AE401" s="142"/>
      <c r="AF401" s="130"/>
      <c r="AG401" s="142"/>
      <c r="AH401" s="142"/>
      <c r="AI401" s="142"/>
      <c r="AJ401" s="130"/>
      <c r="AK401" s="130"/>
      <c r="AL401" s="130"/>
      <c r="AM401" s="130"/>
    </row>
    <row r="402" ht="15.75" customHeight="1">
      <c r="A402" s="278"/>
      <c r="B402" s="278"/>
      <c r="C402" s="278"/>
      <c r="D402" s="278"/>
      <c r="E402" s="132"/>
      <c r="F402" s="116"/>
      <c r="G402" s="116"/>
      <c r="H402" s="116"/>
      <c r="I402" s="373"/>
      <c r="J402" s="147"/>
      <c r="K402" s="116"/>
      <c r="L402" s="116"/>
      <c r="M402" s="116"/>
      <c r="N402" s="116"/>
      <c r="O402" s="116"/>
      <c r="P402" s="116"/>
      <c r="Q402" s="116"/>
      <c r="R402" s="116"/>
      <c r="S402" s="116"/>
      <c r="T402" s="116"/>
      <c r="U402" s="116"/>
      <c r="V402" s="116"/>
      <c r="W402" s="116"/>
      <c r="X402" s="278"/>
      <c r="Y402" s="142"/>
      <c r="Z402" s="142"/>
      <c r="AA402" s="142"/>
      <c r="AB402" s="142"/>
      <c r="AC402" s="142"/>
      <c r="AD402" s="142"/>
      <c r="AE402" s="142"/>
      <c r="AF402" s="130"/>
      <c r="AG402" s="142"/>
      <c r="AH402" s="142"/>
      <c r="AI402" s="142"/>
      <c r="AJ402" s="130"/>
      <c r="AK402" s="130"/>
      <c r="AL402" s="130"/>
      <c r="AM402" s="130"/>
    </row>
    <row r="403" ht="15.75" customHeight="1">
      <c r="A403" s="278"/>
      <c r="B403" s="278"/>
      <c r="C403" s="278"/>
      <c r="D403" s="278"/>
      <c r="E403" s="132"/>
      <c r="F403" s="116"/>
      <c r="G403" s="116"/>
      <c r="H403" s="116"/>
      <c r="I403" s="373"/>
      <c r="J403" s="147"/>
      <c r="K403" s="116"/>
      <c r="L403" s="116"/>
      <c r="M403" s="116"/>
      <c r="N403" s="116"/>
      <c r="O403" s="116"/>
      <c r="P403" s="116"/>
      <c r="Q403" s="116"/>
      <c r="R403" s="116"/>
      <c r="S403" s="116"/>
      <c r="T403" s="116"/>
      <c r="U403" s="116"/>
      <c r="V403" s="116"/>
      <c r="W403" s="116"/>
      <c r="X403" s="278"/>
      <c r="Y403" s="142"/>
      <c r="Z403" s="142"/>
      <c r="AA403" s="142"/>
      <c r="AB403" s="142"/>
      <c r="AC403" s="142"/>
      <c r="AD403" s="142"/>
      <c r="AE403" s="142"/>
      <c r="AF403" s="130"/>
      <c r="AG403" s="142"/>
      <c r="AH403" s="142"/>
      <c r="AI403" s="142"/>
      <c r="AJ403" s="130"/>
      <c r="AK403" s="130"/>
      <c r="AL403" s="130"/>
      <c r="AM403" s="130"/>
    </row>
    <row r="404" ht="15.75" customHeight="1">
      <c r="A404" s="278"/>
      <c r="B404" s="278"/>
      <c r="C404" s="278"/>
      <c r="D404" s="278"/>
      <c r="E404" s="132"/>
      <c r="F404" s="116"/>
      <c r="G404" s="116"/>
      <c r="H404" s="116"/>
      <c r="I404" s="373"/>
      <c r="J404" s="147"/>
      <c r="K404" s="116"/>
      <c r="L404" s="116"/>
      <c r="M404" s="116"/>
      <c r="N404" s="116"/>
      <c r="O404" s="116"/>
      <c r="P404" s="116"/>
      <c r="Q404" s="116"/>
      <c r="R404" s="116"/>
      <c r="S404" s="116"/>
      <c r="T404" s="116"/>
      <c r="U404" s="116"/>
      <c r="V404" s="116"/>
      <c r="W404" s="116"/>
      <c r="X404" s="278"/>
      <c r="Y404" s="142"/>
      <c r="Z404" s="142"/>
      <c r="AA404" s="142"/>
      <c r="AB404" s="142"/>
      <c r="AC404" s="142"/>
      <c r="AD404" s="142"/>
      <c r="AE404" s="142"/>
      <c r="AF404" s="130"/>
      <c r="AG404" s="142"/>
      <c r="AH404" s="142"/>
      <c r="AI404" s="142"/>
      <c r="AJ404" s="130"/>
      <c r="AK404" s="130"/>
      <c r="AL404" s="130"/>
      <c r="AM404" s="130"/>
    </row>
    <row r="405" ht="15.75" customHeight="1">
      <c r="A405" s="278"/>
      <c r="B405" s="278"/>
      <c r="C405" s="278"/>
      <c r="D405" s="278"/>
      <c r="E405" s="132"/>
      <c r="F405" s="116"/>
      <c r="G405" s="116"/>
      <c r="H405" s="116"/>
      <c r="I405" s="373"/>
      <c r="J405" s="147"/>
      <c r="K405" s="116"/>
      <c r="L405" s="116"/>
      <c r="M405" s="116"/>
      <c r="N405" s="116"/>
      <c r="O405" s="116"/>
      <c r="P405" s="116"/>
      <c r="Q405" s="116"/>
      <c r="R405" s="116"/>
      <c r="S405" s="116"/>
      <c r="T405" s="116"/>
      <c r="U405" s="116"/>
      <c r="V405" s="116"/>
      <c r="W405" s="116"/>
      <c r="X405" s="278"/>
      <c r="Y405" s="142"/>
      <c r="Z405" s="142"/>
      <c r="AA405" s="142"/>
      <c r="AB405" s="142"/>
      <c r="AC405" s="142"/>
      <c r="AD405" s="142"/>
      <c r="AE405" s="142"/>
      <c r="AF405" s="130"/>
      <c r="AG405" s="142"/>
      <c r="AH405" s="142"/>
      <c r="AI405" s="142"/>
      <c r="AJ405" s="130"/>
      <c r="AK405" s="130"/>
      <c r="AL405" s="130"/>
      <c r="AM405" s="130"/>
    </row>
    <row r="406" ht="15.75" customHeight="1">
      <c r="A406" s="278"/>
      <c r="B406" s="278"/>
      <c r="C406" s="278"/>
      <c r="D406" s="278"/>
      <c r="E406" s="132"/>
      <c r="F406" s="116"/>
      <c r="G406" s="116"/>
      <c r="H406" s="116"/>
      <c r="I406" s="373"/>
      <c r="J406" s="147"/>
      <c r="K406" s="116"/>
      <c r="L406" s="116"/>
      <c r="M406" s="116"/>
      <c r="N406" s="116"/>
      <c r="O406" s="116"/>
      <c r="P406" s="116"/>
      <c r="Q406" s="116"/>
      <c r="R406" s="116"/>
      <c r="S406" s="116"/>
      <c r="T406" s="116"/>
      <c r="U406" s="116"/>
      <c r="V406" s="116"/>
      <c r="W406" s="116"/>
      <c r="X406" s="278"/>
      <c r="Y406" s="142"/>
      <c r="Z406" s="142"/>
      <c r="AA406" s="142"/>
      <c r="AB406" s="142"/>
      <c r="AC406" s="142"/>
      <c r="AD406" s="142"/>
      <c r="AE406" s="142"/>
      <c r="AF406" s="130"/>
      <c r="AG406" s="142"/>
      <c r="AH406" s="142"/>
      <c r="AI406" s="142"/>
      <c r="AJ406" s="130"/>
      <c r="AK406" s="130"/>
      <c r="AL406" s="130"/>
      <c r="AM406" s="130"/>
    </row>
    <row r="407" ht="15.75" customHeight="1">
      <c r="A407" s="278"/>
      <c r="B407" s="278"/>
      <c r="C407" s="278"/>
      <c r="D407" s="278"/>
      <c r="E407" s="132"/>
      <c r="F407" s="116"/>
      <c r="G407" s="116"/>
      <c r="H407" s="116"/>
      <c r="I407" s="373"/>
      <c r="J407" s="147"/>
      <c r="K407" s="116"/>
      <c r="L407" s="116"/>
      <c r="M407" s="116"/>
      <c r="N407" s="116"/>
      <c r="O407" s="116"/>
      <c r="P407" s="116"/>
      <c r="Q407" s="116"/>
      <c r="R407" s="116"/>
      <c r="S407" s="116"/>
      <c r="T407" s="116"/>
      <c r="U407" s="116"/>
      <c r="V407" s="116"/>
      <c r="W407" s="116"/>
      <c r="X407" s="278"/>
      <c r="Y407" s="142"/>
      <c r="Z407" s="142"/>
      <c r="AA407" s="142"/>
      <c r="AB407" s="142"/>
      <c r="AC407" s="142"/>
      <c r="AD407" s="142"/>
      <c r="AE407" s="142"/>
      <c r="AF407" s="130"/>
      <c r="AG407" s="142"/>
      <c r="AH407" s="142"/>
      <c r="AI407" s="142"/>
      <c r="AJ407" s="130"/>
      <c r="AK407" s="130"/>
      <c r="AL407" s="130"/>
      <c r="AM407" s="130"/>
    </row>
    <row r="408" ht="15.75" customHeight="1">
      <c r="A408" s="278"/>
      <c r="B408" s="278"/>
      <c r="C408" s="278"/>
      <c r="D408" s="278"/>
      <c r="E408" s="132"/>
      <c r="F408" s="116"/>
      <c r="G408" s="116"/>
      <c r="H408" s="116"/>
      <c r="I408" s="373"/>
      <c r="J408" s="147"/>
      <c r="K408" s="116"/>
      <c r="L408" s="116"/>
      <c r="M408" s="116"/>
      <c r="N408" s="116"/>
      <c r="O408" s="116"/>
      <c r="P408" s="116"/>
      <c r="Q408" s="116"/>
      <c r="R408" s="116"/>
      <c r="S408" s="116"/>
      <c r="T408" s="116"/>
      <c r="U408" s="116"/>
      <c r="V408" s="116"/>
      <c r="W408" s="116"/>
      <c r="X408" s="278"/>
      <c r="Y408" s="142"/>
      <c r="Z408" s="142"/>
      <c r="AA408" s="142"/>
      <c r="AB408" s="142"/>
      <c r="AC408" s="142"/>
      <c r="AD408" s="142"/>
      <c r="AE408" s="142"/>
      <c r="AF408" s="130"/>
      <c r="AG408" s="142"/>
      <c r="AH408" s="142"/>
      <c r="AI408" s="142"/>
      <c r="AJ408" s="130"/>
      <c r="AK408" s="130"/>
      <c r="AL408" s="130"/>
      <c r="AM408" s="130"/>
    </row>
    <row r="409" ht="15.75" customHeight="1">
      <c r="A409" s="278"/>
      <c r="B409" s="278"/>
      <c r="C409" s="278"/>
      <c r="D409" s="278"/>
      <c r="E409" s="132"/>
      <c r="F409" s="116"/>
      <c r="G409" s="116"/>
      <c r="H409" s="116"/>
      <c r="I409" s="373"/>
      <c r="J409" s="147"/>
      <c r="K409" s="116"/>
      <c r="L409" s="116"/>
      <c r="M409" s="116"/>
      <c r="N409" s="116"/>
      <c r="O409" s="116"/>
      <c r="P409" s="116"/>
      <c r="Q409" s="116"/>
      <c r="R409" s="116"/>
      <c r="S409" s="116"/>
      <c r="T409" s="116"/>
      <c r="U409" s="116"/>
      <c r="V409" s="116"/>
      <c r="W409" s="116"/>
      <c r="X409" s="278"/>
      <c r="Y409" s="142"/>
      <c r="Z409" s="142"/>
      <c r="AA409" s="142"/>
      <c r="AB409" s="142"/>
      <c r="AC409" s="142"/>
      <c r="AD409" s="142"/>
      <c r="AE409" s="142"/>
      <c r="AF409" s="130"/>
      <c r="AG409" s="142"/>
      <c r="AH409" s="142"/>
      <c r="AI409" s="142"/>
      <c r="AJ409" s="130"/>
      <c r="AK409" s="130"/>
      <c r="AL409" s="130"/>
      <c r="AM409" s="130"/>
    </row>
    <row r="410" ht="15.75" customHeight="1">
      <c r="A410" s="278"/>
      <c r="B410" s="278"/>
      <c r="C410" s="278"/>
      <c r="D410" s="278"/>
      <c r="E410" s="132"/>
      <c r="F410" s="116"/>
      <c r="G410" s="116"/>
      <c r="H410" s="116"/>
      <c r="I410" s="373"/>
      <c r="J410" s="147"/>
      <c r="K410" s="116"/>
      <c r="L410" s="116"/>
      <c r="M410" s="116"/>
      <c r="N410" s="116"/>
      <c r="O410" s="116"/>
      <c r="P410" s="116"/>
      <c r="Q410" s="116"/>
      <c r="R410" s="116"/>
      <c r="S410" s="116"/>
      <c r="T410" s="116"/>
      <c r="U410" s="116"/>
      <c r="V410" s="116"/>
      <c r="W410" s="116"/>
      <c r="X410" s="278"/>
      <c r="Y410" s="142"/>
      <c r="Z410" s="142"/>
      <c r="AA410" s="142"/>
      <c r="AB410" s="142"/>
      <c r="AC410" s="142"/>
      <c r="AD410" s="142"/>
      <c r="AE410" s="142"/>
      <c r="AF410" s="130"/>
      <c r="AG410" s="142"/>
      <c r="AH410" s="142"/>
      <c r="AI410" s="142"/>
      <c r="AJ410" s="130"/>
      <c r="AK410" s="130"/>
      <c r="AL410" s="130"/>
      <c r="AM410" s="130"/>
    </row>
    <row r="411" ht="15.75" customHeight="1">
      <c r="A411" s="278"/>
      <c r="B411" s="278"/>
      <c r="C411" s="278"/>
      <c r="D411" s="278"/>
      <c r="E411" s="132"/>
      <c r="F411" s="116"/>
      <c r="G411" s="116"/>
      <c r="H411" s="116"/>
      <c r="I411" s="373"/>
      <c r="J411" s="147"/>
      <c r="K411" s="116"/>
      <c r="L411" s="116"/>
      <c r="M411" s="116"/>
      <c r="N411" s="116"/>
      <c r="O411" s="116"/>
      <c r="P411" s="116"/>
      <c r="Q411" s="116"/>
      <c r="R411" s="116"/>
      <c r="S411" s="116"/>
      <c r="T411" s="116"/>
      <c r="U411" s="116"/>
      <c r="V411" s="116"/>
      <c r="W411" s="116"/>
      <c r="X411" s="278"/>
      <c r="Y411" s="142"/>
      <c r="Z411" s="142"/>
      <c r="AA411" s="142"/>
      <c r="AB411" s="142"/>
      <c r="AC411" s="142"/>
      <c r="AD411" s="142"/>
      <c r="AE411" s="142"/>
      <c r="AF411" s="130"/>
      <c r="AG411" s="142"/>
      <c r="AH411" s="142"/>
      <c r="AI411" s="142"/>
      <c r="AJ411" s="130"/>
      <c r="AK411" s="130"/>
      <c r="AL411" s="130"/>
      <c r="AM411" s="130"/>
    </row>
    <row r="412" ht="15.75" customHeight="1">
      <c r="A412" s="278"/>
      <c r="B412" s="278"/>
      <c r="C412" s="278"/>
      <c r="D412" s="278"/>
      <c r="E412" s="132"/>
      <c r="F412" s="116"/>
      <c r="G412" s="116"/>
      <c r="H412" s="116"/>
      <c r="I412" s="373"/>
      <c r="J412" s="147"/>
      <c r="K412" s="116"/>
      <c r="L412" s="116"/>
      <c r="M412" s="116"/>
      <c r="N412" s="116"/>
      <c r="O412" s="116"/>
      <c r="P412" s="116"/>
      <c r="Q412" s="116"/>
      <c r="R412" s="116"/>
      <c r="S412" s="116"/>
      <c r="T412" s="116"/>
      <c r="U412" s="116"/>
      <c r="V412" s="116"/>
      <c r="W412" s="116"/>
      <c r="X412" s="278"/>
      <c r="Y412" s="142"/>
      <c r="Z412" s="142"/>
      <c r="AA412" s="142"/>
      <c r="AB412" s="142"/>
      <c r="AC412" s="142"/>
      <c r="AD412" s="142"/>
      <c r="AE412" s="142"/>
      <c r="AF412" s="130"/>
      <c r="AG412" s="142"/>
      <c r="AH412" s="142"/>
      <c r="AI412" s="142"/>
      <c r="AJ412" s="130"/>
      <c r="AK412" s="130"/>
      <c r="AL412" s="130"/>
      <c r="AM412" s="130"/>
    </row>
    <row r="413" ht="15.75" customHeight="1">
      <c r="A413" s="278"/>
      <c r="B413" s="278"/>
      <c r="C413" s="278"/>
      <c r="D413" s="278"/>
      <c r="E413" s="132"/>
      <c r="F413" s="116"/>
      <c r="G413" s="116"/>
      <c r="H413" s="116"/>
      <c r="I413" s="373"/>
      <c r="J413" s="147"/>
      <c r="K413" s="116"/>
      <c r="L413" s="116"/>
      <c r="M413" s="116"/>
      <c r="N413" s="116"/>
      <c r="O413" s="116"/>
      <c r="P413" s="116"/>
      <c r="Q413" s="116"/>
      <c r="R413" s="116"/>
      <c r="S413" s="116"/>
      <c r="T413" s="116"/>
      <c r="U413" s="116"/>
      <c r="V413" s="116"/>
      <c r="W413" s="116"/>
      <c r="X413" s="278"/>
      <c r="Y413" s="142"/>
      <c r="Z413" s="142"/>
      <c r="AA413" s="142"/>
      <c r="AB413" s="142"/>
      <c r="AC413" s="142"/>
      <c r="AD413" s="142"/>
      <c r="AE413" s="142"/>
      <c r="AF413" s="130"/>
      <c r="AG413" s="142"/>
      <c r="AH413" s="142"/>
      <c r="AI413" s="142"/>
      <c r="AJ413" s="130"/>
      <c r="AK413" s="130"/>
      <c r="AL413" s="130"/>
      <c r="AM413" s="130"/>
    </row>
    <row r="414" ht="15.75" customHeight="1">
      <c r="A414" s="278"/>
      <c r="B414" s="278"/>
      <c r="C414" s="278"/>
      <c r="D414" s="278"/>
      <c r="E414" s="132"/>
      <c r="F414" s="116"/>
      <c r="G414" s="116"/>
      <c r="H414" s="116"/>
      <c r="I414" s="373"/>
      <c r="J414" s="147"/>
      <c r="K414" s="116"/>
      <c r="L414" s="116"/>
      <c r="M414" s="116"/>
      <c r="N414" s="116"/>
      <c r="O414" s="116"/>
      <c r="P414" s="116"/>
      <c r="Q414" s="116"/>
      <c r="R414" s="116"/>
      <c r="S414" s="116"/>
      <c r="T414" s="116"/>
      <c r="U414" s="116"/>
      <c r="V414" s="116"/>
      <c r="W414" s="116"/>
      <c r="X414" s="278"/>
      <c r="Y414" s="142"/>
      <c r="Z414" s="142"/>
      <c r="AA414" s="142"/>
      <c r="AB414" s="142"/>
      <c r="AC414" s="142"/>
      <c r="AD414" s="142"/>
      <c r="AE414" s="142"/>
      <c r="AF414" s="130"/>
      <c r="AG414" s="142"/>
      <c r="AH414" s="142"/>
      <c r="AI414" s="142"/>
      <c r="AJ414" s="130"/>
      <c r="AK414" s="130"/>
      <c r="AL414" s="130"/>
      <c r="AM414" s="130"/>
    </row>
    <row r="415" ht="15.75" customHeight="1">
      <c r="A415" s="278"/>
      <c r="B415" s="278"/>
      <c r="C415" s="278"/>
      <c r="D415" s="278"/>
      <c r="E415" s="132"/>
      <c r="F415" s="116"/>
      <c r="G415" s="116"/>
      <c r="H415" s="116"/>
      <c r="I415" s="373"/>
      <c r="J415" s="147"/>
      <c r="K415" s="116"/>
      <c r="L415" s="116"/>
      <c r="M415" s="116"/>
      <c r="N415" s="116"/>
      <c r="O415" s="116"/>
      <c r="P415" s="116"/>
      <c r="Q415" s="116"/>
      <c r="R415" s="116"/>
      <c r="S415" s="116"/>
      <c r="T415" s="116"/>
      <c r="U415" s="116"/>
      <c r="V415" s="116"/>
      <c r="W415" s="116"/>
      <c r="X415" s="278"/>
      <c r="Y415" s="142"/>
      <c r="Z415" s="142"/>
      <c r="AA415" s="142"/>
      <c r="AB415" s="142"/>
      <c r="AC415" s="142"/>
      <c r="AD415" s="142"/>
      <c r="AE415" s="142"/>
      <c r="AF415" s="130"/>
      <c r="AG415" s="142"/>
      <c r="AH415" s="142"/>
      <c r="AI415" s="142"/>
      <c r="AJ415" s="130"/>
      <c r="AK415" s="130"/>
      <c r="AL415" s="130"/>
      <c r="AM415" s="130"/>
    </row>
    <row r="416" ht="15.75" customHeight="1">
      <c r="A416" s="278"/>
      <c r="B416" s="278"/>
      <c r="C416" s="278"/>
      <c r="D416" s="278"/>
      <c r="E416" s="132"/>
      <c r="F416" s="116"/>
      <c r="G416" s="116"/>
      <c r="H416" s="116"/>
      <c r="I416" s="373"/>
      <c r="J416" s="147"/>
      <c r="K416" s="116"/>
      <c r="L416" s="116"/>
      <c r="M416" s="116"/>
      <c r="N416" s="116"/>
      <c r="O416" s="116"/>
      <c r="P416" s="116"/>
      <c r="Q416" s="116"/>
      <c r="R416" s="116"/>
      <c r="S416" s="116"/>
      <c r="T416" s="116"/>
      <c r="U416" s="116"/>
      <c r="V416" s="116"/>
      <c r="W416" s="116"/>
      <c r="X416" s="278"/>
      <c r="Y416" s="142"/>
      <c r="Z416" s="142"/>
      <c r="AA416" s="142"/>
      <c r="AB416" s="142"/>
      <c r="AC416" s="142"/>
      <c r="AD416" s="142"/>
      <c r="AE416" s="142"/>
      <c r="AF416" s="130"/>
      <c r="AG416" s="142"/>
      <c r="AH416" s="142"/>
      <c r="AI416" s="142"/>
      <c r="AJ416" s="130"/>
      <c r="AK416" s="130"/>
      <c r="AL416" s="130"/>
      <c r="AM416" s="130"/>
    </row>
    <row r="417" ht="15.75" customHeight="1">
      <c r="A417" s="278"/>
      <c r="B417" s="278"/>
      <c r="C417" s="278"/>
      <c r="D417" s="278"/>
      <c r="E417" s="132"/>
      <c r="F417" s="116"/>
      <c r="G417" s="116"/>
      <c r="H417" s="116"/>
      <c r="I417" s="373"/>
      <c r="J417" s="147"/>
      <c r="K417" s="116"/>
      <c r="L417" s="116"/>
      <c r="M417" s="116"/>
      <c r="N417" s="116"/>
      <c r="O417" s="116"/>
      <c r="P417" s="116"/>
      <c r="Q417" s="116"/>
      <c r="R417" s="116"/>
      <c r="S417" s="116"/>
      <c r="T417" s="116"/>
      <c r="U417" s="116"/>
      <c r="V417" s="116"/>
      <c r="W417" s="116"/>
      <c r="X417" s="278"/>
      <c r="Y417" s="142"/>
      <c r="Z417" s="142"/>
      <c r="AA417" s="142"/>
      <c r="AB417" s="142"/>
      <c r="AC417" s="142"/>
      <c r="AD417" s="142"/>
      <c r="AE417" s="142"/>
      <c r="AF417" s="130"/>
      <c r="AG417" s="142"/>
      <c r="AH417" s="142"/>
      <c r="AI417" s="142"/>
      <c r="AJ417" s="130"/>
      <c r="AK417" s="130"/>
      <c r="AL417" s="130"/>
      <c r="AM417" s="130"/>
    </row>
    <row r="418" ht="15.75" customHeight="1">
      <c r="A418" s="278"/>
      <c r="B418" s="278"/>
      <c r="C418" s="278"/>
      <c r="D418" s="278"/>
      <c r="E418" s="132"/>
      <c r="F418" s="116"/>
      <c r="G418" s="116"/>
      <c r="H418" s="116"/>
      <c r="I418" s="373"/>
      <c r="J418" s="147"/>
      <c r="K418" s="116"/>
      <c r="L418" s="116"/>
      <c r="M418" s="116"/>
      <c r="N418" s="116"/>
      <c r="O418" s="116"/>
      <c r="P418" s="116"/>
      <c r="Q418" s="116"/>
      <c r="R418" s="116"/>
      <c r="S418" s="116"/>
      <c r="T418" s="116"/>
      <c r="U418" s="116"/>
      <c r="V418" s="116"/>
      <c r="W418" s="116"/>
      <c r="X418" s="278"/>
      <c r="Y418" s="142"/>
      <c r="Z418" s="142"/>
      <c r="AA418" s="142"/>
      <c r="AB418" s="142"/>
      <c r="AC418" s="142"/>
      <c r="AD418" s="142"/>
      <c r="AE418" s="142"/>
      <c r="AF418" s="130"/>
      <c r="AG418" s="142"/>
      <c r="AH418" s="142"/>
      <c r="AI418" s="142"/>
      <c r="AJ418" s="130"/>
      <c r="AK418" s="130"/>
      <c r="AL418" s="130"/>
      <c r="AM418" s="130"/>
    </row>
    <row r="419" ht="15.75" customHeight="1">
      <c r="A419" s="278"/>
      <c r="B419" s="278"/>
      <c r="C419" s="278"/>
      <c r="D419" s="278"/>
      <c r="E419" s="132"/>
      <c r="F419" s="116"/>
      <c r="G419" s="116"/>
      <c r="H419" s="116"/>
      <c r="I419" s="373"/>
      <c r="J419" s="147"/>
      <c r="K419" s="116"/>
      <c r="L419" s="116"/>
      <c r="M419" s="116"/>
      <c r="N419" s="116"/>
      <c r="O419" s="116"/>
      <c r="P419" s="116"/>
      <c r="Q419" s="116"/>
      <c r="R419" s="116"/>
      <c r="S419" s="116"/>
      <c r="T419" s="116"/>
      <c r="U419" s="116"/>
      <c r="V419" s="116"/>
      <c r="W419" s="116"/>
      <c r="X419" s="278"/>
      <c r="Y419" s="142"/>
      <c r="Z419" s="142"/>
      <c r="AA419" s="142"/>
      <c r="AB419" s="142"/>
      <c r="AC419" s="142"/>
      <c r="AD419" s="142"/>
      <c r="AE419" s="142"/>
      <c r="AF419" s="130"/>
      <c r="AG419" s="142"/>
      <c r="AH419" s="142"/>
      <c r="AI419" s="142"/>
      <c r="AJ419" s="130"/>
      <c r="AK419" s="130"/>
      <c r="AL419" s="130"/>
      <c r="AM419" s="130"/>
    </row>
    <row r="420" ht="15.75" customHeight="1">
      <c r="A420" s="278"/>
      <c r="B420" s="278"/>
      <c r="C420" s="278"/>
      <c r="D420" s="278"/>
      <c r="E420" s="132"/>
      <c r="F420" s="116"/>
      <c r="G420" s="116"/>
      <c r="H420" s="116"/>
      <c r="I420" s="373"/>
      <c r="J420" s="147"/>
      <c r="K420" s="116"/>
      <c r="L420" s="116"/>
      <c r="M420" s="116"/>
      <c r="N420" s="116"/>
      <c r="O420" s="116"/>
      <c r="P420" s="116"/>
      <c r="Q420" s="116"/>
      <c r="R420" s="116"/>
      <c r="S420" s="116"/>
      <c r="T420" s="116"/>
      <c r="U420" s="116"/>
      <c r="V420" s="116"/>
      <c r="W420" s="116"/>
      <c r="X420" s="278"/>
      <c r="Y420" s="142"/>
      <c r="Z420" s="142"/>
      <c r="AA420" s="142"/>
      <c r="AB420" s="142"/>
      <c r="AC420" s="142"/>
      <c r="AD420" s="142"/>
      <c r="AE420" s="142"/>
      <c r="AF420" s="130"/>
      <c r="AG420" s="142"/>
      <c r="AH420" s="142"/>
      <c r="AI420" s="142"/>
      <c r="AJ420" s="130"/>
      <c r="AK420" s="130"/>
      <c r="AL420" s="130"/>
      <c r="AM420" s="130"/>
    </row>
    <row r="421" ht="15.75" customHeight="1">
      <c r="A421" s="278"/>
      <c r="B421" s="278"/>
      <c r="C421" s="278"/>
      <c r="D421" s="278"/>
      <c r="E421" s="132"/>
      <c r="F421" s="116"/>
      <c r="G421" s="116"/>
      <c r="H421" s="116"/>
      <c r="I421" s="373"/>
      <c r="J421" s="147"/>
      <c r="K421" s="116"/>
      <c r="L421" s="116"/>
      <c r="M421" s="116"/>
      <c r="N421" s="116"/>
      <c r="O421" s="116"/>
      <c r="P421" s="116"/>
      <c r="Q421" s="116"/>
      <c r="R421" s="116"/>
      <c r="S421" s="116"/>
      <c r="T421" s="116"/>
      <c r="U421" s="116"/>
      <c r="V421" s="116"/>
      <c r="W421" s="116"/>
      <c r="X421" s="278"/>
      <c r="Y421" s="142"/>
      <c r="Z421" s="142"/>
      <c r="AA421" s="142"/>
      <c r="AB421" s="142"/>
      <c r="AC421" s="142"/>
      <c r="AD421" s="142"/>
      <c r="AE421" s="142"/>
      <c r="AF421" s="130"/>
      <c r="AG421" s="142"/>
      <c r="AH421" s="142"/>
      <c r="AI421" s="142"/>
      <c r="AJ421" s="130"/>
      <c r="AK421" s="130"/>
      <c r="AL421" s="130"/>
      <c r="AM421" s="130"/>
    </row>
    <row r="422" ht="15.75" customHeight="1">
      <c r="A422" s="278"/>
      <c r="B422" s="278"/>
      <c r="C422" s="278"/>
      <c r="D422" s="278"/>
      <c r="E422" s="132"/>
      <c r="F422" s="116"/>
      <c r="G422" s="116"/>
      <c r="H422" s="116"/>
      <c r="I422" s="373"/>
      <c r="J422" s="147"/>
      <c r="K422" s="116"/>
      <c r="L422" s="116"/>
      <c r="M422" s="116"/>
      <c r="N422" s="116"/>
      <c r="O422" s="116"/>
      <c r="P422" s="116"/>
      <c r="Q422" s="116"/>
      <c r="R422" s="116"/>
      <c r="S422" s="116"/>
      <c r="T422" s="116"/>
      <c r="U422" s="116"/>
      <c r="V422" s="116"/>
      <c r="W422" s="116"/>
      <c r="X422" s="278"/>
      <c r="Y422" s="142"/>
      <c r="Z422" s="142"/>
      <c r="AA422" s="142"/>
      <c r="AB422" s="142"/>
      <c r="AC422" s="142"/>
      <c r="AD422" s="142"/>
      <c r="AE422" s="142"/>
      <c r="AF422" s="130"/>
      <c r="AG422" s="142"/>
      <c r="AH422" s="142"/>
      <c r="AI422" s="142"/>
      <c r="AJ422" s="130"/>
      <c r="AK422" s="130"/>
      <c r="AL422" s="130"/>
      <c r="AM422" s="130"/>
    </row>
    <row r="423" ht="15.75" customHeight="1">
      <c r="A423" s="278"/>
      <c r="B423" s="278"/>
      <c r="C423" s="278"/>
      <c r="D423" s="278"/>
      <c r="E423" s="132"/>
      <c r="F423" s="116"/>
      <c r="G423" s="116"/>
      <c r="H423" s="116"/>
      <c r="I423" s="373"/>
      <c r="J423" s="147"/>
      <c r="K423" s="116"/>
      <c r="L423" s="116"/>
      <c r="M423" s="116"/>
      <c r="N423" s="116"/>
      <c r="O423" s="116"/>
      <c r="P423" s="116"/>
      <c r="Q423" s="116"/>
      <c r="R423" s="116"/>
      <c r="S423" s="116"/>
      <c r="T423" s="116"/>
      <c r="U423" s="116"/>
      <c r="V423" s="116"/>
      <c r="W423" s="116"/>
      <c r="X423" s="278"/>
      <c r="Y423" s="142"/>
      <c r="Z423" s="142"/>
      <c r="AA423" s="142"/>
      <c r="AB423" s="142"/>
      <c r="AC423" s="142"/>
      <c r="AD423" s="142"/>
      <c r="AE423" s="142"/>
      <c r="AF423" s="130"/>
      <c r="AG423" s="142"/>
      <c r="AH423" s="142"/>
      <c r="AI423" s="142"/>
      <c r="AJ423" s="130"/>
      <c r="AK423" s="130"/>
      <c r="AL423" s="130"/>
      <c r="AM423" s="130"/>
    </row>
    <row r="424" ht="15.75" customHeight="1">
      <c r="A424" s="278"/>
      <c r="B424" s="278"/>
      <c r="C424" s="278"/>
      <c r="D424" s="278"/>
      <c r="E424" s="132"/>
      <c r="F424" s="116"/>
      <c r="G424" s="116"/>
      <c r="H424" s="116"/>
      <c r="I424" s="373"/>
      <c r="J424" s="147"/>
      <c r="K424" s="116"/>
      <c r="L424" s="116"/>
      <c r="M424" s="116"/>
      <c r="N424" s="116"/>
      <c r="O424" s="116"/>
      <c r="P424" s="116"/>
      <c r="Q424" s="116"/>
      <c r="R424" s="116"/>
      <c r="S424" s="116"/>
      <c r="T424" s="116"/>
      <c r="U424" s="116"/>
      <c r="V424" s="116"/>
      <c r="W424" s="116"/>
      <c r="X424" s="278"/>
      <c r="Y424" s="142"/>
      <c r="Z424" s="142"/>
      <c r="AA424" s="142"/>
      <c r="AB424" s="142"/>
      <c r="AC424" s="142"/>
      <c r="AD424" s="142"/>
      <c r="AE424" s="142"/>
      <c r="AF424" s="130"/>
      <c r="AG424" s="142"/>
      <c r="AH424" s="142"/>
      <c r="AI424" s="142"/>
      <c r="AJ424" s="130"/>
      <c r="AK424" s="130"/>
      <c r="AL424" s="130"/>
      <c r="AM424" s="130"/>
    </row>
    <row r="425" ht="15.75" customHeight="1">
      <c r="A425" s="278"/>
      <c r="B425" s="278"/>
      <c r="C425" s="278"/>
      <c r="D425" s="278"/>
      <c r="E425" s="132"/>
      <c r="F425" s="116"/>
      <c r="G425" s="116"/>
      <c r="H425" s="116"/>
      <c r="I425" s="373"/>
      <c r="J425" s="147"/>
      <c r="K425" s="116"/>
      <c r="L425" s="116"/>
      <c r="M425" s="116"/>
      <c r="N425" s="116"/>
      <c r="O425" s="116"/>
      <c r="P425" s="116"/>
      <c r="Q425" s="116"/>
      <c r="R425" s="116"/>
      <c r="S425" s="116"/>
      <c r="T425" s="116"/>
      <c r="U425" s="116"/>
      <c r="V425" s="116"/>
      <c r="W425" s="116"/>
      <c r="X425" s="278"/>
      <c r="Y425" s="142"/>
      <c r="Z425" s="142"/>
      <c r="AA425" s="142"/>
      <c r="AB425" s="142"/>
      <c r="AC425" s="142"/>
      <c r="AD425" s="142"/>
      <c r="AE425" s="142"/>
      <c r="AF425" s="130"/>
      <c r="AG425" s="142"/>
      <c r="AH425" s="142"/>
      <c r="AI425" s="142"/>
      <c r="AJ425" s="130"/>
      <c r="AK425" s="130"/>
      <c r="AL425" s="130"/>
      <c r="AM425" s="130"/>
    </row>
    <row r="426" ht="15.75" customHeight="1">
      <c r="A426" s="278"/>
      <c r="B426" s="278"/>
      <c r="C426" s="278"/>
      <c r="D426" s="278"/>
      <c r="E426" s="132"/>
      <c r="F426" s="116"/>
      <c r="G426" s="116"/>
      <c r="H426" s="116"/>
      <c r="I426" s="373"/>
      <c r="J426" s="147"/>
      <c r="K426" s="116"/>
      <c r="L426" s="116"/>
      <c r="M426" s="116"/>
      <c r="N426" s="116"/>
      <c r="O426" s="116"/>
      <c r="P426" s="116"/>
      <c r="Q426" s="116"/>
      <c r="R426" s="116"/>
      <c r="S426" s="116"/>
      <c r="T426" s="116"/>
      <c r="U426" s="116"/>
      <c r="V426" s="116"/>
      <c r="W426" s="116"/>
      <c r="X426" s="278"/>
      <c r="Y426" s="142"/>
      <c r="Z426" s="142"/>
      <c r="AA426" s="142"/>
      <c r="AB426" s="142"/>
      <c r="AC426" s="142"/>
      <c r="AD426" s="142"/>
      <c r="AE426" s="142"/>
      <c r="AF426" s="130"/>
      <c r="AG426" s="142"/>
      <c r="AH426" s="142"/>
      <c r="AI426" s="142"/>
      <c r="AJ426" s="130"/>
      <c r="AK426" s="130"/>
      <c r="AL426" s="130"/>
      <c r="AM426" s="130"/>
    </row>
    <row r="427" ht="15.75" customHeight="1">
      <c r="A427" s="278"/>
      <c r="B427" s="278"/>
      <c r="C427" s="278"/>
      <c r="D427" s="278"/>
      <c r="E427" s="132"/>
      <c r="F427" s="116"/>
      <c r="G427" s="116"/>
      <c r="H427" s="116"/>
      <c r="I427" s="373"/>
      <c r="J427" s="147"/>
      <c r="K427" s="116"/>
      <c r="L427" s="116"/>
      <c r="M427" s="116"/>
      <c r="N427" s="116"/>
      <c r="O427" s="116"/>
      <c r="P427" s="116"/>
      <c r="Q427" s="116"/>
      <c r="R427" s="116"/>
      <c r="S427" s="116"/>
      <c r="T427" s="116"/>
      <c r="U427" s="116"/>
      <c r="V427" s="116"/>
      <c r="W427" s="116"/>
      <c r="X427" s="278"/>
      <c r="Y427" s="142"/>
      <c r="Z427" s="142"/>
      <c r="AA427" s="142"/>
      <c r="AB427" s="142"/>
      <c r="AC427" s="142"/>
      <c r="AD427" s="142"/>
      <c r="AE427" s="142"/>
      <c r="AF427" s="130"/>
      <c r="AG427" s="142"/>
      <c r="AH427" s="142"/>
      <c r="AI427" s="142"/>
      <c r="AJ427" s="130"/>
      <c r="AK427" s="130"/>
      <c r="AL427" s="130"/>
      <c r="AM427" s="130"/>
    </row>
    <row r="428" ht="15.75" customHeight="1">
      <c r="A428" s="278"/>
      <c r="B428" s="278"/>
      <c r="C428" s="278"/>
      <c r="D428" s="278"/>
      <c r="E428" s="132"/>
      <c r="F428" s="116"/>
      <c r="G428" s="116"/>
      <c r="H428" s="116"/>
      <c r="I428" s="373"/>
      <c r="J428" s="147"/>
      <c r="K428" s="116"/>
      <c r="L428" s="116"/>
      <c r="M428" s="116"/>
      <c r="N428" s="116"/>
      <c r="O428" s="116"/>
      <c r="P428" s="116"/>
      <c r="Q428" s="116"/>
      <c r="R428" s="116"/>
      <c r="S428" s="116"/>
      <c r="T428" s="116"/>
      <c r="U428" s="116"/>
      <c r="V428" s="116"/>
      <c r="W428" s="116"/>
      <c r="X428" s="278"/>
      <c r="Y428" s="142"/>
      <c r="Z428" s="142"/>
      <c r="AA428" s="142"/>
      <c r="AB428" s="142"/>
      <c r="AC428" s="142"/>
      <c r="AD428" s="142"/>
      <c r="AE428" s="142"/>
      <c r="AF428" s="130"/>
      <c r="AG428" s="142"/>
      <c r="AH428" s="142"/>
      <c r="AI428" s="142"/>
      <c r="AJ428" s="130"/>
      <c r="AK428" s="130"/>
      <c r="AL428" s="130"/>
      <c r="AM428" s="130"/>
    </row>
    <row r="429" ht="15.75" customHeight="1">
      <c r="A429" s="278"/>
      <c r="B429" s="278"/>
      <c r="C429" s="278"/>
      <c r="D429" s="278"/>
      <c r="E429" s="132"/>
      <c r="F429" s="116"/>
      <c r="G429" s="116"/>
      <c r="H429" s="116"/>
      <c r="I429" s="373"/>
      <c r="J429" s="147"/>
      <c r="K429" s="116"/>
      <c r="L429" s="116"/>
      <c r="M429" s="116"/>
      <c r="N429" s="116"/>
      <c r="O429" s="116"/>
      <c r="P429" s="116"/>
      <c r="Q429" s="116"/>
      <c r="R429" s="116"/>
      <c r="S429" s="116"/>
      <c r="T429" s="116"/>
      <c r="U429" s="116"/>
      <c r="V429" s="116"/>
      <c r="W429" s="116"/>
      <c r="X429" s="278"/>
      <c r="Y429" s="142"/>
      <c r="Z429" s="142"/>
      <c r="AA429" s="142"/>
      <c r="AB429" s="142"/>
      <c r="AC429" s="142"/>
      <c r="AD429" s="142"/>
      <c r="AE429" s="142"/>
      <c r="AF429" s="130"/>
      <c r="AG429" s="142"/>
      <c r="AH429" s="142"/>
      <c r="AI429" s="142"/>
      <c r="AJ429" s="130"/>
      <c r="AK429" s="130"/>
      <c r="AL429" s="130"/>
      <c r="AM429" s="130"/>
    </row>
    <row r="430" ht="15.75" customHeight="1">
      <c r="A430" s="278"/>
      <c r="B430" s="278"/>
      <c r="C430" s="278"/>
      <c r="D430" s="278"/>
      <c r="E430" s="132"/>
      <c r="F430" s="116"/>
      <c r="G430" s="116"/>
      <c r="H430" s="116"/>
      <c r="I430" s="373"/>
      <c r="J430" s="147"/>
      <c r="K430" s="116"/>
      <c r="L430" s="116"/>
      <c r="M430" s="116"/>
      <c r="N430" s="116"/>
      <c r="O430" s="116"/>
      <c r="P430" s="116"/>
      <c r="Q430" s="116"/>
      <c r="R430" s="116"/>
      <c r="S430" s="116"/>
      <c r="T430" s="116"/>
      <c r="U430" s="116"/>
      <c r="V430" s="116"/>
      <c r="W430" s="116"/>
      <c r="X430" s="278"/>
      <c r="Y430" s="142"/>
      <c r="Z430" s="142"/>
      <c r="AA430" s="142"/>
      <c r="AB430" s="142"/>
      <c r="AC430" s="142"/>
      <c r="AD430" s="142"/>
      <c r="AE430" s="142"/>
      <c r="AF430" s="130"/>
      <c r="AG430" s="142"/>
      <c r="AH430" s="142"/>
      <c r="AI430" s="142"/>
      <c r="AJ430" s="130"/>
      <c r="AK430" s="130"/>
      <c r="AL430" s="130"/>
      <c r="AM430" s="130"/>
    </row>
    <row r="431" ht="15.75" customHeight="1">
      <c r="A431" s="278"/>
      <c r="B431" s="278"/>
      <c r="C431" s="278"/>
      <c r="D431" s="278"/>
      <c r="E431" s="132"/>
      <c r="F431" s="116"/>
      <c r="G431" s="116"/>
      <c r="H431" s="116"/>
      <c r="I431" s="373"/>
      <c r="J431" s="147"/>
      <c r="K431" s="116"/>
      <c r="L431" s="116"/>
      <c r="M431" s="116"/>
      <c r="N431" s="116"/>
      <c r="O431" s="116"/>
      <c r="P431" s="116"/>
      <c r="Q431" s="116"/>
      <c r="R431" s="116"/>
      <c r="S431" s="116"/>
      <c r="T431" s="116"/>
      <c r="U431" s="116"/>
      <c r="V431" s="116"/>
      <c r="W431" s="116"/>
      <c r="X431" s="278"/>
      <c r="Y431" s="142"/>
      <c r="Z431" s="142"/>
      <c r="AA431" s="142"/>
      <c r="AB431" s="142"/>
      <c r="AC431" s="142"/>
      <c r="AD431" s="142"/>
      <c r="AE431" s="142"/>
      <c r="AF431" s="130"/>
      <c r="AG431" s="142"/>
      <c r="AH431" s="142"/>
      <c r="AI431" s="142"/>
      <c r="AJ431" s="130"/>
      <c r="AK431" s="130"/>
      <c r="AL431" s="130"/>
      <c r="AM431" s="130"/>
    </row>
    <row r="432" ht="15.75" customHeight="1">
      <c r="A432" s="278"/>
      <c r="B432" s="278"/>
      <c r="C432" s="278"/>
      <c r="D432" s="278"/>
      <c r="E432" s="132"/>
      <c r="F432" s="116"/>
      <c r="G432" s="116"/>
      <c r="H432" s="116"/>
      <c r="I432" s="373"/>
      <c r="J432" s="147"/>
      <c r="K432" s="116"/>
      <c r="L432" s="116"/>
      <c r="M432" s="116"/>
      <c r="N432" s="116"/>
      <c r="O432" s="116"/>
      <c r="P432" s="116"/>
      <c r="Q432" s="116"/>
      <c r="R432" s="116"/>
      <c r="S432" s="116"/>
      <c r="T432" s="116"/>
      <c r="U432" s="116"/>
      <c r="V432" s="116"/>
      <c r="W432" s="116"/>
      <c r="X432" s="278"/>
      <c r="Y432" s="142"/>
      <c r="Z432" s="142"/>
      <c r="AA432" s="142"/>
      <c r="AB432" s="142"/>
      <c r="AC432" s="142"/>
      <c r="AD432" s="142"/>
      <c r="AE432" s="142"/>
      <c r="AF432" s="130"/>
      <c r="AG432" s="142"/>
      <c r="AH432" s="142"/>
      <c r="AI432" s="142"/>
      <c r="AJ432" s="130"/>
      <c r="AK432" s="130"/>
      <c r="AL432" s="130"/>
      <c r="AM432" s="130"/>
    </row>
    <row r="433" ht="15.75" customHeight="1">
      <c r="A433" s="278"/>
      <c r="B433" s="278"/>
      <c r="C433" s="278"/>
      <c r="D433" s="278"/>
      <c r="E433" s="132"/>
      <c r="F433" s="116"/>
      <c r="G433" s="116"/>
      <c r="H433" s="116"/>
      <c r="I433" s="373"/>
      <c r="J433" s="147"/>
      <c r="K433" s="116"/>
      <c r="L433" s="116"/>
      <c r="M433" s="116"/>
      <c r="N433" s="116"/>
      <c r="O433" s="116"/>
      <c r="P433" s="116"/>
      <c r="Q433" s="116"/>
      <c r="R433" s="116"/>
      <c r="S433" s="116"/>
      <c r="T433" s="116"/>
      <c r="U433" s="116"/>
      <c r="V433" s="116"/>
      <c r="W433" s="116"/>
      <c r="X433" s="278"/>
      <c r="Y433" s="142"/>
      <c r="Z433" s="142"/>
      <c r="AA433" s="142"/>
      <c r="AB433" s="142"/>
      <c r="AC433" s="142"/>
      <c r="AD433" s="142"/>
      <c r="AE433" s="142"/>
      <c r="AF433" s="130"/>
      <c r="AG433" s="142"/>
      <c r="AH433" s="142"/>
      <c r="AI433" s="142"/>
      <c r="AJ433" s="130"/>
      <c r="AK433" s="130"/>
      <c r="AL433" s="130"/>
      <c r="AM433" s="130"/>
    </row>
    <row r="434" ht="15.75" customHeight="1">
      <c r="A434" s="278"/>
      <c r="B434" s="278"/>
      <c r="C434" s="278"/>
      <c r="D434" s="278"/>
      <c r="E434" s="132"/>
      <c r="F434" s="116"/>
      <c r="G434" s="116"/>
      <c r="H434" s="116"/>
      <c r="I434" s="373"/>
      <c r="J434" s="147"/>
      <c r="K434" s="116"/>
      <c r="L434" s="116"/>
      <c r="M434" s="116"/>
      <c r="N434" s="116"/>
      <c r="O434" s="116"/>
      <c r="P434" s="116"/>
      <c r="Q434" s="116"/>
      <c r="R434" s="116"/>
      <c r="S434" s="116"/>
      <c r="T434" s="116"/>
      <c r="U434" s="116"/>
      <c r="V434" s="116"/>
      <c r="W434" s="116"/>
      <c r="X434" s="278"/>
      <c r="Y434" s="142"/>
      <c r="Z434" s="142"/>
      <c r="AA434" s="142"/>
      <c r="AB434" s="142"/>
      <c r="AC434" s="142"/>
      <c r="AD434" s="142"/>
      <c r="AE434" s="142"/>
      <c r="AF434" s="130"/>
      <c r="AG434" s="142"/>
      <c r="AH434" s="142"/>
      <c r="AI434" s="142"/>
      <c r="AJ434" s="130"/>
      <c r="AK434" s="130"/>
      <c r="AL434" s="130"/>
      <c r="AM434" s="130"/>
    </row>
    <row r="435" ht="15.75" customHeight="1">
      <c r="A435" s="278"/>
      <c r="B435" s="278"/>
      <c r="C435" s="278"/>
      <c r="D435" s="278"/>
      <c r="E435" s="132"/>
      <c r="F435" s="116"/>
      <c r="G435" s="116"/>
      <c r="H435" s="116"/>
      <c r="I435" s="373"/>
      <c r="J435" s="147"/>
      <c r="K435" s="116"/>
      <c r="L435" s="116"/>
      <c r="M435" s="116"/>
      <c r="N435" s="116"/>
      <c r="O435" s="116"/>
      <c r="P435" s="116"/>
      <c r="Q435" s="116"/>
      <c r="R435" s="116"/>
      <c r="S435" s="116"/>
      <c r="T435" s="116"/>
      <c r="U435" s="116"/>
      <c r="V435" s="116"/>
      <c r="W435" s="116"/>
      <c r="X435" s="278"/>
      <c r="Y435" s="142"/>
      <c r="Z435" s="142"/>
      <c r="AA435" s="142"/>
      <c r="AB435" s="142"/>
      <c r="AC435" s="142"/>
      <c r="AD435" s="142"/>
      <c r="AE435" s="142"/>
      <c r="AF435" s="130"/>
      <c r="AG435" s="142"/>
      <c r="AH435" s="142"/>
      <c r="AI435" s="142"/>
      <c r="AJ435" s="130"/>
      <c r="AK435" s="130"/>
      <c r="AL435" s="130"/>
      <c r="AM435" s="130"/>
    </row>
    <row r="436" ht="15.75" customHeight="1">
      <c r="A436" s="278"/>
      <c r="B436" s="278"/>
      <c r="C436" s="278"/>
      <c r="D436" s="278"/>
      <c r="E436" s="132"/>
      <c r="F436" s="116"/>
      <c r="G436" s="116"/>
      <c r="H436" s="116"/>
      <c r="I436" s="373"/>
      <c r="J436" s="147"/>
      <c r="K436" s="116"/>
      <c r="L436" s="116"/>
      <c r="M436" s="116"/>
      <c r="N436" s="116"/>
      <c r="O436" s="116"/>
      <c r="P436" s="116"/>
      <c r="Q436" s="116"/>
      <c r="R436" s="116"/>
      <c r="S436" s="116"/>
      <c r="T436" s="116"/>
      <c r="U436" s="116"/>
      <c r="V436" s="116"/>
      <c r="W436" s="116"/>
      <c r="X436" s="278"/>
      <c r="Y436" s="142"/>
      <c r="Z436" s="142"/>
      <c r="AA436" s="142"/>
      <c r="AB436" s="142"/>
      <c r="AC436" s="142"/>
      <c r="AD436" s="142"/>
      <c r="AE436" s="142"/>
      <c r="AF436" s="130"/>
      <c r="AG436" s="142"/>
      <c r="AH436" s="142"/>
      <c r="AI436" s="142"/>
      <c r="AJ436" s="130"/>
      <c r="AK436" s="130"/>
      <c r="AL436" s="130"/>
      <c r="AM436" s="130"/>
    </row>
    <row r="437" ht="15.75" customHeight="1">
      <c r="A437" s="278"/>
      <c r="B437" s="278"/>
      <c r="C437" s="278"/>
      <c r="D437" s="278"/>
      <c r="E437" s="132"/>
      <c r="F437" s="116"/>
      <c r="G437" s="116"/>
      <c r="H437" s="116"/>
      <c r="I437" s="373"/>
      <c r="J437" s="147"/>
      <c r="K437" s="116"/>
      <c r="L437" s="116"/>
      <c r="M437" s="116"/>
      <c r="N437" s="116"/>
      <c r="O437" s="116"/>
      <c r="P437" s="116"/>
      <c r="Q437" s="116"/>
      <c r="R437" s="116"/>
      <c r="S437" s="116"/>
      <c r="T437" s="116"/>
      <c r="U437" s="116"/>
      <c r="V437" s="116"/>
      <c r="W437" s="116"/>
      <c r="X437" s="278"/>
      <c r="Y437" s="142"/>
      <c r="Z437" s="142"/>
      <c r="AA437" s="142"/>
      <c r="AB437" s="142"/>
      <c r="AC437" s="142"/>
      <c r="AD437" s="142"/>
      <c r="AE437" s="142"/>
      <c r="AF437" s="130"/>
      <c r="AG437" s="142"/>
      <c r="AH437" s="142"/>
      <c r="AI437" s="142"/>
      <c r="AJ437" s="130"/>
      <c r="AK437" s="130"/>
      <c r="AL437" s="130"/>
      <c r="AM437" s="130"/>
    </row>
    <row r="438" ht="15.75" customHeight="1">
      <c r="A438" s="278"/>
      <c r="B438" s="278"/>
      <c r="C438" s="278"/>
      <c r="D438" s="278"/>
      <c r="E438" s="132"/>
      <c r="F438" s="116"/>
      <c r="G438" s="116"/>
      <c r="H438" s="116"/>
      <c r="I438" s="373"/>
      <c r="J438" s="147"/>
      <c r="K438" s="116"/>
      <c r="L438" s="116"/>
      <c r="M438" s="116"/>
      <c r="N438" s="116"/>
      <c r="O438" s="116"/>
      <c r="P438" s="116"/>
      <c r="Q438" s="116"/>
      <c r="R438" s="116"/>
      <c r="S438" s="116"/>
      <c r="T438" s="116"/>
      <c r="U438" s="116"/>
      <c r="V438" s="116"/>
      <c r="W438" s="116"/>
      <c r="X438" s="278"/>
      <c r="Y438" s="142"/>
      <c r="Z438" s="142"/>
      <c r="AA438" s="142"/>
      <c r="AB438" s="142"/>
      <c r="AC438" s="142"/>
      <c r="AD438" s="142"/>
      <c r="AE438" s="142"/>
      <c r="AF438" s="130"/>
      <c r="AG438" s="142"/>
      <c r="AH438" s="142"/>
      <c r="AI438" s="142"/>
      <c r="AJ438" s="130"/>
      <c r="AK438" s="130"/>
      <c r="AL438" s="130"/>
      <c r="AM438" s="130"/>
    </row>
    <row r="439" ht="15.75" customHeight="1">
      <c r="A439" s="278"/>
      <c r="B439" s="278"/>
      <c r="C439" s="278"/>
      <c r="D439" s="278"/>
      <c r="E439" s="132"/>
      <c r="F439" s="116"/>
      <c r="G439" s="116"/>
      <c r="H439" s="116"/>
      <c r="I439" s="373"/>
      <c r="J439" s="147"/>
      <c r="K439" s="116"/>
      <c r="L439" s="116"/>
      <c r="M439" s="116"/>
      <c r="N439" s="116"/>
      <c r="O439" s="116"/>
      <c r="P439" s="116"/>
      <c r="Q439" s="116"/>
      <c r="R439" s="116"/>
      <c r="S439" s="116"/>
      <c r="T439" s="116"/>
      <c r="U439" s="116"/>
      <c r="V439" s="116"/>
      <c r="W439" s="116"/>
      <c r="X439" s="278"/>
      <c r="Y439" s="142"/>
      <c r="Z439" s="142"/>
      <c r="AA439" s="142"/>
      <c r="AB439" s="142"/>
      <c r="AC439" s="142"/>
      <c r="AD439" s="142"/>
      <c r="AE439" s="142"/>
      <c r="AF439" s="130"/>
      <c r="AG439" s="142"/>
      <c r="AH439" s="142"/>
      <c r="AI439" s="142"/>
      <c r="AJ439" s="130"/>
      <c r="AK439" s="130"/>
      <c r="AL439" s="130"/>
      <c r="AM439" s="130"/>
    </row>
    <row r="440" ht="15.75" customHeight="1">
      <c r="A440" s="278"/>
      <c r="B440" s="278"/>
      <c r="C440" s="278"/>
      <c r="D440" s="278"/>
      <c r="E440" s="132"/>
      <c r="F440" s="116"/>
      <c r="G440" s="116"/>
      <c r="H440" s="116"/>
      <c r="I440" s="373"/>
      <c r="J440" s="147"/>
      <c r="K440" s="116"/>
      <c r="L440" s="116"/>
      <c r="M440" s="116"/>
      <c r="N440" s="116"/>
      <c r="O440" s="116"/>
      <c r="P440" s="116"/>
      <c r="Q440" s="116"/>
      <c r="R440" s="116"/>
      <c r="S440" s="116"/>
      <c r="T440" s="116"/>
      <c r="U440" s="116"/>
      <c r="V440" s="116"/>
      <c r="W440" s="116"/>
      <c r="X440" s="278"/>
      <c r="Y440" s="142"/>
      <c r="Z440" s="142"/>
      <c r="AA440" s="142"/>
      <c r="AB440" s="142"/>
      <c r="AC440" s="142"/>
      <c r="AD440" s="142"/>
      <c r="AE440" s="142"/>
      <c r="AF440" s="130"/>
      <c r="AG440" s="142"/>
      <c r="AH440" s="142"/>
      <c r="AI440" s="142"/>
      <c r="AJ440" s="130"/>
      <c r="AK440" s="130"/>
      <c r="AL440" s="130"/>
      <c r="AM440" s="130"/>
    </row>
    <row r="441" ht="15.75" customHeight="1">
      <c r="A441" s="278"/>
      <c r="B441" s="278"/>
      <c r="C441" s="278"/>
      <c r="D441" s="278"/>
      <c r="E441" s="132"/>
      <c r="F441" s="116"/>
      <c r="G441" s="116"/>
      <c r="H441" s="116"/>
      <c r="I441" s="373"/>
      <c r="J441" s="147"/>
      <c r="K441" s="116"/>
      <c r="L441" s="116"/>
      <c r="M441" s="116"/>
      <c r="N441" s="116"/>
      <c r="O441" s="116"/>
      <c r="P441" s="116"/>
      <c r="Q441" s="116"/>
      <c r="R441" s="116"/>
      <c r="S441" s="116"/>
      <c r="T441" s="116"/>
      <c r="U441" s="116"/>
      <c r="V441" s="116"/>
      <c r="W441" s="116"/>
      <c r="X441" s="278"/>
      <c r="Y441" s="142"/>
      <c r="Z441" s="142"/>
      <c r="AA441" s="142"/>
      <c r="AB441" s="142"/>
      <c r="AC441" s="142"/>
      <c r="AD441" s="142"/>
      <c r="AE441" s="142"/>
      <c r="AF441" s="130"/>
      <c r="AG441" s="142"/>
      <c r="AH441" s="142"/>
      <c r="AI441" s="142"/>
      <c r="AJ441" s="130"/>
      <c r="AK441" s="130"/>
      <c r="AL441" s="130"/>
      <c r="AM441" s="130"/>
    </row>
    <row r="442" ht="15.75" customHeight="1">
      <c r="A442" s="278"/>
      <c r="B442" s="278"/>
      <c r="C442" s="278"/>
      <c r="D442" s="278"/>
      <c r="E442" s="132"/>
      <c r="F442" s="116"/>
      <c r="G442" s="116"/>
      <c r="H442" s="116"/>
      <c r="I442" s="373"/>
      <c r="J442" s="147"/>
      <c r="K442" s="116"/>
      <c r="L442" s="116"/>
      <c r="M442" s="116"/>
      <c r="N442" s="116"/>
      <c r="O442" s="116"/>
      <c r="P442" s="116"/>
      <c r="Q442" s="116"/>
      <c r="R442" s="116"/>
      <c r="S442" s="116"/>
      <c r="T442" s="116"/>
      <c r="U442" s="116"/>
      <c r="V442" s="116"/>
      <c r="W442" s="116"/>
      <c r="X442" s="278"/>
      <c r="Y442" s="142"/>
      <c r="Z442" s="142"/>
      <c r="AA442" s="142"/>
      <c r="AB442" s="142"/>
      <c r="AC442" s="142"/>
      <c r="AD442" s="142"/>
      <c r="AE442" s="142"/>
      <c r="AF442" s="130"/>
      <c r="AG442" s="142"/>
      <c r="AH442" s="142"/>
      <c r="AI442" s="142"/>
      <c r="AJ442" s="130"/>
      <c r="AK442" s="130"/>
      <c r="AL442" s="130"/>
      <c r="AM442" s="130"/>
    </row>
    <row r="443" ht="15.75" customHeight="1">
      <c r="A443" s="278"/>
      <c r="B443" s="278"/>
      <c r="C443" s="278"/>
      <c r="D443" s="278"/>
      <c r="E443" s="132"/>
      <c r="F443" s="116"/>
      <c r="G443" s="116"/>
      <c r="H443" s="116"/>
      <c r="I443" s="373"/>
      <c r="J443" s="147"/>
      <c r="K443" s="116"/>
      <c r="L443" s="116"/>
      <c r="M443" s="116"/>
      <c r="N443" s="116"/>
      <c r="O443" s="116"/>
      <c r="P443" s="116"/>
      <c r="Q443" s="116"/>
      <c r="R443" s="116"/>
      <c r="S443" s="116"/>
      <c r="T443" s="116"/>
      <c r="U443" s="116"/>
      <c r="V443" s="116"/>
      <c r="W443" s="116"/>
      <c r="X443" s="278"/>
      <c r="Y443" s="142"/>
      <c r="Z443" s="142"/>
      <c r="AA443" s="142"/>
      <c r="AB443" s="142"/>
      <c r="AC443" s="142"/>
      <c r="AD443" s="142"/>
      <c r="AE443" s="142"/>
      <c r="AF443" s="130"/>
      <c r="AG443" s="142"/>
      <c r="AH443" s="142"/>
      <c r="AI443" s="142"/>
      <c r="AJ443" s="130"/>
      <c r="AK443" s="130"/>
      <c r="AL443" s="130"/>
      <c r="AM443" s="130"/>
    </row>
    <row r="444" ht="15.75" customHeight="1">
      <c r="A444" s="278"/>
      <c r="B444" s="278"/>
      <c r="C444" s="278"/>
      <c r="D444" s="278"/>
      <c r="E444" s="132"/>
      <c r="F444" s="116"/>
      <c r="G444" s="116"/>
      <c r="H444" s="116"/>
      <c r="I444" s="373"/>
      <c r="J444" s="147"/>
      <c r="K444" s="116"/>
      <c r="L444" s="116"/>
      <c r="M444" s="116"/>
      <c r="N444" s="116"/>
      <c r="O444" s="116"/>
      <c r="P444" s="116"/>
      <c r="Q444" s="116"/>
      <c r="R444" s="116"/>
      <c r="S444" s="116"/>
      <c r="T444" s="116"/>
      <c r="U444" s="116"/>
      <c r="V444" s="116"/>
      <c r="W444" s="116"/>
      <c r="X444" s="278"/>
      <c r="Y444" s="142"/>
      <c r="Z444" s="142"/>
      <c r="AA444" s="142"/>
      <c r="AB444" s="142"/>
      <c r="AC444" s="142"/>
      <c r="AD444" s="142"/>
      <c r="AE444" s="142"/>
      <c r="AF444" s="130"/>
      <c r="AG444" s="142"/>
      <c r="AH444" s="142"/>
      <c r="AI444" s="142"/>
      <c r="AJ444" s="130"/>
      <c r="AK444" s="130"/>
      <c r="AL444" s="130"/>
      <c r="AM444" s="130"/>
    </row>
    <row r="445" ht="15.75" customHeight="1">
      <c r="A445" s="278"/>
      <c r="B445" s="278"/>
      <c r="C445" s="278"/>
      <c r="D445" s="278"/>
      <c r="E445" s="132"/>
      <c r="F445" s="116"/>
      <c r="G445" s="116"/>
      <c r="H445" s="116"/>
      <c r="I445" s="373"/>
      <c r="J445" s="147"/>
      <c r="K445" s="116"/>
      <c r="L445" s="116"/>
      <c r="M445" s="116"/>
      <c r="N445" s="116"/>
      <c r="O445" s="116"/>
      <c r="P445" s="116"/>
      <c r="Q445" s="116"/>
      <c r="R445" s="116"/>
      <c r="S445" s="116"/>
      <c r="T445" s="116"/>
      <c r="U445" s="116"/>
      <c r="V445" s="116"/>
      <c r="W445" s="116"/>
      <c r="X445" s="278"/>
      <c r="Y445" s="142"/>
      <c r="Z445" s="142"/>
      <c r="AA445" s="142"/>
      <c r="AB445" s="142"/>
      <c r="AC445" s="142"/>
      <c r="AD445" s="142"/>
      <c r="AE445" s="142"/>
      <c r="AF445" s="130"/>
      <c r="AG445" s="142"/>
      <c r="AH445" s="142"/>
      <c r="AI445" s="142"/>
      <c r="AJ445" s="130"/>
      <c r="AK445" s="130"/>
      <c r="AL445" s="130"/>
      <c r="AM445" s="130"/>
    </row>
    <row r="446" ht="15.75" customHeight="1">
      <c r="A446" s="278"/>
      <c r="B446" s="278"/>
      <c r="C446" s="278"/>
      <c r="D446" s="278"/>
      <c r="E446" s="132"/>
      <c r="F446" s="116"/>
      <c r="G446" s="116"/>
      <c r="H446" s="116"/>
      <c r="I446" s="373"/>
      <c r="J446" s="147"/>
      <c r="K446" s="116"/>
      <c r="L446" s="116"/>
      <c r="M446" s="116"/>
      <c r="N446" s="116"/>
      <c r="O446" s="116"/>
      <c r="P446" s="116"/>
      <c r="Q446" s="116"/>
      <c r="R446" s="116"/>
      <c r="S446" s="116"/>
      <c r="T446" s="116"/>
      <c r="U446" s="116"/>
      <c r="V446" s="116"/>
      <c r="W446" s="116"/>
      <c r="X446" s="278"/>
      <c r="Y446" s="142"/>
      <c r="Z446" s="142"/>
      <c r="AA446" s="142"/>
      <c r="AB446" s="142"/>
      <c r="AC446" s="142"/>
      <c r="AD446" s="142"/>
      <c r="AE446" s="142"/>
      <c r="AF446" s="130"/>
      <c r="AG446" s="142"/>
      <c r="AH446" s="142"/>
      <c r="AI446" s="142"/>
      <c r="AJ446" s="130"/>
      <c r="AK446" s="130"/>
      <c r="AL446" s="130"/>
      <c r="AM446" s="130"/>
    </row>
    <row r="447" ht="15.75" customHeight="1">
      <c r="A447" s="278"/>
      <c r="B447" s="278"/>
      <c r="C447" s="278"/>
      <c r="D447" s="278"/>
      <c r="E447" s="132"/>
      <c r="F447" s="116"/>
      <c r="G447" s="116"/>
      <c r="H447" s="116"/>
      <c r="I447" s="373"/>
      <c r="J447" s="147"/>
      <c r="K447" s="116"/>
      <c r="L447" s="116"/>
      <c r="M447" s="116"/>
      <c r="N447" s="116"/>
      <c r="O447" s="116"/>
      <c r="P447" s="116"/>
      <c r="Q447" s="116"/>
      <c r="R447" s="116"/>
      <c r="S447" s="116"/>
      <c r="T447" s="116"/>
      <c r="U447" s="116"/>
      <c r="V447" s="116"/>
      <c r="W447" s="116"/>
      <c r="X447" s="278"/>
      <c r="Y447" s="142"/>
      <c r="Z447" s="142"/>
      <c r="AA447" s="142"/>
      <c r="AB447" s="142"/>
      <c r="AC447" s="142"/>
      <c r="AD447" s="142"/>
      <c r="AE447" s="142"/>
      <c r="AF447" s="130"/>
      <c r="AG447" s="142"/>
      <c r="AH447" s="142"/>
      <c r="AI447" s="142"/>
      <c r="AJ447" s="130"/>
      <c r="AK447" s="130"/>
      <c r="AL447" s="130"/>
      <c r="AM447" s="130"/>
    </row>
    <row r="448" ht="15.75" customHeight="1">
      <c r="A448" s="278"/>
      <c r="B448" s="278"/>
      <c r="C448" s="278"/>
      <c r="D448" s="278"/>
      <c r="E448" s="132"/>
      <c r="F448" s="116"/>
      <c r="G448" s="116"/>
      <c r="H448" s="116"/>
      <c r="I448" s="373"/>
      <c r="J448" s="147"/>
      <c r="K448" s="116"/>
      <c r="L448" s="116"/>
      <c r="M448" s="116"/>
      <c r="N448" s="116"/>
      <c r="O448" s="116"/>
      <c r="P448" s="116"/>
      <c r="Q448" s="116"/>
      <c r="R448" s="116"/>
      <c r="S448" s="116"/>
      <c r="T448" s="116"/>
      <c r="U448" s="116"/>
      <c r="V448" s="116"/>
      <c r="W448" s="116"/>
      <c r="X448" s="278"/>
      <c r="Y448" s="142"/>
      <c r="Z448" s="142"/>
      <c r="AA448" s="142"/>
      <c r="AB448" s="142"/>
      <c r="AC448" s="142"/>
      <c r="AD448" s="142"/>
      <c r="AE448" s="142"/>
      <c r="AF448" s="130"/>
      <c r="AG448" s="142"/>
      <c r="AH448" s="142"/>
      <c r="AI448" s="142"/>
      <c r="AJ448" s="130"/>
      <c r="AK448" s="130"/>
      <c r="AL448" s="130"/>
      <c r="AM448" s="130"/>
    </row>
    <row r="449" ht="15.75" customHeight="1">
      <c r="A449" s="278"/>
      <c r="B449" s="278"/>
      <c r="C449" s="278"/>
      <c r="D449" s="278"/>
      <c r="E449" s="132"/>
      <c r="F449" s="116"/>
      <c r="G449" s="116"/>
      <c r="H449" s="116"/>
      <c r="I449" s="373"/>
      <c r="J449" s="147"/>
      <c r="K449" s="116"/>
      <c r="L449" s="116"/>
      <c r="M449" s="116"/>
      <c r="N449" s="116"/>
      <c r="O449" s="116"/>
      <c r="P449" s="116"/>
      <c r="Q449" s="116"/>
      <c r="R449" s="116"/>
      <c r="S449" s="116"/>
      <c r="T449" s="116"/>
      <c r="U449" s="116"/>
      <c r="V449" s="116"/>
      <c r="W449" s="116"/>
      <c r="X449" s="278"/>
      <c r="Y449" s="142"/>
      <c r="Z449" s="142"/>
      <c r="AA449" s="142"/>
      <c r="AB449" s="142"/>
      <c r="AC449" s="142"/>
      <c r="AD449" s="142"/>
      <c r="AE449" s="142"/>
      <c r="AF449" s="130"/>
      <c r="AG449" s="142"/>
      <c r="AH449" s="142"/>
      <c r="AI449" s="142"/>
      <c r="AJ449" s="130"/>
      <c r="AK449" s="130"/>
      <c r="AL449" s="130"/>
      <c r="AM449" s="130"/>
    </row>
    <row r="450" ht="15.75" customHeight="1">
      <c r="A450" s="278"/>
      <c r="B450" s="278"/>
      <c r="C450" s="278"/>
      <c r="D450" s="278"/>
      <c r="E450" s="132"/>
      <c r="F450" s="116"/>
      <c r="G450" s="116"/>
      <c r="H450" s="116"/>
      <c r="I450" s="373"/>
      <c r="J450" s="147"/>
      <c r="K450" s="116"/>
      <c r="L450" s="116"/>
      <c r="M450" s="116"/>
      <c r="N450" s="116"/>
      <c r="O450" s="116"/>
      <c r="P450" s="116"/>
      <c r="Q450" s="116"/>
      <c r="R450" s="116"/>
      <c r="S450" s="116"/>
      <c r="T450" s="116"/>
      <c r="U450" s="116"/>
      <c r="V450" s="116"/>
      <c r="W450" s="116"/>
      <c r="X450" s="278"/>
      <c r="Y450" s="142"/>
      <c r="Z450" s="142"/>
      <c r="AA450" s="142"/>
      <c r="AB450" s="142"/>
      <c r="AC450" s="142"/>
      <c r="AD450" s="142"/>
      <c r="AE450" s="142"/>
      <c r="AF450" s="130"/>
      <c r="AG450" s="142"/>
      <c r="AH450" s="142"/>
      <c r="AI450" s="142"/>
      <c r="AJ450" s="130"/>
      <c r="AK450" s="130"/>
      <c r="AL450" s="130"/>
      <c r="AM450" s="130"/>
    </row>
    <row r="451" ht="15.75" customHeight="1">
      <c r="A451" s="278"/>
      <c r="B451" s="278"/>
      <c r="C451" s="278"/>
      <c r="D451" s="278"/>
      <c r="E451" s="132"/>
      <c r="F451" s="116"/>
      <c r="G451" s="116"/>
      <c r="H451" s="116"/>
      <c r="I451" s="373"/>
      <c r="J451" s="147"/>
      <c r="K451" s="116"/>
      <c r="L451" s="116"/>
      <c r="M451" s="116"/>
      <c r="N451" s="116"/>
      <c r="O451" s="116"/>
      <c r="P451" s="116"/>
      <c r="Q451" s="116"/>
      <c r="R451" s="116"/>
      <c r="S451" s="116"/>
      <c r="T451" s="116"/>
      <c r="U451" s="116"/>
      <c r="V451" s="116"/>
      <c r="W451" s="116"/>
      <c r="X451" s="278"/>
      <c r="Y451" s="142"/>
      <c r="Z451" s="142"/>
      <c r="AA451" s="142"/>
      <c r="AB451" s="142"/>
      <c r="AC451" s="142"/>
      <c r="AD451" s="142"/>
      <c r="AE451" s="142"/>
      <c r="AF451" s="130"/>
      <c r="AG451" s="142"/>
      <c r="AH451" s="142"/>
      <c r="AI451" s="142"/>
      <c r="AJ451" s="130"/>
      <c r="AK451" s="130"/>
      <c r="AL451" s="130"/>
      <c r="AM451" s="130"/>
    </row>
    <row r="452" ht="15.75" customHeight="1">
      <c r="A452" s="278"/>
      <c r="B452" s="278"/>
      <c r="C452" s="278"/>
      <c r="D452" s="278"/>
      <c r="E452" s="132"/>
      <c r="F452" s="116"/>
      <c r="G452" s="116"/>
      <c r="H452" s="116"/>
      <c r="I452" s="373"/>
      <c r="J452" s="147"/>
      <c r="K452" s="116"/>
      <c r="L452" s="116"/>
      <c r="M452" s="116"/>
      <c r="N452" s="116"/>
      <c r="O452" s="116"/>
      <c r="P452" s="116"/>
      <c r="Q452" s="116"/>
      <c r="R452" s="116"/>
      <c r="S452" s="116"/>
      <c r="T452" s="116"/>
      <c r="U452" s="116"/>
      <c r="V452" s="116"/>
      <c r="W452" s="116"/>
      <c r="X452" s="278"/>
      <c r="Y452" s="142"/>
      <c r="Z452" s="142"/>
      <c r="AA452" s="142"/>
      <c r="AB452" s="142"/>
      <c r="AC452" s="142"/>
      <c r="AD452" s="142"/>
      <c r="AE452" s="142"/>
      <c r="AF452" s="130"/>
      <c r="AG452" s="142"/>
      <c r="AH452" s="142"/>
      <c r="AI452" s="142"/>
      <c r="AJ452" s="130"/>
      <c r="AK452" s="130"/>
      <c r="AL452" s="130"/>
      <c r="AM452" s="130"/>
    </row>
    <row r="453" ht="15.75" customHeight="1">
      <c r="A453" s="278"/>
      <c r="B453" s="278"/>
      <c r="C453" s="278"/>
      <c r="D453" s="278"/>
      <c r="E453" s="132"/>
      <c r="F453" s="116"/>
      <c r="G453" s="116"/>
      <c r="H453" s="116"/>
      <c r="I453" s="373"/>
      <c r="J453" s="147"/>
      <c r="K453" s="116"/>
      <c r="L453" s="116"/>
      <c r="M453" s="116"/>
      <c r="N453" s="116"/>
      <c r="O453" s="116"/>
      <c r="P453" s="116"/>
      <c r="Q453" s="116"/>
      <c r="R453" s="116"/>
      <c r="S453" s="116"/>
      <c r="T453" s="116"/>
      <c r="U453" s="116"/>
      <c r="V453" s="116"/>
      <c r="W453" s="116"/>
      <c r="X453" s="278"/>
      <c r="Y453" s="142"/>
      <c r="Z453" s="142"/>
      <c r="AA453" s="142"/>
      <c r="AB453" s="142"/>
      <c r="AC453" s="142"/>
      <c r="AD453" s="142"/>
      <c r="AE453" s="142"/>
      <c r="AF453" s="130"/>
      <c r="AG453" s="142"/>
      <c r="AH453" s="142"/>
      <c r="AI453" s="142"/>
      <c r="AJ453" s="130"/>
      <c r="AK453" s="130"/>
      <c r="AL453" s="130"/>
      <c r="AM453" s="130"/>
    </row>
    <row r="454" ht="15.75" customHeight="1">
      <c r="A454" s="278"/>
      <c r="B454" s="278"/>
      <c r="C454" s="278"/>
      <c r="D454" s="278"/>
      <c r="E454" s="132"/>
      <c r="F454" s="116"/>
      <c r="G454" s="116"/>
      <c r="H454" s="116"/>
      <c r="I454" s="373"/>
      <c r="J454" s="147"/>
      <c r="K454" s="116"/>
      <c r="L454" s="116"/>
      <c r="M454" s="116"/>
      <c r="N454" s="116"/>
      <c r="O454" s="116"/>
      <c r="P454" s="116"/>
      <c r="Q454" s="116"/>
      <c r="R454" s="116"/>
      <c r="S454" s="116"/>
      <c r="T454" s="116"/>
      <c r="U454" s="116"/>
      <c r="V454" s="116"/>
      <c r="W454" s="116"/>
      <c r="X454" s="278"/>
      <c r="Y454" s="142"/>
      <c r="Z454" s="142"/>
      <c r="AA454" s="142"/>
      <c r="AB454" s="142"/>
      <c r="AC454" s="142"/>
      <c r="AD454" s="142"/>
      <c r="AE454" s="142"/>
      <c r="AF454" s="130"/>
      <c r="AG454" s="142"/>
      <c r="AH454" s="142"/>
      <c r="AI454" s="142"/>
      <c r="AJ454" s="130"/>
      <c r="AK454" s="130"/>
      <c r="AL454" s="130"/>
      <c r="AM454" s="130"/>
    </row>
    <row r="455" ht="15.75" customHeight="1">
      <c r="A455" s="278"/>
      <c r="B455" s="278"/>
      <c r="C455" s="278"/>
      <c r="D455" s="278"/>
      <c r="E455" s="132"/>
      <c r="F455" s="116"/>
      <c r="G455" s="116"/>
      <c r="H455" s="116"/>
      <c r="I455" s="373"/>
      <c r="J455" s="147"/>
      <c r="K455" s="116"/>
      <c r="L455" s="116"/>
      <c r="M455" s="116"/>
      <c r="N455" s="116"/>
      <c r="O455" s="116"/>
      <c r="P455" s="116"/>
      <c r="Q455" s="116"/>
      <c r="R455" s="116"/>
      <c r="S455" s="116"/>
      <c r="T455" s="116"/>
      <c r="U455" s="116"/>
      <c r="V455" s="116"/>
      <c r="W455" s="116"/>
      <c r="X455" s="278"/>
      <c r="Y455" s="142"/>
      <c r="Z455" s="142"/>
      <c r="AA455" s="142"/>
      <c r="AB455" s="142"/>
      <c r="AC455" s="142"/>
      <c r="AD455" s="142"/>
      <c r="AE455" s="142"/>
      <c r="AF455" s="130"/>
      <c r="AG455" s="142"/>
      <c r="AH455" s="142"/>
      <c r="AI455" s="142"/>
      <c r="AJ455" s="130"/>
      <c r="AK455" s="130"/>
      <c r="AL455" s="130"/>
      <c r="AM455" s="130"/>
    </row>
    <row r="456" ht="15.75" customHeight="1">
      <c r="A456" s="278"/>
      <c r="B456" s="278"/>
      <c r="C456" s="278"/>
      <c r="D456" s="278"/>
      <c r="E456" s="132"/>
      <c r="F456" s="116"/>
      <c r="G456" s="116"/>
      <c r="H456" s="116"/>
      <c r="I456" s="373"/>
      <c r="J456" s="147"/>
      <c r="K456" s="116"/>
      <c r="L456" s="116"/>
      <c r="M456" s="116"/>
      <c r="N456" s="116"/>
      <c r="O456" s="116"/>
      <c r="P456" s="116"/>
      <c r="Q456" s="116"/>
      <c r="R456" s="116"/>
      <c r="S456" s="116"/>
      <c r="T456" s="116"/>
      <c r="U456" s="116"/>
      <c r="V456" s="116"/>
      <c r="W456" s="116"/>
      <c r="X456" s="278"/>
      <c r="Y456" s="142"/>
      <c r="Z456" s="142"/>
      <c r="AA456" s="142"/>
      <c r="AB456" s="142"/>
      <c r="AC456" s="142"/>
      <c r="AD456" s="142"/>
      <c r="AE456" s="142"/>
      <c r="AF456" s="130"/>
      <c r="AG456" s="142"/>
      <c r="AH456" s="142"/>
      <c r="AI456" s="142"/>
      <c r="AJ456" s="130"/>
      <c r="AK456" s="130"/>
      <c r="AL456" s="130"/>
      <c r="AM456" s="130"/>
    </row>
    <row r="457" ht="15.75" customHeight="1">
      <c r="A457" s="278"/>
      <c r="B457" s="278"/>
      <c r="C457" s="278"/>
      <c r="D457" s="278"/>
      <c r="E457" s="132"/>
      <c r="F457" s="116"/>
      <c r="G457" s="116"/>
      <c r="H457" s="116"/>
      <c r="I457" s="373"/>
      <c r="J457" s="147"/>
      <c r="K457" s="116"/>
      <c r="L457" s="116"/>
      <c r="M457" s="116"/>
      <c r="N457" s="116"/>
      <c r="O457" s="116"/>
      <c r="P457" s="116"/>
      <c r="Q457" s="116"/>
      <c r="R457" s="116"/>
      <c r="S457" s="116"/>
      <c r="T457" s="116"/>
      <c r="U457" s="116"/>
      <c r="V457" s="116"/>
      <c r="W457" s="116"/>
      <c r="X457" s="278"/>
      <c r="Y457" s="142"/>
      <c r="Z457" s="142"/>
      <c r="AA457" s="142"/>
      <c r="AB457" s="142"/>
      <c r="AC457" s="142"/>
      <c r="AD457" s="142"/>
      <c r="AE457" s="142"/>
      <c r="AF457" s="130"/>
      <c r="AG457" s="142"/>
      <c r="AH457" s="142"/>
      <c r="AI457" s="142"/>
      <c r="AJ457" s="130"/>
      <c r="AK457" s="130"/>
      <c r="AL457" s="130"/>
      <c r="AM457" s="130"/>
    </row>
    <row r="458" ht="15.75" customHeight="1">
      <c r="A458" s="278"/>
      <c r="B458" s="278"/>
      <c r="C458" s="278"/>
      <c r="D458" s="278"/>
      <c r="E458" s="132"/>
      <c r="F458" s="116"/>
      <c r="G458" s="116"/>
      <c r="H458" s="116"/>
      <c r="I458" s="373"/>
      <c r="J458" s="147"/>
      <c r="K458" s="116"/>
      <c r="L458" s="116"/>
      <c r="M458" s="116"/>
      <c r="N458" s="116"/>
      <c r="O458" s="116"/>
      <c r="P458" s="116"/>
      <c r="Q458" s="116"/>
      <c r="R458" s="116"/>
      <c r="S458" s="116"/>
      <c r="T458" s="116"/>
      <c r="U458" s="116"/>
      <c r="V458" s="116"/>
      <c r="W458" s="116"/>
      <c r="X458" s="278"/>
      <c r="Y458" s="142"/>
      <c r="Z458" s="142"/>
      <c r="AA458" s="142"/>
      <c r="AB458" s="142"/>
      <c r="AC458" s="142"/>
      <c r="AD458" s="142"/>
      <c r="AE458" s="142"/>
      <c r="AF458" s="130"/>
      <c r="AG458" s="142"/>
      <c r="AH458" s="142"/>
      <c r="AI458" s="142"/>
      <c r="AJ458" s="130"/>
      <c r="AK458" s="130"/>
      <c r="AL458" s="130"/>
      <c r="AM458" s="130"/>
    </row>
    <row r="459" ht="15.75" customHeight="1">
      <c r="A459" s="278"/>
      <c r="B459" s="278"/>
      <c r="C459" s="278"/>
      <c r="D459" s="278"/>
      <c r="E459" s="132"/>
      <c r="F459" s="116"/>
      <c r="G459" s="116"/>
      <c r="H459" s="116"/>
      <c r="I459" s="373"/>
      <c r="J459" s="147"/>
      <c r="K459" s="116"/>
      <c r="L459" s="116"/>
      <c r="M459" s="116"/>
      <c r="N459" s="116"/>
      <c r="O459" s="116"/>
      <c r="P459" s="116"/>
      <c r="Q459" s="116"/>
      <c r="R459" s="116"/>
      <c r="S459" s="116"/>
      <c r="T459" s="116"/>
      <c r="U459" s="116"/>
      <c r="V459" s="116"/>
      <c r="W459" s="116"/>
      <c r="X459" s="278"/>
      <c r="Y459" s="142"/>
      <c r="Z459" s="142"/>
      <c r="AA459" s="142"/>
      <c r="AB459" s="142"/>
      <c r="AC459" s="142"/>
      <c r="AD459" s="142"/>
      <c r="AE459" s="142"/>
      <c r="AF459" s="130"/>
      <c r="AG459" s="142"/>
      <c r="AH459" s="142"/>
      <c r="AI459" s="142"/>
      <c r="AJ459" s="130"/>
      <c r="AK459" s="130"/>
      <c r="AL459" s="130"/>
      <c r="AM459" s="130"/>
    </row>
    <row r="460" ht="15.75" customHeight="1">
      <c r="A460" s="278"/>
      <c r="B460" s="278"/>
      <c r="C460" s="278"/>
      <c r="D460" s="278"/>
      <c r="E460" s="132"/>
      <c r="F460" s="116"/>
      <c r="G460" s="116"/>
      <c r="H460" s="116"/>
      <c r="I460" s="373"/>
      <c r="J460" s="147"/>
      <c r="K460" s="116"/>
      <c r="L460" s="116"/>
      <c r="M460" s="116"/>
      <c r="N460" s="116"/>
      <c r="O460" s="116"/>
      <c r="P460" s="116"/>
      <c r="Q460" s="116"/>
      <c r="R460" s="116"/>
      <c r="S460" s="116"/>
      <c r="T460" s="116"/>
      <c r="U460" s="116"/>
      <c r="V460" s="116"/>
      <c r="W460" s="116"/>
      <c r="X460" s="278"/>
      <c r="Y460" s="142"/>
      <c r="Z460" s="142"/>
      <c r="AA460" s="142"/>
      <c r="AB460" s="142"/>
      <c r="AC460" s="142"/>
      <c r="AD460" s="142"/>
      <c r="AE460" s="142"/>
      <c r="AF460" s="130"/>
      <c r="AG460" s="142"/>
      <c r="AH460" s="142"/>
      <c r="AI460" s="142"/>
      <c r="AJ460" s="130"/>
      <c r="AK460" s="130"/>
      <c r="AL460" s="130"/>
      <c r="AM460" s="130"/>
    </row>
    <row r="461" ht="15.75" customHeight="1">
      <c r="A461" s="278"/>
      <c r="B461" s="278"/>
      <c r="C461" s="278"/>
      <c r="D461" s="278"/>
      <c r="E461" s="132"/>
      <c r="F461" s="116"/>
      <c r="G461" s="116"/>
      <c r="H461" s="116"/>
      <c r="I461" s="373"/>
      <c r="J461" s="147"/>
      <c r="K461" s="116"/>
      <c r="L461" s="116"/>
      <c r="M461" s="116"/>
      <c r="N461" s="116"/>
      <c r="O461" s="116"/>
      <c r="P461" s="116"/>
      <c r="Q461" s="116"/>
      <c r="R461" s="116"/>
      <c r="S461" s="116"/>
      <c r="T461" s="116"/>
      <c r="U461" s="116"/>
      <c r="V461" s="116"/>
      <c r="W461" s="116"/>
      <c r="X461" s="278"/>
      <c r="Y461" s="142"/>
      <c r="Z461" s="142"/>
      <c r="AA461" s="142"/>
      <c r="AB461" s="142"/>
      <c r="AC461" s="142"/>
      <c r="AD461" s="142"/>
      <c r="AE461" s="142"/>
      <c r="AF461" s="130"/>
      <c r="AG461" s="142"/>
      <c r="AH461" s="142"/>
      <c r="AI461" s="142"/>
      <c r="AJ461" s="130"/>
      <c r="AK461" s="130"/>
      <c r="AL461" s="130"/>
      <c r="AM461" s="130"/>
    </row>
    <row r="462" ht="15.75" customHeight="1">
      <c r="A462" s="278"/>
      <c r="B462" s="278"/>
      <c r="C462" s="278"/>
      <c r="D462" s="278"/>
      <c r="E462" s="132"/>
      <c r="F462" s="116"/>
      <c r="G462" s="116"/>
      <c r="H462" s="116"/>
      <c r="I462" s="373"/>
      <c r="J462" s="147"/>
      <c r="K462" s="116"/>
      <c r="L462" s="116"/>
      <c r="M462" s="116"/>
      <c r="N462" s="116"/>
      <c r="O462" s="116"/>
      <c r="P462" s="116"/>
      <c r="Q462" s="116"/>
      <c r="R462" s="116"/>
      <c r="S462" s="116"/>
      <c r="T462" s="116"/>
      <c r="U462" s="116"/>
      <c r="V462" s="116"/>
      <c r="W462" s="116"/>
      <c r="X462" s="278"/>
      <c r="Y462" s="142"/>
      <c r="Z462" s="142"/>
      <c r="AA462" s="142"/>
      <c r="AB462" s="142"/>
      <c r="AC462" s="142"/>
      <c r="AD462" s="142"/>
      <c r="AE462" s="142"/>
      <c r="AF462" s="130"/>
      <c r="AG462" s="142"/>
      <c r="AH462" s="142"/>
      <c r="AI462" s="142"/>
      <c r="AJ462" s="130"/>
      <c r="AK462" s="130"/>
      <c r="AL462" s="130"/>
      <c r="AM462" s="130"/>
    </row>
    <row r="463" ht="15.75" customHeight="1">
      <c r="A463" s="278"/>
      <c r="B463" s="278"/>
      <c r="C463" s="278"/>
      <c r="D463" s="278"/>
      <c r="E463" s="132"/>
      <c r="F463" s="116"/>
      <c r="G463" s="116"/>
      <c r="H463" s="116"/>
      <c r="I463" s="373"/>
      <c r="J463" s="147"/>
      <c r="K463" s="116"/>
      <c r="L463" s="116"/>
      <c r="M463" s="116"/>
      <c r="N463" s="116"/>
      <c r="O463" s="116"/>
      <c r="P463" s="116"/>
      <c r="Q463" s="116"/>
      <c r="R463" s="116"/>
      <c r="S463" s="116"/>
      <c r="T463" s="116"/>
      <c r="U463" s="116"/>
      <c r="V463" s="116"/>
      <c r="W463" s="116"/>
      <c r="X463" s="278"/>
      <c r="Y463" s="142"/>
      <c r="Z463" s="142"/>
      <c r="AA463" s="142"/>
      <c r="AB463" s="142"/>
      <c r="AC463" s="142"/>
      <c r="AD463" s="142"/>
      <c r="AE463" s="142"/>
      <c r="AF463" s="130"/>
      <c r="AG463" s="142"/>
      <c r="AH463" s="142"/>
      <c r="AI463" s="142"/>
      <c r="AJ463" s="130"/>
      <c r="AK463" s="130"/>
      <c r="AL463" s="130"/>
      <c r="AM463" s="130"/>
    </row>
    <row r="464" ht="15.75" customHeight="1">
      <c r="A464" s="278"/>
      <c r="B464" s="278"/>
      <c r="C464" s="278"/>
      <c r="D464" s="278"/>
      <c r="E464" s="132"/>
      <c r="F464" s="116"/>
      <c r="G464" s="116"/>
      <c r="H464" s="116"/>
      <c r="I464" s="373"/>
      <c r="J464" s="147"/>
      <c r="K464" s="116"/>
      <c r="L464" s="116"/>
      <c r="M464" s="116"/>
      <c r="N464" s="116"/>
      <c r="O464" s="116"/>
      <c r="P464" s="116"/>
      <c r="Q464" s="116"/>
      <c r="R464" s="116"/>
      <c r="S464" s="116"/>
      <c r="T464" s="116"/>
      <c r="U464" s="116"/>
      <c r="V464" s="116"/>
      <c r="W464" s="116"/>
      <c r="X464" s="278"/>
      <c r="Y464" s="142"/>
      <c r="Z464" s="142"/>
      <c r="AA464" s="142"/>
      <c r="AB464" s="142"/>
      <c r="AC464" s="142"/>
      <c r="AD464" s="142"/>
      <c r="AE464" s="142"/>
      <c r="AF464" s="130"/>
      <c r="AG464" s="142"/>
      <c r="AH464" s="142"/>
      <c r="AI464" s="142"/>
      <c r="AJ464" s="130"/>
      <c r="AK464" s="130"/>
      <c r="AL464" s="130"/>
      <c r="AM464" s="130"/>
    </row>
    <row r="465" ht="15.75" customHeight="1">
      <c r="A465" s="278"/>
      <c r="B465" s="278"/>
      <c r="C465" s="278"/>
      <c r="D465" s="278"/>
      <c r="E465" s="132"/>
      <c r="F465" s="116"/>
      <c r="G465" s="116"/>
      <c r="H465" s="116"/>
      <c r="I465" s="373"/>
      <c r="J465" s="147"/>
      <c r="K465" s="116"/>
      <c r="L465" s="116"/>
      <c r="M465" s="116"/>
      <c r="N465" s="116"/>
      <c r="O465" s="116"/>
      <c r="P465" s="116"/>
      <c r="Q465" s="116"/>
      <c r="R465" s="116"/>
      <c r="S465" s="116"/>
      <c r="T465" s="116"/>
      <c r="U465" s="116"/>
      <c r="V465" s="116"/>
      <c r="W465" s="116"/>
      <c r="X465" s="278"/>
      <c r="Y465" s="142"/>
      <c r="Z465" s="142"/>
      <c r="AA465" s="142"/>
      <c r="AB465" s="142"/>
      <c r="AC465" s="142"/>
      <c r="AD465" s="142"/>
      <c r="AE465" s="142"/>
      <c r="AF465" s="130"/>
      <c r="AG465" s="142"/>
      <c r="AH465" s="142"/>
      <c r="AI465" s="142"/>
      <c r="AJ465" s="130"/>
      <c r="AK465" s="130"/>
      <c r="AL465" s="130"/>
      <c r="AM465" s="130"/>
    </row>
    <row r="466" ht="15.75" customHeight="1">
      <c r="A466" s="278"/>
      <c r="B466" s="278"/>
      <c r="C466" s="278"/>
      <c r="D466" s="278"/>
      <c r="E466" s="132"/>
      <c r="F466" s="116"/>
      <c r="G466" s="116"/>
      <c r="H466" s="116"/>
      <c r="I466" s="373"/>
      <c r="J466" s="147"/>
      <c r="K466" s="116"/>
      <c r="L466" s="116"/>
      <c r="M466" s="116"/>
      <c r="N466" s="116"/>
      <c r="O466" s="116"/>
      <c r="P466" s="116"/>
      <c r="Q466" s="116"/>
      <c r="R466" s="116"/>
      <c r="S466" s="116"/>
      <c r="T466" s="116"/>
      <c r="U466" s="116"/>
      <c r="V466" s="116"/>
      <c r="W466" s="116"/>
      <c r="X466" s="278"/>
      <c r="Y466" s="142"/>
      <c r="Z466" s="142"/>
      <c r="AA466" s="142"/>
      <c r="AB466" s="142"/>
      <c r="AC466" s="142"/>
      <c r="AD466" s="142"/>
      <c r="AE466" s="142"/>
      <c r="AF466" s="130"/>
      <c r="AG466" s="142"/>
      <c r="AH466" s="142"/>
      <c r="AI466" s="142"/>
      <c r="AJ466" s="130"/>
      <c r="AK466" s="130"/>
      <c r="AL466" s="130"/>
      <c r="AM466" s="130"/>
    </row>
    <row r="467" ht="15.75" customHeight="1">
      <c r="A467" s="278"/>
      <c r="B467" s="278"/>
      <c r="C467" s="278"/>
      <c r="D467" s="278"/>
      <c r="E467" s="132"/>
      <c r="F467" s="116"/>
      <c r="G467" s="116"/>
      <c r="H467" s="116"/>
      <c r="I467" s="373"/>
      <c r="J467" s="147"/>
      <c r="K467" s="116"/>
      <c r="L467" s="116"/>
      <c r="M467" s="116"/>
      <c r="N467" s="116"/>
      <c r="O467" s="116"/>
      <c r="P467" s="116"/>
      <c r="Q467" s="116"/>
      <c r="R467" s="116"/>
      <c r="S467" s="116"/>
      <c r="T467" s="116"/>
      <c r="U467" s="116"/>
      <c r="V467" s="116"/>
      <c r="W467" s="116"/>
      <c r="X467" s="278"/>
      <c r="Y467" s="142"/>
      <c r="Z467" s="142"/>
      <c r="AA467" s="142"/>
      <c r="AB467" s="142"/>
      <c r="AC467" s="142"/>
      <c r="AD467" s="142"/>
      <c r="AE467" s="142"/>
      <c r="AF467" s="130"/>
      <c r="AG467" s="142"/>
      <c r="AH467" s="142"/>
      <c r="AI467" s="142"/>
      <c r="AJ467" s="130"/>
      <c r="AK467" s="130"/>
      <c r="AL467" s="130"/>
      <c r="AM467" s="130"/>
    </row>
    <row r="468" ht="15.75" customHeight="1">
      <c r="A468" s="278"/>
      <c r="B468" s="278"/>
      <c r="C468" s="278"/>
      <c r="D468" s="278"/>
      <c r="E468" s="132"/>
      <c r="F468" s="116"/>
      <c r="G468" s="116"/>
      <c r="H468" s="116"/>
      <c r="I468" s="373"/>
      <c r="J468" s="147"/>
      <c r="K468" s="116"/>
      <c r="L468" s="116"/>
      <c r="M468" s="116"/>
      <c r="N468" s="116"/>
      <c r="O468" s="116"/>
      <c r="P468" s="116"/>
      <c r="Q468" s="116"/>
      <c r="R468" s="116"/>
      <c r="S468" s="116"/>
      <c r="T468" s="116"/>
      <c r="U468" s="116"/>
      <c r="V468" s="116"/>
      <c r="W468" s="116"/>
      <c r="X468" s="278"/>
      <c r="Y468" s="142"/>
      <c r="Z468" s="142"/>
      <c r="AA468" s="142"/>
      <c r="AB468" s="142"/>
      <c r="AC468" s="142"/>
      <c r="AD468" s="142"/>
      <c r="AE468" s="142"/>
      <c r="AF468" s="130"/>
      <c r="AG468" s="142"/>
      <c r="AH468" s="142"/>
      <c r="AI468" s="142"/>
      <c r="AJ468" s="130"/>
      <c r="AK468" s="130"/>
      <c r="AL468" s="130"/>
      <c r="AM468" s="130"/>
    </row>
    <row r="469" ht="15.75" customHeight="1">
      <c r="A469" s="278"/>
      <c r="B469" s="278"/>
      <c r="C469" s="278"/>
      <c r="D469" s="278"/>
      <c r="E469" s="132"/>
      <c r="F469" s="116"/>
      <c r="G469" s="116"/>
      <c r="H469" s="116"/>
      <c r="I469" s="373"/>
      <c r="J469" s="147"/>
      <c r="K469" s="116"/>
      <c r="L469" s="116"/>
      <c r="M469" s="116"/>
      <c r="N469" s="116"/>
      <c r="O469" s="116"/>
      <c r="P469" s="116"/>
      <c r="Q469" s="116"/>
      <c r="R469" s="116"/>
      <c r="S469" s="116"/>
      <c r="T469" s="116"/>
      <c r="U469" s="116"/>
      <c r="V469" s="116"/>
      <c r="W469" s="116"/>
      <c r="X469" s="278"/>
      <c r="Y469" s="142"/>
      <c r="Z469" s="142"/>
      <c r="AA469" s="142"/>
      <c r="AB469" s="142"/>
      <c r="AC469" s="142"/>
      <c r="AD469" s="142"/>
      <c r="AE469" s="142"/>
      <c r="AF469" s="130"/>
      <c r="AG469" s="142"/>
      <c r="AH469" s="142"/>
      <c r="AI469" s="142"/>
      <c r="AJ469" s="130"/>
      <c r="AK469" s="130"/>
      <c r="AL469" s="130"/>
      <c r="AM469" s="130"/>
    </row>
    <row r="470" ht="15.75" customHeight="1">
      <c r="A470" s="278"/>
      <c r="B470" s="278"/>
      <c r="C470" s="278"/>
      <c r="D470" s="278"/>
      <c r="E470" s="132"/>
      <c r="F470" s="116"/>
      <c r="G470" s="116"/>
      <c r="H470" s="116"/>
      <c r="I470" s="373"/>
      <c r="J470" s="147"/>
      <c r="K470" s="116"/>
      <c r="L470" s="116"/>
      <c r="M470" s="116"/>
      <c r="N470" s="116"/>
      <c r="O470" s="116"/>
      <c r="P470" s="116"/>
      <c r="Q470" s="116"/>
      <c r="R470" s="116"/>
      <c r="S470" s="116"/>
      <c r="T470" s="116"/>
      <c r="U470" s="116"/>
      <c r="V470" s="116"/>
      <c r="W470" s="116"/>
      <c r="X470" s="278"/>
      <c r="Y470" s="142"/>
      <c r="Z470" s="142"/>
      <c r="AA470" s="142"/>
      <c r="AB470" s="142"/>
      <c r="AC470" s="142"/>
      <c r="AD470" s="142"/>
      <c r="AE470" s="142"/>
      <c r="AF470" s="130"/>
      <c r="AG470" s="142"/>
      <c r="AH470" s="142"/>
      <c r="AI470" s="142"/>
      <c r="AJ470" s="130"/>
      <c r="AK470" s="130"/>
      <c r="AL470" s="130"/>
      <c r="AM470" s="130"/>
    </row>
    <row r="471" ht="15.75" customHeight="1">
      <c r="A471" s="278"/>
      <c r="B471" s="278"/>
      <c r="C471" s="278"/>
      <c r="D471" s="278"/>
      <c r="E471" s="132"/>
      <c r="F471" s="116"/>
      <c r="G471" s="116"/>
      <c r="H471" s="116"/>
      <c r="I471" s="373"/>
      <c r="J471" s="147"/>
      <c r="K471" s="116"/>
      <c r="L471" s="116"/>
      <c r="M471" s="116"/>
      <c r="N471" s="116"/>
      <c r="O471" s="116"/>
      <c r="P471" s="116"/>
      <c r="Q471" s="116"/>
      <c r="R471" s="116"/>
      <c r="S471" s="116"/>
      <c r="T471" s="116"/>
      <c r="U471" s="116"/>
      <c r="V471" s="116"/>
      <c r="W471" s="116"/>
      <c r="X471" s="278"/>
      <c r="Y471" s="142"/>
      <c r="Z471" s="142"/>
      <c r="AA471" s="142"/>
      <c r="AB471" s="142"/>
      <c r="AC471" s="142"/>
      <c r="AD471" s="142"/>
      <c r="AE471" s="142"/>
      <c r="AF471" s="130"/>
      <c r="AG471" s="142"/>
      <c r="AH471" s="142"/>
      <c r="AI471" s="142"/>
      <c r="AJ471" s="130"/>
      <c r="AK471" s="130"/>
      <c r="AL471" s="130"/>
      <c r="AM471" s="130"/>
    </row>
    <row r="472" ht="15.75" customHeight="1">
      <c r="A472" s="278"/>
      <c r="B472" s="278"/>
      <c r="C472" s="278"/>
      <c r="D472" s="278"/>
      <c r="E472" s="132"/>
      <c r="F472" s="116"/>
      <c r="G472" s="116"/>
      <c r="H472" s="116"/>
      <c r="I472" s="373"/>
      <c r="J472" s="147"/>
      <c r="K472" s="116"/>
      <c r="L472" s="116"/>
      <c r="M472" s="116"/>
      <c r="N472" s="116"/>
      <c r="O472" s="116"/>
      <c r="P472" s="116"/>
      <c r="Q472" s="116"/>
      <c r="R472" s="116"/>
      <c r="S472" s="116"/>
      <c r="T472" s="116"/>
      <c r="U472" s="116"/>
      <c r="V472" s="116"/>
      <c r="W472" s="116"/>
      <c r="X472" s="278"/>
      <c r="Y472" s="142"/>
      <c r="Z472" s="142"/>
      <c r="AA472" s="142"/>
      <c r="AB472" s="142"/>
      <c r="AC472" s="142"/>
      <c r="AD472" s="142"/>
      <c r="AE472" s="142"/>
      <c r="AF472" s="130"/>
      <c r="AG472" s="142"/>
      <c r="AH472" s="142"/>
      <c r="AI472" s="142"/>
      <c r="AJ472" s="130"/>
      <c r="AK472" s="130"/>
      <c r="AL472" s="130"/>
      <c r="AM472" s="130"/>
    </row>
    <row r="473" ht="15.75" customHeight="1">
      <c r="A473" s="278"/>
      <c r="B473" s="278"/>
      <c r="C473" s="278"/>
      <c r="D473" s="278"/>
      <c r="E473" s="132"/>
      <c r="F473" s="116"/>
      <c r="G473" s="116"/>
      <c r="H473" s="116"/>
      <c r="I473" s="373"/>
      <c r="J473" s="147"/>
      <c r="K473" s="116"/>
      <c r="L473" s="116"/>
      <c r="M473" s="116"/>
      <c r="N473" s="116"/>
      <c r="O473" s="116"/>
      <c r="P473" s="116"/>
      <c r="Q473" s="116"/>
      <c r="R473" s="116"/>
      <c r="S473" s="116"/>
      <c r="T473" s="116"/>
      <c r="U473" s="116"/>
      <c r="V473" s="116"/>
      <c r="W473" s="116"/>
      <c r="X473" s="278"/>
      <c r="Y473" s="142"/>
      <c r="Z473" s="142"/>
      <c r="AA473" s="142"/>
      <c r="AB473" s="142"/>
      <c r="AC473" s="142"/>
      <c r="AD473" s="142"/>
      <c r="AE473" s="142"/>
      <c r="AF473" s="130"/>
      <c r="AG473" s="142"/>
      <c r="AH473" s="142"/>
      <c r="AI473" s="142"/>
      <c r="AJ473" s="130"/>
      <c r="AK473" s="130"/>
      <c r="AL473" s="130"/>
      <c r="AM473" s="130"/>
    </row>
    <row r="474" ht="15.75" customHeight="1">
      <c r="A474" s="278"/>
      <c r="B474" s="278"/>
      <c r="C474" s="278"/>
      <c r="D474" s="278"/>
      <c r="E474" s="132"/>
      <c r="F474" s="116"/>
      <c r="G474" s="116"/>
      <c r="H474" s="116"/>
      <c r="I474" s="373"/>
      <c r="J474" s="147"/>
      <c r="K474" s="116"/>
      <c r="L474" s="116"/>
      <c r="M474" s="116"/>
      <c r="N474" s="116"/>
      <c r="O474" s="116"/>
      <c r="P474" s="116"/>
      <c r="Q474" s="116"/>
      <c r="R474" s="116"/>
      <c r="S474" s="116"/>
      <c r="T474" s="116"/>
      <c r="U474" s="116"/>
      <c r="V474" s="116"/>
      <c r="W474" s="116"/>
      <c r="X474" s="278"/>
      <c r="Y474" s="142"/>
      <c r="Z474" s="142"/>
      <c r="AA474" s="142"/>
      <c r="AB474" s="142"/>
      <c r="AC474" s="142"/>
      <c r="AD474" s="142"/>
      <c r="AE474" s="142"/>
      <c r="AF474" s="130"/>
      <c r="AG474" s="142"/>
      <c r="AH474" s="142"/>
      <c r="AI474" s="142"/>
      <c r="AJ474" s="130"/>
      <c r="AK474" s="130"/>
      <c r="AL474" s="130"/>
      <c r="AM474" s="130"/>
    </row>
    <row r="475" ht="15.75" customHeight="1">
      <c r="A475" s="278"/>
      <c r="B475" s="278"/>
      <c r="C475" s="278"/>
      <c r="D475" s="278"/>
      <c r="E475" s="132"/>
      <c r="F475" s="116"/>
      <c r="G475" s="116"/>
      <c r="H475" s="116"/>
      <c r="I475" s="373"/>
      <c r="J475" s="147"/>
      <c r="K475" s="116"/>
      <c r="L475" s="116"/>
      <c r="M475" s="116"/>
      <c r="N475" s="116"/>
      <c r="O475" s="116"/>
      <c r="P475" s="116"/>
      <c r="Q475" s="116"/>
      <c r="R475" s="116"/>
      <c r="S475" s="116"/>
      <c r="T475" s="116"/>
      <c r="U475" s="116"/>
      <c r="V475" s="116"/>
      <c r="W475" s="116"/>
      <c r="X475" s="278"/>
      <c r="Y475" s="142"/>
      <c r="Z475" s="142"/>
      <c r="AA475" s="142"/>
      <c r="AB475" s="142"/>
      <c r="AC475" s="142"/>
      <c r="AD475" s="142"/>
      <c r="AE475" s="142"/>
      <c r="AF475" s="130"/>
      <c r="AG475" s="142"/>
      <c r="AH475" s="142"/>
      <c r="AI475" s="142"/>
      <c r="AJ475" s="130"/>
      <c r="AK475" s="130"/>
      <c r="AL475" s="130"/>
      <c r="AM475" s="130"/>
    </row>
    <row r="476" ht="15.75" customHeight="1">
      <c r="A476" s="278"/>
      <c r="B476" s="278"/>
      <c r="C476" s="278"/>
      <c r="D476" s="278"/>
      <c r="E476" s="132"/>
      <c r="F476" s="116"/>
      <c r="G476" s="116"/>
      <c r="H476" s="116"/>
      <c r="I476" s="373"/>
      <c r="J476" s="147"/>
      <c r="K476" s="116"/>
      <c r="L476" s="116"/>
      <c r="M476" s="116"/>
      <c r="N476" s="116"/>
      <c r="O476" s="116"/>
      <c r="P476" s="116"/>
      <c r="Q476" s="116"/>
      <c r="R476" s="116"/>
      <c r="S476" s="116"/>
      <c r="T476" s="116"/>
      <c r="U476" s="116"/>
      <c r="V476" s="116"/>
      <c r="W476" s="116"/>
      <c r="X476" s="278"/>
      <c r="Y476" s="142"/>
      <c r="Z476" s="142"/>
      <c r="AA476" s="142"/>
      <c r="AB476" s="142"/>
      <c r="AC476" s="142"/>
      <c r="AD476" s="142"/>
      <c r="AE476" s="142"/>
      <c r="AF476" s="130"/>
      <c r="AG476" s="142"/>
      <c r="AH476" s="142"/>
      <c r="AI476" s="142"/>
      <c r="AJ476" s="130"/>
      <c r="AK476" s="130"/>
      <c r="AL476" s="130"/>
      <c r="AM476" s="130"/>
    </row>
    <row r="477" ht="15.75" customHeight="1">
      <c r="A477" s="278"/>
      <c r="B477" s="278"/>
      <c r="C477" s="278"/>
      <c r="D477" s="278"/>
      <c r="E477" s="132"/>
      <c r="F477" s="116"/>
      <c r="G477" s="116"/>
      <c r="H477" s="116"/>
      <c r="I477" s="373"/>
      <c r="J477" s="147"/>
      <c r="K477" s="116"/>
      <c r="L477" s="116"/>
      <c r="M477" s="116"/>
      <c r="N477" s="116"/>
      <c r="O477" s="116"/>
      <c r="P477" s="116"/>
      <c r="Q477" s="116"/>
      <c r="R477" s="116"/>
      <c r="S477" s="116"/>
      <c r="T477" s="116"/>
      <c r="U477" s="116"/>
      <c r="V477" s="116"/>
      <c r="W477" s="116"/>
      <c r="X477" s="278"/>
      <c r="Y477" s="142"/>
      <c r="Z477" s="142"/>
      <c r="AA477" s="142"/>
      <c r="AB477" s="142"/>
      <c r="AC477" s="142"/>
      <c r="AD477" s="142"/>
      <c r="AE477" s="142"/>
      <c r="AF477" s="130"/>
      <c r="AG477" s="142"/>
      <c r="AH477" s="142"/>
      <c r="AI477" s="142"/>
      <c r="AJ477" s="130"/>
      <c r="AK477" s="130"/>
      <c r="AL477" s="130"/>
      <c r="AM477" s="130"/>
    </row>
    <row r="478" ht="15.75" customHeight="1">
      <c r="A478" s="278"/>
      <c r="B478" s="278"/>
      <c r="C478" s="278"/>
      <c r="D478" s="278"/>
      <c r="E478" s="132"/>
      <c r="F478" s="116"/>
      <c r="G478" s="116"/>
      <c r="H478" s="116"/>
      <c r="I478" s="373"/>
      <c r="J478" s="147"/>
      <c r="K478" s="116"/>
      <c r="L478" s="116"/>
      <c r="M478" s="116"/>
      <c r="N478" s="116"/>
      <c r="O478" s="116"/>
      <c r="P478" s="116"/>
      <c r="Q478" s="116"/>
      <c r="R478" s="116"/>
      <c r="S478" s="116"/>
      <c r="T478" s="116"/>
      <c r="U478" s="116"/>
      <c r="V478" s="116"/>
      <c r="W478" s="116"/>
      <c r="X478" s="278"/>
      <c r="Y478" s="142"/>
      <c r="Z478" s="142"/>
      <c r="AA478" s="142"/>
      <c r="AB478" s="142"/>
      <c r="AC478" s="142"/>
      <c r="AD478" s="142"/>
      <c r="AE478" s="142"/>
      <c r="AF478" s="130"/>
      <c r="AG478" s="142"/>
      <c r="AH478" s="142"/>
      <c r="AI478" s="142"/>
      <c r="AJ478" s="130"/>
      <c r="AK478" s="130"/>
      <c r="AL478" s="130"/>
      <c r="AM478" s="130"/>
    </row>
    <row r="479" ht="15.75" customHeight="1">
      <c r="A479" s="278"/>
      <c r="B479" s="278"/>
      <c r="C479" s="278"/>
      <c r="D479" s="278"/>
      <c r="E479" s="132"/>
      <c r="F479" s="116"/>
      <c r="G479" s="116"/>
      <c r="H479" s="116"/>
      <c r="I479" s="373"/>
      <c r="J479" s="147"/>
      <c r="K479" s="116"/>
      <c r="L479" s="116"/>
      <c r="M479" s="116"/>
      <c r="N479" s="116"/>
      <c r="O479" s="116"/>
      <c r="P479" s="116"/>
      <c r="Q479" s="116"/>
      <c r="R479" s="116"/>
      <c r="S479" s="116"/>
      <c r="T479" s="116"/>
      <c r="U479" s="116"/>
      <c r="V479" s="116"/>
      <c r="W479" s="116"/>
      <c r="X479" s="278"/>
      <c r="Y479" s="142"/>
      <c r="Z479" s="142"/>
      <c r="AA479" s="142"/>
      <c r="AB479" s="142"/>
      <c r="AC479" s="142"/>
      <c r="AD479" s="142"/>
      <c r="AE479" s="142"/>
      <c r="AF479" s="130"/>
      <c r="AG479" s="142"/>
      <c r="AH479" s="142"/>
      <c r="AI479" s="142"/>
      <c r="AJ479" s="130"/>
      <c r="AK479" s="130"/>
      <c r="AL479" s="130"/>
      <c r="AM479" s="130"/>
    </row>
    <row r="480" ht="15.75" customHeight="1">
      <c r="A480" s="278"/>
      <c r="B480" s="278"/>
      <c r="C480" s="278"/>
      <c r="D480" s="278"/>
      <c r="E480" s="132"/>
      <c r="F480" s="116"/>
      <c r="G480" s="116"/>
      <c r="H480" s="116"/>
      <c r="I480" s="373"/>
      <c r="J480" s="147"/>
      <c r="K480" s="116"/>
      <c r="L480" s="116"/>
      <c r="M480" s="116"/>
      <c r="N480" s="116"/>
      <c r="O480" s="116"/>
      <c r="P480" s="116"/>
      <c r="Q480" s="116"/>
      <c r="R480" s="116"/>
      <c r="S480" s="116"/>
      <c r="T480" s="116"/>
      <c r="U480" s="116"/>
      <c r="V480" s="116"/>
      <c r="W480" s="116"/>
      <c r="X480" s="278"/>
      <c r="Y480" s="142"/>
      <c r="Z480" s="142"/>
      <c r="AA480" s="142"/>
      <c r="AB480" s="142"/>
      <c r="AC480" s="142"/>
      <c r="AD480" s="142"/>
      <c r="AE480" s="142"/>
      <c r="AF480" s="130"/>
      <c r="AG480" s="142"/>
      <c r="AH480" s="142"/>
      <c r="AI480" s="142"/>
      <c r="AJ480" s="130"/>
      <c r="AK480" s="130"/>
      <c r="AL480" s="130"/>
      <c r="AM480" s="130"/>
    </row>
    <row r="481" ht="15.75" customHeight="1">
      <c r="A481" s="278"/>
      <c r="B481" s="278"/>
      <c r="C481" s="278"/>
      <c r="D481" s="278"/>
      <c r="E481" s="132"/>
      <c r="F481" s="116"/>
      <c r="G481" s="116"/>
      <c r="H481" s="116"/>
      <c r="I481" s="373"/>
      <c r="J481" s="147"/>
      <c r="K481" s="116"/>
      <c r="L481" s="116"/>
      <c r="M481" s="116"/>
      <c r="N481" s="116"/>
      <c r="O481" s="116"/>
      <c r="P481" s="116"/>
      <c r="Q481" s="116"/>
      <c r="R481" s="116"/>
      <c r="S481" s="116"/>
      <c r="T481" s="116"/>
      <c r="U481" s="116"/>
      <c r="V481" s="116"/>
      <c r="W481" s="116"/>
      <c r="X481" s="278"/>
      <c r="Y481" s="142"/>
      <c r="Z481" s="142"/>
      <c r="AA481" s="142"/>
      <c r="AB481" s="142"/>
      <c r="AC481" s="142"/>
      <c r="AD481" s="142"/>
      <c r="AE481" s="142"/>
      <c r="AF481" s="130"/>
      <c r="AG481" s="142"/>
      <c r="AH481" s="142"/>
      <c r="AI481" s="142"/>
      <c r="AJ481" s="130"/>
      <c r="AK481" s="130"/>
      <c r="AL481" s="130"/>
      <c r="AM481" s="130"/>
    </row>
    <row r="482" ht="15.75" customHeight="1">
      <c r="A482" s="278"/>
      <c r="B482" s="278"/>
      <c r="C482" s="278"/>
      <c r="D482" s="278"/>
      <c r="E482" s="132"/>
      <c r="F482" s="116"/>
      <c r="G482" s="116"/>
      <c r="H482" s="116"/>
      <c r="I482" s="373"/>
      <c r="J482" s="147"/>
      <c r="K482" s="116"/>
      <c r="L482" s="116"/>
      <c r="M482" s="116"/>
      <c r="N482" s="116"/>
      <c r="O482" s="116"/>
      <c r="P482" s="116"/>
      <c r="Q482" s="116"/>
      <c r="R482" s="116"/>
      <c r="S482" s="116"/>
      <c r="T482" s="116"/>
      <c r="U482" s="116"/>
      <c r="V482" s="116"/>
      <c r="W482" s="116"/>
      <c r="X482" s="278"/>
      <c r="Y482" s="142"/>
      <c r="Z482" s="142"/>
      <c r="AA482" s="142"/>
      <c r="AB482" s="142"/>
      <c r="AC482" s="142"/>
      <c r="AD482" s="142"/>
      <c r="AE482" s="142"/>
      <c r="AF482" s="130"/>
      <c r="AG482" s="142"/>
      <c r="AH482" s="142"/>
      <c r="AI482" s="142"/>
      <c r="AJ482" s="130"/>
      <c r="AK482" s="130"/>
      <c r="AL482" s="130"/>
      <c r="AM482" s="130"/>
    </row>
    <row r="483" ht="15.75" customHeight="1">
      <c r="A483" s="278"/>
      <c r="B483" s="278"/>
      <c r="C483" s="278"/>
      <c r="D483" s="278"/>
      <c r="E483" s="132"/>
      <c r="F483" s="116"/>
      <c r="G483" s="116"/>
      <c r="H483" s="116"/>
      <c r="I483" s="373"/>
      <c r="J483" s="147"/>
      <c r="K483" s="116"/>
      <c r="L483" s="116"/>
      <c r="M483" s="116"/>
      <c r="N483" s="116"/>
      <c r="O483" s="116"/>
      <c r="P483" s="116"/>
      <c r="Q483" s="116"/>
      <c r="R483" s="116"/>
      <c r="S483" s="116"/>
      <c r="T483" s="116"/>
      <c r="U483" s="116"/>
      <c r="V483" s="116"/>
      <c r="W483" s="116"/>
      <c r="X483" s="278"/>
      <c r="Y483" s="142"/>
      <c r="Z483" s="142"/>
      <c r="AA483" s="142"/>
      <c r="AB483" s="142"/>
      <c r="AC483" s="142"/>
      <c r="AD483" s="142"/>
      <c r="AE483" s="142"/>
      <c r="AF483" s="130"/>
      <c r="AG483" s="142"/>
      <c r="AH483" s="142"/>
      <c r="AI483" s="142"/>
      <c r="AJ483" s="130"/>
      <c r="AK483" s="130"/>
      <c r="AL483" s="130"/>
      <c r="AM483" s="130"/>
    </row>
    <row r="484" ht="15.75" customHeight="1">
      <c r="A484" s="278"/>
      <c r="B484" s="278"/>
      <c r="C484" s="278"/>
      <c r="D484" s="278"/>
      <c r="E484" s="132"/>
      <c r="F484" s="116"/>
      <c r="G484" s="116"/>
      <c r="H484" s="116"/>
      <c r="I484" s="373"/>
      <c r="J484" s="147"/>
      <c r="K484" s="116"/>
      <c r="L484" s="116"/>
      <c r="M484" s="116"/>
      <c r="N484" s="116"/>
      <c r="O484" s="116"/>
      <c r="P484" s="116"/>
      <c r="Q484" s="116"/>
      <c r="R484" s="116"/>
      <c r="S484" s="116"/>
      <c r="T484" s="116"/>
      <c r="U484" s="116"/>
      <c r="V484" s="116"/>
      <c r="W484" s="116"/>
      <c r="X484" s="278"/>
      <c r="Y484" s="142"/>
      <c r="Z484" s="142"/>
      <c r="AA484" s="142"/>
      <c r="AB484" s="142"/>
      <c r="AC484" s="142"/>
      <c r="AD484" s="142"/>
      <c r="AE484" s="142"/>
      <c r="AF484" s="130"/>
      <c r="AG484" s="142"/>
      <c r="AH484" s="142"/>
      <c r="AI484" s="142"/>
      <c r="AJ484" s="130"/>
      <c r="AK484" s="130"/>
      <c r="AL484" s="130"/>
      <c r="AM484" s="130"/>
    </row>
    <row r="485" ht="15.75" customHeight="1">
      <c r="A485" s="278"/>
      <c r="B485" s="278"/>
      <c r="C485" s="278"/>
      <c r="D485" s="278"/>
      <c r="E485" s="132"/>
      <c r="F485" s="116"/>
      <c r="G485" s="116"/>
      <c r="H485" s="116"/>
      <c r="I485" s="373"/>
      <c r="J485" s="147"/>
      <c r="K485" s="116"/>
      <c r="L485" s="116"/>
      <c r="M485" s="116"/>
      <c r="N485" s="116"/>
      <c r="O485" s="116"/>
      <c r="P485" s="116"/>
      <c r="Q485" s="116"/>
      <c r="R485" s="116"/>
      <c r="S485" s="116"/>
      <c r="T485" s="116"/>
      <c r="U485" s="116"/>
      <c r="V485" s="116"/>
      <c r="W485" s="116"/>
      <c r="X485" s="278"/>
      <c r="Y485" s="142"/>
      <c r="Z485" s="142"/>
      <c r="AA485" s="142"/>
      <c r="AB485" s="142"/>
      <c r="AC485" s="142"/>
      <c r="AD485" s="142"/>
      <c r="AE485" s="142"/>
      <c r="AF485" s="130"/>
      <c r="AG485" s="142"/>
      <c r="AH485" s="142"/>
      <c r="AI485" s="142"/>
      <c r="AJ485" s="130"/>
      <c r="AK485" s="130"/>
      <c r="AL485" s="130"/>
      <c r="AM485" s="130"/>
    </row>
    <row r="486" ht="15.75" customHeight="1">
      <c r="A486" s="278"/>
      <c r="B486" s="278"/>
      <c r="C486" s="278"/>
      <c r="D486" s="278"/>
      <c r="E486" s="132"/>
      <c r="F486" s="116"/>
      <c r="G486" s="116"/>
      <c r="H486" s="116"/>
      <c r="I486" s="373"/>
      <c r="J486" s="147"/>
      <c r="K486" s="116"/>
      <c r="L486" s="116"/>
      <c r="M486" s="116"/>
      <c r="N486" s="116"/>
      <c r="O486" s="116"/>
      <c r="P486" s="116"/>
      <c r="Q486" s="116"/>
      <c r="R486" s="116"/>
      <c r="S486" s="116"/>
      <c r="T486" s="116"/>
      <c r="U486" s="116"/>
      <c r="V486" s="116"/>
      <c r="W486" s="116"/>
      <c r="X486" s="278"/>
      <c r="Y486" s="142"/>
      <c r="Z486" s="142"/>
      <c r="AA486" s="142"/>
      <c r="AB486" s="142"/>
      <c r="AC486" s="142"/>
      <c r="AD486" s="142"/>
      <c r="AE486" s="142"/>
      <c r="AF486" s="130"/>
      <c r="AG486" s="142"/>
      <c r="AH486" s="142"/>
      <c r="AI486" s="142"/>
      <c r="AJ486" s="130"/>
      <c r="AK486" s="130"/>
      <c r="AL486" s="130"/>
      <c r="AM486" s="130"/>
    </row>
    <row r="487" ht="15.75" customHeight="1">
      <c r="A487" s="278"/>
      <c r="B487" s="278"/>
      <c r="C487" s="278"/>
      <c r="D487" s="278"/>
      <c r="E487" s="132"/>
      <c r="F487" s="116"/>
      <c r="G487" s="116"/>
      <c r="H487" s="116"/>
      <c r="I487" s="373"/>
      <c r="J487" s="147"/>
      <c r="K487" s="116"/>
      <c r="L487" s="116"/>
      <c r="M487" s="116"/>
      <c r="N487" s="116"/>
      <c r="O487" s="116"/>
      <c r="P487" s="116"/>
      <c r="Q487" s="116"/>
      <c r="R487" s="116"/>
      <c r="S487" s="116"/>
      <c r="T487" s="116"/>
      <c r="U487" s="116"/>
      <c r="V487" s="116"/>
      <c r="W487" s="116"/>
      <c r="X487" s="278"/>
      <c r="Y487" s="142"/>
      <c r="Z487" s="142"/>
      <c r="AA487" s="142"/>
      <c r="AB487" s="142"/>
      <c r="AC487" s="142"/>
      <c r="AD487" s="142"/>
      <c r="AE487" s="142"/>
      <c r="AF487" s="130"/>
      <c r="AG487" s="142"/>
      <c r="AH487" s="142"/>
      <c r="AI487" s="142"/>
      <c r="AJ487" s="130"/>
      <c r="AK487" s="130"/>
      <c r="AL487" s="130"/>
      <c r="AM487" s="130"/>
    </row>
    <row r="488" ht="15.75" customHeight="1">
      <c r="A488" s="278"/>
      <c r="B488" s="278"/>
      <c r="C488" s="278"/>
      <c r="D488" s="278"/>
      <c r="E488" s="132"/>
      <c r="F488" s="116"/>
      <c r="G488" s="116"/>
      <c r="H488" s="116"/>
      <c r="I488" s="373"/>
      <c r="J488" s="147"/>
      <c r="K488" s="116"/>
      <c r="L488" s="116"/>
      <c r="M488" s="116"/>
      <c r="N488" s="116"/>
      <c r="O488" s="116"/>
      <c r="P488" s="116"/>
      <c r="Q488" s="116"/>
      <c r="R488" s="116"/>
      <c r="S488" s="116"/>
      <c r="T488" s="116"/>
      <c r="U488" s="116"/>
      <c r="V488" s="116"/>
      <c r="W488" s="116"/>
      <c r="X488" s="278"/>
      <c r="Y488" s="142"/>
      <c r="Z488" s="142"/>
      <c r="AA488" s="142"/>
      <c r="AB488" s="142"/>
      <c r="AC488" s="142"/>
      <c r="AD488" s="142"/>
      <c r="AE488" s="142"/>
      <c r="AF488" s="130"/>
      <c r="AG488" s="142"/>
      <c r="AH488" s="142"/>
      <c r="AI488" s="142"/>
      <c r="AJ488" s="130"/>
      <c r="AK488" s="130"/>
      <c r="AL488" s="130"/>
      <c r="AM488" s="130"/>
    </row>
    <row r="489" ht="15.75" customHeight="1">
      <c r="A489" s="278"/>
      <c r="B489" s="278"/>
      <c r="C489" s="278"/>
      <c r="D489" s="278"/>
      <c r="E489" s="132"/>
      <c r="F489" s="116"/>
      <c r="G489" s="116"/>
      <c r="H489" s="116"/>
      <c r="I489" s="373"/>
      <c r="J489" s="147"/>
      <c r="K489" s="116"/>
      <c r="L489" s="116"/>
      <c r="M489" s="116"/>
      <c r="N489" s="116"/>
      <c r="O489" s="116"/>
      <c r="P489" s="116"/>
      <c r="Q489" s="116"/>
      <c r="R489" s="116"/>
      <c r="S489" s="116"/>
      <c r="T489" s="116"/>
      <c r="U489" s="116"/>
      <c r="V489" s="116"/>
      <c r="W489" s="116"/>
      <c r="X489" s="278"/>
      <c r="Y489" s="142"/>
      <c r="Z489" s="142"/>
      <c r="AA489" s="142"/>
      <c r="AB489" s="142"/>
      <c r="AC489" s="142"/>
      <c r="AD489" s="142"/>
      <c r="AE489" s="142"/>
      <c r="AF489" s="130"/>
      <c r="AG489" s="142"/>
      <c r="AH489" s="142"/>
      <c r="AI489" s="142"/>
      <c r="AJ489" s="130"/>
      <c r="AK489" s="130"/>
      <c r="AL489" s="130"/>
      <c r="AM489" s="130"/>
    </row>
    <row r="490" ht="15.75" customHeight="1">
      <c r="A490" s="278"/>
      <c r="B490" s="278"/>
      <c r="C490" s="278"/>
      <c r="D490" s="278"/>
      <c r="E490" s="132"/>
      <c r="F490" s="116"/>
      <c r="G490" s="116"/>
      <c r="H490" s="116"/>
      <c r="I490" s="373"/>
      <c r="J490" s="147"/>
      <c r="K490" s="116"/>
      <c r="L490" s="116"/>
      <c r="M490" s="116"/>
      <c r="N490" s="116"/>
      <c r="O490" s="116"/>
      <c r="P490" s="116"/>
      <c r="Q490" s="116"/>
      <c r="R490" s="116"/>
      <c r="S490" s="116"/>
      <c r="T490" s="116"/>
      <c r="U490" s="116"/>
      <c r="V490" s="116"/>
      <c r="W490" s="116"/>
      <c r="X490" s="278"/>
      <c r="Y490" s="142"/>
      <c r="Z490" s="142"/>
      <c r="AA490" s="142"/>
      <c r="AB490" s="142"/>
      <c r="AC490" s="142"/>
      <c r="AD490" s="142"/>
      <c r="AE490" s="142"/>
      <c r="AF490" s="130"/>
      <c r="AG490" s="142"/>
      <c r="AH490" s="142"/>
      <c r="AI490" s="142"/>
      <c r="AJ490" s="130"/>
      <c r="AK490" s="130"/>
      <c r="AL490" s="130"/>
      <c r="AM490" s="130"/>
    </row>
    <row r="491" ht="15.75" customHeight="1">
      <c r="A491" s="278"/>
      <c r="B491" s="278"/>
      <c r="C491" s="278"/>
      <c r="D491" s="278"/>
      <c r="E491" s="132"/>
      <c r="F491" s="116"/>
      <c r="G491" s="116"/>
      <c r="H491" s="116"/>
      <c r="I491" s="373"/>
      <c r="J491" s="147"/>
      <c r="K491" s="116"/>
      <c r="L491" s="116"/>
      <c r="M491" s="116"/>
      <c r="N491" s="116"/>
      <c r="O491" s="116"/>
      <c r="P491" s="116"/>
      <c r="Q491" s="116"/>
      <c r="R491" s="116"/>
      <c r="S491" s="116"/>
      <c r="T491" s="116"/>
      <c r="U491" s="116"/>
      <c r="V491" s="116"/>
      <c r="W491" s="116"/>
      <c r="X491" s="278"/>
      <c r="Y491" s="142"/>
      <c r="Z491" s="142"/>
      <c r="AA491" s="142"/>
      <c r="AB491" s="142"/>
      <c r="AC491" s="142"/>
      <c r="AD491" s="142"/>
      <c r="AE491" s="142"/>
      <c r="AF491" s="130"/>
      <c r="AG491" s="142"/>
      <c r="AH491" s="142"/>
      <c r="AI491" s="142"/>
      <c r="AJ491" s="130"/>
      <c r="AK491" s="130"/>
      <c r="AL491" s="130"/>
      <c r="AM491" s="130"/>
    </row>
    <row r="492" ht="15.75" customHeight="1">
      <c r="A492" s="278"/>
      <c r="B492" s="278"/>
      <c r="C492" s="278"/>
      <c r="D492" s="278"/>
      <c r="E492" s="132"/>
      <c r="F492" s="116"/>
      <c r="G492" s="116"/>
      <c r="H492" s="116"/>
      <c r="I492" s="373"/>
      <c r="J492" s="147"/>
      <c r="K492" s="116"/>
      <c r="L492" s="116"/>
      <c r="M492" s="116"/>
      <c r="N492" s="116"/>
      <c r="O492" s="116"/>
      <c r="P492" s="116"/>
      <c r="Q492" s="116"/>
      <c r="R492" s="116"/>
      <c r="S492" s="116"/>
      <c r="T492" s="116"/>
      <c r="U492" s="116"/>
      <c r="V492" s="116"/>
      <c r="W492" s="116"/>
      <c r="X492" s="278"/>
      <c r="Y492" s="142"/>
      <c r="Z492" s="142"/>
      <c r="AA492" s="142"/>
      <c r="AB492" s="142"/>
      <c r="AC492" s="142"/>
      <c r="AD492" s="142"/>
      <c r="AE492" s="142"/>
      <c r="AF492" s="130"/>
      <c r="AG492" s="142"/>
      <c r="AH492" s="142"/>
      <c r="AI492" s="142"/>
      <c r="AJ492" s="130"/>
      <c r="AK492" s="130"/>
      <c r="AL492" s="130"/>
      <c r="AM492" s="130"/>
    </row>
    <row r="493" ht="15.75" customHeight="1">
      <c r="A493" s="278"/>
      <c r="B493" s="278"/>
      <c r="C493" s="278"/>
      <c r="D493" s="278"/>
      <c r="E493" s="132"/>
      <c r="F493" s="116"/>
      <c r="G493" s="116"/>
      <c r="H493" s="116"/>
      <c r="I493" s="373"/>
      <c r="J493" s="147"/>
      <c r="K493" s="116"/>
      <c r="L493" s="116"/>
      <c r="M493" s="116"/>
      <c r="N493" s="116"/>
      <c r="O493" s="116"/>
      <c r="P493" s="116"/>
      <c r="Q493" s="116"/>
      <c r="R493" s="116"/>
      <c r="S493" s="116"/>
      <c r="T493" s="116"/>
      <c r="U493" s="116"/>
      <c r="V493" s="116"/>
      <c r="W493" s="116"/>
      <c r="X493" s="278"/>
      <c r="Y493" s="142"/>
      <c r="Z493" s="142"/>
      <c r="AA493" s="142"/>
      <c r="AB493" s="142"/>
      <c r="AC493" s="142"/>
      <c r="AD493" s="142"/>
      <c r="AE493" s="142"/>
      <c r="AF493" s="130"/>
      <c r="AG493" s="142"/>
      <c r="AH493" s="142"/>
      <c r="AI493" s="142"/>
      <c r="AJ493" s="130"/>
      <c r="AK493" s="130"/>
      <c r="AL493" s="130"/>
      <c r="AM493" s="130"/>
    </row>
    <row r="494" ht="15.75" customHeight="1">
      <c r="A494" s="278"/>
      <c r="B494" s="278"/>
      <c r="C494" s="278"/>
      <c r="D494" s="278"/>
      <c r="E494" s="132"/>
      <c r="F494" s="116"/>
      <c r="G494" s="116"/>
      <c r="H494" s="116"/>
      <c r="I494" s="373"/>
      <c r="J494" s="147"/>
      <c r="K494" s="116"/>
      <c r="L494" s="116"/>
      <c r="M494" s="116"/>
      <c r="N494" s="116"/>
      <c r="O494" s="116"/>
      <c r="P494" s="116"/>
      <c r="Q494" s="116"/>
      <c r="R494" s="116"/>
      <c r="S494" s="116"/>
      <c r="T494" s="116"/>
      <c r="U494" s="116"/>
      <c r="V494" s="116"/>
      <c r="W494" s="116"/>
      <c r="X494" s="278"/>
      <c r="Y494" s="142"/>
      <c r="Z494" s="142"/>
      <c r="AA494" s="142"/>
      <c r="AB494" s="142"/>
      <c r="AC494" s="142"/>
      <c r="AD494" s="142"/>
      <c r="AE494" s="142"/>
      <c r="AF494" s="130"/>
      <c r="AG494" s="142"/>
      <c r="AH494" s="142"/>
      <c r="AI494" s="142"/>
      <c r="AJ494" s="130"/>
      <c r="AK494" s="130"/>
      <c r="AL494" s="130"/>
      <c r="AM494" s="130"/>
    </row>
    <row r="495" ht="15.75" customHeight="1">
      <c r="A495" s="278"/>
      <c r="B495" s="278"/>
      <c r="C495" s="278"/>
      <c r="D495" s="278"/>
      <c r="E495" s="132"/>
      <c r="F495" s="116"/>
      <c r="G495" s="116"/>
      <c r="H495" s="116"/>
      <c r="I495" s="373"/>
      <c r="J495" s="147"/>
      <c r="K495" s="116"/>
      <c r="L495" s="116"/>
      <c r="M495" s="116"/>
      <c r="N495" s="116"/>
      <c r="O495" s="116"/>
      <c r="P495" s="116"/>
      <c r="Q495" s="116"/>
      <c r="R495" s="116"/>
      <c r="S495" s="116"/>
      <c r="T495" s="116"/>
      <c r="U495" s="116"/>
      <c r="V495" s="116"/>
      <c r="W495" s="116"/>
      <c r="X495" s="278"/>
      <c r="Y495" s="142"/>
      <c r="Z495" s="142"/>
      <c r="AA495" s="142"/>
      <c r="AB495" s="142"/>
      <c r="AC495" s="142"/>
      <c r="AD495" s="142"/>
      <c r="AE495" s="142"/>
      <c r="AF495" s="130"/>
      <c r="AG495" s="142"/>
      <c r="AH495" s="142"/>
      <c r="AI495" s="142"/>
      <c r="AJ495" s="130"/>
      <c r="AK495" s="130"/>
      <c r="AL495" s="130"/>
      <c r="AM495" s="130"/>
    </row>
    <row r="496" ht="15.75" customHeight="1">
      <c r="A496" s="278"/>
      <c r="B496" s="278"/>
      <c r="C496" s="278"/>
      <c r="D496" s="278"/>
      <c r="E496" s="132"/>
      <c r="F496" s="116"/>
      <c r="G496" s="116"/>
      <c r="H496" s="116"/>
      <c r="I496" s="373"/>
      <c r="J496" s="147"/>
      <c r="K496" s="116"/>
      <c r="L496" s="116"/>
      <c r="M496" s="116"/>
      <c r="N496" s="116"/>
      <c r="O496" s="116"/>
      <c r="P496" s="116"/>
      <c r="Q496" s="116"/>
      <c r="R496" s="116"/>
      <c r="S496" s="116"/>
      <c r="T496" s="116"/>
      <c r="U496" s="116"/>
      <c r="V496" s="116"/>
      <c r="W496" s="116"/>
      <c r="X496" s="278"/>
      <c r="Y496" s="142"/>
      <c r="Z496" s="142"/>
      <c r="AA496" s="142"/>
      <c r="AB496" s="142"/>
      <c r="AC496" s="142"/>
      <c r="AD496" s="142"/>
      <c r="AE496" s="142"/>
      <c r="AF496" s="130"/>
      <c r="AG496" s="142"/>
      <c r="AH496" s="142"/>
      <c r="AI496" s="142"/>
      <c r="AJ496" s="130"/>
      <c r="AK496" s="130"/>
      <c r="AL496" s="130"/>
      <c r="AM496" s="130"/>
    </row>
    <row r="497" ht="15.75" customHeight="1">
      <c r="A497" s="278"/>
      <c r="B497" s="278"/>
      <c r="C497" s="278"/>
      <c r="D497" s="278"/>
      <c r="E497" s="132"/>
      <c r="F497" s="116"/>
      <c r="G497" s="116"/>
      <c r="H497" s="116"/>
      <c r="I497" s="373"/>
      <c r="J497" s="147"/>
      <c r="K497" s="116"/>
      <c r="L497" s="116"/>
      <c r="M497" s="116"/>
      <c r="N497" s="116"/>
      <c r="O497" s="116"/>
      <c r="P497" s="116"/>
      <c r="Q497" s="116"/>
      <c r="R497" s="116"/>
      <c r="S497" s="116"/>
      <c r="T497" s="116"/>
      <c r="U497" s="116"/>
      <c r="V497" s="116"/>
      <c r="W497" s="116"/>
      <c r="X497" s="278"/>
      <c r="Y497" s="142"/>
      <c r="Z497" s="142"/>
      <c r="AA497" s="142"/>
      <c r="AB497" s="142"/>
      <c r="AC497" s="142"/>
      <c r="AD497" s="142"/>
      <c r="AE497" s="142"/>
      <c r="AF497" s="130"/>
      <c r="AG497" s="142"/>
      <c r="AH497" s="142"/>
      <c r="AI497" s="142"/>
      <c r="AJ497" s="130"/>
      <c r="AK497" s="130"/>
      <c r="AL497" s="130"/>
      <c r="AM497" s="130"/>
    </row>
    <row r="498" ht="15.75" customHeight="1">
      <c r="A498" s="278"/>
      <c r="B498" s="278"/>
      <c r="C498" s="278"/>
      <c r="D498" s="278"/>
      <c r="E498" s="132"/>
      <c r="F498" s="116"/>
      <c r="G498" s="116"/>
      <c r="H498" s="116"/>
      <c r="I498" s="373"/>
      <c r="J498" s="147"/>
      <c r="K498" s="116"/>
      <c r="L498" s="116"/>
      <c r="M498" s="116"/>
      <c r="N498" s="116"/>
      <c r="O498" s="116"/>
      <c r="P498" s="116"/>
      <c r="Q498" s="116"/>
      <c r="R498" s="116"/>
      <c r="S498" s="116"/>
      <c r="T498" s="116"/>
      <c r="U498" s="116"/>
      <c r="V498" s="116"/>
      <c r="W498" s="116"/>
      <c r="X498" s="278"/>
      <c r="Y498" s="142"/>
      <c r="Z498" s="142"/>
      <c r="AA498" s="142"/>
      <c r="AB498" s="142"/>
      <c r="AC498" s="142"/>
      <c r="AD498" s="142"/>
      <c r="AE498" s="142"/>
      <c r="AF498" s="130"/>
      <c r="AG498" s="142"/>
      <c r="AH498" s="142"/>
      <c r="AI498" s="142"/>
      <c r="AJ498" s="130"/>
      <c r="AK498" s="130"/>
      <c r="AL498" s="130"/>
      <c r="AM498" s="130"/>
    </row>
    <row r="499" ht="15.75" customHeight="1">
      <c r="A499" s="278"/>
      <c r="B499" s="278"/>
      <c r="C499" s="278"/>
      <c r="D499" s="278"/>
      <c r="E499" s="132"/>
      <c r="F499" s="116"/>
      <c r="G499" s="116"/>
      <c r="H499" s="116"/>
      <c r="I499" s="373"/>
      <c r="J499" s="147"/>
      <c r="K499" s="116"/>
      <c r="L499" s="116"/>
      <c r="M499" s="116"/>
      <c r="N499" s="116"/>
      <c r="O499" s="116"/>
      <c r="P499" s="116"/>
      <c r="Q499" s="116"/>
      <c r="R499" s="116"/>
      <c r="S499" s="116"/>
      <c r="T499" s="116"/>
      <c r="U499" s="116"/>
      <c r="V499" s="116"/>
      <c r="W499" s="116"/>
      <c r="X499" s="278"/>
      <c r="Y499" s="142"/>
      <c r="Z499" s="142"/>
      <c r="AA499" s="142"/>
      <c r="AB499" s="142"/>
      <c r="AC499" s="142"/>
      <c r="AD499" s="142"/>
      <c r="AE499" s="142"/>
      <c r="AF499" s="130"/>
      <c r="AG499" s="142"/>
      <c r="AH499" s="142"/>
      <c r="AI499" s="142"/>
      <c r="AJ499" s="130"/>
      <c r="AK499" s="130"/>
      <c r="AL499" s="130"/>
      <c r="AM499" s="130"/>
    </row>
    <row r="500" ht="15.75" customHeight="1">
      <c r="A500" s="278"/>
      <c r="B500" s="278"/>
      <c r="C500" s="278"/>
      <c r="D500" s="278"/>
      <c r="E500" s="132"/>
      <c r="F500" s="116"/>
      <c r="G500" s="116"/>
      <c r="H500" s="116"/>
      <c r="I500" s="373"/>
      <c r="J500" s="147"/>
      <c r="K500" s="116"/>
      <c r="L500" s="116"/>
      <c r="M500" s="116"/>
      <c r="N500" s="116"/>
      <c r="O500" s="116"/>
      <c r="P500" s="116"/>
      <c r="Q500" s="116"/>
      <c r="R500" s="116"/>
      <c r="S500" s="116"/>
      <c r="T500" s="116"/>
      <c r="U500" s="116"/>
      <c r="V500" s="116"/>
      <c r="W500" s="116"/>
      <c r="X500" s="278"/>
      <c r="Y500" s="142"/>
      <c r="Z500" s="142"/>
      <c r="AA500" s="142"/>
      <c r="AB500" s="142"/>
      <c r="AC500" s="142"/>
      <c r="AD500" s="142"/>
      <c r="AE500" s="142"/>
      <c r="AF500" s="130"/>
      <c r="AG500" s="142"/>
      <c r="AH500" s="142"/>
      <c r="AI500" s="142"/>
      <c r="AJ500" s="130"/>
      <c r="AK500" s="130"/>
      <c r="AL500" s="130"/>
      <c r="AM500" s="130"/>
    </row>
    <row r="501" ht="15.75" customHeight="1">
      <c r="A501" s="278"/>
      <c r="B501" s="278"/>
      <c r="C501" s="278"/>
      <c r="D501" s="278"/>
      <c r="E501" s="132"/>
      <c r="F501" s="116"/>
      <c r="G501" s="116"/>
      <c r="H501" s="116"/>
      <c r="I501" s="373"/>
      <c r="J501" s="147"/>
      <c r="K501" s="116"/>
      <c r="L501" s="116"/>
      <c r="M501" s="116"/>
      <c r="N501" s="116"/>
      <c r="O501" s="116"/>
      <c r="P501" s="116"/>
      <c r="Q501" s="116"/>
      <c r="R501" s="116"/>
      <c r="S501" s="116"/>
      <c r="T501" s="116"/>
      <c r="U501" s="116"/>
      <c r="V501" s="116"/>
      <c r="W501" s="116"/>
      <c r="X501" s="278"/>
      <c r="Y501" s="142"/>
      <c r="Z501" s="142"/>
      <c r="AA501" s="142"/>
      <c r="AB501" s="142"/>
      <c r="AC501" s="142"/>
      <c r="AD501" s="142"/>
      <c r="AE501" s="142"/>
      <c r="AF501" s="130"/>
      <c r="AG501" s="142"/>
      <c r="AH501" s="142"/>
      <c r="AI501" s="142"/>
      <c r="AJ501" s="130"/>
      <c r="AK501" s="130"/>
      <c r="AL501" s="130"/>
      <c r="AM501" s="130"/>
    </row>
    <row r="502" ht="15.75" customHeight="1">
      <c r="A502" s="278"/>
      <c r="B502" s="278"/>
      <c r="C502" s="278"/>
      <c r="D502" s="278"/>
      <c r="E502" s="132"/>
      <c r="F502" s="116"/>
      <c r="G502" s="116"/>
      <c r="H502" s="116"/>
      <c r="I502" s="373"/>
      <c r="J502" s="147"/>
      <c r="K502" s="116"/>
      <c r="L502" s="116"/>
      <c r="M502" s="116"/>
      <c r="N502" s="116"/>
      <c r="O502" s="116"/>
      <c r="P502" s="116"/>
      <c r="Q502" s="116"/>
      <c r="R502" s="116"/>
      <c r="S502" s="116"/>
      <c r="T502" s="116"/>
      <c r="U502" s="116"/>
      <c r="V502" s="116"/>
      <c r="W502" s="116"/>
      <c r="X502" s="278"/>
      <c r="Y502" s="142"/>
      <c r="Z502" s="142"/>
      <c r="AA502" s="142"/>
      <c r="AB502" s="142"/>
      <c r="AC502" s="142"/>
      <c r="AD502" s="142"/>
      <c r="AE502" s="142"/>
      <c r="AF502" s="130"/>
      <c r="AG502" s="142"/>
      <c r="AH502" s="142"/>
      <c r="AI502" s="142"/>
      <c r="AJ502" s="130"/>
      <c r="AK502" s="130"/>
      <c r="AL502" s="130"/>
      <c r="AM502" s="130"/>
    </row>
    <row r="503" ht="15.75" customHeight="1">
      <c r="A503" s="278"/>
      <c r="B503" s="278"/>
      <c r="C503" s="278"/>
      <c r="D503" s="278"/>
      <c r="E503" s="132"/>
      <c r="F503" s="116"/>
      <c r="G503" s="116"/>
      <c r="H503" s="116"/>
      <c r="I503" s="373"/>
      <c r="J503" s="147"/>
      <c r="K503" s="116"/>
      <c r="L503" s="116"/>
      <c r="M503" s="116"/>
      <c r="N503" s="116"/>
      <c r="O503" s="116"/>
      <c r="P503" s="116"/>
      <c r="Q503" s="116"/>
      <c r="R503" s="116"/>
      <c r="S503" s="116"/>
      <c r="T503" s="116"/>
      <c r="U503" s="116"/>
      <c r="V503" s="116"/>
      <c r="W503" s="116"/>
      <c r="X503" s="278"/>
      <c r="Y503" s="142"/>
      <c r="Z503" s="142"/>
      <c r="AA503" s="142"/>
      <c r="AB503" s="142"/>
      <c r="AC503" s="142"/>
      <c r="AD503" s="142"/>
      <c r="AE503" s="142"/>
      <c r="AF503" s="130"/>
      <c r="AG503" s="142"/>
      <c r="AH503" s="142"/>
      <c r="AI503" s="142"/>
      <c r="AJ503" s="130"/>
      <c r="AK503" s="130"/>
      <c r="AL503" s="130"/>
      <c r="AM503" s="130"/>
    </row>
    <row r="504" ht="15.75" customHeight="1">
      <c r="A504" s="278"/>
      <c r="B504" s="278"/>
      <c r="C504" s="278"/>
      <c r="D504" s="278"/>
      <c r="E504" s="132"/>
      <c r="F504" s="116"/>
      <c r="G504" s="116"/>
      <c r="H504" s="116"/>
      <c r="I504" s="373"/>
      <c r="J504" s="147"/>
      <c r="K504" s="116"/>
      <c r="L504" s="116"/>
      <c r="M504" s="116"/>
      <c r="N504" s="116"/>
      <c r="O504" s="116"/>
      <c r="P504" s="116"/>
      <c r="Q504" s="116"/>
      <c r="R504" s="116"/>
      <c r="S504" s="116"/>
      <c r="T504" s="116"/>
      <c r="U504" s="116"/>
      <c r="V504" s="116"/>
      <c r="W504" s="116"/>
      <c r="X504" s="278"/>
      <c r="Y504" s="142"/>
      <c r="Z504" s="142"/>
      <c r="AA504" s="142"/>
      <c r="AB504" s="142"/>
      <c r="AC504" s="142"/>
      <c r="AD504" s="142"/>
      <c r="AE504" s="142"/>
      <c r="AF504" s="130"/>
      <c r="AG504" s="142"/>
      <c r="AH504" s="142"/>
      <c r="AI504" s="142"/>
      <c r="AJ504" s="130"/>
      <c r="AK504" s="130"/>
      <c r="AL504" s="130"/>
      <c r="AM504" s="130"/>
    </row>
    <row r="505" ht="15.75" customHeight="1">
      <c r="A505" s="278"/>
      <c r="B505" s="278"/>
      <c r="C505" s="278"/>
      <c r="D505" s="278"/>
      <c r="E505" s="132"/>
      <c r="F505" s="116"/>
      <c r="G505" s="116"/>
      <c r="H505" s="116"/>
      <c r="I505" s="373"/>
      <c r="J505" s="147"/>
      <c r="K505" s="116"/>
      <c r="L505" s="116"/>
      <c r="M505" s="116"/>
      <c r="N505" s="116"/>
      <c r="O505" s="116"/>
      <c r="P505" s="116"/>
      <c r="Q505" s="116"/>
      <c r="R505" s="116"/>
      <c r="S505" s="116"/>
      <c r="T505" s="116"/>
      <c r="U505" s="116"/>
      <c r="V505" s="116"/>
      <c r="W505" s="116"/>
      <c r="X505" s="278"/>
      <c r="Y505" s="142"/>
      <c r="Z505" s="142"/>
      <c r="AA505" s="142"/>
      <c r="AB505" s="142"/>
      <c r="AC505" s="142"/>
      <c r="AD505" s="142"/>
      <c r="AE505" s="142"/>
      <c r="AF505" s="130"/>
      <c r="AG505" s="142"/>
      <c r="AH505" s="142"/>
      <c r="AI505" s="142"/>
      <c r="AJ505" s="130"/>
      <c r="AK505" s="130"/>
      <c r="AL505" s="130"/>
      <c r="AM505" s="130"/>
    </row>
    <row r="506" ht="15.75" customHeight="1">
      <c r="A506" s="278"/>
      <c r="B506" s="278"/>
      <c r="C506" s="278"/>
      <c r="D506" s="278"/>
      <c r="E506" s="132"/>
      <c r="F506" s="116"/>
      <c r="G506" s="116"/>
      <c r="H506" s="116"/>
      <c r="I506" s="373"/>
      <c r="J506" s="147"/>
      <c r="K506" s="116"/>
      <c r="L506" s="116"/>
      <c r="M506" s="116"/>
      <c r="N506" s="116"/>
      <c r="O506" s="116"/>
      <c r="P506" s="116"/>
      <c r="Q506" s="116"/>
      <c r="R506" s="116"/>
      <c r="S506" s="116"/>
      <c r="T506" s="116"/>
      <c r="U506" s="116"/>
      <c r="V506" s="116"/>
      <c r="W506" s="116"/>
      <c r="X506" s="278"/>
      <c r="Y506" s="142"/>
      <c r="Z506" s="142"/>
      <c r="AA506" s="142"/>
      <c r="AB506" s="142"/>
      <c r="AC506" s="142"/>
      <c r="AD506" s="142"/>
      <c r="AE506" s="142"/>
      <c r="AF506" s="130"/>
      <c r="AG506" s="142"/>
      <c r="AH506" s="142"/>
      <c r="AI506" s="142"/>
      <c r="AJ506" s="130"/>
      <c r="AK506" s="130"/>
      <c r="AL506" s="130"/>
      <c r="AM506" s="130"/>
    </row>
    <row r="507" ht="15.75" customHeight="1">
      <c r="A507" s="278"/>
      <c r="B507" s="278"/>
      <c r="C507" s="278"/>
      <c r="D507" s="278"/>
      <c r="E507" s="132"/>
      <c r="F507" s="116"/>
      <c r="G507" s="116"/>
      <c r="H507" s="116"/>
      <c r="I507" s="373"/>
      <c r="J507" s="147"/>
      <c r="K507" s="116"/>
      <c r="L507" s="116"/>
      <c r="M507" s="116"/>
      <c r="N507" s="116"/>
      <c r="O507" s="116"/>
      <c r="P507" s="116"/>
      <c r="Q507" s="116"/>
      <c r="R507" s="116"/>
      <c r="S507" s="116"/>
      <c r="T507" s="116"/>
      <c r="U507" s="116"/>
      <c r="V507" s="116"/>
      <c r="W507" s="116"/>
      <c r="X507" s="278"/>
      <c r="Y507" s="142"/>
      <c r="Z507" s="142"/>
      <c r="AA507" s="142"/>
      <c r="AB507" s="142"/>
      <c r="AC507" s="142"/>
      <c r="AD507" s="142"/>
      <c r="AE507" s="142"/>
      <c r="AF507" s="130"/>
      <c r="AG507" s="142"/>
      <c r="AH507" s="142"/>
      <c r="AI507" s="142"/>
      <c r="AJ507" s="130"/>
      <c r="AK507" s="130"/>
      <c r="AL507" s="130"/>
      <c r="AM507" s="130"/>
    </row>
    <row r="508" ht="15.75" customHeight="1">
      <c r="A508" s="278"/>
      <c r="B508" s="278"/>
      <c r="C508" s="278"/>
      <c r="D508" s="278"/>
      <c r="E508" s="132"/>
      <c r="F508" s="116"/>
      <c r="G508" s="116"/>
      <c r="H508" s="116"/>
      <c r="I508" s="373"/>
      <c r="J508" s="147"/>
      <c r="K508" s="116"/>
      <c r="L508" s="116"/>
      <c r="M508" s="116"/>
      <c r="N508" s="116"/>
      <c r="O508" s="116"/>
      <c r="P508" s="116"/>
      <c r="Q508" s="116"/>
      <c r="R508" s="116"/>
      <c r="S508" s="116"/>
      <c r="T508" s="116"/>
      <c r="U508" s="116"/>
      <c r="V508" s="116"/>
      <c r="W508" s="116"/>
      <c r="X508" s="278"/>
      <c r="Y508" s="142"/>
      <c r="Z508" s="142"/>
      <c r="AA508" s="142"/>
      <c r="AB508" s="142"/>
      <c r="AC508" s="142"/>
      <c r="AD508" s="142"/>
      <c r="AE508" s="142"/>
      <c r="AF508" s="130"/>
      <c r="AG508" s="142"/>
      <c r="AH508" s="142"/>
      <c r="AI508" s="142"/>
      <c r="AJ508" s="130"/>
      <c r="AK508" s="130"/>
      <c r="AL508" s="130"/>
      <c r="AM508" s="130"/>
    </row>
    <row r="509" ht="15.75" customHeight="1">
      <c r="A509" s="278"/>
      <c r="B509" s="278"/>
      <c r="C509" s="278"/>
      <c r="D509" s="278"/>
      <c r="E509" s="132"/>
      <c r="F509" s="116"/>
      <c r="G509" s="116"/>
      <c r="H509" s="116"/>
      <c r="I509" s="373"/>
      <c r="J509" s="147"/>
      <c r="K509" s="116"/>
      <c r="L509" s="116"/>
      <c r="M509" s="116"/>
      <c r="N509" s="116"/>
      <c r="O509" s="116"/>
      <c r="P509" s="116"/>
      <c r="Q509" s="116"/>
      <c r="R509" s="116"/>
      <c r="S509" s="116"/>
      <c r="T509" s="116"/>
      <c r="U509" s="116"/>
      <c r="V509" s="116"/>
      <c r="W509" s="116"/>
      <c r="X509" s="278"/>
      <c r="Y509" s="142"/>
      <c r="Z509" s="142"/>
      <c r="AA509" s="142"/>
      <c r="AB509" s="142"/>
      <c r="AC509" s="142"/>
      <c r="AD509" s="142"/>
      <c r="AE509" s="142"/>
      <c r="AF509" s="130"/>
      <c r="AG509" s="142"/>
      <c r="AH509" s="142"/>
      <c r="AI509" s="142"/>
      <c r="AJ509" s="130"/>
      <c r="AK509" s="130"/>
      <c r="AL509" s="130"/>
      <c r="AM509" s="130"/>
    </row>
    <row r="510" ht="15.75" customHeight="1">
      <c r="A510" s="278"/>
      <c r="B510" s="278"/>
      <c r="C510" s="278"/>
      <c r="D510" s="278"/>
      <c r="E510" s="132"/>
      <c r="F510" s="116"/>
      <c r="G510" s="116"/>
      <c r="H510" s="116"/>
      <c r="I510" s="373"/>
      <c r="J510" s="147"/>
      <c r="K510" s="116"/>
      <c r="L510" s="116"/>
      <c r="M510" s="116"/>
      <c r="N510" s="116"/>
      <c r="O510" s="116"/>
      <c r="P510" s="116"/>
      <c r="Q510" s="116"/>
      <c r="R510" s="116"/>
      <c r="S510" s="116"/>
      <c r="T510" s="116"/>
      <c r="U510" s="116"/>
      <c r="V510" s="116"/>
      <c r="W510" s="116"/>
      <c r="X510" s="278"/>
      <c r="Y510" s="142"/>
      <c r="Z510" s="142"/>
      <c r="AA510" s="142"/>
      <c r="AB510" s="142"/>
      <c r="AC510" s="142"/>
      <c r="AD510" s="142"/>
      <c r="AE510" s="142"/>
      <c r="AF510" s="130"/>
      <c r="AG510" s="142"/>
      <c r="AH510" s="142"/>
      <c r="AI510" s="142"/>
      <c r="AJ510" s="130"/>
      <c r="AK510" s="130"/>
      <c r="AL510" s="130"/>
      <c r="AM510" s="130"/>
    </row>
    <row r="511" ht="15.75" customHeight="1">
      <c r="A511" s="278"/>
      <c r="B511" s="278"/>
      <c r="C511" s="278"/>
      <c r="D511" s="278"/>
      <c r="E511" s="132"/>
      <c r="F511" s="116"/>
      <c r="G511" s="116"/>
      <c r="H511" s="116"/>
      <c r="I511" s="373"/>
      <c r="J511" s="147"/>
      <c r="K511" s="116"/>
      <c r="L511" s="116"/>
      <c r="M511" s="116"/>
      <c r="N511" s="116"/>
      <c r="O511" s="116"/>
      <c r="P511" s="116"/>
      <c r="Q511" s="116"/>
      <c r="R511" s="116"/>
      <c r="S511" s="116"/>
      <c r="T511" s="116"/>
      <c r="U511" s="116"/>
      <c r="V511" s="116"/>
      <c r="W511" s="116"/>
      <c r="X511" s="278"/>
      <c r="Y511" s="142"/>
      <c r="Z511" s="142"/>
      <c r="AA511" s="142"/>
      <c r="AB511" s="142"/>
      <c r="AC511" s="142"/>
      <c r="AD511" s="142"/>
      <c r="AE511" s="142"/>
      <c r="AF511" s="130"/>
      <c r="AG511" s="142"/>
      <c r="AH511" s="142"/>
      <c r="AI511" s="142"/>
      <c r="AJ511" s="130"/>
      <c r="AK511" s="130"/>
      <c r="AL511" s="130"/>
      <c r="AM511" s="130"/>
    </row>
    <row r="512" ht="15.75" customHeight="1">
      <c r="A512" s="278"/>
      <c r="B512" s="278"/>
      <c r="C512" s="278"/>
      <c r="D512" s="278"/>
      <c r="E512" s="132"/>
      <c r="F512" s="116"/>
      <c r="G512" s="116"/>
      <c r="H512" s="116"/>
      <c r="I512" s="373"/>
      <c r="J512" s="147"/>
      <c r="K512" s="116"/>
      <c r="L512" s="116"/>
      <c r="M512" s="116"/>
      <c r="N512" s="116"/>
      <c r="O512" s="116"/>
      <c r="P512" s="116"/>
      <c r="Q512" s="116"/>
      <c r="R512" s="116"/>
      <c r="S512" s="116"/>
      <c r="T512" s="116"/>
      <c r="U512" s="116"/>
      <c r="V512" s="116"/>
      <c r="W512" s="116"/>
      <c r="X512" s="278"/>
      <c r="Y512" s="142"/>
      <c r="Z512" s="142"/>
      <c r="AA512" s="142"/>
      <c r="AB512" s="142"/>
      <c r="AC512" s="142"/>
      <c r="AD512" s="142"/>
      <c r="AE512" s="142"/>
      <c r="AF512" s="130"/>
      <c r="AG512" s="142"/>
      <c r="AH512" s="142"/>
      <c r="AI512" s="142"/>
      <c r="AJ512" s="130"/>
      <c r="AK512" s="130"/>
      <c r="AL512" s="130"/>
      <c r="AM512" s="130"/>
    </row>
    <row r="513" ht="15.75" customHeight="1">
      <c r="A513" s="278"/>
      <c r="B513" s="278"/>
      <c r="C513" s="278"/>
      <c r="D513" s="278"/>
      <c r="E513" s="132"/>
      <c r="F513" s="116"/>
      <c r="G513" s="116"/>
      <c r="H513" s="116"/>
      <c r="I513" s="373"/>
      <c r="J513" s="147"/>
      <c r="K513" s="116"/>
      <c r="L513" s="116"/>
      <c r="M513" s="116"/>
      <c r="N513" s="116"/>
      <c r="O513" s="116"/>
      <c r="P513" s="116"/>
      <c r="Q513" s="116"/>
      <c r="R513" s="116"/>
      <c r="S513" s="116"/>
      <c r="T513" s="116"/>
      <c r="U513" s="116"/>
      <c r="V513" s="116"/>
      <c r="W513" s="116"/>
      <c r="X513" s="278"/>
      <c r="Y513" s="142"/>
      <c r="Z513" s="142"/>
      <c r="AA513" s="142"/>
      <c r="AB513" s="142"/>
      <c r="AC513" s="142"/>
      <c r="AD513" s="142"/>
      <c r="AE513" s="142"/>
      <c r="AF513" s="130"/>
      <c r="AG513" s="142"/>
      <c r="AH513" s="142"/>
      <c r="AI513" s="142"/>
      <c r="AJ513" s="130"/>
      <c r="AK513" s="130"/>
      <c r="AL513" s="130"/>
      <c r="AM513" s="130"/>
    </row>
    <row r="514" ht="15.75" customHeight="1">
      <c r="A514" s="278"/>
      <c r="B514" s="278"/>
      <c r="C514" s="278"/>
      <c r="D514" s="278"/>
      <c r="E514" s="132"/>
      <c r="F514" s="116"/>
      <c r="G514" s="116"/>
      <c r="H514" s="116"/>
      <c r="I514" s="373"/>
      <c r="J514" s="147"/>
      <c r="K514" s="116"/>
      <c r="L514" s="116"/>
      <c r="M514" s="116"/>
      <c r="N514" s="116"/>
      <c r="O514" s="116"/>
      <c r="P514" s="116"/>
      <c r="Q514" s="116"/>
      <c r="R514" s="116"/>
      <c r="S514" s="116"/>
      <c r="T514" s="116"/>
      <c r="U514" s="116"/>
      <c r="V514" s="116"/>
      <c r="W514" s="116"/>
      <c r="X514" s="278"/>
      <c r="Y514" s="142"/>
      <c r="Z514" s="142"/>
      <c r="AA514" s="142"/>
      <c r="AB514" s="142"/>
      <c r="AC514" s="142"/>
      <c r="AD514" s="142"/>
      <c r="AE514" s="142"/>
      <c r="AF514" s="130"/>
      <c r="AG514" s="142"/>
      <c r="AH514" s="142"/>
      <c r="AI514" s="142"/>
      <c r="AJ514" s="130"/>
      <c r="AK514" s="130"/>
      <c r="AL514" s="130"/>
      <c r="AM514" s="130"/>
    </row>
    <row r="515" ht="15.75" customHeight="1">
      <c r="A515" s="278"/>
      <c r="B515" s="278"/>
      <c r="C515" s="278"/>
      <c r="D515" s="278"/>
      <c r="E515" s="132"/>
      <c r="F515" s="116"/>
      <c r="G515" s="116"/>
      <c r="H515" s="116"/>
      <c r="I515" s="373"/>
      <c r="J515" s="147"/>
      <c r="K515" s="116"/>
      <c r="L515" s="116"/>
      <c r="M515" s="116"/>
      <c r="N515" s="116"/>
      <c r="O515" s="116"/>
      <c r="P515" s="116"/>
      <c r="Q515" s="116"/>
      <c r="R515" s="116"/>
      <c r="S515" s="116"/>
      <c r="T515" s="116"/>
      <c r="U515" s="116"/>
      <c r="V515" s="116"/>
      <c r="W515" s="116"/>
      <c r="X515" s="278"/>
      <c r="Y515" s="142"/>
      <c r="Z515" s="142"/>
      <c r="AA515" s="142"/>
      <c r="AB515" s="142"/>
      <c r="AC515" s="142"/>
      <c r="AD515" s="142"/>
      <c r="AE515" s="142"/>
      <c r="AF515" s="130"/>
      <c r="AG515" s="142"/>
      <c r="AH515" s="142"/>
      <c r="AI515" s="142"/>
      <c r="AJ515" s="130"/>
      <c r="AK515" s="130"/>
      <c r="AL515" s="130"/>
      <c r="AM515" s="130"/>
    </row>
    <row r="516" ht="15.75" customHeight="1">
      <c r="A516" s="278"/>
      <c r="B516" s="278"/>
      <c r="C516" s="278"/>
      <c r="D516" s="278"/>
      <c r="E516" s="132"/>
      <c r="F516" s="116"/>
      <c r="G516" s="116"/>
      <c r="H516" s="116"/>
      <c r="I516" s="373"/>
      <c r="J516" s="147"/>
      <c r="K516" s="116"/>
      <c r="L516" s="116"/>
      <c r="M516" s="116"/>
      <c r="N516" s="116"/>
      <c r="O516" s="116"/>
      <c r="P516" s="116"/>
      <c r="Q516" s="116"/>
      <c r="R516" s="116"/>
      <c r="S516" s="116"/>
      <c r="T516" s="116"/>
      <c r="U516" s="116"/>
      <c r="V516" s="116"/>
      <c r="W516" s="116"/>
      <c r="X516" s="278"/>
      <c r="Y516" s="142"/>
      <c r="Z516" s="142"/>
      <c r="AA516" s="142"/>
      <c r="AB516" s="142"/>
      <c r="AC516" s="142"/>
      <c r="AD516" s="142"/>
      <c r="AE516" s="142"/>
      <c r="AF516" s="130"/>
      <c r="AG516" s="142"/>
      <c r="AH516" s="142"/>
      <c r="AI516" s="142"/>
      <c r="AJ516" s="130"/>
      <c r="AK516" s="130"/>
      <c r="AL516" s="130"/>
      <c r="AM516" s="130"/>
    </row>
    <row r="517" ht="15.75" customHeight="1">
      <c r="A517" s="278"/>
      <c r="B517" s="278"/>
      <c r="C517" s="278"/>
      <c r="D517" s="278"/>
      <c r="E517" s="132"/>
      <c r="F517" s="116"/>
      <c r="G517" s="116"/>
      <c r="H517" s="116"/>
      <c r="I517" s="373"/>
      <c r="J517" s="147"/>
      <c r="K517" s="116"/>
      <c r="L517" s="116"/>
      <c r="M517" s="116"/>
      <c r="N517" s="116"/>
      <c r="O517" s="116"/>
      <c r="P517" s="116"/>
      <c r="Q517" s="116"/>
      <c r="R517" s="116"/>
      <c r="S517" s="116"/>
      <c r="T517" s="116"/>
      <c r="U517" s="116"/>
      <c r="V517" s="116"/>
      <c r="W517" s="116"/>
      <c r="X517" s="278"/>
      <c r="Y517" s="142"/>
      <c r="Z517" s="142"/>
      <c r="AA517" s="142"/>
      <c r="AB517" s="142"/>
      <c r="AC517" s="142"/>
      <c r="AD517" s="142"/>
      <c r="AE517" s="142"/>
      <c r="AF517" s="130"/>
      <c r="AG517" s="142"/>
      <c r="AH517" s="142"/>
      <c r="AI517" s="142"/>
      <c r="AJ517" s="130"/>
      <c r="AK517" s="130"/>
      <c r="AL517" s="130"/>
      <c r="AM517" s="130"/>
    </row>
    <row r="518" ht="15.75" customHeight="1">
      <c r="A518" s="278"/>
      <c r="B518" s="278"/>
      <c r="C518" s="278"/>
      <c r="D518" s="278"/>
      <c r="E518" s="132"/>
      <c r="F518" s="116"/>
      <c r="G518" s="116"/>
      <c r="H518" s="116"/>
      <c r="I518" s="373"/>
      <c r="J518" s="147"/>
      <c r="K518" s="116"/>
      <c r="L518" s="116"/>
      <c r="M518" s="116"/>
      <c r="N518" s="116"/>
      <c r="O518" s="116"/>
      <c r="P518" s="116"/>
      <c r="Q518" s="116"/>
      <c r="R518" s="116"/>
      <c r="S518" s="116"/>
      <c r="T518" s="116"/>
      <c r="U518" s="116"/>
      <c r="V518" s="116"/>
      <c r="W518" s="116"/>
      <c r="X518" s="278"/>
      <c r="Y518" s="142"/>
      <c r="Z518" s="142"/>
      <c r="AA518" s="142"/>
      <c r="AB518" s="142"/>
      <c r="AC518" s="142"/>
      <c r="AD518" s="142"/>
      <c r="AE518" s="142"/>
      <c r="AF518" s="130"/>
      <c r="AG518" s="142"/>
      <c r="AH518" s="142"/>
      <c r="AI518" s="142"/>
      <c r="AJ518" s="130"/>
      <c r="AK518" s="130"/>
      <c r="AL518" s="130"/>
      <c r="AM518" s="130"/>
    </row>
    <row r="519" ht="15.75" customHeight="1">
      <c r="A519" s="278"/>
      <c r="B519" s="278"/>
      <c r="C519" s="278"/>
      <c r="D519" s="278"/>
      <c r="E519" s="132"/>
      <c r="F519" s="116"/>
      <c r="G519" s="116"/>
      <c r="H519" s="116"/>
      <c r="I519" s="373"/>
      <c r="J519" s="147"/>
      <c r="K519" s="116"/>
      <c r="L519" s="116"/>
      <c r="M519" s="116"/>
      <c r="N519" s="116"/>
      <c r="O519" s="116"/>
      <c r="P519" s="116"/>
      <c r="Q519" s="116"/>
      <c r="R519" s="116"/>
      <c r="S519" s="116"/>
      <c r="T519" s="116"/>
      <c r="U519" s="116"/>
      <c r="V519" s="116"/>
      <c r="W519" s="116"/>
      <c r="X519" s="278"/>
      <c r="Y519" s="142"/>
      <c r="Z519" s="142"/>
      <c r="AA519" s="142"/>
      <c r="AB519" s="142"/>
      <c r="AC519" s="142"/>
      <c r="AD519" s="142"/>
      <c r="AE519" s="142"/>
      <c r="AF519" s="130"/>
      <c r="AG519" s="142"/>
      <c r="AH519" s="142"/>
      <c r="AI519" s="142"/>
      <c r="AJ519" s="130"/>
      <c r="AK519" s="130"/>
      <c r="AL519" s="130"/>
      <c r="AM519" s="130"/>
    </row>
    <row r="520" ht="15.75" customHeight="1">
      <c r="A520" s="278"/>
      <c r="B520" s="278"/>
      <c r="C520" s="278"/>
      <c r="D520" s="278"/>
      <c r="E520" s="132"/>
      <c r="F520" s="116"/>
      <c r="G520" s="116"/>
      <c r="H520" s="116"/>
      <c r="I520" s="373"/>
      <c r="J520" s="147"/>
      <c r="K520" s="116"/>
      <c r="L520" s="116"/>
      <c r="M520" s="116"/>
      <c r="N520" s="116"/>
      <c r="O520" s="116"/>
      <c r="P520" s="116"/>
      <c r="Q520" s="116"/>
      <c r="R520" s="116"/>
      <c r="S520" s="116"/>
      <c r="T520" s="116"/>
      <c r="U520" s="116"/>
      <c r="V520" s="116"/>
      <c r="W520" s="116"/>
      <c r="X520" s="278"/>
      <c r="Y520" s="142"/>
      <c r="Z520" s="142"/>
      <c r="AA520" s="142"/>
      <c r="AB520" s="142"/>
      <c r="AC520" s="142"/>
      <c r="AD520" s="142"/>
      <c r="AE520" s="142"/>
      <c r="AF520" s="130"/>
      <c r="AG520" s="142"/>
      <c r="AH520" s="142"/>
      <c r="AI520" s="142"/>
      <c r="AJ520" s="130"/>
      <c r="AK520" s="130"/>
      <c r="AL520" s="130"/>
      <c r="AM520" s="130"/>
    </row>
    <row r="521" ht="15.75" customHeight="1">
      <c r="A521" s="278"/>
      <c r="B521" s="278"/>
      <c r="C521" s="278"/>
      <c r="D521" s="278"/>
      <c r="E521" s="132"/>
      <c r="F521" s="116"/>
      <c r="G521" s="116"/>
      <c r="H521" s="116"/>
      <c r="I521" s="373"/>
      <c r="J521" s="147"/>
      <c r="K521" s="116"/>
      <c r="L521" s="116"/>
      <c r="M521" s="116"/>
      <c r="N521" s="116"/>
      <c r="O521" s="116"/>
      <c r="P521" s="116"/>
      <c r="Q521" s="116"/>
      <c r="R521" s="116"/>
      <c r="S521" s="116"/>
      <c r="T521" s="116"/>
      <c r="U521" s="116"/>
      <c r="V521" s="116"/>
      <c r="W521" s="116"/>
      <c r="X521" s="278"/>
      <c r="Y521" s="142"/>
      <c r="Z521" s="142"/>
      <c r="AA521" s="142"/>
      <c r="AB521" s="142"/>
      <c r="AC521" s="142"/>
      <c r="AD521" s="142"/>
      <c r="AE521" s="142"/>
      <c r="AF521" s="130"/>
      <c r="AG521" s="142"/>
      <c r="AH521" s="142"/>
      <c r="AI521" s="142"/>
      <c r="AJ521" s="130"/>
      <c r="AK521" s="130"/>
      <c r="AL521" s="130"/>
      <c r="AM521" s="130"/>
    </row>
    <row r="522" ht="15.75" customHeight="1">
      <c r="A522" s="278"/>
      <c r="B522" s="278"/>
      <c r="C522" s="278"/>
      <c r="D522" s="278"/>
      <c r="E522" s="132"/>
      <c r="F522" s="116"/>
      <c r="G522" s="116"/>
      <c r="H522" s="116"/>
      <c r="I522" s="373"/>
      <c r="J522" s="147"/>
      <c r="K522" s="116"/>
      <c r="L522" s="116"/>
      <c r="M522" s="116"/>
      <c r="N522" s="116"/>
      <c r="O522" s="116"/>
      <c r="P522" s="116"/>
      <c r="Q522" s="116"/>
      <c r="R522" s="116"/>
      <c r="S522" s="116"/>
      <c r="T522" s="116"/>
      <c r="U522" s="116"/>
      <c r="V522" s="116"/>
      <c r="W522" s="116"/>
      <c r="X522" s="278"/>
      <c r="Y522" s="142"/>
      <c r="Z522" s="142"/>
      <c r="AA522" s="142"/>
      <c r="AB522" s="142"/>
      <c r="AC522" s="142"/>
      <c r="AD522" s="142"/>
      <c r="AE522" s="142"/>
      <c r="AF522" s="130"/>
      <c r="AG522" s="142"/>
      <c r="AH522" s="142"/>
      <c r="AI522" s="142"/>
      <c r="AJ522" s="130"/>
      <c r="AK522" s="130"/>
      <c r="AL522" s="130"/>
      <c r="AM522" s="130"/>
    </row>
    <row r="523" ht="15.75" customHeight="1">
      <c r="A523" s="278"/>
      <c r="B523" s="278"/>
      <c r="C523" s="278"/>
      <c r="D523" s="278"/>
      <c r="E523" s="132"/>
      <c r="F523" s="116"/>
      <c r="G523" s="116"/>
      <c r="H523" s="116"/>
      <c r="I523" s="373"/>
      <c r="J523" s="147"/>
      <c r="K523" s="116"/>
      <c r="L523" s="116"/>
      <c r="M523" s="116"/>
      <c r="N523" s="116"/>
      <c r="O523" s="116"/>
      <c r="P523" s="116"/>
      <c r="Q523" s="116"/>
      <c r="R523" s="116"/>
      <c r="S523" s="116"/>
      <c r="T523" s="116"/>
      <c r="U523" s="116"/>
      <c r="V523" s="116"/>
      <c r="W523" s="116"/>
      <c r="X523" s="278"/>
      <c r="Y523" s="142"/>
      <c r="Z523" s="142"/>
      <c r="AA523" s="142"/>
      <c r="AB523" s="142"/>
      <c r="AC523" s="142"/>
      <c r="AD523" s="142"/>
      <c r="AE523" s="142"/>
      <c r="AF523" s="130"/>
      <c r="AG523" s="142"/>
      <c r="AH523" s="142"/>
      <c r="AI523" s="142"/>
      <c r="AJ523" s="130"/>
      <c r="AK523" s="130"/>
      <c r="AL523" s="130"/>
      <c r="AM523" s="130"/>
    </row>
    <row r="524" ht="15.75" customHeight="1">
      <c r="A524" s="278"/>
      <c r="B524" s="278"/>
      <c r="C524" s="278"/>
      <c r="D524" s="278"/>
      <c r="E524" s="132"/>
      <c r="F524" s="116"/>
      <c r="G524" s="116"/>
      <c r="H524" s="116"/>
      <c r="I524" s="373"/>
      <c r="J524" s="147"/>
      <c r="K524" s="116"/>
      <c r="L524" s="116"/>
      <c r="M524" s="116"/>
      <c r="N524" s="116"/>
      <c r="O524" s="116"/>
      <c r="P524" s="116"/>
      <c r="Q524" s="116"/>
      <c r="R524" s="116"/>
      <c r="S524" s="116"/>
      <c r="T524" s="116"/>
      <c r="U524" s="116"/>
      <c r="V524" s="116"/>
      <c r="W524" s="116"/>
      <c r="X524" s="278"/>
      <c r="Y524" s="142"/>
      <c r="Z524" s="142"/>
      <c r="AA524" s="142"/>
      <c r="AB524" s="142"/>
      <c r="AC524" s="142"/>
      <c r="AD524" s="142"/>
      <c r="AE524" s="142"/>
      <c r="AF524" s="130"/>
      <c r="AG524" s="142"/>
      <c r="AH524" s="142"/>
      <c r="AI524" s="142"/>
      <c r="AJ524" s="130"/>
      <c r="AK524" s="130"/>
      <c r="AL524" s="130"/>
      <c r="AM524" s="130"/>
    </row>
    <row r="525" ht="15.75" customHeight="1">
      <c r="A525" s="278"/>
      <c r="B525" s="278"/>
      <c r="C525" s="278"/>
      <c r="D525" s="278"/>
      <c r="E525" s="132"/>
      <c r="F525" s="116"/>
      <c r="G525" s="116"/>
      <c r="H525" s="116"/>
      <c r="I525" s="373"/>
      <c r="J525" s="147"/>
      <c r="K525" s="116"/>
      <c r="L525" s="116"/>
      <c r="M525" s="116"/>
      <c r="N525" s="116"/>
      <c r="O525" s="116"/>
      <c r="P525" s="116"/>
      <c r="Q525" s="116"/>
      <c r="R525" s="116"/>
      <c r="S525" s="116"/>
      <c r="T525" s="116"/>
      <c r="U525" s="116"/>
      <c r="V525" s="116"/>
      <c r="W525" s="116"/>
      <c r="X525" s="278"/>
      <c r="Y525" s="142"/>
      <c r="Z525" s="142"/>
      <c r="AA525" s="142"/>
      <c r="AB525" s="142"/>
      <c r="AC525" s="142"/>
      <c r="AD525" s="142"/>
      <c r="AE525" s="142"/>
      <c r="AF525" s="130"/>
      <c r="AG525" s="142"/>
      <c r="AH525" s="142"/>
      <c r="AI525" s="142"/>
      <c r="AJ525" s="130"/>
      <c r="AK525" s="130"/>
      <c r="AL525" s="130"/>
      <c r="AM525" s="130"/>
    </row>
    <row r="526" ht="15.75" customHeight="1">
      <c r="A526" s="278"/>
      <c r="B526" s="278"/>
      <c r="C526" s="278"/>
      <c r="D526" s="278"/>
      <c r="E526" s="132"/>
      <c r="F526" s="116"/>
      <c r="G526" s="116"/>
      <c r="H526" s="116"/>
      <c r="I526" s="373"/>
      <c r="J526" s="147"/>
      <c r="K526" s="116"/>
      <c r="L526" s="116"/>
      <c r="M526" s="116"/>
      <c r="N526" s="116"/>
      <c r="O526" s="116"/>
      <c r="P526" s="116"/>
      <c r="Q526" s="116"/>
      <c r="R526" s="116"/>
      <c r="S526" s="116"/>
      <c r="T526" s="116"/>
      <c r="U526" s="116"/>
      <c r="V526" s="116"/>
      <c r="W526" s="116"/>
      <c r="X526" s="278"/>
      <c r="Y526" s="142"/>
      <c r="Z526" s="142"/>
      <c r="AA526" s="142"/>
      <c r="AB526" s="142"/>
      <c r="AC526" s="142"/>
      <c r="AD526" s="142"/>
      <c r="AE526" s="142"/>
      <c r="AF526" s="130"/>
      <c r="AG526" s="142"/>
      <c r="AH526" s="142"/>
      <c r="AI526" s="142"/>
      <c r="AJ526" s="130"/>
      <c r="AK526" s="130"/>
      <c r="AL526" s="130"/>
      <c r="AM526" s="130"/>
    </row>
    <row r="527" ht="15.75" customHeight="1">
      <c r="A527" s="278"/>
      <c r="B527" s="278"/>
      <c r="C527" s="278"/>
      <c r="D527" s="278"/>
      <c r="E527" s="132"/>
      <c r="F527" s="116"/>
      <c r="G527" s="116"/>
      <c r="H527" s="116"/>
      <c r="I527" s="373"/>
      <c r="J527" s="147"/>
      <c r="K527" s="116"/>
      <c r="L527" s="116"/>
      <c r="M527" s="116"/>
      <c r="N527" s="116"/>
      <c r="O527" s="116"/>
      <c r="P527" s="116"/>
      <c r="Q527" s="116"/>
      <c r="R527" s="116"/>
      <c r="S527" s="116"/>
      <c r="T527" s="116"/>
      <c r="U527" s="116"/>
      <c r="V527" s="116"/>
      <c r="W527" s="116"/>
      <c r="X527" s="278"/>
      <c r="Y527" s="142"/>
      <c r="Z527" s="142"/>
      <c r="AA527" s="142"/>
      <c r="AB527" s="142"/>
      <c r="AC527" s="142"/>
      <c r="AD527" s="142"/>
      <c r="AE527" s="142"/>
      <c r="AF527" s="130"/>
      <c r="AG527" s="142"/>
      <c r="AH527" s="142"/>
      <c r="AI527" s="142"/>
      <c r="AJ527" s="130"/>
      <c r="AK527" s="130"/>
      <c r="AL527" s="130"/>
      <c r="AM527" s="130"/>
    </row>
    <row r="528" ht="15.75" customHeight="1">
      <c r="A528" s="278"/>
      <c r="B528" s="278"/>
      <c r="C528" s="278"/>
      <c r="D528" s="278"/>
      <c r="E528" s="132"/>
      <c r="F528" s="116"/>
      <c r="G528" s="116"/>
      <c r="H528" s="116"/>
      <c r="I528" s="373"/>
      <c r="J528" s="147"/>
      <c r="K528" s="116"/>
      <c r="L528" s="116"/>
      <c r="M528" s="116"/>
      <c r="N528" s="116"/>
      <c r="O528" s="116"/>
      <c r="P528" s="116"/>
      <c r="Q528" s="116"/>
      <c r="R528" s="116"/>
      <c r="S528" s="116"/>
      <c r="T528" s="116"/>
      <c r="U528" s="116"/>
      <c r="V528" s="116"/>
      <c r="W528" s="116"/>
      <c r="X528" s="278"/>
      <c r="Y528" s="142"/>
      <c r="Z528" s="142"/>
      <c r="AA528" s="142"/>
      <c r="AB528" s="142"/>
      <c r="AC528" s="142"/>
      <c r="AD528" s="142"/>
      <c r="AE528" s="142"/>
      <c r="AF528" s="130"/>
      <c r="AG528" s="142"/>
      <c r="AH528" s="142"/>
      <c r="AI528" s="142"/>
      <c r="AJ528" s="130"/>
      <c r="AK528" s="130"/>
      <c r="AL528" s="130"/>
      <c r="AM528" s="130"/>
    </row>
    <row r="529" ht="15.75" customHeight="1">
      <c r="A529" s="278"/>
      <c r="B529" s="278"/>
      <c r="C529" s="278"/>
      <c r="D529" s="278"/>
      <c r="E529" s="132"/>
      <c r="F529" s="116"/>
      <c r="G529" s="116"/>
      <c r="H529" s="116"/>
      <c r="I529" s="373"/>
      <c r="J529" s="147"/>
      <c r="K529" s="116"/>
      <c r="L529" s="116"/>
      <c r="M529" s="116"/>
      <c r="N529" s="116"/>
      <c r="O529" s="116"/>
      <c r="P529" s="116"/>
      <c r="Q529" s="116"/>
      <c r="R529" s="116"/>
      <c r="S529" s="116"/>
      <c r="T529" s="116"/>
      <c r="U529" s="116"/>
      <c r="V529" s="116"/>
      <c r="W529" s="116"/>
      <c r="X529" s="278"/>
      <c r="Y529" s="142"/>
      <c r="Z529" s="142"/>
      <c r="AA529" s="142"/>
      <c r="AB529" s="142"/>
      <c r="AC529" s="142"/>
      <c r="AD529" s="142"/>
      <c r="AE529" s="142"/>
      <c r="AF529" s="130"/>
      <c r="AG529" s="142"/>
      <c r="AH529" s="142"/>
      <c r="AI529" s="142"/>
      <c r="AJ529" s="130"/>
      <c r="AK529" s="130"/>
      <c r="AL529" s="130"/>
      <c r="AM529" s="130"/>
    </row>
    <row r="530" ht="15.75" customHeight="1">
      <c r="A530" s="278"/>
      <c r="B530" s="278"/>
      <c r="C530" s="278"/>
      <c r="D530" s="278"/>
      <c r="E530" s="132"/>
      <c r="F530" s="116"/>
      <c r="G530" s="116"/>
      <c r="H530" s="116"/>
      <c r="I530" s="373"/>
      <c r="J530" s="147"/>
      <c r="K530" s="116"/>
      <c r="L530" s="116"/>
      <c r="M530" s="116"/>
      <c r="N530" s="116"/>
      <c r="O530" s="116"/>
      <c r="P530" s="116"/>
      <c r="Q530" s="116"/>
      <c r="R530" s="116"/>
      <c r="S530" s="116"/>
      <c r="T530" s="116"/>
      <c r="U530" s="116"/>
      <c r="V530" s="116"/>
      <c r="W530" s="116"/>
      <c r="X530" s="278"/>
      <c r="Y530" s="142"/>
      <c r="Z530" s="142"/>
      <c r="AA530" s="142"/>
      <c r="AB530" s="142"/>
      <c r="AC530" s="142"/>
      <c r="AD530" s="142"/>
      <c r="AE530" s="142"/>
      <c r="AF530" s="130"/>
      <c r="AG530" s="142"/>
      <c r="AH530" s="142"/>
      <c r="AI530" s="142"/>
      <c r="AJ530" s="130"/>
      <c r="AK530" s="130"/>
      <c r="AL530" s="130"/>
      <c r="AM530" s="130"/>
    </row>
    <row r="531" ht="15.75" customHeight="1">
      <c r="A531" s="278"/>
      <c r="B531" s="278"/>
      <c r="C531" s="278"/>
      <c r="D531" s="278"/>
      <c r="E531" s="132"/>
      <c r="F531" s="116"/>
      <c r="G531" s="116"/>
      <c r="H531" s="116"/>
      <c r="I531" s="373"/>
      <c r="J531" s="147"/>
      <c r="K531" s="116"/>
      <c r="L531" s="116"/>
      <c r="M531" s="116"/>
      <c r="N531" s="116"/>
      <c r="O531" s="116"/>
      <c r="P531" s="116"/>
      <c r="Q531" s="116"/>
      <c r="R531" s="116"/>
      <c r="S531" s="116"/>
      <c r="T531" s="116"/>
      <c r="U531" s="116"/>
      <c r="V531" s="116"/>
      <c r="W531" s="116"/>
      <c r="X531" s="278"/>
      <c r="Y531" s="142"/>
      <c r="Z531" s="142"/>
      <c r="AA531" s="142"/>
      <c r="AB531" s="142"/>
      <c r="AC531" s="142"/>
      <c r="AD531" s="142"/>
      <c r="AE531" s="142"/>
      <c r="AF531" s="130"/>
      <c r="AG531" s="142"/>
      <c r="AH531" s="142"/>
      <c r="AI531" s="142"/>
      <c r="AJ531" s="130"/>
      <c r="AK531" s="130"/>
      <c r="AL531" s="130"/>
      <c r="AM531" s="130"/>
    </row>
    <row r="532" ht="15.75" customHeight="1">
      <c r="A532" s="278"/>
      <c r="B532" s="278"/>
      <c r="C532" s="278"/>
      <c r="D532" s="278"/>
      <c r="E532" s="132"/>
      <c r="F532" s="116"/>
      <c r="G532" s="116"/>
      <c r="H532" s="116"/>
      <c r="I532" s="373"/>
      <c r="J532" s="147"/>
      <c r="K532" s="116"/>
      <c r="L532" s="116"/>
      <c r="M532" s="116"/>
      <c r="N532" s="116"/>
      <c r="O532" s="116"/>
      <c r="P532" s="116"/>
      <c r="Q532" s="116"/>
      <c r="R532" s="116"/>
      <c r="S532" s="116"/>
      <c r="T532" s="116"/>
      <c r="U532" s="116"/>
      <c r="V532" s="116"/>
      <c r="W532" s="116"/>
      <c r="X532" s="278"/>
      <c r="Y532" s="142"/>
      <c r="Z532" s="142"/>
      <c r="AA532" s="142"/>
      <c r="AB532" s="142"/>
      <c r="AC532" s="142"/>
      <c r="AD532" s="142"/>
      <c r="AE532" s="142"/>
      <c r="AF532" s="130"/>
      <c r="AG532" s="142"/>
      <c r="AH532" s="142"/>
      <c r="AI532" s="142"/>
      <c r="AJ532" s="130"/>
      <c r="AK532" s="130"/>
      <c r="AL532" s="130"/>
      <c r="AM532" s="130"/>
    </row>
    <row r="533" ht="15.75" customHeight="1">
      <c r="A533" s="278"/>
      <c r="B533" s="278"/>
      <c r="C533" s="278"/>
      <c r="D533" s="278"/>
      <c r="E533" s="132"/>
      <c r="F533" s="116"/>
      <c r="G533" s="116"/>
      <c r="H533" s="116"/>
      <c r="I533" s="373"/>
      <c r="J533" s="147"/>
      <c r="K533" s="116"/>
      <c r="L533" s="116"/>
      <c r="M533" s="116"/>
      <c r="N533" s="116"/>
      <c r="O533" s="116"/>
      <c r="P533" s="116"/>
      <c r="Q533" s="116"/>
      <c r="R533" s="116"/>
      <c r="S533" s="116"/>
      <c r="T533" s="116"/>
      <c r="U533" s="116"/>
      <c r="V533" s="116"/>
      <c r="W533" s="116"/>
      <c r="X533" s="278"/>
      <c r="Y533" s="142"/>
      <c r="Z533" s="142"/>
      <c r="AA533" s="142"/>
      <c r="AB533" s="142"/>
      <c r="AC533" s="142"/>
      <c r="AD533" s="142"/>
      <c r="AE533" s="142"/>
      <c r="AF533" s="130"/>
      <c r="AG533" s="142"/>
      <c r="AH533" s="142"/>
      <c r="AI533" s="142"/>
      <c r="AJ533" s="130"/>
      <c r="AK533" s="130"/>
      <c r="AL533" s="130"/>
      <c r="AM533" s="130"/>
    </row>
    <row r="534" ht="15.75" customHeight="1">
      <c r="A534" s="278"/>
      <c r="B534" s="278"/>
      <c r="C534" s="278"/>
      <c r="D534" s="278"/>
      <c r="E534" s="132"/>
      <c r="F534" s="116"/>
      <c r="G534" s="116"/>
      <c r="H534" s="116"/>
      <c r="I534" s="373"/>
      <c r="J534" s="147"/>
      <c r="K534" s="116"/>
      <c r="L534" s="116"/>
      <c r="M534" s="116"/>
      <c r="N534" s="116"/>
      <c r="O534" s="116"/>
      <c r="P534" s="116"/>
      <c r="Q534" s="116"/>
      <c r="R534" s="116"/>
      <c r="S534" s="116"/>
      <c r="T534" s="116"/>
      <c r="U534" s="116"/>
      <c r="V534" s="116"/>
      <c r="W534" s="116"/>
      <c r="X534" s="278"/>
      <c r="Y534" s="142"/>
      <c r="Z534" s="142"/>
      <c r="AA534" s="142"/>
      <c r="AB534" s="142"/>
      <c r="AC534" s="142"/>
      <c r="AD534" s="142"/>
      <c r="AE534" s="142"/>
      <c r="AF534" s="130"/>
      <c r="AG534" s="142"/>
      <c r="AH534" s="142"/>
      <c r="AI534" s="142"/>
      <c r="AJ534" s="130"/>
      <c r="AK534" s="130"/>
      <c r="AL534" s="130"/>
      <c r="AM534" s="130"/>
    </row>
    <row r="535" ht="15.75" customHeight="1">
      <c r="A535" s="278"/>
      <c r="B535" s="278"/>
      <c r="C535" s="278"/>
      <c r="D535" s="278"/>
      <c r="E535" s="132"/>
      <c r="F535" s="116"/>
      <c r="G535" s="116"/>
      <c r="H535" s="116"/>
      <c r="I535" s="373"/>
      <c r="J535" s="147"/>
      <c r="K535" s="116"/>
      <c r="L535" s="116"/>
      <c r="M535" s="116"/>
      <c r="N535" s="116"/>
      <c r="O535" s="116"/>
      <c r="P535" s="116"/>
      <c r="Q535" s="116"/>
      <c r="R535" s="116"/>
      <c r="S535" s="116"/>
      <c r="T535" s="116"/>
      <c r="U535" s="116"/>
      <c r="V535" s="116"/>
      <c r="W535" s="116"/>
      <c r="X535" s="278"/>
      <c r="Y535" s="142"/>
      <c r="Z535" s="142"/>
      <c r="AA535" s="142"/>
      <c r="AB535" s="142"/>
      <c r="AC535" s="142"/>
      <c r="AD535" s="142"/>
      <c r="AE535" s="142"/>
      <c r="AF535" s="130"/>
      <c r="AG535" s="142"/>
      <c r="AH535" s="142"/>
      <c r="AI535" s="142"/>
      <c r="AJ535" s="130"/>
      <c r="AK535" s="130"/>
      <c r="AL535" s="130"/>
      <c r="AM535" s="130"/>
    </row>
    <row r="536" ht="15.75" customHeight="1">
      <c r="A536" s="278"/>
      <c r="B536" s="278"/>
      <c r="C536" s="278"/>
      <c r="D536" s="278"/>
      <c r="E536" s="132"/>
      <c r="F536" s="116"/>
      <c r="G536" s="116"/>
      <c r="H536" s="116"/>
      <c r="I536" s="373"/>
      <c r="J536" s="147"/>
      <c r="K536" s="116"/>
      <c r="L536" s="116"/>
      <c r="M536" s="116"/>
      <c r="N536" s="116"/>
      <c r="O536" s="116"/>
      <c r="P536" s="116"/>
      <c r="Q536" s="116"/>
      <c r="R536" s="116"/>
      <c r="S536" s="116"/>
      <c r="T536" s="116"/>
      <c r="U536" s="116"/>
      <c r="V536" s="116"/>
      <c r="W536" s="116"/>
      <c r="X536" s="278"/>
      <c r="Y536" s="142"/>
      <c r="Z536" s="142"/>
      <c r="AA536" s="142"/>
      <c r="AB536" s="142"/>
      <c r="AC536" s="142"/>
      <c r="AD536" s="142"/>
      <c r="AE536" s="142"/>
      <c r="AF536" s="130"/>
      <c r="AG536" s="142"/>
      <c r="AH536" s="142"/>
      <c r="AI536" s="142"/>
      <c r="AJ536" s="130"/>
      <c r="AK536" s="130"/>
      <c r="AL536" s="130"/>
      <c r="AM536" s="130"/>
    </row>
    <row r="537" ht="15.75" customHeight="1">
      <c r="A537" s="278"/>
      <c r="B537" s="278"/>
      <c r="C537" s="278"/>
      <c r="D537" s="278"/>
      <c r="E537" s="132"/>
      <c r="F537" s="116"/>
      <c r="G537" s="116"/>
      <c r="H537" s="116"/>
      <c r="I537" s="373"/>
      <c r="J537" s="147"/>
      <c r="K537" s="116"/>
      <c r="L537" s="116"/>
      <c r="M537" s="116"/>
      <c r="N537" s="116"/>
      <c r="O537" s="116"/>
      <c r="P537" s="116"/>
      <c r="Q537" s="116"/>
      <c r="R537" s="116"/>
      <c r="S537" s="116"/>
      <c r="T537" s="116"/>
      <c r="U537" s="116"/>
      <c r="V537" s="116"/>
      <c r="W537" s="116"/>
      <c r="X537" s="278"/>
      <c r="Y537" s="142"/>
      <c r="Z537" s="142"/>
      <c r="AA537" s="142"/>
      <c r="AB537" s="142"/>
      <c r="AC537" s="142"/>
      <c r="AD537" s="142"/>
      <c r="AE537" s="142"/>
      <c r="AF537" s="130"/>
      <c r="AG537" s="142"/>
      <c r="AH537" s="142"/>
      <c r="AI537" s="142"/>
      <c r="AJ537" s="130"/>
      <c r="AK537" s="130"/>
      <c r="AL537" s="130"/>
      <c r="AM537" s="130"/>
    </row>
    <row r="538" ht="15.75" customHeight="1">
      <c r="A538" s="278"/>
      <c r="B538" s="278"/>
      <c r="C538" s="278"/>
      <c r="D538" s="278"/>
      <c r="E538" s="132"/>
      <c r="F538" s="116"/>
      <c r="G538" s="116"/>
      <c r="H538" s="116"/>
      <c r="I538" s="373"/>
      <c r="J538" s="147"/>
      <c r="K538" s="116"/>
      <c r="L538" s="116"/>
      <c r="M538" s="116"/>
      <c r="N538" s="116"/>
      <c r="O538" s="116"/>
      <c r="P538" s="116"/>
      <c r="Q538" s="116"/>
      <c r="R538" s="116"/>
      <c r="S538" s="116"/>
      <c r="T538" s="116"/>
      <c r="U538" s="116"/>
      <c r="V538" s="116"/>
      <c r="W538" s="116"/>
      <c r="X538" s="278"/>
      <c r="Y538" s="142"/>
      <c r="Z538" s="142"/>
      <c r="AA538" s="142"/>
      <c r="AB538" s="142"/>
      <c r="AC538" s="142"/>
      <c r="AD538" s="142"/>
      <c r="AE538" s="142"/>
      <c r="AF538" s="130"/>
      <c r="AG538" s="142"/>
      <c r="AH538" s="142"/>
      <c r="AI538" s="142"/>
      <c r="AJ538" s="130"/>
      <c r="AK538" s="130"/>
      <c r="AL538" s="130"/>
      <c r="AM538" s="130"/>
    </row>
    <row r="539" ht="15.75" customHeight="1">
      <c r="A539" s="278"/>
      <c r="B539" s="278"/>
      <c r="C539" s="278"/>
      <c r="D539" s="278"/>
      <c r="E539" s="132"/>
      <c r="F539" s="116"/>
      <c r="G539" s="116"/>
      <c r="H539" s="116"/>
      <c r="I539" s="373"/>
      <c r="J539" s="147"/>
      <c r="K539" s="116"/>
      <c r="L539" s="116"/>
      <c r="M539" s="116"/>
      <c r="N539" s="116"/>
      <c r="O539" s="116"/>
      <c r="P539" s="116"/>
      <c r="Q539" s="116"/>
      <c r="R539" s="116"/>
      <c r="S539" s="116"/>
      <c r="T539" s="116"/>
      <c r="U539" s="116"/>
      <c r="V539" s="116"/>
      <c r="W539" s="116"/>
      <c r="X539" s="278"/>
      <c r="Y539" s="142"/>
      <c r="Z539" s="142"/>
      <c r="AA539" s="142"/>
      <c r="AB539" s="142"/>
      <c r="AC539" s="142"/>
      <c r="AD539" s="142"/>
      <c r="AE539" s="142"/>
      <c r="AF539" s="130"/>
      <c r="AG539" s="142"/>
      <c r="AH539" s="142"/>
      <c r="AI539" s="142"/>
      <c r="AJ539" s="130"/>
      <c r="AK539" s="130"/>
      <c r="AL539" s="130"/>
      <c r="AM539" s="130"/>
    </row>
    <row r="540" ht="15.75" customHeight="1">
      <c r="A540" s="278"/>
      <c r="B540" s="278"/>
      <c r="C540" s="278"/>
      <c r="D540" s="278"/>
      <c r="E540" s="132"/>
      <c r="F540" s="116"/>
      <c r="G540" s="116"/>
      <c r="H540" s="116"/>
      <c r="I540" s="373"/>
      <c r="J540" s="147"/>
      <c r="K540" s="116"/>
      <c r="L540" s="116"/>
      <c r="M540" s="116"/>
      <c r="N540" s="116"/>
      <c r="O540" s="116"/>
      <c r="P540" s="116"/>
      <c r="Q540" s="116"/>
      <c r="R540" s="116"/>
      <c r="S540" s="116"/>
      <c r="T540" s="116"/>
      <c r="U540" s="116"/>
      <c r="V540" s="116"/>
      <c r="W540" s="116"/>
      <c r="X540" s="278"/>
      <c r="Y540" s="142"/>
      <c r="Z540" s="142"/>
      <c r="AA540" s="142"/>
      <c r="AB540" s="142"/>
      <c r="AC540" s="142"/>
      <c r="AD540" s="142"/>
      <c r="AE540" s="142"/>
      <c r="AF540" s="130"/>
      <c r="AG540" s="142"/>
      <c r="AH540" s="142"/>
      <c r="AI540" s="142"/>
      <c r="AJ540" s="130"/>
      <c r="AK540" s="130"/>
      <c r="AL540" s="130"/>
      <c r="AM540" s="130"/>
    </row>
    <row r="541" ht="15.75" customHeight="1">
      <c r="A541" s="278"/>
      <c r="B541" s="278"/>
      <c r="C541" s="278"/>
      <c r="D541" s="278"/>
      <c r="E541" s="132"/>
      <c r="F541" s="116"/>
      <c r="G541" s="116"/>
      <c r="H541" s="116"/>
      <c r="I541" s="373"/>
      <c r="J541" s="147"/>
      <c r="K541" s="116"/>
      <c r="L541" s="116"/>
      <c r="M541" s="116"/>
      <c r="N541" s="116"/>
      <c r="O541" s="116"/>
      <c r="P541" s="116"/>
      <c r="Q541" s="116"/>
      <c r="R541" s="116"/>
      <c r="S541" s="116"/>
      <c r="T541" s="116"/>
      <c r="U541" s="116"/>
      <c r="V541" s="116"/>
      <c r="W541" s="116"/>
      <c r="X541" s="278"/>
      <c r="Y541" s="142"/>
      <c r="Z541" s="142"/>
      <c r="AA541" s="142"/>
      <c r="AB541" s="142"/>
      <c r="AC541" s="142"/>
      <c r="AD541" s="142"/>
      <c r="AE541" s="142"/>
      <c r="AF541" s="130"/>
      <c r="AG541" s="142"/>
      <c r="AH541" s="142"/>
      <c r="AI541" s="142"/>
      <c r="AJ541" s="130"/>
      <c r="AK541" s="130"/>
      <c r="AL541" s="130"/>
      <c r="AM541" s="130"/>
    </row>
    <row r="542" ht="15.75" customHeight="1">
      <c r="A542" s="278"/>
      <c r="B542" s="278"/>
      <c r="C542" s="278"/>
      <c r="D542" s="278"/>
      <c r="E542" s="132"/>
      <c r="F542" s="116"/>
      <c r="G542" s="116"/>
      <c r="H542" s="116"/>
      <c r="I542" s="373"/>
      <c r="J542" s="147"/>
      <c r="K542" s="116"/>
      <c r="L542" s="116"/>
      <c r="M542" s="116"/>
      <c r="N542" s="116"/>
      <c r="O542" s="116"/>
      <c r="P542" s="116"/>
      <c r="Q542" s="116"/>
      <c r="R542" s="116"/>
      <c r="S542" s="116"/>
      <c r="T542" s="116"/>
      <c r="U542" s="116"/>
      <c r="V542" s="116"/>
      <c r="W542" s="116"/>
      <c r="X542" s="278"/>
      <c r="Y542" s="142"/>
      <c r="Z542" s="142"/>
      <c r="AA542" s="142"/>
      <c r="AB542" s="142"/>
      <c r="AC542" s="142"/>
      <c r="AD542" s="142"/>
      <c r="AE542" s="142"/>
      <c r="AF542" s="130"/>
      <c r="AG542" s="142"/>
      <c r="AH542" s="142"/>
      <c r="AI542" s="142"/>
      <c r="AJ542" s="130"/>
      <c r="AK542" s="130"/>
      <c r="AL542" s="130"/>
      <c r="AM542" s="130"/>
    </row>
    <row r="543" ht="15.75" customHeight="1">
      <c r="A543" s="278"/>
      <c r="B543" s="278"/>
      <c r="C543" s="278"/>
      <c r="D543" s="278"/>
      <c r="E543" s="132"/>
      <c r="F543" s="116"/>
      <c r="G543" s="116"/>
      <c r="H543" s="116"/>
      <c r="I543" s="373"/>
      <c r="J543" s="147"/>
      <c r="K543" s="116"/>
      <c r="L543" s="116"/>
      <c r="M543" s="116"/>
      <c r="N543" s="116"/>
      <c r="O543" s="116"/>
      <c r="P543" s="116"/>
      <c r="Q543" s="116"/>
      <c r="R543" s="116"/>
      <c r="S543" s="116"/>
      <c r="T543" s="116"/>
      <c r="U543" s="116"/>
      <c r="V543" s="116"/>
      <c r="W543" s="116"/>
      <c r="X543" s="278"/>
      <c r="Y543" s="142"/>
      <c r="Z543" s="142"/>
      <c r="AA543" s="142"/>
      <c r="AB543" s="142"/>
      <c r="AC543" s="142"/>
      <c r="AD543" s="142"/>
      <c r="AE543" s="142"/>
      <c r="AF543" s="130"/>
      <c r="AG543" s="142"/>
      <c r="AH543" s="142"/>
      <c r="AI543" s="142"/>
      <c r="AJ543" s="130"/>
      <c r="AK543" s="130"/>
      <c r="AL543" s="130"/>
      <c r="AM543" s="130"/>
    </row>
    <row r="544" ht="15.75" customHeight="1">
      <c r="A544" s="278"/>
      <c r="B544" s="278"/>
      <c r="C544" s="278"/>
      <c r="D544" s="278"/>
      <c r="E544" s="132"/>
      <c r="F544" s="116"/>
      <c r="G544" s="116"/>
      <c r="H544" s="116"/>
      <c r="I544" s="373"/>
      <c r="J544" s="147"/>
      <c r="K544" s="116"/>
      <c r="L544" s="116"/>
      <c r="M544" s="116"/>
      <c r="N544" s="116"/>
      <c r="O544" s="116"/>
      <c r="P544" s="116"/>
      <c r="Q544" s="116"/>
      <c r="R544" s="116"/>
      <c r="S544" s="116"/>
      <c r="T544" s="116"/>
      <c r="U544" s="116"/>
      <c r="V544" s="116"/>
      <c r="W544" s="116"/>
      <c r="X544" s="278"/>
      <c r="Y544" s="142"/>
      <c r="Z544" s="142"/>
      <c r="AA544" s="142"/>
      <c r="AB544" s="142"/>
      <c r="AC544" s="142"/>
      <c r="AD544" s="142"/>
      <c r="AE544" s="142"/>
      <c r="AF544" s="130"/>
      <c r="AG544" s="142"/>
      <c r="AH544" s="142"/>
      <c r="AI544" s="142"/>
      <c r="AJ544" s="130"/>
      <c r="AK544" s="130"/>
      <c r="AL544" s="130"/>
      <c r="AM544" s="130"/>
    </row>
    <row r="545" ht="15.75" customHeight="1">
      <c r="A545" s="278"/>
      <c r="B545" s="278"/>
      <c r="C545" s="278"/>
      <c r="D545" s="278"/>
      <c r="E545" s="132"/>
      <c r="F545" s="116"/>
      <c r="G545" s="116"/>
      <c r="H545" s="116"/>
      <c r="I545" s="373"/>
      <c r="J545" s="147"/>
      <c r="K545" s="116"/>
      <c r="L545" s="116"/>
      <c r="M545" s="116"/>
      <c r="N545" s="116"/>
      <c r="O545" s="116"/>
      <c r="P545" s="116"/>
      <c r="Q545" s="116"/>
      <c r="R545" s="116"/>
      <c r="S545" s="116"/>
      <c r="T545" s="116"/>
      <c r="U545" s="116"/>
      <c r="V545" s="116"/>
      <c r="W545" s="116"/>
      <c r="X545" s="278"/>
      <c r="Y545" s="142"/>
      <c r="Z545" s="142"/>
      <c r="AA545" s="142"/>
      <c r="AB545" s="142"/>
      <c r="AC545" s="142"/>
      <c r="AD545" s="142"/>
      <c r="AE545" s="142"/>
      <c r="AF545" s="130"/>
      <c r="AG545" s="142"/>
      <c r="AH545" s="142"/>
      <c r="AI545" s="142"/>
      <c r="AJ545" s="130"/>
      <c r="AK545" s="130"/>
      <c r="AL545" s="130"/>
      <c r="AM545" s="130"/>
    </row>
    <row r="546" ht="15.75" customHeight="1">
      <c r="A546" s="278"/>
      <c r="B546" s="278"/>
      <c r="C546" s="278"/>
      <c r="D546" s="278"/>
      <c r="E546" s="132"/>
      <c r="F546" s="116"/>
      <c r="G546" s="116"/>
      <c r="H546" s="116"/>
      <c r="I546" s="373"/>
      <c r="J546" s="147"/>
      <c r="K546" s="116"/>
      <c r="L546" s="116"/>
      <c r="M546" s="116"/>
      <c r="N546" s="116"/>
      <c r="O546" s="116"/>
      <c r="P546" s="116"/>
      <c r="Q546" s="116"/>
      <c r="R546" s="116"/>
      <c r="S546" s="116"/>
      <c r="T546" s="116"/>
      <c r="U546" s="116"/>
      <c r="V546" s="116"/>
      <c r="W546" s="116"/>
      <c r="X546" s="278"/>
      <c r="Y546" s="142"/>
      <c r="Z546" s="142"/>
      <c r="AA546" s="142"/>
      <c r="AB546" s="142"/>
      <c r="AC546" s="142"/>
      <c r="AD546" s="142"/>
      <c r="AE546" s="142"/>
      <c r="AF546" s="130"/>
      <c r="AG546" s="142"/>
      <c r="AH546" s="142"/>
      <c r="AI546" s="142"/>
      <c r="AJ546" s="130"/>
      <c r="AK546" s="130"/>
      <c r="AL546" s="130"/>
      <c r="AM546" s="130"/>
    </row>
    <row r="547" ht="15.75" customHeight="1">
      <c r="A547" s="278"/>
      <c r="B547" s="278"/>
      <c r="C547" s="278"/>
      <c r="D547" s="278"/>
      <c r="E547" s="132"/>
      <c r="F547" s="116"/>
      <c r="G547" s="116"/>
      <c r="H547" s="116"/>
      <c r="I547" s="373"/>
      <c r="J547" s="147"/>
      <c r="K547" s="116"/>
      <c r="L547" s="116"/>
      <c r="M547" s="116"/>
      <c r="N547" s="116"/>
      <c r="O547" s="116"/>
      <c r="P547" s="116"/>
      <c r="Q547" s="116"/>
      <c r="R547" s="116"/>
      <c r="S547" s="116"/>
      <c r="T547" s="116"/>
      <c r="U547" s="116"/>
      <c r="V547" s="116"/>
      <c r="W547" s="116"/>
      <c r="X547" s="278"/>
      <c r="Y547" s="142"/>
      <c r="Z547" s="142"/>
      <c r="AA547" s="142"/>
      <c r="AB547" s="142"/>
      <c r="AC547" s="142"/>
      <c r="AD547" s="142"/>
      <c r="AE547" s="142"/>
      <c r="AF547" s="130"/>
      <c r="AG547" s="142"/>
      <c r="AH547" s="142"/>
      <c r="AI547" s="142"/>
      <c r="AJ547" s="130"/>
      <c r="AK547" s="130"/>
      <c r="AL547" s="130"/>
      <c r="AM547" s="130"/>
    </row>
    <row r="548" ht="15.75" customHeight="1">
      <c r="A548" s="278"/>
      <c r="B548" s="278"/>
      <c r="C548" s="278"/>
      <c r="D548" s="278"/>
      <c r="E548" s="132"/>
      <c r="F548" s="116"/>
      <c r="G548" s="116"/>
      <c r="H548" s="116"/>
      <c r="I548" s="373"/>
      <c r="J548" s="147"/>
      <c r="K548" s="116"/>
      <c r="L548" s="116"/>
      <c r="M548" s="116"/>
      <c r="N548" s="116"/>
      <c r="O548" s="116"/>
      <c r="P548" s="116"/>
      <c r="Q548" s="116"/>
      <c r="R548" s="116"/>
      <c r="S548" s="116"/>
      <c r="T548" s="116"/>
      <c r="U548" s="116"/>
      <c r="V548" s="116"/>
      <c r="W548" s="116"/>
      <c r="X548" s="278"/>
      <c r="Y548" s="142"/>
      <c r="Z548" s="142"/>
      <c r="AA548" s="142"/>
      <c r="AB548" s="142"/>
      <c r="AC548" s="142"/>
      <c r="AD548" s="142"/>
      <c r="AE548" s="142"/>
      <c r="AF548" s="130"/>
      <c r="AG548" s="142"/>
      <c r="AH548" s="142"/>
      <c r="AI548" s="142"/>
      <c r="AJ548" s="130"/>
      <c r="AK548" s="130"/>
      <c r="AL548" s="130"/>
      <c r="AM548" s="130"/>
    </row>
    <row r="549" ht="15.75" customHeight="1">
      <c r="A549" s="278"/>
      <c r="B549" s="278"/>
      <c r="C549" s="278"/>
      <c r="D549" s="278"/>
      <c r="E549" s="132"/>
      <c r="F549" s="116"/>
      <c r="G549" s="116"/>
      <c r="H549" s="116"/>
      <c r="I549" s="373"/>
      <c r="J549" s="147"/>
      <c r="K549" s="116"/>
      <c r="L549" s="116"/>
      <c r="M549" s="116"/>
      <c r="N549" s="116"/>
      <c r="O549" s="116"/>
      <c r="P549" s="116"/>
      <c r="Q549" s="116"/>
      <c r="R549" s="116"/>
      <c r="S549" s="116"/>
      <c r="T549" s="116"/>
      <c r="U549" s="116"/>
      <c r="V549" s="116"/>
      <c r="W549" s="116"/>
      <c r="X549" s="278"/>
      <c r="Y549" s="142"/>
      <c r="Z549" s="142"/>
      <c r="AA549" s="142"/>
      <c r="AB549" s="142"/>
      <c r="AC549" s="142"/>
      <c r="AD549" s="142"/>
      <c r="AE549" s="142"/>
      <c r="AF549" s="130"/>
      <c r="AG549" s="142"/>
      <c r="AH549" s="142"/>
      <c r="AI549" s="142"/>
      <c r="AJ549" s="130"/>
      <c r="AK549" s="130"/>
      <c r="AL549" s="130"/>
      <c r="AM549" s="130"/>
    </row>
    <row r="550" ht="15.75" customHeight="1">
      <c r="A550" s="278"/>
      <c r="B550" s="278"/>
      <c r="C550" s="278"/>
      <c r="D550" s="278"/>
      <c r="E550" s="132"/>
      <c r="F550" s="116"/>
      <c r="G550" s="116"/>
      <c r="H550" s="116"/>
      <c r="I550" s="373"/>
      <c r="J550" s="147"/>
      <c r="K550" s="116"/>
      <c r="L550" s="116"/>
      <c r="M550" s="116"/>
      <c r="N550" s="116"/>
      <c r="O550" s="116"/>
      <c r="P550" s="116"/>
      <c r="Q550" s="116"/>
      <c r="R550" s="116"/>
      <c r="S550" s="116"/>
      <c r="T550" s="116"/>
      <c r="U550" s="116"/>
      <c r="V550" s="116"/>
      <c r="W550" s="116"/>
      <c r="X550" s="278"/>
      <c r="Y550" s="142"/>
      <c r="Z550" s="142"/>
      <c r="AA550" s="142"/>
      <c r="AB550" s="142"/>
      <c r="AC550" s="142"/>
      <c r="AD550" s="142"/>
      <c r="AE550" s="142"/>
      <c r="AF550" s="130"/>
      <c r="AG550" s="142"/>
      <c r="AH550" s="142"/>
      <c r="AI550" s="142"/>
      <c r="AJ550" s="130"/>
      <c r="AK550" s="130"/>
      <c r="AL550" s="130"/>
      <c r="AM550" s="130"/>
    </row>
    <row r="551" ht="15.75" customHeight="1">
      <c r="A551" s="278"/>
      <c r="B551" s="278"/>
      <c r="C551" s="278"/>
      <c r="D551" s="278"/>
      <c r="E551" s="132"/>
      <c r="F551" s="116"/>
      <c r="G551" s="116"/>
      <c r="H551" s="116"/>
      <c r="I551" s="373"/>
      <c r="J551" s="147"/>
      <c r="K551" s="116"/>
      <c r="L551" s="116"/>
      <c r="M551" s="116"/>
      <c r="N551" s="116"/>
      <c r="O551" s="116"/>
      <c r="P551" s="116"/>
      <c r="Q551" s="116"/>
      <c r="R551" s="116"/>
      <c r="S551" s="116"/>
      <c r="T551" s="116"/>
      <c r="U551" s="116"/>
      <c r="V551" s="116"/>
      <c r="W551" s="116"/>
      <c r="X551" s="278"/>
      <c r="Y551" s="142"/>
      <c r="Z551" s="142"/>
      <c r="AA551" s="142"/>
      <c r="AB551" s="142"/>
      <c r="AC551" s="142"/>
      <c r="AD551" s="142"/>
      <c r="AE551" s="142"/>
      <c r="AF551" s="130"/>
      <c r="AG551" s="142"/>
      <c r="AH551" s="142"/>
      <c r="AI551" s="142"/>
      <c r="AJ551" s="130"/>
      <c r="AK551" s="130"/>
      <c r="AL551" s="130"/>
      <c r="AM551" s="130"/>
    </row>
    <row r="552" ht="15.75" customHeight="1">
      <c r="A552" s="278"/>
      <c r="B552" s="278"/>
      <c r="C552" s="278"/>
      <c r="D552" s="278"/>
      <c r="E552" s="132"/>
      <c r="F552" s="116"/>
      <c r="G552" s="116"/>
      <c r="H552" s="116"/>
      <c r="I552" s="373"/>
      <c r="J552" s="147"/>
      <c r="K552" s="116"/>
      <c r="L552" s="116"/>
      <c r="M552" s="116"/>
      <c r="N552" s="116"/>
      <c r="O552" s="116"/>
      <c r="P552" s="116"/>
      <c r="Q552" s="116"/>
      <c r="R552" s="116"/>
      <c r="S552" s="116"/>
      <c r="T552" s="116"/>
      <c r="U552" s="116"/>
      <c r="V552" s="116"/>
      <c r="W552" s="116"/>
      <c r="X552" s="278"/>
      <c r="Y552" s="142"/>
      <c r="Z552" s="142"/>
      <c r="AA552" s="142"/>
      <c r="AB552" s="142"/>
      <c r="AC552" s="142"/>
      <c r="AD552" s="142"/>
      <c r="AE552" s="142"/>
      <c r="AF552" s="130"/>
      <c r="AG552" s="142"/>
      <c r="AH552" s="142"/>
      <c r="AI552" s="142"/>
      <c r="AJ552" s="130"/>
      <c r="AK552" s="130"/>
      <c r="AL552" s="130"/>
      <c r="AM552" s="130"/>
    </row>
    <row r="553" ht="15.75" customHeight="1">
      <c r="A553" s="278"/>
      <c r="B553" s="278"/>
      <c r="C553" s="278"/>
      <c r="D553" s="278"/>
      <c r="E553" s="132"/>
      <c r="F553" s="116"/>
      <c r="G553" s="116"/>
      <c r="H553" s="116"/>
      <c r="I553" s="373"/>
      <c r="J553" s="147"/>
      <c r="K553" s="116"/>
      <c r="L553" s="116"/>
      <c r="M553" s="116"/>
      <c r="N553" s="116"/>
      <c r="O553" s="116"/>
      <c r="P553" s="116"/>
      <c r="Q553" s="116"/>
      <c r="R553" s="116"/>
      <c r="S553" s="116"/>
      <c r="T553" s="116"/>
      <c r="U553" s="116"/>
      <c r="V553" s="116"/>
      <c r="W553" s="116"/>
      <c r="X553" s="278"/>
      <c r="Y553" s="142"/>
      <c r="Z553" s="142"/>
      <c r="AA553" s="142"/>
      <c r="AB553" s="142"/>
      <c r="AC553" s="142"/>
      <c r="AD553" s="142"/>
      <c r="AE553" s="142"/>
      <c r="AF553" s="130"/>
      <c r="AG553" s="142"/>
      <c r="AH553" s="142"/>
      <c r="AI553" s="142"/>
      <c r="AJ553" s="130"/>
      <c r="AK553" s="130"/>
      <c r="AL553" s="130"/>
      <c r="AM553" s="130"/>
    </row>
    <row r="554" ht="15.75" customHeight="1">
      <c r="A554" s="278"/>
      <c r="B554" s="278"/>
      <c r="C554" s="278"/>
      <c r="D554" s="278"/>
      <c r="E554" s="132"/>
      <c r="F554" s="116"/>
      <c r="G554" s="116"/>
      <c r="H554" s="116"/>
      <c r="I554" s="373"/>
      <c r="J554" s="147"/>
      <c r="K554" s="116"/>
      <c r="L554" s="116"/>
      <c r="M554" s="116"/>
      <c r="N554" s="116"/>
      <c r="O554" s="116"/>
      <c r="P554" s="116"/>
      <c r="Q554" s="116"/>
      <c r="R554" s="116"/>
      <c r="S554" s="116"/>
      <c r="T554" s="116"/>
      <c r="U554" s="116"/>
      <c r="V554" s="116"/>
      <c r="W554" s="116"/>
      <c r="X554" s="278"/>
      <c r="Y554" s="142"/>
      <c r="Z554" s="142"/>
      <c r="AA554" s="142"/>
      <c r="AB554" s="142"/>
      <c r="AC554" s="142"/>
      <c r="AD554" s="142"/>
      <c r="AE554" s="142"/>
      <c r="AF554" s="130"/>
      <c r="AG554" s="142"/>
      <c r="AH554" s="142"/>
      <c r="AI554" s="142"/>
      <c r="AJ554" s="130"/>
      <c r="AK554" s="130"/>
      <c r="AL554" s="130"/>
      <c r="AM554" s="130"/>
    </row>
    <row r="555" ht="15.75" customHeight="1">
      <c r="A555" s="278"/>
      <c r="B555" s="278"/>
      <c r="C555" s="278"/>
      <c r="D555" s="278"/>
      <c r="E555" s="132"/>
      <c r="F555" s="116"/>
      <c r="G555" s="116"/>
      <c r="H555" s="116"/>
      <c r="I555" s="373"/>
      <c r="J555" s="147"/>
      <c r="K555" s="116"/>
      <c r="L555" s="116"/>
      <c r="M555" s="116"/>
      <c r="N555" s="116"/>
      <c r="O555" s="116"/>
      <c r="P555" s="116"/>
      <c r="Q555" s="116"/>
      <c r="R555" s="116"/>
      <c r="S555" s="116"/>
      <c r="T555" s="116"/>
      <c r="U555" s="116"/>
      <c r="V555" s="116"/>
      <c r="W555" s="116"/>
      <c r="X555" s="278"/>
      <c r="Y555" s="142"/>
      <c r="Z555" s="142"/>
      <c r="AA555" s="142"/>
      <c r="AB555" s="142"/>
      <c r="AC555" s="142"/>
      <c r="AD555" s="142"/>
      <c r="AE555" s="142"/>
      <c r="AF555" s="130"/>
      <c r="AG555" s="142"/>
      <c r="AH555" s="142"/>
      <c r="AI555" s="142"/>
      <c r="AJ555" s="130"/>
      <c r="AK555" s="130"/>
      <c r="AL555" s="130"/>
      <c r="AM555" s="130"/>
    </row>
    <row r="556" ht="15.75" customHeight="1">
      <c r="A556" s="278"/>
      <c r="B556" s="278"/>
      <c r="C556" s="278"/>
      <c r="D556" s="278"/>
      <c r="E556" s="132"/>
      <c r="F556" s="116"/>
      <c r="G556" s="116"/>
      <c r="H556" s="116"/>
      <c r="I556" s="373"/>
      <c r="J556" s="147"/>
      <c r="K556" s="116"/>
      <c r="L556" s="116"/>
      <c r="M556" s="116"/>
      <c r="N556" s="116"/>
      <c r="O556" s="116"/>
      <c r="P556" s="116"/>
      <c r="Q556" s="116"/>
      <c r="R556" s="116"/>
      <c r="S556" s="116"/>
      <c r="T556" s="116"/>
      <c r="U556" s="116"/>
      <c r="V556" s="116"/>
      <c r="W556" s="116"/>
      <c r="X556" s="278"/>
      <c r="Y556" s="142"/>
      <c r="Z556" s="142"/>
      <c r="AA556" s="142"/>
      <c r="AB556" s="142"/>
      <c r="AC556" s="142"/>
      <c r="AD556" s="142"/>
      <c r="AE556" s="142"/>
      <c r="AF556" s="130"/>
      <c r="AG556" s="142"/>
      <c r="AH556" s="142"/>
      <c r="AI556" s="142"/>
      <c r="AJ556" s="130"/>
      <c r="AK556" s="130"/>
      <c r="AL556" s="130"/>
      <c r="AM556" s="130"/>
    </row>
    <row r="557" ht="15.75" customHeight="1">
      <c r="A557" s="278"/>
      <c r="B557" s="278"/>
      <c r="C557" s="278"/>
      <c r="D557" s="278"/>
      <c r="E557" s="132"/>
      <c r="F557" s="116"/>
      <c r="G557" s="116"/>
      <c r="H557" s="116"/>
      <c r="I557" s="373"/>
      <c r="J557" s="147"/>
      <c r="K557" s="116"/>
      <c r="L557" s="116"/>
      <c r="M557" s="116"/>
      <c r="N557" s="116"/>
      <c r="O557" s="116"/>
      <c r="P557" s="116"/>
      <c r="Q557" s="116"/>
      <c r="R557" s="116"/>
      <c r="S557" s="116"/>
      <c r="T557" s="116"/>
      <c r="U557" s="116"/>
      <c r="V557" s="116"/>
      <c r="W557" s="116"/>
      <c r="X557" s="278"/>
      <c r="Y557" s="142"/>
      <c r="Z557" s="142"/>
      <c r="AA557" s="142"/>
      <c r="AB557" s="142"/>
      <c r="AC557" s="142"/>
      <c r="AD557" s="142"/>
      <c r="AE557" s="142"/>
      <c r="AF557" s="130"/>
      <c r="AG557" s="142"/>
      <c r="AH557" s="142"/>
      <c r="AI557" s="142"/>
      <c r="AJ557" s="130"/>
      <c r="AK557" s="130"/>
      <c r="AL557" s="130"/>
      <c r="AM557" s="130"/>
    </row>
    <row r="558" ht="15.75" customHeight="1">
      <c r="A558" s="278"/>
      <c r="B558" s="278"/>
      <c r="C558" s="278"/>
      <c r="D558" s="278"/>
      <c r="E558" s="132"/>
      <c r="F558" s="116"/>
      <c r="G558" s="116"/>
      <c r="H558" s="116"/>
      <c r="I558" s="373"/>
      <c r="J558" s="147"/>
      <c r="K558" s="116"/>
      <c r="L558" s="116"/>
      <c r="M558" s="116"/>
      <c r="N558" s="116"/>
      <c r="O558" s="116"/>
      <c r="P558" s="116"/>
      <c r="Q558" s="116"/>
      <c r="R558" s="116"/>
      <c r="S558" s="116"/>
      <c r="T558" s="116"/>
      <c r="U558" s="116"/>
      <c r="V558" s="116"/>
      <c r="W558" s="116"/>
      <c r="X558" s="278"/>
      <c r="Y558" s="142"/>
      <c r="Z558" s="142"/>
      <c r="AA558" s="142"/>
      <c r="AB558" s="142"/>
      <c r="AC558" s="142"/>
      <c r="AD558" s="142"/>
      <c r="AE558" s="142"/>
      <c r="AF558" s="130"/>
      <c r="AG558" s="142"/>
      <c r="AH558" s="142"/>
      <c r="AI558" s="142"/>
      <c r="AJ558" s="130"/>
      <c r="AK558" s="130"/>
      <c r="AL558" s="130"/>
      <c r="AM558" s="130"/>
    </row>
    <row r="559" ht="15.75" customHeight="1">
      <c r="A559" s="278"/>
      <c r="B559" s="278"/>
      <c r="C559" s="278"/>
      <c r="D559" s="278"/>
      <c r="E559" s="132"/>
      <c r="F559" s="116"/>
      <c r="G559" s="116"/>
      <c r="H559" s="116"/>
      <c r="I559" s="373"/>
      <c r="J559" s="147"/>
      <c r="K559" s="116"/>
      <c r="L559" s="116"/>
      <c r="M559" s="116"/>
      <c r="N559" s="116"/>
      <c r="O559" s="116"/>
      <c r="P559" s="116"/>
      <c r="Q559" s="116"/>
      <c r="R559" s="116"/>
      <c r="S559" s="116"/>
      <c r="T559" s="116"/>
      <c r="U559" s="116"/>
      <c r="V559" s="116"/>
      <c r="W559" s="116"/>
      <c r="X559" s="278"/>
      <c r="Y559" s="142"/>
      <c r="Z559" s="142"/>
      <c r="AA559" s="142"/>
      <c r="AB559" s="142"/>
      <c r="AC559" s="142"/>
      <c r="AD559" s="142"/>
      <c r="AE559" s="142"/>
      <c r="AF559" s="130"/>
      <c r="AG559" s="142"/>
      <c r="AH559" s="142"/>
      <c r="AI559" s="142"/>
      <c r="AJ559" s="130"/>
      <c r="AK559" s="130"/>
      <c r="AL559" s="130"/>
      <c r="AM559" s="130"/>
    </row>
    <row r="560" ht="15.75" customHeight="1">
      <c r="A560" s="278"/>
      <c r="B560" s="278"/>
      <c r="C560" s="278"/>
      <c r="D560" s="278"/>
      <c r="E560" s="132"/>
      <c r="F560" s="116"/>
      <c r="G560" s="116"/>
      <c r="H560" s="116"/>
      <c r="I560" s="373"/>
      <c r="J560" s="147"/>
      <c r="K560" s="116"/>
      <c r="L560" s="116"/>
      <c r="M560" s="116"/>
      <c r="N560" s="116"/>
      <c r="O560" s="116"/>
      <c r="P560" s="116"/>
      <c r="Q560" s="116"/>
      <c r="R560" s="116"/>
      <c r="S560" s="116"/>
      <c r="T560" s="116"/>
      <c r="U560" s="116"/>
      <c r="V560" s="116"/>
      <c r="W560" s="116"/>
      <c r="X560" s="278"/>
      <c r="Y560" s="142"/>
      <c r="Z560" s="142"/>
      <c r="AA560" s="142"/>
      <c r="AB560" s="142"/>
      <c r="AC560" s="142"/>
      <c r="AD560" s="142"/>
      <c r="AE560" s="142"/>
      <c r="AF560" s="130"/>
      <c r="AG560" s="142"/>
      <c r="AH560" s="142"/>
      <c r="AI560" s="142"/>
      <c r="AJ560" s="130"/>
      <c r="AK560" s="130"/>
      <c r="AL560" s="130"/>
      <c r="AM560" s="130"/>
    </row>
    <row r="561" ht="15.75" customHeight="1">
      <c r="A561" s="278"/>
      <c r="B561" s="278"/>
      <c r="C561" s="278"/>
      <c r="D561" s="278"/>
      <c r="E561" s="132"/>
      <c r="F561" s="116"/>
      <c r="G561" s="116"/>
      <c r="H561" s="116"/>
      <c r="I561" s="373"/>
      <c r="J561" s="147"/>
      <c r="K561" s="116"/>
      <c r="L561" s="116"/>
      <c r="M561" s="116"/>
      <c r="N561" s="116"/>
      <c r="O561" s="116"/>
      <c r="P561" s="116"/>
      <c r="Q561" s="116"/>
      <c r="R561" s="116"/>
      <c r="S561" s="116"/>
      <c r="T561" s="116"/>
      <c r="U561" s="116"/>
      <c r="V561" s="116"/>
      <c r="W561" s="116"/>
      <c r="X561" s="278"/>
      <c r="Y561" s="142"/>
      <c r="Z561" s="142"/>
      <c r="AA561" s="142"/>
      <c r="AB561" s="142"/>
      <c r="AC561" s="142"/>
      <c r="AD561" s="142"/>
      <c r="AE561" s="142"/>
      <c r="AF561" s="130"/>
      <c r="AG561" s="142"/>
      <c r="AH561" s="142"/>
      <c r="AI561" s="142"/>
      <c r="AJ561" s="130"/>
      <c r="AK561" s="130"/>
      <c r="AL561" s="130"/>
      <c r="AM561" s="130"/>
    </row>
    <row r="562" ht="15.75" customHeight="1">
      <c r="A562" s="278"/>
      <c r="B562" s="278"/>
      <c r="C562" s="278"/>
      <c r="D562" s="278"/>
      <c r="E562" s="132"/>
      <c r="F562" s="116"/>
      <c r="G562" s="116"/>
      <c r="H562" s="116"/>
      <c r="I562" s="373"/>
      <c r="J562" s="147"/>
      <c r="K562" s="116"/>
      <c r="L562" s="116"/>
      <c r="M562" s="116"/>
      <c r="N562" s="116"/>
      <c r="O562" s="116"/>
      <c r="P562" s="116"/>
      <c r="Q562" s="116"/>
      <c r="R562" s="116"/>
      <c r="S562" s="116"/>
      <c r="T562" s="116"/>
      <c r="U562" s="116"/>
      <c r="V562" s="116"/>
      <c r="W562" s="116"/>
      <c r="X562" s="278"/>
      <c r="Y562" s="142"/>
      <c r="Z562" s="142"/>
      <c r="AA562" s="142"/>
      <c r="AB562" s="142"/>
      <c r="AC562" s="142"/>
      <c r="AD562" s="142"/>
      <c r="AE562" s="142"/>
      <c r="AF562" s="130"/>
      <c r="AG562" s="142"/>
      <c r="AH562" s="142"/>
      <c r="AI562" s="142"/>
      <c r="AJ562" s="130"/>
      <c r="AK562" s="130"/>
      <c r="AL562" s="130"/>
      <c r="AM562" s="130"/>
    </row>
    <row r="563" ht="15.75" customHeight="1">
      <c r="A563" s="278"/>
      <c r="B563" s="278"/>
      <c r="C563" s="278"/>
      <c r="D563" s="278"/>
      <c r="E563" s="132"/>
      <c r="F563" s="116"/>
      <c r="G563" s="116"/>
      <c r="H563" s="116"/>
      <c r="I563" s="373"/>
      <c r="J563" s="147"/>
      <c r="K563" s="116"/>
      <c r="L563" s="116"/>
      <c r="M563" s="116"/>
      <c r="N563" s="116"/>
      <c r="O563" s="116"/>
      <c r="P563" s="116"/>
      <c r="Q563" s="116"/>
      <c r="R563" s="116"/>
      <c r="S563" s="116"/>
      <c r="T563" s="116"/>
      <c r="U563" s="116"/>
      <c r="V563" s="116"/>
      <c r="W563" s="116"/>
      <c r="X563" s="278"/>
      <c r="Y563" s="142"/>
      <c r="Z563" s="142"/>
      <c r="AA563" s="142"/>
      <c r="AB563" s="142"/>
      <c r="AC563" s="142"/>
      <c r="AD563" s="142"/>
      <c r="AE563" s="142"/>
      <c r="AF563" s="130"/>
      <c r="AG563" s="142"/>
      <c r="AH563" s="142"/>
      <c r="AI563" s="142"/>
      <c r="AJ563" s="130"/>
      <c r="AK563" s="130"/>
      <c r="AL563" s="130"/>
      <c r="AM563" s="130"/>
    </row>
    <row r="564" ht="15.75" customHeight="1">
      <c r="A564" s="278"/>
      <c r="B564" s="278"/>
      <c r="C564" s="278"/>
      <c r="D564" s="278"/>
      <c r="E564" s="132"/>
      <c r="F564" s="116"/>
      <c r="G564" s="116"/>
      <c r="H564" s="116"/>
      <c r="I564" s="373"/>
      <c r="J564" s="147"/>
      <c r="K564" s="116"/>
      <c r="L564" s="116"/>
      <c r="M564" s="116"/>
      <c r="N564" s="116"/>
      <c r="O564" s="116"/>
      <c r="P564" s="116"/>
      <c r="Q564" s="116"/>
      <c r="R564" s="116"/>
      <c r="S564" s="116"/>
      <c r="T564" s="116"/>
      <c r="U564" s="116"/>
      <c r="V564" s="116"/>
      <c r="W564" s="116"/>
      <c r="X564" s="278"/>
      <c r="Y564" s="142"/>
      <c r="Z564" s="142"/>
      <c r="AA564" s="142"/>
      <c r="AB564" s="142"/>
      <c r="AC564" s="142"/>
      <c r="AD564" s="142"/>
      <c r="AE564" s="142"/>
      <c r="AF564" s="130"/>
      <c r="AG564" s="142"/>
      <c r="AH564" s="142"/>
      <c r="AI564" s="142"/>
      <c r="AJ564" s="130"/>
      <c r="AK564" s="130"/>
      <c r="AL564" s="130"/>
      <c r="AM564" s="130"/>
    </row>
    <row r="565" ht="15.75" customHeight="1">
      <c r="A565" s="278"/>
      <c r="B565" s="278"/>
      <c r="C565" s="278"/>
      <c r="D565" s="278"/>
      <c r="E565" s="132"/>
      <c r="F565" s="116"/>
      <c r="G565" s="116"/>
      <c r="H565" s="116"/>
      <c r="I565" s="373"/>
      <c r="J565" s="147"/>
      <c r="K565" s="116"/>
      <c r="L565" s="116"/>
      <c r="M565" s="116"/>
      <c r="N565" s="116"/>
      <c r="O565" s="116"/>
      <c r="P565" s="116"/>
      <c r="Q565" s="116"/>
      <c r="R565" s="116"/>
      <c r="S565" s="116"/>
      <c r="T565" s="116"/>
      <c r="U565" s="116"/>
      <c r="V565" s="116"/>
      <c r="W565" s="116"/>
      <c r="X565" s="278"/>
      <c r="Y565" s="142"/>
      <c r="Z565" s="142"/>
      <c r="AA565" s="142"/>
      <c r="AB565" s="142"/>
      <c r="AC565" s="142"/>
      <c r="AD565" s="142"/>
      <c r="AE565" s="142"/>
      <c r="AF565" s="130"/>
      <c r="AG565" s="142"/>
      <c r="AH565" s="142"/>
      <c r="AI565" s="142"/>
      <c r="AJ565" s="130"/>
      <c r="AK565" s="130"/>
      <c r="AL565" s="130"/>
      <c r="AM565" s="130"/>
    </row>
    <row r="566" ht="15.75" customHeight="1">
      <c r="A566" s="278"/>
      <c r="B566" s="278"/>
      <c r="C566" s="278"/>
      <c r="D566" s="278"/>
      <c r="E566" s="132"/>
      <c r="F566" s="116"/>
      <c r="G566" s="116"/>
      <c r="H566" s="116"/>
      <c r="I566" s="373"/>
      <c r="J566" s="147"/>
      <c r="K566" s="116"/>
      <c r="L566" s="116"/>
      <c r="M566" s="116"/>
      <c r="N566" s="116"/>
      <c r="O566" s="116"/>
      <c r="P566" s="116"/>
      <c r="Q566" s="116"/>
      <c r="R566" s="116"/>
      <c r="S566" s="116"/>
      <c r="T566" s="116"/>
      <c r="U566" s="116"/>
      <c r="V566" s="116"/>
      <c r="W566" s="116"/>
      <c r="X566" s="278"/>
      <c r="Y566" s="142"/>
      <c r="Z566" s="142"/>
      <c r="AA566" s="142"/>
      <c r="AB566" s="142"/>
      <c r="AC566" s="142"/>
      <c r="AD566" s="142"/>
      <c r="AE566" s="142"/>
      <c r="AF566" s="130"/>
      <c r="AG566" s="142"/>
      <c r="AH566" s="142"/>
      <c r="AI566" s="142"/>
      <c r="AJ566" s="130"/>
      <c r="AK566" s="130"/>
      <c r="AL566" s="130"/>
      <c r="AM566" s="130"/>
    </row>
    <row r="567" ht="15.75" customHeight="1">
      <c r="A567" s="278"/>
      <c r="B567" s="278"/>
      <c r="C567" s="278"/>
      <c r="D567" s="278"/>
      <c r="E567" s="132"/>
      <c r="F567" s="116"/>
      <c r="G567" s="116"/>
      <c r="H567" s="116"/>
      <c r="I567" s="373"/>
      <c r="J567" s="147"/>
      <c r="K567" s="116"/>
      <c r="L567" s="116"/>
      <c r="M567" s="116"/>
      <c r="N567" s="116"/>
      <c r="O567" s="116"/>
      <c r="P567" s="116"/>
      <c r="Q567" s="116"/>
      <c r="R567" s="116"/>
      <c r="S567" s="116"/>
      <c r="T567" s="116"/>
      <c r="U567" s="116"/>
      <c r="V567" s="116"/>
      <c r="W567" s="116"/>
      <c r="X567" s="278"/>
      <c r="Y567" s="142"/>
      <c r="Z567" s="142"/>
      <c r="AA567" s="142"/>
      <c r="AB567" s="142"/>
      <c r="AC567" s="142"/>
      <c r="AD567" s="142"/>
      <c r="AE567" s="142"/>
      <c r="AF567" s="130"/>
      <c r="AG567" s="142"/>
      <c r="AH567" s="142"/>
      <c r="AI567" s="142"/>
      <c r="AJ567" s="130"/>
      <c r="AK567" s="130"/>
      <c r="AL567" s="130"/>
      <c r="AM567" s="130"/>
    </row>
    <row r="568" ht="15.75" customHeight="1">
      <c r="A568" s="278"/>
      <c r="B568" s="278"/>
      <c r="C568" s="278"/>
      <c r="D568" s="278"/>
      <c r="E568" s="132"/>
      <c r="F568" s="116"/>
      <c r="G568" s="116"/>
      <c r="H568" s="116"/>
      <c r="I568" s="373"/>
      <c r="J568" s="147"/>
      <c r="K568" s="116"/>
      <c r="L568" s="116"/>
      <c r="M568" s="116"/>
      <c r="N568" s="116"/>
      <c r="O568" s="116"/>
      <c r="P568" s="116"/>
      <c r="Q568" s="116"/>
      <c r="R568" s="116"/>
      <c r="S568" s="116"/>
      <c r="T568" s="116"/>
      <c r="U568" s="116"/>
      <c r="V568" s="116"/>
      <c r="W568" s="116"/>
      <c r="X568" s="278"/>
      <c r="Y568" s="142"/>
      <c r="Z568" s="142"/>
      <c r="AA568" s="142"/>
      <c r="AB568" s="142"/>
      <c r="AC568" s="142"/>
      <c r="AD568" s="142"/>
      <c r="AE568" s="142"/>
      <c r="AF568" s="130"/>
      <c r="AG568" s="142"/>
      <c r="AH568" s="142"/>
      <c r="AI568" s="142"/>
      <c r="AJ568" s="130"/>
      <c r="AK568" s="130"/>
      <c r="AL568" s="130"/>
      <c r="AM568" s="130"/>
    </row>
    <row r="569" ht="15.75" customHeight="1">
      <c r="A569" s="278"/>
      <c r="B569" s="278"/>
      <c r="C569" s="278"/>
      <c r="D569" s="278"/>
      <c r="E569" s="132"/>
      <c r="F569" s="116"/>
      <c r="G569" s="116"/>
      <c r="H569" s="116"/>
      <c r="I569" s="373"/>
      <c r="J569" s="147"/>
      <c r="K569" s="116"/>
      <c r="L569" s="116"/>
      <c r="M569" s="116"/>
      <c r="N569" s="116"/>
      <c r="O569" s="116"/>
      <c r="P569" s="116"/>
      <c r="Q569" s="116"/>
      <c r="R569" s="116"/>
      <c r="S569" s="116"/>
      <c r="T569" s="116"/>
      <c r="U569" s="116"/>
      <c r="V569" s="116"/>
      <c r="W569" s="116"/>
      <c r="X569" s="278"/>
      <c r="Y569" s="142"/>
      <c r="Z569" s="142"/>
      <c r="AA569" s="142"/>
      <c r="AB569" s="142"/>
      <c r="AC569" s="142"/>
      <c r="AD569" s="142"/>
      <c r="AE569" s="142"/>
      <c r="AF569" s="130"/>
      <c r="AG569" s="142"/>
      <c r="AH569" s="142"/>
      <c r="AI569" s="142"/>
      <c r="AJ569" s="130"/>
      <c r="AK569" s="130"/>
      <c r="AL569" s="130"/>
      <c r="AM569" s="130"/>
    </row>
    <row r="570" ht="15.75" customHeight="1">
      <c r="A570" s="278"/>
      <c r="B570" s="278"/>
      <c r="C570" s="278"/>
      <c r="D570" s="278"/>
      <c r="E570" s="132"/>
      <c r="F570" s="116"/>
      <c r="G570" s="116"/>
      <c r="H570" s="116"/>
      <c r="I570" s="373"/>
      <c r="J570" s="147"/>
      <c r="K570" s="116"/>
      <c r="L570" s="116"/>
      <c r="M570" s="116"/>
      <c r="N570" s="116"/>
      <c r="O570" s="116"/>
      <c r="P570" s="116"/>
      <c r="Q570" s="116"/>
      <c r="R570" s="116"/>
      <c r="S570" s="116"/>
      <c r="T570" s="116"/>
      <c r="U570" s="116"/>
      <c r="V570" s="116"/>
      <c r="W570" s="116"/>
      <c r="X570" s="278"/>
      <c r="Y570" s="142"/>
      <c r="Z570" s="142"/>
      <c r="AA570" s="142"/>
      <c r="AB570" s="142"/>
      <c r="AC570" s="142"/>
      <c r="AD570" s="142"/>
      <c r="AE570" s="142"/>
      <c r="AF570" s="130"/>
      <c r="AG570" s="142"/>
      <c r="AH570" s="142"/>
      <c r="AI570" s="142"/>
      <c r="AJ570" s="130"/>
      <c r="AK570" s="130"/>
      <c r="AL570" s="130"/>
      <c r="AM570" s="130"/>
    </row>
    <row r="571" ht="15.75" customHeight="1">
      <c r="A571" s="278"/>
      <c r="B571" s="278"/>
      <c r="C571" s="278"/>
      <c r="D571" s="278"/>
      <c r="E571" s="132"/>
      <c r="F571" s="116"/>
      <c r="G571" s="116"/>
      <c r="H571" s="116"/>
      <c r="I571" s="373"/>
      <c r="J571" s="147"/>
      <c r="K571" s="116"/>
      <c r="L571" s="116"/>
      <c r="M571" s="116"/>
      <c r="N571" s="116"/>
      <c r="O571" s="116"/>
      <c r="P571" s="116"/>
      <c r="Q571" s="116"/>
      <c r="R571" s="116"/>
      <c r="S571" s="116"/>
      <c r="T571" s="116"/>
      <c r="U571" s="116"/>
      <c r="V571" s="116"/>
      <c r="W571" s="116"/>
      <c r="X571" s="278"/>
      <c r="Y571" s="142"/>
      <c r="Z571" s="142"/>
      <c r="AA571" s="142"/>
      <c r="AB571" s="142"/>
      <c r="AC571" s="142"/>
      <c r="AD571" s="142"/>
      <c r="AE571" s="142"/>
      <c r="AF571" s="130"/>
      <c r="AG571" s="142"/>
      <c r="AH571" s="142"/>
      <c r="AI571" s="142"/>
      <c r="AJ571" s="130"/>
      <c r="AK571" s="130"/>
      <c r="AL571" s="130"/>
      <c r="AM571" s="130"/>
    </row>
    <row r="572" ht="15.75" customHeight="1">
      <c r="A572" s="278"/>
      <c r="B572" s="278"/>
      <c r="C572" s="278"/>
      <c r="D572" s="278"/>
      <c r="E572" s="132"/>
      <c r="F572" s="116"/>
      <c r="G572" s="116"/>
      <c r="H572" s="116"/>
      <c r="I572" s="373"/>
      <c r="J572" s="147"/>
      <c r="K572" s="116"/>
      <c r="L572" s="116"/>
      <c r="M572" s="116"/>
      <c r="N572" s="116"/>
      <c r="O572" s="116"/>
      <c r="P572" s="116"/>
      <c r="Q572" s="116"/>
      <c r="R572" s="116"/>
      <c r="S572" s="116"/>
      <c r="T572" s="116"/>
      <c r="U572" s="116"/>
      <c r="V572" s="116"/>
      <c r="W572" s="116"/>
      <c r="X572" s="278"/>
      <c r="Y572" s="142"/>
      <c r="Z572" s="142"/>
      <c r="AA572" s="142"/>
      <c r="AB572" s="142"/>
      <c r="AC572" s="142"/>
      <c r="AD572" s="142"/>
      <c r="AE572" s="142"/>
      <c r="AF572" s="130"/>
      <c r="AG572" s="142"/>
      <c r="AH572" s="142"/>
      <c r="AI572" s="142"/>
      <c r="AJ572" s="130"/>
      <c r="AK572" s="130"/>
      <c r="AL572" s="130"/>
      <c r="AM572" s="130"/>
    </row>
    <row r="573" ht="15.75" customHeight="1">
      <c r="A573" s="278"/>
      <c r="B573" s="278"/>
      <c r="C573" s="278"/>
      <c r="D573" s="278"/>
      <c r="E573" s="132"/>
      <c r="F573" s="116"/>
      <c r="G573" s="116"/>
      <c r="H573" s="116"/>
      <c r="I573" s="373"/>
      <c r="J573" s="147"/>
      <c r="K573" s="116"/>
      <c r="L573" s="116"/>
      <c r="M573" s="116"/>
      <c r="N573" s="116"/>
      <c r="O573" s="116"/>
      <c r="P573" s="116"/>
      <c r="Q573" s="116"/>
      <c r="R573" s="116"/>
      <c r="S573" s="116"/>
      <c r="T573" s="116"/>
      <c r="U573" s="116"/>
      <c r="V573" s="116"/>
      <c r="W573" s="116"/>
      <c r="X573" s="278"/>
      <c r="Y573" s="142"/>
      <c r="Z573" s="142"/>
      <c r="AA573" s="142"/>
      <c r="AB573" s="142"/>
      <c r="AC573" s="142"/>
      <c r="AD573" s="142"/>
      <c r="AE573" s="142"/>
      <c r="AF573" s="130"/>
      <c r="AG573" s="142"/>
      <c r="AH573" s="142"/>
      <c r="AI573" s="142"/>
      <c r="AJ573" s="130"/>
      <c r="AK573" s="130"/>
      <c r="AL573" s="130"/>
      <c r="AM573" s="130"/>
    </row>
    <row r="574" ht="15.75" customHeight="1">
      <c r="A574" s="278"/>
      <c r="B574" s="278"/>
      <c r="C574" s="278"/>
      <c r="D574" s="278"/>
      <c r="E574" s="132"/>
      <c r="F574" s="116"/>
      <c r="G574" s="116"/>
      <c r="H574" s="116"/>
      <c r="I574" s="373"/>
      <c r="J574" s="147"/>
      <c r="K574" s="116"/>
      <c r="L574" s="116"/>
      <c r="M574" s="116"/>
      <c r="N574" s="116"/>
      <c r="O574" s="116"/>
      <c r="P574" s="116"/>
      <c r="Q574" s="116"/>
      <c r="R574" s="116"/>
      <c r="S574" s="116"/>
      <c r="T574" s="116"/>
      <c r="U574" s="116"/>
      <c r="V574" s="116"/>
      <c r="W574" s="116"/>
      <c r="X574" s="278"/>
      <c r="Y574" s="142"/>
      <c r="Z574" s="142"/>
      <c r="AA574" s="142"/>
      <c r="AB574" s="142"/>
      <c r="AC574" s="142"/>
      <c r="AD574" s="142"/>
      <c r="AE574" s="142"/>
      <c r="AF574" s="130"/>
      <c r="AG574" s="142"/>
      <c r="AH574" s="142"/>
      <c r="AI574" s="142"/>
      <c r="AJ574" s="130"/>
      <c r="AK574" s="130"/>
      <c r="AL574" s="130"/>
      <c r="AM574" s="130"/>
    </row>
    <row r="575" ht="15.75" customHeight="1">
      <c r="A575" s="278"/>
      <c r="B575" s="278"/>
      <c r="C575" s="278"/>
      <c r="D575" s="278"/>
      <c r="E575" s="132"/>
      <c r="F575" s="116"/>
      <c r="G575" s="116"/>
      <c r="H575" s="116"/>
      <c r="I575" s="373"/>
      <c r="J575" s="147"/>
      <c r="K575" s="116"/>
      <c r="L575" s="116"/>
      <c r="M575" s="116"/>
      <c r="N575" s="116"/>
      <c r="O575" s="116"/>
      <c r="P575" s="116"/>
      <c r="Q575" s="116"/>
      <c r="R575" s="116"/>
      <c r="S575" s="116"/>
      <c r="T575" s="116"/>
      <c r="U575" s="116"/>
      <c r="V575" s="116"/>
      <c r="W575" s="116"/>
      <c r="X575" s="278"/>
      <c r="Y575" s="142"/>
      <c r="Z575" s="142"/>
      <c r="AA575" s="142"/>
      <c r="AB575" s="142"/>
      <c r="AC575" s="142"/>
      <c r="AD575" s="142"/>
      <c r="AE575" s="142"/>
      <c r="AF575" s="130"/>
      <c r="AG575" s="142"/>
      <c r="AH575" s="142"/>
      <c r="AI575" s="142"/>
      <c r="AJ575" s="130"/>
      <c r="AK575" s="130"/>
      <c r="AL575" s="130"/>
      <c r="AM575" s="130"/>
    </row>
    <row r="576" ht="15.75" customHeight="1">
      <c r="A576" s="278"/>
      <c r="B576" s="278"/>
      <c r="C576" s="278"/>
      <c r="D576" s="278"/>
      <c r="E576" s="132"/>
      <c r="F576" s="116"/>
      <c r="G576" s="116"/>
      <c r="H576" s="116"/>
      <c r="I576" s="373"/>
      <c r="J576" s="147"/>
      <c r="K576" s="116"/>
      <c r="L576" s="116"/>
      <c r="M576" s="116"/>
      <c r="N576" s="116"/>
      <c r="O576" s="116"/>
      <c r="P576" s="116"/>
      <c r="Q576" s="116"/>
      <c r="R576" s="116"/>
      <c r="S576" s="116"/>
      <c r="T576" s="116"/>
      <c r="U576" s="116"/>
      <c r="V576" s="116"/>
      <c r="W576" s="116"/>
      <c r="X576" s="278"/>
      <c r="Y576" s="142"/>
      <c r="Z576" s="142"/>
      <c r="AA576" s="142"/>
      <c r="AB576" s="142"/>
      <c r="AC576" s="142"/>
      <c r="AD576" s="142"/>
      <c r="AE576" s="142"/>
      <c r="AF576" s="130"/>
      <c r="AG576" s="142"/>
      <c r="AH576" s="142"/>
      <c r="AI576" s="142"/>
      <c r="AJ576" s="130"/>
      <c r="AK576" s="130"/>
      <c r="AL576" s="130"/>
      <c r="AM576" s="130"/>
    </row>
    <row r="577" ht="15.75" customHeight="1">
      <c r="A577" s="278"/>
      <c r="B577" s="278"/>
      <c r="C577" s="278"/>
      <c r="D577" s="278"/>
      <c r="E577" s="132"/>
      <c r="F577" s="116"/>
      <c r="G577" s="116"/>
      <c r="H577" s="116"/>
      <c r="I577" s="373"/>
      <c r="J577" s="147"/>
      <c r="K577" s="116"/>
      <c r="L577" s="116"/>
      <c r="M577" s="116"/>
      <c r="N577" s="116"/>
      <c r="O577" s="116"/>
      <c r="P577" s="116"/>
      <c r="Q577" s="116"/>
      <c r="R577" s="116"/>
      <c r="S577" s="116"/>
      <c r="T577" s="116"/>
      <c r="U577" s="116"/>
      <c r="V577" s="116"/>
      <c r="W577" s="116"/>
      <c r="X577" s="278"/>
      <c r="Y577" s="142"/>
      <c r="Z577" s="142"/>
      <c r="AA577" s="142"/>
      <c r="AB577" s="142"/>
      <c r="AC577" s="142"/>
      <c r="AD577" s="142"/>
      <c r="AE577" s="142"/>
      <c r="AF577" s="130"/>
      <c r="AG577" s="142"/>
      <c r="AH577" s="142"/>
      <c r="AI577" s="142"/>
      <c r="AJ577" s="130"/>
      <c r="AK577" s="130"/>
      <c r="AL577" s="130"/>
      <c r="AM577" s="130"/>
    </row>
    <row r="578" ht="15.75" customHeight="1">
      <c r="A578" s="278"/>
      <c r="B578" s="278"/>
      <c r="C578" s="278"/>
      <c r="D578" s="278"/>
      <c r="E578" s="132"/>
      <c r="F578" s="116"/>
      <c r="G578" s="116"/>
      <c r="H578" s="116"/>
      <c r="I578" s="373"/>
      <c r="J578" s="147"/>
      <c r="K578" s="116"/>
      <c r="L578" s="116"/>
      <c r="M578" s="116"/>
      <c r="N578" s="116"/>
      <c r="O578" s="116"/>
      <c r="P578" s="116"/>
      <c r="Q578" s="116"/>
      <c r="R578" s="116"/>
      <c r="S578" s="116"/>
      <c r="T578" s="116"/>
      <c r="U578" s="116"/>
      <c r="V578" s="116"/>
      <c r="W578" s="116"/>
      <c r="X578" s="278"/>
      <c r="Y578" s="142"/>
      <c r="Z578" s="142"/>
      <c r="AA578" s="142"/>
      <c r="AB578" s="142"/>
      <c r="AC578" s="142"/>
      <c r="AD578" s="142"/>
      <c r="AE578" s="142"/>
      <c r="AF578" s="130"/>
      <c r="AG578" s="142"/>
      <c r="AH578" s="142"/>
      <c r="AI578" s="142"/>
      <c r="AJ578" s="130"/>
      <c r="AK578" s="130"/>
      <c r="AL578" s="130"/>
      <c r="AM578" s="130"/>
    </row>
    <row r="579" ht="15.75" customHeight="1">
      <c r="A579" s="278"/>
      <c r="B579" s="278"/>
      <c r="C579" s="278"/>
      <c r="D579" s="278"/>
      <c r="E579" s="132"/>
      <c r="F579" s="116"/>
      <c r="G579" s="116"/>
      <c r="H579" s="116"/>
      <c r="I579" s="373"/>
      <c r="J579" s="147"/>
      <c r="K579" s="116"/>
      <c r="L579" s="116"/>
      <c r="M579" s="116"/>
      <c r="N579" s="116"/>
      <c r="O579" s="116"/>
      <c r="P579" s="116"/>
      <c r="Q579" s="116"/>
      <c r="R579" s="116"/>
      <c r="S579" s="116"/>
      <c r="T579" s="116"/>
      <c r="U579" s="116"/>
      <c r="V579" s="116"/>
      <c r="W579" s="116"/>
      <c r="X579" s="278"/>
      <c r="Y579" s="142"/>
      <c r="Z579" s="142"/>
      <c r="AA579" s="142"/>
      <c r="AB579" s="142"/>
      <c r="AC579" s="142"/>
      <c r="AD579" s="142"/>
      <c r="AE579" s="142"/>
      <c r="AF579" s="130"/>
      <c r="AG579" s="142"/>
      <c r="AH579" s="142"/>
      <c r="AI579" s="142"/>
      <c r="AJ579" s="130"/>
      <c r="AK579" s="130"/>
      <c r="AL579" s="130"/>
      <c r="AM579" s="130"/>
    </row>
    <row r="580" ht="15.75" customHeight="1">
      <c r="A580" s="278"/>
      <c r="B580" s="278"/>
      <c r="C580" s="278"/>
      <c r="D580" s="278"/>
      <c r="E580" s="132"/>
      <c r="F580" s="116"/>
      <c r="G580" s="116"/>
      <c r="H580" s="116"/>
      <c r="I580" s="373"/>
      <c r="J580" s="147"/>
      <c r="K580" s="116"/>
      <c r="L580" s="116"/>
      <c r="M580" s="116"/>
      <c r="N580" s="116"/>
      <c r="O580" s="116"/>
      <c r="P580" s="116"/>
      <c r="Q580" s="116"/>
      <c r="R580" s="116"/>
      <c r="S580" s="116"/>
      <c r="T580" s="116"/>
      <c r="U580" s="116"/>
      <c r="V580" s="116"/>
      <c r="W580" s="116"/>
      <c r="X580" s="278"/>
      <c r="Y580" s="142"/>
      <c r="Z580" s="142"/>
      <c r="AA580" s="142"/>
      <c r="AB580" s="142"/>
      <c r="AC580" s="142"/>
      <c r="AD580" s="142"/>
      <c r="AE580" s="142"/>
      <c r="AF580" s="130"/>
      <c r="AG580" s="142"/>
      <c r="AH580" s="142"/>
      <c r="AI580" s="142"/>
      <c r="AJ580" s="130"/>
      <c r="AK580" s="130"/>
      <c r="AL580" s="130"/>
      <c r="AM580" s="130"/>
    </row>
    <row r="581" ht="15.75" customHeight="1">
      <c r="A581" s="278"/>
      <c r="B581" s="278"/>
      <c r="C581" s="278"/>
      <c r="D581" s="278"/>
      <c r="E581" s="132"/>
      <c r="F581" s="116"/>
      <c r="G581" s="116"/>
      <c r="H581" s="116"/>
      <c r="I581" s="373"/>
      <c r="J581" s="147"/>
      <c r="K581" s="116"/>
      <c r="L581" s="116"/>
      <c r="M581" s="116"/>
      <c r="N581" s="116"/>
      <c r="O581" s="116"/>
      <c r="P581" s="116"/>
      <c r="Q581" s="116"/>
      <c r="R581" s="116"/>
      <c r="S581" s="116"/>
      <c r="T581" s="116"/>
      <c r="U581" s="116"/>
      <c r="V581" s="116"/>
      <c r="W581" s="116"/>
      <c r="X581" s="278"/>
      <c r="Y581" s="142"/>
      <c r="Z581" s="142"/>
      <c r="AA581" s="142"/>
      <c r="AB581" s="142"/>
      <c r="AC581" s="142"/>
      <c r="AD581" s="142"/>
      <c r="AE581" s="142"/>
      <c r="AF581" s="130"/>
      <c r="AG581" s="142"/>
      <c r="AH581" s="142"/>
      <c r="AI581" s="142"/>
      <c r="AJ581" s="130"/>
      <c r="AK581" s="130"/>
      <c r="AL581" s="130"/>
      <c r="AM581" s="130"/>
    </row>
    <row r="582" ht="15.75" customHeight="1">
      <c r="A582" s="278"/>
      <c r="B582" s="278"/>
      <c r="C582" s="278"/>
      <c r="D582" s="278"/>
      <c r="E582" s="132"/>
      <c r="F582" s="116"/>
      <c r="G582" s="116"/>
      <c r="H582" s="116"/>
      <c r="I582" s="373"/>
      <c r="J582" s="147"/>
      <c r="K582" s="116"/>
      <c r="L582" s="116"/>
      <c r="M582" s="116"/>
      <c r="N582" s="116"/>
      <c r="O582" s="116"/>
      <c r="P582" s="116"/>
      <c r="Q582" s="116"/>
      <c r="R582" s="116"/>
      <c r="S582" s="116"/>
      <c r="T582" s="116"/>
      <c r="U582" s="116"/>
      <c r="V582" s="116"/>
      <c r="W582" s="116"/>
      <c r="X582" s="278"/>
      <c r="Y582" s="142"/>
      <c r="Z582" s="142"/>
      <c r="AA582" s="142"/>
      <c r="AB582" s="142"/>
      <c r="AC582" s="142"/>
      <c r="AD582" s="142"/>
      <c r="AE582" s="142"/>
      <c r="AF582" s="130"/>
      <c r="AG582" s="142"/>
      <c r="AH582" s="142"/>
      <c r="AI582" s="142"/>
      <c r="AJ582" s="130"/>
      <c r="AK582" s="130"/>
      <c r="AL582" s="130"/>
      <c r="AM582" s="130"/>
    </row>
    <row r="583" ht="15.75" customHeight="1">
      <c r="A583" s="278"/>
      <c r="B583" s="278"/>
      <c r="C583" s="278"/>
      <c r="D583" s="278"/>
      <c r="E583" s="132"/>
      <c r="F583" s="116"/>
      <c r="G583" s="116"/>
      <c r="H583" s="116"/>
      <c r="I583" s="373"/>
      <c r="J583" s="147"/>
      <c r="K583" s="116"/>
      <c r="L583" s="116"/>
      <c r="M583" s="116"/>
      <c r="N583" s="116"/>
      <c r="O583" s="116"/>
      <c r="P583" s="116"/>
      <c r="Q583" s="116"/>
      <c r="R583" s="116"/>
      <c r="S583" s="116"/>
      <c r="T583" s="116"/>
      <c r="U583" s="116"/>
      <c r="V583" s="116"/>
      <c r="W583" s="116"/>
      <c r="X583" s="278"/>
      <c r="Y583" s="142"/>
      <c r="Z583" s="142"/>
      <c r="AA583" s="142"/>
      <c r="AB583" s="142"/>
      <c r="AC583" s="142"/>
      <c r="AD583" s="142"/>
      <c r="AE583" s="142"/>
      <c r="AF583" s="130"/>
      <c r="AG583" s="142"/>
      <c r="AH583" s="142"/>
      <c r="AI583" s="142"/>
      <c r="AJ583" s="130"/>
      <c r="AK583" s="130"/>
      <c r="AL583" s="130"/>
      <c r="AM583" s="130"/>
    </row>
    <row r="584" ht="15.75" customHeight="1">
      <c r="A584" s="278"/>
      <c r="B584" s="278"/>
      <c r="C584" s="278"/>
      <c r="D584" s="278"/>
      <c r="E584" s="132"/>
      <c r="F584" s="116"/>
      <c r="G584" s="116"/>
      <c r="H584" s="116"/>
      <c r="I584" s="373"/>
      <c r="J584" s="147"/>
      <c r="K584" s="116"/>
      <c r="L584" s="116"/>
      <c r="M584" s="116"/>
      <c r="N584" s="116"/>
      <c r="O584" s="116"/>
      <c r="P584" s="116"/>
      <c r="Q584" s="116"/>
      <c r="R584" s="116"/>
      <c r="S584" s="116"/>
      <c r="T584" s="116"/>
      <c r="U584" s="116"/>
      <c r="V584" s="116"/>
      <c r="W584" s="116"/>
      <c r="X584" s="278"/>
      <c r="Y584" s="142"/>
      <c r="Z584" s="142"/>
      <c r="AA584" s="142"/>
      <c r="AB584" s="142"/>
      <c r="AC584" s="142"/>
      <c r="AD584" s="142"/>
      <c r="AE584" s="142"/>
      <c r="AF584" s="130"/>
      <c r="AG584" s="142"/>
      <c r="AH584" s="142"/>
      <c r="AI584" s="142"/>
      <c r="AJ584" s="130"/>
      <c r="AK584" s="130"/>
      <c r="AL584" s="130"/>
      <c r="AM584" s="130"/>
    </row>
    <row r="585" ht="15.75" customHeight="1">
      <c r="A585" s="278"/>
      <c r="B585" s="278"/>
      <c r="C585" s="278"/>
      <c r="D585" s="278"/>
      <c r="E585" s="132"/>
      <c r="F585" s="116"/>
      <c r="G585" s="116"/>
      <c r="H585" s="116"/>
      <c r="I585" s="373"/>
      <c r="J585" s="147"/>
      <c r="K585" s="116"/>
      <c r="L585" s="116"/>
      <c r="M585" s="116"/>
      <c r="N585" s="116"/>
      <c r="O585" s="116"/>
      <c r="P585" s="116"/>
      <c r="Q585" s="116"/>
      <c r="R585" s="116"/>
      <c r="S585" s="116"/>
      <c r="T585" s="116"/>
      <c r="U585" s="116"/>
      <c r="V585" s="116"/>
      <c r="W585" s="116"/>
      <c r="X585" s="278"/>
      <c r="Y585" s="142"/>
      <c r="Z585" s="142"/>
      <c r="AA585" s="142"/>
      <c r="AB585" s="142"/>
      <c r="AC585" s="142"/>
      <c r="AD585" s="142"/>
      <c r="AE585" s="142"/>
      <c r="AF585" s="130"/>
      <c r="AG585" s="142"/>
      <c r="AH585" s="142"/>
      <c r="AI585" s="142"/>
      <c r="AJ585" s="130"/>
      <c r="AK585" s="130"/>
      <c r="AL585" s="130"/>
      <c r="AM585" s="130"/>
    </row>
    <row r="586" ht="15.75" customHeight="1">
      <c r="A586" s="278"/>
      <c r="B586" s="278"/>
      <c r="C586" s="278"/>
      <c r="D586" s="278"/>
      <c r="E586" s="132"/>
      <c r="F586" s="116"/>
      <c r="G586" s="116"/>
      <c r="H586" s="116"/>
      <c r="I586" s="373"/>
      <c r="J586" s="147"/>
      <c r="K586" s="116"/>
      <c r="L586" s="116"/>
      <c r="M586" s="116"/>
      <c r="N586" s="116"/>
      <c r="O586" s="116"/>
      <c r="P586" s="116"/>
      <c r="Q586" s="116"/>
      <c r="R586" s="116"/>
      <c r="S586" s="116"/>
      <c r="T586" s="116"/>
      <c r="U586" s="116"/>
      <c r="V586" s="116"/>
      <c r="W586" s="116"/>
      <c r="X586" s="278"/>
      <c r="Y586" s="142"/>
      <c r="Z586" s="142"/>
      <c r="AA586" s="142"/>
      <c r="AB586" s="142"/>
      <c r="AC586" s="142"/>
      <c r="AD586" s="142"/>
      <c r="AE586" s="142"/>
      <c r="AF586" s="130"/>
      <c r="AG586" s="142"/>
      <c r="AH586" s="142"/>
      <c r="AI586" s="142"/>
      <c r="AJ586" s="130"/>
      <c r="AK586" s="130"/>
      <c r="AL586" s="130"/>
      <c r="AM586" s="130"/>
    </row>
    <row r="587" ht="15.75" customHeight="1">
      <c r="A587" s="278"/>
      <c r="B587" s="278"/>
      <c r="C587" s="278"/>
      <c r="D587" s="278"/>
      <c r="E587" s="132"/>
      <c r="F587" s="116"/>
      <c r="G587" s="116"/>
      <c r="H587" s="116"/>
      <c r="I587" s="373"/>
      <c r="J587" s="147"/>
      <c r="K587" s="116"/>
      <c r="L587" s="116"/>
      <c r="M587" s="116"/>
      <c r="N587" s="116"/>
      <c r="O587" s="116"/>
      <c r="P587" s="116"/>
      <c r="Q587" s="116"/>
      <c r="R587" s="116"/>
      <c r="S587" s="116"/>
      <c r="T587" s="116"/>
      <c r="U587" s="116"/>
      <c r="V587" s="116"/>
      <c r="W587" s="116"/>
      <c r="X587" s="278"/>
      <c r="Y587" s="142"/>
      <c r="Z587" s="142"/>
      <c r="AA587" s="142"/>
      <c r="AB587" s="142"/>
      <c r="AC587" s="142"/>
      <c r="AD587" s="142"/>
      <c r="AE587" s="142"/>
      <c r="AF587" s="130"/>
      <c r="AG587" s="142"/>
      <c r="AH587" s="142"/>
      <c r="AI587" s="142"/>
      <c r="AJ587" s="130"/>
      <c r="AK587" s="130"/>
      <c r="AL587" s="130"/>
      <c r="AM587" s="130"/>
    </row>
    <row r="588" ht="15.75" customHeight="1">
      <c r="A588" s="278"/>
      <c r="B588" s="278"/>
      <c r="C588" s="278"/>
      <c r="D588" s="278"/>
      <c r="E588" s="132"/>
      <c r="F588" s="116"/>
      <c r="G588" s="116"/>
      <c r="H588" s="116"/>
      <c r="I588" s="373"/>
      <c r="J588" s="147"/>
      <c r="K588" s="116"/>
      <c r="L588" s="116"/>
      <c r="M588" s="116"/>
      <c r="N588" s="116"/>
      <c r="O588" s="116"/>
      <c r="P588" s="116"/>
      <c r="Q588" s="116"/>
      <c r="R588" s="116"/>
      <c r="S588" s="116"/>
      <c r="T588" s="116"/>
      <c r="U588" s="116"/>
      <c r="V588" s="116"/>
      <c r="W588" s="116"/>
      <c r="X588" s="278"/>
      <c r="Y588" s="142"/>
      <c r="Z588" s="142"/>
      <c r="AA588" s="142"/>
      <c r="AB588" s="142"/>
      <c r="AC588" s="142"/>
      <c r="AD588" s="142"/>
      <c r="AE588" s="142"/>
      <c r="AF588" s="130"/>
      <c r="AG588" s="142"/>
      <c r="AH588" s="142"/>
      <c r="AI588" s="142"/>
      <c r="AJ588" s="130"/>
      <c r="AK588" s="130"/>
      <c r="AL588" s="130"/>
      <c r="AM588" s="130"/>
    </row>
    <row r="589" ht="15.75" customHeight="1">
      <c r="A589" s="278"/>
      <c r="B589" s="278"/>
      <c r="C589" s="278"/>
      <c r="D589" s="278"/>
      <c r="E589" s="132"/>
      <c r="F589" s="116"/>
      <c r="G589" s="116"/>
      <c r="H589" s="116"/>
      <c r="I589" s="373"/>
      <c r="J589" s="147"/>
      <c r="K589" s="116"/>
      <c r="L589" s="116"/>
      <c r="M589" s="116"/>
      <c r="N589" s="116"/>
      <c r="O589" s="116"/>
      <c r="P589" s="116"/>
      <c r="Q589" s="116"/>
      <c r="R589" s="116"/>
      <c r="S589" s="116"/>
      <c r="T589" s="116"/>
      <c r="U589" s="116"/>
      <c r="V589" s="116"/>
      <c r="W589" s="116"/>
      <c r="X589" s="278"/>
      <c r="Y589" s="142"/>
      <c r="Z589" s="142"/>
      <c r="AA589" s="142"/>
      <c r="AB589" s="142"/>
      <c r="AC589" s="142"/>
      <c r="AD589" s="142"/>
      <c r="AE589" s="142"/>
      <c r="AF589" s="130"/>
      <c r="AG589" s="142"/>
      <c r="AH589" s="142"/>
      <c r="AI589" s="142"/>
      <c r="AJ589" s="130"/>
      <c r="AK589" s="130"/>
      <c r="AL589" s="130"/>
      <c r="AM589" s="130"/>
    </row>
    <row r="590" ht="15.75" customHeight="1">
      <c r="A590" s="278"/>
      <c r="B590" s="278"/>
      <c r="C590" s="278"/>
      <c r="D590" s="278"/>
      <c r="E590" s="132"/>
      <c r="F590" s="116"/>
      <c r="G590" s="116"/>
      <c r="H590" s="116"/>
      <c r="I590" s="373"/>
      <c r="J590" s="147"/>
      <c r="K590" s="116"/>
      <c r="L590" s="116"/>
      <c r="M590" s="116"/>
      <c r="N590" s="116"/>
      <c r="O590" s="116"/>
      <c r="P590" s="116"/>
      <c r="Q590" s="116"/>
      <c r="R590" s="116"/>
      <c r="S590" s="116"/>
      <c r="T590" s="116"/>
      <c r="U590" s="116"/>
      <c r="V590" s="116"/>
      <c r="W590" s="116"/>
      <c r="X590" s="278"/>
      <c r="Y590" s="142"/>
      <c r="Z590" s="142"/>
      <c r="AA590" s="142"/>
      <c r="AB590" s="142"/>
      <c r="AC590" s="142"/>
      <c r="AD590" s="142"/>
      <c r="AE590" s="142"/>
      <c r="AF590" s="130"/>
      <c r="AG590" s="142"/>
      <c r="AH590" s="142"/>
      <c r="AI590" s="142"/>
      <c r="AJ590" s="130"/>
      <c r="AK590" s="130"/>
      <c r="AL590" s="130"/>
      <c r="AM590" s="130"/>
    </row>
    <row r="591" ht="15.75" customHeight="1">
      <c r="A591" s="278"/>
      <c r="B591" s="278"/>
      <c r="C591" s="278"/>
      <c r="D591" s="278"/>
      <c r="E591" s="132"/>
      <c r="F591" s="116"/>
      <c r="G591" s="116"/>
      <c r="H591" s="116"/>
      <c r="I591" s="373"/>
      <c r="J591" s="147"/>
      <c r="K591" s="116"/>
      <c r="L591" s="116"/>
      <c r="M591" s="116"/>
      <c r="N591" s="116"/>
      <c r="O591" s="116"/>
      <c r="P591" s="116"/>
      <c r="Q591" s="116"/>
      <c r="R591" s="116"/>
      <c r="S591" s="116"/>
      <c r="T591" s="116"/>
      <c r="U591" s="116"/>
      <c r="V591" s="116"/>
      <c r="W591" s="116"/>
      <c r="X591" s="278"/>
      <c r="Y591" s="142"/>
      <c r="Z591" s="142"/>
      <c r="AA591" s="142"/>
      <c r="AB591" s="142"/>
      <c r="AC591" s="142"/>
      <c r="AD591" s="142"/>
      <c r="AE591" s="142"/>
      <c r="AF591" s="130"/>
      <c r="AG591" s="142"/>
      <c r="AH591" s="142"/>
      <c r="AI591" s="142"/>
      <c r="AJ591" s="130"/>
      <c r="AK591" s="130"/>
      <c r="AL591" s="130"/>
      <c r="AM591" s="130"/>
    </row>
    <row r="592" ht="15.75" customHeight="1">
      <c r="A592" s="278"/>
      <c r="B592" s="278"/>
      <c r="C592" s="278"/>
      <c r="D592" s="278"/>
      <c r="E592" s="132"/>
      <c r="F592" s="116"/>
      <c r="G592" s="116"/>
      <c r="H592" s="116"/>
      <c r="I592" s="373"/>
      <c r="J592" s="147"/>
      <c r="K592" s="116"/>
      <c r="L592" s="116"/>
      <c r="M592" s="116"/>
      <c r="N592" s="116"/>
      <c r="O592" s="116"/>
      <c r="P592" s="116"/>
      <c r="Q592" s="116"/>
      <c r="R592" s="116"/>
      <c r="S592" s="116"/>
      <c r="T592" s="116"/>
      <c r="U592" s="116"/>
      <c r="V592" s="116"/>
      <c r="W592" s="116"/>
      <c r="X592" s="278"/>
      <c r="Y592" s="142"/>
      <c r="Z592" s="142"/>
      <c r="AA592" s="142"/>
      <c r="AB592" s="142"/>
      <c r="AC592" s="142"/>
      <c r="AD592" s="142"/>
      <c r="AE592" s="142"/>
      <c r="AF592" s="130"/>
      <c r="AG592" s="142"/>
      <c r="AH592" s="142"/>
      <c r="AI592" s="142"/>
      <c r="AJ592" s="130"/>
      <c r="AK592" s="130"/>
      <c r="AL592" s="130"/>
      <c r="AM592" s="130"/>
    </row>
    <row r="593" ht="15.75" customHeight="1">
      <c r="A593" s="278"/>
      <c r="B593" s="278"/>
      <c r="C593" s="278"/>
      <c r="D593" s="278"/>
      <c r="E593" s="132"/>
      <c r="F593" s="116"/>
      <c r="G593" s="116"/>
      <c r="H593" s="116"/>
      <c r="I593" s="373"/>
      <c r="J593" s="147"/>
      <c r="K593" s="116"/>
      <c r="L593" s="116"/>
      <c r="M593" s="116"/>
      <c r="N593" s="116"/>
      <c r="O593" s="116"/>
      <c r="P593" s="116"/>
      <c r="Q593" s="116"/>
      <c r="R593" s="116"/>
      <c r="S593" s="116"/>
      <c r="T593" s="116"/>
      <c r="U593" s="116"/>
      <c r="V593" s="116"/>
      <c r="W593" s="116"/>
      <c r="X593" s="278"/>
      <c r="Y593" s="142"/>
      <c r="Z593" s="142"/>
      <c r="AA593" s="142"/>
      <c r="AB593" s="142"/>
      <c r="AC593" s="142"/>
      <c r="AD593" s="142"/>
      <c r="AE593" s="142"/>
      <c r="AF593" s="130"/>
      <c r="AG593" s="142"/>
      <c r="AH593" s="142"/>
      <c r="AI593" s="142"/>
      <c r="AJ593" s="130"/>
      <c r="AK593" s="130"/>
      <c r="AL593" s="130"/>
      <c r="AM593" s="130"/>
    </row>
    <row r="594" ht="15.75" customHeight="1">
      <c r="A594" s="278"/>
      <c r="B594" s="278"/>
      <c r="C594" s="278"/>
      <c r="D594" s="278"/>
      <c r="E594" s="132"/>
      <c r="F594" s="116"/>
      <c r="G594" s="116"/>
      <c r="H594" s="116"/>
      <c r="I594" s="373"/>
      <c r="J594" s="147"/>
      <c r="K594" s="116"/>
      <c r="L594" s="116"/>
      <c r="M594" s="116"/>
      <c r="N594" s="116"/>
      <c r="O594" s="116"/>
      <c r="P594" s="116"/>
      <c r="Q594" s="116"/>
      <c r="R594" s="116"/>
      <c r="S594" s="116"/>
      <c r="T594" s="116"/>
      <c r="U594" s="116"/>
      <c r="V594" s="116"/>
      <c r="W594" s="116"/>
      <c r="X594" s="278"/>
      <c r="Y594" s="142"/>
      <c r="Z594" s="142"/>
      <c r="AA594" s="142"/>
      <c r="AB594" s="142"/>
      <c r="AC594" s="142"/>
      <c r="AD594" s="142"/>
      <c r="AE594" s="142"/>
      <c r="AF594" s="130"/>
      <c r="AG594" s="142"/>
      <c r="AH594" s="142"/>
      <c r="AI594" s="142"/>
      <c r="AJ594" s="130"/>
      <c r="AK594" s="130"/>
      <c r="AL594" s="130"/>
      <c r="AM594" s="130"/>
    </row>
    <row r="595" ht="15.75" customHeight="1">
      <c r="A595" s="278"/>
      <c r="B595" s="278"/>
      <c r="C595" s="278"/>
      <c r="D595" s="278"/>
      <c r="E595" s="132"/>
      <c r="F595" s="116"/>
      <c r="G595" s="116"/>
      <c r="H595" s="116"/>
      <c r="I595" s="373"/>
      <c r="J595" s="147"/>
      <c r="K595" s="116"/>
      <c r="L595" s="116"/>
      <c r="M595" s="116"/>
      <c r="N595" s="116"/>
      <c r="O595" s="116"/>
      <c r="P595" s="116"/>
      <c r="Q595" s="116"/>
      <c r="R595" s="116"/>
      <c r="S595" s="116"/>
      <c r="T595" s="116"/>
      <c r="U595" s="116"/>
      <c r="V595" s="116"/>
      <c r="W595" s="116"/>
      <c r="X595" s="278"/>
      <c r="Y595" s="142"/>
      <c r="Z595" s="142"/>
      <c r="AA595" s="142"/>
      <c r="AB595" s="142"/>
      <c r="AC595" s="142"/>
      <c r="AD595" s="142"/>
      <c r="AE595" s="142"/>
      <c r="AF595" s="130"/>
      <c r="AG595" s="142"/>
      <c r="AH595" s="142"/>
      <c r="AI595" s="142"/>
      <c r="AJ595" s="130"/>
      <c r="AK595" s="130"/>
      <c r="AL595" s="130"/>
      <c r="AM595" s="130"/>
    </row>
    <row r="596" ht="15.75" customHeight="1">
      <c r="A596" s="278"/>
      <c r="B596" s="278"/>
      <c r="C596" s="278"/>
      <c r="D596" s="278"/>
      <c r="E596" s="132"/>
      <c r="F596" s="116"/>
      <c r="G596" s="116"/>
      <c r="H596" s="116"/>
      <c r="I596" s="373"/>
      <c r="J596" s="147"/>
      <c r="K596" s="116"/>
      <c r="L596" s="116"/>
      <c r="M596" s="116"/>
      <c r="N596" s="116"/>
      <c r="O596" s="116"/>
      <c r="P596" s="116"/>
      <c r="Q596" s="116"/>
      <c r="R596" s="116"/>
      <c r="S596" s="116"/>
      <c r="T596" s="116"/>
      <c r="U596" s="116"/>
      <c r="V596" s="116"/>
      <c r="W596" s="116"/>
      <c r="X596" s="278"/>
      <c r="Y596" s="142"/>
      <c r="Z596" s="142"/>
      <c r="AA596" s="142"/>
      <c r="AB596" s="142"/>
      <c r="AC596" s="142"/>
      <c r="AD596" s="142"/>
      <c r="AE596" s="142"/>
      <c r="AF596" s="130"/>
      <c r="AG596" s="142"/>
      <c r="AH596" s="142"/>
      <c r="AI596" s="142"/>
      <c r="AJ596" s="130"/>
      <c r="AK596" s="130"/>
      <c r="AL596" s="130"/>
      <c r="AM596" s="130"/>
    </row>
    <row r="597" ht="15.75" customHeight="1">
      <c r="A597" s="278"/>
      <c r="B597" s="278"/>
      <c r="C597" s="278"/>
      <c r="D597" s="278"/>
      <c r="E597" s="132"/>
      <c r="F597" s="116"/>
      <c r="G597" s="116"/>
      <c r="H597" s="116"/>
      <c r="I597" s="373"/>
      <c r="J597" s="147"/>
      <c r="K597" s="116"/>
      <c r="L597" s="116"/>
      <c r="M597" s="116"/>
      <c r="N597" s="116"/>
      <c r="O597" s="116"/>
      <c r="P597" s="116"/>
      <c r="Q597" s="116"/>
      <c r="R597" s="116"/>
      <c r="S597" s="116"/>
      <c r="T597" s="116"/>
      <c r="U597" s="116"/>
      <c r="V597" s="116"/>
      <c r="W597" s="116"/>
      <c r="X597" s="278"/>
      <c r="Y597" s="142"/>
      <c r="Z597" s="142"/>
      <c r="AA597" s="142"/>
      <c r="AB597" s="142"/>
      <c r="AC597" s="142"/>
      <c r="AD597" s="142"/>
      <c r="AE597" s="142"/>
      <c r="AF597" s="130"/>
      <c r="AG597" s="142"/>
      <c r="AH597" s="142"/>
      <c r="AI597" s="142"/>
      <c r="AJ597" s="130"/>
      <c r="AK597" s="130"/>
      <c r="AL597" s="130"/>
      <c r="AM597" s="130"/>
    </row>
    <row r="598" ht="15.75" customHeight="1">
      <c r="A598" s="278"/>
      <c r="B598" s="278"/>
      <c r="C598" s="278"/>
      <c r="D598" s="278"/>
      <c r="E598" s="132"/>
      <c r="F598" s="116"/>
      <c r="G598" s="116"/>
      <c r="H598" s="116"/>
      <c r="I598" s="373"/>
      <c r="J598" s="147"/>
      <c r="K598" s="116"/>
      <c r="L598" s="116"/>
      <c r="M598" s="116"/>
      <c r="N598" s="116"/>
      <c r="O598" s="116"/>
      <c r="P598" s="116"/>
      <c r="Q598" s="116"/>
      <c r="R598" s="116"/>
      <c r="S598" s="116"/>
      <c r="T598" s="116"/>
      <c r="U598" s="116"/>
      <c r="V598" s="116"/>
      <c r="W598" s="116"/>
      <c r="X598" s="278"/>
      <c r="Y598" s="142"/>
      <c r="Z598" s="142"/>
      <c r="AA598" s="142"/>
      <c r="AB598" s="142"/>
      <c r="AC598" s="142"/>
      <c r="AD598" s="142"/>
      <c r="AE598" s="142"/>
      <c r="AF598" s="130"/>
      <c r="AG598" s="142"/>
      <c r="AH598" s="142"/>
      <c r="AI598" s="142"/>
      <c r="AJ598" s="130"/>
      <c r="AK598" s="130"/>
      <c r="AL598" s="130"/>
      <c r="AM598" s="130"/>
    </row>
    <row r="599" ht="15.75" customHeight="1">
      <c r="A599" s="278"/>
      <c r="B599" s="278"/>
      <c r="C599" s="278"/>
      <c r="D599" s="278"/>
      <c r="E599" s="132"/>
      <c r="F599" s="116"/>
      <c r="G599" s="116"/>
      <c r="H599" s="116"/>
      <c r="I599" s="373"/>
      <c r="J599" s="147"/>
      <c r="K599" s="116"/>
      <c r="L599" s="116"/>
      <c r="M599" s="116"/>
      <c r="N599" s="116"/>
      <c r="O599" s="116"/>
      <c r="P599" s="116"/>
      <c r="Q599" s="116"/>
      <c r="R599" s="116"/>
      <c r="S599" s="116"/>
      <c r="T599" s="116"/>
      <c r="U599" s="116"/>
      <c r="V599" s="116"/>
      <c r="W599" s="116"/>
      <c r="X599" s="278"/>
      <c r="Y599" s="142"/>
      <c r="Z599" s="142"/>
      <c r="AA599" s="142"/>
      <c r="AB599" s="142"/>
      <c r="AC599" s="142"/>
      <c r="AD599" s="142"/>
      <c r="AE599" s="142"/>
      <c r="AF599" s="130"/>
      <c r="AG599" s="142"/>
      <c r="AH599" s="142"/>
      <c r="AI599" s="142"/>
      <c r="AJ599" s="130"/>
      <c r="AK599" s="130"/>
      <c r="AL599" s="130"/>
      <c r="AM599" s="130"/>
    </row>
    <row r="600" ht="15.75" customHeight="1">
      <c r="A600" s="278"/>
      <c r="B600" s="278"/>
      <c r="C600" s="278"/>
      <c r="D600" s="278"/>
      <c r="E600" s="132"/>
      <c r="F600" s="116"/>
      <c r="G600" s="116"/>
      <c r="H600" s="116"/>
      <c r="I600" s="373"/>
      <c r="J600" s="147"/>
      <c r="K600" s="116"/>
      <c r="L600" s="116"/>
      <c r="M600" s="116"/>
      <c r="N600" s="116"/>
      <c r="O600" s="116"/>
      <c r="P600" s="116"/>
      <c r="Q600" s="116"/>
      <c r="R600" s="116"/>
      <c r="S600" s="116"/>
      <c r="T600" s="116"/>
      <c r="U600" s="116"/>
      <c r="V600" s="116"/>
      <c r="W600" s="116"/>
      <c r="X600" s="278"/>
      <c r="Y600" s="142"/>
      <c r="Z600" s="142"/>
      <c r="AA600" s="142"/>
      <c r="AB600" s="142"/>
      <c r="AC600" s="142"/>
      <c r="AD600" s="142"/>
      <c r="AE600" s="142"/>
      <c r="AF600" s="130"/>
      <c r="AG600" s="142"/>
      <c r="AH600" s="142"/>
      <c r="AI600" s="142"/>
      <c r="AJ600" s="130"/>
      <c r="AK600" s="130"/>
      <c r="AL600" s="130"/>
      <c r="AM600" s="130"/>
    </row>
    <row r="601" ht="15.75" customHeight="1">
      <c r="A601" s="278"/>
      <c r="B601" s="278"/>
      <c r="C601" s="278"/>
      <c r="D601" s="278"/>
      <c r="E601" s="132"/>
      <c r="F601" s="116"/>
      <c r="G601" s="116"/>
      <c r="H601" s="116"/>
      <c r="I601" s="373"/>
      <c r="J601" s="147"/>
      <c r="K601" s="116"/>
      <c r="L601" s="116"/>
      <c r="M601" s="116"/>
      <c r="N601" s="116"/>
      <c r="O601" s="116"/>
      <c r="P601" s="116"/>
      <c r="Q601" s="116"/>
      <c r="R601" s="116"/>
      <c r="S601" s="116"/>
      <c r="T601" s="116"/>
      <c r="U601" s="116"/>
      <c r="V601" s="116"/>
      <c r="W601" s="116"/>
      <c r="X601" s="278"/>
      <c r="Y601" s="142"/>
      <c r="Z601" s="142"/>
      <c r="AA601" s="142"/>
      <c r="AB601" s="142"/>
      <c r="AC601" s="142"/>
      <c r="AD601" s="142"/>
      <c r="AE601" s="142"/>
      <c r="AF601" s="130"/>
      <c r="AG601" s="142"/>
      <c r="AH601" s="142"/>
      <c r="AI601" s="142"/>
      <c r="AJ601" s="130"/>
      <c r="AK601" s="130"/>
      <c r="AL601" s="130"/>
      <c r="AM601" s="130"/>
    </row>
    <row r="602" ht="15.75" customHeight="1">
      <c r="A602" s="278"/>
      <c r="B602" s="278"/>
      <c r="C602" s="278"/>
      <c r="D602" s="278"/>
      <c r="E602" s="132"/>
      <c r="F602" s="116"/>
      <c r="G602" s="116"/>
      <c r="H602" s="116"/>
      <c r="I602" s="373"/>
      <c r="J602" s="147"/>
      <c r="K602" s="116"/>
      <c r="L602" s="116"/>
      <c r="M602" s="116"/>
      <c r="N602" s="116"/>
      <c r="O602" s="116"/>
      <c r="P602" s="116"/>
      <c r="Q602" s="116"/>
      <c r="R602" s="116"/>
      <c r="S602" s="116"/>
      <c r="T602" s="116"/>
      <c r="U602" s="116"/>
      <c r="V602" s="116"/>
      <c r="W602" s="116"/>
      <c r="X602" s="278"/>
      <c r="Y602" s="142"/>
      <c r="Z602" s="142"/>
      <c r="AA602" s="142"/>
      <c r="AB602" s="142"/>
      <c r="AC602" s="142"/>
      <c r="AD602" s="142"/>
      <c r="AE602" s="142"/>
      <c r="AF602" s="130"/>
      <c r="AG602" s="142"/>
      <c r="AH602" s="142"/>
      <c r="AI602" s="142"/>
      <c r="AJ602" s="130"/>
      <c r="AK602" s="130"/>
      <c r="AL602" s="130"/>
      <c r="AM602" s="130"/>
    </row>
    <row r="603" ht="15.75" customHeight="1">
      <c r="A603" s="278"/>
      <c r="B603" s="278"/>
      <c r="C603" s="278"/>
      <c r="D603" s="278"/>
      <c r="E603" s="132"/>
      <c r="F603" s="116"/>
      <c r="G603" s="116"/>
      <c r="H603" s="116"/>
      <c r="I603" s="373"/>
      <c r="J603" s="147"/>
      <c r="K603" s="116"/>
      <c r="L603" s="116"/>
      <c r="M603" s="116"/>
      <c r="N603" s="116"/>
      <c r="O603" s="116"/>
      <c r="P603" s="116"/>
      <c r="Q603" s="116"/>
      <c r="R603" s="116"/>
      <c r="S603" s="116"/>
      <c r="T603" s="116"/>
      <c r="U603" s="116"/>
      <c r="V603" s="116"/>
      <c r="W603" s="116"/>
      <c r="X603" s="278"/>
      <c r="Y603" s="142"/>
      <c r="Z603" s="142"/>
      <c r="AA603" s="142"/>
      <c r="AB603" s="142"/>
      <c r="AC603" s="142"/>
      <c r="AD603" s="142"/>
      <c r="AE603" s="142"/>
      <c r="AF603" s="130"/>
      <c r="AG603" s="142"/>
      <c r="AH603" s="142"/>
      <c r="AI603" s="142"/>
      <c r="AJ603" s="130"/>
      <c r="AK603" s="130"/>
      <c r="AL603" s="130"/>
      <c r="AM603" s="130"/>
    </row>
    <row r="604" ht="15.75" customHeight="1">
      <c r="A604" s="278"/>
      <c r="B604" s="278"/>
      <c r="C604" s="278"/>
      <c r="D604" s="278"/>
      <c r="E604" s="132"/>
      <c r="F604" s="116"/>
      <c r="G604" s="116"/>
      <c r="H604" s="116"/>
      <c r="I604" s="373"/>
      <c r="J604" s="147"/>
      <c r="K604" s="116"/>
      <c r="L604" s="116"/>
      <c r="M604" s="116"/>
      <c r="N604" s="116"/>
      <c r="O604" s="116"/>
      <c r="P604" s="116"/>
      <c r="Q604" s="116"/>
      <c r="R604" s="116"/>
      <c r="S604" s="116"/>
      <c r="T604" s="116"/>
      <c r="U604" s="116"/>
      <c r="V604" s="116"/>
      <c r="W604" s="116"/>
      <c r="X604" s="278"/>
      <c r="Y604" s="142"/>
      <c r="Z604" s="142"/>
      <c r="AA604" s="142"/>
      <c r="AB604" s="142"/>
      <c r="AC604" s="142"/>
      <c r="AD604" s="142"/>
      <c r="AE604" s="142"/>
      <c r="AF604" s="130"/>
      <c r="AG604" s="142"/>
      <c r="AH604" s="142"/>
      <c r="AI604" s="142"/>
      <c r="AJ604" s="130"/>
      <c r="AK604" s="130"/>
      <c r="AL604" s="130"/>
      <c r="AM604" s="130"/>
    </row>
    <row r="605" ht="15.75" customHeight="1">
      <c r="A605" s="278"/>
      <c r="B605" s="278"/>
      <c r="C605" s="278"/>
      <c r="D605" s="278"/>
      <c r="E605" s="132"/>
      <c r="F605" s="116"/>
      <c r="G605" s="116"/>
      <c r="H605" s="116"/>
      <c r="I605" s="373"/>
      <c r="J605" s="147"/>
      <c r="K605" s="116"/>
      <c r="L605" s="116"/>
      <c r="M605" s="116"/>
      <c r="N605" s="116"/>
      <c r="O605" s="116"/>
      <c r="P605" s="116"/>
      <c r="Q605" s="116"/>
      <c r="R605" s="116"/>
      <c r="S605" s="116"/>
      <c r="T605" s="116"/>
      <c r="U605" s="116"/>
      <c r="V605" s="116"/>
      <c r="W605" s="116"/>
      <c r="X605" s="278"/>
      <c r="Y605" s="142"/>
      <c r="Z605" s="142"/>
      <c r="AA605" s="142"/>
      <c r="AB605" s="142"/>
      <c r="AC605" s="142"/>
      <c r="AD605" s="142"/>
      <c r="AE605" s="142"/>
      <c r="AF605" s="130"/>
      <c r="AG605" s="142"/>
      <c r="AH605" s="142"/>
      <c r="AI605" s="142"/>
      <c r="AJ605" s="130"/>
      <c r="AK605" s="130"/>
      <c r="AL605" s="130"/>
      <c r="AM605" s="130"/>
    </row>
    <row r="606" ht="15.75" customHeight="1">
      <c r="A606" s="278"/>
      <c r="B606" s="278"/>
      <c r="C606" s="278"/>
      <c r="D606" s="278"/>
      <c r="E606" s="132"/>
      <c r="F606" s="116"/>
      <c r="G606" s="116"/>
      <c r="H606" s="116"/>
      <c r="I606" s="373"/>
      <c r="J606" s="147"/>
      <c r="K606" s="116"/>
      <c r="L606" s="116"/>
      <c r="M606" s="116"/>
      <c r="N606" s="116"/>
      <c r="O606" s="116"/>
      <c r="P606" s="116"/>
      <c r="Q606" s="116"/>
      <c r="R606" s="116"/>
      <c r="S606" s="116"/>
      <c r="T606" s="116"/>
      <c r="U606" s="116"/>
      <c r="V606" s="116"/>
      <c r="W606" s="116"/>
      <c r="X606" s="278"/>
      <c r="Y606" s="142"/>
      <c r="Z606" s="142"/>
      <c r="AA606" s="142"/>
      <c r="AB606" s="142"/>
      <c r="AC606" s="142"/>
      <c r="AD606" s="142"/>
      <c r="AE606" s="142"/>
      <c r="AF606" s="130"/>
      <c r="AG606" s="142"/>
      <c r="AH606" s="142"/>
      <c r="AI606" s="142"/>
      <c r="AJ606" s="130"/>
      <c r="AK606" s="130"/>
      <c r="AL606" s="130"/>
      <c r="AM606" s="130"/>
    </row>
    <row r="607" ht="15.75" customHeight="1">
      <c r="A607" s="278"/>
      <c r="B607" s="278"/>
      <c r="C607" s="278"/>
      <c r="D607" s="278"/>
      <c r="E607" s="132"/>
      <c r="F607" s="116"/>
      <c r="G607" s="116"/>
      <c r="H607" s="116"/>
      <c r="I607" s="373"/>
      <c r="J607" s="147"/>
      <c r="K607" s="116"/>
      <c r="L607" s="116"/>
      <c r="M607" s="116"/>
      <c r="N607" s="116"/>
      <c r="O607" s="116"/>
      <c r="P607" s="116"/>
      <c r="Q607" s="116"/>
      <c r="R607" s="116"/>
      <c r="S607" s="116"/>
      <c r="T607" s="116"/>
      <c r="U607" s="116"/>
      <c r="V607" s="116"/>
      <c r="W607" s="116"/>
      <c r="X607" s="278"/>
      <c r="Y607" s="142"/>
      <c r="Z607" s="142"/>
      <c r="AA607" s="142"/>
      <c r="AB607" s="142"/>
      <c r="AC607" s="142"/>
      <c r="AD607" s="142"/>
      <c r="AE607" s="142"/>
      <c r="AF607" s="130"/>
      <c r="AG607" s="142"/>
      <c r="AH607" s="142"/>
      <c r="AI607" s="142"/>
      <c r="AJ607" s="130"/>
      <c r="AK607" s="130"/>
      <c r="AL607" s="130"/>
      <c r="AM607" s="130"/>
    </row>
    <row r="608" ht="15.75" customHeight="1">
      <c r="A608" s="278"/>
      <c r="B608" s="278"/>
      <c r="C608" s="278"/>
      <c r="D608" s="278"/>
      <c r="E608" s="132"/>
      <c r="F608" s="116"/>
      <c r="G608" s="116"/>
      <c r="H608" s="116"/>
      <c r="I608" s="373"/>
      <c r="J608" s="147"/>
      <c r="K608" s="116"/>
      <c r="L608" s="116"/>
      <c r="M608" s="116"/>
      <c r="N608" s="116"/>
      <c r="O608" s="116"/>
      <c r="P608" s="116"/>
      <c r="Q608" s="116"/>
      <c r="R608" s="116"/>
      <c r="S608" s="116"/>
      <c r="T608" s="116"/>
      <c r="U608" s="116"/>
      <c r="V608" s="116"/>
      <c r="W608" s="116"/>
      <c r="X608" s="278"/>
      <c r="Y608" s="142"/>
      <c r="Z608" s="142"/>
      <c r="AA608" s="142"/>
      <c r="AB608" s="142"/>
      <c r="AC608" s="142"/>
      <c r="AD608" s="142"/>
      <c r="AE608" s="142"/>
      <c r="AF608" s="130"/>
      <c r="AG608" s="142"/>
      <c r="AH608" s="142"/>
      <c r="AI608" s="142"/>
      <c r="AJ608" s="130"/>
      <c r="AK608" s="130"/>
      <c r="AL608" s="130"/>
      <c r="AM608" s="130"/>
    </row>
    <row r="609" ht="15.75" customHeight="1">
      <c r="A609" s="278"/>
      <c r="B609" s="278"/>
      <c r="C609" s="278"/>
      <c r="D609" s="278"/>
      <c r="E609" s="132"/>
      <c r="F609" s="116"/>
      <c r="G609" s="116"/>
      <c r="H609" s="116"/>
      <c r="I609" s="373"/>
      <c r="J609" s="147"/>
      <c r="K609" s="116"/>
      <c r="L609" s="116"/>
      <c r="M609" s="116"/>
      <c r="N609" s="116"/>
      <c r="O609" s="116"/>
      <c r="P609" s="116"/>
      <c r="Q609" s="116"/>
      <c r="R609" s="116"/>
      <c r="S609" s="116"/>
      <c r="T609" s="116"/>
      <c r="U609" s="116"/>
      <c r="V609" s="116"/>
      <c r="W609" s="116"/>
      <c r="X609" s="278"/>
      <c r="Y609" s="142"/>
      <c r="Z609" s="142"/>
      <c r="AA609" s="142"/>
      <c r="AB609" s="142"/>
      <c r="AC609" s="142"/>
      <c r="AD609" s="142"/>
      <c r="AE609" s="142"/>
      <c r="AF609" s="130"/>
      <c r="AG609" s="142"/>
      <c r="AH609" s="142"/>
      <c r="AI609" s="142"/>
      <c r="AJ609" s="130"/>
      <c r="AK609" s="130"/>
      <c r="AL609" s="130"/>
      <c r="AM609" s="130"/>
    </row>
    <row r="610" ht="15.75" customHeight="1">
      <c r="A610" s="278"/>
      <c r="B610" s="278"/>
      <c r="C610" s="278"/>
      <c r="D610" s="278"/>
      <c r="E610" s="132"/>
      <c r="F610" s="116"/>
      <c r="G610" s="116"/>
      <c r="H610" s="116"/>
      <c r="I610" s="373"/>
      <c r="J610" s="147"/>
      <c r="K610" s="116"/>
      <c r="L610" s="116"/>
      <c r="M610" s="116"/>
      <c r="N610" s="116"/>
      <c r="O610" s="116"/>
      <c r="P610" s="116"/>
      <c r="Q610" s="116"/>
      <c r="R610" s="116"/>
      <c r="S610" s="116"/>
      <c r="T610" s="116"/>
      <c r="U610" s="116"/>
      <c r="V610" s="116"/>
      <c r="W610" s="116"/>
      <c r="X610" s="278"/>
      <c r="Y610" s="142"/>
      <c r="Z610" s="142"/>
      <c r="AA610" s="142"/>
      <c r="AB610" s="142"/>
      <c r="AC610" s="142"/>
      <c r="AD610" s="142"/>
      <c r="AE610" s="142"/>
      <c r="AF610" s="130"/>
      <c r="AG610" s="142"/>
      <c r="AH610" s="142"/>
      <c r="AI610" s="142"/>
      <c r="AJ610" s="130"/>
      <c r="AK610" s="130"/>
      <c r="AL610" s="130"/>
      <c r="AM610" s="130"/>
    </row>
    <row r="611" ht="15.75" customHeight="1">
      <c r="A611" s="278"/>
      <c r="B611" s="278"/>
      <c r="C611" s="278"/>
      <c r="D611" s="278"/>
      <c r="E611" s="132"/>
      <c r="F611" s="116"/>
      <c r="G611" s="116"/>
      <c r="H611" s="116"/>
      <c r="I611" s="373"/>
      <c r="J611" s="147"/>
      <c r="K611" s="116"/>
      <c r="L611" s="116"/>
      <c r="M611" s="116"/>
      <c r="N611" s="116"/>
      <c r="O611" s="116"/>
      <c r="P611" s="116"/>
      <c r="Q611" s="116"/>
      <c r="R611" s="116"/>
      <c r="S611" s="116"/>
      <c r="T611" s="116"/>
      <c r="U611" s="116"/>
      <c r="V611" s="116"/>
      <c r="W611" s="116"/>
      <c r="X611" s="278"/>
      <c r="Y611" s="142"/>
      <c r="Z611" s="142"/>
      <c r="AA611" s="142"/>
      <c r="AB611" s="142"/>
      <c r="AC611" s="142"/>
      <c r="AD611" s="142"/>
      <c r="AE611" s="142"/>
      <c r="AF611" s="130"/>
      <c r="AG611" s="142"/>
      <c r="AH611" s="142"/>
      <c r="AI611" s="142"/>
      <c r="AJ611" s="130"/>
      <c r="AK611" s="130"/>
      <c r="AL611" s="130"/>
      <c r="AM611" s="130"/>
    </row>
    <row r="612" ht="15.75" customHeight="1">
      <c r="A612" s="278"/>
      <c r="B612" s="278"/>
      <c r="C612" s="278"/>
      <c r="D612" s="278"/>
      <c r="E612" s="132"/>
      <c r="F612" s="116"/>
      <c r="G612" s="116"/>
      <c r="H612" s="116"/>
      <c r="I612" s="373"/>
      <c r="J612" s="147"/>
      <c r="K612" s="116"/>
      <c r="L612" s="116"/>
      <c r="M612" s="116"/>
      <c r="N612" s="116"/>
      <c r="O612" s="116"/>
      <c r="P612" s="116"/>
      <c r="Q612" s="116"/>
      <c r="R612" s="116"/>
      <c r="S612" s="116"/>
      <c r="T612" s="116"/>
      <c r="U612" s="116"/>
      <c r="V612" s="116"/>
      <c r="W612" s="116"/>
      <c r="X612" s="278"/>
      <c r="Y612" s="142"/>
      <c r="Z612" s="142"/>
      <c r="AA612" s="142"/>
      <c r="AB612" s="142"/>
      <c r="AC612" s="142"/>
      <c r="AD612" s="142"/>
      <c r="AE612" s="142"/>
      <c r="AF612" s="130"/>
      <c r="AG612" s="142"/>
      <c r="AH612" s="142"/>
      <c r="AI612" s="142"/>
      <c r="AJ612" s="130"/>
      <c r="AK612" s="130"/>
      <c r="AL612" s="130"/>
      <c r="AM612" s="130"/>
    </row>
    <row r="613" ht="15.75" customHeight="1">
      <c r="A613" s="278"/>
      <c r="B613" s="278"/>
      <c r="C613" s="278"/>
      <c r="D613" s="278"/>
      <c r="E613" s="132"/>
      <c r="F613" s="116"/>
      <c r="G613" s="116"/>
      <c r="H613" s="116"/>
      <c r="I613" s="373"/>
      <c r="J613" s="147"/>
      <c r="K613" s="116"/>
      <c r="L613" s="116"/>
      <c r="M613" s="116"/>
      <c r="N613" s="116"/>
      <c r="O613" s="116"/>
      <c r="P613" s="116"/>
      <c r="Q613" s="116"/>
      <c r="R613" s="116"/>
      <c r="S613" s="116"/>
      <c r="T613" s="116"/>
      <c r="U613" s="116"/>
      <c r="V613" s="116"/>
      <c r="W613" s="116"/>
      <c r="X613" s="278"/>
      <c r="Y613" s="142"/>
      <c r="Z613" s="142"/>
      <c r="AA613" s="142"/>
      <c r="AB613" s="142"/>
      <c r="AC613" s="142"/>
      <c r="AD613" s="142"/>
      <c r="AE613" s="142"/>
      <c r="AF613" s="130"/>
      <c r="AG613" s="142"/>
      <c r="AH613" s="142"/>
      <c r="AI613" s="142"/>
      <c r="AJ613" s="130"/>
      <c r="AK613" s="130"/>
      <c r="AL613" s="130"/>
      <c r="AM613" s="130"/>
    </row>
    <row r="614" ht="15.75" customHeight="1">
      <c r="A614" s="278"/>
      <c r="B614" s="278"/>
      <c r="C614" s="278"/>
      <c r="D614" s="278"/>
      <c r="E614" s="132"/>
      <c r="F614" s="116"/>
      <c r="G614" s="116"/>
      <c r="H614" s="116"/>
      <c r="I614" s="373"/>
      <c r="J614" s="147"/>
      <c r="K614" s="116"/>
      <c r="L614" s="116"/>
      <c r="M614" s="116"/>
      <c r="N614" s="116"/>
      <c r="O614" s="116"/>
      <c r="P614" s="116"/>
      <c r="Q614" s="116"/>
      <c r="R614" s="116"/>
      <c r="S614" s="116"/>
      <c r="T614" s="116"/>
      <c r="U614" s="116"/>
      <c r="V614" s="116"/>
      <c r="W614" s="116"/>
      <c r="X614" s="278"/>
      <c r="Y614" s="142"/>
      <c r="Z614" s="142"/>
      <c r="AA614" s="142"/>
      <c r="AB614" s="142"/>
      <c r="AC614" s="142"/>
      <c r="AD614" s="142"/>
      <c r="AE614" s="142"/>
      <c r="AF614" s="130"/>
      <c r="AG614" s="142"/>
      <c r="AH614" s="142"/>
      <c r="AI614" s="142"/>
      <c r="AJ614" s="130"/>
      <c r="AK614" s="130"/>
      <c r="AL614" s="130"/>
      <c r="AM614" s="130"/>
    </row>
    <row r="615" ht="15.75" customHeight="1">
      <c r="A615" s="278"/>
      <c r="B615" s="278"/>
      <c r="C615" s="278"/>
      <c r="D615" s="278"/>
      <c r="E615" s="132"/>
      <c r="F615" s="116"/>
      <c r="G615" s="116"/>
      <c r="H615" s="116"/>
      <c r="I615" s="373"/>
      <c r="J615" s="147"/>
      <c r="K615" s="116"/>
      <c r="L615" s="116"/>
      <c r="M615" s="116"/>
      <c r="N615" s="116"/>
      <c r="O615" s="116"/>
      <c r="P615" s="116"/>
      <c r="Q615" s="116"/>
      <c r="R615" s="116"/>
      <c r="S615" s="116"/>
      <c r="T615" s="116"/>
      <c r="U615" s="116"/>
      <c r="V615" s="116"/>
      <c r="W615" s="116"/>
      <c r="X615" s="278"/>
      <c r="Y615" s="142"/>
      <c r="Z615" s="142"/>
      <c r="AA615" s="142"/>
      <c r="AB615" s="142"/>
      <c r="AC615" s="142"/>
      <c r="AD615" s="142"/>
      <c r="AE615" s="142"/>
      <c r="AF615" s="130"/>
      <c r="AG615" s="142"/>
      <c r="AH615" s="142"/>
      <c r="AI615" s="142"/>
      <c r="AJ615" s="130"/>
      <c r="AK615" s="130"/>
      <c r="AL615" s="130"/>
      <c r="AM615" s="130"/>
    </row>
    <row r="616" ht="15.75" customHeight="1">
      <c r="A616" s="278"/>
      <c r="B616" s="278"/>
      <c r="C616" s="278"/>
      <c r="D616" s="278"/>
      <c r="E616" s="132"/>
      <c r="F616" s="116"/>
      <c r="G616" s="116"/>
      <c r="H616" s="116"/>
      <c r="I616" s="373"/>
      <c r="J616" s="147"/>
      <c r="K616" s="116"/>
      <c r="L616" s="116"/>
      <c r="M616" s="116"/>
      <c r="N616" s="116"/>
      <c r="O616" s="116"/>
      <c r="P616" s="116"/>
      <c r="Q616" s="116"/>
      <c r="R616" s="116"/>
      <c r="S616" s="116"/>
      <c r="T616" s="116"/>
      <c r="U616" s="116"/>
      <c r="V616" s="116"/>
      <c r="W616" s="116"/>
      <c r="X616" s="278"/>
      <c r="Y616" s="142"/>
      <c r="Z616" s="142"/>
      <c r="AA616" s="142"/>
      <c r="AB616" s="142"/>
      <c r="AC616" s="142"/>
      <c r="AD616" s="142"/>
      <c r="AE616" s="142"/>
      <c r="AF616" s="130"/>
      <c r="AG616" s="142"/>
      <c r="AH616" s="142"/>
      <c r="AI616" s="142"/>
      <c r="AJ616" s="130"/>
      <c r="AK616" s="130"/>
      <c r="AL616" s="130"/>
      <c r="AM616" s="130"/>
    </row>
    <row r="617" ht="15.75" customHeight="1">
      <c r="A617" s="278"/>
      <c r="B617" s="278"/>
      <c r="C617" s="278"/>
      <c r="D617" s="278"/>
      <c r="E617" s="132"/>
      <c r="F617" s="116"/>
      <c r="G617" s="116"/>
      <c r="H617" s="116"/>
      <c r="I617" s="373"/>
      <c r="J617" s="147"/>
      <c r="K617" s="116"/>
      <c r="L617" s="116"/>
      <c r="M617" s="116"/>
      <c r="N617" s="116"/>
      <c r="O617" s="116"/>
      <c r="P617" s="116"/>
      <c r="Q617" s="116"/>
      <c r="R617" s="116"/>
      <c r="S617" s="116"/>
      <c r="T617" s="116"/>
      <c r="U617" s="116"/>
      <c r="V617" s="116"/>
      <c r="W617" s="116"/>
      <c r="X617" s="278"/>
      <c r="Y617" s="142"/>
      <c r="Z617" s="142"/>
      <c r="AA617" s="142"/>
      <c r="AB617" s="142"/>
      <c r="AC617" s="142"/>
      <c r="AD617" s="142"/>
      <c r="AE617" s="142"/>
      <c r="AF617" s="130"/>
      <c r="AG617" s="142"/>
      <c r="AH617" s="142"/>
      <c r="AI617" s="142"/>
      <c r="AJ617" s="130"/>
      <c r="AK617" s="130"/>
      <c r="AL617" s="130"/>
      <c r="AM617" s="130"/>
    </row>
    <row r="618" ht="15.75" customHeight="1">
      <c r="A618" s="278"/>
      <c r="B618" s="278"/>
      <c r="C618" s="278"/>
      <c r="D618" s="278"/>
      <c r="E618" s="132"/>
      <c r="F618" s="116"/>
      <c r="G618" s="116"/>
      <c r="H618" s="116"/>
      <c r="I618" s="373"/>
      <c r="J618" s="147"/>
      <c r="K618" s="116"/>
      <c r="L618" s="116"/>
      <c r="M618" s="116"/>
      <c r="N618" s="116"/>
      <c r="O618" s="116"/>
      <c r="P618" s="116"/>
      <c r="Q618" s="116"/>
      <c r="R618" s="116"/>
      <c r="S618" s="116"/>
      <c r="T618" s="116"/>
      <c r="U618" s="116"/>
      <c r="V618" s="116"/>
      <c r="W618" s="116"/>
      <c r="X618" s="278"/>
      <c r="Y618" s="142"/>
      <c r="Z618" s="142"/>
      <c r="AA618" s="142"/>
      <c r="AB618" s="142"/>
      <c r="AC618" s="142"/>
      <c r="AD618" s="142"/>
      <c r="AE618" s="142"/>
      <c r="AF618" s="130"/>
      <c r="AG618" s="142"/>
      <c r="AH618" s="142"/>
      <c r="AI618" s="142"/>
      <c r="AJ618" s="130"/>
      <c r="AK618" s="130"/>
      <c r="AL618" s="130"/>
      <c r="AM618" s="130"/>
    </row>
    <row r="619" ht="15.75" customHeight="1">
      <c r="A619" s="278"/>
      <c r="B619" s="278"/>
      <c r="C619" s="278"/>
      <c r="D619" s="278"/>
      <c r="E619" s="132"/>
      <c r="F619" s="116"/>
      <c r="G619" s="116"/>
      <c r="H619" s="116"/>
      <c r="I619" s="373"/>
      <c r="J619" s="147"/>
      <c r="K619" s="116"/>
      <c r="L619" s="116"/>
      <c r="M619" s="116"/>
      <c r="N619" s="116"/>
      <c r="O619" s="116"/>
      <c r="P619" s="116"/>
      <c r="Q619" s="116"/>
      <c r="R619" s="116"/>
      <c r="S619" s="116"/>
      <c r="T619" s="116"/>
      <c r="U619" s="116"/>
      <c r="V619" s="116"/>
      <c r="W619" s="116"/>
      <c r="X619" s="278"/>
      <c r="Y619" s="142"/>
      <c r="Z619" s="142"/>
      <c r="AA619" s="142"/>
      <c r="AB619" s="142"/>
      <c r="AC619" s="142"/>
      <c r="AD619" s="142"/>
      <c r="AE619" s="142"/>
      <c r="AF619" s="130"/>
      <c r="AG619" s="142"/>
      <c r="AH619" s="142"/>
      <c r="AI619" s="142"/>
      <c r="AJ619" s="130"/>
      <c r="AK619" s="130"/>
      <c r="AL619" s="130"/>
      <c r="AM619" s="130"/>
    </row>
    <row r="620" ht="15.75" customHeight="1">
      <c r="A620" s="278"/>
      <c r="B620" s="278"/>
      <c r="C620" s="278"/>
      <c r="D620" s="278"/>
      <c r="E620" s="132"/>
      <c r="F620" s="116"/>
      <c r="G620" s="116"/>
      <c r="H620" s="116"/>
      <c r="I620" s="373"/>
      <c r="J620" s="147"/>
      <c r="K620" s="116"/>
      <c r="L620" s="116"/>
      <c r="M620" s="116"/>
      <c r="N620" s="116"/>
      <c r="O620" s="116"/>
      <c r="P620" s="116"/>
      <c r="Q620" s="116"/>
      <c r="R620" s="116"/>
      <c r="S620" s="116"/>
      <c r="T620" s="116"/>
      <c r="U620" s="116"/>
      <c r="V620" s="116"/>
      <c r="W620" s="116"/>
      <c r="X620" s="278"/>
      <c r="Y620" s="142"/>
      <c r="Z620" s="142"/>
      <c r="AA620" s="142"/>
      <c r="AB620" s="142"/>
      <c r="AC620" s="142"/>
      <c r="AD620" s="142"/>
      <c r="AE620" s="142"/>
      <c r="AF620" s="130"/>
      <c r="AG620" s="142"/>
      <c r="AH620" s="142"/>
      <c r="AI620" s="142"/>
      <c r="AJ620" s="130"/>
      <c r="AK620" s="130"/>
      <c r="AL620" s="130"/>
      <c r="AM620" s="130"/>
    </row>
    <row r="621" ht="15.75" customHeight="1">
      <c r="A621" s="278"/>
      <c r="B621" s="278"/>
      <c r="C621" s="278"/>
      <c r="D621" s="278"/>
      <c r="E621" s="132"/>
      <c r="F621" s="116"/>
      <c r="G621" s="116"/>
      <c r="H621" s="116"/>
      <c r="I621" s="373"/>
      <c r="J621" s="147"/>
      <c r="K621" s="116"/>
      <c r="L621" s="116"/>
      <c r="M621" s="116"/>
      <c r="N621" s="116"/>
      <c r="O621" s="116"/>
      <c r="P621" s="116"/>
      <c r="Q621" s="116"/>
      <c r="R621" s="116"/>
      <c r="S621" s="116"/>
      <c r="T621" s="116"/>
      <c r="U621" s="116"/>
      <c r="V621" s="116"/>
      <c r="W621" s="116"/>
      <c r="X621" s="278"/>
      <c r="Y621" s="142"/>
      <c r="Z621" s="142"/>
      <c r="AA621" s="142"/>
      <c r="AB621" s="142"/>
      <c r="AC621" s="142"/>
      <c r="AD621" s="142"/>
      <c r="AE621" s="142"/>
      <c r="AF621" s="130"/>
      <c r="AG621" s="142"/>
      <c r="AH621" s="142"/>
      <c r="AI621" s="142"/>
      <c r="AJ621" s="130"/>
      <c r="AK621" s="130"/>
      <c r="AL621" s="130"/>
      <c r="AM621" s="130"/>
    </row>
    <row r="622" ht="15.75" customHeight="1">
      <c r="A622" s="278"/>
      <c r="B622" s="278"/>
      <c r="C622" s="278"/>
      <c r="D622" s="278"/>
      <c r="E622" s="132"/>
      <c r="F622" s="116"/>
      <c r="G622" s="116"/>
      <c r="H622" s="116"/>
      <c r="I622" s="373"/>
      <c r="J622" s="147"/>
      <c r="K622" s="116"/>
      <c r="L622" s="116"/>
      <c r="M622" s="116"/>
      <c r="N622" s="116"/>
      <c r="O622" s="116"/>
      <c r="P622" s="116"/>
      <c r="Q622" s="116"/>
      <c r="R622" s="116"/>
      <c r="S622" s="116"/>
      <c r="T622" s="116"/>
      <c r="U622" s="116"/>
      <c r="V622" s="116"/>
      <c r="W622" s="116"/>
      <c r="X622" s="278"/>
      <c r="Y622" s="142"/>
      <c r="Z622" s="142"/>
      <c r="AA622" s="142"/>
      <c r="AB622" s="142"/>
      <c r="AC622" s="142"/>
      <c r="AD622" s="142"/>
      <c r="AE622" s="142"/>
      <c r="AF622" s="130"/>
      <c r="AG622" s="142"/>
      <c r="AH622" s="142"/>
      <c r="AI622" s="142"/>
      <c r="AJ622" s="130"/>
      <c r="AK622" s="130"/>
      <c r="AL622" s="130"/>
      <c r="AM622" s="130"/>
    </row>
    <row r="623" ht="15.75" customHeight="1">
      <c r="A623" s="278"/>
      <c r="B623" s="278"/>
      <c r="C623" s="278"/>
      <c r="D623" s="278"/>
      <c r="E623" s="132"/>
      <c r="F623" s="116"/>
      <c r="G623" s="116"/>
      <c r="H623" s="116"/>
      <c r="I623" s="373"/>
      <c r="J623" s="147"/>
      <c r="K623" s="116"/>
      <c r="L623" s="116"/>
      <c r="M623" s="116"/>
      <c r="N623" s="116"/>
      <c r="O623" s="116"/>
      <c r="P623" s="116"/>
      <c r="Q623" s="116"/>
      <c r="R623" s="116"/>
      <c r="S623" s="116"/>
      <c r="T623" s="116"/>
      <c r="U623" s="116"/>
      <c r="V623" s="116"/>
      <c r="W623" s="116"/>
      <c r="X623" s="278"/>
      <c r="Y623" s="142"/>
      <c r="Z623" s="142"/>
      <c r="AA623" s="142"/>
      <c r="AB623" s="142"/>
      <c r="AC623" s="142"/>
      <c r="AD623" s="142"/>
      <c r="AE623" s="142"/>
      <c r="AF623" s="130"/>
      <c r="AG623" s="142"/>
      <c r="AH623" s="142"/>
      <c r="AI623" s="142"/>
      <c r="AJ623" s="130"/>
      <c r="AK623" s="130"/>
      <c r="AL623" s="130"/>
      <c r="AM623" s="130"/>
    </row>
    <row r="624" ht="15.75" customHeight="1">
      <c r="A624" s="278"/>
      <c r="B624" s="278"/>
      <c r="C624" s="278"/>
      <c r="D624" s="278"/>
      <c r="E624" s="132"/>
      <c r="F624" s="116"/>
      <c r="G624" s="116"/>
      <c r="H624" s="116"/>
      <c r="I624" s="373"/>
      <c r="J624" s="147"/>
      <c r="K624" s="116"/>
      <c r="L624" s="116"/>
      <c r="M624" s="116"/>
      <c r="N624" s="116"/>
      <c r="O624" s="116"/>
      <c r="P624" s="116"/>
      <c r="Q624" s="116"/>
      <c r="R624" s="116"/>
      <c r="S624" s="116"/>
      <c r="T624" s="116"/>
      <c r="U624" s="116"/>
      <c r="V624" s="116"/>
      <c r="W624" s="116"/>
      <c r="X624" s="278"/>
      <c r="Y624" s="142"/>
      <c r="Z624" s="142"/>
      <c r="AA624" s="142"/>
      <c r="AB624" s="142"/>
      <c r="AC624" s="142"/>
      <c r="AD624" s="142"/>
      <c r="AE624" s="142"/>
      <c r="AF624" s="130"/>
      <c r="AG624" s="142"/>
      <c r="AH624" s="142"/>
      <c r="AI624" s="142"/>
      <c r="AJ624" s="130"/>
      <c r="AK624" s="130"/>
      <c r="AL624" s="130"/>
      <c r="AM624" s="130"/>
    </row>
    <row r="625" ht="15.75" customHeight="1">
      <c r="A625" s="278"/>
      <c r="B625" s="278"/>
      <c r="C625" s="278"/>
      <c r="D625" s="278"/>
      <c r="E625" s="132"/>
      <c r="F625" s="116"/>
      <c r="G625" s="116"/>
      <c r="H625" s="116"/>
      <c r="I625" s="373"/>
      <c r="J625" s="147"/>
      <c r="K625" s="116"/>
      <c r="L625" s="116"/>
      <c r="M625" s="116"/>
      <c r="N625" s="116"/>
      <c r="O625" s="116"/>
      <c r="P625" s="116"/>
      <c r="Q625" s="116"/>
      <c r="R625" s="116"/>
      <c r="S625" s="116"/>
      <c r="T625" s="116"/>
      <c r="U625" s="116"/>
      <c r="V625" s="116"/>
      <c r="W625" s="116"/>
      <c r="X625" s="278"/>
      <c r="Y625" s="142"/>
      <c r="Z625" s="142"/>
      <c r="AA625" s="142"/>
      <c r="AB625" s="142"/>
      <c r="AC625" s="142"/>
      <c r="AD625" s="142"/>
      <c r="AE625" s="142"/>
      <c r="AF625" s="130"/>
      <c r="AG625" s="142"/>
      <c r="AH625" s="142"/>
      <c r="AI625" s="142"/>
      <c r="AJ625" s="130"/>
      <c r="AK625" s="130"/>
      <c r="AL625" s="130"/>
      <c r="AM625" s="130"/>
    </row>
    <row r="626" ht="15.75" customHeight="1">
      <c r="A626" s="278"/>
      <c r="B626" s="278"/>
      <c r="C626" s="278"/>
      <c r="D626" s="278"/>
      <c r="E626" s="132"/>
      <c r="F626" s="116"/>
      <c r="G626" s="116"/>
      <c r="H626" s="116"/>
      <c r="I626" s="373"/>
      <c r="J626" s="147"/>
      <c r="K626" s="116"/>
      <c r="L626" s="116"/>
      <c r="M626" s="116"/>
      <c r="N626" s="116"/>
      <c r="O626" s="116"/>
      <c r="P626" s="116"/>
      <c r="Q626" s="116"/>
      <c r="R626" s="116"/>
      <c r="S626" s="116"/>
      <c r="T626" s="116"/>
      <c r="U626" s="116"/>
      <c r="V626" s="116"/>
      <c r="W626" s="116"/>
      <c r="X626" s="278"/>
      <c r="Y626" s="142"/>
      <c r="Z626" s="142"/>
      <c r="AA626" s="142"/>
      <c r="AB626" s="142"/>
      <c r="AC626" s="142"/>
      <c r="AD626" s="142"/>
      <c r="AE626" s="142"/>
      <c r="AF626" s="130"/>
      <c r="AG626" s="142"/>
      <c r="AH626" s="142"/>
      <c r="AI626" s="142"/>
      <c r="AJ626" s="130"/>
      <c r="AK626" s="130"/>
      <c r="AL626" s="130"/>
      <c r="AM626" s="130"/>
    </row>
    <row r="627" ht="15.75" customHeight="1">
      <c r="A627" s="278"/>
      <c r="B627" s="278"/>
      <c r="C627" s="278"/>
      <c r="D627" s="278"/>
      <c r="E627" s="132"/>
      <c r="F627" s="116"/>
      <c r="G627" s="116"/>
      <c r="H627" s="116"/>
      <c r="I627" s="373"/>
      <c r="J627" s="147"/>
      <c r="K627" s="116"/>
      <c r="L627" s="116"/>
      <c r="M627" s="116"/>
      <c r="N627" s="116"/>
      <c r="O627" s="116"/>
      <c r="P627" s="116"/>
      <c r="Q627" s="116"/>
      <c r="R627" s="116"/>
      <c r="S627" s="116"/>
      <c r="T627" s="116"/>
      <c r="U627" s="116"/>
      <c r="V627" s="116"/>
      <c r="W627" s="116"/>
      <c r="X627" s="278"/>
      <c r="Y627" s="142"/>
      <c r="Z627" s="142"/>
      <c r="AA627" s="142"/>
      <c r="AB627" s="142"/>
      <c r="AC627" s="142"/>
      <c r="AD627" s="142"/>
      <c r="AE627" s="142"/>
      <c r="AF627" s="130"/>
      <c r="AG627" s="142"/>
      <c r="AH627" s="142"/>
      <c r="AI627" s="142"/>
      <c r="AJ627" s="130"/>
      <c r="AK627" s="130"/>
      <c r="AL627" s="130"/>
      <c r="AM627" s="130"/>
    </row>
    <row r="628" ht="15.75" customHeight="1">
      <c r="A628" s="278"/>
      <c r="B628" s="278"/>
      <c r="C628" s="278"/>
      <c r="D628" s="278"/>
      <c r="E628" s="132"/>
      <c r="F628" s="116"/>
      <c r="G628" s="116"/>
      <c r="H628" s="116"/>
      <c r="I628" s="373"/>
      <c r="J628" s="147"/>
      <c r="K628" s="116"/>
      <c r="L628" s="116"/>
      <c r="M628" s="116"/>
      <c r="N628" s="116"/>
      <c r="O628" s="116"/>
      <c r="P628" s="116"/>
      <c r="Q628" s="116"/>
      <c r="R628" s="116"/>
      <c r="S628" s="116"/>
      <c r="T628" s="116"/>
      <c r="U628" s="116"/>
      <c r="V628" s="116"/>
      <c r="W628" s="116"/>
      <c r="X628" s="278"/>
      <c r="Y628" s="142"/>
      <c r="Z628" s="142"/>
      <c r="AA628" s="142"/>
      <c r="AB628" s="142"/>
      <c r="AC628" s="142"/>
      <c r="AD628" s="142"/>
      <c r="AE628" s="142"/>
      <c r="AF628" s="130"/>
      <c r="AG628" s="142"/>
      <c r="AH628" s="142"/>
      <c r="AI628" s="142"/>
      <c r="AJ628" s="130"/>
      <c r="AK628" s="130"/>
      <c r="AL628" s="130"/>
      <c r="AM628" s="130"/>
    </row>
    <row r="629" ht="15.75" customHeight="1">
      <c r="A629" s="278"/>
      <c r="B629" s="278"/>
      <c r="C629" s="278"/>
      <c r="D629" s="278"/>
      <c r="E629" s="132"/>
      <c r="F629" s="116"/>
      <c r="G629" s="116"/>
      <c r="H629" s="116"/>
      <c r="I629" s="373"/>
      <c r="J629" s="147"/>
      <c r="K629" s="116"/>
      <c r="L629" s="116"/>
      <c r="M629" s="116"/>
      <c r="N629" s="116"/>
      <c r="O629" s="116"/>
      <c r="P629" s="116"/>
      <c r="Q629" s="116"/>
      <c r="R629" s="116"/>
      <c r="S629" s="116"/>
      <c r="T629" s="116"/>
      <c r="U629" s="116"/>
      <c r="V629" s="116"/>
      <c r="W629" s="116"/>
      <c r="X629" s="278"/>
      <c r="Y629" s="142"/>
      <c r="Z629" s="142"/>
      <c r="AA629" s="142"/>
      <c r="AB629" s="142"/>
      <c r="AC629" s="142"/>
      <c r="AD629" s="142"/>
      <c r="AE629" s="142"/>
      <c r="AF629" s="130"/>
      <c r="AG629" s="142"/>
      <c r="AH629" s="142"/>
      <c r="AI629" s="142"/>
      <c r="AJ629" s="130"/>
      <c r="AK629" s="130"/>
      <c r="AL629" s="130"/>
      <c r="AM629" s="130"/>
    </row>
    <row r="630" ht="15.75" customHeight="1">
      <c r="A630" s="278"/>
      <c r="B630" s="278"/>
      <c r="C630" s="278"/>
      <c r="D630" s="278"/>
      <c r="E630" s="132"/>
      <c r="F630" s="116"/>
      <c r="G630" s="116"/>
      <c r="H630" s="116"/>
      <c r="I630" s="373"/>
      <c r="J630" s="147"/>
      <c r="K630" s="116"/>
      <c r="L630" s="116"/>
      <c r="M630" s="116"/>
      <c r="N630" s="116"/>
      <c r="O630" s="116"/>
      <c r="P630" s="116"/>
      <c r="Q630" s="116"/>
      <c r="R630" s="116"/>
      <c r="S630" s="116"/>
      <c r="T630" s="116"/>
      <c r="U630" s="116"/>
      <c r="V630" s="116"/>
      <c r="W630" s="116"/>
      <c r="X630" s="278"/>
      <c r="Y630" s="142"/>
      <c r="Z630" s="142"/>
      <c r="AA630" s="142"/>
      <c r="AB630" s="142"/>
      <c r="AC630" s="142"/>
      <c r="AD630" s="142"/>
      <c r="AE630" s="142"/>
      <c r="AF630" s="130"/>
      <c r="AG630" s="142"/>
      <c r="AH630" s="142"/>
      <c r="AI630" s="142"/>
      <c r="AJ630" s="130"/>
      <c r="AK630" s="130"/>
      <c r="AL630" s="130"/>
      <c r="AM630" s="130"/>
    </row>
    <row r="631" ht="15.75" customHeight="1">
      <c r="A631" s="278"/>
      <c r="B631" s="278"/>
      <c r="C631" s="278"/>
      <c r="D631" s="278"/>
      <c r="E631" s="132"/>
      <c r="F631" s="116"/>
      <c r="G631" s="116"/>
      <c r="H631" s="116"/>
      <c r="I631" s="373"/>
      <c r="J631" s="147"/>
      <c r="K631" s="116"/>
      <c r="L631" s="116"/>
      <c r="M631" s="116"/>
      <c r="N631" s="116"/>
      <c r="O631" s="116"/>
      <c r="P631" s="116"/>
      <c r="Q631" s="116"/>
      <c r="R631" s="116"/>
      <c r="S631" s="116"/>
      <c r="T631" s="116"/>
      <c r="U631" s="116"/>
      <c r="V631" s="116"/>
      <c r="W631" s="116"/>
      <c r="X631" s="278"/>
      <c r="Y631" s="142"/>
      <c r="Z631" s="142"/>
      <c r="AA631" s="142"/>
      <c r="AB631" s="142"/>
      <c r="AC631" s="142"/>
      <c r="AD631" s="142"/>
      <c r="AE631" s="142"/>
      <c r="AF631" s="130"/>
      <c r="AG631" s="142"/>
      <c r="AH631" s="142"/>
      <c r="AI631" s="142"/>
      <c r="AJ631" s="130"/>
      <c r="AK631" s="130"/>
      <c r="AL631" s="130"/>
      <c r="AM631" s="130"/>
    </row>
    <row r="632" ht="15.75" customHeight="1">
      <c r="A632" s="278"/>
      <c r="B632" s="278"/>
      <c r="C632" s="278"/>
      <c r="D632" s="278"/>
      <c r="E632" s="132"/>
      <c r="F632" s="116"/>
      <c r="G632" s="116"/>
      <c r="H632" s="116"/>
      <c r="I632" s="373"/>
      <c r="J632" s="147"/>
      <c r="K632" s="116"/>
      <c r="L632" s="116"/>
      <c r="M632" s="116"/>
      <c r="N632" s="116"/>
      <c r="O632" s="116"/>
      <c r="P632" s="116"/>
      <c r="Q632" s="116"/>
      <c r="R632" s="116"/>
      <c r="S632" s="116"/>
      <c r="T632" s="116"/>
      <c r="U632" s="116"/>
      <c r="V632" s="116"/>
      <c r="W632" s="116"/>
      <c r="X632" s="278"/>
      <c r="Y632" s="142"/>
      <c r="Z632" s="142"/>
      <c r="AA632" s="142"/>
      <c r="AB632" s="142"/>
      <c r="AC632" s="142"/>
      <c r="AD632" s="142"/>
      <c r="AE632" s="142"/>
      <c r="AF632" s="130"/>
      <c r="AG632" s="142"/>
      <c r="AH632" s="142"/>
      <c r="AI632" s="142"/>
      <c r="AJ632" s="130"/>
      <c r="AK632" s="130"/>
      <c r="AL632" s="130"/>
      <c r="AM632" s="130"/>
    </row>
    <row r="633" ht="15.75" customHeight="1">
      <c r="A633" s="278"/>
      <c r="B633" s="278"/>
      <c r="C633" s="278"/>
      <c r="D633" s="278"/>
      <c r="E633" s="132"/>
      <c r="F633" s="116"/>
      <c r="G633" s="116"/>
      <c r="H633" s="116"/>
      <c r="I633" s="373"/>
      <c r="J633" s="147"/>
      <c r="K633" s="116"/>
      <c r="L633" s="116"/>
      <c r="M633" s="116"/>
      <c r="N633" s="116"/>
      <c r="O633" s="116"/>
      <c r="P633" s="116"/>
      <c r="Q633" s="116"/>
      <c r="R633" s="116"/>
      <c r="S633" s="116"/>
      <c r="T633" s="116"/>
      <c r="U633" s="116"/>
      <c r="V633" s="116"/>
      <c r="W633" s="116"/>
      <c r="X633" s="278"/>
      <c r="Y633" s="142"/>
      <c r="Z633" s="142"/>
      <c r="AA633" s="142"/>
      <c r="AB633" s="142"/>
      <c r="AC633" s="142"/>
      <c r="AD633" s="142"/>
      <c r="AE633" s="142"/>
      <c r="AF633" s="130"/>
      <c r="AG633" s="142"/>
      <c r="AH633" s="142"/>
      <c r="AI633" s="142"/>
      <c r="AJ633" s="130"/>
      <c r="AK633" s="130"/>
      <c r="AL633" s="130"/>
      <c r="AM633" s="130"/>
    </row>
    <row r="634" ht="15.75" customHeight="1">
      <c r="A634" s="278"/>
      <c r="B634" s="278"/>
      <c r="C634" s="278"/>
      <c r="D634" s="278"/>
      <c r="E634" s="132"/>
      <c r="F634" s="116"/>
      <c r="G634" s="116"/>
      <c r="H634" s="116"/>
      <c r="I634" s="373"/>
      <c r="J634" s="147"/>
      <c r="K634" s="116"/>
      <c r="L634" s="116"/>
      <c r="M634" s="116"/>
      <c r="N634" s="116"/>
      <c r="O634" s="116"/>
      <c r="P634" s="116"/>
      <c r="Q634" s="116"/>
      <c r="R634" s="116"/>
      <c r="S634" s="116"/>
      <c r="T634" s="116"/>
      <c r="U634" s="116"/>
      <c r="V634" s="116"/>
      <c r="W634" s="116"/>
      <c r="X634" s="278"/>
      <c r="Y634" s="142"/>
      <c r="Z634" s="142"/>
      <c r="AA634" s="142"/>
      <c r="AB634" s="142"/>
      <c r="AC634" s="142"/>
      <c r="AD634" s="142"/>
      <c r="AE634" s="142"/>
      <c r="AF634" s="130"/>
      <c r="AG634" s="142"/>
      <c r="AH634" s="142"/>
      <c r="AI634" s="142"/>
      <c r="AJ634" s="130"/>
      <c r="AK634" s="130"/>
      <c r="AL634" s="130"/>
      <c r="AM634" s="130"/>
    </row>
    <row r="635" ht="15.75" customHeight="1">
      <c r="A635" s="278"/>
      <c r="B635" s="278"/>
      <c r="C635" s="278"/>
      <c r="D635" s="278"/>
      <c r="E635" s="132"/>
      <c r="F635" s="116"/>
      <c r="G635" s="116"/>
      <c r="H635" s="116"/>
      <c r="I635" s="373"/>
      <c r="J635" s="147"/>
      <c r="K635" s="116"/>
      <c r="L635" s="116"/>
      <c r="M635" s="116"/>
      <c r="N635" s="116"/>
      <c r="O635" s="116"/>
      <c r="P635" s="116"/>
      <c r="Q635" s="116"/>
      <c r="R635" s="116"/>
      <c r="S635" s="116"/>
      <c r="T635" s="116"/>
      <c r="U635" s="116"/>
      <c r="V635" s="116"/>
      <c r="W635" s="116"/>
      <c r="X635" s="278"/>
      <c r="Y635" s="142"/>
      <c r="Z635" s="142"/>
      <c r="AA635" s="142"/>
      <c r="AB635" s="142"/>
      <c r="AC635" s="142"/>
      <c r="AD635" s="142"/>
      <c r="AE635" s="142"/>
      <c r="AF635" s="130"/>
      <c r="AG635" s="142"/>
      <c r="AH635" s="142"/>
      <c r="AI635" s="142"/>
      <c r="AJ635" s="130"/>
      <c r="AK635" s="130"/>
      <c r="AL635" s="130"/>
      <c r="AM635" s="130"/>
    </row>
    <row r="636" ht="15.75" customHeight="1">
      <c r="A636" s="278"/>
      <c r="B636" s="278"/>
      <c r="C636" s="278"/>
      <c r="D636" s="278"/>
      <c r="E636" s="132"/>
      <c r="F636" s="116"/>
      <c r="G636" s="116"/>
      <c r="H636" s="116"/>
      <c r="I636" s="373"/>
      <c r="J636" s="147"/>
      <c r="K636" s="116"/>
      <c r="L636" s="116"/>
      <c r="M636" s="116"/>
      <c r="N636" s="116"/>
      <c r="O636" s="116"/>
      <c r="P636" s="116"/>
      <c r="Q636" s="116"/>
      <c r="R636" s="116"/>
      <c r="S636" s="116"/>
      <c r="T636" s="116"/>
      <c r="U636" s="116"/>
      <c r="V636" s="116"/>
      <c r="W636" s="116"/>
      <c r="X636" s="278"/>
      <c r="Y636" s="142"/>
      <c r="Z636" s="142"/>
      <c r="AA636" s="142"/>
      <c r="AB636" s="142"/>
      <c r="AC636" s="142"/>
      <c r="AD636" s="142"/>
      <c r="AE636" s="142"/>
      <c r="AF636" s="130"/>
      <c r="AG636" s="142"/>
      <c r="AH636" s="142"/>
      <c r="AI636" s="142"/>
      <c r="AJ636" s="130"/>
      <c r="AK636" s="130"/>
      <c r="AL636" s="130"/>
      <c r="AM636" s="130"/>
    </row>
    <row r="637" ht="15.75" customHeight="1">
      <c r="A637" s="278"/>
      <c r="B637" s="278"/>
      <c r="C637" s="278"/>
      <c r="D637" s="278"/>
      <c r="E637" s="132"/>
      <c r="F637" s="116"/>
      <c r="G637" s="116"/>
      <c r="H637" s="116"/>
      <c r="I637" s="373"/>
      <c r="J637" s="147"/>
      <c r="K637" s="116"/>
      <c r="L637" s="116"/>
      <c r="M637" s="116"/>
      <c r="N637" s="116"/>
      <c r="O637" s="116"/>
      <c r="P637" s="116"/>
      <c r="Q637" s="116"/>
      <c r="R637" s="116"/>
      <c r="S637" s="116"/>
      <c r="T637" s="116"/>
      <c r="U637" s="116"/>
      <c r="V637" s="116"/>
      <c r="W637" s="116"/>
      <c r="X637" s="278"/>
      <c r="Y637" s="142"/>
      <c r="Z637" s="142"/>
      <c r="AA637" s="142"/>
      <c r="AB637" s="142"/>
      <c r="AC637" s="142"/>
      <c r="AD637" s="142"/>
      <c r="AE637" s="142"/>
      <c r="AF637" s="130"/>
      <c r="AG637" s="142"/>
      <c r="AH637" s="142"/>
      <c r="AI637" s="142"/>
      <c r="AJ637" s="130"/>
      <c r="AK637" s="130"/>
      <c r="AL637" s="130"/>
      <c r="AM637" s="130"/>
    </row>
    <row r="638" ht="15.75" customHeight="1">
      <c r="A638" s="278"/>
      <c r="B638" s="278"/>
      <c r="C638" s="278"/>
      <c r="D638" s="278"/>
      <c r="E638" s="132"/>
      <c r="F638" s="116"/>
      <c r="G638" s="116"/>
      <c r="H638" s="116"/>
      <c r="I638" s="373"/>
      <c r="J638" s="147"/>
      <c r="K638" s="116"/>
      <c r="L638" s="116"/>
      <c r="M638" s="116"/>
      <c r="N638" s="116"/>
      <c r="O638" s="116"/>
      <c r="P638" s="116"/>
      <c r="Q638" s="116"/>
      <c r="R638" s="116"/>
      <c r="S638" s="116"/>
      <c r="T638" s="116"/>
      <c r="U638" s="116"/>
      <c r="V638" s="116"/>
      <c r="W638" s="116"/>
      <c r="X638" s="278"/>
      <c r="Y638" s="142"/>
      <c r="Z638" s="142"/>
      <c r="AA638" s="142"/>
      <c r="AB638" s="142"/>
      <c r="AC638" s="142"/>
      <c r="AD638" s="142"/>
      <c r="AE638" s="142"/>
      <c r="AF638" s="130"/>
      <c r="AG638" s="142"/>
      <c r="AH638" s="142"/>
      <c r="AI638" s="142"/>
      <c r="AJ638" s="130"/>
      <c r="AK638" s="130"/>
      <c r="AL638" s="130"/>
      <c r="AM638" s="130"/>
    </row>
    <row r="639" ht="15.75" customHeight="1">
      <c r="A639" s="278"/>
      <c r="B639" s="278"/>
      <c r="C639" s="278"/>
      <c r="D639" s="278"/>
      <c r="E639" s="132"/>
      <c r="F639" s="116"/>
      <c r="G639" s="116"/>
      <c r="H639" s="116"/>
      <c r="I639" s="373"/>
      <c r="J639" s="147"/>
      <c r="K639" s="116"/>
      <c r="L639" s="116"/>
      <c r="M639" s="116"/>
      <c r="N639" s="116"/>
      <c r="O639" s="116"/>
      <c r="P639" s="116"/>
      <c r="Q639" s="116"/>
      <c r="R639" s="116"/>
      <c r="S639" s="116"/>
      <c r="T639" s="116"/>
      <c r="U639" s="116"/>
      <c r="V639" s="116"/>
      <c r="W639" s="116"/>
      <c r="X639" s="278"/>
      <c r="Y639" s="142"/>
      <c r="Z639" s="142"/>
      <c r="AA639" s="142"/>
      <c r="AB639" s="142"/>
      <c r="AC639" s="142"/>
      <c r="AD639" s="142"/>
      <c r="AE639" s="142"/>
      <c r="AF639" s="130"/>
      <c r="AG639" s="142"/>
      <c r="AH639" s="142"/>
      <c r="AI639" s="142"/>
      <c r="AJ639" s="130"/>
      <c r="AK639" s="130"/>
      <c r="AL639" s="130"/>
      <c r="AM639" s="130"/>
    </row>
    <row r="640" ht="15.75" customHeight="1">
      <c r="A640" s="278"/>
      <c r="B640" s="278"/>
      <c r="C640" s="278"/>
      <c r="D640" s="278"/>
      <c r="E640" s="132"/>
      <c r="F640" s="116"/>
      <c r="G640" s="116"/>
      <c r="H640" s="116"/>
      <c r="I640" s="373"/>
      <c r="J640" s="147"/>
      <c r="K640" s="116"/>
      <c r="L640" s="116"/>
      <c r="M640" s="116"/>
      <c r="N640" s="116"/>
      <c r="O640" s="116"/>
      <c r="P640" s="116"/>
      <c r="Q640" s="116"/>
      <c r="R640" s="116"/>
      <c r="S640" s="116"/>
      <c r="T640" s="116"/>
      <c r="U640" s="116"/>
      <c r="V640" s="116"/>
      <c r="W640" s="116"/>
      <c r="X640" s="278"/>
      <c r="Y640" s="142"/>
      <c r="Z640" s="142"/>
      <c r="AA640" s="142"/>
      <c r="AB640" s="142"/>
      <c r="AC640" s="142"/>
      <c r="AD640" s="142"/>
      <c r="AE640" s="142"/>
      <c r="AF640" s="130"/>
      <c r="AG640" s="142"/>
      <c r="AH640" s="142"/>
      <c r="AI640" s="142"/>
      <c r="AJ640" s="130"/>
      <c r="AK640" s="130"/>
      <c r="AL640" s="130"/>
      <c r="AM640" s="130"/>
    </row>
    <row r="641" ht="15.75" customHeight="1">
      <c r="A641" s="278"/>
      <c r="B641" s="278"/>
      <c r="C641" s="278"/>
      <c r="D641" s="278"/>
      <c r="E641" s="132"/>
      <c r="F641" s="116"/>
      <c r="G641" s="116"/>
      <c r="H641" s="116"/>
      <c r="I641" s="373"/>
      <c r="J641" s="147"/>
      <c r="K641" s="116"/>
      <c r="L641" s="116"/>
      <c r="M641" s="116"/>
      <c r="N641" s="116"/>
      <c r="O641" s="116"/>
      <c r="P641" s="116"/>
      <c r="Q641" s="116"/>
      <c r="R641" s="116"/>
      <c r="S641" s="116"/>
      <c r="T641" s="116"/>
      <c r="U641" s="116"/>
      <c r="V641" s="116"/>
      <c r="W641" s="116"/>
      <c r="X641" s="278"/>
      <c r="Y641" s="142"/>
      <c r="Z641" s="142"/>
      <c r="AA641" s="142"/>
      <c r="AB641" s="142"/>
      <c r="AC641" s="142"/>
      <c r="AD641" s="142"/>
      <c r="AE641" s="142"/>
      <c r="AF641" s="130"/>
      <c r="AG641" s="142"/>
      <c r="AH641" s="142"/>
      <c r="AI641" s="142"/>
      <c r="AJ641" s="130"/>
      <c r="AK641" s="130"/>
      <c r="AL641" s="130"/>
      <c r="AM641" s="130"/>
    </row>
    <row r="642" ht="15.75" customHeight="1">
      <c r="A642" s="278"/>
      <c r="B642" s="278"/>
      <c r="C642" s="278"/>
      <c r="D642" s="278"/>
      <c r="E642" s="132"/>
      <c r="F642" s="116"/>
      <c r="G642" s="116"/>
      <c r="H642" s="116"/>
      <c r="I642" s="373"/>
      <c r="J642" s="147"/>
      <c r="K642" s="116"/>
      <c r="L642" s="116"/>
      <c r="M642" s="116"/>
      <c r="N642" s="116"/>
      <c r="O642" s="116"/>
      <c r="P642" s="116"/>
      <c r="Q642" s="116"/>
      <c r="R642" s="116"/>
      <c r="S642" s="116"/>
      <c r="T642" s="116"/>
      <c r="U642" s="116"/>
      <c r="V642" s="116"/>
      <c r="W642" s="116"/>
      <c r="X642" s="278"/>
      <c r="Y642" s="142"/>
      <c r="Z642" s="142"/>
      <c r="AA642" s="142"/>
      <c r="AB642" s="142"/>
      <c r="AC642" s="142"/>
      <c r="AD642" s="142"/>
      <c r="AE642" s="142"/>
      <c r="AF642" s="130"/>
      <c r="AG642" s="142"/>
      <c r="AH642" s="142"/>
      <c r="AI642" s="142"/>
      <c r="AJ642" s="130"/>
      <c r="AK642" s="130"/>
      <c r="AL642" s="130"/>
      <c r="AM642" s="130"/>
    </row>
    <row r="643" ht="15.75" customHeight="1">
      <c r="A643" s="278"/>
      <c r="B643" s="278"/>
      <c r="C643" s="278"/>
      <c r="D643" s="278"/>
      <c r="E643" s="132"/>
      <c r="F643" s="116"/>
      <c r="G643" s="116"/>
      <c r="H643" s="116"/>
      <c r="I643" s="373"/>
      <c r="J643" s="147"/>
      <c r="K643" s="116"/>
      <c r="L643" s="116"/>
      <c r="M643" s="116"/>
      <c r="N643" s="116"/>
      <c r="O643" s="116"/>
      <c r="P643" s="116"/>
      <c r="Q643" s="116"/>
      <c r="R643" s="116"/>
      <c r="S643" s="116"/>
      <c r="T643" s="116"/>
      <c r="U643" s="116"/>
      <c r="V643" s="116"/>
      <c r="W643" s="116"/>
      <c r="X643" s="278"/>
      <c r="Y643" s="142"/>
      <c r="Z643" s="142"/>
      <c r="AA643" s="142"/>
      <c r="AB643" s="142"/>
      <c r="AC643" s="142"/>
      <c r="AD643" s="142"/>
      <c r="AE643" s="142"/>
      <c r="AF643" s="130"/>
      <c r="AG643" s="142"/>
      <c r="AH643" s="142"/>
      <c r="AI643" s="142"/>
      <c r="AJ643" s="130"/>
      <c r="AK643" s="130"/>
      <c r="AL643" s="130"/>
      <c r="AM643" s="130"/>
    </row>
    <row r="644" ht="15.75" customHeight="1">
      <c r="A644" s="278"/>
      <c r="B644" s="278"/>
      <c r="C644" s="278"/>
      <c r="D644" s="278"/>
      <c r="E644" s="132"/>
      <c r="F644" s="116"/>
      <c r="G644" s="116"/>
      <c r="H644" s="116"/>
      <c r="I644" s="373"/>
      <c r="J644" s="147"/>
      <c r="K644" s="116"/>
      <c r="L644" s="116"/>
      <c r="M644" s="116"/>
      <c r="N644" s="116"/>
      <c r="O644" s="116"/>
      <c r="P644" s="116"/>
      <c r="Q644" s="116"/>
      <c r="R644" s="116"/>
      <c r="S644" s="116"/>
      <c r="T644" s="116"/>
      <c r="U644" s="116"/>
      <c r="V644" s="116"/>
      <c r="W644" s="116"/>
      <c r="X644" s="278"/>
      <c r="Y644" s="142"/>
      <c r="Z644" s="142"/>
      <c r="AA644" s="142"/>
      <c r="AB644" s="142"/>
      <c r="AC644" s="142"/>
      <c r="AD644" s="142"/>
      <c r="AE644" s="142"/>
      <c r="AF644" s="130"/>
      <c r="AG644" s="142"/>
      <c r="AH644" s="142"/>
      <c r="AI644" s="142"/>
      <c r="AJ644" s="130"/>
      <c r="AK644" s="130"/>
      <c r="AL644" s="130"/>
      <c r="AM644" s="130"/>
    </row>
    <row r="645" ht="15.75" customHeight="1">
      <c r="A645" s="278"/>
      <c r="B645" s="278"/>
      <c r="C645" s="278"/>
      <c r="D645" s="278"/>
      <c r="E645" s="132"/>
      <c r="F645" s="116"/>
      <c r="G645" s="116"/>
      <c r="H645" s="116"/>
      <c r="I645" s="373"/>
      <c r="J645" s="147"/>
      <c r="K645" s="116"/>
      <c r="L645" s="116"/>
      <c r="M645" s="116"/>
      <c r="N645" s="116"/>
      <c r="O645" s="116"/>
      <c r="P645" s="116"/>
      <c r="Q645" s="116"/>
      <c r="R645" s="116"/>
      <c r="S645" s="116"/>
      <c r="T645" s="116"/>
      <c r="U645" s="116"/>
      <c r="V645" s="116"/>
      <c r="W645" s="116"/>
      <c r="X645" s="278"/>
      <c r="Y645" s="142"/>
      <c r="Z645" s="142"/>
      <c r="AA645" s="142"/>
      <c r="AB645" s="142"/>
      <c r="AC645" s="142"/>
      <c r="AD645" s="142"/>
      <c r="AE645" s="142"/>
      <c r="AF645" s="130"/>
      <c r="AG645" s="142"/>
      <c r="AH645" s="142"/>
      <c r="AI645" s="142"/>
      <c r="AJ645" s="130"/>
      <c r="AK645" s="130"/>
      <c r="AL645" s="130"/>
      <c r="AM645" s="130"/>
    </row>
    <row r="646" ht="15.75" customHeight="1">
      <c r="A646" s="278"/>
      <c r="B646" s="278"/>
      <c r="C646" s="278"/>
      <c r="D646" s="278"/>
      <c r="E646" s="132"/>
      <c r="F646" s="116"/>
      <c r="G646" s="116"/>
      <c r="H646" s="116"/>
      <c r="I646" s="373"/>
      <c r="J646" s="147"/>
      <c r="K646" s="116"/>
      <c r="L646" s="116"/>
      <c r="M646" s="116"/>
      <c r="N646" s="116"/>
      <c r="O646" s="116"/>
      <c r="P646" s="116"/>
      <c r="Q646" s="116"/>
      <c r="R646" s="116"/>
      <c r="S646" s="116"/>
      <c r="T646" s="116"/>
      <c r="U646" s="116"/>
      <c r="V646" s="116"/>
      <c r="W646" s="116"/>
      <c r="X646" s="278"/>
      <c r="Y646" s="142"/>
      <c r="Z646" s="142"/>
      <c r="AA646" s="142"/>
      <c r="AB646" s="142"/>
      <c r="AC646" s="142"/>
      <c r="AD646" s="142"/>
      <c r="AE646" s="142"/>
      <c r="AF646" s="130"/>
      <c r="AG646" s="142"/>
      <c r="AH646" s="142"/>
      <c r="AI646" s="142"/>
      <c r="AJ646" s="130"/>
      <c r="AK646" s="130"/>
      <c r="AL646" s="130"/>
      <c r="AM646" s="130"/>
    </row>
    <row r="647" ht="15.75" customHeight="1">
      <c r="A647" s="278"/>
      <c r="B647" s="278"/>
      <c r="C647" s="278"/>
      <c r="D647" s="278"/>
      <c r="E647" s="132"/>
      <c r="F647" s="116"/>
      <c r="G647" s="116"/>
      <c r="H647" s="116"/>
      <c r="I647" s="373"/>
      <c r="J647" s="147"/>
      <c r="K647" s="116"/>
      <c r="L647" s="116"/>
      <c r="M647" s="116"/>
      <c r="N647" s="116"/>
      <c r="O647" s="116"/>
      <c r="P647" s="116"/>
      <c r="Q647" s="116"/>
      <c r="R647" s="116"/>
      <c r="S647" s="116"/>
      <c r="T647" s="116"/>
      <c r="U647" s="116"/>
      <c r="V647" s="116"/>
      <c r="W647" s="116"/>
      <c r="X647" s="278"/>
      <c r="Y647" s="142"/>
      <c r="Z647" s="142"/>
      <c r="AA647" s="142"/>
      <c r="AB647" s="142"/>
      <c r="AC647" s="142"/>
      <c r="AD647" s="142"/>
      <c r="AE647" s="142"/>
      <c r="AF647" s="130"/>
      <c r="AG647" s="142"/>
      <c r="AH647" s="142"/>
      <c r="AI647" s="142"/>
      <c r="AJ647" s="130"/>
      <c r="AK647" s="130"/>
      <c r="AL647" s="130"/>
      <c r="AM647" s="130"/>
    </row>
    <row r="648" ht="15.75" customHeight="1">
      <c r="A648" s="278"/>
      <c r="B648" s="278"/>
      <c r="C648" s="278"/>
      <c r="D648" s="278"/>
      <c r="E648" s="132"/>
      <c r="F648" s="116"/>
      <c r="G648" s="116"/>
      <c r="H648" s="116"/>
      <c r="I648" s="373"/>
      <c r="J648" s="147"/>
      <c r="K648" s="116"/>
      <c r="L648" s="116"/>
      <c r="M648" s="116"/>
      <c r="N648" s="116"/>
      <c r="O648" s="116"/>
      <c r="P648" s="116"/>
      <c r="Q648" s="116"/>
      <c r="R648" s="116"/>
      <c r="S648" s="116"/>
      <c r="T648" s="116"/>
      <c r="U648" s="116"/>
      <c r="V648" s="116"/>
      <c r="W648" s="116"/>
      <c r="X648" s="278"/>
      <c r="Y648" s="142"/>
      <c r="Z648" s="142"/>
      <c r="AA648" s="142"/>
      <c r="AB648" s="142"/>
      <c r="AC648" s="142"/>
      <c r="AD648" s="142"/>
      <c r="AE648" s="142"/>
      <c r="AF648" s="130"/>
      <c r="AG648" s="142"/>
      <c r="AH648" s="142"/>
      <c r="AI648" s="142"/>
      <c r="AJ648" s="130"/>
      <c r="AK648" s="130"/>
      <c r="AL648" s="130"/>
      <c r="AM648" s="130"/>
    </row>
    <row r="649" ht="15.75" customHeight="1">
      <c r="A649" s="278"/>
      <c r="B649" s="278"/>
      <c r="C649" s="278"/>
      <c r="D649" s="278"/>
      <c r="E649" s="132"/>
      <c r="F649" s="116"/>
      <c r="G649" s="116"/>
      <c r="H649" s="116"/>
      <c r="I649" s="373"/>
      <c r="J649" s="147"/>
      <c r="K649" s="116"/>
      <c r="L649" s="116"/>
      <c r="M649" s="116"/>
      <c r="N649" s="116"/>
      <c r="O649" s="116"/>
      <c r="P649" s="116"/>
      <c r="Q649" s="116"/>
      <c r="R649" s="116"/>
      <c r="S649" s="116"/>
      <c r="T649" s="116"/>
      <c r="U649" s="116"/>
      <c r="V649" s="116"/>
      <c r="W649" s="116"/>
      <c r="X649" s="278"/>
      <c r="Y649" s="142"/>
      <c r="Z649" s="142"/>
      <c r="AA649" s="142"/>
      <c r="AB649" s="142"/>
      <c r="AC649" s="142"/>
      <c r="AD649" s="142"/>
      <c r="AE649" s="142"/>
      <c r="AF649" s="130"/>
      <c r="AG649" s="142"/>
      <c r="AH649" s="142"/>
      <c r="AI649" s="142"/>
      <c r="AJ649" s="130"/>
      <c r="AK649" s="130"/>
      <c r="AL649" s="130"/>
      <c r="AM649" s="130"/>
    </row>
    <row r="650" ht="15.75" customHeight="1">
      <c r="A650" s="278"/>
      <c r="B650" s="278"/>
      <c r="C650" s="278"/>
      <c r="D650" s="278"/>
      <c r="E650" s="132"/>
      <c r="F650" s="116"/>
      <c r="G650" s="116"/>
      <c r="H650" s="116"/>
      <c r="I650" s="373"/>
      <c r="J650" s="147"/>
      <c r="K650" s="116"/>
      <c r="L650" s="116"/>
      <c r="M650" s="116"/>
      <c r="N650" s="116"/>
      <c r="O650" s="116"/>
      <c r="P650" s="116"/>
      <c r="Q650" s="116"/>
      <c r="R650" s="116"/>
      <c r="S650" s="116"/>
      <c r="T650" s="116"/>
      <c r="U650" s="116"/>
      <c r="V650" s="116"/>
      <c r="W650" s="116"/>
      <c r="X650" s="278"/>
      <c r="Y650" s="142"/>
      <c r="Z650" s="142"/>
      <c r="AA650" s="142"/>
      <c r="AB650" s="142"/>
      <c r="AC650" s="142"/>
      <c r="AD650" s="142"/>
      <c r="AE650" s="142"/>
      <c r="AF650" s="130"/>
      <c r="AG650" s="142"/>
      <c r="AH650" s="142"/>
      <c r="AI650" s="142"/>
      <c r="AJ650" s="130"/>
      <c r="AK650" s="130"/>
      <c r="AL650" s="130"/>
      <c r="AM650" s="130"/>
    </row>
    <row r="651" ht="15.75" customHeight="1">
      <c r="A651" s="278"/>
      <c r="B651" s="278"/>
      <c r="C651" s="278"/>
      <c r="D651" s="278"/>
      <c r="E651" s="132"/>
      <c r="F651" s="116"/>
      <c r="G651" s="116"/>
      <c r="H651" s="116"/>
      <c r="I651" s="373"/>
      <c r="J651" s="147"/>
      <c r="K651" s="116"/>
      <c r="L651" s="116"/>
      <c r="M651" s="116"/>
      <c r="N651" s="116"/>
      <c r="O651" s="116"/>
      <c r="P651" s="116"/>
      <c r="Q651" s="116"/>
      <c r="R651" s="116"/>
      <c r="S651" s="116"/>
      <c r="T651" s="116"/>
      <c r="U651" s="116"/>
      <c r="V651" s="116"/>
      <c r="W651" s="116"/>
      <c r="X651" s="278"/>
      <c r="Y651" s="142"/>
      <c r="Z651" s="142"/>
      <c r="AA651" s="142"/>
      <c r="AB651" s="142"/>
      <c r="AC651" s="142"/>
      <c r="AD651" s="142"/>
      <c r="AE651" s="142"/>
      <c r="AF651" s="130"/>
      <c r="AG651" s="142"/>
      <c r="AH651" s="142"/>
      <c r="AI651" s="142"/>
      <c r="AJ651" s="130"/>
      <c r="AK651" s="130"/>
      <c r="AL651" s="130"/>
      <c r="AM651" s="130"/>
    </row>
    <row r="652" ht="15.75" customHeight="1">
      <c r="A652" s="278"/>
      <c r="B652" s="278"/>
      <c r="C652" s="278"/>
      <c r="D652" s="278"/>
      <c r="E652" s="132"/>
      <c r="F652" s="116"/>
      <c r="G652" s="116"/>
      <c r="H652" s="116"/>
      <c r="I652" s="373"/>
      <c r="J652" s="147"/>
      <c r="K652" s="116"/>
      <c r="L652" s="116"/>
      <c r="M652" s="116"/>
      <c r="N652" s="116"/>
      <c r="O652" s="116"/>
      <c r="P652" s="116"/>
      <c r="Q652" s="116"/>
      <c r="R652" s="116"/>
      <c r="S652" s="116"/>
      <c r="T652" s="116"/>
      <c r="U652" s="116"/>
      <c r="V652" s="116"/>
      <c r="W652" s="116"/>
      <c r="X652" s="278"/>
      <c r="Y652" s="142"/>
      <c r="Z652" s="142"/>
      <c r="AA652" s="142"/>
      <c r="AB652" s="142"/>
      <c r="AC652" s="142"/>
      <c r="AD652" s="142"/>
      <c r="AE652" s="142"/>
      <c r="AF652" s="130"/>
      <c r="AG652" s="142"/>
      <c r="AH652" s="142"/>
      <c r="AI652" s="142"/>
      <c r="AJ652" s="130"/>
      <c r="AK652" s="130"/>
      <c r="AL652" s="130"/>
      <c r="AM652" s="130"/>
    </row>
    <row r="653" ht="15.75" customHeight="1">
      <c r="A653" s="278"/>
      <c r="B653" s="278"/>
      <c r="C653" s="278"/>
      <c r="D653" s="278"/>
      <c r="E653" s="132"/>
      <c r="F653" s="116"/>
      <c r="G653" s="116"/>
      <c r="H653" s="116"/>
      <c r="I653" s="373"/>
      <c r="J653" s="147"/>
      <c r="K653" s="116"/>
      <c r="L653" s="116"/>
      <c r="M653" s="116"/>
      <c r="N653" s="116"/>
      <c r="O653" s="116"/>
      <c r="P653" s="116"/>
      <c r="Q653" s="116"/>
      <c r="R653" s="116"/>
      <c r="S653" s="116"/>
      <c r="T653" s="116"/>
      <c r="U653" s="116"/>
      <c r="V653" s="116"/>
      <c r="W653" s="116"/>
      <c r="X653" s="278"/>
      <c r="Y653" s="142"/>
      <c r="Z653" s="142"/>
      <c r="AA653" s="142"/>
      <c r="AB653" s="142"/>
      <c r="AC653" s="142"/>
      <c r="AD653" s="142"/>
      <c r="AE653" s="142"/>
      <c r="AF653" s="130"/>
      <c r="AG653" s="142"/>
      <c r="AH653" s="142"/>
      <c r="AI653" s="142"/>
      <c r="AJ653" s="130"/>
      <c r="AK653" s="130"/>
      <c r="AL653" s="130"/>
      <c r="AM653" s="130"/>
    </row>
    <row r="654" ht="15.75" customHeight="1">
      <c r="A654" s="278"/>
      <c r="B654" s="278"/>
      <c r="C654" s="278"/>
      <c r="D654" s="278"/>
      <c r="E654" s="132"/>
      <c r="F654" s="116"/>
      <c r="G654" s="116"/>
      <c r="H654" s="116"/>
      <c r="I654" s="373"/>
      <c r="J654" s="147"/>
      <c r="K654" s="116"/>
      <c r="L654" s="116"/>
      <c r="M654" s="116"/>
      <c r="N654" s="116"/>
      <c r="O654" s="116"/>
      <c r="P654" s="116"/>
      <c r="Q654" s="116"/>
      <c r="R654" s="116"/>
      <c r="S654" s="116"/>
      <c r="T654" s="116"/>
      <c r="U654" s="116"/>
      <c r="V654" s="116"/>
      <c r="W654" s="116"/>
      <c r="X654" s="278"/>
      <c r="Y654" s="142"/>
      <c r="Z654" s="142"/>
      <c r="AA654" s="142"/>
      <c r="AB654" s="142"/>
      <c r="AC654" s="142"/>
      <c r="AD654" s="142"/>
      <c r="AE654" s="142"/>
      <c r="AF654" s="130"/>
      <c r="AG654" s="142"/>
      <c r="AH654" s="142"/>
      <c r="AI654" s="142"/>
      <c r="AJ654" s="130"/>
      <c r="AK654" s="130"/>
      <c r="AL654" s="130"/>
      <c r="AM654" s="130"/>
    </row>
    <row r="655" ht="15.75" customHeight="1">
      <c r="A655" s="278"/>
      <c r="B655" s="278"/>
      <c r="C655" s="278"/>
      <c r="D655" s="278"/>
      <c r="E655" s="132"/>
      <c r="F655" s="116"/>
      <c r="G655" s="116"/>
      <c r="H655" s="116"/>
      <c r="I655" s="373"/>
      <c r="J655" s="147"/>
      <c r="K655" s="116"/>
      <c r="L655" s="116"/>
      <c r="M655" s="116"/>
      <c r="N655" s="116"/>
      <c r="O655" s="116"/>
      <c r="P655" s="116"/>
      <c r="Q655" s="116"/>
      <c r="R655" s="116"/>
      <c r="S655" s="116"/>
      <c r="T655" s="116"/>
      <c r="U655" s="116"/>
      <c r="V655" s="116"/>
      <c r="W655" s="116"/>
      <c r="X655" s="278"/>
      <c r="Y655" s="142"/>
      <c r="Z655" s="142"/>
      <c r="AA655" s="142"/>
      <c r="AB655" s="142"/>
      <c r="AC655" s="142"/>
      <c r="AD655" s="142"/>
      <c r="AE655" s="142"/>
      <c r="AF655" s="130"/>
      <c r="AG655" s="142"/>
      <c r="AH655" s="142"/>
      <c r="AI655" s="142"/>
      <c r="AJ655" s="130"/>
      <c r="AK655" s="130"/>
      <c r="AL655" s="130"/>
      <c r="AM655" s="130"/>
    </row>
    <row r="656" ht="15.75" customHeight="1">
      <c r="A656" s="278"/>
      <c r="B656" s="278"/>
      <c r="C656" s="278"/>
      <c r="D656" s="278"/>
      <c r="E656" s="132"/>
      <c r="F656" s="116"/>
      <c r="G656" s="116"/>
      <c r="H656" s="116"/>
      <c r="I656" s="373"/>
      <c r="J656" s="147"/>
      <c r="K656" s="116"/>
      <c r="L656" s="116"/>
      <c r="M656" s="116"/>
      <c r="N656" s="116"/>
      <c r="O656" s="116"/>
      <c r="P656" s="116"/>
      <c r="Q656" s="116"/>
      <c r="R656" s="116"/>
      <c r="S656" s="116"/>
      <c r="T656" s="116"/>
      <c r="U656" s="116"/>
      <c r="V656" s="116"/>
      <c r="W656" s="116"/>
      <c r="X656" s="278"/>
      <c r="Y656" s="142"/>
      <c r="Z656" s="142"/>
      <c r="AA656" s="142"/>
      <c r="AB656" s="142"/>
      <c r="AC656" s="142"/>
      <c r="AD656" s="142"/>
      <c r="AE656" s="142"/>
      <c r="AF656" s="130"/>
      <c r="AG656" s="142"/>
      <c r="AH656" s="142"/>
      <c r="AI656" s="142"/>
      <c r="AJ656" s="130"/>
      <c r="AK656" s="130"/>
      <c r="AL656" s="130"/>
      <c r="AM656" s="130"/>
    </row>
    <row r="657" ht="15.75" customHeight="1">
      <c r="A657" s="278"/>
      <c r="B657" s="278"/>
      <c r="C657" s="278"/>
      <c r="D657" s="278"/>
      <c r="E657" s="132"/>
      <c r="F657" s="116"/>
      <c r="G657" s="116"/>
      <c r="H657" s="116"/>
      <c r="I657" s="373"/>
      <c r="J657" s="147"/>
      <c r="K657" s="116"/>
      <c r="L657" s="116"/>
      <c r="M657" s="116"/>
      <c r="N657" s="116"/>
      <c r="O657" s="116"/>
      <c r="P657" s="116"/>
      <c r="Q657" s="116"/>
      <c r="R657" s="116"/>
      <c r="S657" s="116"/>
      <c r="T657" s="116"/>
      <c r="U657" s="116"/>
      <c r="V657" s="116"/>
      <c r="W657" s="116"/>
      <c r="X657" s="278"/>
      <c r="Y657" s="142"/>
      <c r="Z657" s="142"/>
      <c r="AA657" s="142"/>
      <c r="AB657" s="142"/>
      <c r="AC657" s="142"/>
      <c r="AD657" s="142"/>
      <c r="AE657" s="142"/>
      <c r="AF657" s="130"/>
      <c r="AG657" s="142"/>
      <c r="AH657" s="142"/>
      <c r="AI657" s="142"/>
      <c r="AJ657" s="130"/>
      <c r="AK657" s="130"/>
      <c r="AL657" s="130"/>
      <c r="AM657" s="130"/>
    </row>
    <row r="658" ht="15.75" customHeight="1">
      <c r="A658" s="278"/>
      <c r="B658" s="278"/>
      <c r="C658" s="278"/>
      <c r="D658" s="278"/>
      <c r="E658" s="132"/>
      <c r="F658" s="116"/>
      <c r="G658" s="116"/>
      <c r="H658" s="116"/>
      <c r="I658" s="373"/>
      <c r="J658" s="147"/>
      <c r="K658" s="116"/>
      <c r="L658" s="116"/>
      <c r="M658" s="116"/>
      <c r="N658" s="116"/>
      <c r="O658" s="116"/>
      <c r="P658" s="116"/>
      <c r="Q658" s="116"/>
      <c r="R658" s="116"/>
      <c r="S658" s="116"/>
      <c r="T658" s="116"/>
      <c r="U658" s="116"/>
      <c r="V658" s="116"/>
      <c r="W658" s="116"/>
      <c r="X658" s="278"/>
      <c r="Y658" s="142"/>
      <c r="Z658" s="142"/>
      <c r="AA658" s="142"/>
      <c r="AB658" s="142"/>
      <c r="AC658" s="142"/>
      <c r="AD658" s="142"/>
      <c r="AE658" s="142"/>
      <c r="AF658" s="130"/>
      <c r="AG658" s="142"/>
      <c r="AH658" s="142"/>
      <c r="AI658" s="142"/>
      <c r="AJ658" s="130"/>
      <c r="AK658" s="130"/>
      <c r="AL658" s="130"/>
      <c r="AM658" s="130"/>
    </row>
    <row r="659" ht="15.75" customHeight="1">
      <c r="A659" s="278"/>
      <c r="B659" s="278"/>
      <c r="C659" s="278"/>
      <c r="D659" s="278"/>
      <c r="E659" s="132"/>
      <c r="F659" s="116"/>
      <c r="G659" s="116"/>
      <c r="H659" s="116"/>
      <c r="I659" s="373"/>
      <c r="J659" s="147"/>
      <c r="K659" s="116"/>
      <c r="L659" s="116"/>
      <c r="M659" s="116"/>
      <c r="N659" s="116"/>
      <c r="O659" s="116"/>
      <c r="P659" s="116"/>
      <c r="Q659" s="116"/>
      <c r="R659" s="116"/>
      <c r="S659" s="116"/>
      <c r="T659" s="116"/>
      <c r="U659" s="116"/>
      <c r="V659" s="116"/>
      <c r="W659" s="116"/>
      <c r="X659" s="278"/>
      <c r="Y659" s="142"/>
      <c r="Z659" s="142"/>
      <c r="AA659" s="142"/>
      <c r="AB659" s="142"/>
      <c r="AC659" s="142"/>
      <c r="AD659" s="142"/>
      <c r="AE659" s="142"/>
      <c r="AF659" s="130"/>
      <c r="AG659" s="142"/>
      <c r="AH659" s="142"/>
      <c r="AI659" s="142"/>
      <c r="AJ659" s="130"/>
      <c r="AK659" s="130"/>
      <c r="AL659" s="130"/>
      <c r="AM659" s="130"/>
    </row>
    <row r="660" ht="15.75" customHeight="1">
      <c r="A660" s="278"/>
      <c r="B660" s="278"/>
      <c r="C660" s="278"/>
      <c r="D660" s="278"/>
      <c r="E660" s="132"/>
      <c r="F660" s="116"/>
      <c r="G660" s="116"/>
      <c r="H660" s="116"/>
      <c r="I660" s="373"/>
      <c r="J660" s="147"/>
      <c r="K660" s="116"/>
      <c r="L660" s="116"/>
      <c r="M660" s="116"/>
      <c r="N660" s="116"/>
      <c r="O660" s="116"/>
      <c r="P660" s="116"/>
      <c r="Q660" s="116"/>
      <c r="R660" s="116"/>
      <c r="S660" s="116"/>
      <c r="T660" s="116"/>
      <c r="U660" s="116"/>
      <c r="V660" s="116"/>
      <c r="W660" s="116"/>
      <c r="X660" s="278"/>
      <c r="Y660" s="142"/>
      <c r="Z660" s="142"/>
      <c r="AA660" s="142"/>
      <c r="AB660" s="142"/>
      <c r="AC660" s="142"/>
      <c r="AD660" s="142"/>
      <c r="AE660" s="142"/>
      <c r="AF660" s="130"/>
      <c r="AG660" s="142"/>
      <c r="AH660" s="142"/>
      <c r="AI660" s="142"/>
      <c r="AJ660" s="130"/>
      <c r="AK660" s="130"/>
      <c r="AL660" s="130"/>
      <c r="AM660" s="130"/>
    </row>
    <row r="661" ht="15.75" customHeight="1">
      <c r="A661" s="278"/>
      <c r="B661" s="278"/>
      <c r="C661" s="278"/>
      <c r="D661" s="278"/>
      <c r="E661" s="132"/>
      <c r="F661" s="116"/>
      <c r="G661" s="116"/>
      <c r="H661" s="116"/>
      <c r="I661" s="373"/>
      <c r="J661" s="147"/>
      <c r="K661" s="116"/>
      <c r="L661" s="116"/>
      <c r="M661" s="116"/>
      <c r="N661" s="116"/>
      <c r="O661" s="116"/>
      <c r="P661" s="116"/>
      <c r="Q661" s="116"/>
      <c r="R661" s="116"/>
      <c r="S661" s="116"/>
      <c r="T661" s="116"/>
      <c r="U661" s="116"/>
      <c r="V661" s="116"/>
      <c r="W661" s="116"/>
      <c r="X661" s="278"/>
      <c r="Y661" s="142"/>
      <c r="Z661" s="142"/>
      <c r="AA661" s="142"/>
      <c r="AB661" s="142"/>
      <c r="AC661" s="142"/>
      <c r="AD661" s="142"/>
      <c r="AE661" s="142"/>
      <c r="AF661" s="130"/>
      <c r="AG661" s="142"/>
      <c r="AH661" s="142"/>
      <c r="AI661" s="142"/>
      <c r="AJ661" s="130"/>
      <c r="AK661" s="130"/>
      <c r="AL661" s="130"/>
      <c r="AM661" s="130"/>
    </row>
    <row r="662" ht="15.75" customHeight="1">
      <c r="A662" s="278"/>
      <c r="B662" s="278"/>
      <c r="C662" s="278"/>
      <c r="D662" s="278"/>
      <c r="E662" s="132"/>
      <c r="F662" s="116"/>
      <c r="G662" s="116"/>
      <c r="H662" s="116"/>
      <c r="I662" s="373"/>
      <c r="J662" s="147"/>
      <c r="K662" s="116"/>
      <c r="L662" s="116"/>
      <c r="M662" s="116"/>
      <c r="N662" s="116"/>
      <c r="O662" s="116"/>
      <c r="P662" s="116"/>
      <c r="Q662" s="116"/>
      <c r="R662" s="116"/>
      <c r="S662" s="116"/>
      <c r="T662" s="116"/>
      <c r="U662" s="116"/>
      <c r="V662" s="116"/>
      <c r="W662" s="116"/>
      <c r="X662" s="278"/>
      <c r="Y662" s="142"/>
      <c r="Z662" s="142"/>
      <c r="AA662" s="142"/>
      <c r="AB662" s="142"/>
      <c r="AC662" s="142"/>
      <c r="AD662" s="142"/>
      <c r="AE662" s="142"/>
      <c r="AF662" s="130"/>
      <c r="AG662" s="142"/>
      <c r="AH662" s="142"/>
      <c r="AI662" s="142"/>
      <c r="AJ662" s="130"/>
      <c r="AK662" s="130"/>
      <c r="AL662" s="130"/>
      <c r="AM662" s="130"/>
    </row>
    <row r="663" ht="15.75" customHeight="1">
      <c r="A663" s="278"/>
      <c r="B663" s="278"/>
      <c r="C663" s="278"/>
      <c r="D663" s="278"/>
      <c r="E663" s="132"/>
      <c r="F663" s="116"/>
      <c r="G663" s="116"/>
      <c r="H663" s="116"/>
      <c r="I663" s="373"/>
      <c r="J663" s="147"/>
      <c r="K663" s="116"/>
      <c r="L663" s="116"/>
      <c r="M663" s="116"/>
      <c r="N663" s="116"/>
      <c r="O663" s="116"/>
      <c r="P663" s="116"/>
      <c r="Q663" s="116"/>
      <c r="R663" s="116"/>
      <c r="S663" s="116"/>
      <c r="T663" s="116"/>
      <c r="U663" s="116"/>
      <c r="V663" s="116"/>
      <c r="W663" s="116"/>
      <c r="X663" s="278"/>
      <c r="Y663" s="142"/>
      <c r="Z663" s="142"/>
      <c r="AA663" s="142"/>
      <c r="AB663" s="142"/>
      <c r="AC663" s="142"/>
      <c r="AD663" s="142"/>
      <c r="AE663" s="142"/>
      <c r="AF663" s="130"/>
      <c r="AG663" s="142"/>
      <c r="AH663" s="142"/>
      <c r="AI663" s="142"/>
      <c r="AJ663" s="130"/>
      <c r="AK663" s="130"/>
      <c r="AL663" s="130"/>
      <c r="AM663" s="130"/>
    </row>
    <row r="664" ht="15.75" customHeight="1">
      <c r="A664" s="278"/>
      <c r="B664" s="278"/>
      <c r="C664" s="278"/>
      <c r="D664" s="278"/>
      <c r="E664" s="132"/>
      <c r="F664" s="116"/>
      <c r="G664" s="116"/>
      <c r="H664" s="116"/>
      <c r="I664" s="373"/>
      <c r="J664" s="147"/>
      <c r="K664" s="116"/>
      <c r="L664" s="116"/>
      <c r="M664" s="116"/>
      <c r="N664" s="116"/>
      <c r="O664" s="116"/>
      <c r="P664" s="116"/>
      <c r="Q664" s="116"/>
      <c r="R664" s="116"/>
      <c r="S664" s="116"/>
      <c r="T664" s="116"/>
      <c r="U664" s="116"/>
      <c r="V664" s="116"/>
      <c r="W664" s="116"/>
      <c r="X664" s="278"/>
      <c r="Y664" s="142"/>
      <c r="Z664" s="142"/>
      <c r="AA664" s="142"/>
      <c r="AB664" s="142"/>
      <c r="AC664" s="142"/>
      <c r="AD664" s="142"/>
      <c r="AE664" s="142"/>
      <c r="AF664" s="130"/>
      <c r="AG664" s="142"/>
      <c r="AH664" s="142"/>
      <c r="AI664" s="142"/>
      <c r="AJ664" s="130"/>
      <c r="AK664" s="130"/>
      <c r="AL664" s="130"/>
      <c r="AM664" s="130"/>
    </row>
    <row r="665" ht="15.75" customHeight="1">
      <c r="A665" s="278"/>
      <c r="B665" s="278"/>
      <c r="C665" s="278"/>
      <c r="D665" s="278"/>
      <c r="E665" s="132"/>
      <c r="F665" s="116"/>
      <c r="G665" s="116"/>
      <c r="H665" s="116"/>
      <c r="I665" s="373"/>
      <c r="J665" s="147"/>
      <c r="K665" s="116"/>
      <c r="L665" s="116"/>
      <c r="M665" s="116"/>
      <c r="N665" s="116"/>
      <c r="O665" s="116"/>
      <c r="P665" s="116"/>
      <c r="Q665" s="116"/>
      <c r="R665" s="116"/>
      <c r="S665" s="116"/>
      <c r="T665" s="116"/>
      <c r="U665" s="116"/>
      <c r="V665" s="116"/>
      <c r="W665" s="116"/>
      <c r="X665" s="278"/>
      <c r="Y665" s="142"/>
      <c r="Z665" s="142"/>
      <c r="AA665" s="142"/>
      <c r="AB665" s="142"/>
      <c r="AC665" s="142"/>
      <c r="AD665" s="142"/>
      <c r="AE665" s="142"/>
      <c r="AF665" s="130"/>
      <c r="AG665" s="142"/>
      <c r="AH665" s="142"/>
      <c r="AI665" s="142"/>
      <c r="AJ665" s="130"/>
      <c r="AK665" s="130"/>
      <c r="AL665" s="130"/>
      <c r="AM665" s="130"/>
    </row>
    <row r="666" ht="15.75" customHeight="1">
      <c r="A666" s="278"/>
      <c r="B666" s="278"/>
      <c r="C666" s="278"/>
      <c r="D666" s="278"/>
      <c r="E666" s="132"/>
      <c r="F666" s="116"/>
      <c r="G666" s="116"/>
      <c r="H666" s="116"/>
      <c r="I666" s="373"/>
      <c r="J666" s="147"/>
      <c r="K666" s="116"/>
      <c r="L666" s="116"/>
      <c r="M666" s="116"/>
      <c r="N666" s="116"/>
      <c r="O666" s="116"/>
      <c r="P666" s="116"/>
      <c r="Q666" s="116"/>
      <c r="R666" s="116"/>
      <c r="S666" s="116"/>
      <c r="T666" s="116"/>
      <c r="U666" s="116"/>
      <c r="V666" s="116"/>
      <c r="W666" s="116"/>
      <c r="X666" s="278"/>
      <c r="Y666" s="142"/>
      <c r="Z666" s="142"/>
      <c r="AA666" s="142"/>
      <c r="AB666" s="142"/>
      <c r="AC666" s="142"/>
      <c r="AD666" s="142"/>
      <c r="AE666" s="142"/>
      <c r="AF666" s="130"/>
      <c r="AG666" s="142"/>
      <c r="AH666" s="142"/>
      <c r="AI666" s="142"/>
      <c r="AJ666" s="130"/>
      <c r="AK666" s="130"/>
      <c r="AL666" s="130"/>
      <c r="AM666" s="130"/>
    </row>
    <row r="667" ht="15.75" customHeight="1">
      <c r="A667" s="278"/>
      <c r="B667" s="278"/>
      <c r="C667" s="278"/>
      <c r="D667" s="278"/>
      <c r="E667" s="132"/>
      <c r="F667" s="116"/>
      <c r="G667" s="116"/>
      <c r="H667" s="116"/>
      <c r="I667" s="373"/>
      <c r="J667" s="147"/>
      <c r="K667" s="116"/>
      <c r="L667" s="116"/>
      <c r="M667" s="116"/>
      <c r="N667" s="116"/>
      <c r="O667" s="116"/>
      <c r="P667" s="116"/>
      <c r="Q667" s="116"/>
      <c r="R667" s="116"/>
      <c r="S667" s="116"/>
      <c r="T667" s="116"/>
      <c r="U667" s="116"/>
      <c r="V667" s="116"/>
      <c r="W667" s="116"/>
      <c r="X667" s="278"/>
      <c r="Y667" s="142"/>
      <c r="Z667" s="142"/>
      <c r="AA667" s="142"/>
      <c r="AB667" s="142"/>
      <c r="AC667" s="142"/>
      <c r="AD667" s="142"/>
      <c r="AE667" s="142"/>
      <c r="AF667" s="130"/>
      <c r="AG667" s="142"/>
      <c r="AH667" s="142"/>
      <c r="AI667" s="142"/>
      <c r="AJ667" s="130"/>
      <c r="AK667" s="130"/>
      <c r="AL667" s="130"/>
      <c r="AM667" s="130"/>
    </row>
    <row r="668" ht="15.75" customHeight="1">
      <c r="A668" s="278"/>
      <c r="B668" s="278"/>
      <c r="C668" s="278"/>
      <c r="D668" s="278"/>
      <c r="E668" s="132"/>
      <c r="F668" s="116"/>
      <c r="G668" s="116"/>
      <c r="H668" s="116"/>
      <c r="I668" s="373"/>
      <c r="J668" s="147"/>
      <c r="K668" s="116"/>
      <c r="L668" s="116"/>
      <c r="M668" s="116"/>
      <c r="N668" s="116"/>
      <c r="O668" s="116"/>
      <c r="P668" s="116"/>
      <c r="Q668" s="116"/>
      <c r="R668" s="116"/>
      <c r="S668" s="116"/>
      <c r="T668" s="116"/>
      <c r="U668" s="116"/>
      <c r="V668" s="116"/>
      <c r="W668" s="116"/>
      <c r="X668" s="278"/>
      <c r="Y668" s="142"/>
      <c r="Z668" s="142"/>
      <c r="AA668" s="142"/>
      <c r="AB668" s="142"/>
      <c r="AC668" s="142"/>
      <c r="AD668" s="142"/>
      <c r="AE668" s="142"/>
      <c r="AF668" s="130"/>
      <c r="AG668" s="142"/>
      <c r="AH668" s="142"/>
      <c r="AI668" s="142"/>
      <c r="AJ668" s="130"/>
      <c r="AK668" s="130"/>
      <c r="AL668" s="130"/>
      <c r="AM668" s="130"/>
    </row>
    <row r="669" ht="15.75" customHeight="1">
      <c r="A669" s="278"/>
      <c r="B669" s="278"/>
      <c r="C669" s="278"/>
      <c r="D669" s="278"/>
      <c r="E669" s="132"/>
      <c r="F669" s="116"/>
      <c r="G669" s="116"/>
      <c r="H669" s="116"/>
      <c r="I669" s="373"/>
      <c r="J669" s="147"/>
      <c r="K669" s="116"/>
      <c r="L669" s="116"/>
      <c r="M669" s="116"/>
      <c r="N669" s="116"/>
      <c r="O669" s="116"/>
      <c r="P669" s="116"/>
      <c r="Q669" s="116"/>
      <c r="R669" s="116"/>
      <c r="S669" s="116"/>
      <c r="T669" s="116"/>
      <c r="U669" s="116"/>
      <c r="V669" s="116"/>
      <c r="W669" s="116"/>
      <c r="X669" s="278"/>
      <c r="Y669" s="142"/>
      <c r="Z669" s="142"/>
      <c r="AA669" s="142"/>
      <c r="AB669" s="142"/>
      <c r="AC669" s="142"/>
      <c r="AD669" s="142"/>
      <c r="AE669" s="142"/>
      <c r="AF669" s="130"/>
      <c r="AG669" s="142"/>
      <c r="AH669" s="142"/>
      <c r="AI669" s="142"/>
      <c r="AJ669" s="130"/>
      <c r="AK669" s="130"/>
      <c r="AL669" s="130"/>
      <c r="AM669" s="130"/>
    </row>
    <row r="670" ht="15.75" customHeight="1">
      <c r="A670" s="278"/>
      <c r="B670" s="278"/>
      <c r="C670" s="278"/>
      <c r="D670" s="278"/>
      <c r="E670" s="132"/>
      <c r="F670" s="116"/>
      <c r="G670" s="116"/>
      <c r="H670" s="116"/>
      <c r="I670" s="373"/>
      <c r="J670" s="147"/>
      <c r="K670" s="116"/>
      <c r="L670" s="116"/>
      <c r="M670" s="116"/>
      <c r="N670" s="116"/>
      <c r="O670" s="116"/>
      <c r="P670" s="116"/>
      <c r="Q670" s="116"/>
      <c r="R670" s="116"/>
      <c r="S670" s="116"/>
      <c r="T670" s="116"/>
      <c r="U670" s="116"/>
      <c r="V670" s="116"/>
      <c r="W670" s="116"/>
      <c r="X670" s="278"/>
      <c r="Y670" s="142"/>
      <c r="Z670" s="142"/>
      <c r="AA670" s="142"/>
      <c r="AB670" s="142"/>
      <c r="AC670" s="142"/>
      <c r="AD670" s="142"/>
      <c r="AE670" s="142"/>
      <c r="AF670" s="130"/>
      <c r="AG670" s="142"/>
      <c r="AH670" s="142"/>
      <c r="AI670" s="142"/>
      <c r="AJ670" s="130"/>
      <c r="AK670" s="130"/>
      <c r="AL670" s="130"/>
      <c r="AM670" s="130"/>
    </row>
    <row r="671" ht="15.75" customHeight="1">
      <c r="A671" s="278"/>
      <c r="B671" s="278"/>
      <c r="C671" s="278"/>
      <c r="D671" s="278"/>
      <c r="E671" s="132"/>
      <c r="F671" s="116"/>
      <c r="G671" s="116"/>
      <c r="H671" s="116"/>
      <c r="I671" s="373"/>
      <c r="J671" s="147"/>
      <c r="K671" s="116"/>
      <c r="L671" s="116"/>
      <c r="M671" s="116"/>
      <c r="N671" s="116"/>
      <c r="O671" s="116"/>
      <c r="P671" s="116"/>
      <c r="Q671" s="116"/>
      <c r="R671" s="116"/>
      <c r="S671" s="116"/>
      <c r="T671" s="116"/>
      <c r="U671" s="116"/>
      <c r="V671" s="116"/>
      <c r="W671" s="116"/>
      <c r="X671" s="278"/>
      <c r="Y671" s="142"/>
      <c r="Z671" s="142"/>
      <c r="AA671" s="142"/>
      <c r="AB671" s="142"/>
      <c r="AC671" s="142"/>
      <c r="AD671" s="142"/>
      <c r="AE671" s="142"/>
      <c r="AF671" s="130"/>
      <c r="AG671" s="142"/>
      <c r="AH671" s="142"/>
      <c r="AI671" s="142"/>
      <c r="AJ671" s="130"/>
      <c r="AK671" s="130"/>
      <c r="AL671" s="130"/>
      <c r="AM671" s="130"/>
    </row>
    <row r="672" ht="15.75" customHeight="1">
      <c r="A672" s="278"/>
      <c r="B672" s="278"/>
      <c r="C672" s="278"/>
      <c r="D672" s="278"/>
      <c r="E672" s="132"/>
      <c r="F672" s="116"/>
      <c r="G672" s="116"/>
      <c r="H672" s="116"/>
      <c r="I672" s="373"/>
      <c r="J672" s="147"/>
      <c r="K672" s="116"/>
      <c r="L672" s="116"/>
      <c r="M672" s="116"/>
      <c r="N672" s="116"/>
      <c r="O672" s="116"/>
      <c r="P672" s="116"/>
      <c r="Q672" s="116"/>
      <c r="R672" s="116"/>
      <c r="S672" s="116"/>
      <c r="T672" s="116"/>
      <c r="U672" s="116"/>
      <c r="V672" s="116"/>
      <c r="W672" s="116"/>
      <c r="X672" s="278"/>
      <c r="Y672" s="142"/>
      <c r="Z672" s="142"/>
      <c r="AA672" s="142"/>
      <c r="AB672" s="142"/>
      <c r="AC672" s="142"/>
      <c r="AD672" s="142"/>
      <c r="AE672" s="142"/>
      <c r="AF672" s="130"/>
      <c r="AG672" s="142"/>
      <c r="AH672" s="142"/>
      <c r="AI672" s="142"/>
      <c r="AJ672" s="130"/>
      <c r="AK672" s="130"/>
      <c r="AL672" s="130"/>
      <c r="AM672" s="130"/>
    </row>
    <row r="673" ht="15.75" customHeight="1">
      <c r="A673" s="278"/>
      <c r="B673" s="278"/>
      <c r="C673" s="278"/>
      <c r="D673" s="278"/>
      <c r="E673" s="132"/>
      <c r="F673" s="116"/>
      <c r="G673" s="116"/>
      <c r="H673" s="116"/>
      <c r="I673" s="373"/>
      <c r="J673" s="147"/>
      <c r="K673" s="116"/>
      <c r="L673" s="116"/>
      <c r="M673" s="116"/>
      <c r="N673" s="116"/>
      <c r="O673" s="116"/>
      <c r="P673" s="116"/>
      <c r="Q673" s="116"/>
      <c r="R673" s="116"/>
      <c r="S673" s="116"/>
      <c r="T673" s="116"/>
      <c r="U673" s="116"/>
      <c r="V673" s="116"/>
      <c r="W673" s="116"/>
      <c r="X673" s="278"/>
      <c r="Y673" s="142"/>
      <c r="Z673" s="142"/>
      <c r="AA673" s="142"/>
      <c r="AB673" s="142"/>
      <c r="AC673" s="142"/>
      <c r="AD673" s="142"/>
      <c r="AE673" s="142"/>
      <c r="AF673" s="130"/>
      <c r="AG673" s="142"/>
      <c r="AH673" s="142"/>
      <c r="AI673" s="142"/>
      <c r="AJ673" s="130"/>
      <c r="AK673" s="130"/>
      <c r="AL673" s="130"/>
      <c r="AM673" s="130"/>
    </row>
    <row r="674" ht="15.75" customHeight="1">
      <c r="A674" s="278"/>
      <c r="B674" s="278"/>
      <c r="C674" s="278"/>
      <c r="D674" s="278"/>
      <c r="E674" s="132"/>
      <c r="F674" s="116"/>
      <c r="G674" s="116"/>
      <c r="H674" s="116"/>
      <c r="I674" s="373"/>
      <c r="J674" s="147"/>
      <c r="K674" s="116"/>
      <c r="L674" s="116"/>
      <c r="M674" s="116"/>
      <c r="N674" s="116"/>
      <c r="O674" s="116"/>
      <c r="P674" s="116"/>
      <c r="Q674" s="116"/>
      <c r="R674" s="116"/>
      <c r="S674" s="116"/>
      <c r="T674" s="116"/>
      <c r="U674" s="116"/>
      <c r="V674" s="116"/>
      <c r="W674" s="116"/>
      <c r="X674" s="278"/>
      <c r="Y674" s="142"/>
      <c r="Z674" s="142"/>
      <c r="AA674" s="142"/>
      <c r="AB674" s="142"/>
      <c r="AC674" s="142"/>
      <c r="AD674" s="142"/>
      <c r="AE674" s="142"/>
      <c r="AF674" s="130"/>
      <c r="AG674" s="142"/>
      <c r="AH674" s="142"/>
      <c r="AI674" s="142"/>
      <c r="AJ674" s="130"/>
      <c r="AK674" s="130"/>
      <c r="AL674" s="130"/>
      <c r="AM674" s="130"/>
    </row>
    <row r="675" ht="15.75" customHeight="1">
      <c r="A675" s="278"/>
      <c r="B675" s="278"/>
      <c r="C675" s="278"/>
      <c r="D675" s="278"/>
      <c r="E675" s="132"/>
      <c r="F675" s="116"/>
      <c r="G675" s="116"/>
      <c r="H675" s="116"/>
      <c r="I675" s="373"/>
      <c r="J675" s="147"/>
      <c r="K675" s="116"/>
      <c r="L675" s="116"/>
      <c r="M675" s="116"/>
      <c r="N675" s="116"/>
      <c r="O675" s="116"/>
      <c r="P675" s="116"/>
      <c r="Q675" s="116"/>
      <c r="R675" s="116"/>
      <c r="S675" s="116"/>
      <c r="T675" s="116"/>
      <c r="U675" s="116"/>
      <c r="V675" s="116"/>
      <c r="W675" s="116"/>
      <c r="X675" s="278"/>
      <c r="Y675" s="142"/>
      <c r="Z675" s="142"/>
      <c r="AA675" s="142"/>
      <c r="AB675" s="142"/>
      <c r="AC675" s="142"/>
      <c r="AD675" s="142"/>
      <c r="AE675" s="142"/>
      <c r="AF675" s="130"/>
      <c r="AG675" s="142"/>
      <c r="AH675" s="142"/>
      <c r="AI675" s="142"/>
      <c r="AJ675" s="130"/>
      <c r="AK675" s="130"/>
      <c r="AL675" s="130"/>
      <c r="AM675" s="130"/>
    </row>
    <row r="676" ht="15.75" customHeight="1">
      <c r="A676" s="278"/>
      <c r="B676" s="278"/>
      <c r="C676" s="278"/>
      <c r="D676" s="278"/>
      <c r="E676" s="132"/>
      <c r="F676" s="116"/>
      <c r="G676" s="116"/>
      <c r="H676" s="116"/>
      <c r="I676" s="373"/>
      <c r="J676" s="147"/>
      <c r="K676" s="116"/>
      <c r="L676" s="116"/>
      <c r="M676" s="116"/>
      <c r="N676" s="116"/>
      <c r="O676" s="116"/>
      <c r="P676" s="116"/>
      <c r="Q676" s="116"/>
      <c r="R676" s="116"/>
      <c r="S676" s="116"/>
      <c r="T676" s="116"/>
      <c r="U676" s="116"/>
      <c r="V676" s="116"/>
      <c r="W676" s="116"/>
      <c r="X676" s="278"/>
      <c r="Y676" s="142"/>
      <c r="Z676" s="142"/>
      <c r="AA676" s="142"/>
      <c r="AB676" s="142"/>
      <c r="AC676" s="142"/>
      <c r="AD676" s="142"/>
      <c r="AE676" s="142"/>
      <c r="AF676" s="130"/>
      <c r="AG676" s="142"/>
      <c r="AH676" s="142"/>
      <c r="AI676" s="142"/>
      <c r="AJ676" s="130"/>
      <c r="AK676" s="130"/>
      <c r="AL676" s="130"/>
      <c r="AM676" s="130"/>
    </row>
    <row r="677" ht="15.75" customHeight="1">
      <c r="A677" s="278"/>
      <c r="B677" s="278"/>
      <c r="C677" s="278"/>
      <c r="D677" s="278"/>
      <c r="E677" s="132"/>
      <c r="F677" s="116"/>
      <c r="G677" s="116"/>
      <c r="H677" s="116"/>
      <c r="I677" s="373"/>
      <c r="J677" s="147"/>
      <c r="K677" s="116"/>
      <c r="L677" s="116"/>
      <c r="M677" s="116"/>
      <c r="N677" s="116"/>
      <c r="O677" s="116"/>
      <c r="P677" s="116"/>
      <c r="Q677" s="116"/>
      <c r="R677" s="116"/>
      <c r="S677" s="116"/>
      <c r="T677" s="116"/>
      <c r="U677" s="116"/>
      <c r="V677" s="116"/>
      <c r="W677" s="116"/>
      <c r="X677" s="278"/>
      <c r="Y677" s="142"/>
      <c r="Z677" s="142"/>
      <c r="AA677" s="142"/>
      <c r="AB677" s="142"/>
      <c r="AC677" s="142"/>
      <c r="AD677" s="142"/>
      <c r="AE677" s="142"/>
      <c r="AF677" s="130"/>
      <c r="AG677" s="142"/>
      <c r="AH677" s="142"/>
      <c r="AI677" s="142"/>
      <c r="AJ677" s="130"/>
      <c r="AK677" s="130"/>
      <c r="AL677" s="130"/>
      <c r="AM677" s="130"/>
    </row>
    <row r="678" ht="15.75" customHeight="1">
      <c r="A678" s="278"/>
      <c r="B678" s="278"/>
      <c r="C678" s="278"/>
      <c r="D678" s="278"/>
      <c r="E678" s="132"/>
      <c r="F678" s="116"/>
      <c r="G678" s="116"/>
      <c r="H678" s="116"/>
      <c r="I678" s="373"/>
      <c r="J678" s="147"/>
      <c r="K678" s="116"/>
      <c r="L678" s="116"/>
      <c r="M678" s="116"/>
      <c r="N678" s="116"/>
      <c r="O678" s="116"/>
      <c r="P678" s="116"/>
      <c r="Q678" s="116"/>
      <c r="R678" s="116"/>
      <c r="S678" s="116"/>
      <c r="T678" s="116"/>
      <c r="U678" s="116"/>
      <c r="V678" s="116"/>
      <c r="W678" s="116"/>
      <c r="X678" s="278"/>
      <c r="Y678" s="142"/>
      <c r="Z678" s="142"/>
      <c r="AA678" s="142"/>
      <c r="AB678" s="142"/>
      <c r="AC678" s="142"/>
      <c r="AD678" s="142"/>
      <c r="AE678" s="142"/>
      <c r="AF678" s="130"/>
      <c r="AG678" s="142"/>
      <c r="AH678" s="142"/>
      <c r="AI678" s="142"/>
      <c r="AJ678" s="130"/>
      <c r="AK678" s="130"/>
      <c r="AL678" s="130"/>
      <c r="AM678" s="130"/>
    </row>
    <row r="679" ht="15.75" customHeight="1">
      <c r="A679" s="278"/>
      <c r="B679" s="278"/>
      <c r="C679" s="278"/>
      <c r="D679" s="278"/>
      <c r="E679" s="132"/>
      <c r="F679" s="116"/>
      <c r="G679" s="116"/>
      <c r="H679" s="116"/>
      <c r="I679" s="373"/>
      <c r="J679" s="147"/>
      <c r="K679" s="116"/>
      <c r="L679" s="116"/>
      <c r="M679" s="116"/>
      <c r="N679" s="116"/>
      <c r="O679" s="116"/>
      <c r="P679" s="116"/>
      <c r="Q679" s="116"/>
      <c r="R679" s="116"/>
      <c r="S679" s="116"/>
      <c r="T679" s="116"/>
      <c r="U679" s="116"/>
      <c r="V679" s="116"/>
      <c r="W679" s="116"/>
      <c r="X679" s="278"/>
      <c r="Y679" s="142"/>
      <c r="Z679" s="142"/>
      <c r="AA679" s="142"/>
      <c r="AB679" s="142"/>
      <c r="AC679" s="142"/>
      <c r="AD679" s="142"/>
      <c r="AE679" s="142"/>
      <c r="AF679" s="130"/>
      <c r="AG679" s="142"/>
      <c r="AH679" s="142"/>
      <c r="AI679" s="142"/>
      <c r="AJ679" s="130"/>
      <c r="AK679" s="130"/>
      <c r="AL679" s="130"/>
      <c r="AM679" s="130"/>
    </row>
    <row r="680" ht="15.75" customHeight="1">
      <c r="A680" s="278"/>
      <c r="B680" s="278"/>
      <c r="C680" s="278"/>
      <c r="D680" s="278"/>
      <c r="E680" s="132"/>
      <c r="F680" s="116"/>
      <c r="G680" s="116"/>
      <c r="H680" s="116"/>
      <c r="I680" s="373"/>
      <c r="J680" s="147"/>
      <c r="K680" s="116"/>
      <c r="L680" s="116"/>
      <c r="M680" s="116"/>
      <c r="N680" s="116"/>
      <c r="O680" s="116"/>
      <c r="P680" s="116"/>
      <c r="Q680" s="116"/>
      <c r="R680" s="116"/>
      <c r="S680" s="116"/>
      <c r="T680" s="116"/>
      <c r="U680" s="116"/>
      <c r="V680" s="116"/>
      <c r="W680" s="116"/>
      <c r="X680" s="278"/>
      <c r="Y680" s="142"/>
      <c r="Z680" s="142"/>
      <c r="AA680" s="142"/>
      <c r="AB680" s="142"/>
      <c r="AC680" s="142"/>
      <c r="AD680" s="142"/>
      <c r="AE680" s="142"/>
      <c r="AF680" s="130"/>
      <c r="AG680" s="142"/>
      <c r="AH680" s="142"/>
      <c r="AI680" s="142"/>
      <c r="AJ680" s="130"/>
      <c r="AK680" s="130"/>
      <c r="AL680" s="130"/>
      <c r="AM680" s="130"/>
    </row>
    <row r="681" ht="15.75" customHeight="1">
      <c r="A681" s="278"/>
      <c r="B681" s="278"/>
      <c r="C681" s="278"/>
      <c r="D681" s="278"/>
      <c r="E681" s="132"/>
      <c r="F681" s="116"/>
      <c r="G681" s="116"/>
      <c r="H681" s="116"/>
      <c r="I681" s="373"/>
      <c r="J681" s="147"/>
      <c r="K681" s="116"/>
      <c r="L681" s="116"/>
      <c r="M681" s="116"/>
      <c r="N681" s="116"/>
      <c r="O681" s="116"/>
      <c r="P681" s="116"/>
      <c r="Q681" s="116"/>
      <c r="R681" s="116"/>
      <c r="S681" s="116"/>
      <c r="T681" s="116"/>
      <c r="U681" s="116"/>
      <c r="V681" s="116"/>
      <c r="W681" s="116"/>
      <c r="X681" s="278"/>
      <c r="Y681" s="142"/>
      <c r="Z681" s="142"/>
      <c r="AA681" s="142"/>
      <c r="AB681" s="142"/>
      <c r="AC681" s="142"/>
      <c r="AD681" s="142"/>
      <c r="AE681" s="142"/>
      <c r="AF681" s="130"/>
      <c r="AG681" s="142"/>
      <c r="AH681" s="142"/>
      <c r="AI681" s="142"/>
      <c r="AJ681" s="130"/>
      <c r="AK681" s="130"/>
      <c r="AL681" s="130"/>
      <c r="AM681" s="130"/>
    </row>
    <row r="682" ht="15.75" customHeight="1">
      <c r="A682" s="278"/>
      <c r="B682" s="278"/>
      <c r="C682" s="278"/>
      <c r="D682" s="278"/>
      <c r="E682" s="132"/>
      <c r="F682" s="116"/>
      <c r="G682" s="116"/>
      <c r="H682" s="116"/>
      <c r="I682" s="373"/>
      <c r="J682" s="147"/>
      <c r="K682" s="116"/>
      <c r="L682" s="116"/>
      <c r="M682" s="116"/>
      <c r="N682" s="116"/>
      <c r="O682" s="116"/>
      <c r="P682" s="116"/>
      <c r="Q682" s="116"/>
      <c r="R682" s="116"/>
      <c r="S682" s="116"/>
      <c r="T682" s="116"/>
      <c r="U682" s="116"/>
      <c r="V682" s="116"/>
      <c r="W682" s="116"/>
      <c r="X682" s="278"/>
      <c r="Y682" s="142"/>
      <c r="Z682" s="142"/>
      <c r="AA682" s="142"/>
      <c r="AB682" s="142"/>
      <c r="AC682" s="142"/>
      <c r="AD682" s="142"/>
      <c r="AE682" s="142"/>
      <c r="AF682" s="130"/>
      <c r="AG682" s="142"/>
      <c r="AH682" s="142"/>
      <c r="AI682" s="142"/>
      <c r="AJ682" s="130"/>
      <c r="AK682" s="130"/>
      <c r="AL682" s="130"/>
      <c r="AM682" s="130"/>
    </row>
    <row r="683" ht="15.75" customHeight="1">
      <c r="A683" s="278"/>
      <c r="B683" s="278"/>
      <c r="C683" s="278"/>
      <c r="D683" s="278"/>
      <c r="E683" s="132"/>
      <c r="F683" s="116"/>
      <c r="G683" s="116"/>
      <c r="H683" s="116"/>
      <c r="I683" s="373"/>
      <c r="J683" s="147"/>
      <c r="K683" s="116"/>
      <c r="L683" s="116"/>
      <c r="M683" s="116"/>
      <c r="N683" s="116"/>
      <c r="O683" s="116"/>
      <c r="P683" s="116"/>
      <c r="Q683" s="116"/>
      <c r="R683" s="116"/>
      <c r="S683" s="116"/>
      <c r="T683" s="116"/>
      <c r="U683" s="116"/>
      <c r="V683" s="116"/>
      <c r="W683" s="116"/>
      <c r="X683" s="278"/>
      <c r="Y683" s="142"/>
      <c r="Z683" s="142"/>
      <c r="AA683" s="142"/>
      <c r="AB683" s="142"/>
      <c r="AC683" s="142"/>
      <c r="AD683" s="142"/>
      <c r="AE683" s="142"/>
      <c r="AF683" s="130"/>
      <c r="AG683" s="142"/>
      <c r="AH683" s="142"/>
      <c r="AI683" s="142"/>
      <c r="AJ683" s="130"/>
      <c r="AK683" s="130"/>
      <c r="AL683" s="130"/>
      <c r="AM683" s="130"/>
    </row>
    <row r="684" ht="15.75" customHeight="1">
      <c r="A684" s="278"/>
      <c r="B684" s="278"/>
      <c r="C684" s="278"/>
      <c r="D684" s="278"/>
      <c r="E684" s="132"/>
      <c r="F684" s="116"/>
      <c r="G684" s="116"/>
      <c r="H684" s="116"/>
      <c r="I684" s="373"/>
      <c r="J684" s="147"/>
      <c r="K684" s="116"/>
      <c r="L684" s="116"/>
      <c r="M684" s="116"/>
      <c r="N684" s="116"/>
      <c r="O684" s="116"/>
      <c r="P684" s="116"/>
      <c r="Q684" s="116"/>
      <c r="R684" s="116"/>
      <c r="S684" s="116"/>
      <c r="T684" s="116"/>
      <c r="U684" s="116"/>
      <c r="V684" s="116"/>
      <c r="W684" s="116"/>
      <c r="X684" s="278"/>
      <c r="Y684" s="142"/>
      <c r="Z684" s="142"/>
      <c r="AA684" s="142"/>
      <c r="AB684" s="142"/>
      <c r="AC684" s="142"/>
      <c r="AD684" s="142"/>
      <c r="AE684" s="142"/>
      <c r="AF684" s="130"/>
      <c r="AG684" s="142"/>
      <c r="AH684" s="142"/>
      <c r="AI684" s="142"/>
      <c r="AJ684" s="130"/>
      <c r="AK684" s="130"/>
      <c r="AL684" s="130"/>
      <c r="AM684" s="130"/>
    </row>
    <row r="685" ht="15.75" customHeight="1">
      <c r="A685" s="278"/>
      <c r="B685" s="278"/>
      <c r="C685" s="278"/>
      <c r="D685" s="278"/>
      <c r="E685" s="132"/>
      <c r="F685" s="116"/>
      <c r="G685" s="116"/>
      <c r="H685" s="116"/>
      <c r="I685" s="373"/>
      <c r="J685" s="147"/>
      <c r="K685" s="116"/>
      <c r="L685" s="116"/>
      <c r="M685" s="116"/>
      <c r="N685" s="116"/>
      <c r="O685" s="116"/>
      <c r="P685" s="116"/>
      <c r="Q685" s="116"/>
      <c r="R685" s="116"/>
      <c r="S685" s="116"/>
      <c r="T685" s="116"/>
      <c r="U685" s="116"/>
      <c r="V685" s="116"/>
      <c r="W685" s="116"/>
      <c r="X685" s="278"/>
      <c r="Y685" s="142"/>
      <c r="Z685" s="142"/>
      <c r="AA685" s="142"/>
      <c r="AB685" s="142"/>
      <c r="AC685" s="142"/>
      <c r="AD685" s="142"/>
      <c r="AE685" s="142"/>
      <c r="AF685" s="130"/>
      <c r="AG685" s="142"/>
      <c r="AH685" s="142"/>
      <c r="AI685" s="142"/>
      <c r="AJ685" s="130"/>
      <c r="AK685" s="130"/>
      <c r="AL685" s="130"/>
      <c r="AM685" s="130"/>
    </row>
    <row r="686" ht="15.75" customHeight="1">
      <c r="A686" s="278"/>
      <c r="B686" s="278"/>
      <c r="C686" s="278"/>
      <c r="D686" s="278"/>
      <c r="E686" s="132"/>
      <c r="F686" s="116"/>
      <c r="G686" s="116"/>
      <c r="H686" s="116"/>
      <c r="I686" s="373"/>
      <c r="J686" s="147"/>
      <c r="K686" s="116"/>
      <c r="L686" s="116"/>
      <c r="M686" s="116"/>
      <c r="N686" s="116"/>
      <c r="O686" s="116"/>
      <c r="P686" s="116"/>
      <c r="Q686" s="116"/>
      <c r="R686" s="116"/>
      <c r="S686" s="116"/>
      <c r="T686" s="116"/>
      <c r="U686" s="116"/>
      <c r="V686" s="116"/>
      <c r="W686" s="116"/>
      <c r="X686" s="278"/>
      <c r="Y686" s="142"/>
      <c r="Z686" s="142"/>
      <c r="AA686" s="142"/>
      <c r="AB686" s="142"/>
      <c r="AC686" s="142"/>
      <c r="AD686" s="142"/>
      <c r="AE686" s="142"/>
      <c r="AF686" s="130"/>
      <c r="AG686" s="142"/>
      <c r="AH686" s="142"/>
      <c r="AI686" s="142"/>
      <c r="AJ686" s="130"/>
      <c r="AK686" s="130"/>
      <c r="AL686" s="130"/>
      <c r="AM686" s="130"/>
    </row>
    <row r="687" ht="15.75" customHeight="1">
      <c r="A687" s="278"/>
      <c r="B687" s="278"/>
      <c r="C687" s="278"/>
      <c r="D687" s="278"/>
      <c r="E687" s="132"/>
      <c r="F687" s="116"/>
      <c r="G687" s="116"/>
      <c r="H687" s="116"/>
      <c r="I687" s="373"/>
      <c r="J687" s="147"/>
      <c r="K687" s="116"/>
      <c r="L687" s="116"/>
      <c r="M687" s="116"/>
      <c r="N687" s="116"/>
      <c r="O687" s="116"/>
      <c r="P687" s="116"/>
      <c r="Q687" s="116"/>
      <c r="R687" s="116"/>
      <c r="S687" s="116"/>
      <c r="T687" s="116"/>
      <c r="U687" s="116"/>
      <c r="V687" s="116"/>
      <c r="W687" s="116"/>
      <c r="X687" s="278"/>
      <c r="Y687" s="142"/>
      <c r="Z687" s="142"/>
      <c r="AA687" s="142"/>
      <c r="AB687" s="142"/>
      <c r="AC687" s="142"/>
      <c r="AD687" s="142"/>
      <c r="AE687" s="142"/>
      <c r="AF687" s="130"/>
      <c r="AG687" s="142"/>
      <c r="AH687" s="142"/>
      <c r="AI687" s="142"/>
      <c r="AJ687" s="130"/>
      <c r="AK687" s="130"/>
      <c r="AL687" s="130"/>
      <c r="AM687" s="130"/>
    </row>
    <row r="688" ht="15.75" customHeight="1">
      <c r="A688" s="278"/>
      <c r="B688" s="278"/>
      <c r="C688" s="278"/>
      <c r="D688" s="278"/>
      <c r="E688" s="132"/>
      <c r="F688" s="116"/>
      <c r="G688" s="116"/>
      <c r="H688" s="116"/>
      <c r="I688" s="373"/>
      <c r="J688" s="147"/>
      <c r="K688" s="116"/>
      <c r="L688" s="116"/>
      <c r="M688" s="116"/>
      <c r="N688" s="116"/>
      <c r="O688" s="116"/>
      <c r="P688" s="116"/>
      <c r="Q688" s="116"/>
      <c r="R688" s="116"/>
      <c r="S688" s="116"/>
      <c r="T688" s="116"/>
      <c r="U688" s="116"/>
      <c r="V688" s="116"/>
      <c r="W688" s="116"/>
      <c r="X688" s="278"/>
      <c r="Y688" s="142"/>
      <c r="Z688" s="142"/>
      <c r="AA688" s="142"/>
      <c r="AB688" s="142"/>
      <c r="AC688" s="142"/>
      <c r="AD688" s="142"/>
      <c r="AE688" s="142"/>
      <c r="AF688" s="130"/>
      <c r="AG688" s="142"/>
      <c r="AH688" s="142"/>
      <c r="AI688" s="142"/>
      <c r="AJ688" s="130"/>
      <c r="AK688" s="130"/>
      <c r="AL688" s="130"/>
      <c r="AM688" s="130"/>
    </row>
    <row r="689" ht="15.75" customHeight="1">
      <c r="A689" s="278"/>
      <c r="B689" s="278"/>
      <c r="C689" s="278"/>
      <c r="D689" s="278"/>
      <c r="E689" s="132"/>
      <c r="F689" s="116"/>
      <c r="G689" s="116"/>
      <c r="H689" s="116"/>
      <c r="I689" s="373"/>
      <c r="J689" s="147"/>
      <c r="K689" s="116"/>
      <c r="L689" s="116"/>
      <c r="M689" s="116"/>
      <c r="N689" s="116"/>
      <c r="O689" s="116"/>
      <c r="P689" s="116"/>
      <c r="Q689" s="116"/>
      <c r="R689" s="116"/>
      <c r="S689" s="116"/>
      <c r="T689" s="116"/>
      <c r="U689" s="116"/>
      <c r="V689" s="116"/>
      <c r="W689" s="116"/>
      <c r="X689" s="278"/>
      <c r="Y689" s="142"/>
      <c r="Z689" s="142"/>
      <c r="AA689" s="142"/>
      <c r="AB689" s="142"/>
      <c r="AC689" s="142"/>
      <c r="AD689" s="142"/>
      <c r="AE689" s="142"/>
      <c r="AF689" s="130"/>
      <c r="AG689" s="142"/>
      <c r="AH689" s="142"/>
      <c r="AI689" s="142"/>
      <c r="AJ689" s="130"/>
      <c r="AK689" s="130"/>
      <c r="AL689" s="130"/>
      <c r="AM689" s="130"/>
    </row>
    <row r="690" ht="15.75" customHeight="1">
      <c r="A690" s="278"/>
      <c r="B690" s="278"/>
      <c r="C690" s="278"/>
      <c r="D690" s="278"/>
      <c r="E690" s="132"/>
      <c r="F690" s="116"/>
      <c r="G690" s="116"/>
      <c r="H690" s="116"/>
      <c r="I690" s="373"/>
      <c r="J690" s="147"/>
      <c r="K690" s="116"/>
      <c r="L690" s="116"/>
      <c r="M690" s="116"/>
      <c r="N690" s="116"/>
      <c r="O690" s="116"/>
      <c r="P690" s="116"/>
      <c r="Q690" s="116"/>
      <c r="R690" s="116"/>
      <c r="S690" s="116"/>
      <c r="T690" s="116"/>
      <c r="U690" s="116"/>
      <c r="V690" s="116"/>
      <c r="W690" s="116"/>
      <c r="X690" s="278"/>
      <c r="Y690" s="142"/>
      <c r="Z690" s="142"/>
      <c r="AA690" s="142"/>
      <c r="AB690" s="142"/>
      <c r="AC690" s="142"/>
      <c r="AD690" s="142"/>
      <c r="AE690" s="142"/>
      <c r="AF690" s="130"/>
      <c r="AG690" s="142"/>
      <c r="AH690" s="142"/>
      <c r="AI690" s="142"/>
      <c r="AJ690" s="130"/>
      <c r="AK690" s="130"/>
      <c r="AL690" s="130"/>
      <c r="AM690" s="130"/>
    </row>
    <row r="691" ht="15.75" customHeight="1">
      <c r="A691" s="278"/>
      <c r="B691" s="278"/>
      <c r="C691" s="278"/>
      <c r="D691" s="278"/>
      <c r="E691" s="132"/>
      <c r="F691" s="116"/>
      <c r="G691" s="116"/>
      <c r="H691" s="116"/>
      <c r="I691" s="373"/>
      <c r="J691" s="147"/>
      <c r="K691" s="116"/>
      <c r="L691" s="116"/>
      <c r="M691" s="116"/>
      <c r="N691" s="116"/>
      <c r="O691" s="116"/>
      <c r="P691" s="116"/>
      <c r="Q691" s="116"/>
      <c r="R691" s="116"/>
      <c r="S691" s="116"/>
      <c r="T691" s="116"/>
      <c r="U691" s="116"/>
      <c r="V691" s="116"/>
      <c r="W691" s="116"/>
      <c r="X691" s="278"/>
      <c r="Y691" s="142"/>
      <c r="Z691" s="142"/>
      <c r="AA691" s="142"/>
      <c r="AB691" s="142"/>
      <c r="AC691" s="142"/>
      <c r="AD691" s="142"/>
      <c r="AE691" s="142"/>
      <c r="AF691" s="130"/>
      <c r="AG691" s="142"/>
      <c r="AH691" s="142"/>
      <c r="AI691" s="142"/>
      <c r="AJ691" s="130"/>
      <c r="AK691" s="130"/>
      <c r="AL691" s="130"/>
      <c r="AM691" s="130"/>
    </row>
    <row r="692" ht="15.75" customHeight="1">
      <c r="A692" s="278"/>
      <c r="B692" s="278"/>
      <c r="C692" s="278"/>
      <c r="D692" s="278"/>
      <c r="E692" s="132"/>
      <c r="F692" s="116"/>
      <c r="G692" s="116"/>
      <c r="H692" s="116"/>
      <c r="I692" s="373"/>
      <c r="J692" s="147"/>
      <c r="K692" s="116"/>
      <c r="L692" s="116"/>
      <c r="M692" s="116"/>
      <c r="N692" s="116"/>
      <c r="O692" s="116"/>
      <c r="P692" s="116"/>
      <c r="Q692" s="116"/>
      <c r="R692" s="116"/>
      <c r="S692" s="116"/>
      <c r="T692" s="116"/>
      <c r="U692" s="116"/>
      <c r="V692" s="116"/>
      <c r="W692" s="116"/>
      <c r="X692" s="278"/>
      <c r="Y692" s="142"/>
      <c r="Z692" s="142"/>
      <c r="AA692" s="142"/>
      <c r="AB692" s="142"/>
      <c r="AC692" s="142"/>
      <c r="AD692" s="142"/>
      <c r="AE692" s="142"/>
      <c r="AF692" s="130"/>
      <c r="AG692" s="142"/>
      <c r="AH692" s="142"/>
      <c r="AI692" s="142"/>
      <c r="AJ692" s="130"/>
      <c r="AK692" s="130"/>
      <c r="AL692" s="130"/>
      <c r="AM692" s="130"/>
    </row>
    <row r="693" ht="15.75" customHeight="1">
      <c r="A693" s="278"/>
      <c r="B693" s="278"/>
      <c r="C693" s="278"/>
      <c r="D693" s="278"/>
      <c r="E693" s="132"/>
      <c r="F693" s="116"/>
      <c r="G693" s="116"/>
      <c r="H693" s="116"/>
      <c r="I693" s="373"/>
      <c r="J693" s="147"/>
      <c r="K693" s="116"/>
      <c r="L693" s="116"/>
      <c r="M693" s="116"/>
      <c r="N693" s="116"/>
      <c r="O693" s="116"/>
      <c r="P693" s="116"/>
      <c r="Q693" s="116"/>
      <c r="R693" s="116"/>
      <c r="S693" s="116"/>
      <c r="T693" s="116"/>
      <c r="U693" s="116"/>
      <c r="V693" s="116"/>
      <c r="W693" s="116"/>
      <c r="X693" s="278"/>
      <c r="Y693" s="142"/>
      <c r="Z693" s="142"/>
      <c r="AA693" s="142"/>
      <c r="AB693" s="142"/>
      <c r="AC693" s="142"/>
      <c r="AD693" s="142"/>
      <c r="AE693" s="142"/>
      <c r="AF693" s="130"/>
      <c r="AG693" s="142"/>
      <c r="AH693" s="142"/>
      <c r="AI693" s="142"/>
      <c r="AJ693" s="130"/>
      <c r="AK693" s="130"/>
      <c r="AL693" s="130"/>
      <c r="AM693" s="130"/>
    </row>
    <row r="694" ht="15.75" customHeight="1">
      <c r="A694" s="278"/>
      <c r="B694" s="278"/>
      <c r="C694" s="278"/>
      <c r="D694" s="278"/>
      <c r="E694" s="132"/>
      <c r="F694" s="116"/>
      <c r="G694" s="116"/>
      <c r="H694" s="116"/>
      <c r="I694" s="373"/>
      <c r="J694" s="147"/>
      <c r="K694" s="116"/>
      <c r="L694" s="116"/>
      <c r="M694" s="116"/>
      <c r="N694" s="116"/>
      <c r="O694" s="116"/>
      <c r="P694" s="116"/>
      <c r="Q694" s="116"/>
      <c r="R694" s="116"/>
      <c r="S694" s="116"/>
      <c r="T694" s="116"/>
      <c r="U694" s="116"/>
      <c r="V694" s="116"/>
      <c r="W694" s="116"/>
      <c r="X694" s="278"/>
      <c r="Y694" s="142"/>
      <c r="Z694" s="142"/>
      <c r="AA694" s="142"/>
      <c r="AB694" s="142"/>
      <c r="AC694" s="142"/>
      <c r="AD694" s="142"/>
      <c r="AE694" s="142"/>
      <c r="AF694" s="130"/>
      <c r="AG694" s="142"/>
      <c r="AH694" s="142"/>
      <c r="AI694" s="142"/>
      <c r="AJ694" s="130"/>
      <c r="AK694" s="130"/>
      <c r="AL694" s="130"/>
      <c r="AM694" s="130"/>
    </row>
    <row r="695" ht="15.75" customHeight="1">
      <c r="A695" s="278"/>
      <c r="B695" s="278"/>
      <c r="C695" s="278"/>
      <c r="D695" s="278"/>
      <c r="E695" s="132"/>
      <c r="F695" s="116"/>
      <c r="G695" s="116"/>
      <c r="H695" s="116"/>
      <c r="I695" s="373"/>
      <c r="J695" s="147"/>
      <c r="K695" s="116"/>
      <c r="L695" s="116"/>
      <c r="M695" s="116"/>
      <c r="N695" s="116"/>
      <c r="O695" s="116"/>
      <c r="P695" s="116"/>
      <c r="Q695" s="116"/>
      <c r="R695" s="116"/>
      <c r="S695" s="116"/>
      <c r="T695" s="116"/>
      <c r="U695" s="116"/>
      <c r="V695" s="116"/>
      <c r="W695" s="116"/>
      <c r="X695" s="278"/>
      <c r="Y695" s="142"/>
      <c r="Z695" s="142"/>
      <c r="AA695" s="142"/>
      <c r="AB695" s="142"/>
      <c r="AC695" s="142"/>
      <c r="AD695" s="142"/>
      <c r="AE695" s="142"/>
      <c r="AF695" s="130"/>
      <c r="AG695" s="142"/>
      <c r="AH695" s="142"/>
      <c r="AI695" s="142"/>
      <c r="AJ695" s="130"/>
      <c r="AK695" s="130"/>
      <c r="AL695" s="130"/>
      <c r="AM695" s="130"/>
    </row>
    <row r="696" ht="15.75" customHeight="1">
      <c r="A696" s="278"/>
      <c r="B696" s="278"/>
      <c r="C696" s="278"/>
      <c r="D696" s="278"/>
      <c r="E696" s="132"/>
      <c r="F696" s="116"/>
      <c r="G696" s="116"/>
      <c r="H696" s="116"/>
      <c r="I696" s="373"/>
      <c r="J696" s="147"/>
      <c r="K696" s="116"/>
      <c r="L696" s="116"/>
      <c r="M696" s="116"/>
      <c r="N696" s="116"/>
      <c r="O696" s="116"/>
      <c r="P696" s="116"/>
      <c r="Q696" s="116"/>
      <c r="R696" s="116"/>
      <c r="S696" s="116"/>
      <c r="T696" s="116"/>
      <c r="U696" s="116"/>
      <c r="V696" s="116"/>
      <c r="W696" s="116"/>
      <c r="X696" s="278"/>
      <c r="Y696" s="142"/>
      <c r="Z696" s="142"/>
      <c r="AA696" s="142"/>
      <c r="AB696" s="142"/>
      <c r="AC696" s="142"/>
      <c r="AD696" s="142"/>
      <c r="AE696" s="142"/>
      <c r="AF696" s="130"/>
      <c r="AG696" s="142"/>
      <c r="AH696" s="142"/>
      <c r="AI696" s="142"/>
      <c r="AJ696" s="130"/>
      <c r="AK696" s="130"/>
      <c r="AL696" s="130"/>
      <c r="AM696" s="130"/>
    </row>
    <row r="697" ht="15.75" customHeight="1">
      <c r="A697" s="278"/>
      <c r="B697" s="278"/>
      <c r="C697" s="278"/>
      <c r="D697" s="278"/>
      <c r="E697" s="132"/>
      <c r="F697" s="116"/>
      <c r="G697" s="116"/>
      <c r="H697" s="116"/>
      <c r="I697" s="373"/>
      <c r="J697" s="147"/>
      <c r="K697" s="116"/>
      <c r="L697" s="116"/>
      <c r="M697" s="116"/>
      <c r="N697" s="116"/>
      <c r="O697" s="116"/>
      <c r="P697" s="116"/>
      <c r="Q697" s="116"/>
      <c r="R697" s="116"/>
      <c r="S697" s="116"/>
      <c r="T697" s="116"/>
      <c r="U697" s="116"/>
      <c r="V697" s="116"/>
      <c r="W697" s="116"/>
      <c r="X697" s="278"/>
      <c r="Y697" s="142"/>
      <c r="Z697" s="142"/>
      <c r="AA697" s="142"/>
      <c r="AB697" s="142"/>
      <c r="AC697" s="142"/>
      <c r="AD697" s="142"/>
      <c r="AE697" s="142"/>
      <c r="AF697" s="130"/>
      <c r="AG697" s="142"/>
      <c r="AH697" s="142"/>
      <c r="AI697" s="142"/>
      <c r="AJ697" s="130"/>
      <c r="AK697" s="130"/>
      <c r="AL697" s="130"/>
      <c r="AM697" s="130"/>
    </row>
    <row r="698" ht="15.75" customHeight="1">
      <c r="A698" s="278"/>
      <c r="B698" s="278"/>
      <c r="C698" s="278"/>
      <c r="D698" s="278"/>
      <c r="E698" s="132"/>
      <c r="F698" s="116"/>
      <c r="G698" s="116"/>
      <c r="H698" s="116"/>
      <c r="I698" s="373"/>
      <c r="J698" s="147"/>
      <c r="K698" s="116"/>
      <c r="L698" s="116"/>
      <c r="M698" s="116"/>
      <c r="N698" s="116"/>
      <c r="O698" s="116"/>
      <c r="P698" s="116"/>
      <c r="Q698" s="116"/>
      <c r="R698" s="116"/>
      <c r="S698" s="116"/>
      <c r="T698" s="116"/>
      <c r="U698" s="116"/>
      <c r="V698" s="116"/>
      <c r="W698" s="116"/>
      <c r="X698" s="278"/>
      <c r="Y698" s="142"/>
      <c r="Z698" s="142"/>
      <c r="AA698" s="142"/>
      <c r="AB698" s="142"/>
      <c r="AC698" s="142"/>
      <c r="AD698" s="142"/>
      <c r="AE698" s="142"/>
      <c r="AF698" s="130"/>
      <c r="AG698" s="142"/>
      <c r="AH698" s="142"/>
      <c r="AI698" s="142"/>
      <c r="AJ698" s="130"/>
      <c r="AK698" s="130"/>
      <c r="AL698" s="130"/>
      <c r="AM698" s="130"/>
    </row>
    <row r="699" ht="15.75" customHeight="1">
      <c r="A699" s="278"/>
      <c r="B699" s="278"/>
      <c r="C699" s="278"/>
      <c r="D699" s="278"/>
      <c r="E699" s="132"/>
      <c r="F699" s="116"/>
      <c r="G699" s="116"/>
      <c r="H699" s="116"/>
      <c r="I699" s="373"/>
      <c r="J699" s="147"/>
      <c r="K699" s="116"/>
      <c r="L699" s="116"/>
      <c r="M699" s="116"/>
      <c r="N699" s="116"/>
      <c r="O699" s="116"/>
      <c r="P699" s="116"/>
      <c r="Q699" s="116"/>
      <c r="R699" s="116"/>
      <c r="S699" s="116"/>
      <c r="T699" s="116"/>
      <c r="U699" s="116"/>
      <c r="V699" s="116"/>
      <c r="W699" s="116"/>
      <c r="X699" s="278"/>
      <c r="Y699" s="142"/>
      <c r="Z699" s="142"/>
      <c r="AA699" s="142"/>
      <c r="AB699" s="142"/>
      <c r="AC699" s="142"/>
      <c r="AD699" s="142"/>
      <c r="AE699" s="142"/>
      <c r="AF699" s="130"/>
      <c r="AG699" s="142"/>
      <c r="AH699" s="142"/>
      <c r="AI699" s="142"/>
      <c r="AJ699" s="130"/>
      <c r="AK699" s="130"/>
      <c r="AL699" s="130"/>
      <c r="AM699" s="130"/>
    </row>
    <row r="700" ht="15.75" customHeight="1">
      <c r="A700" s="278"/>
      <c r="B700" s="278"/>
      <c r="C700" s="278"/>
      <c r="D700" s="278"/>
      <c r="E700" s="132"/>
      <c r="F700" s="116"/>
      <c r="G700" s="116"/>
      <c r="H700" s="116"/>
      <c r="I700" s="373"/>
      <c r="J700" s="147"/>
      <c r="K700" s="116"/>
      <c r="L700" s="116"/>
      <c r="M700" s="116"/>
      <c r="N700" s="116"/>
      <c r="O700" s="116"/>
      <c r="P700" s="116"/>
      <c r="Q700" s="116"/>
      <c r="R700" s="116"/>
      <c r="S700" s="116"/>
      <c r="T700" s="116"/>
      <c r="U700" s="116"/>
      <c r="V700" s="116"/>
      <c r="W700" s="116"/>
      <c r="X700" s="278"/>
      <c r="Y700" s="142"/>
      <c r="Z700" s="142"/>
      <c r="AA700" s="142"/>
      <c r="AB700" s="142"/>
      <c r="AC700" s="142"/>
      <c r="AD700" s="142"/>
      <c r="AE700" s="142"/>
      <c r="AF700" s="130"/>
      <c r="AG700" s="142"/>
      <c r="AH700" s="142"/>
      <c r="AI700" s="142"/>
      <c r="AJ700" s="130"/>
      <c r="AK700" s="130"/>
      <c r="AL700" s="130"/>
      <c r="AM700" s="130"/>
    </row>
    <row r="701" ht="15.75" customHeight="1">
      <c r="A701" s="278"/>
      <c r="B701" s="278"/>
      <c r="C701" s="278"/>
      <c r="D701" s="278"/>
      <c r="E701" s="132"/>
      <c r="F701" s="116"/>
      <c r="G701" s="116"/>
      <c r="H701" s="116"/>
      <c r="I701" s="373"/>
      <c r="J701" s="147"/>
      <c r="K701" s="116"/>
      <c r="L701" s="116"/>
      <c r="M701" s="116"/>
      <c r="N701" s="116"/>
      <c r="O701" s="116"/>
      <c r="P701" s="116"/>
      <c r="Q701" s="116"/>
      <c r="R701" s="116"/>
      <c r="S701" s="116"/>
      <c r="T701" s="116"/>
      <c r="U701" s="116"/>
      <c r="V701" s="116"/>
      <c r="W701" s="116"/>
      <c r="X701" s="278"/>
      <c r="Y701" s="142"/>
      <c r="Z701" s="142"/>
      <c r="AA701" s="142"/>
      <c r="AB701" s="142"/>
      <c r="AC701" s="142"/>
      <c r="AD701" s="142"/>
      <c r="AE701" s="142"/>
      <c r="AF701" s="130"/>
      <c r="AG701" s="142"/>
      <c r="AH701" s="142"/>
      <c r="AI701" s="142"/>
      <c r="AJ701" s="130"/>
      <c r="AK701" s="130"/>
      <c r="AL701" s="130"/>
      <c r="AM701" s="130"/>
    </row>
    <row r="702" ht="15.75" customHeight="1">
      <c r="A702" s="278"/>
      <c r="B702" s="278"/>
      <c r="C702" s="278"/>
      <c r="D702" s="278"/>
      <c r="E702" s="132"/>
      <c r="F702" s="116"/>
      <c r="G702" s="116"/>
      <c r="H702" s="116"/>
      <c r="I702" s="373"/>
      <c r="J702" s="147"/>
      <c r="K702" s="116"/>
      <c r="L702" s="116"/>
      <c r="M702" s="116"/>
      <c r="N702" s="116"/>
      <c r="O702" s="116"/>
      <c r="P702" s="116"/>
      <c r="Q702" s="116"/>
      <c r="R702" s="116"/>
      <c r="S702" s="116"/>
      <c r="T702" s="116"/>
      <c r="U702" s="116"/>
      <c r="V702" s="116"/>
      <c r="W702" s="116"/>
      <c r="X702" s="278"/>
      <c r="Y702" s="142"/>
      <c r="Z702" s="142"/>
      <c r="AA702" s="142"/>
      <c r="AB702" s="142"/>
      <c r="AC702" s="142"/>
      <c r="AD702" s="142"/>
      <c r="AE702" s="142"/>
      <c r="AF702" s="130"/>
      <c r="AG702" s="142"/>
      <c r="AH702" s="142"/>
      <c r="AI702" s="142"/>
      <c r="AJ702" s="130"/>
      <c r="AK702" s="130"/>
      <c r="AL702" s="130"/>
      <c r="AM702" s="130"/>
    </row>
    <row r="703" ht="15.75" customHeight="1">
      <c r="A703" s="278"/>
      <c r="B703" s="278"/>
      <c r="C703" s="278"/>
      <c r="D703" s="278"/>
      <c r="E703" s="132"/>
      <c r="F703" s="116"/>
      <c r="G703" s="116"/>
      <c r="H703" s="116"/>
      <c r="I703" s="373"/>
      <c r="J703" s="147"/>
      <c r="K703" s="116"/>
      <c r="L703" s="116"/>
      <c r="M703" s="116"/>
      <c r="N703" s="116"/>
      <c r="O703" s="116"/>
      <c r="P703" s="116"/>
      <c r="Q703" s="116"/>
      <c r="R703" s="116"/>
      <c r="S703" s="116"/>
      <c r="T703" s="116"/>
      <c r="U703" s="116"/>
      <c r="V703" s="116"/>
      <c r="W703" s="116"/>
      <c r="X703" s="278"/>
      <c r="Y703" s="142"/>
      <c r="Z703" s="142"/>
      <c r="AA703" s="142"/>
      <c r="AB703" s="142"/>
      <c r="AC703" s="142"/>
      <c r="AD703" s="142"/>
      <c r="AE703" s="142"/>
      <c r="AF703" s="130"/>
      <c r="AG703" s="142"/>
      <c r="AH703" s="142"/>
      <c r="AI703" s="142"/>
      <c r="AJ703" s="130"/>
      <c r="AK703" s="130"/>
      <c r="AL703" s="130"/>
      <c r="AM703" s="130"/>
    </row>
    <row r="704" ht="15.75" customHeight="1">
      <c r="A704" s="278"/>
      <c r="B704" s="278"/>
      <c r="C704" s="278"/>
      <c r="D704" s="278"/>
      <c r="E704" s="132"/>
      <c r="F704" s="116"/>
      <c r="G704" s="116"/>
      <c r="H704" s="116"/>
      <c r="I704" s="373"/>
      <c r="J704" s="147"/>
      <c r="K704" s="116"/>
      <c r="L704" s="116"/>
      <c r="M704" s="116"/>
      <c r="N704" s="116"/>
      <c r="O704" s="116"/>
      <c r="P704" s="116"/>
      <c r="Q704" s="116"/>
      <c r="R704" s="116"/>
      <c r="S704" s="116"/>
      <c r="T704" s="116"/>
      <c r="U704" s="116"/>
      <c r="V704" s="116"/>
      <c r="W704" s="116"/>
      <c r="X704" s="278"/>
      <c r="Y704" s="142"/>
      <c r="Z704" s="142"/>
      <c r="AA704" s="142"/>
      <c r="AB704" s="142"/>
      <c r="AC704" s="142"/>
      <c r="AD704" s="142"/>
      <c r="AE704" s="142"/>
      <c r="AF704" s="130"/>
      <c r="AG704" s="142"/>
      <c r="AH704" s="142"/>
      <c r="AI704" s="142"/>
      <c r="AJ704" s="130"/>
      <c r="AK704" s="130"/>
      <c r="AL704" s="130"/>
      <c r="AM704" s="130"/>
    </row>
    <row r="705" ht="15.75" customHeight="1">
      <c r="A705" s="278"/>
      <c r="B705" s="278"/>
      <c r="C705" s="278"/>
      <c r="D705" s="278"/>
      <c r="E705" s="132"/>
      <c r="F705" s="116"/>
      <c r="G705" s="116"/>
      <c r="H705" s="116"/>
      <c r="I705" s="373"/>
      <c r="J705" s="147"/>
      <c r="K705" s="116"/>
      <c r="L705" s="116"/>
      <c r="M705" s="116"/>
      <c r="N705" s="116"/>
      <c r="O705" s="116"/>
      <c r="P705" s="116"/>
      <c r="Q705" s="116"/>
      <c r="R705" s="116"/>
      <c r="S705" s="116"/>
      <c r="T705" s="116"/>
      <c r="U705" s="116"/>
      <c r="V705" s="116"/>
      <c r="W705" s="116"/>
      <c r="X705" s="278"/>
      <c r="Y705" s="142"/>
      <c r="Z705" s="142"/>
      <c r="AA705" s="142"/>
      <c r="AB705" s="142"/>
      <c r="AC705" s="142"/>
      <c r="AD705" s="142"/>
      <c r="AE705" s="142"/>
      <c r="AF705" s="130"/>
      <c r="AG705" s="142"/>
      <c r="AH705" s="142"/>
      <c r="AI705" s="142"/>
      <c r="AJ705" s="130"/>
      <c r="AK705" s="130"/>
      <c r="AL705" s="130"/>
      <c r="AM705" s="130"/>
    </row>
    <row r="706" ht="15.75" customHeight="1">
      <c r="A706" s="278"/>
      <c r="B706" s="278"/>
      <c r="C706" s="278"/>
      <c r="D706" s="278"/>
      <c r="E706" s="132"/>
      <c r="F706" s="116"/>
      <c r="G706" s="116"/>
      <c r="H706" s="116"/>
      <c r="I706" s="373"/>
      <c r="J706" s="147"/>
      <c r="K706" s="116"/>
      <c r="L706" s="116"/>
      <c r="M706" s="116"/>
      <c r="N706" s="116"/>
      <c r="O706" s="116"/>
      <c r="P706" s="116"/>
      <c r="Q706" s="116"/>
      <c r="R706" s="116"/>
      <c r="S706" s="116"/>
      <c r="T706" s="116"/>
      <c r="U706" s="116"/>
      <c r="V706" s="116"/>
      <c r="W706" s="116"/>
      <c r="X706" s="278"/>
      <c r="Y706" s="142"/>
      <c r="Z706" s="142"/>
      <c r="AA706" s="142"/>
      <c r="AB706" s="142"/>
      <c r="AC706" s="142"/>
      <c r="AD706" s="142"/>
      <c r="AE706" s="142"/>
      <c r="AF706" s="130"/>
      <c r="AG706" s="142"/>
      <c r="AH706" s="142"/>
      <c r="AI706" s="142"/>
      <c r="AJ706" s="130"/>
      <c r="AK706" s="130"/>
      <c r="AL706" s="130"/>
      <c r="AM706" s="130"/>
    </row>
    <row r="707" ht="15.75" customHeight="1">
      <c r="A707" s="278"/>
      <c r="B707" s="278"/>
      <c r="C707" s="278"/>
      <c r="D707" s="278"/>
      <c r="E707" s="132"/>
      <c r="F707" s="116"/>
      <c r="G707" s="116"/>
      <c r="H707" s="116"/>
      <c r="I707" s="373"/>
      <c r="J707" s="147"/>
      <c r="K707" s="116"/>
      <c r="L707" s="116"/>
      <c r="M707" s="116"/>
      <c r="N707" s="116"/>
      <c r="O707" s="116"/>
      <c r="P707" s="116"/>
      <c r="Q707" s="116"/>
      <c r="R707" s="116"/>
      <c r="S707" s="116"/>
      <c r="T707" s="116"/>
      <c r="U707" s="116"/>
      <c r="V707" s="116"/>
      <c r="W707" s="116"/>
      <c r="X707" s="278"/>
      <c r="Y707" s="142"/>
      <c r="Z707" s="142"/>
      <c r="AA707" s="142"/>
      <c r="AB707" s="142"/>
      <c r="AC707" s="142"/>
      <c r="AD707" s="142"/>
      <c r="AE707" s="142"/>
      <c r="AF707" s="130"/>
      <c r="AG707" s="142"/>
      <c r="AH707" s="142"/>
      <c r="AI707" s="142"/>
      <c r="AJ707" s="130"/>
      <c r="AK707" s="130"/>
      <c r="AL707" s="130"/>
      <c r="AM707" s="130"/>
    </row>
    <row r="708" ht="15.75" customHeight="1">
      <c r="A708" s="278"/>
      <c r="B708" s="278"/>
      <c r="C708" s="278"/>
      <c r="D708" s="278"/>
      <c r="E708" s="132"/>
      <c r="F708" s="116"/>
      <c r="G708" s="116"/>
      <c r="H708" s="116"/>
      <c r="I708" s="373"/>
      <c r="J708" s="147"/>
      <c r="K708" s="116"/>
      <c r="L708" s="116"/>
      <c r="M708" s="116"/>
      <c r="N708" s="116"/>
      <c r="O708" s="116"/>
      <c r="P708" s="116"/>
      <c r="Q708" s="116"/>
      <c r="R708" s="116"/>
      <c r="S708" s="116"/>
      <c r="T708" s="116"/>
      <c r="U708" s="116"/>
      <c r="V708" s="116"/>
      <c r="W708" s="116"/>
      <c r="X708" s="278"/>
      <c r="Y708" s="142"/>
      <c r="Z708" s="142"/>
      <c r="AA708" s="142"/>
      <c r="AB708" s="142"/>
      <c r="AC708" s="142"/>
      <c r="AD708" s="142"/>
      <c r="AE708" s="142"/>
      <c r="AF708" s="130"/>
      <c r="AG708" s="142"/>
      <c r="AH708" s="142"/>
      <c r="AI708" s="142"/>
      <c r="AJ708" s="130"/>
      <c r="AK708" s="130"/>
      <c r="AL708" s="130"/>
      <c r="AM708" s="130"/>
    </row>
    <row r="709" ht="15.75" customHeight="1">
      <c r="A709" s="278"/>
      <c r="B709" s="278"/>
      <c r="C709" s="278"/>
      <c r="D709" s="278"/>
      <c r="E709" s="132"/>
      <c r="F709" s="116"/>
      <c r="G709" s="116"/>
      <c r="H709" s="116"/>
      <c r="I709" s="373"/>
      <c r="J709" s="147"/>
      <c r="K709" s="116"/>
      <c r="L709" s="116"/>
      <c r="M709" s="116"/>
      <c r="N709" s="116"/>
      <c r="O709" s="116"/>
      <c r="P709" s="116"/>
      <c r="Q709" s="116"/>
      <c r="R709" s="116"/>
      <c r="S709" s="116"/>
      <c r="T709" s="116"/>
      <c r="U709" s="116"/>
      <c r="V709" s="116"/>
      <c r="W709" s="116"/>
      <c r="X709" s="278"/>
      <c r="Y709" s="142"/>
      <c r="Z709" s="142"/>
      <c r="AA709" s="142"/>
      <c r="AB709" s="142"/>
      <c r="AC709" s="142"/>
      <c r="AD709" s="142"/>
      <c r="AE709" s="142"/>
      <c r="AF709" s="130"/>
      <c r="AG709" s="142"/>
      <c r="AH709" s="142"/>
      <c r="AI709" s="142"/>
      <c r="AJ709" s="130"/>
      <c r="AK709" s="130"/>
      <c r="AL709" s="130"/>
      <c r="AM709" s="130"/>
    </row>
    <row r="710" ht="15.75" customHeight="1">
      <c r="A710" s="278"/>
      <c r="B710" s="278"/>
      <c r="C710" s="278"/>
      <c r="D710" s="278"/>
      <c r="E710" s="132"/>
      <c r="F710" s="116"/>
      <c r="G710" s="116"/>
      <c r="H710" s="116"/>
      <c r="I710" s="373"/>
      <c r="J710" s="147"/>
      <c r="K710" s="116"/>
      <c r="L710" s="116"/>
      <c r="M710" s="116"/>
      <c r="N710" s="116"/>
      <c r="O710" s="116"/>
      <c r="P710" s="116"/>
      <c r="Q710" s="116"/>
      <c r="R710" s="116"/>
      <c r="S710" s="116"/>
      <c r="T710" s="116"/>
      <c r="U710" s="116"/>
      <c r="V710" s="116"/>
      <c r="W710" s="116"/>
      <c r="X710" s="278"/>
      <c r="Y710" s="142"/>
      <c r="Z710" s="142"/>
      <c r="AA710" s="142"/>
      <c r="AB710" s="142"/>
      <c r="AC710" s="142"/>
      <c r="AD710" s="142"/>
      <c r="AE710" s="142"/>
      <c r="AF710" s="130"/>
      <c r="AG710" s="142"/>
      <c r="AH710" s="142"/>
      <c r="AI710" s="142"/>
      <c r="AJ710" s="130"/>
      <c r="AK710" s="130"/>
      <c r="AL710" s="130"/>
      <c r="AM710" s="130"/>
    </row>
    <row r="711" ht="15.75" customHeight="1">
      <c r="A711" s="278"/>
      <c r="B711" s="278"/>
      <c r="C711" s="278"/>
      <c r="D711" s="278"/>
      <c r="E711" s="132"/>
      <c r="F711" s="116"/>
      <c r="G711" s="116"/>
      <c r="H711" s="116"/>
      <c r="I711" s="373"/>
      <c r="J711" s="147"/>
      <c r="K711" s="116"/>
      <c r="L711" s="116"/>
      <c r="M711" s="116"/>
      <c r="N711" s="116"/>
      <c r="O711" s="116"/>
      <c r="P711" s="116"/>
      <c r="Q711" s="116"/>
      <c r="R711" s="116"/>
      <c r="S711" s="116"/>
      <c r="T711" s="116"/>
      <c r="U711" s="116"/>
      <c r="V711" s="116"/>
      <c r="W711" s="116"/>
      <c r="X711" s="278"/>
      <c r="Y711" s="142"/>
      <c r="Z711" s="142"/>
      <c r="AA711" s="142"/>
      <c r="AB711" s="142"/>
      <c r="AC711" s="142"/>
      <c r="AD711" s="142"/>
      <c r="AE711" s="142"/>
      <c r="AF711" s="130"/>
      <c r="AG711" s="142"/>
      <c r="AH711" s="142"/>
      <c r="AI711" s="142"/>
      <c r="AJ711" s="130"/>
      <c r="AK711" s="130"/>
      <c r="AL711" s="130"/>
      <c r="AM711" s="130"/>
    </row>
    <row r="712" ht="15.75" customHeight="1">
      <c r="A712" s="278"/>
      <c r="B712" s="278"/>
      <c r="C712" s="278"/>
      <c r="D712" s="278"/>
      <c r="E712" s="132"/>
      <c r="F712" s="116"/>
      <c r="G712" s="116"/>
      <c r="H712" s="116"/>
      <c r="I712" s="373"/>
      <c r="J712" s="147"/>
      <c r="K712" s="116"/>
      <c r="L712" s="116"/>
      <c r="M712" s="116"/>
      <c r="N712" s="116"/>
      <c r="O712" s="116"/>
      <c r="P712" s="116"/>
      <c r="Q712" s="116"/>
      <c r="R712" s="116"/>
      <c r="S712" s="116"/>
      <c r="T712" s="116"/>
      <c r="U712" s="116"/>
      <c r="V712" s="116"/>
      <c r="W712" s="116"/>
      <c r="X712" s="278"/>
      <c r="Y712" s="142"/>
      <c r="Z712" s="142"/>
      <c r="AA712" s="142"/>
      <c r="AB712" s="142"/>
      <c r="AC712" s="142"/>
      <c r="AD712" s="142"/>
      <c r="AE712" s="142"/>
      <c r="AF712" s="130"/>
      <c r="AG712" s="142"/>
      <c r="AH712" s="142"/>
      <c r="AI712" s="142"/>
      <c r="AJ712" s="130"/>
      <c r="AK712" s="130"/>
      <c r="AL712" s="130"/>
      <c r="AM712" s="130"/>
    </row>
    <row r="713" ht="15.75" customHeight="1">
      <c r="A713" s="278"/>
      <c r="B713" s="278"/>
      <c r="C713" s="278"/>
      <c r="D713" s="278"/>
      <c r="E713" s="132"/>
      <c r="F713" s="116"/>
      <c r="G713" s="116"/>
      <c r="H713" s="116"/>
      <c r="I713" s="373"/>
      <c r="J713" s="147"/>
      <c r="K713" s="116"/>
      <c r="L713" s="116"/>
      <c r="M713" s="116"/>
      <c r="N713" s="116"/>
      <c r="O713" s="116"/>
      <c r="P713" s="116"/>
      <c r="Q713" s="116"/>
      <c r="R713" s="116"/>
      <c r="S713" s="116"/>
      <c r="T713" s="116"/>
      <c r="U713" s="116"/>
      <c r="V713" s="116"/>
      <c r="W713" s="116"/>
      <c r="X713" s="278"/>
      <c r="Y713" s="142"/>
      <c r="Z713" s="142"/>
      <c r="AA713" s="142"/>
      <c r="AB713" s="142"/>
      <c r="AC713" s="142"/>
      <c r="AD713" s="142"/>
      <c r="AE713" s="142"/>
      <c r="AF713" s="130"/>
      <c r="AG713" s="142"/>
      <c r="AH713" s="142"/>
      <c r="AI713" s="142"/>
      <c r="AJ713" s="130"/>
      <c r="AK713" s="130"/>
      <c r="AL713" s="130"/>
      <c r="AM713" s="130"/>
    </row>
    <row r="714" ht="15.75" customHeight="1">
      <c r="A714" s="278"/>
      <c r="B714" s="278"/>
      <c r="C714" s="278"/>
      <c r="D714" s="278"/>
      <c r="E714" s="132"/>
      <c r="F714" s="116"/>
      <c r="G714" s="116"/>
      <c r="H714" s="116"/>
      <c r="I714" s="373"/>
      <c r="J714" s="147"/>
      <c r="K714" s="116"/>
      <c r="L714" s="116"/>
      <c r="M714" s="116"/>
      <c r="N714" s="116"/>
      <c r="O714" s="116"/>
      <c r="P714" s="116"/>
      <c r="Q714" s="116"/>
      <c r="R714" s="116"/>
      <c r="S714" s="116"/>
      <c r="T714" s="116"/>
      <c r="U714" s="116"/>
      <c r="V714" s="116"/>
      <c r="W714" s="116"/>
      <c r="X714" s="278"/>
      <c r="Y714" s="142"/>
      <c r="Z714" s="142"/>
      <c r="AA714" s="142"/>
      <c r="AB714" s="142"/>
      <c r="AC714" s="142"/>
      <c r="AD714" s="142"/>
      <c r="AE714" s="142"/>
      <c r="AF714" s="130"/>
      <c r="AG714" s="142"/>
      <c r="AH714" s="142"/>
      <c r="AI714" s="142"/>
      <c r="AJ714" s="130"/>
      <c r="AK714" s="130"/>
      <c r="AL714" s="130"/>
      <c r="AM714" s="130"/>
    </row>
    <row r="715" ht="15.75" customHeight="1">
      <c r="A715" s="278"/>
      <c r="B715" s="278"/>
      <c r="C715" s="278"/>
      <c r="D715" s="278"/>
      <c r="E715" s="132"/>
      <c r="F715" s="116"/>
      <c r="G715" s="116"/>
      <c r="H715" s="116"/>
      <c r="I715" s="373"/>
      <c r="J715" s="147"/>
      <c r="K715" s="116"/>
      <c r="L715" s="116"/>
      <c r="M715" s="116"/>
      <c r="N715" s="116"/>
      <c r="O715" s="116"/>
      <c r="P715" s="116"/>
      <c r="Q715" s="116"/>
      <c r="R715" s="116"/>
      <c r="S715" s="116"/>
      <c r="T715" s="116"/>
      <c r="U715" s="116"/>
      <c r="V715" s="116"/>
      <c r="W715" s="116"/>
      <c r="X715" s="278"/>
      <c r="Y715" s="142"/>
      <c r="Z715" s="142"/>
      <c r="AA715" s="142"/>
      <c r="AB715" s="142"/>
      <c r="AC715" s="142"/>
      <c r="AD715" s="142"/>
      <c r="AE715" s="142"/>
      <c r="AF715" s="130"/>
      <c r="AG715" s="142"/>
      <c r="AH715" s="142"/>
      <c r="AI715" s="142"/>
      <c r="AJ715" s="130"/>
      <c r="AK715" s="130"/>
      <c r="AL715" s="130"/>
      <c r="AM715" s="130"/>
    </row>
    <row r="716" ht="15.75" customHeight="1">
      <c r="A716" s="278"/>
      <c r="B716" s="278"/>
      <c r="C716" s="278"/>
      <c r="D716" s="278"/>
      <c r="E716" s="132"/>
      <c r="F716" s="116"/>
      <c r="G716" s="116"/>
      <c r="H716" s="116"/>
      <c r="I716" s="373"/>
      <c r="J716" s="147"/>
      <c r="K716" s="116"/>
      <c r="L716" s="116"/>
      <c r="M716" s="116"/>
      <c r="N716" s="116"/>
      <c r="O716" s="116"/>
      <c r="P716" s="116"/>
      <c r="Q716" s="116"/>
      <c r="R716" s="116"/>
      <c r="S716" s="116"/>
      <c r="T716" s="116"/>
      <c r="U716" s="116"/>
      <c r="V716" s="116"/>
      <c r="W716" s="116"/>
      <c r="X716" s="278"/>
      <c r="Y716" s="142"/>
      <c r="Z716" s="142"/>
      <c r="AA716" s="142"/>
      <c r="AB716" s="142"/>
      <c r="AC716" s="142"/>
      <c r="AD716" s="142"/>
      <c r="AE716" s="142"/>
      <c r="AF716" s="130"/>
      <c r="AG716" s="142"/>
      <c r="AH716" s="142"/>
      <c r="AI716" s="142"/>
      <c r="AJ716" s="130"/>
      <c r="AK716" s="130"/>
      <c r="AL716" s="130"/>
      <c r="AM716" s="130"/>
    </row>
    <row r="717" ht="15.75" customHeight="1">
      <c r="A717" s="278"/>
      <c r="B717" s="278"/>
      <c r="C717" s="278"/>
      <c r="D717" s="278"/>
      <c r="E717" s="132"/>
      <c r="F717" s="116"/>
      <c r="G717" s="116"/>
      <c r="H717" s="116"/>
      <c r="I717" s="373"/>
      <c r="J717" s="147"/>
      <c r="K717" s="116"/>
      <c r="L717" s="116"/>
      <c r="M717" s="116"/>
      <c r="N717" s="116"/>
      <c r="O717" s="116"/>
      <c r="P717" s="116"/>
      <c r="Q717" s="116"/>
      <c r="R717" s="116"/>
      <c r="S717" s="116"/>
      <c r="T717" s="116"/>
      <c r="U717" s="116"/>
      <c r="V717" s="116"/>
      <c r="W717" s="116"/>
      <c r="X717" s="278"/>
      <c r="Y717" s="142"/>
      <c r="Z717" s="142"/>
      <c r="AA717" s="142"/>
      <c r="AB717" s="142"/>
      <c r="AC717" s="142"/>
      <c r="AD717" s="142"/>
      <c r="AE717" s="142"/>
      <c r="AF717" s="130"/>
      <c r="AG717" s="142"/>
      <c r="AH717" s="142"/>
      <c r="AI717" s="142"/>
      <c r="AJ717" s="130"/>
      <c r="AK717" s="130"/>
      <c r="AL717" s="130"/>
      <c r="AM717" s="130"/>
    </row>
    <row r="718" ht="15.75" customHeight="1">
      <c r="A718" s="278"/>
      <c r="B718" s="278"/>
      <c r="C718" s="278"/>
      <c r="D718" s="278"/>
      <c r="E718" s="132"/>
      <c r="F718" s="116"/>
      <c r="G718" s="116"/>
      <c r="H718" s="116"/>
      <c r="I718" s="373"/>
      <c r="J718" s="147"/>
      <c r="K718" s="116"/>
      <c r="L718" s="116"/>
      <c r="M718" s="116"/>
      <c r="N718" s="116"/>
      <c r="O718" s="116"/>
      <c r="P718" s="116"/>
      <c r="Q718" s="116"/>
      <c r="R718" s="116"/>
      <c r="S718" s="116"/>
      <c r="T718" s="116"/>
      <c r="U718" s="116"/>
      <c r="V718" s="116"/>
      <c r="W718" s="116"/>
      <c r="X718" s="278"/>
      <c r="Y718" s="142"/>
      <c r="Z718" s="142"/>
      <c r="AA718" s="142"/>
      <c r="AB718" s="142"/>
      <c r="AC718" s="142"/>
      <c r="AD718" s="142"/>
      <c r="AE718" s="142"/>
      <c r="AF718" s="130"/>
      <c r="AG718" s="142"/>
      <c r="AH718" s="142"/>
      <c r="AI718" s="142"/>
      <c r="AJ718" s="130"/>
      <c r="AK718" s="130"/>
      <c r="AL718" s="130"/>
      <c r="AM718" s="130"/>
    </row>
    <row r="719" ht="15.75" customHeight="1">
      <c r="A719" s="278"/>
      <c r="B719" s="278"/>
      <c r="C719" s="278"/>
      <c r="D719" s="278"/>
      <c r="E719" s="132"/>
      <c r="F719" s="116"/>
      <c r="G719" s="116"/>
      <c r="H719" s="116"/>
      <c r="I719" s="373"/>
      <c r="J719" s="147"/>
      <c r="K719" s="116"/>
      <c r="L719" s="116"/>
      <c r="M719" s="116"/>
      <c r="N719" s="116"/>
      <c r="O719" s="116"/>
      <c r="P719" s="116"/>
      <c r="Q719" s="116"/>
      <c r="R719" s="116"/>
      <c r="S719" s="116"/>
      <c r="T719" s="116"/>
      <c r="U719" s="116"/>
      <c r="V719" s="116"/>
      <c r="W719" s="116"/>
      <c r="X719" s="278"/>
      <c r="Y719" s="142"/>
      <c r="Z719" s="142"/>
      <c r="AA719" s="142"/>
      <c r="AB719" s="142"/>
      <c r="AC719" s="142"/>
      <c r="AD719" s="142"/>
      <c r="AE719" s="142"/>
      <c r="AF719" s="130"/>
      <c r="AG719" s="142"/>
      <c r="AH719" s="142"/>
      <c r="AI719" s="142"/>
      <c r="AJ719" s="130"/>
      <c r="AK719" s="130"/>
      <c r="AL719" s="130"/>
      <c r="AM719" s="130"/>
    </row>
    <row r="720" ht="15.75" customHeight="1">
      <c r="A720" s="278"/>
      <c r="B720" s="278"/>
      <c r="C720" s="278"/>
      <c r="D720" s="278"/>
      <c r="E720" s="132"/>
      <c r="F720" s="116"/>
      <c r="G720" s="116"/>
      <c r="H720" s="116"/>
      <c r="I720" s="373"/>
      <c r="J720" s="147"/>
      <c r="K720" s="116"/>
      <c r="L720" s="116"/>
      <c r="M720" s="116"/>
      <c r="N720" s="116"/>
      <c r="O720" s="116"/>
      <c r="P720" s="116"/>
      <c r="Q720" s="116"/>
      <c r="R720" s="116"/>
      <c r="S720" s="116"/>
      <c r="T720" s="116"/>
      <c r="U720" s="116"/>
      <c r="V720" s="116"/>
      <c r="W720" s="116"/>
      <c r="X720" s="278"/>
      <c r="Y720" s="142"/>
      <c r="Z720" s="142"/>
      <c r="AA720" s="142"/>
      <c r="AB720" s="142"/>
      <c r="AC720" s="142"/>
      <c r="AD720" s="142"/>
      <c r="AE720" s="142"/>
      <c r="AF720" s="130"/>
      <c r="AG720" s="142"/>
      <c r="AH720" s="142"/>
      <c r="AI720" s="142"/>
      <c r="AJ720" s="130"/>
      <c r="AK720" s="130"/>
      <c r="AL720" s="130"/>
      <c r="AM720" s="130"/>
    </row>
    <row r="721" ht="15.75" customHeight="1">
      <c r="A721" s="278"/>
      <c r="B721" s="278"/>
      <c r="C721" s="278"/>
      <c r="D721" s="278"/>
      <c r="E721" s="132"/>
      <c r="F721" s="116"/>
      <c r="G721" s="116"/>
      <c r="H721" s="116"/>
      <c r="I721" s="373"/>
      <c r="J721" s="147"/>
      <c r="K721" s="116"/>
      <c r="L721" s="116"/>
      <c r="M721" s="116"/>
      <c r="N721" s="116"/>
      <c r="O721" s="116"/>
      <c r="P721" s="116"/>
      <c r="Q721" s="116"/>
      <c r="R721" s="116"/>
      <c r="S721" s="116"/>
      <c r="T721" s="116"/>
      <c r="U721" s="116"/>
      <c r="V721" s="116"/>
      <c r="W721" s="116"/>
      <c r="X721" s="278"/>
      <c r="Y721" s="142"/>
      <c r="Z721" s="142"/>
      <c r="AA721" s="142"/>
      <c r="AB721" s="142"/>
      <c r="AC721" s="142"/>
      <c r="AD721" s="142"/>
      <c r="AE721" s="142"/>
      <c r="AF721" s="130"/>
      <c r="AG721" s="142"/>
      <c r="AH721" s="142"/>
      <c r="AI721" s="142"/>
      <c r="AJ721" s="130"/>
      <c r="AK721" s="130"/>
      <c r="AL721" s="130"/>
      <c r="AM721" s="130"/>
    </row>
    <row r="722" ht="15.75" customHeight="1">
      <c r="A722" s="278"/>
      <c r="B722" s="278"/>
      <c r="C722" s="278"/>
      <c r="D722" s="278"/>
      <c r="E722" s="132"/>
      <c r="F722" s="116"/>
      <c r="G722" s="116"/>
      <c r="H722" s="116"/>
      <c r="I722" s="373"/>
      <c r="J722" s="147"/>
      <c r="K722" s="116"/>
      <c r="L722" s="116"/>
      <c r="M722" s="116"/>
      <c r="N722" s="116"/>
      <c r="O722" s="116"/>
      <c r="P722" s="116"/>
      <c r="Q722" s="116"/>
      <c r="R722" s="116"/>
      <c r="S722" s="116"/>
      <c r="T722" s="116"/>
      <c r="U722" s="116"/>
      <c r="V722" s="116"/>
      <c r="W722" s="116"/>
      <c r="X722" s="278"/>
      <c r="Y722" s="142"/>
      <c r="Z722" s="142"/>
      <c r="AA722" s="142"/>
      <c r="AB722" s="142"/>
      <c r="AC722" s="142"/>
      <c r="AD722" s="142"/>
      <c r="AE722" s="142"/>
      <c r="AF722" s="130"/>
      <c r="AG722" s="142"/>
      <c r="AH722" s="142"/>
      <c r="AI722" s="142"/>
      <c r="AJ722" s="130"/>
      <c r="AK722" s="130"/>
      <c r="AL722" s="130"/>
      <c r="AM722" s="130"/>
    </row>
    <row r="723" ht="15.75" customHeight="1">
      <c r="A723" s="278"/>
      <c r="B723" s="278"/>
      <c r="C723" s="278"/>
      <c r="D723" s="278"/>
      <c r="E723" s="132"/>
      <c r="F723" s="116"/>
      <c r="G723" s="116"/>
      <c r="H723" s="116"/>
      <c r="I723" s="373"/>
      <c r="J723" s="147"/>
      <c r="K723" s="116"/>
      <c r="L723" s="116"/>
      <c r="M723" s="116"/>
      <c r="N723" s="116"/>
      <c r="O723" s="116"/>
      <c r="P723" s="116"/>
      <c r="Q723" s="116"/>
      <c r="R723" s="116"/>
      <c r="S723" s="116"/>
      <c r="T723" s="116"/>
      <c r="U723" s="116"/>
      <c r="V723" s="116"/>
      <c r="W723" s="116"/>
      <c r="X723" s="278"/>
      <c r="Y723" s="142"/>
      <c r="Z723" s="142"/>
      <c r="AA723" s="142"/>
      <c r="AB723" s="142"/>
      <c r="AC723" s="142"/>
      <c r="AD723" s="142"/>
      <c r="AE723" s="142"/>
      <c r="AF723" s="130"/>
      <c r="AG723" s="142"/>
      <c r="AH723" s="142"/>
      <c r="AI723" s="142"/>
      <c r="AJ723" s="130"/>
      <c r="AK723" s="130"/>
      <c r="AL723" s="130"/>
      <c r="AM723" s="130"/>
    </row>
    <row r="724" ht="15.75" customHeight="1">
      <c r="A724" s="278"/>
      <c r="B724" s="278"/>
      <c r="C724" s="278"/>
      <c r="D724" s="278"/>
      <c r="E724" s="132"/>
      <c r="F724" s="116"/>
      <c r="G724" s="116"/>
      <c r="H724" s="116"/>
      <c r="I724" s="373"/>
      <c r="J724" s="147"/>
      <c r="K724" s="116"/>
      <c r="L724" s="116"/>
      <c r="M724" s="116"/>
      <c r="N724" s="116"/>
      <c r="O724" s="116"/>
      <c r="P724" s="116"/>
      <c r="Q724" s="116"/>
      <c r="R724" s="116"/>
      <c r="S724" s="116"/>
      <c r="T724" s="116"/>
      <c r="U724" s="116"/>
      <c r="V724" s="116"/>
      <c r="W724" s="116"/>
      <c r="X724" s="278"/>
      <c r="Y724" s="142"/>
      <c r="Z724" s="142"/>
      <c r="AA724" s="142"/>
      <c r="AB724" s="142"/>
      <c r="AC724" s="142"/>
      <c r="AD724" s="142"/>
      <c r="AE724" s="142"/>
      <c r="AF724" s="130"/>
      <c r="AG724" s="142"/>
      <c r="AH724" s="142"/>
      <c r="AI724" s="142"/>
      <c r="AJ724" s="130"/>
      <c r="AK724" s="130"/>
      <c r="AL724" s="130"/>
      <c r="AM724" s="130"/>
    </row>
    <row r="725" ht="15.75" customHeight="1">
      <c r="A725" s="278"/>
      <c r="B725" s="278"/>
      <c r="C725" s="278"/>
      <c r="D725" s="278"/>
      <c r="E725" s="132"/>
      <c r="F725" s="116"/>
      <c r="G725" s="116"/>
      <c r="H725" s="116"/>
      <c r="I725" s="373"/>
      <c r="J725" s="147"/>
      <c r="K725" s="116"/>
      <c r="L725" s="116"/>
      <c r="M725" s="116"/>
      <c r="N725" s="116"/>
      <c r="O725" s="116"/>
      <c r="P725" s="116"/>
      <c r="Q725" s="116"/>
      <c r="R725" s="116"/>
      <c r="S725" s="116"/>
      <c r="T725" s="116"/>
      <c r="U725" s="116"/>
      <c r="V725" s="116"/>
      <c r="W725" s="116"/>
      <c r="X725" s="278"/>
      <c r="Y725" s="142"/>
      <c r="Z725" s="142"/>
      <c r="AA725" s="142"/>
      <c r="AB725" s="142"/>
      <c r="AC725" s="142"/>
      <c r="AD725" s="142"/>
      <c r="AE725" s="142"/>
      <c r="AF725" s="130"/>
      <c r="AG725" s="142"/>
      <c r="AH725" s="142"/>
      <c r="AI725" s="142"/>
      <c r="AJ725" s="130"/>
      <c r="AK725" s="130"/>
      <c r="AL725" s="130"/>
      <c r="AM725" s="130"/>
    </row>
    <row r="726" ht="15.75" customHeight="1">
      <c r="A726" s="278"/>
      <c r="B726" s="278"/>
      <c r="C726" s="278"/>
      <c r="D726" s="278"/>
      <c r="E726" s="132"/>
      <c r="F726" s="116"/>
      <c r="G726" s="116"/>
      <c r="H726" s="116"/>
      <c r="I726" s="373"/>
      <c r="J726" s="147"/>
      <c r="K726" s="116"/>
      <c r="L726" s="116"/>
      <c r="M726" s="116"/>
      <c r="N726" s="116"/>
      <c r="O726" s="116"/>
      <c r="P726" s="116"/>
      <c r="Q726" s="116"/>
      <c r="R726" s="116"/>
      <c r="S726" s="116"/>
      <c r="T726" s="116"/>
      <c r="U726" s="116"/>
      <c r="V726" s="116"/>
      <c r="W726" s="116"/>
      <c r="X726" s="278"/>
      <c r="Y726" s="142"/>
      <c r="Z726" s="142"/>
      <c r="AA726" s="142"/>
      <c r="AB726" s="142"/>
      <c r="AC726" s="142"/>
      <c r="AD726" s="142"/>
      <c r="AE726" s="142"/>
      <c r="AF726" s="130"/>
      <c r="AG726" s="142"/>
      <c r="AH726" s="142"/>
      <c r="AI726" s="142"/>
      <c r="AJ726" s="130"/>
      <c r="AK726" s="130"/>
      <c r="AL726" s="130"/>
      <c r="AM726" s="130"/>
    </row>
    <row r="727" ht="15.75" customHeight="1">
      <c r="A727" s="278"/>
      <c r="B727" s="278"/>
      <c r="C727" s="278"/>
      <c r="D727" s="278"/>
      <c r="E727" s="132"/>
      <c r="F727" s="116"/>
      <c r="G727" s="116"/>
      <c r="H727" s="116"/>
      <c r="I727" s="373"/>
      <c r="J727" s="147"/>
      <c r="K727" s="116"/>
      <c r="L727" s="116"/>
      <c r="M727" s="116"/>
      <c r="N727" s="116"/>
      <c r="O727" s="116"/>
      <c r="P727" s="116"/>
      <c r="Q727" s="116"/>
      <c r="R727" s="116"/>
      <c r="S727" s="116"/>
      <c r="T727" s="116"/>
      <c r="U727" s="116"/>
      <c r="V727" s="116"/>
      <c r="W727" s="116"/>
      <c r="X727" s="278"/>
      <c r="Y727" s="142"/>
      <c r="Z727" s="142"/>
      <c r="AA727" s="142"/>
      <c r="AB727" s="142"/>
      <c r="AC727" s="142"/>
      <c r="AD727" s="142"/>
      <c r="AE727" s="142"/>
      <c r="AF727" s="130"/>
      <c r="AG727" s="142"/>
      <c r="AH727" s="142"/>
      <c r="AI727" s="142"/>
      <c r="AJ727" s="130"/>
      <c r="AK727" s="130"/>
      <c r="AL727" s="130"/>
      <c r="AM727" s="130"/>
    </row>
    <row r="728" ht="15.75" customHeight="1">
      <c r="A728" s="278"/>
      <c r="B728" s="278"/>
      <c r="C728" s="278"/>
      <c r="D728" s="278"/>
      <c r="E728" s="132"/>
      <c r="F728" s="116"/>
      <c r="G728" s="116"/>
      <c r="H728" s="116"/>
      <c r="I728" s="373"/>
      <c r="J728" s="147"/>
      <c r="K728" s="116"/>
      <c r="L728" s="116"/>
      <c r="M728" s="116"/>
      <c r="N728" s="116"/>
      <c r="O728" s="116"/>
      <c r="P728" s="116"/>
      <c r="Q728" s="116"/>
      <c r="R728" s="116"/>
      <c r="S728" s="116"/>
      <c r="T728" s="116"/>
      <c r="U728" s="116"/>
      <c r="V728" s="116"/>
      <c r="W728" s="116"/>
      <c r="X728" s="278"/>
      <c r="Y728" s="142"/>
      <c r="Z728" s="142"/>
      <c r="AA728" s="142"/>
      <c r="AB728" s="142"/>
      <c r="AC728" s="142"/>
      <c r="AD728" s="142"/>
      <c r="AE728" s="142"/>
      <c r="AF728" s="130"/>
      <c r="AG728" s="142"/>
      <c r="AH728" s="142"/>
      <c r="AI728" s="142"/>
      <c r="AJ728" s="130"/>
      <c r="AK728" s="130"/>
      <c r="AL728" s="130"/>
      <c r="AM728" s="130"/>
    </row>
    <row r="729" ht="15.75" customHeight="1">
      <c r="A729" s="278"/>
      <c r="B729" s="278"/>
      <c r="C729" s="278"/>
      <c r="D729" s="278"/>
      <c r="E729" s="132"/>
      <c r="F729" s="116"/>
      <c r="G729" s="116"/>
      <c r="H729" s="116"/>
      <c r="I729" s="373"/>
      <c r="J729" s="147"/>
      <c r="K729" s="116"/>
      <c r="L729" s="116"/>
      <c r="M729" s="116"/>
      <c r="N729" s="116"/>
      <c r="O729" s="116"/>
      <c r="P729" s="116"/>
      <c r="Q729" s="116"/>
      <c r="R729" s="116"/>
      <c r="S729" s="116"/>
      <c r="T729" s="116"/>
      <c r="U729" s="116"/>
      <c r="V729" s="116"/>
      <c r="W729" s="116"/>
      <c r="X729" s="278"/>
      <c r="Y729" s="142"/>
      <c r="Z729" s="142"/>
      <c r="AA729" s="142"/>
      <c r="AB729" s="142"/>
      <c r="AC729" s="142"/>
      <c r="AD729" s="142"/>
      <c r="AE729" s="142"/>
      <c r="AF729" s="130"/>
      <c r="AG729" s="142"/>
      <c r="AH729" s="142"/>
      <c r="AI729" s="142"/>
      <c r="AJ729" s="130"/>
      <c r="AK729" s="130"/>
      <c r="AL729" s="130"/>
      <c r="AM729" s="130"/>
    </row>
    <row r="730" ht="15.75" customHeight="1">
      <c r="A730" s="278"/>
      <c r="B730" s="278"/>
      <c r="C730" s="278"/>
      <c r="D730" s="278"/>
      <c r="E730" s="132"/>
      <c r="F730" s="116"/>
      <c r="G730" s="116"/>
      <c r="H730" s="116"/>
      <c r="I730" s="373"/>
      <c r="J730" s="147"/>
      <c r="K730" s="116"/>
      <c r="L730" s="116"/>
      <c r="M730" s="116"/>
      <c r="N730" s="116"/>
      <c r="O730" s="116"/>
      <c r="P730" s="116"/>
      <c r="Q730" s="116"/>
      <c r="R730" s="116"/>
      <c r="S730" s="116"/>
      <c r="T730" s="116"/>
      <c r="U730" s="116"/>
      <c r="V730" s="116"/>
      <c r="W730" s="116"/>
      <c r="X730" s="278"/>
      <c r="Y730" s="142"/>
      <c r="Z730" s="142"/>
      <c r="AA730" s="142"/>
      <c r="AB730" s="142"/>
      <c r="AC730" s="142"/>
      <c r="AD730" s="142"/>
      <c r="AE730" s="142"/>
      <c r="AF730" s="130"/>
      <c r="AG730" s="142"/>
      <c r="AH730" s="142"/>
      <c r="AI730" s="142"/>
      <c r="AJ730" s="130"/>
      <c r="AK730" s="130"/>
      <c r="AL730" s="130"/>
      <c r="AM730" s="130"/>
    </row>
    <row r="731" ht="15.75" customHeight="1">
      <c r="A731" s="278"/>
      <c r="B731" s="278"/>
      <c r="C731" s="278"/>
      <c r="D731" s="278"/>
      <c r="E731" s="132"/>
      <c r="F731" s="116"/>
      <c r="G731" s="116"/>
      <c r="H731" s="116"/>
      <c r="I731" s="373"/>
      <c r="J731" s="147"/>
      <c r="K731" s="116"/>
      <c r="L731" s="116"/>
      <c r="M731" s="116"/>
      <c r="N731" s="116"/>
      <c r="O731" s="116"/>
      <c r="P731" s="116"/>
      <c r="Q731" s="116"/>
      <c r="R731" s="116"/>
      <c r="S731" s="116"/>
      <c r="T731" s="116"/>
      <c r="U731" s="116"/>
      <c r="V731" s="116"/>
      <c r="W731" s="116"/>
      <c r="X731" s="278"/>
      <c r="Y731" s="142"/>
      <c r="Z731" s="142"/>
      <c r="AA731" s="142"/>
      <c r="AB731" s="142"/>
      <c r="AC731" s="142"/>
      <c r="AD731" s="142"/>
      <c r="AE731" s="142"/>
      <c r="AF731" s="130"/>
      <c r="AG731" s="142"/>
      <c r="AH731" s="142"/>
      <c r="AI731" s="142"/>
      <c r="AJ731" s="130"/>
      <c r="AK731" s="130"/>
      <c r="AL731" s="130"/>
      <c r="AM731" s="130"/>
    </row>
    <row r="732" ht="15.75" customHeight="1">
      <c r="A732" s="278"/>
      <c r="B732" s="278"/>
      <c r="C732" s="278"/>
      <c r="D732" s="278"/>
      <c r="E732" s="132"/>
      <c r="F732" s="116"/>
      <c r="G732" s="116"/>
      <c r="H732" s="116"/>
      <c r="I732" s="373"/>
      <c r="J732" s="147"/>
      <c r="K732" s="116"/>
      <c r="L732" s="116"/>
      <c r="M732" s="116"/>
      <c r="N732" s="116"/>
      <c r="O732" s="116"/>
      <c r="P732" s="116"/>
      <c r="Q732" s="116"/>
      <c r="R732" s="116"/>
      <c r="S732" s="116"/>
      <c r="T732" s="116"/>
      <c r="U732" s="116"/>
      <c r="V732" s="116"/>
      <c r="W732" s="116"/>
      <c r="X732" s="278"/>
      <c r="Y732" s="142"/>
      <c r="Z732" s="142"/>
      <c r="AA732" s="142"/>
      <c r="AB732" s="142"/>
      <c r="AC732" s="142"/>
      <c r="AD732" s="142"/>
      <c r="AE732" s="142"/>
      <c r="AF732" s="130"/>
      <c r="AG732" s="142"/>
      <c r="AH732" s="142"/>
      <c r="AI732" s="142"/>
      <c r="AJ732" s="130"/>
      <c r="AK732" s="130"/>
      <c r="AL732" s="130"/>
      <c r="AM732" s="130"/>
    </row>
    <row r="733" ht="15.75" customHeight="1">
      <c r="A733" s="278"/>
      <c r="B733" s="278"/>
      <c r="C733" s="278"/>
      <c r="D733" s="278"/>
      <c r="E733" s="132"/>
      <c r="F733" s="116"/>
      <c r="G733" s="116"/>
      <c r="H733" s="116"/>
      <c r="I733" s="373"/>
      <c r="J733" s="147"/>
      <c r="K733" s="116"/>
      <c r="L733" s="116"/>
      <c r="M733" s="116"/>
      <c r="N733" s="116"/>
      <c r="O733" s="116"/>
      <c r="P733" s="116"/>
      <c r="Q733" s="116"/>
      <c r="R733" s="116"/>
      <c r="S733" s="116"/>
      <c r="T733" s="116"/>
      <c r="U733" s="116"/>
      <c r="V733" s="116"/>
      <c r="W733" s="116"/>
      <c r="X733" s="278"/>
      <c r="Y733" s="142"/>
      <c r="Z733" s="142"/>
      <c r="AA733" s="142"/>
      <c r="AB733" s="142"/>
      <c r="AC733" s="142"/>
      <c r="AD733" s="142"/>
      <c r="AE733" s="142"/>
      <c r="AF733" s="130"/>
      <c r="AG733" s="142"/>
      <c r="AH733" s="142"/>
      <c r="AI733" s="142"/>
      <c r="AJ733" s="130"/>
      <c r="AK733" s="130"/>
      <c r="AL733" s="130"/>
      <c r="AM733" s="130"/>
    </row>
    <row r="734" ht="15.75" customHeight="1">
      <c r="A734" s="278"/>
      <c r="B734" s="278"/>
      <c r="C734" s="278"/>
      <c r="D734" s="278"/>
      <c r="E734" s="132"/>
      <c r="F734" s="116"/>
      <c r="G734" s="116"/>
      <c r="H734" s="116"/>
      <c r="I734" s="373"/>
      <c r="J734" s="147"/>
      <c r="K734" s="116"/>
      <c r="L734" s="116"/>
      <c r="M734" s="116"/>
      <c r="N734" s="116"/>
      <c r="O734" s="116"/>
      <c r="P734" s="116"/>
      <c r="Q734" s="116"/>
      <c r="R734" s="116"/>
      <c r="S734" s="116"/>
      <c r="T734" s="116"/>
      <c r="U734" s="116"/>
      <c r="V734" s="116"/>
      <c r="W734" s="116"/>
      <c r="X734" s="278"/>
      <c r="Y734" s="142"/>
      <c r="Z734" s="142"/>
      <c r="AA734" s="142"/>
      <c r="AB734" s="142"/>
      <c r="AC734" s="142"/>
      <c r="AD734" s="142"/>
      <c r="AE734" s="142"/>
      <c r="AF734" s="130"/>
      <c r="AG734" s="142"/>
      <c r="AH734" s="142"/>
      <c r="AI734" s="142"/>
      <c r="AJ734" s="130"/>
      <c r="AK734" s="130"/>
      <c r="AL734" s="130"/>
      <c r="AM734" s="130"/>
    </row>
    <row r="735" ht="15.75" customHeight="1">
      <c r="A735" s="278"/>
      <c r="B735" s="278"/>
      <c r="C735" s="278"/>
      <c r="D735" s="278"/>
      <c r="E735" s="132"/>
      <c r="F735" s="116"/>
      <c r="G735" s="116"/>
      <c r="H735" s="116"/>
      <c r="I735" s="373"/>
      <c r="J735" s="147"/>
      <c r="K735" s="116"/>
      <c r="L735" s="116"/>
      <c r="M735" s="116"/>
      <c r="N735" s="116"/>
      <c r="O735" s="116"/>
      <c r="P735" s="116"/>
      <c r="Q735" s="116"/>
      <c r="R735" s="116"/>
      <c r="S735" s="116"/>
      <c r="T735" s="116"/>
      <c r="U735" s="116"/>
      <c r="V735" s="116"/>
      <c r="W735" s="116"/>
      <c r="X735" s="278"/>
      <c r="Y735" s="142"/>
      <c r="Z735" s="142"/>
      <c r="AA735" s="142"/>
      <c r="AB735" s="142"/>
      <c r="AC735" s="142"/>
      <c r="AD735" s="142"/>
      <c r="AE735" s="142"/>
      <c r="AF735" s="130"/>
      <c r="AG735" s="142"/>
      <c r="AH735" s="142"/>
      <c r="AI735" s="142"/>
      <c r="AJ735" s="130"/>
      <c r="AK735" s="130"/>
      <c r="AL735" s="130"/>
      <c r="AM735" s="130"/>
    </row>
    <row r="736" ht="15.75" customHeight="1">
      <c r="A736" s="278"/>
      <c r="B736" s="278"/>
      <c r="C736" s="278"/>
      <c r="D736" s="278"/>
      <c r="E736" s="132"/>
      <c r="F736" s="116"/>
      <c r="G736" s="116"/>
      <c r="H736" s="116"/>
      <c r="I736" s="373"/>
      <c r="J736" s="147"/>
      <c r="K736" s="116"/>
      <c r="L736" s="116"/>
      <c r="M736" s="116"/>
      <c r="N736" s="116"/>
      <c r="O736" s="116"/>
      <c r="P736" s="116"/>
      <c r="Q736" s="116"/>
      <c r="R736" s="116"/>
      <c r="S736" s="116"/>
      <c r="T736" s="116"/>
      <c r="U736" s="116"/>
      <c r="V736" s="116"/>
      <c r="W736" s="116"/>
      <c r="X736" s="278"/>
      <c r="Y736" s="142"/>
      <c r="Z736" s="142"/>
      <c r="AA736" s="142"/>
      <c r="AB736" s="142"/>
      <c r="AC736" s="142"/>
      <c r="AD736" s="142"/>
      <c r="AE736" s="142"/>
      <c r="AF736" s="130"/>
      <c r="AG736" s="142"/>
      <c r="AH736" s="142"/>
      <c r="AI736" s="142"/>
      <c r="AJ736" s="130"/>
      <c r="AK736" s="130"/>
      <c r="AL736" s="130"/>
      <c r="AM736" s="130"/>
    </row>
    <row r="737" ht="15.75" customHeight="1">
      <c r="A737" s="278"/>
      <c r="B737" s="278"/>
      <c r="C737" s="278"/>
      <c r="D737" s="278"/>
      <c r="E737" s="132"/>
      <c r="F737" s="116"/>
      <c r="G737" s="116"/>
      <c r="H737" s="116"/>
      <c r="I737" s="373"/>
      <c r="J737" s="147"/>
      <c r="K737" s="116"/>
      <c r="L737" s="116"/>
      <c r="M737" s="116"/>
      <c r="N737" s="116"/>
      <c r="O737" s="116"/>
      <c r="P737" s="116"/>
      <c r="Q737" s="116"/>
      <c r="R737" s="116"/>
      <c r="S737" s="116"/>
      <c r="T737" s="116"/>
      <c r="U737" s="116"/>
      <c r="V737" s="116"/>
      <c r="W737" s="116"/>
      <c r="X737" s="278"/>
      <c r="Y737" s="142"/>
      <c r="Z737" s="142"/>
      <c r="AA737" s="142"/>
      <c r="AB737" s="142"/>
      <c r="AC737" s="142"/>
      <c r="AD737" s="142"/>
      <c r="AE737" s="142"/>
      <c r="AF737" s="130"/>
      <c r="AG737" s="142"/>
      <c r="AH737" s="142"/>
      <c r="AI737" s="142"/>
      <c r="AJ737" s="130"/>
      <c r="AK737" s="130"/>
      <c r="AL737" s="130"/>
      <c r="AM737" s="130"/>
    </row>
    <row r="738" ht="15.75" customHeight="1">
      <c r="A738" s="278"/>
      <c r="B738" s="278"/>
      <c r="C738" s="278"/>
      <c r="D738" s="278"/>
      <c r="E738" s="132"/>
      <c r="F738" s="116"/>
      <c r="G738" s="116"/>
      <c r="H738" s="116"/>
      <c r="I738" s="373"/>
      <c r="J738" s="147"/>
      <c r="K738" s="116"/>
      <c r="L738" s="116"/>
      <c r="M738" s="116"/>
      <c r="N738" s="116"/>
      <c r="O738" s="116"/>
      <c r="P738" s="116"/>
      <c r="Q738" s="116"/>
      <c r="R738" s="116"/>
      <c r="S738" s="116"/>
      <c r="T738" s="116"/>
      <c r="U738" s="116"/>
      <c r="V738" s="116"/>
      <c r="W738" s="116"/>
      <c r="X738" s="278"/>
      <c r="Y738" s="142"/>
      <c r="Z738" s="142"/>
      <c r="AA738" s="142"/>
      <c r="AB738" s="142"/>
      <c r="AC738" s="142"/>
      <c r="AD738" s="142"/>
      <c r="AE738" s="142"/>
      <c r="AF738" s="130"/>
      <c r="AG738" s="142"/>
      <c r="AH738" s="142"/>
      <c r="AI738" s="142"/>
      <c r="AJ738" s="130"/>
      <c r="AK738" s="130"/>
      <c r="AL738" s="130"/>
      <c r="AM738" s="130"/>
    </row>
    <row r="739" ht="15.75" customHeight="1">
      <c r="A739" s="278"/>
      <c r="B739" s="278"/>
      <c r="C739" s="278"/>
      <c r="D739" s="278"/>
      <c r="E739" s="132"/>
      <c r="F739" s="116"/>
      <c r="G739" s="116"/>
      <c r="H739" s="116"/>
      <c r="I739" s="373"/>
      <c r="J739" s="147"/>
      <c r="K739" s="116"/>
      <c r="L739" s="116"/>
      <c r="M739" s="116"/>
      <c r="N739" s="116"/>
      <c r="O739" s="116"/>
      <c r="P739" s="116"/>
      <c r="Q739" s="116"/>
      <c r="R739" s="116"/>
      <c r="S739" s="116"/>
      <c r="T739" s="116"/>
      <c r="U739" s="116"/>
      <c r="V739" s="116"/>
      <c r="W739" s="116"/>
      <c r="X739" s="278"/>
      <c r="Y739" s="142"/>
      <c r="Z739" s="142"/>
      <c r="AA739" s="142"/>
      <c r="AB739" s="142"/>
      <c r="AC739" s="142"/>
      <c r="AD739" s="142"/>
      <c r="AE739" s="142"/>
      <c r="AF739" s="130"/>
      <c r="AG739" s="142"/>
      <c r="AH739" s="142"/>
      <c r="AI739" s="142"/>
      <c r="AJ739" s="130"/>
      <c r="AK739" s="130"/>
      <c r="AL739" s="130"/>
      <c r="AM739" s="130"/>
    </row>
    <row r="740" ht="15.75" customHeight="1">
      <c r="A740" s="278"/>
      <c r="B740" s="278"/>
      <c r="C740" s="278"/>
      <c r="D740" s="278"/>
      <c r="E740" s="132"/>
      <c r="F740" s="116"/>
      <c r="G740" s="116"/>
      <c r="H740" s="116"/>
      <c r="I740" s="373"/>
      <c r="J740" s="147"/>
      <c r="K740" s="116"/>
      <c r="L740" s="116"/>
      <c r="M740" s="116"/>
      <c r="N740" s="116"/>
      <c r="O740" s="116"/>
      <c r="P740" s="116"/>
      <c r="Q740" s="116"/>
      <c r="R740" s="116"/>
      <c r="S740" s="116"/>
      <c r="T740" s="116"/>
      <c r="U740" s="116"/>
      <c r="V740" s="116"/>
      <c r="W740" s="116"/>
      <c r="X740" s="278"/>
      <c r="Y740" s="142"/>
      <c r="Z740" s="142"/>
      <c r="AA740" s="142"/>
      <c r="AB740" s="142"/>
      <c r="AC740" s="142"/>
      <c r="AD740" s="142"/>
      <c r="AE740" s="142"/>
      <c r="AF740" s="130"/>
      <c r="AG740" s="142"/>
      <c r="AH740" s="142"/>
      <c r="AI740" s="142"/>
      <c r="AJ740" s="130"/>
      <c r="AK740" s="130"/>
      <c r="AL740" s="130"/>
      <c r="AM740" s="130"/>
    </row>
    <row r="741" ht="15.75" customHeight="1">
      <c r="A741" s="278"/>
      <c r="B741" s="278"/>
      <c r="C741" s="278"/>
      <c r="D741" s="278"/>
      <c r="E741" s="132"/>
      <c r="F741" s="116"/>
      <c r="G741" s="116"/>
      <c r="H741" s="116"/>
      <c r="I741" s="373"/>
      <c r="J741" s="147"/>
      <c r="K741" s="116"/>
      <c r="L741" s="116"/>
      <c r="M741" s="116"/>
      <c r="N741" s="116"/>
      <c r="O741" s="116"/>
      <c r="P741" s="116"/>
      <c r="Q741" s="116"/>
      <c r="R741" s="116"/>
      <c r="S741" s="116"/>
      <c r="T741" s="116"/>
      <c r="U741" s="116"/>
      <c r="V741" s="116"/>
      <c r="W741" s="116"/>
      <c r="X741" s="278"/>
      <c r="Y741" s="142"/>
      <c r="Z741" s="142"/>
      <c r="AA741" s="142"/>
      <c r="AB741" s="142"/>
      <c r="AC741" s="142"/>
      <c r="AD741" s="142"/>
      <c r="AE741" s="142"/>
      <c r="AF741" s="130"/>
      <c r="AG741" s="142"/>
      <c r="AH741" s="142"/>
      <c r="AI741" s="142"/>
      <c r="AJ741" s="130"/>
      <c r="AK741" s="130"/>
      <c r="AL741" s="130"/>
      <c r="AM741" s="130"/>
    </row>
    <row r="742" ht="15.75" customHeight="1">
      <c r="A742" s="278"/>
      <c r="B742" s="278"/>
      <c r="C742" s="278"/>
      <c r="D742" s="278"/>
      <c r="E742" s="132"/>
      <c r="F742" s="116"/>
      <c r="G742" s="116"/>
      <c r="H742" s="116"/>
      <c r="I742" s="373"/>
      <c r="J742" s="147"/>
      <c r="K742" s="116"/>
      <c r="L742" s="116"/>
      <c r="M742" s="116"/>
      <c r="N742" s="116"/>
      <c r="O742" s="116"/>
      <c r="P742" s="116"/>
      <c r="Q742" s="116"/>
      <c r="R742" s="116"/>
      <c r="S742" s="116"/>
      <c r="T742" s="116"/>
      <c r="U742" s="116"/>
      <c r="V742" s="116"/>
      <c r="W742" s="116"/>
      <c r="X742" s="278"/>
      <c r="Y742" s="142"/>
      <c r="Z742" s="142"/>
      <c r="AA742" s="142"/>
      <c r="AB742" s="142"/>
      <c r="AC742" s="142"/>
      <c r="AD742" s="142"/>
      <c r="AE742" s="142"/>
      <c r="AF742" s="130"/>
      <c r="AG742" s="142"/>
      <c r="AH742" s="142"/>
      <c r="AI742" s="142"/>
      <c r="AJ742" s="130"/>
      <c r="AK742" s="130"/>
      <c r="AL742" s="130"/>
      <c r="AM742" s="130"/>
    </row>
    <row r="743" ht="15.75" customHeight="1">
      <c r="A743" s="278"/>
      <c r="B743" s="278"/>
      <c r="C743" s="278"/>
      <c r="D743" s="278"/>
      <c r="E743" s="132"/>
      <c r="F743" s="116"/>
      <c r="G743" s="116"/>
      <c r="H743" s="116"/>
      <c r="I743" s="373"/>
      <c r="J743" s="147"/>
      <c r="K743" s="116"/>
      <c r="L743" s="116"/>
      <c r="M743" s="116"/>
      <c r="N743" s="116"/>
      <c r="O743" s="116"/>
      <c r="P743" s="116"/>
      <c r="Q743" s="116"/>
      <c r="R743" s="116"/>
      <c r="S743" s="116"/>
      <c r="T743" s="116"/>
      <c r="U743" s="116"/>
      <c r="V743" s="116"/>
      <c r="W743" s="116"/>
      <c r="X743" s="278"/>
      <c r="Y743" s="142"/>
      <c r="Z743" s="142"/>
      <c r="AA743" s="142"/>
      <c r="AB743" s="142"/>
      <c r="AC743" s="142"/>
      <c r="AD743" s="142"/>
      <c r="AE743" s="142"/>
      <c r="AF743" s="130"/>
      <c r="AG743" s="142"/>
      <c r="AH743" s="142"/>
      <c r="AI743" s="142"/>
      <c r="AJ743" s="130"/>
      <c r="AK743" s="130"/>
      <c r="AL743" s="130"/>
      <c r="AM743" s="130"/>
    </row>
    <row r="744" ht="15.75" customHeight="1">
      <c r="A744" s="278"/>
      <c r="B744" s="278"/>
      <c r="C744" s="278"/>
      <c r="D744" s="278"/>
      <c r="E744" s="132"/>
      <c r="F744" s="116"/>
      <c r="G744" s="116"/>
      <c r="H744" s="116"/>
      <c r="I744" s="373"/>
      <c r="J744" s="147"/>
      <c r="K744" s="116"/>
      <c r="L744" s="116"/>
      <c r="M744" s="116"/>
      <c r="N744" s="116"/>
      <c r="O744" s="116"/>
      <c r="P744" s="116"/>
      <c r="Q744" s="116"/>
      <c r="R744" s="116"/>
      <c r="S744" s="116"/>
      <c r="T744" s="116"/>
      <c r="U744" s="116"/>
      <c r="V744" s="116"/>
      <c r="W744" s="116"/>
      <c r="X744" s="278"/>
      <c r="Y744" s="142"/>
      <c r="Z744" s="142"/>
      <c r="AA744" s="142"/>
      <c r="AB744" s="142"/>
      <c r="AC744" s="142"/>
      <c r="AD744" s="142"/>
      <c r="AE744" s="142"/>
      <c r="AF744" s="130"/>
      <c r="AG744" s="142"/>
      <c r="AH744" s="142"/>
      <c r="AI744" s="142"/>
      <c r="AJ744" s="130"/>
      <c r="AK744" s="130"/>
      <c r="AL744" s="130"/>
      <c r="AM744" s="130"/>
    </row>
    <row r="745" ht="15.75" customHeight="1">
      <c r="A745" s="278"/>
      <c r="B745" s="278"/>
      <c r="C745" s="278"/>
      <c r="D745" s="278"/>
      <c r="E745" s="132"/>
      <c r="F745" s="116"/>
      <c r="G745" s="116"/>
      <c r="H745" s="116"/>
      <c r="I745" s="373"/>
      <c r="J745" s="147"/>
      <c r="K745" s="116"/>
      <c r="L745" s="116"/>
      <c r="M745" s="116"/>
      <c r="N745" s="116"/>
      <c r="O745" s="116"/>
      <c r="P745" s="116"/>
      <c r="Q745" s="116"/>
      <c r="R745" s="116"/>
      <c r="S745" s="116"/>
      <c r="T745" s="116"/>
      <c r="U745" s="116"/>
      <c r="V745" s="116"/>
      <c r="W745" s="116"/>
      <c r="X745" s="278"/>
      <c r="Y745" s="142"/>
      <c r="Z745" s="142"/>
      <c r="AA745" s="142"/>
      <c r="AB745" s="142"/>
      <c r="AC745" s="142"/>
      <c r="AD745" s="142"/>
      <c r="AE745" s="142"/>
      <c r="AF745" s="130"/>
      <c r="AG745" s="142"/>
      <c r="AH745" s="142"/>
      <c r="AI745" s="142"/>
      <c r="AJ745" s="130"/>
      <c r="AK745" s="130"/>
      <c r="AL745" s="130"/>
      <c r="AM745" s="130"/>
    </row>
    <row r="746" ht="15.75" customHeight="1">
      <c r="A746" s="278"/>
      <c r="B746" s="278"/>
      <c r="C746" s="278"/>
      <c r="D746" s="278"/>
      <c r="E746" s="132"/>
      <c r="F746" s="116"/>
      <c r="G746" s="116"/>
      <c r="H746" s="116"/>
      <c r="I746" s="373"/>
      <c r="J746" s="147"/>
      <c r="K746" s="116"/>
      <c r="L746" s="116"/>
      <c r="M746" s="116"/>
      <c r="N746" s="116"/>
      <c r="O746" s="116"/>
      <c r="P746" s="116"/>
      <c r="Q746" s="116"/>
      <c r="R746" s="116"/>
      <c r="S746" s="116"/>
      <c r="T746" s="116"/>
      <c r="U746" s="116"/>
      <c r="V746" s="116"/>
      <c r="W746" s="116"/>
      <c r="X746" s="278"/>
      <c r="Y746" s="142"/>
      <c r="Z746" s="142"/>
      <c r="AA746" s="142"/>
      <c r="AB746" s="142"/>
      <c r="AC746" s="142"/>
      <c r="AD746" s="142"/>
      <c r="AE746" s="142"/>
      <c r="AF746" s="130"/>
      <c r="AG746" s="142"/>
      <c r="AH746" s="142"/>
      <c r="AI746" s="142"/>
      <c r="AJ746" s="130"/>
      <c r="AK746" s="130"/>
      <c r="AL746" s="130"/>
      <c r="AM746" s="130"/>
    </row>
    <row r="747" ht="15.75" customHeight="1">
      <c r="A747" s="278"/>
      <c r="B747" s="278"/>
      <c r="C747" s="278"/>
      <c r="D747" s="278"/>
      <c r="E747" s="132"/>
      <c r="F747" s="116"/>
      <c r="G747" s="116"/>
      <c r="H747" s="116"/>
      <c r="I747" s="373"/>
      <c r="J747" s="147"/>
      <c r="K747" s="116"/>
      <c r="L747" s="116"/>
      <c r="M747" s="116"/>
      <c r="N747" s="116"/>
      <c r="O747" s="116"/>
      <c r="P747" s="116"/>
      <c r="Q747" s="116"/>
      <c r="R747" s="116"/>
      <c r="S747" s="116"/>
      <c r="T747" s="116"/>
      <c r="U747" s="116"/>
      <c r="V747" s="116"/>
      <c r="W747" s="116"/>
      <c r="X747" s="278"/>
      <c r="Y747" s="142"/>
      <c r="Z747" s="142"/>
      <c r="AA747" s="142"/>
      <c r="AB747" s="142"/>
      <c r="AC747" s="142"/>
      <c r="AD747" s="142"/>
      <c r="AE747" s="142"/>
      <c r="AF747" s="130"/>
      <c r="AG747" s="142"/>
      <c r="AH747" s="142"/>
      <c r="AI747" s="142"/>
      <c r="AJ747" s="130"/>
      <c r="AK747" s="130"/>
      <c r="AL747" s="130"/>
      <c r="AM747" s="130"/>
    </row>
    <row r="748" ht="15.75" customHeight="1">
      <c r="A748" s="278"/>
      <c r="B748" s="278"/>
      <c r="C748" s="278"/>
      <c r="D748" s="278"/>
      <c r="E748" s="132"/>
      <c r="F748" s="116"/>
      <c r="G748" s="116"/>
      <c r="H748" s="116"/>
      <c r="I748" s="373"/>
      <c r="J748" s="147"/>
      <c r="K748" s="116"/>
      <c r="L748" s="116"/>
      <c r="M748" s="116"/>
      <c r="N748" s="116"/>
      <c r="O748" s="116"/>
      <c r="P748" s="116"/>
      <c r="Q748" s="116"/>
      <c r="R748" s="116"/>
      <c r="S748" s="116"/>
      <c r="T748" s="116"/>
      <c r="U748" s="116"/>
      <c r="V748" s="116"/>
      <c r="W748" s="116"/>
      <c r="X748" s="278"/>
      <c r="Y748" s="142"/>
      <c r="Z748" s="142"/>
      <c r="AA748" s="142"/>
      <c r="AB748" s="142"/>
      <c r="AC748" s="142"/>
      <c r="AD748" s="142"/>
      <c r="AE748" s="142"/>
      <c r="AF748" s="130"/>
      <c r="AG748" s="142"/>
      <c r="AH748" s="142"/>
      <c r="AI748" s="142"/>
      <c r="AJ748" s="130"/>
      <c r="AK748" s="130"/>
      <c r="AL748" s="130"/>
      <c r="AM748" s="130"/>
    </row>
    <row r="749" ht="15.75" customHeight="1">
      <c r="A749" s="278"/>
      <c r="B749" s="278"/>
      <c r="C749" s="278"/>
      <c r="D749" s="278"/>
      <c r="E749" s="132"/>
      <c r="F749" s="116"/>
      <c r="G749" s="116"/>
      <c r="H749" s="116"/>
      <c r="I749" s="373"/>
      <c r="J749" s="147"/>
      <c r="K749" s="116"/>
      <c r="L749" s="116"/>
      <c r="M749" s="116"/>
      <c r="N749" s="116"/>
      <c r="O749" s="116"/>
      <c r="P749" s="116"/>
      <c r="Q749" s="116"/>
      <c r="R749" s="116"/>
      <c r="S749" s="116"/>
      <c r="T749" s="116"/>
      <c r="U749" s="116"/>
      <c r="V749" s="116"/>
      <c r="W749" s="116"/>
      <c r="X749" s="278"/>
      <c r="Y749" s="142"/>
      <c r="Z749" s="142"/>
      <c r="AA749" s="142"/>
      <c r="AB749" s="142"/>
      <c r="AC749" s="142"/>
      <c r="AD749" s="142"/>
      <c r="AE749" s="142"/>
      <c r="AF749" s="130"/>
      <c r="AG749" s="142"/>
      <c r="AH749" s="142"/>
      <c r="AI749" s="142"/>
      <c r="AJ749" s="130"/>
      <c r="AK749" s="130"/>
      <c r="AL749" s="130"/>
      <c r="AM749" s="130"/>
    </row>
    <row r="750" ht="15.75" customHeight="1">
      <c r="A750" s="278"/>
      <c r="B750" s="278"/>
      <c r="C750" s="278"/>
      <c r="D750" s="278"/>
      <c r="E750" s="132"/>
      <c r="F750" s="116"/>
      <c r="G750" s="116"/>
      <c r="H750" s="116"/>
      <c r="I750" s="373"/>
      <c r="J750" s="147"/>
      <c r="K750" s="116"/>
      <c r="L750" s="116"/>
      <c r="M750" s="116"/>
      <c r="N750" s="116"/>
      <c r="O750" s="116"/>
      <c r="P750" s="116"/>
      <c r="Q750" s="116"/>
      <c r="R750" s="116"/>
      <c r="S750" s="116"/>
      <c r="T750" s="116"/>
      <c r="U750" s="116"/>
      <c r="V750" s="116"/>
      <c r="W750" s="116"/>
      <c r="X750" s="278"/>
      <c r="Y750" s="142"/>
      <c r="Z750" s="142"/>
      <c r="AA750" s="142"/>
      <c r="AB750" s="142"/>
      <c r="AC750" s="142"/>
      <c r="AD750" s="142"/>
      <c r="AE750" s="142"/>
      <c r="AF750" s="130"/>
      <c r="AG750" s="142"/>
      <c r="AH750" s="142"/>
      <c r="AI750" s="142"/>
      <c r="AJ750" s="130"/>
      <c r="AK750" s="130"/>
      <c r="AL750" s="130"/>
      <c r="AM750" s="130"/>
    </row>
    <row r="751" ht="15.75" customHeight="1">
      <c r="A751" s="278"/>
      <c r="B751" s="278"/>
      <c r="C751" s="278"/>
      <c r="D751" s="278"/>
      <c r="E751" s="132"/>
      <c r="F751" s="116"/>
      <c r="G751" s="116"/>
      <c r="H751" s="116"/>
      <c r="I751" s="373"/>
      <c r="J751" s="147"/>
      <c r="K751" s="116"/>
      <c r="L751" s="116"/>
      <c r="M751" s="116"/>
      <c r="N751" s="116"/>
      <c r="O751" s="116"/>
      <c r="P751" s="116"/>
      <c r="Q751" s="116"/>
      <c r="R751" s="116"/>
      <c r="S751" s="116"/>
      <c r="T751" s="116"/>
      <c r="U751" s="116"/>
      <c r="V751" s="116"/>
      <c r="W751" s="116"/>
      <c r="X751" s="278"/>
      <c r="Y751" s="142"/>
      <c r="Z751" s="142"/>
      <c r="AA751" s="142"/>
      <c r="AB751" s="142"/>
      <c r="AC751" s="142"/>
      <c r="AD751" s="142"/>
      <c r="AE751" s="142"/>
      <c r="AF751" s="130"/>
      <c r="AG751" s="142"/>
      <c r="AH751" s="142"/>
      <c r="AI751" s="142"/>
      <c r="AJ751" s="130"/>
      <c r="AK751" s="130"/>
      <c r="AL751" s="130"/>
      <c r="AM751" s="130"/>
    </row>
    <row r="752" ht="15.75" customHeight="1">
      <c r="A752" s="278"/>
      <c r="B752" s="278"/>
      <c r="C752" s="278"/>
      <c r="D752" s="278"/>
      <c r="E752" s="132"/>
      <c r="F752" s="116"/>
      <c r="G752" s="116"/>
      <c r="H752" s="116"/>
      <c r="I752" s="373"/>
      <c r="J752" s="147"/>
      <c r="K752" s="116"/>
      <c r="L752" s="116"/>
      <c r="M752" s="116"/>
      <c r="N752" s="116"/>
      <c r="O752" s="116"/>
      <c r="P752" s="116"/>
      <c r="Q752" s="116"/>
      <c r="R752" s="116"/>
      <c r="S752" s="116"/>
      <c r="T752" s="116"/>
      <c r="U752" s="116"/>
      <c r="V752" s="116"/>
      <c r="W752" s="116"/>
      <c r="X752" s="278"/>
      <c r="Y752" s="142"/>
      <c r="Z752" s="142"/>
      <c r="AA752" s="142"/>
      <c r="AB752" s="142"/>
      <c r="AC752" s="142"/>
      <c r="AD752" s="142"/>
      <c r="AE752" s="142"/>
      <c r="AF752" s="130"/>
      <c r="AG752" s="142"/>
      <c r="AH752" s="142"/>
      <c r="AI752" s="142"/>
      <c r="AJ752" s="130"/>
      <c r="AK752" s="130"/>
      <c r="AL752" s="130"/>
      <c r="AM752" s="130"/>
    </row>
    <row r="753" ht="15.75" customHeight="1">
      <c r="A753" s="278"/>
      <c r="B753" s="278"/>
      <c r="C753" s="278"/>
      <c r="D753" s="278"/>
      <c r="E753" s="132"/>
      <c r="F753" s="116"/>
      <c r="G753" s="116"/>
      <c r="H753" s="116"/>
      <c r="I753" s="373"/>
      <c r="J753" s="147"/>
      <c r="K753" s="116"/>
      <c r="L753" s="116"/>
      <c r="M753" s="116"/>
      <c r="N753" s="116"/>
      <c r="O753" s="116"/>
      <c r="P753" s="116"/>
      <c r="Q753" s="116"/>
      <c r="R753" s="116"/>
      <c r="S753" s="116"/>
      <c r="T753" s="116"/>
      <c r="U753" s="116"/>
      <c r="V753" s="116"/>
      <c r="W753" s="116"/>
      <c r="X753" s="278"/>
      <c r="Y753" s="142"/>
      <c r="Z753" s="142"/>
      <c r="AA753" s="142"/>
      <c r="AB753" s="142"/>
      <c r="AC753" s="142"/>
      <c r="AD753" s="142"/>
      <c r="AE753" s="142"/>
      <c r="AF753" s="130"/>
      <c r="AG753" s="142"/>
      <c r="AH753" s="142"/>
      <c r="AI753" s="142"/>
      <c r="AJ753" s="130"/>
      <c r="AK753" s="130"/>
      <c r="AL753" s="130"/>
      <c r="AM753" s="130"/>
    </row>
    <row r="754" ht="15.75" customHeight="1">
      <c r="A754" s="278"/>
      <c r="B754" s="278"/>
      <c r="C754" s="278"/>
      <c r="D754" s="278"/>
      <c r="E754" s="132"/>
      <c r="F754" s="116"/>
      <c r="G754" s="116"/>
      <c r="H754" s="116"/>
      <c r="I754" s="373"/>
      <c r="J754" s="147"/>
      <c r="K754" s="116"/>
      <c r="L754" s="116"/>
      <c r="M754" s="116"/>
      <c r="N754" s="116"/>
      <c r="O754" s="116"/>
      <c r="P754" s="116"/>
      <c r="Q754" s="116"/>
      <c r="R754" s="116"/>
      <c r="S754" s="116"/>
      <c r="T754" s="116"/>
      <c r="U754" s="116"/>
      <c r="V754" s="116"/>
      <c r="W754" s="116"/>
      <c r="X754" s="278"/>
      <c r="Y754" s="142"/>
      <c r="Z754" s="142"/>
      <c r="AA754" s="142"/>
      <c r="AB754" s="142"/>
      <c r="AC754" s="142"/>
      <c r="AD754" s="142"/>
      <c r="AE754" s="142"/>
      <c r="AF754" s="130"/>
      <c r="AG754" s="142"/>
      <c r="AH754" s="142"/>
      <c r="AI754" s="142"/>
      <c r="AJ754" s="130"/>
      <c r="AK754" s="130"/>
      <c r="AL754" s="130"/>
      <c r="AM754" s="130"/>
    </row>
    <row r="755" ht="15.75" customHeight="1">
      <c r="A755" s="278"/>
      <c r="B755" s="278"/>
      <c r="C755" s="278"/>
      <c r="D755" s="278"/>
      <c r="E755" s="132"/>
      <c r="F755" s="116"/>
      <c r="G755" s="116"/>
      <c r="H755" s="116"/>
      <c r="I755" s="373"/>
      <c r="J755" s="147"/>
      <c r="K755" s="116"/>
      <c r="L755" s="116"/>
      <c r="M755" s="116"/>
      <c r="N755" s="116"/>
      <c r="O755" s="116"/>
      <c r="P755" s="116"/>
      <c r="Q755" s="116"/>
      <c r="R755" s="116"/>
      <c r="S755" s="116"/>
      <c r="T755" s="116"/>
      <c r="U755" s="116"/>
      <c r="V755" s="116"/>
      <c r="W755" s="116"/>
      <c r="X755" s="278"/>
      <c r="Y755" s="142"/>
      <c r="Z755" s="142"/>
      <c r="AA755" s="142"/>
      <c r="AB755" s="142"/>
      <c r="AC755" s="142"/>
      <c r="AD755" s="142"/>
      <c r="AE755" s="142"/>
      <c r="AF755" s="130"/>
      <c r="AG755" s="142"/>
      <c r="AH755" s="142"/>
      <c r="AI755" s="142"/>
      <c r="AJ755" s="130"/>
      <c r="AK755" s="130"/>
      <c r="AL755" s="130"/>
      <c r="AM755" s="130"/>
    </row>
    <row r="756" ht="15.75" customHeight="1">
      <c r="A756" s="278"/>
      <c r="B756" s="278"/>
      <c r="C756" s="278"/>
      <c r="D756" s="278"/>
      <c r="E756" s="132"/>
      <c r="F756" s="116"/>
      <c r="G756" s="116"/>
      <c r="H756" s="116"/>
      <c r="I756" s="373"/>
      <c r="J756" s="147"/>
      <c r="K756" s="116"/>
      <c r="L756" s="116"/>
      <c r="M756" s="116"/>
      <c r="N756" s="116"/>
      <c r="O756" s="116"/>
      <c r="P756" s="116"/>
      <c r="Q756" s="116"/>
      <c r="R756" s="116"/>
      <c r="S756" s="116"/>
      <c r="T756" s="116"/>
      <c r="U756" s="116"/>
      <c r="V756" s="116"/>
      <c r="W756" s="116"/>
      <c r="X756" s="278"/>
      <c r="Y756" s="142"/>
      <c r="Z756" s="142"/>
      <c r="AA756" s="142"/>
      <c r="AB756" s="142"/>
      <c r="AC756" s="142"/>
      <c r="AD756" s="142"/>
      <c r="AE756" s="142"/>
      <c r="AF756" s="130"/>
      <c r="AG756" s="142"/>
      <c r="AH756" s="142"/>
      <c r="AI756" s="142"/>
      <c r="AJ756" s="130"/>
      <c r="AK756" s="130"/>
      <c r="AL756" s="130"/>
      <c r="AM756" s="130"/>
    </row>
    <row r="757" ht="15.75" customHeight="1">
      <c r="A757" s="278"/>
      <c r="B757" s="278"/>
      <c r="C757" s="278"/>
      <c r="D757" s="278"/>
      <c r="E757" s="132"/>
      <c r="F757" s="116"/>
      <c r="G757" s="116"/>
      <c r="H757" s="116"/>
      <c r="I757" s="373"/>
      <c r="J757" s="147"/>
      <c r="K757" s="116"/>
      <c r="L757" s="116"/>
      <c r="M757" s="116"/>
      <c r="N757" s="116"/>
      <c r="O757" s="116"/>
      <c r="P757" s="116"/>
      <c r="Q757" s="116"/>
      <c r="R757" s="116"/>
      <c r="S757" s="116"/>
      <c r="T757" s="116"/>
      <c r="U757" s="116"/>
      <c r="V757" s="116"/>
      <c r="W757" s="116"/>
      <c r="X757" s="278"/>
      <c r="Y757" s="142"/>
      <c r="Z757" s="142"/>
      <c r="AA757" s="142"/>
      <c r="AB757" s="142"/>
      <c r="AC757" s="142"/>
      <c r="AD757" s="142"/>
      <c r="AE757" s="142"/>
      <c r="AF757" s="130"/>
      <c r="AG757" s="142"/>
      <c r="AH757" s="142"/>
      <c r="AI757" s="142"/>
      <c r="AJ757" s="130"/>
      <c r="AK757" s="130"/>
      <c r="AL757" s="130"/>
      <c r="AM757" s="130"/>
    </row>
    <row r="758" ht="15.75" customHeight="1">
      <c r="A758" s="278"/>
      <c r="B758" s="278"/>
      <c r="C758" s="278"/>
      <c r="D758" s="278"/>
      <c r="E758" s="132"/>
      <c r="F758" s="116"/>
      <c r="G758" s="116"/>
      <c r="H758" s="116"/>
      <c r="I758" s="373"/>
      <c r="J758" s="147"/>
      <c r="K758" s="116"/>
      <c r="L758" s="116"/>
      <c r="M758" s="116"/>
      <c r="N758" s="116"/>
      <c r="O758" s="116"/>
      <c r="P758" s="116"/>
      <c r="Q758" s="116"/>
      <c r="R758" s="116"/>
      <c r="S758" s="116"/>
      <c r="T758" s="116"/>
      <c r="U758" s="116"/>
      <c r="V758" s="116"/>
      <c r="W758" s="116"/>
      <c r="X758" s="278"/>
      <c r="Y758" s="142"/>
      <c r="Z758" s="142"/>
      <c r="AA758" s="142"/>
      <c r="AB758" s="142"/>
      <c r="AC758" s="142"/>
      <c r="AD758" s="142"/>
      <c r="AE758" s="142"/>
      <c r="AF758" s="130"/>
      <c r="AG758" s="142"/>
      <c r="AH758" s="142"/>
      <c r="AI758" s="142"/>
      <c r="AJ758" s="130"/>
      <c r="AK758" s="130"/>
      <c r="AL758" s="130"/>
      <c r="AM758" s="130"/>
    </row>
    <row r="759" ht="15.75" customHeight="1">
      <c r="A759" s="278"/>
      <c r="B759" s="278"/>
      <c r="C759" s="278"/>
      <c r="D759" s="278"/>
      <c r="E759" s="132"/>
      <c r="F759" s="116"/>
      <c r="G759" s="116"/>
      <c r="H759" s="116"/>
      <c r="I759" s="373"/>
      <c r="J759" s="147"/>
      <c r="K759" s="116"/>
      <c r="L759" s="116"/>
      <c r="M759" s="116"/>
      <c r="N759" s="116"/>
      <c r="O759" s="116"/>
      <c r="P759" s="116"/>
      <c r="Q759" s="116"/>
      <c r="R759" s="116"/>
      <c r="S759" s="116"/>
      <c r="T759" s="116"/>
      <c r="U759" s="116"/>
      <c r="V759" s="116"/>
      <c r="W759" s="116"/>
      <c r="X759" s="278"/>
      <c r="Y759" s="142"/>
      <c r="Z759" s="142"/>
      <c r="AA759" s="142"/>
      <c r="AB759" s="142"/>
      <c r="AC759" s="142"/>
      <c r="AD759" s="142"/>
      <c r="AE759" s="142"/>
      <c r="AF759" s="130"/>
      <c r="AG759" s="142"/>
      <c r="AH759" s="142"/>
      <c r="AI759" s="142"/>
      <c r="AJ759" s="130"/>
      <c r="AK759" s="130"/>
      <c r="AL759" s="130"/>
      <c r="AM759" s="130"/>
    </row>
    <row r="760" ht="15.75" customHeight="1">
      <c r="A760" s="278"/>
      <c r="B760" s="278"/>
      <c r="C760" s="278"/>
      <c r="D760" s="278"/>
      <c r="E760" s="132"/>
      <c r="F760" s="116"/>
      <c r="G760" s="116"/>
      <c r="H760" s="116"/>
      <c r="I760" s="373"/>
      <c r="J760" s="147"/>
      <c r="K760" s="116"/>
      <c r="L760" s="116"/>
      <c r="M760" s="116"/>
      <c r="N760" s="116"/>
      <c r="O760" s="116"/>
      <c r="P760" s="116"/>
      <c r="Q760" s="116"/>
      <c r="R760" s="116"/>
      <c r="S760" s="116"/>
      <c r="T760" s="116"/>
      <c r="U760" s="116"/>
      <c r="V760" s="116"/>
      <c r="W760" s="116"/>
      <c r="X760" s="278"/>
      <c r="Y760" s="142"/>
      <c r="Z760" s="142"/>
      <c r="AA760" s="142"/>
      <c r="AB760" s="142"/>
      <c r="AC760" s="142"/>
      <c r="AD760" s="142"/>
      <c r="AE760" s="142"/>
      <c r="AF760" s="130"/>
      <c r="AG760" s="142"/>
      <c r="AH760" s="142"/>
      <c r="AI760" s="142"/>
      <c r="AJ760" s="130"/>
      <c r="AK760" s="130"/>
      <c r="AL760" s="130"/>
      <c r="AM760" s="130"/>
    </row>
    <row r="761" ht="15.75" customHeight="1">
      <c r="A761" s="278"/>
      <c r="B761" s="278"/>
      <c r="C761" s="278"/>
      <c r="D761" s="278"/>
      <c r="E761" s="132"/>
      <c r="F761" s="116"/>
      <c r="G761" s="116"/>
      <c r="H761" s="116"/>
      <c r="I761" s="373"/>
      <c r="J761" s="147"/>
      <c r="K761" s="116"/>
      <c r="L761" s="116"/>
      <c r="M761" s="116"/>
      <c r="N761" s="116"/>
      <c r="O761" s="116"/>
      <c r="P761" s="116"/>
      <c r="Q761" s="116"/>
      <c r="R761" s="116"/>
      <c r="S761" s="116"/>
      <c r="T761" s="116"/>
      <c r="U761" s="116"/>
      <c r="V761" s="116"/>
      <c r="W761" s="116"/>
      <c r="X761" s="278"/>
      <c r="Y761" s="142"/>
      <c r="Z761" s="142"/>
      <c r="AA761" s="142"/>
      <c r="AB761" s="142"/>
      <c r="AC761" s="142"/>
      <c r="AD761" s="142"/>
      <c r="AE761" s="142"/>
      <c r="AF761" s="130"/>
      <c r="AG761" s="142"/>
      <c r="AH761" s="142"/>
      <c r="AI761" s="142"/>
      <c r="AJ761" s="130"/>
      <c r="AK761" s="130"/>
      <c r="AL761" s="130"/>
      <c r="AM761" s="130"/>
    </row>
    <row r="762" ht="15.75" customHeight="1">
      <c r="A762" s="278"/>
      <c r="B762" s="278"/>
      <c r="C762" s="278"/>
      <c r="D762" s="278"/>
      <c r="E762" s="132"/>
      <c r="F762" s="116"/>
      <c r="G762" s="116"/>
      <c r="H762" s="116"/>
      <c r="I762" s="373"/>
      <c r="J762" s="147"/>
      <c r="K762" s="116"/>
      <c r="L762" s="116"/>
      <c r="M762" s="116"/>
      <c r="N762" s="116"/>
      <c r="O762" s="116"/>
      <c r="P762" s="116"/>
      <c r="Q762" s="116"/>
      <c r="R762" s="116"/>
      <c r="S762" s="116"/>
      <c r="T762" s="116"/>
      <c r="U762" s="116"/>
      <c r="V762" s="116"/>
      <c r="W762" s="116"/>
      <c r="X762" s="278"/>
      <c r="Y762" s="142"/>
      <c r="Z762" s="142"/>
      <c r="AA762" s="142"/>
      <c r="AB762" s="142"/>
      <c r="AC762" s="142"/>
      <c r="AD762" s="142"/>
      <c r="AE762" s="142"/>
      <c r="AF762" s="130"/>
      <c r="AG762" s="142"/>
      <c r="AH762" s="142"/>
      <c r="AI762" s="142"/>
      <c r="AJ762" s="130"/>
      <c r="AK762" s="130"/>
      <c r="AL762" s="130"/>
      <c r="AM762" s="130"/>
    </row>
    <row r="763" ht="15.75" customHeight="1">
      <c r="A763" s="278"/>
      <c r="B763" s="278"/>
      <c r="C763" s="278"/>
      <c r="D763" s="278"/>
      <c r="E763" s="132"/>
      <c r="F763" s="116"/>
      <c r="G763" s="116"/>
      <c r="H763" s="116"/>
      <c r="I763" s="373"/>
      <c r="J763" s="147"/>
      <c r="K763" s="116"/>
      <c r="L763" s="116"/>
      <c r="M763" s="116"/>
      <c r="N763" s="116"/>
      <c r="O763" s="116"/>
      <c r="P763" s="116"/>
      <c r="Q763" s="116"/>
      <c r="R763" s="116"/>
      <c r="S763" s="116"/>
      <c r="T763" s="116"/>
      <c r="U763" s="116"/>
      <c r="V763" s="116"/>
      <c r="W763" s="116"/>
      <c r="X763" s="278"/>
      <c r="Y763" s="142"/>
      <c r="Z763" s="142"/>
      <c r="AA763" s="142"/>
      <c r="AB763" s="142"/>
      <c r="AC763" s="142"/>
      <c r="AD763" s="142"/>
      <c r="AE763" s="142"/>
      <c r="AF763" s="130"/>
      <c r="AG763" s="142"/>
      <c r="AH763" s="142"/>
      <c r="AI763" s="142"/>
      <c r="AJ763" s="130"/>
      <c r="AK763" s="130"/>
      <c r="AL763" s="130"/>
      <c r="AM763" s="130"/>
    </row>
    <row r="764" ht="15.75" customHeight="1">
      <c r="A764" s="278"/>
      <c r="B764" s="278"/>
      <c r="C764" s="278"/>
      <c r="D764" s="278"/>
      <c r="E764" s="132"/>
      <c r="F764" s="116"/>
      <c r="G764" s="116"/>
      <c r="H764" s="116"/>
      <c r="I764" s="373"/>
      <c r="J764" s="147"/>
      <c r="K764" s="116"/>
      <c r="L764" s="116"/>
      <c r="M764" s="116"/>
      <c r="N764" s="116"/>
      <c r="O764" s="116"/>
      <c r="P764" s="116"/>
      <c r="Q764" s="116"/>
      <c r="R764" s="116"/>
      <c r="S764" s="116"/>
      <c r="T764" s="116"/>
      <c r="U764" s="116"/>
      <c r="V764" s="116"/>
      <c r="W764" s="116"/>
      <c r="X764" s="278"/>
      <c r="Y764" s="142"/>
      <c r="Z764" s="142"/>
      <c r="AA764" s="142"/>
      <c r="AB764" s="142"/>
      <c r="AC764" s="142"/>
      <c r="AD764" s="142"/>
      <c r="AE764" s="142"/>
      <c r="AF764" s="130"/>
      <c r="AG764" s="142"/>
      <c r="AH764" s="142"/>
      <c r="AI764" s="142"/>
      <c r="AJ764" s="130"/>
      <c r="AK764" s="130"/>
      <c r="AL764" s="130"/>
      <c r="AM764" s="130"/>
    </row>
    <row r="765" ht="15.75" customHeight="1">
      <c r="A765" s="278"/>
      <c r="B765" s="278"/>
      <c r="C765" s="278"/>
      <c r="D765" s="278"/>
      <c r="E765" s="132"/>
      <c r="F765" s="116"/>
      <c r="G765" s="116"/>
      <c r="H765" s="116"/>
      <c r="I765" s="373"/>
      <c r="J765" s="147"/>
      <c r="K765" s="116"/>
      <c r="L765" s="116"/>
      <c r="M765" s="116"/>
      <c r="N765" s="116"/>
      <c r="O765" s="116"/>
      <c r="P765" s="116"/>
      <c r="Q765" s="116"/>
      <c r="R765" s="116"/>
      <c r="S765" s="116"/>
      <c r="T765" s="116"/>
      <c r="U765" s="116"/>
      <c r="V765" s="116"/>
      <c r="W765" s="116"/>
      <c r="X765" s="278"/>
      <c r="Y765" s="142"/>
      <c r="Z765" s="142"/>
      <c r="AA765" s="142"/>
      <c r="AB765" s="142"/>
      <c r="AC765" s="142"/>
      <c r="AD765" s="142"/>
      <c r="AE765" s="142"/>
      <c r="AF765" s="130"/>
      <c r="AG765" s="142"/>
      <c r="AH765" s="142"/>
      <c r="AI765" s="142"/>
      <c r="AJ765" s="130"/>
      <c r="AK765" s="130"/>
      <c r="AL765" s="130"/>
      <c r="AM765" s="130"/>
    </row>
    <row r="766" ht="15.75" customHeight="1">
      <c r="A766" s="278"/>
      <c r="B766" s="278"/>
      <c r="C766" s="278"/>
      <c r="D766" s="278"/>
      <c r="E766" s="132"/>
      <c r="F766" s="116"/>
      <c r="G766" s="116"/>
      <c r="H766" s="116"/>
      <c r="I766" s="373"/>
      <c r="J766" s="147"/>
      <c r="K766" s="116"/>
      <c r="L766" s="116"/>
      <c r="M766" s="116"/>
      <c r="N766" s="116"/>
      <c r="O766" s="116"/>
      <c r="P766" s="116"/>
      <c r="Q766" s="116"/>
      <c r="R766" s="116"/>
      <c r="S766" s="116"/>
      <c r="T766" s="116"/>
      <c r="U766" s="116"/>
      <c r="V766" s="116"/>
      <c r="W766" s="116"/>
      <c r="X766" s="278"/>
      <c r="Y766" s="142"/>
      <c r="Z766" s="142"/>
      <c r="AA766" s="142"/>
      <c r="AB766" s="142"/>
      <c r="AC766" s="142"/>
      <c r="AD766" s="142"/>
      <c r="AE766" s="142"/>
      <c r="AF766" s="130"/>
      <c r="AG766" s="142"/>
      <c r="AH766" s="142"/>
      <c r="AI766" s="142"/>
      <c r="AJ766" s="130"/>
      <c r="AK766" s="130"/>
      <c r="AL766" s="130"/>
      <c r="AM766" s="130"/>
    </row>
    <row r="767" ht="15.75" customHeight="1">
      <c r="A767" s="278"/>
      <c r="B767" s="278"/>
      <c r="C767" s="278"/>
      <c r="D767" s="278"/>
      <c r="E767" s="132"/>
      <c r="F767" s="116"/>
      <c r="G767" s="116"/>
      <c r="H767" s="116"/>
      <c r="I767" s="373"/>
      <c r="J767" s="147"/>
      <c r="K767" s="116"/>
      <c r="L767" s="116"/>
      <c r="M767" s="116"/>
      <c r="N767" s="116"/>
      <c r="O767" s="116"/>
      <c r="P767" s="116"/>
      <c r="Q767" s="116"/>
      <c r="R767" s="116"/>
      <c r="S767" s="116"/>
      <c r="T767" s="116"/>
      <c r="U767" s="116"/>
      <c r="V767" s="116"/>
      <c r="W767" s="116"/>
      <c r="X767" s="278"/>
      <c r="Y767" s="142"/>
      <c r="Z767" s="142"/>
      <c r="AA767" s="142"/>
      <c r="AB767" s="142"/>
      <c r="AC767" s="142"/>
      <c r="AD767" s="142"/>
      <c r="AE767" s="142"/>
      <c r="AF767" s="130"/>
      <c r="AG767" s="142"/>
      <c r="AH767" s="142"/>
      <c r="AI767" s="142"/>
      <c r="AJ767" s="130"/>
      <c r="AK767" s="130"/>
      <c r="AL767" s="130"/>
      <c r="AM767" s="130"/>
    </row>
    <row r="768" ht="15.75" customHeight="1">
      <c r="A768" s="278"/>
      <c r="B768" s="278"/>
      <c r="C768" s="278"/>
      <c r="D768" s="278"/>
      <c r="E768" s="132"/>
      <c r="F768" s="116"/>
      <c r="G768" s="116"/>
      <c r="H768" s="116"/>
      <c r="I768" s="373"/>
      <c r="J768" s="147"/>
      <c r="K768" s="116"/>
      <c r="L768" s="116"/>
      <c r="M768" s="116"/>
      <c r="N768" s="116"/>
      <c r="O768" s="116"/>
      <c r="P768" s="116"/>
      <c r="Q768" s="116"/>
      <c r="R768" s="116"/>
      <c r="S768" s="116"/>
      <c r="T768" s="116"/>
      <c r="U768" s="116"/>
      <c r="V768" s="116"/>
      <c r="W768" s="116"/>
      <c r="X768" s="278"/>
      <c r="Y768" s="142"/>
      <c r="Z768" s="142"/>
      <c r="AA768" s="142"/>
      <c r="AB768" s="142"/>
      <c r="AC768" s="142"/>
      <c r="AD768" s="142"/>
      <c r="AE768" s="142"/>
      <c r="AF768" s="130"/>
      <c r="AG768" s="142"/>
      <c r="AH768" s="142"/>
      <c r="AI768" s="142"/>
      <c r="AJ768" s="130"/>
      <c r="AK768" s="130"/>
      <c r="AL768" s="130"/>
      <c r="AM768" s="130"/>
    </row>
    <row r="769" ht="15.75" customHeight="1">
      <c r="A769" s="278"/>
      <c r="B769" s="278"/>
      <c r="C769" s="278"/>
      <c r="D769" s="278"/>
      <c r="E769" s="132"/>
      <c r="F769" s="116"/>
      <c r="G769" s="116"/>
      <c r="H769" s="116"/>
      <c r="I769" s="373"/>
      <c r="J769" s="147"/>
      <c r="K769" s="116"/>
      <c r="L769" s="116"/>
      <c r="M769" s="116"/>
      <c r="N769" s="116"/>
      <c r="O769" s="116"/>
      <c r="P769" s="116"/>
      <c r="Q769" s="116"/>
      <c r="R769" s="116"/>
      <c r="S769" s="116"/>
      <c r="T769" s="116"/>
      <c r="U769" s="116"/>
      <c r="V769" s="116"/>
      <c r="W769" s="116"/>
      <c r="X769" s="278"/>
      <c r="Y769" s="142"/>
      <c r="Z769" s="142"/>
      <c r="AA769" s="142"/>
      <c r="AB769" s="142"/>
      <c r="AC769" s="142"/>
      <c r="AD769" s="142"/>
      <c r="AE769" s="142"/>
      <c r="AF769" s="130"/>
      <c r="AG769" s="142"/>
      <c r="AH769" s="142"/>
      <c r="AI769" s="142"/>
      <c r="AJ769" s="130"/>
      <c r="AK769" s="130"/>
      <c r="AL769" s="130"/>
      <c r="AM769" s="130"/>
    </row>
    <row r="770" ht="15.75" customHeight="1">
      <c r="A770" s="278"/>
      <c r="B770" s="278"/>
      <c r="C770" s="278"/>
      <c r="D770" s="278"/>
      <c r="E770" s="132"/>
      <c r="F770" s="116"/>
      <c r="G770" s="116"/>
      <c r="H770" s="116"/>
      <c r="I770" s="373"/>
      <c r="J770" s="147"/>
      <c r="K770" s="116"/>
      <c r="L770" s="116"/>
      <c r="M770" s="116"/>
      <c r="N770" s="116"/>
      <c r="O770" s="116"/>
      <c r="P770" s="116"/>
      <c r="Q770" s="116"/>
      <c r="R770" s="116"/>
      <c r="S770" s="116"/>
      <c r="T770" s="116"/>
      <c r="U770" s="116"/>
      <c r="V770" s="116"/>
      <c r="W770" s="116"/>
      <c r="X770" s="278"/>
      <c r="Y770" s="142"/>
      <c r="Z770" s="142"/>
      <c r="AA770" s="142"/>
      <c r="AB770" s="142"/>
      <c r="AC770" s="142"/>
      <c r="AD770" s="142"/>
      <c r="AE770" s="142"/>
      <c r="AF770" s="130"/>
      <c r="AG770" s="142"/>
      <c r="AH770" s="142"/>
      <c r="AI770" s="142"/>
      <c r="AJ770" s="130"/>
      <c r="AK770" s="130"/>
      <c r="AL770" s="130"/>
      <c r="AM770" s="130"/>
    </row>
    <row r="771" ht="15.75" customHeight="1">
      <c r="A771" s="278"/>
      <c r="B771" s="278"/>
      <c r="C771" s="278"/>
      <c r="D771" s="278"/>
      <c r="E771" s="132"/>
      <c r="F771" s="116"/>
      <c r="G771" s="116"/>
      <c r="H771" s="116"/>
      <c r="I771" s="373"/>
      <c r="J771" s="147"/>
      <c r="K771" s="116"/>
      <c r="L771" s="116"/>
      <c r="M771" s="116"/>
      <c r="N771" s="116"/>
      <c r="O771" s="116"/>
      <c r="P771" s="116"/>
      <c r="Q771" s="116"/>
      <c r="R771" s="116"/>
      <c r="S771" s="116"/>
      <c r="T771" s="116"/>
      <c r="U771" s="116"/>
      <c r="V771" s="116"/>
      <c r="W771" s="116"/>
      <c r="X771" s="278"/>
      <c r="Y771" s="142"/>
      <c r="Z771" s="142"/>
      <c r="AA771" s="142"/>
      <c r="AB771" s="142"/>
      <c r="AC771" s="142"/>
      <c r="AD771" s="142"/>
      <c r="AE771" s="142"/>
      <c r="AF771" s="130"/>
      <c r="AG771" s="142"/>
      <c r="AH771" s="142"/>
      <c r="AI771" s="142"/>
      <c r="AJ771" s="130"/>
      <c r="AK771" s="130"/>
      <c r="AL771" s="130"/>
      <c r="AM771" s="130"/>
    </row>
    <row r="772" ht="15.75" customHeight="1">
      <c r="A772" s="278"/>
      <c r="B772" s="278"/>
      <c r="C772" s="278"/>
      <c r="D772" s="278"/>
      <c r="E772" s="132"/>
      <c r="F772" s="116"/>
      <c r="G772" s="116"/>
      <c r="H772" s="116"/>
      <c r="I772" s="373"/>
      <c r="J772" s="147"/>
      <c r="K772" s="116"/>
      <c r="L772" s="116"/>
      <c r="M772" s="116"/>
      <c r="N772" s="116"/>
      <c r="O772" s="116"/>
      <c r="P772" s="116"/>
      <c r="Q772" s="116"/>
      <c r="R772" s="116"/>
      <c r="S772" s="116"/>
      <c r="T772" s="116"/>
      <c r="U772" s="116"/>
      <c r="V772" s="116"/>
      <c r="W772" s="116"/>
      <c r="X772" s="278"/>
      <c r="Y772" s="142"/>
      <c r="Z772" s="142"/>
      <c r="AA772" s="142"/>
      <c r="AB772" s="142"/>
      <c r="AC772" s="142"/>
      <c r="AD772" s="142"/>
      <c r="AE772" s="142"/>
      <c r="AF772" s="130"/>
      <c r="AG772" s="142"/>
      <c r="AH772" s="142"/>
      <c r="AI772" s="142"/>
      <c r="AJ772" s="130"/>
      <c r="AK772" s="130"/>
      <c r="AL772" s="130"/>
      <c r="AM772" s="130"/>
    </row>
    <row r="773" ht="15.75" customHeight="1">
      <c r="A773" s="278"/>
      <c r="B773" s="278"/>
      <c r="C773" s="278"/>
      <c r="D773" s="278"/>
      <c r="E773" s="132"/>
      <c r="F773" s="116"/>
      <c r="G773" s="116"/>
      <c r="H773" s="116"/>
      <c r="I773" s="373"/>
      <c r="J773" s="147"/>
      <c r="K773" s="116"/>
      <c r="L773" s="116"/>
      <c r="M773" s="116"/>
      <c r="N773" s="116"/>
      <c r="O773" s="116"/>
      <c r="P773" s="116"/>
      <c r="Q773" s="116"/>
      <c r="R773" s="116"/>
      <c r="S773" s="116"/>
      <c r="T773" s="116"/>
      <c r="U773" s="116"/>
      <c r="V773" s="116"/>
      <c r="W773" s="116"/>
      <c r="X773" s="278"/>
      <c r="Y773" s="142"/>
      <c r="Z773" s="142"/>
      <c r="AA773" s="142"/>
      <c r="AB773" s="142"/>
      <c r="AC773" s="142"/>
      <c r="AD773" s="142"/>
      <c r="AE773" s="142"/>
      <c r="AF773" s="130"/>
      <c r="AG773" s="142"/>
      <c r="AH773" s="142"/>
      <c r="AI773" s="142"/>
      <c r="AJ773" s="130"/>
      <c r="AK773" s="130"/>
      <c r="AL773" s="130"/>
      <c r="AM773" s="130"/>
    </row>
    <row r="774" ht="15.75" customHeight="1">
      <c r="A774" s="278"/>
      <c r="B774" s="278"/>
      <c r="C774" s="278"/>
      <c r="D774" s="278"/>
      <c r="E774" s="132"/>
      <c r="F774" s="116"/>
      <c r="G774" s="116"/>
      <c r="H774" s="116"/>
      <c r="I774" s="373"/>
      <c r="J774" s="147"/>
      <c r="K774" s="116"/>
      <c r="L774" s="116"/>
      <c r="M774" s="116"/>
      <c r="N774" s="116"/>
      <c r="O774" s="116"/>
      <c r="P774" s="116"/>
      <c r="Q774" s="116"/>
      <c r="R774" s="116"/>
      <c r="S774" s="116"/>
      <c r="T774" s="116"/>
      <c r="U774" s="116"/>
      <c r="V774" s="116"/>
      <c r="W774" s="116"/>
      <c r="X774" s="278"/>
      <c r="Y774" s="142"/>
      <c r="Z774" s="142"/>
      <c r="AA774" s="142"/>
      <c r="AB774" s="142"/>
      <c r="AC774" s="142"/>
      <c r="AD774" s="142"/>
      <c r="AE774" s="142"/>
      <c r="AF774" s="130"/>
      <c r="AG774" s="142"/>
      <c r="AH774" s="142"/>
      <c r="AI774" s="142"/>
      <c r="AJ774" s="130"/>
      <c r="AK774" s="130"/>
      <c r="AL774" s="130"/>
      <c r="AM774" s="130"/>
    </row>
    <row r="775" ht="15.75" customHeight="1">
      <c r="A775" s="278"/>
      <c r="B775" s="278"/>
      <c r="C775" s="278"/>
      <c r="D775" s="278"/>
      <c r="E775" s="132"/>
      <c r="F775" s="116"/>
      <c r="G775" s="116"/>
      <c r="H775" s="116"/>
      <c r="I775" s="373"/>
      <c r="J775" s="147"/>
      <c r="K775" s="116"/>
      <c r="L775" s="116"/>
      <c r="M775" s="116"/>
      <c r="N775" s="116"/>
      <c r="O775" s="116"/>
      <c r="P775" s="116"/>
      <c r="Q775" s="116"/>
      <c r="R775" s="116"/>
      <c r="S775" s="116"/>
      <c r="T775" s="116"/>
      <c r="U775" s="116"/>
      <c r="V775" s="116"/>
      <c r="W775" s="116"/>
      <c r="X775" s="278"/>
      <c r="Y775" s="142"/>
      <c r="Z775" s="142"/>
      <c r="AA775" s="142"/>
      <c r="AB775" s="142"/>
      <c r="AC775" s="142"/>
      <c r="AD775" s="142"/>
      <c r="AE775" s="142"/>
      <c r="AF775" s="130"/>
      <c r="AG775" s="142"/>
      <c r="AH775" s="142"/>
      <c r="AI775" s="142"/>
      <c r="AJ775" s="130"/>
      <c r="AK775" s="130"/>
      <c r="AL775" s="130"/>
      <c r="AM775" s="130"/>
    </row>
    <row r="776" ht="15.75" customHeight="1">
      <c r="A776" s="278"/>
      <c r="B776" s="278"/>
      <c r="C776" s="278"/>
      <c r="D776" s="278"/>
      <c r="E776" s="132"/>
      <c r="F776" s="116"/>
      <c r="G776" s="116"/>
      <c r="H776" s="116"/>
      <c r="I776" s="373"/>
      <c r="J776" s="147"/>
      <c r="K776" s="116"/>
      <c r="L776" s="116"/>
      <c r="M776" s="116"/>
      <c r="N776" s="116"/>
      <c r="O776" s="116"/>
      <c r="P776" s="116"/>
      <c r="Q776" s="116"/>
      <c r="R776" s="116"/>
      <c r="S776" s="116"/>
      <c r="T776" s="116"/>
      <c r="U776" s="116"/>
      <c r="V776" s="116"/>
      <c r="W776" s="116"/>
      <c r="X776" s="278"/>
      <c r="Y776" s="142"/>
      <c r="Z776" s="142"/>
      <c r="AA776" s="142"/>
      <c r="AB776" s="142"/>
      <c r="AC776" s="142"/>
      <c r="AD776" s="142"/>
      <c r="AE776" s="142"/>
      <c r="AF776" s="130"/>
      <c r="AG776" s="142"/>
      <c r="AH776" s="142"/>
      <c r="AI776" s="142"/>
      <c r="AJ776" s="130"/>
      <c r="AK776" s="130"/>
      <c r="AL776" s="130"/>
      <c r="AM776" s="130"/>
    </row>
    <row r="777" ht="15.75" customHeight="1">
      <c r="A777" s="278"/>
      <c r="B777" s="278"/>
      <c r="C777" s="278"/>
      <c r="D777" s="278"/>
      <c r="E777" s="132"/>
      <c r="F777" s="116"/>
      <c r="G777" s="116"/>
      <c r="H777" s="116"/>
      <c r="I777" s="373"/>
      <c r="J777" s="147"/>
      <c r="K777" s="116"/>
      <c r="L777" s="116"/>
      <c r="M777" s="116"/>
      <c r="N777" s="116"/>
      <c r="O777" s="116"/>
      <c r="P777" s="116"/>
      <c r="Q777" s="116"/>
      <c r="R777" s="116"/>
      <c r="S777" s="116"/>
      <c r="T777" s="116"/>
      <c r="U777" s="116"/>
      <c r="V777" s="116"/>
      <c r="W777" s="116"/>
      <c r="X777" s="278"/>
      <c r="Y777" s="142"/>
      <c r="Z777" s="142"/>
      <c r="AA777" s="142"/>
      <c r="AB777" s="142"/>
      <c r="AC777" s="142"/>
      <c r="AD777" s="142"/>
      <c r="AE777" s="142"/>
      <c r="AF777" s="130"/>
      <c r="AG777" s="142"/>
      <c r="AH777" s="142"/>
      <c r="AI777" s="142"/>
      <c r="AJ777" s="130"/>
      <c r="AK777" s="130"/>
      <c r="AL777" s="130"/>
      <c r="AM777" s="130"/>
    </row>
    <row r="778" ht="15.75" customHeight="1">
      <c r="A778" s="278"/>
      <c r="B778" s="278"/>
      <c r="C778" s="278"/>
      <c r="D778" s="278"/>
      <c r="E778" s="132"/>
      <c r="F778" s="116"/>
      <c r="G778" s="116"/>
      <c r="H778" s="116"/>
      <c r="I778" s="373"/>
      <c r="J778" s="147"/>
      <c r="K778" s="116"/>
      <c r="L778" s="116"/>
      <c r="M778" s="116"/>
      <c r="N778" s="116"/>
      <c r="O778" s="116"/>
      <c r="P778" s="116"/>
      <c r="Q778" s="116"/>
      <c r="R778" s="116"/>
      <c r="S778" s="116"/>
      <c r="T778" s="116"/>
      <c r="U778" s="116"/>
      <c r="V778" s="116"/>
      <c r="W778" s="116"/>
      <c r="X778" s="278"/>
      <c r="Y778" s="142"/>
      <c r="Z778" s="142"/>
      <c r="AA778" s="142"/>
      <c r="AB778" s="142"/>
      <c r="AC778" s="142"/>
      <c r="AD778" s="142"/>
      <c r="AE778" s="142"/>
      <c r="AF778" s="130"/>
      <c r="AG778" s="142"/>
      <c r="AH778" s="142"/>
      <c r="AI778" s="142"/>
      <c r="AJ778" s="130"/>
      <c r="AK778" s="130"/>
      <c r="AL778" s="130"/>
      <c r="AM778" s="130"/>
    </row>
    <row r="779" ht="15.75" customHeight="1">
      <c r="A779" s="278"/>
      <c r="B779" s="278"/>
      <c r="C779" s="278"/>
      <c r="D779" s="278"/>
      <c r="E779" s="132"/>
      <c r="F779" s="116"/>
      <c r="G779" s="116"/>
      <c r="H779" s="116"/>
      <c r="I779" s="373"/>
      <c r="J779" s="147"/>
      <c r="K779" s="116"/>
      <c r="L779" s="116"/>
      <c r="M779" s="116"/>
      <c r="N779" s="116"/>
      <c r="O779" s="116"/>
      <c r="P779" s="116"/>
      <c r="Q779" s="116"/>
      <c r="R779" s="116"/>
      <c r="S779" s="116"/>
      <c r="T779" s="116"/>
      <c r="U779" s="116"/>
      <c r="V779" s="116"/>
      <c r="W779" s="116"/>
      <c r="X779" s="278"/>
      <c r="Y779" s="142"/>
      <c r="Z779" s="142"/>
      <c r="AA779" s="142"/>
      <c r="AB779" s="142"/>
      <c r="AC779" s="142"/>
      <c r="AD779" s="142"/>
      <c r="AE779" s="142"/>
      <c r="AF779" s="130"/>
      <c r="AG779" s="142"/>
      <c r="AH779" s="142"/>
      <c r="AI779" s="142"/>
      <c r="AJ779" s="130"/>
      <c r="AK779" s="130"/>
      <c r="AL779" s="130"/>
      <c r="AM779" s="130"/>
    </row>
    <row r="780" ht="15.75" customHeight="1">
      <c r="A780" s="278"/>
      <c r="B780" s="278"/>
      <c r="C780" s="278"/>
      <c r="D780" s="278"/>
      <c r="E780" s="132"/>
      <c r="F780" s="116"/>
      <c r="G780" s="116"/>
      <c r="H780" s="116"/>
      <c r="I780" s="373"/>
      <c r="J780" s="147"/>
      <c r="K780" s="116"/>
      <c r="L780" s="116"/>
      <c r="M780" s="116"/>
      <c r="N780" s="116"/>
      <c r="O780" s="116"/>
      <c r="P780" s="116"/>
      <c r="Q780" s="116"/>
      <c r="R780" s="116"/>
      <c r="S780" s="116"/>
      <c r="T780" s="116"/>
      <c r="U780" s="116"/>
      <c r="V780" s="116"/>
      <c r="W780" s="116"/>
      <c r="X780" s="278"/>
      <c r="Y780" s="142"/>
      <c r="Z780" s="142"/>
      <c r="AA780" s="142"/>
      <c r="AB780" s="142"/>
      <c r="AC780" s="142"/>
      <c r="AD780" s="142"/>
      <c r="AE780" s="142"/>
      <c r="AF780" s="130"/>
      <c r="AG780" s="142"/>
      <c r="AH780" s="142"/>
      <c r="AI780" s="142"/>
      <c r="AJ780" s="130"/>
      <c r="AK780" s="130"/>
      <c r="AL780" s="130"/>
      <c r="AM780" s="130"/>
    </row>
    <row r="781" ht="15.75" customHeight="1">
      <c r="A781" s="278"/>
      <c r="B781" s="278"/>
      <c r="C781" s="278"/>
      <c r="D781" s="278"/>
      <c r="E781" s="132"/>
      <c r="F781" s="116"/>
      <c r="G781" s="116"/>
      <c r="H781" s="116"/>
      <c r="I781" s="373"/>
      <c r="J781" s="147"/>
      <c r="K781" s="116"/>
      <c r="L781" s="116"/>
      <c r="M781" s="116"/>
      <c r="N781" s="116"/>
      <c r="O781" s="116"/>
      <c r="P781" s="116"/>
      <c r="Q781" s="116"/>
      <c r="R781" s="116"/>
      <c r="S781" s="116"/>
      <c r="T781" s="116"/>
      <c r="U781" s="116"/>
      <c r="V781" s="116"/>
      <c r="W781" s="116"/>
      <c r="X781" s="278"/>
      <c r="Y781" s="142"/>
      <c r="Z781" s="142"/>
      <c r="AA781" s="142"/>
      <c r="AB781" s="142"/>
      <c r="AC781" s="142"/>
      <c r="AD781" s="142"/>
      <c r="AE781" s="142"/>
      <c r="AF781" s="130"/>
      <c r="AG781" s="142"/>
      <c r="AH781" s="142"/>
      <c r="AI781" s="142"/>
      <c r="AJ781" s="130"/>
      <c r="AK781" s="130"/>
      <c r="AL781" s="130"/>
      <c r="AM781" s="130"/>
    </row>
    <row r="782" ht="15.75" customHeight="1">
      <c r="A782" s="278"/>
      <c r="B782" s="278"/>
      <c r="C782" s="278"/>
      <c r="D782" s="278"/>
      <c r="E782" s="132"/>
      <c r="F782" s="116"/>
      <c r="G782" s="116"/>
      <c r="H782" s="116"/>
      <c r="I782" s="373"/>
      <c r="J782" s="147"/>
      <c r="K782" s="116"/>
      <c r="L782" s="116"/>
      <c r="M782" s="116"/>
      <c r="N782" s="116"/>
      <c r="O782" s="116"/>
      <c r="P782" s="116"/>
      <c r="Q782" s="116"/>
      <c r="R782" s="116"/>
      <c r="S782" s="116"/>
      <c r="T782" s="116"/>
      <c r="U782" s="116"/>
      <c r="V782" s="116"/>
      <c r="W782" s="116"/>
      <c r="X782" s="278"/>
      <c r="Y782" s="142"/>
      <c r="Z782" s="142"/>
      <c r="AA782" s="142"/>
      <c r="AB782" s="142"/>
      <c r="AC782" s="142"/>
      <c r="AD782" s="142"/>
      <c r="AE782" s="142"/>
      <c r="AF782" s="130"/>
      <c r="AG782" s="142"/>
      <c r="AH782" s="142"/>
      <c r="AI782" s="142"/>
      <c r="AJ782" s="130"/>
      <c r="AK782" s="130"/>
      <c r="AL782" s="130"/>
      <c r="AM782" s="130"/>
    </row>
    <row r="783" ht="15.75" customHeight="1">
      <c r="A783" s="278"/>
      <c r="B783" s="278"/>
      <c r="C783" s="278"/>
      <c r="D783" s="278"/>
      <c r="E783" s="132"/>
      <c r="F783" s="116"/>
      <c r="G783" s="116"/>
      <c r="H783" s="116"/>
      <c r="I783" s="373"/>
      <c r="J783" s="147"/>
      <c r="K783" s="116"/>
      <c r="L783" s="116"/>
      <c r="M783" s="116"/>
      <c r="N783" s="116"/>
      <c r="O783" s="116"/>
      <c r="P783" s="116"/>
      <c r="Q783" s="116"/>
      <c r="R783" s="116"/>
      <c r="S783" s="116"/>
      <c r="T783" s="116"/>
      <c r="U783" s="116"/>
      <c r="V783" s="116"/>
      <c r="W783" s="116"/>
      <c r="X783" s="278"/>
      <c r="Y783" s="142"/>
      <c r="Z783" s="142"/>
      <c r="AA783" s="142"/>
      <c r="AB783" s="142"/>
      <c r="AC783" s="142"/>
      <c r="AD783" s="142"/>
      <c r="AE783" s="142"/>
      <c r="AF783" s="130"/>
      <c r="AG783" s="142"/>
      <c r="AH783" s="142"/>
      <c r="AI783" s="142"/>
      <c r="AJ783" s="130"/>
      <c r="AK783" s="130"/>
      <c r="AL783" s="130"/>
      <c r="AM783" s="130"/>
    </row>
    <row r="784" ht="15.75" customHeight="1">
      <c r="A784" s="278"/>
      <c r="B784" s="278"/>
      <c r="C784" s="278"/>
      <c r="D784" s="278"/>
      <c r="E784" s="132"/>
      <c r="F784" s="116"/>
      <c r="G784" s="116"/>
      <c r="H784" s="116"/>
      <c r="I784" s="373"/>
      <c r="J784" s="147"/>
      <c r="K784" s="116"/>
      <c r="L784" s="116"/>
      <c r="M784" s="116"/>
      <c r="N784" s="116"/>
      <c r="O784" s="116"/>
      <c r="P784" s="116"/>
      <c r="Q784" s="116"/>
      <c r="R784" s="116"/>
      <c r="S784" s="116"/>
      <c r="T784" s="116"/>
      <c r="U784" s="116"/>
      <c r="V784" s="116"/>
      <c r="W784" s="116"/>
      <c r="X784" s="278"/>
      <c r="Y784" s="142"/>
      <c r="Z784" s="142"/>
      <c r="AA784" s="142"/>
      <c r="AB784" s="142"/>
      <c r="AC784" s="142"/>
      <c r="AD784" s="142"/>
      <c r="AE784" s="142"/>
      <c r="AF784" s="130"/>
      <c r="AG784" s="142"/>
      <c r="AH784" s="142"/>
      <c r="AI784" s="142"/>
      <c r="AJ784" s="130"/>
      <c r="AK784" s="130"/>
      <c r="AL784" s="130"/>
      <c r="AM784" s="130"/>
    </row>
    <row r="785" ht="15.75" customHeight="1">
      <c r="A785" s="278"/>
      <c r="B785" s="278"/>
      <c r="C785" s="278"/>
      <c r="D785" s="278"/>
      <c r="E785" s="132"/>
      <c r="F785" s="116"/>
      <c r="G785" s="116"/>
      <c r="H785" s="116"/>
      <c r="I785" s="373"/>
      <c r="J785" s="147"/>
      <c r="K785" s="116"/>
      <c r="L785" s="116"/>
      <c r="M785" s="116"/>
      <c r="N785" s="116"/>
      <c r="O785" s="116"/>
      <c r="P785" s="116"/>
      <c r="Q785" s="116"/>
      <c r="R785" s="116"/>
      <c r="S785" s="116"/>
      <c r="T785" s="116"/>
      <c r="U785" s="116"/>
      <c r="V785" s="116"/>
      <c r="W785" s="116"/>
      <c r="X785" s="278"/>
      <c r="Y785" s="142"/>
      <c r="Z785" s="142"/>
      <c r="AA785" s="142"/>
      <c r="AB785" s="142"/>
      <c r="AC785" s="142"/>
      <c r="AD785" s="142"/>
      <c r="AE785" s="142"/>
      <c r="AF785" s="130"/>
      <c r="AG785" s="142"/>
      <c r="AH785" s="142"/>
      <c r="AI785" s="142"/>
      <c r="AJ785" s="130"/>
      <c r="AK785" s="130"/>
      <c r="AL785" s="130"/>
      <c r="AM785" s="130"/>
    </row>
    <row r="786" ht="15.75" customHeight="1">
      <c r="A786" s="278"/>
      <c r="B786" s="278"/>
      <c r="C786" s="278"/>
      <c r="D786" s="278"/>
      <c r="E786" s="132"/>
      <c r="F786" s="116"/>
      <c r="G786" s="116"/>
      <c r="H786" s="116"/>
      <c r="I786" s="373"/>
      <c r="J786" s="147"/>
      <c r="K786" s="116"/>
      <c r="L786" s="116"/>
      <c r="M786" s="116"/>
      <c r="N786" s="116"/>
      <c r="O786" s="116"/>
      <c r="P786" s="116"/>
      <c r="Q786" s="116"/>
      <c r="R786" s="116"/>
      <c r="S786" s="116"/>
      <c r="T786" s="116"/>
      <c r="U786" s="116"/>
      <c r="V786" s="116"/>
      <c r="W786" s="116"/>
      <c r="X786" s="278"/>
      <c r="Y786" s="142"/>
      <c r="Z786" s="142"/>
      <c r="AA786" s="142"/>
      <c r="AB786" s="142"/>
      <c r="AC786" s="142"/>
      <c r="AD786" s="142"/>
      <c r="AE786" s="142"/>
      <c r="AF786" s="130"/>
      <c r="AG786" s="142"/>
      <c r="AH786" s="142"/>
      <c r="AI786" s="142"/>
      <c r="AJ786" s="130"/>
      <c r="AK786" s="130"/>
      <c r="AL786" s="130"/>
      <c r="AM786" s="130"/>
    </row>
    <row r="787" ht="15.75" customHeight="1">
      <c r="A787" s="278"/>
      <c r="B787" s="278"/>
      <c r="C787" s="278"/>
      <c r="D787" s="278"/>
      <c r="E787" s="132"/>
      <c r="F787" s="116"/>
      <c r="G787" s="116"/>
      <c r="H787" s="116"/>
      <c r="I787" s="373"/>
      <c r="J787" s="147"/>
      <c r="K787" s="116"/>
      <c r="L787" s="116"/>
      <c r="M787" s="116"/>
      <c r="N787" s="116"/>
      <c r="O787" s="116"/>
      <c r="P787" s="116"/>
      <c r="Q787" s="116"/>
      <c r="R787" s="116"/>
      <c r="S787" s="116"/>
      <c r="T787" s="116"/>
      <c r="U787" s="116"/>
      <c r="V787" s="116"/>
      <c r="W787" s="116"/>
      <c r="X787" s="278"/>
      <c r="Y787" s="142"/>
      <c r="Z787" s="142"/>
      <c r="AA787" s="142"/>
      <c r="AB787" s="142"/>
      <c r="AC787" s="142"/>
      <c r="AD787" s="142"/>
      <c r="AE787" s="142"/>
      <c r="AF787" s="130"/>
      <c r="AG787" s="142"/>
      <c r="AH787" s="142"/>
      <c r="AI787" s="142"/>
      <c r="AJ787" s="130"/>
      <c r="AK787" s="130"/>
      <c r="AL787" s="130"/>
      <c r="AM787" s="130"/>
    </row>
    <row r="788" ht="15.75" customHeight="1">
      <c r="A788" s="278"/>
      <c r="B788" s="278"/>
      <c r="C788" s="278"/>
      <c r="D788" s="278"/>
      <c r="E788" s="132"/>
      <c r="F788" s="116"/>
      <c r="G788" s="116"/>
      <c r="H788" s="116"/>
      <c r="I788" s="373"/>
      <c r="J788" s="147"/>
      <c r="K788" s="116"/>
      <c r="L788" s="116"/>
      <c r="M788" s="116"/>
      <c r="N788" s="116"/>
      <c r="O788" s="116"/>
      <c r="P788" s="116"/>
      <c r="Q788" s="116"/>
      <c r="R788" s="116"/>
      <c r="S788" s="116"/>
      <c r="T788" s="116"/>
      <c r="U788" s="116"/>
      <c r="V788" s="116"/>
      <c r="W788" s="116"/>
      <c r="X788" s="278"/>
      <c r="Y788" s="142"/>
      <c r="Z788" s="142"/>
      <c r="AA788" s="142"/>
      <c r="AB788" s="142"/>
      <c r="AC788" s="142"/>
      <c r="AD788" s="142"/>
      <c r="AE788" s="142"/>
      <c r="AF788" s="130"/>
      <c r="AG788" s="142"/>
      <c r="AH788" s="142"/>
      <c r="AI788" s="142"/>
      <c r="AJ788" s="130"/>
      <c r="AK788" s="130"/>
      <c r="AL788" s="130"/>
      <c r="AM788" s="130"/>
    </row>
    <row r="789" ht="15.75" customHeight="1">
      <c r="A789" s="278"/>
      <c r="B789" s="278"/>
      <c r="C789" s="278"/>
      <c r="D789" s="278"/>
      <c r="E789" s="132"/>
      <c r="F789" s="116"/>
      <c r="G789" s="116"/>
      <c r="H789" s="116"/>
      <c r="I789" s="373"/>
      <c r="J789" s="147"/>
      <c r="K789" s="116"/>
      <c r="L789" s="116"/>
      <c r="M789" s="116"/>
      <c r="N789" s="116"/>
      <c r="O789" s="116"/>
      <c r="P789" s="116"/>
      <c r="Q789" s="116"/>
      <c r="R789" s="116"/>
      <c r="S789" s="116"/>
      <c r="T789" s="116"/>
      <c r="U789" s="116"/>
      <c r="V789" s="116"/>
      <c r="W789" s="116"/>
      <c r="X789" s="278"/>
      <c r="Y789" s="142"/>
      <c r="Z789" s="142"/>
      <c r="AA789" s="142"/>
      <c r="AB789" s="142"/>
      <c r="AC789" s="142"/>
      <c r="AD789" s="142"/>
      <c r="AE789" s="142"/>
      <c r="AF789" s="130"/>
      <c r="AG789" s="142"/>
      <c r="AH789" s="142"/>
      <c r="AI789" s="142"/>
      <c r="AJ789" s="130"/>
      <c r="AK789" s="130"/>
      <c r="AL789" s="130"/>
      <c r="AM789" s="130"/>
    </row>
    <row r="790" ht="15.75" customHeight="1">
      <c r="A790" s="278"/>
      <c r="B790" s="278"/>
      <c r="C790" s="278"/>
      <c r="D790" s="278"/>
      <c r="E790" s="132"/>
      <c r="F790" s="116"/>
      <c r="G790" s="116"/>
      <c r="H790" s="116"/>
      <c r="I790" s="373"/>
      <c r="J790" s="147"/>
      <c r="K790" s="116"/>
      <c r="L790" s="116"/>
      <c r="M790" s="116"/>
      <c r="N790" s="116"/>
      <c r="O790" s="116"/>
      <c r="P790" s="116"/>
      <c r="Q790" s="116"/>
      <c r="R790" s="116"/>
      <c r="S790" s="116"/>
      <c r="T790" s="116"/>
      <c r="U790" s="116"/>
      <c r="V790" s="116"/>
      <c r="W790" s="116"/>
      <c r="X790" s="278"/>
      <c r="Y790" s="142"/>
      <c r="Z790" s="142"/>
      <c r="AA790" s="142"/>
      <c r="AB790" s="142"/>
      <c r="AC790" s="142"/>
      <c r="AD790" s="142"/>
      <c r="AE790" s="142"/>
      <c r="AF790" s="130"/>
      <c r="AG790" s="142"/>
      <c r="AH790" s="142"/>
      <c r="AI790" s="142"/>
      <c r="AJ790" s="130"/>
      <c r="AK790" s="130"/>
      <c r="AL790" s="130"/>
      <c r="AM790" s="130"/>
    </row>
    <row r="791" ht="15.75" customHeight="1">
      <c r="A791" s="278"/>
      <c r="B791" s="278"/>
      <c r="C791" s="278"/>
      <c r="D791" s="278"/>
      <c r="E791" s="132"/>
      <c r="F791" s="116"/>
      <c r="G791" s="116"/>
      <c r="H791" s="116"/>
      <c r="I791" s="373"/>
      <c r="J791" s="147"/>
      <c r="K791" s="116"/>
      <c r="L791" s="116"/>
      <c r="M791" s="116"/>
      <c r="N791" s="116"/>
      <c r="O791" s="116"/>
      <c r="P791" s="116"/>
      <c r="Q791" s="116"/>
      <c r="R791" s="116"/>
      <c r="S791" s="116"/>
      <c r="T791" s="116"/>
      <c r="U791" s="116"/>
      <c r="V791" s="116"/>
      <c r="W791" s="116"/>
      <c r="X791" s="278"/>
      <c r="Y791" s="142"/>
      <c r="Z791" s="142"/>
      <c r="AA791" s="142"/>
      <c r="AB791" s="142"/>
      <c r="AC791" s="142"/>
      <c r="AD791" s="142"/>
      <c r="AE791" s="142"/>
      <c r="AF791" s="130"/>
      <c r="AG791" s="142"/>
      <c r="AH791" s="142"/>
      <c r="AI791" s="142"/>
      <c r="AJ791" s="130"/>
      <c r="AK791" s="130"/>
      <c r="AL791" s="130"/>
      <c r="AM791" s="130"/>
    </row>
    <row r="792" ht="15.75" customHeight="1">
      <c r="A792" s="278"/>
      <c r="B792" s="278"/>
      <c r="C792" s="278"/>
      <c r="D792" s="278"/>
      <c r="E792" s="132"/>
      <c r="F792" s="116"/>
      <c r="G792" s="116"/>
      <c r="H792" s="116"/>
      <c r="I792" s="373"/>
      <c r="J792" s="147"/>
      <c r="K792" s="116"/>
      <c r="L792" s="116"/>
      <c r="M792" s="116"/>
      <c r="N792" s="116"/>
      <c r="O792" s="116"/>
      <c r="P792" s="116"/>
      <c r="Q792" s="116"/>
      <c r="R792" s="116"/>
      <c r="S792" s="116"/>
      <c r="T792" s="116"/>
      <c r="U792" s="116"/>
      <c r="V792" s="116"/>
      <c r="W792" s="116"/>
      <c r="X792" s="278"/>
      <c r="Y792" s="142"/>
      <c r="Z792" s="142"/>
      <c r="AA792" s="142"/>
      <c r="AB792" s="142"/>
      <c r="AC792" s="142"/>
      <c r="AD792" s="142"/>
      <c r="AE792" s="142"/>
      <c r="AF792" s="130"/>
      <c r="AG792" s="142"/>
      <c r="AH792" s="142"/>
      <c r="AI792" s="142"/>
      <c r="AJ792" s="130"/>
      <c r="AK792" s="130"/>
      <c r="AL792" s="130"/>
      <c r="AM792" s="130"/>
    </row>
    <row r="793" ht="15.75" customHeight="1">
      <c r="A793" s="278"/>
      <c r="B793" s="278"/>
      <c r="C793" s="278"/>
      <c r="D793" s="278"/>
      <c r="E793" s="132"/>
      <c r="F793" s="116"/>
      <c r="G793" s="116"/>
      <c r="H793" s="116"/>
      <c r="I793" s="373"/>
      <c r="J793" s="147"/>
      <c r="K793" s="116"/>
      <c r="L793" s="116"/>
      <c r="M793" s="116"/>
      <c r="N793" s="116"/>
      <c r="O793" s="116"/>
      <c r="P793" s="116"/>
      <c r="Q793" s="116"/>
      <c r="R793" s="116"/>
      <c r="S793" s="116"/>
      <c r="T793" s="116"/>
      <c r="U793" s="116"/>
      <c r="V793" s="116"/>
      <c r="W793" s="116"/>
      <c r="X793" s="278"/>
      <c r="Y793" s="142"/>
      <c r="Z793" s="142"/>
      <c r="AA793" s="142"/>
      <c r="AB793" s="142"/>
      <c r="AC793" s="142"/>
      <c r="AD793" s="142"/>
      <c r="AE793" s="142"/>
      <c r="AF793" s="130"/>
      <c r="AG793" s="142"/>
      <c r="AH793" s="142"/>
      <c r="AI793" s="142"/>
      <c r="AJ793" s="130"/>
      <c r="AK793" s="130"/>
      <c r="AL793" s="130"/>
      <c r="AM793" s="130"/>
    </row>
    <row r="794" ht="15.75" customHeight="1">
      <c r="A794" s="278"/>
      <c r="B794" s="278"/>
      <c r="C794" s="278"/>
      <c r="D794" s="278"/>
      <c r="E794" s="132"/>
      <c r="F794" s="116"/>
      <c r="G794" s="116"/>
      <c r="H794" s="116"/>
      <c r="I794" s="373"/>
      <c r="J794" s="147"/>
      <c r="K794" s="116"/>
      <c r="L794" s="116"/>
      <c r="M794" s="116"/>
      <c r="N794" s="116"/>
      <c r="O794" s="116"/>
      <c r="P794" s="116"/>
      <c r="Q794" s="116"/>
      <c r="R794" s="116"/>
      <c r="S794" s="116"/>
      <c r="T794" s="116"/>
      <c r="U794" s="116"/>
      <c r="V794" s="116"/>
      <c r="W794" s="116"/>
      <c r="X794" s="278"/>
      <c r="Y794" s="142"/>
      <c r="Z794" s="142"/>
      <c r="AA794" s="142"/>
      <c r="AB794" s="142"/>
      <c r="AC794" s="142"/>
      <c r="AD794" s="142"/>
      <c r="AE794" s="142"/>
      <c r="AF794" s="130"/>
      <c r="AG794" s="142"/>
      <c r="AH794" s="142"/>
      <c r="AI794" s="142"/>
      <c r="AJ794" s="130"/>
      <c r="AK794" s="130"/>
      <c r="AL794" s="130"/>
      <c r="AM794" s="130"/>
    </row>
    <row r="795" ht="15.75" customHeight="1">
      <c r="A795" s="278"/>
      <c r="B795" s="278"/>
      <c r="C795" s="278"/>
      <c r="D795" s="278"/>
      <c r="E795" s="132"/>
      <c r="F795" s="116"/>
      <c r="G795" s="116"/>
      <c r="H795" s="116"/>
      <c r="I795" s="373"/>
      <c r="J795" s="147"/>
      <c r="K795" s="116"/>
      <c r="L795" s="116"/>
      <c r="M795" s="116"/>
      <c r="N795" s="116"/>
      <c r="O795" s="116"/>
      <c r="P795" s="116"/>
      <c r="Q795" s="116"/>
      <c r="R795" s="116"/>
      <c r="S795" s="116"/>
      <c r="T795" s="116"/>
      <c r="U795" s="116"/>
      <c r="V795" s="116"/>
      <c r="W795" s="116"/>
      <c r="X795" s="278"/>
      <c r="Y795" s="142"/>
      <c r="Z795" s="142"/>
      <c r="AA795" s="142"/>
      <c r="AB795" s="142"/>
      <c r="AC795" s="142"/>
      <c r="AD795" s="142"/>
      <c r="AE795" s="142"/>
      <c r="AF795" s="130"/>
      <c r="AG795" s="142"/>
      <c r="AH795" s="142"/>
      <c r="AI795" s="142"/>
      <c r="AJ795" s="130"/>
      <c r="AK795" s="130"/>
      <c r="AL795" s="130"/>
      <c r="AM795" s="130"/>
    </row>
    <row r="796" ht="15.75" customHeight="1">
      <c r="A796" s="278"/>
      <c r="B796" s="278"/>
      <c r="C796" s="278"/>
      <c r="D796" s="278"/>
      <c r="E796" s="132"/>
      <c r="F796" s="116"/>
      <c r="G796" s="116"/>
      <c r="H796" s="116"/>
      <c r="I796" s="373"/>
      <c r="J796" s="147"/>
      <c r="K796" s="116"/>
      <c r="L796" s="116"/>
      <c r="M796" s="116"/>
      <c r="N796" s="116"/>
      <c r="O796" s="116"/>
      <c r="P796" s="116"/>
      <c r="Q796" s="116"/>
      <c r="R796" s="116"/>
      <c r="S796" s="116"/>
      <c r="T796" s="116"/>
      <c r="U796" s="116"/>
      <c r="V796" s="116"/>
      <c r="W796" s="116"/>
      <c r="X796" s="278"/>
      <c r="Y796" s="142"/>
      <c r="Z796" s="142"/>
      <c r="AA796" s="142"/>
      <c r="AB796" s="142"/>
      <c r="AC796" s="142"/>
      <c r="AD796" s="142"/>
      <c r="AE796" s="142"/>
      <c r="AF796" s="130"/>
      <c r="AG796" s="142"/>
      <c r="AH796" s="142"/>
      <c r="AI796" s="142"/>
      <c r="AJ796" s="130"/>
      <c r="AK796" s="130"/>
      <c r="AL796" s="130"/>
      <c r="AM796" s="130"/>
    </row>
    <row r="797" ht="15.75" customHeight="1">
      <c r="A797" s="278"/>
      <c r="B797" s="278"/>
      <c r="C797" s="278"/>
      <c r="D797" s="278"/>
      <c r="E797" s="132"/>
      <c r="F797" s="116"/>
      <c r="G797" s="116"/>
      <c r="H797" s="116"/>
      <c r="I797" s="373"/>
      <c r="J797" s="147"/>
      <c r="K797" s="116"/>
      <c r="L797" s="116"/>
      <c r="M797" s="116"/>
      <c r="N797" s="116"/>
      <c r="O797" s="116"/>
      <c r="P797" s="116"/>
      <c r="Q797" s="116"/>
      <c r="R797" s="116"/>
      <c r="S797" s="116"/>
      <c r="T797" s="116"/>
      <c r="U797" s="116"/>
      <c r="V797" s="116"/>
      <c r="W797" s="116"/>
      <c r="X797" s="278"/>
      <c r="Y797" s="142"/>
      <c r="Z797" s="142"/>
      <c r="AA797" s="142"/>
      <c r="AB797" s="142"/>
      <c r="AC797" s="142"/>
      <c r="AD797" s="142"/>
      <c r="AE797" s="142"/>
      <c r="AF797" s="130"/>
      <c r="AG797" s="142"/>
      <c r="AH797" s="142"/>
      <c r="AI797" s="142"/>
      <c r="AJ797" s="130"/>
      <c r="AK797" s="130"/>
      <c r="AL797" s="130"/>
      <c r="AM797" s="130"/>
    </row>
    <row r="798" ht="15.75" customHeight="1">
      <c r="A798" s="278"/>
      <c r="B798" s="278"/>
      <c r="C798" s="278"/>
      <c r="D798" s="278"/>
      <c r="E798" s="132"/>
      <c r="F798" s="116"/>
      <c r="G798" s="116"/>
      <c r="H798" s="116"/>
      <c r="I798" s="373"/>
      <c r="J798" s="147"/>
      <c r="K798" s="116"/>
      <c r="L798" s="116"/>
      <c r="M798" s="116"/>
      <c r="N798" s="116"/>
      <c r="O798" s="116"/>
      <c r="P798" s="116"/>
      <c r="Q798" s="116"/>
      <c r="R798" s="116"/>
      <c r="S798" s="116"/>
      <c r="T798" s="116"/>
      <c r="U798" s="116"/>
      <c r="V798" s="116"/>
      <c r="W798" s="116"/>
      <c r="X798" s="278"/>
      <c r="Y798" s="142"/>
      <c r="Z798" s="142"/>
      <c r="AA798" s="142"/>
      <c r="AB798" s="142"/>
      <c r="AC798" s="142"/>
      <c r="AD798" s="142"/>
      <c r="AE798" s="142"/>
      <c r="AF798" s="130"/>
      <c r="AG798" s="142"/>
      <c r="AH798" s="142"/>
      <c r="AI798" s="142"/>
      <c r="AJ798" s="130"/>
      <c r="AK798" s="130"/>
      <c r="AL798" s="130"/>
      <c r="AM798" s="130"/>
    </row>
    <row r="799" ht="15.75" customHeight="1">
      <c r="A799" s="278"/>
      <c r="B799" s="278"/>
      <c r="C799" s="278"/>
      <c r="D799" s="278"/>
      <c r="E799" s="132"/>
      <c r="F799" s="116"/>
      <c r="G799" s="116"/>
      <c r="H799" s="116"/>
      <c r="I799" s="373"/>
      <c r="J799" s="147"/>
      <c r="K799" s="116"/>
      <c r="L799" s="116"/>
      <c r="M799" s="116"/>
      <c r="N799" s="116"/>
      <c r="O799" s="116"/>
      <c r="P799" s="116"/>
      <c r="Q799" s="116"/>
      <c r="R799" s="116"/>
      <c r="S799" s="116"/>
      <c r="T799" s="116"/>
      <c r="U799" s="116"/>
      <c r="V799" s="116"/>
      <c r="W799" s="116"/>
      <c r="X799" s="278"/>
      <c r="Y799" s="142"/>
      <c r="Z799" s="142"/>
      <c r="AA799" s="142"/>
      <c r="AB799" s="142"/>
      <c r="AC799" s="142"/>
      <c r="AD799" s="142"/>
      <c r="AE799" s="142"/>
      <c r="AF799" s="130"/>
      <c r="AG799" s="142"/>
      <c r="AH799" s="142"/>
      <c r="AI799" s="142"/>
      <c r="AJ799" s="130"/>
      <c r="AK799" s="130"/>
      <c r="AL799" s="130"/>
      <c r="AM799" s="130"/>
    </row>
    <row r="800" ht="15.75" customHeight="1">
      <c r="A800" s="278"/>
      <c r="B800" s="278"/>
      <c r="C800" s="278"/>
      <c r="D800" s="278"/>
      <c r="E800" s="132"/>
      <c r="F800" s="116"/>
      <c r="G800" s="116"/>
      <c r="H800" s="116"/>
      <c r="I800" s="373"/>
      <c r="J800" s="147"/>
      <c r="K800" s="116"/>
      <c r="L800" s="116"/>
      <c r="M800" s="116"/>
      <c r="N800" s="116"/>
      <c r="O800" s="116"/>
      <c r="P800" s="116"/>
      <c r="Q800" s="116"/>
      <c r="R800" s="116"/>
      <c r="S800" s="116"/>
      <c r="T800" s="116"/>
      <c r="U800" s="116"/>
      <c r="V800" s="116"/>
      <c r="W800" s="116"/>
      <c r="X800" s="278"/>
      <c r="Y800" s="142"/>
      <c r="Z800" s="142"/>
      <c r="AA800" s="142"/>
      <c r="AB800" s="142"/>
      <c r="AC800" s="142"/>
      <c r="AD800" s="142"/>
      <c r="AE800" s="142"/>
      <c r="AF800" s="130"/>
      <c r="AG800" s="142"/>
      <c r="AH800" s="142"/>
      <c r="AI800" s="142"/>
      <c r="AJ800" s="130"/>
      <c r="AK800" s="130"/>
      <c r="AL800" s="130"/>
      <c r="AM800" s="130"/>
    </row>
    <row r="801" ht="15.75" customHeight="1">
      <c r="A801" s="278"/>
      <c r="B801" s="278"/>
      <c r="C801" s="278"/>
      <c r="D801" s="278"/>
      <c r="E801" s="132"/>
      <c r="F801" s="116"/>
      <c r="G801" s="116"/>
      <c r="H801" s="116"/>
      <c r="I801" s="373"/>
      <c r="J801" s="147"/>
      <c r="K801" s="116"/>
      <c r="L801" s="116"/>
      <c r="M801" s="116"/>
      <c r="N801" s="116"/>
      <c r="O801" s="116"/>
      <c r="P801" s="116"/>
      <c r="Q801" s="116"/>
      <c r="R801" s="116"/>
      <c r="S801" s="116"/>
      <c r="T801" s="116"/>
      <c r="U801" s="116"/>
      <c r="V801" s="116"/>
      <c r="W801" s="116"/>
      <c r="X801" s="278"/>
      <c r="Y801" s="142"/>
      <c r="Z801" s="142"/>
      <c r="AA801" s="142"/>
      <c r="AB801" s="142"/>
      <c r="AC801" s="142"/>
      <c r="AD801" s="142"/>
      <c r="AE801" s="142"/>
      <c r="AF801" s="130"/>
      <c r="AG801" s="142"/>
      <c r="AH801" s="142"/>
      <c r="AI801" s="142"/>
      <c r="AJ801" s="130"/>
      <c r="AK801" s="130"/>
      <c r="AL801" s="130"/>
      <c r="AM801" s="130"/>
    </row>
    <row r="802" ht="15.75" customHeight="1">
      <c r="A802" s="278"/>
      <c r="B802" s="278"/>
      <c r="C802" s="278"/>
      <c r="D802" s="278"/>
      <c r="E802" s="132"/>
      <c r="F802" s="116"/>
      <c r="G802" s="116"/>
      <c r="H802" s="116"/>
      <c r="I802" s="373"/>
      <c r="J802" s="147"/>
      <c r="K802" s="116"/>
      <c r="L802" s="116"/>
      <c r="M802" s="116"/>
      <c r="N802" s="116"/>
      <c r="O802" s="116"/>
      <c r="P802" s="116"/>
      <c r="Q802" s="116"/>
      <c r="R802" s="116"/>
      <c r="S802" s="116"/>
      <c r="T802" s="116"/>
      <c r="U802" s="116"/>
      <c r="V802" s="116"/>
      <c r="W802" s="116"/>
      <c r="X802" s="278"/>
      <c r="Y802" s="142"/>
      <c r="Z802" s="142"/>
      <c r="AA802" s="142"/>
      <c r="AB802" s="142"/>
      <c r="AC802" s="142"/>
      <c r="AD802" s="142"/>
      <c r="AE802" s="142"/>
      <c r="AF802" s="130"/>
      <c r="AG802" s="142"/>
      <c r="AH802" s="142"/>
      <c r="AI802" s="142"/>
      <c r="AJ802" s="130"/>
      <c r="AK802" s="130"/>
      <c r="AL802" s="130"/>
      <c r="AM802" s="130"/>
    </row>
    <row r="803" ht="15.75" customHeight="1">
      <c r="A803" s="278"/>
      <c r="B803" s="278"/>
      <c r="C803" s="278"/>
      <c r="D803" s="278"/>
      <c r="E803" s="132"/>
      <c r="F803" s="116"/>
      <c r="G803" s="116"/>
      <c r="H803" s="116"/>
      <c r="I803" s="373"/>
      <c r="J803" s="147"/>
      <c r="K803" s="116"/>
      <c r="L803" s="116"/>
      <c r="M803" s="116"/>
      <c r="N803" s="116"/>
      <c r="O803" s="116"/>
      <c r="P803" s="116"/>
      <c r="Q803" s="116"/>
      <c r="R803" s="116"/>
      <c r="S803" s="116"/>
      <c r="T803" s="116"/>
      <c r="U803" s="116"/>
      <c r="V803" s="116"/>
      <c r="W803" s="116"/>
      <c r="X803" s="278"/>
      <c r="Y803" s="142"/>
      <c r="Z803" s="142"/>
      <c r="AA803" s="142"/>
      <c r="AB803" s="142"/>
      <c r="AC803" s="142"/>
      <c r="AD803" s="142"/>
      <c r="AE803" s="142"/>
      <c r="AF803" s="130"/>
      <c r="AG803" s="142"/>
      <c r="AH803" s="142"/>
      <c r="AI803" s="142"/>
      <c r="AJ803" s="130"/>
      <c r="AK803" s="130"/>
      <c r="AL803" s="130"/>
      <c r="AM803" s="130"/>
    </row>
    <row r="804" ht="15.75" customHeight="1">
      <c r="A804" s="278"/>
      <c r="B804" s="278"/>
      <c r="C804" s="278"/>
      <c r="D804" s="278"/>
      <c r="E804" s="132"/>
      <c r="F804" s="116"/>
      <c r="G804" s="116"/>
      <c r="H804" s="116"/>
      <c r="I804" s="373"/>
      <c r="J804" s="147"/>
      <c r="K804" s="116"/>
      <c r="L804" s="116"/>
      <c r="M804" s="116"/>
      <c r="N804" s="116"/>
      <c r="O804" s="116"/>
      <c r="P804" s="116"/>
      <c r="Q804" s="116"/>
      <c r="R804" s="116"/>
      <c r="S804" s="116"/>
      <c r="T804" s="116"/>
      <c r="U804" s="116"/>
      <c r="V804" s="116"/>
      <c r="W804" s="116"/>
      <c r="X804" s="278"/>
      <c r="Y804" s="142"/>
      <c r="Z804" s="142"/>
      <c r="AA804" s="142"/>
      <c r="AB804" s="142"/>
      <c r="AC804" s="142"/>
      <c r="AD804" s="142"/>
      <c r="AE804" s="142"/>
      <c r="AF804" s="130"/>
      <c r="AG804" s="142"/>
      <c r="AH804" s="142"/>
      <c r="AI804" s="142"/>
      <c r="AJ804" s="130"/>
      <c r="AK804" s="130"/>
      <c r="AL804" s="130"/>
      <c r="AM804" s="130"/>
    </row>
    <row r="805" ht="15.75" customHeight="1">
      <c r="A805" s="278"/>
      <c r="B805" s="278"/>
      <c r="C805" s="278"/>
      <c r="D805" s="278"/>
      <c r="E805" s="132"/>
      <c r="F805" s="116"/>
      <c r="G805" s="116"/>
      <c r="H805" s="116"/>
      <c r="I805" s="373"/>
      <c r="J805" s="147"/>
      <c r="K805" s="116"/>
      <c r="L805" s="116"/>
      <c r="M805" s="116"/>
      <c r="N805" s="116"/>
      <c r="O805" s="116"/>
      <c r="P805" s="116"/>
      <c r="Q805" s="116"/>
      <c r="R805" s="116"/>
      <c r="S805" s="116"/>
      <c r="T805" s="116"/>
      <c r="U805" s="116"/>
      <c r="V805" s="116"/>
      <c r="W805" s="116"/>
      <c r="X805" s="278"/>
      <c r="Y805" s="142"/>
      <c r="Z805" s="142"/>
      <c r="AA805" s="142"/>
      <c r="AB805" s="142"/>
      <c r="AC805" s="142"/>
      <c r="AD805" s="142"/>
      <c r="AE805" s="142"/>
      <c r="AF805" s="130"/>
      <c r="AG805" s="142"/>
      <c r="AH805" s="142"/>
      <c r="AI805" s="142"/>
      <c r="AJ805" s="130"/>
      <c r="AK805" s="130"/>
      <c r="AL805" s="130"/>
      <c r="AM805" s="130"/>
    </row>
    <row r="806" ht="15.75" customHeight="1">
      <c r="A806" s="278"/>
      <c r="B806" s="278"/>
      <c r="C806" s="278"/>
      <c r="D806" s="278"/>
      <c r="E806" s="132"/>
      <c r="F806" s="116"/>
      <c r="G806" s="116"/>
      <c r="H806" s="116"/>
      <c r="I806" s="373"/>
      <c r="J806" s="147"/>
      <c r="K806" s="116"/>
      <c r="L806" s="116"/>
      <c r="M806" s="116"/>
      <c r="N806" s="116"/>
      <c r="O806" s="116"/>
      <c r="P806" s="116"/>
      <c r="Q806" s="116"/>
      <c r="R806" s="116"/>
      <c r="S806" s="116"/>
      <c r="T806" s="116"/>
      <c r="U806" s="116"/>
      <c r="V806" s="116"/>
      <c r="W806" s="116"/>
      <c r="X806" s="278"/>
      <c r="Y806" s="142"/>
      <c r="Z806" s="142"/>
      <c r="AA806" s="142"/>
      <c r="AB806" s="142"/>
      <c r="AC806" s="142"/>
      <c r="AD806" s="142"/>
      <c r="AE806" s="142"/>
      <c r="AF806" s="130"/>
      <c r="AG806" s="142"/>
      <c r="AH806" s="142"/>
      <c r="AI806" s="142"/>
      <c r="AJ806" s="130"/>
      <c r="AK806" s="130"/>
      <c r="AL806" s="130"/>
      <c r="AM806" s="130"/>
    </row>
    <row r="807" ht="15.75" customHeight="1">
      <c r="A807" s="278"/>
      <c r="B807" s="278"/>
      <c r="C807" s="278"/>
      <c r="D807" s="278"/>
      <c r="E807" s="132"/>
      <c r="F807" s="116"/>
      <c r="G807" s="116"/>
      <c r="H807" s="116"/>
      <c r="I807" s="373"/>
      <c r="J807" s="147"/>
      <c r="K807" s="116"/>
      <c r="L807" s="116"/>
      <c r="M807" s="116"/>
      <c r="N807" s="116"/>
      <c r="O807" s="116"/>
      <c r="P807" s="116"/>
      <c r="Q807" s="116"/>
      <c r="R807" s="116"/>
      <c r="S807" s="116"/>
      <c r="T807" s="116"/>
      <c r="U807" s="116"/>
      <c r="V807" s="116"/>
      <c r="W807" s="116"/>
      <c r="X807" s="278"/>
      <c r="Y807" s="142"/>
      <c r="Z807" s="142"/>
      <c r="AA807" s="142"/>
      <c r="AB807" s="142"/>
      <c r="AC807" s="142"/>
      <c r="AD807" s="142"/>
      <c r="AE807" s="142"/>
      <c r="AF807" s="130"/>
      <c r="AG807" s="142"/>
      <c r="AH807" s="142"/>
      <c r="AI807" s="142"/>
      <c r="AJ807" s="130"/>
      <c r="AK807" s="130"/>
      <c r="AL807" s="130"/>
      <c r="AM807" s="130"/>
    </row>
    <row r="808" ht="15.75" customHeight="1">
      <c r="A808" s="278"/>
      <c r="B808" s="278"/>
      <c r="C808" s="278"/>
      <c r="D808" s="278"/>
      <c r="E808" s="132"/>
      <c r="F808" s="116"/>
      <c r="G808" s="116"/>
      <c r="H808" s="116"/>
      <c r="I808" s="373"/>
      <c r="J808" s="147"/>
      <c r="K808" s="116"/>
      <c r="L808" s="116"/>
      <c r="M808" s="116"/>
      <c r="N808" s="116"/>
      <c r="O808" s="116"/>
      <c r="P808" s="116"/>
      <c r="Q808" s="116"/>
      <c r="R808" s="116"/>
      <c r="S808" s="116"/>
      <c r="T808" s="116"/>
      <c r="U808" s="116"/>
      <c r="V808" s="116"/>
      <c r="W808" s="116"/>
      <c r="X808" s="278"/>
      <c r="Y808" s="142"/>
      <c r="Z808" s="142"/>
      <c r="AA808" s="142"/>
      <c r="AB808" s="142"/>
      <c r="AC808" s="142"/>
      <c r="AD808" s="142"/>
      <c r="AE808" s="142"/>
      <c r="AF808" s="130"/>
      <c r="AG808" s="142"/>
      <c r="AH808" s="142"/>
      <c r="AI808" s="142"/>
      <c r="AJ808" s="130"/>
      <c r="AK808" s="130"/>
      <c r="AL808" s="130"/>
      <c r="AM808" s="130"/>
    </row>
    <row r="809" ht="15.75" customHeight="1">
      <c r="A809" s="278"/>
      <c r="B809" s="278"/>
      <c r="C809" s="278"/>
      <c r="D809" s="278"/>
      <c r="E809" s="132"/>
      <c r="F809" s="116"/>
      <c r="G809" s="116"/>
      <c r="H809" s="116"/>
      <c r="I809" s="373"/>
      <c r="J809" s="147"/>
      <c r="K809" s="116"/>
      <c r="L809" s="116"/>
      <c r="M809" s="116"/>
      <c r="N809" s="116"/>
      <c r="O809" s="116"/>
      <c r="P809" s="116"/>
      <c r="Q809" s="116"/>
      <c r="R809" s="116"/>
      <c r="S809" s="116"/>
      <c r="T809" s="116"/>
      <c r="U809" s="116"/>
      <c r="V809" s="116"/>
      <c r="W809" s="116"/>
      <c r="X809" s="278"/>
      <c r="Y809" s="142"/>
      <c r="Z809" s="142"/>
      <c r="AA809" s="142"/>
      <c r="AB809" s="142"/>
      <c r="AC809" s="142"/>
      <c r="AD809" s="142"/>
      <c r="AE809" s="142"/>
      <c r="AF809" s="130"/>
      <c r="AG809" s="142"/>
      <c r="AH809" s="142"/>
      <c r="AI809" s="142"/>
      <c r="AJ809" s="130"/>
      <c r="AK809" s="130"/>
      <c r="AL809" s="130"/>
      <c r="AM809" s="130"/>
    </row>
    <row r="810" ht="15.75" customHeight="1">
      <c r="A810" s="278"/>
      <c r="B810" s="278"/>
      <c r="C810" s="278"/>
      <c r="D810" s="278"/>
      <c r="E810" s="132"/>
      <c r="F810" s="116"/>
      <c r="G810" s="116"/>
      <c r="H810" s="116"/>
      <c r="I810" s="373"/>
      <c r="J810" s="147"/>
      <c r="K810" s="116"/>
      <c r="L810" s="116"/>
      <c r="M810" s="116"/>
      <c r="N810" s="116"/>
      <c r="O810" s="116"/>
      <c r="P810" s="116"/>
      <c r="Q810" s="116"/>
      <c r="R810" s="116"/>
      <c r="S810" s="116"/>
      <c r="T810" s="116"/>
      <c r="U810" s="116"/>
      <c r="V810" s="116"/>
      <c r="W810" s="116"/>
      <c r="X810" s="278"/>
      <c r="Y810" s="142"/>
      <c r="Z810" s="142"/>
      <c r="AA810" s="142"/>
      <c r="AB810" s="142"/>
      <c r="AC810" s="142"/>
      <c r="AD810" s="142"/>
      <c r="AE810" s="142"/>
      <c r="AF810" s="130"/>
      <c r="AG810" s="142"/>
      <c r="AH810" s="142"/>
      <c r="AI810" s="142"/>
      <c r="AJ810" s="130"/>
      <c r="AK810" s="130"/>
      <c r="AL810" s="130"/>
      <c r="AM810" s="130"/>
    </row>
    <row r="811" ht="15.75" customHeight="1">
      <c r="A811" s="278"/>
      <c r="B811" s="278"/>
      <c r="C811" s="278"/>
      <c r="D811" s="278"/>
      <c r="E811" s="132"/>
      <c r="F811" s="116"/>
      <c r="G811" s="116"/>
      <c r="H811" s="116"/>
      <c r="I811" s="373"/>
      <c r="J811" s="147"/>
      <c r="K811" s="116"/>
      <c r="L811" s="116"/>
      <c r="M811" s="116"/>
      <c r="N811" s="116"/>
      <c r="O811" s="116"/>
      <c r="P811" s="116"/>
      <c r="Q811" s="116"/>
      <c r="R811" s="116"/>
      <c r="S811" s="116"/>
      <c r="T811" s="116"/>
      <c r="U811" s="116"/>
      <c r="V811" s="116"/>
      <c r="W811" s="116"/>
      <c r="X811" s="278"/>
      <c r="Y811" s="142"/>
      <c r="Z811" s="142"/>
      <c r="AA811" s="142"/>
      <c r="AB811" s="142"/>
      <c r="AC811" s="142"/>
      <c r="AD811" s="142"/>
      <c r="AE811" s="142"/>
      <c r="AF811" s="130"/>
      <c r="AG811" s="142"/>
      <c r="AH811" s="142"/>
      <c r="AI811" s="142"/>
      <c r="AJ811" s="130"/>
      <c r="AK811" s="130"/>
      <c r="AL811" s="130"/>
      <c r="AM811" s="130"/>
    </row>
    <row r="812" ht="15.75" customHeight="1">
      <c r="A812" s="278"/>
      <c r="B812" s="278"/>
      <c r="C812" s="278"/>
      <c r="D812" s="278"/>
      <c r="E812" s="132"/>
      <c r="F812" s="116"/>
      <c r="G812" s="116"/>
      <c r="H812" s="116"/>
      <c r="I812" s="373"/>
      <c r="J812" s="147"/>
      <c r="K812" s="116"/>
      <c r="L812" s="116"/>
      <c r="M812" s="116"/>
      <c r="N812" s="116"/>
      <c r="O812" s="116"/>
      <c r="P812" s="116"/>
      <c r="Q812" s="116"/>
      <c r="R812" s="116"/>
      <c r="S812" s="116"/>
      <c r="T812" s="116"/>
      <c r="U812" s="116"/>
      <c r="V812" s="116"/>
      <c r="W812" s="116"/>
      <c r="X812" s="278"/>
      <c r="Y812" s="142"/>
      <c r="Z812" s="142"/>
      <c r="AA812" s="142"/>
      <c r="AB812" s="142"/>
      <c r="AC812" s="142"/>
      <c r="AD812" s="142"/>
      <c r="AE812" s="142"/>
      <c r="AF812" s="130"/>
      <c r="AG812" s="142"/>
      <c r="AH812" s="142"/>
      <c r="AI812" s="142"/>
      <c r="AJ812" s="130"/>
      <c r="AK812" s="130"/>
      <c r="AL812" s="130"/>
      <c r="AM812" s="130"/>
    </row>
    <row r="813" ht="15.75" customHeight="1">
      <c r="A813" s="278"/>
      <c r="B813" s="278"/>
      <c r="C813" s="278"/>
      <c r="D813" s="278"/>
      <c r="E813" s="132"/>
      <c r="F813" s="116"/>
      <c r="G813" s="116"/>
      <c r="H813" s="116"/>
      <c r="I813" s="373"/>
      <c r="J813" s="147"/>
      <c r="K813" s="116"/>
      <c r="L813" s="116"/>
      <c r="M813" s="116"/>
      <c r="N813" s="116"/>
      <c r="O813" s="116"/>
      <c r="P813" s="116"/>
      <c r="Q813" s="116"/>
      <c r="R813" s="116"/>
      <c r="S813" s="116"/>
      <c r="T813" s="116"/>
      <c r="U813" s="116"/>
      <c r="V813" s="116"/>
      <c r="W813" s="116"/>
      <c r="X813" s="278"/>
      <c r="Y813" s="142"/>
      <c r="Z813" s="142"/>
      <c r="AA813" s="142"/>
      <c r="AB813" s="142"/>
      <c r="AC813" s="142"/>
      <c r="AD813" s="142"/>
      <c r="AE813" s="142"/>
      <c r="AF813" s="130"/>
      <c r="AG813" s="142"/>
      <c r="AH813" s="142"/>
      <c r="AI813" s="142"/>
      <c r="AJ813" s="130"/>
      <c r="AK813" s="130"/>
      <c r="AL813" s="130"/>
      <c r="AM813" s="130"/>
    </row>
    <row r="814" ht="15.75" customHeight="1">
      <c r="A814" s="278"/>
      <c r="B814" s="278"/>
      <c r="C814" s="278"/>
      <c r="D814" s="278"/>
      <c r="E814" s="132"/>
      <c r="F814" s="116"/>
      <c r="G814" s="116"/>
      <c r="H814" s="116"/>
      <c r="I814" s="373"/>
      <c r="J814" s="147"/>
      <c r="K814" s="116"/>
      <c r="L814" s="116"/>
      <c r="M814" s="116"/>
      <c r="N814" s="116"/>
      <c r="O814" s="116"/>
      <c r="P814" s="116"/>
      <c r="Q814" s="116"/>
      <c r="R814" s="116"/>
      <c r="S814" s="116"/>
      <c r="T814" s="116"/>
      <c r="U814" s="116"/>
      <c r="V814" s="116"/>
      <c r="W814" s="116"/>
      <c r="X814" s="278"/>
      <c r="Y814" s="142"/>
      <c r="Z814" s="142"/>
      <c r="AA814" s="142"/>
      <c r="AB814" s="142"/>
      <c r="AC814" s="142"/>
      <c r="AD814" s="142"/>
      <c r="AE814" s="142"/>
      <c r="AF814" s="130"/>
      <c r="AG814" s="142"/>
      <c r="AH814" s="142"/>
      <c r="AI814" s="142"/>
      <c r="AJ814" s="130"/>
      <c r="AK814" s="130"/>
      <c r="AL814" s="130"/>
      <c r="AM814" s="130"/>
    </row>
    <row r="815" ht="15.75" customHeight="1">
      <c r="A815" s="278"/>
      <c r="B815" s="278"/>
      <c r="C815" s="278"/>
      <c r="D815" s="278"/>
      <c r="E815" s="132"/>
      <c r="F815" s="116"/>
      <c r="G815" s="116"/>
      <c r="H815" s="116"/>
      <c r="I815" s="373"/>
      <c r="J815" s="147"/>
      <c r="K815" s="116"/>
      <c r="L815" s="116"/>
      <c r="M815" s="116"/>
      <c r="N815" s="116"/>
      <c r="O815" s="116"/>
      <c r="P815" s="116"/>
      <c r="Q815" s="116"/>
      <c r="R815" s="116"/>
      <c r="S815" s="116"/>
      <c r="T815" s="116"/>
      <c r="U815" s="116"/>
      <c r="V815" s="116"/>
      <c r="W815" s="116"/>
      <c r="X815" s="278"/>
      <c r="Y815" s="142"/>
      <c r="Z815" s="142"/>
      <c r="AA815" s="142"/>
      <c r="AB815" s="142"/>
      <c r="AC815" s="142"/>
      <c r="AD815" s="142"/>
      <c r="AE815" s="142"/>
      <c r="AF815" s="130"/>
      <c r="AG815" s="142"/>
      <c r="AH815" s="142"/>
      <c r="AI815" s="142"/>
      <c r="AJ815" s="130"/>
      <c r="AK815" s="130"/>
      <c r="AL815" s="130"/>
      <c r="AM815" s="130"/>
    </row>
    <row r="816" ht="15.75" customHeight="1">
      <c r="A816" s="278"/>
      <c r="B816" s="278"/>
      <c r="C816" s="278"/>
      <c r="D816" s="278"/>
      <c r="E816" s="132"/>
      <c r="F816" s="116"/>
      <c r="G816" s="116"/>
      <c r="H816" s="116"/>
      <c r="I816" s="373"/>
      <c r="J816" s="147"/>
      <c r="K816" s="116"/>
      <c r="L816" s="116"/>
      <c r="M816" s="116"/>
      <c r="N816" s="116"/>
      <c r="O816" s="116"/>
      <c r="P816" s="116"/>
      <c r="Q816" s="116"/>
      <c r="R816" s="116"/>
      <c r="S816" s="116"/>
      <c r="T816" s="116"/>
      <c r="U816" s="116"/>
      <c r="V816" s="116"/>
      <c r="W816" s="116"/>
      <c r="X816" s="278"/>
      <c r="Y816" s="142"/>
      <c r="Z816" s="142"/>
      <c r="AA816" s="142"/>
      <c r="AB816" s="142"/>
      <c r="AC816" s="142"/>
      <c r="AD816" s="142"/>
      <c r="AE816" s="142"/>
      <c r="AF816" s="130"/>
      <c r="AG816" s="142"/>
      <c r="AH816" s="142"/>
      <c r="AI816" s="142"/>
      <c r="AJ816" s="130"/>
      <c r="AK816" s="130"/>
      <c r="AL816" s="130"/>
      <c r="AM816" s="130"/>
    </row>
    <row r="817" ht="15.75" customHeight="1">
      <c r="A817" s="278"/>
      <c r="B817" s="278"/>
      <c r="C817" s="278"/>
      <c r="D817" s="278"/>
      <c r="E817" s="132"/>
      <c r="F817" s="116"/>
      <c r="G817" s="116"/>
      <c r="H817" s="116"/>
      <c r="I817" s="373"/>
      <c r="J817" s="147"/>
      <c r="K817" s="116"/>
      <c r="L817" s="116"/>
      <c r="M817" s="116"/>
      <c r="N817" s="116"/>
      <c r="O817" s="116"/>
      <c r="P817" s="116"/>
      <c r="Q817" s="116"/>
      <c r="R817" s="116"/>
      <c r="S817" s="116"/>
      <c r="T817" s="116"/>
      <c r="U817" s="116"/>
      <c r="V817" s="116"/>
      <c r="W817" s="116"/>
      <c r="X817" s="278"/>
      <c r="Y817" s="142"/>
      <c r="Z817" s="142"/>
      <c r="AA817" s="142"/>
      <c r="AB817" s="142"/>
      <c r="AC817" s="142"/>
      <c r="AD817" s="142"/>
      <c r="AE817" s="142"/>
      <c r="AF817" s="130"/>
      <c r="AG817" s="142"/>
      <c r="AH817" s="142"/>
      <c r="AI817" s="142"/>
      <c r="AJ817" s="130"/>
      <c r="AK817" s="130"/>
      <c r="AL817" s="130"/>
      <c r="AM817" s="130"/>
    </row>
    <row r="818" ht="15.75" customHeight="1">
      <c r="A818" s="278"/>
      <c r="B818" s="278"/>
      <c r="C818" s="278"/>
      <c r="D818" s="278"/>
      <c r="E818" s="132"/>
      <c r="F818" s="116"/>
      <c r="G818" s="116"/>
      <c r="H818" s="116"/>
      <c r="I818" s="373"/>
      <c r="J818" s="147"/>
      <c r="K818" s="116"/>
      <c r="L818" s="116"/>
      <c r="M818" s="116"/>
      <c r="N818" s="116"/>
      <c r="O818" s="116"/>
      <c r="P818" s="116"/>
      <c r="Q818" s="116"/>
      <c r="R818" s="116"/>
      <c r="S818" s="116"/>
      <c r="T818" s="116"/>
      <c r="U818" s="116"/>
      <c r="V818" s="116"/>
      <c r="W818" s="116"/>
      <c r="X818" s="278"/>
      <c r="Y818" s="142"/>
      <c r="Z818" s="142"/>
      <c r="AA818" s="142"/>
      <c r="AB818" s="142"/>
      <c r="AC818" s="142"/>
      <c r="AD818" s="142"/>
      <c r="AE818" s="142"/>
      <c r="AF818" s="130"/>
      <c r="AG818" s="142"/>
      <c r="AH818" s="142"/>
      <c r="AI818" s="142"/>
      <c r="AJ818" s="130"/>
      <c r="AK818" s="130"/>
      <c r="AL818" s="130"/>
      <c r="AM818" s="130"/>
    </row>
    <row r="819" ht="15.75" customHeight="1">
      <c r="A819" s="278"/>
      <c r="B819" s="278"/>
      <c r="C819" s="278"/>
      <c r="D819" s="278"/>
      <c r="E819" s="132"/>
      <c r="F819" s="116"/>
      <c r="G819" s="116"/>
      <c r="H819" s="116"/>
      <c r="I819" s="373"/>
      <c r="J819" s="147"/>
      <c r="K819" s="116"/>
      <c r="L819" s="116"/>
      <c r="M819" s="116"/>
      <c r="N819" s="116"/>
      <c r="O819" s="116"/>
      <c r="P819" s="116"/>
      <c r="Q819" s="116"/>
      <c r="R819" s="116"/>
      <c r="S819" s="116"/>
      <c r="T819" s="116"/>
      <c r="U819" s="116"/>
      <c r="V819" s="116"/>
      <c r="W819" s="116"/>
      <c r="X819" s="278"/>
      <c r="Y819" s="142"/>
      <c r="Z819" s="142"/>
      <c r="AA819" s="142"/>
      <c r="AB819" s="142"/>
      <c r="AC819" s="142"/>
      <c r="AD819" s="142"/>
      <c r="AE819" s="142"/>
      <c r="AF819" s="130"/>
      <c r="AG819" s="142"/>
      <c r="AH819" s="142"/>
      <c r="AI819" s="142"/>
      <c r="AJ819" s="130"/>
      <c r="AK819" s="130"/>
      <c r="AL819" s="130"/>
      <c r="AM819" s="130"/>
    </row>
    <row r="820" ht="15.75" customHeight="1">
      <c r="A820" s="278"/>
      <c r="B820" s="278"/>
      <c r="C820" s="278"/>
      <c r="D820" s="278"/>
      <c r="E820" s="132"/>
      <c r="F820" s="116"/>
      <c r="G820" s="116"/>
      <c r="H820" s="116"/>
      <c r="I820" s="373"/>
      <c r="J820" s="147"/>
      <c r="K820" s="116"/>
      <c r="L820" s="116"/>
      <c r="M820" s="116"/>
      <c r="N820" s="116"/>
      <c r="O820" s="116"/>
      <c r="P820" s="116"/>
      <c r="Q820" s="116"/>
      <c r="R820" s="116"/>
      <c r="S820" s="116"/>
      <c r="T820" s="116"/>
      <c r="U820" s="116"/>
      <c r="V820" s="116"/>
      <c r="W820" s="116"/>
      <c r="X820" s="278"/>
      <c r="Y820" s="142"/>
      <c r="Z820" s="142"/>
      <c r="AA820" s="142"/>
      <c r="AB820" s="142"/>
      <c r="AC820" s="142"/>
      <c r="AD820" s="142"/>
      <c r="AE820" s="142"/>
      <c r="AF820" s="130"/>
      <c r="AG820" s="142"/>
      <c r="AH820" s="142"/>
      <c r="AI820" s="142"/>
      <c r="AJ820" s="130"/>
      <c r="AK820" s="130"/>
      <c r="AL820" s="130"/>
      <c r="AM820" s="130"/>
    </row>
    <row r="821" ht="15.75" customHeight="1">
      <c r="A821" s="278"/>
      <c r="B821" s="278"/>
      <c r="C821" s="278"/>
      <c r="D821" s="278"/>
      <c r="E821" s="132"/>
      <c r="F821" s="116"/>
      <c r="G821" s="116"/>
      <c r="H821" s="116"/>
      <c r="I821" s="373"/>
      <c r="J821" s="147"/>
      <c r="K821" s="116"/>
      <c r="L821" s="116"/>
      <c r="M821" s="116"/>
      <c r="N821" s="116"/>
      <c r="O821" s="116"/>
      <c r="P821" s="116"/>
      <c r="Q821" s="116"/>
      <c r="R821" s="116"/>
      <c r="S821" s="116"/>
      <c r="T821" s="116"/>
      <c r="U821" s="116"/>
      <c r="V821" s="116"/>
      <c r="W821" s="116"/>
      <c r="X821" s="278"/>
      <c r="Y821" s="142"/>
      <c r="Z821" s="142"/>
      <c r="AA821" s="142"/>
      <c r="AB821" s="142"/>
      <c r="AC821" s="142"/>
      <c r="AD821" s="142"/>
      <c r="AE821" s="142"/>
      <c r="AF821" s="130"/>
      <c r="AG821" s="142"/>
      <c r="AH821" s="142"/>
      <c r="AI821" s="142"/>
      <c r="AJ821" s="130"/>
      <c r="AK821" s="130"/>
      <c r="AL821" s="130"/>
      <c r="AM821" s="130"/>
    </row>
    <row r="822" ht="15.75" customHeight="1">
      <c r="A822" s="278"/>
      <c r="B822" s="278"/>
      <c r="C822" s="278"/>
      <c r="D822" s="278"/>
      <c r="E822" s="132"/>
      <c r="F822" s="116"/>
      <c r="G822" s="116"/>
      <c r="H822" s="116"/>
      <c r="I822" s="373"/>
      <c r="J822" s="147"/>
      <c r="K822" s="116"/>
      <c r="L822" s="116"/>
      <c r="M822" s="116"/>
      <c r="N822" s="116"/>
      <c r="O822" s="116"/>
      <c r="P822" s="116"/>
      <c r="Q822" s="116"/>
      <c r="R822" s="116"/>
      <c r="S822" s="116"/>
      <c r="T822" s="116"/>
      <c r="U822" s="116"/>
      <c r="V822" s="116"/>
      <c r="W822" s="116"/>
      <c r="X822" s="278"/>
      <c r="Y822" s="142"/>
      <c r="Z822" s="142"/>
      <c r="AA822" s="142"/>
      <c r="AB822" s="142"/>
      <c r="AC822" s="142"/>
      <c r="AD822" s="142"/>
      <c r="AE822" s="142"/>
      <c r="AF822" s="130"/>
      <c r="AG822" s="142"/>
      <c r="AH822" s="142"/>
      <c r="AI822" s="142"/>
      <c r="AJ822" s="130"/>
      <c r="AK822" s="130"/>
      <c r="AL822" s="130"/>
      <c r="AM822" s="130"/>
    </row>
    <row r="823" ht="15.75" customHeight="1">
      <c r="A823" s="278"/>
      <c r="B823" s="278"/>
      <c r="C823" s="278"/>
      <c r="D823" s="278"/>
      <c r="E823" s="132"/>
      <c r="F823" s="116"/>
      <c r="G823" s="116"/>
      <c r="H823" s="116"/>
      <c r="I823" s="373"/>
      <c r="J823" s="147"/>
      <c r="K823" s="116"/>
      <c r="L823" s="116"/>
      <c r="M823" s="116"/>
      <c r="N823" s="116"/>
      <c r="O823" s="116"/>
      <c r="P823" s="116"/>
      <c r="Q823" s="116"/>
      <c r="R823" s="116"/>
      <c r="S823" s="116"/>
      <c r="T823" s="116"/>
      <c r="U823" s="116"/>
      <c r="V823" s="116"/>
      <c r="W823" s="116"/>
      <c r="X823" s="278"/>
      <c r="Y823" s="142"/>
      <c r="Z823" s="142"/>
      <c r="AA823" s="142"/>
      <c r="AB823" s="142"/>
      <c r="AC823" s="142"/>
      <c r="AD823" s="142"/>
      <c r="AE823" s="142"/>
      <c r="AF823" s="130"/>
      <c r="AG823" s="142"/>
      <c r="AH823" s="142"/>
      <c r="AI823" s="142"/>
      <c r="AJ823" s="130"/>
      <c r="AK823" s="130"/>
      <c r="AL823" s="130"/>
      <c r="AM823" s="130"/>
    </row>
    <row r="824" ht="15.75" customHeight="1">
      <c r="A824" s="278"/>
      <c r="B824" s="278"/>
      <c r="C824" s="278"/>
      <c r="D824" s="278"/>
      <c r="E824" s="132"/>
      <c r="F824" s="116"/>
      <c r="G824" s="116"/>
      <c r="H824" s="116"/>
      <c r="I824" s="373"/>
      <c r="J824" s="147"/>
      <c r="K824" s="116"/>
      <c r="L824" s="116"/>
      <c r="M824" s="116"/>
      <c r="N824" s="116"/>
      <c r="O824" s="116"/>
      <c r="P824" s="116"/>
      <c r="Q824" s="116"/>
      <c r="R824" s="116"/>
      <c r="S824" s="116"/>
      <c r="T824" s="116"/>
      <c r="U824" s="116"/>
      <c r="V824" s="116"/>
      <c r="W824" s="116"/>
      <c r="X824" s="278"/>
      <c r="Y824" s="142"/>
      <c r="Z824" s="142"/>
      <c r="AA824" s="142"/>
      <c r="AB824" s="142"/>
      <c r="AC824" s="142"/>
      <c r="AD824" s="142"/>
      <c r="AE824" s="142"/>
      <c r="AF824" s="130"/>
      <c r="AG824" s="142"/>
      <c r="AH824" s="142"/>
      <c r="AI824" s="142"/>
      <c r="AJ824" s="130"/>
      <c r="AK824" s="130"/>
      <c r="AL824" s="130"/>
      <c r="AM824" s="130"/>
    </row>
    <row r="825" ht="15.75" customHeight="1">
      <c r="A825" s="278"/>
      <c r="B825" s="278"/>
      <c r="C825" s="278"/>
      <c r="D825" s="278"/>
      <c r="E825" s="132"/>
      <c r="F825" s="116"/>
      <c r="G825" s="116"/>
      <c r="H825" s="116"/>
      <c r="I825" s="373"/>
      <c r="J825" s="147"/>
      <c r="K825" s="116"/>
      <c r="L825" s="116"/>
      <c r="M825" s="116"/>
      <c r="N825" s="116"/>
      <c r="O825" s="116"/>
      <c r="P825" s="116"/>
      <c r="Q825" s="116"/>
      <c r="R825" s="116"/>
      <c r="S825" s="116"/>
      <c r="T825" s="116"/>
      <c r="U825" s="116"/>
      <c r="V825" s="116"/>
      <c r="W825" s="116"/>
      <c r="X825" s="278"/>
      <c r="Y825" s="142"/>
      <c r="Z825" s="142"/>
      <c r="AA825" s="142"/>
      <c r="AB825" s="142"/>
      <c r="AC825" s="142"/>
      <c r="AD825" s="142"/>
      <c r="AE825" s="142"/>
      <c r="AF825" s="130"/>
      <c r="AG825" s="142"/>
      <c r="AH825" s="142"/>
      <c r="AI825" s="142"/>
      <c r="AJ825" s="130"/>
      <c r="AK825" s="130"/>
      <c r="AL825" s="130"/>
      <c r="AM825" s="130"/>
    </row>
    <row r="826" ht="15.75" customHeight="1">
      <c r="A826" s="278"/>
      <c r="B826" s="278"/>
      <c r="C826" s="278"/>
      <c r="D826" s="278"/>
      <c r="E826" s="132"/>
      <c r="F826" s="116"/>
      <c r="G826" s="116"/>
      <c r="H826" s="116"/>
      <c r="I826" s="373"/>
      <c r="J826" s="147"/>
      <c r="K826" s="116"/>
      <c r="L826" s="116"/>
      <c r="M826" s="116"/>
      <c r="N826" s="116"/>
      <c r="O826" s="116"/>
      <c r="P826" s="116"/>
      <c r="Q826" s="116"/>
      <c r="R826" s="116"/>
      <c r="S826" s="116"/>
      <c r="T826" s="116"/>
      <c r="U826" s="116"/>
      <c r="V826" s="116"/>
      <c r="W826" s="116"/>
      <c r="X826" s="278"/>
      <c r="Y826" s="142"/>
      <c r="Z826" s="142"/>
      <c r="AA826" s="142"/>
      <c r="AB826" s="142"/>
      <c r="AC826" s="142"/>
      <c r="AD826" s="142"/>
      <c r="AE826" s="142"/>
      <c r="AF826" s="130"/>
      <c r="AG826" s="142"/>
      <c r="AH826" s="142"/>
      <c r="AI826" s="142"/>
      <c r="AJ826" s="130"/>
      <c r="AK826" s="130"/>
      <c r="AL826" s="130"/>
      <c r="AM826" s="130"/>
    </row>
    <row r="827" ht="15.75" customHeight="1">
      <c r="A827" s="278"/>
      <c r="B827" s="278"/>
      <c r="C827" s="278"/>
      <c r="D827" s="278"/>
      <c r="E827" s="132"/>
      <c r="F827" s="116"/>
      <c r="G827" s="116"/>
      <c r="H827" s="116"/>
      <c r="I827" s="373"/>
      <c r="J827" s="147"/>
      <c r="K827" s="116"/>
      <c r="L827" s="116"/>
      <c r="M827" s="116"/>
      <c r="N827" s="116"/>
      <c r="O827" s="116"/>
      <c r="P827" s="116"/>
      <c r="Q827" s="116"/>
      <c r="R827" s="116"/>
      <c r="S827" s="116"/>
      <c r="T827" s="116"/>
      <c r="U827" s="116"/>
      <c r="V827" s="116"/>
      <c r="W827" s="116"/>
      <c r="X827" s="278"/>
      <c r="Y827" s="142"/>
      <c r="Z827" s="142"/>
      <c r="AA827" s="142"/>
      <c r="AB827" s="142"/>
      <c r="AC827" s="142"/>
      <c r="AD827" s="142"/>
      <c r="AE827" s="142"/>
      <c r="AF827" s="130"/>
      <c r="AG827" s="142"/>
      <c r="AH827" s="142"/>
      <c r="AI827" s="142"/>
      <c r="AJ827" s="130"/>
      <c r="AK827" s="130"/>
      <c r="AL827" s="130"/>
      <c r="AM827" s="130"/>
    </row>
    <row r="828" ht="15.75" customHeight="1">
      <c r="A828" s="278"/>
      <c r="B828" s="278"/>
      <c r="C828" s="278"/>
      <c r="D828" s="278"/>
      <c r="E828" s="132"/>
      <c r="F828" s="116"/>
      <c r="G828" s="116"/>
      <c r="H828" s="116"/>
      <c r="I828" s="373"/>
      <c r="J828" s="147"/>
      <c r="K828" s="116"/>
      <c r="L828" s="116"/>
      <c r="M828" s="116"/>
      <c r="N828" s="116"/>
      <c r="O828" s="116"/>
      <c r="P828" s="116"/>
      <c r="Q828" s="116"/>
      <c r="R828" s="116"/>
      <c r="S828" s="116"/>
      <c r="T828" s="116"/>
      <c r="U828" s="116"/>
      <c r="V828" s="116"/>
      <c r="W828" s="116"/>
      <c r="X828" s="278"/>
      <c r="Y828" s="142"/>
      <c r="Z828" s="142"/>
      <c r="AA828" s="142"/>
      <c r="AB828" s="142"/>
      <c r="AC828" s="142"/>
      <c r="AD828" s="142"/>
      <c r="AE828" s="142"/>
      <c r="AF828" s="130"/>
      <c r="AG828" s="142"/>
      <c r="AH828" s="142"/>
      <c r="AI828" s="142"/>
      <c r="AJ828" s="130"/>
      <c r="AK828" s="130"/>
      <c r="AL828" s="130"/>
      <c r="AM828" s="130"/>
    </row>
    <row r="829" ht="15.75" customHeight="1">
      <c r="A829" s="278"/>
      <c r="B829" s="278"/>
      <c r="C829" s="278"/>
      <c r="D829" s="278"/>
      <c r="E829" s="132"/>
      <c r="F829" s="116"/>
      <c r="G829" s="116"/>
      <c r="H829" s="116"/>
      <c r="I829" s="373"/>
      <c r="J829" s="147"/>
      <c r="K829" s="116"/>
      <c r="L829" s="116"/>
      <c r="M829" s="116"/>
      <c r="N829" s="116"/>
      <c r="O829" s="116"/>
      <c r="P829" s="116"/>
      <c r="Q829" s="116"/>
      <c r="R829" s="116"/>
      <c r="S829" s="116"/>
      <c r="T829" s="116"/>
      <c r="U829" s="116"/>
      <c r="V829" s="116"/>
      <c r="W829" s="116"/>
      <c r="X829" s="278"/>
      <c r="Y829" s="142"/>
      <c r="Z829" s="142"/>
      <c r="AA829" s="142"/>
      <c r="AB829" s="142"/>
      <c r="AC829" s="142"/>
      <c r="AD829" s="142"/>
      <c r="AE829" s="142"/>
      <c r="AF829" s="130"/>
      <c r="AG829" s="142"/>
      <c r="AH829" s="142"/>
      <c r="AI829" s="142"/>
      <c r="AJ829" s="130"/>
      <c r="AK829" s="130"/>
      <c r="AL829" s="130"/>
      <c r="AM829" s="130"/>
    </row>
    <row r="830" ht="15.75" customHeight="1">
      <c r="A830" s="278"/>
      <c r="B830" s="278"/>
      <c r="C830" s="278"/>
      <c r="D830" s="278"/>
      <c r="E830" s="132"/>
      <c r="F830" s="116"/>
      <c r="G830" s="116"/>
      <c r="H830" s="116"/>
      <c r="I830" s="373"/>
      <c r="J830" s="147"/>
      <c r="K830" s="116"/>
      <c r="L830" s="116"/>
      <c r="M830" s="116"/>
      <c r="N830" s="116"/>
      <c r="O830" s="116"/>
      <c r="P830" s="116"/>
      <c r="Q830" s="116"/>
      <c r="R830" s="116"/>
      <c r="S830" s="116"/>
      <c r="T830" s="116"/>
      <c r="U830" s="116"/>
      <c r="V830" s="116"/>
      <c r="W830" s="116"/>
      <c r="X830" s="278"/>
      <c r="Y830" s="142"/>
      <c r="Z830" s="142"/>
      <c r="AA830" s="142"/>
      <c r="AB830" s="142"/>
      <c r="AC830" s="142"/>
      <c r="AD830" s="142"/>
      <c r="AE830" s="142"/>
      <c r="AF830" s="130"/>
      <c r="AG830" s="142"/>
      <c r="AH830" s="142"/>
      <c r="AI830" s="142"/>
      <c r="AJ830" s="130"/>
      <c r="AK830" s="130"/>
      <c r="AL830" s="130"/>
      <c r="AM830" s="130"/>
    </row>
    <row r="831" ht="15.75" customHeight="1">
      <c r="A831" s="278"/>
      <c r="B831" s="278"/>
      <c r="C831" s="278"/>
      <c r="D831" s="278"/>
      <c r="E831" s="132"/>
      <c r="F831" s="116"/>
      <c r="G831" s="116"/>
      <c r="H831" s="116"/>
      <c r="I831" s="373"/>
      <c r="J831" s="147"/>
      <c r="K831" s="116"/>
      <c r="L831" s="116"/>
      <c r="M831" s="116"/>
      <c r="N831" s="116"/>
      <c r="O831" s="116"/>
      <c r="P831" s="116"/>
      <c r="Q831" s="116"/>
      <c r="R831" s="116"/>
      <c r="S831" s="116"/>
      <c r="T831" s="116"/>
      <c r="U831" s="116"/>
      <c r="V831" s="116"/>
      <c r="W831" s="116"/>
      <c r="X831" s="278"/>
      <c r="Y831" s="142"/>
      <c r="Z831" s="142"/>
      <c r="AA831" s="142"/>
      <c r="AB831" s="142"/>
      <c r="AC831" s="142"/>
      <c r="AD831" s="142"/>
      <c r="AE831" s="142"/>
      <c r="AF831" s="130"/>
      <c r="AG831" s="142"/>
      <c r="AH831" s="142"/>
      <c r="AI831" s="142"/>
      <c r="AJ831" s="130"/>
      <c r="AK831" s="130"/>
      <c r="AL831" s="130"/>
      <c r="AM831" s="130"/>
    </row>
    <row r="832" ht="15.75" customHeight="1">
      <c r="A832" s="278"/>
      <c r="B832" s="278"/>
      <c r="C832" s="278"/>
      <c r="D832" s="278"/>
      <c r="E832" s="132"/>
      <c r="F832" s="116"/>
      <c r="G832" s="116"/>
      <c r="H832" s="116"/>
      <c r="I832" s="373"/>
      <c r="J832" s="147"/>
      <c r="K832" s="116"/>
      <c r="L832" s="116"/>
      <c r="M832" s="116"/>
      <c r="N832" s="116"/>
      <c r="O832" s="116"/>
      <c r="P832" s="116"/>
      <c r="Q832" s="116"/>
      <c r="R832" s="116"/>
      <c r="S832" s="116"/>
      <c r="T832" s="116"/>
      <c r="U832" s="116"/>
      <c r="V832" s="116"/>
      <c r="W832" s="116"/>
      <c r="X832" s="278"/>
      <c r="Y832" s="142"/>
      <c r="Z832" s="142"/>
      <c r="AA832" s="142"/>
      <c r="AB832" s="142"/>
      <c r="AC832" s="142"/>
      <c r="AD832" s="142"/>
      <c r="AE832" s="142"/>
      <c r="AF832" s="130"/>
      <c r="AG832" s="142"/>
      <c r="AH832" s="142"/>
      <c r="AI832" s="142"/>
      <c r="AJ832" s="130"/>
      <c r="AK832" s="130"/>
      <c r="AL832" s="130"/>
      <c r="AM832" s="130"/>
    </row>
    <row r="833" ht="15.75" customHeight="1">
      <c r="A833" s="278"/>
      <c r="B833" s="278"/>
      <c r="C833" s="278"/>
      <c r="D833" s="278"/>
      <c r="E833" s="132"/>
      <c r="F833" s="116"/>
      <c r="G833" s="116"/>
      <c r="H833" s="116"/>
      <c r="I833" s="373"/>
      <c r="J833" s="147"/>
      <c r="K833" s="116"/>
      <c r="L833" s="116"/>
      <c r="M833" s="116"/>
      <c r="N833" s="116"/>
      <c r="O833" s="116"/>
      <c r="P833" s="116"/>
      <c r="Q833" s="116"/>
      <c r="R833" s="116"/>
      <c r="S833" s="116"/>
      <c r="T833" s="116"/>
      <c r="U833" s="116"/>
      <c r="V833" s="116"/>
      <c r="W833" s="116"/>
      <c r="X833" s="278"/>
      <c r="Y833" s="142"/>
      <c r="Z833" s="142"/>
      <c r="AA833" s="142"/>
      <c r="AB833" s="142"/>
      <c r="AC833" s="142"/>
      <c r="AD833" s="142"/>
      <c r="AE833" s="142"/>
      <c r="AF833" s="130"/>
      <c r="AG833" s="142"/>
      <c r="AH833" s="142"/>
      <c r="AI833" s="142"/>
      <c r="AJ833" s="130"/>
      <c r="AK833" s="130"/>
      <c r="AL833" s="130"/>
      <c r="AM833" s="130"/>
    </row>
    <row r="834" ht="15.75" customHeight="1">
      <c r="A834" s="278"/>
      <c r="B834" s="278"/>
      <c r="C834" s="278"/>
      <c r="D834" s="278"/>
      <c r="E834" s="132"/>
      <c r="F834" s="116"/>
      <c r="G834" s="116"/>
      <c r="H834" s="116"/>
      <c r="I834" s="373"/>
      <c r="J834" s="147"/>
      <c r="K834" s="116"/>
      <c r="L834" s="116"/>
      <c r="M834" s="116"/>
      <c r="N834" s="116"/>
      <c r="O834" s="116"/>
      <c r="P834" s="116"/>
      <c r="Q834" s="116"/>
      <c r="R834" s="116"/>
      <c r="S834" s="116"/>
      <c r="T834" s="116"/>
      <c r="U834" s="116"/>
      <c r="V834" s="116"/>
      <c r="W834" s="116"/>
      <c r="X834" s="278"/>
      <c r="Y834" s="142"/>
      <c r="Z834" s="142"/>
      <c r="AA834" s="142"/>
      <c r="AB834" s="142"/>
      <c r="AC834" s="142"/>
      <c r="AD834" s="142"/>
      <c r="AE834" s="142"/>
      <c r="AF834" s="130"/>
      <c r="AG834" s="142"/>
      <c r="AH834" s="142"/>
      <c r="AI834" s="142"/>
      <c r="AJ834" s="130"/>
      <c r="AK834" s="130"/>
      <c r="AL834" s="130"/>
      <c r="AM834" s="130"/>
    </row>
    <row r="835" ht="15.75" customHeight="1">
      <c r="A835" s="278"/>
      <c r="B835" s="278"/>
      <c r="C835" s="278"/>
      <c r="D835" s="278"/>
      <c r="E835" s="132"/>
      <c r="F835" s="116"/>
      <c r="G835" s="116"/>
      <c r="H835" s="116"/>
      <c r="I835" s="373"/>
      <c r="J835" s="147"/>
      <c r="K835" s="116"/>
      <c r="L835" s="116"/>
      <c r="M835" s="116"/>
      <c r="N835" s="116"/>
      <c r="O835" s="116"/>
      <c r="P835" s="116"/>
      <c r="Q835" s="116"/>
      <c r="R835" s="116"/>
      <c r="S835" s="116"/>
      <c r="T835" s="116"/>
      <c r="U835" s="116"/>
      <c r="V835" s="116"/>
      <c r="W835" s="116"/>
      <c r="X835" s="278"/>
      <c r="Y835" s="142"/>
      <c r="Z835" s="142"/>
      <c r="AA835" s="142"/>
      <c r="AB835" s="142"/>
      <c r="AC835" s="142"/>
      <c r="AD835" s="142"/>
      <c r="AE835" s="142"/>
      <c r="AF835" s="130"/>
      <c r="AG835" s="142"/>
      <c r="AH835" s="142"/>
      <c r="AI835" s="142"/>
      <c r="AJ835" s="130"/>
      <c r="AK835" s="130"/>
      <c r="AL835" s="130"/>
      <c r="AM835" s="130"/>
    </row>
    <row r="836" ht="15.75" customHeight="1">
      <c r="A836" s="278"/>
      <c r="B836" s="278"/>
      <c r="C836" s="278"/>
      <c r="D836" s="278"/>
      <c r="E836" s="132"/>
      <c r="F836" s="116"/>
      <c r="G836" s="116"/>
      <c r="H836" s="116"/>
      <c r="I836" s="373"/>
      <c r="J836" s="147"/>
      <c r="K836" s="116"/>
      <c r="L836" s="116"/>
      <c r="M836" s="116"/>
      <c r="N836" s="116"/>
      <c r="O836" s="116"/>
      <c r="P836" s="116"/>
      <c r="Q836" s="116"/>
      <c r="R836" s="116"/>
      <c r="S836" s="116"/>
      <c r="T836" s="116"/>
      <c r="U836" s="116"/>
      <c r="V836" s="116"/>
      <c r="W836" s="116"/>
      <c r="X836" s="278"/>
      <c r="Y836" s="142"/>
      <c r="Z836" s="142"/>
      <c r="AA836" s="142"/>
      <c r="AB836" s="142"/>
      <c r="AC836" s="142"/>
      <c r="AD836" s="142"/>
      <c r="AE836" s="142"/>
      <c r="AF836" s="130"/>
      <c r="AG836" s="142"/>
      <c r="AH836" s="142"/>
      <c r="AI836" s="142"/>
      <c r="AJ836" s="130"/>
      <c r="AK836" s="130"/>
      <c r="AL836" s="130"/>
      <c r="AM836" s="130"/>
    </row>
    <row r="837" ht="15.75" customHeight="1">
      <c r="A837" s="278"/>
      <c r="B837" s="278"/>
      <c r="C837" s="278"/>
      <c r="D837" s="278"/>
      <c r="E837" s="132"/>
      <c r="F837" s="116"/>
      <c r="G837" s="116"/>
      <c r="H837" s="116"/>
      <c r="I837" s="373"/>
      <c r="J837" s="147"/>
      <c r="K837" s="116"/>
      <c r="L837" s="116"/>
      <c r="M837" s="116"/>
      <c r="N837" s="116"/>
      <c r="O837" s="116"/>
      <c r="P837" s="116"/>
      <c r="Q837" s="116"/>
      <c r="R837" s="116"/>
      <c r="S837" s="116"/>
      <c r="T837" s="116"/>
      <c r="U837" s="116"/>
      <c r="V837" s="116"/>
      <c r="W837" s="116"/>
      <c r="X837" s="278"/>
      <c r="Y837" s="142"/>
      <c r="Z837" s="142"/>
      <c r="AA837" s="142"/>
      <c r="AB837" s="142"/>
      <c r="AC837" s="142"/>
      <c r="AD837" s="142"/>
      <c r="AE837" s="142"/>
      <c r="AF837" s="130"/>
      <c r="AG837" s="142"/>
      <c r="AH837" s="142"/>
      <c r="AI837" s="142"/>
      <c r="AJ837" s="130"/>
      <c r="AK837" s="130"/>
      <c r="AL837" s="130"/>
      <c r="AM837" s="130"/>
    </row>
    <row r="838" ht="15.75" customHeight="1">
      <c r="A838" s="278"/>
      <c r="B838" s="278"/>
      <c r="C838" s="278"/>
      <c r="D838" s="278"/>
      <c r="E838" s="132"/>
      <c r="F838" s="116"/>
      <c r="G838" s="116"/>
      <c r="H838" s="116"/>
      <c r="I838" s="373"/>
      <c r="J838" s="147"/>
      <c r="K838" s="116"/>
      <c r="L838" s="116"/>
      <c r="M838" s="116"/>
      <c r="N838" s="116"/>
      <c r="O838" s="116"/>
      <c r="P838" s="116"/>
      <c r="Q838" s="116"/>
      <c r="R838" s="116"/>
      <c r="S838" s="116"/>
      <c r="T838" s="116"/>
      <c r="U838" s="116"/>
      <c r="V838" s="116"/>
      <c r="W838" s="116"/>
      <c r="X838" s="278"/>
      <c r="Y838" s="142"/>
      <c r="Z838" s="142"/>
      <c r="AA838" s="142"/>
      <c r="AB838" s="142"/>
      <c r="AC838" s="142"/>
      <c r="AD838" s="142"/>
      <c r="AE838" s="142"/>
      <c r="AF838" s="130"/>
      <c r="AG838" s="142"/>
      <c r="AH838" s="142"/>
      <c r="AI838" s="142"/>
      <c r="AJ838" s="130"/>
      <c r="AK838" s="130"/>
      <c r="AL838" s="130"/>
      <c r="AM838" s="130"/>
    </row>
    <row r="839" ht="15.75" customHeight="1">
      <c r="A839" s="278"/>
      <c r="B839" s="278"/>
      <c r="C839" s="278"/>
      <c r="D839" s="278"/>
      <c r="E839" s="132"/>
      <c r="F839" s="116"/>
      <c r="G839" s="116"/>
      <c r="H839" s="116"/>
      <c r="I839" s="373"/>
      <c r="J839" s="147"/>
      <c r="K839" s="116"/>
      <c r="L839" s="116"/>
      <c r="M839" s="116"/>
      <c r="N839" s="116"/>
      <c r="O839" s="116"/>
      <c r="P839" s="116"/>
      <c r="Q839" s="116"/>
      <c r="R839" s="116"/>
      <c r="S839" s="116"/>
      <c r="T839" s="116"/>
      <c r="U839" s="116"/>
      <c r="V839" s="116"/>
      <c r="W839" s="116"/>
      <c r="X839" s="278"/>
      <c r="Y839" s="142"/>
      <c r="Z839" s="142"/>
      <c r="AA839" s="142"/>
      <c r="AB839" s="142"/>
      <c r="AC839" s="142"/>
      <c r="AD839" s="142"/>
      <c r="AE839" s="142"/>
      <c r="AF839" s="130"/>
      <c r="AG839" s="142"/>
      <c r="AH839" s="142"/>
      <c r="AI839" s="142"/>
      <c r="AJ839" s="130"/>
      <c r="AK839" s="130"/>
      <c r="AL839" s="130"/>
      <c r="AM839" s="130"/>
    </row>
    <row r="840" ht="15.75" customHeight="1">
      <c r="A840" s="278"/>
      <c r="B840" s="278"/>
      <c r="C840" s="278"/>
      <c r="D840" s="278"/>
      <c r="E840" s="132"/>
      <c r="F840" s="116"/>
      <c r="G840" s="116"/>
      <c r="H840" s="116"/>
      <c r="I840" s="373"/>
      <c r="J840" s="147"/>
      <c r="K840" s="116"/>
      <c r="L840" s="116"/>
      <c r="M840" s="116"/>
      <c r="N840" s="116"/>
      <c r="O840" s="116"/>
      <c r="P840" s="116"/>
      <c r="Q840" s="116"/>
      <c r="R840" s="116"/>
      <c r="S840" s="116"/>
      <c r="T840" s="116"/>
      <c r="U840" s="116"/>
      <c r="V840" s="116"/>
      <c r="W840" s="116"/>
      <c r="X840" s="278"/>
      <c r="Y840" s="142"/>
      <c r="Z840" s="142"/>
      <c r="AA840" s="142"/>
      <c r="AB840" s="142"/>
      <c r="AC840" s="142"/>
      <c r="AD840" s="142"/>
      <c r="AE840" s="142"/>
      <c r="AF840" s="130"/>
      <c r="AG840" s="142"/>
      <c r="AH840" s="142"/>
      <c r="AI840" s="142"/>
      <c r="AJ840" s="130"/>
      <c r="AK840" s="130"/>
      <c r="AL840" s="130"/>
      <c r="AM840" s="130"/>
    </row>
    <row r="841" ht="15.75" customHeight="1">
      <c r="A841" s="278"/>
      <c r="B841" s="278"/>
      <c r="C841" s="278"/>
      <c r="D841" s="278"/>
      <c r="E841" s="132"/>
      <c r="F841" s="116"/>
      <c r="G841" s="116"/>
      <c r="H841" s="116"/>
      <c r="I841" s="373"/>
      <c r="J841" s="147"/>
      <c r="K841" s="116"/>
      <c r="L841" s="116"/>
      <c r="M841" s="116"/>
      <c r="N841" s="116"/>
      <c r="O841" s="116"/>
      <c r="P841" s="116"/>
      <c r="Q841" s="116"/>
      <c r="R841" s="116"/>
      <c r="S841" s="116"/>
      <c r="T841" s="116"/>
      <c r="U841" s="116"/>
      <c r="V841" s="116"/>
      <c r="W841" s="116"/>
      <c r="X841" s="278"/>
      <c r="Y841" s="142"/>
      <c r="Z841" s="142"/>
      <c r="AA841" s="142"/>
      <c r="AB841" s="142"/>
      <c r="AC841" s="142"/>
      <c r="AD841" s="142"/>
      <c r="AE841" s="142"/>
      <c r="AF841" s="130"/>
      <c r="AG841" s="142"/>
      <c r="AH841" s="142"/>
      <c r="AI841" s="142"/>
      <c r="AJ841" s="130"/>
      <c r="AK841" s="130"/>
      <c r="AL841" s="130"/>
      <c r="AM841" s="130"/>
    </row>
    <row r="842" ht="15.75" customHeight="1">
      <c r="A842" s="278"/>
      <c r="B842" s="278"/>
      <c r="C842" s="278"/>
      <c r="D842" s="278"/>
      <c r="E842" s="132"/>
      <c r="F842" s="116"/>
      <c r="G842" s="116"/>
      <c r="H842" s="116"/>
      <c r="I842" s="373"/>
      <c r="J842" s="147"/>
      <c r="K842" s="116"/>
      <c r="L842" s="116"/>
      <c r="M842" s="116"/>
      <c r="N842" s="116"/>
      <c r="O842" s="116"/>
      <c r="P842" s="116"/>
      <c r="Q842" s="116"/>
      <c r="R842" s="116"/>
      <c r="S842" s="116"/>
      <c r="T842" s="116"/>
      <c r="U842" s="116"/>
      <c r="V842" s="116"/>
      <c r="W842" s="116"/>
      <c r="X842" s="278"/>
      <c r="Y842" s="142"/>
      <c r="Z842" s="142"/>
      <c r="AA842" s="142"/>
      <c r="AB842" s="142"/>
      <c r="AC842" s="142"/>
      <c r="AD842" s="142"/>
      <c r="AE842" s="142"/>
      <c r="AF842" s="130"/>
      <c r="AG842" s="142"/>
      <c r="AH842" s="142"/>
      <c r="AI842" s="142"/>
      <c r="AJ842" s="130"/>
      <c r="AK842" s="130"/>
      <c r="AL842" s="130"/>
      <c r="AM842" s="130"/>
    </row>
    <row r="843" ht="15.75" customHeight="1">
      <c r="A843" s="278"/>
      <c r="B843" s="278"/>
      <c r="C843" s="278"/>
      <c r="D843" s="278"/>
      <c r="E843" s="132"/>
      <c r="F843" s="116"/>
      <c r="G843" s="116"/>
      <c r="H843" s="116"/>
      <c r="I843" s="373"/>
      <c r="J843" s="147"/>
      <c r="K843" s="116"/>
      <c r="L843" s="116"/>
      <c r="M843" s="116"/>
      <c r="N843" s="116"/>
      <c r="O843" s="116"/>
      <c r="P843" s="116"/>
      <c r="Q843" s="116"/>
      <c r="R843" s="116"/>
      <c r="S843" s="116"/>
      <c r="T843" s="116"/>
      <c r="U843" s="116"/>
      <c r="V843" s="116"/>
      <c r="W843" s="116"/>
      <c r="X843" s="278"/>
      <c r="Y843" s="142"/>
      <c r="Z843" s="142"/>
      <c r="AA843" s="142"/>
      <c r="AB843" s="142"/>
      <c r="AC843" s="142"/>
      <c r="AD843" s="142"/>
      <c r="AE843" s="142"/>
      <c r="AF843" s="130"/>
      <c r="AG843" s="142"/>
      <c r="AH843" s="142"/>
      <c r="AI843" s="142"/>
      <c r="AJ843" s="130"/>
      <c r="AK843" s="130"/>
      <c r="AL843" s="130"/>
      <c r="AM843" s="130"/>
    </row>
    <row r="844" ht="15.75" customHeight="1">
      <c r="A844" s="278"/>
      <c r="B844" s="278"/>
      <c r="C844" s="278"/>
      <c r="D844" s="278"/>
      <c r="E844" s="132"/>
      <c r="F844" s="116"/>
      <c r="G844" s="116"/>
      <c r="H844" s="116"/>
      <c r="I844" s="373"/>
      <c r="J844" s="147"/>
      <c r="K844" s="116"/>
      <c r="L844" s="116"/>
      <c r="M844" s="116"/>
      <c r="N844" s="116"/>
      <c r="O844" s="116"/>
      <c r="P844" s="116"/>
      <c r="Q844" s="116"/>
      <c r="R844" s="116"/>
      <c r="S844" s="116"/>
      <c r="T844" s="116"/>
      <c r="U844" s="116"/>
      <c r="V844" s="116"/>
      <c r="W844" s="116"/>
      <c r="X844" s="278"/>
      <c r="Y844" s="142"/>
      <c r="Z844" s="142"/>
      <c r="AA844" s="142"/>
      <c r="AB844" s="142"/>
      <c r="AC844" s="142"/>
      <c r="AD844" s="142"/>
      <c r="AE844" s="142"/>
      <c r="AF844" s="130"/>
      <c r="AG844" s="142"/>
      <c r="AH844" s="142"/>
      <c r="AI844" s="142"/>
      <c r="AJ844" s="130"/>
      <c r="AK844" s="130"/>
      <c r="AL844" s="130"/>
      <c r="AM844" s="130"/>
    </row>
    <row r="845" ht="15.75" customHeight="1">
      <c r="A845" s="278"/>
      <c r="B845" s="278"/>
      <c r="C845" s="278"/>
      <c r="D845" s="278"/>
      <c r="E845" s="132"/>
      <c r="F845" s="116"/>
      <c r="G845" s="116"/>
      <c r="H845" s="116"/>
      <c r="I845" s="373"/>
      <c r="J845" s="147"/>
      <c r="K845" s="116"/>
      <c r="L845" s="116"/>
      <c r="M845" s="116"/>
      <c r="N845" s="116"/>
      <c r="O845" s="116"/>
      <c r="P845" s="116"/>
      <c r="Q845" s="116"/>
      <c r="R845" s="116"/>
      <c r="S845" s="116"/>
      <c r="T845" s="116"/>
      <c r="U845" s="116"/>
      <c r="V845" s="116"/>
      <c r="W845" s="116"/>
      <c r="X845" s="278"/>
      <c r="Y845" s="142"/>
      <c r="Z845" s="142"/>
      <c r="AA845" s="142"/>
      <c r="AB845" s="142"/>
      <c r="AC845" s="142"/>
      <c r="AD845" s="142"/>
      <c r="AE845" s="142"/>
      <c r="AF845" s="130"/>
      <c r="AG845" s="142"/>
      <c r="AH845" s="142"/>
      <c r="AI845" s="142"/>
      <c r="AJ845" s="130"/>
      <c r="AK845" s="130"/>
      <c r="AL845" s="130"/>
      <c r="AM845" s="130"/>
    </row>
    <row r="846" ht="15.75" customHeight="1">
      <c r="A846" s="278"/>
      <c r="B846" s="278"/>
      <c r="C846" s="278"/>
      <c r="D846" s="278"/>
      <c r="E846" s="132"/>
      <c r="F846" s="116"/>
      <c r="G846" s="116"/>
      <c r="H846" s="116"/>
      <c r="I846" s="373"/>
      <c r="J846" s="147"/>
      <c r="K846" s="116"/>
      <c r="L846" s="116"/>
      <c r="M846" s="116"/>
      <c r="N846" s="116"/>
      <c r="O846" s="116"/>
      <c r="P846" s="116"/>
      <c r="Q846" s="116"/>
      <c r="R846" s="116"/>
      <c r="S846" s="116"/>
      <c r="T846" s="116"/>
      <c r="U846" s="116"/>
      <c r="V846" s="116"/>
      <c r="W846" s="116"/>
      <c r="X846" s="278"/>
      <c r="Y846" s="142"/>
      <c r="Z846" s="142"/>
      <c r="AA846" s="142"/>
      <c r="AB846" s="142"/>
      <c r="AC846" s="142"/>
      <c r="AD846" s="142"/>
      <c r="AE846" s="142"/>
      <c r="AF846" s="130"/>
      <c r="AG846" s="142"/>
      <c r="AH846" s="142"/>
      <c r="AI846" s="142"/>
      <c r="AJ846" s="130"/>
      <c r="AK846" s="130"/>
      <c r="AL846" s="130"/>
      <c r="AM846" s="130"/>
    </row>
    <row r="847" ht="15.75" customHeight="1">
      <c r="A847" s="278"/>
      <c r="B847" s="278"/>
      <c r="C847" s="278"/>
      <c r="D847" s="278"/>
      <c r="E847" s="132"/>
      <c r="F847" s="116"/>
      <c r="G847" s="116"/>
      <c r="H847" s="116"/>
      <c r="I847" s="373"/>
      <c r="J847" s="147"/>
      <c r="K847" s="116"/>
      <c r="L847" s="116"/>
      <c r="M847" s="116"/>
      <c r="N847" s="116"/>
      <c r="O847" s="116"/>
      <c r="P847" s="116"/>
      <c r="Q847" s="116"/>
      <c r="R847" s="116"/>
      <c r="S847" s="116"/>
      <c r="T847" s="116"/>
      <c r="U847" s="116"/>
      <c r="V847" s="116"/>
      <c r="W847" s="116"/>
      <c r="X847" s="278"/>
      <c r="Y847" s="142"/>
      <c r="Z847" s="142"/>
      <c r="AA847" s="142"/>
      <c r="AB847" s="142"/>
      <c r="AC847" s="142"/>
      <c r="AD847" s="142"/>
      <c r="AE847" s="142"/>
      <c r="AF847" s="130"/>
      <c r="AG847" s="142"/>
      <c r="AH847" s="142"/>
      <c r="AI847" s="142"/>
      <c r="AJ847" s="130"/>
      <c r="AK847" s="130"/>
      <c r="AL847" s="130"/>
      <c r="AM847" s="130"/>
    </row>
    <row r="848" ht="15.75" customHeight="1">
      <c r="A848" s="278"/>
      <c r="B848" s="278"/>
      <c r="C848" s="278"/>
      <c r="D848" s="278"/>
      <c r="E848" s="132"/>
      <c r="F848" s="116"/>
      <c r="G848" s="116"/>
      <c r="H848" s="116"/>
      <c r="I848" s="373"/>
      <c r="J848" s="147"/>
      <c r="K848" s="116"/>
      <c r="L848" s="116"/>
      <c r="M848" s="116"/>
      <c r="N848" s="116"/>
      <c r="O848" s="116"/>
      <c r="P848" s="116"/>
      <c r="Q848" s="116"/>
      <c r="R848" s="116"/>
      <c r="S848" s="116"/>
      <c r="T848" s="116"/>
      <c r="U848" s="116"/>
      <c r="V848" s="116"/>
      <c r="W848" s="116"/>
      <c r="X848" s="278"/>
      <c r="Y848" s="142"/>
      <c r="Z848" s="142"/>
      <c r="AA848" s="142"/>
      <c r="AB848" s="142"/>
      <c r="AC848" s="142"/>
      <c r="AD848" s="142"/>
      <c r="AE848" s="142"/>
      <c r="AF848" s="130"/>
      <c r="AG848" s="142"/>
      <c r="AH848" s="142"/>
      <c r="AI848" s="142"/>
      <c r="AJ848" s="130"/>
      <c r="AK848" s="130"/>
      <c r="AL848" s="130"/>
      <c r="AM848" s="130"/>
    </row>
    <row r="849" ht="15.75" customHeight="1">
      <c r="A849" s="278"/>
      <c r="B849" s="278"/>
      <c r="C849" s="278"/>
      <c r="D849" s="278"/>
      <c r="E849" s="132"/>
      <c r="F849" s="116"/>
      <c r="G849" s="116"/>
      <c r="H849" s="116"/>
      <c r="I849" s="373"/>
      <c r="J849" s="147"/>
      <c r="K849" s="116"/>
      <c r="L849" s="116"/>
      <c r="M849" s="116"/>
      <c r="N849" s="116"/>
      <c r="O849" s="116"/>
      <c r="P849" s="116"/>
      <c r="Q849" s="116"/>
      <c r="R849" s="116"/>
      <c r="S849" s="116"/>
      <c r="T849" s="116"/>
      <c r="U849" s="116"/>
      <c r="V849" s="116"/>
      <c r="W849" s="116"/>
      <c r="X849" s="278"/>
      <c r="Y849" s="142"/>
      <c r="Z849" s="142"/>
      <c r="AA849" s="142"/>
      <c r="AB849" s="142"/>
      <c r="AC849" s="142"/>
      <c r="AD849" s="142"/>
      <c r="AE849" s="142"/>
      <c r="AF849" s="130"/>
      <c r="AG849" s="142"/>
      <c r="AH849" s="142"/>
      <c r="AI849" s="142"/>
      <c r="AJ849" s="130"/>
      <c r="AK849" s="130"/>
      <c r="AL849" s="130"/>
      <c r="AM849" s="130"/>
    </row>
    <row r="850" ht="15.75" customHeight="1">
      <c r="A850" s="278"/>
      <c r="B850" s="278"/>
      <c r="C850" s="278"/>
      <c r="D850" s="278"/>
      <c r="E850" s="132"/>
      <c r="F850" s="116"/>
      <c r="G850" s="116"/>
      <c r="H850" s="116"/>
      <c r="I850" s="373"/>
      <c r="J850" s="147"/>
      <c r="K850" s="116"/>
      <c r="L850" s="116"/>
      <c r="M850" s="116"/>
      <c r="N850" s="116"/>
      <c r="O850" s="116"/>
      <c r="P850" s="116"/>
      <c r="Q850" s="116"/>
      <c r="R850" s="116"/>
      <c r="S850" s="116"/>
      <c r="T850" s="116"/>
      <c r="U850" s="116"/>
      <c r="V850" s="116"/>
      <c r="W850" s="116"/>
      <c r="X850" s="278"/>
      <c r="Y850" s="142"/>
      <c r="Z850" s="142"/>
      <c r="AA850" s="142"/>
      <c r="AB850" s="142"/>
      <c r="AC850" s="142"/>
      <c r="AD850" s="142"/>
      <c r="AE850" s="142"/>
      <c r="AF850" s="130"/>
      <c r="AG850" s="142"/>
      <c r="AH850" s="142"/>
      <c r="AI850" s="142"/>
      <c r="AJ850" s="130"/>
      <c r="AK850" s="130"/>
      <c r="AL850" s="130"/>
      <c r="AM850" s="130"/>
    </row>
    <row r="851" ht="15.75" customHeight="1">
      <c r="A851" s="278"/>
      <c r="B851" s="278"/>
      <c r="C851" s="278"/>
      <c r="D851" s="278"/>
      <c r="E851" s="132"/>
      <c r="F851" s="116"/>
      <c r="G851" s="116"/>
      <c r="H851" s="116"/>
      <c r="I851" s="373"/>
      <c r="J851" s="147"/>
      <c r="K851" s="116"/>
      <c r="L851" s="116"/>
      <c r="M851" s="116"/>
      <c r="N851" s="116"/>
      <c r="O851" s="116"/>
      <c r="P851" s="116"/>
      <c r="Q851" s="116"/>
      <c r="R851" s="116"/>
      <c r="S851" s="116"/>
      <c r="T851" s="116"/>
      <c r="U851" s="116"/>
      <c r="V851" s="116"/>
      <c r="W851" s="116"/>
      <c r="X851" s="278"/>
      <c r="Y851" s="142"/>
      <c r="Z851" s="142"/>
      <c r="AA851" s="142"/>
      <c r="AB851" s="142"/>
      <c r="AC851" s="142"/>
      <c r="AD851" s="142"/>
      <c r="AE851" s="142"/>
      <c r="AF851" s="130"/>
      <c r="AG851" s="142"/>
      <c r="AH851" s="142"/>
      <c r="AI851" s="142"/>
      <c r="AJ851" s="130"/>
      <c r="AK851" s="130"/>
      <c r="AL851" s="130"/>
      <c r="AM851" s="130"/>
    </row>
    <row r="852" ht="15.75" customHeight="1">
      <c r="A852" s="278"/>
      <c r="B852" s="278"/>
      <c r="C852" s="278"/>
      <c r="D852" s="278"/>
      <c r="E852" s="132"/>
      <c r="F852" s="116"/>
      <c r="G852" s="116"/>
      <c r="H852" s="116"/>
      <c r="I852" s="373"/>
      <c r="J852" s="147"/>
      <c r="K852" s="116"/>
      <c r="L852" s="116"/>
      <c r="M852" s="116"/>
      <c r="N852" s="116"/>
      <c r="O852" s="116"/>
      <c r="P852" s="116"/>
      <c r="Q852" s="116"/>
      <c r="R852" s="116"/>
      <c r="S852" s="116"/>
      <c r="T852" s="116"/>
      <c r="U852" s="116"/>
      <c r="V852" s="116"/>
      <c r="W852" s="116"/>
      <c r="X852" s="278"/>
      <c r="Y852" s="142"/>
      <c r="Z852" s="142"/>
      <c r="AA852" s="142"/>
      <c r="AB852" s="142"/>
      <c r="AC852" s="142"/>
      <c r="AD852" s="142"/>
      <c r="AE852" s="142"/>
      <c r="AF852" s="130"/>
      <c r="AG852" s="142"/>
      <c r="AH852" s="142"/>
      <c r="AI852" s="142"/>
      <c r="AJ852" s="130"/>
      <c r="AK852" s="130"/>
      <c r="AL852" s="130"/>
      <c r="AM852" s="130"/>
    </row>
    <row r="853" ht="15.75" customHeight="1">
      <c r="A853" s="278"/>
      <c r="B853" s="278"/>
      <c r="C853" s="278"/>
      <c r="D853" s="278"/>
      <c r="E853" s="132"/>
      <c r="F853" s="116"/>
      <c r="G853" s="116"/>
      <c r="H853" s="116"/>
      <c r="I853" s="373"/>
      <c r="J853" s="147"/>
      <c r="K853" s="116"/>
      <c r="L853" s="116"/>
      <c r="M853" s="116"/>
      <c r="N853" s="116"/>
      <c r="O853" s="116"/>
      <c r="P853" s="116"/>
      <c r="Q853" s="116"/>
      <c r="R853" s="116"/>
      <c r="S853" s="116"/>
      <c r="T853" s="116"/>
      <c r="U853" s="116"/>
      <c r="V853" s="116"/>
      <c r="W853" s="116"/>
      <c r="X853" s="278"/>
      <c r="Y853" s="142"/>
      <c r="Z853" s="142"/>
      <c r="AA853" s="142"/>
      <c r="AB853" s="142"/>
      <c r="AC853" s="142"/>
      <c r="AD853" s="142"/>
      <c r="AE853" s="142"/>
      <c r="AF853" s="130"/>
      <c r="AG853" s="142"/>
      <c r="AH853" s="142"/>
      <c r="AI853" s="142"/>
      <c r="AJ853" s="130"/>
      <c r="AK853" s="130"/>
      <c r="AL853" s="130"/>
      <c r="AM853" s="130"/>
    </row>
    <row r="854" ht="15.75" customHeight="1">
      <c r="A854" s="278"/>
      <c r="B854" s="278"/>
      <c r="C854" s="278"/>
      <c r="D854" s="278"/>
      <c r="E854" s="132"/>
      <c r="F854" s="116"/>
      <c r="G854" s="116"/>
      <c r="H854" s="116"/>
      <c r="I854" s="373"/>
      <c r="J854" s="147"/>
      <c r="K854" s="116"/>
      <c r="L854" s="116"/>
      <c r="M854" s="116"/>
      <c r="N854" s="116"/>
      <c r="O854" s="116"/>
      <c r="P854" s="116"/>
      <c r="Q854" s="116"/>
      <c r="R854" s="116"/>
      <c r="S854" s="116"/>
      <c r="T854" s="116"/>
      <c r="U854" s="116"/>
      <c r="V854" s="116"/>
      <c r="W854" s="116"/>
      <c r="X854" s="278"/>
      <c r="Y854" s="142"/>
      <c r="Z854" s="142"/>
      <c r="AA854" s="142"/>
      <c r="AB854" s="142"/>
      <c r="AC854" s="142"/>
      <c r="AD854" s="142"/>
      <c r="AE854" s="142"/>
      <c r="AF854" s="130"/>
      <c r="AG854" s="142"/>
      <c r="AH854" s="142"/>
      <c r="AI854" s="142"/>
      <c r="AJ854" s="130"/>
      <c r="AK854" s="130"/>
      <c r="AL854" s="130"/>
      <c r="AM854" s="130"/>
    </row>
    <row r="855" ht="15.75" customHeight="1">
      <c r="A855" s="278"/>
      <c r="B855" s="278"/>
      <c r="C855" s="278"/>
      <c r="D855" s="278"/>
      <c r="E855" s="132"/>
      <c r="F855" s="116"/>
      <c r="G855" s="116"/>
      <c r="H855" s="116"/>
      <c r="I855" s="373"/>
      <c r="J855" s="147"/>
      <c r="K855" s="116"/>
      <c r="L855" s="116"/>
      <c r="M855" s="116"/>
      <c r="N855" s="116"/>
      <c r="O855" s="116"/>
      <c r="P855" s="116"/>
      <c r="Q855" s="116"/>
      <c r="R855" s="116"/>
      <c r="S855" s="116"/>
      <c r="T855" s="116"/>
      <c r="U855" s="116"/>
      <c r="V855" s="116"/>
      <c r="W855" s="116"/>
      <c r="X855" s="278"/>
      <c r="Y855" s="142"/>
      <c r="Z855" s="142"/>
      <c r="AA855" s="142"/>
      <c r="AB855" s="142"/>
      <c r="AC855" s="142"/>
      <c r="AD855" s="142"/>
      <c r="AE855" s="142"/>
      <c r="AF855" s="130"/>
      <c r="AG855" s="142"/>
      <c r="AH855" s="142"/>
      <c r="AI855" s="142"/>
      <c r="AJ855" s="130"/>
      <c r="AK855" s="130"/>
      <c r="AL855" s="130"/>
      <c r="AM855" s="130"/>
    </row>
    <row r="856" ht="15.75" customHeight="1">
      <c r="A856" s="278"/>
      <c r="B856" s="278"/>
      <c r="C856" s="278"/>
      <c r="D856" s="278"/>
      <c r="E856" s="132"/>
      <c r="F856" s="116"/>
      <c r="G856" s="116"/>
      <c r="H856" s="116"/>
      <c r="I856" s="373"/>
      <c r="J856" s="147"/>
      <c r="K856" s="116"/>
      <c r="L856" s="116"/>
      <c r="M856" s="116"/>
      <c r="N856" s="116"/>
      <c r="O856" s="116"/>
      <c r="P856" s="116"/>
      <c r="Q856" s="116"/>
      <c r="R856" s="116"/>
      <c r="S856" s="116"/>
      <c r="T856" s="116"/>
      <c r="U856" s="116"/>
      <c r="V856" s="116"/>
      <c r="W856" s="116"/>
      <c r="X856" s="278"/>
      <c r="Y856" s="142"/>
      <c r="Z856" s="142"/>
      <c r="AA856" s="142"/>
      <c r="AB856" s="142"/>
      <c r="AC856" s="142"/>
      <c r="AD856" s="142"/>
      <c r="AE856" s="142"/>
      <c r="AF856" s="130"/>
      <c r="AG856" s="142"/>
      <c r="AH856" s="142"/>
      <c r="AI856" s="142"/>
      <c r="AJ856" s="130"/>
      <c r="AK856" s="130"/>
      <c r="AL856" s="130"/>
      <c r="AM856" s="130"/>
    </row>
    <row r="857" ht="15.75" customHeight="1">
      <c r="A857" s="278"/>
      <c r="B857" s="278"/>
      <c r="C857" s="278"/>
      <c r="D857" s="278"/>
      <c r="E857" s="132"/>
      <c r="F857" s="116"/>
      <c r="G857" s="116"/>
      <c r="H857" s="116"/>
      <c r="I857" s="373"/>
      <c r="J857" s="147"/>
      <c r="K857" s="116"/>
      <c r="L857" s="116"/>
      <c r="M857" s="116"/>
      <c r="N857" s="116"/>
      <c r="O857" s="116"/>
      <c r="P857" s="116"/>
      <c r="Q857" s="116"/>
      <c r="R857" s="116"/>
      <c r="S857" s="116"/>
      <c r="T857" s="116"/>
      <c r="U857" s="116"/>
      <c r="V857" s="116"/>
      <c r="W857" s="116"/>
      <c r="X857" s="278"/>
      <c r="Y857" s="142"/>
      <c r="Z857" s="142"/>
      <c r="AA857" s="142"/>
      <c r="AB857" s="142"/>
      <c r="AC857" s="142"/>
      <c r="AD857" s="142"/>
      <c r="AE857" s="142"/>
      <c r="AF857" s="130"/>
      <c r="AG857" s="142"/>
      <c r="AH857" s="142"/>
      <c r="AI857" s="142"/>
      <c r="AJ857" s="130"/>
      <c r="AK857" s="130"/>
      <c r="AL857" s="130"/>
      <c r="AM857" s="130"/>
    </row>
    <row r="858" ht="15.75" customHeight="1">
      <c r="A858" s="278"/>
      <c r="B858" s="278"/>
      <c r="C858" s="278"/>
      <c r="D858" s="278"/>
      <c r="E858" s="132"/>
      <c r="F858" s="116"/>
      <c r="G858" s="116"/>
      <c r="H858" s="116"/>
      <c r="I858" s="373"/>
      <c r="J858" s="147"/>
      <c r="K858" s="116"/>
      <c r="L858" s="116"/>
      <c r="M858" s="116"/>
      <c r="N858" s="116"/>
      <c r="O858" s="116"/>
      <c r="P858" s="116"/>
      <c r="Q858" s="116"/>
      <c r="R858" s="116"/>
      <c r="S858" s="116"/>
      <c r="T858" s="116"/>
      <c r="U858" s="116"/>
      <c r="V858" s="116"/>
      <c r="W858" s="116"/>
      <c r="X858" s="278"/>
      <c r="Y858" s="142"/>
      <c r="Z858" s="142"/>
      <c r="AA858" s="142"/>
      <c r="AB858" s="142"/>
      <c r="AC858" s="142"/>
      <c r="AD858" s="142"/>
      <c r="AE858" s="142"/>
      <c r="AF858" s="130"/>
      <c r="AG858" s="142"/>
      <c r="AH858" s="142"/>
      <c r="AI858" s="142"/>
      <c r="AJ858" s="130"/>
      <c r="AK858" s="130"/>
      <c r="AL858" s="130"/>
      <c r="AM858" s="130"/>
    </row>
    <row r="859" ht="15.75" customHeight="1">
      <c r="A859" s="278"/>
      <c r="B859" s="278"/>
      <c r="C859" s="278"/>
      <c r="D859" s="278"/>
      <c r="E859" s="132"/>
      <c r="F859" s="116"/>
      <c r="G859" s="116"/>
      <c r="H859" s="116"/>
      <c r="I859" s="373"/>
      <c r="J859" s="147"/>
      <c r="K859" s="116"/>
      <c r="L859" s="116"/>
      <c r="M859" s="116"/>
      <c r="N859" s="116"/>
      <c r="O859" s="116"/>
      <c r="P859" s="116"/>
      <c r="Q859" s="116"/>
      <c r="R859" s="116"/>
      <c r="S859" s="116"/>
      <c r="T859" s="116"/>
      <c r="U859" s="116"/>
      <c r="V859" s="116"/>
      <c r="W859" s="116"/>
      <c r="X859" s="278"/>
      <c r="Y859" s="142"/>
      <c r="Z859" s="142"/>
      <c r="AA859" s="142"/>
      <c r="AB859" s="142"/>
      <c r="AC859" s="142"/>
      <c r="AD859" s="142"/>
      <c r="AE859" s="142"/>
      <c r="AF859" s="130"/>
      <c r="AG859" s="142"/>
      <c r="AH859" s="142"/>
      <c r="AI859" s="142"/>
      <c r="AJ859" s="130"/>
      <c r="AK859" s="130"/>
      <c r="AL859" s="130"/>
      <c r="AM859" s="130"/>
    </row>
    <row r="860" ht="15.75" customHeight="1">
      <c r="A860" s="278"/>
      <c r="B860" s="278"/>
      <c r="C860" s="278"/>
      <c r="D860" s="278"/>
      <c r="E860" s="132"/>
      <c r="F860" s="116"/>
      <c r="G860" s="116"/>
      <c r="H860" s="116"/>
      <c r="I860" s="373"/>
      <c r="J860" s="147"/>
      <c r="K860" s="116"/>
      <c r="L860" s="116"/>
      <c r="M860" s="116"/>
      <c r="N860" s="116"/>
      <c r="O860" s="116"/>
      <c r="P860" s="116"/>
      <c r="Q860" s="116"/>
      <c r="R860" s="116"/>
      <c r="S860" s="116"/>
      <c r="T860" s="116"/>
      <c r="U860" s="116"/>
      <c r="V860" s="116"/>
      <c r="W860" s="116"/>
      <c r="X860" s="278"/>
      <c r="Y860" s="142"/>
      <c r="Z860" s="142"/>
      <c r="AA860" s="142"/>
      <c r="AB860" s="142"/>
      <c r="AC860" s="142"/>
      <c r="AD860" s="142"/>
      <c r="AE860" s="142"/>
      <c r="AF860" s="130"/>
      <c r="AG860" s="142"/>
      <c r="AH860" s="142"/>
      <c r="AI860" s="142"/>
      <c r="AJ860" s="130"/>
      <c r="AK860" s="130"/>
      <c r="AL860" s="130"/>
      <c r="AM860" s="130"/>
    </row>
    <row r="861" ht="15.75" customHeight="1">
      <c r="A861" s="278"/>
      <c r="B861" s="278"/>
      <c r="C861" s="278"/>
      <c r="D861" s="278"/>
      <c r="E861" s="132"/>
      <c r="F861" s="116"/>
      <c r="G861" s="116"/>
      <c r="H861" s="116"/>
      <c r="I861" s="373"/>
      <c r="J861" s="147"/>
      <c r="K861" s="116"/>
      <c r="L861" s="116"/>
      <c r="M861" s="116"/>
      <c r="N861" s="116"/>
      <c r="O861" s="116"/>
      <c r="P861" s="116"/>
      <c r="Q861" s="116"/>
      <c r="R861" s="116"/>
      <c r="S861" s="116"/>
      <c r="T861" s="116"/>
      <c r="U861" s="116"/>
      <c r="V861" s="116"/>
      <c r="W861" s="116"/>
      <c r="X861" s="278"/>
      <c r="Y861" s="142"/>
      <c r="Z861" s="142"/>
      <c r="AA861" s="142"/>
      <c r="AB861" s="142"/>
      <c r="AC861" s="142"/>
      <c r="AD861" s="142"/>
      <c r="AE861" s="142"/>
      <c r="AF861" s="130"/>
      <c r="AG861" s="142"/>
      <c r="AH861" s="142"/>
      <c r="AI861" s="142"/>
      <c r="AJ861" s="130"/>
      <c r="AK861" s="130"/>
      <c r="AL861" s="130"/>
      <c r="AM861" s="130"/>
    </row>
    <row r="862" ht="15.75" customHeight="1">
      <c r="A862" s="278"/>
      <c r="B862" s="278"/>
      <c r="C862" s="278"/>
      <c r="D862" s="278"/>
      <c r="E862" s="132"/>
      <c r="F862" s="116"/>
      <c r="G862" s="116"/>
      <c r="H862" s="116"/>
      <c r="I862" s="373"/>
      <c r="J862" s="147"/>
      <c r="K862" s="116"/>
      <c r="L862" s="116"/>
      <c r="M862" s="116"/>
      <c r="N862" s="116"/>
      <c r="O862" s="116"/>
      <c r="P862" s="116"/>
      <c r="Q862" s="116"/>
      <c r="R862" s="116"/>
      <c r="S862" s="116"/>
      <c r="T862" s="116"/>
      <c r="U862" s="116"/>
      <c r="V862" s="116"/>
      <c r="W862" s="116"/>
      <c r="X862" s="278"/>
      <c r="Y862" s="142"/>
      <c r="Z862" s="142"/>
      <c r="AA862" s="142"/>
      <c r="AB862" s="142"/>
      <c r="AC862" s="142"/>
      <c r="AD862" s="142"/>
      <c r="AE862" s="142"/>
      <c r="AF862" s="130"/>
      <c r="AG862" s="142"/>
      <c r="AH862" s="142"/>
      <c r="AI862" s="142"/>
      <c r="AJ862" s="130"/>
      <c r="AK862" s="130"/>
      <c r="AL862" s="130"/>
      <c r="AM862" s="130"/>
    </row>
    <row r="863" ht="15.75" customHeight="1">
      <c r="A863" s="278"/>
      <c r="B863" s="278"/>
      <c r="C863" s="278"/>
      <c r="D863" s="278"/>
      <c r="E863" s="132"/>
      <c r="F863" s="116"/>
      <c r="G863" s="116"/>
      <c r="H863" s="116"/>
      <c r="I863" s="373"/>
      <c r="J863" s="147"/>
      <c r="K863" s="116"/>
      <c r="L863" s="116"/>
      <c r="M863" s="116"/>
      <c r="N863" s="116"/>
      <c r="O863" s="116"/>
      <c r="P863" s="116"/>
      <c r="Q863" s="116"/>
      <c r="R863" s="116"/>
      <c r="S863" s="116"/>
      <c r="T863" s="116"/>
      <c r="U863" s="116"/>
      <c r="V863" s="116"/>
      <c r="W863" s="116"/>
      <c r="X863" s="278"/>
      <c r="Y863" s="142"/>
      <c r="Z863" s="142"/>
      <c r="AA863" s="142"/>
      <c r="AB863" s="142"/>
      <c r="AC863" s="142"/>
      <c r="AD863" s="142"/>
      <c r="AE863" s="142"/>
      <c r="AF863" s="130"/>
      <c r="AG863" s="142"/>
      <c r="AH863" s="142"/>
      <c r="AI863" s="142"/>
      <c r="AJ863" s="130"/>
      <c r="AK863" s="130"/>
      <c r="AL863" s="130"/>
      <c r="AM863" s="130"/>
    </row>
    <row r="864" ht="15.75" customHeight="1">
      <c r="A864" s="278"/>
      <c r="B864" s="278"/>
      <c r="C864" s="278"/>
      <c r="D864" s="278"/>
      <c r="E864" s="132"/>
      <c r="F864" s="116"/>
      <c r="G864" s="116"/>
      <c r="H864" s="116"/>
      <c r="I864" s="373"/>
      <c r="J864" s="147"/>
      <c r="K864" s="116"/>
      <c r="L864" s="116"/>
      <c r="M864" s="116"/>
      <c r="N864" s="116"/>
      <c r="O864" s="116"/>
      <c r="P864" s="116"/>
      <c r="Q864" s="116"/>
      <c r="R864" s="116"/>
      <c r="S864" s="116"/>
      <c r="T864" s="116"/>
      <c r="U864" s="116"/>
      <c r="V864" s="116"/>
      <c r="W864" s="116"/>
      <c r="X864" s="278"/>
      <c r="Y864" s="142"/>
      <c r="Z864" s="142"/>
      <c r="AA864" s="142"/>
      <c r="AB864" s="142"/>
      <c r="AC864" s="142"/>
      <c r="AD864" s="142"/>
      <c r="AE864" s="142"/>
      <c r="AF864" s="130"/>
      <c r="AG864" s="142"/>
      <c r="AH864" s="142"/>
      <c r="AI864" s="142"/>
      <c r="AJ864" s="130"/>
      <c r="AK864" s="130"/>
      <c r="AL864" s="130"/>
      <c r="AM864" s="130"/>
    </row>
    <row r="865" ht="15.75" customHeight="1">
      <c r="A865" s="278"/>
      <c r="B865" s="278"/>
      <c r="C865" s="278"/>
      <c r="D865" s="278"/>
      <c r="E865" s="132"/>
      <c r="F865" s="116"/>
      <c r="G865" s="116"/>
      <c r="H865" s="116"/>
      <c r="I865" s="373"/>
      <c r="J865" s="147"/>
      <c r="K865" s="116"/>
      <c r="L865" s="116"/>
      <c r="M865" s="116"/>
      <c r="N865" s="116"/>
      <c r="O865" s="116"/>
      <c r="P865" s="116"/>
      <c r="Q865" s="116"/>
      <c r="R865" s="116"/>
      <c r="S865" s="116"/>
      <c r="T865" s="116"/>
      <c r="U865" s="116"/>
      <c r="V865" s="116"/>
      <c r="W865" s="116"/>
      <c r="X865" s="278"/>
      <c r="Y865" s="142"/>
      <c r="Z865" s="142"/>
      <c r="AA865" s="142"/>
      <c r="AB865" s="142"/>
      <c r="AC865" s="142"/>
      <c r="AD865" s="142"/>
      <c r="AE865" s="142"/>
      <c r="AF865" s="130"/>
      <c r="AG865" s="142"/>
      <c r="AH865" s="142"/>
      <c r="AI865" s="142"/>
      <c r="AJ865" s="130"/>
      <c r="AK865" s="130"/>
      <c r="AL865" s="130"/>
      <c r="AM865" s="130"/>
    </row>
    <row r="866" ht="15.75" customHeight="1">
      <c r="A866" s="278"/>
      <c r="B866" s="278"/>
      <c r="C866" s="278"/>
      <c r="D866" s="278"/>
      <c r="E866" s="132"/>
      <c r="F866" s="116"/>
      <c r="G866" s="116"/>
      <c r="H866" s="116"/>
      <c r="I866" s="373"/>
      <c r="J866" s="147"/>
      <c r="K866" s="116"/>
      <c r="L866" s="116"/>
      <c r="M866" s="116"/>
      <c r="N866" s="116"/>
      <c r="O866" s="116"/>
      <c r="P866" s="116"/>
      <c r="Q866" s="116"/>
      <c r="R866" s="116"/>
      <c r="S866" s="116"/>
      <c r="T866" s="116"/>
      <c r="U866" s="116"/>
      <c r="V866" s="116"/>
      <c r="W866" s="116"/>
      <c r="X866" s="278"/>
      <c r="Y866" s="142"/>
      <c r="Z866" s="142"/>
      <c r="AA866" s="142"/>
      <c r="AB866" s="142"/>
      <c r="AC866" s="142"/>
      <c r="AD866" s="142"/>
      <c r="AE866" s="142"/>
      <c r="AF866" s="130"/>
      <c r="AG866" s="142"/>
      <c r="AH866" s="142"/>
      <c r="AI866" s="142"/>
      <c r="AJ866" s="130"/>
      <c r="AK866" s="130"/>
      <c r="AL866" s="130"/>
      <c r="AM866" s="130"/>
    </row>
    <row r="867" ht="15.75" customHeight="1">
      <c r="A867" s="278"/>
      <c r="B867" s="278"/>
      <c r="C867" s="278"/>
      <c r="D867" s="278"/>
      <c r="E867" s="132"/>
      <c r="F867" s="116"/>
      <c r="G867" s="116"/>
      <c r="H867" s="116"/>
      <c r="I867" s="373"/>
      <c r="J867" s="147"/>
      <c r="K867" s="116"/>
      <c r="L867" s="116"/>
      <c r="M867" s="116"/>
      <c r="N867" s="116"/>
      <c r="O867" s="116"/>
      <c r="P867" s="116"/>
      <c r="Q867" s="116"/>
      <c r="R867" s="116"/>
      <c r="S867" s="116"/>
      <c r="T867" s="116"/>
      <c r="U867" s="116"/>
      <c r="V867" s="116"/>
      <c r="W867" s="116"/>
      <c r="X867" s="278"/>
      <c r="Y867" s="142"/>
      <c r="Z867" s="142"/>
      <c r="AA867" s="142"/>
      <c r="AB867" s="142"/>
      <c r="AC867" s="142"/>
      <c r="AD867" s="142"/>
      <c r="AE867" s="142"/>
      <c r="AF867" s="130"/>
      <c r="AG867" s="142"/>
      <c r="AH867" s="142"/>
      <c r="AI867" s="142"/>
      <c r="AJ867" s="130"/>
      <c r="AK867" s="130"/>
      <c r="AL867" s="130"/>
      <c r="AM867" s="130"/>
    </row>
    <row r="868" ht="15.75" customHeight="1">
      <c r="A868" s="278"/>
      <c r="B868" s="278"/>
      <c r="C868" s="278"/>
      <c r="D868" s="278"/>
      <c r="E868" s="132"/>
      <c r="F868" s="116"/>
      <c r="G868" s="116"/>
      <c r="H868" s="116"/>
      <c r="I868" s="373"/>
      <c r="J868" s="147"/>
      <c r="K868" s="116"/>
      <c r="L868" s="116"/>
      <c r="M868" s="116"/>
      <c r="N868" s="116"/>
      <c r="O868" s="116"/>
      <c r="P868" s="116"/>
      <c r="Q868" s="116"/>
      <c r="R868" s="116"/>
      <c r="S868" s="116"/>
      <c r="T868" s="116"/>
      <c r="U868" s="116"/>
      <c r="V868" s="116"/>
      <c r="W868" s="116"/>
      <c r="X868" s="278"/>
      <c r="Y868" s="142"/>
      <c r="Z868" s="142"/>
      <c r="AA868" s="142"/>
      <c r="AB868" s="142"/>
      <c r="AC868" s="142"/>
      <c r="AD868" s="142"/>
      <c r="AE868" s="142"/>
      <c r="AF868" s="130"/>
      <c r="AG868" s="142"/>
      <c r="AH868" s="142"/>
      <c r="AI868" s="142"/>
      <c r="AJ868" s="130"/>
      <c r="AK868" s="130"/>
      <c r="AL868" s="130"/>
      <c r="AM868" s="130"/>
    </row>
    <row r="869" ht="15.75" customHeight="1">
      <c r="A869" s="278"/>
      <c r="B869" s="278"/>
      <c r="C869" s="278"/>
      <c r="D869" s="278"/>
      <c r="E869" s="132"/>
      <c r="F869" s="116"/>
      <c r="G869" s="116"/>
      <c r="H869" s="116"/>
      <c r="I869" s="373"/>
      <c r="J869" s="147"/>
      <c r="K869" s="116"/>
      <c r="L869" s="116"/>
      <c r="M869" s="116"/>
      <c r="N869" s="116"/>
      <c r="O869" s="116"/>
      <c r="P869" s="116"/>
      <c r="Q869" s="116"/>
      <c r="R869" s="116"/>
      <c r="S869" s="116"/>
      <c r="T869" s="116"/>
      <c r="U869" s="116"/>
      <c r="V869" s="116"/>
      <c r="W869" s="116"/>
      <c r="X869" s="278"/>
      <c r="Y869" s="142"/>
      <c r="Z869" s="142"/>
      <c r="AA869" s="142"/>
      <c r="AB869" s="142"/>
      <c r="AC869" s="142"/>
      <c r="AD869" s="142"/>
      <c r="AE869" s="142"/>
      <c r="AF869" s="130"/>
      <c r="AG869" s="142"/>
      <c r="AH869" s="142"/>
      <c r="AI869" s="142"/>
      <c r="AJ869" s="130"/>
      <c r="AK869" s="130"/>
      <c r="AL869" s="130"/>
      <c r="AM869" s="130"/>
    </row>
    <row r="870" ht="15.75" customHeight="1">
      <c r="A870" s="278"/>
      <c r="B870" s="278"/>
      <c r="C870" s="278"/>
      <c r="D870" s="278"/>
      <c r="E870" s="132"/>
      <c r="F870" s="116"/>
      <c r="G870" s="116"/>
      <c r="H870" s="116"/>
      <c r="I870" s="373"/>
      <c r="J870" s="147"/>
      <c r="K870" s="116"/>
      <c r="L870" s="116"/>
      <c r="M870" s="116"/>
      <c r="N870" s="116"/>
      <c r="O870" s="116"/>
      <c r="P870" s="116"/>
      <c r="Q870" s="116"/>
      <c r="R870" s="116"/>
      <c r="S870" s="116"/>
      <c r="T870" s="116"/>
      <c r="U870" s="116"/>
      <c r="V870" s="116"/>
      <c r="W870" s="116"/>
      <c r="X870" s="278"/>
      <c r="Y870" s="142"/>
      <c r="Z870" s="142"/>
      <c r="AA870" s="142"/>
      <c r="AB870" s="142"/>
      <c r="AC870" s="142"/>
      <c r="AD870" s="142"/>
      <c r="AE870" s="142"/>
      <c r="AF870" s="130"/>
      <c r="AG870" s="142"/>
      <c r="AH870" s="142"/>
      <c r="AI870" s="142"/>
      <c r="AJ870" s="130"/>
      <c r="AK870" s="130"/>
      <c r="AL870" s="130"/>
      <c r="AM870" s="130"/>
    </row>
    <row r="871" ht="15.75" customHeight="1">
      <c r="A871" s="278"/>
      <c r="B871" s="278"/>
      <c r="C871" s="278"/>
      <c r="D871" s="278"/>
      <c r="E871" s="132"/>
      <c r="F871" s="116"/>
      <c r="G871" s="116"/>
      <c r="H871" s="116"/>
      <c r="I871" s="373"/>
      <c r="J871" s="147"/>
      <c r="K871" s="116"/>
      <c r="L871" s="116"/>
      <c r="M871" s="116"/>
      <c r="N871" s="116"/>
      <c r="O871" s="116"/>
      <c r="P871" s="116"/>
      <c r="Q871" s="116"/>
      <c r="R871" s="116"/>
      <c r="S871" s="116"/>
      <c r="T871" s="116"/>
      <c r="U871" s="116"/>
      <c r="V871" s="116"/>
      <c r="W871" s="116"/>
      <c r="X871" s="278"/>
      <c r="Y871" s="142"/>
      <c r="Z871" s="142"/>
      <c r="AA871" s="142"/>
      <c r="AB871" s="142"/>
      <c r="AC871" s="142"/>
      <c r="AD871" s="142"/>
      <c r="AE871" s="142"/>
      <c r="AF871" s="130"/>
      <c r="AG871" s="142"/>
      <c r="AH871" s="142"/>
      <c r="AI871" s="142"/>
      <c r="AJ871" s="130"/>
      <c r="AK871" s="130"/>
      <c r="AL871" s="130"/>
      <c r="AM871" s="130"/>
    </row>
    <row r="872" ht="15.75" customHeight="1">
      <c r="A872" s="278"/>
      <c r="B872" s="278"/>
      <c r="C872" s="278"/>
      <c r="D872" s="278"/>
      <c r="E872" s="132"/>
      <c r="F872" s="116"/>
      <c r="G872" s="116"/>
      <c r="H872" s="116"/>
      <c r="I872" s="373"/>
      <c r="J872" s="147"/>
      <c r="K872" s="116"/>
      <c r="L872" s="116"/>
      <c r="M872" s="116"/>
      <c r="N872" s="116"/>
      <c r="O872" s="116"/>
      <c r="P872" s="116"/>
      <c r="Q872" s="116"/>
      <c r="R872" s="116"/>
      <c r="S872" s="116"/>
      <c r="T872" s="116"/>
      <c r="U872" s="116"/>
      <c r="V872" s="116"/>
      <c r="W872" s="116"/>
      <c r="X872" s="278"/>
      <c r="Y872" s="142"/>
      <c r="Z872" s="142"/>
      <c r="AA872" s="142"/>
      <c r="AB872" s="142"/>
      <c r="AC872" s="142"/>
      <c r="AD872" s="142"/>
      <c r="AE872" s="142"/>
      <c r="AF872" s="130"/>
      <c r="AG872" s="142"/>
      <c r="AH872" s="142"/>
      <c r="AI872" s="142"/>
      <c r="AJ872" s="130"/>
      <c r="AK872" s="130"/>
      <c r="AL872" s="130"/>
      <c r="AM872" s="130"/>
    </row>
    <row r="873" ht="15.75" customHeight="1">
      <c r="A873" s="278"/>
      <c r="B873" s="278"/>
      <c r="C873" s="278"/>
      <c r="D873" s="278"/>
      <c r="E873" s="132"/>
      <c r="F873" s="116"/>
      <c r="G873" s="116"/>
      <c r="H873" s="116"/>
      <c r="I873" s="373"/>
      <c r="J873" s="147"/>
      <c r="K873" s="116"/>
      <c r="L873" s="116"/>
      <c r="M873" s="116"/>
      <c r="N873" s="116"/>
      <c r="O873" s="116"/>
      <c r="P873" s="116"/>
      <c r="Q873" s="116"/>
      <c r="R873" s="116"/>
      <c r="S873" s="116"/>
      <c r="T873" s="116"/>
      <c r="U873" s="116"/>
      <c r="V873" s="116"/>
      <c r="W873" s="116"/>
      <c r="X873" s="278"/>
      <c r="Y873" s="142"/>
      <c r="Z873" s="142"/>
      <c r="AA873" s="142"/>
      <c r="AB873" s="142"/>
      <c r="AC873" s="142"/>
      <c r="AD873" s="142"/>
      <c r="AE873" s="142"/>
      <c r="AF873" s="130"/>
      <c r="AG873" s="142"/>
      <c r="AH873" s="142"/>
      <c r="AI873" s="142"/>
      <c r="AJ873" s="130"/>
      <c r="AK873" s="130"/>
      <c r="AL873" s="130"/>
      <c r="AM873" s="130"/>
    </row>
    <row r="874" ht="15.75" customHeight="1">
      <c r="A874" s="278"/>
      <c r="B874" s="278"/>
      <c r="C874" s="278"/>
      <c r="D874" s="278"/>
      <c r="E874" s="132"/>
      <c r="F874" s="116"/>
      <c r="G874" s="116"/>
      <c r="H874" s="116"/>
      <c r="I874" s="373"/>
      <c r="J874" s="147"/>
      <c r="K874" s="116"/>
      <c r="L874" s="116"/>
      <c r="M874" s="116"/>
      <c r="N874" s="116"/>
      <c r="O874" s="116"/>
      <c r="P874" s="116"/>
      <c r="Q874" s="116"/>
      <c r="R874" s="116"/>
      <c r="S874" s="116"/>
      <c r="T874" s="116"/>
      <c r="U874" s="116"/>
      <c r="V874" s="116"/>
      <c r="W874" s="116"/>
      <c r="X874" s="278"/>
      <c r="Y874" s="142"/>
      <c r="Z874" s="142"/>
      <c r="AA874" s="142"/>
      <c r="AB874" s="142"/>
      <c r="AC874" s="142"/>
      <c r="AD874" s="142"/>
      <c r="AE874" s="142"/>
      <c r="AF874" s="130"/>
      <c r="AG874" s="142"/>
      <c r="AH874" s="142"/>
      <c r="AI874" s="142"/>
      <c r="AJ874" s="130"/>
      <c r="AK874" s="130"/>
      <c r="AL874" s="130"/>
      <c r="AM874" s="130"/>
    </row>
    <row r="875" ht="15.75" customHeight="1">
      <c r="A875" s="278"/>
      <c r="B875" s="278"/>
      <c r="C875" s="278"/>
      <c r="D875" s="278"/>
      <c r="E875" s="132"/>
      <c r="F875" s="116"/>
      <c r="G875" s="116"/>
      <c r="H875" s="116"/>
      <c r="I875" s="373"/>
      <c r="J875" s="147"/>
      <c r="K875" s="116"/>
      <c r="L875" s="116"/>
      <c r="M875" s="116"/>
      <c r="N875" s="116"/>
      <c r="O875" s="116"/>
      <c r="P875" s="116"/>
      <c r="Q875" s="116"/>
      <c r="R875" s="116"/>
      <c r="S875" s="116"/>
      <c r="T875" s="116"/>
      <c r="U875" s="116"/>
      <c r="V875" s="116"/>
      <c r="W875" s="116"/>
      <c r="X875" s="278"/>
      <c r="Y875" s="142"/>
      <c r="Z875" s="142"/>
      <c r="AA875" s="142"/>
      <c r="AB875" s="142"/>
      <c r="AC875" s="142"/>
      <c r="AD875" s="142"/>
      <c r="AE875" s="142"/>
      <c r="AF875" s="130"/>
      <c r="AG875" s="142"/>
      <c r="AH875" s="142"/>
      <c r="AI875" s="142"/>
      <c r="AJ875" s="130"/>
      <c r="AK875" s="130"/>
      <c r="AL875" s="130"/>
      <c r="AM875" s="130"/>
    </row>
    <row r="876" ht="15.75" customHeight="1">
      <c r="A876" s="278"/>
      <c r="B876" s="278"/>
      <c r="C876" s="278"/>
      <c r="D876" s="278"/>
      <c r="E876" s="132"/>
      <c r="F876" s="116"/>
      <c r="G876" s="116"/>
      <c r="H876" s="116"/>
      <c r="I876" s="373"/>
      <c r="J876" s="147"/>
      <c r="K876" s="116"/>
      <c r="L876" s="116"/>
      <c r="M876" s="116"/>
      <c r="N876" s="116"/>
      <c r="O876" s="116"/>
      <c r="P876" s="116"/>
      <c r="Q876" s="116"/>
      <c r="R876" s="116"/>
      <c r="S876" s="116"/>
      <c r="T876" s="116"/>
      <c r="U876" s="116"/>
      <c r="V876" s="116"/>
      <c r="W876" s="116"/>
      <c r="X876" s="278"/>
      <c r="Y876" s="142"/>
      <c r="Z876" s="142"/>
      <c r="AA876" s="142"/>
      <c r="AB876" s="142"/>
      <c r="AC876" s="142"/>
      <c r="AD876" s="142"/>
      <c r="AE876" s="142"/>
      <c r="AF876" s="130"/>
      <c r="AG876" s="142"/>
      <c r="AH876" s="142"/>
      <c r="AI876" s="142"/>
      <c r="AJ876" s="130"/>
      <c r="AK876" s="130"/>
      <c r="AL876" s="130"/>
      <c r="AM876" s="130"/>
    </row>
    <row r="877" ht="15.75" customHeight="1">
      <c r="A877" s="278"/>
      <c r="B877" s="278"/>
      <c r="C877" s="278"/>
      <c r="D877" s="278"/>
      <c r="E877" s="132"/>
      <c r="F877" s="116"/>
      <c r="G877" s="116"/>
      <c r="H877" s="116"/>
      <c r="I877" s="373"/>
      <c r="J877" s="147"/>
      <c r="K877" s="116"/>
      <c r="L877" s="116"/>
      <c r="M877" s="116"/>
      <c r="N877" s="116"/>
      <c r="O877" s="116"/>
      <c r="P877" s="116"/>
      <c r="Q877" s="116"/>
      <c r="R877" s="116"/>
      <c r="S877" s="116"/>
      <c r="T877" s="116"/>
      <c r="U877" s="116"/>
      <c r="V877" s="116"/>
      <c r="W877" s="116"/>
      <c r="X877" s="278"/>
      <c r="Y877" s="142"/>
      <c r="Z877" s="142"/>
      <c r="AA877" s="142"/>
      <c r="AB877" s="142"/>
      <c r="AC877" s="142"/>
      <c r="AD877" s="142"/>
      <c r="AE877" s="142"/>
      <c r="AF877" s="130"/>
      <c r="AG877" s="142"/>
      <c r="AH877" s="142"/>
      <c r="AI877" s="142"/>
      <c r="AJ877" s="130"/>
      <c r="AK877" s="130"/>
      <c r="AL877" s="130"/>
      <c r="AM877" s="130"/>
    </row>
    <row r="878" ht="15.75" customHeight="1">
      <c r="A878" s="278"/>
      <c r="B878" s="278"/>
      <c r="C878" s="278"/>
      <c r="D878" s="278"/>
      <c r="E878" s="132"/>
      <c r="F878" s="116"/>
      <c r="G878" s="116"/>
      <c r="H878" s="116"/>
      <c r="I878" s="373"/>
      <c r="J878" s="147"/>
      <c r="K878" s="116"/>
      <c r="L878" s="116"/>
      <c r="M878" s="116"/>
      <c r="N878" s="116"/>
      <c r="O878" s="116"/>
      <c r="P878" s="116"/>
      <c r="Q878" s="116"/>
      <c r="R878" s="116"/>
      <c r="S878" s="116"/>
      <c r="T878" s="116"/>
      <c r="U878" s="116"/>
      <c r="V878" s="116"/>
      <c r="W878" s="116"/>
      <c r="X878" s="278"/>
      <c r="Y878" s="142"/>
      <c r="Z878" s="142"/>
      <c r="AA878" s="142"/>
      <c r="AB878" s="142"/>
      <c r="AC878" s="142"/>
      <c r="AD878" s="142"/>
      <c r="AE878" s="142"/>
      <c r="AF878" s="130"/>
      <c r="AG878" s="142"/>
      <c r="AH878" s="142"/>
      <c r="AI878" s="142"/>
      <c r="AJ878" s="130"/>
      <c r="AK878" s="130"/>
      <c r="AL878" s="130"/>
      <c r="AM878" s="130"/>
    </row>
    <row r="879" ht="15.75" customHeight="1">
      <c r="A879" s="278"/>
      <c r="B879" s="278"/>
      <c r="C879" s="278"/>
      <c r="D879" s="278"/>
      <c r="E879" s="132"/>
      <c r="F879" s="116"/>
      <c r="G879" s="116"/>
      <c r="H879" s="116"/>
      <c r="I879" s="373"/>
      <c r="J879" s="147"/>
      <c r="K879" s="116"/>
      <c r="L879" s="116"/>
      <c r="M879" s="116"/>
      <c r="N879" s="116"/>
      <c r="O879" s="116"/>
      <c r="P879" s="116"/>
      <c r="Q879" s="116"/>
      <c r="R879" s="116"/>
      <c r="S879" s="116"/>
      <c r="T879" s="116"/>
      <c r="U879" s="116"/>
      <c r="V879" s="116"/>
      <c r="W879" s="116"/>
      <c r="X879" s="278"/>
      <c r="Y879" s="142"/>
      <c r="Z879" s="142"/>
      <c r="AA879" s="142"/>
      <c r="AB879" s="142"/>
      <c r="AC879" s="142"/>
      <c r="AD879" s="142"/>
      <c r="AE879" s="142"/>
      <c r="AF879" s="130"/>
      <c r="AG879" s="142"/>
      <c r="AH879" s="142"/>
      <c r="AI879" s="142"/>
      <c r="AJ879" s="130"/>
      <c r="AK879" s="130"/>
      <c r="AL879" s="130"/>
      <c r="AM879" s="130"/>
    </row>
    <row r="880" ht="15.75" customHeight="1">
      <c r="A880" s="278"/>
      <c r="B880" s="278"/>
      <c r="C880" s="278"/>
      <c r="D880" s="278"/>
      <c r="E880" s="132"/>
      <c r="F880" s="116"/>
      <c r="G880" s="116"/>
      <c r="H880" s="116"/>
      <c r="I880" s="373"/>
      <c r="J880" s="147"/>
      <c r="K880" s="116"/>
      <c r="L880" s="116"/>
      <c r="M880" s="116"/>
      <c r="N880" s="116"/>
      <c r="O880" s="116"/>
      <c r="P880" s="116"/>
      <c r="Q880" s="116"/>
      <c r="R880" s="116"/>
      <c r="S880" s="116"/>
      <c r="T880" s="116"/>
      <c r="U880" s="116"/>
      <c r="V880" s="116"/>
      <c r="W880" s="116"/>
      <c r="X880" s="278"/>
      <c r="Y880" s="142"/>
      <c r="Z880" s="142"/>
      <c r="AA880" s="142"/>
      <c r="AB880" s="142"/>
      <c r="AC880" s="142"/>
      <c r="AD880" s="142"/>
      <c r="AE880" s="142"/>
      <c r="AF880" s="130"/>
      <c r="AG880" s="142"/>
      <c r="AH880" s="142"/>
      <c r="AI880" s="142"/>
      <c r="AJ880" s="130"/>
      <c r="AK880" s="130"/>
      <c r="AL880" s="130"/>
      <c r="AM880" s="130"/>
    </row>
    <row r="881" ht="15.75" customHeight="1">
      <c r="A881" s="278"/>
      <c r="B881" s="278"/>
      <c r="C881" s="278"/>
      <c r="D881" s="278"/>
      <c r="E881" s="132"/>
      <c r="F881" s="116"/>
      <c r="G881" s="116"/>
      <c r="H881" s="116"/>
      <c r="I881" s="373"/>
      <c r="J881" s="147"/>
      <c r="K881" s="116"/>
      <c r="L881" s="116"/>
      <c r="M881" s="116"/>
      <c r="N881" s="116"/>
      <c r="O881" s="116"/>
      <c r="P881" s="116"/>
      <c r="Q881" s="116"/>
      <c r="R881" s="116"/>
      <c r="S881" s="116"/>
      <c r="T881" s="116"/>
      <c r="U881" s="116"/>
      <c r="V881" s="116"/>
      <c r="W881" s="116"/>
      <c r="X881" s="278"/>
      <c r="Y881" s="142"/>
      <c r="Z881" s="142"/>
      <c r="AA881" s="142"/>
      <c r="AB881" s="142"/>
      <c r="AC881" s="142"/>
      <c r="AD881" s="142"/>
      <c r="AE881" s="142"/>
      <c r="AF881" s="130"/>
      <c r="AG881" s="142"/>
      <c r="AH881" s="142"/>
      <c r="AI881" s="142"/>
      <c r="AJ881" s="130"/>
      <c r="AK881" s="130"/>
      <c r="AL881" s="130"/>
      <c r="AM881" s="130"/>
    </row>
    <row r="882" ht="15.75" customHeight="1">
      <c r="A882" s="278"/>
      <c r="B882" s="278"/>
      <c r="C882" s="278"/>
      <c r="D882" s="278"/>
      <c r="E882" s="132"/>
      <c r="F882" s="116"/>
      <c r="G882" s="116"/>
      <c r="H882" s="116"/>
      <c r="I882" s="373"/>
      <c r="J882" s="147"/>
      <c r="K882" s="116"/>
      <c r="L882" s="116"/>
      <c r="M882" s="116"/>
      <c r="N882" s="116"/>
      <c r="O882" s="116"/>
      <c r="P882" s="116"/>
      <c r="Q882" s="116"/>
      <c r="R882" s="116"/>
      <c r="S882" s="116"/>
      <c r="T882" s="116"/>
      <c r="U882" s="116"/>
      <c r="V882" s="116"/>
      <c r="W882" s="116"/>
      <c r="X882" s="278"/>
      <c r="Y882" s="142"/>
      <c r="Z882" s="142"/>
      <c r="AA882" s="142"/>
      <c r="AB882" s="142"/>
      <c r="AC882" s="142"/>
      <c r="AD882" s="142"/>
      <c r="AE882" s="142"/>
      <c r="AF882" s="130"/>
      <c r="AG882" s="142"/>
      <c r="AH882" s="142"/>
      <c r="AI882" s="142"/>
      <c r="AJ882" s="130"/>
      <c r="AK882" s="130"/>
      <c r="AL882" s="130"/>
      <c r="AM882" s="130"/>
    </row>
    <row r="883" ht="15.75" customHeight="1">
      <c r="A883" s="278"/>
      <c r="B883" s="278"/>
      <c r="C883" s="278"/>
      <c r="D883" s="278"/>
      <c r="E883" s="132"/>
      <c r="F883" s="116"/>
      <c r="G883" s="116"/>
      <c r="H883" s="116"/>
      <c r="I883" s="373"/>
      <c r="J883" s="147"/>
      <c r="K883" s="116"/>
      <c r="L883" s="116"/>
      <c r="M883" s="116"/>
      <c r="N883" s="116"/>
      <c r="O883" s="116"/>
      <c r="P883" s="116"/>
      <c r="Q883" s="116"/>
      <c r="R883" s="116"/>
      <c r="S883" s="116"/>
      <c r="T883" s="116"/>
      <c r="U883" s="116"/>
      <c r="V883" s="116"/>
      <c r="W883" s="116"/>
      <c r="X883" s="278"/>
      <c r="Y883" s="142"/>
      <c r="Z883" s="142"/>
      <c r="AA883" s="142"/>
      <c r="AB883" s="142"/>
      <c r="AC883" s="142"/>
      <c r="AD883" s="142"/>
      <c r="AE883" s="142"/>
      <c r="AF883" s="130"/>
      <c r="AG883" s="142"/>
      <c r="AH883" s="142"/>
      <c r="AI883" s="142"/>
      <c r="AJ883" s="130"/>
      <c r="AK883" s="130"/>
      <c r="AL883" s="130"/>
      <c r="AM883" s="130"/>
    </row>
    <row r="884" ht="15.75" customHeight="1">
      <c r="A884" s="278"/>
      <c r="B884" s="278"/>
      <c r="C884" s="278"/>
      <c r="D884" s="278"/>
      <c r="E884" s="132"/>
      <c r="F884" s="116"/>
      <c r="G884" s="116"/>
      <c r="H884" s="116"/>
      <c r="I884" s="373"/>
      <c r="J884" s="147"/>
      <c r="K884" s="116"/>
      <c r="L884" s="116"/>
      <c r="M884" s="116"/>
      <c r="N884" s="116"/>
      <c r="O884" s="116"/>
      <c r="P884" s="116"/>
      <c r="Q884" s="116"/>
      <c r="R884" s="116"/>
      <c r="S884" s="116"/>
      <c r="T884" s="116"/>
      <c r="U884" s="116"/>
      <c r="V884" s="116"/>
      <c r="W884" s="116"/>
      <c r="X884" s="278"/>
      <c r="Y884" s="142"/>
      <c r="Z884" s="142"/>
      <c r="AA884" s="142"/>
      <c r="AB884" s="142"/>
      <c r="AC884" s="142"/>
      <c r="AD884" s="142"/>
      <c r="AE884" s="142"/>
      <c r="AF884" s="130"/>
      <c r="AG884" s="142"/>
      <c r="AH884" s="142"/>
      <c r="AI884" s="142"/>
      <c r="AJ884" s="130"/>
      <c r="AK884" s="130"/>
      <c r="AL884" s="130"/>
      <c r="AM884" s="130"/>
    </row>
    <row r="885" ht="15.75" customHeight="1">
      <c r="A885" s="278"/>
      <c r="B885" s="278"/>
      <c r="C885" s="278"/>
      <c r="D885" s="278"/>
      <c r="E885" s="132"/>
      <c r="F885" s="116"/>
      <c r="G885" s="116"/>
      <c r="H885" s="116"/>
      <c r="I885" s="373"/>
      <c r="J885" s="147"/>
      <c r="K885" s="116"/>
      <c r="L885" s="116"/>
      <c r="M885" s="116"/>
      <c r="N885" s="116"/>
      <c r="O885" s="116"/>
      <c r="P885" s="116"/>
      <c r="Q885" s="116"/>
      <c r="R885" s="116"/>
      <c r="S885" s="116"/>
      <c r="T885" s="116"/>
      <c r="U885" s="116"/>
      <c r="V885" s="116"/>
      <c r="W885" s="116"/>
      <c r="X885" s="278"/>
      <c r="Y885" s="142"/>
      <c r="Z885" s="142"/>
      <c r="AA885" s="142"/>
      <c r="AB885" s="142"/>
      <c r="AC885" s="142"/>
      <c r="AD885" s="142"/>
      <c r="AE885" s="142"/>
      <c r="AF885" s="130"/>
      <c r="AG885" s="142"/>
      <c r="AH885" s="142"/>
      <c r="AI885" s="142"/>
      <c r="AJ885" s="130"/>
      <c r="AK885" s="130"/>
      <c r="AL885" s="130"/>
      <c r="AM885" s="130"/>
    </row>
    <row r="886" ht="15.75" customHeight="1">
      <c r="A886" s="278"/>
      <c r="B886" s="278"/>
      <c r="C886" s="278"/>
      <c r="D886" s="278"/>
      <c r="E886" s="132"/>
      <c r="F886" s="116"/>
      <c r="G886" s="116"/>
      <c r="H886" s="116"/>
      <c r="I886" s="373"/>
      <c r="J886" s="147"/>
      <c r="K886" s="116"/>
      <c r="L886" s="116"/>
      <c r="M886" s="116"/>
      <c r="N886" s="116"/>
      <c r="O886" s="116"/>
      <c r="P886" s="116"/>
      <c r="Q886" s="116"/>
      <c r="R886" s="116"/>
      <c r="S886" s="116"/>
      <c r="T886" s="116"/>
      <c r="U886" s="116"/>
      <c r="V886" s="116"/>
      <c r="W886" s="116"/>
      <c r="X886" s="278"/>
      <c r="Y886" s="142"/>
      <c r="Z886" s="142"/>
      <c r="AA886" s="142"/>
      <c r="AB886" s="142"/>
      <c r="AC886" s="142"/>
      <c r="AD886" s="142"/>
      <c r="AE886" s="142"/>
      <c r="AF886" s="130"/>
      <c r="AG886" s="142"/>
      <c r="AH886" s="142"/>
      <c r="AI886" s="142"/>
      <c r="AJ886" s="130"/>
      <c r="AK886" s="130"/>
      <c r="AL886" s="130"/>
      <c r="AM886" s="130"/>
    </row>
    <row r="887" ht="15.75" customHeight="1">
      <c r="A887" s="278"/>
      <c r="B887" s="278"/>
      <c r="C887" s="278"/>
      <c r="D887" s="278"/>
      <c r="E887" s="132"/>
      <c r="F887" s="116"/>
      <c r="G887" s="116"/>
      <c r="H887" s="116"/>
      <c r="I887" s="373"/>
      <c r="J887" s="147"/>
      <c r="K887" s="116"/>
      <c r="L887" s="116"/>
      <c r="M887" s="116"/>
      <c r="N887" s="116"/>
      <c r="O887" s="116"/>
      <c r="P887" s="116"/>
      <c r="Q887" s="116"/>
      <c r="R887" s="116"/>
      <c r="S887" s="116"/>
      <c r="T887" s="116"/>
      <c r="U887" s="116"/>
      <c r="V887" s="116"/>
      <c r="W887" s="116"/>
      <c r="X887" s="278"/>
      <c r="Y887" s="142"/>
      <c r="Z887" s="142"/>
      <c r="AA887" s="142"/>
      <c r="AB887" s="142"/>
      <c r="AC887" s="142"/>
      <c r="AD887" s="142"/>
      <c r="AE887" s="142"/>
      <c r="AF887" s="130"/>
      <c r="AG887" s="142"/>
      <c r="AH887" s="142"/>
      <c r="AI887" s="142"/>
      <c r="AJ887" s="130"/>
      <c r="AK887" s="130"/>
      <c r="AL887" s="130"/>
      <c r="AM887" s="130"/>
    </row>
    <row r="888" ht="15.75" customHeight="1">
      <c r="A888" s="278"/>
      <c r="B888" s="278"/>
      <c r="C888" s="278"/>
      <c r="D888" s="278"/>
      <c r="E888" s="132"/>
      <c r="F888" s="116"/>
      <c r="G888" s="116"/>
      <c r="H888" s="116"/>
      <c r="I888" s="373"/>
      <c r="J888" s="147"/>
      <c r="K888" s="116"/>
      <c r="L888" s="116"/>
      <c r="M888" s="116"/>
      <c r="N888" s="116"/>
      <c r="O888" s="116"/>
      <c r="P888" s="116"/>
      <c r="Q888" s="116"/>
      <c r="R888" s="116"/>
      <c r="S888" s="116"/>
      <c r="T888" s="116"/>
      <c r="U888" s="116"/>
      <c r="V888" s="116"/>
      <c r="W888" s="116"/>
      <c r="X888" s="278"/>
      <c r="Y888" s="142"/>
      <c r="Z888" s="142"/>
      <c r="AA888" s="142"/>
      <c r="AB888" s="142"/>
      <c r="AC888" s="142"/>
      <c r="AD888" s="142"/>
      <c r="AE888" s="142"/>
      <c r="AF888" s="130"/>
      <c r="AG888" s="142"/>
      <c r="AH888" s="142"/>
      <c r="AI888" s="142"/>
      <c r="AJ888" s="130"/>
      <c r="AK888" s="130"/>
      <c r="AL888" s="130"/>
      <c r="AM888" s="130"/>
    </row>
    <row r="889" ht="15.75" customHeight="1">
      <c r="A889" s="278"/>
      <c r="B889" s="278"/>
      <c r="C889" s="278"/>
      <c r="D889" s="278"/>
      <c r="E889" s="132"/>
      <c r="F889" s="116"/>
      <c r="G889" s="116"/>
      <c r="H889" s="116"/>
      <c r="I889" s="373"/>
      <c r="J889" s="147"/>
      <c r="K889" s="116"/>
      <c r="L889" s="116"/>
      <c r="M889" s="116"/>
      <c r="N889" s="116"/>
      <c r="O889" s="116"/>
      <c r="P889" s="116"/>
      <c r="Q889" s="116"/>
      <c r="R889" s="116"/>
      <c r="S889" s="116"/>
      <c r="T889" s="116"/>
      <c r="U889" s="116"/>
      <c r="V889" s="116"/>
      <c r="W889" s="116"/>
      <c r="X889" s="278"/>
      <c r="Y889" s="142"/>
      <c r="Z889" s="142"/>
      <c r="AA889" s="142"/>
      <c r="AB889" s="142"/>
      <c r="AC889" s="142"/>
      <c r="AD889" s="142"/>
      <c r="AE889" s="142"/>
      <c r="AF889" s="130"/>
      <c r="AG889" s="142"/>
      <c r="AH889" s="142"/>
      <c r="AI889" s="142"/>
      <c r="AJ889" s="130"/>
      <c r="AK889" s="130"/>
      <c r="AL889" s="130"/>
      <c r="AM889" s="130"/>
    </row>
    <row r="890" ht="15.75" customHeight="1">
      <c r="A890" s="278"/>
      <c r="B890" s="278"/>
      <c r="C890" s="278"/>
      <c r="D890" s="278"/>
      <c r="E890" s="132"/>
      <c r="F890" s="116"/>
      <c r="G890" s="116"/>
      <c r="H890" s="116"/>
      <c r="I890" s="373"/>
      <c r="J890" s="147"/>
      <c r="K890" s="116"/>
      <c r="L890" s="116"/>
      <c r="M890" s="116"/>
      <c r="N890" s="116"/>
      <c r="O890" s="116"/>
      <c r="P890" s="116"/>
      <c r="Q890" s="116"/>
      <c r="R890" s="116"/>
      <c r="S890" s="116"/>
      <c r="T890" s="116"/>
      <c r="U890" s="116"/>
      <c r="V890" s="116"/>
      <c r="W890" s="116"/>
      <c r="X890" s="278"/>
      <c r="Y890" s="142"/>
      <c r="Z890" s="142"/>
      <c r="AA890" s="142"/>
      <c r="AB890" s="142"/>
      <c r="AC890" s="142"/>
      <c r="AD890" s="142"/>
      <c r="AE890" s="142"/>
      <c r="AF890" s="130"/>
      <c r="AG890" s="142"/>
      <c r="AH890" s="142"/>
      <c r="AI890" s="142"/>
      <c r="AJ890" s="130"/>
      <c r="AK890" s="130"/>
      <c r="AL890" s="130"/>
      <c r="AM890" s="130"/>
    </row>
    <row r="891" ht="15.75" customHeight="1">
      <c r="A891" s="278"/>
      <c r="B891" s="278"/>
      <c r="C891" s="278"/>
      <c r="D891" s="278"/>
      <c r="E891" s="132"/>
      <c r="F891" s="116"/>
      <c r="G891" s="116"/>
      <c r="H891" s="116"/>
      <c r="I891" s="373"/>
      <c r="J891" s="147"/>
      <c r="K891" s="116"/>
      <c r="L891" s="116"/>
      <c r="M891" s="116"/>
      <c r="N891" s="116"/>
      <c r="O891" s="116"/>
      <c r="P891" s="116"/>
      <c r="Q891" s="116"/>
      <c r="R891" s="116"/>
      <c r="S891" s="116"/>
      <c r="T891" s="116"/>
      <c r="U891" s="116"/>
      <c r="V891" s="116"/>
      <c r="W891" s="116"/>
      <c r="X891" s="278"/>
      <c r="Y891" s="142"/>
      <c r="Z891" s="142"/>
      <c r="AA891" s="142"/>
      <c r="AB891" s="142"/>
      <c r="AC891" s="142"/>
      <c r="AD891" s="142"/>
      <c r="AE891" s="142"/>
      <c r="AF891" s="130"/>
      <c r="AG891" s="142"/>
      <c r="AH891" s="142"/>
      <c r="AI891" s="142"/>
      <c r="AJ891" s="130"/>
      <c r="AK891" s="130"/>
      <c r="AL891" s="130"/>
      <c r="AM891" s="130"/>
    </row>
    <row r="892" ht="15.75" customHeight="1">
      <c r="A892" s="278"/>
      <c r="B892" s="278"/>
      <c r="C892" s="278"/>
      <c r="D892" s="278"/>
      <c r="E892" s="132"/>
      <c r="F892" s="116"/>
      <c r="G892" s="116"/>
      <c r="H892" s="116"/>
      <c r="I892" s="373"/>
      <c r="J892" s="147"/>
      <c r="K892" s="116"/>
      <c r="L892" s="116"/>
      <c r="M892" s="116"/>
      <c r="N892" s="116"/>
      <c r="O892" s="116"/>
      <c r="P892" s="116"/>
      <c r="Q892" s="116"/>
      <c r="R892" s="116"/>
      <c r="S892" s="116"/>
      <c r="T892" s="116"/>
      <c r="U892" s="116"/>
      <c r="V892" s="116"/>
      <c r="W892" s="116"/>
      <c r="X892" s="278"/>
      <c r="Y892" s="142"/>
      <c r="Z892" s="142"/>
      <c r="AA892" s="142"/>
      <c r="AB892" s="142"/>
      <c r="AC892" s="142"/>
      <c r="AD892" s="142"/>
      <c r="AE892" s="142"/>
      <c r="AF892" s="130"/>
      <c r="AG892" s="142"/>
      <c r="AH892" s="142"/>
      <c r="AI892" s="142"/>
      <c r="AJ892" s="130"/>
      <c r="AK892" s="130"/>
      <c r="AL892" s="130"/>
      <c r="AM892" s="130"/>
    </row>
    <row r="893" ht="15.75" customHeight="1">
      <c r="A893" s="278"/>
      <c r="B893" s="278"/>
      <c r="C893" s="278"/>
      <c r="D893" s="278"/>
      <c r="E893" s="132"/>
      <c r="F893" s="116"/>
      <c r="G893" s="116"/>
      <c r="H893" s="116"/>
      <c r="I893" s="373"/>
      <c r="J893" s="147"/>
      <c r="K893" s="116"/>
      <c r="L893" s="116"/>
      <c r="M893" s="116"/>
      <c r="N893" s="116"/>
      <c r="O893" s="116"/>
      <c r="P893" s="116"/>
      <c r="Q893" s="116"/>
      <c r="R893" s="116"/>
      <c r="S893" s="116"/>
      <c r="T893" s="116"/>
      <c r="U893" s="116"/>
      <c r="V893" s="116"/>
      <c r="W893" s="116"/>
      <c r="X893" s="278"/>
      <c r="Y893" s="142"/>
      <c r="Z893" s="142"/>
      <c r="AA893" s="142"/>
      <c r="AB893" s="142"/>
      <c r="AC893" s="142"/>
      <c r="AD893" s="142"/>
      <c r="AE893" s="142"/>
      <c r="AF893" s="130"/>
      <c r="AG893" s="142"/>
      <c r="AH893" s="142"/>
      <c r="AI893" s="142"/>
      <c r="AJ893" s="130"/>
      <c r="AK893" s="130"/>
      <c r="AL893" s="130"/>
      <c r="AM893" s="130"/>
    </row>
    <row r="894" ht="15.75" customHeight="1">
      <c r="A894" s="278"/>
      <c r="B894" s="278"/>
      <c r="C894" s="278"/>
      <c r="D894" s="278"/>
      <c r="E894" s="132"/>
      <c r="F894" s="116"/>
      <c r="G894" s="116"/>
      <c r="H894" s="116"/>
      <c r="I894" s="373"/>
      <c r="J894" s="147"/>
      <c r="K894" s="116"/>
      <c r="L894" s="116"/>
      <c r="M894" s="116"/>
      <c r="N894" s="116"/>
      <c r="O894" s="116"/>
      <c r="P894" s="116"/>
      <c r="Q894" s="116"/>
      <c r="R894" s="116"/>
      <c r="S894" s="116"/>
      <c r="T894" s="116"/>
      <c r="U894" s="116"/>
      <c r="V894" s="116"/>
      <c r="W894" s="116"/>
      <c r="X894" s="278"/>
      <c r="Y894" s="142"/>
      <c r="Z894" s="142"/>
      <c r="AA894" s="142"/>
      <c r="AB894" s="142"/>
      <c r="AC894" s="142"/>
      <c r="AD894" s="142"/>
      <c r="AE894" s="142"/>
      <c r="AF894" s="130"/>
      <c r="AG894" s="142"/>
      <c r="AH894" s="142"/>
      <c r="AI894" s="142"/>
      <c r="AJ894" s="130"/>
      <c r="AK894" s="130"/>
      <c r="AL894" s="130"/>
      <c r="AM894" s="130"/>
    </row>
    <row r="895" ht="15.75" customHeight="1">
      <c r="A895" s="278"/>
      <c r="B895" s="278"/>
      <c r="C895" s="278"/>
      <c r="D895" s="278"/>
      <c r="E895" s="132"/>
      <c r="F895" s="116"/>
      <c r="G895" s="116"/>
      <c r="H895" s="116"/>
      <c r="I895" s="373"/>
      <c r="J895" s="147"/>
      <c r="K895" s="116"/>
      <c r="L895" s="116"/>
      <c r="M895" s="116"/>
      <c r="N895" s="116"/>
      <c r="O895" s="116"/>
      <c r="P895" s="116"/>
      <c r="Q895" s="116"/>
      <c r="R895" s="116"/>
      <c r="S895" s="116"/>
      <c r="T895" s="116"/>
      <c r="U895" s="116"/>
      <c r="V895" s="116"/>
      <c r="W895" s="116"/>
      <c r="X895" s="278"/>
      <c r="Y895" s="142"/>
      <c r="Z895" s="142"/>
      <c r="AA895" s="142"/>
      <c r="AB895" s="142"/>
      <c r="AC895" s="142"/>
      <c r="AD895" s="142"/>
      <c r="AE895" s="142"/>
      <c r="AF895" s="130"/>
      <c r="AG895" s="142"/>
      <c r="AH895" s="142"/>
      <c r="AI895" s="142"/>
      <c r="AJ895" s="130"/>
      <c r="AK895" s="130"/>
      <c r="AL895" s="130"/>
      <c r="AM895" s="130"/>
    </row>
    <row r="896" ht="15.75" customHeight="1">
      <c r="A896" s="278"/>
      <c r="B896" s="278"/>
      <c r="C896" s="278"/>
      <c r="D896" s="278"/>
      <c r="E896" s="132"/>
      <c r="F896" s="116"/>
      <c r="G896" s="116"/>
      <c r="H896" s="116"/>
      <c r="I896" s="373"/>
      <c r="J896" s="147"/>
      <c r="K896" s="116"/>
      <c r="L896" s="116"/>
      <c r="M896" s="116"/>
      <c r="N896" s="116"/>
      <c r="O896" s="116"/>
      <c r="P896" s="116"/>
      <c r="Q896" s="116"/>
      <c r="R896" s="116"/>
      <c r="S896" s="116"/>
      <c r="T896" s="116"/>
      <c r="U896" s="116"/>
      <c r="V896" s="116"/>
      <c r="W896" s="116"/>
      <c r="X896" s="278"/>
      <c r="Y896" s="142"/>
      <c r="Z896" s="142"/>
      <c r="AA896" s="142"/>
      <c r="AB896" s="142"/>
      <c r="AC896" s="142"/>
      <c r="AD896" s="142"/>
      <c r="AE896" s="142"/>
      <c r="AF896" s="130"/>
      <c r="AG896" s="142"/>
      <c r="AH896" s="142"/>
      <c r="AI896" s="142"/>
      <c r="AJ896" s="130"/>
      <c r="AK896" s="130"/>
      <c r="AL896" s="130"/>
      <c r="AM896" s="130"/>
    </row>
    <row r="897" ht="15.75" customHeight="1">
      <c r="A897" s="278"/>
      <c r="B897" s="278"/>
      <c r="C897" s="278"/>
      <c r="D897" s="278"/>
      <c r="E897" s="132"/>
      <c r="F897" s="116"/>
      <c r="G897" s="116"/>
      <c r="H897" s="116"/>
      <c r="I897" s="373"/>
      <c r="J897" s="147"/>
      <c r="K897" s="116"/>
      <c r="L897" s="116"/>
      <c r="M897" s="116"/>
      <c r="N897" s="116"/>
      <c r="O897" s="116"/>
      <c r="P897" s="116"/>
      <c r="Q897" s="116"/>
      <c r="R897" s="116"/>
      <c r="S897" s="116"/>
      <c r="T897" s="116"/>
      <c r="U897" s="116"/>
      <c r="V897" s="116"/>
      <c r="W897" s="116"/>
      <c r="X897" s="278"/>
      <c r="Y897" s="142"/>
      <c r="Z897" s="142"/>
      <c r="AA897" s="142"/>
      <c r="AB897" s="142"/>
      <c r="AC897" s="142"/>
      <c r="AD897" s="142"/>
      <c r="AE897" s="142"/>
      <c r="AF897" s="130"/>
      <c r="AG897" s="142"/>
      <c r="AH897" s="142"/>
      <c r="AI897" s="142"/>
      <c r="AJ897" s="130"/>
      <c r="AK897" s="130"/>
      <c r="AL897" s="130"/>
      <c r="AM897" s="130"/>
    </row>
    <row r="898" ht="15.75" customHeight="1">
      <c r="A898" s="278"/>
      <c r="B898" s="278"/>
      <c r="C898" s="278"/>
      <c r="D898" s="278"/>
      <c r="E898" s="132"/>
      <c r="F898" s="116"/>
      <c r="G898" s="116"/>
      <c r="H898" s="116"/>
      <c r="I898" s="373"/>
      <c r="J898" s="147"/>
      <c r="K898" s="116"/>
      <c r="L898" s="116"/>
      <c r="M898" s="116"/>
      <c r="N898" s="116"/>
      <c r="O898" s="116"/>
      <c r="P898" s="116"/>
      <c r="Q898" s="116"/>
      <c r="R898" s="116"/>
      <c r="S898" s="116"/>
      <c r="T898" s="116"/>
      <c r="U898" s="116"/>
      <c r="V898" s="116"/>
      <c r="W898" s="116"/>
      <c r="X898" s="278"/>
      <c r="Y898" s="142"/>
      <c r="Z898" s="142"/>
      <c r="AA898" s="142"/>
      <c r="AB898" s="142"/>
      <c r="AC898" s="142"/>
      <c r="AD898" s="142"/>
      <c r="AE898" s="142"/>
      <c r="AF898" s="130"/>
      <c r="AG898" s="142"/>
      <c r="AH898" s="142"/>
      <c r="AI898" s="142"/>
      <c r="AJ898" s="130"/>
      <c r="AK898" s="130"/>
      <c r="AL898" s="130"/>
      <c r="AM898" s="130"/>
    </row>
    <row r="899" ht="15.75" customHeight="1">
      <c r="A899" s="278"/>
      <c r="B899" s="278"/>
      <c r="C899" s="278"/>
      <c r="D899" s="278"/>
      <c r="E899" s="132"/>
      <c r="F899" s="116"/>
      <c r="G899" s="116"/>
      <c r="H899" s="116"/>
      <c r="I899" s="373"/>
      <c r="J899" s="147"/>
      <c r="K899" s="116"/>
      <c r="L899" s="116"/>
      <c r="M899" s="116"/>
      <c r="N899" s="116"/>
      <c r="O899" s="116"/>
      <c r="P899" s="116"/>
      <c r="Q899" s="116"/>
      <c r="R899" s="116"/>
      <c r="S899" s="116"/>
      <c r="T899" s="116"/>
      <c r="U899" s="116"/>
      <c r="V899" s="116"/>
      <c r="W899" s="116"/>
      <c r="X899" s="278"/>
      <c r="Y899" s="142"/>
      <c r="Z899" s="142"/>
      <c r="AA899" s="142"/>
      <c r="AB899" s="142"/>
      <c r="AC899" s="142"/>
      <c r="AD899" s="142"/>
      <c r="AE899" s="142"/>
      <c r="AF899" s="130"/>
      <c r="AG899" s="142"/>
      <c r="AH899" s="142"/>
      <c r="AI899" s="142"/>
      <c r="AJ899" s="130"/>
      <c r="AK899" s="130"/>
      <c r="AL899" s="130"/>
      <c r="AM899" s="130"/>
    </row>
    <row r="900" ht="15.75" customHeight="1">
      <c r="A900" s="278"/>
      <c r="B900" s="278"/>
      <c r="C900" s="278"/>
      <c r="D900" s="278"/>
      <c r="E900" s="132"/>
      <c r="F900" s="116"/>
      <c r="G900" s="116"/>
      <c r="H900" s="116"/>
      <c r="I900" s="373"/>
      <c r="J900" s="147"/>
      <c r="K900" s="116"/>
      <c r="L900" s="116"/>
      <c r="M900" s="116"/>
      <c r="N900" s="116"/>
      <c r="O900" s="116"/>
      <c r="P900" s="116"/>
      <c r="Q900" s="116"/>
      <c r="R900" s="116"/>
      <c r="S900" s="116"/>
      <c r="T900" s="116"/>
      <c r="U900" s="116"/>
      <c r="V900" s="116"/>
      <c r="W900" s="116"/>
      <c r="X900" s="278"/>
      <c r="Y900" s="142"/>
      <c r="Z900" s="142"/>
      <c r="AA900" s="142"/>
      <c r="AB900" s="142"/>
      <c r="AC900" s="142"/>
      <c r="AD900" s="142"/>
      <c r="AE900" s="142"/>
      <c r="AF900" s="130"/>
      <c r="AG900" s="142"/>
      <c r="AH900" s="142"/>
      <c r="AI900" s="142"/>
      <c r="AJ900" s="130"/>
      <c r="AK900" s="130"/>
      <c r="AL900" s="130"/>
      <c r="AM900" s="130"/>
    </row>
    <row r="901" ht="15.75" customHeight="1">
      <c r="A901" s="278"/>
      <c r="B901" s="278"/>
      <c r="C901" s="278"/>
      <c r="D901" s="278"/>
      <c r="E901" s="132"/>
      <c r="F901" s="116"/>
      <c r="G901" s="116"/>
      <c r="H901" s="116"/>
      <c r="I901" s="373"/>
      <c r="J901" s="147"/>
      <c r="K901" s="116"/>
      <c r="L901" s="116"/>
      <c r="M901" s="116"/>
      <c r="N901" s="116"/>
      <c r="O901" s="116"/>
      <c r="P901" s="116"/>
      <c r="Q901" s="116"/>
      <c r="R901" s="116"/>
      <c r="S901" s="116"/>
      <c r="T901" s="116"/>
      <c r="U901" s="116"/>
      <c r="V901" s="116"/>
      <c r="W901" s="116"/>
      <c r="X901" s="278"/>
      <c r="Y901" s="142"/>
      <c r="Z901" s="142"/>
      <c r="AA901" s="142"/>
      <c r="AB901" s="142"/>
      <c r="AC901" s="142"/>
      <c r="AD901" s="142"/>
      <c r="AE901" s="142"/>
      <c r="AF901" s="130"/>
      <c r="AG901" s="142"/>
      <c r="AH901" s="142"/>
      <c r="AI901" s="142"/>
      <c r="AJ901" s="130"/>
      <c r="AK901" s="130"/>
      <c r="AL901" s="130"/>
      <c r="AM901" s="130"/>
    </row>
    <row r="902" ht="15.75" customHeight="1">
      <c r="A902" s="278"/>
      <c r="B902" s="278"/>
      <c r="C902" s="278"/>
      <c r="D902" s="278"/>
      <c r="E902" s="132"/>
      <c r="F902" s="116"/>
      <c r="G902" s="116"/>
      <c r="H902" s="116"/>
      <c r="I902" s="373"/>
      <c r="J902" s="147"/>
      <c r="K902" s="116"/>
      <c r="L902" s="116"/>
      <c r="M902" s="116"/>
      <c r="N902" s="116"/>
      <c r="O902" s="116"/>
      <c r="P902" s="116"/>
      <c r="Q902" s="116"/>
      <c r="R902" s="116"/>
      <c r="S902" s="116"/>
      <c r="T902" s="116"/>
      <c r="U902" s="116"/>
      <c r="V902" s="116"/>
      <c r="W902" s="116"/>
      <c r="X902" s="278"/>
      <c r="Y902" s="142"/>
      <c r="Z902" s="142"/>
      <c r="AA902" s="142"/>
      <c r="AB902" s="142"/>
      <c r="AC902" s="142"/>
      <c r="AD902" s="142"/>
      <c r="AE902" s="142"/>
      <c r="AF902" s="130"/>
      <c r="AG902" s="142"/>
      <c r="AH902" s="142"/>
      <c r="AI902" s="142"/>
      <c r="AJ902" s="130"/>
      <c r="AK902" s="130"/>
      <c r="AL902" s="130"/>
      <c r="AM902" s="130"/>
    </row>
    <row r="903" ht="15.75" customHeight="1">
      <c r="A903" s="278"/>
      <c r="B903" s="278"/>
      <c r="C903" s="278"/>
      <c r="D903" s="278"/>
      <c r="E903" s="132"/>
      <c r="F903" s="116"/>
      <c r="G903" s="116"/>
      <c r="H903" s="116"/>
      <c r="I903" s="373"/>
      <c r="J903" s="147"/>
      <c r="K903" s="116"/>
      <c r="L903" s="116"/>
      <c r="M903" s="116"/>
      <c r="N903" s="116"/>
      <c r="O903" s="116"/>
      <c r="P903" s="116"/>
      <c r="Q903" s="116"/>
      <c r="R903" s="116"/>
      <c r="S903" s="116"/>
      <c r="T903" s="116"/>
      <c r="U903" s="116"/>
      <c r="V903" s="116"/>
      <c r="W903" s="116"/>
      <c r="X903" s="278"/>
      <c r="Y903" s="142"/>
      <c r="Z903" s="142"/>
      <c r="AA903" s="142"/>
      <c r="AB903" s="142"/>
      <c r="AC903" s="142"/>
      <c r="AD903" s="142"/>
      <c r="AE903" s="142"/>
      <c r="AF903" s="130"/>
      <c r="AG903" s="142"/>
      <c r="AH903" s="142"/>
      <c r="AI903" s="142"/>
      <c r="AJ903" s="130"/>
      <c r="AK903" s="130"/>
      <c r="AL903" s="130"/>
      <c r="AM903" s="130"/>
    </row>
    <row r="904" ht="15.75" customHeight="1">
      <c r="A904" s="278"/>
      <c r="B904" s="278"/>
      <c r="C904" s="278"/>
      <c r="D904" s="278"/>
      <c r="E904" s="132"/>
      <c r="F904" s="116"/>
      <c r="G904" s="116"/>
      <c r="H904" s="116"/>
      <c r="I904" s="373"/>
      <c r="J904" s="147"/>
      <c r="K904" s="116"/>
      <c r="L904" s="116"/>
      <c r="M904" s="116"/>
      <c r="N904" s="116"/>
      <c r="O904" s="116"/>
      <c r="P904" s="116"/>
      <c r="Q904" s="116"/>
      <c r="R904" s="116"/>
      <c r="S904" s="116"/>
      <c r="T904" s="116"/>
      <c r="U904" s="116"/>
      <c r="V904" s="116"/>
      <c r="W904" s="116"/>
      <c r="X904" s="278"/>
      <c r="Y904" s="142"/>
      <c r="Z904" s="142"/>
      <c r="AA904" s="142"/>
      <c r="AB904" s="142"/>
      <c r="AC904" s="142"/>
      <c r="AD904" s="142"/>
      <c r="AE904" s="142"/>
      <c r="AF904" s="130"/>
      <c r="AG904" s="142"/>
      <c r="AH904" s="142"/>
      <c r="AI904" s="142"/>
      <c r="AJ904" s="130"/>
      <c r="AK904" s="130"/>
      <c r="AL904" s="130"/>
      <c r="AM904" s="130"/>
    </row>
    <row r="905" ht="15.75" customHeight="1">
      <c r="A905" s="278"/>
      <c r="B905" s="278"/>
      <c r="C905" s="278"/>
      <c r="D905" s="278"/>
      <c r="E905" s="132"/>
      <c r="F905" s="116"/>
      <c r="G905" s="116"/>
      <c r="H905" s="116"/>
      <c r="I905" s="373"/>
      <c r="J905" s="147"/>
      <c r="K905" s="116"/>
      <c r="L905" s="116"/>
      <c r="M905" s="116"/>
      <c r="N905" s="116"/>
      <c r="O905" s="116"/>
      <c r="P905" s="116"/>
      <c r="Q905" s="116"/>
      <c r="R905" s="116"/>
      <c r="S905" s="116"/>
      <c r="T905" s="116"/>
      <c r="U905" s="116"/>
      <c r="V905" s="116"/>
      <c r="W905" s="116"/>
      <c r="X905" s="278"/>
      <c r="Y905" s="142"/>
      <c r="Z905" s="142"/>
      <c r="AA905" s="142"/>
      <c r="AB905" s="142"/>
      <c r="AC905" s="142"/>
      <c r="AD905" s="142"/>
      <c r="AE905" s="142"/>
      <c r="AF905" s="130"/>
      <c r="AG905" s="142"/>
      <c r="AH905" s="142"/>
      <c r="AI905" s="142"/>
      <c r="AJ905" s="130"/>
      <c r="AK905" s="130"/>
      <c r="AL905" s="130"/>
      <c r="AM905" s="130"/>
    </row>
    <row r="906" ht="15.75" customHeight="1">
      <c r="A906" s="278"/>
      <c r="B906" s="278"/>
      <c r="C906" s="278"/>
      <c r="D906" s="278"/>
      <c r="E906" s="132"/>
      <c r="F906" s="116"/>
      <c r="G906" s="116"/>
      <c r="H906" s="116"/>
      <c r="I906" s="373"/>
      <c r="J906" s="147"/>
      <c r="K906" s="116"/>
      <c r="L906" s="116"/>
      <c r="M906" s="116"/>
      <c r="N906" s="116"/>
      <c r="O906" s="116"/>
      <c r="P906" s="116"/>
      <c r="Q906" s="116"/>
      <c r="R906" s="116"/>
      <c r="S906" s="116"/>
      <c r="T906" s="116"/>
      <c r="U906" s="116"/>
      <c r="V906" s="116"/>
      <c r="W906" s="116"/>
      <c r="X906" s="278"/>
      <c r="Y906" s="142"/>
      <c r="Z906" s="142"/>
      <c r="AA906" s="142"/>
      <c r="AB906" s="142"/>
      <c r="AC906" s="142"/>
      <c r="AD906" s="142"/>
      <c r="AE906" s="142"/>
      <c r="AF906" s="130"/>
      <c r="AG906" s="142"/>
      <c r="AH906" s="142"/>
      <c r="AI906" s="142"/>
      <c r="AJ906" s="130"/>
      <c r="AK906" s="130"/>
      <c r="AL906" s="130"/>
      <c r="AM906" s="130"/>
    </row>
    <row r="907" ht="15.75" customHeight="1">
      <c r="A907" s="278"/>
      <c r="B907" s="278"/>
      <c r="C907" s="278"/>
      <c r="D907" s="278"/>
      <c r="E907" s="132"/>
      <c r="F907" s="116"/>
      <c r="G907" s="116"/>
      <c r="H907" s="116"/>
      <c r="I907" s="373"/>
      <c r="J907" s="147"/>
      <c r="K907" s="116"/>
      <c r="L907" s="116"/>
      <c r="M907" s="116"/>
      <c r="N907" s="116"/>
      <c r="O907" s="116"/>
      <c r="P907" s="116"/>
      <c r="Q907" s="116"/>
      <c r="R907" s="116"/>
      <c r="S907" s="116"/>
      <c r="T907" s="116"/>
      <c r="U907" s="116"/>
      <c r="V907" s="116"/>
      <c r="W907" s="116"/>
      <c r="X907" s="278"/>
      <c r="Y907" s="142"/>
      <c r="Z907" s="142"/>
      <c r="AA907" s="142"/>
      <c r="AB907" s="142"/>
      <c r="AC907" s="142"/>
      <c r="AD907" s="142"/>
      <c r="AE907" s="142"/>
      <c r="AF907" s="130"/>
      <c r="AG907" s="142"/>
      <c r="AH907" s="142"/>
      <c r="AI907" s="142"/>
      <c r="AJ907" s="130"/>
      <c r="AK907" s="130"/>
      <c r="AL907" s="130"/>
      <c r="AM907" s="130"/>
    </row>
    <row r="908" ht="15.75" customHeight="1">
      <c r="A908" s="278"/>
      <c r="B908" s="278"/>
      <c r="C908" s="278"/>
      <c r="D908" s="278"/>
      <c r="E908" s="132"/>
      <c r="F908" s="116"/>
      <c r="G908" s="116"/>
      <c r="H908" s="116"/>
      <c r="I908" s="373"/>
      <c r="J908" s="147"/>
      <c r="K908" s="116"/>
      <c r="L908" s="116"/>
      <c r="M908" s="116"/>
      <c r="N908" s="116"/>
      <c r="O908" s="116"/>
      <c r="P908" s="116"/>
      <c r="Q908" s="116"/>
      <c r="R908" s="116"/>
      <c r="S908" s="116"/>
      <c r="T908" s="116"/>
      <c r="U908" s="116"/>
      <c r="V908" s="116"/>
      <c r="W908" s="116"/>
      <c r="X908" s="278"/>
      <c r="Y908" s="142"/>
      <c r="Z908" s="142"/>
      <c r="AA908" s="142"/>
      <c r="AB908" s="142"/>
      <c r="AC908" s="142"/>
      <c r="AD908" s="142"/>
      <c r="AE908" s="142"/>
      <c r="AF908" s="130"/>
      <c r="AG908" s="142"/>
      <c r="AH908" s="142"/>
      <c r="AI908" s="142"/>
      <c r="AJ908" s="130"/>
      <c r="AK908" s="130"/>
      <c r="AL908" s="130"/>
      <c r="AM908" s="130"/>
    </row>
    <row r="909" ht="15.75" customHeight="1">
      <c r="A909" s="278"/>
      <c r="B909" s="278"/>
      <c r="C909" s="278"/>
      <c r="D909" s="278"/>
      <c r="E909" s="132"/>
      <c r="F909" s="116"/>
      <c r="G909" s="116"/>
      <c r="H909" s="116"/>
      <c r="I909" s="373"/>
      <c r="J909" s="147"/>
      <c r="K909" s="116"/>
      <c r="L909" s="116"/>
      <c r="M909" s="116"/>
      <c r="N909" s="116"/>
      <c r="O909" s="116"/>
      <c r="P909" s="116"/>
      <c r="Q909" s="116"/>
      <c r="R909" s="116"/>
      <c r="S909" s="116"/>
      <c r="T909" s="116"/>
      <c r="U909" s="116"/>
      <c r="V909" s="116"/>
      <c r="W909" s="116"/>
      <c r="X909" s="278"/>
      <c r="Y909" s="142"/>
      <c r="Z909" s="142"/>
      <c r="AA909" s="142"/>
      <c r="AB909" s="142"/>
      <c r="AC909" s="142"/>
      <c r="AD909" s="142"/>
      <c r="AE909" s="142"/>
      <c r="AF909" s="130"/>
      <c r="AG909" s="142"/>
      <c r="AH909" s="142"/>
      <c r="AI909" s="142"/>
      <c r="AJ909" s="130"/>
      <c r="AK909" s="130"/>
      <c r="AL909" s="130"/>
      <c r="AM909" s="130"/>
    </row>
    <row r="910" ht="15.75" customHeight="1">
      <c r="A910" s="278"/>
      <c r="B910" s="278"/>
      <c r="C910" s="278"/>
      <c r="D910" s="278"/>
      <c r="E910" s="132"/>
      <c r="F910" s="116"/>
      <c r="G910" s="116"/>
      <c r="H910" s="116"/>
      <c r="I910" s="373"/>
      <c r="J910" s="147"/>
      <c r="K910" s="116"/>
      <c r="L910" s="116"/>
      <c r="M910" s="116"/>
      <c r="N910" s="116"/>
      <c r="O910" s="116"/>
      <c r="P910" s="116"/>
      <c r="Q910" s="116"/>
      <c r="R910" s="116"/>
      <c r="S910" s="116"/>
      <c r="T910" s="116"/>
      <c r="U910" s="116"/>
      <c r="V910" s="116"/>
      <c r="W910" s="116"/>
      <c r="X910" s="278"/>
      <c r="Y910" s="142"/>
      <c r="Z910" s="142"/>
      <c r="AA910" s="142"/>
      <c r="AB910" s="142"/>
      <c r="AC910" s="142"/>
      <c r="AD910" s="142"/>
      <c r="AE910" s="142"/>
      <c r="AF910" s="130"/>
      <c r="AG910" s="142"/>
      <c r="AH910" s="142"/>
      <c r="AI910" s="142"/>
      <c r="AJ910" s="130"/>
      <c r="AK910" s="130"/>
      <c r="AL910" s="130"/>
      <c r="AM910" s="130"/>
    </row>
    <row r="911" ht="15.75" customHeight="1">
      <c r="A911" s="278"/>
      <c r="B911" s="278"/>
      <c r="C911" s="278"/>
      <c r="D911" s="278"/>
      <c r="E911" s="132"/>
      <c r="F911" s="116"/>
      <c r="G911" s="116"/>
      <c r="H911" s="116"/>
      <c r="I911" s="373"/>
      <c r="J911" s="147"/>
      <c r="K911" s="116"/>
      <c r="L911" s="116"/>
      <c r="M911" s="116"/>
      <c r="N911" s="116"/>
      <c r="O911" s="116"/>
      <c r="P911" s="116"/>
      <c r="Q911" s="116"/>
      <c r="R911" s="116"/>
      <c r="S911" s="116"/>
      <c r="T911" s="116"/>
      <c r="U911" s="116"/>
      <c r="V911" s="116"/>
      <c r="W911" s="116"/>
      <c r="X911" s="278"/>
      <c r="Y911" s="142"/>
      <c r="Z911" s="142"/>
      <c r="AA911" s="142"/>
      <c r="AB911" s="142"/>
      <c r="AC911" s="142"/>
      <c r="AD911" s="142"/>
      <c r="AE911" s="142"/>
      <c r="AF911" s="130"/>
      <c r="AG911" s="142"/>
      <c r="AH911" s="142"/>
      <c r="AI911" s="142"/>
      <c r="AJ911" s="130"/>
      <c r="AK911" s="130"/>
      <c r="AL911" s="130"/>
      <c r="AM911" s="130"/>
    </row>
    <row r="912" ht="15.75" customHeight="1">
      <c r="A912" s="278"/>
      <c r="B912" s="278"/>
      <c r="C912" s="278"/>
      <c r="D912" s="278"/>
      <c r="E912" s="132"/>
      <c r="F912" s="116"/>
      <c r="G912" s="116"/>
      <c r="H912" s="116"/>
      <c r="I912" s="373"/>
      <c r="J912" s="147"/>
      <c r="K912" s="116"/>
      <c r="L912" s="116"/>
      <c r="M912" s="116"/>
      <c r="N912" s="116"/>
      <c r="O912" s="116"/>
      <c r="P912" s="116"/>
      <c r="Q912" s="116"/>
      <c r="R912" s="116"/>
      <c r="S912" s="116"/>
      <c r="T912" s="116"/>
      <c r="U912" s="116"/>
      <c r="V912" s="116"/>
      <c r="W912" s="116"/>
      <c r="X912" s="278"/>
      <c r="Y912" s="142"/>
      <c r="Z912" s="142"/>
      <c r="AA912" s="142"/>
      <c r="AB912" s="142"/>
      <c r="AC912" s="142"/>
      <c r="AD912" s="142"/>
      <c r="AE912" s="142"/>
      <c r="AF912" s="130"/>
      <c r="AG912" s="142"/>
      <c r="AH912" s="142"/>
      <c r="AI912" s="142"/>
      <c r="AJ912" s="130"/>
      <c r="AK912" s="130"/>
      <c r="AL912" s="130"/>
      <c r="AM912" s="130"/>
    </row>
    <row r="913" ht="15.75" customHeight="1">
      <c r="A913" s="278"/>
      <c r="B913" s="278"/>
      <c r="C913" s="278"/>
      <c r="D913" s="278"/>
      <c r="E913" s="132"/>
      <c r="F913" s="116"/>
      <c r="G913" s="116"/>
      <c r="H913" s="116"/>
      <c r="I913" s="373"/>
      <c r="J913" s="147"/>
      <c r="K913" s="116"/>
      <c r="L913" s="116"/>
      <c r="M913" s="116"/>
      <c r="N913" s="116"/>
      <c r="O913" s="116"/>
      <c r="P913" s="116"/>
      <c r="Q913" s="116"/>
      <c r="R913" s="116"/>
      <c r="S913" s="116"/>
      <c r="T913" s="116"/>
      <c r="U913" s="116"/>
      <c r="V913" s="116"/>
      <c r="W913" s="116"/>
      <c r="X913" s="278"/>
      <c r="Y913" s="142"/>
      <c r="Z913" s="142"/>
      <c r="AA913" s="142"/>
      <c r="AB913" s="142"/>
      <c r="AC913" s="142"/>
      <c r="AD913" s="142"/>
      <c r="AE913" s="142"/>
      <c r="AF913" s="130"/>
      <c r="AG913" s="142"/>
      <c r="AH913" s="142"/>
      <c r="AI913" s="142"/>
      <c r="AJ913" s="130"/>
      <c r="AK913" s="130"/>
      <c r="AL913" s="130"/>
      <c r="AM913" s="130"/>
    </row>
    <row r="914" ht="15.75" customHeight="1">
      <c r="A914" s="278"/>
      <c r="B914" s="278"/>
      <c r="C914" s="278"/>
      <c r="D914" s="278"/>
      <c r="E914" s="132"/>
      <c r="F914" s="116"/>
      <c r="G914" s="116"/>
      <c r="H914" s="116"/>
      <c r="I914" s="373"/>
      <c r="J914" s="147"/>
      <c r="K914" s="116"/>
      <c r="L914" s="116"/>
      <c r="M914" s="116"/>
      <c r="N914" s="116"/>
      <c r="O914" s="116"/>
      <c r="P914" s="116"/>
      <c r="Q914" s="116"/>
      <c r="R914" s="116"/>
      <c r="S914" s="116"/>
      <c r="T914" s="116"/>
      <c r="U914" s="116"/>
      <c r="V914" s="116"/>
      <c r="W914" s="116"/>
      <c r="X914" s="278"/>
      <c r="Y914" s="142"/>
      <c r="Z914" s="142"/>
      <c r="AA914" s="142"/>
      <c r="AB914" s="142"/>
      <c r="AC914" s="142"/>
      <c r="AD914" s="142"/>
      <c r="AE914" s="142"/>
      <c r="AF914" s="130"/>
      <c r="AG914" s="142"/>
      <c r="AH914" s="142"/>
      <c r="AI914" s="142"/>
      <c r="AJ914" s="130"/>
      <c r="AK914" s="130"/>
      <c r="AL914" s="130"/>
      <c r="AM914" s="130"/>
    </row>
    <row r="915" ht="15.75" customHeight="1">
      <c r="A915" s="278"/>
      <c r="B915" s="278"/>
      <c r="C915" s="278"/>
      <c r="D915" s="278"/>
      <c r="E915" s="132"/>
      <c r="F915" s="116"/>
      <c r="G915" s="116"/>
      <c r="H915" s="116"/>
      <c r="I915" s="373"/>
      <c r="J915" s="147"/>
      <c r="K915" s="116"/>
      <c r="L915" s="116"/>
      <c r="M915" s="116"/>
      <c r="N915" s="116"/>
      <c r="O915" s="116"/>
      <c r="P915" s="116"/>
      <c r="Q915" s="116"/>
      <c r="R915" s="116"/>
      <c r="S915" s="116"/>
      <c r="T915" s="116"/>
      <c r="U915" s="116"/>
      <c r="V915" s="116"/>
      <c r="W915" s="116"/>
      <c r="X915" s="278"/>
      <c r="Y915" s="142"/>
      <c r="Z915" s="142"/>
      <c r="AA915" s="142"/>
      <c r="AB915" s="142"/>
      <c r="AC915" s="142"/>
      <c r="AD915" s="142"/>
      <c r="AE915" s="142"/>
      <c r="AF915" s="130"/>
      <c r="AG915" s="142"/>
      <c r="AH915" s="142"/>
      <c r="AI915" s="142"/>
      <c r="AJ915" s="130"/>
      <c r="AK915" s="130"/>
      <c r="AL915" s="130"/>
      <c r="AM915" s="130"/>
    </row>
    <row r="916" ht="15.75" customHeight="1">
      <c r="A916" s="278"/>
      <c r="B916" s="278"/>
      <c r="C916" s="278"/>
      <c r="D916" s="278"/>
      <c r="E916" s="132"/>
      <c r="F916" s="116"/>
      <c r="G916" s="116"/>
      <c r="H916" s="116"/>
      <c r="I916" s="373"/>
      <c r="J916" s="147"/>
      <c r="K916" s="116"/>
      <c r="L916" s="116"/>
      <c r="M916" s="116"/>
      <c r="N916" s="116"/>
      <c r="O916" s="116"/>
      <c r="P916" s="116"/>
      <c r="Q916" s="116"/>
      <c r="R916" s="116"/>
      <c r="S916" s="116"/>
      <c r="T916" s="116"/>
      <c r="U916" s="116"/>
      <c r="V916" s="116"/>
      <c r="W916" s="116"/>
      <c r="X916" s="278"/>
      <c r="Y916" s="142"/>
      <c r="Z916" s="142"/>
      <c r="AA916" s="142"/>
      <c r="AB916" s="142"/>
      <c r="AC916" s="142"/>
      <c r="AD916" s="142"/>
      <c r="AE916" s="142"/>
      <c r="AF916" s="130"/>
      <c r="AG916" s="142"/>
      <c r="AH916" s="142"/>
      <c r="AI916" s="142"/>
      <c r="AJ916" s="130"/>
      <c r="AK916" s="130"/>
      <c r="AL916" s="130"/>
      <c r="AM916" s="130"/>
    </row>
    <row r="917" ht="15.75" customHeight="1">
      <c r="A917" s="278"/>
      <c r="B917" s="278"/>
      <c r="C917" s="278"/>
      <c r="D917" s="278"/>
      <c r="E917" s="132"/>
      <c r="F917" s="116"/>
      <c r="G917" s="116"/>
      <c r="H917" s="116"/>
      <c r="I917" s="373"/>
      <c r="J917" s="147"/>
      <c r="K917" s="116"/>
      <c r="L917" s="116"/>
      <c r="M917" s="116"/>
      <c r="N917" s="116"/>
      <c r="O917" s="116"/>
      <c r="P917" s="116"/>
      <c r="Q917" s="116"/>
      <c r="R917" s="116"/>
      <c r="S917" s="116"/>
      <c r="T917" s="116"/>
      <c r="U917" s="116"/>
      <c r="V917" s="116"/>
      <c r="W917" s="116"/>
      <c r="X917" s="278"/>
      <c r="Y917" s="142"/>
      <c r="Z917" s="142"/>
      <c r="AA917" s="142"/>
      <c r="AB917" s="142"/>
      <c r="AC917" s="142"/>
      <c r="AD917" s="142"/>
      <c r="AE917" s="142"/>
      <c r="AF917" s="130"/>
      <c r="AG917" s="142"/>
      <c r="AH917" s="142"/>
      <c r="AI917" s="142"/>
      <c r="AJ917" s="130"/>
      <c r="AK917" s="130"/>
      <c r="AL917" s="130"/>
      <c r="AM917" s="130"/>
    </row>
    <row r="918" ht="15.75" customHeight="1">
      <c r="A918" s="278"/>
      <c r="B918" s="278"/>
      <c r="C918" s="278"/>
      <c r="D918" s="278"/>
      <c r="E918" s="132"/>
      <c r="F918" s="116"/>
      <c r="G918" s="116"/>
      <c r="H918" s="116"/>
      <c r="I918" s="373"/>
      <c r="J918" s="147"/>
      <c r="K918" s="116"/>
      <c r="L918" s="116"/>
      <c r="M918" s="116"/>
      <c r="N918" s="116"/>
      <c r="O918" s="116"/>
      <c r="P918" s="116"/>
      <c r="Q918" s="116"/>
      <c r="R918" s="116"/>
      <c r="S918" s="116"/>
      <c r="T918" s="116"/>
      <c r="U918" s="116"/>
      <c r="V918" s="116"/>
      <c r="W918" s="116"/>
      <c r="X918" s="278"/>
      <c r="Y918" s="142"/>
      <c r="Z918" s="142"/>
      <c r="AA918" s="142"/>
      <c r="AB918" s="142"/>
      <c r="AC918" s="142"/>
      <c r="AD918" s="142"/>
      <c r="AE918" s="142"/>
      <c r="AF918" s="130"/>
      <c r="AG918" s="142"/>
      <c r="AH918" s="142"/>
      <c r="AI918" s="142"/>
      <c r="AJ918" s="130"/>
      <c r="AK918" s="130"/>
      <c r="AL918" s="130"/>
      <c r="AM918" s="130"/>
    </row>
    <row r="919" ht="15.75" customHeight="1">
      <c r="A919" s="278"/>
      <c r="B919" s="278"/>
      <c r="C919" s="278"/>
      <c r="D919" s="278"/>
      <c r="E919" s="132"/>
      <c r="F919" s="116"/>
      <c r="G919" s="116"/>
      <c r="H919" s="116"/>
      <c r="I919" s="373"/>
      <c r="J919" s="147"/>
      <c r="K919" s="116"/>
      <c r="L919" s="116"/>
      <c r="M919" s="116"/>
      <c r="N919" s="116"/>
      <c r="O919" s="116"/>
      <c r="P919" s="116"/>
      <c r="Q919" s="116"/>
      <c r="R919" s="116"/>
      <c r="S919" s="116"/>
      <c r="T919" s="116"/>
      <c r="U919" s="116"/>
      <c r="V919" s="116"/>
      <c r="W919" s="116"/>
      <c r="X919" s="278"/>
      <c r="Y919" s="142"/>
      <c r="Z919" s="142"/>
      <c r="AA919" s="142"/>
      <c r="AB919" s="142"/>
      <c r="AC919" s="142"/>
      <c r="AD919" s="142"/>
      <c r="AE919" s="142"/>
      <c r="AF919" s="130"/>
      <c r="AG919" s="142"/>
      <c r="AH919" s="142"/>
      <c r="AI919" s="142"/>
      <c r="AJ919" s="130"/>
      <c r="AK919" s="130"/>
      <c r="AL919" s="130"/>
      <c r="AM919" s="130"/>
    </row>
    <row r="920" ht="15.75" customHeight="1">
      <c r="A920" s="278"/>
      <c r="B920" s="278"/>
      <c r="C920" s="278"/>
      <c r="D920" s="278"/>
      <c r="E920" s="132"/>
      <c r="F920" s="116"/>
      <c r="G920" s="116"/>
      <c r="H920" s="116"/>
      <c r="I920" s="373"/>
      <c r="J920" s="147"/>
      <c r="K920" s="116"/>
      <c r="L920" s="116"/>
      <c r="M920" s="116"/>
      <c r="N920" s="116"/>
      <c r="O920" s="116"/>
      <c r="P920" s="116"/>
      <c r="Q920" s="116"/>
      <c r="R920" s="116"/>
      <c r="S920" s="116"/>
      <c r="T920" s="116"/>
      <c r="U920" s="116"/>
      <c r="V920" s="116"/>
      <c r="W920" s="116"/>
      <c r="X920" s="278"/>
      <c r="Y920" s="142"/>
      <c r="Z920" s="142"/>
      <c r="AA920" s="142"/>
      <c r="AB920" s="142"/>
      <c r="AC920" s="142"/>
      <c r="AD920" s="142"/>
      <c r="AE920" s="142"/>
      <c r="AF920" s="130"/>
      <c r="AG920" s="142"/>
      <c r="AH920" s="142"/>
      <c r="AI920" s="142"/>
      <c r="AJ920" s="130"/>
      <c r="AK920" s="130"/>
      <c r="AL920" s="130"/>
      <c r="AM920" s="130"/>
    </row>
    <row r="921" ht="15.75" customHeight="1">
      <c r="A921" s="278"/>
      <c r="B921" s="278"/>
      <c r="C921" s="278"/>
      <c r="D921" s="278"/>
      <c r="E921" s="132"/>
      <c r="F921" s="116"/>
      <c r="G921" s="116"/>
      <c r="H921" s="116"/>
      <c r="I921" s="373"/>
      <c r="J921" s="147"/>
      <c r="K921" s="116"/>
      <c r="L921" s="116"/>
      <c r="M921" s="116"/>
      <c r="N921" s="116"/>
      <c r="O921" s="116"/>
      <c r="P921" s="116"/>
      <c r="Q921" s="116"/>
      <c r="R921" s="116"/>
      <c r="S921" s="116"/>
      <c r="T921" s="116"/>
      <c r="U921" s="116"/>
      <c r="V921" s="116"/>
      <c r="W921" s="116"/>
      <c r="X921" s="278"/>
      <c r="Y921" s="142"/>
      <c r="Z921" s="142"/>
      <c r="AA921" s="142"/>
      <c r="AB921" s="142"/>
      <c r="AC921" s="142"/>
      <c r="AD921" s="142"/>
      <c r="AE921" s="142"/>
      <c r="AF921" s="130"/>
      <c r="AG921" s="142"/>
      <c r="AH921" s="142"/>
      <c r="AI921" s="142"/>
      <c r="AJ921" s="130"/>
      <c r="AK921" s="130"/>
      <c r="AL921" s="130"/>
      <c r="AM921" s="130"/>
    </row>
    <row r="922" ht="15.75" customHeight="1">
      <c r="A922" s="278"/>
      <c r="B922" s="278"/>
      <c r="C922" s="278"/>
      <c r="D922" s="278"/>
      <c r="E922" s="132"/>
      <c r="F922" s="116"/>
      <c r="G922" s="116"/>
      <c r="H922" s="116"/>
      <c r="I922" s="373"/>
      <c r="J922" s="147"/>
      <c r="K922" s="116"/>
      <c r="L922" s="116"/>
      <c r="M922" s="116"/>
      <c r="N922" s="116"/>
      <c r="O922" s="116"/>
      <c r="P922" s="116"/>
      <c r="Q922" s="116"/>
      <c r="R922" s="116"/>
      <c r="S922" s="116"/>
      <c r="T922" s="116"/>
      <c r="U922" s="116"/>
      <c r="V922" s="116"/>
      <c r="W922" s="116"/>
      <c r="X922" s="278"/>
      <c r="Y922" s="142"/>
      <c r="Z922" s="142"/>
      <c r="AA922" s="142"/>
      <c r="AB922" s="142"/>
      <c r="AC922" s="142"/>
      <c r="AD922" s="142"/>
      <c r="AE922" s="142"/>
      <c r="AF922" s="130"/>
      <c r="AG922" s="142"/>
      <c r="AH922" s="142"/>
      <c r="AI922" s="142"/>
      <c r="AJ922" s="130"/>
      <c r="AK922" s="130"/>
      <c r="AL922" s="130"/>
      <c r="AM922" s="130"/>
    </row>
    <row r="923" ht="15.75" customHeight="1">
      <c r="A923" s="278"/>
      <c r="B923" s="278"/>
      <c r="C923" s="278"/>
      <c r="D923" s="278"/>
      <c r="E923" s="132"/>
      <c r="F923" s="116"/>
      <c r="G923" s="116"/>
      <c r="H923" s="116"/>
      <c r="I923" s="373"/>
      <c r="J923" s="147"/>
      <c r="K923" s="116"/>
      <c r="L923" s="116"/>
      <c r="M923" s="116"/>
      <c r="N923" s="116"/>
      <c r="O923" s="116"/>
      <c r="P923" s="116"/>
      <c r="Q923" s="116"/>
      <c r="R923" s="116"/>
      <c r="S923" s="116"/>
      <c r="T923" s="116"/>
      <c r="U923" s="116"/>
      <c r="V923" s="116"/>
      <c r="W923" s="116"/>
      <c r="X923" s="278"/>
      <c r="Y923" s="142"/>
      <c r="Z923" s="142"/>
      <c r="AA923" s="142"/>
      <c r="AB923" s="142"/>
      <c r="AC923" s="142"/>
      <c r="AD923" s="142"/>
      <c r="AE923" s="142"/>
      <c r="AF923" s="130"/>
      <c r="AG923" s="142"/>
      <c r="AH923" s="142"/>
      <c r="AI923" s="142"/>
      <c r="AJ923" s="130"/>
      <c r="AK923" s="130"/>
      <c r="AL923" s="130"/>
      <c r="AM923" s="130"/>
    </row>
    <row r="924" ht="15.75" customHeight="1">
      <c r="A924" s="278"/>
      <c r="B924" s="278"/>
      <c r="C924" s="278"/>
      <c r="D924" s="278"/>
      <c r="E924" s="132"/>
      <c r="F924" s="116"/>
      <c r="G924" s="116"/>
      <c r="H924" s="116"/>
      <c r="I924" s="373"/>
      <c r="J924" s="147"/>
      <c r="K924" s="116"/>
      <c r="L924" s="116"/>
      <c r="M924" s="116"/>
      <c r="N924" s="116"/>
      <c r="O924" s="116"/>
      <c r="P924" s="116"/>
      <c r="Q924" s="116"/>
      <c r="R924" s="116"/>
      <c r="S924" s="116"/>
      <c r="T924" s="116"/>
      <c r="U924" s="116"/>
      <c r="V924" s="116"/>
      <c r="W924" s="116"/>
      <c r="X924" s="278"/>
      <c r="Y924" s="142"/>
      <c r="Z924" s="142"/>
      <c r="AA924" s="142"/>
      <c r="AB924" s="142"/>
      <c r="AC924" s="142"/>
      <c r="AD924" s="142"/>
      <c r="AE924" s="142"/>
      <c r="AF924" s="130"/>
      <c r="AG924" s="142"/>
      <c r="AH924" s="142"/>
      <c r="AI924" s="142"/>
      <c r="AJ924" s="130"/>
      <c r="AK924" s="130"/>
      <c r="AL924" s="130"/>
      <c r="AM924" s="130"/>
    </row>
    <row r="925" ht="15.75" customHeight="1">
      <c r="A925" s="278"/>
      <c r="B925" s="278"/>
      <c r="C925" s="278"/>
      <c r="D925" s="278"/>
      <c r="E925" s="132"/>
      <c r="F925" s="116"/>
      <c r="G925" s="116"/>
      <c r="H925" s="116"/>
      <c r="I925" s="373"/>
      <c r="J925" s="147"/>
      <c r="K925" s="116"/>
      <c r="L925" s="116"/>
      <c r="M925" s="116"/>
      <c r="N925" s="116"/>
      <c r="O925" s="116"/>
      <c r="P925" s="116"/>
      <c r="Q925" s="116"/>
      <c r="R925" s="116"/>
      <c r="S925" s="116"/>
      <c r="T925" s="116"/>
      <c r="U925" s="116"/>
      <c r="V925" s="116"/>
      <c r="W925" s="116"/>
      <c r="X925" s="278"/>
      <c r="Y925" s="142"/>
      <c r="Z925" s="142"/>
      <c r="AA925" s="142"/>
      <c r="AB925" s="142"/>
      <c r="AC925" s="142"/>
      <c r="AD925" s="142"/>
      <c r="AE925" s="142"/>
      <c r="AF925" s="130"/>
      <c r="AG925" s="142"/>
      <c r="AH925" s="142"/>
      <c r="AI925" s="142"/>
      <c r="AJ925" s="130"/>
      <c r="AK925" s="130"/>
      <c r="AL925" s="130"/>
      <c r="AM925" s="130"/>
    </row>
    <row r="926" ht="15.75" customHeight="1">
      <c r="A926" s="278"/>
      <c r="B926" s="278"/>
      <c r="C926" s="278"/>
      <c r="D926" s="278"/>
      <c r="E926" s="132"/>
      <c r="F926" s="116"/>
      <c r="G926" s="116"/>
      <c r="H926" s="116"/>
      <c r="I926" s="373"/>
      <c r="J926" s="147"/>
      <c r="K926" s="116"/>
      <c r="L926" s="116"/>
      <c r="M926" s="116"/>
      <c r="N926" s="116"/>
      <c r="O926" s="116"/>
      <c r="P926" s="116"/>
      <c r="Q926" s="116"/>
      <c r="R926" s="116"/>
      <c r="S926" s="116"/>
      <c r="T926" s="116"/>
      <c r="U926" s="116"/>
      <c r="V926" s="116"/>
      <c r="W926" s="116"/>
      <c r="X926" s="278"/>
      <c r="Y926" s="142"/>
      <c r="Z926" s="142"/>
      <c r="AA926" s="142"/>
      <c r="AB926" s="142"/>
      <c r="AC926" s="142"/>
      <c r="AD926" s="142"/>
      <c r="AE926" s="142"/>
      <c r="AF926" s="130"/>
      <c r="AG926" s="142"/>
      <c r="AH926" s="142"/>
      <c r="AI926" s="142"/>
      <c r="AJ926" s="130"/>
      <c r="AK926" s="130"/>
      <c r="AL926" s="130"/>
      <c r="AM926" s="130"/>
    </row>
    <row r="927" ht="15.75" customHeight="1">
      <c r="A927" s="278"/>
      <c r="B927" s="278"/>
      <c r="C927" s="278"/>
      <c r="D927" s="278"/>
      <c r="E927" s="132"/>
      <c r="F927" s="116"/>
      <c r="G927" s="116"/>
      <c r="H927" s="116"/>
      <c r="I927" s="373"/>
      <c r="J927" s="147"/>
      <c r="K927" s="116"/>
      <c r="L927" s="116"/>
      <c r="M927" s="116"/>
      <c r="N927" s="116"/>
      <c r="O927" s="116"/>
      <c r="P927" s="116"/>
      <c r="Q927" s="116"/>
      <c r="R927" s="116"/>
      <c r="S927" s="116"/>
      <c r="T927" s="116"/>
      <c r="U927" s="116"/>
      <c r="V927" s="116"/>
      <c r="W927" s="116"/>
      <c r="X927" s="278"/>
      <c r="Y927" s="142"/>
      <c r="Z927" s="142"/>
      <c r="AA927" s="142"/>
      <c r="AB927" s="142"/>
      <c r="AC927" s="142"/>
      <c r="AD927" s="142"/>
      <c r="AE927" s="142"/>
      <c r="AF927" s="130"/>
      <c r="AG927" s="142"/>
      <c r="AH927" s="142"/>
      <c r="AI927" s="142"/>
      <c r="AJ927" s="130"/>
      <c r="AK927" s="130"/>
      <c r="AL927" s="130"/>
      <c r="AM927" s="130"/>
    </row>
    <row r="928" ht="15.75" customHeight="1">
      <c r="A928" s="278"/>
      <c r="B928" s="278"/>
      <c r="C928" s="278"/>
      <c r="D928" s="278"/>
      <c r="E928" s="132"/>
      <c r="F928" s="116"/>
      <c r="G928" s="116"/>
      <c r="H928" s="116"/>
      <c r="I928" s="373"/>
      <c r="J928" s="147"/>
      <c r="K928" s="116"/>
      <c r="L928" s="116"/>
      <c r="M928" s="116"/>
      <c r="N928" s="116"/>
      <c r="O928" s="116"/>
      <c r="P928" s="116"/>
      <c r="Q928" s="116"/>
      <c r="R928" s="116"/>
      <c r="S928" s="116"/>
      <c r="T928" s="116"/>
      <c r="U928" s="116"/>
      <c r="V928" s="116"/>
      <c r="W928" s="116"/>
      <c r="X928" s="278"/>
      <c r="Y928" s="142"/>
      <c r="Z928" s="142"/>
      <c r="AA928" s="142"/>
      <c r="AB928" s="142"/>
      <c r="AC928" s="142"/>
      <c r="AD928" s="142"/>
      <c r="AE928" s="142"/>
      <c r="AF928" s="130"/>
      <c r="AG928" s="142"/>
      <c r="AH928" s="142"/>
      <c r="AI928" s="142"/>
      <c r="AJ928" s="130"/>
      <c r="AK928" s="130"/>
      <c r="AL928" s="130"/>
      <c r="AM928" s="130"/>
    </row>
    <row r="929" ht="15.75" customHeight="1">
      <c r="A929" s="278"/>
      <c r="B929" s="278"/>
      <c r="C929" s="278"/>
      <c r="D929" s="278"/>
      <c r="E929" s="132"/>
      <c r="F929" s="116"/>
      <c r="G929" s="116"/>
      <c r="H929" s="116"/>
      <c r="I929" s="373"/>
      <c r="J929" s="147"/>
      <c r="K929" s="116"/>
      <c r="L929" s="116"/>
      <c r="M929" s="116"/>
      <c r="N929" s="116"/>
      <c r="O929" s="116"/>
      <c r="P929" s="116"/>
      <c r="Q929" s="116"/>
      <c r="R929" s="116"/>
      <c r="S929" s="116"/>
      <c r="T929" s="116"/>
      <c r="U929" s="116"/>
      <c r="V929" s="116"/>
      <c r="W929" s="116"/>
      <c r="X929" s="278"/>
      <c r="Y929" s="142"/>
      <c r="Z929" s="142"/>
      <c r="AA929" s="142"/>
      <c r="AB929" s="142"/>
      <c r="AC929" s="142"/>
      <c r="AD929" s="142"/>
      <c r="AE929" s="142"/>
      <c r="AF929" s="130"/>
      <c r="AG929" s="142"/>
      <c r="AH929" s="142"/>
      <c r="AI929" s="142"/>
      <c r="AJ929" s="130"/>
      <c r="AK929" s="130"/>
      <c r="AL929" s="130"/>
      <c r="AM929" s="130"/>
    </row>
    <row r="930" ht="15.75" customHeight="1">
      <c r="A930" s="278"/>
      <c r="B930" s="278"/>
      <c r="C930" s="278"/>
      <c r="D930" s="278"/>
      <c r="E930" s="132"/>
      <c r="F930" s="116"/>
      <c r="G930" s="116"/>
      <c r="H930" s="116"/>
      <c r="I930" s="373"/>
      <c r="J930" s="147"/>
      <c r="K930" s="116"/>
      <c r="L930" s="116"/>
      <c r="M930" s="116"/>
      <c r="N930" s="116"/>
      <c r="O930" s="116"/>
      <c r="P930" s="116"/>
      <c r="Q930" s="116"/>
      <c r="R930" s="116"/>
      <c r="S930" s="116"/>
      <c r="T930" s="116"/>
      <c r="U930" s="116"/>
      <c r="V930" s="116"/>
      <c r="W930" s="116"/>
      <c r="X930" s="278"/>
      <c r="Y930" s="142"/>
      <c r="Z930" s="142"/>
      <c r="AA930" s="142"/>
      <c r="AB930" s="142"/>
      <c r="AC930" s="142"/>
      <c r="AD930" s="142"/>
      <c r="AE930" s="142"/>
      <c r="AF930" s="130"/>
      <c r="AG930" s="142"/>
      <c r="AH930" s="142"/>
      <c r="AI930" s="142"/>
      <c r="AJ930" s="130"/>
      <c r="AK930" s="130"/>
      <c r="AL930" s="130"/>
      <c r="AM930" s="130"/>
    </row>
    <row r="931" ht="15.75" customHeight="1">
      <c r="A931" s="278"/>
      <c r="B931" s="278"/>
      <c r="C931" s="278"/>
      <c r="D931" s="278"/>
      <c r="E931" s="132"/>
      <c r="F931" s="116"/>
      <c r="G931" s="116"/>
      <c r="H931" s="116"/>
      <c r="I931" s="373"/>
      <c r="J931" s="147"/>
      <c r="K931" s="116"/>
      <c r="L931" s="116"/>
      <c r="M931" s="116"/>
      <c r="N931" s="116"/>
      <c r="O931" s="116"/>
      <c r="P931" s="116"/>
      <c r="Q931" s="116"/>
      <c r="R931" s="116"/>
      <c r="S931" s="116"/>
      <c r="T931" s="116"/>
      <c r="U931" s="116"/>
      <c r="V931" s="116"/>
      <c r="W931" s="116"/>
      <c r="X931" s="278"/>
      <c r="Y931" s="142"/>
      <c r="Z931" s="142"/>
      <c r="AA931" s="142"/>
      <c r="AB931" s="142"/>
      <c r="AC931" s="142"/>
      <c r="AD931" s="142"/>
      <c r="AE931" s="142"/>
      <c r="AF931" s="130"/>
      <c r="AG931" s="142"/>
      <c r="AH931" s="142"/>
      <c r="AI931" s="142"/>
      <c r="AJ931" s="130"/>
      <c r="AK931" s="130"/>
      <c r="AL931" s="130"/>
      <c r="AM931" s="130"/>
    </row>
    <row r="932" ht="15.75" customHeight="1">
      <c r="A932" s="278"/>
      <c r="B932" s="278"/>
      <c r="C932" s="278"/>
      <c r="D932" s="278"/>
      <c r="E932" s="132"/>
      <c r="F932" s="116"/>
      <c r="G932" s="116"/>
      <c r="H932" s="116"/>
      <c r="I932" s="373"/>
      <c r="J932" s="147"/>
      <c r="K932" s="116"/>
      <c r="L932" s="116"/>
      <c r="M932" s="116"/>
      <c r="N932" s="116"/>
      <c r="O932" s="116"/>
      <c r="P932" s="116"/>
      <c r="Q932" s="116"/>
      <c r="R932" s="116"/>
      <c r="S932" s="116"/>
      <c r="T932" s="116"/>
      <c r="U932" s="116"/>
      <c r="V932" s="116"/>
      <c r="W932" s="116"/>
      <c r="X932" s="278"/>
      <c r="Y932" s="142"/>
      <c r="Z932" s="142"/>
      <c r="AA932" s="142"/>
      <c r="AB932" s="142"/>
      <c r="AC932" s="142"/>
      <c r="AD932" s="142"/>
      <c r="AE932" s="142"/>
      <c r="AF932" s="130"/>
      <c r="AG932" s="142"/>
      <c r="AH932" s="142"/>
      <c r="AI932" s="142"/>
      <c r="AJ932" s="130"/>
      <c r="AK932" s="130"/>
      <c r="AL932" s="130"/>
      <c r="AM932" s="130"/>
    </row>
    <row r="933" ht="15.75" customHeight="1">
      <c r="A933" s="278"/>
      <c r="B933" s="278"/>
      <c r="C933" s="278"/>
      <c r="D933" s="278"/>
      <c r="E933" s="132"/>
      <c r="F933" s="116"/>
      <c r="G933" s="116"/>
      <c r="H933" s="116"/>
      <c r="I933" s="373"/>
      <c r="J933" s="147"/>
      <c r="K933" s="116"/>
      <c r="L933" s="116"/>
      <c r="M933" s="116"/>
      <c r="N933" s="116"/>
      <c r="O933" s="116"/>
      <c r="P933" s="116"/>
      <c r="Q933" s="116"/>
      <c r="R933" s="116"/>
      <c r="S933" s="116"/>
      <c r="T933" s="116"/>
      <c r="U933" s="116"/>
      <c r="V933" s="116"/>
      <c r="W933" s="116"/>
      <c r="X933" s="278"/>
      <c r="Y933" s="142"/>
      <c r="Z933" s="142"/>
      <c r="AA933" s="142"/>
      <c r="AB933" s="142"/>
      <c r="AC933" s="142"/>
      <c r="AD933" s="142"/>
      <c r="AE933" s="142"/>
      <c r="AF933" s="130"/>
      <c r="AG933" s="142"/>
      <c r="AH933" s="142"/>
      <c r="AI933" s="142"/>
      <c r="AJ933" s="130"/>
      <c r="AK933" s="130"/>
      <c r="AL933" s="130"/>
      <c r="AM933" s="130"/>
    </row>
    <row r="934" ht="15.75" customHeight="1">
      <c r="A934" s="278"/>
      <c r="B934" s="278"/>
      <c r="C934" s="278"/>
      <c r="D934" s="278"/>
      <c r="E934" s="132"/>
      <c r="F934" s="116"/>
      <c r="G934" s="116"/>
      <c r="H934" s="116"/>
      <c r="I934" s="373"/>
      <c r="J934" s="147"/>
      <c r="K934" s="116"/>
      <c r="L934" s="116"/>
      <c r="M934" s="116"/>
      <c r="N934" s="116"/>
      <c r="O934" s="116"/>
      <c r="P934" s="116"/>
      <c r="Q934" s="116"/>
      <c r="R934" s="116"/>
      <c r="S934" s="116"/>
      <c r="T934" s="116"/>
      <c r="U934" s="116"/>
      <c r="V934" s="116"/>
      <c r="W934" s="116"/>
      <c r="X934" s="278"/>
      <c r="Y934" s="142"/>
      <c r="Z934" s="142"/>
      <c r="AA934" s="142"/>
      <c r="AB934" s="142"/>
      <c r="AC934" s="142"/>
      <c r="AD934" s="142"/>
      <c r="AE934" s="142"/>
      <c r="AF934" s="130"/>
      <c r="AG934" s="142"/>
      <c r="AH934" s="142"/>
      <c r="AI934" s="142"/>
      <c r="AJ934" s="130"/>
      <c r="AK934" s="130"/>
      <c r="AL934" s="130"/>
      <c r="AM934" s="130"/>
    </row>
    <row r="935" ht="15.75" customHeight="1">
      <c r="A935" s="278"/>
      <c r="B935" s="278"/>
      <c r="C935" s="278"/>
      <c r="D935" s="278"/>
      <c r="E935" s="132"/>
      <c r="F935" s="116"/>
      <c r="G935" s="116"/>
      <c r="H935" s="116"/>
      <c r="I935" s="373"/>
      <c r="J935" s="147"/>
      <c r="K935" s="116"/>
      <c r="L935" s="116"/>
      <c r="M935" s="116"/>
      <c r="N935" s="116"/>
      <c r="O935" s="116"/>
      <c r="P935" s="116"/>
      <c r="Q935" s="116"/>
      <c r="R935" s="116"/>
      <c r="S935" s="116"/>
      <c r="T935" s="116"/>
      <c r="U935" s="116"/>
      <c r="V935" s="116"/>
      <c r="W935" s="116"/>
      <c r="X935" s="278"/>
      <c r="Y935" s="142"/>
      <c r="Z935" s="142"/>
      <c r="AA935" s="142"/>
      <c r="AB935" s="142"/>
      <c r="AC935" s="142"/>
      <c r="AD935" s="142"/>
      <c r="AE935" s="142"/>
      <c r="AF935" s="130"/>
      <c r="AG935" s="142"/>
      <c r="AH935" s="142"/>
      <c r="AI935" s="142"/>
      <c r="AJ935" s="130"/>
      <c r="AK935" s="130"/>
      <c r="AL935" s="130"/>
      <c r="AM935" s="130"/>
    </row>
    <row r="936" ht="15.75" customHeight="1">
      <c r="A936" s="278"/>
      <c r="B936" s="278"/>
      <c r="C936" s="278"/>
      <c r="D936" s="278"/>
      <c r="E936" s="132"/>
      <c r="F936" s="116"/>
      <c r="G936" s="116"/>
      <c r="H936" s="116"/>
      <c r="I936" s="373"/>
      <c r="J936" s="147"/>
      <c r="K936" s="116"/>
      <c r="L936" s="116"/>
      <c r="M936" s="116"/>
      <c r="N936" s="116"/>
      <c r="O936" s="116"/>
      <c r="P936" s="116"/>
      <c r="Q936" s="116"/>
      <c r="R936" s="116"/>
      <c r="S936" s="116"/>
      <c r="T936" s="116"/>
      <c r="U936" s="116"/>
      <c r="V936" s="116"/>
      <c r="W936" s="116"/>
      <c r="X936" s="278"/>
      <c r="Y936" s="142"/>
      <c r="Z936" s="142"/>
      <c r="AA936" s="142"/>
      <c r="AB936" s="142"/>
      <c r="AC936" s="142"/>
      <c r="AD936" s="142"/>
      <c r="AE936" s="142"/>
      <c r="AF936" s="130"/>
      <c r="AG936" s="142"/>
      <c r="AH936" s="142"/>
      <c r="AI936" s="142"/>
      <c r="AJ936" s="130"/>
      <c r="AK936" s="130"/>
      <c r="AL936" s="130"/>
      <c r="AM936" s="130"/>
    </row>
    <row r="937" ht="15.75" customHeight="1">
      <c r="A937" s="278"/>
      <c r="B937" s="278"/>
      <c r="C937" s="278"/>
      <c r="D937" s="278"/>
      <c r="E937" s="132"/>
      <c r="F937" s="116"/>
      <c r="G937" s="116"/>
      <c r="H937" s="116"/>
      <c r="I937" s="373"/>
      <c r="J937" s="147"/>
      <c r="K937" s="116"/>
      <c r="L937" s="116"/>
      <c r="M937" s="116"/>
      <c r="N937" s="116"/>
      <c r="O937" s="116"/>
      <c r="P937" s="116"/>
      <c r="Q937" s="116"/>
      <c r="R937" s="116"/>
      <c r="S937" s="116"/>
      <c r="T937" s="116"/>
      <c r="U937" s="116"/>
      <c r="V937" s="116"/>
      <c r="W937" s="116"/>
      <c r="X937" s="278"/>
      <c r="Y937" s="142"/>
      <c r="Z937" s="142"/>
      <c r="AA937" s="142"/>
      <c r="AB937" s="142"/>
      <c r="AC937" s="142"/>
      <c r="AD937" s="142"/>
      <c r="AE937" s="142"/>
      <c r="AF937" s="130"/>
      <c r="AG937" s="142"/>
      <c r="AH937" s="142"/>
      <c r="AI937" s="142"/>
      <c r="AJ937" s="130"/>
      <c r="AK937" s="130"/>
      <c r="AL937" s="130"/>
      <c r="AM937" s="130"/>
    </row>
    <row r="938" ht="15.75" customHeight="1">
      <c r="A938" s="278"/>
      <c r="B938" s="278"/>
      <c r="C938" s="278"/>
      <c r="D938" s="278"/>
      <c r="E938" s="132"/>
      <c r="F938" s="116"/>
      <c r="G938" s="116"/>
      <c r="H938" s="116"/>
      <c r="I938" s="373"/>
      <c r="J938" s="147"/>
      <c r="K938" s="116"/>
      <c r="L938" s="116"/>
      <c r="M938" s="116"/>
      <c r="N938" s="116"/>
      <c r="O938" s="116"/>
      <c r="P938" s="116"/>
      <c r="Q938" s="116"/>
      <c r="R938" s="116"/>
      <c r="S938" s="116"/>
      <c r="T938" s="116"/>
      <c r="U938" s="116"/>
      <c r="V938" s="116"/>
      <c r="W938" s="116"/>
      <c r="X938" s="278"/>
      <c r="Y938" s="142"/>
      <c r="Z938" s="142"/>
      <c r="AA938" s="142"/>
      <c r="AB938" s="142"/>
      <c r="AC938" s="142"/>
      <c r="AD938" s="142"/>
      <c r="AE938" s="142"/>
      <c r="AF938" s="130"/>
      <c r="AG938" s="142"/>
      <c r="AH938" s="142"/>
      <c r="AI938" s="142"/>
      <c r="AJ938" s="130"/>
      <c r="AK938" s="130"/>
      <c r="AL938" s="130"/>
      <c r="AM938" s="130"/>
    </row>
    <row r="939" ht="15.75" customHeight="1">
      <c r="A939" s="278"/>
      <c r="B939" s="278"/>
      <c r="C939" s="278"/>
      <c r="D939" s="278"/>
      <c r="E939" s="132"/>
      <c r="F939" s="116"/>
      <c r="G939" s="116"/>
      <c r="H939" s="116"/>
      <c r="I939" s="373"/>
      <c r="J939" s="147"/>
      <c r="K939" s="116"/>
      <c r="L939" s="116"/>
      <c r="M939" s="116"/>
      <c r="N939" s="116"/>
      <c r="O939" s="116"/>
      <c r="P939" s="116"/>
      <c r="Q939" s="116"/>
      <c r="R939" s="116"/>
      <c r="S939" s="116"/>
      <c r="T939" s="116"/>
      <c r="U939" s="116"/>
      <c r="V939" s="116"/>
      <c r="W939" s="116"/>
      <c r="X939" s="278"/>
      <c r="Y939" s="142"/>
      <c r="Z939" s="142"/>
      <c r="AA939" s="142"/>
      <c r="AB939" s="142"/>
      <c r="AC939" s="142"/>
      <c r="AD939" s="142"/>
      <c r="AE939" s="142"/>
      <c r="AF939" s="130"/>
      <c r="AG939" s="142"/>
      <c r="AH939" s="142"/>
      <c r="AI939" s="142"/>
      <c r="AJ939" s="130"/>
      <c r="AK939" s="130"/>
      <c r="AL939" s="130"/>
      <c r="AM939" s="130"/>
    </row>
    <row r="940" ht="15.75" customHeight="1">
      <c r="A940" s="278"/>
      <c r="B940" s="278"/>
      <c r="C940" s="278"/>
      <c r="D940" s="278"/>
      <c r="E940" s="132"/>
      <c r="F940" s="116"/>
      <c r="G940" s="116"/>
      <c r="H940" s="116"/>
      <c r="I940" s="373"/>
      <c r="J940" s="147"/>
      <c r="K940" s="116"/>
      <c r="L940" s="116"/>
      <c r="M940" s="116"/>
      <c r="N940" s="116"/>
      <c r="O940" s="116"/>
      <c r="P940" s="116"/>
      <c r="Q940" s="116"/>
      <c r="R940" s="116"/>
      <c r="S940" s="116"/>
      <c r="T940" s="116"/>
      <c r="U940" s="116"/>
      <c r="V940" s="116"/>
      <c r="W940" s="116"/>
      <c r="X940" s="278"/>
      <c r="Y940" s="142"/>
      <c r="Z940" s="142"/>
      <c r="AA940" s="142"/>
      <c r="AB940" s="142"/>
      <c r="AC940" s="142"/>
      <c r="AD940" s="142"/>
      <c r="AE940" s="142"/>
      <c r="AF940" s="130"/>
      <c r="AG940" s="142"/>
      <c r="AH940" s="142"/>
      <c r="AI940" s="142"/>
      <c r="AJ940" s="130"/>
      <c r="AK940" s="130"/>
      <c r="AL940" s="130"/>
      <c r="AM940" s="130"/>
    </row>
    <row r="941" ht="15.75" customHeight="1">
      <c r="A941" s="278"/>
      <c r="B941" s="278"/>
      <c r="C941" s="278"/>
      <c r="D941" s="278"/>
      <c r="E941" s="132"/>
      <c r="F941" s="116"/>
      <c r="G941" s="116"/>
      <c r="H941" s="116"/>
      <c r="I941" s="373"/>
      <c r="J941" s="147"/>
      <c r="K941" s="116"/>
      <c r="L941" s="116"/>
      <c r="M941" s="116"/>
      <c r="N941" s="116"/>
      <c r="O941" s="116"/>
      <c r="P941" s="116"/>
      <c r="Q941" s="116"/>
      <c r="R941" s="116"/>
      <c r="S941" s="116"/>
      <c r="T941" s="116"/>
      <c r="U941" s="116"/>
      <c r="V941" s="116"/>
      <c r="W941" s="116"/>
      <c r="X941" s="278"/>
      <c r="Y941" s="142"/>
      <c r="Z941" s="142"/>
      <c r="AA941" s="142"/>
      <c r="AB941" s="142"/>
      <c r="AC941" s="142"/>
      <c r="AD941" s="142"/>
      <c r="AE941" s="142"/>
      <c r="AF941" s="130"/>
      <c r="AG941" s="142"/>
      <c r="AH941" s="142"/>
      <c r="AI941" s="142"/>
      <c r="AJ941" s="130"/>
      <c r="AK941" s="130"/>
      <c r="AL941" s="130"/>
      <c r="AM941" s="130"/>
    </row>
    <row r="942" ht="15.75" customHeight="1">
      <c r="A942" s="278"/>
      <c r="B942" s="278"/>
      <c r="C942" s="278"/>
      <c r="D942" s="278"/>
      <c r="E942" s="132"/>
      <c r="F942" s="116"/>
      <c r="G942" s="116"/>
      <c r="H942" s="116"/>
      <c r="I942" s="373"/>
      <c r="J942" s="147"/>
      <c r="K942" s="116"/>
      <c r="L942" s="116"/>
      <c r="M942" s="116"/>
      <c r="N942" s="116"/>
      <c r="O942" s="116"/>
      <c r="P942" s="116"/>
      <c r="Q942" s="116"/>
      <c r="R942" s="116"/>
      <c r="S942" s="116"/>
      <c r="T942" s="116"/>
      <c r="U942" s="116"/>
      <c r="V942" s="116"/>
      <c r="W942" s="116"/>
      <c r="X942" s="278"/>
      <c r="Y942" s="142"/>
      <c r="Z942" s="142"/>
      <c r="AA942" s="142"/>
      <c r="AB942" s="142"/>
      <c r="AC942" s="142"/>
      <c r="AD942" s="142"/>
      <c r="AE942" s="142"/>
      <c r="AF942" s="130"/>
      <c r="AG942" s="142"/>
      <c r="AH942" s="142"/>
      <c r="AI942" s="142"/>
      <c r="AJ942" s="130"/>
      <c r="AK942" s="130"/>
      <c r="AL942" s="130"/>
      <c r="AM942" s="130"/>
    </row>
    <row r="943" ht="15.75" customHeight="1">
      <c r="A943" s="278"/>
      <c r="B943" s="278"/>
      <c r="C943" s="278"/>
      <c r="D943" s="278"/>
      <c r="E943" s="132"/>
      <c r="F943" s="116"/>
      <c r="G943" s="116"/>
      <c r="H943" s="116"/>
      <c r="I943" s="373"/>
      <c r="J943" s="147"/>
      <c r="K943" s="116"/>
      <c r="L943" s="116"/>
      <c r="M943" s="116"/>
      <c r="N943" s="116"/>
      <c r="O943" s="116"/>
      <c r="P943" s="116"/>
      <c r="Q943" s="116"/>
      <c r="R943" s="116"/>
      <c r="S943" s="116"/>
      <c r="T943" s="116"/>
      <c r="U943" s="116"/>
      <c r="V943" s="116"/>
      <c r="W943" s="116"/>
      <c r="X943" s="278"/>
      <c r="Y943" s="142"/>
      <c r="Z943" s="142"/>
      <c r="AA943" s="142"/>
      <c r="AB943" s="142"/>
      <c r="AC943" s="142"/>
      <c r="AD943" s="142"/>
      <c r="AE943" s="142"/>
      <c r="AF943" s="130"/>
      <c r="AG943" s="142"/>
      <c r="AH943" s="142"/>
      <c r="AI943" s="142"/>
      <c r="AJ943" s="130"/>
      <c r="AK943" s="130"/>
      <c r="AL943" s="130"/>
      <c r="AM943" s="130"/>
    </row>
    <row r="944" ht="15.75" customHeight="1">
      <c r="A944" s="278"/>
      <c r="B944" s="278"/>
      <c r="C944" s="278"/>
      <c r="D944" s="278"/>
      <c r="E944" s="132"/>
      <c r="F944" s="116"/>
      <c r="G944" s="116"/>
      <c r="H944" s="116"/>
      <c r="I944" s="373"/>
      <c r="J944" s="147"/>
      <c r="K944" s="116"/>
      <c r="L944" s="116"/>
      <c r="M944" s="116"/>
      <c r="N944" s="116"/>
      <c r="O944" s="116"/>
      <c r="P944" s="116"/>
      <c r="Q944" s="116"/>
      <c r="R944" s="116"/>
      <c r="S944" s="116"/>
      <c r="T944" s="116"/>
      <c r="U944" s="116"/>
      <c r="V944" s="116"/>
      <c r="W944" s="116"/>
      <c r="X944" s="278"/>
      <c r="Y944" s="142"/>
      <c r="Z944" s="142"/>
      <c r="AA944" s="142"/>
      <c r="AB944" s="142"/>
      <c r="AC944" s="142"/>
      <c r="AD944" s="142"/>
      <c r="AE944" s="142"/>
      <c r="AF944" s="130"/>
      <c r="AG944" s="142"/>
      <c r="AH944" s="142"/>
      <c r="AI944" s="142"/>
      <c r="AJ944" s="130"/>
      <c r="AK944" s="130"/>
      <c r="AL944" s="130"/>
      <c r="AM944" s="130"/>
    </row>
    <row r="945" ht="15.75" customHeight="1">
      <c r="A945" s="278"/>
      <c r="B945" s="278"/>
      <c r="C945" s="278"/>
      <c r="D945" s="278"/>
      <c r="E945" s="132"/>
      <c r="F945" s="116"/>
      <c r="G945" s="116"/>
      <c r="H945" s="116"/>
      <c r="I945" s="373"/>
      <c r="J945" s="147"/>
      <c r="K945" s="116"/>
      <c r="L945" s="116"/>
      <c r="M945" s="116"/>
      <c r="N945" s="116"/>
      <c r="O945" s="116"/>
      <c r="P945" s="116"/>
      <c r="Q945" s="116"/>
      <c r="R945" s="116"/>
      <c r="S945" s="116"/>
      <c r="T945" s="116"/>
      <c r="U945" s="116"/>
      <c r="V945" s="116"/>
      <c r="W945" s="116"/>
      <c r="X945" s="278"/>
      <c r="Y945" s="142"/>
      <c r="Z945" s="142"/>
      <c r="AA945" s="142"/>
      <c r="AB945" s="142"/>
      <c r="AC945" s="142"/>
      <c r="AD945" s="142"/>
      <c r="AE945" s="142"/>
      <c r="AF945" s="130"/>
      <c r="AG945" s="142"/>
      <c r="AH945" s="142"/>
      <c r="AI945" s="142"/>
      <c r="AJ945" s="130"/>
      <c r="AK945" s="130"/>
      <c r="AL945" s="130"/>
      <c r="AM945" s="130"/>
    </row>
    <row r="946" ht="15.75" customHeight="1">
      <c r="A946" s="278"/>
      <c r="B946" s="278"/>
      <c r="C946" s="278"/>
      <c r="D946" s="278"/>
      <c r="E946" s="132"/>
      <c r="F946" s="116"/>
      <c r="G946" s="116"/>
      <c r="H946" s="116"/>
      <c r="I946" s="373"/>
      <c r="J946" s="147"/>
      <c r="K946" s="116"/>
      <c r="L946" s="116"/>
      <c r="M946" s="116"/>
      <c r="N946" s="116"/>
      <c r="O946" s="116"/>
      <c r="P946" s="116"/>
      <c r="Q946" s="116"/>
      <c r="R946" s="116"/>
      <c r="S946" s="116"/>
      <c r="T946" s="116"/>
      <c r="U946" s="116"/>
      <c r="V946" s="116"/>
      <c r="W946" s="116"/>
      <c r="X946" s="278"/>
      <c r="Y946" s="142"/>
      <c r="Z946" s="142"/>
      <c r="AA946" s="142"/>
      <c r="AB946" s="142"/>
      <c r="AC946" s="142"/>
      <c r="AD946" s="142"/>
      <c r="AE946" s="142"/>
      <c r="AF946" s="130"/>
      <c r="AG946" s="142"/>
      <c r="AH946" s="142"/>
      <c r="AI946" s="142"/>
      <c r="AJ946" s="130"/>
      <c r="AK946" s="130"/>
      <c r="AL946" s="130"/>
      <c r="AM946" s="130"/>
    </row>
    <row r="947" ht="15.75" customHeight="1">
      <c r="A947" s="278"/>
      <c r="B947" s="278"/>
      <c r="C947" s="278"/>
      <c r="D947" s="278"/>
      <c r="E947" s="132"/>
      <c r="F947" s="116"/>
      <c r="G947" s="116"/>
      <c r="H947" s="116"/>
      <c r="I947" s="373"/>
      <c r="J947" s="147"/>
      <c r="K947" s="116"/>
      <c r="L947" s="116"/>
      <c r="M947" s="116"/>
      <c r="N947" s="116"/>
      <c r="O947" s="116"/>
      <c r="P947" s="116"/>
      <c r="Q947" s="116"/>
      <c r="R947" s="116"/>
      <c r="S947" s="116"/>
      <c r="T947" s="116"/>
      <c r="U947" s="116"/>
      <c r="V947" s="116"/>
      <c r="W947" s="116"/>
      <c r="X947" s="278"/>
      <c r="Y947" s="142"/>
      <c r="Z947" s="142"/>
      <c r="AA947" s="142"/>
      <c r="AB947" s="142"/>
      <c r="AC947" s="142"/>
      <c r="AD947" s="142"/>
      <c r="AE947" s="142"/>
      <c r="AF947" s="130"/>
      <c r="AG947" s="142"/>
      <c r="AH947" s="142"/>
      <c r="AI947" s="142"/>
      <c r="AJ947" s="130"/>
      <c r="AK947" s="130"/>
      <c r="AL947" s="130"/>
      <c r="AM947" s="130"/>
    </row>
    <row r="948" ht="15.75" customHeight="1">
      <c r="A948" s="278"/>
      <c r="B948" s="278"/>
      <c r="C948" s="278"/>
      <c r="D948" s="278"/>
      <c r="E948" s="132"/>
      <c r="F948" s="116"/>
      <c r="G948" s="116"/>
      <c r="H948" s="116"/>
      <c r="I948" s="373"/>
      <c r="J948" s="147"/>
      <c r="K948" s="116"/>
      <c r="L948" s="116"/>
      <c r="M948" s="116"/>
      <c r="N948" s="116"/>
      <c r="O948" s="116"/>
      <c r="P948" s="116"/>
      <c r="Q948" s="116"/>
      <c r="R948" s="116"/>
      <c r="S948" s="116"/>
      <c r="T948" s="116"/>
      <c r="U948" s="116"/>
      <c r="V948" s="116"/>
      <c r="W948" s="116"/>
      <c r="X948" s="278"/>
      <c r="Y948" s="142"/>
      <c r="Z948" s="142"/>
      <c r="AA948" s="142"/>
      <c r="AB948" s="142"/>
      <c r="AC948" s="142"/>
      <c r="AD948" s="142"/>
      <c r="AE948" s="142"/>
      <c r="AF948" s="130"/>
      <c r="AG948" s="142"/>
      <c r="AH948" s="142"/>
      <c r="AI948" s="142"/>
      <c r="AJ948" s="130"/>
      <c r="AK948" s="130"/>
      <c r="AL948" s="130"/>
      <c r="AM948" s="130"/>
    </row>
    <row r="949" ht="15.75" customHeight="1">
      <c r="A949" s="278"/>
      <c r="B949" s="278"/>
      <c r="C949" s="278"/>
      <c r="D949" s="278"/>
      <c r="E949" s="132"/>
      <c r="F949" s="116"/>
      <c r="G949" s="116"/>
      <c r="H949" s="116"/>
      <c r="I949" s="373"/>
      <c r="J949" s="147"/>
      <c r="K949" s="116"/>
      <c r="L949" s="116"/>
      <c r="M949" s="116"/>
      <c r="N949" s="116"/>
      <c r="O949" s="116"/>
      <c r="P949" s="116"/>
      <c r="Q949" s="116"/>
      <c r="R949" s="116"/>
      <c r="S949" s="116"/>
      <c r="T949" s="116"/>
      <c r="U949" s="116"/>
      <c r="V949" s="116"/>
      <c r="W949" s="116"/>
      <c r="X949" s="278"/>
      <c r="Y949" s="142"/>
      <c r="Z949" s="142"/>
      <c r="AA949" s="142"/>
      <c r="AB949" s="142"/>
      <c r="AC949" s="142"/>
      <c r="AD949" s="142"/>
      <c r="AE949" s="142"/>
      <c r="AF949" s="130"/>
      <c r="AG949" s="142"/>
      <c r="AH949" s="142"/>
      <c r="AI949" s="142"/>
      <c r="AJ949" s="130"/>
      <c r="AK949" s="130"/>
      <c r="AL949" s="130"/>
      <c r="AM949" s="130"/>
    </row>
    <row r="950" ht="15.75" customHeight="1">
      <c r="A950" s="278"/>
      <c r="B950" s="278"/>
      <c r="C950" s="278"/>
      <c r="D950" s="278"/>
      <c r="E950" s="132"/>
      <c r="F950" s="116"/>
      <c r="G950" s="116"/>
      <c r="H950" s="116"/>
      <c r="I950" s="373"/>
      <c r="J950" s="147"/>
      <c r="K950" s="116"/>
      <c r="L950" s="116"/>
      <c r="M950" s="116"/>
      <c r="N950" s="116"/>
      <c r="O950" s="116"/>
      <c r="P950" s="116"/>
      <c r="Q950" s="116"/>
      <c r="R950" s="116"/>
      <c r="S950" s="116"/>
      <c r="T950" s="116"/>
      <c r="U950" s="116"/>
      <c r="V950" s="116"/>
      <c r="W950" s="116"/>
      <c r="X950" s="278"/>
      <c r="Y950" s="142"/>
      <c r="Z950" s="142"/>
      <c r="AA950" s="142"/>
      <c r="AB950" s="142"/>
      <c r="AC950" s="142"/>
      <c r="AD950" s="142"/>
      <c r="AE950" s="142"/>
      <c r="AF950" s="130"/>
      <c r="AG950" s="142"/>
      <c r="AH950" s="142"/>
      <c r="AI950" s="142"/>
      <c r="AJ950" s="130"/>
      <c r="AK950" s="130"/>
      <c r="AL950" s="130"/>
      <c r="AM950" s="130"/>
    </row>
    <row r="951" ht="15.75" customHeight="1">
      <c r="A951" s="278"/>
      <c r="B951" s="278"/>
      <c r="C951" s="278"/>
      <c r="D951" s="278"/>
      <c r="E951" s="132"/>
      <c r="F951" s="116"/>
      <c r="G951" s="116"/>
      <c r="H951" s="116"/>
      <c r="I951" s="373"/>
      <c r="J951" s="147"/>
      <c r="K951" s="116"/>
      <c r="L951" s="116"/>
      <c r="M951" s="116"/>
      <c r="N951" s="116"/>
      <c r="O951" s="116"/>
      <c r="P951" s="116"/>
      <c r="Q951" s="116"/>
      <c r="R951" s="116"/>
      <c r="S951" s="116"/>
      <c r="T951" s="116"/>
      <c r="U951" s="116"/>
      <c r="V951" s="116"/>
      <c r="W951" s="116"/>
      <c r="X951" s="278"/>
      <c r="Y951" s="142"/>
      <c r="Z951" s="142"/>
      <c r="AA951" s="142"/>
      <c r="AB951" s="142"/>
      <c r="AC951" s="142"/>
      <c r="AD951" s="142"/>
      <c r="AE951" s="142"/>
      <c r="AF951" s="130"/>
      <c r="AG951" s="142"/>
      <c r="AH951" s="142"/>
      <c r="AI951" s="142"/>
      <c r="AJ951" s="130"/>
      <c r="AK951" s="130"/>
      <c r="AL951" s="130"/>
      <c r="AM951" s="130"/>
    </row>
    <row r="952" ht="15.75" customHeight="1">
      <c r="A952" s="278"/>
      <c r="B952" s="278"/>
      <c r="C952" s="278"/>
      <c r="D952" s="278"/>
      <c r="E952" s="132"/>
      <c r="F952" s="116"/>
      <c r="G952" s="116"/>
      <c r="H952" s="116"/>
      <c r="I952" s="373"/>
      <c r="J952" s="147"/>
      <c r="K952" s="116"/>
      <c r="L952" s="116"/>
      <c r="M952" s="116"/>
      <c r="N952" s="116"/>
      <c r="O952" s="116"/>
      <c r="P952" s="116"/>
      <c r="Q952" s="116"/>
      <c r="R952" s="116"/>
      <c r="S952" s="116"/>
      <c r="T952" s="116"/>
      <c r="U952" s="116"/>
      <c r="V952" s="116"/>
      <c r="W952" s="116"/>
      <c r="X952" s="278"/>
      <c r="Y952" s="142"/>
      <c r="Z952" s="142"/>
      <c r="AA952" s="142"/>
      <c r="AB952" s="142"/>
      <c r="AC952" s="142"/>
      <c r="AD952" s="142"/>
      <c r="AE952" s="142"/>
      <c r="AF952" s="130"/>
      <c r="AG952" s="142"/>
      <c r="AH952" s="142"/>
      <c r="AI952" s="142"/>
      <c r="AJ952" s="130"/>
      <c r="AK952" s="130"/>
      <c r="AL952" s="130"/>
      <c r="AM952" s="130"/>
    </row>
    <row r="953" ht="15.75" customHeight="1">
      <c r="A953" s="278"/>
      <c r="B953" s="278"/>
      <c r="C953" s="278"/>
      <c r="D953" s="278"/>
      <c r="E953" s="132"/>
      <c r="F953" s="116"/>
      <c r="G953" s="116"/>
      <c r="H953" s="116"/>
      <c r="I953" s="373"/>
      <c r="J953" s="147"/>
      <c r="K953" s="116"/>
      <c r="L953" s="116"/>
      <c r="M953" s="116"/>
      <c r="N953" s="116"/>
      <c r="O953" s="116"/>
      <c r="P953" s="116"/>
      <c r="Q953" s="116"/>
      <c r="R953" s="116"/>
      <c r="S953" s="116"/>
      <c r="T953" s="116"/>
      <c r="U953" s="116"/>
      <c r="V953" s="116"/>
      <c r="W953" s="116"/>
      <c r="X953" s="278"/>
      <c r="Y953" s="142"/>
      <c r="Z953" s="142"/>
      <c r="AA953" s="142"/>
      <c r="AB953" s="142"/>
      <c r="AC953" s="142"/>
      <c r="AD953" s="142"/>
      <c r="AE953" s="142"/>
      <c r="AF953" s="130"/>
      <c r="AG953" s="142"/>
      <c r="AH953" s="142"/>
      <c r="AI953" s="142"/>
      <c r="AJ953" s="130"/>
      <c r="AK953" s="130"/>
      <c r="AL953" s="130"/>
      <c r="AM953" s="130"/>
    </row>
    <row r="954" ht="15.75" customHeight="1">
      <c r="A954" s="278"/>
      <c r="B954" s="278"/>
      <c r="C954" s="278"/>
      <c r="D954" s="278"/>
      <c r="E954" s="132"/>
      <c r="F954" s="116"/>
      <c r="G954" s="116"/>
      <c r="H954" s="116"/>
      <c r="I954" s="373"/>
      <c r="J954" s="147"/>
      <c r="K954" s="116"/>
      <c r="L954" s="116"/>
      <c r="M954" s="116"/>
      <c r="N954" s="116"/>
      <c r="O954" s="116"/>
      <c r="P954" s="116"/>
      <c r="Q954" s="116"/>
      <c r="R954" s="116"/>
      <c r="S954" s="116"/>
      <c r="T954" s="116"/>
      <c r="U954" s="116"/>
      <c r="V954" s="116"/>
      <c r="W954" s="116"/>
      <c r="X954" s="278"/>
      <c r="Y954" s="142"/>
      <c r="Z954" s="142"/>
      <c r="AA954" s="142"/>
      <c r="AB954" s="142"/>
      <c r="AC954" s="142"/>
      <c r="AD954" s="142"/>
      <c r="AE954" s="142"/>
      <c r="AF954" s="130"/>
      <c r="AG954" s="142"/>
      <c r="AH954" s="142"/>
      <c r="AI954" s="142"/>
      <c r="AJ954" s="130"/>
      <c r="AK954" s="130"/>
      <c r="AL954" s="130"/>
      <c r="AM954" s="130"/>
    </row>
    <row r="955" ht="15.75" customHeight="1">
      <c r="A955" s="278"/>
      <c r="B955" s="278"/>
      <c r="C955" s="278"/>
      <c r="D955" s="278"/>
      <c r="E955" s="132"/>
      <c r="F955" s="116"/>
      <c r="G955" s="116"/>
      <c r="H955" s="116"/>
      <c r="I955" s="373"/>
      <c r="J955" s="147"/>
      <c r="K955" s="116"/>
      <c r="L955" s="116"/>
      <c r="M955" s="116"/>
      <c r="N955" s="116"/>
      <c r="O955" s="116"/>
      <c r="P955" s="116"/>
      <c r="Q955" s="116"/>
      <c r="R955" s="116"/>
      <c r="S955" s="116"/>
      <c r="T955" s="116"/>
      <c r="U955" s="116"/>
      <c r="V955" s="116"/>
      <c r="W955" s="116"/>
      <c r="X955" s="278"/>
      <c r="Y955" s="142"/>
      <c r="Z955" s="142"/>
      <c r="AA955" s="142"/>
      <c r="AB955" s="142"/>
      <c r="AC955" s="142"/>
      <c r="AD955" s="142"/>
      <c r="AE955" s="142"/>
      <c r="AF955" s="130"/>
      <c r="AG955" s="142"/>
      <c r="AH955" s="142"/>
      <c r="AI955" s="142"/>
      <c r="AJ955" s="130"/>
      <c r="AK955" s="130"/>
      <c r="AL955" s="130"/>
      <c r="AM955" s="130"/>
    </row>
    <row r="956" ht="15.75" customHeight="1">
      <c r="A956" s="278"/>
      <c r="B956" s="278"/>
      <c r="C956" s="278"/>
      <c r="D956" s="278"/>
      <c r="E956" s="132"/>
      <c r="F956" s="116"/>
      <c r="G956" s="116"/>
      <c r="H956" s="116"/>
      <c r="I956" s="373"/>
      <c r="J956" s="147"/>
      <c r="K956" s="116"/>
      <c r="L956" s="116"/>
      <c r="M956" s="116"/>
      <c r="N956" s="116"/>
      <c r="O956" s="116"/>
      <c r="P956" s="116"/>
      <c r="Q956" s="116"/>
      <c r="R956" s="116"/>
      <c r="S956" s="116"/>
      <c r="T956" s="116"/>
      <c r="U956" s="116"/>
      <c r="V956" s="116"/>
      <c r="W956" s="116"/>
      <c r="X956" s="278"/>
      <c r="Y956" s="142"/>
      <c r="Z956" s="142"/>
      <c r="AA956" s="142"/>
      <c r="AB956" s="142"/>
      <c r="AC956" s="142"/>
      <c r="AD956" s="142"/>
      <c r="AE956" s="142"/>
      <c r="AF956" s="130"/>
      <c r="AG956" s="142"/>
      <c r="AH956" s="142"/>
      <c r="AI956" s="142"/>
      <c r="AJ956" s="130"/>
      <c r="AK956" s="130"/>
      <c r="AL956" s="130"/>
      <c r="AM956" s="130"/>
    </row>
    <row r="957" ht="15.75" customHeight="1">
      <c r="A957" s="278"/>
      <c r="B957" s="278"/>
      <c r="C957" s="278"/>
      <c r="D957" s="278"/>
      <c r="E957" s="132"/>
      <c r="F957" s="116"/>
      <c r="G957" s="116"/>
      <c r="H957" s="116"/>
      <c r="I957" s="373"/>
      <c r="J957" s="147"/>
      <c r="K957" s="116"/>
      <c r="L957" s="116"/>
      <c r="M957" s="116"/>
      <c r="N957" s="116"/>
      <c r="O957" s="116"/>
      <c r="P957" s="116"/>
      <c r="Q957" s="116"/>
      <c r="R957" s="116"/>
      <c r="S957" s="116"/>
      <c r="T957" s="116"/>
      <c r="U957" s="116"/>
      <c r="V957" s="116"/>
      <c r="W957" s="116"/>
      <c r="X957" s="278"/>
      <c r="Y957" s="142"/>
      <c r="Z957" s="142"/>
      <c r="AA957" s="142"/>
      <c r="AB957" s="142"/>
      <c r="AC957" s="142"/>
      <c r="AD957" s="142"/>
      <c r="AE957" s="142"/>
      <c r="AF957" s="130"/>
      <c r="AG957" s="142"/>
      <c r="AH957" s="142"/>
      <c r="AI957" s="142"/>
      <c r="AJ957" s="130"/>
      <c r="AK957" s="130"/>
      <c r="AL957" s="130"/>
      <c r="AM957" s="130"/>
    </row>
    <row r="958" ht="15.75" customHeight="1">
      <c r="A958" s="278"/>
      <c r="B958" s="278"/>
      <c r="C958" s="278"/>
      <c r="D958" s="278"/>
      <c r="E958" s="132"/>
      <c r="F958" s="116"/>
      <c r="G958" s="116"/>
      <c r="H958" s="116"/>
      <c r="I958" s="373"/>
      <c r="J958" s="147"/>
      <c r="K958" s="116"/>
      <c r="L958" s="116"/>
      <c r="M958" s="116"/>
      <c r="N958" s="116"/>
      <c r="O958" s="116"/>
      <c r="P958" s="116"/>
      <c r="Q958" s="116"/>
      <c r="R958" s="116"/>
      <c r="S958" s="116"/>
      <c r="T958" s="116"/>
      <c r="U958" s="116"/>
      <c r="V958" s="116"/>
      <c r="W958" s="116"/>
      <c r="X958" s="278"/>
      <c r="Y958" s="142"/>
      <c r="Z958" s="142"/>
      <c r="AA958" s="142"/>
      <c r="AB958" s="142"/>
      <c r="AC958" s="142"/>
      <c r="AD958" s="142"/>
      <c r="AE958" s="142"/>
      <c r="AF958" s="130"/>
      <c r="AG958" s="142"/>
      <c r="AH958" s="142"/>
      <c r="AI958" s="142"/>
      <c r="AJ958" s="130"/>
      <c r="AK958" s="130"/>
      <c r="AL958" s="130"/>
      <c r="AM958" s="130"/>
    </row>
    <row r="959" ht="15.75" customHeight="1">
      <c r="A959" s="278"/>
      <c r="B959" s="278"/>
      <c r="C959" s="278"/>
      <c r="D959" s="278"/>
      <c r="E959" s="132"/>
      <c r="F959" s="116"/>
      <c r="G959" s="116"/>
      <c r="H959" s="116"/>
      <c r="I959" s="373"/>
      <c r="J959" s="147"/>
      <c r="K959" s="116"/>
      <c r="L959" s="116"/>
      <c r="M959" s="116"/>
      <c r="N959" s="116"/>
      <c r="O959" s="116"/>
      <c r="P959" s="116"/>
      <c r="Q959" s="116"/>
      <c r="R959" s="116"/>
      <c r="S959" s="116"/>
      <c r="T959" s="116"/>
      <c r="U959" s="116"/>
      <c r="V959" s="116"/>
      <c r="W959" s="116"/>
      <c r="X959" s="278"/>
      <c r="Y959" s="142"/>
      <c r="Z959" s="142"/>
      <c r="AA959" s="142"/>
      <c r="AB959" s="142"/>
      <c r="AC959" s="142"/>
      <c r="AD959" s="142"/>
      <c r="AE959" s="142"/>
      <c r="AF959" s="130"/>
      <c r="AG959" s="142"/>
      <c r="AH959" s="142"/>
      <c r="AI959" s="142"/>
      <c r="AJ959" s="130"/>
      <c r="AK959" s="130"/>
      <c r="AL959" s="130"/>
      <c r="AM959" s="130"/>
    </row>
    <row r="960" ht="15.75" customHeight="1">
      <c r="A960" s="278"/>
      <c r="B960" s="278"/>
      <c r="C960" s="278"/>
      <c r="D960" s="278"/>
      <c r="E960" s="132"/>
      <c r="F960" s="116"/>
      <c r="G960" s="116"/>
      <c r="H960" s="116"/>
      <c r="I960" s="373"/>
      <c r="J960" s="147"/>
      <c r="K960" s="116"/>
      <c r="L960" s="116"/>
      <c r="M960" s="116"/>
      <c r="N960" s="116"/>
      <c r="O960" s="116"/>
      <c r="P960" s="116"/>
      <c r="Q960" s="116"/>
      <c r="R960" s="116"/>
      <c r="S960" s="116"/>
      <c r="T960" s="116"/>
      <c r="U960" s="116"/>
      <c r="V960" s="116"/>
      <c r="W960" s="116"/>
      <c r="X960" s="278"/>
      <c r="Y960" s="142"/>
      <c r="Z960" s="142"/>
      <c r="AA960" s="142"/>
      <c r="AB960" s="142"/>
      <c r="AC960" s="142"/>
      <c r="AD960" s="142"/>
      <c r="AE960" s="142"/>
      <c r="AF960" s="130"/>
      <c r="AG960" s="142"/>
      <c r="AH960" s="142"/>
      <c r="AI960" s="142"/>
      <c r="AJ960" s="130"/>
      <c r="AK960" s="130"/>
      <c r="AL960" s="130"/>
      <c r="AM960" s="130"/>
    </row>
    <row r="961" ht="15.75" customHeight="1">
      <c r="A961" s="278"/>
      <c r="B961" s="278"/>
      <c r="C961" s="278"/>
      <c r="D961" s="278"/>
      <c r="E961" s="132"/>
      <c r="F961" s="116"/>
      <c r="G961" s="116"/>
      <c r="H961" s="116"/>
      <c r="I961" s="373"/>
      <c r="J961" s="147"/>
      <c r="K961" s="116"/>
      <c r="L961" s="116"/>
      <c r="M961" s="116"/>
      <c r="N961" s="116"/>
      <c r="O961" s="116"/>
      <c r="P961" s="116"/>
      <c r="Q961" s="116"/>
      <c r="R961" s="116"/>
      <c r="S961" s="116"/>
      <c r="T961" s="116"/>
      <c r="U961" s="116"/>
      <c r="V961" s="116"/>
      <c r="W961" s="116"/>
      <c r="X961" s="278"/>
      <c r="Y961" s="142"/>
      <c r="Z961" s="142"/>
      <c r="AA961" s="142"/>
      <c r="AB961" s="142"/>
      <c r="AC961" s="142"/>
      <c r="AD961" s="142"/>
      <c r="AE961" s="142"/>
      <c r="AF961" s="130"/>
      <c r="AG961" s="142"/>
      <c r="AH961" s="142"/>
      <c r="AI961" s="142"/>
      <c r="AJ961" s="130"/>
      <c r="AK961" s="130"/>
      <c r="AL961" s="130"/>
      <c r="AM961" s="130"/>
    </row>
    <row r="962" ht="15.75" customHeight="1">
      <c r="A962" s="278"/>
      <c r="B962" s="278"/>
      <c r="C962" s="278"/>
      <c r="D962" s="278"/>
      <c r="E962" s="132"/>
      <c r="F962" s="116"/>
      <c r="G962" s="116"/>
      <c r="H962" s="116"/>
      <c r="I962" s="373"/>
      <c r="J962" s="147"/>
      <c r="K962" s="116"/>
      <c r="L962" s="116"/>
      <c r="M962" s="116"/>
      <c r="N962" s="116"/>
      <c r="O962" s="116"/>
      <c r="P962" s="116"/>
      <c r="Q962" s="116"/>
      <c r="R962" s="116"/>
      <c r="S962" s="116"/>
      <c r="T962" s="116"/>
      <c r="U962" s="116"/>
      <c r="V962" s="116"/>
      <c r="W962" s="116"/>
      <c r="X962" s="278"/>
      <c r="Y962" s="142"/>
      <c r="Z962" s="142"/>
      <c r="AA962" s="142"/>
      <c r="AB962" s="142"/>
      <c r="AC962" s="142"/>
      <c r="AD962" s="142"/>
      <c r="AE962" s="142"/>
      <c r="AF962" s="130"/>
      <c r="AG962" s="142"/>
      <c r="AH962" s="142"/>
      <c r="AI962" s="142"/>
      <c r="AJ962" s="130"/>
      <c r="AK962" s="130"/>
      <c r="AL962" s="130"/>
      <c r="AM962" s="130"/>
    </row>
    <row r="963" ht="15.75" customHeight="1">
      <c r="A963" s="278"/>
      <c r="B963" s="278"/>
      <c r="C963" s="278"/>
      <c r="D963" s="278"/>
      <c r="E963" s="132"/>
      <c r="F963" s="116"/>
      <c r="G963" s="116"/>
      <c r="H963" s="116"/>
      <c r="I963" s="373"/>
      <c r="J963" s="147"/>
      <c r="K963" s="116"/>
      <c r="L963" s="116"/>
      <c r="M963" s="116"/>
      <c r="N963" s="116"/>
      <c r="O963" s="116"/>
      <c r="P963" s="116"/>
      <c r="Q963" s="116"/>
      <c r="R963" s="116"/>
      <c r="S963" s="116"/>
      <c r="T963" s="116"/>
      <c r="U963" s="116"/>
      <c r="V963" s="116"/>
      <c r="W963" s="116"/>
      <c r="X963" s="278"/>
      <c r="Y963" s="142"/>
      <c r="Z963" s="142"/>
      <c r="AA963" s="142"/>
      <c r="AB963" s="142"/>
      <c r="AC963" s="142"/>
      <c r="AD963" s="142"/>
      <c r="AE963" s="142"/>
      <c r="AF963" s="130"/>
      <c r="AG963" s="142"/>
      <c r="AH963" s="142"/>
      <c r="AI963" s="142"/>
      <c r="AJ963" s="130"/>
      <c r="AK963" s="130"/>
      <c r="AL963" s="130"/>
      <c r="AM963" s="130"/>
    </row>
    <row r="964" ht="15.75" customHeight="1">
      <c r="A964" s="278"/>
      <c r="B964" s="278"/>
      <c r="C964" s="278"/>
      <c r="D964" s="278"/>
      <c r="E964" s="132"/>
      <c r="F964" s="116"/>
      <c r="G964" s="116"/>
      <c r="H964" s="116"/>
      <c r="I964" s="373"/>
      <c r="J964" s="147"/>
      <c r="K964" s="116"/>
      <c r="L964" s="116"/>
      <c r="M964" s="116"/>
      <c r="N964" s="116"/>
      <c r="O964" s="116"/>
      <c r="P964" s="116"/>
      <c r="Q964" s="116"/>
      <c r="R964" s="116"/>
      <c r="S964" s="116"/>
      <c r="T964" s="116"/>
      <c r="U964" s="116"/>
      <c r="V964" s="116"/>
      <c r="W964" s="116"/>
      <c r="X964" s="278"/>
      <c r="Y964" s="142"/>
      <c r="Z964" s="142"/>
      <c r="AA964" s="142"/>
      <c r="AB964" s="142"/>
      <c r="AC964" s="142"/>
      <c r="AD964" s="142"/>
      <c r="AE964" s="142"/>
      <c r="AF964" s="130"/>
      <c r="AG964" s="142"/>
      <c r="AH964" s="142"/>
      <c r="AI964" s="142"/>
      <c r="AJ964" s="130"/>
      <c r="AK964" s="130"/>
      <c r="AL964" s="130"/>
      <c r="AM964" s="130"/>
    </row>
    <row r="965" ht="15.75" customHeight="1">
      <c r="A965" s="278"/>
      <c r="B965" s="278"/>
      <c r="C965" s="278"/>
      <c r="D965" s="278"/>
      <c r="E965" s="132"/>
      <c r="F965" s="116"/>
      <c r="G965" s="116"/>
      <c r="H965" s="116"/>
      <c r="I965" s="373"/>
      <c r="J965" s="147"/>
      <c r="K965" s="116"/>
      <c r="L965" s="116"/>
      <c r="M965" s="116"/>
      <c r="N965" s="116"/>
      <c r="O965" s="116"/>
      <c r="P965" s="116"/>
      <c r="Q965" s="116"/>
      <c r="R965" s="116"/>
      <c r="S965" s="116"/>
      <c r="T965" s="116"/>
      <c r="U965" s="116"/>
      <c r="V965" s="116"/>
      <c r="W965" s="116"/>
      <c r="X965" s="278"/>
      <c r="Y965" s="142"/>
      <c r="Z965" s="142"/>
      <c r="AA965" s="142"/>
      <c r="AB965" s="142"/>
      <c r="AC965" s="142"/>
      <c r="AD965" s="142"/>
      <c r="AE965" s="142"/>
      <c r="AF965" s="130"/>
      <c r="AG965" s="142"/>
      <c r="AH965" s="142"/>
      <c r="AI965" s="142"/>
      <c r="AJ965" s="130"/>
      <c r="AK965" s="130"/>
      <c r="AL965" s="130"/>
      <c r="AM965" s="130"/>
    </row>
    <row r="966" ht="15.75" customHeight="1">
      <c r="A966" s="278"/>
      <c r="B966" s="278"/>
      <c r="C966" s="278"/>
      <c r="D966" s="278"/>
      <c r="E966" s="132"/>
      <c r="F966" s="116"/>
      <c r="G966" s="116"/>
      <c r="H966" s="116"/>
      <c r="I966" s="373"/>
      <c r="J966" s="147"/>
      <c r="K966" s="116"/>
      <c r="L966" s="116"/>
      <c r="M966" s="116"/>
      <c r="N966" s="116"/>
      <c r="O966" s="116"/>
      <c r="P966" s="116"/>
      <c r="Q966" s="116"/>
      <c r="R966" s="116"/>
      <c r="S966" s="116"/>
      <c r="T966" s="116"/>
      <c r="U966" s="116"/>
      <c r="V966" s="116"/>
      <c r="W966" s="116"/>
      <c r="X966" s="278"/>
      <c r="Y966" s="142"/>
      <c r="Z966" s="142"/>
      <c r="AA966" s="142"/>
      <c r="AB966" s="142"/>
      <c r="AC966" s="142"/>
      <c r="AD966" s="142"/>
      <c r="AE966" s="142"/>
      <c r="AF966" s="130"/>
      <c r="AG966" s="142"/>
      <c r="AH966" s="142"/>
      <c r="AI966" s="142"/>
      <c r="AJ966" s="130"/>
      <c r="AK966" s="130"/>
      <c r="AL966" s="130"/>
      <c r="AM966" s="130"/>
    </row>
    <row r="967" ht="15.75" customHeight="1">
      <c r="A967" s="278"/>
      <c r="B967" s="278"/>
      <c r="C967" s="278"/>
      <c r="D967" s="278"/>
      <c r="E967" s="132"/>
      <c r="F967" s="116"/>
      <c r="G967" s="116"/>
      <c r="H967" s="116"/>
      <c r="I967" s="373"/>
      <c r="J967" s="147"/>
      <c r="K967" s="116"/>
      <c r="L967" s="116"/>
      <c r="M967" s="116"/>
      <c r="N967" s="116"/>
      <c r="O967" s="116"/>
      <c r="P967" s="116"/>
      <c r="Q967" s="116"/>
      <c r="R967" s="116"/>
      <c r="S967" s="116"/>
      <c r="T967" s="116"/>
      <c r="U967" s="116"/>
      <c r="V967" s="116"/>
      <c r="W967" s="116"/>
      <c r="X967" s="278"/>
      <c r="Y967" s="142"/>
      <c r="Z967" s="142"/>
      <c r="AA967" s="142"/>
      <c r="AB967" s="142"/>
      <c r="AC967" s="142"/>
      <c r="AD967" s="142"/>
      <c r="AE967" s="142"/>
      <c r="AF967" s="130"/>
      <c r="AG967" s="142"/>
      <c r="AH967" s="142"/>
      <c r="AI967" s="142"/>
      <c r="AJ967" s="130"/>
      <c r="AK967" s="130"/>
      <c r="AL967" s="130"/>
      <c r="AM967" s="130"/>
    </row>
    <row r="968" ht="15.75" customHeight="1">
      <c r="A968" s="278"/>
      <c r="B968" s="278"/>
      <c r="C968" s="278"/>
      <c r="D968" s="278"/>
      <c r="E968" s="132"/>
      <c r="F968" s="116"/>
      <c r="G968" s="116"/>
      <c r="H968" s="116"/>
      <c r="I968" s="373"/>
      <c r="J968" s="147"/>
      <c r="K968" s="116"/>
      <c r="L968" s="116"/>
      <c r="M968" s="116"/>
      <c r="N968" s="116"/>
      <c r="O968" s="116"/>
      <c r="P968" s="116"/>
      <c r="Q968" s="116"/>
      <c r="R968" s="116"/>
      <c r="S968" s="116"/>
      <c r="T968" s="116"/>
      <c r="U968" s="116"/>
      <c r="V968" s="116"/>
      <c r="W968" s="116"/>
      <c r="X968" s="278"/>
      <c r="Y968" s="142"/>
      <c r="Z968" s="142"/>
      <c r="AA968" s="142"/>
      <c r="AB968" s="142"/>
      <c r="AC968" s="142"/>
      <c r="AD968" s="142"/>
      <c r="AE968" s="142"/>
      <c r="AF968" s="130"/>
      <c r="AG968" s="142"/>
      <c r="AH968" s="142"/>
      <c r="AI968" s="142"/>
      <c r="AJ968" s="130"/>
      <c r="AK968" s="130"/>
      <c r="AL968" s="130"/>
      <c r="AM968" s="130"/>
    </row>
    <row r="969" ht="15.75" customHeight="1">
      <c r="A969" s="278"/>
      <c r="B969" s="278"/>
      <c r="C969" s="278"/>
      <c r="D969" s="278"/>
      <c r="E969" s="132"/>
      <c r="F969" s="116"/>
      <c r="G969" s="116"/>
      <c r="H969" s="116"/>
      <c r="I969" s="373"/>
      <c r="J969" s="147"/>
      <c r="K969" s="116"/>
      <c r="L969" s="116"/>
      <c r="M969" s="116"/>
      <c r="N969" s="116"/>
      <c r="O969" s="116"/>
      <c r="P969" s="116"/>
      <c r="Q969" s="116"/>
      <c r="R969" s="116"/>
      <c r="S969" s="116"/>
      <c r="T969" s="116"/>
      <c r="U969" s="116"/>
      <c r="V969" s="116"/>
      <c r="W969" s="116"/>
      <c r="X969" s="278"/>
      <c r="Y969" s="142"/>
      <c r="Z969" s="142"/>
      <c r="AA969" s="142"/>
      <c r="AB969" s="142"/>
      <c r="AC969" s="142"/>
      <c r="AD969" s="142"/>
      <c r="AE969" s="142"/>
      <c r="AF969" s="130"/>
      <c r="AG969" s="142"/>
      <c r="AH969" s="142"/>
      <c r="AI969" s="142"/>
      <c r="AJ969" s="130"/>
      <c r="AK969" s="130"/>
      <c r="AL969" s="130"/>
      <c r="AM969" s="130"/>
    </row>
    <row r="970" ht="15.75" customHeight="1">
      <c r="A970" s="278"/>
      <c r="B970" s="278"/>
      <c r="C970" s="278"/>
      <c r="D970" s="278"/>
      <c r="E970" s="132"/>
      <c r="F970" s="116"/>
      <c r="G970" s="116"/>
      <c r="H970" s="116"/>
      <c r="I970" s="373"/>
      <c r="J970" s="147"/>
      <c r="K970" s="116"/>
      <c r="L970" s="116"/>
      <c r="M970" s="116"/>
      <c r="N970" s="116"/>
      <c r="O970" s="116"/>
      <c r="P970" s="116"/>
      <c r="Q970" s="116"/>
      <c r="R970" s="116"/>
      <c r="S970" s="116"/>
      <c r="T970" s="116"/>
      <c r="U970" s="116"/>
      <c r="V970" s="116"/>
      <c r="W970" s="116"/>
      <c r="X970" s="278"/>
      <c r="Y970" s="142"/>
      <c r="Z970" s="142"/>
      <c r="AA970" s="142"/>
      <c r="AB970" s="142"/>
      <c r="AC970" s="142"/>
      <c r="AD970" s="142"/>
      <c r="AE970" s="142"/>
      <c r="AF970" s="130"/>
      <c r="AG970" s="142"/>
      <c r="AH970" s="142"/>
      <c r="AI970" s="142"/>
      <c r="AJ970" s="130"/>
      <c r="AK970" s="130"/>
      <c r="AL970" s="130"/>
      <c r="AM970" s="130"/>
    </row>
    <row r="971" ht="15.75" customHeight="1">
      <c r="A971" s="278"/>
      <c r="B971" s="278"/>
      <c r="C971" s="278"/>
      <c r="D971" s="278"/>
      <c r="E971" s="132"/>
      <c r="F971" s="116"/>
      <c r="G971" s="116"/>
      <c r="H971" s="116"/>
      <c r="I971" s="373"/>
      <c r="J971" s="147"/>
      <c r="K971" s="116"/>
      <c r="L971" s="116"/>
      <c r="M971" s="116"/>
      <c r="N971" s="116"/>
      <c r="O971" s="116"/>
      <c r="P971" s="116"/>
      <c r="Q971" s="116"/>
      <c r="R971" s="116"/>
      <c r="S971" s="116"/>
      <c r="T971" s="116"/>
      <c r="U971" s="116"/>
      <c r="V971" s="116"/>
      <c r="W971" s="116"/>
      <c r="X971" s="278"/>
      <c r="Y971" s="142"/>
      <c r="Z971" s="142"/>
      <c r="AA971" s="142"/>
      <c r="AB971" s="142"/>
      <c r="AC971" s="142"/>
      <c r="AD971" s="142"/>
      <c r="AE971" s="142"/>
      <c r="AF971" s="130"/>
      <c r="AG971" s="142"/>
      <c r="AH971" s="142"/>
      <c r="AI971" s="142"/>
      <c r="AJ971" s="130"/>
      <c r="AK971" s="130"/>
      <c r="AL971" s="130"/>
      <c r="AM971" s="130"/>
    </row>
    <row r="972" ht="15.75" customHeight="1">
      <c r="A972" s="278"/>
      <c r="B972" s="278"/>
      <c r="C972" s="278"/>
      <c r="D972" s="278"/>
      <c r="E972" s="132"/>
      <c r="F972" s="116"/>
      <c r="G972" s="116"/>
      <c r="H972" s="116"/>
      <c r="I972" s="373"/>
      <c r="J972" s="147"/>
      <c r="K972" s="116"/>
      <c r="L972" s="116"/>
      <c r="M972" s="116"/>
      <c r="N972" s="116"/>
      <c r="O972" s="116"/>
      <c r="P972" s="116"/>
      <c r="Q972" s="116"/>
      <c r="R972" s="116"/>
      <c r="S972" s="116"/>
      <c r="T972" s="116"/>
      <c r="U972" s="116"/>
      <c r="V972" s="116"/>
      <c r="W972" s="116"/>
      <c r="X972" s="278"/>
      <c r="Y972" s="142"/>
      <c r="Z972" s="142"/>
      <c r="AA972" s="142"/>
      <c r="AB972" s="142"/>
      <c r="AC972" s="142"/>
      <c r="AD972" s="142"/>
      <c r="AE972" s="142"/>
      <c r="AF972" s="130"/>
      <c r="AG972" s="142"/>
      <c r="AH972" s="142"/>
      <c r="AI972" s="142"/>
      <c r="AJ972" s="130"/>
      <c r="AK972" s="130"/>
      <c r="AL972" s="130"/>
      <c r="AM972" s="130"/>
    </row>
    <row r="973" ht="15.75" customHeight="1">
      <c r="A973" s="278"/>
      <c r="B973" s="278"/>
      <c r="C973" s="278"/>
      <c r="D973" s="278"/>
      <c r="E973" s="132"/>
      <c r="F973" s="116"/>
      <c r="G973" s="116"/>
      <c r="H973" s="116"/>
      <c r="I973" s="373"/>
      <c r="J973" s="147"/>
      <c r="K973" s="116"/>
      <c r="L973" s="116"/>
      <c r="M973" s="116"/>
      <c r="N973" s="116"/>
      <c r="O973" s="116"/>
      <c r="P973" s="116"/>
      <c r="Q973" s="116"/>
      <c r="R973" s="116"/>
      <c r="S973" s="116"/>
      <c r="T973" s="116"/>
      <c r="U973" s="116"/>
      <c r="V973" s="116"/>
      <c r="W973" s="116"/>
      <c r="X973" s="278"/>
      <c r="Y973" s="142"/>
      <c r="Z973" s="142"/>
      <c r="AA973" s="142"/>
      <c r="AB973" s="142"/>
      <c r="AC973" s="142"/>
      <c r="AD973" s="142"/>
      <c r="AE973" s="142"/>
      <c r="AF973" s="130"/>
      <c r="AG973" s="142"/>
      <c r="AH973" s="142"/>
      <c r="AI973" s="142"/>
      <c r="AJ973" s="130"/>
      <c r="AK973" s="130"/>
      <c r="AL973" s="130"/>
      <c r="AM973" s="130"/>
    </row>
    <row r="974" ht="15.75" customHeight="1">
      <c r="A974" s="278"/>
      <c r="B974" s="278"/>
      <c r="C974" s="278"/>
      <c r="D974" s="278"/>
      <c r="E974" s="132"/>
      <c r="F974" s="116"/>
      <c r="G974" s="116"/>
      <c r="H974" s="116"/>
      <c r="I974" s="373"/>
      <c r="J974" s="147"/>
      <c r="K974" s="116"/>
      <c r="L974" s="116"/>
      <c r="M974" s="116"/>
      <c r="N974" s="116"/>
      <c r="O974" s="116"/>
      <c r="P974" s="116"/>
      <c r="Q974" s="116"/>
      <c r="R974" s="116"/>
      <c r="S974" s="116"/>
      <c r="T974" s="116"/>
      <c r="U974" s="116"/>
      <c r="V974" s="116"/>
      <c r="W974" s="116"/>
      <c r="X974" s="278"/>
      <c r="Y974" s="142"/>
      <c r="Z974" s="142"/>
      <c r="AA974" s="142"/>
      <c r="AB974" s="142"/>
      <c r="AC974" s="142"/>
      <c r="AD974" s="142"/>
      <c r="AE974" s="142"/>
      <c r="AF974" s="130"/>
      <c r="AG974" s="142"/>
      <c r="AH974" s="142"/>
      <c r="AI974" s="142"/>
      <c r="AJ974" s="130"/>
      <c r="AK974" s="130"/>
      <c r="AL974" s="130"/>
      <c r="AM974" s="130"/>
    </row>
    <row r="975" ht="15.75" customHeight="1">
      <c r="A975" s="278"/>
      <c r="B975" s="278"/>
      <c r="C975" s="278"/>
      <c r="D975" s="278"/>
      <c r="E975" s="132"/>
      <c r="F975" s="116"/>
      <c r="G975" s="116"/>
      <c r="H975" s="116"/>
      <c r="I975" s="373"/>
      <c r="J975" s="147"/>
      <c r="K975" s="116"/>
      <c r="L975" s="116"/>
      <c r="M975" s="116"/>
      <c r="N975" s="116"/>
      <c r="O975" s="116"/>
      <c r="P975" s="116"/>
      <c r="Q975" s="116"/>
      <c r="R975" s="116"/>
      <c r="S975" s="116"/>
      <c r="T975" s="116"/>
      <c r="U975" s="116"/>
      <c r="V975" s="116"/>
      <c r="W975" s="116"/>
      <c r="X975" s="278"/>
      <c r="Y975" s="142"/>
      <c r="Z975" s="142"/>
      <c r="AA975" s="142"/>
      <c r="AB975" s="142"/>
      <c r="AC975" s="142"/>
      <c r="AD975" s="142"/>
      <c r="AE975" s="142"/>
      <c r="AF975" s="130"/>
      <c r="AG975" s="142"/>
      <c r="AH975" s="142"/>
      <c r="AI975" s="142"/>
      <c r="AJ975" s="130"/>
      <c r="AK975" s="130"/>
      <c r="AL975" s="130"/>
      <c r="AM975" s="130"/>
    </row>
    <row r="976" ht="15.75" customHeight="1">
      <c r="A976" s="278"/>
      <c r="B976" s="278"/>
      <c r="C976" s="278"/>
      <c r="D976" s="278"/>
      <c r="E976" s="132"/>
      <c r="F976" s="116"/>
      <c r="G976" s="116"/>
      <c r="H976" s="116"/>
      <c r="I976" s="373"/>
      <c r="J976" s="147"/>
      <c r="K976" s="116"/>
      <c r="L976" s="116"/>
      <c r="M976" s="116"/>
      <c r="N976" s="116"/>
      <c r="O976" s="116"/>
      <c r="P976" s="116"/>
      <c r="Q976" s="116"/>
      <c r="R976" s="116"/>
      <c r="S976" s="116"/>
      <c r="T976" s="116"/>
      <c r="U976" s="116"/>
      <c r="V976" s="116"/>
      <c r="W976" s="116"/>
      <c r="X976" s="278"/>
      <c r="Y976" s="142"/>
      <c r="Z976" s="142"/>
      <c r="AA976" s="142"/>
      <c r="AB976" s="142"/>
      <c r="AC976" s="142"/>
      <c r="AD976" s="142"/>
      <c r="AE976" s="142"/>
      <c r="AF976" s="130"/>
      <c r="AG976" s="142"/>
      <c r="AH976" s="142"/>
      <c r="AI976" s="142"/>
      <c r="AJ976" s="130"/>
      <c r="AK976" s="130"/>
      <c r="AL976" s="130"/>
      <c r="AM976" s="130"/>
    </row>
    <row r="977" ht="15.75" customHeight="1">
      <c r="A977" s="278"/>
      <c r="B977" s="278"/>
      <c r="C977" s="278"/>
      <c r="D977" s="278"/>
      <c r="E977" s="132"/>
      <c r="F977" s="116"/>
      <c r="G977" s="116"/>
      <c r="H977" s="116"/>
      <c r="I977" s="373"/>
      <c r="J977" s="147"/>
      <c r="K977" s="116"/>
      <c r="L977" s="116"/>
      <c r="M977" s="116"/>
      <c r="N977" s="116"/>
      <c r="O977" s="116"/>
      <c r="P977" s="116"/>
      <c r="Q977" s="116"/>
      <c r="R977" s="116"/>
      <c r="S977" s="116"/>
      <c r="T977" s="116"/>
      <c r="U977" s="116"/>
      <c r="V977" s="116"/>
      <c r="W977" s="116"/>
      <c r="X977" s="278"/>
      <c r="Y977" s="142"/>
      <c r="Z977" s="142"/>
      <c r="AA977" s="142"/>
      <c r="AB977" s="142"/>
      <c r="AC977" s="142"/>
      <c r="AD977" s="142"/>
      <c r="AE977" s="142"/>
      <c r="AF977" s="130"/>
      <c r="AG977" s="142"/>
      <c r="AH977" s="142"/>
      <c r="AI977" s="142"/>
      <c r="AJ977" s="130"/>
      <c r="AK977" s="130"/>
      <c r="AL977" s="130"/>
      <c r="AM977" s="130"/>
    </row>
    <row r="978" ht="15.75" customHeight="1">
      <c r="A978" s="278"/>
      <c r="B978" s="278"/>
      <c r="C978" s="278"/>
      <c r="D978" s="278"/>
      <c r="E978" s="132"/>
      <c r="F978" s="116"/>
      <c r="G978" s="116"/>
      <c r="H978" s="116"/>
      <c r="I978" s="373"/>
      <c r="J978" s="147"/>
      <c r="K978" s="116"/>
      <c r="L978" s="116"/>
      <c r="M978" s="116"/>
      <c r="N978" s="116"/>
      <c r="O978" s="116"/>
      <c r="P978" s="116"/>
      <c r="Q978" s="116"/>
      <c r="R978" s="116"/>
      <c r="S978" s="116"/>
      <c r="T978" s="116"/>
      <c r="U978" s="116"/>
      <c r="V978" s="116"/>
      <c r="W978" s="116"/>
      <c r="X978" s="278"/>
      <c r="Y978" s="142"/>
      <c r="Z978" s="142"/>
      <c r="AA978" s="142"/>
      <c r="AB978" s="142"/>
      <c r="AC978" s="142"/>
      <c r="AD978" s="142"/>
      <c r="AE978" s="142"/>
      <c r="AF978" s="130"/>
      <c r="AG978" s="142"/>
      <c r="AH978" s="142"/>
      <c r="AI978" s="142"/>
      <c r="AJ978" s="130"/>
      <c r="AK978" s="130"/>
      <c r="AL978" s="130"/>
      <c r="AM978" s="130"/>
    </row>
    <row r="979" ht="15.75" customHeight="1">
      <c r="A979" s="278"/>
      <c r="B979" s="278"/>
      <c r="C979" s="278"/>
      <c r="D979" s="278"/>
      <c r="E979" s="132"/>
      <c r="F979" s="116"/>
      <c r="G979" s="116"/>
      <c r="H979" s="116"/>
      <c r="I979" s="373"/>
      <c r="J979" s="147"/>
      <c r="K979" s="116"/>
      <c r="L979" s="116"/>
      <c r="M979" s="116"/>
      <c r="N979" s="116"/>
      <c r="O979" s="116"/>
      <c r="P979" s="116"/>
      <c r="Q979" s="116"/>
      <c r="R979" s="116"/>
      <c r="S979" s="116"/>
      <c r="T979" s="116"/>
      <c r="U979" s="116"/>
      <c r="V979" s="116"/>
      <c r="W979" s="116"/>
      <c r="X979" s="278"/>
      <c r="Y979" s="142"/>
      <c r="Z979" s="142"/>
      <c r="AA979" s="142"/>
      <c r="AB979" s="142"/>
      <c r="AC979" s="142"/>
      <c r="AD979" s="142"/>
      <c r="AE979" s="142"/>
      <c r="AF979" s="130"/>
      <c r="AG979" s="142"/>
      <c r="AH979" s="142"/>
      <c r="AI979" s="142"/>
      <c r="AJ979" s="130"/>
      <c r="AK979" s="130"/>
      <c r="AL979" s="130"/>
      <c r="AM979" s="130"/>
    </row>
    <row r="980" ht="15.75" customHeight="1">
      <c r="A980" s="278"/>
      <c r="B980" s="278"/>
      <c r="C980" s="278"/>
      <c r="D980" s="278"/>
      <c r="E980" s="132"/>
      <c r="F980" s="116"/>
      <c r="G980" s="116"/>
      <c r="H980" s="116"/>
      <c r="I980" s="373"/>
      <c r="J980" s="147"/>
      <c r="K980" s="116"/>
      <c r="L980" s="116"/>
      <c r="M980" s="116"/>
      <c r="N980" s="116"/>
      <c r="O980" s="116"/>
      <c r="P980" s="116"/>
      <c r="Q980" s="116"/>
      <c r="R980" s="116"/>
      <c r="S980" s="116"/>
      <c r="T980" s="116"/>
      <c r="U980" s="116"/>
      <c r="V980" s="116"/>
      <c r="W980" s="116"/>
      <c r="X980" s="278"/>
      <c r="Y980" s="142"/>
      <c r="Z980" s="142"/>
      <c r="AA980" s="142"/>
      <c r="AB980" s="142"/>
      <c r="AC980" s="142"/>
      <c r="AD980" s="142"/>
      <c r="AE980" s="142"/>
      <c r="AF980" s="130"/>
      <c r="AG980" s="142"/>
      <c r="AH980" s="142"/>
      <c r="AI980" s="142"/>
      <c r="AJ980" s="130"/>
      <c r="AK980" s="130"/>
      <c r="AL980" s="130"/>
      <c r="AM980" s="130"/>
    </row>
    <row r="981" ht="15.75" customHeight="1">
      <c r="A981" s="278"/>
      <c r="B981" s="278"/>
      <c r="C981" s="278"/>
      <c r="D981" s="278"/>
      <c r="E981" s="132"/>
      <c r="F981" s="116"/>
      <c r="G981" s="116"/>
      <c r="H981" s="116"/>
      <c r="I981" s="373"/>
      <c r="J981" s="147"/>
      <c r="K981" s="116"/>
      <c r="L981" s="116"/>
      <c r="M981" s="116"/>
      <c r="N981" s="116"/>
      <c r="O981" s="116"/>
      <c r="P981" s="116"/>
      <c r="Q981" s="116"/>
      <c r="R981" s="116"/>
      <c r="S981" s="116"/>
      <c r="T981" s="116"/>
      <c r="U981" s="116"/>
      <c r="V981" s="116"/>
      <c r="W981" s="116"/>
      <c r="X981" s="278"/>
      <c r="Y981" s="142"/>
      <c r="Z981" s="142"/>
      <c r="AA981" s="142"/>
      <c r="AB981" s="142"/>
      <c r="AC981" s="142"/>
      <c r="AD981" s="142"/>
      <c r="AE981" s="142"/>
      <c r="AF981" s="130"/>
      <c r="AG981" s="142"/>
      <c r="AH981" s="142"/>
      <c r="AI981" s="142"/>
      <c r="AJ981" s="130"/>
      <c r="AK981" s="130"/>
      <c r="AL981" s="130"/>
      <c r="AM981" s="130"/>
    </row>
    <row r="982" ht="15.75" customHeight="1">
      <c r="A982" s="278"/>
      <c r="B982" s="278"/>
      <c r="C982" s="278"/>
      <c r="D982" s="278"/>
      <c r="E982" s="132"/>
      <c r="F982" s="116"/>
      <c r="G982" s="116"/>
      <c r="H982" s="116"/>
      <c r="I982" s="373"/>
      <c r="J982" s="147"/>
      <c r="K982" s="116"/>
      <c r="L982" s="116"/>
      <c r="M982" s="116"/>
      <c r="N982" s="116"/>
      <c r="O982" s="116"/>
      <c r="P982" s="116"/>
      <c r="Q982" s="116"/>
      <c r="R982" s="116"/>
      <c r="S982" s="116"/>
      <c r="T982" s="116"/>
      <c r="U982" s="116"/>
      <c r="V982" s="116"/>
      <c r="W982" s="116"/>
      <c r="X982" s="278"/>
      <c r="Y982" s="142"/>
      <c r="Z982" s="142"/>
      <c r="AA982" s="142"/>
      <c r="AB982" s="142"/>
      <c r="AC982" s="142"/>
      <c r="AD982" s="142"/>
      <c r="AE982" s="142"/>
      <c r="AF982" s="130"/>
      <c r="AG982" s="142"/>
      <c r="AH982" s="142"/>
      <c r="AI982" s="142"/>
      <c r="AJ982" s="130"/>
      <c r="AK982" s="130"/>
      <c r="AL982" s="130"/>
      <c r="AM982" s="130"/>
    </row>
    <row r="983" ht="15.75" customHeight="1">
      <c r="A983" s="278"/>
      <c r="B983" s="278"/>
      <c r="C983" s="278"/>
      <c r="D983" s="278"/>
      <c r="E983" s="132"/>
      <c r="F983" s="116"/>
      <c r="G983" s="116"/>
      <c r="H983" s="116"/>
      <c r="I983" s="373"/>
      <c r="J983" s="147"/>
      <c r="K983" s="116"/>
      <c r="L983" s="116"/>
      <c r="M983" s="116"/>
      <c r="N983" s="116"/>
      <c r="O983" s="116"/>
      <c r="P983" s="116"/>
      <c r="Q983" s="116"/>
      <c r="R983" s="116"/>
      <c r="S983" s="116"/>
      <c r="T983" s="116"/>
      <c r="U983" s="116"/>
      <c r="V983" s="116"/>
      <c r="W983" s="116"/>
      <c r="X983" s="278"/>
      <c r="Y983" s="142"/>
      <c r="Z983" s="142"/>
      <c r="AA983" s="142"/>
      <c r="AB983" s="142"/>
      <c r="AC983" s="142"/>
      <c r="AD983" s="142"/>
      <c r="AE983" s="142"/>
      <c r="AF983" s="130"/>
      <c r="AG983" s="142"/>
      <c r="AH983" s="142"/>
      <c r="AI983" s="142"/>
      <c r="AJ983" s="130"/>
      <c r="AK983" s="130"/>
      <c r="AL983" s="130"/>
      <c r="AM983" s="130"/>
    </row>
    <row r="984" ht="15.75" customHeight="1">
      <c r="A984" s="278"/>
      <c r="B984" s="278"/>
      <c r="C984" s="278"/>
      <c r="D984" s="278"/>
      <c r="E984" s="132"/>
      <c r="F984" s="116"/>
      <c r="G984" s="116"/>
      <c r="H984" s="116"/>
      <c r="I984" s="373"/>
      <c r="J984" s="147"/>
      <c r="K984" s="116"/>
      <c r="L984" s="116"/>
      <c r="M984" s="116"/>
      <c r="N984" s="116"/>
      <c r="O984" s="116"/>
      <c r="P984" s="116"/>
      <c r="Q984" s="116"/>
      <c r="R984" s="116"/>
      <c r="S984" s="116"/>
      <c r="T984" s="116"/>
      <c r="U984" s="116"/>
      <c r="V984" s="116"/>
      <c r="W984" s="116"/>
      <c r="X984" s="278"/>
      <c r="Y984" s="142"/>
      <c r="Z984" s="142"/>
      <c r="AA984" s="142"/>
      <c r="AB984" s="142"/>
      <c r="AC984" s="142"/>
      <c r="AD984" s="142"/>
      <c r="AE984" s="142"/>
      <c r="AF984" s="130"/>
      <c r="AG984" s="142"/>
      <c r="AH984" s="142"/>
      <c r="AI984" s="142"/>
      <c r="AJ984" s="130"/>
      <c r="AK984" s="130"/>
      <c r="AL984" s="130"/>
      <c r="AM984" s="130"/>
    </row>
    <row r="985" ht="15.75" customHeight="1">
      <c r="A985" s="278"/>
      <c r="B985" s="278"/>
      <c r="C985" s="278"/>
      <c r="D985" s="278"/>
      <c r="E985" s="132"/>
      <c r="F985" s="116"/>
      <c r="G985" s="116"/>
      <c r="H985" s="116"/>
      <c r="I985" s="373"/>
      <c r="J985" s="147"/>
      <c r="K985" s="116"/>
      <c r="L985" s="116"/>
      <c r="M985" s="116"/>
      <c r="N985" s="116"/>
      <c r="O985" s="116"/>
      <c r="P985" s="116"/>
      <c r="Q985" s="116"/>
      <c r="R985" s="116"/>
      <c r="S985" s="116"/>
      <c r="T985" s="116"/>
      <c r="U985" s="116"/>
      <c r="V985" s="116"/>
      <c r="W985" s="116"/>
      <c r="X985" s="278"/>
      <c r="Y985" s="142"/>
      <c r="Z985" s="142"/>
      <c r="AA985" s="142"/>
      <c r="AB985" s="142"/>
      <c r="AC985" s="142"/>
      <c r="AD985" s="142"/>
      <c r="AE985" s="142"/>
      <c r="AF985" s="130"/>
      <c r="AG985" s="142"/>
      <c r="AH985" s="142"/>
      <c r="AI985" s="142"/>
      <c r="AJ985" s="130"/>
      <c r="AK985" s="130"/>
      <c r="AL985" s="130"/>
      <c r="AM985" s="130"/>
    </row>
    <row r="986" ht="15.75" customHeight="1">
      <c r="A986" s="278"/>
      <c r="B986" s="278"/>
      <c r="C986" s="278"/>
      <c r="D986" s="278"/>
      <c r="E986" s="132"/>
      <c r="F986" s="116"/>
      <c r="G986" s="116"/>
      <c r="H986" s="116"/>
      <c r="I986" s="373"/>
      <c r="J986" s="147"/>
      <c r="K986" s="116"/>
      <c r="L986" s="116"/>
      <c r="M986" s="116"/>
      <c r="N986" s="116"/>
      <c r="O986" s="116"/>
      <c r="P986" s="116"/>
      <c r="Q986" s="116"/>
      <c r="R986" s="116"/>
      <c r="S986" s="116"/>
      <c r="T986" s="116"/>
      <c r="U986" s="116"/>
      <c r="V986" s="116"/>
      <c r="W986" s="116"/>
      <c r="X986" s="278"/>
      <c r="Y986" s="142"/>
      <c r="Z986" s="142"/>
      <c r="AA986" s="142"/>
      <c r="AB986" s="142"/>
      <c r="AC986" s="142"/>
      <c r="AD986" s="142"/>
      <c r="AE986" s="142"/>
      <c r="AF986" s="130"/>
      <c r="AG986" s="142"/>
      <c r="AH986" s="142"/>
      <c r="AI986" s="142"/>
      <c r="AJ986" s="130"/>
      <c r="AK986" s="130"/>
      <c r="AL986" s="130"/>
      <c r="AM986" s="130"/>
    </row>
    <row r="987" ht="15.75" customHeight="1">
      <c r="A987" s="278"/>
      <c r="B987" s="278"/>
      <c r="C987" s="278"/>
      <c r="D987" s="278"/>
      <c r="E987" s="132"/>
      <c r="F987" s="116"/>
      <c r="G987" s="116"/>
      <c r="H987" s="116"/>
      <c r="I987" s="373"/>
      <c r="J987" s="147"/>
      <c r="K987" s="116"/>
      <c r="L987" s="116"/>
      <c r="M987" s="116"/>
      <c r="N987" s="116"/>
      <c r="O987" s="116"/>
      <c r="P987" s="116"/>
      <c r="Q987" s="116"/>
      <c r="R987" s="116"/>
      <c r="S987" s="116"/>
      <c r="T987" s="116"/>
      <c r="U987" s="116"/>
      <c r="V987" s="116"/>
      <c r="W987" s="116"/>
      <c r="X987" s="278"/>
      <c r="Y987" s="142"/>
      <c r="Z987" s="142"/>
      <c r="AA987" s="142"/>
      <c r="AB987" s="142"/>
      <c r="AC987" s="142"/>
      <c r="AD987" s="142"/>
      <c r="AE987" s="142"/>
      <c r="AF987" s="130"/>
      <c r="AG987" s="142"/>
      <c r="AH987" s="142"/>
      <c r="AI987" s="142"/>
      <c r="AJ987" s="130"/>
      <c r="AK987" s="130"/>
      <c r="AL987" s="130"/>
      <c r="AM987" s="130"/>
    </row>
    <row r="988" ht="15.75" customHeight="1">
      <c r="A988" s="278"/>
      <c r="B988" s="278"/>
      <c r="C988" s="278"/>
      <c r="D988" s="278"/>
      <c r="E988" s="132"/>
      <c r="F988" s="116"/>
      <c r="G988" s="116"/>
      <c r="H988" s="116"/>
      <c r="I988" s="373"/>
      <c r="J988" s="147"/>
      <c r="K988" s="116"/>
      <c r="L988" s="116"/>
      <c r="M988" s="116"/>
      <c r="N988" s="116"/>
      <c r="O988" s="116"/>
      <c r="P988" s="116"/>
      <c r="Q988" s="116"/>
      <c r="R988" s="116"/>
      <c r="S988" s="116"/>
      <c r="T988" s="116"/>
      <c r="U988" s="116"/>
      <c r="V988" s="116"/>
      <c r="W988" s="116"/>
      <c r="X988" s="278"/>
      <c r="Y988" s="142"/>
      <c r="Z988" s="142"/>
      <c r="AA988" s="142"/>
      <c r="AB988" s="142"/>
      <c r="AC988" s="142"/>
      <c r="AD988" s="142"/>
      <c r="AE988" s="142"/>
      <c r="AF988" s="130"/>
      <c r="AG988" s="142"/>
      <c r="AH988" s="142"/>
      <c r="AI988" s="142"/>
      <c r="AJ988" s="130"/>
      <c r="AK988" s="130"/>
      <c r="AL988" s="130"/>
      <c r="AM988" s="130"/>
    </row>
    <row r="989" ht="15.75" customHeight="1">
      <c r="A989" s="278"/>
      <c r="B989" s="278"/>
      <c r="C989" s="278"/>
      <c r="D989" s="278"/>
      <c r="E989" s="132"/>
      <c r="F989" s="116"/>
      <c r="G989" s="116"/>
      <c r="H989" s="116"/>
      <c r="I989" s="373"/>
      <c r="J989" s="147"/>
      <c r="K989" s="116"/>
      <c r="L989" s="116"/>
      <c r="M989" s="116"/>
      <c r="N989" s="116"/>
      <c r="O989" s="116"/>
      <c r="P989" s="116"/>
      <c r="Q989" s="116"/>
      <c r="R989" s="116"/>
      <c r="S989" s="116"/>
      <c r="T989" s="116"/>
      <c r="U989" s="116"/>
      <c r="V989" s="116"/>
      <c r="W989" s="116"/>
      <c r="X989" s="278"/>
      <c r="Y989" s="142"/>
      <c r="Z989" s="142"/>
      <c r="AA989" s="142"/>
      <c r="AB989" s="142"/>
      <c r="AC989" s="142"/>
      <c r="AD989" s="142"/>
      <c r="AE989" s="142"/>
      <c r="AF989" s="130"/>
      <c r="AG989" s="142"/>
      <c r="AH989" s="142"/>
      <c r="AI989" s="142"/>
      <c r="AJ989" s="130"/>
      <c r="AK989" s="130"/>
      <c r="AL989" s="130"/>
      <c r="AM989" s="130"/>
    </row>
    <row r="990" ht="15.75" customHeight="1">
      <c r="A990" s="278"/>
      <c r="B990" s="278"/>
      <c r="C990" s="278"/>
      <c r="D990" s="278"/>
      <c r="E990" s="132"/>
      <c r="F990" s="116"/>
      <c r="G990" s="116"/>
      <c r="H990" s="116"/>
      <c r="I990" s="373"/>
      <c r="J990" s="147"/>
      <c r="K990" s="116"/>
      <c r="L990" s="116"/>
      <c r="M990" s="116"/>
      <c r="N990" s="116"/>
      <c r="O990" s="116"/>
      <c r="P990" s="116"/>
      <c r="Q990" s="116"/>
      <c r="R990" s="116"/>
      <c r="S990" s="116"/>
      <c r="T990" s="116"/>
      <c r="U990" s="116"/>
      <c r="V990" s="116"/>
      <c r="W990" s="116"/>
      <c r="X990" s="278"/>
      <c r="Y990" s="142"/>
      <c r="Z990" s="142"/>
      <c r="AA990" s="142"/>
      <c r="AB990" s="142"/>
      <c r="AC990" s="142"/>
      <c r="AD990" s="142"/>
      <c r="AE990" s="142"/>
      <c r="AF990" s="130"/>
      <c r="AG990" s="142"/>
      <c r="AH990" s="142"/>
      <c r="AI990" s="142"/>
      <c r="AJ990" s="130"/>
      <c r="AK990" s="130"/>
      <c r="AL990" s="130"/>
      <c r="AM990" s="130"/>
    </row>
    <row r="991" ht="15.75" customHeight="1">
      <c r="A991" s="278"/>
      <c r="B991" s="278"/>
      <c r="C991" s="278"/>
      <c r="D991" s="278"/>
      <c r="E991" s="132"/>
      <c r="F991" s="116"/>
      <c r="G991" s="116"/>
      <c r="H991" s="116"/>
      <c r="I991" s="373"/>
      <c r="J991" s="147"/>
      <c r="K991" s="116"/>
      <c r="L991" s="116"/>
      <c r="M991" s="116"/>
      <c r="N991" s="116"/>
      <c r="O991" s="116"/>
      <c r="P991" s="116"/>
      <c r="Q991" s="116"/>
      <c r="R991" s="116"/>
      <c r="S991" s="116"/>
      <c r="T991" s="116"/>
      <c r="U991" s="116"/>
      <c r="V991" s="116"/>
      <c r="W991" s="116"/>
      <c r="X991" s="278"/>
      <c r="Y991" s="142"/>
      <c r="Z991" s="142"/>
      <c r="AA991" s="142"/>
      <c r="AB991" s="142"/>
      <c r="AC991" s="142"/>
      <c r="AD991" s="142"/>
      <c r="AE991" s="142"/>
      <c r="AF991" s="130"/>
      <c r="AG991" s="142"/>
      <c r="AH991" s="142"/>
      <c r="AI991" s="142"/>
      <c r="AJ991" s="130"/>
      <c r="AK991" s="130"/>
      <c r="AL991" s="130"/>
      <c r="AM991" s="130"/>
    </row>
    <row r="992" ht="15.75" customHeight="1">
      <c r="A992" s="278"/>
      <c r="B992" s="278"/>
      <c r="C992" s="278"/>
      <c r="D992" s="278"/>
      <c r="E992" s="132"/>
      <c r="F992" s="116"/>
      <c r="G992" s="116"/>
      <c r="H992" s="116"/>
      <c r="I992" s="373"/>
      <c r="J992" s="147"/>
      <c r="K992" s="116"/>
      <c r="L992" s="116"/>
      <c r="M992" s="116"/>
      <c r="N992" s="116"/>
      <c r="O992" s="116"/>
      <c r="P992" s="116"/>
      <c r="Q992" s="116"/>
      <c r="R992" s="116"/>
      <c r="S992" s="116"/>
      <c r="T992" s="116"/>
      <c r="U992" s="116"/>
      <c r="V992" s="116"/>
      <c r="W992" s="116"/>
      <c r="X992" s="278"/>
      <c r="Y992" s="142"/>
      <c r="Z992" s="142"/>
      <c r="AA992" s="142"/>
      <c r="AB992" s="142"/>
      <c r="AC992" s="142"/>
      <c r="AD992" s="142"/>
      <c r="AE992" s="142"/>
      <c r="AF992" s="130"/>
      <c r="AG992" s="142"/>
      <c r="AH992" s="142"/>
      <c r="AI992" s="142"/>
      <c r="AJ992" s="130"/>
      <c r="AK992" s="130"/>
      <c r="AL992" s="130"/>
      <c r="AM992" s="130"/>
    </row>
    <row r="993" ht="15.75" customHeight="1">
      <c r="A993" s="278"/>
      <c r="B993" s="278"/>
      <c r="C993" s="278"/>
      <c r="D993" s="278"/>
      <c r="E993" s="132"/>
      <c r="F993" s="116"/>
      <c r="G993" s="116"/>
      <c r="H993" s="116"/>
      <c r="I993" s="373"/>
      <c r="J993" s="147"/>
      <c r="K993" s="116"/>
      <c r="L993" s="116"/>
      <c r="M993" s="116"/>
      <c r="N993" s="116"/>
      <c r="O993" s="116"/>
      <c r="P993" s="116"/>
      <c r="Q993" s="116"/>
      <c r="R993" s="116"/>
      <c r="S993" s="116"/>
      <c r="T993" s="116"/>
      <c r="U993" s="116"/>
      <c r="V993" s="116"/>
      <c r="W993" s="116"/>
      <c r="X993" s="278"/>
      <c r="Y993" s="142"/>
      <c r="Z993" s="142"/>
      <c r="AA993" s="142"/>
      <c r="AB993" s="142"/>
      <c r="AC993" s="142"/>
      <c r="AD993" s="142"/>
      <c r="AE993" s="142"/>
      <c r="AF993" s="130"/>
      <c r="AG993" s="142"/>
      <c r="AH993" s="142"/>
      <c r="AI993" s="142"/>
      <c r="AJ993" s="130"/>
      <c r="AK993" s="130"/>
      <c r="AL993" s="130"/>
      <c r="AM993" s="130"/>
    </row>
    <row r="994" ht="15.75" customHeight="1">
      <c r="A994" s="278"/>
      <c r="B994" s="278"/>
      <c r="C994" s="278"/>
      <c r="D994" s="278"/>
      <c r="E994" s="132"/>
      <c r="F994" s="116"/>
      <c r="G994" s="116"/>
      <c r="H994" s="116"/>
      <c r="I994" s="373"/>
      <c r="J994" s="147"/>
      <c r="K994" s="116"/>
      <c r="L994" s="116"/>
      <c r="M994" s="116"/>
      <c r="N994" s="116"/>
      <c r="O994" s="116"/>
      <c r="P994" s="116"/>
      <c r="Q994" s="116"/>
      <c r="R994" s="116"/>
      <c r="S994" s="116"/>
      <c r="T994" s="116"/>
      <c r="U994" s="116"/>
      <c r="V994" s="116"/>
      <c r="W994" s="116"/>
      <c r="X994" s="278"/>
      <c r="Y994" s="142"/>
      <c r="Z994" s="142"/>
      <c r="AA994" s="142"/>
      <c r="AB994" s="142"/>
      <c r="AC994" s="142"/>
      <c r="AD994" s="142"/>
      <c r="AE994" s="142"/>
      <c r="AF994" s="130"/>
      <c r="AG994" s="142"/>
      <c r="AH994" s="142"/>
      <c r="AI994" s="142"/>
      <c r="AJ994" s="130"/>
      <c r="AK994" s="130"/>
      <c r="AL994" s="130"/>
      <c r="AM994" s="130"/>
    </row>
    <row r="995" ht="15.75" customHeight="1">
      <c r="A995" s="278"/>
      <c r="B995" s="278"/>
      <c r="C995" s="278"/>
      <c r="D995" s="278"/>
      <c r="E995" s="132"/>
      <c r="F995" s="116"/>
      <c r="G995" s="116"/>
      <c r="H995" s="116"/>
      <c r="I995" s="373"/>
      <c r="J995" s="147"/>
      <c r="K995" s="116"/>
      <c r="L995" s="116"/>
      <c r="M995" s="116"/>
      <c r="N995" s="116"/>
      <c r="O995" s="116"/>
      <c r="P995" s="116"/>
      <c r="Q995" s="116"/>
      <c r="R995" s="116"/>
      <c r="S995" s="116"/>
      <c r="T995" s="116"/>
      <c r="U995" s="116"/>
      <c r="V995" s="116"/>
      <c r="W995" s="116"/>
      <c r="X995" s="278"/>
      <c r="Y995" s="142"/>
      <c r="Z995" s="142"/>
      <c r="AA995" s="142"/>
      <c r="AB995" s="142"/>
      <c r="AC995" s="142"/>
      <c r="AD995" s="142"/>
      <c r="AE995" s="142"/>
      <c r="AF995" s="130"/>
      <c r="AG995" s="142"/>
      <c r="AH995" s="142"/>
      <c r="AI995" s="142"/>
      <c r="AJ995" s="130"/>
      <c r="AK995" s="130"/>
      <c r="AL995" s="130"/>
      <c r="AM995" s="130"/>
    </row>
    <row r="996" ht="15.75" customHeight="1">
      <c r="A996" s="278"/>
      <c r="B996" s="278"/>
      <c r="C996" s="278"/>
      <c r="D996" s="278"/>
      <c r="E996" s="132"/>
      <c r="F996" s="116"/>
      <c r="G996" s="116"/>
      <c r="H996" s="116"/>
      <c r="I996" s="373"/>
      <c r="J996" s="147"/>
      <c r="K996" s="116"/>
      <c r="L996" s="116"/>
      <c r="M996" s="116"/>
      <c r="N996" s="116"/>
      <c r="O996" s="116"/>
      <c r="P996" s="116"/>
      <c r="Q996" s="116"/>
      <c r="R996" s="116"/>
      <c r="S996" s="116"/>
      <c r="T996" s="116"/>
      <c r="U996" s="116"/>
      <c r="V996" s="116"/>
      <c r="W996" s="116"/>
      <c r="X996" s="278"/>
      <c r="Y996" s="142"/>
      <c r="Z996" s="142"/>
      <c r="AA996" s="142"/>
      <c r="AB996" s="142"/>
      <c r="AC996" s="142"/>
      <c r="AD996" s="142"/>
      <c r="AE996" s="142"/>
      <c r="AF996" s="130"/>
      <c r="AG996" s="142"/>
      <c r="AH996" s="142"/>
      <c r="AI996" s="142"/>
      <c r="AJ996" s="130"/>
      <c r="AK996" s="130"/>
      <c r="AL996" s="130"/>
      <c r="AM996" s="130"/>
    </row>
    <row r="997" ht="15.75" customHeight="1">
      <c r="A997" s="278"/>
      <c r="B997" s="278"/>
      <c r="C997" s="278"/>
      <c r="D997" s="278"/>
      <c r="E997" s="132"/>
      <c r="F997" s="116"/>
      <c r="G997" s="116"/>
      <c r="H997" s="116"/>
      <c r="I997" s="373"/>
      <c r="J997" s="147"/>
      <c r="K997" s="116"/>
      <c r="L997" s="116"/>
      <c r="M997" s="116"/>
      <c r="N997" s="116"/>
      <c r="O997" s="116"/>
      <c r="P997" s="116"/>
      <c r="Q997" s="116"/>
      <c r="R997" s="116"/>
      <c r="S997" s="116"/>
      <c r="T997" s="116"/>
      <c r="U997" s="116"/>
      <c r="V997" s="116"/>
      <c r="W997" s="116"/>
      <c r="X997" s="278"/>
      <c r="Y997" s="142"/>
      <c r="Z997" s="142"/>
      <c r="AA997" s="142"/>
      <c r="AB997" s="142"/>
      <c r="AC997" s="142"/>
      <c r="AD997" s="142"/>
      <c r="AE997" s="142"/>
      <c r="AF997" s="130"/>
      <c r="AG997" s="142"/>
      <c r="AH997" s="142"/>
      <c r="AI997" s="142"/>
      <c r="AJ997" s="130"/>
      <c r="AK997" s="130"/>
      <c r="AL997" s="130"/>
      <c r="AM997" s="130"/>
    </row>
    <row r="998" ht="15.75" customHeight="1">
      <c r="A998" s="278"/>
      <c r="B998" s="278"/>
      <c r="C998" s="278"/>
      <c r="D998" s="278"/>
      <c r="E998" s="132"/>
      <c r="F998" s="116"/>
      <c r="G998" s="116"/>
      <c r="H998" s="116"/>
      <c r="I998" s="373"/>
      <c r="J998" s="147"/>
      <c r="K998" s="116"/>
      <c r="L998" s="116"/>
      <c r="M998" s="116"/>
      <c r="N998" s="116"/>
      <c r="O998" s="116"/>
      <c r="P998" s="116"/>
      <c r="Q998" s="116"/>
      <c r="R998" s="116"/>
      <c r="S998" s="116"/>
      <c r="T998" s="116"/>
      <c r="U998" s="116"/>
      <c r="V998" s="116"/>
      <c r="W998" s="116"/>
      <c r="X998" s="278"/>
      <c r="Y998" s="142"/>
      <c r="Z998" s="142"/>
      <c r="AA998" s="142"/>
      <c r="AB998" s="142"/>
      <c r="AC998" s="142"/>
      <c r="AD998" s="142"/>
      <c r="AE998" s="142"/>
      <c r="AF998" s="130"/>
      <c r="AG998" s="142"/>
      <c r="AH998" s="142"/>
      <c r="AI998" s="142"/>
      <c r="AJ998" s="130"/>
      <c r="AK998" s="130"/>
      <c r="AL998" s="130"/>
      <c r="AM998" s="130"/>
    </row>
    <row r="999" ht="15.75" customHeight="1">
      <c r="A999" s="278"/>
      <c r="B999" s="278"/>
      <c r="C999" s="278"/>
      <c r="D999" s="278"/>
      <c r="E999" s="132"/>
      <c r="F999" s="116"/>
      <c r="G999" s="116"/>
      <c r="H999" s="116"/>
      <c r="I999" s="373"/>
      <c r="J999" s="147"/>
      <c r="K999" s="116"/>
      <c r="L999" s="116"/>
      <c r="M999" s="116"/>
      <c r="N999" s="116"/>
      <c r="O999" s="116"/>
      <c r="P999" s="116"/>
      <c r="Q999" s="116"/>
      <c r="R999" s="116"/>
      <c r="S999" s="116"/>
      <c r="T999" s="116"/>
      <c r="U999" s="116"/>
      <c r="V999" s="116"/>
      <c r="W999" s="116"/>
      <c r="X999" s="278"/>
      <c r="Y999" s="142"/>
      <c r="Z999" s="142"/>
      <c r="AA999" s="142"/>
      <c r="AB999" s="142"/>
      <c r="AC999" s="142"/>
      <c r="AD999" s="142"/>
      <c r="AE999" s="142"/>
      <c r="AF999" s="130"/>
      <c r="AG999" s="142"/>
      <c r="AH999" s="142"/>
      <c r="AI999" s="142"/>
      <c r="AJ999" s="130"/>
      <c r="AK999" s="130"/>
      <c r="AL999" s="130"/>
      <c r="AM999" s="130"/>
    </row>
    <row r="1000" ht="15.75" customHeight="1">
      <c r="A1000" s="278"/>
      <c r="B1000" s="278"/>
      <c r="C1000" s="278"/>
      <c r="D1000" s="278"/>
      <c r="E1000" s="132"/>
      <c r="F1000" s="116"/>
      <c r="G1000" s="116"/>
      <c r="H1000" s="116"/>
      <c r="I1000" s="373"/>
      <c r="J1000" s="147"/>
      <c r="K1000" s="116"/>
      <c r="L1000" s="116"/>
      <c r="M1000" s="116"/>
      <c r="N1000" s="116"/>
      <c r="O1000" s="116"/>
      <c r="P1000" s="116"/>
      <c r="Q1000" s="116"/>
      <c r="R1000" s="116"/>
      <c r="S1000" s="116"/>
      <c r="T1000" s="116"/>
      <c r="U1000" s="116"/>
      <c r="V1000" s="116"/>
      <c r="W1000" s="116"/>
      <c r="X1000" s="278"/>
      <c r="Y1000" s="142"/>
      <c r="Z1000" s="142"/>
      <c r="AA1000" s="142"/>
      <c r="AB1000" s="142"/>
      <c r="AC1000" s="142"/>
      <c r="AD1000" s="142"/>
      <c r="AE1000" s="142"/>
      <c r="AF1000" s="130"/>
      <c r="AG1000" s="142"/>
      <c r="AH1000" s="142"/>
      <c r="AI1000" s="142"/>
      <c r="AJ1000" s="130"/>
      <c r="AK1000" s="130"/>
      <c r="AL1000" s="130"/>
      <c r="AM1000" s="130"/>
    </row>
  </sheetData>
  <mergeCells count="3">
    <mergeCell ref="I1:J1"/>
    <mergeCell ref="X2:X36"/>
    <mergeCell ref="AE2:AE36"/>
  </mergeCells>
  <conditionalFormatting sqref="I25:J36 I2:J23">
    <cfRule type="cellIs" dxfId="21" priority="1" operator="equal">
      <formula>"/"</formula>
    </cfRule>
  </conditionalFormatting>
  <conditionalFormatting sqref="I25:J36 I2:J23">
    <cfRule type="cellIs" dxfId="4" priority="2" operator="lessThan">
      <formula>0</formula>
    </cfRule>
  </conditionalFormatting>
  <conditionalFormatting sqref="I25:J36 I2:J23">
    <cfRule type="cellIs" dxfId="22" priority="3" operator="greaterThan">
      <formula>0</formula>
    </cfRule>
  </conditionalFormatting>
  <conditionalFormatting sqref="F2:F23 F25:F36">
    <cfRule type="expression" dxfId="23" priority="4">
      <formula>$I$1="差距(Median)"</formula>
    </cfRule>
  </conditionalFormatting>
  <conditionalFormatting sqref="G25:G36 G2:G23">
    <cfRule type="expression" dxfId="23" priority="5">
      <formula>$I$1="差距(LQ)"</formula>
    </cfRule>
  </conditionalFormatting>
  <conditionalFormatting sqref="F24">
    <cfRule type="expression" dxfId="23" priority="6">
      <formula>$I$1="差距(Median)"</formula>
    </cfRule>
  </conditionalFormatting>
  <conditionalFormatting sqref="G24">
    <cfRule type="expression" dxfId="23" priority="7">
      <formula>$I$1="差距(LQ)"</formula>
    </cfRule>
  </conditionalFormatting>
  <conditionalFormatting sqref="I24:J24">
    <cfRule type="cellIs" dxfId="21" priority="8" operator="equal">
      <formula>"/"</formula>
    </cfRule>
  </conditionalFormatting>
  <conditionalFormatting sqref="I24:J24">
    <cfRule type="cellIs" dxfId="4" priority="9" operator="lessThan">
      <formula>0</formula>
    </cfRule>
  </conditionalFormatting>
  <conditionalFormatting sqref="I24:J24">
    <cfRule type="cellIs" dxfId="22" priority="10" operator="greaterThan">
      <formula>0</formula>
    </cfRule>
  </conditionalFormatting>
  <conditionalFormatting sqref="X2">
    <cfRule type="expression" dxfId="28" priority="11">
      <formula>MOD(ROW(),2)=0</formula>
    </cfRule>
  </conditionalFormatting>
  <conditionalFormatting sqref="X2 AE2 AL2:AL36">
    <cfRule type="expression" dxfId="7" priority="12">
      <formula>TRUE</formula>
    </cfRule>
  </conditionalFormatting>
  <conditionalFormatting sqref="L2:L36 S2:W36">
    <cfRule type="cellIs" dxfId="24" priority="13" operator="equal">
      <formula>2</formula>
    </cfRule>
  </conditionalFormatting>
  <conditionalFormatting sqref="L2:L36 S2:W36">
    <cfRule type="cellIs" dxfId="26" priority="14" operator="equal">
      <formula>1</formula>
    </cfRule>
  </conditionalFormatting>
  <conditionalFormatting sqref="L2:L36 S2:W36">
    <cfRule type="cellIs" dxfId="25" priority="15" operator="equal">
      <formula>0</formula>
    </cfRule>
  </conditionalFormatting>
  <dataValidations>
    <dataValidation type="list" allowBlank="1" showErrorMessage="1" sqref="X2">
      <formula1>'選單'!$I$1:$I$3</formula1>
    </dataValidation>
    <dataValidation type="list" allowBlank="1" showErrorMessage="1" sqref="I1">
      <formula1>'選單'!$J$2:$J$3</formula1>
    </dataValidation>
  </dataValidations>
  <hyperlinks>
    <hyperlink r:id="rId2" ref="A47"/>
    <hyperlink r:id="rId3" ref="A48"/>
  </hyperlinks>
  <printOptions/>
  <pageMargins bottom="0.75" footer="0.0" header="0.0" left="0.7" right="0.7" top="0.75"/>
  <pageSetup orientation="landscape"/>
  <drawing r:id="rId4"/>
  <legacy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11"/>
    <col customWidth="1" min="2" max="2" width="9.11"/>
    <col customWidth="1" min="3" max="3" width="25.78"/>
    <col customWidth="1" hidden="1" min="4" max="4" width="10.67"/>
    <col customWidth="1" min="5" max="9" width="7.78"/>
    <col customWidth="1" min="10" max="11" width="7.67"/>
    <col customWidth="1" min="12" max="12" width="4.89"/>
    <col customWidth="1" min="13" max="13" width="4.67"/>
    <col customWidth="1" min="14" max="14" width="9.78"/>
    <col customWidth="1" min="15" max="24" width="2.22"/>
    <col customWidth="1" min="25" max="25" width="8.89"/>
    <col customWidth="1" min="26" max="31" width="6.33"/>
    <col customWidth="1" min="32" max="32" width="8.89"/>
    <col customWidth="1" min="33" max="38" width="6.33"/>
    <col customWidth="1" min="39" max="39" width="3.11"/>
    <col customWidth="1" min="40" max="40" width="8.11"/>
  </cols>
  <sheetData>
    <row r="1" ht="18.0" customHeight="1">
      <c r="A1" s="374" t="s">
        <v>1056</v>
      </c>
      <c r="B1" s="374" t="s">
        <v>1066</v>
      </c>
      <c r="C1" s="374" t="s">
        <v>1057</v>
      </c>
      <c r="D1" s="374"/>
      <c r="E1" s="375" t="s">
        <v>44</v>
      </c>
      <c r="F1" s="375" t="s">
        <v>45</v>
      </c>
      <c r="G1" s="375" t="s">
        <v>46</v>
      </c>
      <c r="H1" s="375" t="s">
        <v>47</v>
      </c>
      <c r="I1" s="375" t="s">
        <v>48</v>
      </c>
      <c r="J1" s="376" t="s">
        <v>157</v>
      </c>
      <c r="K1" s="185"/>
      <c r="L1" s="375" t="s">
        <v>49</v>
      </c>
      <c r="M1" s="375" t="s">
        <v>955</v>
      </c>
      <c r="N1" s="375" t="s">
        <v>1067</v>
      </c>
      <c r="O1" s="375" t="s">
        <v>1058</v>
      </c>
      <c r="P1" s="375" t="s">
        <v>1059</v>
      </c>
      <c r="Q1" s="375" t="s">
        <v>1060</v>
      </c>
      <c r="R1" s="375" t="s">
        <v>1061</v>
      </c>
      <c r="S1" s="375" t="s">
        <v>218</v>
      </c>
      <c r="T1" s="375" t="s">
        <v>1058</v>
      </c>
      <c r="U1" s="375" t="s">
        <v>1059</v>
      </c>
      <c r="V1" s="375" t="s">
        <v>1060</v>
      </c>
      <c r="W1" s="375" t="s">
        <v>1061</v>
      </c>
      <c r="X1" s="375" t="s">
        <v>218</v>
      </c>
      <c r="Y1" s="375" t="s">
        <v>50</v>
      </c>
      <c r="Z1" s="375" t="s">
        <v>1068</v>
      </c>
      <c r="AA1" s="375" t="s">
        <v>39</v>
      </c>
      <c r="AB1" s="375" t="s">
        <v>1069</v>
      </c>
      <c r="AC1" s="375" t="s">
        <v>1070</v>
      </c>
      <c r="AD1" s="375" t="s">
        <v>1071</v>
      </c>
      <c r="AE1" s="375" t="s">
        <v>1072</v>
      </c>
      <c r="AF1" s="375" t="s">
        <v>1073</v>
      </c>
      <c r="AG1" s="375" t="s">
        <v>1068</v>
      </c>
      <c r="AH1" s="375" t="s">
        <v>39</v>
      </c>
      <c r="AI1" s="375" t="s">
        <v>1069</v>
      </c>
      <c r="AJ1" s="375" t="s">
        <v>1070</v>
      </c>
      <c r="AK1" s="375" t="s">
        <v>1071</v>
      </c>
      <c r="AL1" s="375" t="s">
        <v>1072</v>
      </c>
      <c r="AM1" s="374"/>
      <c r="AN1" s="375"/>
    </row>
    <row r="2" ht="18.0" customHeight="1">
      <c r="A2" s="225" t="s">
        <v>846</v>
      </c>
      <c r="B2" s="225" t="s">
        <v>1693</v>
      </c>
      <c r="C2" s="225" t="s">
        <v>847</v>
      </c>
      <c r="D2" s="225" t="s">
        <v>1694</v>
      </c>
      <c r="E2" s="226" t="s">
        <v>775</v>
      </c>
      <c r="F2" s="227" t="s">
        <v>541</v>
      </c>
      <c r="G2" s="231">
        <v>16.2</v>
      </c>
      <c r="H2" s="227" t="s">
        <v>541</v>
      </c>
      <c r="I2" s="228">
        <f>'計分版'!D377</f>
        <v>0.0000000019</v>
      </c>
      <c r="J2" s="229">
        <f t="shared" ref="J2:J3" si="1">I2-G2</f>
        <v>-16.2</v>
      </c>
      <c r="K2" s="230">
        <f t="shared" ref="K2:K3" si="2">(I2-G2)/I2</f>
        <v>-8526315788</v>
      </c>
      <c r="L2" s="231">
        <v>400.0</v>
      </c>
      <c r="M2" s="232">
        <f>'入學要求'!S364</f>
        <v>0</v>
      </c>
      <c r="N2" s="231" t="s">
        <v>1695</v>
      </c>
      <c r="O2" s="226">
        <v>3.0</v>
      </c>
      <c r="P2" s="226">
        <v>3.0</v>
      </c>
      <c r="Q2" s="226">
        <v>2.0</v>
      </c>
      <c r="R2" s="226">
        <v>2.0</v>
      </c>
      <c r="S2" s="226">
        <v>2.0</v>
      </c>
      <c r="T2" s="233">
        <f>'入學要求'!L364</f>
        <v>0</v>
      </c>
      <c r="U2" s="233">
        <f>'入學要求'!M364</f>
        <v>0</v>
      </c>
      <c r="V2" s="233">
        <f>'入學要求'!N364</f>
        <v>0</v>
      </c>
      <c r="W2" s="233">
        <f>'入學要求'!O364</f>
        <v>0</v>
      </c>
      <c r="X2" s="233">
        <f>'入學要求'!P364</f>
        <v>0</v>
      </c>
      <c r="Y2" s="196" t="s">
        <v>38</v>
      </c>
      <c r="Z2" s="231">
        <f>IF($Y$2="2018年",'Offer Statistics'!FM2,IF($Y$2="2019年",'Offer Statistics'!FM48,IF($Y$2="2020年",'Offer Statistics'!FM94)))</f>
        <v>490</v>
      </c>
      <c r="AA2" s="234">
        <f>IF($Y$2="2018年",'Offer Statistics'!FH2,IF($Y$2="2019年",'Offer Statistics'!FH48,IF($Y$2="2020年",'Offer Statistics'!FH94)))</f>
        <v>490</v>
      </c>
      <c r="AB2" s="234">
        <f>IF($Y$2="2018年",'Offer Statistics'!FI2,IF($Y$2="2019年",'Offer Statistics'!FI48,IF($Y$2="2020年",'Offer Statistics'!FI94)))</f>
        <v>0</v>
      </c>
      <c r="AC2" s="234">
        <f>IF($Y$2="2018年",'Offer Statistics'!FJ2,IF($Y$2="2019年",'Offer Statistics'!FJ48,IF($Y$2="2020年",'Offer Statistics'!FJ94)))</f>
        <v>0</v>
      </c>
      <c r="AD2" s="234">
        <f>IF($Y$2="2018年",'Offer Statistics'!FK2,IF($Y$2="2019年",'Offer Statistics'!FK48,IF($Y$2="2020年",'Offer Statistics'!FK94)))</f>
        <v>0</v>
      </c>
      <c r="AE2" s="234">
        <f>IF($Y$2="2018年",'Offer Statistics'!FL2,IF($Y$2="2019年",'Offer Statistics'!FL48,IF($Y$2="2020年",'Offer Statistics'!FL94)))</f>
        <v>0</v>
      </c>
      <c r="AF2" s="196" t="str">
        <f>Y2</f>
        <v>2020年</v>
      </c>
      <c r="AG2" s="231">
        <f>IF($Y$2="2018年",'Offer Statistics'!FE2,IF($Y$2="2019年",'Offer Statistics'!FE48,IF($Y$2="2020年",'Offer Statistics'!FE94)))</f>
        <v>5812</v>
      </c>
      <c r="AH2" s="234">
        <f>IF($Y$2="2018年",'Offer Statistics'!EZ2,IF($Y$2="2019年",'Offer Statistics'!EZ48,IF($Y$2="2020年",'Offer Statistics'!EZ94)))</f>
        <v>2334</v>
      </c>
      <c r="AI2" s="234">
        <f>IF($Y$2="2018年",'Offer Statistics'!FA2,IF($Y$2="2019年",'Offer Statistics'!FA48,IF($Y$2="2020年",'Offer Statistics'!FA94)))</f>
        <v>1213</v>
      </c>
      <c r="AJ2" s="234">
        <f>IF($Y$2="2018年",'Offer Statistics'!FB2,IF($Y$2="2019年",'Offer Statistics'!FB48,IF($Y$2="2020年",'Offer Statistics'!FB94)))</f>
        <v>815</v>
      </c>
      <c r="AK2" s="234">
        <f>IF($Y$2="2018年",'Offer Statistics'!FC2,IF($Y$2="2019年",'Offer Statistics'!FC48,IF($Y$2="2020年",'Offer Statistics'!FC94)))</f>
        <v>656</v>
      </c>
      <c r="AL2" s="234">
        <f>IF($Y$2="2018年",'Offer Statistics'!FD2,IF($Y$2="2019年",'Offer Statistics'!FD48,IF($Y$2="2020年",'Offer Statistics'!FD94)))</f>
        <v>794</v>
      </c>
      <c r="AM2" s="225"/>
      <c r="AN2" s="226" t="str">
        <f t="shared" ref="AN2:AN46" si="3">A2</f>
        <v>JSSA01</v>
      </c>
    </row>
    <row r="3" ht="18.0" customHeight="1">
      <c r="A3" s="142" t="s">
        <v>849</v>
      </c>
      <c r="B3" s="142" t="s">
        <v>1693</v>
      </c>
      <c r="C3" s="142" t="s">
        <v>850</v>
      </c>
      <c r="D3" s="142" t="s">
        <v>1696</v>
      </c>
      <c r="E3" s="131" t="s">
        <v>775</v>
      </c>
      <c r="F3" s="199" t="s">
        <v>541</v>
      </c>
      <c r="G3" s="132">
        <v>13.8</v>
      </c>
      <c r="H3" s="199" t="s">
        <v>541</v>
      </c>
      <c r="I3" s="200">
        <f>'計分版'!D378</f>
        <v>0.0000000019</v>
      </c>
      <c r="J3" s="201">
        <f t="shared" si="1"/>
        <v>-13.8</v>
      </c>
      <c r="K3" s="202">
        <f t="shared" si="2"/>
        <v>-7263157894</v>
      </c>
      <c r="L3" s="132">
        <v>30.0</v>
      </c>
      <c r="M3" s="203">
        <f>'入學要求'!S365</f>
        <v>0</v>
      </c>
      <c r="N3" s="132" t="s">
        <v>1695</v>
      </c>
      <c r="O3" s="131">
        <v>3.0</v>
      </c>
      <c r="P3" s="131">
        <v>3.0</v>
      </c>
      <c r="Q3" s="131">
        <v>2.0</v>
      </c>
      <c r="R3" s="131">
        <v>2.0</v>
      </c>
      <c r="S3" s="131">
        <v>2.0</v>
      </c>
      <c r="T3" s="204">
        <f>'入學要求'!L365</f>
        <v>0</v>
      </c>
      <c r="U3" s="204">
        <f>'入學要求'!M365</f>
        <v>0</v>
      </c>
      <c r="V3" s="204">
        <f>'入學要求'!N365</f>
        <v>0</v>
      </c>
      <c r="W3" s="204">
        <f>'入學要求'!O365</f>
        <v>0</v>
      </c>
      <c r="X3" s="204">
        <f>'入學要求'!P365</f>
        <v>0</v>
      </c>
      <c r="Y3" s="205"/>
      <c r="Z3" s="132">
        <f>IF($Y$2="2018年",'Offer Statistics'!FM3,IF($Y$2="2019年",'Offer Statistics'!FM49,IF($Y$2="2020年",'Offer Statistics'!FM95)))</f>
        <v>39</v>
      </c>
      <c r="AA3" s="206">
        <f>IF($Y$2="2018年",'Offer Statistics'!FH3,IF($Y$2="2019年",'Offer Statistics'!FH49,IF($Y$2="2020年",'Offer Statistics'!FH95)))</f>
        <v>18</v>
      </c>
      <c r="AB3" s="206">
        <f>IF($Y$2="2018年",'Offer Statistics'!FI3,IF($Y$2="2019年",'Offer Statistics'!FI49,IF($Y$2="2020年",'Offer Statistics'!FI95)))</f>
        <v>7</v>
      </c>
      <c r="AC3" s="206">
        <f>IF($Y$2="2018年",'Offer Statistics'!FJ3,IF($Y$2="2019年",'Offer Statistics'!FJ49,IF($Y$2="2020年",'Offer Statistics'!FJ95)))</f>
        <v>8</v>
      </c>
      <c r="AD3" s="206">
        <f>IF($Y$2="2018年",'Offer Statistics'!FK3,IF($Y$2="2019年",'Offer Statistics'!FK49,IF($Y$2="2020年",'Offer Statistics'!FK95)))</f>
        <v>2</v>
      </c>
      <c r="AE3" s="206">
        <f>IF($Y$2="2018年",'Offer Statistics'!FL3,IF($Y$2="2019年",'Offer Statistics'!FL49,IF($Y$2="2020年",'Offer Statistics'!FL95)))</f>
        <v>4</v>
      </c>
      <c r="AF3" s="205"/>
      <c r="AG3" s="132">
        <f>IF($Y$2="2018年",'Offer Statistics'!FE3,IF($Y$2="2019年",'Offer Statistics'!FE49,IF($Y$2="2020年",'Offer Statistics'!FE95)))</f>
        <v>1506</v>
      </c>
      <c r="AH3" s="206">
        <f>IF($Y$2="2018年",'Offer Statistics'!EZ3,IF($Y$2="2019年",'Offer Statistics'!EZ49,IF($Y$2="2020年",'Offer Statistics'!EZ95)))</f>
        <v>191</v>
      </c>
      <c r="AI3" s="206">
        <f>IF($Y$2="2018年",'Offer Statistics'!FA3,IF($Y$2="2019年",'Offer Statistics'!FA49,IF($Y$2="2020年",'Offer Statistics'!FA95)))</f>
        <v>231</v>
      </c>
      <c r="AJ3" s="206">
        <f>IF($Y$2="2018年",'Offer Statistics'!FB3,IF($Y$2="2019年",'Offer Statistics'!FB49,IF($Y$2="2020年",'Offer Statistics'!FB95)))</f>
        <v>302</v>
      </c>
      <c r="AK3" s="206">
        <f>IF($Y$2="2018年",'Offer Statistics'!FC3,IF($Y$2="2019年",'Offer Statistics'!FC49,IF($Y$2="2020年",'Offer Statistics'!FC95)))</f>
        <v>344</v>
      </c>
      <c r="AL3" s="206">
        <f>IF($Y$2="2018年",'Offer Statistics'!FD3,IF($Y$2="2019年",'Offer Statistics'!FD49,IF($Y$2="2020年",'Offer Statistics'!FD95)))</f>
        <v>438</v>
      </c>
      <c r="AM3" s="142"/>
      <c r="AN3" s="131" t="str">
        <f t="shared" si="3"/>
        <v>JSSA02</v>
      </c>
    </row>
    <row r="4" ht="18.0" customHeight="1">
      <c r="A4" s="225" t="s">
        <v>851</v>
      </c>
      <c r="B4" s="225" t="s">
        <v>1693</v>
      </c>
      <c r="C4" s="225" t="s">
        <v>852</v>
      </c>
      <c r="D4" s="225" t="s">
        <v>1697</v>
      </c>
      <c r="E4" s="236" t="s">
        <v>775</v>
      </c>
      <c r="F4" s="227" t="s">
        <v>541</v>
      </c>
      <c r="G4" s="227" t="s">
        <v>541</v>
      </c>
      <c r="H4" s="227" t="s">
        <v>541</v>
      </c>
      <c r="I4" s="228">
        <f>'計分版'!D379</f>
        <v>0.0000000019</v>
      </c>
      <c r="J4" s="238" t="s">
        <v>541</v>
      </c>
      <c r="K4" s="239" t="s">
        <v>541</v>
      </c>
      <c r="L4" s="231">
        <v>50.0</v>
      </c>
      <c r="M4" s="235">
        <f>'入學要求'!S366</f>
        <v>0</v>
      </c>
      <c r="N4" s="236" t="s">
        <v>1166</v>
      </c>
      <c r="O4" s="226">
        <v>3.0</v>
      </c>
      <c r="P4" s="226">
        <v>3.0</v>
      </c>
      <c r="Q4" s="226">
        <v>2.0</v>
      </c>
      <c r="R4" s="226">
        <v>2.0</v>
      </c>
      <c r="S4" s="226">
        <v>2.0</v>
      </c>
      <c r="T4" s="233">
        <f>'入學要求'!L366</f>
        <v>0</v>
      </c>
      <c r="U4" s="233">
        <f>'入學要求'!M366</f>
        <v>0</v>
      </c>
      <c r="V4" s="233">
        <f>'入學要求'!N366</f>
        <v>0</v>
      </c>
      <c r="W4" s="233">
        <f>'入學要求'!O366</f>
        <v>0</v>
      </c>
      <c r="X4" s="233">
        <f>'入學要求'!P366</f>
        <v>0</v>
      </c>
      <c r="Y4" s="205"/>
      <c r="Z4" s="231" t="str">
        <f>IF($Y$2="2018年",'Offer Statistics'!FM4,IF($Y$2="2019年",'Offer Statistics'!FM50,IF($Y$2="2020年",'Offer Statistics'!FM96)))</f>
        <v>/</v>
      </c>
      <c r="AA4" s="234" t="str">
        <f>IF($Y$2="2018年",'Offer Statistics'!FH4,IF($Y$2="2019年",'Offer Statistics'!FH50,IF($Y$2="2020年",'Offer Statistics'!FH96)))</f>
        <v>/</v>
      </c>
      <c r="AB4" s="234" t="str">
        <f>IF($Y$2="2018年",'Offer Statistics'!FI4,IF($Y$2="2019年",'Offer Statistics'!FI50,IF($Y$2="2020年",'Offer Statistics'!FI96)))</f>
        <v>/</v>
      </c>
      <c r="AC4" s="234" t="str">
        <f>IF($Y$2="2018年",'Offer Statistics'!FJ4,IF($Y$2="2019年",'Offer Statistics'!FJ50,IF($Y$2="2020年",'Offer Statistics'!FJ96)))</f>
        <v>/</v>
      </c>
      <c r="AD4" s="234" t="str">
        <f>IF($Y$2="2018年",'Offer Statistics'!FK4,IF($Y$2="2019年",'Offer Statistics'!FK50,IF($Y$2="2020年",'Offer Statistics'!FK96)))</f>
        <v>/</v>
      </c>
      <c r="AE4" s="234" t="str">
        <f>IF($Y$2="2018年",'Offer Statistics'!FL4,IF($Y$2="2019年",'Offer Statistics'!FL50,IF($Y$2="2020年",'Offer Statistics'!FL96)))</f>
        <v>/</v>
      </c>
      <c r="AF4" s="205"/>
      <c r="AG4" s="231" t="str">
        <f>IF($Y$2="2018年",'Offer Statistics'!FE4,IF($Y$2="2019年",'Offer Statistics'!FE50,IF($Y$2="2020年",'Offer Statistics'!FE96)))</f>
        <v>/</v>
      </c>
      <c r="AH4" s="234" t="str">
        <f>IF($Y$2="2018年",'Offer Statistics'!EZ4,IF($Y$2="2019年",'Offer Statistics'!EZ50,IF($Y$2="2020年",'Offer Statistics'!EZ96)))</f>
        <v>/</v>
      </c>
      <c r="AI4" s="234" t="str">
        <f>IF($Y$2="2018年",'Offer Statistics'!FA4,IF($Y$2="2019年",'Offer Statistics'!FA50,IF($Y$2="2020年",'Offer Statistics'!FA96)))</f>
        <v>/</v>
      </c>
      <c r="AJ4" s="234" t="str">
        <f>IF($Y$2="2018年",'Offer Statistics'!FB4,IF($Y$2="2019年",'Offer Statistics'!FB50,IF($Y$2="2020年",'Offer Statistics'!FB96)))</f>
        <v>/</v>
      </c>
      <c r="AK4" s="234" t="str">
        <f>IF($Y$2="2018年",'Offer Statistics'!FC4,IF($Y$2="2019年",'Offer Statistics'!FC50,IF($Y$2="2020年",'Offer Statistics'!FC96)))</f>
        <v>/</v>
      </c>
      <c r="AL4" s="234" t="str">
        <f>IF($Y$2="2018年",'Offer Statistics'!FD4,IF($Y$2="2019年",'Offer Statistics'!FD50,IF($Y$2="2020年",'Offer Statistics'!FD96)))</f>
        <v>/</v>
      </c>
      <c r="AM4" s="225"/>
      <c r="AN4" s="226" t="str">
        <f t="shared" si="3"/>
        <v>JSSA03</v>
      </c>
    </row>
    <row r="5" ht="18.0" customHeight="1">
      <c r="A5" s="142" t="s">
        <v>854</v>
      </c>
      <c r="B5" s="142" t="s">
        <v>1693</v>
      </c>
      <c r="C5" s="142" t="s">
        <v>855</v>
      </c>
      <c r="D5" s="142" t="s">
        <v>1698</v>
      </c>
      <c r="E5" s="135" t="s">
        <v>775</v>
      </c>
      <c r="F5" s="199" t="s">
        <v>541</v>
      </c>
      <c r="G5" s="199" t="s">
        <v>541</v>
      </c>
      <c r="H5" s="199" t="s">
        <v>541</v>
      </c>
      <c r="I5" s="200">
        <f>'計分版'!D380</f>
        <v>0.0000000019</v>
      </c>
      <c r="J5" s="215" t="s">
        <v>541</v>
      </c>
      <c r="K5" s="237" t="s">
        <v>541</v>
      </c>
      <c r="L5" s="132">
        <v>30.0</v>
      </c>
      <c r="M5" s="203">
        <f>'入學要求'!S367</f>
        <v>0</v>
      </c>
      <c r="N5" s="131" t="s">
        <v>1695</v>
      </c>
      <c r="O5" s="131">
        <v>3.0</v>
      </c>
      <c r="P5" s="131">
        <v>3.0</v>
      </c>
      <c r="Q5" s="131">
        <v>2.0</v>
      </c>
      <c r="R5" s="131">
        <v>2.0</v>
      </c>
      <c r="S5" s="131">
        <v>2.0</v>
      </c>
      <c r="T5" s="204">
        <f>'入學要求'!L367</f>
        <v>0</v>
      </c>
      <c r="U5" s="204">
        <f>'入學要求'!M367</f>
        <v>0</v>
      </c>
      <c r="V5" s="204">
        <f>'入學要求'!N367</f>
        <v>0</v>
      </c>
      <c r="W5" s="204">
        <f>'入學要求'!O367</f>
        <v>0</v>
      </c>
      <c r="X5" s="204">
        <f>'入學要求'!P367</f>
        <v>0</v>
      </c>
      <c r="Y5" s="205"/>
      <c r="Z5" s="132" t="str">
        <f>IF($Y$2="2018年",'Offer Statistics'!FM5,IF($Y$2="2019年",'Offer Statistics'!FM51,IF($Y$2="2020年",'Offer Statistics'!FM97)))</f>
        <v>/</v>
      </c>
      <c r="AA5" s="206" t="str">
        <f>IF($Y$2="2018年",'Offer Statistics'!FH5,IF($Y$2="2019年",'Offer Statistics'!FH51,IF($Y$2="2020年",'Offer Statistics'!FH97)))</f>
        <v>/</v>
      </c>
      <c r="AB5" s="206" t="str">
        <f>IF($Y$2="2018年",'Offer Statistics'!FI5,IF($Y$2="2019年",'Offer Statistics'!FI51,IF($Y$2="2020年",'Offer Statistics'!FI97)))</f>
        <v>/</v>
      </c>
      <c r="AC5" s="206" t="str">
        <f>IF($Y$2="2018年",'Offer Statistics'!FJ5,IF($Y$2="2019年",'Offer Statistics'!FJ51,IF($Y$2="2020年",'Offer Statistics'!FJ97)))</f>
        <v>/</v>
      </c>
      <c r="AD5" s="206" t="str">
        <f>IF($Y$2="2018年",'Offer Statistics'!FK5,IF($Y$2="2019年",'Offer Statistics'!FK51,IF($Y$2="2020年",'Offer Statistics'!FK97)))</f>
        <v>/</v>
      </c>
      <c r="AE5" s="206" t="str">
        <f>IF($Y$2="2018年",'Offer Statistics'!FL5,IF($Y$2="2019年",'Offer Statistics'!FL51,IF($Y$2="2020年",'Offer Statistics'!FL97)))</f>
        <v>/</v>
      </c>
      <c r="AF5" s="205"/>
      <c r="AG5" s="132" t="str">
        <f>IF($Y$2="2018年",'Offer Statistics'!FE5,IF($Y$2="2019年",'Offer Statistics'!FE51,IF($Y$2="2020年",'Offer Statistics'!FE97)))</f>
        <v>/</v>
      </c>
      <c r="AH5" s="206" t="str">
        <f>IF($Y$2="2018年",'Offer Statistics'!EZ5,IF($Y$2="2019年",'Offer Statistics'!EZ51,IF($Y$2="2020年",'Offer Statistics'!EZ97)))</f>
        <v>/</v>
      </c>
      <c r="AI5" s="206" t="str">
        <f>IF($Y$2="2018年",'Offer Statistics'!FA5,IF($Y$2="2019年",'Offer Statistics'!FA51,IF($Y$2="2020年",'Offer Statistics'!FA97)))</f>
        <v>/</v>
      </c>
      <c r="AJ5" s="206" t="str">
        <f>IF($Y$2="2018年",'Offer Statistics'!FB5,IF($Y$2="2019年",'Offer Statistics'!FB51,IF($Y$2="2020年",'Offer Statistics'!FB97)))</f>
        <v>/</v>
      </c>
      <c r="AK5" s="206" t="str">
        <f>IF($Y$2="2018年",'Offer Statistics'!FC5,IF($Y$2="2019年",'Offer Statistics'!FC51,IF($Y$2="2020年",'Offer Statistics'!FC97)))</f>
        <v>/</v>
      </c>
      <c r="AL5" s="206" t="str">
        <f>IF($Y$2="2018年",'Offer Statistics'!FD5,IF($Y$2="2019年",'Offer Statistics'!FD51,IF($Y$2="2020年",'Offer Statistics'!FD97)))</f>
        <v>/</v>
      </c>
      <c r="AM5" s="142"/>
      <c r="AN5" s="131" t="str">
        <f t="shared" si="3"/>
        <v>JSSA04</v>
      </c>
    </row>
    <row r="6" ht="18.0" customHeight="1">
      <c r="A6" s="225" t="s">
        <v>856</v>
      </c>
      <c r="B6" s="225" t="s">
        <v>1699</v>
      </c>
      <c r="C6" s="225" t="s">
        <v>857</v>
      </c>
      <c r="D6" s="225" t="s">
        <v>1700</v>
      </c>
      <c r="E6" s="226" t="s">
        <v>775</v>
      </c>
      <c r="F6" s="227">
        <v>18.0</v>
      </c>
      <c r="G6" s="227" t="s">
        <v>541</v>
      </c>
      <c r="H6" s="227">
        <v>14.0</v>
      </c>
      <c r="I6" s="228">
        <f>'計分版'!D381</f>
        <v>0.00000000195</v>
      </c>
      <c r="J6" s="229">
        <f t="shared" ref="J6:J8" si="4">IF(J$1="差距(Median)",I6-F6,IF(J$1="差距(UQ)",I6-F6,IF(J$1="差距(LQ)",I6-H6)))</f>
        <v>-18</v>
      </c>
      <c r="K6" s="230">
        <f t="shared" ref="K6:K8" si="5">IF(J$1="差距(Median)",(I6-F6)/I6,IF(J$1="差距(UQ)",(I6-F6)/I6,IF(J$1="差距(LQ)",(I6-H6)/I6)))</f>
        <v>-9230769230</v>
      </c>
      <c r="L6" s="231">
        <v>60.0</v>
      </c>
      <c r="M6" s="235">
        <f>'入學要求'!S368</f>
        <v>0</v>
      </c>
      <c r="N6" s="210" t="s">
        <v>1695</v>
      </c>
      <c r="O6" s="226">
        <v>3.0</v>
      </c>
      <c r="P6" s="226">
        <v>3.0</v>
      </c>
      <c r="Q6" s="226">
        <v>2.0</v>
      </c>
      <c r="R6" s="226">
        <v>2.0</v>
      </c>
      <c r="S6" s="226">
        <v>2.0</v>
      </c>
      <c r="T6" s="233">
        <f>'入學要求'!L368</f>
        <v>0</v>
      </c>
      <c r="U6" s="233">
        <f>'入學要求'!M368</f>
        <v>0</v>
      </c>
      <c r="V6" s="233">
        <f>'入學要求'!N368</f>
        <v>0</v>
      </c>
      <c r="W6" s="233">
        <f>'入學要求'!O368</f>
        <v>0</v>
      </c>
      <c r="X6" s="233">
        <f>'入學要求'!P368</f>
        <v>0</v>
      </c>
      <c r="Y6" s="205"/>
      <c r="Z6" s="231">
        <f>IF($Y$2="2018年",'Offer Statistics'!FM6,IF($Y$2="2019年",'Offer Statistics'!FM52,IF($Y$2="2020年",'Offer Statistics'!FM98)))</f>
        <v>34</v>
      </c>
      <c r="AA6" s="234">
        <f>IF($Y$2="2018年",'Offer Statistics'!FH6,IF($Y$2="2019年",'Offer Statistics'!FH52,IF($Y$2="2020年",'Offer Statistics'!FH98)))</f>
        <v>21</v>
      </c>
      <c r="AB6" s="234">
        <f>IF($Y$2="2018年",'Offer Statistics'!FI6,IF($Y$2="2019年",'Offer Statistics'!FI52,IF($Y$2="2020年",'Offer Statistics'!FI98)))</f>
        <v>6</v>
      </c>
      <c r="AC6" s="234">
        <f>IF($Y$2="2018年",'Offer Statistics'!FJ6,IF($Y$2="2019年",'Offer Statistics'!FJ52,IF($Y$2="2020年",'Offer Statistics'!FJ98)))</f>
        <v>3</v>
      </c>
      <c r="AD6" s="234">
        <f>IF($Y$2="2018年",'Offer Statistics'!FK6,IF($Y$2="2019年",'Offer Statistics'!FK52,IF($Y$2="2020年",'Offer Statistics'!FK98)))</f>
        <v>3</v>
      </c>
      <c r="AE6" s="234">
        <f>IF($Y$2="2018年",'Offer Statistics'!FL6,IF($Y$2="2019年",'Offer Statistics'!FL52,IF($Y$2="2020年",'Offer Statistics'!FL98)))</f>
        <v>1</v>
      </c>
      <c r="AF6" s="205"/>
      <c r="AG6" s="231">
        <f>IF($Y$2="2018年",'Offer Statistics'!FE6,IF($Y$2="2019年",'Offer Statistics'!FE52,IF($Y$2="2020年",'Offer Statistics'!FE98)))</f>
        <v>1110</v>
      </c>
      <c r="AH6" s="234">
        <f>IF($Y$2="2018年",'Offer Statistics'!EZ6,IF($Y$2="2019年",'Offer Statistics'!EZ52,IF($Y$2="2020年",'Offer Statistics'!EZ98)))</f>
        <v>118</v>
      </c>
      <c r="AI6" s="234">
        <f>IF($Y$2="2018年",'Offer Statistics'!FA6,IF($Y$2="2019年",'Offer Statistics'!FA52,IF($Y$2="2020年",'Offer Statistics'!FA98)))</f>
        <v>148</v>
      </c>
      <c r="AJ6" s="234">
        <f>IF($Y$2="2018年",'Offer Statistics'!FB6,IF($Y$2="2019年",'Offer Statistics'!FB52,IF($Y$2="2020年",'Offer Statistics'!FB98)))</f>
        <v>198</v>
      </c>
      <c r="AK6" s="234">
        <f>IF($Y$2="2018年",'Offer Statistics'!FC6,IF($Y$2="2019年",'Offer Statistics'!FC52,IF($Y$2="2020年",'Offer Statistics'!FC98)))</f>
        <v>298</v>
      </c>
      <c r="AL6" s="234">
        <f>IF($Y$2="2018年",'Offer Statistics'!FD6,IF($Y$2="2019年",'Offer Statistics'!FD52,IF($Y$2="2020年",'Offer Statistics'!FD98)))</f>
        <v>348</v>
      </c>
      <c r="AM6" s="225"/>
      <c r="AN6" s="226" t="str">
        <f t="shared" si="3"/>
        <v>JSSC02</v>
      </c>
    </row>
    <row r="7" ht="18.0" customHeight="1">
      <c r="A7" s="142" t="s">
        <v>858</v>
      </c>
      <c r="B7" s="142" t="s">
        <v>1699</v>
      </c>
      <c r="C7" s="142" t="s">
        <v>859</v>
      </c>
      <c r="D7" s="142" t="s">
        <v>1701</v>
      </c>
      <c r="E7" s="131" t="s">
        <v>775</v>
      </c>
      <c r="F7" s="199">
        <v>14.0</v>
      </c>
      <c r="G7" s="199" t="s">
        <v>541</v>
      </c>
      <c r="H7" s="199">
        <v>14.0</v>
      </c>
      <c r="I7" s="200">
        <f>'計分版'!D382</f>
        <v>0.00000000195</v>
      </c>
      <c r="J7" s="201">
        <f t="shared" si="4"/>
        <v>-14</v>
      </c>
      <c r="K7" s="202">
        <f t="shared" si="5"/>
        <v>-7179487178</v>
      </c>
      <c r="L7" s="132">
        <v>30.0</v>
      </c>
      <c r="M7" s="203">
        <f>'入學要求'!S369</f>
        <v>0</v>
      </c>
      <c r="N7" s="205"/>
      <c r="O7" s="131">
        <v>3.0</v>
      </c>
      <c r="P7" s="131">
        <v>3.0</v>
      </c>
      <c r="Q7" s="131">
        <v>2.0</v>
      </c>
      <c r="R7" s="131">
        <v>2.0</v>
      </c>
      <c r="S7" s="131">
        <v>2.0</v>
      </c>
      <c r="T7" s="204">
        <f>'入學要求'!L369</f>
        <v>0</v>
      </c>
      <c r="U7" s="204">
        <f>'入學要求'!M369</f>
        <v>0</v>
      </c>
      <c r="V7" s="204">
        <f>'入學要求'!N369</f>
        <v>0</v>
      </c>
      <c r="W7" s="204">
        <f>'入學要求'!O369</f>
        <v>0</v>
      </c>
      <c r="X7" s="204">
        <f>'入學要求'!P369</f>
        <v>0</v>
      </c>
      <c r="Y7" s="205"/>
      <c r="Z7" s="132">
        <f>IF($Y$2="2018年",'Offer Statistics'!FM7,IF($Y$2="2019年",'Offer Statistics'!FM53,IF($Y$2="2020年",'Offer Statistics'!FM99)))</f>
        <v>17</v>
      </c>
      <c r="AA7" s="206">
        <f>IF($Y$2="2018年",'Offer Statistics'!FH7,IF($Y$2="2019年",'Offer Statistics'!FH53,IF($Y$2="2020年",'Offer Statistics'!FH99)))</f>
        <v>5</v>
      </c>
      <c r="AB7" s="206">
        <f>IF($Y$2="2018年",'Offer Statistics'!FI7,IF($Y$2="2019年",'Offer Statistics'!FI53,IF($Y$2="2020年",'Offer Statistics'!FI99)))</f>
        <v>7</v>
      </c>
      <c r="AC7" s="206">
        <f>IF($Y$2="2018年",'Offer Statistics'!FJ7,IF($Y$2="2019年",'Offer Statistics'!FJ53,IF($Y$2="2020年",'Offer Statistics'!FJ99)))</f>
        <v>1</v>
      </c>
      <c r="AD7" s="206">
        <f>IF($Y$2="2018年",'Offer Statistics'!FK7,IF($Y$2="2019年",'Offer Statistics'!FK53,IF($Y$2="2020年",'Offer Statistics'!FK99)))</f>
        <v>1</v>
      </c>
      <c r="AE7" s="206">
        <f>IF($Y$2="2018年",'Offer Statistics'!FL7,IF($Y$2="2019年",'Offer Statistics'!FL53,IF($Y$2="2020年",'Offer Statistics'!FL99)))</f>
        <v>3</v>
      </c>
      <c r="AF7" s="205"/>
      <c r="AG7" s="132">
        <f>IF($Y$2="2018年",'Offer Statistics'!FE7,IF($Y$2="2019年",'Offer Statistics'!FE53,IF($Y$2="2020年",'Offer Statistics'!FE99)))</f>
        <v>1312</v>
      </c>
      <c r="AH7" s="206">
        <f>IF($Y$2="2018年",'Offer Statistics'!EZ7,IF($Y$2="2019年",'Offer Statistics'!EZ53,IF($Y$2="2020年",'Offer Statistics'!EZ99)))</f>
        <v>111</v>
      </c>
      <c r="AI7" s="206">
        <f>IF($Y$2="2018年",'Offer Statistics'!FA7,IF($Y$2="2019年",'Offer Statistics'!FA53,IF($Y$2="2020年",'Offer Statistics'!FA99)))</f>
        <v>180</v>
      </c>
      <c r="AJ7" s="206">
        <f>IF($Y$2="2018年",'Offer Statistics'!FB7,IF($Y$2="2019年",'Offer Statistics'!FB53,IF($Y$2="2020年",'Offer Statistics'!FB99)))</f>
        <v>252</v>
      </c>
      <c r="AK7" s="206">
        <f>IF($Y$2="2018年",'Offer Statistics'!FC7,IF($Y$2="2019年",'Offer Statistics'!FC53,IF($Y$2="2020年",'Offer Statistics'!FC99)))</f>
        <v>371</v>
      </c>
      <c r="AL7" s="206">
        <f>IF($Y$2="2018年",'Offer Statistics'!FD7,IF($Y$2="2019年",'Offer Statistics'!FD53,IF($Y$2="2020年",'Offer Statistics'!FD99)))</f>
        <v>398</v>
      </c>
      <c r="AM7" s="142"/>
      <c r="AN7" s="131" t="str">
        <f t="shared" si="3"/>
        <v>JSSC03</v>
      </c>
    </row>
    <row r="8" ht="18.0" customHeight="1">
      <c r="A8" s="225" t="s">
        <v>860</v>
      </c>
      <c r="B8" s="225" t="s">
        <v>1699</v>
      </c>
      <c r="C8" s="225" t="s">
        <v>861</v>
      </c>
      <c r="D8" s="225" t="s">
        <v>1702</v>
      </c>
      <c r="E8" s="226" t="s">
        <v>775</v>
      </c>
      <c r="F8" s="227">
        <v>18.0</v>
      </c>
      <c r="G8" s="227" t="s">
        <v>541</v>
      </c>
      <c r="H8" s="227">
        <v>13.0</v>
      </c>
      <c r="I8" s="228">
        <f>'計分版'!D383</f>
        <v>0.00000000195</v>
      </c>
      <c r="J8" s="229">
        <f t="shared" si="4"/>
        <v>-18</v>
      </c>
      <c r="K8" s="230">
        <f t="shared" si="5"/>
        <v>-9230769230</v>
      </c>
      <c r="L8" s="231">
        <v>30.0</v>
      </c>
      <c r="M8" s="235">
        <f>'入學要求'!S370</f>
        <v>0</v>
      </c>
      <c r="N8" s="205"/>
      <c r="O8" s="226">
        <v>3.0</v>
      </c>
      <c r="P8" s="226">
        <v>3.0</v>
      </c>
      <c r="Q8" s="226">
        <v>2.0</v>
      </c>
      <c r="R8" s="226">
        <v>2.0</v>
      </c>
      <c r="S8" s="226">
        <v>2.0</v>
      </c>
      <c r="T8" s="233">
        <f>'入學要求'!L370</f>
        <v>0</v>
      </c>
      <c r="U8" s="233">
        <f>'入學要求'!M370</f>
        <v>0</v>
      </c>
      <c r="V8" s="233">
        <f>'入學要求'!N370</f>
        <v>0</v>
      </c>
      <c r="W8" s="233">
        <f>'入學要求'!O370</f>
        <v>0</v>
      </c>
      <c r="X8" s="233">
        <f>'入學要求'!P370</f>
        <v>0</v>
      </c>
      <c r="Y8" s="205"/>
      <c r="Z8" s="231">
        <f>IF($Y$2="2018年",'Offer Statistics'!FM8,IF($Y$2="2019年",'Offer Statistics'!FM54,IF($Y$2="2020年",'Offer Statistics'!FM100)))</f>
        <v>50</v>
      </c>
      <c r="AA8" s="234">
        <f>IF($Y$2="2018年",'Offer Statistics'!FH8,IF($Y$2="2019年",'Offer Statistics'!FH54,IF($Y$2="2020年",'Offer Statistics'!FH100)))</f>
        <v>32</v>
      </c>
      <c r="AB8" s="234">
        <f>IF($Y$2="2018年",'Offer Statistics'!FI8,IF($Y$2="2019年",'Offer Statistics'!FI54,IF($Y$2="2020年",'Offer Statistics'!FI100)))</f>
        <v>17</v>
      </c>
      <c r="AC8" s="234">
        <f>IF($Y$2="2018年",'Offer Statistics'!FJ8,IF($Y$2="2019年",'Offer Statistics'!FJ54,IF($Y$2="2020年",'Offer Statistics'!FJ100)))</f>
        <v>1</v>
      </c>
      <c r="AD8" s="234">
        <f>IF($Y$2="2018年",'Offer Statistics'!FK8,IF($Y$2="2019年",'Offer Statistics'!FK54,IF($Y$2="2020年",'Offer Statistics'!FK100)))</f>
        <v>0</v>
      </c>
      <c r="AE8" s="234">
        <f>IF($Y$2="2018年",'Offer Statistics'!FL8,IF($Y$2="2019年",'Offer Statistics'!FL54,IF($Y$2="2020年",'Offer Statistics'!FL100)))</f>
        <v>0</v>
      </c>
      <c r="AF8" s="205"/>
      <c r="AG8" s="231">
        <f>IF($Y$2="2018年",'Offer Statistics'!FE8,IF($Y$2="2019年",'Offer Statistics'!FE54,IF($Y$2="2020年",'Offer Statistics'!FE100)))</f>
        <v>2236</v>
      </c>
      <c r="AH8" s="234">
        <f>IF($Y$2="2018年",'Offer Statistics'!EZ8,IF($Y$2="2019年",'Offer Statistics'!EZ54,IF($Y$2="2020年",'Offer Statistics'!EZ100)))</f>
        <v>240</v>
      </c>
      <c r="AI8" s="234">
        <f>IF($Y$2="2018年",'Offer Statistics'!FA8,IF($Y$2="2019年",'Offer Statistics'!FA54,IF($Y$2="2020年",'Offer Statistics'!FA100)))</f>
        <v>380</v>
      </c>
      <c r="AJ8" s="234">
        <f>IF($Y$2="2018年",'Offer Statistics'!FB8,IF($Y$2="2019年",'Offer Statistics'!FB54,IF($Y$2="2020年",'Offer Statistics'!FB100)))</f>
        <v>431</v>
      </c>
      <c r="AK8" s="234">
        <f>IF($Y$2="2018年",'Offer Statistics'!FC8,IF($Y$2="2019年",'Offer Statistics'!FC54,IF($Y$2="2020年",'Offer Statistics'!FC100)))</f>
        <v>490</v>
      </c>
      <c r="AL8" s="234">
        <f>IF($Y$2="2018年",'Offer Statistics'!FD8,IF($Y$2="2019年",'Offer Statistics'!FD54,IF($Y$2="2020年",'Offer Statistics'!FD100)))</f>
        <v>695</v>
      </c>
      <c r="AM8" s="225"/>
      <c r="AN8" s="226" t="str">
        <f t="shared" si="3"/>
        <v>JSSC04</v>
      </c>
    </row>
    <row r="9" ht="18.0" customHeight="1">
      <c r="A9" s="142" t="s">
        <v>862</v>
      </c>
      <c r="B9" s="142" t="s">
        <v>1703</v>
      </c>
      <c r="C9" s="142" t="s">
        <v>863</v>
      </c>
      <c r="D9" s="142" t="s">
        <v>1704</v>
      </c>
      <c r="E9" s="166" t="s">
        <v>21</v>
      </c>
      <c r="F9" s="199" t="s">
        <v>541</v>
      </c>
      <c r="G9" s="132">
        <v>17.02</v>
      </c>
      <c r="H9" s="199" t="s">
        <v>541</v>
      </c>
      <c r="I9" s="200">
        <f>'計分版'!D384</f>
        <v>0.0000000029</v>
      </c>
      <c r="J9" s="201">
        <f t="shared" ref="J9:J13" si="6">I9-G9</f>
        <v>-17.02</v>
      </c>
      <c r="K9" s="202">
        <f t="shared" ref="K9:K13" si="7">(I9-G9)/I9</f>
        <v>-5868965516</v>
      </c>
      <c r="L9" s="132">
        <v>105.0</v>
      </c>
      <c r="M9" s="203">
        <f>'入學要求'!S371</f>
        <v>0</v>
      </c>
      <c r="N9" s="131" t="s">
        <v>1695</v>
      </c>
      <c r="O9" s="131">
        <v>3.0</v>
      </c>
      <c r="P9" s="131">
        <v>3.0</v>
      </c>
      <c r="Q9" s="131">
        <v>2.0</v>
      </c>
      <c r="R9" s="131">
        <v>2.0</v>
      </c>
      <c r="S9" s="131">
        <v>2.0</v>
      </c>
      <c r="T9" s="204">
        <f>'入學要求'!L371</f>
        <v>0</v>
      </c>
      <c r="U9" s="204">
        <f>'入學要求'!M371</f>
        <v>0</v>
      </c>
      <c r="V9" s="204">
        <f>'入學要求'!N371</f>
        <v>0</v>
      </c>
      <c r="W9" s="204">
        <f>'入學要求'!O371</f>
        <v>0</v>
      </c>
      <c r="X9" s="204">
        <f>'入學要求'!P371</f>
        <v>0</v>
      </c>
      <c r="Y9" s="205"/>
      <c r="Z9" s="132">
        <f>IF($Y$2="2018年",'Offer Statistics'!FM9,IF($Y$2="2019年",'Offer Statistics'!FM55,IF($Y$2="2020年",'Offer Statistics'!FM101)))</f>
        <v>189</v>
      </c>
      <c r="AA9" s="206">
        <f>IF($Y$2="2018年",'Offer Statistics'!FH9,IF($Y$2="2019年",'Offer Statistics'!FH55,IF($Y$2="2020年",'Offer Statistics'!FH101)))</f>
        <v>189</v>
      </c>
      <c r="AB9" s="206">
        <f>IF($Y$2="2018年",'Offer Statistics'!FI9,IF($Y$2="2019年",'Offer Statistics'!FI55,IF($Y$2="2020年",'Offer Statistics'!FI101)))</f>
        <v>0</v>
      </c>
      <c r="AC9" s="206">
        <f>IF($Y$2="2018年",'Offer Statistics'!FJ9,IF($Y$2="2019年",'Offer Statistics'!FJ55,IF($Y$2="2020年",'Offer Statistics'!FJ101)))</f>
        <v>0</v>
      </c>
      <c r="AD9" s="206">
        <f>IF($Y$2="2018年",'Offer Statistics'!FK9,IF($Y$2="2019年",'Offer Statistics'!FK55,IF($Y$2="2020年",'Offer Statistics'!FK101)))</f>
        <v>0</v>
      </c>
      <c r="AE9" s="206">
        <f>IF($Y$2="2018年",'Offer Statistics'!FL9,IF($Y$2="2019年",'Offer Statistics'!FL55,IF($Y$2="2020年",'Offer Statistics'!FL101)))</f>
        <v>0</v>
      </c>
      <c r="AF9" s="205"/>
      <c r="AG9" s="132">
        <f>IF($Y$2="2018年",'Offer Statistics'!FE9,IF($Y$2="2019年",'Offer Statistics'!FE55,IF($Y$2="2020年",'Offer Statistics'!FE101)))</f>
        <v>3688</v>
      </c>
      <c r="AH9" s="206">
        <f>IF($Y$2="2018年",'Offer Statistics'!EZ9,IF($Y$2="2019年",'Offer Statistics'!EZ55,IF($Y$2="2020年",'Offer Statistics'!EZ101)))</f>
        <v>844</v>
      </c>
      <c r="AI9" s="206">
        <f>IF($Y$2="2018年",'Offer Statistics'!FA9,IF($Y$2="2019年",'Offer Statistics'!FA55,IF($Y$2="2020年",'Offer Statistics'!FA101)))</f>
        <v>750</v>
      </c>
      <c r="AJ9" s="206">
        <f>IF($Y$2="2018年",'Offer Statistics'!FB9,IF($Y$2="2019年",'Offer Statistics'!FB55,IF($Y$2="2020年",'Offer Statistics'!FB101)))</f>
        <v>620</v>
      </c>
      <c r="AK9" s="206">
        <f>IF($Y$2="2018年",'Offer Statistics'!FC9,IF($Y$2="2019年",'Offer Statistics'!FC55,IF($Y$2="2020年",'Offer Statistics'!FC101)))</f>
        <v>632</v>
      </c>
      <c r="AL9" s="206">
        <f>IF($Y$2="2018年",'Offer Statistics'!FD9,IF($Y$2="2019年",'Offer Statistics'!FD55,IF($Y$2="2020年",'Offer Statistics'!FD101)))</f>
        <v>842</v>
      </c>
      <c r="AM9" s="142"/>
      <c r="AN9" s="131" t="str">
        <f t="shared" si="3"/>
        <v>JSSH01</v>
      </c>
    </row>
    <row r="10" ht="18.0" customHeight="1">
      <c r="A10" s="225" t="s">
        <v>864</v>
      </c>
      <c r="B10" s="225" t="s">
        <v>1703</v>
      </c>
      <c r="C10" s="225" t="s">
        <v>865</v>
      </c>
      <c r="D10" s="225" t="s">
        <v>1705</v>
      </c>
      <c r="E10" s="231" t="s">
        <v>21</v>
      </c>
      <c r="F10" s="227" t="s">
        <v>541</v>
      </c>
      <c r="G10" s="231">
        <v>16.77</v>
      </c>
      <c r="H10" s="227" t="s">
        <v>541</v>
      </c>
      <c r="I10" s="228">
        <f>'計分版'!D385</f>
        <v>0.0000000035</v>
      </c>
      <c r="J10" s="229">
        <f t="shared" si="6"/>
        <v>-16.77</v>
      </c>
      <c r="K10" s="230">
        <f t="shared" si="7"/>
        <v>-4791428570</v>
      </c>
      <c r="L10" s="231">
        <v>35.0</v>
      </c>
      <c r="M10" s="235">
        <f>'入學要求'!S372</f>
        <v>0</v>
      </c>
      <c r="N10" s="226" t="s">
        <v>1695</v>
      </c>
      <c r="O10" s="226">
        <v>3.0</v>
      </c>
      <c r="P10" s="226">
        <v>3.0</v>
      </c>
      <c r="Q10" s="226">
        <v>2.0</v>
      </c>
      <c r="R10" s="226">
        <v>2.0</v>
      </c>
      <c r="S10" s="226">
        <v>2.0</v>
      </c>
      <c r="T10" s="233">
        <f>'入學要求'!L372</f>
        <v>0</v>
      </c>
      <c r="U10" s="233">
        <f>'入學要求'!M372</f>
        <v>0</v>
      </c>
      <c r="V10" s="233">
        <f>'入學要求'!N372</f>
        <v>0</v>
      </c>
      <c r="W10" s="233">
        <f>'入學要求'!O372</f>
        <v>0</v>
      </c>
      <c r="X10" s="233">
        <f>'入學要求'!P372</f>
        <v>0</v>
      </c>
      <c r="Y10" s="205"/>
      <c r="Z10" s="231">
        <f>IF($Y$2="2018年",'Offer Statistics'!FM10,IF($Y$2="2019年",'Offer Statistics'!FM56,IF($Y$2="2020年",'Offer Statistics'!FM102)))</f>
        <v>63</v>
      </c>
      <c r="AA10" s="234">
        <f>IF($Y$2="2018年",'Offer Statistics'!FH10,IF($Y$2="2019年",'Offer Statistics'!FH56,IF($Y$2="2020年",'Offer Statistics'!FH102)))</f>
        <v>39</v>
      </c>
      <c r="AB10" s="234">
        <f>IF($Y$2="2018年",'Offer Statistics'!FI10,IF($Y$2="2019年",'Offer Statistics'!FI56,IF($Y$2="2020年",'Offer Statistics'!FI102)))</f>
        <v>24</v>
      </c>
      <c r="AC10" s="234">
        <f>IF($Y$2="2018年",'Offer Statistics'!FJ10,IF($Y$2="2019年",'Offer Statistics'!FJ56,IF($Y$2="2020年",'Offer Statistics'!FJ102)))</f>
        <v>0</v>
      </c>
      <c r="AD10" s="234">
        <f>IF($Y$2="2018年",'Offer Statistics'!FK10,IF($Y$2="2019年",'Offer Statistics'!FK56,IF($Y$2="2020年",'Offer Statistics'!FK102)))</f>
        <v>0</v>
      </c>
      <c r="AE10" s="234">
        <f>IF($Y$2="2018年",'Offer Statistics'!FL10,IF($Y$2="2019年",'Offer Statistics'!FL56,IF($Y$2="2020年",'Offer Statistics'!FL102)))</f>
        <v>0</v>
      </c>
      <c r="AF10" s="205"/>
      <c r="AG10" s="231">
        <f>IF($Y$2="2018年",'Offer Statistics'!FE10,IF($Y$2="2019年",'Offer Statistics'!FE56,IF($Y$2="2020年",'Offer Statistics'!FE102)))</f>
        <v>1527</v>
      </c>
      <c r="AH10" s="234">
        <f>IF($Y$2="2018年",'Offer Statistics'!EZ10,IF($Y$2="2019年",'Offer Statistics'!EZ56,IF($Y$2="2020年",'Offer Statistics'!EZ102)))</f>
        <v>194</v>
      </c>
      <c r="AI10" s="234">
        <f>IF($Y$2="2018年",'Offer Statistics'!FA10,IF($Y$2="2019年",'Offer Statistics'!FA56,IF($Y$2="2020年",'Offer Statistics'!FA102)))</f>
        <v>291</v>
      </c>
      <c r="AJ10" s="234">
        <f>IF($Y$2="2018年",'Offer Statistics'!FB10,IF($Y$2="2019年",'Offer Statistics'!FB56,IF($Y$2="2020年",'Offer Statistics'!FB102)))</f>
        <v>272</v>
      </c>
      <c r="AK10" s="234">
        <f>IF($Y$2="2018年",'Offer Statistics'!FC10,IF($Y$2="2019年",'Offer Statistics'!FC56,IF($Y$2="2020年",'Offer Statistics'!FC102)))</f>
        <v>352</v>
      </c>
      <c r="AL10" s="234">
        <f>IF($Y$2="2018年",'Offer Statistics'!FD10,IF($Y$2="2019年",'Offer Statistics'!FD56,IF($Y$2="2020年",'Offer Statistics'!FD102)))</f>
        <v>418</v>
      </c>
      <c r="AM10" s="225"/>
      <c r="AN10" s="226" t="str">
        <f t="shared" si="3"/>
        <v>JSSH02</v>
      </c>
    </row>
    <row r="11" ht="18.0" customHeight="1">
      <c r="A11" s="142" t="s">
        <v>866</v>
      </c>
      <c r="B11" s="142" t="s">
        <v>1703</v>
      </c>
      <c r="C11" s="142" t="s">
        <v>867</v>
      </c>
      <c r="D11" s="142" t="s">
        <v>1706</v>
      </c>
      <c r="E11" s="166" t="s">
        <v>21</v>
      </c>
      <c r="F11" s="199" t="s">
        <v>541</v>
      </c>
      <c r="G11" s="132">
        <v>15.97</v>
      </c>
      <c r="H11" s="199" t="s">
        <v>541</v>
      </c>
      <c r="I11" s="200">
        <f>'計分版'!D386</f>
        <v>0.0000000035</v>
      </c>
      <c r="J11" s="201">
        <f t="shared" si="6"/>
        <v>-15.97</v>
      </c>
      <c r="K11" s="202">
        <f t="shared" si="7"/>
        <v>-4562857142</v>
      </c>
      <c r="L11" s="132">
        <v>60.0</v>
      </c>
      <c r="M11" s="203">
        <f>'入學要求'!S373</f>
        <v>0</v>
      </c>
      <c r="N11" s="131" t="s">
        <v>1695</v>
      </c>
      <c r="O11" s="131">
        <v>3.0</v>
      </c>
      <c r="P11" s="131">
        <v>3.0</v>
      </c>
      <c r="Q11" s="131">
        <v>2.0</v>
      </c>
      <c r="R11" s="131">
        <v>2.0</v>
      </c>
      <c r="S11" s="131">
        <v>2.0</v>
      </c>
      <c r="T11" s="204">
        <f>'入學要求'!L373</f>
        <v>0</v>
      </c>
      <c r="U11" s="204">
        <f>'入學要求'!M373</f>
        <v>0</v>
      </c>
      <c r="V11" s="204">
        <f>'入學要求'!N373</f>
        <v>0</v>
      </c>
      <c r="W11" s="204">
        <f>'入學要求'!O373</f>
        <v>0</v>
      </c>
      <c r="X11" s="204">
        <f>'入學要求'!P373</f>
        <v>0</v>
      </c>
      <c r="Y11" s="205"/>
      <c r="Z11" s="132">
        <f>IF($Y$2="2018年",'Offer Statistics'!FM11,IF($Y$2="2019年",'Offer Statistics'!FM57,IF($Y$2="2020年",'Offer Statistics'!FM103)))</f>
        <v>69</v>
      </c>
      <c r="AA11" s="206">
        <f>IF($Y$2="2018年",'Offer Statistics'!FH11,IF($Y$2="2019年",'Offer Statistics'!FH57,IF($Y$2="2020年",'Offer Statistics'!FH103)))</f>
        <v>49</v>
      </c>
      <c r="AB11" s="206">
        <f>IF($Y$2="2018年",'Offer Statistics'!FI11,IF($Y$2="2019年",'Offer Statistics'!FI57,IF($Y$2="2020年",'Offer Statistics'!FI103)))</f>
        <v>14</v>
      </c>
      <c r="AC11" s="206">
        <f>IF($Y$2="2018年",'Offer Statistics'!FJ11,IF($Y$2="2019年",'Offer Statistics'!FJ57,IF($Y$2="2020年",'Offer Statistics'!FJ103)))</f>
        <v>4</v>
      </c>
      <c r="AD11" s="206">
        <f>IF($Y$2="2018年",'Offer Statistics'!FK11,IF($Y$2="2019年",'Offer Statistics'!FK57,IF($Y$2="2020年",'Offer Statistics'!FK103)))</f>
        <v>2</v>
      </c>
      <c r="AE11" s="206">
        <f>IF($Y$2="2018年",'Offer Statistics'!FL11,IF($Y$2="2019年",'Offer Statistics'!FL57,IF($Y$2="2020年",'Offer Statistics'!FL103)))</f>
        <v>0</v>
      </c>
      <c r="AF11" s="205"/>
      <c r="AG11" s="132">
        <f>IF($Y$2="2018年",'Offer Statistics'!FE11,IF($Y$2="2019年",'Offer Statistics'!FE57,IF($Y$2="2020年",'Offer Statistics'!FE103)))</f>
        <v>1136</v>
      </c>
      <c r="AH11" s="206">
        <f>IF($Y$2="2018年",'Offer Statistics'!EZ11,IF($Y$2="2019年",'Offer Statistics'!EZ57,IF($Y$2="2020年",'Offer Statistics'!EZ103)))</f>
        <v>181</v>
      </c>
      <c r="AI11" s="206">
        <f>IF($Y$2="2018年",'Offer Statistics'!FA11,IF($Y$2="2019年",'Offer Statistics'!FA57,IF($Y$2="2020年",'Offer Statistics'!FA103)))</f>
        <v>225</v>
      </c>
      <c r="AJ11" s="206">
        <f>IF($Y$2="2018年",'Offer Statistics'!FB11,IF($Y$2="2019年",'Offer Statistics'!FB57,IF($Y$2="2020年",'Offer Statistics'!FB103)))</f>
        <v>200</v>
      </c>
      <c r="AK11" s="206">
        <f>IF($Y$2="2018年",'Offer Statistics'!FC11,IF($Y$2="2019年",'Offer Statistics'!FC57,IF($Y$2="2020年",'Offer Statistics'!FC103)))</f>
        <v>232</v>
      </c>
      <c r="AL11" s="206">
        <f>IF($Y$2="2018年",'Offer Statistics'!FD11,IF($Y$2="2019年",'Offer Statistics'!FD57,IF($Y$2="2020年",'Offer Statistics'!FD103)))</f>
        <v>298</v>
      </c>
      <c r="AM11" s="142"/>
      <c r="AN11" s="131" t="str">
        <f t="shared" si="3"/>
        <v>JSSH03</v>
      </c>
    </row>
    <row r="12" ht="18.0" customHeight="1">
      <c r="A12" s="225" t="s">
        <v>868</v>
      </c>
      <c r="B12" s="225" t="s">
        <v>1703</v>
      </c>
      <c r="C12" s="225" t="s">
        <v>869</v>
      </c>
      <c r="D12" s="225" t="s">
        <v>1707</v>
      </c>
      <c r="E12" s="226" t="s">
        <v>21</v>
      </c>
      <c r="F12" s="227" t="s">
        <v>541</v>
      </c>
      <c r="G12" s="231">
        <v>16.34</v>
      </c>
      <c r="H12" s="227" t="s">
        <v>541</v>
      </c>
      <c r="I12" s="228">
        <f>'計分版'!D387</f>
        <v>0.0000000033</v>
      </c>
      <c r="J12" s="229">
        <f t="shared" si="6"/>
        <v>-16.34</v>
      </c>
      <c r="K12" s="230">
        <f t="shared" si="7"/>
        <v>-4951515151</v>
      </c>
      <c r="L12" s="231">
        <v>70.0</v>
      </c>
      <c r="M12" s="235">
        <f>'入學要求'!S374</f>
        <v>0</v>
      </c>
      <c r="N12" s="226" t="s">
        <v>1695</v>
      </c>
      <c r="O12" s="226">
        <v>3.0</v>
      </c>
      <c r="P12" s="226">
        <v>3.0</v>
      </c>
      <c r="Q12" s="226">
        <v>2.0</v>
      </c>
      <c r="R12" s="226">
        <v>2.0</v>
      </c>
      <c r="S12" s="226">
        <v>2.0</v>
      </c>
      <c r="T12" s="233">
        <f>'入學要求'!L374</f>
        <v>0</v>
      </c>
      <c r="U12" s="233">
        <f>'入學要求'!M374</f>
        <v>0</v>
      </c>
      <c r="V12" s="233">
        <f>'入學要求'!N374</f>
        <v>0</v>
      </c>
      <c r="W12" s="233">
        <f>'入學要求'!O374</f>
        <v>0</v>
      </c>
      <c r="X12" s="233">
        <f>'入學要求'!P374</f>
        <v>0</v>
      </c>
      <c r="Y12" s="205"/>
      <c r="Z12" s="231">
        <f>IF($Y$2="2018年",'Offer Statistics'!FM12,IF($Y$2="2019年",'Offer Statistics'!FM58,IF($Y$2="2020年",'Offer Statistics'!FM104)))</f>
        <v>126</v>
      </c>
      <c r="AA12" s="234">
        <f>IF($Y$2="2018年",'Offer Statistics'!FH12,IF($Y$2="2019年",'Offer Statistics'!FH58,IF($Y$2="2020年",'Offer Statistics'!FH104)))</f>
        <v>104</v>
      </c>
      <c r="AB12" s="234">
        <f>IF($Y$2="2018年",'Offer Statistics'!FI12,IF($Y$2="2019年",'Offer Statistics'!FI58,IF($Y$2="2020年",'Offer Statistics'!FI104)))</f>
        <v>22</v>
      </c>
      <c r="AC12" s="234">
        <f>IF($Y$2="2018年",'Offer Statistics'!FJ12,IF($Y$2="2019年",'Offer Statistics'!FJ58,IF($Y$2="2020年",'Offer Statistics'!FJ104)))</f>
        <v>0</v>
      </c>
      <c r="AD12" s="234">
        <f>IF($Y$2="2018年",'Offer Statistics'!FK12,IF($Y$2="2019年",'Offer Statistics'!FK58,IF($Y$2="2020年",'Offer Statistics'!FK104)))</f>
        <v>0</v>
      </c>
      <c r="AE12" s="234">
        <f>IF($Y$2="2018年",'Offer Statistics'!FL12,IF($Y$2="2019年",'Offer Statistics'!FL58,IF($Y$2="2020年",'Offer Statistics'!FL104)))</f>
        <v>0</v>
      </c>
      <c r="AF12" s="205"/>
      <c r="AG12" s="231">
        <f>IF($Y$2="2018年",'Offer Statistics'!FE12,IF($Y$2="2019年",'Offer Statistics'!FE58,IF($Y$2="2020年",'Offer Statistics'!FE104)))</f>
        <v>2146</v>
      </c>
      <c r="AH12" s="234">
        <f>IF($Y$2="2018年",'Offer Statistics'!EZ12,IF($Y$2="2019年",'Offer Statistics'!EZ58,IF($Y$2="2020年",'Offer Statistics'!EZ104)))</f>
        <v>404</v>
      </c>
      <c r="AI12" s="234">
        <f>IF($Y$2="2018年",'Offer Statistics'!FA12,IF($Y$2="2019年",'Offer Statistics'!FA58,IF($Y$2="2020年",'Offer Statistics'!FA104)))</f>
        <v>408</v>
      </c>
      <c r="AJ12" s="234">
        <f>IF($Y$2="2018年",'Offer Statistics'!FB12,IF($Y$2="2019年",'Offer Statistics'!FB58,IF($Y$2="2020年",'Offer Statistics'!FB104)))</f>
        <v>407</v>
      </c>
      <c r="AK12" s="234">
        <f>IF($Y$2="2018年",'Offer Statistics'!FC12,IF($Y$2="2019年",'Offer Statistics'!FC58,IF($Y$2="2020年",'Offer Statistics'!FC104)))</f>
        <v>364</v>
      </c>
      <c r="AL12" s="234">
        <f>IF($Y$2="2018年",'Offer Statistics'!FD12,IF($Y$2="2019年",'Offer Statistics'!FD58,IF($Y$2="2020年",'Offer Statistics'!FD104)))</f>
        <v>563</v>
      </c>
      <c r="AM12" s="225"/>
      <c r="AN12" s="226" t="str">
        <f t="shared" si="3"/>
        <v>JSSH04</v>
      </c>
    </row>
    <row r="13" ht="18.0" customHeight="1">
      <c r="A13" s="142" t="s">
        <v>870</v>
      </c>
      <c r="B13" s="142" t="s">
        <v>1703</v>
      </c>
      <c r="C13" s="142" t="s">
        <v>871</v>
      </c>
      <c r="D13" s="142" t="s">
        <v>1708</v>
      </c>
      <c r="E13" s="166" t="s">
        <v>21</v>
      </c>
      <c r="F13" s="199" t="s">
        <v>541</v>
      </c>
      <c r="G13" s="132">
        <v>16.13</v>
      </c>
      <c r="H13" s="199" t="s">
        <v>541</v>
      </c>
      <c r="I13" s="200">
        <f>'計分版'!D388</f>
        <v>0.0000000035</v>
      </c>
      <c r="J13" s="201">
        <f t="shared" si="6"/>
        <v>-16.13</v>
      </c>
      <c r="K13" s="202">
        <f t="shared" si="7"/>
        <v>-4608571428</v>
      </c>
      <c r="L13" s="132">
        <v>65.0</v>
      </c>
      <c r="M13" s="203">
        <f>'入學要求'!S375</f>
        <v>0</v>
      </c>
      <c r="N13" s="131" t="s">
        <v>1695</v>
      </c>
      <c r="O13" s="131">
        <v>3.0</v>
      </c>
      <c r="P13" s="131">
        <v>3.0</v>
      </c>
      <c r="Q13" s="131">
        <v>2.0</v>
      </c>
      <c r="R13" s="131">
        <v>2.0</v>
      </c>
      <c r="S13" s="131">
        <v>2.0</v>
      </c>
      <c r="T13" s="204">
        <f>'入學要求'!L375</f>
        <v>0</v>
      </c>
      <c r="U13" s="204">
        <f>'入學要求'!M375</f>
        <v>0</v>
      </c>
      <c r="V13" s="204">
        <f>'入學要求'!N375</f>
        <v>0</v>
      </c>
      <c r="W13" s="204">
        <f>'入學要求'!O375</f>
        <v>0</v>
      </c>
      <c r="X13" s="204">
        <f>'入學要求'!P375</f>
        <v>0</v>
      </c>
      <c r="Y13" s="205"/>
      <c r="Z13" s="132">
        <f>IF($Y$2="2018年",'Offer Statistics'!FM13,IF($Y$2="2019年",'Offer Statistics'!FM59,IF($Y$2="2020年",'Offer Statistics'!FM105)))</f>
        <v>117</v>
      </c>
      <c r="AA13" s="206">
        <f>IF($Y$2="2018年",'Offer Statistics'!FH13,IF($Y$2="2019年",'Offer Statistics'!FH59,IF($Y$2="2020年",'Offer Statistics'!FH105)))</f>
        <v>101</v>
      </c>
      <c r="AB13" s="206">
        <f>IF($Y$2="2018年",'Offer Statistics'!FI13,IF($Y$2="2019年",'Offer Statistics'!FI59,IF($Y$2="2020年",'Offer Statistics'!FI105)))</f>
        <v>16</v>
      </c>
      <c r="AC13" s="206">
        <f>IF($Y$2="2018年",'Offer Statistics'!FJ13,IF($Y$2="2019年",'Offer Statistics'!FJ59,IF($Y$2="2020年",'Offer Statistics'!FJ105)))</f>
        <v>0</v>
      </c>
      <c r="AD13" s="206">
        <f>IF($Y$2="2018年",'Offer Statistics'!FK13,IF($Y$2="2019年",'Offer Statistics'!FK59,IF($Y$2="2020年",'Offer Statistics'!FK105)))</f>
        <v>0</v>
      </c>
      <c r="AE13" s="206">
        <f>IF($Y$2="2018年",'Offer Statistics'!FL13,IF($Y$2="2019年",'Offer Statistics'!FL59,IF($Y$2="2020年",'Offer Statistics'!FL105)))</f>
        <v>0</v>
      </c>
      <c r="AF13" s="205"/>
      <c r="AG13" s="132">
        <f>IF($Y$2="2018年",'Offer Statistics'!FE13,IF($Y$2="2019年",'Offer Statistics'!FE59,IF($Y$2="2020年",'Offer Statistics'!FE105)))</f>
        <v>2440</v>
      </c>
      <c r="AH13" s="206">
        <f>IF($Y$2="2018年",'Offer Statistics'!EZ13,IF($Y$2="2019年",'Offer Statistics'!EZ59,IF($Y$2="2020年",'Offer Statistics'!EZ105)))</f>
        <v>428</v>
      </c>
      <c r="AI13" s="206">
        <f>IF($Y$2="2018年",'Offer Statistics'!FA13,IF($Y$2="2019年",'Offer Statistics'!FA59,IF($Y$2="2020年",'Offer Statistics'!FA105)))</f>
        <v>513</v>
      </c>
      <c r="AJ13" s="206">
        <f>IF($Y$2="2018年",'Offer Statistics'!FB13,IF($Y$2="2019年",'Offer Statistics'!FB59,IF($Y$2="2020年",'Offer Statistics'!FB105)))</f>
        <v>466</v>
      </c>
      <c r="AK13" s="206">
        <f>IF($Y$2="2018年",'Offer Statistics'!FC13,IF($Y$2="2019年",'Offer Statistics'!FC59,IF($Y$2="2020年",'Offer Statistics'!FC105)))</f>
        <v>458</v>
      </c>
      <c r="AL13" s="206">
        <f>IF($Y$2="2018年",'Offer Statistics'!FD13,IF($Y$2="2019年",'Offer Statistics'!FD59,IF($Y$2="2020年",'Offer Statistics'!FD105)))</f>
        <v>575</v>
      </c>
      <c r="AM13" s="142"/>
      <c r="AN13" s="131" t="str">
        <f t="shared" si="3"/>
        <v>JSSH05</v>
      </c>
    </row>
    <row r="14" ht="18.0" customHeight="1">
      <c r="A14" s="225" t="s">
        <v>872</v>
      </c>
      <c r="B14" s="225" t="s">
        <v>1703</v>
      </c>
      <c r="C14" s="225" t="s">
        <v>873</v>
      </c>
      <c r="D14" s="225" t="s">
        <v>1709</v>
      </c>
      <c r="E14" s="236" t="s">
        <v>775</v>
      </c>
      <c r="F14" s="227" t="s">
        <v>541</v>
      </c>
      <c r="G14" s="227" t="s">
        <v>541</v>
      </c>
      <c r="H14" s="227" t="s">
        <v>541</v>
      </c>
      <c r="I14" s="228">
        <f>'計分版'!D389</f>
        <v>0.0000000019</v>
      </c>
      <c r="J14" s="238" t="s">
        <v>541</v>
      </c>
      <c r="K14" s="239" t="s">
        <v>541</v>
      </c>
      <c r="L14" s="231">
        <v>40.0</v>
      </c>
      <c r="M14" s="235">
        <f>'入學要求'!S376</f>
        <v>0</v>
      </c>
      <c r="N14" s="226" t="s">
        <v>1695</v>
      </c>
      <c r="O14" s="226">
        <v>3.0</v>
      </c>
      <c r="P14" s="226">
        <v>3.0</v>
      </c>
      <c r="Q14" s="226">
        <v>2.0</v>
      </c>
      <c r="R14" s="226">
        <v>2.0</v>
      </c>
      <c r="S14" s="226">
        <v>2.0</v>
      </c>
      <c r="T14" s="233">
        <f>'入學要求'!L376</f>
        <v>0</v>
      </c>
      <c r="U14" s="233">
        <f>'入學要求'!M376</f>
        <v>0</v>
      </c>
      <c r="V14" s="233">
        <f>'入學要求'!N376</f>
        <v>0</v>
      </c>
      <c r="W14" s="233">
        <f>'入學要求'!O376</f>
        <v>0</v>
      </c>
      <c r="X14" s="233">
        <f>'入學要求'!P376</f>
        <v>0</v>
      </c>
      <c r="Y14" s="205"/>
      <c r="Z14" s="231" t="str">
        <f>IF($Y$2="2018年",'Offer Statistics'!FM14,IF($Y$2="2019年",'Offer Statistics'!FM60,IF($Y$2="2020年",'Offer Statistics'!FM106)))</f>
        <v>/</v>
      </c>
      <c r="AA14" s="234" t="str">
        <f>IF($Y$2="2018年",'Offer Statistics'!FH14,IF($Y$2="2019年",'Offer Statistics'!FH60,IF($Y$2="2020年",'Offer Statistics'!FH106)))</f>
        <v>/</v>
      </c>
      <c r="AB14" s="234" t="str">
        <f>IF($Y$2="2018年",'Offer Statistics'!FI14,IF($Y$2="2019年",'Offer Statistics'!FI60,IF($Y$2="2020年",'Offer Statistics'!FI106)))</f>
        <v>/</v>
      </c>
      <c r="AC14" s="234" t="str">
        <f>IF($Y$2="2018年",'Offer Statistics'!FJ14,IF($Y$2="2019年",'Offer Statistics'!FJ60,IF($Y$2="2020年",'Offer Statistics'!FJ106)))</f>
        <v>/</v>
      </c>
      <c r="AD14" s="234" t="str">
        <f>IF($Y$2="2018年",'Offer Statistics'!FK14,IF($Y$2="2019年",'Offer Statistics'!FK60,IF($Y$2="2020年",'Offer Statistics'!FK106)))</f>
        <v>/</v>
      </c>
      <c r="AE14" s="234" t="str">
        <f>IF($Y$2="2018年",'Offer Statistics'!FL14,IF($Y$2="2019年",'Offer Statistics'!FL60,IF($Y$2="2020年",'Offer Statistics'!FL106)))</f>
        <v>/</v>
      </c>
      <c r="AF14" s="205"/>
      <c r="AG14" s="231" t="str">
        <f>IF($Y$2="2018年",'Offer Statistics'!FE14,IF($Y$2="2019年",'Offer Statistics'!FE60,IF($Y$2="2020年",'Offer Statistics'!FE106)))</f>
        <v>/</v>
      </c>
      <c r="AH14" s="234" t="str">
        <f>IF($Y$2="2018年",'Offer Statistics'!EZ14,IF($Y$2="2019年",'Offer Statistics'!EZ60,IF($Y$2="2020年",'Offer Statistics'!EZ106)))</f>
        <v>/</v>
      </c>
      <c r="AI14" s="234" t="str">
        <f>IF($Y$2="2018年",'Offer Statistics'!FA14,IF($Y$2="2019年",'Offer Statistics'!FA60,IF($Y$2="2020年",'Offer Statistics'!FA106)))</f>
        <v>/</v>
      </c>
      <c r="AJ14" s="234" t="str">
        <f>IF($Y$2="2018年",'Offer Statistics'!FB14,IF($Y$2="2019年",'Offer Statistics'!FB60,IF($Y$2="2020年",'Offer Statistics'!FB106)))</f>
        <v>/</v>
      </c>
      <c r="AK14" s="234" t="str">
        <f>IF($Y$2="2018年",'Offer Statistics'!FC14,IF($Y$2="2019年",'Offer Statistics'!FC60,IF($Y$2="2020年",'Offer Statistics'!FC106)))</f>
        <v>/</v>
      </c>
      <c r="AL14" s="234" t="str">
        <f>IF($Y$2="2018年",'Offer Statistics'!FD14,IF($Y$2="2019年",'Offer Statistics'!FD60,IF($Y$2="2020年",'Offer Statistics'!FD106)))</f>
        <v>/</v>
      </c>
      <c r="AM14" s="225"/>
      <c r="AN14" s="226" t="str">
        <f t="shared" si="3"/>
        <v>JSSH06</v>
      </c>
    </row>
    <row r="15" ht="18.0" customHeight="1">
      <c r="A15" s="142" t="s">
        <v>874</v>
      </c>
      <c r="B15" s="142" t="s">
        <v>1710</v>
      </c>
      <c r="C15" s="142" t="s">
        <v>875</v>
      </c>
      <c r="D15" s="142" t="s">
        <v>1711</v>
      </c>
      <c r="E15" s="131" t="s">
        <v>21</v>
      </c>
      <c r="F15" s="199" t="s">
        <v>541</v>
      </c>
      <c r="G15" s="132">
        <v>17.8</v>
      </c>
      <c r="H15" s="199" t="s">
        <v>541</v>
      </c>
      <c r="I15" s="200">
        <f>'計分版'!D390</f>
        <v>0.0000000034</v>
      </c>
      <c r="J15" s="201">
        <f t="shared" ref="J15:J19" si="8">I15-G15</f>
        <v>-17.8</v>
      </c>
      <c r="K15" s="202">
        <f t="shared" ref="K15:K19" si="9">(I15-G15)/I15</f>
        <v>-5235294117</v>
      </c>
      <c r="L15" s="132">
        <v>350.0</v>
      </c>
      <c r="M15" s="203">
        <f>'入學要求'!S377</f>
        <v>0</v>
      </c>
      <c r="N15" s="131" t="s">
        <v>1695</v>
      </c>
      <c r="O15" s="131">
        <v>3.0</v>
      </c>
      <c r="P15" s="131">
        <v>3.0</v>
      </c>
      <c r="Q15" s="131">
        <v>2.0</v>
      </c>
      <c r="R15" s="131">
        <v>2.0</v>
      </c>
      <c r="S15" s="131">
        <v>2.0</v>
      </c>
      <c r="T15" s="204">
        <f>'入學要求'!L377</f>
        <v>0</v>
      </c>
      <c r="U15" s="204">
        <f>'入學要求'!M377</f>
        <v>0</v>
      </c>
      <c r="V15" s="204">
        <f>'入學要求'!N377</f>
        <v>0</v>
      </c>
      <c r="W15" s="204">
        <f>'入學要求'!O377</f>
        <v>0</v>
      </c>
      <c r="X15" s="204">
        <f>'入學要求'!P377</f>
        <v>0</v>
      </c>
      <c r="Y15" s="205"/>
      <c r="Z15" s="132">
        <f>IF($Y$2="2018年",'Offer Statistics'!FM15,IF($Y$2="2019年",'Offer Statistics'!FM61,IF($Y$2="2020年",'Offer Statistics'!FM107)))</f>
        <v>550</v>
      </c>
      <c r="AA15" s="206">
        <f>IF($Y$2="2018年",'Offer Statistics'!FH15,IF($Y$2="2019年",'Offer Statistics'!FH61,IF($Y$2="2020年",'Offer Statistics'!FH107)))</f>
        <v>439</v>
      </c>
      <c r="AB15" s="206">
        <f>IF($Y$2="2018年",'Offer Statistics'!FI15,IF($Y$2="2019年",'Offer Statistics'!FI61,IF($Y$2="2020年",'Offer Statistics'!FI107)))</f>
        <v>111</v>
      </c>
      <c r="AC15" s="206">
        <f>IF($Y$2="2018年",'Offer Statistics'!FJ15,IF($Y$2="2019年",'Offer Statistics'!FJ61,IF($Y$2="2020年",'Offer Statistics'!FJ107)))</f>
        <v>0</v>
      </c>
      <c r="AD15" s="206">
        <f>IF($Y$2="2018年",'Offer Statistics'!FK15,IF($Y$2="2019年",'Offer Statistics'!FK61,IF($Y$2="2020年",'Offer Statistics'!FK107)))</f>
        <v>0</v>
      </c>
      <c r="AE15" s="206">
        <f>IF($Y$2="2018年",'Offer Statistics'!FL15,IF($Y$2="2019年",'Offer Statistics'!FL61,IF($Y$2="2020年",'Offer Statistics'!FL107)))</f>
        <v>0</v>
      </c>
      <c r="AF15" s="205"/>
      <c r="AG15" s="132">
        <f>IF($Y$2="2018年",'Offer Statistics'!FE15,IF($Y$2="2019年",'Offer Statistics'!FE61,IF($Y$2="2020年",'Offer Statistics'!FE107)))</f>
        <v>5917</v>
      </c>
      <c r="AH15" s="206">
        <f>IF($Y$2="2018年",'Offer Statistics'!EZ15,IF($Y$2="2019年",'Offer Statistics'!EZ61,IF($Y$2="2020年",'Offer Statistics'!EZ107)))</f>
        <v>1930</v>
      </c>
      <c r="AI15" s="206">
        <f>IF($Y$2="2018年",'Offer Statistics'!FA15,IF($Y$2="2019年",'Offer Statistics'!FA61,IF($Y$2="2020年",'Offer Statistics'!FA107)))</f>
        <v>1434</v>
      </c>
      <c r="AJ15" s="206">
        <f>IF($Y$2="2018年",'Offer Statistics'!FB15,IF($Y$2="2019年",'Offer Statistics'!FB61,IF($Y$2="2020年",'Offer Statistics'!FB107)))</f>
        <v>995</v>
      </c>
      <c r="AK15" s="206">
        <f>IF($Y$2="2018年",'Offer Statistics'!FC15,IF($Y$2="2019年",'Offer Statistics'!FC61,IF($Y$2="2020年",'Offer Statistics'!FC107)))</f>
        <v>701</v>
      </c>
      <c r="AL15" s="206">
        <f>IF($Y$2="2018年",'Offer Statistics'!FD15,IF($Y$2="2019年",'Offer Statistics'!FD61,IF($Y$2="2020年",'Offer Statistics'!FD107)))</f>
        <v>857</v>
      </c>
      <c r="AM15" s="142"/>
      <c r="AN15" s="131" t="str">
        <f t="shared" si="3"/>
        <v>JSST01</v>
      </c>
    </row>
    <row r="16" ht="18.0" customHeight="1">
      <c r="A16" s="225" t="s">
        <v>876</v>
      </c>
      <c r="B16" s="225" t="s">
        <v>1710</v>
      </c>
      <c r="C16" s="225" t="s">
        <v>877</v>
      </c>
      <c r="D16" s="225" t="s">
        <v>1712</v>
      </c>
      <c r="E16" s="226" t="s">
        <v>21</v>
      </c>
      <c r="F16" s="227" t="s">
        <v>541</v>
      </c>
      <c r="G16" s="231">
        <v>21.5</v>
      </c>
      <c r="H16" s="227" t="s">
        <v>541</v>
      </c>
      <c r="I16" s="228">
        <f>'計分版'!D391</f>
        <v>0.0000000034</v>
      </c>
      <c r="J16" s="229">
        <f t="shared" si="8"/>
        <v>-21.5</v>
      </c>
      <c r="K16" s="230">
        <f t="shared" si="9"/>
        <v>-6323529411</v>
      </c>
      <c r="L16" s="231">
        <v>45.0</v>
      </c>
      <c r="M16" s="235">
        <f>'入學要求'!S378</f>
        <v>0</v>
      </c>
      <c r="N16" s="226" t="s">
        <v>1695</v>
      </c>
      <c r="O16" s="226">
        <v>3.0</v>
      </c>
      <c r="P16" s="226">
        <v>3.0</v>
      </c>
      <c r="Q16" s="226">
        <v>2.0</v>
      </c>
      <c r="R16" s="226">
        <v>2.0</v>
      </c>
      <c r="S16" s="226">
        <v>2.0</v>
      </c>
      <c r="T16" s="233">
        <f>'入學要求'!L378</f>
        <v>0</v>
      </c>
      <c r="U16" s="233">
        <f>'入學要求'!M378</f>
        <v>0</v>
      </c>
      <c r="V16" s="233">
        <f>'入學要求'!N378</f>
        <v>0</v>
      </c>
      <c r="W16" s="233">
        <f>'入學要求'!O378</f>
        <v>0</v>
      </c>
      <c r="X16" s="233">
        <f>'入學要求'!P378</f>
        <v>0</v>
      </c>
      <c r="Y16" s="205"/>
      <c r="Z16" s="231">
        <f>IF($Y$2="2018年",'Offer Statistics'!FM16,IF($Y$2="2019年",'Offer Statistics'!FM62,IF($Y$2="2020年",'Offer Statistics'!FM108)))</f>
        <v>50</v>
      </c>
      <c r="AA16" s="234">
        <f>IF($Y$2="2018年",'Offer Statistics'!FH16,IF($Y$2="2019年",'Offer Statistics'!FH62,IF($Y$2="2020年",'Offer Statistics'!FH108)))</f>
        <v>47</v>
      </c>
      <c r="AB16" s="234">
        <f>IF($Y$2="2018年",'Offer Statistics'!FI16,IF($Y$2="2019年",'Offer Statistics'!FI62,IF($Y$2="2020年",'Offer Statistics'!FI108)))</f>
        <v>3</v>
      </c>
      <c r="AC16" s="234">
        <f>IF($Y$2="2018年",'Offer Statistics'!FJ16,IF($Y$2="2019年",'Offer Statistics'!FJ62,IF($Y$2="2020年",'Offer Statistics'!FJ108)))</f>
        <v>0</v>
      </c>
      <c r="AD16" s="234">
        <f>IF($Y$2="2018年",'Offer Statistics'!FK16,IF($Y$2="2019年",'Offer Statistics'!FK62,IF($Y$2="2020年",'Offer Statistics'!FK108)))</f>
        <v>0</v>
      </c>
      <c r="AE16" s="234">
        <f>IF($Y$2="2018年",'Offer Statistics'!FL16,IF($Y$2="2019年",'Offer Statistics'!FL62,IF($Y$2="2020年",'Offer Statistics'!FL108)))</f>
        <v>0</v>
      </c>
      <c r="AF16" s="205"/>
      <c r="AG16" s="231">
        <f>IF($Y$2="2018年",'Offer Statistics'!FE16,IF($Y$2="2019年",'Offer Statistics'!FE62,IF($Y$2="2020年",'Offer Statistics'!FE108)))</f>
        <v>2578</v>
      </c>
      <c r="AH16" s="234">
        <f>IF($Y$2="2018年",'Offer Statistics'!EZ16,IF($Y$2="2019年",'Offer Statistics'!EZ62,IF($Y$2="2020年",'Offer Statistics'!EZ108)))</f>
        <v>294</v>
      </c>
      <c r="AI16" s="234">
        <f>IF($Y$2="2018年",'Offer Statistics'!FA16,IF($Y$2="2019年",'Offer Statistics'!FA62,IF($Y$2="2020年",'Offer Statistics'!FA108)))</f>
        <v>477</v>
      </c>
      <c r="AJ16" s="234">
        <f>IF($Y$2="2018年",'Offer Statistics'!FB16,IF($Y$2="2019年",'Offer Statistics'!FB62,IF($Y$2="2020年",'Offer Statistics'!FB108)))</f>
        <v>592</v>
      </c>
      <c r="AK16" s="234">
        <f>IF($Y$2="2018年",'Offer Statistics'!FC16,IF($Y$2="2019年",'Offer Statistics'!FC62,IF($Y$2="2020年",'Offer Statistics'!FC108)))</f>
        <v>534</v>
      </c>
      <c r="AL16" s="234">
        <f>IF($Y$2="2018年",'Offer Statistics'!FD16,IF($Y$2="2019年",'Offer Statistics'!FD62,IF($Y$2="2020年",'Offer Statistics'!FD108)))</f>
        <v>681</v>
      </c>
      <c r="AM16" s="225"/>
      <c r="AN16" s="226" t="str">
        <f t="shared" si="3"/>
        <v>JSST02</v>
      </c>
    </row>
    <row r="17" ht="18.0" customHeight="1">
      <c r="A17" s="142" t="s">
        <v>879</v>
      </c>
      <c r="B17" s="142" t="s">
        <v>1710</v>
      </c>
      <c r="C17" s="142" t="s">
        <v>880</v>
      </c>
      <c r="D17" s="142" t="s">
        <v>1713</v>
      </c>
      <c r="E17" s="131" t="s">
        <v>21</v>
      </c>
      <c r="F17" s="199" t="s">
        <v>541</v>
      </c>
      <c r="G17" s="132">
        <v>22.8</v>
      </c>
      <c r="H17" s="199" t="s">
        <v>541</v>
      </c>
      <c r="I17" s="200">
        <f>'計分版'!D392</f>
        <v>0.0000000034</v>
      </c>
      <c r="J17" s="201">
        <f t="shared" si="8"/>
        <v>-22.8</v>
      </c>
      <c r="K17" s="202">
        <f t="shared" si="9"/>
        <v>-6705882352</v>
      </c>
      <c r="L17" s="132">
        <v>15.0</v>
      </c>
      <c r="M17" s="203">
        <f>'入學要求'!S379</f>
        <v>0</v>
      </c>
      <c r="N17" s="131" t="s">
        <v>1695</v>
      </c>
      <c r="O17" s="131">
        <v>3.0</v>
      </c>
      <c r="P17" s="131">
        <v>3.0</v>
      </c>
      <c r="Q17" s="131">
        <v>2.0</v>
      </c>
      <c r="R17" s="131">
        <v>2.0</v>
      </c>
      <c r="S17" s="131">
        <v>3.0</v>
      </c>
      <c r="T17" s="204">
        <f>'入學要求'!L379</f>
        <v>0</v>
      </c>
      <c r="U17" s="204">
        <f>'入學要求'!M379</f>
        <v>0</v>
      </c>
      <c r="V17" s="204">
        <f>'入學要求'!N379</f>
        <v>0</v>
      </c>
      <c r="W17" s="204">
        <f>'入學要求'!O379</f>
        <v>0</v>
      </c>
      <c r="X17" s="204">
        <f>'入學要求'!P379</f>
        <v>0</v>
      </c>
      <c r="Y17" s="205"/>
      <c r="Z17" s="132">
        <f>IF($Y$2="2018年",'Offer Statistics'!FM17,IF($Y$2="2019年",'Offer Statistics'!FM63,IF($Y$2="2020年",'Offer Statistics'!FM109)))</f>
        <v>15</v>
      </c>
      <c r="AA17" s="206">
        <f>IF($Y$2="2018年",'Offer Statistics'!FH17,IF($Y$2="2019年",'Offer Statistics'!FH63,IF($Y$2="2020年",'Offer Statistics'!FH109)))</f>
        <v>15</v>
      </c>
      <c r="AB17" s="206">
        <f>IF($Y$2="2018年",'Offer Statistics'!FI17,IF($Y$2="2019年",'Offer Statistics'!FI63,IF($Y$2="2020年",'Offer Statistics'!FI109)))</f>
        <v>0</v>
      </c>
      <c r="AC17" s="206">
        <f>IF($Y$2="2018年",'Offer Statistics'!FJ17,IF($Y$2="2019年",'Offer Statistics'!FJ63,IF($Y$2="2020年",'Offer Statistics'!FJ109)))</f>
        <v>0</v>
      </c>
      <c r="AD17" s="206">
        <f>IF($Y$2="2018年",'Offer Statistics'!FK17,IF($Y$2="2019年",'Offer Statistics'!FK63,IF($Y$2="2020年",'Offer Statistics'!FK109)))</f>
        <v>0</v>
      </c>
      <c r="AE17" s="206">
        <f>IF($Y$2="2018年",'Offer Statistics'!FL17,IF($Y$2="2019年",'Offer Statistics'!FL63,IF($Y$2="2020年",'Offer Statistics'!FL109)))</f>
        <v>0</v>
      </c>
      <c r="AF17" s="205"/>
      <c r="AG17" s="132">
        <f>IF($Y$2="2018年",'Offer Statistics'!FE17,IF($Y$2="2019年",'Offer Statistics'!FE63,IF($Y$2="2020年",'Offer Statistics'!FE109)))</f>
        <v>2305</v>
      </c>
      <c r="AH17" s="206">
        <f>IF($Y$2="2018年",'Offer Statistics'!EZ17,IF($Y$2="2019年",'Offer Statistics'!EZ63,IF($Y$2="2020年",'Offer Statistics'!EZ109)))</f>
        <v>172</v>
      </c>
      <c r="AI17" s="206">
        <f>IF($Y$2="2018年",'Offer Statistics'!FA17,IF($Y$2="2019年",'Offer Statistics'!FA63,IF($Y$2="2020年",'Offer Statistics'!FA109)))</f>
        <v>373</v>
      </c>
      <c r="AJ17" s="206">
        <f>IF($Y$2="2018年",'Offer Statistics'!FB17,IF($Y$2="2019年",'Offer Statistics'!FB63,IF($Y$2="2020年",'Offer Statistics'!FB109)))</f>
        <v>577</v>
      </c>
      <c r="AK17" s="206">
        <f>IF($Y$2="2018年",'Offer Statistics'!FC17,IF($Y$2="2019年",'Offer Statistics'!FC63,IF($Y$2="2020年",'Offer Statistics'!FC109)))</f>
        <v>564</v>
      </c>
      <c r="AL17" s="206">
        <f>IF($Y$2="2018年",'Offer Statistics'!FD17,IF($Y$2="2019年",'Offer Statistics'!FD63,IF($Y$2="2020年",'Offer Statistics'!FD109)))</f>
        <v>619</v>
      </c>
      <c r="AM17" s="142"/>
      <c r="AN17" s="131" t="str">
        <f t="shared" si="3"/>
        <v>JSST03</v>
      </c>
    </row>
    <row r="18" ht="18.0" customHeight="1">
      <c r="A18" s="225" t="s">
        <v>881</v>
      </c>
      <c r="B18" s="225" t="s">
        <v>1710</v>
      </c>
      <c r="C18" s="225" t="s">
        <v>882</v>
      </c>
      <c r="D18" s="225" t="s">
        <v>1714</v>
      </c>
      <c r="E18" s="226" t="s">
        <v>21</v>
      </c>
      <c r="F18" s="227" t="s">
        <v>541</v>
      </c>
      <c r="G18" s="231">
        <v>21.9</v>
      </c>
      <c r="H18" s="227" t="s">
        <v>541</v>
      </c>
      <c r="I18" s="228">
        <f>'計分版'!D393</f>
        <v>0.0000000034</v>
      </c>
      <c r="J18" s="229">
        <f t="shared" si="8"/>
        <v>-21.9</v>
      </c>
      <c r="K18" s="230">
        <f t="shared" si="9"/>
        <v>-6441176470</v>
      </c>
      <c r="L18" s="231">
        <v>60.0</v>
      </c>
      <c r="M18" s="235">
        <f>'入學要求'!S380</f>
        <v>0</v>
      </c>
      <c r="N18" s="226" t="s">
        <v>1695</v>
      </c>
      <c r="O18" s="226">
        <v>3.0</v>
      </c>
      <c r="P18" s="226">
        <v>3.0</v>
      </c>
      <c r="Q18" s="226">
        <v>2.0</v>
      </c>
      <c r="R18" s="226">
        <v>2.0</v>
      </c>
      <c r="S18" s="226">
        <v>2.0</v>
      </c>
      <c r="T18" s="233">
        <f>'入學要求'!L380</f>
        <v>0</v>
      </c>
      <c r="U18" s="233">
        <f>'入學要求'!M380</f>
        <v>0</v>
      </c>
      <c r="V18" s="233">
        <f>'入學要求'!N380</f>
        <v>0</v>
      </c>
      <c r="W18" s="233">
        <f>'入學要求'!O380</f>
        <v>0</v>
      </c>
      <c r="X18" s="233">
        <f>'入學要求'!P380</f>
        <v>0</v>
      </c>
      <c r="Y18" s="205"/>
      <c r="Z18" s="231">
        <f>IF($Y$2="2018年",'Offer Statistics'!FM18,IF($Y$2="2019年",'Offer Statistics'!FM64,IF($Y$2="2020年",'Offer Statistics'!FM110)))</f>
        <v>55</v>
      </c>
      <c r="AA18" s="234">
        <f>IF($Y$2="2018年",'Offer Statistics'!FH18,IF($Y$2="2019年",'Offer Statistics'!FH64,IF($Y$2="2020年",'Offer Statistics'!FH110)))</f>
        <v>55</v>
      </c>
      <c r="AB18" s="234">
        <f>IF($Y$2="2018年",'Offer Statistics'!FI18,IF($Y$2="2019年",'Offer Statistics'!FI64,IF($Y$2="2020年",'Offer Statistics'!FI110)))</f>
        <v>0</v>
      </c>
      <c r="AC18" s="234">
        <f>IF($Y$2="2018年",'Offer Statistics'!FJ18,IF($Y$2="2019年",'Offer Statistics'!FJ64,IF($Y$2="2020年",'Offer Statistics'!FJ110)))</f>
        <v>0</v>
      </c>
      <c r="AD18" s="234">
        <f>IF($Y$2="2018年",'Offer Statistics'!FK18,IF($Y$2="2019年",'Offer Statistics'!FK64,IF($Y$2="2020年",'Offer Statistics'!FK110)))</f>
        <v>0</v>
      </c>
      <c r="AE18" s="234">
        <f>IF($Y$2="2018年",'Offer Statistics'!FL18,IF($Y$2="2019年",'Offer Statistics'!FL64,IF($Y$2="2020年",'Offer Statistics'!FL110)))</f>
        <v>0</v>
      </c>
      <c r="AF18" s="205"/>
      <c r="AG18" s="231">
        <f>IF($Y$2="2018年",'Offer Statistics'!FE18,IF($Y$2="2019年",'Offer Statistics'!FE64,IF($Y$2="2020年",'Offer Statistics'!FE110)))</f>
        <v>3218</v>
      </c>
      <c r="AH18" s="234">
        <f>IF($Y$2="2018年",'Offer Statistics'!EZ18,IF($Y$2="2019年",'Offer Statistics'!EZ64,IF($Y$2="2020年",'Offer Statistics'!EZ110)))</f>
        <v>559</v>
      </c>
      <c r="AI18" s="234">
        <f>IF($Y$2="2018年",'Offer Statistics'!FA18,IF($Y$2="2019年",'Offer Statistics'!FA64,IF($Y$2="2020年",'Offer Statistics'!FA110)))</f>
        <v>630</v>
      </c>
      <c r="AJ18" s="234">
        <f>IF($Y$2="2018年",'Offer Statistics'!FB18,IF($Y$2="2019年",'Offer Statistics'!FB64,IF($Y$2="2020年",'Offer Statistics'!FB110)))</f>
        <v>686</v>
      </c>
      <c r="AK18" s="234">
        <f>IF($Y$2="2018年",'Offer Statistics'!FC18,IF($Y$2="2019年",'Offer Statistics'!FC64,IF($Y$2="2020年",'Offer Statistics'!FC110)))</f>
        <v>630</v>
      </c>
      <c r="AL18" s="234">
        <f>IF($Y$2="2018年",'Offer Statistics'!FD18,IF($Y$2="2019年",'Offer Statistics'!FD64,IF($Y$2="2020年",'Offer Statistics'!FD110)))</f>
        <v>713</v>
      </c>
      <c r="AM18" s="225"/>
      <c r="AN18" s="226" t="str">
        <f t="shared" si="3"/>
        <v>JSST04</v>
      </c>
    </row>
    <row r="19" ht="18.0" customHeight="1">
      <c r="A19" s="142" t="s">
        <v>883</v>
      </c>
      <c r="B19" s="142" t="s">
        <v>1710</v>
      </c>
      <c r="C19" s="142" t="s">
        <v>884</v>
      </c>
      <c r="D19" s="142" t="s">
        <v>1715</v>
      </c>
      <c r="E19" s="131" t="s">
        <v>21</v>
      </c>
      <c r="F19" s="199" t="s">
        <v>541</v>
      </c>
      <c r="G19" s="132">
        <v>23.7</v>
      </c>
      <c r="H19" s="199" t="s">
        <v>541</v>
      </c>
      <c r="I19" s="200">
        <f>'計分版'!D394</f>
        <v>0.0000000034</v>
      </c>
      <c r="J19" s="201">
        <f t="shared" si="8"/>
        <v>-23.7</v>
      </c>
      <c r="K19" s="202">
        <f t="shared" si="9"/>
        <v>-6970588234</v>
      </c>
      <c r="L19" s="132">
        <v>50.0</v>
      </c>
      <c r="M19" s="203">
        <f>'入學要求'!S381</f>
        <v>0</v>
      </c>
      <c r="N19" s="131" t="s">
        <v>1695</v>
      </c>
      <c r="O19" s="131">
        <v>3.0</v>
      </c>
      <c r="P19" s="131">
        <v>3.0</v>
      </c>
      <c r="Q19" s="131">
        <v>2.0</v>
      </c>
      <c r="R19" s="131">
        <v>2.0</v>
      </c>
      <c r="S19" s="131">
        <v>2.0</v>
      </c>
      <c r="T19" s="204">
        <f>'入學要求'!L381</f>
        <v>0</v>
      </c>
      <c r="U19" s="204">
        <f>'入學要求'!M381</f>
        <v>0</v>
      </c>
      <c r="V19" s="204">
        <f>'入學要求'!N381</f>
        <v>0</v>
      </c>
      <c r="W19" s="204">
        <f>'入學要求'!O381</f>
        <v>0</v>
      </c>
      <c r="X19" s="204">
        <f>'入學要求'!P381</f>
        <v>0</v>
      </c>
      <c r="Y19" s="205"/>
      <c r="Z19" s="132">
        <f>IF($Y$2="2018年",'Offer Statistics'!FM19,IF($Y$2="2019年",'Offer Statistics'!FM65,IF($Y$2="2020年",'Offer Statistics'!FM111)))</f>
        <v>58</v>
      </c>
      <c r="AA19" s="206">
        <f>IF($Y$2="2018年",'Offer Statistics'!FH19,IF($Y$2="2019年",'Offer Statistics'!FH65,IF($Y$2="2020年",'Offer Statistics'!FH111)))</f>
        <v>52</v>
      </c>
      <c r="AB19" s="206">
        <f>IF($Y$2="2018年",'Offer Statistics'!FI19,IF($Y$2="2019年",'Offer Statistics'!FI65,IF($Y$2="2020年",'Offer Statistics'!FI111)))</f>
        <v>6</v>
      </c>
      <c r="AC19" s="206">
        <f>IF($Y$2="2018年",'Offer Statistics'!FJ19,IF($Y$2="2019年",'Offer Statistics'!FJ65,IF($Y$2="2020年",'Offer Statistics'!FJ111)))</f>
        <v>0</v>
      </c>
      <c r="AD19" s="206">
        <f>IF($Y$2="2018年",'Offer Statistics'!FK19,IF($Y$2="2019年",'Offer Statistics'!FK65,IF($Y$2="2020年",'Offer Statistics'!FK111)))</f>
        <v>0</v>
      </c>
      <c r="AE19" s="206">
        <f>IF($Y$2="2018年",'Offer Statistics'!FL19,IF($Y$2="2019年",'Offer Statistics'!FL65,IF($Y$2="2020年",'Offer Statistics'!FL111)))</f>
        <v>0</v>
      </c>
      <c r="AF19" s="205"/>
      <c r="AG19" s="132">
        <f>IF($Y$2="2018年",'Offer Statistics'!FE19,IF($Y$2="2019年",'Offer Statistics'!FE65,IF($Y$2="2020年",'Offer Statistics'!FE111)))</f>
        <v>3292</v>
      </c>
      <c r="AH19" s="206">
        <f>IF($Y$2="2018年",'Offer Statistics'!EZ19,IF($Y$2="2019年",'Offer Statistics'!EZ65,IF($Y$2="2020年",'Offer Statistics'!EZ111)))</f>
        <v>490</v>
      </c>
      <c r="AI19" s="206">
        <f>IF($Y$2="2018年",'Offer Statistics'!FA19,IF($Y$2="2019年",'Offer Statistics'!FA65,IF($Y$2="2020年",'Offer Statistics'!FA111)))</f>
        <v>612</v>
      </c>
      <c r="AJ19" s="206">
        <f>IF($Y$2="2018年",'Offer Statistics'!FB19,IF($Y$2="2019年",'Offer Statistics'!FB65,IF($Y$2="2020年",'Offer Statistics'!FB111)))</f>
        <v>745</v>
      </c>
      <c r="AK19" s="206">
        <f>IF($Y$2="2018年",'Offer Statistics'!FC19,IF($Y$2="2019年",'Offer Statistics'!FC65,IF($Y$2="2020年",'Offer Statistics'!FC111)))</f>
        <v>689</v>
      </c>
      <c r="AL19" s="206">
        <f>IF($Y$2="2018年",'Offer Statistics'!FD19,IF($Y$2="2019年",'Offer Statistics'!FD65,IF($Y$2="2020年",'Offer Statistics'!FD111)))</f>
        <v>756</v>
      </c>
      <c r="AM19" s="142"/>
      <c r="AN19" s="131" t="str">
        <f t="shared" si="3"/>
        <v>JSST05</v>
      </c>
    </row>
    <row r="20" ht="18.0" customHeight="1">
      <c r="A20" s="225" t="s">
        <v>886</v>
      </c>
      <c r="B20" s="225" t="s">
        <v>1716</v>
      </c>
      <c r="C20" s="225" t="s">
        <v>887</v>
      </c>
      <c r="D20" s="225" t="s">
        <v>1717</v>
      </c>
      <c r="E20" s="231" t="s">
        <v>775</v>
      </c>
      <c r="F20" s="227" t="s">
        <v>541</v>
      </c>
      <c r="G20" s="227">
        <v>20.0</v>
      </c>
      <c r="H20" s="227">
        <v>17.0</v>
      </c>
      <c r="I20" s="228">
        <f>'計分版'!D395</f>
        <v>0.0000000021</v>
      </c>
      <c r="J20" s="229">
        <f t="shared" ref="J20:J34" si="10">IF(J$1="差距(Median)",I20-G20,IF(J$1="差距(UQ)",I20-G20,IF(J$1="差距(LQ)",I20-H20)))</f>
        <v>-20</v>
      </c>
      <c r="K20" s="230">
        <f t="shared" ref="K20:K34" si="11">IF(J$1="差距(Median)",(I20-G20)/I20,IF(J$1="差距(UQ)",(I20-G20)/I20,IF(J$1="差距(LQ)",(I20-H20)/I20)))</f>
        <v>-9523809523</v>
      </c>
      <c r="L20" s="231">
        <v>80.0</v>
      </c>
      <c r="M20" s="235">
        <f>'入學要求'!S382</f>
        <v>0</v>
      </c>
      <c r="N20" s="226" t="s">
        <v>541</v>
      </c>
      <c r="O20" s="226">
        <v>3.0</v>
      </c>
      <c r="P20" s="226">
        <v>3.0</v>
      </c>
      <c r="Q20" s="226">
        <v>2.0</v>
      </c>
      <c r="R20" s="226">
        <v>2.0</v>
      </c>
      <c r="S20" s="226">
        <v>2.0</v>
      </c>
      <c r="T20" s="233">
        <f>'入學要求'!L382</f>
        <v>0</v>
      </c>
      <c r="U20" s="233">
        <f>'入學要求'!M382</f>
        <v>0</v>
      </c>
      <c r="V20" s="233">
        <f>'入學要求'!N382</f>
        <v>0</v>
      </c>
      <c r="W20" s="233">
        <f>'入學要求'!O382</f>
        <v>0</v>
      </c>
      <c r="X20" s="233">
        <f>'入學要求'!P382</f>
        <v>0</v>
      </c>
      <c r="Y20" s="205"/>
      <c r="Z20" s="231">
        <f>IF($Y$2="2018年",'Offer Statistics'!FM20,IF($Y$2="2019年",'Offer Statistics'!FM66,IF($Y$2="2020年",'Offer Statistics'!FM112)))</f>
        <v>138</v>
      </c>
      <c r="AA20" s="234">
        <f>IF($Y$2="2018年",'Offer Statistics'!FH20,IF($Y$2="2019年",'Offer Statistics'!FH66,IF($Y$2="2020年",'Offer Statistics'!FH112)))</f>
        <v>73</v>
      </c>
      <c r="AB20" s="234">
        <f>IF($Y$2="2018年",'Offer Statistics'!FI20,IF($Y$2="2019年",'Offer Statistics'!FI66,IF($Y$2="2020年",'Offer Statistics'!FI112)))</f>
        <v>29</v>
      </c>
      <c r="AC20" s="234">
        <f>IF($Y$2="2018年",'Offer Statistics'!FJ20,IF($Y$2="2019年",'Offer Statistics'!FJ66,IF($Y$2="2020年",'Offer Statistics'!FJ112)))</f>
        <v>20</v>
      </c>
      <c r="AD20" s="234">
        <f>IF($Y$2="2018年",'Offer Statistics'!FK20,IF($Y$2="2019年",'Offer Statistics'!FK66,IF($Y$2="2020年",'Offer Statistics'!FK112)))</f>
        <v>10</v>
      </c>
      <c r="AE20" s="234">
        <f>IF($Y$2="2018年",'Offer Statistics'!FL20,IF($Y$2="2019年",'Offer Statistics'!FL66,IF($Y$2="2020年",'Offer Statistics'!FL112)))</f>
        <v>6</v>
      </c>
      <c r="AF20" s="205"/>
      <c r="AG20" s="231">
        <f>IF($Y$2="2018年",'Offer Statistics'!FE20,IF($Y$2="2019年",'Offer Statistics'!FE66,IF($Y$2="2020年",'Offer Statistics'!FE112)))</f>
        <v>2655</v>
      </c>
      <c r="AH20" s="234">
        <f>IF($Y$2="2018年",'Offer Statistics'!EZ20,IF($Y$2="2019年",'Offer Statistics'!EZ66,IF($Y$2="2020年",'Offer Statistics'!EZ112)))</f>
        <v>345</v>
      </c>
      <c r="AI20" s="234">
        <f>IF($Y$2="2018年",'Offer Statistics'!FA20,IF($Y$2="2019年",'Offer Statistics'!FA66,IF($Y$2="2020年",'Offer Statistics'!FA112)))</f>
        <v>454</v>
      </c>
      <c r="AJ20" s="234">
        <f>IF($Y$2="2018年",'Offer Statistics'!FB20,IF($Y$2="2019年",'Offer Statistics'!FB66,IF($Y$2="2020年",'Offer Statistics'!FB112)))</f>
        <v>527</v>
      </c>
      <c r="AK20" s="234">
        <f>IF($Y$2="2018年",'Offer Statistics'!FC20,IF($Y$2="2019年",'Offer Statistics'!FC66,IF($Y$2="2020年",'Offer Statistics'!FC112)))</f>
        <v>611</v>
      </c>
      <c r="AL20" s="234">
        <f>IF($Y$2="2018年",'Offer Statistics'!FD20,IF($Y$2="2019年",'Offer Statistics'!FD66,IF($Y$2="2020年",'Offer Statistics'!FD112)))</f>
        <v>718</v>
      </c>
      <c r="AM20" s="225"/>
      <c r="AN20" s="226" t="str">
        <f t="shared" si="3"/>
        <v>JSSU12</v>
      </c>
    </row>
    <row r="21" ht="18.0" customHeight="1">
      <c r="A21" s="142" t="s">
        <v>889</v>
      </c>
      <c r="B21" s="142" t="s">
        <v>1716</v>
      </c>
      <c r="C21" s="142" t="s">
        <v>890</v>
      </c>
      <c r="D21" s="142" t="s">
        <v>1718</v>
      </c>
      <c r="E21" s="131" t="s">
        <v>775</v>
      </c>
      <c r="F21" s="199" t="s">
        <v>541</v>
      </c>
      <c r="G21" s="199">
        <v>16.0</v>
      </c>
      <c r="H21" s="199">
        <v>15.0</v>
      </c>
      <c r="I21" s="200">
        <f>'計分版'!D396</f>
        <v>0.00000000195</v>
      </c>
      <c r="J21" s="201">
        <f t="shared" si="10"/>
        <v>-16</v>
      </c>
      <c r="K21" s="202">
        <f t="shared" si="11"/>
        <v>-8205128204</v>
      </c>
      <c r="L21" s="132">
        <v>80.0</v>
      </c>
      <c r="M21" s="203">
        <f>'入學要求'!S383</f>
        <v>0</v>
      </c>
      <c r="N21" s="131" t="s">
        <v>541</v>
      </c>
      <c r="O21" s="131">
        <v>3.0</v>
      </c>
      <c r="P21" s="131">
        <v>3.0</v>
      </c>
      <c r="Q21" s="131">
        <v>2.0</v>
      </c>
      <c r="R21" s="131">
        <v>2.0</v>
      </c>
      <c r="S21" s="131">
        <v>2.0</v>
      </c>
      <c r="T21" s="204">
        <f>'入學要求'!L383</f>
        <v>0</v>
      </c>
      <c r="U21" s="204">
        <f>'入學要求'!M383</f>
        <v>0</v>
      </c>
      <c r="V21" s="204">
        <f>'入學要求'!N383</f>
        <v>0</v>
      </c>
      <c r="W21" s="204">
        <f>'入學要求'!O383</f>
        <v>0</v>
      </c>
      <c r="X21" s="204">
        <f>'入學要求'!P383</f>
        <v>0</v>
      </c>
      <c r="Y21" s="205"/>
      <c r="Z21" s="132">
        <f>IF($Y$2="2018年",'Offer Statistics'!FM21,IF($Y$2="2019年",'Offer Statistics'!FM67,IF($Y$2="2020年",'Offer Statistics'!FM113)))</f>
        <v>108</v>
      </c>
      <c r="AA21" s="206">
        <f>IF($Y$2="2018年",'Offer Statistics'!FH21,IF($Y$2="2019年",'Offer Statistics'!FH67,IF($Y$2="2020年",'Offer Statistics'!FH113)))</f>
        <v>75</v>
      </c>
      <c r="AB21" s="206">
        <f>IF($Y$2="2018年",'Offer Statistics'!FI21,IF($Y$2="2019年",'Offer Statistics'!FI67,IF($Y$2="2020年",'Offer Statistics'!FI113)))</f>
        <v>13</v>
      </c>
      <c r="AC21" s="206">
        <f>IF($Y$2="2018年",'Offer Statistics'!FJ21,IF($Y$2="2019年",'Offer Statistics'!FJ67,IF($Y$2="2020年",'Offer Statistics'!FJ113)))</f>
        <v>6</v>
      </c>
      <c r="AD21" s="206">
        <f>IF($Y$2="2018年",'Offer Statistics'!FK21,IF($Y$2="2019年",'Offer Statistics'!FK67,IF($Y$2="2020年",'Offer Statistics'!FK113)))</f>
        <v>6</v>
      </c>
      <c r="AE21" s="206">
        <f>IF($Y$2="2018年",'Offer Statistics'!FL21,IF($Y$2="2019年",'Offer Statistics'!FL67,IF($Y$2="2020年",'Offer Statistics'!FL113)))</f>
        <v>8</v>
      </c>
      <c r="AF21" s="205"/>
      <c r="AG21" s="132">
        <f>IF($Y$2="2018年",'Offer Statistics'!FE21,IF($Y$2="2019年",'Offer Statistics'!FE67,IF($Y$2="2020年",'Offer Statistics'!FE113)))</f>
        <v>3012</v>
      </c>
      <c r="AH21" s="206">
        <f>IF($Y$2="2018年",'Offer Statistics'!EZ21,IF($Y$2="2019年",'Offer Statistics'!EZ67,IF($Y$2="2020年",'Offer Statistics'!EZ113)))</f>
        <v>486</v>
      </c>
      <c r="AI21" s="206">
        <f>IF($Y$2="2018年",'Offer Statistics'!FA21,IF($Y$2="2019年",'Offer Statistics'!FA67,IF($Y$2="2020年",'Offer Statistics'!FA113)))</f>
        <v>541</v>
      </c>
      <c r="AJ21" s="206">
        <f>IF($Y$2="2018年",'Offer Statistics'!FB21,IF($Y$2="2019年",'Offer Statistics'!FB67,IF($Y$2="2020年",'Offer Statistics'!FB113)))</f>
        <v>599</v>
      </c>
      <c r="AK21" s="206">
        <f>IF($Y$2="2018年",'Offer Statistics'!FC21,IF($Y$2="2019年",'Offer Statistics'!FC67,IF($Y$2="2020年",'Offer Statistics'!FC113)))</f>
        <v>697</v>
      </c>
      <c r="AL21" s="206">
        <f>IF($Y$2="2018年",'Offer Statistics'!FD21,IF($Y$2="2019年",'Offer Statistics'!FD67,IF($Y$2="2020年",'Offer Statistics'!FD113)))</f>
        <v>689</v>
      </c>
      <c r="AM21" s="142"/>
      <c r="AN21" s="131" t="str">
        <f t="shared" si="3"/>
        <v>JSSU14</v>
      </c>
    </row>
    <row r="22" ht="18.0" customHeight="1">
      <c r="A22" s="225" t="s">
        <v>891</v>
      </c>
      <c r="B22" s="225" t="s">
        <v>1716</v>
      </c>
      <c r="C22" s="225" t="s">
        <v>892</v>
      </c>
      <c r="D22" s="225" t="s">
        <v>1719</v>
      </c>
      <c r="E22" s="231" t="s">
        <v>775</v>
      </c>
      <c r="F22" s="227" t="s">
        <v>541</v>
      </c>
      <c r="G22" s="227">
        <v>20.0</v>
      </c>
      <c r="H22" s="227">
        <v>18.0</v>
      </c>
      <c r="I22" s="228">
        <f>'計分版'!D397</f>
        <v>0.0000000021</v>
      </c>
      <c r="J22" s="229">
        <f t="shared" si="10"/>
        <v>-20</v>
      </c>
      <c r="K22" s="230">
        <f t="shared" si="11"/>
        <v>-9523809523</v>
      </c>
      <c r="L22" s="231">
        <v>80.0</v>
      </c>
      <c r="M22" s="235">
        <f>'入學要求'!S384</f>
        <v>0</v>
      </c>
      <c r="N22" s="226" t="s">
        <v>541</v>
      </c>
      <c r="O22" s="226">
        <v>3.0</v>
      </c>
      <c r="P22" s="226">
        <v>3.0</v>
      </c>
      <c r="Q22" s="226">
        <v>2.0</v>
      </c>
      <c r="R22" s="226">
        <v>2.0</v>
      </c>
      <c r="S22" s="226">
        <v>2.0</v>
      </c>
      <c r="T22" s="233">
        <f>'入學要求'!L384</f>
        <v>0</v>
      </c>
      <c r="U22" s="233">
        <f>'入學要求'!M384</f>
        <v>0</v>
      </c>
      <c r="V22" s="233">
        <f>'入學要求'!N384</f>
        <v>0</v>
      </c>
      <c r="W22" s="233">
        <f>'入學要求'!O384</f>
        <v>0</v>
      </c>
      <c r="X22" s="233">
        <f>'入學要求'!P384</f>
        <v>0</v>
      </c>
      <c r="Y22" s="205"/>
      <c r="Z22" s="231">
        <f>IF($Y$2="2018年",'Offer Statistics'!FM22,IF($Y$2="2019年",'Offer Statistics'!FM68,IF($Y$2="2020年",'Offer Statistics'!FM114)))</f>
        <v>91</v>
      </c>
      <c r="AA22" s="234">
        <f>IF($Y$2="2018年",'Offer Statistics'!FH22,IF($Y$2="2019年",'Offer Statistics'!FH68,IF($Y$2="2020年",'Offer Statistics'!FH114)))</f>
        <v>58</v>
      </c>
      <c r="AB22" s="234">
        <f>IF($Y$2="2018年",'Offer Statistics'!FI22,IF($Y$2="2019年",'Offer Statistics'!FI68,IF($Y$2="2020年",'Offer Statistics'!FI114)))</f>
        <v>15</v>
      </c>
      <c r="AC22" s="234">
        <f>IF($Y$2="2018年",'Offer Statistics'!FJ22,IF($Y$2="2019年",'Offer Statistics'!FJ68,IF($Y$2="2020年",'Offer Statistics'!FJ114)))</f>
        <v>7</v>
      </c>
      <c r="AD22" s="234">
        <f>IF($Y$2="2018年",'Offer Statistics'!FK22,IF($Y$2="2019年",'Offer Statistics'!FK68,IF($Y$2="2020年",'Offer Statistics'!FK114)))</f>
        <v>4</v>
      </c>
      <c r="AE22" s="234">
        <f>IF($Y$2="2018年",'Offer Statistics'!FL22,IF($Y$2="2019年",'Offer Statistics'!FL68,IF($Y$2="2020年",'Offer Statistics'!FL114)))</f>
        <v>7</v>
      </c>
      <c r="AF22" s="205"/>
      <c r="AG22" s="231">
        <f>IF($Y$2="2018年",'Offer Statistics'!FE22,IF($Y$2="2019年",'Offer Statistics'!FE68,IF($Y$2="2020年",'Offer Statistics'!FE114)))</f>
        <v>2567</v>
      </c>
      <c r="AH22" s="234">
        <f>IF($Y$2="2018年",'Offer Statistics'!EZ22,IF($Y$2="2019年",'Offer Statistics'!EZ68,IF($Y$2="2020年",'Offer Statistics'!EZ114)))</f>
        <v>353</v>
      </c>
      <c r="AI22" s="234">
        <f>IF($Y$2="2018年",'Offer Statistics'!FA22,IF($Y$2="2019年",'Offer Statistics'!FA68,IF($Y$2="2020年",'Offer Statistics'!FA114)))</f>
        <v>488</v>
      </c>
      <c r="AJ22" s="234">
        <f>IF($Y$2="2018年",'Offer Statistics'!FB22,IF($Y$2="2019年",'Offer Statistics'!FB68,IF($Y$2="2020年",'Offer Statistics'!FB114)))</f>
        <v>569</v>
      </c>
      <c r="AK22" s="234">
        <f>IF($Y$2="2018年",'Offer Statistics'!FC22,IF($Y$2="2019年",'Offer Statistics'!FC68,IF($Y$2="2020年",'Offer Statistics'!FC114)))</f>
        <v>565</v>
      </c>
      <c r="AL22" s="234">
        <f>IF($Y$2="2018年",'Offer Statistics'!FD22,IF($Y$2="2019年",'Offer Statistics'!FD68,IF($Y$2="2020年",'Offer Statistics'!FD114)))</f>
        <v>592</v>
      </c>
      <c r="AM22" s="225"/>
      <c r="AN22" s="226" t="str">
        <f t="shared" si="3"/>
        <v>JSSU15</v>
      </c>
    </row>
    <row r="23" ht="18.0" customHeight="1">
      <c r="A23" s="142" t="s">
        <v>893</v>
      </c>
      <c r="B23" s="142" t="s">
        <v>1716</v>
      </c>
      <c r="C23" s="142" t="s">
        <v>894</v>
      </c>
      <c r="D23" s="142" t="s">
        <v>1720</v>
      </c>
      <c r="E23" s="132" t="s">
        <v>775</v>
      </c>
      <c r="F23" s="199" t="s">
        <v>541</v>
      </c>
      <c r="G23" s="199">
        <v>20.0</v>
      </c>
      <c r="H23" s="199">
        <v>19.0</v>
      </c>
      <c r="I23" s="200">
        <f>'計分版'!D398</f>
        <v>0.00000000195</v>
      </c>
      <c r="J23" s="201">
        <f t="shared" si="10"/>
        <v>-20</v>
      </c>
      <c r="K23" s="202">
        <f t="shared" si="11"/>
        <v>-10256410255</v>
      </c>
      <c r="L23" s="132">
        <v>325.0</v>
      </c>
      <c r="M23" s="203">
        <f>'入學要求'!S385</f>
        <v>0</v>
      </c>
      <c r="N23" s="131" t="s">
        <v>1166</v>
      </c>
      <c r="O23" s="131">
        <v>3.0</v>
      </c>
      <c r="P23" s="131">
        <v>3.0</v>
      </c>
      <c r="Q23" s="131">
        <v>2.0</v>
      </c>
      <c r="R23" s="131">
        <v>2.0</v>
      </c>
      <c r="S23" s="131">
        <v>2.0</v>
      </c>
      <c r="T23" s="204">
        <f>'入學要求'!L385</f>
        <v>0</v>
      </c>
      <c r="U23" s="204">
        <f>'入學要求'!M385</f>
        <v>0</v>
      </c>
      <c r="V23" s="204">
        <f>'入學要求'!N385</f>
        <v>0</v>
      </c>
      <c r="W23" s="204">
        <f>'入學要求'!O385</f>
        <v>0</v>
      </c>
      <c r="X23" s="204">
        <f>'入學要求'!P385</f>
        <v>0</v>
      </c>
      <c r="Y23" s="205"/>
      <c r="Z23" s="132">
        <f>IF($Y$2="2018年",'Offer Statistics'!FM23,IF($Y$2="2019年",'Offer Statistics'!FM69,IF($Y$2="2020年",'Offer Statistics'!FM115)))</f>
        <v>340</v>
      </c>
      <c r="AA23" s="206">
        <f>IF($Y$2="2018年",'Offer Statistics'!FH23,IF($Y$2="2019年",'Offer Statistics'!FH69,IF($Y$2="2020年",'Offer Statistics'!FH115)))</f>
        <v>340</v>
      </c>
      <c r="AB23" s="206">
        <f>IF($Y$2="2018年",'Offer Statistics'!FI23,IF($Y$2="2019年",'Offer Statistics'!FI69,IF($Y$2="2020年",'Offer Statistics'!FI115)))</f>
        <v>0</v>
      </c>
      <c r="AC23" s="206">
        <f>IF($Y$2="2018年",'Offer Statistics'!FJ23,IF($Y$2="2019年",'Offer Statistics'!FJ69,IF($Y$2="2020年",'Offer Statistics'!FJ115)))</f>
        <v>0</v>
      </c>
      <c r="AD23" s="206">
        <f>IF($Y$2="2018年",'Offer Statistics'!FK23,IF($Y$2="2019年",'Offer Statistics'!FK69,IF($Y$2="2020年",'Offer Statistics'!FK115)))</f>
        <v>0</v>
      </c>
      <c r="AE23" s="206">
        <f>IF($Y$2="2018年",'Offer Statistics'!FL23,IF($Y$2="2019年",'Offer Statistics'!FL69,IF($Y$2="2020年",'Offer Statistics'!FL115)))</f>
        <v>0</v>
      </c>
      <c r="AF23" s="205"/>
      <c r="AG23" s="132">
        <f>IF($Y$2="2018年",'Offer Statistics'!FE23,IF($Y$2="2019年",'Offer Statistics'!FE69,IF($Y$2="2020年",'Offer Statistics'!FE115)))</f>
        <v>5228</v>
      </c>
      <c r="AH23" s="206">
        <f>IF($Y$2="2018年",'Offer Statistics'!EZ23,IF($Y$2="2019年",'Offer Statistics'!EZ69,IF($Y$2="2020年",'Offer Statistics'!EZ115)))</f>
        <v>2209</v>
      </c>
      <c r="AI23" s="206">
        <f>IF($Y$2="2018年",'Offer Statistics'!FA23,IF($Y$2="2019年",'Offer Statistics'!FA69,IF($Y$2="2020年",'Offer Statistics'!FA115)))</f>
        <v>1010</v>
      </c>
      <c r="AJ23" s="206">
        <f>IF($Y$2="2018年",'Offer Statistics'!FB23,IF($Y$2="2019年",'Offer Statistics'!FB69,IF($Y$2="2020年",'Offer Statistics'!FB115)))</f>
        <v>753</v>
      </c>
      <c r="AK23" s="206">
        <f>IF($Y$2="2018年",'Offer Statistics'!FC23,IF($Y$2="2019年",'Offer Statistics'!FC69,IF($Y$2="2020年",'Offer Statistics'!FC115)))</f>
        <v>617</v>
      </c>
      <c r="AL23" s="206">
        <f>IF($Y$2="2018年",'Offer Statistics'!FD23,IF($Y$2="2019年",'Offer Statistics'!FD69,IF($Y$2="2020年",'Offer Statistics'!FD115)))</f>
        <v>639</v>
      </c>
      <c r="AM23" s="142"/>
      <c r="AN23" s="131" t="str">
        <f t="shared" si="3"/>
        <v>JSSU40</v>
      </c>
    </row>
    <row r="24" ht="18.0" customHeight="1">
      <c r="A24" s="225" t="s">
        <v>896</v>
      </c>
      <c r="B24" s="225" t="s">
        <v>1716</v>
      </c>
      <c r="C24" s="225" t="s">
        <v>897</v>
      </c>
      <c r="D24" s="225" t="s">
        <v>1721</v>
      </c>
      <c r="E24" s="231" t="s">
        <v>775</v>
      </c>
      <c r="F24" s="227" t="s">
        <v>541</v>
      </c>
      <c r="G24" s="227">
        <v>18.0</v>
      </c>
      <c r="H24" s="227">
        <v>16.0</v>
      </c>
      <c r="I24" s="228">
        <f>'計分版'!D399</f>
        <v>0.00000000195</v>
      </c>
      <c r="J24" s="229">
        <f t="shared" si="10"/>
        <v>-18</v>
      </c>
      <c r="K24" s="230">
        <f t="shared" si="11"/>
        <v>-9230769230</v>
      </c>
      <c r="L24" s="231">
        <v>125.0</v>
      </c>
      <c r="M24" s="235">
        <f>'入學要求'!S386</f>
        <v>0</v>
      </c>
      <c r="N24" s="226" t="s">
        <v>1166</v>
      </c>
      <c r="O24" s="226">
        <v>3.0</v>
      </c>
      <c r="P24" s="226">
        <v>3.0</v>
      </c>
      <c r="Q24" s="226">
        <v>2.0</v>
      </c>
      <c r="R24" s="226">
        <v>2.0</v>
      </c>
      <c r="S24" s="226">
        <v>2.0</v>
      </c>
      <c r="T24" s="233">
        <f>'入學要求'!L386</f>
        <v>0</v>
      </c>
      <c r="U24" s="233">
        <f>'入學要求'!M386</f>
        <v>0</v>
      </c>
      <c r="V24" s="233">
        <f>'入學要求'!N386</f>
        <v>0</v>
      </c>
      <c r="W24" s="233">
        <f>'入學要求'!O386</f>
        <v>0</v>
      </c>
      <c r="X24" s="233">
        <f>'入學要求'!P386</f>
        <v>0</v>
      </c>
      <c r="Y24" s="205"/>
      <c r="Z24" s="231">
        <f>IF($Y$2="2018年",'Offer Statistics'!FM24,IF($Y$2="2019年",'Offer Statistics'!FM70,IF($Y$2="2020年",'Offer Statistics'!FM116)))</f>
        <v>145</v>
      </c>
      <c r="AA24" s="234">
        <f>IF($Y$2="2018年",'Offer Statistics'!FH24,IF($Y$2="2019年",'Offer Statistics'!FH70,IF($Y$2="2020年",'Offer Statistics'!FH116)))</f>
        <v>145</v>
      </c>
      <c r="AB24" s="234">
        <f>IF($Y$2="2018年",'Offer Statistics'!FI24,IF($Y$2="2019年",'Offer Statistics'!FI70,IF($Y$2="2020年",'Offer Statistics'!FI116)))</f>
        <v>0</v>
      </c>
      <c r="AC24" s="234">
        <f>IF($Y$2="2018年",'Offer Statistics'!FJ24,IF($Y$2="2019年",'Offer Statistics'!FJ70,IF($Y$2="2020年",'Offer Statistics'!FJ116)))</f>
        <v>0</v>
      </c>
      <c r="AD24" s="234">
        <f>IF($Y$2="2018年",'Offer Statistics'!FK24,IF($Y$2="2019年",'Offer Statistics'!FK70,IF($Y$2="2020年",'Offer Statistics'!FK116)))</f>
        <v>0</v>
      </c>
      <c r="AE24" s="234">
        <f>IF($Y$2="2018年",'Offer Statistics'!FL24,IF($Y$2="2019年",'Offer Statistics'!FL70,IF($Y$2="2020年",'Offer Statistics'!FL116)))</f>
        <v>0</v>
      </c>
      <c r="AF24" s="205"/>
      <c r="AG24" s="231">
        <f>IF($Y$2="2018年",'Offer Statistics'!FE24,IF($Y$2="2019年",'Offer Statistics'!FE70,IF($Y$2="2020年",'Offer Statistics'!FE116)))</f>
        <v>3547</v>
      </c>
      <c r="AH24" s="234">
        <f>IF($Y$2="2018年",'Offer Statistics'!EZ24,IF($Y$2="2019年",'Offer Statistics'!EZ70,IF($Y$2="2020年",'Offer Statistics'!EZ116)))</f>
        <v>760</v>
      </c>
      <c r="AI24" s="234">
        <f>IF($Y$2="2018年",'Offer Statistics'!FA24,IF($Y$2="2019年",'Offer Statistics'!FA70,IF($Y$2="2020年",'Offer Statistics'!FA116)))</f>
        <v>1042</v>
      </c>
      <c r="AJ24" s="234">
        <f>IF($Y$2="2018年",'Offer Statistics'!FB24,IF($Y$2="2019年",'Offer Statistics'!FB70,IF($Y$2="2020年",'Offer Statistics'!FB116)))</f>
        <v>687</v>
      </c>
      <c r="AK24" s="234">
        <f>IF($Y$2="2018年",'Offer Statistics'!FC24,IF($Y$2="2019年",'Offer Statistics'!FC70,IF($Y$2="2020年",'Offer Statistics'!FC116)))</f>
        <v>513</v>
      </c>
      <c r="AL24" s="234">
        <f>IF($Y$2="2018年",'Offer Statistics'!FD24,IF($Y$2="2019年",'Offer Statistics'!FD70,IF($Y$2="2020年",'Offer Statistics'!FD116)))</f>
        <v>545</v>
      </c>
      <c r="AM24" s="225"/>
      <c r="AN24" s="226" t="str">
        <f t="shared" si="3"/>
        <v>JSSU50</v>
      </c>
    </row>
    <row r="25" ht="18.0" customHeight="1">
      <c r="A25" s="142" t="s">
        <v>898</v>
      </c>
      <c r="B25" s="142" t="s">
        <v>1716</v>
      </c>
      <c r="C25" s="142" t="s">
        <v>899</v>
      </c>
      <c r="D25" s="142" t="s">
        <v>1722</v>
      </c>
      <c r="E25" s="134" t="s">
        <v>21</v>
      </c>
      <c r="F25" s="199" t="s">
        <v>541</v>
      </c>
      <c r="G25" s="199">
        <v>36.0</v>
      </c>
      <c r="H25" s="199">
        <v>34.0</v>
      </c>
      <c r="I25" s="200">
        <f>'計分版'!D400</f>
        <v>0.00000000395</v>
      </c>
      <c r="J25" s="201">
        <f t="shared" si="10"/>
        <v>-36</v>
      </c>
      <c r="K25" s="202">
        <f t="shared" si="11"/>
        <v>-9113924050</v>
      </c>
      <c r="L25" s="132">
        <v>40.0</v>
      </c>
      <c r="M25" s="203">
        <f>'入學要求'!S387</f>
        <v>0</v>
      </c>
      <c r="N25" s="131" t="s">
        <v>1166</v>
      </c>
      <c r="O25" s="131">
        <v>3.0</v>
      </c>
      <c r="P25" s="131">
        <v>3.0</v>
      </c>
      <c r="Q25" s="131">
        <v>2.0</v>
      </c>
      <c r="R25" s="131">
        <v>2.0</v>
      </c>
      <c r="S25" s="131">
        <v>2.0</v>
      </c>
      <c r="T25" s="204">
        <f>'入學要求'!L387</f>
        <v>0</v>
      </c>
      <c r="U25" s="204">
        <f>'入學要求'!M387</f>
        <v>0</v>
      </c>
      <c r="V25" s="204">
        <f>'入學要求'!N387</f>
        <v>0</v>
      </c>
      <c r="W25" s="204">
        <f>'入學要求'!O387</f>
        <v>0</v>
      </c>
      <c r="X25" s="204">
        <f>'入學要求'!P387</f>
        <v>0</v>
      </c>
      <c r="Y25" s="205"/>
      <c r="Z25" s="132" t="str">
        <f>IF($Y$2="2018年",'Offer Statistics'!FM25,IF($Y$2="2019年",'Offer Statistics'!FM71,IF($Y$2="2020年",'Offer Statistics'!FM117)))</f>
        <v>/</v>
      </c>
      <c r="AA25" s="206" t="str">
        <f>IF($Y$2="2018年",'Offer Statistics'!FH25,IF($Y$2="2019年",'Offer Statistics'!FH71,IF($Y$2="2020年",'Offer Statistics'!FH117)))</f>
        <v>/</v>
      </c>
      <c r="AB25" s="206" t="str">
        <f>IF($Y$2="2018年",'Offer Statistics'!FI25,IF($Y$2="2019年",'Offer Statistics'!FI71,IF($Y$2="2020年",'Offer Statistics'!FI117)))</f>
        <v>/</v>
      </c>
      <c r="AC25" s="206" t="str">
        <f>IF($Y$2="2018年",'Offer Statistics'!FJ25,IF($Y$2="2019年",'Offer Statistics'!FJ71,IF($Y$2="2020年",'Offer Statistics'!FJ117)))</f>
        <v>/</v>
      </c>
      <c r="AD25" s="206" t="str">
        <f>IF($Y$2="2018年",'Offer Statistics'!FK25,IF($Y$2="2019年",'Offer Statistics'!FK71,IF($Y$2="2020年",'Offer Statistics'!FK117)))</f>
        <v>/</v>
      </c>
      <c r="AE25" s="206" t="str">
        <f>IF($Y$2="2018年",'Offer Statistics'!FL25,IF($Y$2="2019年",'Offer Statistics'!FL71,IF($Y$2="2020年",'Offer Statistics'!FL117)))</f>
        <v>/</v>
      </c>
      <c r="AF25" s="205"/>
      <c r="AG25" s="132" t="str">
        <f>IF($Y$2="2018年",'Offer Statistics'!FE25,IF($Y$2="2019年",'Offer Statistics'!FE71,IF($Y$2="2020年",'Offer Statistics'!FE117)))</f>
        <v>/</v>
      </c>
      <c r="AH25" s="206" t="str">
        <f>IF($Y$2="2018年",'Offer Statistics'!EZ25,IF($Y$2="2019年",'Offer Statistics'!EZ71,IF($Y$2="2020年",'Offer Statistics'!EZ117)))</f>
        <v>/</v>
      </c>
      <c r="AI25" s="206" t="str">
        <f>IF($Y$2="2018年",'Offer Statistics'!FA25,IF($Y$2="2019年",'Offer Statistics'!FA71,IF($Y$2="2020年",'Offer Statistics'!FA117)))</f>
        <v>/</v>
      </c>
      <c r="AJ25" s="206" t="str">
        <f>IF($Y$2="2018年",'Offer Statistics'!FB25,IF($Y$2="2019年",'Offer Statistics'!FB71,IF($Y$2="2020年",'Offer Statistics'!FB117)))</f>
        <v>/</v>
      </c>
      <c r="AK25" s="206" t="str">
        <f>IF($Y$2="2018年",'Offer Statistics'!FC25,IF($Y$2="2019年",'Offer Statistics'!FC71,IF($Y$2="2020年",'Offer Statistics'!FC117)))</f>
        <v>/</v>
      </c>
      <c r="AL25" s="206" t="str">
        <f>IF($Y$2="2018年",'Offer Statistics'!FD25,IF($Y$2="2019年",'Offer Statistics'!FD71,IF($Y$2="2020年",'Offer Statistics'!FD117)))</f>
        <v>/</v>
      </c>
      <c r="AM25" s="142"/>
      <c r="AN25" s="131" t="str">
        <f t="shared" si="3"/>
        <v>JSSU55</v>
      </c>
    </row>
    <row r="26" ht="18.0" customHeight="1">
      <c r="A26" s="225" t="s">
        <v>900</v>
      </c>
      <c r="B26" s="225" t="s">
        <v>1716</v>
      </c>
      <c r="C26" s="225" t="s">
        <v>901</v>
      </c>
      <c r="D26" s="225" t="s">
        <v>1723</v>
      </c>
      <c r="E26" s="226" t="s">
        <v>775</v>
      </c>
      <c r="F26" s="227" t="s">
        <v>541</v>
      </c>
      <c r="G26" s="227">
        <v>16.0</v>
      </c>
      <c r="H26" s="227">
        <v>15.0</v>
      </c>
      <c r="I26" s="228">
        <f>'計分版'!D401</f>
        <v>0.00000000195</v>
      </c>
      <c r="J26" s="229">
        <f t="shared" si="10"/>
        <v>-16</v>
      </c>
      <c r="K26" s="230">
        <f t="shared" si="11"/>
        <v>-8205128204</v>
      </c>
      <c r="L26" s="231">
        <v>100.0</v>
      </c>
      <c r="M26" s="235">
        <f>'入學要求'!S388</f>
        <v>0</v>
      </c>
      <c r="N26" s="226" t="s">
        <v>541</v>
      </c>
      <c r="O26" s="226">
        <v>3.0</v>
      </c>
      <c r="P26" s="226">
        <v>3.0</v>
      </c>
      <c r="Q26" s="226">
        <v>2.0</v>
      </c>
      <c r="R26" s="226">
        <v>2.0</v>
      </c>
      <c r="S26" s="226">
        <v>2.0</v>
      </c>
      <c r="T26" s="233">
        <f>'入學要求'!L388</f>
        <v>0</v>
      </c>
      <c r="U26" s="233">
        <f>'入學要求'!M388</f>
        <v>0</v>
      </c>
      <c r="V26" s="233">
        <f>'入學要求'!N388</f>
        <v>0</v>
      </c>
      <c r="W26" s="233">
        <f>'入學要求'!O388</f>
        <v>0</v>
      </c>
      <c r="X26" s="233">
        <f>'入學要求'!P388</f>
        <v>0</v>
      </c>
      <c r="Y26" s="205"/>
      <c r="Z26" s="231">
        <f>IF($Y$2="2018年",'Offer Statistics'!FM26,IF($Y$2="2019年",'Offer Statistics'!FM72,IF($Y$2="2020年",'Offer Statistics'!FM118)))</f>
        <v>29</v>
      </c>
      <c r="AA26" s="234">
        <f>IF($Y$2="2018年",'Offer Statistics'!FH26,IF($Y$2="2019年",'Offer Statistics'!FH72,IF($Y$2="2020年",'Offer Statistics'!FH118)))</f>
        <v>18</v>
      </c>
      <c r="AB26" s="234">
        <f>IF($Y$2="2018年",'Offer Statistics'!FI26,IF($Y$2="2019年",'Offer Statistics'!FI72,IF($Y$2="2020年",'Offer Statistics'!FI118)))</f>
        <v>7</v>
      </c>
      <c r="AC26" s="234">
        <f>IF($Y$2="2018年",'Offer Statistics'!FJ26,IF($Y$2="2019年",'Offer Statistics'!FJ72,IF($Y$2="2020年",'Offer Statistics'!FJ118)))</f>
        <v>1</v>
      </c>
      <c r="AD26" s="234">
        <f>IF($Y$2="2018年",'Offer Statistics'!FK26,IF($Y$2="2019年",'Offer Statistics'!FK72,IF($Y$2="2020年",'Offer Statistics'!FK118)))</f>
        <v>1</v>
      </c>
      <c r="AE26" s="234">
        <f>IF($Y$2="2018年",'Offer Statistics'!FL26,IF($Y$2="2019年",'Offer Statistics'!FL72,IF($Y$2="2020年",'Offer Statistics'!FL118)))</f>
        <v>2</v>
      </c>
      <c r="AF26" s="205"/>
      <c r="AG26" s="231">
        <f>IF($Y$2="2018年",'Offer Statistics'!FE26,IF($Y$2="2019年",'Offer Statistics'!FE72,IF($Y$2="2020年",'Offer Statistics'!FE118)))</f>
        <v>1151</v>
      </c>
      <c r="AH26" s="234">
        <f>IF($Y$2="2018年",'Offer Statistics'!EZ26,IF($Y$2="2019年",'Offer Statistics'!EZ72,IF($Y$2="2020年",'Offer Statistics'!EZ118)))</f>
        <v>102</v>
      </c>
      <c r="AI26" s="234">
        <f>IF($Y$2="2018年",'Offer Statistics'!FA26,IF($Y$2="2019年",'Offer Statistics'!FA72,IF($Y$2="2020年",'Offer Statistics'!FA118)))</f>
        <v>208</v>
      </c>
      <c r="AJ26" s="234">
        <f>IF($Y$2="2018年",'Offer Statistics'!FB26,IF($Y$2="2019年",'Offer Statistics'!FB72,IF($Y$2="2020年",'Offer Statistics'!FB118)))</f>
        <v>233</v>
      </c>
      <c r="AK26" s="234">
        <f>IF($Y$2="2018年",'Offer Statistics'!FC26,IF($Y$2="2019年",'Offer Statistics'!FC72,IF($Y$2="2020年",'Offer Statistics'!FC118)))</f>
        <v>281</v>
      </c>
      <c r="AL26" s="234">
        <f>IF($Y$2="2018年",'Offer Statistics'!FD26,IF($Y$2="2019年",'Offer Statistics'!FD72,IF($Y$2="2020年",'Offer Statistics'!FD118)))</f>
        <v>327</v>
      </c>
      <c r="AM26" s="225"/>
      <c r="AN26" s="226" t="str">
        <f t="shared" si="3"/>
        <v>JSSU65</v>
      </c>
    </row>
    <row r="27" ht="18.0" customHeight="1">
      <c r="A27" s="142" t="s">
        <v>902</v>
      </c>
      <c r="B27" s="142" t="s">
        <v>1716</v>
      </c>
      <c r="C27" s="142" t="s">
        <v>903</v>
      </c>
      <c r="D27" s="142" t="s">
        <v>1724</v>
      </c>
      <c r="E27" s="131" t="s">
        <v>775</v>
      </c>
      <c r="F27" s="199" t="s">
        <v>541</v>
      </c>
      <c r="G27" s="199">
        <v>16.0</v>
      </c>
      <c r="H27" s="199">
        <v>16.0</v>
      </c>
      <c r="I27" s="200">
        <f>'計分版'!D402</f>
        <v>0.00000000195</v>
      </c>
      <c r="J27" s="201">
        <f t="shared" si="10"/>
        <v>-16</v>
      </c>
      <c r="K27" s="202">
        <f t="shared" si="11"/>
        <v>-8205128204</v>
      </c>
      <c r="L27" s="132">
        <v>30.0</v>
      </c>
      <c r="M27" s="203">
        <f>'入學要求'!S389</f>
        <v>0</v>
      </c>
      <c r="N27" s="131" t="s">
        <v>541</v>
      </c>
      <c r="O27" s="131">
        <v>3.0</v>
      </c>
      <c r="P27" s="131">
        <v>3.0</v>
      </c>
      <c r="Q27" s="131">
        <v>2.0</v>
      </c>
      <c r="R27" s="131">
        <v>2.0</v>
      </c>
      <c r="S27" s="131">
        <v>2.0</v>
      </c>
      <c r="T27" s="204">
        <f>'入學要求'!L389</f>
        <v>0</v>
      </c>
      <c r="U27" s="204">
        <f>'入學要求'!M389</f>
        <v>0</v>
      </c>
      <c r="V27" s="204">
        <f>'入學要求'!N389</f>
        <v>0</v>
      </c>
      <c r="W27" s="204">
        <f>'入學要求'!O389</f>
        <v>0</v>
      </c>
      <c r="X27" s="204">
        <f>'入學要求'!P389</f>
        <v>0</v>
      </c>
      <c r="Y27" s="205"/>
      <c r="Z27" s="132">
        <f>IF($Y$2="2018年",'Offer Statistics'!FM27,IF($Y$2="2019年",'Offer Statistics'!FM73,IF($Y$2="2020年",'Offer Statistics'!FM119)))</f>
        <v>68</v>
      </c>
      <c r="AA27" s="206">
        <f>IF($Y$2="2018年",'Offer Statistics'!FH27,IF($Y$2="2019年",'Offer Statistics'!FH73,IF($Y$2="2020年",'Offer Statistics'!FH119)))</f>
        <v>42</v>
      </c>
      <c r="AB27" s="206">
        <f>IF($Y$2="2018年",'Offer Statistics'!FI27,IF($Y$2="2019年",'Offer Statistics'!FI73,IF($Y$2="2020年",'Offer Statistics'!FI119)))</f>
        <v>18</v>
      </c>
      <c r="AC27" s="206">
        <f>IF($Y$2="2018年",'Offer Statistics'!FJ27,IF($Y$2="2019年",'Offer Statistics'!FJ73,IF($Y$2="2020年",'Offer Statistics'!FJ119)))</f>
        <v>1</v>
      </c>
      <c r="AD27" s="206">
        <f>IF($Y$2="2018年",'Offer Statistics'!FK27,IF($Y$2="2019年",'Offer Statistics'!FK73,IF($Y$2="2020年",'Offer Statistics'!FK119)))</f>
        <v>3</v>
      </c>
      <c r="AE27" s="206">
        <f>IF($Y$2="2018年",'Offer Statistics'!FL27,IF($Y$2="2019年",'Offer Statistics'!FL73,IF($Y$2="2020年",'Offer Statistics'!FL119)))</f>
        <v>4</v>
      </c>
      <c r="AF27" s="205"/>
      <c r="AG27" s="132">
        <f>IF($Y$2="2018年",'Offer Statistics'!FE27,IF($Y$2="2019年",'Offer Statistics'!FE73,IF($Y$2="2020年",'Offer Statistics'!FE119)))</f>
        <v>1171</v>
      </c>
      <c r="AH27" s="206">
        <f>IF($Y$2="2018年",'Offer Statistics'!EZ27,IF($Y$2="2019年",'Offer Statistics'!EZ73,IF($Y$2="2020年",'Offer Statistics'!EZ119)))</f>
        <v>129</v>
      </c>
      <c r="AI27" s="206">
        <f>IF($Y$2="2018年",'Offer Statistics'!FA27,IF($Y$2="2019年",'Offer Statistics'!FA73,IF($Y$2="2020年",'Offer Statistics'!FA119)))</f>
        <v>209</v>
      </c>
      <c r="AJ27" s="206">
        <f>IF($Y$2="2018年",'Offer Statistics'!FB27,IF($Y$2="2019年",'Offer Statistics'!FB73,IF($Y$2="2020年",'Offer Statistics'!FB119)))</f>
        <v>234</v>
      </c>
      <c r="AK27" s="206">
        <f>IF($Y$2="2018年",'Offer Statistics'!FC27,IF($Y$2="2019年",'Offer Statistics'!FC73,IF($Y$2="2020年",'Offer Statistics'!FC119)))</f>
        <v>261</v>
      </c>
      <c r="AL27" s="206">
        <f>IF($Y$2="2018年",'Offer Statistics'!FD27,IF($Y$2="2019年",'Offer Statistics'!FD73,IF($Y$2="2020年",'Offer Statistics'!FD119)))</f>
        <v>338</v>
      </c>
      <c r="AM27" s="142"/>
      <c r="AN27" s="131" t="str">
        <f t="shared" si="3"/>
        <v>JSSU68</v>
      </c>
    </row>
    <row r="28" ht="18.0" customHeight="1">
      <c r="A28" s="225" t="s">
        <v>904</v>
      </c>
      <c r="B28" s="225" t="s">
        <v>1716</v>
      </c>
      <c r="C28" s="225" t="s">
        <v>905</v>
      </c>
      <c r="D28" s="225" t="s">
        <v>1725</v>
      </c>
      <c r="E28" s="236" t="s">
        <v>775</v>
      </c>
      <c r="F28" s="227" t="s">
        <v>541</v>
      </c>
      <c r="G28" s="227">
        <v>16.0</v>
      </c>
      <c r="H28" s="227">
        <v>16.0</v>
      </c>
      <c r="I28" s="228">
        <f>'計分版'!D403</f>
        <v>0.00000000195</v>
      </c>
      <c r="J28" s="229">
        <f t="shared" si="10"/>
        <v>-16</v>
      </c>
      <c r="K28" s="230">
        <f t="shared" si="11"/>
        <v>-8205128204</v>
      </c>
      <c r="L28" s="231">
        <v>30.0</v>
      </c>
      <c r="M28" s="235">
        <f>'入學要求'!S390</f>
        <v>0</v>
      </c>
      <c r="N28" s="226" t="s">
        <v>541</v>
      </c>
      <c r="O28" s="226">
        <v>3.0</v>
      </c>
      <c r="P28" s="226">
        <v>3.0</v>
      </c>
      <c r="Q28" s="226">
        <v>2.0</v>
      </c>
      <c r="R28" s="226">
        <v>2.0</v>
      </c>
      <c r="S28" s="226">
        <v>2.0</v>
      </c>
      <c r="T28" s="233">
        <f>'入學要求'!L390</f>
        <v>0</v>
      </c>
      <c r="U28" s="233">
        <f>'入學要求'!M390</f>
        <v>0</v>
      </c>
      <c r="V28" s="233">
        <f>'入學要求'!N390</f>
        <v>0</v>
      </c>
      <c r="W28" s="233">
        <f>'入學要求'!O390</f>
        <v>0</v>
      </c>
      <c r="X28" s="233">
        <f>'入學要求'!P390</f>
        <v>0</v>
      </c>
      <c r="Y28" s="205"/>
      <c r="Z28" s="231" t="str">
        <f>IF($Y$2="2018年",'Offer Statistics'!FM28,IF($Y$2="2019年",'Offer Statistics'!FM74,IF($Y$2="2020年",'Offer Statistics'!FM120)))</f>
        <v>/</v>
      </c>
      <c r="AA28" s="234" t="str">
        <f>IF($Y$2="2018年",'Offer Statistics'!FH28,IF($Y$2="2019年",'Offer Statistics'!FH74,IF($Y$2="2020年",'Offer Statistics'!FH120)))</f>
        <v>/</v>
      </c>
      <c r="AB28" s="234" t="str">
        <f>IF($Y$2="2018年",'Offer Statistics'!FI28,IF($Y$2="2019年",'Offer Statistics'!FI74,IF($Y$2="2020年",'Offer Statistics'!FI120)))</f>
        <v>/</v>
      </c>
      <c r="AC28" s="234" t="str">
        <f>IF($Y$2="2018年",'Offer Statistics'!FJ28,IF($Y$2="2019年",'Offer Statistics'!FJ74,IF($Y$2="2020年",'Offer Statistics'!FJ120)))</f>
        <v>/</v>
      </c>
      <c r="AD28" s="234" t="str">
        <f>IF($Y$2="2018年",'Offer Statistics'!FK28,IF($Y$2="2019年",'Offer Statistics'!FK74,IF($Y$2="2020年",'Offer Statistics'!FK120)))</f>
        <v>/</v>
      </c>
      <c r="AE28" s="234" t="str">
        <f>IF($Y$2="2018年",'Offer Statistics'!FL28,IF($Y$2="2019年",'Offer Statistics'!FL74,IF($Y$2="2020年",'Offer Statistics'!FL120)))</f>
        <v>/</v>
      </c>
      <c r="AF28" s="205"/>
      <c r="AG28" s="231" t="str">
        <f>IF($Y$2="2018年",'Offer Statistics'!FE28,IF($Y$2="2019年",'Offer Statistics'!FE74,IF($Y$2="2020年",'Offer Statistics'!FE120)))</f>
        <v>/</v>
      </c>
      <c r="AH28" s="234" t="str">
        <f>IF($Y$2="2018年",'Offer Statistics'!EZ28,IF($Y$2="2019年",'Offer Statistics'!EZ74,IF($Y$2="2020年",'Offer Statistics'!EZ120)))</f>
        <v>/</v>
      </c>
      <c r="AI28" s="234" t="str">
        <f>IF($Y$2="2018年",'Offer Statistics'!FA28,IF($Y$2="2019年",'Offer Statistics'!FA74,IF($Y$2="2020年",'Offer Statistics'!FA120)))</f>
        <v>/</v>
      </c>
      <c r="AJ28" s="234" t="str">
        <f>IF($Y$2="2018年",'Offer Statistics'!FB28,IF($Y$2="2019年",'Offer Statistics'!FB74,IF($Y$2="2020年",'Offer Statistics'!FB120)))</f>
        <v>/</v>
      </c>
      <c r="AK28" s="234" t="str">
        <f>IF($Y$2="2018年",'Offer Statistics'!FC28,IF($Y$2="2019年",'Offer Statistics'!FC74,IF($Y$2="2020年",'Offer Statistics'!FC120)))</f>
        <v>/</v>
      </c>
      <c r="AL28" s="234" t="str">
        <f>IF($Y$2="2018年",'Offer Statistics'!FD28,IF($Y$2="2019年",'Offer Statistics'!FD74,IF($Y$2="2020年",'Offer Statistics'!FD120)))</f>
        <v>/</v>
      </c>
      <c r="AM28" s="225"/>
      <c r="AN28" s="226" t="str">
        <f t="shared" si="3"/>
        <v>JSSU69</v>
      </c>
    </row>
    <row r="29" ht="18.0" customHeight="1">
      <c r="A29" s="142" t="s">
        <v>906</v>
      </c>
      <c r="B29" s="142" t="s">
        <v>1716</v>
      </c>
      <c r="C29" s="142" t="s">
        <v>907</v>
      </c>
      <c r="D29" s="142" t="s">
        <v>1726</v>
      </c>
      <c r="E29" s="135" t="s">
        <v>775</v>
      </c>
      <c r="F29" s="199" t="s">
        <v>541</v>
      </c>
      <c r="G29" s="199">
        <v>15.0</v>
      </c>
      <c r="H29" s="199">
        <v>14.0</v>
      </c>
      <c r="I29" s="200">
        <f>'計分版'!D404</f>
        <v>0.00000000195</v>
      </c>
      <c r="J29" s="201">
        <f t="shared" si="10"/>
        <v>-15</v>
      </c>
      <c r="K29" s="202">
        <f t="shared" si="11"/>
        <v>-7692307691</v>
      </c>
      <c r="L29" s="132">
        <v>25.0</v>
      </c>
      <c r="M29" s="203">
        <f>'入學要求'!S391</f>
        <v>0</v>
      </c>
      <c r="N29" s="131" t="s">
        <v>541</v>
      </c>
      <c r="O29" s="131">
        <v>3.0</v>
      </c>
      <c r="P29" s="131">
        <v>3.0</v>
      </c>
      <c r="Q29" s="131">
        <v>2.0</v>
      </c>
      <c r="R29" s="131">
        <v>2.0</v>
      </c>
      <c r="S29" s="131">
        <v>2.0</v>
      </c>
      <c r="T29" s="204">
        <f>'入學要求'!L391</f>
        <v>0</v>
      </c>
      <c r="U29" s="204">
        <f>'入學要求'!M391</f>
        <v>0</v>
      </c>
      <c r="V29" s="204">
        <f>'入學要求'!N391</f>
        <v>0</v>
      </c>
      <c r="W29" s="204">
        <f>'入學要求'!O391</f>
        <v>0</v>
      </c>
      <c r="X29" s="204">
        <f>'入學要求'!P391</f>
        <v>0</v>
      </c>
      <c r="Y29" s="205"/>
      <c r="Z29" s="132" t="str">
        <f>IF($Y$2="2018年",'Offer Statistics'!FM29,IF($Y$2="2019年",'Offer Statistics'!FM75,IF($Y$2="2020年",'Offer Statistics'!FM121)))</f>
        <v>/</v>
      </c>
      <c r="AA29" s="206" t="str">
        <f>IF($Y$2="2018年",'Offer Statistics'!FH29,IF($Y$2="2019年",'Offer Statistics'!FH75,IF($Y$2="2020年",'Offer Statistics'!FH121)))</f>
        <v>/</v>
      </c>
      <c r="AB29" s="206" t="str">
        <f>IF($Y$2="2018年",'Offer Statistics'!FI29,IF($Y$2="2019年",'Offer Statistics'!FI75,IF($Y$2="2020年",'Offer Statistics'!FI121)))</f>
        <v>/</v>
      </c>
      <c r="AC29" s="206" t="str">
        <f>IF($Y$2="2018年",'Offer Statistics'!FJ29,IF($Y$2="2019年",'Offer Statistics'!FJ75,IF($Y$2="2020年",'Offer Statistics'!FJ121)))</f>
        <v>/</v>
      </c>
      <c r="AD29" s="206" t="str">
        <f>IF($Y$2="2018年",'Offer Statistics'!FK29,IF($Y$2="2019年",'Offer Statistics'!FK75,IF($Y$2="2020年",'Offer Statistics'!FK121)))</f>
        <v>/</v>
      </c>
      <c r="AE29" s="206" t="str">
        <f>IF($Y$2="2018年",'Offer Statistics'!FL29,IF($Y$2="2019年",'Offer Statistics'!FL75,IF($Y$2="2020年",'Offer Statistics'!FL121)))</f>
        <v>/</v>
      </c>
      <c r="AF29" s="205"/>
      <c r="AG29" s="132" t="str">
        <f>IF($Y$2="2018年",'Offer Statistics'!FE29,IF($Y$2="2019年",'Offer Statistics'!FE75,IF($Y$2="2020年",'Offer Statistics'!FE121)))</f>
        <v>/</v>
      </c>
      <c r="AH29" s="206" t="str">
        <f>IF($Y$2="2018年",'Offer Statistics'!EZ29,IF($Y$2="2019年",'Offer Statistics'!EZ75,IF($Y$2="2020年",'Offer Statistics'!EZ121)))</f>
        <v>/</v>
      </c>
      <c r="AI29" s="206" t="str">
        <f>IF($Y$2="2018年",'Offer Statistics'!FA29,IF($Y$2="2019年",'Offer Statistics'!FA75,IF($Y$2="2020年",'Offer Statistics'!FA121)))</f>
        <v>/</v>
      </c>
      <c r="AJ29" s="206" t="str">
        <f>IF($Y$2="2018年",'Offer Statistics'!FB29,IF($Y$2="2019年",'Offer Statistics'!FB75,IF($Y$2="2020年",'Offer Statistics'!FB121)))</f>
        <v>/</v>
      </c>
      <c r="AK29" s="206" t="str">
        <f>IF($Y$2="2018年",'Offer Statistics'!FC29,IF($Y$2="2019年",'Offer Statistics'!FC75,IF($Y$2="2020年",'Offer Statistics'!FC121)))</f>
        <v>/</v>
      </c>
      <c r="AL29" s="206" t="str">
        <f>IF($Y$2="2018年",'Offer Statistics'!FD29,IF($Y$2="2019年",'Offer Statistics'!FD75,IF($Y$2="2020年",'Offer Statistics'!FD121)))</f>
        <v>/</v>
      </c>
      <c r="AM29" s="142"/>
      <c r="AN29" s="131" t="str">
        <f t="shared" si="3"/>
        <v>JSSU70</v>
      </c>
    </row>
    <row r="30" ht="18.0" customHeight="1">
      <c r="A30" s="225" t="s">
        <v>908</v>
      </c>
      <c r="B30" s="225" t="s">
        <v>1716</v>
      </c>
      <c r="C30" s="225" t="s">
        <v>909</v>
      </c>
      <c r="D30" s="225" t="s">
        <v>1727</v>
      </c>
      <c r="E30" s="226" t="s">
        <v>21</v>
      </c>
      <c r="F30" s="227" t="s">
        <v>541</v>
      </c>
      <c r="G30" s="227">
        <v>17.0</v>
      </c>
      <c r="H30" s="227">
        <v>16.0</v>
      </c>
      <c r="I30" s="228">
        <f>'計分版'!D405</f>
        <v>0.00000000395</v>
      </c>
      <c r="J30" s="229">
        <f t="shared" si="10"/>
        <v>-17</v>
      </c>
      <c r="K30" s="230">
        <f t="shared" si="11"/>
        <v>-4303797467</v>
      </c>
      <c r="L30" s="231">
        <v>60.0</v>
      </c>
      <c r="M30" s="235">
        <f>'入學要求'!S392</f>
        <v>0</v>
      </c>
      <c r="N30" s="226" t="s">
        <v>541</v>
      </c>
      <c r="O30" s="226">
        <v>3.0</v>
      </c>
      <c r="P30" s="226">
        <v>3.0</v>
      </c>
      <c r="Q30" s="226">
        <v>2.0</v>
      </c>
      <c r="R30" s="226">
        <v>2.0</v>
      </c>
      <c r="S30" s="226">
        <v>2.0</v>
      </c>
      <c r="T30" s="233">
        <f>'入學要求'!L392</f>
        <v>0</v>
      </c>
      <c r="U30" s="233">
        <f>'入學要求'!M392</f>
        <v>0</v>
      </c>
      <c r="V30" s="233">
        <f>'入學要求'!N392</f>
        <v>0</v>
      </c>
      <c r="W30" s="233">
        <f>'入學要求'!O392</f>
        <v>0</v>
      </c>
      <c r="X30" s="233">
        <f>'入學要求'!P392</f>
        <v>0</v>
      </c>
      <c r="Y30" s="205"/>
      <c r="Z30" s="231">
        <f>IF($Y$2="2018年",'Offer Statistics'!FM30,IF($Y$2="2019年",'Offer Statistics'!FM76,IF($Y$2="2020年",'Offer Statistics'!FM122)))</f>
        <v>41</v>
      </c>
      <c r="AA30" s="234">
        <f>IF($Y$2="2018年",'Offer Statistics'!FH30,IF($Y$2="2019年",'Offer Statistics'!FH76,IF($Y$2="2020年",'Offer Statistics'!FH122)))</f>
        <v>28</v>
      </c>
      <c r="AB30" s="234">
        <f>IF($Y$2="2018年",'Offer Statistics'!FI30,IF($Y$2="2019年",'Offer Statistics'!FI76,IF($Y$2="2020年",'Offer Statistics'!FI122)))</f>
        <v>8</v>
      </c>
      <c r="AC30" s="234">
        <f>IF($Y$2="2018年",'Offer Statistics'!FJ30,IF($Y$2="2019年",'Offer Statistics'!FJ76,IF($Y$2="2020年",'Offer Statistics'!FJ122)))</f>
        <v>3</v>
      </c>
      <c r="AD30" s="234">
        <f>IF($Y$2="2018年",'Offer Statistics'!FK30,IF($Y$2="2019年",'Offer Statistics'!FK76,IF($Y$2="2020年",'Offer Statistics'!FK122)))</f>
        <v>1</v>
      </c>
      <c r="AE30" s="234">
        <f>IF($Y$2="2018年",'Offer Statistics'!FL30,IF($Y$2="2019年",'Offer Statistics'!FL76,IF($Y$2="2020年",'Offer Statistics'!FL122)))</f>
        <v>1</v>
      </c>
      <c r="AF30" s="205"/>
      <c r="AG30" s="231">
        <f>IF($Y$2="2018年",'Offer Statistics'!FE30,IF($Y$2="2019年",'Offer Statistics'!FE76,IF($Y$2="2020年",'Offer Statistics'!FE122)))</f>
        <v>1566</v>
      </c>
      <c r="AH30" s="234">
        <f>IF($Y$2="2018年",'Offer Statistics'!EZ30,IF($Y$2="2019年",'Offer Statistics'!EZ76,IF($Y$2="2020年",'Offer Statistics'!EZ122)))</f>
        <v>170</v>
      </c>
      <c r="AI30" s="234">
        <f>IF($Y$2="2018年",'Offer Statistics'!FA30,IF($Y$2="2019年",'Offer Statistics'!FA76,IF($Y$2="2020年",'Offer Statistics'!FA122)))</f>
        <v>264</v>
      </c>
      <c r="AJ30" s="234">
        <f>IF($Y$2="2018年",'Offer Statistics'!FB30,IF($Y$2="2019年",'Offer Statistics'!FB76,IF($Y$2="2020年",'Offer Statistics'!FB122)))</f>
        <v>311</v>
      </c>
      <c r="AK30" s="234">
        <f>IF($Y$2="2018年",'Offer Statistics'!FC30,IF($Y$2="2019年",'Offer Statistics'!FC76,IF($Y$2="2020年",'Offer Statistics'!FC122)))</f>
        <v>368</v>
      </c>
      <c r="AL30" s="234">
        <f>IF($Y$2="2018年",'Offer Statistics'!FD30,IF($Y$2="2019年",'Offer Statistics'!FD76,IF($Y$2="2020年",'Offer Statistics'!FD122)))</f>
        <v>453</v>
      </c>
      <c r="AM30" s="225"/>
      <c r="AN30" s="226" t="str">
        <f t="shared" si="3"/>
        <v>JSSU71</v>
      </c>
    </row>
    <row r="31" ht="18.0" customHeight="1">
      <c r="A31" s="142" t="s">
        <v>910</v>
      </c>
      <c r="B31" s="142" t="s">
        <v>1716</v>
      </c>
      <c r="C31" s="142" t="s">
        <v>911</v>
      </c>
      <c r="D31" s="142" t="s">
        <v>1728</v>
      </c>
      <c r="E31" s="131" t="s">
        <v>21</v>
      </c>
      <c r="F31" s="199" t="s">
        <v>541</v>
      </c>
      <c r="G31" s="199">
        <v>16.0</v>
      </c>
      <c r="H31" s="199">
        <v>15.0</v>
      </c>
      <c r="I31" s="200">
        <f>'計分版'!D406</f>
        <v>0.00000000395</v>
      </c>
      <c r="J31" s="201">
        <f t="shared" si="10"/>
        <v>-16</v>
      </c>
      <c r="K31" s="202">
        <f t="shared" si="11"/>
        <v>-4050632910</v>
      </c>
      <c r="L31" s="132">
        <v>80.0</v>
      </c>
      <c r="M31" s="203">
        <f>'入學要求'!S393</f>
        <v>0</v>
      </c>
      <c r="N31" s="131" t="s">
        <v>541</v>
      </c>
      <c r="O31" s="131">
        <v>3.0</v>
      </c>
      <c r="P31" s="131">
        <v>3.0</v>
      </c>
      <c r="Q31" s="131">
        <v>2.0</v>
      </c>
      <c r="R31" s="131">
        <v>2.0</v>
      </c>
      <c r="S31" s="131">
        <v>2.0</v>
      </c>
      <c r="T31" s="204">
        <f>'入學要求'!L393</f>
        <v>0</v>
      </c>
      <c r="U31" s="204">
        <f>'入學要求'!M393</f>
        <v>0</v>
      </c>
      <c r="V31" s="204">
        <f>'入學要求'!N393</f>
        <v>0</v>
      </c>
      <c r="W31" s="204">
        <f>'入學要求'!O393</f>
        <v>0</v>
      </c>
      <c r="X31" s="204">
        <f>'入學要求'!P393</f>
        <v>0</v>
      </c>
      <c r="Y31" s="205"/>
      <c r="Z31" s="132">
        <f>IF($Y$2="2018年",'Offer Statistics'!FM31,IF($Y$2="2019年",'Offer Statistics'!FM77,IF($Y$2="2020年",'Offer Statistics'!FM123)))</f>
        <v>121</v>
      </c>
      <c r="AA31" s="206">
        <f>IF($Y$2="2018年",'Offer Statistics'!FH31,IF($Y$2="2019年",'Offer Statistics'!FH77,IF($Y$2="2020年",'Offer Statistics'!FH123)))</f>
        <v>64</v>
      </c>
      <c r="AB31" s="206">
        <f>IF($Y$2="2018年",'Offer Statistics'!FI31,IF($Y$2="2019年",'Offer Statistics'!FI77,IF($Y$2="2020年",'Offer Statistics'!FI123)))</f>
        <v>17</v>
      </c>
      <c r="AC31" s="206">
        <f>IF($Y$2="2018年",'Offer Statistics'!FJ31,IF($Y$2="2019年",'Offer Statistics'!FJ77,IF($Y$2="2020年",'Offer Statistics'!FJ123)))</f>
        <v>15</v>
      </c>
      <c r="AD31" s="206">
        <f>IF($Y$2="2018年",'Offer Statistics'!FK31,IF($Y$2="2019年",'Offer Statistics'!FK77,IF($Y$2="2020年",'Offer Statistics'!FK123)))</f>
        <v>7</v>
      </c>
      <c r="AE31" s="206">
        <f>IF($Y$2="2018年",'Offer Statistics'!FL31,IF($Y$2="2019年",'Offer Statistics'!FL77,IF($Y$2="2020年",'Offer Statistics'!FL123)))</f>
        <v>18</v>
      </c>
      <c r="AF31" s="205"/>
      <c r="AG31" s="132">
        <f>IF($Y$2="2018年",'Offer Statistics'!FE31,IF($Y$2="2019年",'Offer Statistics'!FE77,IF($Y$2="2020年",'Offer Statistics'!FE123)))</f>
        <v>3018</v>
      </c>
      <c r="AH31" s="206">
        <f>IF($Y$2="2018年",'Offer Statistics'!EZ31,IF($Y$2="2019年",'Offer Statistics'!EZ77,IF($Y$2="2020年",'Offer Statistics'!EZ123)))</f>
        <v>455</v>
      </c>
      <c r="AI31" s="206">
        <f>IF($Y$2="2018年",'Offer Statistics'!FA31,IF($Y$2="2019年",'Offer Statistics'!FA77,IF($Y$2="2020年",'Offer Statistics'!FA123)))</f>
        <v>549</v>
      </c>
      <c r="AJ31" s="206">
        <f>IF($Y$2="2018年",'Offer Statistics'!FB31,IF($Y$2="2019年",'Offer Statistics'!FB77,IF($Y$2="2020年",'Offer Statistics'!FB123)))</f>
        <v>607</v>
      </c>
      <c r="AK31" s="206">
        <f>IF($Y$2="2018年",'Offer Statistics'!FC31,IF($Y$2="2019年",'Offer Statistics'!FC77,IF($Y$2="2020年",'Offer Statistics'!FC123)))</f>
        <v>628</v>
      </c>
      <c r="AL31" s="206">
        <f>IF($Y$2="2018年",'Offer Statistics'!FD31,IF($Y$2="2019年",'Offer Statistics'!FD77,IF($Y$2="2020年",'Offer Statistics'!FD123)))</f>
        <v>779</v>
      </c>
      <c r="AM31" s="142"/>
      <c r="AN31" s="131" t="str">
        <f t="shared" si="3"/>
        <v>JSSU90</v>
      </c>
    </row>
    <row r="32" ht="18.0" customHeight="1">
      <c r="A32" s="225" t="s">
        <v>912</v>
      </c>
      <c r="B32" s="225" t="s">
        <v>1716</v>
      </c>
      <c r="C32" s="225" t="s">
        <v>913</v>
      </c>
      <c r="D32" s="225" t="s">
        <v>1729</v>
      </c>
      <c r="E32" s="226" t="s">
        <v>21</v>
      </c>
      <c r="F32" s="227" t="s">
        <v>541</v>
      </c>
      <c r="G32" s="227">
        <v>16.0</v>
      </c>
      <c r="H32" s="227">
        <v>15.0</v>
      </c>
      <c r="I32" s="228">
        <f>'計分版'!D407</f>
        <v>0.00000000395</v>
      </c>
      <c r="J32" s="229">
        <f t="shared" si="10"/>
        <v>-16</v>
      </c>
      <c r="K32" s="230">
        <f t="shared" si="11"/>
        <v>-4050632910</v>
      </c>
      <c r="L32" s="231">
        <v>40.0</v>
      </c>
      <c r="M32" s="235">
        <f>'入學要求'!S394</f>
        <v>0</v>
      </c>
      <c r="N32" s="226" t="s">
        <v>541</v>
      </c>
      <c r="O32" s="226">
        <v>3.0</v>
      </c>
      <c r="P32" s="226">
        <v>3.0</v>
      </c>
      <c r="Q32" s="226">
        <v>2.0</v>
      </c>
      <c r="R32" s="226">
        <v>2.0</v>
      </c>
      <c r="S32" s="226">
        <v>2.0</v>
      </c>
      <c r="T32" s="233">
        <f>'入學要求'!L394</f>
        <v>0</v>
      </c>
      <c r="U32" s="233">
        <f>'入學要求'!M394</f>
        <v>0</v>
      </c>
      <c r="V32" s="233">
        <f>'入學要求'!N394</f>
        <v>0</v>
      </c>
      <c r="W32" s="233">
        <f>'入學要求'!O394</f>
        <v>0</v>
      </c>
      <c r="X32" s="233">
        <f>'入學要求'!P394</f>
        <v>0</v>
      </c>
      <c r="Y32" s="205"/>
      <c r="Z32" s="231">
        <f>IF($Y$2="2018年",'Offer Statistics'!FM32,IF($Y$2="2019年",'Offer Statistics'!FM78,IF($Y$2="2020年",'Offer Statistics'!FM124)))</f>
        <v>112</v>
      </c>
      <c r="AA32" s="234">
        <f>IF($Y$2="2018年",'Offer Statistics'!FH32,IF($Y$2="2019年",'Offer Statistics'!FH78,IF($Y$2="2020年",'Offer Statistics'!FH124)))</f>
        <v>83</v>
      </c>
      <c r="AB32" s="234">
        <f>IF($Y$2="2018年",'Offer Statistics'!FI32,IF($Y$2="2019年",'Offer Statistics'!FI78,IF($Y$2="2020年",'Offer Statistics'!FI124)))</f>
        <v>14</v>
      </c>
      <c r="AC32" s="234">
        <f>IF($Y$2="2018年",'Offer Statistics'!FJ32,IF($Y$2="2019年",'Offer Statistics'!FJ78,IF($Y$2="2020年",'Offer Statistics'!FJ124)))</f>
        <v>8</v>
      </c>
      <c r="AD32" s="234">
        <f>IF($Y$2="2018年",'Offer Statistics'!FK32,IF($Y$2="2019年",'Offer Statistics'!FK78,IF($Y$2="2020年",'Offer Statistics'!FK124)))</f>
        <v>3</v>
      </c>
      <c r="AE32" s="234">
        <f>IF($Y$2="2018年",'Offer Statistics'!FL32,IF($Y$2="2019年",'Offer Statistics'!FL78,IF($Y$2="2020年",'Offer Statistics'!FL124)))</f>
        <v>4</v>
      </c>
      <c r="AF32" s="205"/>
      <c r="AG32" s="231">
        <f>IF($Y$2="2018年",'Offer Statistics'!FE32,IF($Y$2="2019年",'Offer Statistics'!FE78,IF($Y$2="2020年",'Offer Statistics'!FE124)))</f>
        <v>2341</v>
      </c>
      <c r="AH32" s="234">
        <f>IF($Y$2="2018年",'Offer Statistics'!EZ32,IF($Y$2="2019年",'Offer Statistics'!EZ78,IF($Y$2="2020年",'Offer Statistics'!EZ124)))</f>
        <v>476</v>
      </c>
      <c r="AI32" s="234">
        <f>IF($Y$2="2018年",'Offer Statistics'!FA32,IF($Y$2="2019年",'Offer Statistics'!FA78,IF($Y$2="2020年",'Offer Statistics'!FA124)))</f>
        <v>491</v>
      </c>
      <c r="AJ32" s="234">
        <f>IF($Y$2="2018年",'Offer Statistics'!FB32,IF($Y$2="2019年",'Offer Statistics'!FB78,IF($Y$2="2020年",'Offer Statistics'!FB124)))</f>
        <v>416</v>
      </c>
      <c r="AK32" s="234">
        <f>IF($Y$2="2018年",'Offer Statistics'!FC32,IF($Y$2="2019年",'Offer Statistics'!FC78,IF($Y$2="2020年",'Offer Statistics'!FC124)))</f>
        <v>424</v>
      </c>
      <c r="AL32" s="234">
        <f>IF($Y$2="2018年",'Offer Statistics'!FD32,IF($Y$2="2019年",'Offer Statistics'!FD78,IF($Y$2="2020年",'Offer Statistics'!FD124)))</f>
        <v>534</v>
      </c>
      <c r="AM32" s="225"/>
      <c r="AN32" s="226" t="str">
        <f t="shared" si="3"/>
        <v>JSSU95</v>
      </c>
    </row>
    <row r="33" ht="18.0" customHeight="1">
      <c r="A33" s="142" t="s">
        <v>914</v>
      </c>
      <c r="B33" s="142" t="s">
        <v>1716</v>
      </c>
      <c r="C33" s="142" t="s">
        <v>915</v>
      </c>
      <c r="D33" s="142" t="s">
        <v>1730</v>
      </c>
      <c r="E33" s="131" t="s">
        <v>21</v>
      </c>
      <c r="F33" s="199" t="s">
        <v>541</v>
      </c>
      <c r="G33" s="199">
        <v>18.0</v>
      </c>
      <c r="H33" s="199">
        <v>16.0</v>
      </c>
      <c r="I33" s="200">
        <f>'計分版'!D408</f>
        <v>0.00000000395</v>
      </c>
      <c r="J33" s="201">
        <f t="shared" si="10"/>
        <v>-18</v>
      </c>
      <c r="K33" s="202">
        <f t="shared" si="11"/>
        <v>-4556962024</v>
      </c>
      <c r="L33" s="132">
        <v>40.0</v>
      </c>
      <c r="M33" s="203">
        <f>'入學要求'!S395</f>
        <v>0</v>
      </c>
      <c r="N33" s="131" t="s">
        <v>541</v>
      </c>
      <c r="O33" s="131">
        <v>3.0</v>
      </c>
      <c r="P33" s="131">
        <v>3.0</v>
      </c>
      <c r="Q33" s="131">
        <v>2.0</v>
      </c>
      <c r="R33" s="131">
        <v>2.0</v>
      </c>
      <c r="S33" s="131">
        <v>2.0</v>
      </c>
      <c r="T33" s="204">
        <f>'入學要求'!L395</f>
        <v>0</v>
      </c>
      <c r="U33" s="204">
        <f>'入學要求'!M395</f>
        <v>0</v>
      </c>
      <c r="V33" s="204">
        <f>'入學要求'!N395</f>
        <v>0</v>
      </c>
      <c r="W33" s="204">
        <f>'入學要求'!O395</f>
        <v>0</v>
      </c>
      <c r="X33" s="204">
        <f>'入學要求'!P395</f>
        <v>0</v>
      </c>
      <c r="Y33" s="205"/>
      <c r="Z33" s="132">
        <f>IF($Y$2="2018年",'Offer Statistics'!FM33,IF($Y$2="2019年",'Offer Statistics'!FM79,IF($Y$2="2020年",'Offer Statistics'!FM125)))</f>
        <v>54</v>
      </c>
      <c r="AA33" s="206">
        <f>IF($Y$2="2018年",'Offer Statistics'!FH33,IF($Y$2="2019年",'Offer Statistics'!FH79,IF($Y$2="2020年",'Offer Statistics'!FH125)))</f>
        <v>23</v>
      </c>
      <c r="AB33" s="206">
        <f>IF($Y$2="2018年",'Offer Statistics'!FI33,IF($Y$2="2019年",'Offer Statistics'!FI79,IF($Y$2="2020年",'Offer Statistics'!FI125)))</f>
        <v>13</v>
      </c>
      <c r="AC33" s="206">
        <f>IF($Y$2="2018年",'Offer Statistics'!FJ33,IF($Y$2="2019年",'Offer Statistics'!FJ79,IF($Y$2="2020年",'Offer Statistics'!FJ125)))</f>
        <v>6</v>
      </c>
      <c r="AD33" s="206">
        <f>IF($Y$2="2018年",'Offer Statistics'!FK33,IF($Y$2="2019年",'Offer Statistics'!FK79,IF($Y$2="2020年",'Offer Statistics'!FK125)))</f>
        <v>5</v>
      </c>
      <c r="AE33" s="206">
        <f>IF($Y$2="2018年",'Offer Statistics'!FL33,IF($Y$2="2019年",'Offer Statistics'!FL79,IF($Y$2="2020年",'Offer Statistics'!FL125)))</f>
        <v>7</v>
      </c>
      <c r="AF33" s="205"/>
      <c r="AG33" s="132">
        <f>IF($Y$2="2018年",'Offer Statistics'!FE33,IF($Y$2="2019年",'Offer Statistics'!FE79,IF($Y$2="2020年",'Offer Statistics'!FE125)))</f>
        <v>1730</v>
      </c>
      <c r="AH33" s="206">
        <f>IF($Y$2="2018年",'Offer Statistics'!EZ33,IF($Y$2="2019年",'Offer Statistics'!EZ79,IF($Y$2="2020年",'Offer Statistics'!EZ125)))</f>
        <v>179</v>
      </c>
      <c r="AI33" s="206">
        <f>IF($Y$2="2018年",'Offer Statistics'!FA33,IF($Y$2="2019年",'Offer Statistics'!FA79,IF($Y$2="2020年",'Offer Statistics'!FA125)))</f>
        <v>306</v>
      </c>
      <c r="AJ33" s="206">
        <f>IF($Y$2="2018年",'Offer Statistics'!FB33,IF($Y$2="2019年",'Offer Statistics'!FB79,IF($Y$2="2020年",'Offer Statistics'!FB125)))</f>
        <v>330</v>
      </c>
      <c r="AK33" s="206">
        <f>IF($Y$2="2018年",'Offer Statistics'!FC33,IF($Y$2="2019年",'Offer Statistics'!FC79,IF($Y$2="2020年",'Offer Statistics'!FC125)))</f>
        <v>402</v>
      </c>
      <c r="AL33" s="206">
        <f>IF($Y$2="2018年",'Offer Statistics'!FD33,IF($Y$2="2019年",'Offer Statistics'!FD79,IF($Y$2="2020年",'Offer Statistics'!FD125)))</f>
        <v>513</v>
      </c>
      <c r="AM33" s="142"/>
      <c r="AN33" s="131" t="str">
        <f t="shared" si="3"/>
        <v>JSSU96</v>
      </c>
    </row>
    <row r="34" ht="18.0" customHeight="1">
      <c r="A34" s="225" t="s">
        <v>916</v>
      </c>
      <c r="B34" s="225" t="s">
        <v>1716</v>
      </c>
      <c r="C34" s="225" t="s">
        <v>917</v>
      </c>
      <c r="D34" s="225" t="s">
        <v>1731</v>
      </c>
      <c r="E34" s="226" t="s">
        <v>21</v>
      </c>
      <c r="F34" s="227" t="s">
        <v>541</v>
      </c>
      <c r="G34" s="227">
        <v>16.0</v>
      </c>
      <c r="H34" s="227">
        <v>15.0</v>
      </c>
      <c r="I34" s="228">
        <f>'計分版'!D409</f>
        <v>0.00000000395</v>
      </c>
      <c r="J34" s="229">
        <f t="shared" si="10"/>
        <v>-16</v>
      </c>
      <c r="K34" s="230">
        <f t="shared" si="11"/>
        <v>-4050632910</v>
      </c>
      <c r="L34" s="231">
        <v>50.0</v>
      </c>
      <c r="M34" s="235">
        <f>'入學要求'!S396</f>
        <v>0</v>
      </c>
      <c r="N34" s="226" t="s">
        <v>541</v>
      </c>
      <c r="O34" s="226">
        <v>3.0</v>
      </c>
      <c r="P34" s="226">
        <v>3.0</v>
      </c>
      <c r="Q34" s="226">
        <v>2.0</v>
      </c>
      <c r="R34" s="226">
        <v>2.0</v>
      </c>
      <c r="S34" s="226">
        <v>2.0</v>
      </c>
      <c r="T34" s="233">
        <f>'入學要求'!L396</f>
        <v>0</v>
      </c>
      <c r="U34" s="233">
        <f>'入學要求'!M396</f>
        <v>0</v>
      </c>
      <c r="V34" s="233">
        <f>'入學要求'!N396</f>
        <v>0</v>
      </c>
      <c r="W34" s="233">
        <f>'入學要求'!O396</f>
        <v>0</v>
      </c>
      <c r="X34" s="233">
        <f>'入學要求'!P396</f>
        <v>0</v>
      </c>
      <c r="Y34" s="205"/>
      <c r="Z34" s="231">
        <f>IF($Y$2="2018年",'Offer Statistics'!FM34,IF($Y$2="2019年",'Offer Statistics'!FM80,IF($Y$2="2020年",'Offer Statistics'!FM126)))</f>
        <v>84</v>
      </c>
      <c r="AA34" s="234">
        <f>IF($Y$2="2018年",'Offer Statistics'!FH34,IF($Y$2="2019年",'Offer Statistics'!FH80,IF($Y$2="2020年",'Offer Statistics'!FH126)))</f>
        <v>34</v>
      </c>
      <c r="AB34" s="234">
        <f>IF($Y$2="2018年",'Offer Statistics'!FI34,IF($Y$2="2019年",'Offer Statistics'!FI80,IF($Y$2="2020年",'Offer Statistics'!FI126)))</f>
        <v>19</v>
      </c>
      <c r="AC34" s="234">
        <f>IF($Y$2="2018年",'Offer Statistics'!FJ34,IF($Y$2="2019年",'Offer Statistics'!FJ80,IF($Y$2="2020年",'Offer Statistics'!FJ126)))</f>
        <v>11</v>
      </c>
      <c r="AD34" s="234">
        <f>IF($Y$2="2018年",'Offer Statistics'!FK34,IF($Y$2="2019年",'Offer Statistics'!FK80,IF($Y$2="2020年",'Offer Statistics'!FK126)))</f>
        <v>5</v>
      </c>
      <c r="AE34" s="234">
        <f>IF($Y$2="2018年",'Offer Statistics'!FL34,IF($Y$2="2019年",'Offer Statistics'!FL80,IF($Y$2="2020年",'Offer Statistics'!FL126)))</f>
        <v>15</v>
      </c>
      <c r="AF34" s="205"/>
      <c r="AG34" s="231">
        <f>IF($Y$2="2018年",'Offer Statistics'!FE34,IF($Y$2="2019年",'Offer Statistics'!FE80,IF($Y$2="2020年",'Offer Statistics'!FE126)))</f>
        <v>2443</v>
      </c>
      <c r="AH34" s="234">
        <f>IF($Y$2="2018年",'Offer Statistics'!EZ34,IF($Y$2="2019年",'Offer Statistics'!EZ80,IF($Y$2="2020年",'Offer Statistics'!EZ126)))</f>
        <v>226</v>
      </c>
      <c r="AI34" s="234">
        <f>IF($Y$2="2018年",'Offer Statistics'!FA34,IF($Y$2="2019年",'Offer Statistics'!FA80,IF($Y$2="2020年",'Offer Statistics'!FA126)))</f>
        <v>429</v>
      </c>
      <c r="AJ34" s="234">
        <f>IF($Y$2="2018年",'Offer Statistics'!FB34,IF($Y$2="2019年",'Offer Statistics'!FB80,IF($Y$2="2020年",'Offer Statistics'!FB126)))</f>
        <v>510</v>
      </c>
      <c r="AK34" s="234">
        <f>IF($Y$2="2018年",'Offer Statistics'!FC34,IF($Y$2="2019年",'Offer Statistics'!FC80,IF($Y$2="2020年",'Offer Statistics'!FC126)))</f>
        <v>544</v>
      </c>
      <c r="AL34" s="234">
        <f>IF($Y$2="2018年",'Offer Statistics'!FD34,IF($Y$2="2019年",'Offer Statistics'!FD80,IF($Y$2="2020年",'Offer Statistics'!FD126)))</f>
        <v>734</v>
      </c>
      <c r="AM34" s="225"/>
      <c r="AN34" s="226" t="str">
        <f t="shared" si="3"/>
        <v>JSSU97</v>
      </c>
    </row>
    <row r="35" ht="18.0" customHeight="1">
      <c r="A35" s="142" t="s">
        <v>918</v>
      </c>
      <c r="B35" s="142" t="s">
        <v>1732</v>
      </c>
      <c r="C35" s="142" t="s">
        <v>919</v>
      </c>
      <c r="D35" s="142" t="s">
        <v>1733</v>
      </c>
      <c r="E35" s="131" t="s">
        <v>21</v>
      </c>
      <c r="F35" s="199" t="s">
        <v>541</v>
      </c>
      <c r="G35" s="132">
        <v>16.0</v>
      </c>
      <c r="H35" s="199" t="s">
        <v>541</v>
      </c>
      <c r="I35" s="200">
        <f>'計分版'!D410</f>
        <v>0.00000000395</v>
      </c>
      <c r="J35" s="201">
        <f t="shared" ref="J35:J44" si="12">I35-G35</f>
        <v>-16</v>
      </c>
      <c r="K35" s="202">
        <f t="shared" ref="K35:K44" si="13">(I35-G35)/I35</f>
        <v>-4050632910</v>
      </c>
      <c r="L35" s="132">
        <v>50.0</v>
      </c>
      <c r="M35" s="203">
        <f>'入學要求'!S397</f>
        <v>0</v>
      </c>
      <c r="N35" s="131" t="s">
        <v>1734</v>
      </c>
      <c r="O35" s="131">
        <v>3.0</v>
      </c>
      <c r="P35" s="131">
        <v>3.0</v>
      </c>
      <c r="Q35" s="131">
        <v>2.0</v>
      </c>
      <c r="R35" s="131">
        <v>2.0</v>
      </c>
      <c r="S35" s="131">
        <v>2.0</v>
      </c>
      <c r="T35" s="204">
        <f>'入學要求'!L397</f>
        <v>0</v>
      </c>
      <c r="U35" s="204">
        <f>'入學要求'!M397</f>
        <v>0</v>
      </c>
      <c r="V35" s="204">
        <f>'入學要求'!N397</f>
        <v>0</v>
      </c>
      <c r="W35" s="204">
        <f>'入學要求'!O397</f>
        <v>0</v>
      </c>
      <c r="X35" s="204">
        <f>'入學要求'!P397</f>
        <v>0</v>
      </c>
      <c r="Y35" s="205"/>
      <c r="Z35" s="132">
        <f>IF($Y$2="2018年",'Offer Statistics'!FM35,IF($Y$2="2019年",'Offer Statistics'!FM81,IF($Y$2="2020年",'Offer Statistics'!FM127)))</f>
        <v>56</v>
      </c>
      <c r="AA35" s="206">
        <f>IF($Y$2="2018年",'Offer Statistics'!FH35,IF($Y$2="2019年",'Offer Statistics'!FH81,IF($Y$2="2020年",'Offer Statistics'!FH127)))</f>
        <v>36</v>
      </c>
      <c r="AB35" s="206">
        <f>IF($Y$2="2018年",'Offer Statistics'!FI35,IF($Y$2="2019年",'Offer Statistics'!FI81,IF($Y$2="2020年",'Offer Statistics'!FI127)))</f>
        <v>5</v>
      </c>
      <c r="AC35" s="206">
        <f>IF($Y$2="2018年",'Offer Statistics'!FJ35,IF($Y$2="2019年",'Offer Statistics'!FJ81,IF($Y$2="2020年",'Offer Statistics'!FJ127)))</f>
        <v>6</v>
      </c>
      <c r="AD35" s="206">
        <f>IF($Y$2="2018年",'Offer Statistics'!FK35,IF($Y$2="2019年",'Offer Statistics'!FK81,IF($Y$2="2020年",'Offer Statistics'!FK127)))</f>
        <v>6</v>
      </c>
      <c r="AE35" s="206">
        <f>IF($Y$2="2018年",'Offer Statistics'!FL35,IF($Y$2="2019年",'Offer Statistics'!FL81,IF($Y$2="2020年",'Offer Statistics'!FL127)))</f>
        <v>3</v>
      </c>
      <c r="AF35" s="205"/>
      <c r="AG35" s="132">
        <f>IF($Y$2="2018年",'Offer Statistics'!FE35,IF($Y$2="2019年",'Offer Statistics'!FE81,IF($Y$2="2020年",'Offer Statistics'!FE127)))</f>
        <v>1822</v>
      </c>
      <c r="AH35" s="206">
        <f>IF($Y$2="2018年",'Offer Statistics'!EZ35,IF($Y$2="2019年",'Offer Statistics'!EZ81,IF($Y$2="2020年",'Offer Statistics'!EZ127)))</f>
        <v>319</v>
      </c>
      <c r="AI35" s="206">
        <f>IF($Y$2="2018年",'Offer Statistics'!FA35,IF($Y$2="2019年",'Offer Statistics'!FA81,IF($Y$2="2020年",'Offer Statistics'!FA127)))</f>
        <v>301</v>
      </c>
      <c r="AJ35" s="206">
        <f>IF($Y$2="2018年",'Offer Statistics'!FB35,IF($Y$2="2019年",'Offer Statistics'!FB81,IF($Y$2="2020年",'Offer Statistics'!FB127)))</f>
        <v>359</v>
      </c>
      <c r="AK35" s="206">
        <f>IF($Y$2="2018年",'Offer Statistics'!FC35,IF($Y$2="2019年",'Offer Statistics'!FC81,IF($Y$2="2020年",'Offer Statistics'!FC127)))</f>
        <v>374</v>
      </c>
      <c r="AL35" s="206">
        <f>IF($Y$2="2018年",'Offer Statistics'!FD35,IF($Y$2="2019年",'Offer Statistics'!FD81,IF($Y$2="2020年",'Offer Statistics'!FD127)))</f>
        <v>469</v>
      </c>
      <c r="AM35" s="142"/>
      <c r="AN35" s="131" t="str">
        <f t="shared" si="3"/>
        <v>JSSV01</v>
      </c>
    </row>
    <row r="36" ht="18.0" customHeight="1">
      <c r="A36" s="225" t="s">
        <v>920</v>
      </c>
      <c r="B36" s="225" t="s">
        <v>1732</v>
      </c>
      <c r="C36" s="225" t="s">
        <v>921</v>
      </c>
      <c r="D36" s="225" t="s">
        <v>1735</v>
      </c>
      <c r="E36" s="226" t="s">
        <v>775</v>
      </c>
      <c r="F36" s="227" t="s">
        <v>541</v>
      </c>
      <c r="G36" s="231">
        <v>17.0</v>
      </c>
      <c r="H36" s="227" t="s">
        <v>541</v>
      </c>
      <c r="I36" s="228">
        <f>'計分版'!D411</f>
        <v>0.00000000195</v>
      </c>
      <c r="J36" s="229">
        <f t="shared" si="12"/>
        <v>-17</v>
      </c>
      <c r="K36" s="230">
        <f t="shared" si="13"/>
        <v>-8717948717</v>
      </c>
      <c r="L36" s="231">
        <v>45.0</v>
      </c>
      <c r="M36" s="235">
        <f>'入學要求'!S398</f>
        <v>0</v>
      </c>
      <c r="N36" s="226" t="s">
        <v>1734</v>
      </c>
      <c r="O36" s="226">
        <v>3.0</v>
      </c>
      <c r="P36" s="226">
        <v>3.0</v>
      </c>
      <c r="Q36" s="226">
        <v>2.0</v>
      </c>
      <c r="R36" s="226">
        <v>2.0</v>
      </c>
      <c r="S36" s="226">
        <v>2.0</v>
      </c>
      <c r="T36" s="233">
        <f>'入學要求'!L398</f>
        <v>0</v>
      </c>
      <c r="U36" s="233">
        <f>'入學要求'!M398</f>
        <v>0</v>
      </c>
      <c r="V36" s="233">
        <f>'入學要求'!N398</f>
        <v>0</v>
      </c>
      <c r="W36" s="233">
        <f>'入學要求'!O398</f>
        <v>0</v>
      </c>
      <c r="X36" s="233">
        <f>'入學要求'!P398</f>
        <v>0</v>
      </c>
      <c r="Y36" s="205"/>
      <c r="Z36" s="231">
        <f>IF($Y$2="2018年",'Offer Statistics'!FM36,IF($Y$2="2019年",'Offer Statistics'!FM82,IF($Y$2="2020年",'Offer Statistics'!FM128)))</f>
        <v>45</v>
      </c>
      <c r="AA36" s="234">
        <f>IF($Y$2="2018年",'Offer Statistics'!FH36,IF($Y$2="2019年",'Offer Statistics'!FH82,IF($Y$2="2020年",'Offer Statistics'!FH128)))</f>
        <v>21</v>
      </c>
      <c r="AB36" s="234">
        <f>IF($Y$2="2018年",'Offer Statistics'!FI36,IF($Y$2="2019年",'Offer Statistics'!FI82,IF($Y$2="2020年",'Offer Statistics'!FI128)))</f>
        <v>8</v>
      </c>
      <c r="AC36" s="234">
        <f>IF($Y$2="2018年",'Offer Statistics'!FJ36,IF($Y$2="2019年",'Offer Statistics'!FJ82,IF($Y$2="2020年",'Offer Statistics'!FJ128)))</f>
        <v>5</v>
      </c>
      <c r="AD36" s="234">
        <f>IF($Y$2="2018年",'Offer Statistics'!FK36,IF($Y$2="2019年",'Offer Statistics'!FK82,IF($Y$2="2020年",'Offer Statistics'!FK128)))</f>
        <v>4</v>
      </c>
      <c r="AE36" s="234">
        <f>IF($Y$2="2018年",'Offer Statistics'!FL36,IF($Y$2="2019年",'Offer Statistics'!FL82,IF($Y$2="2020年",'Offer Statistics'!FL128)))</f>
        <v>7</v>
      </c>
      <c r="AF36" s="205"/>
      <c r="AG36" s="231">
        <f>IF($Y$2="2018年",'Offer Statistics'!FE36,IF($Y$2="2019年",'Offer Statistics'!FE82,IF($Y$2="2020年",'Offer Statistics'!FE128)))</f>
        <v>2141</v>
      </c>
      <c r="AH36" s="234">
        <f>IF($Y$2="2018年",'Offer Statistics'!EZ36,IF($Y$2="2019年",'Offer Statistics'!EZ82,IF($Y$2="2020年",'Offer Statistics'!EZ128)))</f>
        <v>285</v>
      </c>
      <c r="AI36" s="234">
        <f>IF($Y$2="2018年",'Offer Statistics'!FA36,IF($Y$2="2019年",'Offer Statistics'!FA82,IF($Y$2="2020年",'Offer Statistics'!FA128)))</f>
        <v>364</v>
      </c>
      <c r="AJ36" s="234">
        <f>IF($Y$2="2018年",'Offer Statistics'!FB36,IF($Y$2="2019年",'Offer Statistics'!FB82,IF($Y$2="2020年",'Offer Statistics'!FB128)))</f>
        <v>460</v>
      </c>
      <c r="AK36" s="234">
        <f>IF($Y$2="2018年",'Offer Statistics'!FC36,IF($Y$2="2019年",'Offer Statistics'!FC82,IF($Y$2="2020年",'Offer Statistics'!FC128)))</f>
        <v>458</v>
      </c>
      <c r="AL36" s="234">
        <f>IF($Y$2="2018年",'Offer Statistics'!FD36,IF($Y$2="2019年",'Offer Statistics'!FD82,IF($Y$2="2020年",'Offer Statistics'!FD128)))</f>
        <v>574</v>
      </c>
      <c r="AM36" s="225"/>
      <c r="AN36" s="226" t="str">
        <f t="shared" si="3"/>
        <v>JSSV02</v>
      </c>
    </row>
    <row r="37" ht="18.0" customHeight="1">
      <c r="A37" s="142" t="s">
        <v>922</v>
      </c>
      <c r="B37" s="142" t="s">
        <v>1732</v>
      </c>
      <c r="C37" s="142" t="s">
        <v>923</v>
      </c>
      <c r="D37" s="142" t="s">
        <v>1736</v>
      </c>
      <c r="E37" s="131" t="s">
        <v>775</v>
      </c>
      <c r="F37" s="199" t="s">
        <v>541</v>
      </c>
      <c r="G37" s="132">
        <v>17.0</v>
      </c>
      <c r="H37" s="199" t="s">
        <v>541</v>
      </c>
      <c r="I37" s="200">
        <f>'計分版'!D412</f>
        <v>0.00000000195</v>
      </c>
      <c r="J37" s="201">
        <f t="shared" si="12"/>
        <v>-17</v>
      </c>
      <c r="K37" s="202">
        <f t="shared" si="13"/>
        <v>-8717948717</v>
      </c>
      <c r="L37" s="132">
        <v>40.0</v>
      </c>
      <c r="M37" s="203">
        <f>'入學要求'!S399</f>
        <v>0</v>
      </c>
      <c r="N37" s="131" t="s">
        <v>1734</v>
      </c>
      <c r="O37" s="131">
        <v>3.0</v>
      </c>
      <c r="P37" s="131">
        <v>3.0</v>
      </c>
      <c r="Q37" s="131">
        <v>2.0</v>
      </c>
      <c r="R37" s="131">
        <v>2.0</v>
      </c>
      <c r="S37" s="131">
        <v>2.0</v>
      </c>
      <c r="T37" s="204">
        <f>'入學要求'!L399</f>
        <v>0</v>
      </c>
      <c r="U37" s="204">
        <f>'入學要求'!M399</f>
        <v>0</v>
      </c>
      <c r="V37" s="204">
        <f>'入學要求'!N399</f>
        <v>0</v>
      </c>
      <c r="W37" s="204">
        <f>'入學要求'!O399</f>
        <v>0</v>
      </c>
      <c r="X37" s="204">
        <f>'入學要求'!P399</f>
        <v>0</v>
      </c>
      <c r="Y37" s="205"/>
      <c r="Z37" s="132">
        <f>IF($Y$2="2018年",'Offer Statistics'!FM37,IF($Y$2="2019年",'Offer Statistics'!FM83,IF($Y$2="2020年",'Offer Statistics'!FM129)))</f>
        <v>25</v>
      </c>
      <c r="AA37" s="206">
        <f>IF($Y$2="2018年",'Offer Statistics'!FH37,IF($Y$2="2019年",'Offer Statistics'!FH83,IF($Y$2="2020年",'Offer Statistics'!FH129)))</f>
        <v>17</v>
      </c>
      <c r="AB37" s="206">
        <f>IF($Y$2="2018年",'Offer Statistics'!FI37,IF($Y$2="2019年",'Offer Statistics'!FI83,IF($Y$2="2020年",'Offer Statistics'!FI129)))</f>
        <v>2</v>
      </c>
      <c r="AC37" s="206">
        <f>IF($Y$2="2018年",'Offer Statistics'!FJ37,IF($Y$2="2019年",'Offer Statistics'!FJ83,IF($Y$2="2020年",'Offer Statistics'!FJ129)))</f>
        <v>3</v>
      </c>
      <c r="AD37" s="206">
        <f>IF($Y$2="2018年",'Offer Statistics'!FK37,IF($Y$2="2019年",'Offer Statistics'!FK83,IF($Y$2="2020年",'Offer Statistics'!FK129)))</f>
        <v>0</v>
      </c>
      <c r="AE37" s="206">
        <f>IF($Y$2="2018年",'Offer Statistics'!FL37,IF($Y$2="2019年",'Offer Statistics'!FL83,IF($Y$2="2020年",'Offer Statistics'!FL129)))</f>
        <v>3</v>
      </c>
      <c r="AF37" s="205"/>
      <c r="AG37" s="132">
        <f>IF($Y$2="2018年",'Offer Statistics'!FE37,IF($Y$2="2019年",'Offer Statistics'!FE83,IF($Y$2="2020年",'Offer Statistics'!FE129)))</f>
        <v>1022</v>
      </c>
      <c r="AH37" s="206">
        <f>IF($Y$2="2018年",'Offer Statistics'!EZ37,IF($Y$2="2019年",'Offer Statistics'!EZ83,IF($Y$2="2020年",'Offer Statistics'!EZ129)))</f>
        <v>101</v>
      </c>
      <c r="AI37" s="206">
        <f>IF($Y$2="2018年",'Offer Statistics'!FA37,IF($Y$2="2019年",'Offer Statistics'!FA83,IF($Y$2="2020年",'Offer Statistics'!FA129)))</f>
        <v>164</v>
      </c>
      <c r="AJ37" s="206">
        <f>IF($Y$2="2018年",'Offer Statistics'!FB37,IF($Y$2="2019年",'Offer Statistics'!FB83,IF($Y$2="2020年",'Offer Statistics'!FB129)))</f>
        <v>206</v>
      </c>
      <c r="AK37" s="206">
        <f>IF($Y$2="2018年",'Offer Statistics'!FC37,IF($Y$2="2019年",'Offer Statistics'!FC83,IF($Y$2="2020年",'Offer Statistics'!FC129)))</f>
        <v>213</v>
      </c>
      <c r="AL37" s="206">
        <f>IF($Y$2="2018年",'Offer Statistics'!FD37,IF($Y$2="2019年",'Offer Statistics'!FD83,IF($Y$2="2020年",'Offer Statistics'!FD129)))</f>
        <v>338</v>
      </c>
      <c r="AM37" s="142"/>
      <c r="AN37" s="131" t="str">
        <f t="shared" si="3"/>
        <v>JSSV03</v>
      </c>
    </row>
    <row r="38" ht="18.0" customHeight="1">
      <c r="A38" s="225" t="s">
        <v>924</v>
      </c>
      <c r="B38" s="225" t="s">
        <v>1732</v>
      </c>
      <c r="C38" s="225" t="s">
        <v>925</v>
      </c>
      <c r="D38" s="225" t="s">
        <v>1737</v>
      </c>
      <c r="E38" s="226" t="s">
        <v>775</v>
      </c>
      <c r="F38" s="227" t="s">
        <v>541</v>
      </c>
      <c r="G38" s="231">
        <v>15.0</v>
      </c>
      <c r="H38" s="227" t="s">
        <v>541</v>
      </c>
      <c r="I38" s="228">
        <f>'計分版'!D413</f>
        <v>0.00000000195</v>
      </c>
      <c r="J38" s="229">
        <f t="shared" si="12"/>
        <v>-15</v>
      </c>
      <c r="K38" s="230">
        <f t="shared" si="13"/>
        <v>-7692307691</v>
      </c>
      <c r="L38" s="231">
        <v>30.0</v>
      </c>
      <c r="M38" s="235">
        <f>'入學要求'!S400</f>
        <v>0</v>
      </c>
      <c r="N38" s="226" t="s">
        <v>1734</v>
      </c>
      <c r="O38" s="226">
        <v>3.0</v>
      </c>
      <c r="P38" s="226">
        <v>3.0</v>
      </c>
      <c r="Q38" s="226">
        <v>2.0</v>
      </c>
      <c r="R38" s="226">
        <v>2.0</v>
      </c>
      <c r="S38" s="226">
        <v>2.0</v>
      </c>
      <c r="T38" s="233">
        <f>'入學要求'!L400</f>
        <v>0</v>
      </c>
      <c r="U38" s="233">
        <f>'入學要求'!M400</f>
        <v>0</v>
      </c>
      <c r="V38" s="233">
        <f>'入學要求'!N400</f>
        <v>0</v>
      </c>
      <c r="W38" s="233">
        <f>'入學要求'!O400</f>
        <v>0</v>
      </c>
      <c r="X38" s="233">
        <f>'入學要求'!P400</f>
        <v>0</v>
      </c>
      <c r="Y38" s="205"/>
      <c r="Z38" s="231">
        <f>IF($Y$2="2018年",'Offer Statistics'!FM38,IF($Y$2="2019年",'Offer Statistics'!FM84,IF($Y$2="2020年",'Offer Statistics'!FM130)))</f>
        <v>37</v>
      </c>
      <c r="AA38" s="234">
        <f>IF($Y$2="2018年",'Offer Statistics'!FH38,IF($Y$2="2019年",'Offer Statistics'!FH84,IF($Y$2="2020年",'Offer Statistics'!FH130)))</f>
        <v>19</v>
      </c>
      <c r="AB38" s="234">
        <f>IF($Y$2="2018年",'Offer Statistics'!FI38,IF($Y$2="2019年",'Offer Statistics'!FI84,IF($Y$2="2020年",'Offer Statistics'!FI130)))</f>
        <v>6</v>
      </c>
      <c r="AC38" s="234">
        <f>IF($Y$2="2018年",'Offer Statistics'!FJ38,IF($Y$2="2019年",'Offer Statistics'!FJ84,IF($Y$2="2020年",'Offer Statistics'!FJ130)))</f>
        <v>6</v>
      </c>
      <c r="AD38" s="234">
        <f>IF($Y$2="2018年",'Offer Statistics'!FK38,IF($Y$2="2019年",'Offer Statistics'!FK84,IF($Y$2="2020年",'Offer Statistics'!FK130)))</f>
        <v>2</v>
      </c>
      <c r="AE38" s="234">
        <f>IF($Y$2="2018年",'Offer Statistics'!FL38,IF($Y$2="2019年",'Offer Statistics'!FL84,IF($Y$2="2020年",'Offer Statistics'!FL130)))</f>
        <v>4</v>
      </c>
      <c r="AF38" s="205"/>
      <c r="AG38" s="231">
        <f>IF($Y$2="2018年",'Offer Statistics'!FE38,IF($Y$2="2019年",'Offer Statistics'!FE84,IF($Y$2="2020年",'Offer Statistics'!FE130)))</f>
        <v>1941</v>
      </c>
      <c r="AH38" s="234">
        <f>IF($Y$2="2018年",'Offer Statistics'!EZ38,IF($Y$2="2019年",'Offer Statistics'!EZ84,IF($Y$2="2020年",'Offer Statistics'!EZ130)))</f>
        <v>349</v>
      </c>
      <c r="AI38" s="234">
        <f>IF($Y$2="2018年",'Offer Statistics'!FA38,IF($Y$2="2019年",'Offer Statistics'!FA84,IF($Y$2="2020年",'Offer Statistics'!FA130)))</f>
        <v>265</v>
      </c>
      <c r="AJ38" s="234">
        <f>IF($Y$2="2018年",'Offer Statistics'!FB38,IF($Y$2="2019年",'Offer Statistics'!FB84,IF($Y$2="2020年",'Offer Statistics'!FB130)))</f>
        <v>334</v>
      </c>
      <c r="AK38" s="234">
        <f>IF($Y$2="2018年",'Offer Statistics'!FC38,IF($Y$2="2019年",'Offer Statistics'!FC84,IF($Y$2="2020年",'Offer Statistics'!FC130)))</f>
        <v>424</v>
      </c>
      <c r="AL38" s="234">
        <f>IF($Y$2="2018年",'Offer Statistics'!FD38,IF($Y$2="2019年",'Offer Statistics'!FD84,IF($Y$2="2020年",'Offer Statistics'!FD130)))</f>
        <v>569</v>
      </c>
      <c r="AM38" s="225"/>
      <c r="AN38" s="226" t="str">
        <f t="shared" si="3"/>
        <v>JSSV04</v>
      </c>
    </row>
    <row r="39" ht="18.0" customHeight="1">
      <c r="A39" s="142" t="s">
        <v>926</v>
      </c>
      <c r="B39" s="142" t="s">
        <v>1732</v>
      </c>
      <c r="C39" s="142" t="s">
        <v>927</v>
      </c>
      <c r="D39" s="142" t="s">
        <v>1738</v>
      </c>
      <c r="E39" s="131" t="s">
        <v>775</v>
      </c>
      <c r="F39" s="199" t="s">
        <v>541</v>
      </c>
      <c r="G39" s="132">
        <v>17.0</v>
      </c>
      <c r="H39" s="199" t="s">
        <v>541</v>
      </c>
      <c r="I39" s="200">
        <f>'計分版'!D414</f>
        <v>0.00000000195</v>
      </c>
      <c r="J39" s="201">
        <f t="shared" si="12"/>
        <v>-17</v>
      </c>
      <c r="K39" s="202">
        <f t="shared" si="13"/>
        <v>-8717948717</v>
      </c>
      <c r="L39" s="132">
        <v>50.0</v>
      </c>
      <c r="M39" s="203">
        <f>'入學要求'!S401</f>
        <v>0</v>
      </c>
      <c r="N39" s="131" t="s">
        <v>1734</v>
      </c>
      <c r="O39" s="131">
        <v>3.0</v>
      </c>
      <c r="P39" s="131">
        <v>3.0</v>
      </c>
      <c r="Q39" s="131">
        <v>2.0</v>
      </c>
      <c r="R39" s="131">
        <v>2.0</v>
      </c>
      <c r="S39" s="131">
        <v>2.0</v>
      </c>
      <c r="T39" s="204">
        <f>'入學要求'!L401</f>
        <v>0</v>
      </c>
      <c r="U39" s="204">
        <f>'入學要求'!M401</f>
        <v>0</v>
      </c>
      <c r="V39" s="204">
        <f>'入學要求'!N401</f>
        <v>0</v>
      </c>
      <c r="W39" s="204">
        <f>'入學要求'!O401</f>
        <v>0</v>
      </c>
      <c r="X39" s="204">
        <f>'入學要求'!P401</f>
        <v>0</v>
      </c>
      <c r="Y39" s="205"/>
      <c r="Z39" s="132">
        <f>IF($Y$2="2018年",'Offer Statistics'!FM39,IF($Y$2="2019年",'Offer Statistics'!FM85,IF($Y$2="2020年",'Offer Statistics'!FM131)))</f>
        <v>29</v>
      </c>
      <c r="AA39" s="206">
        <f>IF($Y$2="2018年",'Offer Statistics'!FH39,IF($Y$2="2019年",'Offer Statistics'!FH85,IF($Y$2="2020年",'Offer Statistics'!FH131)))</f>
        <v>18</v>
      </c>
      <c r="AB39" s="206">
        <f>IF($Y$2="2018年",'Offer Statistics'!FI39,IF($Y$2="2019年",'Offer Statistics'!FI85,IF($Y$2="2020年",'Offer Statistics'!FI131)))</f>
        <v>6</v>
      </c>
      <c r="AC39" s="206">
        <f>IF($Y$2="2018年",'Offer Statistics'!FJ39,IF($Y$2="2019年",'Offer Statistics'!FJ85,IF($Y$2="2020年",'Offer Statistics'!FJ131)))</f>
        <v>2</v>
      </c>
      <c r="AD39" s="206">
        <f>IF($Y$2="2018年",'Offer Statistics'!FK39,IF($Y$2="2019年",'Offer Statistics'!FK85,IF($Y$2="2020年",'Offer Statistics'!FK131)))</f>
        <v>2</v>
      </c>
      <c r="AE39" s="206">
        <f>IF($Y$2="2018年",'Offer Statistics'!FL39,IF($Y$2="2019年",'Offer Statistics'!FL85,IF($Y$2="2020年",'Offer Statistics'!FL131)))</f>
        <v>1</v>
      </c>
      <c r="AF39" s="205"/>
      <c r="AG39" s="132">
        <f>IF($Y$2="2018年",'Offer Statistics'!FE39,IF($Y$2="2019年",'Offer Statistics'!FE85,IF($Y$2="2020年",'Offer Statistics'!FE131)))</f>
        <v>1300</v>
      </c>
      <c r="AH39" s="206">
        <f>IF($Y$2="2018年",'Offer Statistics'!EZ39,IF($Y$2="2019年",'Offer Statistics'!EZ85,IF($Y$2="2020年",'Offer Statistics'!EZ131)))</f>
        <v>145</v>
      </c>
      <c r="AI39" s="206">
        <f>IF($Y$2="2018年",'Offer Statistics'!FA39,IF($Y$2="2019年",'Offer Statistics'!FA85,IF($Y$2="2020年",'Offer Statistics'!FA131)))</f>
        <v>207</v>
      </c>
      <c r="AJ39" s="206">
        <f>IF($Y$2="2018年",'Offer Statistics'!FB39,IF($Y$2="2019年",'Offer Statistics'!FB85,IF($Y$2="2020年",'Offer Statistics'!FB131)))</f>
        <v>235</v>
      </c>
      <c r="AK39" s="206">
        <f>IF($Y$2="2018年",'Offer Statistics'!FC39,IF($Y$2="2019年",'Offer Statistics'!FC85,IF($Y$2="2020年",'Offer Statistics'!FC131)))</f>
        <v>308</v>
      </c>
      <c r="AL39" s="206">
        <f>IF($Y$2="2018年",'Offer Statistics'!FD39,IF($Y$2="2019年",'Offer Statistics'!FD85,IF($Y$2="2020年",'Offer Statistics'!FD131)))</f>
        <v>405</v>
      </c>
      <c r="AM39" s="142"/>
      <c r="AN39" s="131" t="str">
        <f t="shared" si="3"/>
        <v>JSSV05</v>
      </c>
    </row>
    <row r="40" ht="18.0" customHeight="1">
      <c r="A40" s="225" t="s">
        <v>929</v>
      </c>
      <c r="B40" s="225" t="s">
        <v>1732</v>
      </c>
      <c r="C40" s="225" t="s">
        <v>930</v>
      </c>
      <c r="D40" s="225" t="s">
        <v>1739</v>
      </c>
      <c r="E40" s="226" t="s">
        <v>775</v>
      </c>
      <c r="F40" s="227" t="s">
        <v>541</v>
      </c>
      <c r="G40" s="231">
        <v>19.0</v>
      </c>
      <c r="H40" s="227" t="s">
        <v>541</v>
      </c>
      <c r="I40" s="228">
        <f>'計分版'!D415</f>
        <v>0.00000000195</v>
      </c>
      <c r="J40" s="229">
        <f t="shared" si="12"/>
        <v>-19</v>
      </c>
      <c r="K40" s="230">
        <f t="shared" si="13"/>
        <v>-9743589743</v>
      </c>
      <c r="L40" s="231">
        <v>50.0</v>
      </c>
      <c r="M40" s="235">
        <f>'入學要求'!S402</f>
        <v>0</v>
      </c>
      <c r="N40" s="226" t="s">
        <v>1734</v>
      </c>
      <c r="O40" s="226">
        <v>3.0</v>
      </c>
      <c r="P40" s="226">
        <v>3.0</v>
      </c>
      <c r="Q40" s="226">
        <v>2.0</v>
      </c>
      <c r="R40" s="226">
        <v>2.0</v>
      </c>
      <c r="S40" s="226">
        <v>2.0</v>
      </c>
      <c r="T40" s="233">
        <f>'入學要求'!L402</f>
        <v>0</v>
      </c>
      <c r="U40" s="233">
        <f>'入學要求'!M402</f>
        <v>0</v>
      </c>
      <c r="V40" s="233">
        <f>'入學要求'!N402</f>
        <v>0</v>
      </c>
      <c r="W40" s="233">
        <f>'入學要求'!O402</f>
        <v>0</v>
      </c>
      <c r="X40" s="233">
        <f>'入學要求'!P402</f>
        <v>0</v>
      </c>
      <c r="Y40" s="205"/>
      <c r="Z40" s="231">
        <f>IF($Y$2="2018年",'Offer Statistics'!FM40,IF($Y$2="2019年",'Offer Statistics'!FM86,IF($Y$2="2020年",'Offer Statistics'!FM132)))</f>
        <v>19</v>
      </c>
      <c r="AA40" s="234">
        <f>IF($Y$2="2018年",'Offer Statistics'!FH40,IF($Y$2="2019年",'Offer Statistics'!FH86,IF($Y$2="2020年",'Offer Statistics'!FH132)))</f>
        <v>12</v>
      </c>
      <c r="AB40" s="234">
        <f>IF($Y$2="2018年",'Offer Statistics'!FI40,IF($Y$2="2019年",'Offer Statistics'!FI86,IF($Y$2="2020年",'Offer Statistics'!FI132)))</f>
        <v>2</v>
      </c>
      <c r="AC40" s="234">
        <f>IF($Y$2="2018年",'Offer Statistics'!FJ40,IF($Y$2="2019年",'Offer Statistics'!FJ86,IF($Y$2="2020年",'Offer Statistics'!FJ132)))</f>
        <v>1</v>
      </c>
      <c r="AD40" s="234">
        <f>IF($Y$2="2018年",'Offer Statistics'!FK40,IF($Y$2="2019年",'Offer Statistics'!FK86,IF($Y$2="2020年",'Offer Statistics'!FK132)))</f>
        <v>1</v>
      </c>
      <c r="AE40" s="234">
        <f>IF($Y$2="2018年",'Offer Statistics'!FL40,IF($Y$2="2019年",'Offer Statistics'!FL86,IF($Y$2="2020年",'Offer Statistics'!FL132)))</f>
        <v>3</v>
      </c>
      <c r="AF40" s="205"/>
      <c r="AG40" s="231">
        <f>IF($Y$2="2018年",'Offer Statistics'!FE40,IF($Y$2="2019年",'Offer Statistics'!FE86,IF($Y$2="2020年",'Offer Statistics'!FE132)))</f>
        <v>1111</v>
      </c>
      <c r="AH40" s="234">
        <f>IF($Y$2="2018年",'Offer Statistics'!EZ40,IF($Y$2="2019年",'Offer Statistics'!EZ86,IF($Y$2="2020年",'Offer Statistics'!EZ132)))</f>
        <v>135</v>
      </c>
      <c r="AI40" s="234">
        <f>IF($Y$2="2018年",'Offer Statistics'!FA40,IF($Y$2="2019年",'Offer Statistics'!FA86,IF($Y$2="2020年",'Offer Statistics'!FA132)))</f>
        <v>160</v>
      </c>
      <c r="AJ40" s="234">
        <f>IF($Y$2="2018年",'Offer Statistics'!FB40,IF($Y$2="2019年",'Offer Statistics'!FB86,IF($Y$2="2020年",'Offer Statistics'!FB132)))</f>
        <v>213</v>
      </c>
      <c r="AK40" s="234">
        <f>IF($Y$2="2018年",'Offer Statistics'!FC40,IF($Y$2="2019年",'Offer Statistics'!FC86,IF($Y$2="2020年",'Offer Statistics'!FC132)))</f>
        <v>246</v>
      </c>
      <c r="AL40" s="234">
        <f>IF($Y$2="2018年",'Offer Statistics'!FD40,IF($Y$2="2019年",'Offer Statistics'!FD86,IF($Y$2="2020年",'Offer Statistics'!FD132)))</f>
        <v>357</v>
      </c>
      <c r="AM40" s="225"/>
      <c r="AN40" s="226" t="str">
        <f t="shared" si="3"/>
        <v>JSSV07</v>
      </c>
    </row>
    <row r="41" ht="18.0" customHeight="1">
      <c r="A41" s="142" t="s">
        <v>931</v>
      </c>
      <c r="B41" s="142" t="s">
        <v>1732</v>
      </c>
      <c r="C41" s="142" t="s">
        <v>932</v>
      </c>
      <c r="D41" s="142" t="s">
        <v>1740</v>
      </c>
      <c r="E41" s="131" t="s">
        <v>775</v>
      </c>
      <c r="F41" s="199" t="s">
        <v>541</v>
      </c>
      <c r="G41" s="132">
        <v>18.0</v>
      </c>
      <c r="H41" s="199" t="s">
        <v>541</v>
      </c>
      <c r="I41" s="200">
        <f>'計分版'!D416</f>
        <v>0.00000000195</v>
      </c>
      <c r="J41" s="201">
        <f t="shared" si="12"/>
        <v>-18</v>
      </c>
      <c r="K41" s="202">
        <f t="shared" si="13"/>
        <v>-9230769230</v>
      </c>
      <c r="L41" s="132">
        <v>50.0</v>
      </c>
      <c r="M41" s="203">
        <f>'入學要求'!S403</f>
        <v>0</v>
      </c>
      <c r="N41" s="131" t="s">
        <v>1734</v>
      </c>
      <c r="O41" s="131">
        <v>3.0</v>
      </c>
      <c r="P41" s="131">
        <v>3.0</v>
      </c>
      <c r="Q41" s="131">
        <v>2.0</v>
      </c>
      <c r="R41" s="131">
        <v>2.0</v>
      </c>
      <c r="S41" s="131">
        <v>2.0</v>
      </c>
      <c r="T41" s="204">
        <f>'入學要求'!L403</f>
        <v>0</v>
      </c>
      <c r="U41" s="204">
        <f>'入學要求'!M403</f>
        <v>0</v>
      </c>
      <c r="V41" s="204">
        <f>'入學要求'!N403</f>
        <v>0</v>
      </c>
      <c r="W41" s="204">
        <f>'入學要求'!O403</f>
        <v>0</v>
      </c>
      <c r="X41" s="204">
        <f>'入學要求'!P403</f>
        <v>0</v>
      </c>
      <c r="Y41" s="205"/>
      <c r="Z41" s="132">
        <f>IF($Y$2="2018年",'Offer Statistics'!FM41,IF($Y$2="2019年",'Offer Statistics'!FM87,IF($Y$2="2020年",'Offer Statistics'!FM133)))</f>
        <v>21</v>
      </c>
      <c r="AA41" s="206">
        <f>IF($Y$2="2018年",'Offer Statistics'!FH41,IF($Y$2="2019年",'Offer Statistics'!FH87,IF($Y$2="2020年",'Offer Statistics'!FH133)))</f>
        <v>12</v>
      </c>
      <c r="AB41" s="206">
        <f>IF($Y$2="2018年",'Offer Statistics'!FI41,IF($Y$2="2019年",'Offer Statistics'!FI87,IF($Y$2="2020年",'Offer Statistics'!FI133)))</f>
        <v>4</v>
      </c>
      <c r="AC41" s="206">
        <f>IF($Y$2="2018年",'Offer Statistics'!FJ41,IF($Y$2="2019年",'Offer Statistics'!FJ87,IF($Y$2="2020年",'Offer Statistics'!FJ133)))</f>
        <v>0</v>
      </c>
      <c r="AD41" s="206">
        <f>IF($Y$2="2018年",'Offer Statistics'!FK41,IF($Y$2="2019年",'Offer Statistics'!FK87,IF($Y$2="2020年",'Offer Statistics'!FK133)))</f>
        <v>3</v>
      </c>
      <c r="AE41" s="206">
        <f>IF($Y$2="2018年",'Offer Statistics'!FL41,IF($Y$2="2019年",'Offer Statistics'!FL87,IF($Y$2="2020年",'Offer Statistics'!FL133)))</f>
        <v>2</v>
      </c>
      <c r="AF41" s="205"/>
      <c r="AG41" s="132">
        <f>IF($Y$2="2018年",'Offer Statistics'!FE41,IF($Y$2="2019年",'Offer Statistics'!FE87,IF($Y$2="2020年",'Offer Statistics'!FE133)))</f>
        <v>913</v>
      </c>
      <c r="AH41" s="206">
        <f>IF($Y$2="2018年",'Offer Statistics'!EZ41,IF($Y$2="2019年",'Offer Statistics'!EZ87,IF($Y$2="2020年",'Offer Statistics'!EZ133)))</f>
        <v>96</v>
      </c>
      <c r="AI41" s="206">
        <f>IF($Y$2="2018年",'Offer Statistics'!FA41,IF($Y$2="2019年",'Offer Statistics'!FA87,IF($Y$2="2020年",'Offer Statistics'!FA133)))</f>
        <v>132</v>
      </c>
      <c r="AJ41" s="206">
        <f>IF($Y$2="2018年",'Offer Statistics'!FB41,IF($Y$2="2019年",'Offer Statistics'!FB87,IF($Y$2="2020年",'Offer Statistics'!FB133)))</f>
        <v>177</v>
      </c>
      <c r="AK41" s="206">
        <f>IF($Y$2="2018年",'Offer Statistics'!FC41,IF($Y$2="2019年",'Offer Statistics'!FC87,IF($Y$2="2020年",'Offer Statistics'!FC133)))</f>
        <v>224</v>
      </c>
      <c r="AL41" s="206">
        <f>IF($Y$2="2018年",'Offer Statistics'!FD41,IF($Y$2="2019年",'Offer Statistics'!FD87,IF($Y$2="2020年",'Offer Statistics'!FD133)))</f>
        <v>284</v>
      </c>
      <c r="AM41" s="142"/>
      <c r="AN41" s="131" t="str">
        <f t="shared" si="3"/>
        <v>JSSV08</v>
      </c>
    </row>
    <row r="42" ht="18.0" customHeight="1">
      <c r="A42" s="225" t="s">
        <v>933</v>
      </c>
      <c r="B42" s="225" t="s">
        <v>1732</v>
      </c>
      <c r="C42" s="225" t="s">
        <v>934</v>
      </c>
      <c r="D42" s="225" t="s">
        <v>1741</v>
      </c>
      <c r="E42" s="231" t="s">
        <v>775</v>
      </c>
      <c r="F42" s="227" t="s">
        <v>541</v>
      </c>
      <c r="G42" s="231">
        <v>16.0</v>
      </c>
      <c r="H42" s="227" t="s">
        <v>541</v>
      </c>
      <c r="I42" s="228">
        <f>'計分版'!D417</f>
        <v>0.00000000195</v>
      </c>
      <c r="J42" s="229">
        <f t="shared" si="12"/>
        <v>-16</v>
      </c>
      <c r="K42" s="230">
        <f t="shared" si="13"/>
        <v>-8205128204</v>
      </c>
      <c r="L42" s="231">
        <v>50.0</v>
      </c>
      <c r="M42" s="235">
        <f>'入學要求'!S404</f>
        <v>0</v>
      </c>
      <c r="N42" s="226" t="s">
        <v>1734</v>
      </c>
      <c r="O42" s="226">
        <v>3.0</v>
      </c>
      <c r="P42" s="226">
        <v>3.0</v>
      </c>
      <c r="Q42" s="226">
        <v>2.0</v>
      </c>
      <c r="R42" s="226">
        <v>2.0</v>
      </c>
      <c r="S42" s="226">
        <v>2.0</v>
      </c>
      <c r="T42" s="233">
        <f>'入學要求'!L404</f>
        <v>0</v>
      </c>
      <c r="U42" s="233">
        <f>'入學要求'!M404</f>
        <v>0</v>
      </c>
      <c r="V42" s="233">
        <f>'入學要求'!N404</f>
        <v>0</v>
      </c>
      <c r="W42" s="233">
        <f>'入學要求'!O404</f>
        <v>0</v>
      </c>
      <c r="X42" s="233">
        <f>'入學要求'!P404</f>
        <v>0</v>
      </c>
      <c r="Y42" s="205"/>
      <c r="Z42" s="231">
        <f>IF($Y$2="2018年",'Offer Statistics'!FM42,IF($Y$2="2019年",'Offer Statistics'!FM88,IF($Y$2="2020年",'Offer Statistics'!FM134)))</f>
        <v>57</v>
      </c>
      <c r="AA42" s="234">
        <f>IF($Y$2="2018年",'Offer Statistics'!FH42,IF($Y$2="2019年",'Offer Statistics'!FH88,IF($Y$2="2020年",'Offer Statistics'!FH134)))</f>
        <v>32</v>
      </c>
      <c r="AB42" s="234">
        <f>IF($Y$2="2018年",'Offer Statistics'!FI42,IF($Y$2="2019年",'Offer Statistics'!FI88,IF($Y$2="2020年",'Offer Statistics'!FI134)))</f>
        <v>15</v>
      </c>
      <c r="AC42" s="234">
        <f>IF($Y$2="2018年",'Offer Statistics'!FJ42,IF($Y$2="2019年",'Offer Statistics'!FJ88,IF($Y$2="2020年",'Offer Statistics'!FJ134)))</f>
        <v>5</v>
      </c>
      <c r="AD42" s="234">
        <f>IF($Y$2="2018年",'Offer Statistics'!FK42,IF($Y$2="2019年",'Offer Statistics'!FK88,IF($Y$2="2020年",'Offer Statistics'!FK134)))</f>
        <v>2</v>
      </c>
      <c r="AE42" s="234">
        <f>IF($Y$2="2018年",'Offer Statistics'!FL42,IF($Y$2="2019年",'Offer Statistics'!FL88,IF($Y$2="2020年",'Offer Statistics'!FL134)))</f>
        <v>3</v>
      </c>
      <c r="AF42" s="205"/>
      <c r="AG42" s="231">
        <f>IF($Y$2="2018年",'Offer Statistics'!FE42,IF($Y$2="2019年",'Offer Statistics'!FE88,IF($Y$2="2020年",'Offer Statistics'!FE134)))</f>
        <v>1941</v>
      </c>
      <c r="AH42" s="234">
        <f>IF($Y$2="2018年",'Offer Statistics'!EZ42,IF($Y$2="2019年",'Offer Statistics'!EZ88,IF($Y$2="2020年",'Offer Statistics'!EZ134)))</f>
        <v>372</v>
      </c>
      <c r="AI42" s="234">
        <f>IF($Y$2="2018年",'Offer Statistics'!FA42,IF($Y$2="2019年",'Offer Statistics'!FA88,IF($Y$2="2020年",'Offer Statistics'!FA134)))</f>
        <v>398</v>
      </c>
      <c r="AJ42" s="234">
        <f>IF($Y$2="2018年",'Offer Statistics'!FB42,IF($Y$2="2019年",'Offer Statistics'!FB88,IF($Y$2="2020年",'Offer Statistics'!FB134)))</f>
        <v>343</v>
      </c>
      <c r="AK42" s="234">
        <f>IF($Y$2="2018年",'Offer Statistics'!FC42,IF($Y$2="2019年",'Offer Statistics'!FC88,IF($Y$2="2020年",'Offer Statistics'!FC134)))</f>
        <v>352</v>
      </c>
      <c r="AL42" s="234">
        <f>IF($Y$2="2018年",'Offer Statistics'!FD42,IF($Y$2="2019年",'Offer Statistics'!FD88,IF($Y$2="2020年",'Offer Statistics'!FD134)))</f>
        <v>476</v>
      </c>
      <c r="AM42" s="225"/>
      <c r="AN42" s="226" t="str">
        <f t="shared" si="3"/>
        <v>JSSV09</v>
      </c>
    </row>
    <row r="43" ht="18.0" customHeight="1">
      <c r="A43" s="142" t="s">
        <v>935</v>
      </c>
      <c r="B43" s="142" t="s">
        <v>1732</v>
      </c>
      <c r="C43" s="142" t="s">
        <v>936</v>
      </c>
      <c r="D43" s="142" t="s">
        <v>1742</v>
      </c>
      <c r="E43" s="131" t="s">
        <v>775</v>
      </c>
      <c r="F43" s="199" t="s">
        <v>541</v>
      </c>
      <c r="G43" s="132">
        <v>16.0</v>
      </c>
      <c r="H43" s="199" t="s">
        <v>541</v>
      </c>
      <c r="I43" s="200">
        <f>'計分版'!D418</f>
        <v>0.00000000195</v>
      </c>
      <c r="J43" s="201">
        <f t="shared" si="12"/>
        <v>-16</v>
      </c>
      <c r="K43" s="202">
        <f t="shared" si="13"/>
        <v>-8205128204</v>
      </c>
      <c r="L43" s="132">
        <v>30.0</v>
      </c>
      <c r="M43" s="203">
        <f>'入學要求'!S405</f>
        <v>0</v>
      </c>
      <c r="N43" s="131" t="s">
        <v>1734</v>
      </c>
      <c r="O43" s="131">
        <v>3.0</v>
      </c>
      <c r="P43" s="131">
        <v>3.0</v>
      </c>
      <c r="Q43" s="131">
        <v>2.0</v>
      </c>
      <c r="R43" s="131">
        <v>2.0</v>
      </c>
      <c r="S43" s="131">
        <v>2.0</v>
      </c>
      <c r="T43" s="204">
        <f>'入學要求'!L405</f>
        <v>0</v>
      </c>
      <c r="U43" s="204">
        <f>'入學要求'!M405</f>
        <v>0</v>
      </c>
      <c r="V43" s="204">
        <f>'入學要求'!N405</f>
        <v>0</v>
      </c>
      <c r="W43" s="204">
        <f>'入學要求'!O405</f>
        <v>0</v>
      </c>
      <c r="X43" s="204">
        <f>'入學要求'!P405</f>
        <v>0</v>
      </c>
      <c r="Y43" s="205"/>
      <c r="Z43" s="132">
        <f>IF($Y$2="2018年",'Offer Statistics'!FM43,IF($Y$2="2019年",'Offer Statistics'!FM89,IF($Y$2="2020年",'Offer Statistics'!FM135)))</f>
        <v>17</v>
      </c>
      <c r="AA43" s="206">
        <f>IF($Y$2="2018年",'Offer Statistics'!FH43,IF($Y$2="2019年",'Offer Statistics'!FH89,IF($Y$2="2020年",'Offer Statistics'!FH135)))</f>
        <v>9</v>
      </c>
      <c r="AB43" s="206">
        <f>IF($Y$2="2018年",'Offer Statistics'!FI43,IF($Y$2="2019年",'Offer Statistics'!FI89,IF($Y$2="2020年",'Offer Statistics'!FI135)))</f>
        <v>4</v>
      </c>
      <c r="AC43" s="206">
        <f>IF($Y$2="2018年",'Offer Statistics'!FJ43,IF($Y$2="2019年",'Offer Statistics'!FJ89,IF($Y$2="2020年",'Offer Statistics'!FJ135)))</f>
        <v>1</v>
      </c>
      <c r="AD43" s="206">
        <f>IF($Y$2="2018年",'Offer Statistics'!FK43,IF($Y$2="2019年",'Offer Statistics'!FK89,IF($Y$2="2020年",'Offer Statistics'!FK135)))</f>
        <v>1</v>
      </c>
      <c r="AE43" s="206">
        <f>IF($Y$2="2018年",'Offer Statistics'!FL43,IF($Y$2="2019年",'Offer Statistics'!FL89,IF($Y$2="2020年",'Offer Statistics'!FL135)))</f>
        <v>2</v>
      </c>
      <c r="AF43" s="205"/>
      <c r="AG43" s="132">
        <f>IF($Y$2="2018年",'Offer Statistics'!FE43,IF($Y$2="2019年",'Offer Statistics'!FE89,IF($Y$2="2020年",'Offer Statistics'!FE135)))</f>
        <v>1908</v>
      </c>
      <c r="AH43" s="206">
        <f>IF($Y$2="2018年",'Offer Statistics'!EZ43,IF($Y$2="2019年",'Offer Statistics'!EZ89,IF($Y$2="2020年",'Offer Statistics'!EZ135)))</f>
        <v>172</v>
      </c>
      <c r="AI43" s="206">
        <f>IF($Y$2="2018年",'Offer Statistics'!FA43,IF($Y$2="2019年",'Offer Statistics'!FA89,IF($Y$2="2020年",'Offer Statistics'!FA135)))</f>
        <v>285</v>
      </c>
      <c r="AJ43" s="206">
        <f>IF($Y$2="2018年",'Offer Statistics'!FB43,IF($Y$2="2019年",'Offer Statistics'!FB89,IF($Y$2="2020年",'Offer Statistics'!FB135)))</f>
        <v>396</v>
      </c>
      <c r="AK43" s="206">
        <f>IF($Y$2="2018年",'Offer Statistics'!FC43,IF($Y$2="2019年",'Offer Statistics'!FC89,IF($Y$2="2020年",'Offer Statistics'!FC135)))</f>
        <v>461</v>
      </c>
      <c r="AL43" s="206">
        <f>IF($Y$2="2018年",'Offer Statistics'!FD43,IF($Y$2="2019年",'Offer Statistics'!FD89,IF($Y$2="2020年",'Offer Statistics'!FD135)))</f>
        <v>594</v>
      </c>
      <c r="AM43" s="142"/>
      <c r="AN43" s="131" t="str">
        <f t="shared" si="3"/>
        <v>JSSV11</v>
      </c>
    </row>
    <row r="44" ht="18.0" customHeight="1">
      <c r="A44" s="225" t="s">
        <v>937</v>
      </c>
      <c r="B44" s="225" t="s">
        <v>1732</v>
      </c>
      <c r="C44" s="225" t="s">
        <v>938</v>
      </c>
      <c r="D44" s="225" t="s">
        <v>1743</v>
      </c>
      <c r="E44" s="226" t="s">
        <v>775</v>
      </c>
      <c r="F44" s="227" t="s">
        <v>541</v>
      </c>
      <c r="G44" s="231">
        <v>17.0</v>
      </c>
      <c r="H44" s="227" t="s">
        <v>541</v>
      </c>
      <c r="I44" s="228">
        <f>'計分版'!D419</f>
        <v>0.00000000195</v>
      </c>
      <c r="J44" s="229">
        <f t="shared" si="12"/>
        <v>-17</v>
      </c>
      <c r="K44" s="230">
        <f t="shared" si="13"/>
        <v>-8717948717</v>
      </c>
      <c r="L44" s="231">
        <v>40.0</v>
      </c>
      <c r="M44" s="235">
        <f>'入學要求'!S406</f>
        <v>0</v>
      </c>
      <c r="N44" s="226" t="s">
        <v>1734</v>
      </c>
      <c r="O44" s="226">
        <v>3.0</v>
      </c>
      <c r="P44" s="226">
        <v>3.0</v>
      </c>
      <c r="Q44" s="226">
        <v>2.0</v>
      </c>
      <c r="R44" s="226">
        <v>2.0</v>
      </c>
      <c r="S44" s="226">
        <v>2.0</v>
      </c>
      <c r="T44" s="233">
        <f>'入學要求'!L406</f>
        <v>0</v>
      </c>
      <c r="U44" s="233">
        <f>'入學要求'!M406</f>
        <v>0</v>
      </c>
      <c r="V44" s="233">
        <f>'入學要求'!N406</f>
        <v>0</v>
      </c>
      <c r="W44" s="233">
        <f>'入學要求'!O406</f>
        <v>0</v>
      </c>
      <c r="X44" s="233">
        <f>'入學要求'!P406</f>
        <v>0</v>
      </c>
      <c r="Y44" s="205"/>
      <c r="Z44" s="231">
        <f>IF($Y$2="2018年",'Offer Statistics'!FM44,IF($Y$2="2019年",'Offer Statistics'!FM90,IF($Y$2="2020年",'Offer Statistics'!FM136)))</f>
        <v>9</v>
      </c>
      <c r="AA44" s="234">
        <f>IF($Y$2="2018年",'Offer Statistics'!FH44,IF($Y$2="2019年",'Offer Statistics'!FH90,IF($Y$2="2020年",'Offer Statistics'!FH136)))</f>
        <v>7</v>
      </c>
      <c r="AB44" s="234">
        <f>IF($Y$2="2018年",'Offer Statistics'!FI44,IF($Y$2="2019年",'Offer Statistics'!FI90,IF($Y$2="2020年",'Offer Statistics'!FI136)))</f>
        <v>1</v>
      </c>
      <c r="AC44" s="234">
        <f>IF($Y$2="2018年",'Offer Statistics'!FJ44,IF($Y$2="2019年",'Offer Statistics'!FJ90,IF($Y$2="2020年",'Offer Statistics'!FJ136)))</f>
        <v>0</v>
      </c>
      <c r="AD44" s="234">
        <f>IF($Y$2="2018年",'Offer Statistics'!FK44,IF($Y$2="2019年",'Offer Statistics'!FK90,IF($Y$2="2020年",'Offer Statistics'!FK136)))</f>
        <v>1</v>
      </c>
      <c r="AE44" s="234">
        <f>IF($Y$2="2018年",'Offer Statistics'!FL44,IF($Y$2="2019年",'Offer Statistics'!FL90,IF($Y$2="2020年",'Offer Statistics'!FL136)))</f>
        <v>0</v>
      </c>
      <c r="AF44" s="205"/>
      <c r="AG44" s="231">
        <f>IF($Y$2="2018年",'Offer Statistics'!FE44,IF($Y$2="2019年",'Offer Statistics'!FE90,IF($Y$2="2020年",'Offer Statistics'!FE136)))</f>
        <v>1581</v>
      </c>
      <c r="AH44" s="234">
        <f>IF($Y$2="2018年",'Offer Statistics'!EZ44,IF($Y$2="2019年",'Offer Statistics'!EZ90,IF($Y$2="2020年",'Offer Statistics'!EZ136)))</f>
        <v>175</v>
      </c>
      <c r="AI44" s="234">
        <f>IF($Y$2="2018年",'Offer Statistics'!FA44,IF($Y$2="2019年",'Offer Statistics'!FA90,IF($Y$2="2020年",'Offer Statistics'!FA136)))</f>
        <v>227</v>
      </c>
      <c r="AJ44" s="234">
        <f>IF($Y$2="2018年",'Offer Statistics'!FB44,IF($Y$2="2019年",'Offer Statistics'!FB90,IF($Y$2="2020年",'Offer Statistics'!FB136)))</f>
        <v>313</v>
      </c>
      <c r="AK44" s="234">
        <f>IF($Y$2="2018年",'Offer Statistics'!FC44,IF($Y$2="2019年",'Offer Statistics'!FC90,IF($Y$2="2020年",'Offer Statistics'!FC136)))</f>
        <v>365</v>
      </c>
      <c r="AL44" s="234">
        <f>IF($Y$2="2018年",'Offer Statistics'!FD44,IF($Y$2="2019年",'Offer Statistics'!FD90,IF($Y$2="2020年",'Offer Statistics'!FD136)))</f>
        <v>501</v>
      </c>
      <c r="AM44" s="225"/>
      <c r="AN44" s="226" t="str">
        <f t="shared" si="3"/>
        <v>JSSV12</v>
      </c>
    </row>
    <row r="45" ht="18.0" customHeight="1">
      <c r="A45" s="142" t="s">
        <v>939</v>
      </c>
      <c r="B45" s="142" t="s">
        <v>1744</v>
      </c>
      <c r="C45" s="142" t="s">
        <v>940</v>
      </c>
      <c r="D45" s="142" t="s">
        <v>1745</v>
      </c>
      <c r="E45" s="135" t="s">
        <v>1746</v>
      </c>
      <c r="F45" s="199" t="s">
        <v>541</v>
      </c>
      <c r="G45" s="199" t="s">
        <v>541</v>
      </c>
      <c r="H45" s="199" t="s">
        <v>541</v>
      </c>
      <c r="I45" s="200" t="s">
        <v>541</v>
      </c>
      <c r="J45" s="215" t="s">
        <v>541</v>
      </c>
      <c r="K45" s="237" t="s">
        <v>541</v>
      </c>
      <c r="L45" s="132">
        <v>25.0</v>
      </c>
      <c r="M45" s="203">
        <f>'入學要求'!S407</f>
        <v>0</v>
      </c>
      <c r="N45" s="131" t="s">
        <v>1695</v>
      </c>
      <c r="O45" s="131">
        <v>3.0</v>
      </c>
      <c r="P45" s="131">
        <v>3.0</v>
      </c>
      <c r="Q45" s="131">
        <v>2.0</v>
      </c>
      <c r="R45" s="131">
        <v>2.0</v>
      </c>
      <c r="S45" s="131">
        <v>2.0</v>
      </c>
      <c r="T45" s="204">
        <f>'入學要求'!L407</f>
        <v>0</v>
      </c>
      <c r="U45" s="204">
        <f>'入學要求'!M407</f>
        <v>0</v>
      </c>
      <c r="V45" s="204">
        <f>'入學要求'!N407</f>
        <v>0</v>
      </c>
      <c r="W45" s="204">
        <f>'入學要求'!O407</f>
        <v>0</v>
      </c>
      <c r="X45" s="204">
        <f>'入學要求'!P407</f>
        <v>0</v>
      </c>
      <c r="Y45" s="205"/>
      <c r="Z45" s="132" t="str">
        <f>IF($Y$2="2018年",'Offer Statistics'!FM45,IF($Y$2="2019年",'Offer Statistics'!FM91,IF($Y$2="2020年",'Offer Statistics'!FM137)))</f>
        <v>/</v>
      </c>
      <c r="AA45" s="206" t="str">
        <f>IF($Y$2="2018年",'Offer Statistics'!FH45,IF($Y$2="2019年",'Offer Statistics'!FH91,IF($Y$2="2020年",'Offer Statistics'!FH137)))</f>
        <v>/</v>
      </c>
      <c r="AB45" s="206" t="str">
        <f>IF($Y$2="2018年",'Offer Statistics'!FI45,IF($Y$2="2019年",'Offer Statistics'!FI91,IF($Y$2="2020年",'Offer Statistics'!FI137)))</f>
        <v>/</v>
      </c>
      <c r="AC45" s="206" t="str">
        <f>IF($Y$2="2018年",'Offer Statistics'!FJ45,IF($Y$2="2019年",'Offer Statistics'!FJ91,IF($Y$2="2020年",'Offer Statistics'!FJ137)))</f>
        <v>/</v>
      </c>
      <c r="AD45" s="206" t="str">
        <f>IF($Y$2="2018年",'Offer Statistics'!FK45,IF($Y$2="2019年",'Offer Statistics'!FK91,IF($Y$2="2020年",'Offer Statistics'!FK137)))</f>
        <v>/</v>
      </c>
      <c r="AE45" s="206" t="str">
        <f>IF($Y$2="2018年",'Offer Statistics'!FL45,IF($Y$2="2019年",'Offer Statistics'!FL91,IF($Y$2="2020年",'Offer Statistics'!FL137)))</f>
        <v>/</v>
      </c>
      <c r="AF45" s="205"/>
      <c r="AG45" s="132" t="str">
        <f>IF($Y$2="2018年",'Offer Statistics'!FE45,IF($Y$2="2019年",'Offer Statistics'!FE91,IF($Y$2="2020年",'Offer Statistics'!FE137)))</f>
        <v>/</v>
      </c>
      <c r="AH45" s="206" t="str">
        <f>IF($Y$2="2018年",'Offer Statistics'!EZ45,IF($Y$2="2019年",'Offer Statistics'!EZ91,IF($Y$2="2020年",'Offer Statistics'!EZ137)))</f>
        <v>/</v>
      </c>
      <c r="AI45" s="206" t="str">
        <f>IF($Y$2="2018年",'Offer Statistics'!FA45,IF($Y$2="2019年",'Offer Statistics'!FA91,IF($Y$2="2020年",'Offer Statistics'!FA137)))</f>
        <v>/</v>
      </c>
      <c r="AJ45" s="206" t="str">
        <f>IF($Y$2="2018年",'Offer Statistics'!FB45,IF($Y$2="2019年",'Offer Statistics'!FB91,IF($Y$2="2020年",'Offer Statistics'!FB137)))</f>
        <v>/</v>
      </c>
      <c r="AK45" s="206" t="str">
        <f>IF($Y$2="2018年",'Offer Statistics'!FC45,IF($Y$2="2019年",'Offer Statistics'!FC91,IF($Y$2="2020年",'Offer Statistics'!FC137)))</f>
        <v>/</v>
      </c>
      <c r="AL45" s="206" t="str">
        <f>IF($Y$2="2018年",'Offer Statistics'!FD45,IF($Y$2="2019年",'Offer Statistics'!FD91,IF($Y$2="2020年",'Offer Statistics'!FD137)))</f>
        <v>/</v>
      </c>
      <c r="AM45" s="142"/>
      <c r="AN45" s="131" t="str">
        <f t="shared" si="3"/>
        <v>JSSW01</v>
      </c>
    </row>
    <row r="46" ht="18.0" customHeight="1">
      <c r="A46" s="225" t="s">
        <v>941</v>
      </c>
      <c r="B46" s="225" t="s">
        <v>1747</v>
      </c>
      <c r="C46" s="225" t="s">
        <v>942</v>
      </c>
      <c r="D46" s="225" t="s">
        <v>1748</v>
      </c>
      <c r="E46" s="236" t="s">
        <v>775</v>
      </c>
      <c r="F46" s="227" t="s">
        <v>541</v>
      </c>
      <c r="G46" s="231">
        <v>17.4</v>
      </c>
      <c r="H46" s="227" t="s">
        <v>541</v>
      </c>
      <c r="I46" s="228">
        <f>'計分版'!D421</f>
        <v>0.00000000195</v>
      </c>
      <c r="J46" s="229">
        <f>I46-G46</f>
        <v>-17.4</v>
      </c>
      <c r="K46" s="230">
        <f>(I46-G46)/I46</f>
        <v>-8923076922</v>
      </c>
      <c r="L46" s="231">
        <v>30.0</v>
      </c>
      <c r="M46" s="235">
        <f>'入學要求'!S408</f>
        <v>0</v>
      </c>
      <c r="N46" s="226" t="s">
        <v>1734</v>
      </c>
      <c r="O46" s="226">
        <v>3.0</v>
      </c>
      <c r="P46" s="226">
        <v>3.0</v>
      </c>
      <c r="Q46" s="226">
        <v>2.0</v>
      </c>
      <c r="R46" s="226">
        <v>2.0</v>
      </c>
      <c r="S46" s="226">
        <v>2.0</v>
      </c>
      <c r="T46" s="233">
        <f>'入學要求'!L408</f>
        <v>0</v>
      </c>
      <c r="U46" s="233">
        <f>'入學要求'!M408</f>
        <v>0</v>
      </c>
      <c r="V46" s="233">
        <f>'入學要求'!N408</f>
        <v>0</v>
      </c>
      <c r="W46" s="233">
        <f>'入學要求'!O408</f>
        <v>0</v>
      </c>
      <c r="X46" s="233">
        <f>'入學要求'!P408</f>
        <v>0</v>
      </c>
      <c r="Y46" s="205"/>
      <c r="Z46" s="231" t="str">
        <f>IF($Y$2="2018年",'Offer Statistics'!FM46,IF($Y$2="2019年",'Offer Statistics'!FM92,IF($Y$2="2020年",'Offer Statistics'!FM138)))</f>
        <v>/</v>
      </c>
      <c r="AA46" s="234" t="str">
        <f>IF($Y$2="2018年",'Offer Statistics'!FH46,IF($Y$2="2019年",'Offer Statistics'!FH92,IF($Y$2="2020年",'Offer Statistics'!FH138)))</f>
        <v>/</v>
      </c>
      <c r="AB46" s="234" t="str">
        <f>IF($Y$2="2018年",'Offer Statistics'!FI46,IF($Y$2="2019年",'Offer Statistics'!FI92,IF($Y$2="2020年",'Offer Statistics'!FI138)))</f>
        <v>/</v>
      </c>
      <c r="AC46" s="234" t="str">
        <f>IF($Y$2="2018年",'Offer Statistics'!FJ46,IF($Y$2="2019年",'Offer Statistics'!FJ92,IF($Y$2="2020年",'Offer Statistics'!FJ138)))</f>
        <v>/</v>
      </c>
      <c r="AD46" s="234" t="str">
        <f>IF($Y$2="2018年",'Offer Statistics'!FK46,IF($Y$2="2019年",'Offer Statistics'!FK92,IF($Y$2="2020年",'Offer Statistics'!FK138)))</f>
        <v>/</v>
      </c>
      <c r="AE46" s="234" t="str">
        <f>IF($Y$2="2018年",'Offer Statistics'!FL46,IF($Y$2="2019年",'Offer Statistics'!FL92,IF($Y$2="2020年",'Offer Statistics'!FL138)))</f>
        <v>/</v>
      </c>
      <c r="AF46" s="205"/>
      <c r="AG46" s="231" t="str">
        <f>IF($Y$2="2018年",'Offer Statistics'!FE46,IF($Y$2="2019年",'Offer Statistics'!FE92,IF($Y$2="2020年",'Offer Statistics'!FE138)))</f>
        <v>/</v>
      </c>
      <c r="AH46" s="234" t="str">
        <f>IF($Y$2="2018年",'Offer Statistics'!EZ46,IF($Y$2="2019年",'Offer Statistics'!EZ92,IF($Y$2="2020年",'Offer Statistics'!EZ138)))</f>
        <v>/</v>
      </c>
      <c r="AI46" s="234" t="str">
        <f>IF($Y$2="2018年",'Offer Statistics'!FA46,IF($Y$2="2019年",'Offer Statistics'!FA92,IF($Y$2="2020年",'Offer Statistics'!FA138)))</f>
        <v>/</v>
      </c>
      <c r="AJ46" s="234" t="str">
        <f>IF($Y$2="2018年",'Offer Statistics'!FB46,IF($Y$2="2019年",'Offer Statistics'!FB92,IF($Y$2="2020年",'Offer Statistics'!FB138)))</f>
        <v>/</v>
      </c>
      <c r="AK46" s="234" t="str">
        <f>IF($Y$2="2018年",'Offer Statistics'!FC46,IF($Y$2="2019年",'Offer Statistics'!FC92,IF($Y$2="2020年",'Offer Statistics'!FC138)))</f>
        <v>/</v>
      </c>
      <c r="AL46" s="234" t="str">
        <f>IF($Y$2="2018年",'Offer Statistics'!FD46,IF($Y$2="2019年",'Offer Statistics'!FD92,IF($Y$2="2020年",'Offer Statistics'!FD138)))</f>
        <v>/</v>
      </c>
      <c r="AM46" s="225"/>
      <c r="AN46" s="226" t="str">
        <f t="shared" si="3"/>
        <v>JSSY01</v>
      </c>
    </row>
    <row r="47" ht="18.0" customHeight="1">
      <c r="A47" s="362"/>
      <c r="B47" s="142"/>
      <c r="C47" s="142"/>
      <c r="D47" s="142"/>
      <c r="E47" s="132"/>
      <c r="F47" s="132"/>
      <c r="G47" s="131"/>
      <c r="H47" s="131"/>
      <c r="I47" s="361"/>
      <c r="J47" s="363"/>
      <c r="K47" s="364"/>
      <c r="L47" s="361"/>
      <c r="M47" s="361"/>
      <c r="N47" s="361"/>
      <c r="O47" s="361"/>
      <c r="P47" s="361"/>
      <c r="Q47" s="361"/>
      <c r="R47" s="361"/>
      <c r="S47" s="361"/>
      <c r="T47" s="361"/>
      <c r="U47" s="361"/>
      <c r="V47" s="361"/>
      <c r="W47" s="361"/>
      <c r="X47" s="361"/>
      <c r="Y47" s="131"/>
      <c r="Z47" s="131"/>
      <c r="AA47" s="131"/>
      <c r="AB47" s="131"/>
      <c r="AC47" s="131"/>
      <c r="AD47" s="131"/>
      <c r="AE47" s="131"/>
      <c r="AF47" s="131"/>
      <c r="AG47" s="131"/>
      <c r="AH47" s="131"/>
      <c r="AI47" s="131"/>
      <c r="AJ47" s="131"/>
      <c r="AK47" s="131"/>
      <c r="AL47" s="131"/>
      <c r="AM47" s="142"/>
      <c r="AN47" s="131"/>
    </row>
    <row r="48" ht="18.0" customHeight="1">
      <c r="A48" s="142" t="s">
        <v>1749</v>
      </c>
      <c r="B48" s="362"/>
      <c r="C48" s="362"/>
      <c r="D48" s="362"/>
      <c r="E48" s="132"/>
      <c r="F48" s="132"/>
      <c r="G48" s="361"/>
      <c r="H48" s="361"/>
      <c r="I48" s="131"/>
      <c r="J48" s="219"/>
      <c r="K48" s="198"/>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42"/>
      <c r="AN48" s="131"/>
    </row>
    <row r="49" ht="18.0" customHeight="1">
      <c r="A49" s="142" t="s">
        <v>1750</v>
      </c>
      <c r="B49" s="362"/>
      <c r="C49" s="362"/>
      <c r="D49" s="142"/>
      <c r="E49" s="132"/>
      <c r="F49" s="132"/>
      <c r="G49" s="131"/>
      <c r="H49" s="131"/>
      <c r="I49" s="131"/>
      <c r="J49" s="219"/>
      <c r="K49" s="198"/>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42"/>
      <c r="AN49" s="131"/>
    </row>
    <row r="50" ht="18.0" customHeight="1">
      <c r="A50" s="142"/>
      <c r="B50" s="142"/>
      <c r="C50" s="198"/>
      <c r="D50" s="142"/>
      <c r="E50" s="131"/>
      <c r="F50" s="142"/>
      <c r="G50" s="142"/>
      <c r="H50" s="131"/>
      <c r="I50" s="142"/>
      <c r="J50" s="142"/>
      <c r="K50" s="132"/>
      <c r="L50" s="131"/>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row>
    <row r="51" ht="18.0" customHeight="1">
      <c r="A51" s="142" t="s">
        <v>1229</v>
      </c>
      <c r="B51" s="142"/>
      <c r="C51" s="142"/>
      <c r="D51" s="142"/>
      <c r="E51" s="132"/>
      <c r="F51" s="131"/>
      <c r="G51" s="131"/>
      <c r="H51" s="131"/>
      <c r="I51" s="131"/>
      <c r="J51" s="219"/>
      <c r="K51" s="198"/>
      <c r="L51" s="131"/>
      <c r="M51" s="142"/>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42"/>
    </row>
    <row r="52" ht="18.0" customHeight="1">
      <c r="A52" s="142"/>
      <c r="B52" s="362"/>
      <c r="C52" s="362"/>
      <c r="D52" s="142"/>
      <c r="E52" s="132"/>
      <c r="F52" s="132"/>
      <c r="G52" s="131"/>
      <c r="H52" s="131"/>
      <c r="I52" s="131"/>
      <c r="J52" s="219"/>
      <c r="K52" s="198"/>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42"/>
      <c r="AN52" s="131"/>
    </row>
    <row r="53" ht="18.0" customHeight="1">
      <c r="A53" s="220" t="s">
        <v>1230</v>
      </c>
      <c r="B53" s="362"/>
      <c r="C53" s="362"/>
      <c r="D53" s="142"/>
      <c r="E53" s="132"/>
      <c r="F53" s="132"/>
      <c r="G53" s="131"/>
      <c r="H53" s="131"/>
      <c r="I53" s="131"/>
      <c r="J53" s="219"/>
      <c r="K53" s="198"/>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42"/>
      <c r="AN53" s="131"/>
    </row>
    <row r="54" ht="18.0" customHeight="1">
      <c r="A54" s="130" t="s">
        <v>1751</v>
      </c>
      <c r="B54" s="362"/>
      <c r="C54" s="362"/>
      <c r="D54" s="142"/>
      <c r="E54" s="132"/>
      <c r="F54" s="132"/>
      <c r="G54" s="131"/>
      <c r="H54" s="131"/>
      <c r="I54" s="131"/>
      <c r="J54" s="219"/>
      <c r="K54" s="198"/>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42"/>
      <c r="AN54" s="131"/>
    </row>
    <row r="55" ht="18.0" customHeight="1">
      <c r="A55" s="377" t="s">
        <v>1752</v>
      </c>
      <c r="B55" s="198" t="s">
        <v>1753</v>
      </c>
      <c r="C55" s="362"/>
      <c r="D55" s="142"/>
      <c r="E55" s="132"/>
      <c r="F55" s="132"/>
      <c r="G55" s="131"/>
      <c r="H55" s="131"/>
      <c r="I55" s="131"/>
      <c r="J55" s="219"/>
      <c r="K55" s="198"/>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42"/>
      <c r="AN55" s="131"/>
    </row>
    <row r="56" ht="18.0" customHeight="1">
      <c r="A56" s="377" t="s">
        <v>1754</v>
      </c>
      <c r="B56" s="198" t="s">
        <v>1755</v>
      </c>
      <c r="C56" s="362"/>
      <c r="D56" s="142"/>
      <c r="E56" s="132"/>
      <c r="F56" s="132"/>
      <c r="G56" s="131"/>
      <c r="H56" s="131"/>
      <c r="I56" s="131"/>
      <c r="J56" s="219"/>
      <c r="K56" s="198"/>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42"/>
      <c r="AN56" s="131"/>
    </row>
    <row r="57" ht="18.0" customHeight="1">
      <c r="A57" s="377" t="s">
        <v>1756</v>
      </c>
      <c r="B57" s="142" t="s">
        <v>1757</v>
      </c>
      <c r="C57" s="362"/>
      <c r="D57" s="142"/>
      <c r="E57" s="132"/>
      <c r="F57" s="132"/>
      <c r="G57" s="131"/>
      <c r="H57" s="131"/>
      <c r="I57" s="131"/>
      <c r="J57" s="219"/>
      <c r="K57" s="198"/>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42"/>
      <c r="AN57" s="131"/>
    </row>
    <row r="58" ht="18.0" customHeight="1">
      <c r="A58" s="377" t="s">
        <v>1758</v>
      </c>
      <c r="B58" s="198" t="s">
        <v>1753</v>
      </c>
      <c r="C58" s="362"/>
      <c r="D58" s="142"/>
      <c r="E58" s="132"/>
      <c r="F58" s="132"/>
      <c r="G58" s="131"/>
      <c r="H58" s="131"/>
      <c r="I58" s="131"/>
      <c r="J58" s="219"/>
      <c r="K58" s="198"/>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42"/>
      <c r="AN58" s="131"/>
    </row>
    <row r="59" ht="18.0" customHeight="1">
      <c r="A59" s="377" t="s">
        <v>1759</v>
      </c>
      <c r="B59" s="142" t="s">
        <v>1760</v>
      </c>
      <c r="C59" s="362"/>
      <c r="D59" s="142"/>
      <c r="E59" s="132"/>
      <c r="F59" s="132"/>
      <c r="G59" s="131"/>
      <c r="H59" s="131"/>
      <c r="I59" s="131"/>
      <c r="J59" s="219"/>
      <c r="K59" s="198"/>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42"/>
      <c r="AN59" s="131"/>
    </row>
    <row r="60" ht="18.0" customHeight="1">
      <c r="A60" s="377" t="s">
        <v>1761</v>
      </c>
      <c r="B60" s="142" t="s">
        <v>1757</v>
      </c>
      <c r="C60" s="362"/>
      <c r="D60" s="142"/>
      <c r="E60" s="132"/>
      <c r="F60" s="132"/>
      <c r="G60" s="131"/>
      <c r="H60" s="131"/>
      <c r="I60" s="131"/>
      <c r="J60" s="219"/>
      <c r="K60" s="198"/>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42"/>
      <c r="AN60" s="131"/>
    </row>
    <row r="61" ht="18.0" customHeight="1">
      <c r="A61" s="377" t="s">
        <v>1762</v>
      </c>
      <c r="B61" s="198" t="s">
        <v>1763</v>
      </c>
      <c r="C61" s="362"/>
      <c r="D61" s="142"/>
      <c r="E61" s="132"/>
      <c r="F61" s="132"/>
      <c r="G61" s="131"/>
      <c r="H61" s="131"/>
      <c r="I61" s="131"/>
      <c r="J61" s="219"/>
      <c r="K61" s="198"/>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42"/>
      <c r="AN61" s="131"/>
    </row>
    <row r="62" ht="18.0" customHeight="1">
      <c r="A62" s="377" t="s">
        <v>1764</v>
      </c>
      <c r="B62" s="198" t="s">
        <v>1753</v>
      </c>
      <c r="C62" s="362"/>
      <c r="D62" s="142"/>
      <c r="E62" s="132"/>
      <c r="F62" s="132"/>
      <c r="G62" s="131"/>
      <c r="H62" s="131"/>
      <c r="I62" s="131"/>
      <c r="J62" s="219"/>
      <c r="K62" s="198"/>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42"/>
      <c r="AN62" s="131"/>
    </row>
    <row r="63" ht="18.0" customHeight="1">
      <c r="A63" s="142"/>
      <c r="B63" s="142"/>
      <c r="C63" s="362"/>
      <c r="D63" s="142"/>
      <c r="E63" s="132"/>
      <c r="F63" s="132"/>
      <c r="G63" s="131"/>
      <c r="H63" s="131"/>
      <c r="I63" s="131"/>
      <c r="J63" s="219"/>
      <c r="K63" s="198"/>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42"/>
      <c r="AN63" s="131"/>
    </row>
    <row r="64" ht="18.0" customHeight="1">
      <c r="A64" s="220" t="s">
        <v>1232</v>
      </c>
      <c r="B64" s="142"/>
      <c r="C64" s="142"/>
      <c r="D64" s="142"/>
      <c r="E64" s="132"/>
      <c r="F64" s="132"/>
      <c r="G64" s="361"/>
      <c r="H64" s="361"/>
      <c r="I64" s="361"/>
      <c r="J64" s="363"/>
      <c r="K64" s="364"/>
      <c r="L64" s="361"/>
      <c r="M64" s="361"/>
      <c r="N64" s="361"/>
      <c r="O64" s="361"/>
      <c r="P64" s="361"/>
      <c r="Q64" s="361"/>
      <c r="R64" s="361"/>
      <c r="S64" s="361"/>
      <c r="T64" s="361"/>
      <c r="U64" s="361"/>
      <c r="V64" s="361"/>
      <c r="W64" s="361"/>
      <c r="X64" s="361"/>
      <c r="Y64" s="131"/>
      <c r="Z64" s="131"/>
      <c r="AA64" s="131"/>
      <c r="AB64" s="131"/>
      <c r="AC64" s="131"/>
      <c r="AD64" s="131"/>
      <c r="AE64" s="131"/>
      <c r="AF64" s="131"/>
      <c r="AG64" s="131"/>
      <c r="AH64" s="131"/>
      <c r="AI64" s="131"/>
      <c r="AJ64" s="131"/>
      <c r="AK64" s="131"/>
      <c r="AL64" s="131"/>
      <c r="AM64" s="142"/>
      <c r="AN64" s="131"/>
    </row>
    <row r="65" ht="18.0" customHeight="1">
      <c r="A65" s="219" t="s">
        <v>1765</v>
      </c>
      <c r="B65" s="221" t="s">
        <v>1766</v>
      </c>
      <c r="C65" s="142"/>
      <c r="D65" s="142"/>
      <c r="E65" s="132"/>
      <c r="F65" s="132"/>
      <c r="G65" s="361"/>
      <c r="H65" s="361"/>
      <c r="I65" s="361"/>
      <c r="J65" s="363"/>
      <c r="K65" s="364"/>
      <c r="L65" s="361"/>
      <c r="M65" s="361"/>
      <c r="N65" s="361"/>
      <c r="O65" s="361"/>
      <c r="P65" s="361"/>
      <c r="Q65" s="361"/>
      <c r="R65" s="361"/>
      <c r="S65" s="361"/>
      <c r="T65" s="361"/>
      <c r="U65" s="361"/>
      <c r="V65" s="361"/>
      <c r="W65" s="361"/>
      <c r="X65" s="361"/>
      <c r="Y65" s="131"/>
      <c r="Z65" s="131"/>
      <c r="AA65" s="131"/>
      <c r="AB65" s="131"/>
      <c r="AC65" s="131"/>
      <c r="AD65" s="131"/>
      <c r="AE65" s="131"/>
      <c r="AF65" s="131"/>
      <c r="AG65" s="131"/>
      <c r="AH65" s="131"/>
      <c r="AI65" s="131"/>
      <c r="AJ65" s="131"/>
      <c r="AK65" s="131"/>
      <c r="AL65" s="131"/>
      <c r="AM65" s="142"/>
      <c r="AN65" s="131"/>
    </row>
    <row r="66" ht="18.0" customHeight="1">
      <c r="A66" s="219" t="s">
        <v>1767</v>
      </c>
      <c r="B66" s="221" t="s">
        <v>1768</v>
      </c>
      <c r="C66" s="142"/>
      <c r="D66" s="362"/>
      <c r="E66" s="132"/>
      <c r="F66" s="132"/>
      <c r="G66" s="361"/>
      <c r="H66" s="361"/>
      <c r="I66" s="361"/>
      <c r="J66" s="363"/>
      <c r="K66" s="364"/>
      <c r="L66" s="361"/>
      <c r="M66" s="361"/>
      <c r="N66" s="361"/>
      <c r="O66" s="361"/>
      <c r="P66" s="361"/>
      <c r="Q66" s="361"/>
      <c r="R66" s="361"/>
      <c r="S66" s="361"/>
      <c r="T66" s="361"/>
      <c r="U66" s="361"/>
      <c r="V66" s="361"/>
      <c r="W66" s="361"/>
      <c r="X66" s="361"/>
      <c r="Y66" s="131"/>
      <c r="Z66" s="131"/>
      <c r="AA66" s="131"/>
      <c r="AB66" s="131"/>
      <c r="AC66" s="131"/>
      <c r="AD66" s="131"/>
      <c r="AE66" s="131"/>
      <c r="AF66" s="131"/>
      <c r="AG66" s="131"/>
      <c r="AH66" s="131"/>
      <c r="AI66" s="131"/>
      <c r="AJ66" s="131"/>
      <c r="AK66" s="131"/>
      <c r="AL66" s="131"/>
      <c r="AM66" s="142"/>
      <c r="AN66" s="131"/>
    </row>
    <row r="67" ht="18.0" customHeight="1">
      <c r="A67" s="363"/>
      <c r="B67" s="142"/>
      <c r="C67" s="142"/>
      <c r="D67" s="362"/>
      <c r="E67" s="132"/>
      <c r="F67" s="132"/>
      <c r="G67" s="361"/>
      <c r="H67" s="361"/>
      <c r="I67" s="361"/>
      <c r="J67" s="363"/>
      <c r="K67" s="364"/>
      <c r="L67" s="361"/>
      <c r="M67" s="361"/>
      <c r="N67" s="361"/>
      <c r="O67" s="361"/>
      <c r="P67" s="361"/>
      <c r="Q67" s="361"/>
      <c r="R67" s="361"/>
      <c r="S67" s="361"/>
      <c r="T67" s="361"/>
      <c r="U67" s="361"/>
      <c r="V67" s="361"/>
      <c r="W67" s="361"/>
      <c r="X67" s="361"/>
      <c r="Y67" s="131"/>
      <c r="Z67" s="131"/>
      <c r="AA67" s="131"/>
      <c r="AB67" s="131"/>
      <c r="AC67" s="131"/>
      <c r="AD67" s="131"/>
      <c r="AE67" s="131"/>
      <c r="AF67" s="131"/>
      <c r="AG67" s="131"/>
      <c r="AH67" s="131"/>
      <c r="AI67" s="131"/>
      <c r="AJ67" s="131"/>
      <c r="AK67" s="131"/>
      <c r="AL67" s="131"/>
      <c r="AM67" s="142"/>
      <c r="AN67" s="131"/>
    </row>
    <row r="68" ht="18.0" customHeight="1">
      <c r="A68" s="219" t="s">
        <v>1752</v>
      </c>
      <c r="B68" s="221" t="s">
        <v>1769</v>
      </c>
      <c r="C68" s="142"/>
      <c r="D68" s="362"/>
      <c r="E68" s="132"/>
      <c r="F68" s="132"/>
      <c r="G68" s="361"/>
      <c r="H68" s="361"/>
      <c r="I68" s="361"/>
      <c r="J68" s="363"/>
      <c r="K68" s="364"/>
      <c r="L68" s="361"/>
      <c r="M68" s="361"/>
      <c r="N68" s="361"/>
      <c r="O68" s="361"/>
      <c r="P68" s="361"/>
      <c r="Q68" s="361"/>
      <c r="R68" s="361"/>
      <c r="S68" s="361"/>
      <c r="T68" s="361"/>
      <c r="U68" s="361"/>
      <c r="V68" s="361"/>
      <c r="W68" s="361"/>
      <c r="X68" s="361"/>
      <c r="Y68" s="131"/>
      <c r="Z68" s="131"/>
      <c r="AA68" s="131"/>
      <c r="AB68" s="131"/>
      <c r="AC68" s="131"/>
      <c r="AD68" s="131"/>
      <c r="AE68" s="131"/>
      <c r="AF68" s="131"/>
      <c r="AG68" s="131"/>
      <c r="AH68" s="131"/>
      <c r="AI68" s="131"/>
      <c r="AJ68" s="131"/>
      <c r="AK68" s="131"/>
      <c r="AL68" s="131"/>
      <c r="AM68" s="142"/>
      <c r="AN68" s="131"/>
    </row>
    <row r="69" ht="18.0" customHeight="1">
      <c r="A69" s="219" t="s">
        <v>1754</v>
      </c>
      <c r="B69" s="221" t="s">
        <v>1770</v>
      </c>
      <c r="C69" s="142"/>
      <c r="D69" s="362"/>
      <c r="E69" s="132"/>
      <c r="F69" s="132"/>
      <c r="G69" s="361"/>
      <c r="H69" s="361"/>
      <c r="I69" s="361"/>
      <c r="J69" s="363"/>
      <c r="K69" s="364"/>
      <c r="L69" s="361"/>
      <c r="M69" s="361"/>
      <c r="N69" s="361"/>
      <c r="O69" s="361"/>
      <c r="P69" s="361"/>
      <c r="Q69" s="361"/>
      <c r="R69" s="361"/>
      <c r="S69" s="361"/>
      <c r="T69" s="361"/>
      <c r="U69" s="361"/>
      <c r="V69" s="361"/>
      <c r="W69" s="361"/>
      <c r="X69" s="361"/>
      <c r="Y69" s="131"/>
      <c r="Z69" s="131"/>
      <c r="AA69" s="131"/>
      <c r="AB69" s="131"/>
      <c r="AC69" s="131"/>
      <c r="AD69" s="131"/>
      <c r="AE69" s="131"/>
      <c r="AF69" s="131"/>
      <c r="AG69" s="131"/>
      <c r="AH69" s="131"/>
      <c r="AI69" s="131"/>
      <c r="AJ69" s="131"/>
      <c r="AK69" s="131"/>
      <c r="AL69" s="131"/>
      <c r="AM69" s="142"/>
      <c r="AN69" s="131"/>
    </row>
    <row r="70" ht="18.0" customHeight="1">
      <c r="A70" s="219" t="s">
        <v>1756</v>
      </c>
      <c r="B70" s="221" t="s">
        <v>1771</v>
      </c>
      <c r="C70" s="142"/>
      <c r="D70" s="362"/>
      <c r="E70" s="132"/>
      <c r="F70" s="132"/>
      <c r="G70" s="361"/>
      <c r="H70" s="361"/>
      <c r="I70" s="361"/>
      <c r="J70" s="363"/>
      <c r="K70" s="364"/>
      <c r="L70" s="361"/>
      <c r="M70" s="361"/>
      <c r="N70" s="361"/>
      <c r="O70" s="361"/>
      <c r="P70" s="361"/>
      <c r="Q70" s="361"/>
      <c r="R70" s="361"/>
      <c r="S70" s="361"/>
      <c r="T70" s="361"/>
      <c r="U70" s="361"/>
      <c r="V70" s="361"/>
      <c r="W70" s="361"/>
      <c r="X70" s="361"/>
      <c r="Y70" s="131"/>
      <c r="Z70" s="131"/>
      <c r="AA70" s="131"/>
      <c r="AB70" s="131"/>
      <c r="AC70" s="131"/>
      <c r="AD70" s="131"/>
      <c r="AE70" s="131"/>
      <c r="AF70" s="131"/>
      <c r="AG70" s="131"/>
      <c r="AH70" s="131"/>
      <c r="AI70" s="131"/>
      <c r="AJ70" s="131"/>
      <c r="AK70" s="131"/>
      <c r="AL70" s="131"/>
      <c r="AM70" s="142"/>
      <c r="AN70" s="131"/>
    </row>
    <row r="71" ht="18.0" customHeight="1">
      <c r="A71" s="219" t="s">
        <v>1758</v>
      </c>
      <c r="B71" s="221" t="s">
        <v>1772</v>
      </c>
      <c r="C71" s="142"/>
      <c r="D71" s="362"/>
      <c r="E71" s="132"/>
      <c r="F71" s="132"/>
      <c r="G71" s="361"/>
      <c r="H71" s="361"/>
      <c r="I71" s="361"/>
      <c r="J71" s="363"/>
      <c r="K71" s="364"/>
      <c r="L71" s="361"/>
      <c r="M71" s="361"/>
      <c r="N71" s="361"/>
      <c r="O71" s="361"/>
      <c r="P71" s="361"/>
      <c r="Q71" s="361"/>
      <c r="R71" s="361"/>
      <c r="S71" s="361"/>
      <c r="T71" s="361"/>
      <c r="U71" s="361"/>
      <c r="V71" s="361"/>
      <c r="W71" s="361"/>
      <c r="X71" s="361"/>
      <c r="Y71" s="131"/>
      <c r="Z71" s="131"/>
      <c r="AA71" s="131"/>
      <c r="AB71" s="131"/>
      <c r="AC71" s="131"/>
      <c r="AD71" s="131"/>
      <c r="AE71" s="131"/>
      <c r="AF71" s="131"/>
      <c r="AG71" s="131"/>
      <c r="AH71" s="131"/>
      <c r="AI71" s="131"/>
      <c r="AJ71" s="131"/>
      <c r="AK71" s="131"/>
      <c r="AL71" s="131"/>
      <c r="AM71" s="142"/>
      <c r="AN71" s="131"/>
    </row>
    <row r="72" ht="18.0" customHeight="1">
      <c r="A72" s="219" t="s">
        <v>1759</v>
      </c>
      <c r="B72" s="221" t="s">
        <v>1692</v>
      </c>
      <c r="C72" s="142"/>
      <c r="D72" s="362"/>
      <c r="E72" s="132"/>
      <c r="F72" s="132"/>
      <c r="G72" s="361"/>
      <c r="H72" s="361"/>
      <c r="I72" s="361"/>
      <c r="J72" s="363"/>
      <c r="K72" s="364"/>
      <c r="L72" s="361"/>
      <c r="M72" s="361"/>
      <c r="N72" s="361"/>
      <c r="O72" s="361"/>
      <c r="P72" s="361"/>
      <c r="Q72" s="361"/>
      <c r="R72" s="361"/>
      <c r="S72" s="361"/>
      <c r="T72" s="361"/>
      <c r="U72" s="361"/>
      <c r="V72" s="361"/>
      <c r="W72" s="361"/>
      <c r="X72" s="361"/>
      <c r="Y72" s="131"/>
      <c r="Z72" s="131"/>
      <c r="AA72" s="131"/>
      <c r="AB72" s="131"/>
      <c r="AC72" s="131"/>
      <c r="AD72" s="131"/>
      <c r="AE72" s="131"/>
      <c r="AF72" s="131"/>
      <c r="AG72" s="131"/>
      <c r="AH72" s="131"/>
      <c r="AI72" s="131"/>
      <c r="AJ72" s="131"/>
      <c r="AK72" s="131"/>
      <c r="AL72" s="131"/>
      <c r="AM72" s="142"/>
      <c r="AN72" s="131"/>
    </row>
    <row r="73" ht="18.0" customHeight="1">
      <c r="A73" s="219" t="s">
        <v>1761</v>
      </c>
      <c r="B73" s="221" t="s">
        <v>1773</v>
      </c>
      <c r="C73" s="362"/>
      <c r="D73" s="362"/>
      <c r="E73" s="132"/>
      <c r="F73" s="132"/>
      <c r="G73" s="361"/>
      <c r="H73" s="361"/>
      <c r="I73" s="361"/>
      <c r="J73" s="363"/>
      <c r="K73" s="364"/>
      <c r="L73" s="361"/>
      <c r="M73" s="361"/>
      <c r="N73" s="361"/>
      <c r="O73" s="361"/>
      <c r="P73" s="361"/>
      <c r="Q73" s="361"/>
      <c r="R73" s="361"/>
      <c r="S73" s="361"/>
      <c r="T73" s="361"/>
      <c r="U73" s="361"/>
      <c r="V73" s="361"/>
      <c r="W73" s="361"/>
      <c r="X73" s="361"/>
      <c r="Y73" s="131"/>
      <c r="Z73" s="131"/>
      <c r="AA73" s="131"/>
      <c r="AB73" s="131"/>
      <c r="AC73" s="131"/>
      <c r="AD73" s="131"/>
      <c r="AE73" s="131"/>
      <c r="AF73" s="131"/>
      <c r="AG73" s="131"/>
      <c r="AH73" s="131"/>
      <c r="AI73" s="131"/>
      <c r="AJ73" s="131"/>
      <c r="AK73" s="131"/>
      <c r="AL73" s="131"/>
      <c r="AM73" s="142"/>
      <c r="AN73" s="131"/>
    </row>
    <row r="74" ht="18.0" customHeight="1">
      <c r="A74" s="219" t="s">
        <v>1762</v>
      </c>
      <c r="B74" s="221" t="s">
        <v>1774</v>
      </c>
      <c r="C74" s="362"/>
      <c r="D74" s="362"/>
      <c r="E74" s="132"/>
      <c r="F74" s="132"/>
      <c r="G74" s="361"/>
      <c r="H74" s="361"/>
      <c r="I74" s="361"/>
      <c r="J74" s="363"/>
      <c r="K74" s="364"/>
      <c r="L74" s="361"/>
      <c r="M74" s="361"/>
      <c r="N74" s="361"/>
      <c r="O74" s="361"/>
      <c r="P74" s="361"/>
      <c r="Q74" s="361"/>
      <c r="R74" s="361"/>
      <c r="S74" s="361"/>
      <c r="T74" s="361"/>
      <c r="U74" s="361"/>
      <c r="V74" s="361"/>
      <c r="W74" s="361"/>
      <c r="X74" s="361"/>
      <c r="Y74" s="131"/>
      <c r="Z74" s="131"/>
      <c r="AA74" s="131"/>
      <c r="AB74" s="131"/>
      <c r="AC74" s="131"/>
      <c r="AD74" s="131"/>
      <c r="AE74" s="131"/>
      <c r="AF74" s="131"/>
      <c r="AG74" s="131"/>
      <c r="AH74" s="131"/>
      <c r="AI74" s="131"/>
      <c r="AJ74" s="131"/>
      <c r="AK74" s="131"/>
      <c r="AL74" s="131"/>
      <c r="AM74" s="142"/>
      <c r="AN74" s="131"/>
    </row>
    <row r="75" ht="18.0" customHeight="1">
      <c r="A75" s="219" t="s">
        <v>1764</v>
      </c>
      <c r="B75" s="221" t="s">
        <v>1775</v>
      </c>
      <c r="C75" s="362"/>
      <c r="D75" s="362"/>
      <c r="E75" s="132"/>
      <c r="F75" s="132"/>
      <c r="G75" s="361"/>
      <c r="H75" s="361"/>
      <c r="I75" s="361"/>
      <c r="J75" s="363"/>
      <c r="K75" s="364"/>
      <c r="L75" s="361"/>
      <c r="M75" s="361"/>
      <c r="N75" s="361"/>
      <c r="O75" s="361"/>
      <c r="P75" s="361"/>
      <c r="Q75" s="361"/>
      <c r="R75" s="361"/>
      <c r="S75" s="361"/>
      <c r="T75" s="361"/>
      <c r="U75" s="361"/>
      <c r="V75" s="361"/>
      <c r="W75" s="361"/>
      <c r="X75" s="361"/>
      <c r="Y75" s="131"/>
      <c r="Z75" s="131"/>
      <c r="AA75" s="131"/>
      <c r="AB75" s="131"/>
      <c r="AC75" s="131"/>
      <c r="AD75" s="131"/>
      <c r="AE75" s="131"/>
      <c r="AF75" s="131"/>
      <c r="AG75" s="131"/>
      <c r="AH75" s="131"/>
      <c r="AI75" s="131"/>
      <c r="AJ75" s="131"/>
      <c r="AK75" s="131"/>
      <c r="AL75" s="131"/>
      <c r="AM75" s="142"/>
      <c r="AN75" s="131"/>
    </row>
    <row r="76" ht="18.0" customHeight="1">
      <c r="A76" s="362"/>
      <c r="B76" s="142"/>
      <c r="C76" s="362"/>
      <c r="D76" s="362"/>
      <c r="E76" s="132"/>
      <c r="F76" s="132"/>
      <c r="G76" s="361"/>
      <c r="H76" s="361"/>
      <c r="I76" s="361"/>
      <c r="J76" s="363"/>
      <c r="K76" s="364"/>
      <c r="L76" s="361"/>
      <c r="M76" s="361"/>
      <c r="N76" s="361"/>
      <c r="O76" s="361"/>
      <c r="P76" s="361"/>
      <c r="Q76" s="361"/>
      <c r="R76" s="361"/>
      <c r="S76" s="361"/>
      <c r="T76" s="361"/>
      <c r="U76" s="361"/>
      <c r="V76" s="361"/>
      <c r="W76" s="361"/>
      <c r="X76" s="361"/>
      <c r="Y76" s="131"/>
      <c r="Z76" s="131"/>
      <c r="AA76" s="131"/>
      <c r="AB76" s="131"/>
      <c r="AC76" s="131"/>
      <c r="AD76" s="131"/>
      <c r="AE76" s="131"/>
      <c r="AF76" s="131"/>
      <c r="AG76" s="131"/>
      <c r="AH76" s="131"/>
      <c r="AI76" s="131"/>
      <c r="AJ76" s="131"/>
      <c r="AK76" s="131"/>
      <c r="AL76" s="131"/>
      <c r="AM76" s="142"/>
      <c r="AN76" s="131"/>
    </row>
    <row r="77" ht="18.0" hidden="1" customHeight="1">
      <c r="A77" s="362"/>
      <c r="B77" s="362"/>
      <c r="C77" s="362"/>
      <c r="D77" s="362"/>
      <c r="E77" s="132"/>
      <c r="F77" s="132"/>
      <c r="G77" s="361"/>
      <c r="H77" s="361"/>
      <c r="I77" s="361"/>
      <c r="J77" s="363"/>
      <c r="K77" s="364"/>
      <c r="L77" s="361"/>
      <c r="M77" s="361"/>
      <c r="N77" s="361"/>
      <c r="O77" s="361"/>
      <c r="P77" s="361"/>
      <c r="Q77" s="361"/>
      <c r="R77" s="361"/>
      <c r="S77" s="361"/>
      <c r="T77" s="361"/>
      <c r="U77" s="361"/>
      <c r="V77" s="361"/>
      <c r="W77" s="361"/>
      <c r="X77" s="361"/>
      <c r="Y77" s="131"/>
      <c r="Z77" s="163"/>
      <c r="AA77" s="131"/>
      <c r="AB77" s="131"/>
      <c r="AC77" s="131"/>
      <c r="AD77" s="131"/>
      <c r="AE77" s="131"/>
      <c r="AF77" s="163"/>
      <c r="AG77" s="163"/>
      <c r="AH77" s="163"/>
      <c r="AI77" s="163"/>
      <c r="AJ77" s="163"/>
      <c r="AK77" s="163"/>
      <c r="AL77" s="163"/>
      <c r="AM77" s="130"/>
      <c r="AN77" s="163"/>
    </row>
    <row r="78" ht="18.0" hidden="1" customHeight="1">
      <c r="A78" s="362"/>
      <c r="B78" s="362"/>
      <c r="C78" s="362"/>
      <c r="D78" s="362"/>
      <c r="E78" s="132"/>
      <c r="F78" s="132"/>
      <c r="G78" s="361"/>
      <c r="H78" s="361"/>
      <c r="I78" s="361"/>
      <c r="J78" s="363"/>
      <c r="K78" s="364"/>
      <c r="L78" s="361"/>
      <c r="M78" s="361"/>
      <c r="N78" s="361"/>
      <c r="O78" s="361"/>
      <c r="P78" s="361"/>
      <c r="Q78" s="361"/>
      <c r="R78" s="361"/>
      <c r="S78" s="361"/>
      <c r="T78" s="361"/>
      <c r="U78" s="361"/>
      <c r="V78" s="361"/>
      <c r="W78" s="361"/>
      <c r="X78" s="361"/>
      <c r="Y78" s="131"/>
      <c r="Z78" s="163"/>
      <c r="AA78" s="131"/>
      <c r="AB78" s="131"/>
      <c r="AC78" s="131"/>
      <c r="AD78" s="131"/>
      <c r="AE78" s="131"/>
      <c r="AF78" s="163"/>
      <c r="AG78" s="163"/>
      <c r="AH78" s="163"/>
      <c r="AI78" s="163"/>
      <c r="AJ78" s="163"/>
      <c r="AK78" s="163"/>
      <c r="AL78" s="163"/>
      <c r="AM78" s="130"/>
      <c r="AN78" s="163"/>
    </row>
    <row r="79" ht="18.0" hidden="1" customHeight="1">
      <c r="A79" s="362"/>
      <c r="B79" s="362"/>
      <c r="C79" s="362"/>
      <c r="D79" s="362"/>
      <c r="E79" s="132"/>
      <c r="F79" s="132"/>
      <c r="G79" s="361"/>
      <c r="H79" s="361"/>
      <c r="I79" s="361"/>
      <c r="J79" s="363"/>
      <c r="K79" s="364"/>
      <c r="L79" s="361"/>
      <c r="M79" s="361"/>
      <c r="N79" s="361"/>
      <c r="O79" s="361"/>
      <c r="P79" s="361"/>
      <c r="Q79" s="361"/>
      <c r="R79" s="361"/>
      <c r="S79" s="361"/>
      <c r="T79" s="361"/>
      <c r="U79" s="361"/>
      <c r="V79" s="361"/>
      <c r="W79" s="361"/>
      <c r="X79" s="361"/>
      <c r="Y79" s="131"/>
      <c r="Z79" s="163"/>
      <c r="AA79" s="131"/>
      <c r="AB79" s="131"/>
      <c r="AC79" s="131"/>
      <c r="AD79" s="131"/>
      <c r="AE79" s="131"/>
      <c r="AF79" s="163"/>
      <c r="AG79" s="163"/>
      <c r="AH79" s="163"/>
      <c r="AI79" s="163"/>
      <c r="AJ79" s="163"/>
      <c r="AK79" s="163"/>
      <c r="AL79" s="163"/>
      <c r="AM79" s="130"/>
      <c r="AN79" s="163"/>
    </row>
    <row r="80" ht="18.0" hidden="1" customHeight="1">
      <c r="A80" s="362"/>
      <c r="B80" s="362"/>
      <c r="C80" s="362"/>
      <c r="D80" s="362"/>
      <c r="E80" s="132"/>
      <c r="F80" s="132"/>
      <c r="G80" s="361"/>
      <c r="H80" s="361"/>
      <c r="I80" s="361"/>
      <c r="J80" s="363"/>
      <c r="K80" s="364"/>
      <c r="L80" s="361"/>
      <c r="M80" s="361"/>
      <c r="N80" s="361"/>
      <c r="O80" s="361"/>
      <c r="P80" s="361"/>
      <c r="Q80" s="361"/>
      <c r="R80" s="361"/>
      <c r="S80" s="361"/>
      <c r="T80" s="361"/>
      <c r="U80" s="361"/>
      <c r="V80" s="361"/>
      <c r="W80" s="361"/>
      <c r="X80" s="361"/>
      <c r="Y80" s="131"/>
      <c r="Z80" s="163"/>
      <c r="AA80" s="131"/>
      <c r="AB80" s="131"/>
      <c r="AC80" s="131"/>
      <c r="AD80" s="131"/>
      <c r="AE80" s="131"/>
      <c r="AF80" s="163"/>
      <c r="AG80" s="163"/>
      <c r="AH80" s="163"/>
      <c r="AI80" s="163"/>
      <c r="AJ80" s="163"/>
      <c r="AK80" s="163"/>
      <c r="AL80" s="163"/>
      <c r="AM80" s="130"/>
      <c r="AN80" s="163"/>
    </row>
    <row r="81" ht="18.0" hidden="1" customHeight="1">
      <c r="A81" s="362"/>
      <c r="B81" s="362"/>
      <c r="C81" s="362"/>
      <c r="D81" s="362"/>
      <c r="E81" s="132"/>
      <c r="F81" s="132"/>
      <c r="G81" s="361"/>
      <c r="H81" s="361"/>
      <c r="I81" s="361"/>
      <c r="J81" s="363"/>
      <c r="K81" s="364"/>
      <c r="L81" s="361"/>
      <c r="M81" s="361"/>
      <c r="N81" s="361"/>
      <c r="O81" s="361"/>
      <c r="P81" s="361"/>
      <c r="Q81" s="361"/>
      <c r="R81" s="361"/>
      <c r="S81" s="361"/>
      <c r="T81" s="361"/>
      <c r="U81" s="361"/>
      <c r="V81" s="361"/>
      <c r="W81" s="361"/>
      <c r="X81" s="361"/>
      <c r="Y81" s="131"/>
      <c r="Z81" s="163"/>
      <c r="AA81" s="131"/>
      <c r="AB81" s="131"/>
      <c r="AC81" s="131"/>
      <c r="AD81" s="131"/>
      <c r="AE81" s="131"/>
      <c r="AF81" s="163"/>
      <c r="AG81" s="163"/>
      <c r="AH81" s="163"/>
      <c r="AI81" s="163"/>
      <c r="AJ81" s="163"/>
      <c r="AK81" s="163"/>
      <c r="AL81" s="163"/>
      <c r="AM81" s="130"/>
      <c r="AN81" s="163"/>
    </row>
    <row r="82" ht="18.0" hidden="1" customHeight="1">
      <c r="A82" s="362"/>
      <c r="B82" s="362"/>
      <c r="C82" s="362"/>
      <c r="D82" s="362"/>
      <c r="E82" s="132"/>
      <c r="F82" s="132"/>
      <c r="G82" s="361"/>
      <c r="H82" s="361"/>
      <c r="I82" s="361"/>
      <c r="J82" s="363"/>
      <c r="K82" s="364"/>
      <c r="L82" s="361"/>
      <c r="M82" s="361"/>
      <c r="N82" s="361"/>
      <c r="O82" s="361"/>
      <c r="P82" s="361"/>
      <c r="Q82" s="361"/>
      <c r="R82" s="361"/>
      <c r="S82" s="361"/>
      <c r="T82" s="361"/>
      <c r="U82" s="361"/>
      <c r="V82" s="361"/>
      <c r="W82" s="361"/>
      <c r="X82" s="361"/>
      <c r="Y82" s="131"/>
      <c r="Z82" s="163"/>
      <c r="AA82" s="131"/>
      <c r="AB82" s="131"/>
      <c r="AC82" s="131"/>
      <c r="AD82" s="131"/>
      <c r="AE82" s="131"/>
      <c r="AF82" s="163"/>
      <c r="AG82" s="163"/>
      <c r="AH82" s="163"/>
      <c r="AI82" s="163"/>
      <c r="AJ82" s="163"/>
      <c r="AK82" s="163"/>
      <c r="AL82" s="163"/>
      <c r="AM82" s="130"/>
      <c r="AN82" s="163"/>
    </row>
    <row r="83" ht="18.0" hidden="1" customHeight="1">
      <c r="A83" s="362"/>
      <c r="B83" s="362"/>
      <c r="C83" s="362"/>
      <c r="D83" s="362"/>
      <c r="E83" s="132"/>
      <c r="F83" s="132"/>
      <c r="G83" s="361"/>
      <c r="H83" s="361"/>
      <c r="I83" s="361"/>
      <c r="J83" s="363"/>
      <c r="K83" s="364"/>
      <c r="L83" s="361"/>
      <c r="M83" s="361"/>
      <c r="N83" s="361"/>
      <c r="O83" s="361"/>
      <c r="P83" s="361"/>
      <c r="Q83" s="361"/>
      <c r="R83" s="361"/>
      <c r="S83" s="361"/>
      <c r="T83" s="361"/>
      <c r="U83" s="361"/>
      <c r="V83" s="361"/>
      <c r="W83" s="361"/>
      <c r="X83" s="361"/>
      <c r="Y83" s="131"/>
      <c r="Z83" s="163"/>
      <c r="AA83" s="131"/>
      <c r="AB83" s="131"/>
      <c r="AC83" s="131"/>
      <c r="AD83" s="131"/>
      <c r="AE83" s="131"/>
      <c r="AF83" s="163"/>
      <c r="AG83" s="163"/>
      <c r="AH83" s="163"/>
      <c r="AI83" s="163"/>
      <c r="AJ83" s="163"/>
      <c r="AK83" s="163"/>
      <c r="AL83" s="163"/>
      <c r="AM83" s="130"/>
      <c r="AN83" s="163"/>
    </row>
    <row r="84" ht="18.0" hidden="1" customHeight="1">
      <c r="A84" s="362"/>
      <c r="B84" s="362"/>
      <c r="C84" s="362"/>
      <c r="D84" s="362"/>
      <c r="E84" s="132"/>
      <c r="F84" s="132"/>
      <c r="G84" s="361"/>
      <c r="H84" s="361"/>
      <c r="I84" s="361"/>
      <c r="J84" s="363"/>
      <c r="K84" s="364"/>
      <c r="L84" s="361"/>
      <c r="M84" s="361"/>
      <c r="N84" s="361"/>
      <c r="O84" s="361"/>
      <c r="P84" s="361"/>
      <c r="Q84" s="361"/>
      <c r="R84" s="361"/>
      <c r="S84" s="361"/>
      <c r="T84" s="361"/>
      <c r="U84" s="361"/>
      <c r="V84" s="361"/>
      <c r="W84" s="361"/>
      <c r="X84" s="361"/>
      <c r="Y84" s="131"/>
      <c r="Z84" s="163"/>
      <c r="AA84" s="131"/>
      <c r="AB84" s="131"/>
      <c r="AC84" s="131"/>
      <c r="AD84" s="131"/>
      <c r="AE84" s="131"/>
      <c r="AF84" s="163"/>
      <c r="AG84" s="163"/>
      <c r="AH84" s="163"/>
      <c r="AI84" s="163"/>
      <c r="AJ84" s="163"/>
      <c r="AK84" s="163"/>
      <c r="AL84" s="163"/>
      <c r="AM84" s="130"/>
      <c r="AN84" s="163"/>
    </row>
    <row r="85" ht="18.0" hidden="1" customHeight="1">
      <c r="A85" s="362"/>
      <c r="B85" s="362"/>
      <c r="C85" s="362"/>
      <c r="D85" s="362"/>
      <c r="E85" s="132"/>
      <c r="F85" s="132"/>
      <c r="G85" s="361"/>
      <c r="H85" s="361"/>
      <c r="I85" s="361"/>
      <c r="J85" s="363"/>
      <c r="K85" s="364"/>
      <c r="L85" s="361"/>
      <c r="M85" s="361"/>
      <c r="N85" s="361"/>
      <c r="O85" s="361"/>
      <c r="P85" s="361"/>
      <c r="Q85" s="361"/>
      <c r="R85" s="361"/>
      <c r="S85" s="361"/>
      <c r="T85" s="361"/>
      <c r="U85" s="361"/>
      <c r="V85" s="361"/>
      <c r="W85" s="361"/>
      <c r="X85" s="361"/>
      <c r="Y85" s="131"/>
      <c r="Z85" s="163"/>
      <c r="AA85" s="131"/>
      <c r="AB85" s="131"/>
      <c r="AC85" s="131"/>
      <c r="AD85" s="131"/>
      <c r="AE85" s="131"/>
      <c r="AF85" s="163"/>
      <c r="AG85" s="163"/>
      <c r="AH85" s="163"/>
      <c r="AI85" s="163"/>
      <c r="AJ85" s="163"/>
      <c r="AK85" s="163"/>
      <c r="AL85" s="163"/>
      <c r="AM85" s="130"/>
      <c r="AN85" s="163"/>
    </row>
    <row r="86" ht="18.0" hidden="1" customHeight="1">
      <c r="A86" s="362"/>
      <c r="B86" s="362"/>
      <c r="C86" s="362"/>
      <c r="D86" s="362"/>
      <c r="E86" s="132"/>
      <c r="F86" s="132"/>
      <c r="G86" s="361"/>
      <c r="H86" s="361"/>
      <c r="I86" s="361"/>
      <c r="J86" s="363"/>
      <c r="K86" s="364"/>
      <c r="L86" s="361"/>
      <c r="M86" s="361"/>
      <c r="N86" s="361"/>
      <c r="O86" s="361"/>
      <c r="P86" s="361"/>
      <c r="Q86" s="361"/>
      <c r="R86" s="361"/>
      <c r="S86" s="361"/>
      <c r="T86" s="361"/>
      <c r="U86" s="361"/>
      <c r="V86" s="361"/>
      <c r="W86" s="361"/>
      <c r="X86" s="361"/>
      <c r="Y86" s="131"/>
      <c r="Z86" s="163"/>
      <c r="AA86" s="131"/>
      <c r="AB86" s="131"/>
      <c r="AC86" s="131"/>
      <c r="AD86" s="131"/>
      <c r="AE86" s="131"/>
      <c r="AF86" s="163"/>
      <c r="AG86" s="163"/>
      <c r="AH86" s="163"/>
      <c r="AI86" s="163"/>
      <c r="AJ86" s="163"/>
      <c r="AK86" s="163"/>
      <c r="AL86" s="163"/>
      <c r="AM86" s="130"/>
      <c r="AN86" s="163"/>
    </row>
    <row r="87" ht="18.0" hidden="1" customHeight="1">
      <c r="A87" s="362"/>
      <c r="B87" s="362"/>
      <c r="C87" s="362"/>
      <c r="D87" s="362"/>
      <c r="E87" s="132"/>
      <c r="F87" s="132"/>
      <c r="G87" s="361"/>
      <c r="H87" s="361"/>
      <c r="I87" s="361"/>
      <c r="J87" s="363"/>
      <c r="K87" s="364"/>
      <c r="L87" s="361"/>
      <c r="M87" s="361"/>
      <c r="N87" s="361"/>
      <c r="O87" s="361"/>
      <c r="P87" s="361"/>
      <c r="Q87" s="361"/>
      <c r="R87" s="361"/>
      <c r="S87" s="361"/>
      <c r="T87" s="361"/>
      <c r="U87" s="361"/>
      <c r="V87" s="361"/>
      <c r="W87" s="361"/>
      <c r="X87" s="361"/>
      <c r="Y87" s="131"/>
      <c r="Z87" s="163"/>
      <c r="AA87" s="131"/>
      <c r="AB87" s="131"/>
      <c r="AC87" s="131"/>
      <c r="AD87" s="131"/>
      <c r="AE87" s="131"/>
      <c r="AF87" s="163"/>
      <c r="AG87" s="163"/>
      <c r="AH87" s="163"/>
      <c r="AI87" s="163"/>
      <c r="AJ87" s="163"/>
      <c r="AK87" s="163"/>
      <c r="AL87" s="163"/>
      <c r="AM87" s="130"/>
      <c r="AN87" s="163"/>
    </row>
    <row r="88" ht="18.0" hidden="1" customHeight="1">
      <c r="A88" s="362"/>
      <c r="B88" s="362"/>
      <c r="C88" s="362"/>
      <c r="D88" s="362"/>
      <c r="E88" s="132"/>
      <c r="F88" s="132"/>
      <c r="G88" s="361"/>
      <c r="H88" s="361"/>
      <c r="I88" s="361"/>
      <c r="J88" s="363"/>
      <c r="K88" s="364"/>
      <c r="L88" s="361"/>
      <c r="M88" s="361"/>
      <c r="N88" s="361"/>
      <c r="O88" s="361"/>
      <c r="P88" s="361"/>
      <c r="Q88" s="361"/>
      <c r="R88" s="361"/>
      <c r="S88" s="361"/>
      <c r="T88" s="361"/>
      <c r="U88" s="361"/>
      <c r="V88" s="361"/>
      <c r="W88" s="361"/>
      <c r="X88" s="361"/>
      <c r="Y88" s="131"/>
      <c r="Z88" s="163"/>
      <c r="AA88" s="131"/>
      <c r="AB88" s="131"/>
      <c r="AC88" s="131"/>
      <c r="AD88" s="131"/>
      <c r="AE88" s="131"/>
      <c r="AF88" s="163"/>
      <c r="AG88" s="163"/>
      <c r="AH88" s="163"/>
      <c r="AI88" s="163"/>
      <c r="AJ88" s="163"/>
      <c r="AK88" s="163"/>
      <c r="AL88" s="163"/>
      <c r="AM88" s="130"/>
      <c r="AN88" s="163"/>
    </row>
    <row r="89" ht="18.0" hidden="1" customHeight="1">
      <c r="A89" s="362"/>
      <c r="B89" s="362"/>
      <c r="C89" s="362"/>
      <c r="D89" s="362"/>
      <c r="E89" s="132"/>
      <c r="F89" s="132"/>
      <c r="G89" s="361"/>
      <c r="H89" s="361"/>
      <c r="I89" s="361"/>
      <c r="J89" s="363"/>
      <c r="K89" s="364"/>
      <c r="L89" s="361"/>
      <c r="M89" s="361"/>
      <c r="N89" s="361"/>
      <c r="O89" s="361"/>
      <c r="P89" s="361"/>
      <c r="Q89" s="361"/>
      <c r="R89" s="361"/>
      <c r="S89" s="361"/>
      <c r="T89" s="361"/>
      <c r="U89" s="361"/>
      <c r="V89" s="361"/>
      <c r="W89" s="361"/>
      <c r="X89" s="361"/>
      <c r="Y89" s="131"/>
      <c r="Z89" s="163"/>
      <c r="AA89" s="131"/>
      <c r="AB89" s="131"/>
      <c r="AC89" s="131"/>
      <c r="AD89" s="131"/>
      <c r="AE89" s="131"/>
      <c r="AF89" s="163"/>
      <c r="AG89" s="163"/>
      <c r="AH89" s="163"/>
      <c r="AI89" s="163"/>
      <c r="AJ89" s="163"/>
      <c r="AK89" s="163"/>
      <c r="AL89" s="163"/>
      <c r="AM89" s="130"/>
      <c r="AN89" s="163"/>
    </row>
    <row r="90" ht="18.0" hidden="1" customHeight="1">
      <c r="A90" s="362"/>
      <c r="B90" s="362"/>
      <c r="C90" s="362"/>
      <c r="D90" s="362"/>
      <c r="E90" s="132"/>
      <c r="F90" s="132"/>
      <c r="G90" s="361"/>
      <c r="H90" s="361"/>
      <c r="I90" s="361"/>
      <c r="J90" s="363"/>
      <c r="K90" s="364"/>
      <c r="L90" s="361"/>
      <c r="M90" s="361"/>
      <c r="N90" s="361"/>
      <c r="O90" s="361"/>
      <c r="P90" s="361"/>
      <c r="Q90" s="361"/>
      <c r="R90" s="361"/>
      <c r="S90" s="361"/>
      <c r="T90" s="361"/>
      <c r="U90" s="361"/>
      <c r="V90" s="361"/>
      <c r="W90" s="361"/>
      <c r="X90" s="361"/>
      <c r="Y90" s="131"/>
      <c r="Z90" s="163"/>
      <c r="AA90" s="131"/>
      <c r="AB90" s="131"/>
      <c r="AC90" s="131"/>
      <c r="AD90" s="131"/>
      <c r="AE90" s="131"/>
      <c r="AF90" s="163"/>
      <c r="AG90" s="163"/>
      <c r="AH90" s="163"/>
      <c r="AI90" s="163"/>
      <c r="AJ90" s="163"/>
      <c r="AK90" s="163"/>
      <c r="AL90" s="163"/>
      <c r="AM90" s="130"/>
      <c r="AN90" s="163"/>
    </row>
    <row r="91" ht="18.0" hidden="1" customHeight="1">
      <c r="A91" s="362"/>
      <c r="B91" s="362"/>
      <c r="C91" s="362"/>
      <c r="D91" s="362"/>
      <c r="E91" s="132"/>
      <c r="F91" s="132"/>
      <c r="G91" s="361"/>
      <c r="H91" s="361"/>
      <c r="I91" s="361"/>
      <c r="J91" s="363"/>
      <c r="K91" s="364"/>
      <c r="L91" s="361"/>
      <c r="M91" s="361"/>
      <c r="N91" s="361"/>
      <c r="O91" s="361"/>
      <c r="P91" s="361"/>
      <c r="Q91" s="361"/>
      <c r="R91" s="361"/>
      <c r="S91" s="361"/>
      <c r="T91" s="361"/>
      <c r="U91" s="361"/>
      <c r="V91" s="361"/>
      <c r="W91" s="361"/>
      <c r="X91" s="361"/>
      <c r="Y91" s="131"/>
      <c r="Z91" s="163"/>
      <c r="AA91" s="131"/>
      <c r="AB91" s="131"/>
      <c r="AC91" s="131"/>
      <c r="AD91" s="131"/>
      <c r="AE91" s="131"/>
      <c r="AF91" s="163"/>
      <c r="AG91" s="163"/>
      <c r="AH91" s="163"/>
      <c r="AI91" s="163"/>
      <c r="AJ91" s="163"/>
      <c r="AK91" s="163"/>
      <c r="AL91" s="163"/>
      <c r="AM91" s="130"/>
      <c r="AN91" s="163"/>
    </row>
    <row r="92" ht="18.0" hidden="1" customHeight="1">
      <c r="A92" s="362"/>
      <c r="B92" s="362"/>
      <c r="C92" s="362"/>
      <c r="D92" s="362"/>
      <c r="E92" s="132"/>
      <c r="F92" s="132"/>
      <c r="G92" s="361"/>
      <c r="H92" s="361"/>
      <c r="I92" s="361"/>
      <c r="J92" s="363"/>
      <c r="K92" s="364"/>
      <c r="L92" s="361"/>
      <c r="M92" s="361"/>
      <c r="N92" s="361"/>
      <c r="O92" s="361"/>
      <c r="P92" s="361"/>
      <c r="Q92" s="361"/>
      <c r="R92" s="361"/>
      <c r="S92" s="361"/>
      <c r="T92" s="361"/>
      <c r="U92" s="361"/>
      <c r="V92" s="361"/>
      <c r="W92" s="361"/>
      <c r="X92" s="361"/>
      <c r="Y92" s="131"/>
      <c r="Z92" s="163"/>
      <c r="AA92" s="131"/>
      <c r="AB92" s="131"/>
      <c r="AC92" s="131"/>
      <c r="AD92" s="131"/>
      <c r="AE92" s="131"/>
      <c r="AF92" s="163"/>
      <c r="AG92" s="163"/>
      <c r="AH92" s="163"/>
      <c r="AI92" s="163"/>
      <c r="AJ92" s="163"/>
      <c r="AK92" s="163"/>
      <c r="AL92" s="163"/>
      <c r="AM92" s="130"/>
      <c r="AN92" s="163"/>
    </row>
    <row r="93" ht="18.0" hidden="1" customHeight="1">
      <c r="A93" s="362"/>
      <c r="B93" s="362"/>
      <c r="C93" s="362"/>
      <c r="D93" s="362"/>
      <c r="E93" s="132"/>
      <c r="F93" s="132"/>
      <c r="G93" s="361"/>
      <c r="H93" s="361"/>
      <c r="I93" s="361"/>
      <c r="J93" s="363"/>
      <c r="K93" s="364"/>
      <c r="L93" s="361"/>
      <c r="M93" s="361"/>
      <c r="N93" s="361"/>
      <c r="O93" s="361"/>
      <c r="P93" s="361"/>
      <c r="Q93" s="361"/>
      <c r="R93" s="361"/>
      <c r="S93" s="361"/>
      <c r="T93" s="361"/>
      <c r="U93" s="361"/>
      <c r="V93" s="361"/>
      <c r="W93" s="361"/>
      <c r="X93" s="361"/>
      <c r="Y93" s="131"/>
      <c r="Z93" s="163"/>
      <c r="AA93" s="131"/>
      <c r="AB93" s="131"/>
      <c r="AC93" s="131"/>
      <c r="AD93" s="131"/>
      <c r="AE93" s="131"/>
      <c r="AF93" s="163"/>
      <c r="AG93" s="163"/>
      <c r="AH93" s="163"/>
      <c r="AI93" s="163"/>
      <c r="AJ93" s="163"/>
      <c r="AK93" s="163"/>
      <c r="AL93" s="163"/>
      <c r="AM93" s="130"/>
      <c r="AN93" s="163"/>
    </row>
    <row r="94" ht="18.0" hidden="1" customHeight="1">
      <c r="A94" s="362"/>
      <c r="B94" s="362"/>
      <c r="C94" s="362"/>
      <c r="D94" s="362"/>
      <c r="E94" s="132"/>
      <c r="F94" s="132"/>
      <c r="G94" s="361"/>
      <c r="H94" s="361"/>
      <c r="I94" s="361"/>
      <c r="J94" s="363"/>
      <c r="K94" s="364"/>
      <c r="L94" s="361"/>
      <c r="M94" s="361"/>
      <c r="N94" s="361"/>
      <c r="O94" s="361"/>
      <c r="P94" s="361"/>
      <c r="Q94" s="361"/>
      <c r="R94" s="361"/>
      <c r="S94" s="361"/>
      <c r="T94" s="361"/>
      <c r="U94" s="361"/>
      <c r="V94" s="361"/>
      <c r="W94" s="361"/>
      <c r="X94" s="361"/>
      <c r="Y94" s="131"/>
      <c r="Z94" s="163"/>
      <c r="AA94" s="131"/>
      <c r="AB94" s="131"/>
      <c r="AC94" s="131"/>
      <c r="AD94" s="131"/>
      <c r="AE94" s="131"/>
      <c r="AF94" s="163"/>
      <c r="AG94" s="163"/>
      <c r="AH94" s="163"/>
      <c r="AI94" s="163"/>
      <c r="AJ94" s="163"/>
      <c r="AK94" s="163"/>
      <c r="AL94" s="163"/>
      <c r="AM94" s="130"/>
      <c r="AN94" s="163"/>
    </row>
    <row r="95" ht="18.0" hidden="1" customHeight="1">
      <c r="A95" s="362"/>
      <c r="B95" s="362"/>
      <c r="C95" s="362"/>
      <c r="D95" s="362"/>
      <c r="E95" s="132"/>
      <c r="F95" s="132"/>
      <c r="G95" s="361"/>
      <c r="H95" s="361"/>
      <c r="I95" s="361"/>
      <c r="J95" s="363"/>
      <c r="K95" s="364"/>
      <c r="L95" s="361"/>
      <c r="M95" s="361"/>
      <c r="N95" s="361"/>
      <c r="O95" s="361"/>
      <c r="P95" s="361"/>
      <c r="Q95" s="361"/>
      <c r="R95" s="361"/>
      <c r="S95" s="361"/>
      <c r="T95" s="361"/>
      <c r="U95" s="361"/>
      <c r="V95" s="361"/>
      <c r="W95" s="361"/>
      <c r="X95" s="361"/>
      <c r="Y95" s="131"/>
      <c r="Z95" s="163"/>
      <c r="AA95" s="131"/>
      <c r="AB95" s="131"/>
      <c r="AC95" s="131"/>
      <c r="AD95" s="131"/>
      <c r="AE95" s="131"/>
      <c r="AF95" s="163"/>
      <c r="AG95" s="163"/>
      <c r="AH95" s="163"/>
      <c r="AI95" s="163"/>
      <c r="AJ95" s="163"/>
      <c r="AK95" s="163"/>
      <c r="AL95" s="163"/>
      <c r="AM95" s="130"/>
      <c r="AN95" s="163"/>
    </row>
    <row r="96" ht="18.0" hidden="1" customHeight="1">
      <c r="A96" s="362"/>
      <c r="B96" s="362"/>
      <c r="C96" s="362"/>
      <c r="D96" s="362"/>
      <c r="E96" s="132"/>
      <c r="F96" s="132"/>
      <c r="G96" s="361"/>
      <c r="H96" s="361"/>
      <c r="I96" s="361"/>
      <c r="J96" s="363"/>
      <c r="K96" s="364"/>
      <c r="L96" s="361"/>
      <c r="M96" s="361"/>
      <c r="N96" s="361"/>
      <c r="O96" s="361"/>
      <c r="P96" s="361"/>
      <c r="Q96" s="361"/>
      <c r="R96" s="361"/>
      <c r="S96" s="361"/>
      <c r="T96" s="361"/>
      <c r="U96" s="361"/>
      <c r="V96" s="361"/>
      <c r="W96" s="361"/>
      <c r="X96" s="361"/>
      <c r="Y96" s="131"/>
      <c r="Z96" s="163"/>
      <c r="AA96" s="131"/>
      <c r="AB96" s="131"/>
      <c r="AC96" s="131"/>
      <c r="AD96" s="131"/>
      <c r="AE96" s="131"/>
      <c r="AF96" s="163"/>
      <c r="AG96" s="163"/>
      <c r="AH96" s="163"/>
      <c r="AI96" s="163"/>
      <c r="AJ96" s="163"/>
      <c r="AK96" s="163"/>
      <c r="AL96" s="163"/>
      <c r="AM96" s="130"/>
      <c r="AN96" s="163"/>
    </row>
    <row r="97" ht="18.0" hidden="1" customHeight="1">
      <c r="A97" s="362"/>
      <c r="B97" s="362"/>
      <c r="C97" s="362"/>
      <c r="D97" s="362"/>
      <c r="E97" s="132"/>
      <c r="F97" s="132"/>
      <c r="G97" s="361"/>
      <c r="H97" s="361"/>
      <c r="I97" s="361"/>
      <c r="J97" s="363"/>
      <c r="K97" s="364"/>
      <c r="L97" s="361"/>
      <c r="M97" s="361"/>
      <c r="N97" s="361"/>
      <c r="O97" s="361"/>
      <c r="P97" s="361"/>
      <c r="Q97" s="361"/>
      <c r="R97" s="361"/>
      <c r="S97" s="361"/>
      <c r="T97" s="361"/>
      <c r="U97" s="361"/>
      <c r="V97" s="361"/>
      <c r="W97" s="361"/>
      <c r="X97" s="361"/>
      <c r="Y97" s="131"/>
      <c r="Z97" s="163"/>
      <c r="AA97" s="131"/>
      <c r="AB97" s="131"/>
      <c r="AC97" s="131"/>
      <c r="AD97" s="131"/>
      <c r="AE97" s="131"/>
      <c r="AF97" s="163"/>
      <c r="AG97" s="163"/>
      <c r="AH97" s="163"/>
      <c r="AI97" s="163"/>
      <c r="AJ97" s="163"/>
      <c r="AK97" s="163"/>
      <c r="AL97" s="163"/>
      <c r="AM97" s="130"/>
      <c r="AN97" s="163"/>
    </row>
    <row r="98" ht="18.0" hidden="1" customHeight="1">
      <c r="A98" s="362"/>
      <c r="B98" s="362"/>
      <c r="C98" s="362"/>
      <c r="D98" s="362"/>
      <c r="E98" s="132"/>
      <c r="F98" s="132"/>
      <c r="G98" s="361"/>
      <c r="H98" s="361"/>
      <c r="I98" s="361"/>
      <c r="J98" s="363"/>
      <c r="K98" s="364"/>
      <c r="L98" s="361"/>
      <c r="M98" s="361"/>
      <c r="N98" s="361"/>
      <c r="O98" s="361"/>
      <c r="P98" s="361"/>
      <c r="Q98" s="361"/>
      <c r="R98" s="361"/>
      <c r="S98" s="361"/>
      <c r="T98" s="361"/>
      <c r="U98" s="361"/>
      <c r="V98" s="361"/>
      <c r="W98" s="361"/>
      <c r="X98" s="361"/>
      <c r="Y98" s="131"/>
      <c r="Z98" s="163"/>
      <c r="AA98" s="131"/>
      <c r="AB98" s="131"/>
      <c r="AC98" s="131"/>
      <c r="AD98" s="131"/>
      <c r="AE98" s="131"/>
      <c r="AF98" s="163"/>
      <c r="AG98" s="163"/>
      <c r="AH98" s="163"/>
      <c r="AI98" s="163"/>
      <c r="AJ98" s="163"/>
      <c r="AK98" s="163"/>
      <c r="AL98" s="163"/>
      <c r="AM98" s="130"/>
      <c r="AN98" s="163"/>
    </row>
    <row r="99" ht="18.0" hidden="1" customHeight="1">
      <c r="A99" s="362"/>
      <c r="B99" s="362"/>
      <c r="C99" s="362"/>
      <c r="D99" s="362"/>
      <c r="E99" s="132"/>
      <c r="F99" s="132"/>
      <c r="G99" s="361"/>
      <c r="H99" s="361"/>
      <c r="I99" s="361"/>
      <c r="J99" s="363"/>
      <c r="K99" s="364"/>
      <c r="L99" s="361"/>
      <c r="M99" s="361"/>
      <c r="N99" s="361"/>
      <c r="O99" s="361"/>
      <c r="P99" s="361"/>
      <c r="Q99" s="361"/>
      <c r="R99" s="361"/>
      <c r="S99" s="361"/>
      <c r="T99" s="361"/>
      <c r="U99" s="361"/>
      <c r="V99" s="361"/>
      <c r="W99" s="361"/>
      <c r="X99" s="361"/>
      <c r="Y99" s="131"/>
      <c r="Z99" s="163"/>
      <c r="AA99" s="131"/>
      <c r="AB99" s="131"/>
      <c r="AC99" s="131"/>
      <c r="AD99" s="131"/>
      <c r="AE99" s="131"/>
      <c r="AF99" s="163"/>
      <c r="AG99" s="163"/>
      <c r="AH99" s="163"/>
      <c r="AI99" s="163"/>
      <c r="AJ99" s="163"/>
      <c r="AK99" s="163"/>
      <c r="AL99" s="163"/>
      <c r="AM99" s="130"/>
      <c r="AN99" s="163"/>
    </row>
    <row r="100" ht="18.0" hidden="1" customHeight="1">
      <c r="A100" s="362"/>
      <c r="B100" s="362"/>
      <c r="C100" s="362"/>
      <c r="D100" s="362"/>
      <c r="E100" s="132"/>
      <c r="F100" s="132"/>
      <c r="G100" s="361"/>
      <c r="H100" s="361"/>
      <c r="I100" s="361"/>
      <c r="J100" s="363"/>
      <c r="K100" s="364"/>
      <c r="L100" s="361"/>
      <c r="M100" s="361"/>
      <c r="N100" s="361"/>
      <c r="O100" s="361"/>
      <c r="P100" s="361"/>
      <c r="Q100" s="361"/>
      <c r="R100" s="361"/>
      <c r="S100" s="361"/>
      <c r="T100" s="361"/>
      <c r="U100" s="361"/>
      <c r="V100" s="361"/>
      <c r="W100" s="361"/>
      <c r="X100" s="361"/>
      <c r="Y100" s="131"/>
      <c r="Z100" s="163"/>
      <c r="AA100" s="131"/>
      <c r="AB100" s="131"/>
      <c r="AC100" s="131"/>
      <c r="AD100" s="131"/>
      <c r="AE100" s="131"/>
      <c r="AF100" s="163"/>
      <c r="AG100" s="163"/>
      <c r="AH100" s="163"/>
      <c r="AI100" s="163"/>
      <c r="AJ100" s="163"/>
      <c r="AK100" s="163"/>
      <c r="AL100" s="163"/>
      <c r="AM100" s="130"/>
      <c r="AN100" s="163"/>
    </row>
    <row r="101" ht="18.0" hidden="1" customHeight="1">
      <c r="A101" s="362"/>
      <c r="B101" s="362"/>
      <c r="C101" s="362"/>
      <c r="D101" s="362"/>
      <c r="E101" s="132"/>
      <c r="F101" s="132"/>
      <c r="G101" s="361"/>
      <c r="H101" s="361"/>
      <c r="I101" s="361"/>
      <c r="J101" s="363"/>
      <c r="K101" s="364"/>
      <c r="L101" s="361"/>
      <c r="M101" s="361"/>
      <c r="N101" s="361"/>
      <c r="O101" s="361"/>
      <c r="P101" s="361"/>
      <c r="Q101" s="361"/>
      <c r="R101" s="361"/>
      <c r="S101" s="361"/>
      <c r="T101" s="361"/>
      <c r="U101" s="361"/>
      <c r="V101" s="361"/>
      <c r="W101" s="361"/>
      <c r="X101" s="361"/>
      <c r="Y101" s="131"/>
      <c r="Z101" s="163"/>
      <c r="AA101" s="131"/>
      <c r="AB101" s="131"/>
      <c r="AC101" s="131"/>
      <c r="AD101" s="131"/>
      <c r="AE101" s="131"/>
      <c r="AF101" s="163"/>
      <c r="AG101" s="163"/>
      <c r="AH101" s="163"/>
      <c r="AI101" s="163"/>
      <c r="AJ101" s="163"/>
      <c r="AK101" s="163"/>
      <c r="AL101" s="163"/>
      <c r="AM101" s="130"/>
      <c r="AN101" s="163"/>
    </row>
    <row r="102" ht="18.0" hidden="1" customHeight="1">
      <c r="A102" s="362"/>
      <c r="B102" s="362"/>
      <c r="C102" s="362"/>
      <c r="D102" s="362"/>
      <c r="E102" s="132"/>
      <c r="F102" s="132"/>
      <c r="G102" s="361"/>
      <c r="H102" s="361"/>
      <c r="I102" s="361"/>
      <c r="J102" s="363"/>
      <c r="K102" s="364"/>
      <c r="L102" s="361"/>
      <c r="M102" s="361"/>
      <c r="N102" s="361"/>
      <c r="O102" s="361"/>
      <c r="P102" s="361"/>
      <c r="Q102" s="361"/>
      <c r="R102" s="361"/>
      <c r="S102" s="361"/>
      <c r="T102" s="361"/>
      <c r="U102" s="361"/>
      <c r="V102" s="361"/>
      <c r="W102" s="361"/>
      <c r="X102" s="361"/>
      <c r="Y102" s="131"/>
      <c r="Z102" s="163"/>
      <c r="AA102" s="131"/>
      <c r="AB102" s="131"/>
      <c r="AC102" s="131"/>
      <c r="AD102" s="131"/>
      <c r="AE102" s="131"/>
      <c r="AF102" s="163"/>
      <c r="AG102" s="163"/>
      <c r="AH102" s="163"/>
      <c r="AI102" s="163"/>
      <c r="AJ102" s="163"/>
      <c r="AK102" s="163"/>
      <c r="AL102" s="163"/>
      <c r="AM102" s="130"/>
      <c r="AN102" s="163"/>
    </row>
    <row r="103" ht="18.0" hidden="1" customHeight="1">
      <c r="A103" s="362"/>
      <c r="B103" s="362"/>
      <c r="C103" s="362"/>
      <c r="D103" s="362"/>
      <c r="E103" s="132"/>
      <c r="F103" s="132"/>
      <c r="G103" s="361"/>
      <c r="H103" s="361"/>
      <c r="I103" s="361"/>
      <c r="J103" s="363"/>
      <c r="K103" s="364"/>
      <c r="L103" s="361"/>
      <c r="M103" s="361"/>
      <c r="N103" s="361"/>
      <c r="O103" s="361"/>
      <c r="P103" s="361"/>
      <c r="Q103" s="361"/>
      <c r="R103" s="361"/>
      <c r="S103" s="361"/>
      <c r="T103" s="361"/>
      <c r="U103" s="361"/>
      <c r="V103" s="361"/>
      <c r="W103" s="361"/>
      <c r="X103" s="361"/>
      <c r="Y103" s="131"/>
      <c r="Z103" s="163"/>
      <c r="AA103" s="131"/>
      <c r="AB103" s="131"/>
      <c r="AC103" s="131"/>
      <c r="AD103" s="131"/>
      <c r="AE103" s="131"/>
      <c r="AF103" s="163"/>
      <c r="AG103" s="163"/>
      <c r="AH103" s="163"/>
      <c r="AI103" s="163"/>
      <c r="AJ103" s="163"/>
      <c r="AK103" s="163"/>
      <c r="AL103" s="163"/>
      <c r="AM103" s="130"/>
      <c r="AN103" s="163"/>
    </row>
    <row r="104" ht="18.0" hidden="1" customHeight="1">
      <c r="A104" s="362"/>
      <c r="B104" s="362"/>
      <c r="C104" s="362"/>
      <c r="D104" s="362"/>
      <c r="E104" s="132"/>
      <c r="F104" s="132"/>
      <c r="G104" s="361"/>
      <c r="H104" s="361"/>
      <c r="I104" s="361"/>
      <c r="J104" s="363"/>
      <c r="K104" s="364"/>
      <c r="L104" s="361"/>
      <c r="M104" s="361"/>
      <c r="N104" s="361"/>
      <c r="O104" s="361"/>
      <c r="P104" s="361"/>
      <c r="Q104" s="361"/>
      <c r="R104" s="361"/>
      <c r="S104" s="361"/>
      <c r="T104" s="361"/>
      <c r="U104" s="361"/>
      <c r="V104" s="361"/>
      <c r="W104" s="361"/>
      <c r="X104" s="361"/>
      <c r="Y104" s="131"/>
      <c r="Z104" s="163"/>
      <c r="AA104" s="131"/>
      <c r="AB104" s="131"/>
      <c r="AC104" s="131"/>
      <c r="AD104" s="131"/>
      <c r="AE104" s="131"/>
      <c r="AF104" s="163"/>
      <c r="AG104" s="163"/>
      <c r="AH104" s="163"/>
      <c r="AI104" s="163"/>
      <c r="AJ104" s="163"/>
      <c r="AK104" s="163"/>
      <c r="AL104" s="163"/>
      <c r="AM104" s="130"/>
      <c r="AN104" s="163"/>
    </row>
    <row r="105" ht="18.0" hidden="1" customHeight="1">
      <c r="A105" s="362"/>
      <c r="B105" s="362"/>
      <c r="C105" s="362"/>
      <c r="D105" s="362"/>
      <c r="E105" s="132"/>
      <c r="F105" s="132"/>
      <c r="G105" s="361"/>
      <c r="H105" s="361"/>
      <c r="I105" s="361"/>
      <c r="J105" s="363"/>
      <c r="K105" s="364"/>
      <c r="L105" s="361"/>
      <c r="M105" s="361"/>
      <c r="N105" s="361"/>
      <c r="O105" s="361"/>
      <c r="P105" s="361"/>
      <c r="Q105" s="361"/>
      <c r="R105" s="361"/>
      <c r="S105" s="361"/>
      <c r="T105" s="361"/>
      <c r="U105" s="361"/>
      <c r="V105" s="361"/>
      <c r="W105" s="361"/>
      <c r="X105" s="361"/>
      <c r="Y105" s="131"/>
      <c r="Z105" s="163"/>
      <c r="AA105" s="131"/>
      <c r="AB105" s="131"/>
      <c r="AC105" s="131"/>
      <c r="AD105" s="131"/>
      <c r="AE105" s="131"/>
      <c r="AF105" s="163"/>
      <c r="AG105" s="163"/>
      <c r="AH105" s="163"/>
      <c r="AI105" s="163"/>
      <c r="AJ105" s="163"/>
      <c r="AK105" s="163"/>
      <c r="AL105" s="163"/>
      <c r="AM105" s="130"/>
      <c r="AN105" s="163"/>
    </row>
    <row r="106" ht="18.0" hidden="1" customHeight="1">
      <c r="A106" s="362"/>
      <c r="B106" s="362"/>
      <c r="C106" s="362"/>
      <c r="D106" s="362"/>
      <c r="E106" s="132"/>
      <c r="F106" s="132"/>
      <c r="G106" s="361"/>
      <c r="H106" s="361"/>
      <c r="I106" s="361"/>
      <c r="J106" s="363"/>
      <c r="K106" s="364"/>
      <c r="L106" s="361"/>
      <c r="M106" s="361"/>
      <c r="N106" s="361"/>
      <c r="O106" s="361"/>
      <c r="P106" s="361"/>
      <c r="Q106" s="361"/>
      <c r="R106" s="361"/>
      <c r="S106" s="361"/>
      <c r="T106" s="361"/>
      <c r="U106" s="361"/>
      <c r="V106" s="361"/>
      <c r="W106" s="361"/>
      <c r="X106" s="361"/>
      <c r="Y106" s="131"/>
      <c r="Z106" s="163"/>
      <c r="AA106" s="131"/>
      <c r="AB106" s="131"/>
      <c r="AC106" s="131"/>
      <c r="AD106" s="131"/>
      <c r="AE106" s="131"/>
      <c r="AF106" s="163"/>
      <c r="AG106" s="163"/>
      <c r="AH106" s="163"/>
      <c r="AI106" s="163"/>
      <c r="AJ106" s="163"/>
      <c r="AK106" s="163"/>
      <c r="AL106" s="163"/>
      <c r="AM106" s="130"/>
      <c r="AN106" s="163"/>
    </row>
    <row r="107" ht="18.0" hidden="1" customHeight="1">
      <c r="A107" s="362"/>
      <c r="B107" s="362"/>
      <c r="C107" s="362"/>
      <c r="D107" s="362"/>
      <c r="E107" s="132"/>
      <c r="F107" s="132"/>
      <c r="G107" s="361"/>
      <c r="H107" s="361"/>
      <c r="I107" s="361"/>
      <c r="J107" s="363"/>
      <c r="K107" s="364"/>
      <c r="L107" s="361"/>
      <c r="M107" s="361"/>
      <c r="N107" s="361"/>
      <c r="O107" s="361"/>
      <c r="P107" s="361"/>
      <c r="Q107" s="361"/>
      <c r="R107" s="361"/>
      <c r="S107" s="361"/>
      <c r="T107" s="361"/>
      <c r="U107" s="361"/>
      <c r="V107" s="361"/>
      <c r="W107" s="361"/>
      <c r="X107" s="361"/>
      <c r="Y107" s="131"/>
      <c r="Z107" s="163"/>
      <c r="AA107" s="131"/>
      <c r="AB107" s="131"/>
      <c r="AC107" s="131"/>
      <c r="AD107" s="131"/>
      <c r="AE107" s="131"/>
      <c r="AF107" s="163"/>
      <c r="AG107" s="163"/>
      <c r="AH107" s="163"/>
      <c r="AI107" s="163"/>
      <c r="AJ107" s="163"/>
      <c r="AK107" s="163"/>
      <c r="AL107" s="163"/>
      <c r="AM107" s="130"/>
      <c r="AN107" s="163"/>
    </row>
    <row r="108" ht="18.0" hidden="1" customHeight="1">
      <c r="A108" s="362"/>
      <c r="B108" s="362"/>
      <c r="C108" s="362"/>
      <c r="D108" s="362"/>
      <c r="E108" s="132"/>
      <c r="F108" s="132"/>
      <c r="G108" s="361"/>
      <c r="H108" s="361"/>
      <c r="I108" s="361"/>
      <c r="J108" s="363"/>
      <c r="K108" s="364"/>
      <c r="L108" s="361"/>
      <c r="M108" s="361"/>
      <c r="N108" s="361"/>
      <c r="O108" s="361"/>
      <c r="P108" s="361"/>
      <c r="Q108" s="361"/>
      <c r="R108" s="361"/>
      <c r="S108" s="361"/>
      <c r="T108" s="361"/>
      <c r="U108" s="361"/>
      <c r="V108" s="361"/>
      <c r="W108" s="361"/>
      <c r="X108" s="361"/>
      <c r="Y108" s="131"/>
      <c r="Z108" s="163"/>
      <c r="AA108" s="131"/>
      <c r="AB108" s="131"/>
      <c r="AC108" s="131"/>
      <c r="AD108" s="131"/>
      <c r="AE108" s="131"/>
      <c r="AF108" s="163"/>
      <c r="AG108" s="163"/>
      <c r="AH108" s="163"/>
      <c r="AI108" s="163"/>
      <c r="AJ108" s="163"/>
      <c r="AK108" s="163"/>
      <c r="AL108" s="163"/>
      <c r="AM108" s="130"/>
      <c r="AN108" s="163"/>
    </row>
    <row r="109" ht="18.0" hidden="1" customHeight="1">
      <c r="A109" s="362"/>
      <c r="B109" s="362"/>
      <c r="C109" s="362"/>
      <c r="D109" s="362"/>
      <c r="E109" s="132"/>
      <c r="F109" s="132"/>
      <c r="G109" s="361"/>
      <c r="H109" s="361"/>
      <c r="I109" s="361"/>
      <c r="J109" s="363"/>
      <c r="K109" s="364"/>
      <c r="L109" s="361"/>
      <c r="M109" s="361"/>
      <c r="N109" s="361"/>
      <c r="O109" s="361"/>
      <c r="P109" s="361"/>
      <c r="Q109" s="361"/>
      <c r="R109" s="361"/>
      <c r="S109" s="361"/>
      <c r="T109" s="361"/>
      <c r="U109" s="361"/>
      <c r="V109" s="361"/>
      <c r="W109" s="361"/>
      <c r="X109" s="361"/>
      <c r="Y109" s="131"/>
      <c r="Z109" s="163"/>
      <c r="AA109" s="131"/>
      <c r="AB109" s="131"/>
      <c r="AC109" s="131"/>
      <c r="AD109" s="131"/>
      <c r="AE109" s="131"/>
      <c r="AF109" s="163"/>
      <c r="AG109" s="163"/>
      <c r="AH109" s="163"/>
      <c r="AI109" s="163"/>
      <c r="AJ109" s="163"/>
      <c r="AK109" s="163"/>
      <c r="AL109" s="163"/>
      <c r="AM109" s="130"/>
      <c r="AN109" s="163"/>
    </row>
    <row r="110" ht="18.0" hidden="1" customHeight="1">
      <c r="A110" s="362"/>
      <c r="B110" s="362"/>
      <c r="C110" s="362"/>
      <c r="D110" s="362"/>
      <c r="E110" s="132"/>
      <c r="F110" s="132"/>
      <c r="G110" s="361"/>
      <c r="H110" s="361"/>
      <c r="I110" s="361"/>
      <c r="J110" s="363"/>
      <c r="K110" s="364"/>
      <c r="L110" s="361"/>
      <c r="M110" s="361"/>
      <c r="N110" s="361"/>
      <c r="O110" s="361"/>
      <c r="P110" s="361"/>
      <c r="Q110" s="361"/>
      <c r="R110" s="361"/>
      <c r="S110" s="361"/>
      <c r="T110" s="361"/>
      <c r="U110" s="361"/>
      <c r="V110" s="361"/>
      <c r="W110" s="361"/>
      <c r="X110" s="361"/>
      <c r="Y110" s="131"/>
      <c r="Z110" s="163"/>
      <c r="AA110" s="131"/>
      <c r="AB110" s="131"/>
      <c r="AC110" s="131"/>
      <c r="AD110" s="131"/>
      <c r="AE110" s="131"/>
      <c r="AF110" s="163"/>
      <c r="AG110" s="163"/>
      <c r="AH110" s="163"/>
      <c r="AI110" s="163"/>
      <c r="AJ110" s="163"/>
      <c r="AK110" s="163"/>
      <c r="AL110" s="163"/>
      <c r="AM110" s="130"/>
      <c r="AN110" s="163"/>
    </row>
    <row r="111" ht="18.0" hidden="1" customHeight="1">
      <c r="A111" s="362"/>
      <c r="B111" s="362"/>
      <c r="C111" s="362"/>
      <c r="D111" s="362"/>
      <c r="E111" s="132"/>
      <c r="F111" s="132"/>
      <c r="G111" s="361"/>
      <c r="H111" s="361"/>
      <c r="I111" s="361"/>
      <c r="J111" s="363"/>
      <c r="K111" s="364"/>
      <c r="L111" s="361"/>
      <c r="M111" s="361"/>
      <c r="N111" s="361"/>
      <c r="O111" s="361"/>
      <c r="P111" s="361"/>
      <c r="Q111" s="361"/>
      <c r="R111" s="361"/>
      <c r="S111" s="361"/>
      <c r="T111" s="361"/>
      <c r="U111" s="361"/>
      <c r="V111" s="361"/>
      <c r="W111" s="361"/>
      <c r="X111" s="361"/>
      <c r="Y111" s="131"/>
      <c r="Z111" s="163"/>
      <c r="AA111" s="131"/>
      <c r="AB111" s="131"/>
      <c r="AC111" s="131"/>
      <c r="AD111" s="131"/>
      <c r="AE111" s="131"/>
      <c r="AF111" s="163"/>
      <c r="AG111" s="163"/>
      <c r="AH111" s="163"/>
      <c r="AI111" s="163"/>
      <c r="AJ111" s="163"/>
      <c r="AK111" s="163"/>
      <c r="AL111" s="163"/>
      <c r="AM111" s="130"/>
      <c r="AN111" s="163"/>
    </row>
    <row r="112" ht="18.0" hidden="1" customHeight="1">
      <c r="A112" s="362"/>
      <c r="B112" s="362"/>
      <c r="C112" s="362"/>
      <c r="D112" s="362"/>
      <c r="E112" s="132"/>
      <c r="F112" s="132"/>
      <c r="G112" s="361"/>
      <c r="H112" s="361"/>
      <c r="I112" s="361"/>
      <c r="J112" s="363"/>
      <c r="K112" s="364"/>
      <c r="L112" s="361"/>
      <c r="M112" s="361"/>
      <c r="N112" s="361"/>
      <c r="O112" s="361"/>
      <c r="P112" s="361"/>
      <c r="Q112" s="361"/>
      <c r="R112" s="361"/>
      <c r="S112" s="361"/>
      <c r="T112" s="361"/>
      <c r="U112" s="361"/>
      <c r="V112" s="361"/>
      <c r="W112" s="361"/>
      <c r="X112" s="361"/>
      <c r="Y112" s="131"/>
      <c r="Z112" s="163"/>
      <c r="AA112" s="131"/>
      <c r="AB112" s="131"/>
      <c r="AC112" s="131"/>
      <c r="AD112" s="131"/>
      <c r="AE112" s="131"/>
      <c r="AF112" s="163"/>
      <c r="AG112" s="163"/>
      <c r="AH112" s="163"/>
      <c r="AI112" s="163"/>
      <c r="AJ112" s="163"/>
      <c r="AK112" s="163"/>
      <c r="AL112" s="163"/>
      <c r="AM112" s="130"/>
      <c r="AN112" s="163"/>
    </row>
    <row r="113" ht="18.0" hidden="1" customHeight="1">
      <c r="A113" s="362"/>
      <c r="B113" s="362"/>
      <c r="C113" s="362"/>
      <c r="D113" s="362"/>
      <c r="E113" s="132"/>
      <c r="F113" s="132"/>
      <c r="G113" s="361"/>
      <c r="H113" s="361"/>
      <c r="I113" s="361"/>
      <c r="J113" s="363"/>
      <c r="K113" s="364"/>
      <c r="L113" s="361"/>
      <c r="M113" s="361"/>
      <c r="N113" s="361"/>
      <c r="O113" s="361"/>
      <c r="P113" s="361"/>
      <c r="Q113" s="361"/>
      <c r="R113" s="361"/>
      <c r="S113" s="361"/>
      <c r="T113" s="361"/>
      <c r="U113" s="361"/>
      <c r="V113" s="361"/>
      <c r="W113" s="361"/>
      <c r="X113" s="361"/>
      <c r="Y113" s="131"/>
      <c r="Z113" s="163"/>
      <c r="AA113" s="131"/>
      <c r="AB113" s="131"/>
      <c r="AC113" s="131"/>
      <c r="AD113" s="131"/>
      <c r="AE113" s="131"/>
      <c r="AF113" s="163"/>
      <c r="AG113" s="163"/>
      <c r="AH113" s="163"/>
      <c r="AI113" s="163"/>
      <c r="AJ113" s="163"/>
      <c r="AK113" s="163"/>
      <c r="AL113" s="163"/>
      <c r="AM113" s="130"/>
      <c r="AN113" s="163"/>
    </row>
    <row r="114" ht="18.0" hidden="1" customHeight="1">
      <c r="A114" s="362"/>
      <c r="B114" s="362"/>
      <c r="C114" s="362"/>
      <c r="D114" s="362"/>
      <c r="E114" s="132"/>
      <c r="F114" s="132"/>
      <c r="G114" s="361"/>
      <c r="H114" s="361"/>
      <c r="I114" s="361"/>
      <c r="J114" s="363"/>
      <c r="K114" s="364"/>
      <c r="L114" s="361"/>
      <c r="M114" s="361"/>
      <c r="N114" s="361"/>
      <c r="O114" s="361"/>
      <c r="P114" s="361"/>
      <c r="Q114" s="361"/>
      <c r="R114" s="361"/>
      <c r="S114" s="361"/>
      <c r="T114" s="361"/>
      <c r="U114" s="361"/>
      <c r="V114" s="361"/>
      <c r="W114" s="361"/>
      <c r="X114" s="361"/>
      <c r="Y114" s="131"/>
      <c r="Z114" s="163"/>
      <c r="AA114" s="131"/>
      <c r="AB114" s="131"/>
      <c r="AC114" s="131"/>
      <c r="AD114" s="131"/>
      <c r="AE114" s="131"/>
      <c r="AF114" s="163"/>
      <c r="AG114" s="163"/>
      <c r="AH114" s="163"/>
      <c r="AI114" s="163"/>
      <c r="AJ114" s="163"/>
      <c r="AK114" s="163"/>
      <c r="AL114" s="163"/>
      <c r="AM114" s="130"/>
      <c r="AN114" s="163"/>
    </row>
    <row r="115" ht="18.0" hidden="1" customHeight="1">
      <c r="A115" s="362"/>
      <c r="B115" s="362"/>
      <c r="C115" s="362"/>
      <c r="D115" s="362"/>
      <c r="E115" s="132"/>
      <c r="F115" s="132"/>
      <c r="G115" s="361"/>
      <c r="H115" s="361"/>
      <c r="I115" s="361"/>
      <c r="J115" s="363"/>
      <c r="K115" s="364"/>
      <c r="L115" s="361"/>
      <c r="M115" s="361"/>
      <c r="N115" s="361"/>
      <c r="O115" s="361"/>
      <c r="P115" s="361"/>
      <c r="Q115" s="361"/>
      <c r="R115" s="361"/>
      <c r="S115" s="361"/>
      <c r="T115" s="361"/>
      <c r="U115" s="361"/>
      <c r="V115" s="361"/>
      <c r="W115" s="361"/>
      <c r="X115" s="361"/>
      <c r="Y115" s="131"/>
      <c r="Z115" s="163"/>
      <c r="AA115" s="131"/>
      <c r="AB115" s="131"/>
      <c r="AC115" s="131"/>
      <c r="AD115" s="131"/>
      <c r="AE115" s="131"/>
      <c r="AF115" s="163"/>
      <c r="AG115" s="163"/>
      <c r="AH115" s="163"/>
      <c r="AI115" s="163"/>
      <c r="AJ115" s="163"/>
      <c r="AK115" s="163"/>
      <c r="AL115" s="163"/>
      <c r="AM115" s="130"/>
      <c r="AN115" s="163"/>
    </row>
    <row r="116" ht="18.0" hidden="1" customHeight="1">
      <c r="A116" s="362"/>
      <c r="B116" s="362"/>
      <c r="C116" s="362"/>
      <c r="D116" s="362"/>
      <c r="E116" s="132"/>
      <c r="F116" s="132"/>
      <c r="G116" s="361"/>
      <c r="H116" s="361"/>
      <c r="I116" s="361"/>
      <c r="J116" s="363"/>
      <c r="K116" s="364"/>
      <c r="L116" s="361"/>
      <c r="M116" s="361"/>
      <c r="N116" s="361"/>
      <c r="O116" s="361"/>
      <c r="P116" s="361"/>
      <c r="Q116" s="361"/>
      <c r="R116" s="361"/>
      <c r="S116" s="361"/>
      <c r="T116" s="361"/>
      <c r="U116" s="361"/>
      <c r="V116" s="361"/>
      <c r="W116" s="361"/>
      <c r="X116" s="361"/>
      <c r="Y116" s="131"/>
      <c r="Z116" s="163"/>
      <c r="AA116" s="131"/>
      <c r="AB116" s="131"/>
      <c r="AC116" s="131"/>
      <c r="AD116" s="131"/>
      <c r="AE116" s="131"/>
      <c r="AF116" s="163"/>
      <c r="AG116" s="163"/>
      <c r="AH116" s="163"/>
      <c r="AI116" s="163"/>
      <c r="AJ116" s="163"/>
      <c r="AK116" s="163"/>
      <c r="AL116" s="163"/>
      <c r="AM116" s="130"/>
      <c r="AN116" s="163"/>
    </row>
    <row r="117" ht="18.0" hidden="1" customHeight="1">
      <c r="A117" s="362"/>
      <c r="B117" s="362"/>
      <c r="C117" s="362"/>
      <c r="D117" s="362"/>
      <c r="E117" s="132"/>
      <c r="F117" s="132"/>
      <c r="G117" s="361"/>
      <c r="H117" s="361"/>
      <c r="I117" s="361"/>
      <c r="J117" s="363"/>
      <c r="K117" s="364"/>
      <c r="L117" s="361"/>
      <c r="M117" s="361"/>
      <c r="N117" s="361"/>
      <c r="O117" s="361"/>
      <c r="P117" s="361"/>
      <c r="Q117" s="361"/>
      <c r="R117" s="361"/>
      <c r="S117" s="361"/>
      <c r="T117" s="361"/>
      <c r="U117" s="361"/>
      <c r="V117" s="361"/>
      <c r="W117" s="361"/>
      <c r="X117" s="361"/>
      <c r="Y117" s="131"/>
      <c r="Z117" s="163"/>
      <c r="AA117" s="131"/>
      <c r="AB117" s="131"/>
      <c r="AC117" s="131"/>
      <c r="AD117" s="131"/>
      <c r="AE117" s="131"/>
      <c r="AF117" s="163"/>
      <c r="AG117" s="163"/>
      <c r="AH117" s="163"/>
      <c r="AI117" s="163"/>
      <c r="AJ117" s="163"/>
      <c r="AK117" s="163"/>
      <c r="AL117" s="163"/>
      <c r="AM117" s="130"/>
      <c r="AN117" s="163"/>
    </row>
    <row r="118" ht="18.0" hidden="1" customHeight="1">
      <c r="A118" s="362"/>
      <c r="B118" s="362"/>
      <c r="C118" s="362"/>
      <c r="D118" s="362"/>
      <c r="E118" s="132"/>
      <c r="F118" s="132"/>
      <c r="G118" s="361"/>
      <c r="H118" s="361"/>
      <c r="I118" s="361"/>
      <c r="J118" s="363"/>
      <c r="K118" s="364"/>
      <c r="L118" s="361"/>
      <c r="M118" s="361"/>
      <c r="N118" s="361"/>
      <c r="O118" s="361"/>
      <c r="P118" s="361"/>
      <c r="Q118" s="361"/>
      <c r="R118" s="361"/>
      <c r="S118" s="361"/>
      <c r="T118" s="361"/>
      <c r="U118" s="361"/>
      <c r="V118" s="361"/>
      <c r="W118" s="361"/>
      <c r="X118" s="361"/>
      <c r="Y118" s="131"/>
      <c r="Z118" s="163"/>
      <c r="AA118" s="131"/>
      <c r="AB118" s="131"/>
      <c r="AC118" s="131"/>
      <c r="AD118" s="131"/>
      <c r="AE118" s="131"/>
      <c r="AF118" s="163"/>
      <c r="AG118" s="163"/>
      <c r="AH118" s="163"/>
      <c r="AI118" s="163"/>
      <c r="AJ118" s="163"/>
      <c r="AK118" s="163"/>
      <c r="AL118" s="163"/>
      <c r="AM118" s="130"/>
      <c r="AN118" s="163"/>
    </row>
    <row r="119" ht="18.0" hidden="1" customHeight="1">
      <c r="A119" s="362"/>
      <c r="B119" s="362"/>
      <c r="C119" s="362"/>
      <c r="D119" s="362"/>
      <c r="E119" s="132"/>
      <c r="F119" s="132"/>
      <c r="G119" s="361"/>
      <c r="H119" s="361"/>
      <c r="I119" s="361"/>
      <c r="J119" s="363"/>
      <c r="K119" s="364"/>
      <c r="L119" s="361"/>
      <c r="M119" s="361"/>
      <c r="N119" s="361"/>
      <c r="O119" s="361"/>
      <c r="P119" s="361"/>
      <c r="Q119" s="361"/>
      <c r="R119" s="361"/>
      <c r="S119" s="361"/>
      <c r="T119" s="361"/>
      <c r="U119" s="361"/>
      <c r="V119" s="361"/>
      <c r="W119" s="361"/>
      <c r="X119" s="361"/>
      <c r="Y119" s="131"/>
      <c r="Z119" s="163"/>
      <c r="AA119" s="131"/>
      <c r="AB119" s="131"/>
      <c r="AC119" s="131"/>
      <c r="AD119" s="131"/>
      <c r="AE119" s="131"/>
      <c r="AF119" s="163"/>
      <c r="AG119" s="163"/>
      <c r="AH119" s="163"/>
      <c r="AI119" s="163"/>
      <c r="AJ119" s="163"/>
      <c r="AK119" s="163"/>
      <c r="AL119" s="163"/>
      <c r="AM119" s="130"/>
      <c r="AN119" s="163"/>
    </row>
    <row r="120" ht="18.0" hidden="1" customHeight="1">
      <c r="A120" s="362"/>
      <c r="B120" s="362"/>
      <c r="C120" s="362"/>
      <c r="D120" s="362"/>
      <c r="E120" s="132"/>
      <c r="F120" s="132"/>
      <c r="G120" s="361"/>
      <c r="H120" s="361"/>
      <c r="I120" s="361"/>
      <c r="J120" s="363"/>
      <c r="K120" s="364"/>
      <c r="L120" s="361"/>
      <c r="M120" s="361"/>
      <c r="N120" s="361"/>
      <c r="O120" s="361"/>
      <c r="P120" s="361"/>
      <c r="Q120" s="361"/>
      <c r="R120" s="361"/>
      <c r="S120" s="361"/>
      <c r="T120" s="361"/>
      <c r="U120" s="361"/>
      <c r="V120" s="361"/>
      <c r="W120" s="361"/>
      <c r="X120" s="361"/>
      <c r="Y120" s="131"/>
      <c r="Z120" s="163"/>
      <c r="AA120" s="131"/>
      <c r="AB120" s="131"/>
      <c r="AC120" s="131"/>
      <c r="AD120" s="131"/>
      <c r="AE120" s="131"/>
      <c r="AF120" s="163"/>
      <c r="AG120" s="163"/>
      <c r="AH120" s="163"/>
      <c r="AI120" s="163"/>
      <c r="AJ120" s="163"/>
      <c r="AK120" s="163"/>
      <c r="AL120" s="163"/>
      <c r="AM120" s="130"/>
      <c r="AN120" s="163"/>
    </row>
    <row r="121" ht="18.0" hidden="1" customHeight="1">
      <c r="A121" s="362"/>
      <c r="B121" s="362"/>
      <c r="C121" s="362"/>
      <c r="D121" s="362"/>
      <c r="E121" s="132"/>
      <c r="F121" s="132"/>
      <c r="G121" s="361"/>
      <c r="H121" s="361"/>
      <c r="I121" s="361"/>
      <c r="J121" s="363"/>
      <c r="K121" s="364"/>
      <c r="L121" s="361"/>
      <c r="M121" s="361"/>
      <c r="N121" s="361"/>
      <c r="O121" s="361"/>
      <c r="P121" s="361"/>
      <c r="Q121" s="361"/>
      <c r="R121" s="361"/>
      <c r="S121" s="361"/>
      <c r="T121" s="361"/>
      <c r="U121" s="361"/>
      <c r="V121" s="361"/>
      <c r="W121" s="361"/>
      <c r="X121" s="361"/>
      <c r="Y121" s="131"/>
      <c r="Z121" s="163"/>
      <c r="AA121" s="131"/>
      <c r="AB121" s="131"/>
      <c r="AC121" s="131"/>
      <c r="AD121" s="131"/>
      <c r="AE121" s="131"/>
      <c r="AF121" s="163"/>
      <c r="AG121" s="163"/>
      <c r="AH121" s="163"/>
      <c r="AI121" s="163"/>
      <c r="AJ121" s="163"/>
      <c r="AK121" s="163"/>
      <c r="AL121" s="163"/>
      <c r="AM121" s="130"/>
      <c r="AN121" s="163"/>
    </row>
    <row r="122" ht="18.0" hidden="1" customHeight="1">
      <c r="A122" s="362"/>
      <c r="B122" s="362"/>
      <c r="C122" s="362"/>
      <c r="D122" s="362"/>
      <c r="E122" s="132"/>
      <c r="F122" s="132"/>
      <c r="G122" s="361"/>
      <c r="H122" s="361"/>
      <c r="I122" s="361"/>
      <c r="J122" s="363"/>
      <c r="K122" s="364"/>
      <c r="L122" s="361"/>
      <c r="M122" s="361"/>
      <c r="N122" s="361"/>
      <c r="O122" s="361"/>
      <c r="P122" s="361"/>
      <c r="Q122" s="361"/>
      <c r="R122" s="361"/>
      <c r="S122" s="361"/>
      <c r="T122" s="361"/>
      <c r="U122" s="361"/>
      <c r="V122" s="361"/>
      <c r="W122" s="361"/>
      <c r="X122" s="361"/>
      <c r="Y122" s="131"/>
      <c r="Z122" s="163"/>
      <c r="AA122" s="131"/>
      <c r="AB122" s="131"/>
      <c r="AC122" s="131"/>
      <c r="AD122" s="131"/>
      <c r="AE122" s="131"/>
      <c r="AF122" s="163"/>
      <c r="AG122" s="163"/>
      <c r="AH122" s="163"/>
      <c r="AI122" s="163"/>
      <c r="AJ122" s="163"/>
      <c r="AK122" s="163"/>
      <c r="AL122" s="163"/>
      <c r="AM122" s="130"/>
      <c r="AN122" s="163"/>
    </row>
    <row r="123" ht="18.0" hidden="1" customHeight="1">
      <c r="A123" s="362"/>
      <c r="B123" s="362"/>
      <c r="C123" s="362"/>
      <c r="D123" s="362"/>
      <c r="E123" s="132"/>
      <c r="F123" s="132"/>
      <c r="G123" s="361"/>
      <c r="H123" s="361"/>
      <c r="I123" s="361"/>
      <c r="J123" s="363"/>
      <c r="K123" s="364"/>
      <c r="L123" s="361"/>
      <c r="M123" s="361"/>
      <c r="N123" s="361"/>
      <c r="O123" s="361"/>
      <c r="P123" s="361"/>
      <c r="Q123" s="361"/>
      <c r="R123" s="361"/>
      <c r="S123" s="361"/>
      <c r="T123" s="361"/>
      <c r="U123" s="361"/>
      <c r="V123" s="361"/>
      <c r="W123" s="361"/>
      <c r="X123" s="361"/>
      <c r="Y123" s="131"/>
      <c r="Z123" s="163"/>
      <c r="AA123" s="131"/>
      <c r="AB123" s="131"/>
      <c r="AC123" s="131"/>
      <c r="AD123" s="131"/>
      <c r="AE123" s="131"/>
      <c r="AF123" s="163"/>
      <c r="AG123" s="163"/>
      <c r="AH123" s="163"/>
      <c r="AI123" s="163"/>
      <c r="AJ123" s="163"/>
      <c r="AK123" s="163"/>
      <c r="AL123" s="163"/>
      <c r="AM123" s="130"/>
      <c r="AN123" s="163"/>
    </row>
    <row r="124" ht="18.0" hidden="1" customHeight="1">
      <c r="A124" s="362"/>
      <c r="B124" s="362"/>
      <c r="C124" s="362"/>
      <c r="D124" s="362"/>
      <c r="E124" s="132"/>
      <c r="F124" s="132"/>
      <c r="G124" s="361"/>
      <c r="H124" s="361"/>
      <c r="I124" s="361"/>
      <c r="J124" s="363"/>
      <c r="K124" s="364"/>
      <c r="L124" s="361"/>
      <c r="M124" s="361"/>
      <c r="N124" s="361"/>
      <c r="O124" s="361"/>
      <c r="P124" s="361"/>
      <c r="Q124" s="361"/>
      <c r="R124" s="361"/>
      <c r="S124" s="361"/>
      <c r="T124" s="361"/>
      <c r="U124" s="361"/>
      <c r="V124" s="361"/>
      <c r="W124" s="361"/>
      <c r="X124" s="361"/>
      <c r="Y124" s="131"/>
      <c r="Z124" s="163"/>
      <c r="AA124" s="131"/>
      <c r="AB124" s="131"/>
      <c r="AC124" s="131"/>
      <c r="AD124" s="131"/>
      <c r="AE124" s="131"/>
      <c r="AF124" s="163"/>
      <c r="AG124" s="163"/>
      <c r="AH124" s="163"/>
      <c r="AI124" s="163"/>
      <c r="AJ124" s="163"/>
      <c r="AK124" s="163"/>
      <c r="AL124" s="163"/>
      <c r="AM124" s="130"/>
      <c r="AN124" s="163"/>
    </row>
    <row r="125" ht="18.0" hidden="1" customHeight="1">
      <c r="A125" s="362"/>
      <c r="B125" s="362"/>
      <c r="C125" s="362"/>
      <c r="D125" s="362"/>
      <c r="E125" s="132"/>
      <c r="F125" s="132"/>
      <c r="G125" s="361"/>
      <c r="H125" s="361"/>
      <c r="I125" s="361"/>
      <c r="J125" s="363"/>
      <c r="K125" s="364"/>
      <c r="L125" s="361"/>
      <c r="M125" s="361"/>
      <c r="N125" s="361"/>
      <c r="O125" s="361"/>
      <c r="P125" s="361"/>
      <c r="Q125" s="361"/>
      <c r="R125" s="361"/>
      <c r="S125" s="361"/>
      <c r="T125" s="361"/>
      <c r="U125" s="361"/>
      <c r="V125" s="361"/>
      <c r="W125" s="361"/>
      <c r="X125" s="361"/>
      <c r="Y125" s="131"/>
      <c r="Z125" s="163"/>
      <c r="AA125" s="131"/>
      <c r="AB125" s="131"/>
      <c r="AC125" s="131"/>
      <c r="AD125" s="131"/>
      <c r="AE125" s="131"/>
      <c r="AF125" s="163"/>
      <c r="AG125" s="163"/>
      <c r="AH125" s="163"/>
      <c r="AI125" s="163"/>
      <c r="AJ125" s="163"/>
      <c r="AK125" s="163"/>
      <c r="AL125" s="163"/>
      <c r="AM125" s="130"/>
      <c r="AN125" s="163"/>
    </row>
    <row r="126" ht="18.0" hidden="1" customHeight="1">
      <c r="A126" s="362"/>
      <c r="B126" s="362"/>
      <c r="C126" s="362"/>
      <c r="D126" s="362"/>
      <c r="E126" s="132"/>
      <c r="F126" s="132"/>
      <c r="G126" s="361"/>
      <c r="H126" s="361"/>
      <c r="I126" s="361"/>
      <c r="J126" s="363"/>
      <c r="K126" s="364"/>
      <c r="L126" s="361"/>
      <c r="M126" s="361"/>
      <c r="N126" s="361"/>
      <c r="O126" s="361"/>
      <c r="P126" s="361"/>
      <c r="Q126" s="361"/>
      <c r="R126" s="361"/>
      <c r="S126" s="361"/>
      <c r="T126" s="361"/>
      <c r="U126" s="361"/>
      <c r="V126" s="361"/>
      <c r="W126" s="361"/>
      <c r="X126" s="361"/>
      <c r="Y126" s="131"/>
      <c r="Z126" s="163"/>
      <c r="AA126" s="131"/>
      <c r="AB126" s="131"/>
      <c r="AC126" s="131"/>
      <c r="AD126" s="131"/>
      <c r="AE126" s="131"/>
      <c r="AF126" s="163"/>
      <c r="AG126" s="163"/>
      <c r="AH126" s="163"/>
      <c r="AI126" s="163"/>
      <c r="AJ126" s="163"/>
      <c r="AK126" s="163"/>
      <c r="AL126" s="163"/>
      <c r="AM126" s="130"/>
      <c r="AN126" s="163"/>
    </row>
    <row r="127" ht="18.0" hidden="1" customHeight="1">
      <c r="A127" s="362"/>
      <c r="B127" s="362"/>
      <c r="C127" s="362"/>
      <c r="D127" s="362"/>
      <c r="E127" s="132"/>
      <c r="F127" s="132"/>
      <c r="G127" s="361"/>
      <c r="H127" s="361"/>
      <c r="I127" s="361"/>
      <c r="J127" s="363"/>
      <c r="K127" s="364"/>
      <c r="L127" s="361"/>
      <c r="M127" s="361"/>
      <c r="N127" s="361"/>
      <c r="O127" s="361"/>
      <c r="P127" s="361"/>
      <c r="Q127" s="361"/>
      <c r="R127" s="361"/>
      <c r="S127" s="361"/>
      <c r="T127" s="361"/>
      <c r="U127" s="361"/>
      <c r="V127" s="361"/>
      <c r="W127" s="361"/>
      <c r="X127" s="361"/>
      <c r="Y127" s="131"/>
      <c r="Z127" s="163"/>
      <c r="AA127" s="131"/>
      <c r="AB127" s="131"/>
      <c r="AC127" s="131"/>
      <c r="AD127" s="131"/>
      <c r="AE127" s="131"/>
      <c r="AF127" s="163"/>
      <c r="AG127" s="163"/>
      <c r="AH127" s="163"/>
      <c r="AI127" s="163"/>
      <c r="AJ127" s="163"/>
      <c r="AK127" s="163"/>
      <c r="AL127" s="163"/>
      <c r="AM127" s="130"/>
      <c r="AN127" s="163"/>
    </row>
    <row r="128" ht="18.0" hidden="1" customHeight="1">
      <c r="A128" s="362"/>
      <c r="B128" s="362"/>
      <c r="C128" s="362"/>
      <c r="D128" s="362"/>
      <c r="E128" s="132"/>
      <c r="F128" s="132"/>
      <c r="G128" s="361"/>
      <c r="H128" s="361"/>
      <c r="I128" s="361"/>
      <c r="J128" s="363"/>
      <c r="K128" s="364"/>
      <c r="L128" s="361"/>
      <c r="M128" s="361"/>
      <c r="N128" s="361"/>
      <c r="O128" s="361"/>
      <c r="P128" s="361"/>
      <c r="Q128" s="361"/>
      <c r="R128" s="361"/>
      <c r="S128" s="361"/>
      <c r="T128" s="361"/>
      <c r="U128" s="361"/>
      <c r="V128" s="361"/>
      <c r="W128" s="361"/>
      <c r="X128" s="361"/>
      <c r="Y128" s="131"/>
      <c r="Z128" s="163"/>
      <c r="AA128" s="131"/>
      <c r="AB128" s="131"/>
      <c r="AC128" s="131"/>
      <c r="AD128" s="131"/>
      <c r="AE128" s="131"/>
      <c r="AF128" s="163"/>
      <c r="AG128" s="163"/>
      <c r="AH128" s="163"/>
      <c r="AI128" s="163"/>
      <c r="AJ128" s="163"/>
      <c r="AK128" s="163"/>
      <c r="AL128" s="163"/>
      <c r="AM128" s="130"/>
      <c r="AN128" s="163"/>
    </row>
    <row r="129" ht="18.0" hidden="1" customHeight="1">
      <c r="A129" s="362"/>
      <c r="B129" s="362"/>
      <c r="C129" s="362"/>
      <c r="D129" s="362"/>
      <c r="E129" s="132"/>
      <c r="F129" s="132"/>
      <c r="G129" s="361"/>
      <c r="H129" s="361"/>
      <c r="I129" s="361"/>
      <c r="J129" s="363"/>
      <c r="K129" s="364"/>
      <c r="L129" s="361"/>
      <c r="M129" s="361"/>
      <c r="N129" s="361"/>
      <c r="O129" s="361"/>
      <c r="P129" s="361"/>
      <c r="Q129" s="361"/>
      <c r="R129" s="361"/>
      <c r="S129" s="361"/>
      <c r="T129" s="361"/>
      <c r="U129" s="361"/>
      <c r="V129" s="361"/>
      <c r="W129" s="361"/>
      <c r="X129" s="361"/>
      <c r="Y129" s="131"/>
      <c r="Z129" s="163"/>
      <c r="AA129" s="131"/>
      <c r="AB129" s="131"/>
      <c r="AC129" s="131"/>
      <c r="AD129" s="131"/>
      <c r="AE129" s="131"/>
      <c r="AF129" s="163"/>
      <c r="AG129" s="163"/>
      <c r="AH129" s="163"/>
      <c r="AI129" s="163"/>
      <c r="AJ129" s="163"/>
      <c r="AK129" s="163"/>
      <c r="AL129" s="163"/>
      <c r="AM129" s="130"/>
      <c r="AN129" s="163"/>
    </row>
    <row r="130" ht="18.0" hidden="1" customHeight="1">
      <c r="A130" s="362"/>
      <c r="B130" s="362"/>
      <c r="C130" s="362"/>
      <c r="D130" s="362"/>
      <c r="E130" s="132"/>
      <c r="F130" s="132"/>
      <c r="G130" s="361"/>
      <c r="H130" s="361"/>
      <c r="I130" s="361"/>
      <c r="J130" s="363"/>
      <c r="K130" s="364"/>
      <c r="L130" s="361"/>
      <c r="M130" s="361"/>
      <c r="N130" s="361"/>
      <c r="O130" s="361"/>
      <c r="P130" s="361"/>
      <c r="Q130" s="361"/>
      <c r="R130" s="361"/>
      <c r="S130" s="361"/>
      <c r="T130" s="361"/>
      <c r="U130" s="361"/>
      <c r="V130" s="361"/>
      <c r="W130" s="361"/>
      <c r="X130" s="361"/>
      <c r="Y130" s="131"/>
      <c r="Z130" s="163"/>
      <c r="AA130" s="131"/>
      <c r="AB130" s="131"/>
      <c r="AC130" s="131"/>
      <c r="AD130" s="131"/>
      <c r="AE130" s="131"/>
      <c r="AF130" s="163"/>
      <c r="AG130" s="163"/>
      <c r="AH130" s="163"/>
      <c r="AI130" s="163"/>
      <c r="AJ130" s="163"/>
      <c r="AK130" s="163"/>
      <c r="AL130" s="163"/>
      <c r="AM130" s="130"/>
      <c r="AN130" s="163"/>
    </row>
    <row r="131" ht="18.0" hidden="1" customHeight="1">
      <c r="A131" s="362"/>
      <c r="B131" s="362"/>
      <c r="C131" s="362"/>
      <c r="D131" s="362"/>
      <c r="E131" s="132"/>
      <c r="F131" s="132"/>
      <c r="G131" s="361"/>
      <c r="H131" s="361"/>
      <c r="I131" s="361"/>
      <c r="J131" s="363"/>
      <c r="K131" s="364"/>
      <c r="L131" s="361"/>
      <c r="M131" s="361"/>
      <c r="N131" s="361"/>
      <c r="O131" s="361"/>
      <c r="P131" s="361"/>
      <c r="Q131" s="361"/>
      <c r="R131" s="361"/>
      <c r="S131" s="361"/>
      <c r="T131" s="361"/>
      <c r="U131" s="361"/>
      <c r="V131" s="361"/>
      <c r="W131" s="361"/>
      <c r="X131" s="361"/>
      <c r="Y131" s="131"/>
      <c r="Z131" s="163"/>
      <c r="AA131" s="131"/>
      <c r="AB131" s="131"/>
      <c r="AC131" s="131"/>
      <c r="AD131" s="131"/>
      <c r="AE131" s="131"/>
      <c r="AF131" s="163"/>
      <c r="AG131" s="163"/>
      <c r="AH131" s="163"/>
      <c r="AI131" s="163"/>
      <c r="AJ131" s="163"/>
      <c r="AK131" s="163"/>
      <c r="AL131" s="163"/>
      <c r="AM131" s="130"/>
      <c r="AN131" s="163"/>
    </row>
    <row r="132" ht="18.0" hidden="1" customHeight="1">
      <c r="A132" s="362"/>
      <c r="B132" s="362"/>
      <c r="C132" s="362"/>
      <c r="D132" s="362"/>
      <c r="E132" s="132"/>
      <c r="F132" s="132"/>
      <c r="G132" s="361"/>
      <c r="H132" s="361"/>
      <c r="I132" s="361"/>
      <c r="J132" s="363"/>
      <c r="K132" s="364"/>
      <c r="L132" s="361"/>
      <c r="M132" s="361"/>
      <c r="N132" s="361"/>
      <c r="O132" s="361"/>
      <c r="P132" s="361"/>
      <c r="Q132" s="361"/>
      <c r="R132" s="361"/>
      <c r="S132" s="361"/>
      <c r="T132" s="361"/>
      <c r="U132" s="361"/>
      <c r="V132" s="361"/>
      <c r="W132" s="361"/>
      <c r="X132" s="361"/>
      <c r="Y132" s="131"/>
      <c r="Z132" s="163"/>
      <c r="AA132" s="131"/>
      <c r="AB132" s="131"/>
      <c r="AC132" s="131"/>
      <c r="AD132" s="131"/>
      <c r="AE132" s="131"/>
      <c r="AF132" s="163"/>
      <c r="AG132" s="163"/>
      <c r="AH132" s="163"/>
      <c r="AI132" s="163"/>
      <c r="AJ132" s="163"/>
      <c r="AK132" s="163"/>
      <c r="AL132" s="163"/>
      <c r="AM132" s="130"/>
      <c r="AN132" s="163"/>
    </row>
    <row r="133" ht="18.0" hidden="1" customHeight="1">
      <c r="A133" s="362"/>
      <c r="B133" s="362"/>
      <c r="C133" s="362"/>
      <c r="D133" s="362"/>
      <c r="E133" s="132"/>
      <c r="F133" s="132"/>
      <c r="G133" s="361"/>
      <c r="H133" s="361"/>
      <c r="I133" s="361"/>
      <c r="J133" s="363"/>
      <c r="K133" s="364"/>
      <c r="L133" s="361"/>
      <c r="M133" s="361"/>
      <c r="N133" s="361"/>
      <c r="O133" s="361"/>
      <c r="P133" s="361"/>
      <c r="Q133" s="361"/>
      <c r="R133" s="361"/>
      <c r="S133" s="361"/>
      <c r="T133" s="361"/>
      <c r="U133" s="361"/>
      <c r="V133" s="361"/>
      <c r="W133" s="361"/>
      <c r="X133" s="361"/>
      <c r="Y133" s="131"/>
      <c r="Z133" s="163"/>
      <c r="AA133" s="131"/>
      <c r="AB133" s="131"/>
      <c r="AC133" s="131"/>
      <c r="AD133" s="131"/>
      <c r="AE133" s="131"/>
      <c r="AF133" s="163"/>
      <c r="AG133" s="163"/>
      <c r="AH133" s="163"/>
      <c r="AI133" s="163"/>
      <c r="AJ133" s="163"/>
      <c r="AK133" s="163"/>
      <c r="AL133" s="163"/>
      <c r="AM133" s="130"/>
      <c r="AN133" s="163"/>
    </row>
    <row r="134" ht="18.0" hidden="1" customHeight="1">
      <c r="A134" s="362"/>
      <c r="B134" s="362"/>
      <c r="C134" s="362"/>
      <c r="D134" s="362"/>
      <c r="E134" s="132"/>
      <c r="F134" s="132"/>
      <c r="G134" s="361"/>
      <c r="H134" s="361"/>
      <c r="I134" s="361"/>
      <c r="J134" s="363"/>
      <c r="K134" s="364"/>
      <c r="L134" s="361"/>
      <c r="M134" s="361"/>
      <c r="N134" s="361"/>
      <c r="O134" s="361"/>
      <c r="P134" s="361"/>
      <c r="Q134" s="361"/>
      <c r="R134" s="361"/>
      <c r="S134" s="361"/>
      <c r="T134" s="361"/>
      <c r="U134" s="361"/>
      <c r="V134" s="361"/>
      <c r="W134" s="361"/>
      <c r="X134" s="361"/>
      <c r="Y134" s="131"/>
      <c r="Z134" s="163"/>
      <c r="AA134" s="131"/>
      <c r="AB134" s="131"/>
      <c r="AC134" s="131"/>
      <c r="AD134" s="131"/>
      <c r="AE134" s="131"/>
      <c r="AF134" s="163"/>
      <c r="AG134" s="163"/>
      <c r="AH134" s="163"/>
      <c r="AI134" s="163"/>
      <c r="AJ134" s="163"/>
      <c r="AK134" s="163"/>
      <c r="AL134" s="163"/>
      <c r="AM134" s="130"/>
      <c r="AN134" s="163"/>
    </row>
    <row r="135" ht="18.0" hidden="1" customHeight="1">
      <c r="A135" s="362"/>
      <c r="B135" s="362"/>
      <c r="C135" s="362"/>
      <c r="D135" s="362"/>
      <c r="E135" s="132"/>
      <c r="F135" s="132"/>
      <c r="G135" s="361"/>
      <c r="H135" s="361"/>
      <c r="I135" s="361"/>
      <c r="J135" s="363"/>
      <c r="K135" s="364"/>
      <c r="L135" s="361"/>
      <c r="M135" s="361"/>
      <c r="N135" s="361"/>
      <c r="O135" s="361"/>
      <c r="P135" s="361"/>
      <c r="Q135" s="361"/>
      <c r="R135" s="361"/>
      <c r="S135" s="361"/>
      <c r="T135" s="361"/>
      <c r="U135" s="361"/>
      <c r="V135" s="361"/>
      <c r="W135" s="361"/>
      <c r="X135" s="361"/>
      <c r="Y135" s="131"/>
      <c r="Z135" s="163"/>
      <c r="AA135" s="131"/>
      <c r="AB135" s="131"/>
      <c r="AC135" s="131"/>
      <c r="AD135" s="131"/>
      <c r="AE135" s="131"/>
      <c r="AF135" s="163"/>
      <c r="AG135" s="163"/>
      <c r="AH135" s="163"/>
      <c r="AI135" s="163"/>
      <c r="AJ135" s="163"/>
      <c r="AK135" s="163"/>
      <c r="AL135" s="163"/>
      <c r="AM135" s="130"/>
      <c r="AN135" s="163"/>
    </row>
    <row r="136" ht="15.75" hidden="1" customHeight="1">
      <c r="A136" s="362"/>
      <c r="B136" s="362"/>
      <c r="C136" s="362"/>
      <c r="D136" s="362"/>
      <c r="E136" s="132"/>
      <c r="F136" s="132"/>
      <c r="G136" s="361"/>
      <c r="H136" s="361"/>
      <c r="I136" s="361"/>
      <c r="J136" s="363"/>
      <c r="K136" s="364"/>
      <c r="L136" s="361"/>
      <c r="M136" s="361"/>
      <c r="N136" s="361"/>
      <c r="O136" s="361"/>
      <c r="P136" s="361"/>
      <c r="Q136" s="361"/>
      <c r="R136" s="361"/>
      <c r="S136" s="361"/>
      <c r="T136" s="361"/>
      <c r="U136" s="361"/>
      <c r="V136" s="361"/>
      <c r="W136" s="361"/>
      <c r="X136" s="361"/>
      <c r="Y136" s="131"/>
      <c r="Z136" s="163"/>
      <c r="AA136" s="131"/>
      <c r="AB136" s="131"/>
      <c r="AC136" s="131"/>
      <c r="AD136" s="131"/>
      <c r="AE136" s="131"/>
      <c r="AF136" s="163"/>
      <c r="AG136" s="163"/>
      <c r="AH136" s="163"/>
      <c r="AI136" s="163"/>
      <c r="AJ136" s="163"/>
      <c r="AK136" s="163"/>
      <c r="AL136" s="163"/>
      <c r="AM136" s="130"/>
      <c r="AN136" s="163"/>
    </row>
    <row r="137" ht="15.75" hidden="1" customHeight="1">
      <c r="A137" s="362"/>
      <c r="B137" s="362"/>
      <c r="C137" s="362"/>
      <c r="D137" s="362"/>
      <c r="E137" s="132"/>
      <c r="F137" s="132"/>
      <c r="G137" s="361"/>
      <c r="H137" s="361"/>
      <c r="I137" s="361"/>
      <c r="J137" s="363"/>
      <c r="K137" s="364"/>
      <c r="L137" s="361"/>
      <c r="M137" s="361"/>
      <c r="N137" s="361"/>
      <c r="O137" s="361"/>
      <c r="P137" s="361"/>
      <c r="Q137" s="361"/>
      <c r="R137" s="361"/>
      <c r="S137" s="361"/>
      <c r="T137" s="361"/>
      <c r="U137" s="361"/>
      <c r="V137" s="361"/>
      <c r="W137" s="361"/>
      <c r="X137" s="361"/>
      <c r="Y137" s="131"/>
      <c r="Z137" s="163"/>
      <c r="AA137" s="131"/>
      <c r="AB137" s="131"/>
      <c r="AC137" s="131"/>
      <c r="AD137" s="131"/>
      <c r="AE137" s="131"/>
      <c r="AF137" s="163"/>
      <c r="AG137" s="163"/>
      <c r="AH137" s="163"/>
      <c r="AI137" s="163"/>
      <c r="AJ137" s="163"/>
      <c r="AK137" s="163"/>
      <c r="AL137" s="163"/>
      <c r="AM137" s="130"/>
      <c r="AN137" s="163"/>
    </row>
    <row r="138" ht="18.0" hidden="1" customHeight="1">
      <c r="A138" s="362"/>
      <c r="B138" s="362"/>
      <c r="C138" s="362"/>
      <c r="D138" s="362"/>
      <c r="E138" s="132"/>
      <c r="F138" s="132"/>
      <c r="G138" s="361"/>
      <c r="H138" s="361"/>
      <c r="I138" s="361"/>
      <c r="J138" s="363"/>
      <c r="K138" s="364"/>
      <c r="L138" s="361"/>
      <c r="M138" s="361"/>
      <c r="N138" s="361"/>
      <c r="O138" s="361"/>
      <c r="P138" s="361"/>
      <c r="Q138" s="361"/>
      <c r="R138" s="361"/>
      <c r="S138" s="361"/>
      <c r="T138" s="361"/>
      <c r="U138" s="361"/>
      <c r="V138" s="361"/>
      <c r="W138" s="361"/>
      <c r="X138" s="361"/>
      <c r="Y138" s="131"/>
      <c r="Z138" s="163"/>
      <c r="AA138" s="131"/>
      <c r="AB138" s="131"/>
      <c r="AC138" s="131"/>
      <c r="AD138" s="131"/>
      <c r="AE138" s="131"/>
      <c r="AF138" s="163"/>
      <c r="AG138" s="163"/>
      <c r="AH138" s="163"/>
      <c r="AI138" s="163"/>
      <c r="AJ138" s="163"/>
      <c r="AK138" s="163"/>
      <c r="AL138" s="163"/>
      <c r="AM138" s="130"/>
      <c r="AN138" s="163"/>
    </row>
    <row r="139" ht="18.0" hidden="1" customHeight="1">
      <c r="A139" s="362"/>
      <c r="B139" s="362"/>
      <c r="C139" s="362"/>
      <c r="D139" s="362"/>
      <c r="E139" s="132"/>
      <c r="F139" s="132"/>
      <c r="G139" s="361"/>
      <c r="H139" s="361"/>
      <c r="I139" s="361"/>
      <c r="J139" s="363"/>
      <c r="K139" s="364"/>
      <c r="L139" s="361"/>
      <c r="M139" s="361"/>
      <c r="N139" s="361"/>
      <c r="O139" s="361"/>
      <c r="P139" s="361"/>
      <c r="Q139" s="361"/>
      <c r="R139" s="361"/>
      <c r="S139" s="361"/>
      <c r="T139" s="361"/>
      <c r="U139" s="361"/>
      <c r="V139" s="361"/>
      <c r="W139" s="361"/>
      <c r="X139" s="361"/>
      <c r="Y139" s="131"/>
      <c r="Z139" s="163"/>
      <c r="AA139" s="131"/>
      <c r="AB139" s="131"/>
      <c r="AC139" s="131"/>
      <c r="AD139" s="131"/>
      <c r="AE139" s="131"/>
      <c r="AF139" s="163"/>
      <c r="AG139" s="163"/>
      <c r="AH139" s="163"/>
      <c r="AI139" s="163"/>
      <c r="AJ139" s="163"/>
      <c r="AK139" s="163"/>
      <c r="AL139" s="163"/>
      <c r="AM139" s="130"/>
      <c r="AN139" s="163"/>
    </row>
    <row r="140" ht="18.0" hidden="1" customHeight="1">
      <c r="A140" s="362"/>
      <c r="B140" s="362"/>
      <c r="C140" s="362"/>
      <c r="D140" s="362"/>
      <c r="E140" s="132"/>
      <c r="F140" s="132"/>
      <c r="G140" s="361"/>
      <c r="H140" s="361"/>
      <c r="I140" s="361"/>
      <c r="J140" s="363"/>
      <c r="K140" s="364"/>
      <c r="L140" s="361"/>
      <c r="M140" s="361"/>
      <c r="N140" s="361"/>
      <c r="O140" s="361"/>
      <c r="P140" s="361"/>
      <c r="Q140" s="361"/>
      <c r="R140" s="361"/>
      <c r="S140" s="361"/>
      <c r="T140" s="361"/>
      <c r="U140" s="361"/>
      <c r="V140" s="361"/>
      <c r="W140" s="361"/>
      <c r="X140" s="361"/>
      <c r="Y140" s="131"/>
      <c r="Z140" s="163"/>
      <c r="AA140" s="131"/>
      <c r="AB140" s="131"/>
      <c r="AC140" s="131"/>
      <c r="AD140" s="131"/>
      <c r="AE140" s="131"/>
      <c r="AF140" s="163"/>
      <c r="AG140" s="163"/>
      <c r="AH140" s="163"/>
      <c r="AI140" s="163"/>
      <c r="AJ140" s="163"/>
      <c r="AK140" s="163"/>
      <c r="AL140" s="163"/>
      <c r="AM140" s="130"/>
      <c r="AN140" s="163"/>
    </row>
    <row r="141" ht="18.0" hidden="1" customHeight="1">
      <c r="A141" s="362"/>
      <c r="B141" s="362"/>
      <c r="C141" s="362"/>
      <c r="D141" s="362"/>
      <c r="E141" s="132"/>
      <c r="F141" s="132"/>
      <c r="G141" s="361"/>
      <c r="H141" s="361"/>
      <c r="I141" s="361"/>
      <c r="J141" s="363"/>
      <c r="K141" s="364"/>
      <c r="L141" s="361"/>
      <c r="M141" s="361"/>
      <c r="N141" s="361"/>
      <c r="O141" s="361"/>
      <c r="P141" s="361"/>
      <c r="Q141" s="361"/>
      <c r="R141" s="361"/>
      <c r="S141" s="361"/>
      <c r="T141" s="361"/>
      <c r="U141" s="361"/>
      <c r="V141" s="361"/>
      <c r="W141" s="361"/>
      <c r="X141" s="361"/>
      <c r="Y141" s="131"/>
      <c r="Z141" s="163"/>
      <c r="AA141" s="131"/>
      <c r="AB141" s="131"/>
      <c r="AC141" s="131"/>
      <c r="AD141" s="131"/>
      <c r="AE141" s="131"/>
      <c r="AF141" s="163"/>
      <c r="AG141" s="163"/>
      <c r="AH141" s="163"/>
      <c r="AI141" s="163"/>
      <c r="AJ141" s="163"/>
      <c r="AK141" s="163"/>
      <c r="AL141" s="163"/>
      <c r="AM141" s="130"/>
      <c r="AN141" s="163"/>
    </row>
    <row r="142" ht="18.0" hidden="1" customHeight="1">
      <c r="A142" s="362"/>
      <c r="B142" s="362"/>
      <c r="C142" s="362"/>
      <c r="D142" s="362"/>
      <c r="E142" s="132"/>
      <c r="F142" s="132"/>
      <c r="G142" s="361"/>
      <c r="H142" s="361"/>
      <c r="I142" s="361"/>
      <c r="J142" s="363"/>
      <c r="K142" s="364"/>
      <c r="L142" s="361"/>
      <c r="M142" s="361"/>
      <c r="N142" s="361"/>
      <c r="O142" s="361"/>
      <c r="P142" s="361"/>
      <c r="Q142" s="361"/>
      <c r="R142" s="361"/>
      <c r="S142" s="361"/>
      <c r="T142" s="361"/>
      <c r="U142" s="361"/>
      <c r="V142" s="361"/>
      <c r="W142" s="361"/>
      <c r="X142" s="361"/>
      <c r="Y142" s="131"/>
      <c r="Z142" s="163"/>
      <c r="AA142" s="131"/>
      <c r="AB142" s="131"/>
      <c r="AC142" s="131"/>
      <c r="AD142" s="131"/>
      <c r="AE142" s="131"/>
      <c r="AF142" s="163"/>
      <c r="AG142" s="163"/>
      <c r="AH142" s="163"/>
      <c r="AI142" s="163"/>
      <c r="AJ142" s="163"/>
      <c r="AK142" s="163"/>
      <c r="AL142" s="163"/>
      <c r="AM142" s="130"/>
      <c r="AN142" s="163"/>
    </row>
    <row r="143" ht="18.0" hidden="1" customHeight="1">
      <c r="A143" s="362"/>
      <c r="B143" s="362"/>
      <c r="C143" s="362"/>
      <c r="D143" s="362"/>
      <c r="E143" s="132"/>
      <c r="F143" s="132"/>
      <c r="G143" s="361"/>
      <c r="H143" s="361"/>
      <c r="I143" s="361"/>
      <c r="J143" s="363"/>
      <c r="K143" s="364"/>
      <c r="L143" s="361"/>
      <c r="M143" s="361"/>
      <c r="N143" s="361"/>
      <c r="O143" s="361"/>
      <c r="P143" s="361"/>
      <c r="Q143" s="361"/>
      <c r="R143" s="361"/>
      <c r="S143" s="361"/>
      <c r="T143" s="361"/>
      <c r="U143" s="361"/>
      <c r="V143" s="361"/>
      <c r="W143" s="361"/>
      <c r="X143" s="361"/>
      <c r="Y143" s="131"/>
      <c r="Z143" s="163"/>
      <c r="AA143" s="131"/>
      <c r="AB143" s="131"/>
      <c r="AC143" s="131"/>
      <c r="AD143" s="131"/>
      <c r="AE143" s="131"/>
      <c r="AF143" s="163"/>
      <c r="AG143" s="163"/>
      <c r="AH143" s="163"/>
      <c r="AI143" s="163"/>
      <c r="AJ143" s="163"/>
      <c r="AK143" s="163"/>
      <c r="AL143" s="163"/>
      <c r="AM143" s="130"/>
      <c r="AN143" s="163"/>
    </row>
    <row r="144" ht="18.0" hidden="1" customHeight="1">
      <c r="A144" s="362"/>
      <c r="B144" s="362"/>
      <c r="C144" s="362"/>
      <c r="D144" s="362"/>
      <c r="E144" s="132"/>
      <c r="F144" s="132"/>
      <c r="G144" s="361"/>
      <c r="H144" s="361"/>
      <c r="I144" s="361"/>
      <c r="J144" s="363"/>
      <c r="K144" s="364"/>
      <c r="L144" s="361"/>
      <c r="M144" s="361"/>
      <c r="N144" s="361"/>
      <c r="O144" s="361"/>
      <c r="P144" s="361"/>
      <c r="Q144" s="361"/>
      <c r="R144" s="361"/>
      <c r="S144" s="361"/>
      <c r="T144" s="361"/>
      <c r="U144" s="361"/>
      <c r="V144" s="361"/>
      <c r="W144" s="361"/>
      <c r="X144" s="361"/>
      <c r="Y144" s="131"/>
      <c r="Z144" s="163"/>
      <c r="AA144" s="131"/>
      <c r="AB144" s="131"/>
      <c r="AC144" s="131"/>
      <c r="AD144" s="131"/>
      <c r="AE144" s="131"/>
      <c r="AF144" s="163"/>
      <c r="AG144" s="163"/>
      <c r="AH144" s="163"/>
      <c r="AI144" s="163"/>
      <c r="AJ144" s="163"/>
      <c r="AK144" s="163"/>
      <c r="AL144" s="163"/>
      <c r="AM144" s="130"/>
      <c r="AN144" s="163"/>
    </row>
    <row r="145" ht="18.0" hidden="1" customHeight="1">
      <c r="A145" s="362"/>
      <c r="B145" s="362"/>
      <c r="C145" s="362"/>
      <c r="D145" s="362"/>
      <c r="E145" s="132"/>
      <c r="F145" s="132"/>
      <c r="G145" s="361"/>
      <c r="H145" s="361"/>
      <c r="I145" s="361"/>
      <c r="J145" s="363"/>
      <c r="K145" s="364"/>
      <c r="L145" s="361"/>
      <c r="M145" s="361"/>
      <c r="N145" s="361"/>
      <c r="O145" s="361"/>
      <c r="P145" s="361"/>
      <c r="Q145" s="361"/>
      <c r="R145" s="361"/>
      <c r="S145" s="361"/>
      <c r="T145" s="361"/>
      <c r="U145" s="361"/>
      <c r="V145" s="361"/>
      <c r="W145" s="361"/>
      <c r="X145" s="361"/>
      <c r="Y145" s="131"/>
      <c r="Z145" s="163"/>
      <c r="AA145" s="131"/>
      <c r="AB145" s="131"/>
      <c r="AC145" s="131"/>
      <c r="AD145" s="131"/>
      <c r="AE145" s="131"/>
      <c r="AF145" s="163"/>
      <c r="AG145" s="163"/>
      <c r="AH145" s="163"/>
      <c r="AI145" s="163"/>
      <c r="AJ145" s="163"/>
      <c r="AK145" s="163"/>
      <c r="AL145" s="163"/>
      <c r="AM145" s="130"/>
      <c r="AN145" s="163"/>
    </row>
    <row r="146" ht="18.0" hidden="1" customHeight="1">
      <c r="A146" s="362"/>
      <c r="B146" s="362"/>
      <c r="C146" s="362"/>
      <c r="D146" s="362"/>
      <c r="E146" s="132"/>
      <c r="F146" s="132"/>
      <c r="G146" s="361"/>
      <c r="H146" s="361"/>
      <c r="I146" s="361"/>
      <c r="J146" s="363"/>
      <c r="K146" s="364"/>
      <c r="L146" s="361"/>
      <c r="M146" s="361"/>
      <c r="N146" s="361"/>
      <c r="O146" s="361"/>
      <c r="P146" s="361"/>
      <c r="Q146" s="361"/>
      <c r="R146" s="361"/>
      <c r="S146" s="361"/>
      <c r="T146" s="361"/>
      <c r="U146" s="361"/>
      <c r="V146" s="361"/>
      <c r="W146" s="361"/>
      <c r="X146" s="361"/>
      <c r="Y146" s="131"/>
      <c r="Z146" s="163"/>
      <c r="AA146" s="131"/>
      <c r="AB146" s="131"/>
      <c r="AC146" s="131"/>
      <c r="AD146" s="131"/>
      <c r="AE146" s="131"/>
      <c r="AF146" s="163"/>
      <c r="AG146" s="163"/>
      <c r="AH146" s="163"/>
      <c r="AI146" s="163"/>
      <c r="AJ146" s="163"/>
      <c r="AK146" s="163"/>
      <c r="AL146" s="163"/>
      <c r="AM146" s="130"/>
      <c r="AN146" s="163"/>
    </row>
    <row r="147" ht="18.0" hidden="1" customHeight="1">
      <c r="A147" s="362"/>
      <c r="B147" s="362"/>
      <c r="C147" s="362"/>
      <c r="D147" s="362"/>
      <c r="E147" s="132"/>
      <c r="F147" s="132"/>
      <c r="G147" s="361"/>
      <c r="H147" s="361"/>
      <c r="I147" s="361"/>
      <c r="J147" s="363"/>
      <c r="K147" s="364"/>
      <c r="L147" s="361"/>
      <c r="M147" s="361"/>
      <c r="N147" s="361"/>
      <c r="O147" s="361"/>
      <c r="P147" s="361"/>
      <c r="Q147" s="361"/>
      <c r="R147" s="361"/>
      <c r="S147" s="361"/>
      <c r="T147" s="361"/>
      <c r="U147" s="361"/>
      <c r="V147" s="361"/>
      <c r="W147" s="361"/>
      <c r="X147" s="361"/>
      <c r="Y147" s="131"/>
      <c r="Z147" s="163"/>
      <c r="AA147" s="131"/>
      <c r="AB147" s="131"/>
      <c r="AC147" s="131"/>
      <c r="AD147" s="131"/>
      <c r="AE147" s="131"/>
      <c r="AF147" s="163"/>
      <c r="AG147" s="163"/>
      <c r="AH147" s="163"/>
      <c r="AI147" s="163"/>
      <c r="AJ147" s="163"/>
      <c r="AK147" s="163"/>
      <c r="AL147" s="163"/>
      <c r="AM147" s="130"/>
      <c r="AN147" s="163"/>
    </row>
    <row r="148" ht="18.0" hidden="1" customHeight="1">
      <c r="A148" s="362"/>
      <c r="B148" s="362"/>
      <c r="C148" s="362"/>
      <c r="D148" s="362"/>
      <c r="E148" s="132"/>
      <c r="F148" s="132"/>
      <c r="G148" s="361"/>
      <c r="H148" s="361"/>
      <c r="I148" s="361"/>
      <c r="J148" s="363"/>
      <c r="K148" s="364"/>
      <c r="L148" s="361"/>
      <c r="M148" s="361"/>
      <c r="N148" s="361"/>
      <c r="O148" s="361"/>
      <c r="P148" s="361"/>
      <c r="Q148" s="361"/>
      <c r="R148" s="361"/>
      <c r="S148" s="361"/>
      <c r="T148" s="361"/>
      <c r="U148" s="361"/>
      <c r="V148" s="361"/>
      <c r="W148" s="361"/>
      <c r="X148" s="361"/>
      <c r="Y148" s="131"/>
      <c r="Z148" s="163"/>
      <c r="AA148" s="131"/>
      <c r="AB148" s="131"/>
      <c r="AC148" s="131"/>
      <c r="AD148" s="131"/>
      <c r="AE148" s="131"/>
      <c r="AF148" s="163"/>
      <c r="AG148" s="163"/>
      <c r="AH148" s="163"/>
      <c r="AI148" s="163"/>
      <c r="AJ148" s="163"/>
      <c r="AK148" s="163"/>
      <c r="AL148" s="163"/>
      <c r="AM148" s="130"/>
      <c r="AN148" s="163"/>
    </row>
    <row r="149" ht="18.0" hidden="1" customHeight="1">
      <c r="A149" s="362"/>
      <c r="B149" s="362"/>
      <c r="C149" s="362"/>
      <c r="D149" s="362"/>
      <c r="E149" s="132"/>
      <c r="F149" s="132"/>
      <c r="G149" s="361"/>
      <c r="H149" s="361"/>
      <c r="I149" s="361"/>
      <c r="J149" s="363"/>
      <c r="K149" s="364"/>
      <c r="L149" s="361"/>
      <c r="M149" s="361"/>
      <c r="N149" s="361"/>
      <c r="O149" s="361"/>
      <c r="P149" s="361"/>
      <c r="Q149" s="361"/>
      <c r="R149" s="361"/>
      <c r="S149" s="361"/>
      <c r="T149" s="361"/>
      <c r="U149" s="361"/>
      <c r="V149" s="361"/>
      <c r="W149" s="361"/>
      <c r="X149" s="361"/>
      <c r="Y149" s="131"/>
      <c r="Z149" s="163"/>
      <c r="AA149" s="131"/>
      <c r="AB149" s="131"/>
      <c r="AC149" s="131"/>
      <c r="AD149" s="131"/>
      <c r="AE149" s="131"/>
      <c r="AF149" s="163"/>
      <c r="AG149" s="163"/>
      <c r="AH149" s="163"/>
      <c r="AI149" s="163"/>
      <c r="AJ149" s="163"/>
      <c r="AK149" s="163"/>
      <c r="AL149" s="163"/>
      <c r="AM149" s="130"/>
      <c r="AN149" s="163"/>
    </row>
    <row r="150" ht="18.0" hidden="1" customHeight="1">
      <c r="A150" s="362"/>
      <c r="B150" s="362"/>
      <c r="C150" s="362"/>
      <c r="D150" s="362"/>
      <c r="E150" s="132"/>
      <c r="F150" s="132"/>
      <c r="G150" s="361"/>
      <c r="H150" s="361"/>
      <c r="I150" s="361"/>
      <c r="J150" s="363"/>
      <c r="K150" s="364"/>
      <c r="L150" s="361"/>
      <c r="M150" s="361"/>
      <c r="N150" s="361"/>
      <c r="O150" s="361"/>
      <c r="P150" s="361"/>
      <c r="Q150" s="361"/>
      <c r="R150" s="361"/>
      <c r="S150" s="361"/>
      <c r="T150" s="361"/>
      <c r="U150" s="361"/>
      <c r="V150" s="361"/>
      <c r="W150" s="361"/>
      <c r="X150" s="361"/>
      <c r="Y150" s="131"/>
      <c r="Z150" s="163"/>
      <c r="AA150" s="131"/>
      <c r="AB150" s="131"/>
      <c r="AC150" s="131"/>
      <c r="AD150" s="131"/>
      <c r="AE150" s="131"/>
      <c r="AF150" s="163"/>
      <c r="AG150" s="163"/>
      <c r="AH150" s="163"/>
      <c r="AI150" s="163"/>
      <c r="AJ150" s="163"/>
      <c r="AK150" s="163"/>
      <c r="AL150" s="163"/>
      <c r="AM150" s="130"/>
      <c r="AN150" s="163"/>
    </row>
    <row r="151" ht="18.0" hidden="1" customHeight="1">
      <c r="A151" s="362"/>
      <c r="B151" s="362"/>
      <c r="C151" s="362"/>
      <c r="D151" s="362"/>
      <c r="E151" s="132"/>
      <c r="F151" s="132"/>
      <c r="G151" s="361"/>
      <c r="H151" s="361"/>
      <c r="I151" s="361"/>
      <c r="J151" s="363"/>
      <c r="K151" s="364"/>
      <c r="L151" s="361"/>
      <c r="M151" s="361"/>
      <c r="N151" s="361"/>
      <c r="O151" s="361"/>
      <c r="P151" s="361"/>
      <c r="Q151" s="361"/>
      <c r="R151" s="361"/>
      <c r="S151" s="361"/>
      <c r="T151" s="361"/>
      <c r="U151" s="361"/>
      <c r="V151" s="361"/>
      <c r="W151" s="361"/>
      <c r="X151" s="361"/>
      <c r="Y151" s="131"/>
      <c r="Z151" s="163"/>
      <c r="AA151" s="131"/>
      <c r="AB151" s="131"/>
      <c r="AC151" s="131"/>
      <c r="AD151" s="131"/>
      <c r="AE151" s="131"/>
      <c r="AF151" s="163"/>
      <c r="AG151" s="163"/>
      <c r="AH151" s="163"/>
      <c r="AI151" s="163"/>
      <c r="AJ151" s="163"/>
      <c r="AK151" s="163"/>
      <c r="AL151" s="163"/>
      <c r="AM151" s="130"/>
      <c r="AN151" s="163"/>
    </row>
    <row r="152" ht="15.75" customHeight="1">
      <c r="A152" s="362"/>
      <c r="B152" s="362"/>
      <c r="C152" s="362"/>
      <c r="D152" s="362"/>
      <c r="E152" s="132"/>
      <c r="F152" s="132"/>
      <c r="G152" s="361"/>
      <c r="H152" s="361"/>
      <c r="I152" s="361"/>
      <c r="J152" s="363"/>
      <c r="K152" s="364"/>
      <c r="L152" s="361"/>
      <c r="M152" s="361"/>
      <c r="N152" s="361"/>
      <c r="O152" s="361"/>
      <c r="P152" s="361"/>
      <c r="Q152" s="361"/>
      <c r="R152" s="361"/>
      <c r="S152" s="361"/>
      <c r="T152" s="361"/>
      <c r="U152" s="361"/>
      <c r="V152" s="361"/>
      <c r="W152" s="361"/>
      <c r="X152" s="361"/>
      <c r="Y152" s="131"/>
      <c r="Z152" s="163"/>
      <c r="AA152" s="131"/>
      <c r="AB152" s="131"/>
      <c r="AC152" s="131"/>
      <c r="AD152" s="131"/>
      <c r="AE152" s="131"/>
      <c r="AF152" s="163"/>
      <c r="AG152" s="163"/>
      <c r="AH152" s="163"/>
      <c r="AI152" s="163"/>
      <c r="AJ152" s="163"/>
      <c r="AK152" s="163"/>
      <c r="AL152" s="163"/>
      <c r="AM152" s="130"/>
      <c r="AN152" s="163"/>
    </row>
    <row r="153" ht="15.75" customHeight="1">
      <c r="A153" s="362"/>
      <c r="B153" s="362"/>
      <c r="C153" s="362"/>
      <c r="D153" s="362"/>
      <c r="E153" s="132"/>
      <c r="F153" s="132"/>
      <c r="G153" s="361"/>
      <c r="H153" s="361"/>
      <c r="I153" s="361"/>
      <c r="J153" s="363"/>
      <c r="K153" s="364"/>
      <c r="L153" s="361"/>
      <c r="M153" s="361"/>
      <c r="N153" s="361"/>
      <c r="O153" s="361"/>
      <c r="P153" s="361"/>
      <c r="Q153" s="361"/>
      <c r="R153" s="361"/>
      <c r="S153" s="361"/>
      <c r="T153" s="361"/>
      <c r="U153" s="361"/>
      <c r="V153" s="361"/>
      <c r="W153" s="361"/>
      <c r="X153" s="361"/>
      <c r="Y153" s="131"/>
      <c r="Z153" s="163"/>
      <c r="AA153" s="131"/>
      <c r="AB153" s="131"/>
      <c r="AC153" s="131"/>
      <c r="AD153" s="131"/>
      <c r="AE153" s="131"/>
      <c r="AF153" s="163"/>
      <c r="AG153" s="163"/>
      <c r="AH153" s="163"/>
      <c r="AI153" s="163"/>
      <c r="AJ153" s="163"/>
      <c r="AK153" s="163"/>
      <c r="AL153" s="163"/>
      <c r="AM153" s="130"/>
      <c r="AN153" s="163"/>
    </row>
    <row r="154" ht="15.75" customHeight="1">
      <c r="A154" s="362"/>
      <c r="B154" s="362"/>
      <c r="C154" s="362"/>
      <c r="D154" s="362"/>
      <c r="E154" s="132"/>
      <c r="F154" s="132"/>
      <c r="G154" s="361"/>
      <c r="H154" s="361"/>
      <c r="I154" s="361"/>
      <c r="J154" s="363"/>
      <c r="K154" s="364"/>
      <c r="L154" s="361"/>
      <c r="M154" s="361"/>
      <c r="N154" s="361"/>
      <c r="O154" s="361"/>
      <c r="P154" s="361"/>
      <c r="Q154" s="361"/>
      <c r="R154" s="361"/>
      <c r="S154" s="361"/>
      <c r="T154" s="361"/>
      <c r="U154" s="361"/>
      <c r="V154" s="361"/>
      <c r="W154" s="361"/>
      <c r="X154" s="361"/>
      <c r="Y154" s="131"/>
      <c r="Z154" s="163"/>
      <c r="AA154" s="131"/>
      <c r="AB154" s="131"/>
      <c r="AC154" s="131"/>
      <c r="AD154" s="131"/>
      <c r="AE154" s="131"/>
      <c r="AF154" s="163"/>
      <c r="AG154" s="163"/>
      <c r="AH154" s="163"/>
      <c r="AI154" s="163"/>
      <c r="AJ154" s="163"/>
      <c r="AK154" s="163"/>
      <c r="AL154" s="163"/>
      <c r="AM154" s="130"/>
      <c r="AN154" s="163"/>
    </row>
    <row r="155" ht="15.75" customHeight="1">
      <c r="A155" s="362"/>
      <c r="B155" s="362"/>
      <c r="C155" s="362"/>
      <c r="D155" s="362"/>
      <c r="E155" s="132"/>
      <c r="F155" s="132"/>
      <c r="G155" s="361"/>
      <c r="H155" s="361"/>
      <c r="I155" s="361"/>
      <c r="J155" s="363"/>
      <c r="K155" s="364"/>
      <c r="L155" s="361"/>
      <c r="M155" s="361"/>
      <c r="N155" s="361"/>
      <c r="O155" s="361"/>
      <c r="P155" s="361"/>
      <c r="Q155" s="361"/>
      <c r="R155" s="361"/>
      <c r="S155" s="361"/>
      <c r="T155" s="361"/>
      <c r="U155" s="361"/>
      <c r="V155" s="361"/>
      <c r="W155" s="361"/>
      <c r="X155" s="361"/>
      <c r="Y155" s="131"/>
      <c r="Z155" s="163"/>
      <c r="AA155" s="131"/>
      <c r="AB155" s="131"/>
      <c r="AC155" s="131"/>
      <c r="AD155" s="131"/>
      <c r="AE155" s="131"/>
      <c r="AF155" s="163"/>
      <c r="AG155" s="163"/>
      <c r="AH155" s="163"/>
      <c r="AI155" s="163"/>
      <c r="AJ155" s="163"/>
      <c r="AK155" s="163"/>
      <c r="AL155" s="163"/>
      <c r="AM155" s="130"/>
      <c r="AN155" s="163"/>
    </row>
    <row r="156" ht="15.75" customHeight="1">
      <c r="A156" s="362"/>
      <c r="B156" s="362"/>
      <c r="C156" s="362"/>
      <c r="D156" s="362"/>
      <c r="E156" s="132"/>
      <c r="F156" s="132"/>
      <c r="G156" s="361"/>
      <c r="H156" s="361"/>
      <c r="I156" s="361"/>
      <c r="J156" s="363"/>
      <c r="K156" s="364"/>
      <c r="L156" s="361"/>
      <c r="M156" s="361"/>
      <c r="N156" s="361"/>
      <c r="O156" s="361"/>
      <c r="P156" s="361"/>
      <c r="Q156" s="361"/>
      <c r="R156" s="361"/>
      <c r="S156" s="361"/>
      <c r="T156" s="361"/>
      <c r="U156" s="361"/>
      <c r="V156" s="361"/>
      <c r="W156" s="361"/>
      <c r="X156" s="361"/>
      <c r="Y156" s="131"/>
      <c r="Z156" s="163"/>
      <c r="AA156" s="131"/>
      <c r="AB156" s="131"/>
      <c r="AC156" s="131"/>
      <c r="AD156" s="131"/>
      <c r="AE156" s="131"/>
      <c r="AF156" s="163"/>
      <c r="AG156" s="163"/>
      <c r="AH156" s="163"/>
      <c r="AI156" s="163"/>
      <c r="AJ156" s="163"/>
      <c r="AK156" s="163"/>
      <c r="AL156" s="163"/>
      <c r="AM156" s="130"/>
      <c r="AN156" s="163"/>
    </row>
    <row r="157" ht="15.75" customHeight="1">
      <c r="A157" s="362"/>
      <c r="B157" s="362"/>
      <c r="C157" s="362"/>
      <c r="D157" s="362"/>
      <c r="E157" s="132"/>
      <c r="F157" s="132"/>
      <c r="G157" s="361"/>
      <c r="H157" s="361"/>
      <c r="I157" s="361"/>
      <c r="J157" s="363"/>
      <c r="K157" s="364"/>
      <c r="L157" s="361"/>
      <c r="M157" s="361"/>
      <c r="N157" s="361"/>
      <c r="O157" s="361"/>
      <c r="P157" s="361"/>
      <c r="Q157" s="361"/>
      <c r="R157" s="361"/>
      <c r="S157" s="361"/>
      <c r="T157" s="361"/>
      <c r="U157" s="361"/>
      <c r="V157" s="361"/>
      <c r="W157" s="361"/>
      <c r="X157" s="361"/>
      <c r="Y157" s="131"/>
      <c r="Z157" s="163"/>
      <c r="AA157" s="131"/>
      <c r="AB157" s="131"/>
      <c r="AC157" s="131"/>
      <c r="AD157" s="131"/>
      <c r="AE157" s="131"/>
      <c r="AF157" s="163"/>
      <c r="AG157" s="163"/>
      <c r="AH157" s="163"/>
      <c r="AI157" s="163"/>
      <c r="AJ157" s="163"/>
      <c r="AK157" s="163"/>
      <c r="AL157" s="163"/>
      <c r="AM157" s="130"/>
      <c r="AN157" s="163"/>
    </row>
    <row r="158" ht="15.75" customHeight="1">
      <c r="A158" s="362"/>
      <c r="B158" s="362"/>
      <c r="C158" s="362"/>
      <c r="D158" s="362"/>
      <c r="E158" s="132"/>
      <c r="F158" s="132"/>
      <c r="G158" s="361"/>
      <c r="H158" s="361"/>
      <c r="I158" s="361"/>
      <c r="J158" s="363"/>
      <c r="K158" s="364"/>
      <c r="L158" s="361"/>
      <c r="M158" s="361"/>
      <c r="N158" s="361"/>
      <c r="O158" s="361"/>
      <c r="P158" s="361"/>
      <c r="Q158" s="361"/>
      <c r="R158" s="361"/>
      <c r="S158" s="361"/>
      <c r="T158" s="361"/>
      <c r="U158" s="361"/>
      <c r="V158" s="361"/>
      <c r="W158" s="361"/>
      <c r="X158" s="361"/>
      <c r="Y158" s="131"/>
      <c r="Z158" s="163"/>
      <c r="AA158" s="131"/>
      <c r="AB158" s="131"/>
      <c r="AC158" s="131"/>
      <c r="AD158" s="131"/>
      <c r="AE158" s="131"/>
      <c r="AF158" s="163"/>
      <c r="AG158" s="163"/>
      <c r="AH158" s="163"/>
      <c r="AI158" s="163"/>
      <c r="AJ158" s="163"/>
      <c r="AK158" s="163"/>
      <c r="AL158" s="163"/>
      <c r="AM158" s="130"/>
      <c r="AN158" s="163"/>
    </row>
    <row r="159" ht="15.75" customHeight="1">
      <c r="A159" s="362"/>
      <c r="B159" s="362"/>
      <c r="C159" s="362"/>
      <c r="D159" s="362"/>
      <c r="E159" s="132"/>
      <c r="F159" s="132"/>
      <c r="G159" s="361"/>
      <c r="H159" s="361"/>
      <c r="I159" s="361"/>
      <c r="J159" s="363"/>
      <c r="K159" s="364"/>
      <c r="L159" s="361"/>
      <c r="M159" s="361"/>
      <c r="N159" s="361"/>
      <c r="O159" s="361"/>
      <c r="P159" s="361"/>
      <c r="Q159" s="361"/>
      <c r="R159" s="361"/>
      <c r="S159" s="361"/>
      <c r="T159" s="361"/>
      <c r="U159" s="361"/>
      <c r="V159" s="361"/>
      <c r="W159" s="361"/>
      <c r="X159" s="361"/>
      <c r="Y159" s="131"/>
      <c r="Z159" s="163"/>
      <c r="AA159" s="131"/>
      <c r="AB159" s="131"/>
      <c r="AC159" s="131"/>
      <c r="AD159" s="131"/>
      <c r="AE159" s="131"/>
      <c r="AF159" s="163"/>
      <c r="AG159" s="163"/>
      <c r="AH159" s="163"/>
      <c r="AI159" s="163"/>
      <c r="AJ159" s="163"/>
      <c r="AK159" s="163"/>
      <c r="AL159" s="163"/>
      <c r="AM159" s="130"/>
      <c r="AN159" s="163"/>
    </row>
    <row r="160" ht="15.75" customHeight="1">
      <c r="A160" s="362"/>
      <c r="B160" s="362"/>
      <c r="C160" s="362"/>
      <c r="D160" s="362"/>
      <c r="E160" s="132"/>
      <c r="F160" s="132"/>
      <c r="G160" s="361"/>
      <c r="H160" s="361"/>
      <c r="I160" s="361"/>
      <c r="J160" s="363"/>
      <c r="K160" s="364"/>
      <c r="L160" s="361"/>
      <c r="M160" s="361"/>
      <c r="N160" s="361"/>
      <c r="O160" s="361"/>
      <c r="P160" s="361"/>
      <c r="Q160" s="361"/>
      <c r="R160" s="361"/>
      <c r="S160" s="361"/>
      <c r="T160" s="361"/>
      <c r="U160" s="361"/>
      <c r="V160" s="361"/>
      <c r="W160" s="361"/>
      <c r="X160" s="361"/>
      <c r="Y160" s="131"/>
      <c r="Z160" s="163"/>
      <c r="AA160" s="131"/>
      <c r="AB160" s="131"/>
      <c r="AC160" s="131"/>
      <c r="AD160" s="131"/>
      <c r="AE160" s="131"/>
      <c r="AF160" s="163"/>
      <c r="AG160" s="163"/>
      <c r="AH160" s="163"/>
      <c r="AI160" s="163"/>
      <c r="AJ160" s="163"/>
      <c r="AK160" s="163"/>
      <c r="AL160" s="163"/>
      <c r="AM160" s="130"/>
      <c r="AN160" s="163"/>
    </row>
    <row r="161" ht="15.75" customHeight="1">
      <c r="A161" s="362"/>
      <c r="B161" s="362"/>
      <c r="C161" s="362"/>
      <c r="D161" s="362"/>
      <c r="E161" s="132"/>
      <c r="F161" s="132"/>
      <c r="G161" s="361"/>
      <c r="H161" s="361"/>
      <c r="I161" s="361"/>
      <c r="J161" s="363"/>
      <c r="K161" s="364"/>
      <c r="L161" s="361"/>
      <c r="M161" s="361"/>
      <c r="N161" s="361"/>
      <c r="O161" s="361"/>
      <c r="P161" s="361"/>
      <c r="Q161" s="361"/>
      <c r="R161" s="361"/>
      <c r="S161" s="361"/>
      <c r="T161" s="361"/>
      <c r="U161" s="361"/>
      <c r="V161" s="361"/>
      <c r="W161" s="361"/>
      <c r="X161" s="361"/>
      <c r="Y161" s="131"/>
      <c r="Z161" s="163"/>
      <c r="AA161" s="131"/>
      <c r="AB161" s="131"/>
      <c r="AC161" s="131"/>
      <c r="AD161" s="131"/>
      <c r="AE161" s="131"/>
      <c r="AF161" s="163"/>
      <c r="AG161" s="163"/>
      <c r="AH161" s="163"/>
      <c r="AI161" s="163"/>
      <c r="AJ161" s="163"/>
      <c r="AK161" s="163"/>
      <c r="AL161" s="163"/>
      <c r="AM161" s="130"/>
      <c r="AN161" s="163"/>
    </row>
    <row r="162" ht="15.75" customHeight="1">
      <c r="A162" s="362"/>
      <c r="B162" s="362"/>
      <c r="C162" s="362"/>
      <c r="D162" s="362"/>
      <c r="E162" s="132"/>
      <c r="F162" s="132"/>
      <c r="G162" s="361"/>
      <c r="H162" s="361"/>
      <c r="I162" s="361"/>
      <c r="J162" s="363"/>
      <c r="K162" s="364"/>
      <c r="L162" s="361"/>
      <c r="M162" s="361"/>
      <c r="N162" s="361"/>
      <c r="O162" s="361"/>
      <c r="P162" s="361"/>
      <c r="Q162" s="361"/>
      <c r="R162" s="361"/>
      <c r="S162" s="361"/>
      <c r="T162" s="361"/>
      <c r="U162" s="361"/>
      <c r="V162" s="361"/>
      <c r="W162" s="361"/>
      <c r="X162" s="361"/>
      <c r="Y162" s="131"/>
      <c r="Z162" s="163"/>
      <c r="AA162" s="131"/>
      <c r="AB162" s="131"/>
      <c r="AC162" s="131"/>
      <c r="AD162" s="131"/>
      <c r="AE162" s="131"/>
      <c r="AF162" s="163"/>
      <c r="AG162" s="163"/>
      <c r="AH162" s="163"/>
      <c r="AI162" s="163"/>
      <c r="AJ162" s="163"/>
      <c r="AK162" s="163"/>
      <c r="AL162" s="163"/>
      <c r="AM162" s="130"/>
      <c r="AN162" s="163"/>
    </row>
    <row r="163" ht="15.75" customHeight="1">
      <c r="A163" s="362"/>
      <c r="B163" s="362"/>
      <c r="C163" s="362"/>
      <c r="D163" s="362"/>
      <c r="E163" s="132"/>
      <c r="F163" s="132"/>
      <c r="G163" s="361"/>
      <c r="H163" s="361"/>
      <c r="I163" s="361"/>
      <c r="J163" s="363"/>
      <c r="K163" s="364"/>
      <c r="L163" s="361"/>
      <c r="M163" s="361"/>
      <c r="N163" s="361"/>
      <c r="O163" s="361"/>
      <c r="P163" s="361"/>
      <c r="Q163" s="361"/>
      <c r="R163" s="361"/>
      <c r="S163" s="361"/>
      <c r="T163" s="361"/>
      <c r="U163" s="361"/>
      <c r="V163" s="361"/>
      <c r="W163" s="361"/>
      <c r="X163" s="361"/>
      <c r="Y163" s="131"/>
      <c r="Z163" s="163"/>
      <c r="AA163" s="131"/>
      <c r="AB163" s="131"/>
      <c r="AC163" s="131"/>
      <c r="AD163" s="131"/>
      <c r="AE163" s="131"/>
      <c r="AF163" s="163"/>
      <c r="AG163" s="163"/>
      <c r="AH163" s="163"/>
      <c r="AI163" s="163"/>
      <c r="AJ163" s="163"/>
      <c r="AK163" s="163"/>
      <c r="AL163" s="163"/>
      <c r="AM163" s="130"/>
      <c r="AN163" s="163"/>
    </row>
    <row r="164" ht="15.75" customHeight="1">
      <c r="A164" s="362"/>
      <c r="B164" s="362"/>
      <c r="C164" s="362"/>
      <c r="D164" s="362"/>
      <c r="E164" s="132"/>
      <c r="F164" s="132"/>
      <c r="G164" s="361"/>
      <c r="H164" s="361"/>
      <c r="I164" s="361"/>
      <c r="J164" s="363"/>
      <c r="K164" s="364"/>
      <c r="L164" s="361"/>
      <c r="M164" s="361"/>
      <c r="N164" s="361"/>
      <c r="O164" s="361"/>
      <c r="P164" s="361"/>
      <c r="Q164" s="361"/>
      <c r="R164" s="361"/>
      <c r="S164" s="361"/>
      <c r="T164" s="361"/>
      <c r="U164" s="361"/>
      <c r="V164" s="361"/>
      <c r="W164" s="361"/>
      <c r="X164" s="361"/>
      <c r="Y164" s="131"/>
      <c r="Z164" s="163"/>
      <c r="AA164" s="131"/>
      <c r="AB164" s="131"/>
      <c r="AC164" s="131"/>
      <c r="AD164" s="131"/>
      <c r="AE164" s="131"/>
      <c r="AF164" s="163"/>
      <c r="AG164" s="163"/>
      <c r="AH164" s="163"/>
      <c r="AI164" s="163"/>
      <c r="AJ164" s="163"/>
      <c r="AK164" s="163"/>
      <c r="AL164" s="163"/>
      <c r="AM164" s="130"/>
      <c r="AN164" s="163"/>
    </row>
    <row r="165" ht="15.75" customHeight="1">
      <c r="A165" s="362"/>
      <c r="B165" s="362"/>
      <c r="C165" s="362"/>
      <c r="D165" s="362"/>
      <c r="E165" s="132"/>
      <c r="F165" s="132"/>
      <c r="G165" s="361"/>
      <c r="H165" s="361"/>
      <c r="I165" s="361"/>
      <c r="J165" s="363"/>
      <c r="K165" s="364"/>
      <c r="L165" s="361"/>
      <c r="M165" s="361"/>
      <c r="N165" s="361"/>
      <c r="O165" s="361"/>
      <c r="P165" s="361"/>
      <c r="Q165" s="361"/>
      <c r="R165" s="361"/>
      <c r="S165" s="361"/>
      <c r="T165" s="361"/>
      <c r="U165" s="361"/>
      <c r="V165" s="361"/>
      <c r="W165" s="361"/>
      <c r="X165" s="361"/>
      <c r="Y165" s="131"/>
      <c r="Z165" s="163"/>
      <c r="AA165" s="131"/>
      <c r="AB165" s="131"/>
      <c r="AC165" s="131"/>
      <c r="AD165" s="131"/>
      <c r="AE165" s="131"/>
      <c r="AF165" s="163"/>
      <c r="AG165" s="163"/>
      <c r="AH165" s="163"/>
      <c r="AI165" s="163"/>
      <c r="AJ165" s="163"/>
      <c r="AK165" s="163"/>
      <c r="AL165" s="163"/>
      <c r="AM165" s="130"/>
      <c r="AN165" s="163"/>
    </row>
    <row r="166" ht="15.75" customHeight="1">
      <c r="A166" s="362"/>
      <c r="B166" s="362"/>
      <c r="C166" s="362"/>
      <c r="D166" s="362"/>
      <c r="E166" s="132"/>
      <c r="F166" s="132"/>
      <c r="G166" s="361"/>
      <c r="H166" s="361"/>
      <c r="I166" s="361"/>
      <c r="J166" s="363"/>
      <c r="K166" s="364"/>
      <c r="L166" s="361"/>
      <c r="M166" s="361"/>
      <c r="N166" s="361"/>
      <c r="O166" s="361"/>
      <c r="P166" s="361"/>
      <c r="Q166" s="361"/>
      <c r="R166" s="361"/>
      <c r="S166" s="361"/>
      <c r="T166" s="361"/>
      <c r="U166" s="361"/>
      <c r="V166" s="361"/>
      <c r="W166" s="361"/>
      <c r="X166" s="361"/>
      <c r="Y166" s="131"/>
      <c r="Z166" s="163"/>
      <c r="AA166" s="131"/>
      <c r="AB166" s="131"/>
      <c r="AC166" s="131"/>
      <c r="AD166" s="131"/>
      <c r="AE166" s="131"/>
      <c r="AF166" s="163"/>
      <c r="AG166" s="163"/>
      <c r="AH166" s="163"/>
      <c r="AI166" s="163"/>
      <c r="AJ166" s="163"/>
      <c r="AK166" s="163"/>
      <c r="AL166" s="163"/>
      <c r="AM166" s="130"/>
      <c r="AN166" s="163"/>
    </row>
    <row r="167" ht="15.75" customHeight="1">
      <c r="A167" s="362"/>
      <c r="B167" s="362"/>
      <c r="C167" s="362"/>
      <c r="D167" s="362"/>
      <c r="E167" s="132"/>
      <c r="F167" s="132"/>
      <c r="G167" s="361"/>
      <c r="H167" s="361"/>
      <c r="I167" s="361"/>
      <c r="J167" s="363"/>
      <c r="K167" s="364"/>
      <c r="L167" s="361"/>
      <c r="M167" s="361"/>
      <c r="N167" s="361"/>
      <c r="O167" s="361"/>
      <c r="P167" s="361"/>
      <c r="Q167" s="361"/>
      <c r="R167" s="361"/>
      <c r="S167" s="361"/>
      <c r="T167" s="361"/>
      <c r="U167" s="361"/>
      <c r="V167" s="361"/>
      <c r="W167" s="361"/>
      <c r="X167" s="361"/>
      <c r="Y167" s="131"/>
      <c r="Z167" s="163"/>
      <c r="AA167" s="131"/>
      <c r="AB167" s="131"/>
      <c r="AC167" s="131"/>
      <c r="AD167" s="131"/>
      <c r="AE167" s="131"/>
      <c r="AF167" s="163"/>
      <c r="AG167" s="163"/>
      <c r="AH167" s="163"/>
      <c r="AI167" s="163"/>
      <c r="AJ167" s="163"/>
      <c r="AK167" s="163"/>
      <c r="AL167" s="163"/>
      <c r="AM167" s="130"/>
      <c r="AN167" s="163"/>
    </row>
    <row r="168" ht="15.75" customHeight="1">
      <c r="A168" s="362"/>
      <c r="B168" s="362"/>
      <c r="C168" s="362"/>
      <c r="D168" s="362"/>
      <c r="E168" s="132"/>
      <c r="F168" s="132"/>
      <c r="G168" s="361"/>
      <c r="H168" s="361"/>
      <c r="I168" s="361"/>
      <c r="J168" s="363"/>
      <c r="K168" s="364"/>
      <c r="L168" s="361"/>
      <c r="M168" s="361"/>
      <c r="N168" s="361"/>
      <c r="O168" s="361"/>
      <c r="P168" s="361"/>
      <c r="Q168" s="361"/>
      <c r="R168" s="361"/>
      <c r="S168" s="361"/>
      <c r="T168" s="361"/>
      <c r="U168" s="361"/>
      <c r="V168" s="361"/>
      <c r="W168" s="361"/>
      <c r="X168" s="361"/>
      <c r="Y168" s="131"/>
      <c r="Z168" s="163"/>
      <c r="AA168" s="131"/>
      <c r="AB168" s="131"/>
      <c r="AC168" s="131"/>
      <c r="AD168" s="131"/>
      <c r="AE168" s="131"/>
      <c r="AF168" s="163"/>
      <c r="AG168" s="163"/>
      <c r="AH168" s="163"/>
      <c r="AI168" s="163"/>
      <c r="AJ168" s="163"/>
      <c r="AK168" s="163"/>
      <c r="AL168" s="163"/>
      <c r="AM168" s="130"/>
      <c r="AN168" s="163"/>
    </row>
    <row r="169" ht="15.75" customHeight="1">
      <c r="A169" s="362"/>
      <c r="B169" s="362"/>
      <c r="C169" s="362"/>
      <c r="D169" s="362"/>
      <c r="E169" s="132"/>
      <c r="F169" s="132"/>
      <c r="G169" s="361"/>
      <c r="H169" s="361"/>
      <c r="I169" s="361"/>
      <c r="J169" s="363"/>
      <c r="K169" s="364"/>
      <c r="L169" s="361"/>
      <c r="M169" s="361"/>
      <c r="N169" s="361"/>
      <c r="O169" s="361"/>
      <c r="P169" s="361"/>
      <c r="Q169" s="361"/>
      <c r="R169" s="361"/>
      <c r="S169" s="361"/>
      <c r="T169" s="361"/>
      <c r="U169" s="361"/>
      <c r="V169" s="361"/>
      <c r="W169" s="361"/>
      <c r="X169" s="361"/>
      <c r="Y169" s="131"/>
      <c r="Z169" s="163"/>
      <c r="AA169" s="131"/>
      <c r="AB169" s="131"/>
      <c r="AC169" s="131"/>
      <c r="AD169" s="131"/>
      <c r="AE169" s="131"/>
      <c r="AF169" s="163"/>
      <c r="AG169" s="163"/>
      <c r="AH169" s="163"/>
      <c r="AI169" s="163"/>
      <c r="AJ169" s="163"/>
      <c r="AK169" s="163"/>
      <c r="AL169" s="163"/>
      <c r="AM169" s="130"/>
      <c r="AN169" s="163"/>
    </row>
    <row r="170" ht="15.75" customHeight="1">
      <c r="A170" s="362"/>
      <c r="B170" s="362"/>
      <c r="C170" s="362"/>
      <c r="D170" s="362"/>
      <c r="E170" s="132"/>
      <c r="F170" s="132"/>
      <c r="G170" s="361"/>
      <c r="H170" s="361"/>
      <c r="I170" s="361"/>
      <c r="J170" s="363"/>
      <c r="K170" s="364"/>
      <c r="L170" s="361"/>
      <c r="M170" s="361"/>
      <c r="N170" s="361"/>
      <c r="O170" s="361"/>
      <c r="P170" s="361"/>
      <c r="Q170" s="361"/>
      <c r="R170" s="361"/>
      <c r="S170" s="361"/>
      <c r="T170" s="361"/>
      <c r="U170" s="361"/>
      <c r="V170" s="361"/>
      <c r="W170" s="361"/>
      <c r="X170" s="361"/>
      <c r="Y170" s="131"/>
      <c r="Z170" s="163"/>
      <c r="AA170" s="131"/>
      <c r="AB170" s="131"/>
      <c r="AC170" s="131"/>
      <c r="AD170" s="131"/>
      <c r="AE170" s="131"/>
      <c r="AF170" s="163"/>
      <c r="AG170" s="163"/>
      <c r="AH170" s="163"/>
      <c r="AI170" s="163"/>
      <c r="AJ170" s="163"/>
      <c r="AK170" s="163"/>
      <c r="AL170" s="163"/>
      <c r="AM170" s="130"/>
      <c r="AN170" s="163"/>
    </row>
    <row r="171" ht="15.75" customHeight="1">
      <c r="A171" s="362"/>
      <c r="B171" s="362"/>
      <c r="C171" s="362"/>
      <c r="D171" s="362"/>
      <c r="E171" s="132"/>
      <c r="F171" s="132"/>
      <c r="G171" s="361"/>
      <c r="H171" s="361"/>
      <c r="I171" s="361"/>
      <c r="J171" s="363"/>
      <c r="K171" s="364"/>
      <c r="L171" s="361"/>
      <c r="M171" s="361"/>
      <c r="N171" s="361"/>
      <c r="O171" s="361"/>
      <c r="P171" s="361"/>
      <c r="Q171" s="361"/>
      <c r="R171" s="361"/>
      <c r="S171" s="361"/>
      <c r="T171" s="361"/>
      <c r="U171" s="361"/>
      <c r="V171" s="361"/>
      <c r="W171" s="361"/>
      <c r="X171" s="361"/>
      <c r="Y171" s="131"/>
      <c r="Z171" s="163"/>
      <c r="AA171" s="131"/>
      <c r="AB171" s="131"/>
      <c r="AC171" s="131"/>
      <c r="AD171" s="131"/>
      <c r="AE171" s="131"/>
      <c r="AF171" s="163"/>
      <c r="AG171" s="163"/>
      <c r="AH171" s="163"/>
      <c r="AI171" s="163"/>
      <c r="AJ171" s="163"/>
      <c r="AK171" s="163"/>
      <c r="AL171" s="163"/>
      <c r="AM171" s="130"/>
      <c r="AN171" s="163"/>
    </row>
    <row r="172" ht="15.75" customHeight="1">
      <c r="A172" s="362"/>
      <c r="B172" s="362"/>
      <c r="C172" s="362"/>
      <c r="D172" s="362"/>
      <c r="E172" s="132"/>
      <c r="F172" s="132"/>
      <c r="G172" s="361"/>
      <c r="H172" s="361"/>
      <c r="I172" s="361"/>
      <c r="J172" s="363"/>
      <c r="K172" s="364"/>
      <c r="L172" s="361"/>
      <c r="M172" s="361"/>
      <c r="N172" s="361"/>
      <c r="O172" s="361"/>
      <c r="P172" s="361"/>
      <c r="Q172" s="361"/>
      <c r="R172" s="361"/>
      <c r="S172" s="361"/>
      <c r="T172" s="361"/>
      <c r="U172" s="361"/>
      <c r="V172" s="361"/>
      <c r="W172" s="361"/>
      <c r="X172" s="361"/>
      <c r="Y172" s="131"/>
      <c r="Z172" s="163"/>
      <c r="AA172" s="131"/>
      <c r="AB172" s="131"/>
      <c r="AC172" s="131"/>
      <c r="AD172" s="131"/>
      <c r="AE172" s="131"/>
      <c r="AF172" s="163"/>
      <c r="AG172" s="163"/>
      <c r="AH172" s="163"/>
      <c r="AI172" s="163"/>
      <c r="AJ172" s="163"/>
      <c r="AK172" s="163"/>
      <c r="AL172" s="163"/>
      <c r="AM172" s="130"/>
      <c r="AN172" s="163"/>
    </row>
    <row r="173" ht="15.75" customHeight="1">
      <c r="A173" s="362"/>
      <c r="B173" s="362"/>
      <c r="C173" s="362"/>
      <c r="D173" s="362"/>
      <c r="E173" s="132"/>
      <c r="F173" s="132"/>
      <c r="G173" s="361"/>
      <c r="H173" s="361"/>
      <c r="I173" s="361"/>
      <c r="J173" s="363"/>
      <c r="K173" s="364"/>
      <c r="L173" s="361"/>
      <c r="M173" s="361"/>
      <c r="N173" s="361"/>
      <c r="O173" s="361"/>
      <c r="P173" s="361"/>
      <c r="Q173" s="361"/>
      <c r="R173" s="361"/>
      <c r="S173" s="361"/>
      <c r="T173" s="361"/>
      <c r="U173" s="361"/>
      <c r="V173" s="361"/>
      <c r="W173" s="361"/>
      <c r="X173" s="361"/>
      <c r="Y173" s="131"/>
      <c r="Z173" s="163"/>
      <c r="AA173" s="131"/>
      <c r="AB173" s="131"/>
      <c r="AC173" s="131"/>
      <c r="AD173" s="131"/>
      <c r="AE173" s="131"/>
      <c r="AF173" s="163"/>
      <c r="AG173" s="163"/>
      <c r="AH173" s="163"/>
      <c r="AI173" s="163"/>
      <c r="AJ173" s="163"/>
      <c r="AK173" s="163"/>
      <c r="AL173" s="163"/>
      <c r="AM173" s="130"/>
      <c r="AN173" s="163"/>
    </row>
    <row r="174" ht="15.75" customHeight="1">
      <c r="A174" s="362"/>
      <c r="B174" s="362"/>
      <c r="C174" s="362"/>
      <c r="D174" s="362"/>
      <c r="E174" s="132"/>
      <c r="F174" s="132"/>
      <c r="G174" s="361"/>
      <c r="H174" s="361"/>
      <c r="I174" s="361"/>
      <c r="J174" s="363"/>
      <c r="K174" s="364"/>
      <c r="L174" s="361"/>
      <c r="M174" s="361"/>
      <c r="N174" s="361"/>
      <c r="O174" s="361"/>
      <c r="P174" s="361"/>
      <c r="Q174" s="361"/>
      <c r="R174" s="361"/>
      <c r="S174" s="361"/>
      <c r="T174" s="361"/>
      <c r="U174" s="361"/>
      <c r="V174" s="361"/>
      <c r="W174" s="361"/>
      <c r="X174" s="361"/>
      <c r="Y174" s="131"/>
      <c r="Z174" s="163"/>
      <c r="AA174" s="131"/>
      <c r="AB174" s="131"/>
      <c r="AC174" s="131"/>
      <c r="AD174" s="131"/>
      <c r="AE174" s="131"/>
      <c r="AF174" s="163"/>
      <c r="AG174" s="163"/>
      <c r="AH174" s="163"/>
      <c r="AI174" s="163"/>
      <c r="AJ174" s="163"/>
      <c r="AK174" s="163"/>
      <c r="AL174" s="163"/>
      <c r="AM174" s="130"/>
      <c r="AN174" s="163"/>
    </row>
    <row r="175" ht="15.75" customHeight="1">
      <c r="A175" s="362"/>
      <c r="B175" s="362"/>
      <c r="C175" s="362"/>
      <c r="D175" s="362"/>
      <c r="E175" s="132"/>
      <c r="F175" s="132"/>
      <c r="G175" s="361"/>
      <c r="H175" s="361"/>
      <c r="I175" s="361"/>
      <c r="J175" s="363"/>
      <c r="K175" s="364"/>
      <c r="L175" s="361"/>
      <c r="M175" s="361"/>
      <c r="N175" s="361"/>
      <c r="O175" s="361"/>
      <c r="P175" s="361"/>
      <c r="Q175" s="361"/>
      <c r="R175" s="361"/>
      <c r="S175" s="361"/>
      <c r="T175" s="361"/>
      <c r="U175" s="361"/>
      <c r="V175" s="361"/>
      <c r="W175" s="361"/>
      <c r="X175" s="361"/>
      <c r="Y175" s="131"/>
      <c r="Z175" s="163"/>
      <c r="AA175" s="131"/>
      <c r="AB175" s="131"/>
      <c r="AC175" s="131"/>
      <c r="AD175" s="131"/>
      <c r="AE175" s="131"/>
      <c r="AF175" s="163"/>
      <c r="AG175" s="163"/>
      <c r="AH175" s="163"/>
      <c r="AI175" s="163"/>
      <c r="AJ175" s="163"/>
      <c r="AK175" s="163"/>
      <c r="AL175" s="163"/>
      <c r="AM175" s="130"/>
      <c r="AN175" s="163"/>
    </row>
    <row r="176" ht="15.75" customHeight="1">
      <c r="A176" s="362"/>
      <c r="B176" s="362"/>
      <c r="C176" s="362"/>
      <c r="D176" s="362"/>
      <c r="E176" s="132"/>
      <c r="F176" s="132"/>
      <c r="G176" s="361"/>
      <c r="H176" s="361"/>
      <c r="I176" s="361"/>
      <c r="J176" s="363"/>
      <c r="K176" s="364"/>
      <c r="L176" s="361"/>
      <c r="M176" s="361"/>
      <c r="N176" s="361"/>
      <c r="O176" s="361"/>
      <c r="P176" s="361"/>
      <c r="Q176" s="361"/>
      <c r="R176" s="361"/>
      <c r="S176" s="361"/>
      <c r="T176" s="361"/>
      <c r="U176" s="361"/>
      <c r="V176" s="361"/>
      <c r="W176" s="361"/>
      <c r="X176" s="361"/>
      <c r="Y176" s="131"/>
      <c r="Z176" s="163"/>
      <c r="AA176" s="131"/>
      <c r="AB176" s="131"/>
      <c r="AC176" s="131"/>
      <c r="AD176" s="131"/>
      <c r="AE176" s="131"/>
      <c r="AF176" s="163"/>
      <c r="AG176" s="163"/>
      <c r="AH176" s="163"/>
      <c r="AI176" s="163"/>
      <c r="AJ176" s="163"/>
      <c r="AK176" s="163"/>
      <c r="AL176" s="163"/>
      <c r="AM176" s="130"/>
      <c r="AN176" s="163"/>
    </row>
    <row r="177" ht="15.75" customHeight="1">
      <c r="A177" s="362"/>
      <c r="B177" s="362"/>
      <c r="C177" s="362"/>
      <c r="D177" s="362"/>
      <c r="E177" s="132"/>
      <c r="F177" s="132"/>
      <c r="G177" s="361"/>
      <c r="H177" s="361"/>
      <c r="I177" s="361"/>
      <c r="J177" s="363"/>
      <c r="K177" s="364"/>
      <c r="L177" s="361"/>
      <c r="M177" s="361"/>
      <c r="N177" s="361"/>
      <c r="O177" s="361"/>
      <c r="P177" s="361"/>
      <c r="Q177" s="361"/>
      <c r="R177" s="361"/>
      <c r="S177" s="361"/>
      <c r="T177" s="361"/>
      <c r="U177" s="361"/>
      <c r="V177" s="361"/>
      <c r="W177" s="361"/>
      <c r="X177" s="361"/>
      <c r="Y177" s="131"/>
      <c r="Z177" s="163"/>
      <c r="AA177" s="131"/>
      <c r="AB177" s="131"/>
      <c r="AC177" s="131"/>
      <c r="AD177" s="131"/>
      <c r="AE177" s="131"/>
      <c r="AF177" s="163"/>
      <c r="AG177" s="163"/>
      <c r="AH177" s="163"/>
      <c r="AI177" s="163"/>
      <c r="AJ177" s="163"/>
      <c r="AK177" s="163"/>
      <c r="AL177" s="163"/>
      <c r="AM177" s="130"/>
      <c r="AN177" s="163"/>
    </row>
    <row r="178" ht="15.75" customHeight="1">
      <c r="A178" s="362"/>
      <c r="B178" s="362"/>
      <c r="C178" s="362"/>
      <c r="D178" s="362"/>
      <c r="E178" s="132"/>
      <c r="F178" s="132"/>
      <c r="G178" s="361"/>
      <c r="H178" s="361"/>
      <c r="I178" s="361"/>
      <c r="J178" s="363"/>
      <c r="K178" s="364"/>
      <c r="L178" s="361"/>
      <c r="M178" s="361"/>
      <c r="N178" s="361"/>
      <c r="O178" s="361"/>
      <c r="P178" s="361"/>
      <c r="Q178" s="361"/>
      <c r="R178" s="361"/>
      <c r="S178" s="361"/>
      <c r="T178" s="361"/>
      <c r="U178" s="361"/>
      <c r="V178" s="361"/>
      <c r="W178" s="361"/>
      <c r="X178" s="361"/>
      <c r="Y178" s="131"/>
      <c r="Z178" s="163"/>
      <c r="AA178" s="131"/>
      <c r="AB178" s="131"/>
      <c r="AC178" s="131"/>
      <c r="AD178" s="131"/>
      <c r="AE178" s="131"/>
      <c r="AF178" s="163"/>
      <c r="AG178" s="163"/>
      <c r="AH178" s="163"/>
      <c r="AI178" s="163"/>
      <c r="AJ178" s="163"/>
      <c r="AK178" s="163"/>
      <c r="AL178" s="163"/>
      <c r="AM178" s="130"/>
      <c r="AN178" s="163"/>
    </row>
    <row r="179" ht="15.75" customHeight="1">
      <c r="A179" s="362"/>
      <c r="B179" s="362"/>
      <c r="C179" s="362"/>
      <c r="D179" s="362"/>
      <c r="E179" s="132"/>
      <c r="F179" s="132"/>
      <c r="G179" s="361"/>
      <c r="H179" s="361"/>
      <c r="I179" s="361"/>
      <c r="J179" s="363"/>
      <c r="K179" s="364"/>
      <c r="L179" s="361"/>
      <c r="M179" s="361"/>
      <c r="N179" s="361"/>
      <c r="O179" s="361"/>
      <c r="P179" s="361"/>
      <c r="Q179" s="361"/>
      <c r="R179" s="361"/>
      <c r="S179" s="361"/>
      <c r="T179" s="361"/>
      <c r="U179" s="361"/>
      <c r="V179" s="361"/>
      <c r="W179" s="361"/>
      <c r="X179" s="361"/>
      <c r="Y179" s="131"/>
      <c r="Z179" s="163"/>
      <c r="AA179" s="131"/>
      <c r="AB179" s="131"/>
      <c r="AC179" s="131"/>
      <c r="AD179" s="131"/>
      <c r="AE179" s="131"/>
      <c r="AF179" s="163"/>
      <c r="AG179" s="163"/>
      <c r="AH179" s="163"/>
      <c r="AI179" s="163"/>
      <c r="AJ179" s="163"/>
      <c r="AK179" s="163"/>
      <c r="AL179" s="163"/>
      <c r="AM179" s="130"/>
      <c r="AN179" s="163"/>
    </row>
    <row r="180" ht="15.75" customHeight="1">
      <c r="A180" s="362"/>
      <c r="B180" s="362"/>
      <c r="C180" s="362"/>
      <c r="D180" s="362"/>
      <c r="E180" s="132"/>
      <c r="F180" s="132"/>
      <c r="G180" s="361"/>
      <c r="H180" s="361"/>
      <c r="I180" s="361"/>
      <c r="J180" s="363"/>
      <c r="K180" s="364"/>
      <c r="L180" s="361"/>
      <c r="M180" s="361"/>
      <c r="N180" s="361"/>
      <c r="O180" s="361"/>
      <c r="P180" s="361"/>
      <c r="Q180" s="361"/>
      <c r="R180" s="361"/>
      <c r="S180" s="361"/>
      <c r="T180" s="361"/>
      <c r="U180" s="361"/>
      <c r="V180" s="361"/>
      <c r="W180" s="361"/>
      <c r="X180" s="361"/>
      <c r="Y180" s="131"/>
      <c r="Z180" s="163"/>
      <c r="AA180" s="131"/>
      <c r="AB180" s="131"/>
      <c r="AC180" s="131"/>
      <c r="AD180" s="131"/>
      <c r="AE180" s="131"/>
      <c r="AF180" s="163"/>
      <c r="AG180" s="163"/>
      <c r="AH180" s="163"/>
      <c r="AI180" s="163"/>
      <c r="AJ180" s="163"/>
      <c r="AK180" s="163"/>
      <c r="AL180" s="163"/>
      <c r="AM180" s="130"/>
      <c r="AN180" s="163"/>
    </row>
    <row r="181" ht="15.75" customHeight="1">
      <c r="A181" s="362"/>
      <c r="B181" s="362"/>
      <c r="C181" s="362"/>
      <c r="D181" s="362"/>
      <c r="E181" s="132"/>
      <c r="F181" s="132"/>
      <c r="G181" s="361"/>
      <c r="H181" s="361"/>
      <c r="I181" s="361"/>
      <c r="J181" s="363"/>
      <c r="K181" s="364"/>
      <c r="L181" s="361"/>
      <c r="M181" s="361"/>
      <c r="N181" s="361"/>
      <c r="O181" s="361"/>
      <c r="P181" s="361"/>
      <c r="Q181" s="361"/>
      <c r="R181" s="361"/>
      <c r="S181" s="361"/>
      <c r="T181" s="361"/>
      <c r="U181" s="361"/>
      <c r="V181" s="361"/>
      <c r="W181" s="361"/>
      <c r="X181" s="361"/>
      <c r="Y181" s="131"/>
      <c r="Z181" s="163"/>
      <c r="AA181" s="131"/>
      <c r="AB181" s="131"/>
      <c r="AC181" s="131"/>
      <c r="AD181" s="131"/>
      <c r="AE181" s="131"/>
      <c r="AF181" s="163"/>
      <c r="AG181" s="163"/>
      <c r="AH181" s="163"/>
      <c r="AI181" s="163"/>
      <c r="AJ181" s="163"/>
      <c r="AK181" s="163"/>
      <c r="AL181" s="163"/>
      <c r="AM181" s="130"/>
      <c r="AN181" s="163"/>
    </row>
    <row r="182" ht="15.75" customHeight="1">
      <c r="A182" s="362"/>
      <c r="B182" s="362"/>
      <c r="C182" s="362"/>
      <c r="D182" s="362"/>
      <c r="E182" s="132"/>
      <c r="F182" s="132"/>
      <c r="G182" s="361"/>
      <c r="H182" s="361"/>
      <c r="I182" s="361"/>
      <c r="J182" s="363"/>
      <c r="K182" s="364"/>
      <c r="L182" s="361"/>
      <c r="M182" s="361"/>
      <c r="N182" s="361"/>
      <c r="O182" s="361"/>
      <c r="P182" s="361"/>
      <c r="Q182" s="361"/>
      <c r="R182" s="361"/>
      <c r="S182" s="361"/>
      <c r="T182" s="361"/>
      <c r="U182" s="361"/>
      <c r="V182" s="361"/>
      <c r="W182" s="361"/>
      <c r="X182" s="361"/>
      <c r="Y182" s="131"/>
      <c r="Z182" s="163"/>
      <c r="AA182" s="131"/>
      <c r="AB182" s="131"/>
      <c r="AC182" s="131"/>
      <c r="AD182" s="131"/>
      <c r="AE182" s="131"/>
      <c r="AF182" s="163"/>
      <c r="AG182" s="163"/>
      <c r="AH182" s="163"/>
      <c r="AI182" s="163"/>
      <c r="AJ182" s="163"/>
      <c r="AK182" s="163"/>
      <c r="AL182" s="163"/>
      <c r="AM182" s="130"/>
      <c r="AN182" s="163"/>
    </row>
    <row r="183" ht="15.75" customHeight="1">
      <c r="A183" s="362"/>
      <c r="B183" s="362"/>
      <c r="C183" s="362"/>
      <c r="D183" s="362"/>
      <c r="E183" s="132"/>
      <c r="F183" s="132"/>
      <c r="G183" s="361"/>
      <c r="H183" s="361"/>
      <c r="I183" s="361"/>
      <c r="J183" s="363"/>
      <c r="K183" s="364"/>
      <c r="L183" s="361"/>
      <c r="M183" s="361"/>
      <c r="N183" s="361"/>
      <c r="O183" s="361"/>
      <c r="P183" s="361"/>
      <c r="Q183" s="361"/>
      <c r="R183" s="361"/>
      <c r="S183" s="361"/>
      <c r="T183" s="361"/>
      <c r="U183" s="361"/>
      <c r="V183" s="361"/>
      <c r="W183" s="361"/>
      <c r="X183" s="361"/>
      <c r="Y183" s="131"/>
      <c r="Z183" s="163"/>
      <c r="AA183" s="131"/>
      <c r="AB183" s="131"/>
      <c r="AC183" s="131"/>
      <c r="AD183" s="131"/>
      <c r="AE183" s="131"/>
      <c r="AF183" s="163"/>
      <c r="AG183" s="163"/>
      <c r="AH183" s="163"/>
      <c r="AI183" s="163"/>
      <c r="AJ183" s="163"/>
      <c r="AK183" s="163"/>
      <c r="AL183" s="163"/>
      <c r="AM183" s="130"/>
      <c r="AN183" s="163"/>
    </row>
    <row r="184" ht="15.75" customHeight="1">
      <c r="A184" s="362"/>
      <c r="B184" s="362"/>
      <c r="C184" s="362"/>
      <c r="D184" s="362"/>
      <c r="E184" s="132"/>
      <c r="F184" s="132"/>
      <c r="G184" s="361"/>
      <c r="H184" s="361"/>
      <c r="I184" s="361"/>
      <c r="J184" s="363"/>
      <c r="K184" s="364"/>
      <c r="L184" s="361"/>
      <c r="M184" s="361"/>
      <c r="N184" s="361"/>
      <c r="O184" s="361"/>
      <c r="P184" s="361"/>
      <c r="Q184" s="361"/>
      <c r="R184" s="361"/>
      <c r="S184" s="361"/>
      <c r="T184" s="361"/>
      <c r="U184" s="361"/>
      <c r="V184" s="361"/>
      <c r="W184" s="361"/>
      <c r="X184" s="361"/>
      <c r="Y184" s="131"/>
      <c r="Z184" s="163"/>
      <c r="AA184" s="131"/>
      <c r="AB184" s="131"/>
      <c r="AC184" s="131"/>
      <c r="AD184" s="131"/>
      <c r="AE184" s="131"/>
      <c r="AF184" s="163"/>
      <c r="AG184" s="163"/>
      <c r="AH184" s="163"/>
      <c r="AI184" s="163"/>
      <c r="AJ184" s="163"/>
      <c r="AK184" s="163"/>
      <c r="AL184" s="163"/>
      <c r="AM184" s="130"/>
      <c r="AN184" s="163"/>
    </row>
    <row r="185" ht="15.75" customHeight="1">
      <c r="A185" s="362"/>
      <c r="B185" s="362"/>
      <c r="C185" s="362"/>
      <c r="D185" s="362"/>
      <c r="E185" s="132"/>
      <c r="F185" s="132"/>
      <c r="G185" s="361"/>
      <c r="H185" s="361"/>
      <c r="I185" s="361"/>
      <c r="J185" s="363"/>
      <c r="K185" s="364"/>
      <c r="L185" s="361"/>
      <c r="M185" s="361"/>
      <c r="N185" s="361"/>
      <c r="O185" s="361"/>
      <c r="P185" s="361"/>
      <c r="Q185" s="361"/>
      <c r="R185" s="361"/>
      <c r="S185" s="361"/>
      <c r="T185" s="361"/>
      <c r="U185" s="361"/>
      <c r="V185" s="361"/>
      <c r="W185" s="361"/>
      <c r="X185" s="361"/>
      <c r="Y185" s="131"/>
      <c r="Z185" s="163"/>
      <c r="AA185" s="131"/>
      <c r="AB185" s="131"/>
      <c r="AC185" s="131"/>
      <c r="AD185" s="131"/>
      <c r="AE185" s="131"/>
      <c r="AF185" s="163"/>
      <c r="AG185" s="163"/>
      <c r="AH185" s="163"/>
      <c r="AI185" s="163"/>
      <c r="AJ185" s="163"/>
      <c r="AK185" s="163"/>
      <c r="AL185" s="163"/>
      <c r="AM185" s="130"/>
      <c r="AN185" s="163"/>
    </row>
    <row r="186" ht="15.75" customHeight="1">
      <c r="A186" s="362"/>
      <c r="B186" s="362"/>
      <c r="C186" s="362"/>
      <c r="D186" s="362"/>
      <c r="E186" s="132"/>
      <c r="F186" s="132"/>
      <c r="G186" s="361"/>
      <c r="H186" s="361"/>
      <c r="I186" s="361"/>
      <c r="J186" s="363"/>
      <c r="K186" s="364"/>
      <c r="L186" s="361"/>
      <c r="M186" s="361"/>
      <c r="N186" s="361"/>
      <c r="O186" s="361"/>
      <c r="P186" s="361"/>
      <c r="Q186" s="361"/>
      <c r="R186" s="361"/>
      <c r="S186" s="361"/>
      <c r="T186" s="361"/>
      <c r="U186" s="361"/>
      <c r="V186" s="361"/>
      <c r="W186" s="361"/>
      <c r="X186" s="361"/>
      <c r="Y186" s="131"/>
      <c r="Z186" s="163"/>
      <c r="AA186" s="131"/>
      <c r="AB186" s="131"/>
      <c r="AC186" s="131"/>
      <c r="AD186" s="131"/>
      <c r="AE186" s="131"/>
      <c r="AF186" s="163"/>
      <c r="AG186" s="163"/>
      <c r="AH186" s="163"/>
      <c r="AI186" s="163"/>
      <c r="AJ186" s="163"/>
      <c r="AK186" s="163"/>
      <c r="AL186" s="163"/>
      <c r="AM186" s="130"/>
      <c r="AN186" s="163"/>
    </row>
    <row r="187" ht="15.75" customHeight="1">
      <c r="A187" s="362"/>
      <c r="B187" s="362"/>
      <c r="C187" s="362"/>
      <c r="D187" s="362"/>
      <c r="E187" s="132"/>
      <c r="F187" s="132"/>
      <c r="G187" s="361"/>
      <c r="H187" s="361"/>
      <c r="I187" s="361"/>
      <c r="J187" s="363"/>
      <c r="K187" s="364"/>
      <c r="L187" s="361"/>
      <c r="M187" s="361"/>
      <c r="N187" s="361"/>
      <c r="O187" s="361"/>
      <c r="P187" s="361"/>
      <c r="Q187" s="361"/>
      <c r="R187" s="361"/>
      <c r="S187" s="361"/>
      <c r="T187" s="361"/>
      <c r="U187" s="361"/>
      <c r="V187" s="361"/>
      <c r="W187" s="361"/>
      <c r="X187" s="361"/>
      <c r="Y187" s="131"/>
      <c r="Z187" s="163"/>
      <c r="AA187" s="131"/>
      <c r="AB187" s="131"/>
      <c r="AC187" s="131"/>
      <c r="AD187" s="131"/>
      <c r="AE187" s="131"/>
      <c r="AF187" s="163"/>
      <c r="AG187" s="163"/>
      <c r="AH187" s="163"/>
      <c r="AI187" s="163"/>
      <c r="AJ187" s="163"/>
      <c r="AK187" s="163"/>
      <c r="AL187" s="163"/>
      <c r="AM187" s="130"/>
      <c r="AN187" s="163"/>
    </row>
    <row r="188" ht="15.75" customHeight="1">
      <c r="A188" s="362"/>
      <c r="B188" s="362"/>
      <c r="C188" s="362"/>
      <c r="D188" s="362"/>
      <c r="E188" s="132"/>
      <c r="F188" s="132"/>
      <c r="G188" s="361"/>
      <c r="H188" s="361"/>
      <c r="I188" s="361"/>
      <c r="J188" s="363"/>
      <c r="K188" s="364"/>
      <c r="L188" s="361"/>
      <c r="M188" s="361"/>
      <c r="N188" s="361"/>
      <c r="O188" s="361"/>
      <c r="P188" s="361"/>
      <c r="Q188" s="361"/>
      <c r="R188" s="361"/>
      <c r="S188" s="361"/>
      <c r="T188" s="361"/>
      <c r="U188" s="361"/>
      <c r="V188" s="361"/>
      <c r="W188" s="361"/>
      <c r="X188" s="361"/>
      <c r="Y188" s="131"/>
      <c r="Z188" s="163"/>
      <c r="AA188" s="131"/>
      <c r="AB188" s="131"/>
      <c r="AC188" s="131"/>
      <c r="AD188" s="131"/>
      <c r="AE188" s="131"/>
      <c r="AF188" s="163"/>
      <c r="AG188" s="163"/>
      <c r="AH188" s="163"/>
      <c r="AI188" s="163"/>
      <c r="AJ188" s="163"/>
      <c r="AK188" s="163"/>
      <c r="AL188" s="163"/>
      <c r="AM188" s="130"/>
      <c r="AN188" s="163"/>
    </row>
    <row r="189" ht="15.75" customHeight="1">
      <c r="A189" s="362"/>
      <c r="B189" s="362"/>
      <c r="C189" s="362"/>
      <c r="D189" s="362"/>
      <c r="E189" s="132"/>
      <c r="F189" s="132"/>
      <c r="G189" s="361"/>
      <c r="H189" s="361"/>
      <c r="I189" s="361"/>
      <c r="J189" s="363"/>
      <c r="K189" s="364"/>
      <c r="L189" s="361"/>
      <c r="M189" s="361"/>
      <c r="N189" s="361"/>
      <c r="O189" s="361"/>
      <c r="P189" s="361"/>
      <c r="Q189" s="361"/>
      <c r="R189" s="361"/>
      <c r="S189" s="361"/>
      <c r="T189" s="361"/>
      <c r="U189" s="361"/>
      <c r="V189" s="361"/>
      <c r="W189" s="361"/>
      <c r="X189" s="361"/>
      <c r="Y189" s="131"/>
      <c r="Z189" s="163"/>
      <c r="AA189" s="131"/>
      <c r="AB189" s="131"/>
      <c r="AC189" s="131"/>
      <c r="AD189" s="131"/>
      <c r="AE189" s="131"/>
      <c r="AF189" s="163"/>
      <c r="AG189" s="163"/>
      <c r="AH189" s="163"/>
      <c r="AI189" s="163"/>
      <c r="AJ189" s="163"/>
      <c r="AK189" s="163"/>
      <c r="AL189" s="163"/>
      <c r="AM189" s="130"/>
      <c r="AN189" s="163"/>
    </row>
    <row r="190" ht="15.75" customHeight="1">
      <c r="A190" s="362"/>
      <c r="B190" s="362"/>
      <c r="C190" s="362"/>
      <c r="D190" s="362"/>
      <c r="E190" s="132"/>
      <c r="F190" s="132"/>
      <c r="G190" s="361"/>
      <c r="H190" s="361"/>
      <c r="I190" s="361"/>
      <c r="J190" s="363"/>
      <c r="K190" s="364"/>
      <c r="L190" s="361"/>
      <c r="M190" s="361"/>
      <c r="N190" s="361"/>
      <c r="O190" s="361"/>
      <c r="P190" s="361"/>
      <c r="Q190" s="361"/>
      <c r="R190" s="361"/>
      <c r="S190" s="361"/>
      <c r="T190" s="361"/>
      <c r="U190" s="361"/>
      <c r="V190" s="361"/>
      <c r="W190" s="361"/>
      <c r="X190" s="361"/>
      <c r="Y190" s="131"/>
      <c r="Z190" s="163"/>
      <c r="AA190" s="131"/>
      <c r="AB190" s="131"/>
      <c r="AC190" s="131"/>
      <c r="AD190" s="131"/>
      <c r="AE190" s="131"/>
      <c r="AF190" s="163"/>
      <c r="AG190" s="163"/>
      <c r="AH190" s="163"/>
      <c r="AI190" s="163"/>
      <c r="AJ190" s="163"/>
      <c r="AK190" s="163"/>
      <c r="AL190" s="163"/>
      <c r="AM190" s="130"/>
      <c r="AN190" s="163"/>
    </row>
    <row r="191" ht="15.75" customHeight="1">
      <c r="A191" s="362"/>
      <c r="B191" s="362"/>
      <c r="C191" s="362"/>
      <c r="D191" s="362"/>
      <c r="E191" s="132"/>
      <c r="F191" s="132"/>
      <c r="G191" s="361"/>
      <c r="H191" s="361"/>
      <c r="I191" s="361"/>
      <c r="J191" s="363"/>
      <c r="K191" s="364"/>
      <c r="L191" s="361"/>
      <c r="M191" s="361"/>
      <c r="N191" s="361"/>
      <c r="O191" s="361"/>
      <c r="P191" s="361"/>
      <c r="Q191" s="361"/>
      <c r="R191" s="361"/>
      <c r="S191" s="361"/>
      <c r="T191" s="361"/>
      <c r="U191" s="361"/>
      <c r="V191" s="361"/>
      <c r="W191" s="361"/>
      <c r="X191" s="361"/>
      <c r="Y191" s="131"/>
      <c r="Z191" s="163"/>
      <c r="AA191" s="131"/>
      <c r="AB191" s="131"/>
      <c r="AC191" s="131"/>
      <c r="AD191" s="131"/>
      <c r="AE191" s="131"/>
      <c r="AF191" s="163"/>
      <c r="AG191" s="163"/>
      <c r="AH191" s="163"/>
      <c r="AI191" s="163"/>
      <c r="AJ191" s="163"/>
      <c r="AK191" s="163"/>
      <c r="AL191" s="163"/>
      <c r="AM191" s="130"/>
      <c r="AN191" s="163"/>
    </row>
    <row r="192" ht="15.75" customHeight="1">
      <c r="A192" s="362"/>
      <c r="B192" s="362"/>
      <c r="C192" s="362"/>
      <c r="D192" s="362"/>
      <c r="E192" s="132"/>
      <c r="F192" s="132"/>
      <c r="G192" s="361"/>
      <c r="H192" s="361"/>
      <c r="I192" s="361"/>
      <c r="J192" s="363"/>
      <c r="K192" s="364"/>
      <c r="L192" s="361"/>
      <c r="M192" s="361"/>
      <c r="N192" s="361"/>
      <c r="O192" s="361"/>
      <c r="P192" s="361"/>
      <c r="Q192" s="361"/>
      <c r="R192" s="361"/>
      <c r="S192" s="361"/>
      <c r="T192" s="361"/>
      <c r="U192" s="361"/>
      <c r="V192" s="361"/>
      <c r="W192" s="361"/>
      <c r="X192" s="361"/>
      <c r="Y192" s="131"/>
      <c r="Z192" s="163"/>
      <c r="AA192" s="131"/>
      <c r="AB192" s="131"/>
      <c r="AC192" s="131"/>
      <c r="AD192" s="131"/>
      <c r="AE192" s="131"/>
      <c r="AF192" s="163"/>
      <c r="AG192" s="163"/>
      <c r="AH192" s="163"/>
      <c r="AI192" s="163"/>
      <c r="AJ192" s="163"/>
      <c r="AK192" s="163"/>
      <c r="AL192" s="163"/>
      <c r="AM192" s="130"/>
      <c r="AN192" s="163"/>
    </row>
    <row r="193" ht="15.75" customHeight="1">
      <c r="A193" s="362"/>
      <c r="B193" s="362"/>
      <c r="C193" s="362"/>
      <c r="D193" s="362"/>
      <c r="E193" s="132"/>
      <c r="F193" s="132"/>
      <c r="G193" s="361"/>
      <c r="H193" s="361"/>
      <c r="I193" s="361"/>
      <c r="J193" s="363"/>
      <c r="K193" s="364"/>
      <c r="L193" s="361"/>
      <c r="M193" s="361"/>
      <c r="N193" s="361"/>
      <c r="O193" s="361"/>
      <c r="P193" s="361"/>
      <c r="Q193" s="361"/>
      <c r="R193" s="361"/>
      <c r="S193" s="361"/>
      <c r="T193" s="361"/>
      <c r="U193" s="361"/>
      <c r="V193" s="361"/>
      <c r="W193" s="361"/>
      <c r="X193" s="361"/>
      <c r="Y193" s="131"/>
      <c r="Z193" s="163"/>
      <c r="AA193" s="131"/>
      <c r="AB193" s="131"/>
      <c r="AC193" s="131"/>
      <c r="AD193" s="131"/>
      <c r="AE193" s="131"/>
      <c r="AF193" s="163"/>
      <c r="AG193" s="163"/>
      <c r="AH193" s="163"/>
      <c r="AI193" s="163"/>
      <c r="AJ193" s="163"/>
      <c r="AK193" s="163"/>
      <c r="AL193" s="163"/>
      <c r="AM193" s="130"/>
      <c r="AN193" s="163"/>
    </row>
    <row r="194" ht="15.75" customHeight="1">
      <c r="A194" s="362"/>
      <c r="B194" s="362"/>
      <c r="C194" s="362"/>
      <c r="D194" s="362"/>
      <c r="E194" s="132"/>
      <c r="F194" s="132"/>
      <c r="G194" s="361"/>
      <c r="H194" s="361"/>
      <c r="I194" s="361"/>
      <c r="J194" s="363"/>
      <c r="K194" s="364"/>
      <c r="L194" s="361"/>
      <c r="M194" s="361"/>
      <c r="N194" s="361"/>
      <c r="O194" s="361"/>
      <c r="P194" s="361"/>
      <c r="Q194" s="361"/>
      <c r="R194" s="361"/>
      <c r="S194" s="361"/>
      <c r="T194" s="361"/>
      <c r="U194" s="361"/>
      <c r="V194" s="361"/>
      <c r="W194" s="361"/>
      <c r="X194" s="361"/>
      <c r="Y194" s="131"/>
      <c r="Z194" s="163"/>
      <c r="AA194" s="131"/>
      <c r="AB194" s="131"/>
      <c r="AC194" s="131"/>
      <c r="AD194" s="131"/>
      <c r="AE194" s="131"/>
      <c r="AF194" s="163"/>
      <c r="AG194" s="163"/>
      <c r="AH194" s="163"/>
      <c r="AI194" s="163"/>
      <c r="AJ194" s="163"/>
      <c r="AK194" s="163"/>
      <c r="AL194" s="163"/>
      <c r="AM194" s="130"/>
      <c r="AN194" s="163"/>
    </row>
    <row r="195" ht="15.75" customHeight="1">
      <c r="A195" s="362"/>
      <c r="B195" s="362"/>
      <c r="C195" s="362"/>
      <c r="D195" s="362"/>
      <c r="E195" s="132"/>
      <c r="F195" s="132"/>
      <c r="G195" s="361"/>
      <c r="H195" s="361"/>
      <c r="I195" s="361"/>
      <c r="J195" s="363"/>
      <c r="K195" s="364"/>
      <c r="L195" s="361"/>
      <c r="M195" s="361"/>
      <c r="N195" s="361"/>
      <c r="O195" s="361"/>
      <c r="P195" s="361"/>
      <c r="Q195" s="361"/>
      <c r="R195" s="361"/>
      <c r="S195" s="361"/>
      <c r="T195" s="361"/>
      <c r="U195" s="361"/>
      <c r="V195" s="361"/>
      <c r="W195" s="361"/>
      <c r="X195" s="361"/>
      <c r="Y195" s="131"/>
      <c r="Z195" s="163"/>
      <c r="AA195" s="131"/>
      <c r="AB195" s="131"/>
      <c r="AC195" s="131"/>
      <c r="AD195" s="131"/>
      <c r="AE195" s="131"/>
      <c r="AF195" s="163"/>
      <c r="AG195" s="163"/>
      <c r="AH195" s="163"/>
      <c r="AI195" s="163"/>
      <c r="AJ195" s="163"/>
      <c r="AK195" s="163"/>
      <c r="AL195" s="163"/>
      <c r="AM195" s="130"/>
      <c r="AN195" s="163"/>
    </row>
    <row r="196" ht="15.75" customHeight="1">
      <c r="A196" s="362"/>
      <c r="B196" s="362"/>
      <c r="C196" s="362"/>
      <c r="D196" s="362"/>
      <c r="E196" s="132"/>
      <c r="F196" s="132"/>
      <c r="G196" s="361"/>
      <c r="H196" s="361"/>
      <c r="I196" s="361"/>
      <c r="J196" s="363"/>
      <c r="K196" s="364"/>
      <c r="L196" s="361"/>
      <c r="M196" s="361"/>
      <c r="N196" s="361"/>
      <c r="O196" s="361"/>
      <c r="P196" s="361"/>
      <c r="Q196" s="361"/>
      <c r="R196" s="361"/>
      <c r="S196" s="361"/>
      <c r="T196" s="361"/>
      <c r="U196" s="361"/>
      <c r="V196" s="361"/>
      <c r="W196" s="361"/>
      <c r="X196" s="361"/>
      <c r="Y196" s="131"/>
      <c r="Z196" s="163"/>
      <c r="AA196" s="131"/>
      <c r="AB196" s="131"/>
      <c r="AC196" s="131"/>
      <c r="AD196" s="131"/>
      <c r="AE196" s="131"/>
      <c r="AF196" s="163"/>
      <c r="AG196" s="163"/>
      <c r="AH196" s="163"/>
      <c r="AI196" s="163"/>
      <c r="AJ196" s="163"/>
      <c r="AK196" s="163"/>
      <c r="AL196" s="163"/>
      <c r="AM196" s="130"/>
      <c r="AN196" s="163"/>
    </row>
    <row r="197" ht="15.75" customHeight="1">
      <c r="A197" s="362"/>
      <c r="B197" s="362"/>
      <c r="C197" s="362"/>
      <c r="D197" s="362"/>
      <c r="E197" s="132"/>
      <c r="F197" s="132"/>
      <c r="G197" s="361"/>
      <c r="H197" s="361"/>
      <c r="I197" s="361"/>
      <c r="J197" s="363"/>
      <c r="K197" s="364"/>
      <c r="L197" s="361"/>
      <c r="M197" s="361"/>
      <c r="N197" s="361"/>
      <c r="O197" s="361"/>
      <c r="P197" s="361"/>
      <c r="Q197" s="361"/>
      <c r="R197" s="361"/>
      <c r="S197" s="361"/>
      <c r="T197" s="361"/>
      <c r="U197" s="361"/>
      <c r="V197" s="361"/>
      <c r="W197" s="361"/>
      <c r="X197" s="361"/>
      <c r="Y197" s="131"/>
      <c r="Z197" s="163"/>
      <c r="AA197" s="131"/>
      <c r="AB197" s="131"/>
      <c r="AC197" s="131"/>
      <c r="AD197" s="131"/>
      <c r="AE197" s="131"/>
      <c r="AF197" s="163"/>
      <c r="AG197" s="163"/>
      <c r="AH197" s="163"/>
      <c r="AI197" s="163"/>
      <c r="AJ197" s="163"/>
      <c r="AK197" s="163"/>
      <c r="AL197" s="163"/>
      <c r="AM197" s="130"/>
      <c r="AN197" s="163"/>
    </row>
    <row r="198" ht="15.75" customHeight="1">
      <c r="A198" s="362"/>
      <c r="B198" s="362"/>
      <c r="C198" s="362"/>
      <c r="D198" s="362"/>
      <c r="E198" s="132"/>
      <c r="F198" s="132"/>
      <c r="G198" s="361"/>
      <c r="H198" s="361"/>
      <c r="I198" s="361"/>
      <c r="J198" s="363"/>
      <c r="K198" s="364"/>
      <c r="L198" s="361"/>
      <c r="M198" s="361"/>
      <c r="N198" s="361"/>
      <c r="O198" s="361"/>
      <c r="P198" s="361"/>
      <c r="Q198" s="361"/>
      <c r="R198" s="361"/>
      <c r="S198" s="361"/>
      <c r="T198" s="361"/>
      <c r="U198" s="361"/>
      <c r="V198" s="361"/>
      <c r="W198" s="361"/>
      <c r="X198" s="361"/>
      <c r="Y198" s="131"/>
      <c r="Z198" s="163"/>
      <c r="AA198" s="131"/>
      <c r="AB198" s="131"/>
      <c r="AC198" s="131"/>
      <c r="AD198" s="131"/>
      <c r="AE198" s="131"/>
      <c r="AF198" s="163"/>
      <c r="AG198" s="163"/>
      <c r="AH198" s="163"/>
      <c r="AI198" s="163"/>
      <c r="AJ198" s="163"/>
      <c r="AK198" s="163"/>
      <c r="AL198" s="163"/>
      <c r="AM198" s="130"/>
      <c r="AN198" s="163"/>
    </row>
    <row r="199" ht="15.75" customHeight="1">
      <c r="A199" s="362"/>
      <c r="B199" s="362"/>
      <c r="C199" s="362"/>
      <c r="D199" s="362"/>
      <c r="E199" s="132"/>
      <c r="F199" s="132"/>
      <c r="G199" s="361"/>
      <c r="H199" s="361"/>
      <c r="I199" s="361"/>
      <c r="J199" s="363"/>
      <c r="K199" s="364"/>
      <c r="L199" s="361"/>
      <c r="M199" s="361"/>
      <c r="N199" s="361"/>
      <c r="O199" s="361"/>
      <c r="P199" s="361"/>
      <c r="Q199" s="361"/>
      <c r="R199" s="361"/>
      <c r="S199" s="361"/>
      <c r="T199" s="361"/>
      <c r="U199" s="361"/>
      <c r="V199" s="361"/>
      <c r="W199" s="361"/>
      <c r="X199" s="361"/>
      <c r="Y199" s="131"/>
      <c r="Z199" s="163"/>
      <c r="AA199" s="131"/>
      <c r="AB199" s="131"/>
      <c r="AC199" s="131"/>
      <c r="AD199" s="131"/>
      <c r="AE199" s="131"/>
      <c r="AF199" s="163"/>
      <c r="AG199" s="163"/>
      <c r="AH199" s="163"/>
      <c r="AI199" s="163"/>
      <c r="AJ199" s="163"/>
      <c r="AK199" s="163"/>
      <c r="AL199" s="163"/>
      <c r="AM199" s="130"/>
      <c r="AN199" s="163"/>
    </row>
    <row r="200" ht="15.75" customHeight="1">
      <c r="A200" s="362"/>
      <c r="B200" s="362"/>
      <c r="C200" s="362"/>
      <c r="D200" s="362"/>
      <c r="E200" s="132"/>
      <c r="F200" s="132"/>
      <c r="G200" s="361"/>
      <c r="H200" s="361"/>
      <c r="I200" s="361"/>
      <c r="J200" s="363"/>
      <c r="K200" s="364"/>
      <c r="L200" s="361"/>
      <c r="M200" s="361"/>
      <c r="N200" s="361"/>
      <c r="O200" s="361"/>
      <c r="P200" s="361"/>
      <c r="Q200" s="361"/>
      <c r="R200" s="361"/>
      <c r="S200" s="361"/>
      <c r="T200" s="361"/>
      <c r="U200" s="361"/>
      <c r="V200" s="361"/>
      <c r="W200" s="361"/>
      <c r="X200" s="361"/>
      <c r="Y200" s="131"/>
      <c r="Z200" s="163"/>
      <c r="AA200" s="131"/>
      <c r="AB200" s="131"/>
      <c r="AC200" s="131"/>
      <c r="AD200" s="131"/>
      <c r="AE200" s="131"/>
      <c r="AF200" s="163"/>
      <c r="AG200" s="163"/>
      <c r="AH200" s="163"/>
      <c r="AI200" s="163"/>
      <c r="AJ200" s="163"/>
      <c r="AK200" s="163"/>
      <c r="AL200" s="163"/>
      <c r="AM200" s="130"/>
      <c r="AN200" s="163"/>
    </row>
    <row r="201" ht="15.75" customHeight="1">
      <c r="A201" s="362"/>
      <c r="B201" s="362"/>
      <c r="C201" s="362"/>
      <c r="D201" s="362"/>
      <c r="E201" s="132"/>
      <c r="F201" s="132"/>
      <c r="G201" s="361"/>
      <c r="H201" s="361"/>
      <c r="I201" s="361"/>
      <c r="J201" s="363"/>
      <c r="K201" s="364"/>
      <c r="L201" s="361"/>
      <c r="M201" s="361"/>
      <c r="N201" s="361"/>
      <c r="O201" s="361"/>
      <c r="P201" s="361"/>
      <c r="Q201" s="361"/>
      <c r="R201" s="361"/>
      <c r="S201" s="361"/>
      <c r="T201" s="361"/>
      <c r="U201" s="361"/>
      <c r="V201" s="361"/>
      <c r="W201" s="361"/>
      <c r="X201" s="361"/>
      <c r="Y201" s="131"/>
      <c r="Z201" s="163"/>
      <c r="AA201" s="131"/>
      <c r="AB201" s="131"/>
      <c r="AC201" s="131"/>
      <c r="AD201" s="131"/>
      <c r="AE201" s="131"/>
      <c r="AF201" s="163"/>
      <c r="AG201" s="163"/>
      <c r="AH201" s="163"/>
      <c r="AI201" s="163"/>
      <c r="AJ201" s="163"/>
      <c r="AK201" s="163"/>
      <c r="AL201" s="163"/>
      <c r="AM201" s="130"/>
      <c r="AN201" s="163"/>
    </row>
    <row r="202" ht="15.75" customHeight="1">
      <c r="A202" s="362"/>
      <c r="B202" s="362"/>
      <c r="C202" s="362"/>
      <c r="D202" s="362"/>
      <c r="E202" s="132"/>
      <c r="F202" s="132"/>
      <c r="G202" s="361"/>
      <c r="H202" s="361"/>
      <c r="I202" s="361"/>
      <c r="J202" s="363"/>
      <c r="K202" s="364"/>
      <c r="L202" s="361"/>
      <c r="M202" s="361"/>
      <c r="N202" s="361"/>
      <c r="O202" s="361"/>
      <c r="P202" s="361"/>
      <c r="Q202" s="361"/>
      <c r="R202" s="361"/>
      <c r="S202" s="361"/>
      <c r="T202" s="361"/>
      <c r="U202" s="361"/>
      <c r="V202" s="361"/>
      <c r="W202" s="361"/>
      <c r="X202" s="361"/>
      <c r="Y202" s="131"/>
      <c r="Z202" s="163"/>
      <c r="AA202" s="131"/>
      <c r="AB202" s="131"/>
      <c r="AC202" s="131"/>
      <c r="AD202" s="131"/>
      <c r="AE202" s="131"/>
      <c r="AF202" s="163"/>
      <c r="AG202" s="163"/>
      <c r="AH202" s="163"/>
      <c r="AI202" s="163"/>
      <c r="AJ202" s="163"/>
      <c r="AK202" s="163"/>
      <c r="AL202" s="163"/>
      <c r="AM202" s="130"/>
      <c r="AN202" s="163"/>
    </row>
    <row r="203" ht="15.75" customHeight="1">
      <c r="A203" s="362"/>
      <c r="B203" s="362"/>
      <c r="C203" s="362"/>
      <c r="D203" s="362"/>
      <c r="E203" s="132"/>
      <c r="F203" s="132"/>
      <c r="G203" s="361"/>
      <c r="H203" s="361"/>
      <c r="I203" s="361"/>
      <c r="J203" s="363"/>
      <c r="K203" s="364"/>
      <c r="L203" s="361"/>
      <c r="M203" s="361"/>
      <c r="N203" s="361"/>
      <c r="O203" s="361"/>
      <c r="P203" s="361"/>
      <c r="Q203" s="361"/>
      <c r="R203" s="361"/>
      <c r="S203" s="361"/>
      <c r="T203" s="361"/>
      <c r="U203" s="361"/>
      <c r="V203" s="361"/>
      <c r="W203" s="361"/>
      <c r="X203" s="361"/>
      <c r="Y203" s="131"/>
      <c r="Z203" s="163"/>
      <c r="AA203" s="131"/>
      <c r="AB203" s="131"/>
      <c r="AC203" s="131"/>
      <c r="AD203" s="131"/>
      <c r="AE203" s="131"/>
      <c r="AF203" s="163"/>
      <c r="AG203" s="163"/>
      <c r="AH203" s="163"/>
      <c r="AI203" s="163"/>
      <c r="AJ203" s="163"/>
      <c r="AK203" s="163"/>
      <c r="AL203" s="163"/>
      <c r="AM203" s="130"/>
      <c r="AN203" s="163"/>
    </row>
    <row r="204" ht="15.75" customHeight="1">
      <c r="A204" s="362"/>
      <c r="B204" s="362"/>
      <c r="C204" s="362"/>
      <c r="D204" s="362"/>
      <c r="E204" s="132"/>
      <c r="F204" s="132"/>
      <c r="G204" s="361"/>
      <c r="H204" s="361"/>
      <c r="I204" s="361"/>
      <c r="J204" s="363"/>
      <c r="K204" s="364"/>
      <c r="L204" s="361"/>
      <c r="M204" s="361"/>
      <c r="N204" s="361"/>
      <c r="O204" s="361"/>
      <c r="P204" s="361"/>
      <c r="Q204" s="361"/>
      <c r="R204" s="361"/>
      <c r="S204" s="361"/>
      <c r="T204" s="361"/>
      <c r="U204" s="361"/>
      <c r="V204" s="361"/>
      <c r="W204" s="361"/>
      <c r="X204" s="361"/>
      <c r="Y204" s="131"/>
      <c r="Z204" s="163"/>
      <c r="AA204" s="131"/>
      <c r="AB204" s="131"/>
      <c r="AC204" s="131"/>
      <c r="AD204" s="131"/>
      <c r="AE204" s="131"/>
      <c r="AF204" s="163"/>
      <c r="AG204" s="163"/>
      <c r="AH204" s="163"/>
      <c r="AI204" s="163"/>
      <c r="AJ204" s="163"/>
      <c r="AK204" s="163"/>
      <c r="AL204" s="163"/>
      <c r="AM204" s="130"/>
      <c r="AN204" s="163"/>
    </row>
    <row r="205" ht="15.75" customHeight="1">
      <c r="A205" s="362"/>
      <c r="B205" s="362"/>
      <c r="C205" s="362"/>
      <c r="D205" s="362"/>
      <c r="E205" s="132"/>
      <c r="F205" s="132"/>
      <c r="G205" s="361"/>
      <c r="H205" s="361"/>
      <c r="I205" s="361"/>
      <c r="J205" s="363"/>
      <c r="K205" s="364"/>
      <c r="L205" s="361"/>
      <c r="M205" s="361"/>
      <c r="N205" s="361"/>
      <c r="O205" s="361"/>
      <c r="P205" s="361"/>
      <c r="Q205" s="361"/>
      <c r="R205" s="361"/>
      <c r="S205" s="361"/>
      <c r="T205" s="361"/>
      <c r="U205" s="361"/>
      <c r="V205" s="361"/>
      <c r="W205" s="361"/>
      <c r="X205" s="361"/>
      <c r="Y205" s="131"/>
      <c r="Z205" s="163"/>
      <c r="AA205" s="131"/>
      <c r="AB205" s="131"/>
      <c r="AC205" s="131"/>
      <c r="AD205" s="131"/>
      <c r="AE205" s="131"/>
      <c r="AF205" s="163"/>
      <c r="AG205" s="163"/>
      <c r="AH205" s="163"/>
      <c r="AI205" s="163"/>
      <c r="AJ205" s="163"/>
      <c r="AK205" s="163"/>
      <c r="AL205" s="163"/>
      <c r="AM205" s="130"/>
      <c r="AN205" s="163"/>
    </row>
    <row r="206" ht="15.75" customHeight="1">
      <c r="A206" s="362"/>
      <c r="B206" s="362"/>
      <c r="C206" s="362"/>
      <c r="D206" s="362"/>
      <c r="E206" s="132"/>
      <c r="F206" s="132"/>
      <c r="G206" s="361"/>
      <c r="H206" s="361"/>
      <c r="I206" s="361"/>
      <c r="J206" s="363"/>
      <c r="K206" s="364"/>
      <c r="L206" s="361"/>
      <c r="M206" s="361"/>
      <c r="N206" s="361"/>
      <c r="O206" s="361"/>
      <c r="P206" s="361"/>
      <c r="Q206" s="361"/>
      <c r="R206" s="361"/>
      <c r="S206" s="361"/>
      <c r="T206" s="361"/>
      <c r="U206" s="361"/>
      <c r="V206" s="361"/>
      <c r="W206" s="361"/>
      <c r="X206" s="361"/>
      <c r="Y206" s="131"/>
      <c r="Z206" s="163"/>
      <c r="AA206" s="131"/>
      <c r="AB206" s="131"/>
      <c r="AC206" s="131"/>
      <c r="AD206" s="131"/>
      <c r="AE206" s="131"/>
      <c r="AF206" s="163"/>
      <c r="AG206" s="163"/>
      <c r="AH206" s="163"/>
      <c r="AI206" s="163"/>
      <c r="AJ206" s="163"/>
      <c r="AK206" s="163"/>
      <c r="AL206" s="163"/>
      <c r="AM206" s="130"/>
      <c r="AN206" s="163"/>
    </row>
    <row r="207" ht="15.75" customHeight="1">
      <c r="A207" s="362"/>
      <c r="B207" s="362"/>
      <c r="C207" s="362"/>
      <c r="D207" s="362"/>
      <c r="E207" s="132"/>
      <c r="F207" s="132"/>
      <c r="G207" s="361"/>
      <c r="H207" s="361"/>
      <c r="I207" s="361"/>
      <c r="J207" s="363"/>
      <c r="K207" s="364"/>
      <c r="L207" s="361"/>
      <c r="M207" s="361"/>
      <c r="N207" s="361"/>
      <c r="O207" s="361"/>
      <c r="P207" s="361"/>
      <c r="Q207" s="361"/>
      <c r="R207" s="361"/>
      <c r="S207" s="361"/>
      <c r="T207" s="361"/>
      <c r="U207" s="361"/>
      <c r="V207" s="361"/>
      <c r="W207" s="361"/>
      <c r="X207" s="361"/>
      <c r="Y207" s="131"/>
      <c r="Z207" s="163"/>
      <c r="AA207" s="131"/>
      <c r="AB207" s="131"/>
      <c r="AC207" s="131"/>
      <c r="AD207" s="131"/>
      <c r="AE207" s="131"/>
      <c r="AF207" s="163"/>
      <c r="AG207" s="163"/>
      <c r="AH207" s="163"/>
      <c r="AI207" s="163"/>
      <c r="AJ207" s="163"/>
      <c r="AK207" s="163"/>
      <c r="AL207" s="163"/>
      <c r="AM207" s="130"/>
      <c r="AN207" s="163"/>
    </row>
    <row r="208" ht="15.75" customHeight="1">
      <c r="A208" s="362"/>
      <c r="B208" s="362"/>
      <c r="C208" s="362"/>
      <c r="D208" s="362"/>
      <c r="E208" s="132"/>
      <c r="F208" s="132"/>
      <c r="G208" s="361"/>
      <c r="H208" s="361"/>
      <c r="I208" s="361"/>
      <c r="J208" s="363"/>
      <c r="K208" s="364"/>
      <c r="L208" s="361"/>
      <c r="M208" s="361"/>
      <c r="N208" s="361"/>
      <c r="O208" s="361"/>
      <c r="P208" s="361"/>
      <c r="Q208" s="361"/>
      <c r="R208" s="361"/>
      <c r="S208" s="361"/>
      <c r="T208" s="361"/>
      <c r="U208" s="361"/>
      <c r="V208" s="361"/>
      <c r="W208" s="361"/>
      <c r="X208" s="361"/>
      <c r="Y208" s="131"/>
      <c r="Z208" s="163"/>
      <c r="AA208" s="131"/>
      <c r="AB208" s="131"/>
      <c r="AC208" s="131"/>
      <c r="AD208" s="131"/>
      <c r="AE208" s="131"/>
      <c r="AF208" s="163"/>
      <c r="AG208" s="163"/>
      <c r="AH208" s="163"/>
      <c r="AI208" s="163"/>
      <c r="AJ208" s="163"/>
      <c r="AK208" s="163"/>
      <c r="AL208" s="163"/>
      <c r="AM208" s="130"/>
      <c r="AN208" s="163"/>
    </row>
    <row r="209" ht="15.75" customHeight="1">
      <c r="A209" s="362"/>
      <c r="B209" s="362"/>
      <c r="C209" s="362"/>
      <c r="D209" s="362"/>
      <c r="E209" s="132"/>
      <c r="F209" s="132"/>
      <c r="G209" s="361"/>
      <c r="H209" s="361"/>
      <c r="I209" s="361"/>
      <c r="J209" s="363"/>
      <c r="K209" s="364"/>
      <c r="L209" s="361"/>
      <c r="M209" s="361"/>
      <c r="N209" s="361"/>
      <c r="O209" s="361"/>
      <c r="P209" s="361"/>
      <c r="Q209" s="361"/>
      <c r="R209" s="361"/>
      <c r="S209" s="361"/>
      <c r="T209" s="361"/>
      <c r="U209" s="361"/>
      <c r="V209" s="361"/>
      <c r="W209" s="361"/>
      <c r="X209" s="361"/>
      <c r="Y209" s="131"/>
      <c r="Z209" s="163"/>
      <c r="AA209" s="131"/>
      <c r="AB209" s="131"/>
      <c r="AC209" s="131"/>
      <c r="AD209" s="131"/>
      <c r="AE209" s="131"/>
      <c r="AF209" s="163"/>
      <c r="AG209" s="163"/>
      <c r="AH209" s="163"/>
      <c r="AI209" s="163"/>
      <c r="AJ209" s="163"/>
      <c r="AK209" s="163"/>
      <c r="AL209" s="163"/>
      <c r="AM209" s="130"/>
      <c r="AN209" s="163"/>
    </row>
    <row r="210" ht="15.75" customHeight="1">
      <c r="A210" s="362"/>
      <c r="B210" s="362"/>
      <c r="C210" s="362"/>
      <c r="D210" s="362"/>
      <c r="E210" s="132"/>
      <c r="F210" s="132"/>
      <c r="G210" s="361"/>
      <c r="H210" s="361"/>
      <c r="I210" s="361"/>
      <c r="J210" s="363"/>
      <c r="K210" s="364"/>
      <c r="L210" s="361"/>
      <c r="M210" s="361"/>
      <c r="N210" s="361"/>
      <c r="O210" s="361"/>
      <c r="P210" s="361"/>
      <c r="Q210" s="361"/>
      <c r="R210" s="361"/>
      <c r="S210" s="361"/>
      <c r="T210" s="361"/>
      <c r="U210" s="361"/>
      <c r="V210" s="361"/>
      <c r="W210" s="361"/>
      <c r="X210" s="361"/>
      <c r="Y210" s="131"/>
      <c r="Z210" s="163"/>
      <c r="AA210" s="131"/>
      <c r="AB210" s="131"/>
      <c r="AC210" s="131"/>
      <c r="AD210" s="131"/>
      <c r="AE210" s="131"/>
      <c r="AF210" s="163"/>
      <c r="AG210" s="163"/>
      <c r="AH210" s="163"/>
      <c r="AI210" s="163"/>
      <c r="AJ210" s="163"/>
      <c r="AK210" s="163"/>
      <c r="AL210" s="163"/>
      <c r="AM210" s="130"/>
      <c r="AN210" s="163"/>
    </row>
    <row r="211" ht="15.75" customHeight="1">
      <c r="A211" s="362"/>
      <c r="B211" s="362"/>
      <c r="C211" s="362"/>
      <c r="D211" s="362"/>
      <c r="E211" s="132"/>
      <c r="F211" s="132"/>
      <c r="G211" s="361"/>
      <c r="H211" s="361"/>
      <c r="I211" s="361"/>
      <c r="J211" s="363"/>
      <c r="K211" s="364"/>
      <c r="L211" s="361"/>
      <c r="M211" s="361"/>
      <c r="N211" s="361"/>
      <c r="O211" s="361"/>
      <c r="P211" s="361"/>
      <c r="Q211" s="361"/>
      <c r="R211" s="361"/>
      <c r="S211" s="361"/>
      <c r="T211" s="361"/>
      <c r="U211" s="361"/>
      <c r="V211" s="361"/>
      <c r="W211" s="361"/>
      <c r="X211" s="361"/>
      <c r="Y211" s="131"/>
      <c r="Z211" s="163"/>
      <c r="AA211" s="131"/>
      <c r="AB211" s="131"/>
      <c r="AC211" s="131"/>
      <c r="AD211" s="131"/>
      <c r="AE211" s="131"/>
      <c r="AF211" s="163"/>
      <c r="AG211" s="163"/>
      <c r="AH211" s="163"/>
      <c r="AI211" s="163"/>
      <c r="AJ211" s="163"/>
      <c r="AK211" s="163"/>
      <c r="AL211" s="163"/>
      <c r="AM211" s="130"/>
      <c r="AN211" s="163"/>
    </row>
    <row r="212" ht="15.75" customHeight="1">
      <c r="A212" s="362"/>
      <c r="B212" s="362"/>
      <c r="C212" s="362"/>
      <c r="D212" s="362"/>
      <c r="E212" s="132"/>
      <c r="F212" s="132"/>
      <c r="G212" s="361"/>
      <c r="H212" s="361"/>
      <c r="I212" s="361"/>
      <c r="J212" s="363"/>
      <c r="K212" s="364"/>
      <c r="L212" s="361"/>
      <c r="M212" s="361"/>
      <c r="N212" s="361"/>
      <c r="O212" s="361"/>
      <c r="P212" s="361"/>
      <c r="Q212" s="361"/>
      <c r="R212" s="361"/>
      <c r="S212" s="361"/>
      <c r="T212" s="361"/>
      <c r="U212" s="361"/>
      <c r="V212" s="361"/>
      <c r="W212" s="361"/>
      <c r="X212" s="361"/>
      <c r="Y212" s="131"/>
      <c r="Z212" s="163"/>
      <c r="AA212" s="131"/>
      <c r="AB212" s="131"/>
      <c r="AC212" s="131"/>
      <c r="AD212" s="131"/>
      <c r="AE212" s="131"/>
      <c r="AF212" s="163"/>
      <c r="AG212" s="163"/>
      <c r="AH212" s="163"/>
      <c r="AI212" s="163"/>
      <c r="AJ212" s="163"/>
      <c r="AK212" s="163"/>
      <c r="AL212" s="163"/>
      <c r="AM212" s="130"/>
      <c r="AN212" s="163"/>
    </row>
    <row r="213" ht="15.75" customHeight="1">
      <c r="A213" s="362"/>
      <c r="B213" s="362"/>
      <c r="C213" s="362"/>
      <c r="D213" s="362"/>
      <c r="E213" s="132"/>
      <c r="F213" s="132"/>
      <c r="G213" s="361"/>
      <c r="H213" s="361"/>
      <c r="I213" s="361"/>
      <c r="J213" s="363"/>
      <c r="K213" s="364"/>
      <c r="L213" s="361"/>
      <c r="M213" s="361"/>
      <c r="N213" s="361"/>
      <c r="O213" s="361"/>
      <c r="P213" s="361"/>
      <c r="Q213" s="361"/>
      <c r="R213" s="361"/>
      <c r="S213" s="361"/>
      <c r="T213" s="361"/>
      <c r="U213" s="361"/>
      <c r="V213" s="361"/>
      <c r="W213" s="361"/>
      <c r="X213" s="361"/>
      <c r="Y213" s="131"/>
      <c r="Z213" s="163"/>
      <c r="AA213" s="131"/>
      <c r="AB213" s="131"/>
      <c r="AC213" s="131"/>
      <c r="AD213" s="131"/>
      <c r="AE213" s="131"/>
      <c r="AF213" s="163"/>
      <c r="AG213" s="163"/>
      <c r="AH213" s="163"/>
      <c r="AI213" s="163"/>
      <c r="AJ213" s="163"/>
      <c r="AK213" s="163"/>
      <c r="AL213" s="163"/>
      <c r="AM213" s="130"/>
      <c r="AN213" s="163"/>
    </row>
    <row r="214" ht="15.75" customHeight="1">
      <c r="A214" s="362"/>
      <c r="B214" s="362"/>
      <c r="C214" s="362"/>
      <c r="D214" s="362"/>
      <c r="E214" s="132"/>
      <c r="F214" s="132"/>
      <c r="G214" s="361"/>
      <c r="H214" s="361"/>
      <c r="I214" s="361"/>
      <c r="J214" s="363"/>
      <c r="K214" s="364"/>
      <c r="L214" s="361"/>
      <c r="M214" s="361"/>
      <c r="N214" s="361"/>
      <c r="O214" s="361"/>
      <c r="P214" s="361"/>
      <c r="Q214" s="361"/>
      <c r="R214" s="361"/>
      <c r="S214" s="361"/>
      <c r="T214" s="361"/>
      <c r="U214" s="361"/>
      <c r="V214" s="361"/>
      <c r="W214" s="361"/>
      <c r="X214" s="361"/>
      <c r="Y214" s="131"/>
      <c r="Z214" s="163"/>
      <c r="AA214" s="131"/>
      <c r="AB214" s="131"/>
      <c r="AC214" s="131"/>
      <c r="AD214" s="131"/>
      <c r="AE214" s="131"/>
      <c r="AF214" s="163"/>
      <c r="AG214" s="163"/>
      <c r="AH214" s="163"/>
      <c r="AI214" s="163"/>
      <c r="AJ214" s="163"/>
      <c r="AK214" s="163"/>
      <c r="AL214" s="163"/>
      <c r="AM214" s="130"/>
      <c r="AN214" s="163"/>
    </row>
    <row r="215" ht="15.75" customHeight="1">
      <c r="A215" s="362"/>
      <c r="B215" s="362"/>
      <c r="C215" s="362"/>
      <c r="D215" s="362"/>
      <c r="E215" s="132"/>
      <c r="F215" s="132"/>
      <c r="G215" s="361"/>
      <c r="H215" s="361"/>
      <c r="I215" s="361"/>
      <c r="J215" s="363"/>
      <c r="K215" s="364"/>
      <c r="L215" s="361"/>
      <c r="M215" s="361"/>
      <c r="N215" s="361"/>
      <c r="O215" s="361"/>
      <c r="P215" s="361"/>
      <c r="Q215" s="361"/>
      <c r="R215" s="361"/>
      <c r="S215" s="361"/>
      <c r="T215" s="361"/>
      <c r="U215" s="361"/>
      <c r="V215" s="361"/>
      <c r="W215" s="361"/>
      <c r="X215" s="361"/>
      <c r="Y215" s="131"/>
      <c r="Z215" s="163"/>
      <c r="AA215" s="131"/>
      <c r="AB215" s="131"/>
      <c r="AC215" s="131"/>
      <c r="AD215" s="131"/>
      <c r="AE215" s="131"/>
      <c r="AF215" s="163"/>
      <c r="AG215" s="163"/>
      <c r="AH215" s="163"/>
      <c r="AI215" s="163"/>
      <c r="AJ215" s="163"/>
      <c r="AK215" s="163"/>
      <c r="AL215" s="163"/>
      <c r="AM215" s="130"/>
      <c r="AN215" s="163"/>
    </row>
    <row r="216" ht="15.75" customHeight="1">
      <c r="A216" s="362"/>
      <c r="B216" s="362"/>
      <c r="C216" s="362"/>
      <c r="D216" s="362"/>
      <c r="E216" s="132"/>
      <c r="F216" s="132"/>
      <c r="G216" s="361"/>
      <c r="H216" s="361"/>
      <c r="I216" s="361"/>
      <c r="J216" s="363"/>
      <c r="K216" s="364"/>
      <c r="L216" s="361"/>
      <c r="M216" s="361"/>
      <c r="N216" s="361"/>
      <c r="O216" s="361"/>
      <c r="P216" s="361"/>
      <c r="Q216" s="361"/>
      <c r="R216" s="361"/>
      <c r="S216" s="361"/>
      <c r="T216" s="361"/>
      <c r="U216" s="361"/>
      <c r="V216" s="361"/>
      <c r="W216" s="361"/>
      <c r="X216" s="361"/>
      <c r="Y216" s="131"/>
      <c r="Z216" s="163"/>
      <c r="AA216" s="131"/>
      <c r="AB216" s="131"/>
      <c r="AC216" s="131"/>
      <c r="AD216" s="131"/>
      <c r="AE216" s="131"/>
      <c r="AF216" s="163"/>
      <c r="AG216" s="163"/>
      <c r="AH216" s="163"/>
      <c r="AI216" s="163"/>
      <c r="AJ216" s="163"/>
      <c r="AK216" s="163"/>
      <c r="AL216" s="163"/>
      <c r="AM216" s="130"/>
      <c r="AN216" s="163"/>
    </row>
    <row r="217" ht="15.75" customHeight="1">
      <c r="A217" s="362"/>
      <c r="B217" s="362"/>
      <c r="C217" s="362"/>
      <c r="D217" s="362"/>
      <c r="E217" s="132"/>
      <c r="F217" s="132"/>
      <c r="G217" s="361"/>
      <c r="H217" s="361"/>
      <c r="I217" s="361"/>
      <c r="J217" s="363"/>
      <c r="K217" s="364"/>
      <c r="L217" s="361"/>
      <c r="M217" s="361"/>
      <c r="N217" s="361"/>
      <c r="O217" s="361"/>
      <c r="P217" s="361"/>
      <c r="Q217" s="361"/>
      <c r="R217" s="361"/>
      <c r="S217" s="361"/>
      <c r="T217" s="361"/>
      <c r="U217" s="361"/>
      <c r="V217" s="361"/>
      <c r="W217" s="361"/>
      <c r="X217" s="361"/>
      <c r="Y217" s="131"/>
      <c r="Z217" s="163"/>
      <c r="AA217" s="131"/>
      <c r="AB217" s="131"/>
      <c r="AC217" s="131"/>
      <c r="AD217" s="131"/>
      <c r="AE217" s="131"/>
      <c r="AF217" s="163"/>
      <c r="AG217" s="163"/>
      <c r="AH217" s="163"/>
      <c r="AI217" s="163"/>
      <c r="AJ217" s="163"/>
      <c r="AK217" s="163"/>
      <c r="AL217" s="163"/>
      <c r="AM217" s="130"/>
      <c r="AN217" s="163"/>
    </row>
    <row r="218" ht="15.75" customHeight="1">
      <c r="A218" s="362"/>
      <c r="B218" s="362"/>
      <c r="C218" s="362"/>
      <c r="D218" s="362"/>
      <c r="E218" s="132"/>
      <c r="F218" s="132"/>
      <c r="G218" s="361"/>
      <c r="H218" s="361"/>
      <c r="I218" s="361"/>
      <c r="J218" s="363"/>
      <c r="K218" s="364"/>
      <c r="L218" s="361"/>
      <c r="M218" s="361"/>
      <c r="N218" s="361"/>
      <c r="O218" s="361"/>
      <c r="P218" s="361"/>
      <c r="Q218" s="361"/>
      <c r="R218" s="361"/>
      <c r="S218" s="361"/>
      <c r="T218" s="361"/>
      <c r="U218" s="361"/>
      <c r="V218" s="361"/>
      <c r="W218" s="361"/>
      <c r="X218" s="361"/>
      <c r="Y218" s="131"/>
      <c r="Z218" s="163"/>
      <c r="AA218" s="131"/>
      <c r="AB218" s="131"/>
      <c r="AC218" s="131"/>
      <c r="AD218" s="131"/>
      <c r="AE218" s="131"/>
      <c r="AF218" s="163"/>
      <c r="AG218" s="163"/>
      <c r="AH218" s="163"/>
      <c r="AI218" s="163"/>
      <c r="AJ218" s="163"/>
      <c r="AK218" s="163"/>
      <c r="AL218" s="163"/>
      <c r="AM218" s="130"/>
      <c r="AN218" s="163"/>
    </row>
    <row r="219" ht="15.75" customHeight="1">
      <c r="A219" s="362"/>
      <c r="B219" s="362"/>
      <c r="C219" s="362"/>
      <c r="D219" s="362"/>
      <c r="E219" s="132"/>
      <c r="F219" s="132"/>
      <c r="G219" s="361"/>
      <c r="H219" s="361"/>
      <c r="I219" s="361"/>
      <c r="J219" s="363"/>
      <c r="K219" s="364"/>
      <c r="L219" s="361"/>
      <c r="M219" s="361"/>
      <c r="N219" s="361"/>
      <c r="O219" s="361"/>
      <c r="P219" s="361"/>
      <c r="Q219" s="361"/>
      <c r="R219" s="361"/>
      <c r="S219" s="361"/>
      <c r="T219" s="361"/>
      <c r="U219" s="361"/>
      <c r="V219" s="361"/>
      <c r="W219" s="361"/>
      <c r="X219" s="361"/>
      <c r="Y219" s="131"/>
      <c r="Z219" s="163"/>
      <c r="AA219" s="131"/>
      <c r="AB219" s="131"/>
      <c r="AC219" s="131"/>
      <c r="AD219" s="131"/>
      <c r="AE219" s="131"/>
      <c r="AF219" s="163"/>
      <c r="AG219" s="163"/>
      <c r="AH219" s="163"/>
      <c r="AI219" s="163"/>
      <c r="AJ219" s="163"/>
      <c r="AK219" s="163"/>
      <c r="AL219" s="163"/>
      <c r="AM219" s="130"/>
      <c r="AN219" s="163"/>
    </row>
    <row r="220" ht="15.75" customHeight="1">
      <c r="A220" s="362"/>
      <c r="B220" s="362"/>
      <c r="C220" s="362"/>
      <c r="D220" s="362"/>
      <c r="E220" s="132"/>
      <c r="F220" s="132"/>
      <c r="G220" s="361"/>
      <c r="H220" s="361"/>
      <c r="I220" s="361"/>
      <c r="J220" s="363"/>
      <c r="K220" s="364"/>
      <c r="L220" s="361"/>
      <c r="M220" s="361"/>
      <c r="N220" s="361"/>
      <c r="O220" s="361"/>
      <c r="P220" s="361"/>
      <c r="Q220" s="361"/>
      <c r="R220" s="361"/>
      <c r="S220" s="361"/>
      <c r="T220" s="361"/>
      <c r="U220" s="361"/>
      <c r="V220" s="361"/>
      <c r="W220" s="361"/>
      <c r="X220" s="361"/>
      <c r="Y220" s="131"/>
      <c r="Z220" s="163"/>
      <c r="AA220" s="131"/>
      <c r="AB220" s="131"/>
      <c r="AC220" s="131"/>
      <c r="AD220" s="131"/>
      <c r="AE220" s="131"/>
      <c r="AF220" s="163"/>
      <c r="AG220" s="163"/>
      <c r="AH220" s="163"/>
      <c r="AI220" s="163"/>
      <c r="AJ220" s="163"/>
      <c r="AK220" s="163"/>
      <c r="AL220" s="163"/>
      <c r="AM220" s="130"/>
      <c r="AN220" s="163"/>
    </row>
    <row r="221" ht="15.75" customHeight="1">
      <c r="A221" s="362"/>
      <c r="B221" s="362"/>
      <c r="C221" s="362"/>
      <c r="D221" s="362"/>
      <c r="E221" s="132"/>
      <c r="F221" s="132"/>
      <c r="G221" s="361"/>
      <c r="H221" s="361"/>
      <c r="I221" s="361"/>
      <c r="J221" s="363"/>
      <c r="K221" s="364"/>
      <c r="L221" s="361"/>
      <c r="M221" s="361"/>
      <c r="N221" s="361"/>
      <c r="O221" s="361"/>
      <c r="P221" s="361"/>
      <c r="Q221" s="361"/>
      <c r="R221" s="361"/>
      <c r="S221" s="361"/>
      <c r="T221" s="361"/>
      <c r="U221" s="361"/>
      <c r="V221" s="361"/>
      <c r="W221" s="361"/>
      <c r="X221" s="361"/>
      <c r="Y221" s="131"/>
      <c r="Z221" s="163"/>
      <c r="AA221" s="131"/>
      <c r="AB221" s="131"/>
      <c r="AC221" s="131"/>
      <c r="AD221" s="131"/>
      <c r="AE221" s="131"/>
      <c r="AF221" s="163"/>
      <c r="AG221" s="163"/>
      <c r="AH221" s="163"/>
      <c r="AI221" s="163"/>
      <c r="AJ221" s="163"/>
      <c r="AK221" s="163"/>
      <c r="AL221" s="163"/>
      <c r="AM221" s="130"/>
      <c r="AN221" s="163"/>
    </row>
    <row r="222" ht="15.75" customHeight="1">
      <c r="A222" s="362"/>
      <c r="B222" s="362"/>
      <c r="C222" s="362"/>
      <c r="D222" s="362"/>
      <c r="E222" s="132"/>
      <c r="F222" s="132"/>
      <c r="G222" s="361"/>
      <c r="H222" s="361"/>
      <c r="I222" s="361"/>
      <c r="J222" s="363"/>
      <c r="K222" s="364"/>
      <c r="L222" s="361"/>
      <c r="M222" s="361"/>
      <c r="N222" s="361"/>
      <c r="O222" s="361"/>
      <c r="P222" s="361"/>
      <c r="Q222" s="361"/>
      <c r="R222" s="361"/>
      <c r="S222" s="361"/>
      <c r="T222" s="361"/>
      <c r="U222" s="361"/>
      <c r="V222" s="361"/>
      <c r="W222" s="361"/>
      <c r="X222" s="361"/>
      <c r="Y222" s="131"/>
      <c r="Z222" s="163"/>
      <c r="AA222" s="131"/>
      <c r="AB222" s="131"/>
      <c r="AC222" s="131"/>
      <c r="AD222" s="131"/>
      <c r="AE222" s="131"/>
      <c r="AF222" s="163"/>
      <c r="AG222" s="163"/>
      <c r="AH222" s="163"/>
      <c r="AI222" s="163"/>
      <c r="AJ222" s="163"/>
      <c r="AK222" s="163"/>
      <c r="AL222" s="163"/>
      <c r="AM222" s="130"/>
      <c r="AN222" s="163"/>
    </row>
    <row r="223" ht="15.75" customHeight="1">
      <c r="A223" s="362"/>
      <c r="B223" s="362"/>
      <c r="C223" s="362"/>
      <c r="D223" s="362"/>
      <c r="E223" s="132"/>
      <c r="F223" s="132"/>
      <c r="G223" s="361"/>
      <c r="H223" s="361"/>
      <c r="I223" s="361"/>
      <c r="J223" s="363"/>
      <c r="K223" s="364"/>
      <c r="L223" s="361"/>
      <c r="M223" s="361"/>
      <c r="N223" s="361"/>
      <c r="O223" s="361"/>
      <c r="P223" s="361"/>
      <c r="Q223" s="361"/>
      <c r="R223" s="361"/>
      <c r="S223" s="361"/>
      <c r="T223" s="361"/>
      <c r="U223" s="361"/>
      <c r="V223" s="361"/>
      <c r="W223" s="361"/>
      <c r="X223" s="361"/>
      <c r="Y223" s="131"/>
      <c r="Z223" s="163"/>
      <c r="AA223" s="131"/>
      <c r="AB223" s="131"/>
      <c r="AC223" s="131"/>
      <c r="AD223" s="131"/>
      <c r="AE223" s="131"/>
      <c r="AF223" s="163"/>
      <c r="AG223" s="163"/>
      <c r="AH223" s="163"/>
      <c r="AI223" s="163"/>
      <c r="AJ223" s="163"/>
      <c r="AK223" s="163"/>
      <c r="AL223" s="163"/>
      <c r="AM223" s="130"/>
      <c r="AN223" s="163"/>
    </row>
    <row r="224" ht="15.75" customHeight="1">
      <c r="A224" s="362"/>
      <c r="B224" s="362"/>
      <c r="C224" s="362"/>
      <c r="D224" s="362"/>
      <c r="E224" s="132"/>
      <c r="F224" s="132"/>
      <c r="G224" s="361"/>
      <c r="H224" s="361"/>
      <c r="I224" s="361"/>
      <c r="J224" s="363"/>
      <c r="K224" s="364"/>
      <c r="L224" s="361"/>
      <c r="M224" s="361"/>
      <c r="N224" s="361"/>
      <c r="O224" s="361"/>
      <c r="P224" s="361"/>
      <c r="Q224" s="361"/>
      <c r="R224" s="361"/>
      <c r="S224" s="361"/>
      <c r="T224" s="361"/>
      <c r="U224" s="361"/>
      <c r="V224" s="361"/>
      <c r="W224" s="361"/>
      <c r="X224" s="361"/>
      <c r="Y224" s="131"/>
      <c r="Z224" s="163"/>
      <c r="AA224" s="131"/>
      <c r="AB224" s="131"/>
      <c r="AC224" s="131"/>
      <c r="AD224" s="131"/>
      <c r="AE224" s="131"/>
      <c r="AF224" s="163"/>
      <c r="AG224" s="163"/>
      <c r="AH224" s="163"/>
      <c r="AI224" s="163"/>
      <c r="AJ224" s="163"/>
      <c r="AK224" s="163"/>
      <c r="AL224" s="163"/>
      <c r="AM224" s="130"/>
      <c r="AN224" s="163"/>
    </row>
    <row r="225" ht="15.75" customHeight="1">
      <c r="A225" s="362"/>
      <c r="B225" s="362"/>
      <c r="C225" s="362"/>
      <c r="D225" s="362"/>
      <c r="E225" s="132"/>
      <c r="F225" s="132"/>
      <c r="G225" s="361"/>
      <c r="H225" s="361"/>
      <c r="I225" s="361"/>
      <c r="J225" s="363"/>
      <c r="K225" s="364"/>
      <c r="L225" s="361"/>
      <c r="M225" s="361"/>
      <c r="N225" s="361"/>
      <c r="O225" s="361"/>
      <c r="P225" s="361"/>
      <c r="Q225" s="361"/>
      <c r="R225" s="361"/>
      <c r="S225" s="361"/>
      <c r="T225" s="361"/>
      <c r="U225" s="361"/>
      <c r="V225" s="361"/>
      <c r="W225" s="361"/>
      <c r="X225" s="361"/>
      <c r="Y225" s="131"/>
      <c r="Z225" s="163"/>
      <c r="AA225" s="131"/>
      <c r="AB225" s="131"/>
      <c r="AC225" s="131"/>
      <c r="AD225" s="131"/>
      <c r="AE225" s="131"/>
      <c r="AF225" s="163"/>
      <c r="AG225" s="163"/>
      <c r="AH225" s="163"/>
      <c r="AI225" s="163"/>
      <c r="AJ225" s="163"/>
      <c r="AK225" s="163"/>
      <c r="AL225" s="163"/>
      <c r="AM225" s="130"/>
      <c r="AN225" s="163"/>
    </row>
    <row r="226" ht="15.75" customHeight="1">
      <c r="A226" s="362"/>
      <c r="B226" s="362"/>
      <c r="C226" s="362"/>
      <c r="D226" s="362"/>
      <c r="E226" s="132"/>
      <c r="F226" s="132"/>
      <c r="G226" s="361"/>
      <c r="H226" s="361"/>
      <c r="I226" s="361"/>
      <c r="J226" s="363"/>
      <c r="K226" s="364"/>
      <c r="L226" s="361"/>
      <c r="M226" s="361"/>
      <c r="N226" s="361"/>
      <c r="O226" s="361"/>
      <c r="P226" s="361"/>
      <c r="Q226" s="361"/>
      <c r="R226" s="361"/>
      <c r="S226" s="361"/>
      <c r="T226" s="361"/>
      <c r="U226" s="361"/>
      <c r="V226" s="361"/>
      <c r="W226" s="361"/>
      <c r="X226" s="361"/>
      <c r="Y226" s="131"/>
      <c r="Z226" s="163"/>
      <c r="AA226" s="131"/>
      <c r="AB226" s="131"/>
      <c r="AC226" s="131"/>
      <c r="AD226" s="131"/>
      <c r="AE226" s="131"/>
      <c r="AF226" s="163"/>
      <c r="AG226" s="163"/>
      <c r="AH226" s="163"/>
      <c r="AI226" s="163"/>
      <c r="AJ226" s="163"/>
      <c r="AK226" s="163"/>
      <c r="AL226" s="163"/>
      <c r="AM226" s="130"/>
      <c r="AN226" s="163"/>
    </row>
    <row r="227" ht="15.75" customHeight="1">
      <c r="A227" s="362"/>
      <c r="B227" s="362"/>
      <c r="C227" s="362"/>
      <c r="D227" s="362"/>
      <c r="E227" s="132"/>
      <c r="F227" s="132"/>
      <c r="G227" s="361"/>
      <c r="H227" s="361"/>
      <c r="I227" s="361"/>
      <c r="J227" s="363"/>
      <c r="K227" s="364"/>
      <c r="L227" s="361"/>
      <c r="M227" s="361"/>
      <c r="N227" s="361"/>
      <c r="O227" s="361"/>
      <c r="P227" s="361"/>
      <c r="Q227" s="361"/>
      <c r="R227" s="361"/>
      <c r="S227" s="361"/>
      <c r="T227" s="361"/>
      <c r="U227" s="361"/>
      <c r="V227" s="361"/>
      <c r="W227" s="361"/>
      <c r="X227" s="361"/>
      <c r="Y227" s="131"/>
      <c r="Z227" s="163"/>
      <c r="AA227" s="131"/>
      <c r="AB227" s="131"/>
      <c r="AC227" s="131"/>
      <c r="AD227" s="131"/>
      <c r="AE227" s="131"/>
      <c r="AF227" s="163"/>
      <c r="AG227" s="163"/>
      <c r="AH227" s="163"/>
      <c r="AI227" s="163"/>
      <c r="AJ227" s="163"/>
      <c r="AK227" s="163"/>
      <c r="AL227" s="163"/>
      <c r="AM227" s="130"/>
      <c r="AN227" s="163"/>
    </row>
    <row r="228" ht="15.75" customHeight="1">
      <c r="A228" s="362"/>
      <c r="B228" s="362"/>
      <c r="C228" s="362"/>
      <c r="D228" s="362"/>
      <c r="E228" s="132"/>
      <c r="F228" s="132"/>
      <c r="G228" s="361"/>
      <c r="H228" s="361"/>
      <c r="I228" s="361"/>
      <c r="J228" s="363"/>
      <c r="K228" s="364"/>
      <c r="L228" s="361"/>
      <c r="M228" s="361"/>
      <c r="N228" s="361"/>
      <c r="O228" s="361"/>
      <c r="P228" s="361"/>
      <c r="Q228" s="361"/>
      <c r="R228" s="361"/>
      <c r="S228" s="361"/>
      <c r="T228" s="361"/>
      <c r="U228" s="361"/>
      <c r="V228" s="361"/>
      <c r="W228" s="361"/>
      <c r="X228" s="361"/>
      <c r="Y228" s="131"/>
      <c r="Z228" s="163"/>
      <c r="AA228" s="131"/>
      <c r="AB228" s="131"/>
      <c r="AC228" s="131"/>
      <c r="AD228" s="131"/>
      <c r="AE228" s="131"/>
      <c r="AF228" s="163"/>
      <c r="AG228" s="163"/>
      <c r="AH228" s="163"/>
      <c r="AI228" s="163"/>
      <c r="AJ228" s="163"/>
      <c r="AK228" s="163"/>
      <c r="AL228" s="163"/>
      <c r="AM228" s="130"/>
      <c r="AN228" s="163"/>
    </row>
    <row r="229" ht="15.75" customHeight="1">
      <c r="A229" s="362"/>
      <c r="B229" s="362"/>
      <c r="C229" s="362"/>
      <c r="D229" s="362"/>
      <c r="E229" s="132"/>
      <c r="F229" s="132"/>
      <c r="G229" s="361"/>
      <c r="H229" s="361"/>
      <c r="I229" s="361"/>
      <c r="J229" s="363"/>
      <c r="K229" s="364"/>
      <c r="L229" s="361"/>
      <c r="M229" s="361"/>
      <c r="N229" s="361"/>
      <c r="O229" s="361"/>
      <c r="P229" s="361"/>
      <c r="Q229" s="361"/>
      <c r="R229" s="361"/>
      <c r="S229" s="361"/>
      <c r="T229" s="361"/>
      <c r="U229" s="361"/>
      <c r="V229" s="361"/>
      <c r="W229" s="361"/>
      <c r="X229" s="361"/>
      <c r="Y229" s="131"/>
      <c r="Z229" s="163"/>
      <c r="AA229" s="131"/>
      <c r="AB229" s="131"/>
      <c r="AC229" s="131"/>
      <c r="AD229" s="131"/>
      <c r="AE229" s="131"/>
      <c r="AF229" s="163"/>
      <c r="AG229" s="163"/>
      <c r="AH229" s="163"/>
      <c r="AI229" s="163"/>
      <c r="AJ229" s="163"/>
      <c r="AK229" s="163"/>
      <c r="AL229" s="163"/>
      <c r="AM229" s="130"/>
      <c r="AN229" s="163"/>
    </row>
    <row r="230" ht="15.75" customHeight="1">
      <c r="A230" s="362"/>
      <c r="B230" s="362"/>
      <c r="C230" s="362"/>
      <c r="D230" s="362"/>
      <c r="E230" s="132"/>
      <c r="F230" s="132"/>
      <c r="G230" s="361"/>
      <c r="H230" s="361"/>
      <c r="I230" s="361"/>
      <c r="J230" s="363"/>
      <c r="K230" s="364"/>
      <c r="L230" s="361"/>
      <c r="M230" s="361"/>
      <c r="N230" s="361"/>
      <c r="O230" s="361"/>
      <c r="P230" s="361"/>
      <c r="Q230" s="361"/>
      <c r="R230" s="361"/>
      <c r="S230" s="361"/>
      <c r="T230" s="361"/>
      <c r="U230" s="361"/>
      <c r="V230" s="361"/>
      <c r="W230" s="361"/>
      <c r="X230" s="361"/>
      <c r="Y230" s="131"/>
      <c r="Z230" s="163"/>
      <c r="AA230" s="131"/>
      <c r="AB230" s="131"/>
      <c r="AC230" s="131"/>
      <c r="AD230" s="131"/>
      <c r="AE230" s="131"/>
      <c r="AF230" s="163"/>
      <c r="AG230" s="163"/>
      <c r="AH230" s="163"/>
      <c r="AI230" s="163"/>
      <c r="AJ230" s="163"/>
      <c r="AK230" s="163"/>
      <c r="AL230" s="163"/>
      <c r="AM230" s="130"/>
      <c r="AN230" s="163"/>
    </row>
    <row r="231" ht="15.75" customHeight="1">
      <c r="A231" s="362"/>
      <c r="B231" s="362"/>
      <c r="C231" s="362"/>
      <c r="D231" s="362"/>
      <c r="E231" s="132"/>
      <c r="F231" s="132"/>
      <c r="G231" s="361"/>
      <c r="H231" s="361"/>
      <c r="I231" s="361"/>
      <c r="J231" s="363"/>
      <c r="K231" s="364"/>
      <c r="L231" s="361"/>
      <c r="M231" s="361"/>
      <c r="N231" s="361"/>
      <c r="O231" s="361"/>
      <c r="P231" s="361"/>
      <c r="Q231" s="361"/>
      <c r="R231" s="361"/>
      <c r="S231" s="361"/>
      <c r="T231" s="361"/>
      <c r="U231" s="361"/>
      <c r="V231" s="361"/>
      <c r="W231" s="361"/>
      <c r="X231" s="361"/>
      <c r="Y231" s="131"/>
      <c r="Z231" s="163"/>
      <c r="AA231" s="131"/>
      <c r="AB231" s="131"/>
      <c r="AC231" s="131"/>
      <c r="AD231" s="131"/>
      <c r="AE231" s="131"/>
      <c r="AF231" s="163"/>
      <c r="AG231" s="163"/>
      <c r="AH231" s="163"/>
      <c r="AI231" s="163"/>
      <c r="AJ231" s="163"/>
      <c r="AK231" s="163"/>
      <c r="AL231" s="163"/>
      <c r="AM231" s="130"/>
      <c r="AN231" s="163"/>
    </row>
    <row r="232" ht="15.75" customHeight="1">
      <c r="A232" s="362"/>
      <c r="B232" s="362"/>
      <c r="C232" s="362"/>
      <c r="D232" s="362"/>
      <c r="E232" s="132"/>
      <c r="F232" s="132"/>
      <c r="G232" s="361"/>
      <c r="H232" s="361"/>
      <c r="I232" s="361"/>
      <c r="J232" s="363"/>
      <c r="K232" s="364"/>
      <c r="L232" s="361"/>
      <c r="M232" s="361"/>
      <c r="N232" s="361"/>
      <c r="O232" s="361"/>
      <c r="P232" s="361"/>
      <c r="Q232" s="361"/>
      <c r="R232" s="361"/>
      <c r="S232" s="361"/>
      <c r="T232" s="361"/>
      <c r="U232" s="361"/>
      <c r="V232" s="361"/>
      <c r="W232" s="361"/>
      <c r="X232" s="361"/>
      <c r="Y232" s="131"/>
      <c r="Z232" s="163"/>
      <c r="AA232" s="131"/>
      <c r="AB232" s="131"/>
      <c r="AC232" s="131"/>
      <c r="AD232" s="131"/>
      <c r="AE232" s="131"/>
      <c r="AF232" s="163"/>
      <c r="AG232" s="163"/>
      <c r="AH232" s="163"/>
      <c r="AI232" s="163"/>
      <c r="AJ232" s="163"/>
      <c r="AK232" s="163"/>
      <c r="AL232" s="163"/>
      <c r="AM232" s="130"/>
      <c r="AN232" s="163"/>
    </row>
    <row r="233" ht="15.75" customHeight="1">
      <c r="A233" s="362"/>
      <c r="B233" s="362"/>
      <c r="C233" s="362"/>
      <c r="D233" s="362"/>
      <c r="E233" s="132"/>
      <c r="F233" s="132"/>
      <c r="G233" s="361"/>
      <c r="H233" s="361"/>
      <c r="I233" s="361"/>
      <c r="J233" s="363"/>
      <c r="K233" s="364"/>
      <c r="L233" s="361"/>
      <c r="M233" s="361"/>
      <c r="N233" s="361"/>
      <c r="O233" s="361"/>
      <c r="P233" s="361"/>
      <c r="Q233" s="361"/>
      <c r="R233" s="361"/>
      <c r="S233" s="361"/>
      <c r="T233" s="361"/>
      <c r="U233" s="361"/>
      <c r="V233" s="361"/>
      <c r="W233" s="361"/>
      <c r="X233" s="361"/>
      <c r="Y233" s="131"/>
      <c r="Z233" s="163"/>
      <c r="AA233" s="131"/>
      <c r="AB233" s="131"/>
      <c r="AC233" s="131"/>
      <c r="AD233" s="131"/>
      <c r="AE233" s="131"/>
      <c r="AF233" s="163"/>
      <c r="AG233" s="163"/>
      <c r="AH233" s="163"/>
      <c r="AI233" s="163"/>
      <c r="AJ233" s="163"/>
      <c r="AK233" s="163"/>
      <c r="AL233" s="163"/>
      <c r="AM233" s="130"/>
      <c r="AN233" s="163"/>
    </row>
    <row r="234" ht="15.75" customHeight="1">
      <c r="A234" s="362"/>
      <c r="B234" s="362"/>
      <c r="C234" s="362"/>
      <c r="D234" s="362"/>
      <c r="E234" s="132"/>
      <c r="F234" s="132"/>
      <c r="G234" s="361"/>
      <c r="H234" s="361"/>
      <c r="I234" s="361"/>
      <c r="J234" s="363"/>
      <c r="K234" s="364"/>
      <c r="L234" s="361"/>
      <c r="M234" s="361"/>
      <c r="N234" s="361"/>
      <c r="O234" s="361"/>
      <c r="P234" s="361"/>
      <c r="Q234" s="361"/>
      <c r="R234" s="361"/>
      <c r="S234" s="361"/>
      <c r="T234" s="361"/>
      <c r="U234" s="361"/>
      <c r="V234" s="361"/>
      <c r="W234" s="361"/>
      <c r="X234" s="361"/>
      <c r="Y234" s="131"/>
      <c r="Z234" s="163"/>
      <c r="AA234" s="131"/>
      <c r="AB234" s="131"/>
      <c r="AC234" s="131"/>
      <c r="AD234" s="131"/>
      <c r="AE234" s="131"/>
      <c r="AF234" s="163"/>
      <c r="AG234" s="163"/>
      <c r="AH234" s="163"/>
      <c r="AI234" s="163"/>
      <c r="AJ234" s="163"/>
      <c r="AK234" s="163"/>
      <c r="AL234" s="163"/>
      <c r="AM234" s="130"/>
      <c r="AN234" s="163"/>
    </row>
    <row r="235" ht="15.75" customHeight="1">
      <c r="A235" s="362"/>
      <c r="B235" s="362"/>
      <c r="C235" s="362"/>
      <c r="D235" s="362"/>
      <c r="E235" s="132"/>
      <c r="F235" s="132"/>
      <c r="G235" s="361"/>
      <c r="H235" s="361"/>
      <c r="I235" s="361"/>
      <c r="J235" s="363"/>
      <c r="K235" s="364"/>
      <c r="L235" s="361"/>
      <c r="M235" s="361"/>
      <c r="N235" s="361"/>
      <c r="O235" s="361"/>
      <c r="P235" s="361"/>
      <c r="Q235" s="361"/>
      <c r="R235" s="361"/>
      <c r="S235" s="361"/>
      <c r="T235" s="361"/>
      <c r="U235" s="361"/>
      <c r="V235" s="361"/>
      <c r="W235" s="361"/>
      <c r="X235" s="361"/>
      <c r="Y235" s="131"/>
      <c r="Z235" s="163"/>
      <c r="AA235" s="131"/>
      <c r="AB235" s="131"/>
      <c r="AC235" s="131"/>
      <c r="AD235" s="131"/>
      <c r="AE235" s="131"/>
      <c r="AF235" s="163"/>
      <c r="AG235" s="163"/>
      <c r="AH235" s="163"/>
      <c r="AI235" s="163"/>
      <c r="AJ235" s="163"/>
      <c r="AK235" s="163"/>
      <c r="AL235" s="163"/>
      <c r="AM235" s="130"/>
      <c r="AN235" s="163"/>
    </row>
    <row r="236" ht="15.75" customHeight="1">
      <c r="A236" s="362"/>
      <c r="B236" s="362"/>
      <c r="C236" s="362"/>
      <c r="D236" s="362"/>
      <c r="E236" s="132"/>
      <c r="F236" s="132"/>
      <c r="G236" s="361"/>
      <c r="H236" s="361"/>
      <c r="I236" s="361"/>
      <c r="J236" s="363"/>
      <c r="K236" s="364"/>
      <c r="L236" s="361"/>
      <c r="M236" s="361"/>
      <c r="N236" s="361"/>
      <c r="O236" s="361"/>
      <c r="P236" s="361"/>
      <c r="Q236" s="361"/>
      <c r="R236" s="361"/>
      <c r="S236" s="361"/>
      <c r="T236" s="361"/>
      <c r="U236" s="361"/>
      <c r="V236" s="361"/>
      <c r="W236" s="361"/>
      <c r="X236" s="361"/>
      <c r="Y236" s="131"/>
      <c r="Z236" s="163"/>
      <c r="AA236" s="131"/>
      <c r="AB236" s="131"/>
      <c r="AC236" s="131"/>
      <c r="AD236" s="131"/>
      <c r="AE236" s="131"/>
      <c r="AF236" s="163"/>
      <c r="AG236" s="163"/>
      <c r="AH236" s="163"/>
      <c r="AI236" s="163"/>
      <c r="AJ236" s="163"/>
      <c r="AK236" s="163"/>
      <c r="AL236" s="163"/>
      <c r="AM236" s="130"/>
      <c r="AN236" s="163"/>
    </row>
    <row r="237" ht="15.75" customHeight="1">
      <c r="A237" s="362"/>
      <c r="B237" s="362"/>
      <c r="C237" s="362"/>
      <c r="D237" s="362"/>
      <c r="E237" s="132"/>
      <c r="F237" s="132"/>
      <c r="G237" s="361"/>
      <c r="H237" s="361"/>
      <c r="I237" s="361"/>
      <c r="J237" s="363"/>
      <c r="K237" s="364"/>
      <c r="L237" s="361"/>
      <c r="M237" s="361"/>
      <c r="N237" s="361"/>
      <c r="O237" s="361"/>
      <c r="P237" s="361"/>
      <c r="Q237" s="361"/>
      <c r="R237" s="361"/>
      <c r="S237" s="361"/>
      <c r="T237" s="361"/>
      <c r="U237" s="361"/>
      <c r="V237" s="361"/>
      <c r="W237" s="361"/>
      <c r="X237" s="361"/>
      <c r="Y237" s="131"/>
      <c r="Z237" s="163"/>
      <c r="AA237" s="131"/>
      <c r="AB237" s="131"/>
      <c r="AC237" s="131"/>
      <c r="AD237" s="131"/>
      <c r="AE237" s="131"/>
      <c r="AF237" s="163"/>
      <c r="AG237" s="163"/>
      <c r="AH237" s="163"/>
      <c r="AI237" s="163"/>
      <c r="AJ237" s="163"/>
      <c r="AK237" s="163"/>
      <c r="AL237" s="163"/>
      <c r="AM237" s="130"/>
      <c r="AN237" s="163"/>
    </row>
    <row r="238" ht="15.75" customHeight="1">
      <c r="A238" s="362"/>
      <c r="B238" s="362"/>
      <c r="C238" s="362"/>
      <c r="D238" s="362"/>
      <c r="E238" s="132"/>
      <c r="F238" s="132"/>
      <c r="G238" s="361"/>
      <c r="H238" s="361"/>
      <c r="I238" s="361"/>
      <c r="J238" s="363"/>
      <c r="K238" s="364"/>
      <c r="L238" s="361"/>
      <c r="M238" s="361"/>
      <c r="N238" s="361"/>
      <c r="O238" s="361"/>
      <c r="P238" s="361"/>
      <c r="Q238" s="361"/>
      <c r="R238" s="361"/>
      <c r="S238" s="361"/>
      <c r="T238" s="361"/>
      <c r="U238" s="361"/>
      <c r="V238" s="361"/>
      <c r="W238" s="361"/>
      <c r="X238" s="361"/>
      <c r="Y238" s="131"/>
      <c r="Z238" s="163"/>
      <c r="AA238" s="131"/>
      <c r="AB238" s="131"/>
      <c r="AC238" s="131"/>
      <c r="AD238" s="131"/>
      <c r="AE238" s="131"/>
      <c r="AF238" s="163"/>
      <c r="AG238" s="163"/>
      <c r="AH238" s="163"/>
      <c r="AI238" s="163"/>
      <c r="AJ238" s="163"/>
      <c r="AK238" s="163"/>
      <c r="AL238" s="163"/>
      <c r="AM238" s="130"/>
      <c r="AN238" s="163"/>
    </row>
    <row r="239" ht="15.75" customHeight="1">
      <c r="A239" s="362"/>
      <c r="B239" s="362"/>
      <c r="C239" s="362"/>
      <c r="D239" s="362"/>
      <c r="E239" s="132"/>
      <c r="F239" s="132"/>
      <c r="G239" s="361"/>
      <c r="H239" s="361"/>
      <c r="I239" s="361"/>
      <c r="J239" s="363"/>
      <c r="K239" s="364"/>
      <c r="L239" s="361"/>
      <c r="M239" s="361"/>
      <c r="N239" s="361"/>
      <c r="O239" s="361"/>
      <c r="P239" s="361"/>
      <c r="Q239" s="361"/>
      <c r="R239" s="361"/>
      <c r="S239" s="361"/>
      <c r="T239" s="361"/>
      <c r="U239" s="361"/>
      <c r="V239" s="361"/>
      <c r="W239" s="361"/>
      <c r="X239" s="361"/>
      <c r="Y239" s="131"/>
      <c r="Z239" s="163"/>
      <c r="AA239" s="131"/>
      <c r="AB239" s="131"/>
      <c r="AC239" s="131"/>
      <c r="AD239" s="131"/>
      <c r="AE239" s="131"/>
      <c r="AF239" s="163"/>
      <c r="AG239" s="163"/>
      <c r="AH239" s="163"/>
      <c r="AI239" s="163"/>
      <c r="AJ239" s="163"/>
      <c r="AK239" s="163"/>
      <c r="AL239" s="163"/>
      <c r="AM239" s="130"/>
      <c r="AN239" s="163"/>
    </row>
    <row r="240" ht="15.75" customHeight="1">
      <c r="A240" s="362"/>
      <c r="B240" s="362"/>
      <c r="C240" s="362"/>
      <c r="D240" s="362"/>
      <c r="E240" s="132"/>
      <c r="F240" s="132"/>
      <c r="G240" s="361"/>
      <c r="H240" s="361"/>
      <c r="I240" s="361"/>
      <c r="J240" s="363"/>
      <c r="K240" s="364"/>
      <c r="L240" s="361"/>
      <c r="M240" s="361"/>
      <c r="N240" s="361"/>
      <c r="O240" s="361"/>
      <c r="P240" s="361"/>
      <c r="Q240" s="361"/>
      <c r="R240" s="361"/>
      <c r="S240" s="361"/>
      <c r="T240" s="361"/>
      <c r="U240" s="361"/>
      <c r="V240" s="361"/>
      <c r="W240" s="361"/>
      <c r="X240" s="361"/>
      <c r="Y240" s="131"/>
      <c r="Z240" s="163"/>
      <c r="AA240" s="131"/>
      <c r="AB240" s="131"/>
      <c r="AC240" s="131"/>
      <c r="AD240" s="131"/>
      <c r="AE240" s="131"/>
      <c r="AF240" s="163"/>
      <c r="AG240" s="163"/>
      <c r="AH240" s="163"/>
      <c r="AI240" s="163"/>
      <c r="AJ240" s="163"/>
      <c r="AK240" s="163"/>
      <c r="AL240" s="163"/>
      <c r="AM240" s="130"/>
      <c r="AN240" s="163"/>
    </row>
    <row r="241" ht="15.75" customHeight="1">
      <c r="A241" s="362"/>
      <c r="B241" s="362"/>
      <c r="C241" s="362"/>
      <c r="D241" s="362"/>
      <c r="E241" s="132"/>
      <c r="F241" s="132"/>
      <c r="G241" s="361"/>
      <c r="H241" s="361"/>
      <c r="I241" s="361"/>
      <c r="J241" s="363"/>
      <c r="K241" s="364"/>
      <c r="L241" s="361"/>
      <c r="M241" s="361"/>
      <c r="N241" s="361"/>
      <c r="O241" s="361"/>
      <c r="P241" s="361"/>
      <c r="Q241" s="361"/>
      <c r="R241" s="361"/>
      <c r="S241" s="361"/>
      <c r="T241" s="361"/>
      <c r="U241" s="361"/>
      <c r="V241" s="361"/>
      <c r="W241" s="361"/>
      <c r="X241" s="361"/>
      <c r="Y241" s="131"/>
      <c r="Z241" s="163"/>
      <c r="AA241" s="131"/>
      <c r="AB241" s="131"/>
      <c r="AC241" s="131"/>
      <c r="AD241" s="131"/>
      <c r="AE241" s="131"/>
      <c r="AF241" s="163"/>
      <c r="AG241" s="163"/>
      <c r="AH241" s="163"/>
      <c r="AI241" s="163"/>
      <c r="AJ241" s="163"/>
      <c r="AK241" s="163"/>
      <c r="AL241" s="163"/>
      <c r="AM241" s="130"/>
      <c r="AN241" s="163"/>
    </row>
    <row r="242" ht="15.75" customHeight="1">
      <c r="A242" s="362"/>
      <c r="B242" s="362"/>
      <c r="C242" s="362"/>
      <c r="D242" s="362"/>
      <c r="E242" s="132"/>
      <c r="F242" s="132"/>
      <c r="G242" s="361"/>
      <c r="H242" s="361"/>
      <c r="I242" s="361"/>
      <c r="J242" s="363"/>
      <c r="K242" s="364"/>
      <c r="L242" s="361"/>
      <c r="M242" s="361"/>
      <c r="N242" s="361"/>
      <c r="O242" s="361"/>
      <c r="P242" s="361"/>
      <c r="Q242" s="361"/>
      <c r="R242" s="361"/>
      <c r="S242" s="361"/>
      <c r="T242" s="361"/>
      <c r="U242" s="361"/>
      <c r="V242" s="361"/>
      <c r="W242" s="361"/>
      <c r="X242" s="361"/>
      <c r="Y242" s="131"/>
      <c r="Z242" s="163"/>
      <c r="AA242" s="131"/>
      <c r="AB242" s="131"/>
      <c r="AC242" s="131"/>
      <c r="AD242" s="131"/>
      <c r="AE242" s="131"/>
      <c r="AF242" s="163"/>
      <c r="AG242" s="163"/>
      <c r="AH242" s="163"/>
      <c r="AI242" s="163"/>
      <c r="AJ242" s="163"/>
      <c r="AK242" s="163"/>
      <c r="AL242" s="163"/>
      <c r="AM242" s="130"/>
      <c r="AN242" s="163"/>
    </row>
    <row r="243" ht="15.75" customHeight="1">
      <c r="A243" s="362"/>
      <c r="B243" s="362"/>
      <c r="C243" s="362"/>
      <c r="D243" s="362"/>
      <c r="E243" s="132"/>
      <c r="F243" s="132"/>
      <c r="G243" s="361"/>
      <c r="H243" s="361"/>
      <c r="I243" s="361"/>
      <c r="J243" s="363"/>
      <c r="K243" s="364"/>
      <c r="L243" s="361"/>
      <c r="M243" s="361"/>
      <c r="N243" s="361"/>
      <c r="O243" s="361"/>
      <c r="P243" s="361"/>
      <c r="Q243" s="361"/>
      <c r="R243" s="361"/>
      <c r="S243" s="361"/>
      <c r="T243" s="361"/>
      <c r="U243" s="361"/>
      <c r="V243" s="361"/>
      <c r="W243" s="361"/>
      <c r="X243" s="361"/>
      <c r="Y243" s="131"/>
      <c r="Z243" s="163"/>
      <c r="AA243" s="131"/>
      <c r="AB243" s="131"/>
      <c r="AC243" s="131"/>
      <c r="AD243" s="131"/>
      <c r="AE243" s="131"/>
      <c r="AF243" s="163"/>
      <c r="AG243" s="163"/>
      <c r="AH243" s="163"/>
      <c r="AI243" s="163"/>
      <c r="AJ243" s="163"/>
      <c r="AK243" s="163"/>
      <c r="AL243" s="163"/>
      <c r="AM243" s="130"/>
      <c r="AN243" s="163"/>
    </row>
    <row r="244" ht="15.75" customHeight="1">
      <c r="A244" s="362"/>
      <c r="B244" s="362"/>
      <c r="C244" s="362"/>
      <c r="D244" s="362"/>
      <c r="E244" s="132"/>
      <c r="F244" s="132"/>
      <c r="G244" s="361"/>
      <c r="H244" s="361"/>
      <c r="I244" s="361"/>
      <c r="J244" s="363"/>
      <c r="K244" s="364"/>
      <c r="L244" s="361"/>
      <c r="M244" s="361"/>
      <c r="N244" s="361"/>
      <c r="O244" s="361"/>
      <c r="P244" s="361"/>
      <c r="Q244" s="361"/>
      <c r="R244" s="361"/>
      <c r="S244" s="361"/>
      <c r="T244" s="361"/>
      <c r="U244" s="361"/>
      <c r="V244" s="361"/>
      <c r="W244" s="361"/>
      <c r="X244" s="361"/>
      <c r="Y244" s="131"/>
      <c r="Z244" s="163"/>
      <c r="AA244" s="131"/>
      <c r="AB244" s="131"/>
      <c r="AC244" s="131"/>
      <c r="AD244" s="131"/>
      <c r="AE244" s="131"/>
      <c r="AF244" s="163"/>
      <c r="AG244" s="163"/>
      <c r="AH244" s="163"/>
      <c r="AI244" s="163"/>
      <c r="AJ244" s="163"/>
      <c r="AK244" s="163"/>
      <c r="AL244" s="163"/>
      <c r="AM244" s="130"/>
      <c r="AN244" s="163"/>
    </row>
    <row r="245" ht="15.75" customHeight="1">
      <c r="A245" s="362"/>
      <c r="B245" s="362"/>
      <c r="C245" s="362"/>
      <c r="D245" s="362"/>
      <c r="E245" s="132"/>
      <c r="F245" s="132"/>
      <c r="G245" s="361"/>
      <c r="H245" s="361"/>
      <c r="I245" s="361"/>
      <c r="J245" s="363"/>
      <c r="K245" s="364"/>
      <c r="L245" s="361"/>
      <c r="M245" s="361"/>
      <c r="N245" s="361"/>
      <c r="O245" s="361"/>
      <c r="P245" s="361"/>
      <c r="Q245" s="361"/>
      <c r="R245" s="361"/>
      <c r="S245" s="361"/>
      <c r="T245" s="361"/>
      <c r="U245" s="361"/>
      <c r="V245" s="361"/>
      <c r="W245" s="361"/>
      <c r="X245" s="361"/>
      <c r="Y245" s="131"/>
      <c r="Z245" s="163"/>
      <c r="AA245" s="131"/>
      <c r="AB245" s="131"/>
      <c r="AC245" s="131"/>
      <c r="AD245" s="131"/>
      <c r="AE245" s="131"/>
      <c r="AF245" s="163"/>
      <c r="AG245" s="163"/>
      <c r="AH245" s="163"/>
      <c r="AI245" s="163"/>
      <c r="AJ245" s="163"/>
      <c r="AK245" s="163"/>
      <c r="AL245" s="163"/>
      <c r="AM245" s="130"/>
      <c r="AN245" s="163"/>
    </row>
    <row r="246" ht="15.75" customHeight="1">
      <c r="A246" s="362"/>
      <c r="B246" s="362"/>
      <c r="C246" s="362"/>
      <c r="D246" s="362"/>
      <c r="E246" s="132"/>
      <c r="F246" s="132"/>
      <c r="G246" s="361"/>
      <c r="H246" s="361"/>
      <c r="I246" s="361"/>
      <c r="J246" s="363"/>
      <c r="K246" s="364"/>
      <c r="L246" s="361"/>
      <c r="M246" s="361"/>
      <c r="N246" s="361"/>
      <c r="O246" s="361"/>
      <c r="P246" s="361"/>
      <c r="Q246" s="361"/>
      <c r="R246" s="361"/>
      <c r="S246" s="361"/>
      <c r="T246" s="361"/>
      <c r="U246" s="361"/>
      <c r="V246" s="361"/>
      <c r="W246" s="361"/>
      <c r="X246" s="361"/>
      <c r="Y246" s="131"/>
      <c r="Z246" s="163"/>
      <c r="AA246" s="131"/>
      <c r="AB246" s="131"/>
      <c r="AC246" s="131"/>
      <c r="AD246" s="131"/>
      <c r="AE246" s="131"/>
      <c r="AF246" s="163"/>
      <c r="AG246" s="163"/>
      <c r="AH246" s="163"/>
      <c r="AI246" s="163"/>
      <c r="AJ246" s="163"/>
      <c r="AK246" s="163"/>
      <c r="AL246" s="163"/>
      <c r="AM246" s="130"/>
      <c r="AN246" s="163"/>
    </row>
    <row r="247" ht="15.75" customHeight="1">
      <c r="A247" s="362"/>
      <c r="B247" s="362"/>
      <c r="C247" s="362"/>
      <c r="D247" s="362"/>
      <c r="E247" s="132"/>
      <c r="F247" s="132"/>
      <c r="G247" s="361"/>
      <c r="H247" s="361"/>
      <c r="I247" s="361"/>
      <c r="J247" s="363"/>
      <c r="K247" s="364"/>
      <c r="L247" s="361"/>
      <c r="M247" s="361"/>
      <c r="N247" s="361"/>
      <c r="O247" s="361"/>
      <c r="P247" s="361"/>
      <c r="Q247" s="361"/>
      <c r="R247" s="361"/>
      <c r="S247" s="361"/>
      <c r="T247" s="361"/>
      <c r="U247" s="361"/>
      <c r="V247" s="361"/>
      <c r="W247" s="361"/>
      <c r="X247" s="361"/>
      <c r="Y247" s="131"/>
      <c r="Z247" s="163"/>
      <c r="AA247" s="131"/>
      <c r="AB247" s="131"/>
      <c r="AC247" s="131"/>
      <c r="AD247" s="131"/>
      <c r="AE247" s="131"/>
      <c r="AF247" s="163"/>
      <c r="AG247" s="163"/>
      <c r="AH247" s="163"/>
      <c r="AI247" s="163"/>
      <c r="AJ247" s="163"/>
      <c r="AK247" s="163"/>
      <c r="AL247" s="163"/>
      <c r="AM247" s="130"/>
      <c r="AN247" s="163"/>
    </row>
    <row r="248" ht="15.75" customHeight="1">
      <c r="A248" s="362"/>
      <c r="B248" s="362"/>
      <c r="C248" s="362"/>
      <c r="D248" s="362"/>
      <c r="E248" s="132"/>
      <c r="F248" s="132"/>
      <c r="G248" s="361"/>
      <c r="H248" s="361"/>
      <c r="I248" s="361"/>
      <c r="J248" s="363"/>
      <c r="K248" s="364"/>
      <c r="L248" s="361"/>
      <c r="M248" s="361"/>
      <c r="N248" s="361"/>
      <c r="O248" s="361"/>
      <c r="P248" s="361"/>
      <c r="Q248" s="361"/>
      <c r="R248" s="361"/>
      <c r="S248" s="361"/>
      <c r="T248" s="361"/>
      <c r="U248" s="361"/>
      <c r="V248" s="361"/>
      <c r="W248" s="361"/>
      <c r="X248" s="361"/>
      <c r="Y248" s="131"/>
      <c r="Z248" s="163"/>
      <c r="AA248" s="131"/>
      <c r="AB248" s="131"/>
      <c r="AC248" s="131"/>
      <c r="AD248" s="131"/>
      <c r="AE248" s="131"/>
      <c r="AF248" s="163"/>
      <c r="AG248" s="163"/>
      <c r="AH248" s="163"/>
      <c r="AI248" s="163"/>
      <c r="AJ248" s="163"/>
      <c r="AK248" s="163"/>
      <c r="AL248" s="163"/>
      <c r="AM248" s="130"/>
      <c r="AN248" s="163"/>
    </row>
    <row r="249" ht="15.75" customHeight="1">
      <c r="A249" s="362"/>
      <c r="B249" s="362"/>
      <c r="C249" s="362"/>
      <c r="D249" s="362"/>
      <c r="E249" s="132"/>
      <c r="F249" s="132"/>
      <c r="G249" s="361"/>
      <c r="H249" s="361"/>
      <c r="I249" s="361"/>
      <c r="J249" s="363"/>
      <c r="K249" s="364"/>
      <c r="L249" s="361"/>
      <c r="M249" s="361"/>
      <c r="N249" s="361"/>
      <c r="O249" s="361"/>
      <c r="P249" s="361"/>
      <c r="Q249" s="361"/>
      <c r="R249" s="361"/>
      <c r="S249" s="361"/>
      <c r="T249" s="361"/>
      <c r="U249" s="361"/>
      <c r="V249" s="361"/>
      <c r="W249" s="361"/>
      <c r="X249" s="361"/>
      <c r="Y249" s="131"/>
      <c r="Z249" s="163"/>
      <c r="AA249" s="131"/>
      <c r="AB249" s="131"/>
      <c r="AC249" s="131"/>
      <c r="AD249" s="131"/>
      <c r="AE249" s="131"/>
      <c r="AF249" s="163"/>
      <c r="AG249" s="163"/>
      <c r="AH249" s="163"/>
      <c r="AI249" s="163"/>
      <c r="AJ249" s="163"/>
      <c r="AK249" s="163"/>
      <c r="AL249" s="163"/>
      <c r="AM249" s="130"/>
      <c r="AN249" s="163"/>
    </row>
    <row r="250" ht="15.75" customHeight="1">
      <c r="A250" s="362"/>
      <c r="B250" s="362"/>
      <c r="C250" s="362"/>
      <c r="D250" s="362"/>
      <c r="E250" s="132"/>
      <c r="F250" s="132"/>
      <c r="G250" s="361"/>
      <c r="H250" s="361"/>
      <c r="I250" s="361"/>
      <c r="J250" s="363"/>
      <c r="K250" s="364"/>
      <c r="L250" s="361"/>
      <c r="M250" s="361"/>
      <c r="N250" s="361"/>
      <c r="O250" s="361"/>
      <c r="P250" s="361"/>
      <c r="Q250" s="361"/>
      <c r="R250" s="361"/>
      <c r="S250" s="361"/>
      <c r="T250" s="361"/>
      <c r="U250" s="361"/>
      <c r="V250" s="361"/>
      <c r="W250" s="361"/>
      <c r="X250" s="361"/>
      <c r="Y250" s="131"/>
      <c r="Z250" s="163"/>
      <c r="AA250" s="131"/>
      <c r="AB250" s="131"/>
      <c r="AC250" s="131"/>
      <c r="AD250" s="131"/>
      <c r="AE250" s="131"/>
      <c r="AF250" s="163"/>
      <c r="AG250" s="163"/>
      <c r="AH250" s="163"/>
      <c r="AI250" s="163"/>
      <c r="AJ250" s="163"/>
      <c r="AK250" s="163"/>
      <c r="AL250" s="163"/>
      <c r="AM250" s="130"/>
      <c r="AN250" s="163"/>
    </row>
    <row r="251" ht="15.75" customHeight="1">
      <c r="A251" s="362"/>
      <c r="B251" s="362"/>
      <c r="C251" s="362"/>
      <c r="D251" s="362"/>
      <c r="E251" s="132"/>
      <c r="F251" s="132"/>
      <c r="G251" s="361"/>
      <c r="H251" s="361"/>
      <c r="I251" s="361"/>
      <c r="J251" s="363"/>
      <c r="K251" s="364"/>
      <c r="L251" s="361"/>
      <c r="M251" s="361"/>
      <c r="N251" s="361"/>
      <c r="O251" s="361"/>
      <c r="P251" s="361"/>
      <c r="Q251" s="361"/>
      <c r="R251" s="361"/>
      <c r="S251" s="361"/>
      <c r="T251" s="361"/>
      <c r="U251" s="361"/>
      <c r="V251" s="361"/>
      <c r="W251" s="361"/>
      <c r="X251" s="361"/>
      <c r="Y251" s="131"/>
      <c r="Z251" s="163"/>
      <c r="AA251" s="131"/>
      <c r="AB251" s="131"/>
      <c r="AC251" s="131"/>
      <c r="AD251" s="131"/>
      <c r="AE251" s="131"/>
      <c r="AF251" s="163"/>
      <c r="AG251" s="163"/>
      <c r="AH251" s="163"/>
      <c r="AI251" s="163"/>
      <c r="AJ251" s="163"/>
      <c r="AK251" s="163"/>
      <c r="AL251" s="163"/>
      <c r="AM251" s="130"/>
      <c r="AN251" s="163"/>
    </row>
    <row r="252" ht="15.75" customHeight="1">
      <c r="A252" s="362"/>
      <c r="B252" s="362"/>
      <c r="C252" s="362"/>
      <c r="D252" s="362"/>
      <c r="E252" s="132"/>
      <c r="F252" s="132"/>
      <c r="G252" s="361"/>
      <c r="H252" s="361"/>
      <c r="I252" s="361"/>
      <c r="J252" s="363"/>
      <c r="K252" s="364"/>
      <c r="L252" s="361"/>
      <c r="M252" s="361"/>
      <c r="N252" s="361"/>
      <c r="O252" s="361"/>
      <c r="P252" s="361"/>
      <c r="Q252" s="361"/>
      <c r="R252" s="361"/>
      <c r="S252" s="361"/>
      <c r="T252" s="361"/>
      <c r="U252" s="361"/>
      <c r="V252" s="361"/>
      <c r="W252" s="361"/>
      <c r="X252" s="361"/>
      <c r="Y252" s="131"/>
      <c r="Z252" s="163"/>
      <c r="AA252" s="131"/>
      <c r="AB252" s="131"/>
      <c r="AC252" s="131"/>
      <c r="AD252" s="131"/>
      <c r="AE252" s="131"/>
      <c r="AF252" s="163"/>
      <c r="AG252" s="163"/>
      <c r="AH252" s="163"/>
      <c r="AI252" s="163"/>
      <c r="AJ252" s="163"/>
      <c r="AK252" s="163"/>
      <c r="AL252" s="163"/>
      <c r="AM252" s="130"/>
      <c r="AN252" s="163"/>
    </row>
    <row r="253" ht="15.75" customHeight="1">
      <c r="A253" s="362"/>
      <c r="B253" s="362"/>
      <c r="C253" s="362"/>
      <c r="D253" s="362"/>
      <c r="E253" s="132"/>
      <c r="F253" s="132"/>
      <c r="G253" s="361"/>
      <c r="H253" s="361"/>
      <c r="I253" s="361"/>
      <c r="J253" s="363"/>
      <c r="K253" s="364"/>
      <c r="L253" s="361"/>
      <c r="M253" s="361"/>
      <c r="N253" s="361"/>
      <c r="O253" s="361"/>
      <c r="P253" s="361"/>
      <c r="Q253" s="361"/>
      <c r="R253" s="361"/>
      <c r="S253" s="361"/>
      <c r="T253" s="361"/>
      <c r="U253" s="361"/>
      <c r="V253" s="361"/>
      <c r="W253" s="361"/>
      <c r="X253" s="361"/>
      <c r="Y253" s="131"/>
      <c r="Z253" s="163"/>
      <c r="AA253" s="131"/>
      <c r="AB253" s="131"/>
      <c r="AC253" s="131"/>
      <c r="AD253" s="131"/>
      <c r="AE253" s="131"/>
      <c r="AF253" s="163"/>
      <c r="AG253" s="163"/>
      <c r="AH253" s="163"/>
      <c r="AI253" s="163"/>
      <c r="AJ253" s="163"/>
      <c r="AK253" s="163"/>
      <c r="AL253" s="163"/>
      <c r="AM253" s="130"/>
      <c r="AN253" s="163"/>
    </row>
    <row r="254" ht="15.75" customHeight="1">
      <c r="A254" s="362"/>
      <c r="B254" s="362"/>
      <c r="C254" s="362"/>
      <c r="D254" s="362"/>
      <c r="E254" s="132"/>
      <c r="F254" s="132"/>
      <c r="G254" s="361"/>
      <c r="H254" s="361"/>
      <c r="I254" s="361"/>
      <c r="J254" s="363"/>
      <c r="K254" s="364"/>
      <c r="L254" s="361"/>
      <c r="M254" s="361"/>
      <c r="N254" s="361"/>
      <c r="O254" s="361"/>
      <c r="P254" s="361"/>
      <c r="Q254" s="361"/>
      <c r="R254" s="361"/>
      <c r="S254" s="361"/>
      <c r="T254" s="361"/>
      <c r="U254" s="361"/>
      <c r="V254" s="361"/>
      <c r="W254" s="361"/>
      <c r="X254" s="361"/>
      <c r="Y254" s="131"/>
      <c r="Z254" s="163"/>
      <c r="AA254" s="131"/>
      <c r="AB254" s="131"/>
      <c r="AC254" s="131"/>
      <c r="AD254" s="131"/>
      <c r="AE254" s="131"/>
      <c r="AF254" s="163"/>
      <c r="AG254" s="163"/>
      <c r="AH254" s="163"/>
      <c r="AI254" s="163"/>
      <c r="AJ254" s="163"/>
      <c r="AK254" s="163"/>
      <c r="AL254" s="163"/>
      <c r="AM254" s="130"/>
      <c r="AN254" s="163"/>
    </row>
    <row r="255" ht="15.75" customHeight="1">
      <c r="A255" s="362"/>
      <c r="B255" s="362"/>
      <c r="C255" s="362"/>
      <c r="D255" s="362"/>
      <c r="E255" s="132"/>
      <c r="F255" s="132"/>
      <c r="G255" s="361"/>
      <c r="H255" s="361"/>
      <c r="I255" s="361"/>
      <c r="J255" s="363"/>
      <c r="K255" s="364"/>
      <c r="L255" s="361"/>
      <c r="M255" s="361"/>
      <c r="N255" s="361"/>
      <c r="O255" s="361"/>
      <c r="P255" s="361"/>
      <c r="Q255" s="361"/>
      <c r="R255" s="361"/>
      <c r="S255" s="361"/>
      <c r="T255" s="361"/>
      <c r="U255" s="361"/>
      <c r="V255" s="361"/>
      <c r="W255" s="361"/>
      <c r="X255" s="361"/>
      <c r="Y255" s="131"/>
      <c r="Z255" s="163"/>
      <c r="AA255" s="131"/>
      <c r="AB255" s="131"/>
      <c r="AC255" s="131"/>
      <c r="AD255" s="131"/>
      <c r="AE255" s="131"/>
      <c r="AF255" s="163"/>
      <c r="AG255" s="163"/>
      <c r="AH255" s="163"/>
      <c r="AI255" s="163"/>
      <c r="AJ255" s="163"/>
      <c r="AK255" s="163"/>
      <c r="AL255" s="163"/>
      <c r="AM255" s="130"/>
      <c r="AN255" s="163"/>
    </row>
    <row r="256" ht="15.75" customHeight="1">
      <c r="A256" s="362"/>
      <c r="B256" s="362"/>
      <c r="C256" s="362"/>
      <c r="D256" s="362"/>
      <c r="E256" s="132"/>
      <c r="F256" s="132"/>
      <c r="G256" s="361"/>
      <c r="H256" s="361"/>
      <c r="I256" s="361"/>
      <c r="J256" s="363"/>
      <c r="K256" s="364"/>
      <c r="L256" s="361"/>
      <c r="M256" s="361"/>
      <c r="N256" s="361"/>
      <c r="O256" s="361"/>
      <c r="P256" s="361"/>
      <c r="Q256" s="361"/>
      <c r="R256" s="361"/>
      <c r="S256" s="361"/>
      <c r="T256" s="361"/>
      <c r="U256" s="361"/>
      <c r="V256" s="361"/>
      <c r="W256" s="361"/>
      <c r="X256" s="361"/>
      <c r="Y256" s="131"/>
      <c r="Z256" s="163"/>
      <c r="AA256" s="131"/>
      <c r="AB256" s="131"/>
      <c r="AC256" s="131"/>
      <c r="AD256" s="131"/>
      <c r="AE256" s="131"/>
      <c r="AF256" s="163"/>
      <c r="AG256" s="163"/>
      <c r="AH256" s="163"/>
      <c r="AI256" s="163"/>
      <c r="AJ256" s="163"/>
      <c r="AK256" s="163"/>
      <c r="AL256" s="163"/>
      <c r="AM256" s="130"/>
      <c r="AN256" s="163"/>
    </row>
    <row r="257" ht="15.75" customHeight="1">
      <c r="A257" s="362"/>
      <c r="B257" s="362"/>
      <c r="C257" s="362"/>
      <c r="D257" s="362"/>
      <c r="E257" s="132"/>
      <c r="F257" s="132"/>
      <c r="G257" s="361"/>
      <c r="H257" s="361"/>
      <c r="I257" s="361"/>
      <c r="J257" s="363"/>
      <c r="K257" s="364"/>
      <c r="L257" s="361"/>
      <c r="M257" s="361"/>
      <c r="N257" s="361"/>
      <c r="O257" s="361"/>
      <c r="P257" s="361"/>
      <c r="Q257" s="361"/>
      <c r="R257" s="361"/>
      <c r="S257" s="361"/>
      <c r="T257" s="361"/>
      <c r="U257" s="361"/>
      <c r="V257" s="361"/>
      <c r="W257" s="361"/>
      <c r="X257" s="361"/>
      <c r="Y257" s="131"/>
      <c r="Z257" s="163"/>
      <c r="AA257" s="131"/>
      <c r="AB257" s="131"/>
      <c r="AC257" s="131"/>
      <c r="AD257" s="131"/>
      <c r="AE257" s="131"/>
      <c r="AF257" s="163"/>
      <c r="AG257" s="163"/>
      <c r="AH257" s="163"/>
      <c r="AI257" s="163"/>
      <c r="AJ257" s="163"/>
      <c r="AK257" s="163"/>
      <c r="AL257" s="163"/>
      <c r="AM257" s="130"/>
      <c r="AN257" s="163"/>
    </row>
    <row r="258" ht="15.75" customHeight="1">
      <c r="A258" s="362"/>
      <c r="B258" s="362"/>
      <c r="C258" s="362"/>
      <c r="D258" s="362"/>
      <c r="E258" s="132"/>
      <c r="F258" s="132"/>
      <c r="G258" s="361"/>
      <c r="H258" s="361"/>
      <c r="I258" s="361"/>
      <c r="J258" s="363"/>
      <c r="K258" s="364"/>
      <c r="L258" s="361"/>
      <c r="M258" s="361"/>
      <c r="N258" s="361"/>
      <c r="O258" s="361"/>
      <c r="P258" s="361"/>
      <c r="Q258" s="361"/>
      <c r="R258" s="361"/>
      <c r="S258" s="361"/>
      <c r="T258" s="361"/>
      <c r="U258" s="361"/>
      <c r="V258" s="361"/>
      <c r="W258" s="361"/>
      <c r="X258" s="361"/>
      <c r="Y258" s="131"/>
      <c r="Z258" s="163"/>
      <c r="AA258" s="131"/>
      <c r="AB258" s="131"/>
      <c r="AC258" s="131"/>
      <c r="AD258" s="131"/>
      <c r="AE258" s="131"/>
      <c r="AF258" s="163"/>
      <c r="AG258" s="163"/>
      <c r="AH258" s="163"/>
      <c r="AI258" s="163"/>
      <c r="AJ258" s="163"/>
      <c r="AK258" s="163"/>
      <c r="AL258" s="163"/>
      <c r="AM258" s="130"/>
      <c r="AN258" s="163"/>
    </row>
    <row r="259" ht="15.75" customHeight="1">
      <c r="A259" s="362"/>
      <c r="B259" s="362"/>
      <c r="C259" s="362"/>
      <c r="D259" s="362"/>
      <c r="E259" s="132"/>
      <c r="F259" s="132"/>
      <c r="G259" s="361"/>
      <c r="H259" s="361"/>
      <c r="I259" s="361"/>
      <c r="J259" s="363"/>
      <c r="K259" s="364"/>
      <c r="L259" s="361"/>
      <c r="M259" s="361"/>
      <c r="N259" s="361"/>
      <c r="O259" s="361"/>
      <c r="P259" s="361"/>
      <c r="Q259" s="361"/>
      <c r="R259" s="361"/>
      <c r="S259" s="361"/>
      <c r="T259" s="361"/>
      <c r="U259" s="361"/>
      <c r="V259" s="361"/>
      <c r="W259" s="361"/>
      <c r="X259" s="361"/>
      <c r="Y259" s="131"/>
      <c r="Z259" s="163"/>
      <c r="AA259" s="131"/>
      <c r="AB259" s="131"/>
      <c r="AC259" s="131"/>
      <c r="AD259" s="131"/>
      <c r="AE259" s="131"/>
      <c r="AF259" s="163"/>
      <c r="AG259" s="163"/>
      <c r="AH259" s="163"/>
      <c r="AI259" s="163"/>
      <c r="AJ259" s="163"/>
      <c r="AK259" s="163"/>
      <c r="AL259" s="163"/>
      <c r="AM259" s="130"/>
      <c r="AN259" s="163"/>
    </row>
    <row r="260" ht="15.75" customHeight="1">
      <c r="A260" s="362"/>
      <c r="B260" s="362"/>
      <c r="C260" s="362"/>
      <c r="D260" s="362"/>
      <c r="E260" s="132"/>
      <c r="F260" s="132"/>
      <c r="G260" s="361"/>
      <c r="H260" s="361"/>
      <c r="I260" s="361"/>
      <c r="J260" s="363"/>
      <c r="K260" s="364"/>
      <c r="L260" s="361"/>
      <c r="M260" s="361"/>
      <c r="N260" s="361"/>
      <c r="O260" s="361"/>
      <c r="P260" s="361"/>
      <c r="Q260" s="361"/>
      <c r="R260" s="361"/>
      <c r="S260" s="361"/>
      <c r="T260" s="361"/>
      <c r="U260" s="361"/>
      <c r="V260" s="361"/>
      <c r="W260" s="361"/>
      <c r="X260" s="361"/>
      <c r="Y260" s="131"/>
      <c r="Z260" s="163"/>
      <c r="AA260" s="131"/>
      <c r="AB260" s="131"/>
      <c r="AC260" s="131"/>
      <c r="AD260" s="131"/>
      <c r="AE260" s="131"/>
      <c r="AF260" s="163"/>
      <c r="AG260" s="163"/>
      <c r="AH260" s="163"/>
      <c r="AI260" s="163"/>
      <c r="AJ260" s="163"/>
      <c r="AK260" s="163"/>
      <c r="AL260" s="163"/>
      <c r="AM260" s="130"/>
      <c r="AN260" s="163"/>
    </row>
    <row r="261" ht="15.75" customHeight="1">
      <c r="A261" s="362"/>
      <c r="B261" s="362"/>
      <c r="C261" s="362"/>
      <c r="D261" s="362"/>
      <c r="E261" s="132"/>
      <c r="F261" s="132"/>
      <c r="G261" s="361"/>
      <c r="H261" s="361"/>
      <c r="I261" s="361"/>
      <c r="J261" s="363"/>
      <c r="K261" s="364"/>
      <c r="L261" s="361"/>
      <c r="M261" s="361"/>
      <c r="N261" s="361"/>
      <c r="O261" s="361"/>
      <c r="P261" s="361"/>
      <c r="Q261" s="361"/>
      <c r="R261" s="361"/>
      <c r="S261" s="361"/>
      <c r="T261" s="361"/>
      <c r="U261" s="361"/>
      <c r="V261" s="361"/>
      <c r="W261" s="361"/>
      <c r="X261" s="361"/>
      <c r="Y261" s="131"/>
      <c r="Z261" s="163"/>
      <c r="AA261" s="131"/>
      <c r="AB261" s="131"/>
      <c r="AC261" s="131"/>
      <c r="AD261" s="131"/>
      <c r="AE261" s="131"/>
      <c r="AF261" s="163"/>
      <c r="AG261" s="163"/>
      <c r="AH261" s="163"/>
      <c r="AI261" s="163"/>
      <c r="AJ261" s="163"/>
      <c r="AK261" s="163"/>
      <c r="AL261" s="163"/>
      <c r="AM261" s="130"/>
      <c r="AN261" s="163"/>
    </row>
    <row r="262" ht="15.75" customHeight="1">
      <c r="A262" s="362"/>
      <c r="B262" s="362"/>
      <c r="C262" s="362"/>
      <c r="D262" s="362"/>
      <c r="E262" s="132"/>
      <c r="F262" s="132"/>
      <c r="G262" s="361"/>
      <c r="H262" s="361"/>
      <c r="I262" s="361"/>
      <c r="J262" s="363"/>
      <c r="K262" s="364"/>
      <c r="L262" s="361"/>
      <c r="M262" s="361"/>
      <c r="N262" s="361"/>
      <c r="O262" s="361"/>
      <c r="P262" s="361"/>
      <c r="Q262" s="361"/>
      <c r="R262" s="361"/>
      <c r="S262" s="361"/>
      <c r="T262" s="361"/>
      <c r="U262" s="361"/>
      <c r="V262" s="361"/>
      <c r="W262" s="361"/>
      <c r="X262" s="361"/>
      <c r="Y262" s="131"/>
      <c r="Z262" s="163"/>
      <c r="AA262" s="131"/>
      <c r="AB262" s="131"/>
      <c r="AC262" s="131"/>
      <c r="AD262" s="131"/>
      <c r="AE262" s="131"/>
      <c r="AF262" s="163"/>
      <c r="AG262" s="163"/>
      <c r="AH262" s="163"/>
      <c r="AI262" s="163"/>
      <c r="AJ262" s="163"/>
      <c r="AK262" s="163"/>
      <c r="AL262" s="163"/>
      <c r="AM262" s="130"/>
      <c r="AN262" s="163"/>
    </row>
    <row r="263" ht="15.75" customHeight="1">
      <c r="A263" s="362"/>
      <c r="B263" s="362"/>
      <c r="C263" s="362"/>
      <c r="D263" s="362"/>
      <c r="E263" s="132"/>
      <c r="F263" s="132"/>
      <c r="G263" s="361"/>
      <c r="H263" s="361"/>
      <c r="I263" s="361"/>
      <c r="J263" s="363"/>
      <c r="K263" s="364"/>
      <c r="L263" s="361"/>
      <c r="M263" s="361"/>
      <c r="N263" s="361"/>
      <c r="O263" s="361"/>
      <c r="P263" s="361"/>
      <c r="Q263" s="361"/>
      <c r="R263" s="361"/>
      <c r="S263" s="361"/>
      <c r="T263" s="361"/>
      <c r="U263" s="361"/>
      <c r="V263" s="361"/>
      <c r="W263" s="361"/>
      <c r="X263" s="361"/>
      <c r="Y263" s="131"/>
      <c r="Z263" s="163"/>
      <c r="AA263" s="131"/>
      <c r="AB263" s="131"/>
      <c r="AC263" s="131"/>
      <c r="AD263" s="131"/>
      <c r="AE263" s="131"/>
      <c r="AF263" s="163"/>
      <c r="AG263" s="163"/>
      <c r="AH263" s="163"/>
      <c r="AI263" s="163"/>
      <c r="AJ263" s="163"/>
      <c r="AK263" s="163"/>
      <c r="AL263" s="163"/>
      <c r="AM263" s="130"/>
      <c r="AN263" s="163"/>
    </row>
    <row r="264" ht="15.75" customHeight="1">
      <c r="A264" s="362"/>
      <c r="B264" s="362"/>
      <c r="C264" s="362"/>
      <c r="D264" s="362"/>
      <c r="E264" s="132"/>
      <c r="F264" s="132"/>
      <c r="G264" s="361"/>
      <c r="H264" s="361"/>
      <c r="I264" s="361"/>
      <c r="J264" s="363"/>
      <c r="K264" s="364"/>
      <c r="L264" s="361"/>
      <c r="M264" s="361"/>
      <c r="N264" s="361"/>
      <c r="O264" s="361"/>
      <c r="P264" s="361"/>
      <c r="Q264" s="361"/>
      <c r="R264" s="361"/>
      <c r="S264" s="361"/>
      <c r="T264" s="361"/>
      <c r="U264" s="361"/>
      <c r="V264" s="361"/>
      <c r="W264" s="361"/>
      <c r="X264" s="361"/>
      <c r="Y264" s="131"/>
      <c r="Z264" s="163"/>
      <c r="AA264" s="131"/>
      <c r="AB264" s="131"/>
      <c r="AC264" s="131"/>
      <c r="AD264" s="131"/>
      <c r="AE264" s="131"/>
      <c r="AF264" s="163"/>
      <c r="AG264" s="163"/>
      <c r="AH264" s="163"/>
      <c r="AI264" s="163"/>
      <c r="AJ264" s="163"/>
      <c r="AK264" s="163"/>
      <c r="AL264" s="163"/>
      <c r="AM264" s="130"/>
      <c r="AN264" s="163"/>
    </row>
    <row r="265" ht="15.75" customHeight="1">
      <c r="A265" s="362"/>
      <c r="B265" s="362"/>
      <c r="C265" s="362"/>
      <c r="D265" s="362"/>
      <c r="E265" s="132"/>
      <c r="F265" s="132"/>
      <c r="G265" s="361"/>
      <c r="H265" s="361"/>
      <c r="I265" s="361"/>
      <c r="J265" s="363"/>
      <c r="K265" s="364"/>
      <c r="L265" s="361"/>
      <c r="M265" s="361"/>
      <c r="N265" s="361"/>
      <c r="O265" s="361"/>
      <c r="P265" s="361"/>
      <c r="Q265" s="361"/>
      <c r="R265" s="361"/>
      <c r="S265" s="361"/>
      <c r="T265" s="361"/>
      <c r="U265" s="361"/>
      <c r="V265" s="361"/>
      <c r="W265" s="361"/>
      <c r="X265" s="361"/>
      <c r="Y265" s="131"/>
      <c r="Z265" s="163"/>
      <c r="AA265" s="131"/>
      <c r="AB265" s="131"/>
      <c r="AC265" s="131"/>
      <c r="AD265" s="131"/>
      <c r="AE265" s="131"/>
      <c r="AF265" s="163"/>
      <c r="AG265" s="163"/>
      <c r="AH265" s="163"/>
      <c r="AI265" s="163"/>
      <c r="AJ265" s="163"/>
      <c r="AK265" s="163"/>
      <c r="AL265" s="163"/>
      <c r="AM265" s="130"/>
      <c r="AN265" s="163"/>
    </row>
    <row r="266" ht="15.75" customHeight="1">
      <c r="A266" s="362"/>
      <c r="B266" s="362"/>
      <c r="C266" s="362"/>
      <c r="D266" s="362"/>
      <c r="E266" s="132"/>
      <c r="F266" s="132"/>
      <c r="G266" s="361"/>
      <c r="H266" s="361"/>
      <c r="I266" s="361"/>
      <c r="J266" s="363"/>
      <c r="K266" s="364"/>
      <c r="L266" s="361"/>
      <c r="M266" s="361"/>
      <c r="N266" s="361"/>
      <c r="O266" s="361"/>
      <c r="P266" s="361"/>
      <c r="Q266" s="361"/>
      <c r="R266" s="361"/>
      <c r="S266" s="361"/>
      <c r="T266" s="361"/>
      <c r="U266" s="361"/>
      <c r="V266" s="361"/>
      <c r="W266" s="361"/>
      <c r="X266" s="361"/>
      <c r="Y266" s="131"/>
      <c r="Z266" s="163"/>
      <c r="AA266" s="131"/>
      <c r="AB266" s="131"/>
      <c r="AC266" s="131"/>
      <c r="AD266" s="131"/>
      <c r="AE266" s="131"/>
      <c r="AF266" s="163"/>
      <c r="AG266" s="163"/>
      <c r="AH266" s="163"/>
      <c r="AI266" s="163"/>
      <c r="AJ266" s="163"/>
      <c r="AK266" s="163"/>
      <c r="AL266" s="163"/>
      <c r="AM266" s="130"/>
      <c r="AN266" s="163"/>
    </row>
    <row r="267" ht="15.75" customHeight="1">
      <c r="A267" s="362"/>
      <c r="B267" s="362"/>
      <c r="C267" s="362"/>
      <c r="D267" s="362"/>
      <c r="E267" s="132"/>
      <c r="F267" s="132"/>
      <c r="G267" s="361"/>
      <c r="H267" s="361"/>
      <c r="I267" s="361"/>
      <c r="J267" s="363"/>
      <c r="K267" s="364"/>
      <c r="L267" s="361"/>
      <c r="M267" s="361"/>
      <c r="N267" s="361"/>
      <c r="O267" s="361"/>
      <c r="P267" s="361"/>
      <c r="Q267" s="361"/>
      <c r="R267" s="361"/>
      <c r="S267" s="361"/>
      <c r="T267" s="361"/>
      <c r="U267" s="361"/>
      <c r="V267" s="361"/>
      <c r="W267" s="361"/>
      <c r="X267" s="361"/>
      <c r="Y267" s="131"/>
      <c r="Z267" s="163"/>
      <c r="AA267" s="131"/>
      <c r="AB267" s="131"/>
      <c r="AC267" s="131"/>
      <c r="AD267" s="131"/>
      <c r="AE267" s="131"/>
      <c r="AF267" s="163"/>
      <c r="AG267" s="163"/>
      <c r="AH267" s="163"/>
      <c r="AI267" s="163"/>
      <c r="AJ267" s="163"/>
      <c r="AK267" s="163"/>
      <c r="AL267" s="163"/>
      <c r="AM267" s="130"/>
      <c r="AN267" s="163"/>
    </row>
    <row r="268" ht="15.75" customHeight="1">
      <c r="A268" s="362"/>
      <c r="B268" s="362"/>
      <c r="C268" s="362"/>
      <c r="D268" s="362"/>
      <c r="E268" s="132"/>
      <c r="F268" s="132"/>
      <c r="G268" s="361"/>
      <c r="H268" s="361"/>
      <c r="I268" s="361"/>
      <c r="J268" s="363"/>
      <c r="K268" s="364"/>
      <c r="L268" s="361"/>
      <c r="M268" s="361"/>
      <c r="N268" s="361"/>
      <c r="O268" s="361"/>
      <c r="P268" s="361"/>
      <c r="Q268" s="361"/>
      <c r="R268" s="361"/>
      <c r="S268" s="361"/>
      <c r="T268" s="361"/>
      <c r="U268" s="361"/>
      <c r="V268" s="361"/>
      <c r="W268" s="361"/>
      <c r="X268" s="361"/>
      <c r="Y268" s="131"/>
      <c r="Z268" s="163"/>
      <c r="AA268" s="131"/>
      <c r="AB268" s="131"/>
      <c r="AC268" s="131"/>
      <c r="AD268" s="131"/>
      <c r="AE268" s="131"/>
      <c r="AF268" s="163"/>
      <c r="AG268" s="163"/>
      <c r="AH268" s="163"/>
      <c r="AI268" s="163"/>
      <c r="AJ268" s="163"/>
      <c r="AK268" s="163"/>
      <c r="AL268" s="163"/>
      <c r="AM268" s="130"/>
      <c r="AN268" s="163"/>
    </row>
    <row r="269" ht="15.75" customHeight="1">
      <c r="A269" s="362"/>
      <c r="B269" s="362"/>
      <c r="C269" s="362"/>
      <c r="D269" s="362"/>
      <c r="E269" s="132"/>
      <c r="F269" s="132"/>
      <c r="G269" s="361"/>
      <c r="H269" s="361"/>
      <c r="I269" s="361"/>
      <c r="J269" s="363"/>
      <c r="K269" s="364"/>
      <c r="L269" s="361"/>
      <c r="M269" s="361"/>
      <c r="N269" s="361"/>
      <c r="O269" s="361"/>
      <c r="P269" s="361"/>
      <c r="Q269" s="361"/>
      <c r="R269" s="361"/>
      <c r="S269" s="361"/>
      <c r="T269" s="361"/>
      <c r="U269" s="361"/>
      <c r="V269" s="361"/>
      <c r="W269" s="361"/>
      <c r="X269" s="361"/>
      <c r="Y269" s="131"/>
      <c r="Z269" s="163"/>
      <c r="AA269" s="131"/>
      <c r="AB269" s="131"/>
      <c r="AC269" s="131"/>
      <c r="AD269" s="131"/>
      <c r="AE269" s="131"/>
      <c r="AF269" s="163"/>
      <c r="AG269" s="163"/>
      <c r="AH269" s="163"/>
      <c r="AI269" s="163"/>
      <c r="AJ269" s="163"/>
      <c r="AK269" s="163"/>
      <c r="AL269" s="163"/>
      <c r="AM269" s="130"/>
      <c r="AN269" s="163"/>
    </row>
    <row r="270" ht="15.75" customHeight="1">
      <c r="A270" s="362"/>
      <c r="B270" s="362"/>
      <c r="C270" s="362"/>
      <c r="D270" s="362"/>
      <c r="E270" s="132"/>
      <c r="F270" s="132"/>
      <c r="G270" s="361"/>
      <c r="H270" s="361"/>
      <c r="I270" s="361"/>
      <c r="J270" s="363"/>
      <c r="K270" s="364"/>
      <c r="L270" s="361"/>
      <c r="M270" s="361"/>
      <c r="N270" s="361"/>
      <c r="O270" s="361"/>
      <c r="P270" s="361"/>
      <c r="Q270" s="361"/>
      <c r="R270" s="361"/>
      <c r="S270" s="361"/>
      <c r="T270" s="361"/>
      <c r="U270" s="361"/>
      <c r="V270" s="361"/>
      <c r="W270" s="361"/>
      <c r="X270" s="361"/>
      <c r="Y270" s="131"/>
      <c r="Z270" s="163"/>
      <c r="AA270" s="131"/>
      <c r="AB270" s="131"/>
      <c r="AC270" s="131"/>
      <c r="AD270" s="131"/>
      <c r="AE270" s="131"/>
      <c r="AF270" s="163"/>
      <c r="AG270" s="163"/>
      <c r="AH270" s="163"/>
      <c r="AI270" s="163"/>
      <c r="AJ270" s="163"/>
      <c r="AK270" s="163"/>
      <c r="AL270" s="163"/>
      <c r="AM270" s="130"/>
      <c r="AN270" s="163"/>
    </row>
    <row r="271" ht="15.75" customHeight="1">
      <c r="A271" s="362"/>
      <c r="B271" s="362"/>
      <c r="C271" s="362"/>
      <c r="D271" s="362"/>
      <c r="E271" s="132"/>
      <c r="F271" s="132"/>
      <c r="G271" s="361"/>
      <c r="H271" s="361"/>
      <c r="I271" s="361"/>
      <c r="J271" s="363"/>
      <c r="K271" s="364"/>
      <c r="L271" s="361"/>
      <c r="M271" s="361"/>
      <c r="N271" s="361"/>
      <c r="O271" s="361"/>
      <c r="P271" s="361"/>
      <c r="Q271" s="361"/>
      <c r="R271" s="361"/>
      <c r="S271" s="361"/>
      <c r="T271" s="361"/>
      <c r="U271" s="361"/>
      <c r="V271" s="361"/>
      <c r="W271" s="361"/>
      <c r="X271" s="361"/>
      <c r="Y271" s="131"/>
      <c r="Z271" s="163"/>
      <c r="AA271" s="131"/>
      <c r="AB271" s="131"/>
      <c r="AC271" s="131"/>
      <c r="AD271" s="131"/>
      <c r="AE271" s="131"/>
      <c r="AF271" s="163"/>
      <c r="AG271" s="163"/>
      <c r="AH271" s="163"/>
      <c r="AI271" s="163"/>
      <c r="AJ271" s="163"/>
      <c r="AK271" s="163"/>
      <c r="AL271" s="163"/>
      <c r="AM271" s="130"/>
      <c r="AN271" s="163"/>
    </row>
    <row r="272" ht="15.75" customHeight="1">
      <c r="A272" s="362"/>
      <c r="B272" s="362"/>
      <c r="C272" s="362"/>
      <c r="D272" s="362"/>
      <c r="E272" s="132"/>
      <c r="F272" s="132"/>
      <c r="G272" s="361"/>
      <c r="H272" s="361"/>
      <c r="I272" s="361"/>
      <c r="J272" s="363"/>
      <c r="K272" s="364"/>
      <c r="L272" s="361"/>
      <c r="M272" s="361"/>
      <c r="N272" s="361"/>
      <c r="O272" s="361"/>
      <c r="P272" s="361"/>
      <c r="Q272" s="361"/>
      <c r="R272" s="361"/>
      <c r="S272" s="361"/>
      <c r="T272" s="361"/>
      <c r="U272" s="361"/>
      <c r="V272" s="361"/>
      <c r="W272" s="361"/>
      <c r="X272" s="361"/>
      <c r="Y272" s="131"/>
      <c r="Z272" s="163"/>
      <c r="AA272" s="131"/>
      <c r="AB272" s="131"/>
      <c r="AC272" s="131"/>
      <c r="AD272" s="131"/>
      <c r="AE272" s="131"/>
      <c r="AF272" s="163"/>
      <c r="AG272" s="163"/>
      <c r="AH272" s="163"/>
      <c r="AI272" s="163"/>
      <c r="AJ272" s="163"/>
      <c r="AK272" s="163"/>
      <c r="AL272" s="163"/>
      <c r="AM272" s="130"/>
      <c r="AN272" s="163"/>
    </row>
    <row r="273" ht="15.75" customHeight="1">
      <c r="A273" s="362"/>
      <c r="B273" s="362"/>
      <c r="C273" s="362"/>
      <c r="D273" s="362"/>
      <c r="E273" s="132"/>
      <c r="F273" s="132"/>
      <c r="G273" s="361"/>
      <c r="H273" s="361"/>
      <c r="I273" s="361"/>
      <c r="J273" s="363"/>
      <c r="K273" s="364"/>
      <c r="L273" s="361"/>
      <c r="M273" s="361"/>
      <c r="N273" s="361"/>
      <c r="O273" s="361"/>
      <c r="P273" s="361"/>
      <c r="Q273" s="361"/>
      <c r="R273" s="361"/>
      <c r="S273" s="361"/>
      <c r="T273" s="361"/>
      <c r="U273" s="361"/>
      <c r="V273" s="361"/>
      <c r="W273" s="361"/>
      <c r="X273" s="361"/>
      <c r="Y273" s="131"/>
      <c r="Z273" s="163"/>
      <c r="AA273" s="131"/>
      <c r="AB273" s="131"/>
      <c r="AC273" s="131"/>
      <c r="AD273" s="131"/>
      <c r="AE273" s="131"/>
      <c r="AF273" s="163"/>
      <c r="AG273" s="163"/>
      <c r="AH273" s="163"/>
      <c r="AI273" s="163"/>
      <c r="AJ273" s="163"/>
      <c r="AK273" s="163"/>
      <c r="AL273" s="163"/>
      <c r="AM273" s="130"/>
      <c r="AN273" s="163"/>
    </row>
    <row r="274" ht="15.75" customHeight="1">
      <c r="A274" s="362"/>
      <c r="B274" s="362"/>
      <c r="C274" s="362"/>
      <c r="D274" s="362"/>
      <c r="E274" s="132"/>
      <c r="F274" s="132"/>
      <c r="G274" s="361"/>
      <c r="H274" s="361"/>
      <c r="I274" s="361"/>
      <c r="J274" s="363"/>
      <c r="K274" s="364"/>
      <c r="L274" s="361"/>
      <c r="M274" s="361"/>
      <c r="N274" s="361"/>
      <c r="O274" s="361"/>
      <c r="P274" s="361"/>
      <c r="Q274" s="361"/>
      <c r="R274" s="361"/>
      <c r="S274" s="361"/>
      <c r="T274" s="361"/>
      <c r="U274" s="361"/>
      <c r="V274" s="361"/>
      <c r="W274" s="361"/>
      <c r="X274" s="361"/>
      <c r="Y274" s="131"/>
      <c r="Z274" s="163"/>
      <c r="AA274" s="131"/>
      <c r="AB274" s="131"/>
      <c r="AC274" s="131"/>
      <c r="AD274" s="131"/>
      <c r="AE274" s="131"/>
      <c r="AF274" s="163"/>
      <c r="AG274" s="163"/>
      <c r="AH274" s="163"/>
      <c r="AI274" s="163"/>
      <c r="AJ274" s="163"/>
      <c r="AK274" s="163"/>
      <c r="AL274" s="163"/>
      <c r="AM274" s="130"/>
      <c r="AN274" s="163"/>
    </row>
    <row r="275" ht="15.75" customHeight="1">
      <c r="A275" s="362"/>
      <c r="B275" s="362"/>
      <c r="C275" s="362"/>
      <c r="D275" s="362"/>
      <c r="E275" s="132"/>
      <c r="F275" s="132"/>
      <c r="G275" s="361"/>
      <c r="H275" s="361"/>
      <c r="I275" s="361"/>
      <c r="J275" s="363"/>
      <c r="K275" s="364"/>
      <c r="L275" s="361"/>
      <c r="M275" s="361"/>
      <c r="N275" s="361"/>
      <c r="O275" s="361"/>
      <c r="P275" s="361"/>
      <c r="Q275" s="361"/>
      <c r="R275" s="361"/>
      <c r="S275" s="361"/>
      <c r="T275" s="361"/>
      <c r="U275" s="361"/>
      <c r="V275" s="361"/>
      <c r="W275" s="361"/>
      <c r="X275" s="361"/>
      <c r="Y275" s="131"/>
      <c r="Z275" s="163"/>
      <c r="AA275" s="131"/>
      <c r="AB275" s="131"/>
      <c r="AC275" s="131"/>
      <c r="AD275" s="131"/>
      <c r="AE275" s="131"/>
      <c r="AF275" s="163"/>
      <c r="AG275" s="163"/>
      <c r="AH275" s="163"/>
      <c r="AI275" s="163"/>
      <c r="AJ275" s="163"/>
      <c r="AK275" s="163"/>
      <c r="AL275" s="163"/>
      <c r="AM275" s="130"/>
      <c r="AN275" s="163"/>
    </row>
    <row r="276" ht="15.75" customHeight="1">
      <c r="A276" s="362"/>
      <c r="B276" s="362"/>
      <c r="C276" s="362"/>
      <c r="D276" s="362"/>
      <c r="E276" s="132"/>
      <c r="F276" s="132"/>
      <c r="G276" s="361"/>
      <c r="H276" s="361"/>
      <c r="I276" s="361"/>
      <c r="J276" s="363"/>
      <c r="K276" s="364"/>
      <c r="L276" s="361"/>
      <c r="M276" s="361"/>
      <c r="N276" s="361"/>
      <c r="O276" s="361"/>
      <c r="P276" s="361"/>
      <c r="Q276" s="361"/>
      <c r="R276" s="361"/>
      <c r="S276" s="361"/>
      <c r="T276" s="361"/>
      <c r="U276" s="361"/>
      <c r="V276" s="361"/>
      <c r="W276" s="361"/>
      <c r="X276" s="361"/>
      <c r="Y276" s="131"/>
      <c r="Z276" s="163"/>
      <c r="AA276" s="131"/>
      <c r="AB276" s="131"/>
      <c r="AC276" s="131"/>
      <c r="AD276" s="131"/>
      <c r="AE276" s="131"/>
      <c r="AF276" s="163"/>
      <c r="AG276" s="163"/>
      <c r="AH276" s="163"/>
      <c r="AI276" s="163"/>
      <c r="AJ276" s="163"/>
      <c r="AK276" s="163"/>
      <c r="AL276" s="163"/>
      <c r="AM276" s="130"/>
      <c r="AN276" s="163"/>
    </row>
    <row r="277" ht="15.75" customHeight="1">
      <c r="A277" s="362"/>
      <c r="B277" s="362"/>
      <c r="C277" s="362"/>
      <c r="D277" s="362"/>
      <c r="E277" s="132"/>
      <c r="F277" s="132"/>
      <c r="G277" s="361"/>
      <c r="H277" s="361"/>
      <c r="I277" s="361"/>
      <c r="J277" s="363"/>
      <c r="K277" s="364"/>
      <c r="L277" s="361"/>
      <c r="M277" s="361"/>
      <c r="N277" s="361"/>
      <c r="O277" s="361"/>
      <c r="P277" s="361"/>
      <c r="Q277" s="361"/>
      <c r="R277" s="361"/>
      <c r="S277" s="361"/>
      <c r="T277" s="361"/>
      <c r="U277" s="361"/>
      <c r="V277" s="361"/>
      <c r="W277" s="361"/>
      <c r="X277" s="361"/>
      <c r="Y277" s="131"/>
      <c r="Z277" s="163"/>
      <c r="AA277" s="131"/>
      <c r="AB277" s="131"/>
      <c r="AC277" s="131"/>
      <c r="AD277" s="131"/>
      <c r="AE277" s="131"/>
      <c r="AF277" s="163"/>
      <c r="AG277" s="163"/>
      <c r="AH277" s="163"/>
      <c r="AI277" s="163"/>
      <c r="AJ277" s="163"/>
      <c r="AK277" s="163"/>
      <c r="AL277" s="163"/>
      <c r="AM277" s="130"/>
      <c r="AN277" s="163"/>
    </row>
    <row r="278" ht="15.75" customHeight="1">
      <c r="A278" s="362"/>
      <c r="B278" s="362"/>
      <c r="C278" s="362"/>
      <c r="D278" s="362"/>
      <c r="E278" s="132"/>
      <c r="F278" s="132"/>
      <c r="G278" s="361"/>
      <c r="H278" s="361"/>
      <c r="I278" s="361"/>
      <c r="J278" s="363"/>
      <c r="K278" s="364"/>
      <c r="L278" s="361"/>
      <c r="M278" s="361"/>
      <c r="N278" s="361"/>
      <c r="O278" s="361"/>
      <c r="P278" s="361"/>
      <c r="Q278" s="361"/>
      <c r="R278" s="361"/>
      <c r="S278" s="361"/>
      <c r="T278" s="361"/>
      <c r="U278" s="361"/>
      <c r="V278" s="361"/>
      <c r="W278" s="361"/>
      <c r="X278" s="361"/>
      <c r="Y278" s="131"/>
      <c r="Z278" s="163"/>
      <c r="AA278" s="131"/>
      <c r="AB278" s="131"/>
      <c r="AC278" s="131"/>
      <c r="AD278" s="131"/>
      <c r="AE278" s="131"/>
      <c r="AF278" s="163"/>
      <c r="AG278" s="163"/>
      <c r="AH278" s="163"/>
      <c r="AI278" s="163"/>
      <c r="AJ278" s="163"/>
      <c r="AK278" s="163"/>
      <c r="AL278" s="163"/>
      <c r="AM278" s="130"/>
      <c r="AN278" s="163"/>
    </row>
    <row r="279" ht="15.75" customHeight="1">
      <c r="A279" s="362"/>
      <c r="B279" s="362"/>
      <c r="C279" s="362"/>
      <c r="D279" s="362"/>
      <c r="E279" s="132"/>
      <c r="F279" s="132"/>
      <c r="G279" s="361"/>
      <c r="H279" s="361"/>
      <c r="I279" s="361"/>
      <c r="J279" s="363"/>
      <c r="K279" s="364"/>
      <c r="L279" s="361"/>
      <c r="M279" s="361"/>
      <c r="N279" s="361"/>
      <c r="O279" s="361"/>
      <c r="P279" s="361"/>
      <c r="Q279" s="361"/>
      <c r="R279" s="361"/>
      <c r="S279" s="361"/>
      <c r="T279" s="361"/>
      <c r="U279" s="361"/>
      <c r="V279" s="361"/>
      <c r="W279" s="361"/>
      <c r="X279" s="361"/>
      <c r="Y279" s="131"/>
      <c r="Z279" s="163"/>
      <c r="AA279" s="131"/>
      <c r="AB279" s="131"/>
      <c r="AC279" s="131"/>
      <c r="AD279" s="131"/>
      <c r="AE279" s="131"/>
      <c r="AF279" s="163"/>
      <c r="AG279" s="163"/>
      <c r="AH279" s="163"/>
      <c r="AI279" s="163"/>
      <c r="AJ279" s="163"/>
      <c r="AK279" s="163"/>
      <c r="AL279" s="163"/>
      <c r="AM279" s="130"/>
      <c r="AN279" s="163"/>
    </row>
    <row r="280" ht="15.75" customHeight="1">
      <c r="A280" s="362"/>
      <c r="B280" s="362"/>
      <c r="C280" s="362"/>
      <c r="D280" s="362"/>
      <c r="E280" s="132"/>
      <c r="F280" s="132"/>
      <c r="G280" s="361"/>
      <c r="H280" s="361"/>
      <c r="I280" s="361"/>
      <c r="J280" s="363"/>
      <c r="K280" s="364"/>
      <c r="L280" s="361"/>
      <c r="M280" s="361"/>
      <c r="N280" s="361"/>
      <c r="O280" s="361"/>
      <c r="P280" s="361"/>
      <c r="Q280" s="361"/>
      <c r="R280" s="361"/>
      <c r="S280" s="361"/>
      <c r="T280" s="361"/>
      <c r="U280" s="361"/>
      <c r="V280" s="361"/>
      <c r="W280" s="361"/>
      <c r="X280" s="361"/>
      <c r="Y280" s="131"/>
      <c r="Z280" s="163"/>
      <c r="AA280" s="131"/>
      <c r="AB280" s="131"/>
      <c r="AC280" s="131"/>
      <c r="AD280" s="131"/>
      <c r="AE280" s="131"/>
      <c r="AF280" s="163"/>
      <c r="AG280" s="163"/>
      <c r="AH280" s="163"/>
      <c r="AI280" s="163"/>
      <c r="AJ280" s="163"/>
      <c r="AK280" s="163"/>
      <c r="AL280" s="163"/>
      <c r="AM280" s="130"/>
      <c r="AN280" s="163"/>
    </row>
    <row r="281" ht="15.75" customHeight="1">
      <c r="A281" s="362"/>
      <c r="B281" s="362"/>
      <c r="C281" s="362"/>
      <c r="D281" s="362"/>
      <c r="E281" s="132"/>
      <c r="F281" s="132"/>
      <c r="G281" s="361"/>
      <c r="H281" s="361"/>
      <c r="I281" s="361"/>
      <c r="J281" s="363"/>
      <c r="K281" s="364"/>
      <c r="L281" s="361"/>
      <c r="M281" s="361"/>
      <c r="N281" s="361"/>
      <c r="O281" s="361"/>
      <c r="P281" s="361"/>
      <c r="Q281" s="361"/>
      <c r="R281" s="361"/>
      <c r="S281" s="361"/>
      <c r="T281" s="361"/>
      <c r="U281" s="361"/>
      <c r="V281" s="361"/>
      <c r="W281" s="361"/>
      <c r="X281" s="361"/>
      <c r="Y281" s="131"/>
      <c r="Z281" s="163"/>
      <c r="AA281" s="131"/>
      <c r="AB281" s="131"/>
      <c r="AC281" s="131"/>
      <c r="AD281" s="131"/>
      <c r="AE281" s="131"/>
      <c r="AF281" s="163"/>
      <c r="AG281" s="163"/>
      <c r="AH281" s="163"/>
      <c r="AI281" s="163"/>
      <c r="AJ281" s="163"/>
      <c r="AK281" s="163"/>
      <c r="AL281" s="163"/>
      <c r="AM281" s="130"/>
      <c r="AN281" s="163"/>
    </row>
    <row r="282" ht="15.75" customHeight="1">
      <c r="A282" s="362"/>
      <c r="B282" s="362"/>
      <c r="C282" s="362"/>
      <c r="D282" s="362"/>
      <c r="E282" s="132"/>
      <c r="F282" s="132"/>
      <c r="G282" s="361"/>
      <c r="H282" s="361"/>
      <c r="I282" s="361"/>
      <c r="J282" s="363"/>
      <c r="K282" s="364"/>
      <c r="L282" s="361"/>
      <c r="M282" s="361"/>
      <c r="N282" s="361"/>
      <c r="O282" s="361"/>
      <c r="P282" s="361"/>
      <c r="Q282" s="361"/>
      <c r="R282" s="361"/>
      <c r="S282" s="361"/>
      <c r="T282" s="361"/>
      <c r="U282" s="361"/>
      <c r="V282" s="361"/>
      <c r="W282" s="361"/>
      <c r="X282" s="361"/>
      <c r="Y282" s="131"/>
      <c r="Z282" s="163"/>
      <c r="AA282" s="131"/>
      <c r="AB282" s="131"/>
      <c r="AC282" s="131"/>
      <c r="AD282" s="131"/>
      <c r="AE282" s="131"/>
      <c r="AF282" s="163"/>
      <c r="AG282" s="163"/>
      <c r="AH282" s="163"/>
      <c r="AI282" s="163"/>
      <c r="AJ282" s="163"/>
      <c r="AK282" s="163"/>
      <c r="AL282" s="163"/>
      <c r="AM282" s="130"/>
      <c r="AN282" s="163"/>
    </row>
    <row r="283" ht="15.75" customHeight="1">
      <c r="A283" s="362"/>
      <c r="B283" s="362"/>
      <c r="C283" s="362"/>
      <c r="D283" s="362"/>
      <c r="E283" s="132"/>
      <c r="F283" s="132"/>
      <c r="G283" s="361"/>
      <c r="H283" s="361"/>
      <c r="I283" s="361"/>
      <c r="J283" s="363"/>
      <c r="K283" s="364"/>
      <c r="L283" s="361"/>
      <c r="M283" s="361"/>
      <c r="N283" s="361"/>
      <c r="O283" s="361"/>
      <c r="P283" s="361"/>
      <c r="Q283" s="361"/>
      <c r="R283" s="361"/>
      <c r="S283" s="361"/>
      <c r="T283" s="361"/>
      <c r="U283" s="361"/>
      <c r="V283" s="361"/>
      <c r="W283" s="361"/>
      <c r="X283" s="361"/>
      <c r="Y283" s="131"/>
      <c r="Z283" s="163"/>
      <c r="AA283" s="131"/>
      <c r="AB283" s="131"/>
      <c r="AC283" s="131"/>
      <c r="AD283" s="131"/>
      <c r="AE283" s="131"/>
      <c r="AF283" s="163"/>
      <c r="AG283" s="163"/>
      <c r="AH283" s="163"/>
      <c r="AI283" s="163"/>
      <c r="AJ283" s="163"/>
      <c r="AK283" s="163"/>
      <c r="AL283" s="163"/>
      <c r="AM283" s="130"/>
      <c r="AN283" s="163"/>
    </row>
    <row r="284" ht="15.75" customHeight="1">
      <c r="A284" s="362"/>
      <c r="B284" s="362"/>
      <c r="C284" s="362"/>
      <c r="D284" s="362"/>
      <c r="E284" s="132"/>
      <c r="F284" s="132"/>
      <c r="G284" s="361"/>
      <c r="H284" s="361"/>
      <c r="I284" s="361"/>
      <c r="J284" s="363"/>
      <c r="K284" s="364"/>
      <c r="L284" s="361"/>
      <c r="M284" s="361"/>
      <c r="N284" s="361"/>
      <c r="O284" s="361"/>
      <c r="P284" s="361"/>
      <c r="Q284" s="361"/>
      <c r="R284" s="361"/>
      <c r="S284" s="361"/>
      <c r="T284" s="361"/>
      <c r="U284" s="361"/>
      <c r="V284" s="361"/>
      <c r="W284" s="361"/>
      <c r="X284" s="361"/>
      <c r="Y284" s="131"/>
      <c r="Z284" s="163"/>
      <c r="AA284" s="131"/>
      <c r="AB284" s="131"/>
      <c r="AC284" s="131"/>
      <c r="AD284" s="131"/>
      <c r="AE284" s="131"/>
      <c r="AF284" s="163"/>
      <c r="AG284" s="163"/>
      <c r="AH284" s="163"/>
      <c r="AI284" s="163"/>
      <c r="AJ284" s="163"/>
      <c r="AK284" s="163"/>
      <c r="AL284" s="163"/>
      <c r="AM284" s="130"/>
      <c r="AN284" s="163"/>
    </row>
    <row r="285" ht="15.75" customHeight="1">
      <c r="A285" s="362"/>
      <c r="B285" s="362"/>
      <c r="C285" s="362"/>
      <c r="D285" s="362"/>
      <c r="E285" s="132"/>
      <c r="F285" s="132"/>
      <c r="G285" s="361"/>
      <c r="H285" s="361"/>
      <c r="I285" s="361"/>
      <c r="J285" s="363"/>
      <c r="K285" s="364"/>
      <c r="L285" s="361"/>
      <c r="M285" s="361"/>
      <c r="N285" s="361"/>
      <c r="O285" s="361"/>
      <c r="P285" s="361"/>
      <c r="Q285" s="361"/>
      <c r="R285" s="361"/>
      <c r="S285" s="361"/>
      <c r="T285" s="361"/>
      <c r="U285" s="361"/>
      <c r="V285" s="361"/>
      <c r="W285" s="361"/>
      <c r="X285" s="361"/>
      <c r="Y285" s="131"/>
      <c r="Z285" s="163"/>
      <c r="AA285" s="131"/>
      <c r="AB285" s="131"/>
      <c r="AC285" s="131"/>
      <c r="AD285" s="131"/>
      <c r="AE285" s="131"/>
      <c r="AF285" s="163"/>
      <c r="AG285" s="163"/>
      <c r="AH285" s="163"/>
      <c r="AI285" s="163"/>
      <c r="AJ285" s="163"/>
      <c r="AK285" s="163"/>
      <c r="AL285" s="163"/>
      <c r="AM285" s="130"/>
      <c r="AN285" s="163"/>
    </row>
    <row r="286" ht="15.75" customHeight="1">
      <c r="A286" s="362"/>
      <c r="B286" s="362"/>
      <c r="C286" s="362"/>
      <c r="D286" s="362"/>
      <c r="E286" s="132"/>
      <c r="F286" s="132"/>
      <c r="G286" s="361"/>
      <c r="H286" s="361"/>
      <c r="I286" s="361"/>
      <c r="J286" s="363"/>
      <c r="K286" s="364"/>
      <c r="L286" s="361"/>
      <c r="M286" s="361"/>
      <c r="N286" s="361"/>
      <c r="O286" s="361"/>
      <c r="P286" s="361"/>
      <c r="Q286" s="361"/>
      <c r="R286" s="361"/>
      <c r="S286" s="361"/>
      <c r="T286" s="361"/>
      <c r="U286" s="361"/>
      <c r="V286" s="361"/>
      <c r="W286" s="361"/>
      <c r="X286" s="361"/>
      <c r="Y286" s="131"/>
      <c r="Z286" s="163"/>
      <c r="AA286" s="131"/>
      <c r="AB286" s="131"/>
      <c r="AC286" s="131"/>
      <c r="AD286" s="131"/>
      <c r="AE286" s="131"/>
      <c r="AF286" s="163"/>
      <c r="AG286" s="163"/>
      <c r="AH286" s="163"/>
      <c r="AI286" s="163"/>
      <c r="AJ286" s="163"/>
      <c r="AK286" s="163"/>
      <c r="AL286" s="163"/>
      <c r="AM286" s="130"/>
      <c r="AN286" s="163"/>
    </row>
    <row r="287" ht="15.75" customHeight="1">
      <c r="A287" s="362"/>
      <c r="B287" s="362"/>
      <c r="C287" s="362"/>
      <c r="D287" s="362"/>
      <c r="E287" s="132"/>
      <c r="F287" s="132"/>
      <c r="G287" s="361"/>
      <c r="H287" s="361"/>
      <c r="I287" s="361"/>
      <c r="J287" s="363"/>
      <c r="K287" s="364"/>
      <c r="L287" s="361"/>
      <c r="M287" s="361"/>
      <c r="N287" s="361"/>
      <c r="O287" s="361"/>
      <c r="P287" s="361"/>
      <c r="Q287" s="361"/>
      <c r="R287" s="361"/>
      <c r="S287" s="361"/>
      <c r="T287" s="361"/>
      <c r="U287" s="361"/>
      <c r="V287" s="361"/>
      <c r="W287" s="361"/>
      <c r="X287" s="361"/>
      <c r="Y287" s="131"/>
      <c r="Z287" s="163"/>
      <c r="AA287" s="131"/>
      <c r="AB287" s="131"/>
      <c r="AC287" s="131"/>
      <c r="AD287" s="131"/>
      <c r="AE287" s="131"/>
      <c r="AF287" s="163"/>
      <c r="AG287" s="163"/>
      <c r="AH287" s="163"/>
      <c r="AI287" s="163"/>
      <c r="AJ287" s="163"/>
      <c r="AK287" s="163"/>
      <c r="AL287" s="163"/>
      <c r="AM287" s="130"/>
      <c r="AN287" s="163"/>
    </row>
    <row r="288" ht="15.75" customHeight="1">
      <c r="A288" s="362"/>
      <c r="B288" s="362"/>
      <c r="C288" s="362"/>
      <c r="D288" s="362"/>
      <c r="E288" s="132"/>
      <c r="F288" s="132"/>
      <c r="G288" s="361"/>
      <c r="H288" s="361"/>
      <c r="I288" s="361"/>
      <c r="J288" s="363"/>
      <c r="K288" s="364"/>
      <c r="L288" s="361"/>
      <c r="M288" s="361"/>
      <c r="N288" s="361"/>
      <c r="O288" s="361"/>
      <c r="P288" s="361"/>
      <c r="Q288" s="361"/>
      <c r="R288" s="361"/>
      <c r="S288" s="361"/>
      <c r="T288" s="361"/>
      <c r="U288" s="361"/>
      <c r="V288" s="361"/>
      <c r="W288" s="361"/>
      <c r="X288" s="361"/>
      <c r="Y288" s="131"/>
      <c r="Z288" s="163"/>
      <c r="AA288" s="131"/>
      <c r="AB288" s="131"/>
      <c r="AC288" s="131"/>
      <c r="AD288" s="131"/>
      <c r="AE288" s="131"/>
      <c r="AF288" s="163"/>
      <c r="AG288" s="163"/>
      <c r="AH288" s="163"/>
      <c r="AI288" s="163"/>
      <c r="AJ288" s="163"/>
      <c r="AK288" s="163"/>
      <c r="AL288" s="163"/>
      <c r="AM288" s="130"/>
      <c r="AN288" s="163"/>
    </row>
    <row r="289" ht="15.75" customHeight="1">
      <c r="A289" s="362"/>
      <c r="B289" s="362"/>
      <c r="C289" s="362"/>
      <c r="D289" s="362"/>
      <c r="E289" s="132"/>
      <c r="F289" s="132"/>
      <c r="G289" s="361"/>
      <c r="H289" s="361"/>
      <c r="I289" s="361"/>
      <c r="J289" s="363"/>
      <c r="K289" s="364"/>
      <c r="L289" s="361"/>
      <c r="M289" s="361"/>
      <c r="N289" s="361"/>
      <c r="O289" s="361"/>
      <c r="P289" s="361"/>
      <c r="Q289" s="361"/>
      <c r="R289" s="361"/>
      <c r="S289" s="361"/>
      <c r="T289" s="361"/>
      <c r="U289" s="361"/>
      <c r="V289" s="361"/>
      <c r="W289" s="361"/>
      <c r="X289" s="361"/>
      <c r="Y289" s="131"/>
      <c r="Z289" s="163"/>
      <c r="AA289" s="131"/>
      <c r="AB289" s="131"/>
      <c r="AC289" s="131"/>
      <c r="AD289" s="131"/>
      <c r="AE289" s="131"/>
      <c r="AF289" s="163"/>
      <c r="AG289" s="163"/>
      <c r="AH289" s="163"/>
      <c r="AI289" s="163"/>
      <c r="AJ289" s="163"/>
      <c r="AK289" s="163"/>
      <c r="AL289" s="163"/>
      <c r="AM289" s="130"/>
      <c r="AN289" s="163"/>
    </row>
    <row r="290" ht="15.75" customHeight="1">
      <c r="A290" s="362"/>
      <c r="B290" s="362"/>
      <c r="C290" s="362"/>
      <c r="D290" s="362"/>
      <c r="E290" s="132"/>
      <c r="F290" s="132"/>
      <c r="G290" s="361"/>
      <c r="H290" s="361"/>
      <c r="I290" s="361"/>
      <c r="J290" s="363"/>
      <c r="K290" s="364"/>
      <c r="L290" s="361"/>
      <c r="M290" s="361"/>
      <c r="N290" s="361"/>
      <c r="O290" s="361"/>
      <c r="P290" s="361"/>
      <c r="Q290" s="361"/>
      <c r="R290" s="361"/>
      <c r="S290" s="361"/>
      <c r="T290" s="361"/>
      <c r="U290" s="361"/>
      <c r="V290" s="361"/>
      <c r="W290" s="361"/>
      <c r="X290" s="361"/>
      <c r="Y290" s="131"/>
      <c r="Z290" s="163"/>
      <c r="AA290" s="131"/>
      <c r="AB290" s="131"/>
      <c r="AC290" s="131"/>
      <c r="AD290" s="131"/>
      <c r="AE290" s="131"/>
      <c r="AF290" s="163"/>
      <c r="AG290" s="163"/>
      <c r="AH290" s="163"/>
      <c r="AI290" s="163"/>
      <c r="AJ290" s="163"/>
      <c r="AK290" s="163"/>
      <c r="AL290" s="163"/>
      <c r="AM290" s="130"/>
      <c r="AN290" s="163"/>
    </row>
    <row r="291" ht="15.75" customHeight="1">
      <c r="A291" s="362"/>
      <c r="B291" s="362"/>
      <c r="C291" s="362"/>
      <c r="D291" s="362"/>
      <c r="E291" s="132"/>
      <c r="F291" s="132"/>
      <c r="G291" s="361"/>
      <c r="H291" s="361"/>
      <c r="I291" s="361"/>
      <c r="J291" s="363"/>
      <c r="K291" s="364"/>
      <c r="L291" s="361"/>
      <c r="M291" s="361"/>
      <c r="N291" s="361"/>
      <c r="O291" s="361"/>
      <c r="P291" s="361"/>
      <c r="Q291" s="361"/>
      <c r="R291" s="361"/>
      <c r="S291" s="361"/>
      <c r="T291" s="361"/>
      <c r="U291" s="361"/>
      <c r="V291" s="361"/>
      <c r="W291" s="361"/>
      <c r="X291" s="361"/>
      <c r="Y291" s="131"/>
      <c r="Z291" s="163"/>
      <c r="AA291" s="131"/>
      <c r="AB291" s="131"/>
      <c r="AC291" s="131"/>
      <c r="AD291" s="131"/>
      <c r="AE291" s="131"/>
      <c r="AF291" s="163"/>
      <c r="AG291" s="163"/>
      <c r="AH291" s="163"/>
      <c r="AI291" s="163"/>
      <c r="AJ291" s="163"/>
      <c r="AK291" s="163"/>
      <c r="AL291" s="163"/>
      <c r="AM291" s="130"/>
      <c r="AN291" s="163"/>
    </row>
    <row r="292" ht="15.75" customHeight="1">
      <c r="A292" s="362"/>
      <c r="B292" s="362"/>
      <c r="C292" s="362"/>
      <c r="D292" s="362"/>
      <c r="E292" s="132"/>
      <c r="F292" s="132"/>
      <c r="G292" s="361"/>
      <c r="H292" s="361"/>
      <c r="I292" s="361"/>
      <c r="J292" s="363"/>
      <c r="K292" s="364"/>
      <c r="L292" s="361"/>
      <c r="M292" s="361"/>
      <c r="N292" s="361"/>
      <c r="O292" s="361"/>
      <c r="P292" s="361"/>
      <c r="Q292" s="361"/>
      <c r="R292" s="361"/>
      <c r="S292" s="361"/>
      <c r="T292" s="361"/>
      <c r="U292" s="361"/>
      <c r="V292" s="361"/>
      <c r="W292" s="361"/>
      <c r="X292" s="361"/>
      <c r="Y292" s="131"/>
      <c r="Z292" s="163"/>
      <c r="AA292" s="131"/>
      <c r="AB292" s="131"/>
      <c r="AC292" s="131"/>
      <c r="AD292" s="131"/>
      <c r="AE292" s="131"/>
      <c r="AF292" s="163"/>
      <c r="AG292" s="163"/>
      <c r="AH292" s="163"/>
      <c r="AI292" s="163"/>
      <c r="AJ292" s="163"/>
      <c r="AK292" s="163"/>
      <c r="AL292" s="163"/>
      <c r="AM292" s="130"/>
      <c r="AN292" s="163"/>
    </row>
    <row r="293" ht="15.75" customHeight="1">
      <c r="A293" s="362"/>
      <c r="B293" s="362"/>
      <c r="C293" s="362"/>
      <c r="D293" s="362"/>
      <c r="E293" s="132"/>
      <c r="F293" s="132"/>
      <c r="G293" s="361"/>
      <c r="H293" s="361"/>
      <c r="I293" s="361"/>
      <c r="J293" s="363"/>
      <c r="K293" s="364"/>
      <c r="L293" s="361"/>
      <c r="M293" s="361"/>
      <c r="N293" s="361"/>
      <c r="O293" s="361"/>
      <c r="P293" s="361"/>
      <c r="Q293" s="361"/>
      <c r="R293" s="361"/>
      <c r="S293" s="361"/>
      <c r="T293" s="361"/>
      <c r="U293" s="361"/>
      <c r="V293" s="361"/>
      <c r="W293" s="361"/>
      <c r="X293" s="361"/>
      <c r="Y293" s="131"/>
      <c r="Z293" s="163"/>
      <c r="AA293" s="131"/>
      <c r="AB293" s="131"/>
      <c r="AC293" s="131"/>
      <c r="AD293" s="131"/>
      <c r="AE293" s="131"/>
      <c r="AF293" s="163"/>
      <c r="AG293" s="163"/>
      <c r="AH293" s="163"/>
      <c r="AI293" s="163"/>
      <c r="AJ293" s="163"/>
      <c r="AK293" s="163"/>
      <c r="AL293" s="163"/>
      <c r="AM293" s="130"/>
      <c r="AN293" s="163"/>
    </row>
    <row r="294" ht="15.75" customHeight="1">
      <c r="A294" s="362"/>
      <c r="B294" s="362"/>
      <c r="C294" s="362"/>
      <c r="D294" s="362"/>
      <c r="E294" s="132"/>
      <c r="F294" s="132"/>
      <c r="G294" s="361"/>
      <c r="H294" s="361"/>
      <c r="I294" s="361"/>
      <c r="J294" s="363"/>
      <c r="K294" s="364"/>
      <c r="L294" s="361"/>
      <c r="M294" s="361"/>
      <c r="N294" s="361"/>
      <c r="O294" s="361"/>
      <c r="P294" s="361"/>
      <c r="Q294" s="361"/>
      <c r="R294" s="361"/>
      <c r="S294" s="361"/>
      <c r="T294" s="361"/>
      <c r="U294" s="361"/>
      <c r="V294" s="361"/>
      <c r="W294" s="361"/>
      <c r="X294" s="361"/>
      <c r="Y294" s="131"/>
      <c r="Z294" s="163"/>
      <c r="AA294" s="131"/>
      <c r="AB294" s="131"/>
      <c r="AC294" s="131"/>
      <c r="AD294" s="131"/>
      <c r="AE294" s="131"/>
      <c r="AF294" s="163"/>
      <c r="AG294" s="163"/>
      <c r="AH294" s="163"/>
      <c r="AI294" s="163"/>
      <c r="AJ294" s="163"/>
      <c r="AK294" s="163"/>
      <c r="AL294" s="163"/>
      <c r="AM294" s="130"/>
      <c r="AN294" s="163"/>
    </row>
    <row r="295" ht="15.75" customHeight="1">
      <c r="A295" s="362"/>
      <c r="B295" s="362"/>
      <c r="C295" s="362"/>
      <c r="D295" s="362"/>
      <c r="E295" s="132"/>
      <c r="F295" s="132"/>
      <c r="G295" s="361"/>
      <c r="H295" s="361"/>
      <c r="I295" s="361"/>
      <c r="J295" s="363"/>
      <c r="K295" s="364"/>
      <c r="L295" s="361"/>
      <c r="M295" s="361"/>
      <c r="N295" s="361"/>
      <c r="O295" s="361"/>
      <c r="P295" s="361"/>
      <c r="Q295" s="361"/>
      <c r="R295" s="361"/>
      <c r="S295" s="361"/>
      <c r="T295" s="361"/>
      <c r="U295" s="361"/>
      <c r="V295" s="361"/>
      <c r="W295" s="361"/>
      <c r="X295" s="361"/>
      <c r="Y295" s="131"/>
      <c r="Z295" s="163"/>
      <c r="AA295" s="131"/>
      <c r="AB295" s="131"/>
      <c r="AC295" s="131"/>
      <c r="AD295" s="131"/>
      <c r="AE295" s="131"/>
      <c r="AF295" s="163"/>
      <c r="AG295" s="163"/>
      <c r="AH295" s="163"/>
      <c r="AI295" s="163"/>
      <c r="AJ295" s="163"/>
      <c r="AK295" s="163"/>
      <c r="AL295" s="163"/>
      <c r="AM295" s="130"/>
      <c r="AN295" s="163"/>
    </row>
    <row r="296" ht="15.75" customHeight="1">
      <c r="A296" s="362"/>
      <c r="B296" s="362"/>
      <c r="C296" s="362"/>
      <c r="D296" s="362"/>
      <c r="E296" s="132"/>
      <c r="F296" s="132"/>
      <c r="G296" s="361"/>
      <c r="H296" s="361"/>
      <c r="I296" s="361"/>
      <c r="J296" s="363"/>
      <c r="K296" s="364"/>
      <c r="L296" s="361"/>
      <c r="M296" s="361"/>
      <c r="N296" s="361"/>
      <c r="O296" s="361"/>
      <c r="P296" s="361"/>
      <c r="Q296" s="361"/>
      <c r="R296" s="361"/>
      <c r="S296" s="361"/>
      <c r="T296" s="361"/>
      <c r="U296" s="361"/>
      <c r="V296" s="361"/>
      <c r="W296" s="361"/>
      <c r="X296" s="361"/>
      <c r="Y296" s="131"/>
      <c r="Z296" s="163"/>
      <c r="AA296" s="131"/>
      <c r="AB296" s="131"/>
      <c r="AC296" s="131"/>
      <c r="AD296" s="131"/>
      <c r="AE296" s="131"/>
      <c r="AF296" s="163"/>
      <c r="AG296" s="163"/>
      <c r="AH296" s="163"/>
      <c r="AI296" s="163"/>
      <c r="AJ296" s="163"/>
      <c r="AK296" s="163"/>
      <c r="AL296" s="163"/>
      <c r="AM296" s="130"/>
      <c r="AN296" s="163"/>
    </row>
    <row r="297" ht="15.75" customHeight="1">
      <c r="A297" s="362"/>
      <c r="B297" s="362"/>
      <c r="C297" s="362"/>
      <c r="D297" s="362"/>
      <c r="E297" s="132"/>
      <c r="F297" s="132"/>
      <c r="G297" s="361"/>
      <c r="H297" s="361"/>
      <c r="I297" s="361"/>
      <c r="J297" s="363"/>
      <c r="K297" s="364"/>
      <c r="L297" s="361"/>
      <c r="M297" s="361"/>
      <c r="N297" s="361"/>
      <c r="O297" s="361"/>
      <c r="P297" s="361"/>
      <c r="Q297" s="361"/>
      <c r="R297" s="361"/>
      <c r="S297" s="361"/>
      <c r="T297" s="361"/>
      <c r="U297" s="361"/>
      <c r="V297" s="361"/>
      <c r="W297" s="361"/>
      <c r="X297" s="361"/>
      <c r="Y297" s="131"/>
      <c r="Z297" s="163"/>
      <c r="AA297" s="131"/>
      <c r="AB297" s="131"/>
      <c r="AC297" s="131"/>
      <c r="AD297" s="131"/>
      <c r="AE297" s="131"/>
      <c r="AF297" s="163"/>
      <c r="AG297" s="163"/>
      <c r="AH297" s="163"/>
      <c r="AI297" s="163"/>
      <c r="AJ297" s="163"/>
      <c r="AK297" s="163"/>
      <c r="AL297" s="163"/>
      <c r="AM297" s="130"/>
      <c r="AN297" s="163"/>
    </row>
    <row r="298" ht="15.75" customHeight="1">
      <c r="A298" s="362"/>
      <c r="B298" s="362"/>
      <c r="C298" s="362"/>
      <c r="D298" s="362"/>
      <c r="E298" s="132"/>
      <c r="F298" s="132"/>
      <c r="G298" s="361"/>
      <c r="H298" s="361"/>
      <c r="I298" s="361"/>
      <c r="J298" s="363"/>
      <c r="K298" s="364"/>
      <c r="L298" s="361"/>
      <c r="M298" s="361"/>
      <c r="N298" s="361"/>
      <c r="O298" s="361"/>
      <c r="P298" s="361"/>
      <c r="Q298" s="361"/>
      <c r="R298" s="361"/>
      <c r="S298" s="361"/>
      <c r="T298" s="361"/>
      <c r="U298" s="361"/>
      <c r="V298" s="361"/>
      <c r="W298" s="361"/>
      <c r="X298" s="361"/>
      <c r="Y298" s="131"/>
      <c r="Z298" s="163"/>
      <c r="AA298" s="131"/>
      <c r="AB298" s="131"/>
      <c r="AC298" s="131"/>
      <c r="AD298" s="131"/>
      <c r="AE298" s="131"/>
      <c r="AF298" s="163"/>
      <c r="AG298" s="163"/>
      <c r="AH298" s="163"/>
      <c r="AI298" s="163"/>
      <c r="AJ298" s="163"/>
      <c r="AK298" s="163"/>
      <c r="AL298" s="163"/>
      <c r="AM298" s="130"/>
      <c r="AN298" s="163"/>
    </row>
    <row r="299" ht="15.75" customHeight="1">
      <c r="A299" s="362"/>
      <c r="B299" s="362"/>
      <c r="C299" s="362"/>
      <c r="D299" s="362"/>
      <c r="E299" s="132"/>
      <c r="F299" s="132"/>
      <c r="G299" s="361"/>
      <c r="H299" s="361"/>
      <c r="I299" s="361"/>
      <c r="J299" s="363"/>
      <c r="K299" s="364"/>
      <c r="L299" s="361"/>
      <c r="M299" s="361"/>
      <c r="N299" s="361"/>
      <c r="O299" s="361"/>
      <c r="P299" s="361"/>
      <c r="Q299" s="361"/>
      <c r="R299" s="361"/>
      <c r="S299" s="361"/>
      <c r="T299" s="361"/>
      <c r="U299" s="361"/>
      <c r="V299" s="361"/>
      <c r="W299" s="361"/>
      <c r="X299" s="361"/>
      <c r="Y299" s="131"/>
      <c r="Z299" s="163"/>
      <c r="AA299" s="131"/>
      <c r="AB299" s="131"/>
      <c r="AC299" s="131"/>
      <c r="AD299" s="131"/>
      <c r="AE299" s="131"/>
      <c r="AF299" s="163"/>
      <c r="AG299" s="163"/>
      <c r="AH299" s="163"/>
      <c r="AI299" s="163"/>
      <c r="AJ299" s="163"/>
      <c r="AK299" s="163"/>
      <c r="AL299" s="163"/>
      <c r="AM299" s="130"/>
      <c r="AN299" s="163"/>
    </row>
    <row r="300" ht="15.75" customHeight="1">
      <c r="A300" s="362"/>
      <c r="B300" s="362"/>
      <c r="C300" s="362"/>
      <c r="D300" s="362"/>
      <c r="E300" s="132"/>
      <c r="F300" s="132"/>
      <c r="G300" s="361"/>
      <c r="H300" s="361"/>
      <c r="I300" s="361"/>
      <c r="J300" s="363"/>
      <c r="K300" s="364"/>
      <c r="L300" s="361"/>
      <c r="M300" s="361"/>
      <c r="N300" s="361"/>
      <c r="O300" s="361"/>
      <c r="P300" s="361"/>
      <c r="Q300" s="361"/>
      <c r="R300" s="361"/>
      <c r="S300" s="361"/>
      <c r="T300" s="361"/>
      <c r="U300" s="361"/>
      <c r="V300" s="361"/>
      <c r="W300" s="361"/>
      <c r="X300" s="361"/>
      <c r="Y300" s="131"/>
      <c r="Z300" s="163"/>
      <c r="AA300" s="131"/>
      <c r="AB300" s="131"/>
      <c r="AC300" s="131"/>
      <c r="AD300" s="131"/>
      <c r="AE300" s="131"/>
      <c r="AF300" s="163"/>
      <c r="AG300" s="163"/>
      <c r="AH300" s="163"/>
      <c r="AI300" s="163"/>
      <c r="AJ300" s="163"/>
      <c r="AK300" s="163"/>
      <c r="AL300" s="163"/>
      <c r="AM300" s="130"/>
      <c r="AN300" s="163"/>
    </row>
    <row r="301" ht="15.75" customHeight="1">
      <c r="A301" s="362"/>
      <c r="B301" s="362"/>
      <c r="C301" s="362"/>
      <c r="D301" s="362"/>
      <c r="E301" s="132"/>
      <c r="F301" s="132"/>
      <c r="G301" s="361"/>
      <c r="H301" s="361"/>
      <c r="I301" s="361"/>
      <c r="J301" s="363"/>
      <c r="K301" s="364"/>
      <c r="L301" s="361"/>
      <c r="M301" s="361"/>
      <c r="N301" s="361"/>
      <c r="O301" s="361"/>
      <c r="P301" s="361"/>
      <c r="Q301" s="361"/>
      <c r="R301" s="361"/>
      <c r="S301" s="361"/>
      <c r="T301" s="361"/>
      <c r="U301" s="361"/>
      <c r="V301" s="361"/>
      <c r="W301" s="361"/>
      <c r="X301" s="361"/>
      <c r="Y301" s="131"/>
      <c r="Z301" s="163"/>
      <c r="AA301" s="131"/>
      <c r="AB301" s="131"/>
      <c r="AC301" s="131"/>
      <c r="AD301" s="131"/>
      <c r="AE301" s="131"/>
      <c r="AF301" s="163"/>
      <c r="AG301" s="163"/>
      <c r="AH301" s="163"/>
      <c r="AI301" s="163"/>
      <c r="AJ301" s="163"/>
      <c r="AK301" s="163"/>
      <c r="AL301" s="163"/>
      <c r="AM301" s="130"/>
      <c r="AN301" s="163"/>
    </row>
    <row r="302" ht="15.75" customHeight="1">
      <c r="A302" s="362"/>
      <c r="B302" s="362"/>
      <c r="C302" s="362"/>
      <c r="D302" s="362"/>
      <c r="E302" s="132"/>
      <c r="F302" s="132"/>
      <c r="G302" s="361"/>
      <c r="H302" s="361"/>
      <c r="I302" s="361"/>
      <c r="J302" s="363"/>
      <c r="K302" s="364"/>
      <c r="L302" s="361"/>
      <c r="M302" s="361"/>
      <c r="N302" s="361"/>
      <c r="O302" s="361"/>
      <c r="P302" s="361"/>
      <c r="Q302" s="361"/>
      <c r="R302" s="361"/>
      <c r="S302" s="361"/>
      <c r="T302" s="361"/>
      <c r="U302" s="361"/>
      <c r="V302" s="361"/>
      <c r="W302" s="361"/>
      <c r="X302" s="361"/>
      <c r="Y302" s="131"/>
      <c r="Z302" s="163"/>
      <c r="AA302" s="131"/>
      <c r="AB302" s="131"/>
      <c r="AC302" s="131"/>
      <c r="AD302" s="131"/>
      <c r="AE302" s="131"/>
      <c r="AF302" s="163"/>
      <c r="AG302" s="163"/>
      <c r="AH302" s="163"/>
      <c r="AI302" s="163"/>
      <c r="AJ302" s="163"/>
      <c r="AK302" s="163"/>
      <c r="AL302" s="163"/>
      <c r="AM302" s="130"/>
      <c r="AN302" s="163"/>
    </row>
    <row r="303" ht="15.75" customHeight="1">
      <c r="A303" s="362"/>
      <c r="B303" s="362"/>
      <c r="C303" s="362"/>
      <c r="D303" s="362"/>
      <c r="E303" s="132"/>
      <c r="F303" s="132"/>
      <c r="G303" s="361"/>
      <c r="H303" s="361"/>
      <c r="I303" s="361"/>
      <c r="J303" s="363"/>
      <c r="K303" s="364"/>
      <c r="L303" s="361"/>
      <c r="M303" s="361"/>
      <c r="N303" s="361"/>
      <c r="O303" s="361"/>
      <c r="P303" s="361"/>
      <c r="Q303" s="361"/>
      <c r="R303" s="361"/>
      <c r="S303" s="361"/>
      <c r="T303" s="361"/>
      <c r="U303" s="361"/>
      <c r="V303" s="361"/>
      <c r="W303" s="361"/>
      <c r="X303" s="361"/>
      <c r="Y303" s="131"/>
      <c r="Z303" s="163"/>
      <c r="AA303" s="131"/>
      <c r="AB303" s="131"/>
      <c r="AC303" s="131"/>
      <c r="AD303" s="131"/>
      <c r="AE303" s="131"/>
      <c r="AF303" s="163"/>
      <c r="AG303" s="163"/>
      <c r="AH303" s="163"/>
      <c r="AI303" s="163"/>
      <c r="AJ303" s="163"/>
      <c r="AK303" s="163"/>
      <c r="AL303" s="163"/>
      <c r="AM303" s="130"/>
      <c r="AN303" s="163"/>
    </row>
    <row r="304" ht="15.75" customHeight="1">
      <c r="A304" s="362"/>
      <c r="B304" s="362"/>
      <c r="C304" s="362"/>
      <c r="D304" s="362"/>
      <c r="E304" s="132"/>
      <c r="F304" s="132"/>
      <c r="G304" s="361"/>
      <c r="H304" s="361"/>
      <c r="I304" s="361"/>
      <c r="J304" s="363"/>
      <c r="K304" s="364"/>
      <c r="L304" s="361"/>
      <c r="M304" s="361"/>
      <c r="N304" s="361"/>
      <c r="O304" s="361"/>
      <c r="P304" s="361"/>
      <c r="Q304" s="361"/>
      <c r="R304" s="361"/>
      <c r="S304" s="361"/>
      <c r="T304" s="361"/>
      <c r="U304" s="361"/>
      <c r="V304" s="361"/>
      <c r="W304" s="361"/>
      <c r="X304" s="361"/>
      <c r="Y304" s="131"/>
      <c r="Z304" s="163"/>
      <c r="AA304" s="131"/>
      <c r="AB304" s="131"/>
      <c r="AC304" s="131"/>
      <c r="AD304" s="131"/>
      <c r="AE304" s="131"/>
      <c r="AF304" s="163"/>
      <c r="AG304" s="163"/>
      <c r="AH304" s="163"/>
      <c r="AI304" s="163"/>
      <c r="AJ304" s="163"/>
      <c r="AK304" s="163"/>
      <c r="AL304" s="163"/>
      <c r="AM304" s="130"/>
      <c r="AN304" s="163"/>
    </row>
    <row r="305" ht="15.75" customHeight="1">
      <c r="A305" s="362"/>
      <c r="B305" s="362"/>
      <c r="C305" s="362"/>
      <c r="D305" s="362"/>
      <c r="E305" s="132"/>
      <c r="F305" s="132"/>
      <c r="G305" s="361"/>
      <c r="H305" s="361"/>
      <c r="I305" s="361"/>
      <c r="J305" s="363"/>
      <c r="K305" s="364"/>
      <c r="L305" s="361"/>
      <c r="M305" s="361"/>
      <c r="N305" s="361"/>
      <c r="O305" s="361"/>
      <c r="P305" s="361"/>
      <c r="Q305" s="361"/>
      <c r="R305" s="361"/>
      <c r="S305" s="361"/>
      <c r="T305" s="361"/>
      <c r="U305" s="361"/>
      <c r="V305" s="361"/>
      <c r="W305" s="361"/>
      <c r="X305" s="361"/>
      <c r="Y305" s="131"/>
      <c r="Z305" s="163"/>
      <c r="AA305" s="131"/>
      <c r="AB305" s="131"/>
      <c r="AC305" s="131"/>
      <c r="AD305" s="131"/>
      <c r="AE305" s="131"/>
      <c r="AF305" s="163"/>
      <c r="AG305" s="163"/>
      <c r="AH305" s="163"/>
      <c r="AI305" s="163"/>
      <c r="AJ305" s="163"/>
      <c r="AK305" s="163"/>
      <c r="AL305" s="163"/>
      <c r="AM305" s="130"/>
      <c r="AN305" s="163"/>
    </row>
    <row r="306" ht="15.75" customHeight="1">
      <c r="A306" s="362"/>
      <c r="B306" s="362"/>
      <c r="C306" s="362"/>
      <c r="D306" s="362"/>
      <c r="E306" s="132"/>
      <c r="F306" s="132"/>
      <c r="G306" s="361"/>
      <c r="H306" s="361"/>
      <c r="I306" s="361"/>
      <c r="J306" s="363"/>
      <c r="K306" s="364"/>
      <c r="L306" s="361"/>
      <c r="M306" s="361"/>
      <c r="N306" s="361"/>
      <c r="O306" s="361"/>
      <c r="P306" s="361"/>
      <c r="Q306" s="361"/>
      <c r="R306" s="361"/>
      <c r="S306" s="361"/>
      <c r="T306" s="361"/>
      <c r="U306" s="361"/>
      <c r="V306" s="361"/>
      <c r="W306" s="361"/>
      <c r="X306" s="361"/>
      <c r="Y306" s="131"/>
      <c r="Z306" s="163"/>
      <c r="AA306" s="131"/>
      <c r="AB306" s="131"/>
      <c r="AC306" s="131"/>
      <c r="AD306" s="131"/>
      <c r="AE306" s="131"/>
      <c r="AF306" s="163"/>
      <c r="AG306" s="163"/>
      <c r="AH306" s="163"/>
      <c r="AI306" s="163"/>
      <c r="AJ306" s="163"/>
      <c r="AK306" s="163"/>
      <c r="AL306" s="163"/>
      <c r="AM306" s="130"/>
      <c r="AN306" s="163"/>
    </row>
    <row r="307" ht="15.75" customHeight="1">
      <c r="A307" s="362"/>
      <c r="B307" s="362"/>
      <c r="C307" s="362"/>
      <c r="D307" s="362"/>
      <c r="E307" s="132"/>
      <c r="F307" s="132"/>
      <c r="G307" s="361"/>
      <c r="H307" s="361"/>
      <c r="I307" s="361"/>
      <c r="J307" s="363"/>
      <c r="K307" s="364"/>
      <c r="L307" s="361"/>
      <c r="M307" s="361"/>
      <c r="N307" s="361"/>
      <c r="O307" s="361"/>
      <c r="P307" s="361"/>
      <c r="Q307" s="361"/>
      <c r="R307" s="361"/>
      <c r="S307" s="361"/>
      <c r="T307" s="361"/>
      <c r="U307" s="361"/>
      <c r="V307" s="361"/>
      <c r="W307" s="361"/>
      <c r="X307" s="361"/>
      <c r="Y307" s="131"/>
      <c r="Z307" s="163"/>
      <c r="AA307" s="131"/>
      <c r="AB307" s="131"/>
      <c r="AC307" s="131"/>
      <c r="AD307" s="131"/>
      <c r="AE307" s="131"/>
      <c r="AF307" s="163"/>
      <c r="AG307" s="163"/>
      <c r="AH307" s="163"/>
      <c r="AI307" s="163"/>
      <c r="AJ307" s="163"/>
      <c r="AK307" s="163"/>
      <c r="AL307" s="163"/>
      <c r="AM307" s="130"/>
      <c r="AN307" s="163"/>
    </row>
    <row r="308" ht="15.75" customHeight="1">
      <c r="A308" s="362"/>
      <c r="B308" s="362"/>
      <c r="C308" s="362"/>
      <c r="D308" s="362"/>
      <c r="E308" s="132"/>
      <c r="F308" s="132"/>
      <c r="G308" s="361"/>
      <c r="H308" s="361"/>
      <c r="I308" s="361"/>
      <c r="J308" s="363"/>
      <c r="K308" s="364"/>
      <c r="L308" s="361"/>
      <c r="M308" s="361"/>
      <c r="N308" s="361"/>
      <c r="O308" s="361"/>
      <c r="P308" s="361"/>
      <c r="Q308" s="361"/>
      <c r="R308" s="361"/>
      <c r="S308" s="361"/>
      <c r="T308" s="361"/>
      <c r="U308" s="361"/>
      <c r="V308" s="361"/>
      <c r="W308" s="361"/>
      <c r="X308" s="361"/>
      <c r="Y308" s="131"/>
      <c r="Z308" s="163"/>
      <c r="AA308" s="131"/>
      <c r="AB308" s="131"/>
      <c r="AC308" s="131"/>
      <c r="AD308" s="131"/>
      <c r="AE308" s="131"/>
      <c r="AF308" s="163"/>
      <c r="AG308" s="163"/>
      <c r="AH308" s="163"/>
      <c r="AI308" s="163"/>
      <c r="AJ308" s="163"/>
      <c r="AK308" s="163"/>
      <c r="AL308" s="163"/>
      <c r="AM308" s="130"/>
      <c r="AN308" s="163"/>
    </row>
    <row r="309" ht="15.75" customHeight="1">
      <c r="A309" s="362"/>
      <c r="B309" s="362"/>
      <c r="C309" s="362"/>
      <c r="D309" s="362"/>
      <c r="E309" s="132"/>
      <c r="F309" s="132"/>
      <c r="G309" s="361"/>
      <c r="H309" s="361"/>
      <c r="I309" s="361"/>
      <c r="J309" s="363"/>
      <c r="K309" s="364"/>
      <c r="L309" s="361"/>
      <c r="M309" s="361"/>
      <c r="N309" s="361"/>
      <c r="O309" s="361"/>
      <c r="P309" s="361"/>
      <c r="Q309" s="361"/>
      <c r="R309" s="361"/>
      <c r="S309" s="361"/>
      <c r="T309" s="361"/>
      <c r="U309" s="361"/>
      <c r="V309" s="361"/>
      <c r="W309" s="361"/>
      <c r="X309" s="361"/>
      <c r="Y309" s="131"/>
      <c r="Z309" s="163"/>
      <c r="AA309" s="131"/>
      <c r="AB309" s="131"/>
      <c r="AC309" s="131"/>
      <c r="AD309" s="131"/>
      <c r="AE309" s="131"/>
      <c r="AF309" s="163"/>
      <c r="AG309" s="163"/>
      <c r="AH309" s="163"/>
      <c r="AI309" s="163"/>
      <c r="AJ309" s="163"/>
      <c r="AK309" s="163"/>
      <c r="AL309" s="163"/>
      <c r="AM309" s="130"/>
      <c r="AN309" s="163"/>
    </row>
    <row r="310" ht="15.75" customHeight="1">
      <c r="A310" s="362"/>
      <c r="B310" s="362"/>
      <c r="C310" s="362"/>
      <c r="D310" s="362"/>
      <c r="E310" s="132"/>
      <c r="F310" s="132"/>
      <c r="G310" s="361"/>
      <c r="H310" s="361"/>
      <c r="I310" s="361"/>
      <c r="J310" s="363"/>
      <c r="K310" s="364"/>
      <c r="L310" s="361"/>
      <c r="M310" s="361"/>
      <c r="N310" s="361"/>
      <c r="O310" s="361"/>
      <c r="P310" s="361"/>
      <c r="Q310" s="361"/>
      <c r="R310" s="361"/>
      <c r="S310" s="361"/>
      <c r="T310" s="361"/>
      <c r="U310" s="361"/>
      <c r="V310" s="361"/>
      <c r="W310" s="361"/>
      <c r="X310" s="361"/>
      <c r="Y310" s="131"/>
      <c r="Z310" s="163"/>
      <c r="AA310" s="131"/>
      <c r="AB310" s="131"/>
      <c r="AC310" s="131"/>
      <c r="AD310" s="131"/>
      <c r="AE310" s="131"/>
      <c r="AF310" s="163"/>
      <c r="AG310" s="163"/>
      <c r="AH310" s="163"/>
      <c r="AI310" s="163"/>
      <c r="AJ310" s="163"/>
      <c r="AK310" s="163"/>
      <c r="AL310" s="163"/>
      <c r="AM310" s="130"/>
      <c r="AN310" s="163"/>
    </row>
    <row r="311" ht="15.75" customHeight="1">
      <c r="A311" s="362"/>
      <c r="B311" s="362"/>
      <c r="C311" s="362"/>
      <c r="D311" s="362"/>
      <c r="E311" s="132"/>
      <c r="F311" s="132"/>
      <c r="G311" s="361"/>
      <c r="H311" s="361"/>
      <c r="I311" s="361"/>
      <c r="J311" s="363"/>
      <c r="K311" s="364"/>
      <c r="L311" s="361"/>
      <c r="M311" s="361"/>
      <c r="N311" s="361"/>
      <c r="O311" s="361"/>
      <c r="P311" s="361"/>
      <c r="Q311" s="361"/>
      <c r="R311" s="361"/>
      <c r="S311" s="361"/>
      <c r="T311" s="361"/>
      <c r="U311" s="361"/>
      <c r="V311" s="361"/>
      <c r="W311" s="361"/>
      <c r="X311" s="361"/>
      <c r="Y311" s="131"/>
      <c r="Z311" s="163"/>
      <c r="AA311" s="131"/>
      <c r="AB311" s="131"/>
      <c r="AC311" s="131"/>
      <c r="AD311" s="131"/>
      <c r="AE311" s="131"/>
      <c r="AF311" s="163"/>
      <c r="AG311" s="163"/>
      <c r="AH311" s="163"/>
      <c r="AI311" s="163"/>
      <c r="AJ311" s="163"/>
      <c r="AK311" s="163"/>
      <c r="AL311" s="163"/>
      <c r="AM311" s="130"/>
      <c r="AN311" s="163"/>
    </row>
    <row r="312" ht="15.75" customHeight="1">
      <c r="A312" s="362"/>
      <c r="B312" s="362"/>
      <c r="C312" s="362"/>
      <c r="D312" s="362"/>
      <c r="E312" s="132"/>
      <c r="F312" s="132"/>
      <c r="G312" s="361"/>
      <c r="H312" s="361"/>
      <c r="I312" s="361"/>
      <c r="J312" s="363"/>
      <c r="K312" s="364"/>
      <c r="L312" s="361"/>
      <c r="M312" s="361"/>
      <c r="N312" s="361"/>
      <c r="O312" s="361"/>
      <c r="P312" s="361"/>
      <c r="Q312" s="361"/>
      <c r="R312" s="361"/>
      <c r="S312" s="361"/>
      <c r="T312" s="361"/>
      <c r="U312" s="361"/>
      <c r="V312" s="361"/>
      <c r="W312" s="361"/>
      <c r="X312" s="361"/>
      <c r="Y312" s="131"/>
      <c r="Z312" s="163"/>
      <c r="AA312" s="131"/>
      <c r="AB312" s="131"/>
      <c r="AC312" s="131"/>
      <c r="AD312" s="131"/>
      <c r="AE312" s="131"/>
      <c r="AF312" s="163"/>
      <c r="AG312" s="163"/>
      <c r="AH312" s="163"/>
      <c r="AI312" s="163"/>
      <c r="AJ312" s="163"/>
      <c r="AK312" s="163"/>
      <c r="AL312" s="163"/>
      <c r="AM312" s="130"/>
      <c r="AN312" s="163"/>
    </row>
    <row r="313" ht="15.75" customHeight="1">
      <c r="A313" s="362"/>
      <c r="B313" s="362"/>
      <c r="C313" s="362"/>
      <c r="D313" s="362"/>
      <c r="E313" s="132"/>
      <c r="F313" s="132"/>
      <c r="G313" s="361"/>
      <c r="H313" s="361"/>
      <c r="I313" s="361"/>
      <c r="J313" s="363"/>
      <c r="K313" s="364"/>
      <c r="L313" s="361"/>
      <c r="M313" s="361"/>
      <c r="N313" s="361"/>
      <c r="O313" s="361"/>
      <c r="P313" s="361"/>
      <c r="Q313" s="361"/>
      <c r="R313" s="361"/>
      <c r="S313" s="361"/>
      <c r="T313" s="361"/>
      <c r="U313" s="361"/>
      <c r="V313" s="361"/>
      <c r="W313" s="361"/>
      <c r="X313" s="361"/>
      <c r="Y313" s="131"/>
      <c r="Z313" s="163"/>
      <c r="AA313" s="131"/>
      <c r="AB313" s="131"/>
      <c r="AC313" s="131"/>
      <c r="AD313" s="131"/>
      <c r="AE313" s="131"/>
      <c r="AF313" s="163"/>
      <c r="AG313" s="163"/>
      <c r="AH313" s="163"/>
      <c r="AI313" s="163"/>
      <c r="AJ313" s="163"/>
      <c r="AK313" s="163"/>
      <c r="AL313" s="163"/>
      <c r="AM313" s="130"/>
      <c r="AN313" s="163"/>
    </row>
    <row r="314" ht="15.75" customHeight="1">
      <c r="A314" s="362"/>
      <c r="B314" s="362"/>
      <c r="C314" s="362"/>
      <c r="D314" s="362"/>
      <c r="E314" s="132"/>
      <c r="F314" s="132"/>
      <c r="G314" s="361"/>
      <c r="H314" s="361"/>
      <c r="I314" s="361"/>
      <c r="J314" s="363"/>
      <c r="K314" s="364"/>
      <c r="L314" s="361"/>
      <c r="M314" s="361"/>
      <c r="N314" s="361"/>
      <c r="O314" s="361"/>
      <c r="P314" s="361"/>
      <c r="Q314" s="361"/>
      <c r="R314" s="361"/>
      <c r="S314" s="361"/>
      <c r="T314" s="361"/>
      <c r="U314" s="361"/>
      <c r="V314" s="361"/>
      <c r="W314" s="361"/>
      <c r="X314" s="361"/>
      <c r="Y314" s="131"/>
      <c r="Z314" s="163"/>
      <c r="AA314" s="131"/>
      <c r="AB314" s="131"/>
      <c r="AC314" s="131"/>
      <c r="AD314" s="131"/>
      <c r="AE314" s="131"/>
      <c r="AF314" s="163"/>
      <c r="AG314" s="163"/>
      <c r="AH314" s="163"/>
      <c r="AI314" s="163"/>
      <c r="AJ314" s="163"/>
      <c r="AK314" s="163"/>
      <c r="AL314" s="163"/>
      <c r="AM314" s="130"/>
      <c r="AN314" s="163"/>
    </row>
    <row r="315" ht="15.75" customHeight="1">
      <c r="A315" s="362"/>
      <c r="B315" s="362"/>
      <c r="C315" s="362"/>
      <c r="D315" s="362"/>
      <c r="E315" s="132"/>
      <c r="F315" s="132"/>
      <c r="G315" s="361"/>
      <c r="H315" s="361"/>
      <c r="I315" s="361"/>
      <c r="J315" s="363"/>
      <c r="K315" s="364"/>
      <c r="L315" s="361"/>
      <c r="M315" s="361"/>
      <c r="N315" s="361"/>
      <c r="O315" s="361"/>
      <c r="P315" s="361"/>
      <c r="Q315" s="361"/>
      <c r="R315" s="361"/>
      <c r="S315" s="361"/>
      <c r="T315" s="361"/>
      <c r="U315" s="361"/>
      <c r="V315" s="361"/>
      <c r="W315" s="361"/>
      <c r="X315" s="361"/>
      <c r="Y315" s="131"/>
      <c r="Z315" s="163"/>
      <c r="AA315" s="131"/>
      <c r="AB315" s="131"/>
      <c r="AC315" s="131"/>
      <c r="AD315" s="131"/>
      <c r="AE315" s="131"/>
      <c r="AF315" s="163"/>
      <c r="AG315" s="163"/>
      <c r="AH315" s="163"/>
      <c r="AI315" s="163"/>
      <c r="AJ315" s="163"/>
      <c r="AK315" s="163"/>
      <c r="AL315" s="163"/>
      <c r="AM315" s="130"/>
      <c r="AN315" s="163"/>
    </row>
    <row r="316" ht="15.75" customHeight="1">
      <c r="A316" s="362"/>
      <c r="B316" s="362"/>
      <c r="C316" s="362"/>
      <c r="D316" s="362"/>
      <c r="E316" s="132"/>
      <c r="F316" s="132"/>
      <c r="G316" s="361"/>
      <c r="H316" s="361"/>
      <c r="I316" s="361"/>
      <c r="J316" s="363"/>
      <c r="K316" s="364"/>
      <c r="L316" s="361"/>
      <c r="M316" s="361"/>
      <c r="N316" s="361"/>
      <c r="O316" s="361"/>
      <c r="P316" s="361"/>
      <c r="Q316" s="361"/>
      <c r="R316" s="361"/>
      <c r="S316" s="361"/>
      <c r="T316" s="361"/>
      <c r="U316" s="361"/>
      <c r="V316" s="361"/>
      <c r="W316" s="361"/>
      <c r="X316" s="361"/>
      <c r="Y316" s="131"/>
      <c r="Z316" s="163"/>
      <c r="AA316" s="131"/>
      <c r="AB316" s="131"/>
      <c r="AC316" s="131"/>
      <c r="AD316" s="131"/>
      <c r="AE316" s="131"/>
      <c r="AF316" s="163"/>
      <c r="AG316" s="163"/>
      <c r="AH316" s="163"/>
      <c r="AI316" s="163"/>
      <c r="AJ316" s="163"/>
      <c r="AK316" s="163"/>
      <c r="AL316" s="163"/>
      <c r="AM316" s="130"/>
      <c r="AN316" s="163"/>
    </row>
    <row r="317" ht="15.75" customHeight="1">
      <c r="A317" s="362"/>
      <c r="B317" s="362"/>
      <c r="C317" s="362"/>
      <c r="D317" s="362"/>
      <c r="E317" s="132"/>
      <c r="F317" s="132"/>
      <c r="G317" s="361"/>
      <c r="H317" s="361"/>
      <c r="I317" s="361"/>
      <c r="J317" s="363"/>
      <c r="K317" s="364"/>
      <c r="L317" s="361"/>
      <c r="M317" s="361"/>
      <c r="N317" s="361"/>
      <c r="O317" s="361"/>
      <c r="P317" s="361"/>
      <c r="Q317" s="361"/>
      <c r="R317" s="361"/>
      <c r="S317" s="361"/>
      <c r="T317" s="361"/>
      <c r="U317" s="361"/>
      <c r="V317" s="361"/>
      <c r="W317" s="361"/>
      <c r="X317" s="361"/>
      <c r="Y317" s="131"/>
      <c r="Z317" s="163"/>
      <c r="AA317" s="131"/>
      <c r="AB317" s="131"/>
      <c r="AC317" s="131"/>
      <c r="AD317" s="131"/>
      <c r="AE317" s="131"/>
      <c r="AF317" s="163"/>
      <c r="AG317" s="163"/>
      <c r="AH317" s="163"/>
      <c r="AI317" s="163"/>
      <c r="AJ317" s="163"/>
      <c r="AK317" s="163"/>
      <c r="AL317" s="163"/>
      <c r="AM317" s="130"/>
      <c r="AN317" s="163"/>
    </row>
    <row r="318" ht="15.75" customHeight="1">
      <c r="A318" s="362"/>
      <c r="B318" s="362"/>
      <c r="C318" s="362"/>
      <c r="D318" s="362"/>
      <c r="E318" s="132"/>
      <c r="F318" s="132"/>
      <c r="G318" s="361"/>
      <c r="H318" s="361"/>
      <c r="I318" s="361"/>
      <c r="J318" s="363"/>
      <c r="K318" s="364"/>
      <c r="L318" s="361"/>
      <c r="M318" s="361"/>
      <c r="N318" s="361"/>
      <c r="O318" s="361"/>
      <c r="P318" s="361"/>
      <c r="Q318" s="361"/>
      <c r="R318" s="361"/>
      <c r="S318" s="361"/>
      <c r="T318" s="361"/>
      <c r="U318" s="361"/>
      <c r="V318" s="361"/>
      <c r="W318" s="361"/>
      <c r="X318" s="361"/>
      <c r="Y318" s="131"/>
      <c r="Z318" s="163"/>
      <c r="AA318" s="131"/>
      <c r="AB318" s="131"/>
      <c r="AC318" s="131"/>
      <c r="AD318" s="131"/>
      <c r="AE318" s="131"/>
      <c r="AF318" s="163"/>
      <c r="AG318" s="163"/>
      <c r="AH318" s="163"/>
      <c r="AI318" s="163"/>
      <c r="AJ318" s="163"/>
      <c r="AK318" s="163"/>
      <c r="AL318" s="163"/>
      <c r="AM318" s="130"/>
      <c r="AN318" s="163"/>
    </row>
    <row r="319" ht="15.75" customHeight="1">
      <c r="A319" s="362"/>
      <c r="B319" s="362"/>
      <c r="C319" s="362"/>
      <c r="D319" s="362"/>
      <c r="E319" s="132"/>
      <c r="F319" s="132"/>
      <c r="G319" s="361"/>
      <c r="H319" s="361"/>
      <c r="I319" s="361"/>
      <c r="J319" s="363"/>
      <c r="K319" s="364"/>
      <c r="L319" s="361"/>
      <c r="M319" s="361"/>
      <c r="N319" s="361"/>
      <c r="O319" s="361"/>
      <c r="P319" s="361"/>
      <c r="Q319" s="361"/>
      <c r="R319" s="361"/>
      <c r="S319" s="361"/>
      <c r="T319" s="361"/>
      <c r="U319" s="361"/>
      <c r="V319" s="361"/>
      <c r="W319" s="361"/>
      <c r="X319" s="361"/>
      <c r="Y319" s="131"/>
      <c r="Z319" s="163"/>
      <c r="AA319" s="131"/>
      <c r="AB319" s="131"/>
      <c r="AC319" s="131"/>
      <c r="AD319" s="131"/>
      <c r="AE319" s="131"/>
      <c r="AF319" s="163"/>
      <c r="AG319" s="163"/>
      <c r="AH319" s="163"/>
      <c r="AI319" s="163"/>
      <c r="AJ319" s="163"/>
      <c r="AK319" s="163"/>
      <c r="AL319" s="163"/>
      <c r="AM319" s="130"/>
      <c r="AN319" s="163"/>
    </row>
    <row r="320" ht="15.75" customHeight="1">
      <c r="A320" s="362"/>
      <c r="B320" s="362"/>
      <c r="C320" s="362"/>
      <c r="D320" s="362"/>
      <c r="E320" s="132"/>
      <c r="F320" s="132"/>
      <c r="G320" s="361"/>
      <c r="H320" s="361"/>
      <c r="I320" s="361"/>
      <c r="J320" s="363"/>
      <c r="K320" s="364"/>
      <c r="L320" s="361"/>
      <c r="M320" s="361"/>
      <c r="N320" s="361"/>
      <c r="O320" s="361"/>
      <c r="P320" s="361"/>
      <c r="Q320" s="361"/>
      <c r="R320" s="361"/>
      <c r="S320" s="361"/>
      <c r="T320" s="361"/>
      <c r="U320" s="361"/>
      <c r="V320" s="361"/>
      <c r="W320" s="361"/>
      <c r="X320" s="361"/>
      <c r="Y320" s="131"/>
      <c r="Z320" s="163"/>
      <c r="AA320" s="131"/>
      <c r="AB320" s="131"/>
      <c r="AC320" s="131"/>
      <c r="AD320" s="131"/>
      <c r="AE320" s="131"/>
      <c r="AF320" s="163"/>
      <c r="AG320" s="163"/>
      <c r="AH320" s="163"/>
      <c r="AI320" s="163"/>
      <c r="AJ320" s="163"/>
      <c r="AK320" s="163"/>
      <c r="AL320" s="163"/>
      <c r="AM320" s="130"/>
      <c r="AN320" s="163"/>
    </row>
    <row r="321" ht="15.75" customHeight="1">
      <c r="A321" s="362"/>
      <c r="B321" s="362"/>
      <c r="C321" s="362"/>
      <c r="D321" s="362"/>
      <c r="E321" s="132"/>
      <c r="F321" s="132"/>
      <c r="G321" s="361"/>
      <c r="H321" s="361"/>
      <c r="I321" s="361"/>
      <c r="J321" s="363"/>
      <c r="K321" s="364"/>
      <c r="L321" s="361"/>
      <c r="M321" s="361"/>
      <c r="N321" s="361"/>
      <c r="O321" s="361"/>
      <c r="P321" s="361"/>
      <c r="Q321" s="361"/>
      <c r="R321" s="361"/>
      <c r="S321" s="361"/>
      <c r="T321" s="361"/>
      <c r="U321" s="361"/>
      <c r="V321" s="361"/>
      <c r="W321" s="361"/>
      <c r="X321" s="361"/>
      <c r="Y321" s="131"/>
      <c r="Z321" s="163"/>
      <c r="AA321" s="131"/>
      <c r="AB321" s="131"/>
      <c r="AC321" s="131"/>
      <c r="AD321" s="131"/>
      <c r="AE321" s="131"/>
      <c r="AF321" s="163"/>
      <c r="AG321" s="163"/>
      <c r="AH321" s="163"/>
      <c r="AI321" s="163"/>
      <c r="AJ321" s="163"/>
      <c r="AK321" s="163"/>
      <c r="AL321" s="163"/>
      <c r="AM321" s="130"/>
      <c r="AN321" s="163"/>
    </row>
    <row r="322" ht="15.75" customHeight="1">
      <c r="A322" s="362"/>
      <c r="B322" s="362"/>
      <c r="C322" s="362"/>
      <c r="D322" s="362"/>
      <c r="E322" s="132"/>
      <c r="F322" s="132"/>
      <c r="G322" s="361"/>
      <c r="H322" s="361"/>
      <c r="I322" s="361"/>
      <c r="J322" s="363"/>
      <c r="K322" s="364"/>
      <c r="L322" s="361"/>
      <c r="M322" s="361"/>
      <c r="N322" s="361"/>
      <c r="O322" s="361"/>
      <c r="P322" s="361"/>
      <c r="Q322" s="361"/>
      <c r="R322" s="361"/>
      <c r="S322" s="361"/>
      <c r="T322" s="361"/>
      <c r="U322" s="361"/>
      <c r="V322" s="361"/>
      <c r="W322" s="361"/>
      <c r="X322" s="361"/>
      <c r="Y322" s="131"/>
      <c r="Z322" s="163"/>
      <c r="AA322" s="131"/>
      <c r="AB322" s="131"/>
      <c r="AC322" s="131"/>
      <c r="AD322" s="131"/>
      <c r="AE322" s="131"/>
      <c r="AF322" s="163"/>
      <c r="AG322" s="163"/>
      <c r="AH322" s="163"/>
      <c r="AI322" s="163"/>
      <c r="AJ322" s="163"/>
      <c r="AK322" s="163"/>
      <c r="AL322" s="163"/>
      <c r="AM322" s="130"/>
      <c r="AN322" s="163"/>
    </row>
    <row r="323" ht="15.75" customHeight="1">
      <c r="A323" s="362"/>
      <c r="B323" s="362"/>
      <c r="C323" s="362"/>
      <c r="D323" s="362"/>
      <c r="E323" s="132"/>
      <c r="F323" s="132"/>
      <c r="G323" s="361"/>
      <c r="H323" s="361"/>
      <c r="I323" s="361"/>
      <c r="J323" s="363"/>
      <c r="K323" s="364"/>
      <c r="L323" s="361"/>
      <c r="M323" s="361"/>
      <c r="N323" s="361"/>
      <c r="O323" s="361"/>
      <c r="P323" s="361"/>
      <c r="Q323" s="361"/>
      <c r="R323" s="361"/>
      <c r="S323" s="361"/>
      <c r="T323" s="361"/>
      <c r="U323" s="361"/>
      <c r="V323" s="361"/>
      <c r="W323" s="361"/>
      <c r="X323" s="361"/>
      <c r="Y323" s="131"/>
      <c r="Z323" s="163"/>
      <c r="AA323" s="131"/>
      <c r="AB323" s="131"/>
      <c r="AC323" s="131"/>
      <c r="AD323" s="131"/>
      <c r="AE323" s="131"/>
      <c r="AF323" s="163"/>
      <c r="AG323" s="163"/>
      <c r="AH323" s="163"/>
      <c r="AI323" s="163"/>
      <c r="AJ323" s="163"/>
      <c r="AK323" s="163"/>
      <c r="AL323" s="163"/>
      <c r="AM323" s="130"/>
      <c r="AN323" s="163"/>
    </row>
    <row r="324" ht="15.75" customHeight="1">
      <c r="A324" s="362"/>
      <c r="B324" s="362"/>
      <c r="C324" s="362"/>
      <c r="D324" s="362"/>
      <c r="E324" s="132"/>
      <c r="F324" s="132"/>
      <c r="G324" s="361"/>
      <c r="H324" s="361"/>
      <c r="I324" s="361"/>
      <c r="J324" s="363"/>
      <c r="K324" s="364"/>
      <c r="L324" s="361"/>
      <c r="M324" s="361"/>
      <c r="N324" s="361"/>
      <c r="O324" s="361"/>
      <c r="P324" s="361"/>
      <c r="Q324" s="361"/>
      <c r="R324" s="361"/>
      <c r="S324" s="361"/>
      <c r="T324" s="361"/>
      <c r="U324" s="361"/>
      <c r="V324" s="361"/>
      <c r="W324" s="361"/>
      <c r="X324" s="361"/>
      <c r="Y324" s="131"/>
      <c r="Z324" s="163"/>
      <c r="AA324" s="131"/>
      <c r="AB324" s="131"/>
      <c r="AC324" s="131"/>
      <c r="AD324" s="131"/>
      <c r="AE324" s="131"/>
      <c r="AF324" s="163"/>
      <c r="AG324" s="163"/>
      <c r="AH324" s="163"/>
      <c r="AI324" s="163"/>
      <c r="AJ324" s="163"/>
      <c r="AK324" s="163"/>
      <c r="AL324" s="163"/>
      <c r="AM324" s="130"/>
      <c r="AN324" s="163"/>
    </row>
    <row r="325" ht="15.75" customHeight="1">
      <c r="A325" s="362"/>
      <c r="B325" s="362"/>
      <c r="C325" s="362"/>
      <c r="D325" s="362"/>
      <c r="E325" s="132"/>
      <c r="F325" s="132"/>
      <c r="G325" s="361"/>
      <c r="H325" s="361"/>
      <c r="I325" s="361"/>
      <c r="J325" s="363"/>
      <c r="K325" s="364"/>
      <c r="L325" s="361"/>
      <c r="M325" s="361"/>
      <c r="N325" s="361"/>
      <c r="O325" s="361"/>
      <c r="P325" s="361"/>
      <c r="Q325" s="361"/>
      <c r="R325" s="361"/>
      <c r="S325" s="361"/>
      <c r="T325" s="361"/>
      <c r="U325" s="361"/>
      <c r="V325" s="361"/>
      <c r="W325" s="361"/>
      <c r="X325" s="361"/>
      <c r="Y325" s="131"/>
      <c r="Z325" s="163"/>
      <c r="AA325" s="131"/>
      <c r="AB325" s="131"/>
      <c r="AC325" s="131"/>
      <c r="AD325" s="131"/>
      <c r="AE325" s="131"/>
      <c r="AF325" s="163"/>
      <c r="AG325" s="163"/>
      <c r="AH325" s="163"/>
      <c r="AI325" s="163"/>
      <c r="AJ325" s="163"/>
      <c r="AK325" s="163"/>
      <c r="AL325" s="163"/>
      <c r="AM325" s="130"/>
      <c r="AN325" s="163"/>
    </row>
    <row r="326" ht="15.75" customHeight="1">
      <c r="A326" s="362"/>
      <c r="B326" s="362"/>
      <c r="C326" s="362"/>
      <c r="D326" s="362"/>
      <c r="E326" s="132"/>
      <c r="F326" s="132"/>
      <c r="G326" s="361"/>
      <c r="H326" s="361"/>
      <c r="I326" s="361"/>
      <c r="J326" s="363"/>
      <c r="K326" s="364"/>
      <c r="L326" s="361"/>
      <c r="M326" s="361"/>
      <c r="N326" s="361"/>
      <c r="O326" s="361"/>
      <c r="P326" s="361"/>
      <c r="Q326" s="361"/>
      <c r="R326" s="361"/>
      <c r="S326" s="361"/>
      <c r="T326" s="361"/>
      <c r="U326" s="361"/>
      <c r="V326" s="361"/>
      <c r="W326" s="361"/>
      <c r="X326" s="361"/>
      <c r="Y326" s="131"/>
      <c r="Z326" s="163"/>
      <c r="AA326" s="131"/>
      <c r="AB326" s="131"/>
      <c r="AC326" s="131"/>
      <c r="AD326" s="131"/>
      <c r="AE326" s="131"/>
      <c r="AF326" s="163"/>
      <c r="AG326" s="163"/>
      <c r="AH326" s="163"/>
      <c r="AI326" s="163"/>
      <c r="AJ326" s="163"/>
      <c r="AK326" s="163"/>
      <c r="AL326" s="163"/>
      <c r="AM326" s="130"/>
      <c r="AN326" s="163"/>
    </row>
    <row r="327" ht="15.75" customHeight="1">
      <c r="A327" s="362"/>
      <c r="B327" s="362"/>
      <c r="C327" s="362"/>
      <c r="D327" s="362"/>
      <c r="E327" s="132"/>
      <c r="F327" s="132"/>
      <c r="G327" s="361"/>
      <c r="H327" s="361"/>
      <c r="I327" s="361"/>
      <c r="J327" s="363"/>
      <c r="K327" s="364"/>
      <c r="L327" s="361"/>
      <c r="M327" s="361"/>
      <c r="N327" s="361"/>
      <c r="O327" s="361"/>
      <c r="P327" s="361"/>
      <c r="Q327" s="361"/>
      <c r="R327" s="361"/>
      <c r="S327" s="361"/>
      <c r="T327" s="361"/>
      <c r="U327" s="361"/>
      <c r="V327" s="361"/>
      <c r="W327" s="361"/>
      <c r="X327" s="361"/>
      <c r="Y327" s="131"/>
      <c r="Z327" s="163"/>
      <c r="AA327" s="131"/>
      <c r="AB327" s="131"/>
      <c r="AC327" s="131"/>
      <c r="AD327" s="131"/>
      <c r="AE327" s="131"/>
      <c r="AF327" s="163"/>
      <c r="AG327" s="163"/>
      <c r="AH327" s="163"/>
      <c r="AI327" s="163"/>
      <c r="AJ327" s="163"/>
      <c r="AK327" s="163"/>
      <c r="AL327" s="163"/>
      <c r="AM327" s="130"/>
      <c r="AN327" s="163"/>
    </row>
    <row r="328" ht="15.75" customHeight="1">
      <c r="A328" s="362"/>
      <c r="B328" s="362"/>
      <c r="C328" s="362"/>
      <c r="D328" s="362"/>
      <c r="E328" s="132"/>
      <c r="F328" s="132"/>
      <c r="G328" s="361"/>
      <c r="H328" s="361"/>
      <c r="I328" s="361"/>
      <c r="J328" s="363"/>
      <c r="K328" s="364"/>
      <c r="L328" s="361"/>
      <c r="M328" s="361"/>
      <c r="N328" s="361"/>
      <c r="O328" s="361"/>
      <c r="P328" s="361"/>
      <c r="Q328" s="361"/>
      <c r="R328" s="361"/>
      <c r="S328" s="361"/>
      <c r="T328" s="361"/>
      <c r="U328" s="361"/>
      <c r="V328" s="361"/>
      <c r="W328" s="361"/>
      <c r="X328" s="361"/>
      <c r="Y328" s="131"/>
      <c r="Z328" s="163"/>
      <c r="AA328" s="131"/>
      <c r="AB328" s="131"/>
      <c r="AC328" s="131"/>
      <c r="AD328" s="131"/>
      <c r="AE328" s="131"/>
      <c r="AF328" s="163"/>
      <c r="AG328" s="163"/>
      <c r="AH328" s="163"/>
      <c r="AI328" s="163"/>
      <c r="AJ328" s="163"/>
      <c r="AK328" s="163"/>
      <c r="AL328" s="163"/>
      <c r="AM328" s="130"/>
      <c r="AN328" s="163"/>
    </row>
    <row r="329" ht="15.75" customHeight="1">
      <c r="A329" s="362"/>
      <c r="B329" s="362"/>
      <c r="C329" s="362"/>
      <c r="D329" s="362"/>
      <c r="E329" s="132"/>
      <c r="F329" s="132"/>
      <c r="G329" s="361"/>
      <c r="H329" s="361"/>
      <c r="I329" s="361"/>
      <c r="J329" s="363"/>
      <c r="K329" s="364"/>
      <c r="L329" s="361"/>
      <c r="M329" s="361"/>
      <c r="N329" s="361"/>
      <c r="O329" s="361"/>
      <c r="P329" s="361"/>
      <c r="Q329" s="361"/>
      <c r="R329" s="361"/>
      <c r="S329" s="361"/>
      <c r="T329" s="361"/>
      <c r="U329" s="361"/>
      <c r="V329" s="361"/>
      <c r="W329" s="361"/>
      <c r="X329" s="361"/>
      <c r="Y329" s="131"/>
      <c r="Z329" s="163"/>
      <c r="AA329" s="131"/>
      <c r="AB329" s="131"/>
      <c r="AC329" s="131"/>
      <c r="AD329" s="131"/>
      <c r="AE329" s="131"/>
      <c r="AF329" s="163"/>
      <c r="AG329" s="163"/>
      <c r="AH329" s="163"/>
      <c r="AI329" s="163"/>
      <c r="AJ329" s="163"/>
      <c r="AK329" s="163"/>
      <c r="AL329" s="163"/>
      <c r="AM329" s="130"/>
      <c r="AN329" s="163"/>
    </row>
    <row r="330" ht="15.75" customHeight="1">
      <c r="A330" s="362"/>
      <c r="B330" s="362"/>
      <c r="C330" s="362"/>
      <c r="D330" s="362"/>
      <c r="E330" s="132"/>
      <c r="F330" s="132"/>
      <c r="G330" s="361"/>
      <c r="H330" s="361"/>
      <c r="I330" s="361"/>
      <c r="J330" s="363"/>
      <c r="K330" s="364"/>
      <c r="L330" s="361"/>
      <c r="M330" s="361"/>
      <c r="N330" s="361"/>
      <c r="O330" s="361"/>
      <c r="P330" s="361"/>
      <c r="Q330" s="361"/>
      <c r="R330" s="361"/>
      <c r="S330" s="361"/>
      <c r="T330" s="361"/>
      <c r="U330" s="361"/>
      <c r="V330" s="361"/>
      <c r="W330" s="361"/>
      <c r="X330" s="361"/>
      <c r="Y330" s="131"/>
      <c r="Z330" s="163"/>
      <c r="AA330" s="131"/>
      <c r="AB330" s="131"/>
      <c r="AC330" s="131"/>
      <c r="AD330" s="131"/>
      <c r="AE330" s="131"/>
      <c r="AF330" s="163"/>
      <c r="AG330" s="163"/>
      <c r="AH330" s="163"/>
      <c r="AI330" s="163"/>
      <c r="AJ330" s="163"/>
      <c r="AK330" s="163"/>
      <c r="AL330" s="163"/>
      <c r="AM330" s="130"/>
      <c r="AN330" s="163"/>
    </row>
    <row r="331" ht="15.75" customHeight="1">
      <c r="A331" s="362"/>
      <c r="B331" s="362"/>
      <c r="C331" s="362"/>
      <c r="D331" s="362"/>
      <c r="E331" s="132"/>
      <c r="F331" s="132"/>
      <c r="G331" s="361"/>
      <c r="H331" s="361"/>
      <c r="I331" s="361"/>
      <c r="J331" s="363"/>
      <c r="K331" s="364"/>
      <c r="L331" s="361"/>
      <c r="M331" s="361"/>
      <c r="N331" s="361"/>
      <c r="O331" s="361"/>
      <c r="P331" s="361"/>
      <c r="Q331" s="361"/>
      <c r="R331" s="361"/>
      <c r="S331" s="361"/>
      <c r="T331" s="361"/>
      <c r="U331" s="361"/>
      <c r="V331" s="361"/>
      <c r="W331" s="361"/>
      <c r="X331" s="361"/>
      <c r="Y331" s="131"/>
      <c r="Z331" s="163"/>
      <c r="AA331" s="131"/>
      <c r="AB331" s="131"/>
      <c r="AC331" s="131"/>
      <c r="AD331" s="131"/>
      <c r="AE331" s="131"/>
      <c r="AF331" s="163"/>
      <c r="AG331" s="163"/>
      <c r="AH331" s="163"/>
      <c r="AI331" s="163"/>
      <c r="AJ331" s="163"/>
      <c r="AK331" s="163"/>
      <c r="AL331" s="163"/>
      <c r="AM331" s="130"/>
      <c r="AN331" s="163"/>
    </row>
    <row r="332" ht="15.75" customHeight="1">
      <c r="A332" s="362"/>
      <c r="B332" s="362"/>
      <c r="C332" s="362"/>
      <c r="D332" s="362"/>
      <c r="E332" s="132"/>
      <c r="F332" s="132"/>
      <c r="G332" s="361"/>
      <c r="H332" s="361"/>
      <c r="I332" s="361"/>
      <c r="J332" s="363"/>
      <c r="K332" s="364"/>
      <c r="L332" s="361"/>
      <c r="M332" s="361"/>
      <c r="N332" s="361"/>
      <c r="O332" s="361"/>
      <c r="P332" s="361"/>
      <c r="Q332" s="361"/>
      <c r="R332" s="361"/>
      <c r="S332" s="361"/>
      <c r="T332" s="361"/>
      <c r="U332" s="361"/>
      <c r="V332" s="361"/>
      <c r="W332" s="361"/>
      <c r="X332" s="361"/>
      <c r="Y332" s="131"/>
      <c r="Z332" s="163"/>
      <c r="AA332" s="131"/>
      <c r="AB332" s="131"/>
      <c r="AC332" s="131"/>
      <c r="AD332" s="131"/>
      <c r="AE332" s="131"/>
      <c r="AF332" s="163"/>
      <c r="AG332" s="163"/>
      <c r="AH332" s="163"/>
      <c r="AI332" s="163"/>
      <c r="AJ332" s="163"/>
      <c r="AK332" s="163"/>
      <c r="AL332" s="163"/>
      <c r="AM332" s="130"/>
      <c r="AN332" s="163"/>
    </row>
    <row r="333" ht="15.75" customHeight="1">
      <c r="A333" s="362"/>
      <c r="B333" s="362"/>
      <c r="C333" s="362"/>
      <c r="D333" s="362"/>
      <c r="E333" s="132"/>
      <c r="F333" s="132"/>
      <c r="G333" s="361"/>
      <c r="H333" s="361"/>
      <c r="I333" s="361"/>
      <c r="J333" s="363"/>
      <c r="K333" s="364"/>
      <c r="L333" s="361"/>
      <c r="M333" s="361"/>
      <c r="N333" s="361"/>
      <c r="O333" s="361"/>
      <c r="P333" s="361"/>
      <c r="Q333" s="361"/>
      <c r="R333" s="361"/>
      <c r="S333" s="361"/>
      <c r="T333" s="361"/>
      <c r="U333" s="361"/>
      <c r="V333" s="361"/>
      <c r="W333" s="361"/>
      <c r="X333" s="361"/>
      <c r="Y333" s="131"/>
      <c r="Z333" s="163"/>
      <c r="AA333" s="131"/>
      <c r="AB333" s="131"/>
      <c r="AC333" s="131"/>
      <c r="AD333" s="131"/>
      <c r="AE333" s="131"/>
      <c r="AF333" s="163"/>
      <c r="AG333" s="163"/>
      <c r="AH333" s="163"/>
      <c r="AI333" s="163"/>
      <c r="AJ333" s="163"/>
      <c r="AK333" s="163"/>
      <c r="AL333" s="163"/>
      <c r="AM333" s="130"/>
      <c r="AN333" s="163"/>
    </row>
    <row r="334" ht="15.75" customHeight="1">
      <c r="A334" s="362"/>
      <c r="B334" s="362"/>
      <c r="C334" s="362"/>
      <c r="D334" s="362"/>
      <c r="E334" s="132"/>
      <c r="F334" s="132"/>
      <c r="G334" s="361"/>
      <c r="H334" s="361"/>
      <c r="I334" s="361"/>
      <c r="J334" s="363"/>
      <c r="K334" s="364"/>
      <c r="L334" s="361"/>
      <c r="M334" s="361"/>
      <c r="N334" s="361"/>
      <c r="O334" s="361"/>
      <c r="P334" s="361"/>
      <c r="Q334" s="361"/>
      <c r="R334" s="361"/>
      <c r="S334" s="361"/>
      <c r="T334" s="361"/>
      <c r="U334" s="361"/>
      <c r="V334" s="361"/>
      <c r="W334" s="361"/>
      <c r="X334" s="361"/>
      <c r="Y334" s="131"/>
      <c r="Z334" s="163"/>
      <c r="AA334" s="131"/>
      <c r="AB334" s="131"/>
      <c r="AC334" s="131"/>
      <c r="AD334" s="131"/>
      <c r="AE334" s="131"/>
      <c r="AF334" s="163"/>
      <c r="AG334" s="163"/>
      <c r="AH334" s="163"/>
      <c r="AI334" s="163"/>
      <c r="AJ334" s="163"/>
      <c r="AK334" s="163"/>
      <c r="AL334" s="163"/>
      <c r="AM334" s="130"/>
      <c r="AN334" s="163"/>
    </row>
    <row r="335" ht="15.75" customHeight="1">
      <c r="A335" s="362"/>
      <c r="B335" s="362"/>
      <c r="C335" s="362"/>
      <c r="D335" s="362"/>
      <c r="E335" s="132"/>
      <c r="F335" s="132"/>
      <c r="G335" s="361"/>
      <c r="H335" s="361"/>
      <c r="I335" s="361"/>
      <c r="J335" s="363"/>
      <c r="K335" s="364"/>
      <c r="L335" s="361"/>
      <c r="M335" s="361"/>
      <c r="N335" s="361"/>
      <c r="O335" s="361"/>
      <c r="P335" s="361"/>
      <c r="Q335" s="361"/>
      <c r="R335" s="361"/>
      <c r="S335" s="361"/>
      <c r="T335" s="361"/>
      <c r="U335" s="361"/>
      <c r="V335" s="361"/>
      <c r="W335" s="361"/>
      <c r="X335" s="361"/>
      <c r="Y335" s="131"/>
      <c r="Z335" s="163"/>
      <c r="AA335" s="131"/>
      <c r="AB335" s="131"/>
      <c r="AC335" s="131"/>
      <c r="AD335" s="131"/>
      <c r="AE335" s="131"/>
      <c r="AF335" s="163"/>
      <c r="AG335" s="163"/>
      <c r="AH335" s="163"/>
      <c r="AI335" s="163"/>
      <c r="AJ335" s="163"/>
      <c r="AK335" s="163"/>
      <c r="AL335" s="163"/>
      <c r="AM335" s="130"/>
      <c r="AN335" s="163"/>
    </row>
    <row r="336" ht="15.75" customHeight="1">
      <c r="A336" s="362"/>
      <c r="B336" s="362"/>
      <c r="C336" s="362"/>
      <c r="D336" s="362"/>
      <c r="E336" s="132"/>
      <c r="F336" s="132"/>
      <c r="G336" s="361"/>
      <c r="H336" s="361"/>
      <c r="I336" s="361"/>
      <c r="J336" s="363"/>
      <c r="K336" s="364"/>
      <c r="L336" s="361"/>
      <c r="M336" s="361"/>
      <c r="N336" s="361"/>
      <c r="O336" s="361"/>
      <c r="P336" s="361"/>
      <c r="Q336" s="361"/>
      <c r="R336" s="361"/>
      <c r="S336" s="361"/>
      <c r="T336" s="361"/>
      <c r="U336" s="361"/>
      <c r="V336" s="361"/>
      <c r="W336" s="361"/>
      <c r="X336" s="361"/>
      <c r="Y336" s="131"/>
      <c r="Z336" s="163"/>
      <c r="AA336" s="131"/>
      <c r="AB336" s="131"/>
      <c r="AC336" s="131"/>
      <c r="AD336" s="131"/>
      <c r="AE336" s="131"/>
      <c r="AF336" s="163"/>
      <c r="AG336" s="163"/>
      <c r="AH336" s="163"/>
      <c r="AI336" s="163"/>
      <c r="AJ336" s="163"/>
      <c r="AK336" s="163"/>
      <c r="AL336" s="163"/>
      <c r="AM336" s="130"/>
      <c r="AN336" s="163"/>
    </row>
    <row r="337" ht="15.75" customHeight="1">
      <c r="A337" s="362"/>
      <c r="B337" s="362"/>
      <c r="C337" s="362"/>
      <c r="D337" s="362"/>
      <c r="E337" s="132"/>
      <c r="F337" s="132"/>
      <c r="G337" s="361"/>
      <c r="H337" s="361"/>
      <c r="I337" s="361"/>
      <c r="J337" s="363"/>
      <c r="K337" s="364"/>
      <c r="L337" s="361"/>
      <c r="M337" s="361"/>
      <c r="N337" s="361"/>
      <c r="O337" s="361"/>
      <c r="P337" s="361"/>
      <c r="Q337" s="361"/>
      <c r="R337" s="361"/>
      <c r="S337" s="361"/>
      <c r="T337" s="361"/>
      <c r="U337" s="361"/>
      <c r="V337" s="361"/>
      <c r="W337" s="361"/>
      <c r="X337" s="361"/>
      <c r="Y337" s="131"/>
      <c r="Z337" s="163"/>
      <c r="AA337" s="131"/>
      <c r="AB337" s="131"/>
      <c r="AC337" s="131"/>
      <c r="AD337" s="131"/>
      <c r="AE337" s="131"/>
      <c r="AF337" s="163"/>
      <c r="AG337" s="163"/>
      <c r="AH337" s="163"/>
      <c r="AI337" s="163"/>
      <c r="AJ337" s="163"/>
      <c r="AK337" s="163"/>
      <c r="AL337" s="163"/>
      <c r="AM337" s="130"/>
      <c r="AN337" s="163"/>
    </row>
    <row r="338" ht="15.75" customHeight="1">
      <c r="A338" s="362"/>
      <c r="B338" s="362"/>
      <c r="C338" s="362"/>
      <c r="D338" s="362"/>
      <c r="E338" s="132"/>
      <c r="F338" s="132"/>
      <c r="G338" s="361"/>
      <c r="H338" s="361"/>
      <c r="I338" s="361"/>
      <c r="J338" s="363"/>
      <c r="K338" s="364"/>
      <c r="L338" s="361"/>
      <c r="M338" s="361"/>
      <c r="N338" s="361"/>
      <c r="O338" s="361"/>
      <c r="P338" s="361"/>
      <c r="Q338" s="361"/>
      <c r="R338" s="361"/>
      <c r="S338" s="361"/>
      <c r="T338" s="361"/>
      <c r="U338" s="361"/>
      <c r="V338" s="361"/>
      <c r="W338" s="361"/>
      <c r="X338" s="361"/>
      <c r="Y338" s="131"/>
      <c r="Z338" s="163"/>
      <c r="AA338" s="131"/>
      <c r="AB338" s="131"/>
      <c r="AC338" s="131"/>
      <c r="AD338" s="131"/>
      <c r="AE338" s="131"/>
      <c r="AF338" s="163"/>
      <c r="AG338" s="163"/>
      <c r="AH338" s="163"/>
      <c r="AI338" s="163"/>
      <c r="AJ338" s="163"/>
      <c r="AK338" s="163"/>
      <c r="AL338" s="163"/>
      <c r="AM338" s="130"/>
      <c r="AN338" s="163"/>
    </row>
    <row r="339" ht="15.75" customHeight="1">
      <c r="A339" s="362"/>
      <c r="B339" s="362"/>
      <c r="C339" s="362"/>
      <c r="D339" s="362"/>
      <c r="E339" s="132"/>
      <c r="F339" s="132"/>
      <c r="G339" s="361"/>
      <c r="H339" s="361"/>
      <c r="I339" s="361"/>
      <c r="J339" s="363"/>
      <c r="K339" s="364"/>
      <c r="L339" s="361"/>
      <c r="M339" s="361"/>
      <c r="N339" s="361"/>
      <c r="O339" s="361"/>
      <c r="P339" s="361"/>
      <c r="Q339" s="361"/>
      <c r="R339" s="361"/>
      <c r="S339" s="361"/>
      <c r="T339" s="361"/>
      <c r="U339" s="361"/>
      <c r="V339" s="361"/>
      <c r="W339" s="361"/>
      <c r="X339" s="361"/>
      <c r="Y339" s="131"/>
      <c r="Z339" s="163"/>
      <c r="AA339" s="131"/>
      <c r="AB339" s="131"/>
      <c r="AC339" s="131"/>
      <c r="AD339" s="131"/>
      <c r="AE339" s="131"/>
      <c r="AF339" s="163"/>
      <c r="AG339" s="163"/>
      <c r="AH339" s="163"/>
      <c r="AI339" s="163"/>
      <c r="AJ339" s="163"/>
      <c r="AK339" s="163"/>
      <c r="AL339" s="163"/>
      <c r="AM339" s="130"/>
      <c r="AN339" s="163"/>
    </row>
    <row r="340" ht="15.75" customHeight="1">
      <c r="A340" s="362"/>
      <c r="B340" s="362"/>
      <c r="C340" s="362"/>
      <c r="D340" s="362"/>
      <c r="E340" s="132"/>
      <c r="F340" s="132"/>
      <c r="G340" s="361"/>
      <c r="H340" s="361"/>
      <c r="I340" s="361"/>
      <c r="J340" s="363"/>
      <c r="K340" s="364"/>
      <c r="L340" s="361"/>
      <c r="M340" s="361"/>
      <c r="N340" s="361"/>
      <c r="O340" s="361"/>
      <c r="P340" s="361"/>
      <c r="Q340" s="361"/>
      <c r="R340" s="361"/>
      <c r="S340" s="361"/>
      <c r="T340" s="361"/>
      <c r="U340" s="361"/>
      <c r="V340" s="361"/>
      <c r="W340" s="361"/>
      <c r="X340" s="361"/>
      <c r="Y340" s="131"/>
      <c r="Z340" s="163"/>
      <c r="AA340" s="131"/>
      <c r="AB340" s="131"/>
      <c r="AC340" s="131"/>
      <c r="AD340" s="131"/>
      <c r="AE340" s="131"/>
      <c r="AF340" s="163"/>
      <c r="AG340" s="163"/>
      <c r="AH340" s="163"/>
      <c r="AI340" s="163"/>
      <c r="AJ340" s="163"/>
      <c r="AK340" s="163"/>
      <c r="AL340" s="163"/>
      <c r="AM340" s="130"/>
      <c r="AN340" s="163"/>
    </row>
    <row r="341" ht="15.75" customHeight="1">
      <c r="A341" s="362"/>
      <c r="B341" s="362"/>
      <c r="C341" s="362"/>
      <c r="D341" s="362"/>
      <c r="E341" s="132"/>
      <c r="F341" s="132"/>
      <c r="G341" s="361"/>
      <c r="H341" s="361"/>
      <c r="I341" s="361"/>
      <c r="J341" s="363"/>
      <c r="K341" s="364"/>
      <c r="L341" s="361"/>
      <c r="M341" s="361"/>
      <c r="N341" s="361"/>
      <c r="O341" s="361"/>
      <c r="P341" s="361"/>
      <c r="Q341" s="361"/>
      <c r="R341" s="361"/>
      <c r="S341" s="361"/>
      <c r="T341" s="361"/>
      <c r="U341" s="361"/>
      <c r="V341" s="361"/>
      <c r="W341" s="361"/>
      <c r="X341" s="361"/>
      <c r="Y341" s="131"/>
      <c r="Z341" s="163"/>
      <c r="AA341" s="131"/>
      <c r="AB341" s="131"/>
      <c r="AC341" s="131"/>
      <c r="AD341" s="131"/>
      <c r="AE341" s="131"/>
      <c r="AF341" s="163"/>
      <c r="AG341" s="163"/>
      <c r="AH341" s="163"/>
      <c r="AI341" s="163"/>
      <c r="AJ341" s="163"/>
      <c r="AK341" s="163"/>
      <c r="AL341" s="163"/>
      <c r="AM341" s="130"/>
      <c r="AN341" s="163"/>
    </row>
    <row r="342" ht="15.75" customHeight="1">
      <c r="A342" s="362"/>
      <c r="B342" s="362"/>
      <c r="C342" s="362"/>
      <c r="D342" s="362"/>
      <c r="E342" s="132"/>
      <c r="F342" s="132"/>
      <c r="G342" s="361"/>
      <c r="H342" s="361"/>
      <c r="I342" s="361"/>
      <c r="J342" s="363"/>
      <c r="K342" s="364"/>
      <c r="L342" s="361"/>
      <c r="M342" s="361"/>
      <c r="N342" s="361"/>
      <c r="O342" s="361"/>
      <c r="P342" s="361"/>
      <c r="Q342" s="361"/>
      <c r="R342" s="361"/>
      <c r="S342" s="361"/>
      <c r="T342" s="361"/>
      <c r="U342" s="361"/>
      <c r="V342" s="361"/>
      <c r="W342" s="361"/>
      <c r="X342" s="361"/>
      <c r="Y342" s="131"/>
      <c r="Z342" s="163"/>
      <c r="AA342" s="131"/>
      <c r="AB342" s="131"/>
      <c r="AC342" s="131"/>
      <c r="AD342" s="131"/>
      <c r="AE342" s="131"/>
      <c r="AF342" s="163"/>
      <c r="AG342" s="163"/>
      <c r="AH342" s="163"/>
      <c r="AI342" s="163"/>
      <c r="AJ342" s="163"/>
      <c r="AK342" s="163"/>
      <c r="AL342" s="163"/>
      <c r="AM342" s="130"/>
      <c r="AN342" s="163"/>
    </row>
    <row r="343" ht="15.75" customHeight="1">
      <c r="A343" s="362"/>
      <c r="B343" s="362"/>
      <c r="C343" s="362"/>
      <c r="D343" s="362"/>
      <c r="E343" s="132"/>
      <c r="F343" s="132"/>
      <c r="G343" s="361"/>
      <c r="H343" s="361"/>
      <c r="I343" s="361"/>
      <c r="J343" s="363"/>
      <c r="K343" s="364"/>
      <c r="L343" s="361"/>
      <c r="M343" s="361"/>
      <c r="N343" s="361"/>
      <c r="O343" s="361"/>
      <c r="P343" s="361"/>
      <c r="Q343" s="361"/>
      <c r="R343" s="361"/>
      <c r="S343" s="361"/>
      <c r="T343" s="361"/>
      <c r="U343" s="361"/>
      <c r="V343" s="361"/>
      <c r="W343" s="361"/>
      <c r="X343" s="361"/>
      <c r="Y343" s="131"/>
      <c r="Z343" s="163"/>
      <c r="AA343" s="131"/>
      <c r="AB343" s="131"/>
      <c r="AC343" s="131"/>
      <c r="AD343" s="131"/>
      <c r="AE343" s="131"/>
      <c r="AF343" s="163"/>
      <c r="AG343" s="163"/>
      <c r="AH343" s="163"/>
      <c r="AI343" s="163"/>
      <c r="AJ343" s="163"/>
      <c r="AK343" s="163"/>
      <c r="AL343" s="163"/>
      <c r="AM343" s="130"/>
      <c r="AN343" s="163"/>
    </row>
    <row r="344" ht="15.75" customHeight="1">
      <c r="A344" s="362"/>
      <c r="B344" s="362"/>
      <c r="C344" s="362"/>
      <c r="D344" s="362"/>
      <c r="E344" s="132"/>
      <c r="F344" s="132"/>
      <c r="G344" s="361"/>
      <c r="H344" s="361"/>
      <c r="I344" s="361"/>
      <c r="J344" s="363"/>
      <c r="K344" s="364"/>
      <c r="L344" s="361"/>
      <c r="M344" s="361"/>
      <c r="N344" s="361"/>
      <c r="O344" s="361"/>
      <c r="P344" s="361"/>
      <c r="Q344" s="361"/>
      <c r="R344" s="361"/>
      <c r="S344" s="361"/>
      <c r="T344" s="361"/>
      <c r="U344" s="361"/>
      <c r="V344" s="361"/>
      <c r="W344" s="361"/>
      <c r="X344" s="361"/>
      <c r="Y344" s="131"/>
      <c r="Z344" s="163"/>
      <c r="AA344" s="131"/>
      <c r="AB344" s="131"/>
      <c r="AC344" s="131"/>
      <c r="AD344" s="131"/>
      <c r="AE344" s="131"/>
      <c r="AF344" s="163"/>
      <c r="AG344" s="163"/>
      <c r="AH344" s="163"/>
      <c r="AI344" s="163"/>
      <c r="AJ344" s="163"/>
      <c r="AK344" s="163"/>
      <c r="AL344" s="163"/>
      <c r="AM344" s="130"/>
      <c r="AN344" s="163"/>
    </row>
    <row r="345" ht="15.75" customHeight="1">
      <c r="A345" s="362"/>
      <c r="B345" s="362"/>
      <c r="C345" s="362"/>
      <c r="D345" s="362"/>
      <c r="E345" s="132"/>
      <c r="F345" s="132"/>
      <c r="G345" s="361"/>
      <c r="H345" s="361"/>
      <c r="I345" s="361"/>
      <c r="J345" s="363"/>
      <c r="K345" s="364"/>
      <c r="L345" s="361"/>
      <c r="M345" s="361"/>
      <c r="N345" s="361"/>
      <c r="O345" s="361"/>
      <c r="P345" s="361"/>
      <c r="Q345" s="361"/>
      <c r="R345" s="361"/>
      <c r="S345" s="361"/>
      <c r="T345" s="361"/>
      <c r="U345" s="361"/>
      <c r="V345" s="361"/>
      <c r="W345" s="361"/>
      <c r="X345" s="361"/>
      <c r="Y345" s="131"/>
      <c r="Z345" s="163"/>
      <c r="AA345" s="131"/>
      <c r="AB345" s="131"/>
      <c r="AC345" s="131"/>
      <c r="AD345" s="131"/>
      <c r="AE345" s="131"/>
      <c r="AF345" s="163"/>
      <c r="AG345" s="163"/>
      <c r="AH345" s="163"/>
      <c r="AI345" s="163"/>
      <c r="AJ345" s="163"/>
      <c r="AK345" s="163"/>
      <c r="AL345" s="163"/>
      <c r="AM345" s="130"/>
      <c r="AN345" s="163"/>
    </row>
    <row r="346" ht="15.75" customHeight="1">
      <c r="A346" s="362"/>
      <c r="B346" s="362"/>
      <c r="C346" s="362"/>
      <c r="D346" s="362"/>
      <c r="E346" s="132"/>
      <c r="F346" s="132"/>
      <c r="G346" s="361"/>
      <c r="H346" s="361"/>
      <c r="I346" s="361"/>
      <c r="J346" s="363"/>
      <c r="K346" s="364"/>
      <c r="L346" s="361"/>
      <c r="M346" s="361"/>
      <c r="N346" s="361"/>
      <c r="O346" s="361"/>
      <c r="P346" s="361"/>
      <c r="Q346" s="361"/>
      <c r="R346" s="361"/>
      <c r="S346" s="361"/>
      <c r="T346" s="361"/>
      <c r="U346" s="361"/>
      <c r="V346" s="361"/>
      <c r="W346" s="361"/>
      <c r="X346" s="361"/>
      <c r="Y346" s="131"/>
      <c r="Z346" s="163"/>
      <c r="AA346" s="131"/>
      <c r="AB346" s="131"/>
      <c r="AC346" s="131"/>
      <c r="AD346" s="131"/>
      <c r="AE346" s="131"/>
      <c r="AF346" s="163"/>
      <c r="AG346" s="163"/>
      <c r="AH346" s="163"/>
      <c r="AI346" s="163"/>
      <c r="AJ346" s="163"/>
      <c r="AK346" s="163"/>
      <c r="AL346" s="163"/>
      <c r="AM346" s="130"/>
      <c r="AN346" s="163"/>
    </row>
    <row r="347" ht="15.75" customHeight="1">
      <c r="A347" s="362"/>
      <c r="B347" s="362"/>
      <c r="C347" s="362"/>
      <c r="D347" s="362"/>
      <c r="E347" s="132"/>
      <c r="F347" s="132"/>
      <c r="G347" s="361"/>
      <c r="H347" s="361"/>
      <c r="I347" s="361"/>
      <c r="J347" s="363"/>
      <c r="K347" s="364"/>
      <c r="L347" s="361"/>
      <c r="M347" s="361"/>
      <c r="N347" s="361"/>
      <c r="O347" s="361"/>
      <c r="P347" s="361"/>
      <c r="Q347" s="361"/>
      <c r="R347" s="361"/>
      <c r="S347" s="361"/>
      <c r="T347" s="361"/>
      <c r="U347" s="361"/>
      <c r="V347" s="361"/>
      <c r="W347" s="361"/>
      <c r="X347" s="361"/>
      <c r="Y347" s="131"/>
      <c r="Z347" s="163"/>
      <c r="AA347" s="131"/>
      <c r="AB347" s="131"/>
      <c r="AC347" s="131"/>
      <c r="AD347" s="131"/>
      <c r="AE347" s="131"/>
      <c r="AF347" s="163"/>
      <c r="AG347" s="163"/>
      <c r="AH347" s="163"/>
      <c r="AI347" s="163"/>
      <c r="AJ347" s="163"/>
      <c r="AK347" s="163"/>
      <c r="AL347" s="163"/>
      <c r="AM347" s="130"/>
      <c r="AN347" s="163"/>
    </row>
    <row r="348" ht="15.75" customHeight="1">
      <c r="A348" s="362"/>
      <c r="B348" s="362"/>
      <c r="C348" s="362"/>
      <c r="D348" s="362"/>
      <c r="E348" s="132"/>
      <c r="F348" s="132"/>
      <c r="G348" s="361"/>
      <c r="H348" s="361"/>
      <c r="I348" s="361"/>
      <c r="J348" s="363"/>
      <c r="K348" s="364"/>
      <c r="L348" s="361"/>
      <c r="M348" s="361"/>
      <c r="N348" s="361"/>
      <c r="O348" s="361"/>
      <c r="P348" s="361"/>
      <c r="Q348" s="361"/>
      <c r="R348" s="361"/>
      <c r="S348" s="361"/>
      <c r="T348" s="361"/>
      <c r="U348" s="361"/>
      <c r="V348" s="361"/>
      <c r="W348" s="361"/>
      <c r="X348" s="361"/>
      <c r="Y348" s="131"/>
      <c r="Z348" s="163"/>
      <c r="AA348" s="131"/>
      <c r="AB348" s="131"/>
      <c r="AC348" s="131"/>
      <c r="AD348" s="131"/>
      <c r="AE348" s="131"/>
      <c r="AF348" s="163"/>
      <c r="AG348" s="163"/>
      <c r="AH348" s="163"/>
      <c r="AI348" s="163"/>
      <c r="AJ348" s="163"/>
      <c r="AK348" s="163"/>
      <c r="AL348" s="163"/>
      <c r="AM348" s="130"/>
      <c r="AN348" s="163"/>
    </row>
    <row r="349" ht="15.75" customHeight="1">
      <c r="A349" s="362"/>
      <c r="B349" s="362"/>
      <c r="C349" s="362"/>
      <c r="D349" s="362"/>
      <c r="E349" s="132"/>
      <c r="F349" s="132"/>
      <c r="G349" s="361"/>
      <c r="H349" s="361"/>
      <c r="I349" s="361"/>
      <c r="J349" s="363"/>
      <c r="K349" s="364"/>
      <c r="L349" s="361"/>
      <c r="M349" s="361"/>
      <c r="N349" s="361"/>
      <c r="O349" s="361"/>
      <c r="P349" s="361"/>
      <c r="Q349" s="361"/>
      <c r="R349" s="361"/>
      <c r="S349" s="361"/>
      <c r="T349" s="361"/>
      <c r="U349" s="361"/>
      <c r="V349" s="361"/>
      <c r="W349" s="361"/>
      <c r="X349" s="361"/>
      <c r="Y349" s="131"/>
      <c r="Z349" s="163"/>
      <c r="AA349" s="131"/>
      <c r="AB349" s="131"/>
      <c r="AC349" s="131"/>
      <c r="AD349" s="131"/>
      <c r="AE349" s="131"/>
      <c r="AF349" s="163"/>
      <c r="AG349" s="163"/>
      <c r="AH349" s="163"/>
      <c r="AI349" s="163"/>
      <c r="AJ349" s="163"/>
      <c r="AK349" s="163"/>
      <c r="AL349" s="163"/>
      <c r="AM349" s="130"/>
      <c r="AN349" s="163"/>
    </row>
    <row r="350" ht="15.75" customHeight="1">
      <c r="A350" s="362"/>
      <c r="B350" s="362"/>
      <c r="C350" s="362"/>
      <c r="D350" s="362"/>
      <c r="E350" s="132"/>
      <c r="F350" s="132"/>
      <c r="G350" s="361"/>
      <c r="H350" s="361"/>
      <c r="I350" s="361"/>
      <c r="J350" s="363"/>
      <c r="K350" s="364"/>
      <c r="L350" s="361"/>
      <c r="M350" s="361"/>
      <c r="N350" s="361"/>
      <c r="O350" s="361"/>
      <c r="P350" s="361"/>
      <c r="Q350" s="361"/>
      <c r="R350" s="361"/>
      <c r="S350" s="361"/>
      <c r="T350" s="361"/>
      <c r="U350" s="361"/>
      <c r="V350" s="361"/>
      <c r="W350" s="361"/>
      <c r="X350" s="361"/>
      <c r="Y350" s="131"/>
      <c r="Z350" s="163"/>
      <c r="AA350" s="131"/>
      <c r="AB350" s="131"/>
      <c r="AC350" s="131"/>
      <c r="AD350" s="131"/>
      <c r="AE350" s="131"/>
      <c r="AF350" s="163"/>
      <c r="AG350" s="163"/>
      <c r="AH350" s="163"/>
      <c r="AI350" s="163"/>
      <c r="AJ350" s="163"/>
      <c r="AK350" s="163"/>
      <c r="AL350" s="163"/>
      <c r="AM350" s="130"/>
      <c r="AN350" s="163"/>
    </row>
    <row r="351" ht="15.75" customHeight="1">
      <c r="A351" s="362"/>
      <c r="B351" s="362"/>
      <c r="C351" s="362"/>
      <c r="D351" s="362"/>
      <c r="E351" s="132"/>
      <c r="F351" s="132"/>
      <c r="G351" s="361"/>
      <c r="H351" s="361"/>
      <c r="I351" s="361"/>
      <c r="J351" s="363"/>
      <c r="K351" s="364"/>
      <c r="L351" s="361"/>
      <c r="M351" s="361"/>
      <c r="N351" s="361"/>
      <c r="O351" s="361"/>
      <c r="P351" s="361"/>
      <c r="Q351" s="361"/>
      <c r="R351" s="361"/>
      <c r="S351" s="361"/>
      <c r="T351" s="361"/>
      <c r="U351" s="361"/>
      <c r="V351" s="361"/>
      <c r="W351" s="361"/>
      <c r="X351" s="361"/>
      <c r="Y351" s="131"/>
      <c r="Z351" s="163"/>
      <c r="AA351" s="131"/>
      <c r="AB351" s="131"/>
      <c r="AC351" s="131"/>
      <c r="AD351" s="131"/>
      <c r="AE351" s="131"/>
      <c r="AF351" s="163"/>
      <c r="AG351" s="163"/>
      <c r="AH351" s="163"/>
      <c r="AI351" s="163"/>
      <c r="AJ351" s="163"/>
      <c r="AK351" s="163"/>
      <c r="AL351" s="163"/>
      <c r="AM351" s="130"/>
      <c r="AN351" s="163"/>
    </row>
    <row r="352" ht="15.75" customHeight="1">
      <c r="A352" s="362"/>
      <c r="B352" s="362"/>
      <c r="C352" s="362"/>
      <c r="D352" s="362"/>
      <c r="E352" s="132"/>
      <c r="F352" s="132"/>
      <c r="G352" s="361"/>
      <c r="H352" s="361"/>
      <c r="I352" s="361"/>
      <c r="J352" s="363"/>
      <c r="K352" s="364"/>
      <c r="L352" s="361"/>
      <c r="M352" s="361"/>
      <c r="N352" s="361"/>
      <c r="O352" s="361"/>
      <c r="P352" s="361"/>
      <c r="Q352" s="361"/>
      <c r="R352" s="361"/>
      <c r="S352" s="361"/>
      <c r="T352" s="361"/>
      <c r="U352" s="361"/>
      <c r="V352" s="361"/>
      <c r="W352" s="361"/>
      <c r="X352" s="361"/>
      <c r="Y352" s="131"/>
      <c r="Z352" s="163"/>
      <c r="AA352" s="131"/>
      <c r="AB352" s="131"/>
      <c r="AC352" s="131"/>
      <c r="AD352" s="131"/>
      <c r="AE352" s="131"/>
      <c r="AF352" s="163"/>
      <c r="AG352" s="163"/>
      <c r="AH352" s="163"/>
      <c r="AI352" s="163"/>
      <c r="AJ352" s="163"/>
      <c r="AK352" s="163"/>
      <c r="AL352" s="163"/>
      <c r="AM352" s="130"/>
      <c r="AN352" s="163"/>
    </row>
    <row r="353" ht="15.75" customHeight="1">
      <c r="A353" s="362"/>
      <c r="B353" s="362"/>
      <c r="C353" s="362"/>
      <c r="D353" s="362"/>
      <c r="E353" s="132"/>
      <c r="F353" s="132"/>
      <c r="G353" s="361"/>
      <c r="H353" s="361"/>
      <c r="I353" s="361"/>
      <c r="J353" s="363"/>
      <c r="K353" s="364"/>
      <c r="L353" s="361"/>
      <c r="M353" s="361"/>
      <c r="N353" s="361"/>
      <c r="O353" s="361"/>
      <c r="P353" s="361"/>
      <c r="Q353" s="361"/>
      <c r="R353" s="361"/>
      <c r="S353" s="361"/>
      <c r="T353" s="361"/>
      <c r="U353" s="361"/>
      <c r="V353" s="361"/>
      <c r="W353" s="361"/>
      <c r="X353" s="361"/>
      <c r="Y353" s="131"/>
      <c r="Z353" s="163"/>
      <c r="AA353" s="131"/>
      <c r="AB353" s="131"/>
      <c r="AC353" s="131"/>
      <c r="AD353" s="131"/>
      <c r="AE353" s="131"/>
      <c r="AF353" s="163"/>
      <c r="AG353" s="163"/>
      <c r="AH353" s="163"/>
      <c r="AI353" s="163"/>
      <c r="AJ353" s="163"/>
      <c r="AK353" s="163"/>
      <c r="AL353" s="163"/>
      <c r="AM353" s="130"/>
      <c r="AN353" s="163"/>
    </row>
    <row r="354" ht="15.75" customHeight="1">
      <c r="A354" s="362"/>
      <c r="B354" s="362"/>
      <c r="C354" s="362"/>
      <c r="D354" s="362"/>
      <c r="E354" s="132"/>
      <c r="F354" s="132"/>
      <c r="G354" s="361"/>
      <c r="H354" s="361"/>
      <c r="I354" s="361"/>
      <c r="J354" s="363"/>
      <c r="K354" s="364"/>
      <c r="L354" s="361"/>
      <c r="M354" s="361"/>
      <c r="N354" s="361"/>
      <c r="O354" s="361"/>
      <c r="P354" s="361"/>
      <c r="Q354" s="361"/>
      <c r="R354" s="361"/>
      <c r="S354" s="361"/>
      <c r="T354" s="361"/>
      <c r="U354" s="361"/>
      <c r="V354" s="361"/>
      <c r="W354" s="361"/>
      <c r="X354" s="361"/>
      <c r="Y354" s="131"/>
      <c r="Z354" s="163"/>
      <c r="AA354" s="131"/>
      <c r="AB354" s="131"/>
      <c r="AC354" s="131"/>
      <c r="AD354" s="131"/>
      <c r="AE354" s="131"/>
      <c r="AF354" s="163"/>
      <c r="AG354" s="163"/>
      <c r="AH354" s="163"/>
      <c r="AI354" s="163"/>
      <c r="AJ354" s="163"/>
      <c r="AK354" s="163"/>
      <c r="AL354" s="163"/>
      <c r="AM354" s="130"/>
      <c r="AN354" s="163"/>
    </row>
    <row r="355" ht="15.75" customHeight="1">
      <c r="A355" s="362"/>
      <c r="B355" s="362"/>
      <c r="C355" s="362"/>
      <c r="D355" s="362"/>
      <c r="E355" s="132"/>
      <c r="F355" s="132"/>
      <c r="G355" s="361"/>
      <c r="H355" s="361"/>
      <c r="I355" s="361"/>
      <c r="J355" s="363"/>
      <c r="K355" s="364"/>
      <c r="L355" s="361"/>
      <c r="M355" s="361"/>
      <c r="N355" s="361"/>
      <c r="O355" s="361"/>
      <c r="P355" s="361"/>
      <c r="Q355" s="361"/>
      <c r="R355" s="361"/>
      <c r="S355" s="361"/>
      <c r="T355" s="361"/>
      <c r="U355" s="361"/>
      <c r="V355" s="361"/>
      <c r="W355" s="361"/>
      <c r="X355" s="361"/>
      <c r="Y355" s="131"/>
      <c r="Z355" s="163"/>
      <c r="AA355" s="131"/>
      <c r="AB355" s="131"/>
      <c r="AC355" s="131"/>
      <c r="AD355" s="131"/>
      <c r="AE355" s="131"/>
      <c r="AF355" s="163"/>
      <c r="AG355" s="163"/>
      <c r="AH355" s="163"/>
      <c r="AI355" s="163"/>
      <c r="AJ355" s="163"/>
      <c r="AK355" s="163"/>
      <c r="AL355" s="163"/>
      <c r="AM355" s="130"/>
      <c r="AN355" s="163"/>
    </row>
    <row r="356" ht="15.75" customHeight="1">
      <c r="A356" s="362"/>
      <c r="B356" s="362"/>
      <c r="C356" s="362"/>
      <c r="D356" s="362"/>
      <c r="E356" s="132"/>
      <c r="F356" s="132"/>
      <c r="G356" s="361"/>
      <c r="H356" s="361"/>
      <c r="I356" s="361"/>
      <c r="J356" s="363"/>
      <c r="K356" s="364"/>
      <c r="L356" s="361"/>
      <c r="M356" s="361"/>
      <c r="N356" s="361"/>
      <c r="O356" s="361"/>
      <c r="P356" s="361"/>
      <c r="Q356" s="361"/>
      <c r="R356" s="361"/>
      <c r="S356" s="361"/>
      <c r="T356" s="361"/>
      <c r="U356" s="361"/>
      <c r="V356" s="361"/>
      <c r="W356" s="361"/>
      <c r="X356" s="361"/>
      <c r="Y356" s="131"/>
      <c r="Z356" s="163"/>
      <c r="AA356" s="131"/>
      <c r="AB356" s="131"/>
      <c r="AC356" s="131"/>
      <c r="AD356" s="131"/>
      <c r="AE356" s="131"/>
      <c r="AF356" s="163"/>
      <c r="AG356" s="163"/>
      <c r="AH356" s="163"/>
      <c r="AI356" s="163"/>
      <c r="AJ356" s="163"/>
      <c r="AK356" s="163"/>
      <c r="AL356" s="163"/>
      <c r="AM356" s="130"/>
      <c r="AN356" s="163"/>
    </row>
    <row r="357" ht="15.75" customHeight="1">
      <c r="A357" s="362"/>
      <c r="B357" s="362"/>
      <c r="C357" s="362"/>
      <c r="D357" s="362"/>
      <c r="E357" s="132"/>
      <c r="F357" s="132"/>
      <c r="G357" s="361"/>
      <c r="H357" s="361"/>
      <c r="I357" s="361"/>
      <c r="J357" s="363"/>
      <c r="K357" s="364"/>
      <c r="L357" s="361"/>
      <c r="M357" s="361"/>
      <c r="N357" s="361"/>
      <c r="O357" s="361"/>
      <c r="P357" s="361"/>
      <c r="Q357" s="361"/>
      <c r="R357" s="361"/>
      <c r="S357" s="361"/>
      <c r="T357" s="361"/>
      <c r="U357" s="361"/>
      <c r="V357" s="361"/>
      <c r="W357" s="361"/>
      <c r="X357" s="361"/>
      <c r="Y357" s="131"/>
      <c r="Z357" s="163"/>
      <c r="AA357" s="131"/>
      <c r="AB357" s="131"/>
      <c r="AC357" s="131"/>
      <c r="AD357" s="131"/>
      <c r="AE357" s="131"/>
      <c r="AF357" s="163"/>
      <c r="AG357" s="163"/>
      <c r="AH357" s="163"/>
      <c r="AI357" s="163"/>
      <c r="AJ357" s="163"/>
      <c r="AK357" s="163"/>
      <c r="AL357" s="163"/>
      <c r="AM357" s="130"/>
      <c r="AN357" s="163"/>
    </row>
    <row r="358" ht="15.75" customHeight="1">
      <c r="A358" s="362"/>
      <c r="B358" s="362"/>
      <c r="C358" s="362"/>
      <c r="D358" s="362"/>
      <c r="E358" s="132"/>
      <c r="F358" s="132"/>
      <c r="G358" s="361"/>
      <c r="H358" s="361"/>
      <c r="I358" s="361"/>
      <c r="J358" s="363"/>
      <c r="K358" s="364"/>
      <c r="L358" s="361"/>
      <c r="M358" s="361"/>
      <c r="N358" s="361"/>
      <c r="O358" s="361"/>
      <c r="P358" s="361"/>
      <c r="Q358" s="361"/>
      <c r="R358" s="361"/>
      <c r="S358" s="361"/>
      <c r="T358" s="361"/>
      <c r="U358" s="361"/>
      <c r="V358" s="361"/>
      <c r="W358" s="361"/>
      <c r="X358" s="361"/>
      <c r="Y358" s="131"/>
      <c r="Z358" s="163"/>
      <c r="AA358" s="131"/>
      <c r="AB358" s="131"/>
      <c r="AC358" s="131"/>
      <c r="AD358" s="131"/>
      <c r="AE358" s="131"/>
      <c r="AF358" s="163"/>
      <c r="AG358" s="163"/>
      <c r="AH358" s="163"/>
      <c r="AI358" s="163"/>
      <c r="AJ358" s="163"/>
      <c r="AK358" s="163"/>
      <c r="AL358" s="163"/>
      <c r="AM358" s="130"/>
      <c r="AN358" s="163"/>
    </row>
    <row r="359" ht="15.75" customHeight="1">
      <c r="A359" s="362"/>
      <c r="B359" s="362"/>
      <c r="C359" s="362"/>
      <c r="D359" s="362"/>
      <c r="E359" s="132"/>
      <c r="F359" s="132"/>
      <c r="G359" s="361"/>
      <c r="H359" s="361"/>
      <c r="I359" s="361"/>
      <c r="J359" s="363"/>
      <c r="K359" s="364"/>
      <c r="L359" s="361"/>
      <c r="M359" s="361"/>
      <c r="N359" s="361"/>
      <c r="O359" s="361"/>
      <c r="P359" s="361"/>
      <c r="Q359" s="361"/>
      <c r="R359" s="361"/>
      <c r="S359" s="361"/>
      <c r="T359" s="361"/>
      <c r="U359" s="361"/>
      <c r="V359" s="361"/>
      <c r="W359" s="361"/>
      <c r="X359" s="361"/>
      <c r="Y359" s="131"/>
      <c r="Z359" s="163"/>
      <c r="AA359" s="131"/>
      <c r="AB359" s="131"/>
      <c r="AC359" s="131"/>
      <c r="AD359" s="131"/>
      <c r="AE359" s="131"/>
      <c r="AF359" s="163"/>
      <c r="AG359" s="163"/>
      <c r="AH359" s="163"/>
      <c r="AI359" s="163"/>
      <c r="AJ359" s="163"/>
      <c r="AK359" s="163"/>
      <c r="AL359" s="163"/>
      <c r="AM359" s="130"/>
      <c r="AN359" s="163"/>
    </row>
    <row r="360" ht="15.75" customHeight="1">
      <c r="A360" s="362"/>
      <c r="B360" s="362"/>
      <c r="C360" s="362"/>
      <c r="D360" s="362"/>
      <c r="E360" s="132"/>
      <c r="F360" s="132"/>
      <c r="G360" s="361"/>
      <c r="H360" s="361"/>
      <c r="I360" s="361"/>
      <c r="J360" s="363"/>
      <c r="K360" s="364"/>
      <c r="L360" s="361"/>
      <c r="M360" s="361"/>
      <c r="N360" s="361"/>
      <c r="O360" s="361"/>
      <c r="P360" s="361"/>
      <c r="Q360" s="361"/>
      <c r="R360" s="361"/>
      <c r="S360" s="361"/>
      <c r="T360" s="361"/>
      <c r="U360" s="361"/>
      <c r="V360" s="361"/>
      <c r="W360" s="361"/>
      <c r="X360" s="361"/>
      <c r="Y360" s="131"/>
      <c r="Z360" s="163"/>
      <c r="AA360" s="131"/>
      <c r="AB360" s="131"/>
      <c r="AC360" s="131"/>
      <c r="AD360" s="131"/>
      <c r="AE360" s="131"/>
      <c r="AF360" s="163"/>
      <c r="AG360" s="163"/>
      <c r="AH360" s="163"/>
      <c r="AI360" s="163"/>
      <c r="AJ360" s="163"/>
      <c r="AK360" s="163"/>
      <c r="AL360" s="163"/>
      <c r="AM360" s="130"/>
      <c r="AN360" s="163"/>
    </row>
    <row r="361" ht="15.75" customHeight="1">
      <c r="A361" s="362"/>
      <c r="B361" s="362"/>
      <c r="C361" s="362"/>
      <c r="D361" s="362"/>
      <c r="E361" s="132"/>
      <c r="F361" s="132"/>
      <c r="G361" s="361"/>
      <c r="H361" s="361"/>
      <c r="I361" s="361"/>
      <c r="J361" s="363"/>
      <c r="K361" s="364"/>
      <c r="L361" s="361"/>
      <c r="M361" s="361"/>
      <c r="N361" s="361"/>
      <c r="O361" s="361"/>
      <c r="P361" s="361"/>
      <c r="Q361" s="361"/>
      <c r="R361" s="361"/>
      <c r="S361" s="361"/>
      <c r="T361" s="361"/>
      <c r="U361" s="361"/>
      <c r="V361" s="361"/>
      <c r="W361" s="361"/>
      <c r="X361" s="361"/>
      <c r="Y361" s="131"/>
      <c r="Z361" s="163"/>
      <c r="AA361" s="131"/>
      <c r="AB361" s="131"/>
      <c r="AC361" s="131"/>
      <c r="AD361" s="131"/>
      <c r="AE361" s="131"/>
      <c r="AF361" s="163"/>
      <c r="AG361" s="163"/>
      <c r="AH361" s="163"/>
      <c r="AI361" s="163"/>
      <c r="AJ361" s="163"/>
      <c r="AK361" s="163"/>
      <c r="AL361" s="163"/>
      <c r="AM361" s="130"/>
      <c r="AN361" s="163"/>
    </row>
    <row r="362" ht="15.75" customHeight="1">
      <c r="A362" s="362"/>
      <c r="B362" s="362"/>
      <c r="C362" s="362"/>
      <c r="D362" s="362"/>
      <c r="E362" s="132"/>
      <c r="F362" s="132"/>
      <c r="G362" s="361"/>
      <c r="H362" s="361"/>
      <c r="I362" s="361"/>
      <c r="J362" s="363"/>
      <c r="K362" s="364"/>
      <c r="L362" s="361"/>
      <c r="M362" s="361"/>
      <c r="N362" s="361"/>
      <c r="O362" s="361"/>
      <c r="P362" s="361"/>
      <c r="Q362" s="361"/>
      <c r="R362" s="361"/>
      <c r="S362" s="361"/>
      <c r="T362" s="361"/>
      <c r="U362" s="361"/>
      <c r="V362" s="361"/>
      <c r="W362" s="361"/>
      <c r="X362" s="361"/>
      <c r="Y362" s="131"/>
      <c r="Z362" s="163"/>
      <c r="AA362" s="131"/>
      <c r="AB362" s="131"/>
      <c r="AC362" s="131"/>
      <c r="AD362" s="131"/>
      <c r="AE362" s="131"/>
      <c r="AF362" s="163"/>
      <c r="AG362" s="163"/>
      <c r="AH362" s="163"/>
      <c r="AI362" s="163"/>
      <c r="AJ362" s="163"/>
      <c r="AK362" s="163"/>
      <c r="AL362" s="163"/>
      <c r="AM362" s="130"/>
      <c r="AN362" s="163"/>
    </row>
    <row r="363" ht="15.75" customHeight="1">
      <c r="A363" s="362"/>
      <c r="B363" s="362"/>
      <c r="C363" s="362"/>
      <c r="D363" s="362"/>
      <c r="E363" s="132"/>
      <c r="F363" s="132"/>
      <c r="G363" s="361"/>
      <c r="H363" s="361"/>
      <c r="I363" s="361"/>
      <c r="J363" s="363"/>
      <c r="K363" s="364"/>
      <c r="L363" s="361"/>
      <c r="M363" s="361"/>
      <c r="N363" s="361"/>
      <c r="O363" s="361"/>
      <c r="P363" s="361"/>
      <c r="Q363" s="361"/>
      <c r="R363" s="361"/>
      <c r="S363" s="361"/>
      <c r="T363" s="361"/>
      <c r="U363" s="361"/>
      <c r="V363" s="361"/>
      <c r="W363" s="361"/>
      <c r="X363" s="361"/>
      <c r="Y363" s="131"/>
      <c r="Z363" s="163"/>
      <c r="AA363" s="131"/>
      <c r="AB363" s="131"/>
      <c r="AC363" s="131"/>
      <c r="AD363" s="131"/>
      <c r="AE363" s="131"/>
      <c r="AF363" s="163"/>
      <c r="AG363" s="163"/>
      <c r="AH363" s="163"/>
      <c r="AI363" s="163"/>
      <c r="AJ363" s="163"/>
      <c r="AK363" s="163"/>
      <c r="AL363" s="163"/>
      <c r="AM363" s="130"/>
      <c r="AN363" s="163"/>
    </row>
    <row r="364" ht="15.75" customHeight="1">
      <c r="A364" s="362"/>
      <c r="B364" s="362"/>
      <c r="C364" s="362"/>
      <c r="D364" s="362"/>
      <c r="E364" s="132"/>
      <c r="F364" s="132"/>
      <c r="G364" s="361"/>
      <c r="H364" s="361"/>
      <c r="I364" s="361"/>
      <c r="J364" s="363"/>
      <c r="K364" s="364"/>
      <c r="L364" s="361"/>
      <c r="M364" s="361"/>
      <c r="N364" s="361"/>
      <c r="O364" s="361"/>
      <c r="P364" s="361"/>
      <c r="Q364" s="361"/>
      <c r="R364" s="361"/>
      <c r="S364" s="361"/>
      <c r="T364" s="361"/>
      <c r="U364" s="361"/>
      <c r="V364" s="361"/>
      <c r="W364" s="361"/>
      <c r="X364" s="361"/>
      <c r="Y364" s="131"/>
      <c r="Z364" s="163"/>
      <c r="AA364" s="131"/>
      <c r="AB364" s="131"/>
      <c r="AC364" s="131"/>
      <c r="AD364" s="131"/>
      <c r="AE364" s="131"/>
      <c r="AF364" s="163"/>
      <c r="AG364" s="163"/>
      <c r="AH364" s="163"/>
      <c r="AI364" s="163"/>
      <c r="AJ364" s="163"/>
      <c r="AK364" s="163"/>
      <c r="AL364" s="163"/>
      <c r="AM364" s="130"/>
      <c r="AN364" s="163"/>
    </row>
    <row r="365" ht="15.75" customHeight="1">
      <c r="A365" s="362"/>
      <c r="B365" s="362"/>
      <c r="C365" s="362"/>
      <c r="D365" s="362"/>
      <c r="E365" s="132"/>
      <c r="F365" s="132"/>
      <c r="G365" s="361"/>
      <c r="H365" s="361"/>
      <c r="I365" s="361"/>
      <c r="J365" s="363"/>
      <c r="K365" s="364"/>
      <c r="L365" s="361"/>
      <c r="M365" s="361"/>
      <c r="N365" s="361"/>
      <c r="O365" s="361"/>
      <c r="P365" s="361"/>
      <c r="Q365" s="361"/>
      <c r="R365" s="361"/>
      <c r="S365" s="361"/>
      <c r="T365" s="361"/>
      <c r="U365" s="361"/>
      <c r="V365" s="361"/>
      <c r="W365" s="361"/>
      <c r="X365" s="361"/>
      <c r="Y365" s="131"/>
      <c r="Z365" s="163"/>
      <c r="AA365" s="131"/>
      <c r="AB365" s="131"/>
      <c r="AC365" s="131"/>
      <c r="AD365" s="131"/>
      <c r="AE365" s="131"/>
      <c r="AF365" s="163"/>
      <c r="AG365" s="163"/>
      <c r="AH365" s="163"/>
      <c r="AI365" s="163"/>
      <c r="AJ365" s="163"/>
      <c r="AK365" s="163"/>
      <c r="AL365" s="163"/>
      <c r="AM365" s="130"/>
      <c r="AN365" s="163"/>
    </row>
    <row r="366" ht="15.75" customHeight="1">
      <c r="A366" s="362"/>
      <c r="B366" s="362"/>
      <c r="C366" s="362"/>
      <c r="D366" s="362"/>
      <c r="E366" s="132"/>
      <c r="F366" s="132"/>
      <c r="G366" s="361"/>
      <c r="H366" s="361"/>
      <c r="I366" s="361"/>
      <c r="J366" s="363"/>
      <c r="K366" s="364"/>
      <c r="L366" s="361"/>
      <c r="M366" s="361"/>
      <c r="N366" s="361"/>
      <c r="O366" s="361"/>
      <c r="P366" s="361"/>
      <c r="Q366" s="361"/>
      <c r="R366" s="361"/>
      <c r="S366" s="361"/>
      <c r="T366" s="361"/>
      <c r="U366" s="361"/>
      <c r="V366" s="361"/>
      <c r="W366" s="361"/>
      <c r="X366" s="361"/>
      <c r="Y366" s="131"/>
      <c r="Z366" s="163"/>
      <c r="AA366" s="131"/>
      <c r="AB366" s="131"/>
      <c r="AC366" s="131"/>
      <c r="AD366" s="131"/>
      <c r="AE366" s="131"/>
      <c r="AF366" s="163"/>
      <c r="AG366" s="163"/>
      <c r="AH366" s="163"/>
      <c r="AI366" s="163"/>
      <c r="AJ366" s="163"/>
      <c r="AK366" s="163"/>
      <c r="AL366" s="163"/>
      <c r="AM366" s="130"/>
      <c r="AN366" s="163"/>
    </row>
    <row r="367" ht="15.75" customHeight="1">
      <c r="A367" s="362"/>
      <c r="B367" s="362"/>
      <c r="C367" s="362"/>
      <c r="D367" s="362"/>
      <c r="E367" s="132"/>
      <c r="F367" s="132"/>
      <c r="G367" s="361"/>
      <c r="H367" s="361"/>
      <c r="I367" s="361"/>
      <c r="J367" s="363"/>
      <c r="K367" s="364"/>
      <c r="L367" s="361"/>
      <c r="M367" s="361"/>
      <c r="N367" s="361"/>
      <c r="O367" s="361"/>
      <c r="P367" s="361"/>
      <c r="Q367" s="361"/>
      <c r="R367" s="361"/>
      <c r="S367" s="361"/>
      <c r="T367" s="361"/>
      <c r="U367" s="361"/>
      <c r="V367" s="361"/>
      <c r="W367" s="361"/>
      <c r="X367" s="361"/>
      <c r="Y367" s="131"/>
      <c r="Z367" s="163"/>
      <c r="AA367" s="131"/>
      <c r="AB367" s="131"/>
      <c r="AC367" s="131"/>
      <c r="AD367" s="131"/>
      <c r="AE367" s="131"/>
      <c r="AF367" s="163"/>
      <c r="AG367" s="163"/>
      <c r="AH367" s="163"/>
      <c r="AI367" s="163"/>
      <c r="AJ367" s="163"/>
      <c r="AK367" s="163"/>
      <c r="AL367" s="163"/>
      <c r="AM367" s="130"/>
      <c r="AN367" s="163"/>
    </row>
    <row r="368" ht="15.75" customHeight="1">
      <c r="A368" s="362"/>
      <c r="B368" s="362"/>
      <c r="C368" s="362"/>
      <c r="D368" s="362"/>
      <c r="E368" s="132"/>
      <c r="F368" s="132"/>
      <c r="G368" s="361"/>
      <c r="H368" s="361"/>
      <c r="I368" s="361"/>
      <c r="J368" s="363"/>
      <c r="K368" s="364"/>
      <c r="L368" s="361"/>
      <c r="M368" s="361"/>
      <c r="N368" s="361"/>
      <c r="O368" s="361"/>
      <c r="P368" s="361"/>
      <c r="Q368" s="361"/>
      <c r="R368" s="361"/>
      <c r="S368" s="361"/>
      <c r="T368" s="361"/>
      <c r="U368" s="361"/>
      <c r="V368" s="361"/>
      <c r="W368" s="361"/>
      <c r="X368" s="361"/>
      <c r="Y368" s="131"/>
      <c r="Z368" s="163"/>
      <c r="AA368" s="131"/>
      <c r="AB368" s="131"/>
      <c r="AC368" s="131"/>
      <c r="AD368" s="131"/>
      <c r="AE368" s="131"/>
      <c r="AF368" s="163"/>
      <c r="AG368" s="163"/>
      <c r="AH368" s="163"/>
      <c r="AI368" s="163"/>
      <c r="AJ368" s="163"/>
      <c r="AK368" s="163"/>
      <c r="AL368" s="163"/>
      <c r="AM368" s="130"/>
      <c r="AN368" s="163"/>
    </row>
    <row r="369" ht="15.75" customHeight="1">
      <c r="A369" s="362"/>
      <c r="B369" s="362"/>
      <c r="C369" s="362"/>
      <c r="D369" s="362"/>
      <c r="E369" s="132"/>
      <c r="F369" s="132"/>
      <c r="G369" s="361"/>
      <c r="H369" s="361"/>
      <c r="I369" s="361"/>
      <c r="J369" s="363"/>
      <c r="K369" s="364"/>
      <c r="L369" s="361"/>
      <c r="M369" s="361"/>
      <c r="N369" s="361"/>
      <c r="O369" s="361"/>
      <c r="P369" s="361"/>
      <c r="Q369" s="361"/>
      <c r="R369" s="361"/>
      <c r="S369" s="361"/>
      <c r="T369" s="361"/>
      <c r="U369" s="361"/>
      <c r="V369" s="361"/>
      <c r="W369" s="361"/>
      <c r="X369" s="361"/>
      <c r="Y369" s="131"/>
      <c r="Z369" s="163"/>
      <c r="AA369" s="131"/>
      <c r="AB369" s="131"/>
      <c r="AC369" s="131"/>
      <c r="AD369" s="131"/>
      <c r="AE369" s="131"/>
      <c r="AF369" s="163"/>
      <c r="AG369" s="163"/>
      <c r="AH369" s="163"/>
      <c r="AI369" s="163"/>
      <c r="AJ369" s="163"/>
      <c r="AK369" s="163"/>
      <c r="AL369" s="163"/>
      <c r="AM369" s="130"/>
      <c r="AN369" s="163"/>
    </row>
    <row r="370" ht="15.75" customHeight="1">
      <c r="A370" s="362"/>
      <c r="B370" s="362"/>
      <c r="C370" s="362"/>
      <c r="D370" s="362"/>
      <c r="E370" s="132"/>
      <c r="F370" s="132"/>
      <c r="G370" s="361"/>
      <c r="H370" s="361"/>
      <c r="I370" s="361"/>
      <c r="J370" s="363"/>
      <c r="K370" s="364"/>
      <c r="L370" s="361"/>
      <c r="M370" s="361"/>
      <c r="N370" s="361"/>
      <c r="O370" s="361"/>
      <c r="P370" s="361"/>
      <c r="Q370" s="361"/>
      <c r="R370" s="361"/>
      <c r="S370" s="361"/>
      <c r="T370" s="361"/>
      <c r="U370" s="361"/>
      <c r="V370" s="361"/>
      <c r="W370" s="361"/>
      <c r="X370" s="361"/>
      <c r="Y370" s="131"/>
      <c r="Z370" s="163"/>
      <c r="AA370" s="131"/>
      <c r="AB370" s="131"/>
      <c r="AC370" s="131"/>
      <c r="AD370" s="131"/>
      <c r="AE370" s="131"/>
      <c r="AF370" s="163"/>
      <c r="AG370" s="163"/>
      <c r="AH370" s="163"/>
      <c r="AI370" s="163"/>
      <c r="AJ370" s="163"/>
      <c r="AK370" s="163"/>
      <c r="AL370" s="163"/>
      <c r="AM370" s="130"/>
      <c r="AN370" s="163"/>
    </row>
    <row r="371" ht="15.75" customHeight="1">
      <c r="A371" s="362"/>
      <c r="B371" s="362"/>
      <c r="C371" s="362"/>
      <c r="D371" s="362"/>
      <c r="E371" s="132"/>
      <c r="F371" s="132"/>
      <c r="G371" s="361"/>
      <c r="H371" s="361"/>
      <c r="I371" s="361"/>
      <c r="J371" s="363"/>
      <c r="K371" s="364"/>
      <c r="L371" s="361"/>
      <c r="M371" s="361"/>
      <c r="N371" s="361"/>
      <c r="O371" s="361"/>
      <c r="P371" s="361"/>
      <c r="Q371" s="361"/>
      <c r="R371" s="361"/>
      <c r="S371" s="361"/>
      <c r="T371" s="361"/>
      <c r="U371" s="361"/>
      <c r="V371" s="361"/>
      <c r="W371" s="361"/>
      <c r="X371" s="361"/>
      <c r="Y371" s="131"/>
      <c r="Z371" s="163"/>
      <c r="AA371" s="131"/>
      <c r="AB371" s="131"/>
      <c r="AC371" s="131"/>
      <c r="AD371" s="131"/>
      <c r="AE371" s="131"/>
      <c r="AF371" s="163"/>
      <c r="AG371" s="163"/>
      <c r="AH371" s="163"/>
      <c r="AI371" s="163"/>
      <c r="AJ371" s="163"/>
      <c r="AK371" s="163"/>
      <c r="AL371" s="163"/>
      <c r="AM371" s="130"/>
      <c r="AN371" s="163"/>
    </row>
    <row r="372" ht="15.75" customHeight="1">
      <c r="A372" s="362"/>
      <c r="B372" s="362"/>
      <c r="C372" s="362"/>
      <c r="D372" s="362"/>
      <c r="E372" s="132"/>
      <c r="F372" s="132"/>
      <c r="G372" s="361"/>
      <c r="H372" s="361"/>
      <c r="I372" s="361"/>
      <c r="J372" s="363"/>
      <c r="K372" s="364"/>
      <c r="L372" s="361"/>
      <c r="M372" s="361"/>
      <c r="N372" s="361"/>
      <c r="O372" s="361"/>
      <c r="P372" s="361"/>
      <c r="Q372" s="361"/>
      <c r="R372" s="361"/>
      <c r="S372" s="361"/>
      <c r="T372" s="361"/>
      <c r="U372" s="361"/>
      <c r="V372" s="361"/>
      <c r="W372" s="361"/>
      <c r="X372" s="361"/>
      <c r="Y372" s="131"/>
      <c r="Z372" s="163"/>
      <c r="AA372" s="131"/>
      <c r="AB372" s="131"/>
      <c r="AC372" s="131"/>
      <c r="AD372" s="131"/>
      <c r="AE372" s="131"/>
      <c r="AF372" s="163"/>
      <c r="AG372" s="163"/>
      <c r="AH372" s="163"/>
      <c r="AI372" s="163"/>
      <c r="AJ372" s="163"/>
      <c r="AK372" s="163"/>
      <c r="AL372" s="163"/>
      <c r="AM372" s="130"/>
      <c r="AN372" s="163"/>
    </row>
    <row r="373" ht="15.75" customHeight="1">
      <c r="A373" s="362"/>
      <c r="B373" s="362"/>
      <c r="C373" s="362"/>
      <c r="D373" s="362"/>
      <c r="E373" s="132"/>
      <c r="F373" s="132"/>
      <c r="G373" s="361"/>
      <c r="H373" s="361"/>
      <c r="I373" s="361"/>
      <c r="J373" s="363"/>
      <c r="K373" s="364"/>
      <c r="L373" s="361"/>
      <c r="M373" s="361"/>
      <c r="N373" s="361"/>
      <c r="O373" s="361"/>
      <c r="P373" s="361"/>
      <c r="Q373" s="361"/>
      <c r="R373" s="361"/>
      <c r="S373" s="361"/>
      <c r="T373" s="361"/>
      <c r="U373" s="361"/>
      <c r="V373" s="361"/>
      <c r="W373" s="361"/>
      <c r="X373" s="361"/>
      <c r="Y373" s="131"/>
      <c r="Z373" s="163"/>
      <c r="AA373" s="131"/>
      <c r="AB373" s="131"/>
      <c r="AC373" s="131"/>
      <c r="AD373" s="131"/>
      <c r="AE373" s="131"/>
      <c r="AF373" s="163"/>
      <c r="AG373" s="163"/>
      <c r="AH373" s="163"/>
      <c r="AI373" s="163"/>
      <c r="AJ373" s="163"/>
      <c r="AK373" s="163"/>
      <c r="AL373" s="163"/>
      <c r="AM373" s="130"/>
      <c r="AN373" s="163"/>
    </row>
    <row r="374" ht="15.75" customHeight="1">
      <c r="A374" s="362"/>
      <c r="B374" s="362"/>
      <c r="C374" s="362"/>
      <c r="D374" s="362"/>
      <c r="E374" s="132"/>
      <c r="F374" s="132"/>
      <c r="G374" s="361"/>
      <c r="H374" s="361"/>
      <c r="I374" s="361"/>
      <c r="J374" s="363"/>
      <c r="K374" s="364"/>
      <c r="L374" s="361"/>
      <c r="M374" s="361"/>
      <c r="N374" s="361"/>
      <c r="O374" s="361"/>
      <c r="P374" s="361"/>
      <c r="Q374" s="361"/>
      <c r="R374" s="361"/>
      <c r="S374" s="361"/>
      <c r="T374" s="361"/>
      <c r="U374" s="361"/>
      <c r="V374" s="361"/>
      <c r="W374" s="361"/>
      <c r="X374" s="361"/>
      <c r="Y374" s="131"/>
      <c r="Z374" s="163"/>
      <c r="AA374" s="131"/>
      <c r="AB374" s="131"/>
      <c r="AC374" s="131"/>
      <c r="AD374" s="131"/>
      <c r="AE374" s="131"/>
      <c r="AF374" s="163"/>
      <c r="AG374" s="163"/>
      <c r="AH374" s="163"/>
      <c r="AI374" s="163"/>
      <c r="AJ374" s="163"/>
      <c r="AK374" s="163"/>
      <c r="AL374" s="163"/>
      <c r="AM374" s="130"/>
      <c r="AN374" s="163"/>
    </row>
    <row r="375" ht="15.75" customHeight="1">
      <c r="A375" s="362"/>
      <c r="B375" s="362"/>
      <c r="C375" s="362"/>
      <c r="D375" s="362"/>
      <c r="E375" s="132"/>
      <c r="F375" s="132"/>
      <c r="G375" s="361"/>
      <c r="H375" s="361"/>
      <c r="I375" s="361"/>
      <c r="J375" s="363"/>
      <c r="K375" s="364"/>
      <c r="L375" s="361"/>
      <c r="M375" s="361"/>
      <c r="N375" s="361"/>
      <c r="O375" s="361"/>
      <c r="P375" s="361"/>
      <c r="Q375" s="361"/>
      <c r="R375" s="361"/>
      <c r="S375" s="361"/>
      <c r="T375" s="361"/>
      <c r="U375" s="361"/>
      <c r="V375" s="361"/>
      <c r="W375" s="361"/>
      <c r="X375" s="361"/>
      <c r="Y375" s="131"/>
      <c r="Z375" s="163"/>
      <c r="AA375" s="131"/>
      <c r="AB375" s="131"/>
      <c r="AC375" s="131"/>
      <c r="AD375" s="131"/>
      <c r="AE375" s="131"/>
      <c r="AF375" s="163"/>
      <c r="AG375" s="163"/>
      <c r="AH375" s="163"/>
      <c r="AI375" s="163"/>
      <c r="AJ375" s="163"/>
      <c r="AK375" s="163"/>
      <c r="AL375" s="163"/>
      <c r="AM375" s="130"/>
      <c r="AN375" s="163"/>
    </row>
    <row r="376" ht="15.75" customHeight="1">
      <c r="A376" s="362"/>
      <c r="B376" s="362"/>
      <c r="C376" s="362"/>
      <c r="D376" s="362"/>
      <c r="E376" s="132"/>
      <c r="F376" s="132"/>
      <c r="G376" s="361"/>
      <c r="H376" s="361"/>
      <c r="I376" s="361"/>
      <c r="J376" s="363"/>
      <c r="K376" s="364"/>
      <c r="L376" s="361"/>
      <c r="M376" s="361"/>
      <c r="N376" s="361"/>
      <c r="O376" s="361"/>
      <c r="P376" s="361"/>
      <c r="Q376" s="361"/>
      <c r="R376" s="361"/>
      <c r="S376" s="361"/>
      <c r="T376" s="361"/>
      <c r="U376" s="361"/>
      <c r="V376" s="361"/>
      <c r="W376" s="361"/>
      <c r="X376" s="361"/>
      <c r="Y376" s="131"/>
      <c r="Z376" s="163"/>
      <c r="AA376" s="131"/>
      <c r="AB376" s="131"/>
      <c r="AC376" s="131"/>
      <c r="AD376" s="131"/>
      <c r="AE376" s="131"/>
      <c r="AF376" s="163"/>
      <c r="AG376" s="163"/>
      <c r="AH376" s="163"/>
      <c r="AI376" s="163"/>
      <c r="AJ376" s="163"/>
      <c r="AK376" s="163"/>
      <c r="AL376" s="163"/>
      <c r="AM376" s="130"/>
      <c r="AN376" s="163"/>
    </row>
    <row r="377" ht="15.75" customHeight="1">
      <c r="A377" s="362"/>
      <c r="B377" s="362"/>
      <c r="C377" s="362"/>
      <c r="D377" s="362"/>
      <c r="E377" s="132"/>
      <c r="F377" s="132"/>
      <c r="G377" s="361"/>
      <c r="H377" s="361"/>
      <c r="I377" s="361"/>
      <c r="J377" s="363"/>
      <c r="K377" s="364"/>
      <c r="L377" s="361"/>
      <c r="M377" s="361"/>
      <c r="N377" s="361"/>
      <c r="O377" s="361"/>
      <c r="P377" s="361"/>
      <c r="Q377" s="361"/>
      <c r="R377" s="361"/>
      <c r="S377" s="361"/>
      <c r="T377" s="361"/>
      <c r="U377" s="361"/>
      <c r="V377" s="361"/>
      <c r="W377" s="361"/>
      <c r="X377" s="361"/>
      <c r="Y377" s="131"/>
      <c r="Z377" s="163"/>
      <c r="AA377" s="131"/>
      <c r="AB377" s="131"/>
      <c r="AC377" s="131"/>
      <c r="AD377" s="131"/>
      <c r="AE377" s="131"/>
      <c r="AF377" s="163"/>
      <c r="AG377" s="163"/>
      <c r="AH377" s="163"/>
      <c r="AI377" s="163"/>
      <c r="AJ377" s="163"/>
      <c r="AK377" s="163"/>
      <c r="AL377" s="163"/>
      <c r="AM377" s="130"/>
      <c r="AN377" s="163"/>
    </row>
    <row r="378" ht="15.75" customHeight="1">
      <c r="A378" s="362"/>
      <c r="B378" s="362"/>
      <c r="C378" s="362"/>
      <c r="D378" s="362"/>
      <c r="E378" s="132"/>
      <c r="F378" s="132"/>
      <c r="G378" s="361"/>
      <c r="H378" s="361"/>
      <c r="I378" s="361"/>
      <c r="J378" s="363"/>
      <c r="K378" s="364"/>
      <c r="L378" s="361"/>
      <c r="M378" s="361"/>
      <c r="N378" s="361"/>
      <c r="O378" s="361"/>
      <c r="P378" s="361"/>
      <c r="Q378" s="361"/>
      <c r="R378" s="361"/>
      <c r="S378" s="361"/>
      <c r="T378" s="361"/>
      <c r="U378" s="361"/>
      <c r="V378" s="361"/>
      <c r="W378" s="361"/>
      <c r="X378" s="361"/>
      <c r="Y378" s="131"/>
      <c r="Z378" s="163"/>
      <c r="AA378" s="131"/>
      <c r="AB378" s="131"/>
      <c r="AC378" s="131"/>
      <c r="AD378" s="131"/>
      <c r="AE378" s="131"/>
      <c r="AF378" s="163"/>
      <c r="AG378" s="163"/>
      <c r="AH378" s="163"/>
      <c r="AI378" s="163"/>
      <c r="AJ378" s="163"/>
      <c r="AK378" s="163"/>
      <c r="AL378" s="163"/>
      <c r="AM378" s="130"/>
      <c r="AN378" s="163"/>
    </row>
    <row r="379" ht="15.75" customHeight="1">
      <c r="A379" s="362"/>
      <c r="B379" s="362"/>
      <c r="C379" s="362"/>
      <c r="D379" s="362"/>
      <c r="E379" s="132"/>
      <c r="F379" s="132"/>
      <c r="G379" s="361"/>
      <c r="H379" s="361"/>
      <c r="I379" s="361"/>
      <c r="J379" s="363"/>
      <c r="K379" s="364"/>
      <c r="L379" s="361"/>
      <c r="M379" s="361"/>
      <c r="N379" s="361"/>
      <c r="O379" s="361"/>
      <c r="P379" s="361"/>
      <c r="Q379" s="361"/>
      <c r="R379" s="361"/>
      <c r="S379" s="361"/>
      <c r="T379" s="361"/>
      <c r="U379" s="361"/>
      <c r="V379" s="361"/>
      <c r="W379" s="361"/>
      <c r="X379" s="361"/>
      <c r="Y379" s="131"/>
      <c r="Z379" s="163"/>
      <c r="AA379" s="131"/>
      <c r="AB379" s="131"/>
      <c r="AC379" s="131"/>
      <c r="AD379" s="131"/>
      <c r="AE379" s="131"/>
      <c r="AF379" s="163"/>
      <c r="AG379" s="163"/>
      <c r="AH379" s="163"/>
      <c r="AI379" s="163"/>
      <c r="AJ379" s="163"/>
      <c r="AK379" s="163"/>
      <c r="AL379" s="163"/>
      <c r="AM379" s="130"/>
      <c r="AN379" s="163"/>
    </row>
    <row r="380" ht="15.75" customHeight="1">
      <c r="A380" s="362"/>
      <c r="B380" s="362"/>
      <c r="C380" s="362"/>
      <c r="D380" s="362"/>
      <c r="E380" s="132"/>
      <c r="F380" s="132"/>
      <c r="G380" s="361"/>
      <c r="H380" s="361"/>
      <c r="I380" s="361"/>
      <c r="J380" s="363"/>
      <c r="K380" s="364"/>
      <c r="L380" s="361"/>
      <c r="M380" s="361"/>
      <c r="N380" s="361"/>
      <c r="O380" s="361"/>
      <c r="P380" s="361"/>
      <c r="Q380" s="361"/>
      <c r="R380" s="361"/>
      <c r="S380" s="361"/>
      <c r="T380" s="361"/>
      <c r="U380" s="361"/>
      <c r="V380" s="361"/>
      <c r="W380" s="361"/>
      <c r="X380" s="361"/>
      <c r="Y380" s="131"/>
      <c r="Z380" s="163"/>
      <c r="AA380" s="131"/>
      <c r="AB380" s="131"/>
      <c r="AC380" s="131"/>
      <c r="AD380" s="131"/>
      <c r="AE380" s="131"/>
      <c r="AF380" s="163"/>
      <c r="AG380" s="163"/>
      <c r="AH380" s="163"/>
      <c r="AI380" s="163"/>
      <c r="AJ380" s="163"/>
      <c r="AK380" s="163"/>
      <c r="AL380" s="163"/>
      <c r="AM380" s="130"/>
      <c r="AN380" s="163"/>
    </row>
    <row r="381" ht="15.75" customHeight="1">
      <c r="A381" s="362"/>
      <c r="B381" s="362"/>
      <c r="C381" s="362"/>
      <c r="D381" s="362"/>
      <c r="E381" s="132"/>
      <c r="F381" s="132"/>
      <c r="G381" s="361"/>
      <c r="H381" s="361"/>
      <c r="I381" s="361"/>
      <c r="J381" s="363"/>
      <c r="K381" s="364"/>
      <c r="L381" s="361"/>
      <c r="M381" s="361"/>
      <c r="N381" s="361"/>
      <c r="O381" s="361"/>
      <c r="P381" s="361"/>
      <c r="Q381" s="361"/>
      <c r="R381" s="361"/>
      <c r="S381" s="361"/>
      <c r="T381" s="361"/>
      <c r="U381" s="361"/>
      <c r="V381" s="361"/>
      <c r="W381" s="361"/>
      <c r="X381" s="361"/>
      <c r="Y381" s="131"/>
      <c r="Z381" s="163"/>
      <c r="AA381" s="131"/>
      <c r="AB381" s="131"/>
      <c r="AC381" s="131"/>
      <c r="AD381" s="131"/>
      <c r="AE381" s="131"/>
      <c r="AF381" s="163"/>
      <c r="AG381" s="163"/>
      <c r="AH381" s="163"/>
      <c r="AI381" s="163"/>
      <c r="AJ381" s="163"/>
      <c r="AK381" s="163"/>
      <c r="AL381" s="163"/>
      <c r="AM381" s="130"/>
      <c r="AN381" s="163"/>
    </row>
    <row r="382" ht="15.75" customHeight="1">
      <c r="A382" s="362"/>
      <c r="B382" s="362"/>
      <c r="C382" s="362"/>
      <c r="D382" s="362"/>
      <c r="E382" s="132"/>
      <c r="F382" s="132"/>
      <c r="G382" s="361"/>
      <c r="H382" s="361"/>
      <c r="I382" s="361"/>
      <c r="J382" s="363"/>
      <c r="K382" s="364"/>
      <c r="L382" s="361"/>
      <c r="M382" s="361"/>
      <c r="N382" s="361"/>
      <c r="O382" s="361"/>
      <c r="P382" s="361"/>
      <c r="Q382" s="361"/>
      <c r="R382" s="361"/>
      <c r="S382" s="361"/>
      <c r="T382" s="361"/>
      <c r="U382" s="361"/>
      <c r="V382" s="361"/>
      <c r="W382" s="361"/>
      <c r="X382" s="361"/>
      <c r="Y382" s="131"/>
      <c r="Z382" s="163"/>
      <c r="AA382" s="131"/>
      <c r="AB382" s="131"/>
      <c r="AC382" s="131"/>
      <c r="AD382" s="131"/>
      <c r="AE382" s="131"/>
      <c r="AF382" s="163"/>
      <c r="AG382" s="163"/>
      <c r="AH382" s="163"/>
      <c r="AI382" s="163"/>
      <c r="AJ382" s="163"/>
      <c r="AK382" s="163"/>
      <c r="AL382" s="163"/>
      <c r="AM382" s="130"/>
      <c r="AN382" s="163"/>
    </row>
    <row r="383" ht="15.75" customHeight="1">
      <c r="A383" s="362"/>
      <c r="B383" s="362"/>
      <c r="C383" s="362"/>
      <c r="D383" s="362"/>
      <c r="E383" s="132"/>
      <c r="F383" s="132"/>
      <c r="G383" s="361"/>
      <c r="H383" s="361"/>
      <c r="I383" s="361"/>
      <c r="J383" s="363"/>
      <c r="K383" s="364"/>
      <c r="L383" s="361"/>
      <c r="M383" s="361"/>
      <c r="N383" s="361"/>
      <c r="O383" s="361"/>
      <c r="P383" s="361"/>
      <c r="Q383" s="361"/>
      <c r="R383" s="361"/>
      <c r="S383" s="361"/>
      <c r="T383" s="361"/>
      <c r="U383" s="361"/>
      <c r="V383" s="361"/>
      <c r="W383" s="361"/>
      <c r="X383" s="361"/>
      <c r="Y383" s="131"/>
      <c r="Z383" s="163"/>
      <c r="AA383" s="131"/>
      <c r="AB383" s="131"/>
      <c r="AC383" s="131"/>
      <c r="AD383" s="131"/>
      <c r="AE383" s="131"/>
      <c r="AF383" s="163"/>
      <c r="AG383" s="163"/>
      <c r="AH383" s="163"/>
      <c r="AI383" s="163"/>
      <c r="AJ383" s="163"/>
      <c r="AK383" s="163"/>
      <c r="AL383" s="163"/>
      <c r="AM383" s="130"/>
      <c r="AN383" s="163"/>
    </row>
    <row r="384" ht="15.75" customHeight="1">
      <c r="A384" s="362"/>
      <c r="B384" s="362"/>
      <c r="C384" s="362"/>
      <c r="D384" s="362"/>
      <c r="E384" s="132"/>
      <c r="F384" s="132"/>
      <c r="G384" s="361"/>
      <c r="H384" s="361"/>
      <c r="I384" s="361"/>
      <c r="J384" s="363"/>
      <c r="K384" s="364"/>
      <c r="L384" s="361"/>
      <c r="M384" s="361"/>
      <c r="N384" s="361"/>
      <c r="O384" s="361"/>
      <c r="P384" s="361"/>
      <c r="Q384" s="361"/>
      <c r="R384" s="361"/>
      <c r="S384" s="361"/>
      <c r="T384" s="361"/>
      <c r="U384" s="361"/>
      <c r="V384" s="361"/>
      <c r="W384" s="361"/>
      <c r="X384" s="361"/>
      <c r="Y384" s="131"/>
      <c r="Z384" s="163"/>
      <c r="AA384" s="131"/>
      <c r="AB384" s="131"/>
      <c r="AC384" s="131"/>
      <c r="AD384" s="131"/>
      <c r="AE384" s="131"/>
      <c r="AF384" s="163"/>
      <c r="AG384" s="163"/>
      <c r="AH384" s="163"/>
      <c r="AI384" s="163"/>
      <c r="AJ384" s="163"/>
      <c r="AK384" s="163"/>
      <c r="AL384" s="163"/>
      <c r="AM384" s="130"/>
      <c r="AN384" s="163"/>
    </row>
    <row r="385" ht="15.75" customHeight="1">
      <c r="A385" s="362"/>
      <c r="B385" s="362"/>
      <c r="C385" s="362"/>
      <c r="D385" s="362"/>
      <c r="E385" s="132"/>
      <c r="F385" s="132"/>
      <c r="G385" s="361"/>
      <c r="H385" s="361"/>
      <c r="I385" s="361"/>
      <c r="J385" s="363"/>
      <c r="K385" s="364"/>
      <c r="L385" s="361"/>
      <c r="M385" s="361"/>
      <c r="N385" s="361"/>
      <c r="O385" s="361"/>
      <c r="P385" s="361"/>
      <c r="Q385" s="361"/>
      <c r="R385" s="361"/>
      <c r="S385" s="361"/>
      <c r="T385" s="361"/>
      <c r="U385" s="361"/>
      <c r="V385" s="361"/>
      <c r="W385" s="361"/>
      <c r="X385" s="361"/>
      <c r="Y385" s="131"/>
      <c r="Z385" s="163"/>
      <c r="AA385" s="131"/>
      <c r="AB385" s="131"/>
      <c r="AC385" s="131"/>
      <c r="AD385" s="131"/>
      <c r="AE385" s="131"/>
      <c r="AF385" s="163"/>
      <c r="AG385" s="163"/>
      <c r="AH385" s="163"/>
      <c r="AI385" s="163"/>
      <c r="AJ385" s="163"/>
      <c r="AK385" s="163"/>
      <c r="AL385" s="163"/>
      <c r="AM385" s="130"/>
      <c r="AN385" s="163"/>
    </row>
    <row r="386" ht="15.75" customHeight="1">
      <c r="A386" s="362"/>
      <c r="B386" s="362"/>
      <c r="C386" s="362"/>
      <c r="D386" s="362"/>
      <c r="E386" s="132"/>
      <c r="F386" s="132"/>
      <c r="G386" s="361"/>
      <c r="H386" s="361"/>
      <c r="I386" s="361"/>
      <c r="J386" s="363"/>
      <c r="K386" s="364"/>
      <c r="L386" s="361"/>
      <c r="M386" s="361"/>
      <c r="N386" s="361"/>
      <c r="O386" s="361"/>
      <c r="P386" s="361"/>
      <c r="Q386" s="361"/>
      <c r="R386" s="361"/>
      <c r="S386" s="361"/>
      <c r="T386" s="361"/>
      <c r="U386" s="361"/>
      <c r="V386" s="361"/>
      <c r="W386" s="361"/>
      <c r="X386" s="361"/>
      <c r="Y386" s="131"/>
      <c r="Z386" s="163"/>
      <c r="AA386" s="131"/>
      <c r="AB386" s="131"/>
      <c r="AC386" s="131"/>
      <c r="AD386" s="131"/>
      <c r="AE386" s="131"/>
      <c r="AF386" s="163"/>
      <c r="AG386" s="163"/>
      <c r="AH386" s="163"/>
      <c r="AI386" s="163"/>
      <c r="AJ386" s="163"/>
      <c r="AK386" s="163"/>
      <c r="AL386" s="163"/>
      <c r="AM386" s="130"/>
      <c r="AN386" s="163"/>
    </row>
    <row r="387" ht="15.75" customHeight="1">
      <c r="A387" s="362"/>
      <c r="B387" s="362"/>
      <c r="C387" s="362"/>
      <c r="D387" s="362"/>
      <c r="E387" s="132"/>
      <c r="F387" s="132"/>
      <c r="G387" s="361"/>
      <c r="H387" s="361"/>
      <c r="I387" s="361"/>
      <c r="J387" s="363"/>
      <c r="K387" s="364"/>
      <c r="L387" s="361"/>
      <c r="M387" s="361"/>
      <c r="N387" s="361"/>
      <c r="O387" s="361"/>
      <c r="P387" s="361"/>
      <c r="Q387" s="361"/>
      <c r="R387" s="361"/>
      <c r="S387" s="361"/>
      <c r="T387" s="361"/>
      <c r="U387" s="361"/>
      <c r="V387" s="361"/>
      <c r="W387" s="361"/>
      <c r="X387" s="361"/>
      <c r="Y387" s="131"/>
      <c r="Z387" s="163"/>
      <c r="AA387" s="131"/>
      <c r="AB387" s="131"/>
      <c r="AC387" s="131"/>
      <c r="AD387" s="131"/>
      <c r="AE387" s="131"/>
      <c r="AF387" s="163"/>
      <c r="AG387" s="163"/>
      <c r="AH387" s="163"/>
      <c r="AI387" s="163"/>
      <c r="AJ387" s="163"/>
      <c r="AK387" s="163"/>
      <c r="AL387" s="163"/>
      <c r="AM387" s="130"/>
      <c r="AN387" s="163"/>
    </row>
    <row r="388" ht="15.75" customHeight="1">
      <c r="A388" s="362"/>
      <c r="B388" s="362"/>
      <c r="C388" s="362"/>
      <c r="D388" s="362"/>
      <c r="E388" s="132"/>
      <c r="F388" s="132"/>
      <c r="G388" s="361"/>
      <c r="H388" s="361"/>
      <c r="I388" s="361"/>
      <c r="J388" s="363"/>
      <c r="K388" s="364"/>
      <c r="L388" s="361"/>
      <c r="M388" s="361"/>
      <c r="N388" s="361"/>
      <c r="O388" s="361"/>
      <c r="P388" s="361"/>
      <c r="Q388" s="361"/>
      <c r="R388" s="361"/>
      <c r="S388" s="361"/>
      <c r="T388" s="361"/>
      <c r="U388" s="361"/>
      <c r="V388" s="361"/>
      <c r="W388" s="361"/>
      <c r="X388" s="361"/>
      <c r="Y388" s="131"/>
      <c r="Z388" s="163"/>
      <c r="AA388" s="131"/>
      <c r="AB388" s="131"/>
      <c r="AC388" s="131"/>
      <c r="AD388" s="131"/>
      <c r="AE388" s="131"/>
      <c r="AF388" s="163"/>
      <c r="AG388" s="163"/>
      <c r="AH388" s="163"/>
      <c r="AI388" s="163"/>
      <c r="AJ388" s="163"/>
      <c r="AK388" s="163"/>
      <c r="AL388" s="163"/>
      <c r="AM388" s="130"/>
      <c r="AN388" s="163"/>
    </row>
    <row r="389" ht="15.75" customHeight="1">
      <c r="A389" s="362"/>
      <c r="B389" s="362"/>
      <c r="C389" s="362"/>
      <c r="D389" s="362"/>
      <c r="E389" s="132"/>
      <c r="F389" s="132"/>
      <c r="G389" s="361"/>
      <c r="H389" s="361"/>
      <c r="I389" s="361"/>
      <c r="J389" s="363"/>
      <c r="K389" s="364"/>
      <c r="L389" s="361"/>
      <c r="M389" s="361"/>
      <c r="N389" s="361"/>
      <c r="O389" s="361"/>
      <c r="P389" s="361"/>
      <c r="Q389" s="361"/>
      <c r="R389" s="361"/>
      <c r="S389" s="361"/>
      <c r="T389" s="361"/>
      <c r="U389" s="361"/>
      <c r="V389" s="361"/>
      <c r="W389" s="361"/>
      <c r="X389" s="361"/>
      <c r="Y389" s="131"/>
      <c r="Z389" s="163"/>
      <c r="AA389" s="131"/>
      <c r="AB389" s="131"/>
      <c r="AC389" s="131"/>
      <c r="AD389" s="131"/>
      <c r="AE389" s="131"/>
      <c r="AF389" s="163"/>
      <c r="AG389" s="163"/>
      <c r="AH389" s="163"/>
      <c r="AI389" s="163"/>
      <c r="AJ389" s="163"/>
      <c r="AK389" s="163"/>
      <c r="AL389" s="163"/>
      <c r="AM389" s="130"/>
      <c r="AN389" s="163"/>
    </row>
    <row r="390" ht="15.75" customHeight="1">
      <c r="A390" s="362"/>
      <c r="B390" s="362"/>
      <c r="C390" s="362"/>
      <c r="D390" s="362"/>
      <c r="E390" s="132"/>
      <c r="F390" s="132"/>
      <c r="G390" s="361"/>
      <c r="H390" s="361"/>
      <c r="I390" s="361"/>
      <c r="J390" s="363"/>
      <c r="K390" s="364"/>
      <c r="L390" s="361"/>
      <c r="M390" s="361"/>
      <c r="N390" s="361"/>
      <c r="O390" s="361"/>
      <c r="P390" s="361"/>
      <c r="Q390" s="361"/>
      <c r="R390" s="361"/>
      <c r="S390" s="361"/>
      <c r="T390" s="361"/>
      <c r="U390" s="361"/>
      <c r="V390" s="361"/>
      <c r="W390" s="361"/>
      <c r="X390" s="361"/>
      <c r="Y390" s="131"/>
      <c r="Z390" s="163"/>
      <c r="AA390" s="131"/>
      <c r="AB390" s="131"/>
      <c r="AC390" s="131"/>
      <c r="AD390" s="131"/>
      <c r="AE390" s="131"/>
      <c r="AF390" s="163"/>
      <c r="AG390" s="163"/>
      <c r="AH390" s="163"/>
      <c r="AI390" s="163"/>
      <c r="AJ390" s="163"/>
      <c r="AK390" s="163"/>
      <c r="AL390" s="163"/>
      <c r="AM390" s="130"/>
      <c r="AN390" s="163"/>
    </row>
    <row r="391" ht="15.75" customHeight="1">
      <c r="A391" s="362"/>
      <c r="B391" s="362"/>
      <c r="C391" s="362"/>
      <c r="D391" s="362"/>
      <c r="E391" s="132"/>
      <c r="F391" s="132"/>
      <c r="G391" s="361"/>
      <c r="H391" s="361"/>
      <c r="I391" s="361"/>
      <c r="J391" s="363"/>
      <c r="K391" s="364"/>
      <c r="L391" s="361"/>
      <c r="M391" s="361"/>
      <c r="N391" s="361"/>
      <c r="O391" s="361"/>
      <c r="P391" s="361"/>
      <c r="Q391" s="361"/>
      <c r="R391" s="361"/>
      <c r="S391" s="361"/>
      <c r="T391" s="361"/>
      <c r="U391" s="361"/>
      <c r="V391" s="361"/>
      <c r="W391" s="361"/>
      <c r="X391" s="361"/>
      <c r="Y391" s="131"/>
      <c r="Z391" s="163"/>
      <c r="AA391" s="131"/>
      <c r="AB391" s="131"/>
      <c r="AC391" s="131"/>
      <c r="AD391" s="131"/>
      <c r="AE391" s="131"/>
      <c r="AF391" s="163"/>
      <c r="AG391" s="163"/>
      <c r="AH391" s="163"/>
      <c r="AI391" s="163"/>
      <c r="AJ391" s="163"/>
      <c r="AK391" s="163"/>
      <c r="AL391" s="163"/>
      <c r="AM391" s="130"/>
      <c r="AN391" s="163"/>
    </row>
    <row r="392" ht="15.75" customHeight="1">
      <c r="A392" s="362"/>
      <c r="B392" s="362"/>
      <c r="C392" s="362"/>
      <c r="D392" s="362"/>
      <c r="E392" s="132"/>
      <c r="F392" s="132"/>
      <c r="G392" s="361"/>
      <c r="H392" s="361"/>
      <c r="I392" s="361"/>
      <c r="J392" s="363"/>
      <c r="K392" s="364"/>
      <c r="L392" s="361"/>
      <c r="M392" s="361"/>
      <c r="N392" s="361"/>
      <c r="O392" s="361"/>
      <c r="P392" s="361"/>
      <c r="Q392" s="361"/>
      <c r="R392" s="361"/>
      <c r="S392" s="361"/>
      <c r="T392" s="361"/>
      <c r="U392" s="361"/>
      <c r="V392" s="361"/>
      <c r="W392" s="361"/>
      <c r="X392" s="361"/>
      <c r="Y392" s="131"/>
      <c r="Z392" s="163"/>
      <c r="AA392" s="131"/>
      <c r="AB392" s="131"/>
      <c r="AC392" s="131"/>
      <c r="AD392" s="131"/>
      <c r="AE392" s="131"/>
      <c r="AF392" s="163"/>
      <c r="AG392" s="163"/>
      <c r="AH392" s="163"/>
      <c r="AI392" s="163"/>
      <c r="AJ392" s="163"/>
      <c r="AK392" s="163"/>
      <c r="AL392" s="163"/>
      <c r="AM392" s="130"/>
      <c r="AN392" s="163"/>
    </row>
    <row r="393" ht="15.75" customHeight="1">
      <c r="A393" s="362"/>
      <c r="B393" s="362"/>
      <c r="C393" s="362"/>
      <c r="D393" s="362"/>
      <c r="E393" s="132"/>
      <c r="F393" s="132"/>
      <c r="G393" s="361"/>
      <c r="H393" s="361"/>
      <c r="I393" s="361"/>
      <c r="J393" s="363"/>
      <c r="K393" s="364"/>
      <c r="L393" s="361"/>
      <c r="M393" s="361"/>
      <c r="N393" s="361"/>
      <c r="O393" s="361"/>
      <c r="P393" s="361"/>
      <c r="Q393" s="361"/>
      <c r="R393" s="361"/>
      <c r="S393" s="361"/>
      <c r="T393" s="361"/>
      <c r="U393" s="361"/>
      <c r="V393" s="361"/>
      <c r="W393" s="361"/>
      <c r="X393" s="361"/>
      <c r="Y393" s="131"/>
      <c r="Z393" s="163"/>
      <c r="AA393" s="131"/>
      <c r="AB393" s="131"/>
      <c r="AC393" s="131"/>
      <c r="AD393" s="131"/>
      <c r="AE393" s="131"/>
      <c r="AF393" s="163"/>
      <c r="AG393" s="163"/>
      <c r="AH393" s="163"/>
      <c r="AI393" s="163"/>
      <c r="AJ393" s="163"/>
      <c r="AK393" s="163"/>
      <c r="AL393" s="163"/>
      <c r="AM393" s="130"/>
      <c r="AN393" s="163"/>
    </row>
    <row r="394" ht="15.75" customHeight="1">
      <c r="A394" s="362"/>
      <c r="B394" s="362"/>
      <c r="C394" s="362"/>
      <c r="D394" s="362"/>
      <c r="E394" s="132"/>
      <c r="F394" s="132"/>
      <c r="G394" s="361"/>
      <c r="H394" s="361"/>
      <c r="I394" s="361"/>
      <c r="J394" s="363"/>
      <c r="K394" s="364"/>
      <c r="L394" s="361"/>
      <c r="M394" s="361"/>
      <c r="N394" s="361"/>
      <c r="O394" s="361"/>
      <c r="P394" s="361"/>
      <c r="Q394" s="361"/>
      <c r="R394" s="361"/>
      <c r="S394" s="361"/>
      <c r="T394" s="361"/>
      <c r="U394" s="361"/>
      <c r="V394" s="361"/>
      <c r="W394" s="361"/>
      <c r="X394" s="361"/>
      <c r="Y394" s="131"/>
      <c r="Z394" s="163"/>
      <c r="AA394" s="131"/>
      <c r="AB394" s="131"/>
      <c r="AC394" s="131"/>
      <c r="AD394" s="131"/>
      <c r="AE394" s="131"/>
      <c r="AF394" s="163"/>
      <c r="AG394" s="163"/>
      <c r="AH394" s="163"/>
      <c r="AI394" s="163"/>
      <c r="AJ394" s="163"/>
      <c r="AK394" s="163"/>
      <c r="AL394" s="163"/>
      <c r="AM394" s="130"/>
      <c r="AN394" s="163"/>
    </row>
    <row r="395" ht="15.75" customHeight="1">
      <c r="A395" s="362"/>
      <c r="B395" s="362"/>
      <c r="C395" s="362"/>
      <c r="D395" s="362"/>
      <c r="E395" s="132"/>
      <c r="F395" s="132"/>
      <c r="G395" s="361"/>
      <c r="H395" s="361"/>
      <c r="I395" s="361"/>
      <c r="J395" s="363"/>
      <c r="K395" s="364"/>
      <c r="L395" s="361"/>
      <c r="M395" s="361"/>
      <c r="N395" s="361"/>
      <c r="O395" s="361"/>
      <c r="P395" s="361"/>
      <c r="Q395" s="361"/>
      <c r="R395" s="361"/>
      <c r="S395" s="361"/>
      <c r="T395" s="361"/>
      <c r="U395" s="361"/>
      <c r="V395" s="361"/>
      <c r="W395" s="361"/>
      <c r="X395" s="361"/>
      <c r="Y395" s="131"/>
      <c r="Z395" s="163"/>
      <c r="AA395" s="131"/>
      <c r="AB395" s="131"/>
      <c r="AC395" s="131"/>
      <c r="AD395" s="131"/>
      <c r="AE395" s="131"/>
      <c r="AF395" s="163"/>
      <c r="AG395" s="163"/>
      <c r="AH395" s="163"/>
      <c r="AI395" s="163"/>
      <c r="AJ395" s="163"/>
      <c r="AK395" s="163"/>
      <c r="AL395" s="163"/>
      <c r="AM395" s="130"/>
      <c r="AN395" s="163"/>
    </row>
    <row r="396" ht="15.75" customHeight="1">
      <c r="A396" s="362"/>
      <c r="B396" s="362"/>
      <c r="C396" s="362"/>
      <c r="D396" s="362"/>
      <c r="E396" s="132"/>
      <c r="F396" s="132"/>
      <c r="G396" s="361"/>
      <c r="H396" s="361"/>
      <c r="I396" s="361"/>
      <c r="J396" s="363"/>
      <c r="K396" s="364"/>
      <c r="L396" s="361"/>
      <c r="M396" s="361"/>
      <c r="N396" s="361"/>
      <c r="O396" s="361"/>
      <c r="P396" s="361"/>
      <c r="Q396" s="361"/>
      <c r="R396" s="361"/>
      <c r="S396" s="361"/>
      <c r="T396" s="361"/>
      <c r="U396" s="361"/>
      <c r="V396" s="361"/>
      <c r="W396" s="361"/>
      <c r="X396" s="361"/>
      <c r="Y396" s="131"/>
      <c r="Z396" s="163"/>
      <c r="AA396" s="131"/>
      <c r="AB396" s="131"/>
      <c r="AC396" s="131"/>
      <c r="AD396" s="131"/>
      <c r="AE396" s="131"/>
      <c r="AF396" s="163"/>
      <c r="AG396" s="163"/>
      <c r="AH396" s="163"/>
      <c r="AI396" s="163"/>
      <c r="AJ396" s="163"/>
      <c r="AK396" s="163"/>
      <c r="AL396" s="163"/>
      <c r="AM396" s="130"/>
      <c r="AN396" s="163"/>
    </row>
    <row r="397" ht="15.75" customHeight="1">
      <c r="A397" s="362"/>
      <c r="B397" s="362"/>
      <c r="C397" s="362"/>
      <c r="D397" s="362"/>
      <c r="E397" s="132"/>
      <c r="F397" s="132"/>
      <c r="G397" s="361"/>
      <c r="H397" s="361"/>
      <c r="I397" s="361"/>
      <c r="J397" s="363"/>
      <c r="K397" s="364"/>
      <c r="L397" s="361"/>
      <c r="M397" s="361"/>
      <c r="N397" s="361"/>
      <c r="O397" s="361"/>
      <c r="P397" s="361"/>
      <c r="Q397" s="361"/>
      <c r="R397" s="361"/>
      <c r="S397" s="361"/>
      <c r="T397" s="361"/>
      <c r="U397" s="361"/>
      <c r="V397" s="361"/>
      <c r="W397" s="361"/>
      <c r="X397" s="361"/>
      <c r="Y397" s="131"/>
      <c r="Z397" s="163"/>
      <c r="AA397" s="131"/>
      <c r="AB397" s="131"/>
      <c r="AC397" s="131"/>
      <c r="AD397" s="131"/>
      <c r="AE397" s="131"/>
      <c r="AF397" s="163"/>
      <c r="AG397" s="163"/>
      <c r="AH397" s="163"/>
      <c r="AI397" s="163"/>
      <c r="AJ397" s="163"/>
      <c r="AK397" s="163"/>
      <c r="AL397" s="163"/>
      <c r="AM397" s="130"/>
      <c r="AN397" s="163"/>
    </row>
    <row r="398" ht="15.75" customHeight="1">
      <c r="A398" s="362"/>
      <c r="B398" s="362"/>
      <c r="C398" s="362"/>
      <c r="D398" s="362"/>
      <c r="E398" s="132"/>
      <c r="F398" s="132"/>
      <c r="G398" s="361"/>
      <c r="H398" s="361"/>
      <c r="I398" s="361"/>
      <c r="J398" s="363"/>
      <c r="K398" s="364"/>
      <c r="L398" s="361"/>
      <c r="M398" s="361"/>
      <c r="N398" s="361"/>
      <c r="O398" s="361"/>
      <c r="P398" s="361"/>
      <c r="Q398" s="361"/>
      <c r="R398" s="361"/>
      <c r="S398" s="361"/>
      <c r="T398" s="361"/>
      <c r="U398" s="361"/>
      <c r="V398" s="361"/>
      <c r="W398" s="361"/>
      <c r="X398" s="361"/>
      <c r="Y398" s="131"/>
      <c r="Z398" s="163"/>
      <c r="AA398" s="131"/>
      <c r="AB398" s="131"/>
      <c r="AC398" s="131"/>
      <c r="AD398" s="131"/>
      <c r="AE398" s="131"/>
      <c r="AF398" s="163"/>
      <c r="AG398" s="163"/>
      <c r="AH398" s="163"/>
      <c r="AI398" s="163"/>
      <c r="AJ398" s="163"/>
      <c r="AK398" s="163"/>
      <c r="AL398" s="163"/>
      <c r="AM398" s="130"/>
      <c r="AN398" s="163"/>
    </row>
    <row r="399" ht="15.75" customHeight="1">
      <c r="A399" s="362"/>
      <c r="B399" s="362"/>
      <c r="C399" s="362"/>
      <c r="D399" s="362"/>
      <c r="E399" s="132"/>
      <c r="F399" s="132"/>
      <c r="G399" s="361"/>
      <c r="H399" s="361"/>
      <c r="I399" s="361"/>
      <c r="J399" s="363"/>
      <c r="K399" s="364"/>
      <c r="L399" s="361"/>
      <c r="M399" s="361"/>
      <c r="N399" s="361"/>
      <c r="O399" s="361"/>
      <c r="P399" s="361"/>
      <c r="Q399" s="361"/>
      <c r="R399" s="361"/>
      <c r="S399" s="361"/>
      <c r="T399" s="361"/>
      <c r="U399" s="361"/>
      <c r="V399" s="361"/>
      <c r="W399" s="361"/>
      <c r="X399" s="361"/>
      <c r="Y399" s="131"/>
      <c r="Z399" s="163"/>
      <c r="AA399" s="131"/>
      <c r="AB399" s="131"/>
      <c r="AC399" s="131"/>
      <c r="AD399" s="131"/>
      <c r="AE399" s="131"/>
      <c r="AF399" s="163"/>
      <c r="AG399" s="163"/>
      <c r="AH399" s="163"/>
      <c r="AI399" s="163"/>
      <c r="AJ399" s="163"/>
      <c r="AK399" s="163"/>
      <c r="AL399" s="163"/>
      <c r="AM399" s="130"/>
      <c r="AN399" s="163"/>
    </row>
    <row r="400" ht="15.75" customHeight="1">
      <c r="A400" s="362"/>
      <c r="B400" s="362"/>
      <c r="C400" s="362"/>
      <c r="D400" s="362"/>
      <c r="E400" s="132"/>
      <c r="F400" s="132"/>
      <c r="G400" s="361"/>
      <c r="H400" s="361"/>
      <c r="I400" s="361"/>
      <c r="J400" s="363"/>
      <c r="K400" s="364"/>
      <c r="L400" s="361"/>
      <c r="M400" s="361"/>
      <c r="N400" s="361"/>
      <c r="O400" s="361"/>
      <c r="P400" s="361"/>
      <c r="Q400" s="361"/>
      <c r="R400" s="361"/>
      <c r="S400" s="361"/>
      <c r="T400" s="361"/>
      <c r="U400" s="361"/>
      <c r="V400" s="361"/>
      <c r="W400" s="361"/>
      <c r="X400" s="361"/>
      <c r="Y400" s="131"/>
      <c r="Z400" s="163"/>
      <c r="AA400" s="131"/>
      <c r="AB400" s="131"/>
      <c r="AC400" s="131"/>
      <c r="AD400" s="131"/>
      <c r="AE400" s="131"/>
      <c r="AF400" s="163"/>
      <c r="AG400" s="163"/>
      <c r="AH400" s="163"/>
      <c r="AI400" s="163"/>
      <c r="AJ400" s="163"/>
      <c r="AK400" s="163"/>
      <c r="AL400" s="163"/>
      <c r="AM400" s="130"/>
      <c r="AN400" s="163"/>
    </row>
    <row r="401" ht="15.75" customHeight="1">
      <c r="A401" s="362"/>
      <c r="B401" s="362"/>
      <c r="C401" s="362"/>
      <c r="D401" s="362"/>
      <c r="E401" s="132"/>
      <c r="F401" s="132"/>
      <c r="G401" s="361"/>
      <c r="H401" s="361"/>
      <c r="I401" s="361"/>
      <c r="J401" s="363"/>
      <c r="K401" s="364"/>
      <c r="L401" s="361"/>
      <c r="M401" s="361"/>
      <c r="N401" s="361"/>
      <c r="O401" s="361"/>
      <c r="P401" s="361"/>
      <c r="Q401" s="361"/>
      <c r="R401" s="361"/>
      <c r="S401" s="361"/>
      <c r="T401" s="361"/>
      <c r="U401" s="361"/>
      <c r="V401" s="361"/>
      <c r="W401" s="361"/>
      <c r="X401" s="361"/>
      <c r="Y401" s="131"/>
      <c r="Z401" s="163"/>
      <c r="AA401" s="131"/>
      <c r="AB401" s="131"/>
      <c r="AC401" s="131"/>
      <c r="AD401" s="131"/>
      <c r="AE401" s="131"/>
      <c r="AF401" s="163"/>
      <c r="AG401" s="163"/>
      <c r="AH401" s="163"/>
      <c r="AI401" s="163"/>
      <c r="AJ401" s="163"/>
      <c r="AK401" s="163"/>
      <c r="AL401" s="163"/>
      <c r="AM401" s="130"/>
      <c r="AN401" s="163"/>
    </row>
    <row r="402" ht="15.75" customHeight="1">
      <c r="A402" s="362"/>
      <c r="B402" s="362"/>
      <c r="C402" s="362"/>
      <c r="D402" s="362"/>
      <c r="E402" s="132"/>
      <c r="F402" s="132"/>
      <c r="G402" s="361"/>
      <c r="H402" s="361"/>
      <c r="I402" s="361"/>
      <c r="J402" s="363"/>
      <c r="K402" s="364"/>
      <c r="L402" s="361"/>
      <c r="M402" s="361"/>
      <c r="N402" s="361"/>
      <c r="O402" s="361"/>
      <c r="P402" s="361"/>
      <c r="Q402" s="361"/>
      <c r="R402" s="361"/>
      <c r="S402" s="361"/>
      <c r="T402" s="361"/>
      <c r="U402" s="361"/>
      <c r="V402" s="361"/>
      <c r="W402" s="361"/>
      <c r="X402" s="361"/>
      <c r="Y402" s="131"/>
      <c r="Z402" s="163"/>
      <c r="AA402" s="131"/>
      <c r="AB402" s="131"/>
      <c r="AC402" s="131"/>
      <c r="AD402" s="131"/>
      <c r="AE402" s="131"/>
      <c r="AF402" s="163"/>
      <c r="AG402" s="163"/>
      <c r="AH402" s="163"/>
      <c r="AI402" s="163"/>
      <c r="AJ402" s="163"/>
      <c r="AK402" s="163"/>
      <c r="AL402" s="163"/>
      <c r="AM402" s="130"/>
      <c r="AN402" s="163"/>
    </row>
    <row r="403" ht="15.75" customHeight="1">
      <c r="A403" s="362"/>
      <c r="B403" s="362"/>
      <c r="C403" s="362"/>
      <c r="D403" s="362"/>
      <c r="E403" s="132"/>
      <c r="F403" s="132"/>
      <c r="G403" s="361"/>
      <c r="H403" s="361"/>
      <c r="I403" s="361"/>
      <c r="J403" s="363"/>
      <c r="K403" s="364"/>
      <c r="L403" s="361"/>
      <c r="M403" s="361"/>
      <c r="N403" s="361"/>
      <c r="O403" s="361"/>
      <c r="P403" s="361"/>
      <c r="Q403" s="361"/>
      <c r="R403" s="361"/>
      <c r="S403" s="361"/>
      <c r="T403" s="361"/>
      <c r="U403" s="361"/>
      <c r="V403" s="361"/>
      <c r="W403" s="361"/>
      <c r="X403" s="361"/>
      <c r="Y403" s="131"/>
      <c r="Z403" s="163"/>
      <c r="AA403" s="131"/>
      <c r="AB403" s="131"/>
      <c r="AC403" s="131"/>
      <c r="AD403" s="131"/>
      <c r="AE403" s="131"/>
      <c r="AF403" s="163"/>
      <c r="AG403" s="163"/>
      <c r="AH403" s="163"/>
      <c r="AI403" s="163"/>
      <c r="AJ403" s="163"/>
      <c r="AK403" s="163"/>
      <c r="AL403" s="163"/>
      <c r="AM403" s="130"/>
      <c r="AN403" s="163"/>
    </row>
    <row r="404" ht="15.75" customHeight="1">
      <c r="A404" s="362"/>
      <c r="B404" s="362"/>
      <c r="C404" s="362"/>
      <c r="D404" s="362"/>
      <c r="E404" s="132"/>
      <c r="F404" s="132"/>
      <c r="G404" s="361"/>
      <c r="H404" s="361"/>
      <c r="I404" s="361"/>
      <c r="J404" s="363"/>
      <c r="K404" s="364"/>
      <c r="L404" s="361"/>
      <c r="M404" s="361"/>
      <c r="N404" s="361"/>
      <c r="O404" s="361"/>
      <c r="P404" s="361"/>
      <c r="Q404" s="361"/>
      <c r="R404" s="361"/>
      <c r="S404" s="361"/>
      <c r="T404" s="361"/>
      <c r="U404" s="361"/>
      <c r="V404" s="361"/>
      <c r="W404" s="361"/>
      <c r="X404" s="361"/>
      <c r="Y404" s="131"/>
      <c r="Z404" s="163"/>
      <c r="AA404" s="131"/>
      <c r="AB404" s="131"/>
      <c r="AC404" s="131"/>
      <c r="AD404" s="131"/>
      <c r="AE404" s="131"/>
      <c r="AF404" s="163"/>
      <c r="AG404" s="163"/>
      <c r="AH404" s="163"/>
      <c r="AI404" s="163"/>
      <c r="AJ404" s="163"/>
      <c r="AK404" s="163"/>
      <c r="AL404" s="163"/>
      <c r="AM404" s="130"/>
      <c r="AN404" s="163"/>
    </row>
    <row r="405" ht="15.75" customHeight="1">
      <c r="A405" s="362"/>
      <c r="B405" s="362"/>
      <c r="C405" s="362"/>
      <c r="D405" s="362"/>
      <c r="E405" s="132"/>
      <c r="F405" s="132"/>
      <c r="G405" s="361"/>
      <c r="H405" s="361"/>
      <c r="I405" s="361"/>
      <c r="J405" s="363"/>
      <c r="K405" s="364"/>
      <c r="L405" s="361"/>
      <c r="M405" s="361"/>
      <c r="N405" s="361"/>
      <c r="O405" s="361"/>
      <c r="P405" s="361"/>
      <c r="Q405" s="361"/>
      <c r="R405" s="361"/>
      <c r="S405" s="361"/>
      <c r="T405" s="361"/>
      <c r="U405" s="361"/>
      <c r="V405" s="361"/>
      <c r="W405" s="361"/>
      <c r="X405" s="361"/>
      <c r="Y405" s="131"/>
      <c r="Z405" s="163"/>
      <c r="AA405" s="131"/>
      <c r="AB405" s="131"/>
      <c r="AC405" s="131"/>
      <c r="AD405" s="131"/>
      <c r="AE405" s="131"/>
      <c r="AF405" s="163"/>
      <c r="AG405" s="163"/>
      <c r="AH405" s="163"/>
      <c r="AI405" s="163"/>
      <c r="AJ405" s="163"/>
      <c r="AK405" s="163"/>
      <c r="AL405" s="163"/>
      <c r="AM405" s="130"/>
      <c r="AN405" s="163"/>
    </row>
    <row r="406" ht="15.75" customHeight="1">
      <c r="A406" s="362"/>
      <c r="B406" s="362"/>
      <c r="C406" s="362"/>
      <c r="D406" s="362"/>
      <c r="E406" s="132"/>
      <c r="F406" s="132"/>
      <c r="G406" s="361"/>
      <c r="H406" s="361"/>
      <c r="I406" s="361"/>
      <c r="J406" s="363"/>
      <c r="K406" s="364"/>
      <c r="L406" s="361"/>
      <c r="M406" s="361"/>
      <c r="N406" s="361"/>
      <c r="O406" s="361"/>
      <c r="P406" s="361"/>
      <c r="Q406" s="361"/>
      <c r="R406" s="361"/>
      <c r="S406" s="361"/>
      <c r="T406" s="361"/>
      <c r="U406" s="361"/>
      <c r="V406" s="361"/>
      <c r="W406" s="361"/>
      <c r="X406" s="361"/>
      <c r="Y406" s="131"/>
      <c r="Z406" s="163"/>
      <c r="AA406" s="131"/>
      <c r="AB406" s="131"/>
      <c r="AC406" s="131"/>
      <c r="AD406" s="131"/>
      <c r="AE406" s="131"/>
      <c r="AF406" s="163"/>
      <c r="AG406" s="163"/>
      <c r="AH406" s="163"/>
      <c r="AI406" s="163"/>
      <c r="AJ406" s="163"/>
      <c r="AK406" s="163"/>
      <c r="AL406" s="163"/>
      <c r="AM406" s="130"/>
      <c r="AN406" s="163"/>
    </row>
    <row r="407" ht="15.75" customHeight="1">
      <c r="A407" s="362"/>
      <c r="B407" s="362"/>
      <c r="C407" s="362"/>
      <c r="D407" s="362"/>
      <c r="E407" s="132"/>
      <c r="F407" s="132"/>
      <c r="G407" s="361"/>
      <c r="H407" s="361"/>
      <c r="I407" s="361"/>
      <c r="J407" s="363"/>
      <c r="K407" s="364"/>
      <c r="L407" s="361"/>
      <c r="M407" s="361"/>
      <c r="N407" s="361"/>
      <c r="O407" s="361"/>
      <c r="P407" s="361"/>
      <c r="Q407" s="361"/>
      <c r="R407" s="361"/>
      <c r="S407" s="361"/>
      <c r="T407" s="361"/>
      <c r="U407" s="361"/>
      <c r="V407" s="361"/>
      <c r="W407" s="361"/>
      <c r="X407" s="361"/>
      <c r="Y407" s="131"/>
      <c r="Z407" s="163"/>
      <c r="AA407" s="131"/>
      <c r="AB407" s="131"/>
      <c r="AC407" s="131"/>
      <c r="AD407" s="131"/>
      <c r="AE407" s="131"/>
      <c r="AF407" s="163"/>
      <c r="AG407" s="163"/>
      <c r="AH407" s="163"/>
      <c r="AI407" s="163"/>
      <c r="AJ407" s="163"/>
      <c r="AK407" s="163"/>
      <c r="AL407" s="163"/>
      <c r="AM407" s="130"/>
      <c r="AN407" s="163"/>
    </row>
    <row r="408" ht="15.75" customHeight="1">
      <c r="A408" s="362"/>
      <c r="B408" s="362"/>
      <c r="C408" s="362"/>
      <c r="D408" s="362"/>
      <c r="E408" s="132"/>
      <c r="F408" s="132"/>
      <c r="G408" s="361"/>
      <c r="H408" s="361"/>
      <c r="I408" s="361"/>
      <c r="J408" s="363"/>
      <c r="K408" s="364"/>
      <c r="L408" s="361"/>
      <c r="M408" s="361"/>
      <c r="N408" s="361"/>
      <c r="O408" s="361"/>
      <c r="P408" s="361"/>
      <c r="Q408" s="361"/>
      <c r="R408" s="361"/>
      <c r="S408" s="361"/>
      <c r="T408" s="361"/>
      <c r="U408" s="361"/>
      <c r="V408" s="361"/>
      <c r="W408" s="361"/>
      <c r="X408" s="361"/>
      <c r="Y408" s="131"/>
      <c r="Z408" s="163"/>
      <c r="AA408" s="131"/>
      <c r="AB408" s="131"/>
      <c r="AC408" s="131"/>
      <c r="AD408" s="131"/>
      <c r="AE408" s="131"/>
      <c r="AF408" s="163"/>
      <c r="AG408" s="163"/>
      <c r="AH408" s="163"/>
      <c r="AI408" s="163"/>
      <c r="AJ408" s="163"/>
      <c r="AK408" s="163"/>
      <c r="AL408" s="163"/>
      <c r="AM408" s="130"/>
      <c r="AN408" s="163"/>
    </row>
    <row r="409" ht="15.75" customHeight="1">
      <c r="A409" s="362"/>
      <c r="B409" s="362"/>
      <c r="C409" s="362"/>
      <c r="D409" s="362"/>
      <c r="E409" s="132"/>
      <c r="F409" s="132"/>
      <c r="G409" s="361"/>
      <c r="H409" s="361"/>
      <c r="I409" s="361"/>
      <c r="J409" s="363"/>
      <c r="K409" s="364"/>
      <c r="L409" s="361"/>
      <c r="M409" s="361"/>
      <c r="N409" s="361"/>
      <c r="O409" s="361"/>
      <c r="P409" s="361"/>
      <c r="Q409" s="361"/>
      <c r="R409" s="361"/>
      <c r="S409" s="361"/>
      <c r="T409" s="361"/>
      <c r="U409" s="361"/>
      <c r="V409" s="361"/>
      <c r="W409" s="361"/>
      <c r="X409" s="361"/>
      <c r="Y409" s="131"/>
      <c r="Z409" s="163"/>
      <c r="AA409" s="131"/>
      <c r="AB409" s="131"/>
      <c r="AC409" s="131"/>
      <c r="AD409" s="131"/>
      <c r="AE409" s="131"/>
      <c r="AF409" s="163"/>
      <c r="AG409" s="163"/>
      <c r="AH409" s="163"/>
      <c r="AI409" s="163"/>
      <c r="AJ409" s="163"/>
      <c r="AK409" s="163"/>
      <c r="AL409" s="163"/>
      <c r="AM409" s="130"/>
      <c r="AN409" s="163"/>
    </row>
    <row r="410" ht="15.75" customHeight="1">
      <c r="A410" s="362"/>
      <c r="B410" s="362"/>
      <c r="C410" s="362"/>
      <c r="D410" s="362"/>
      <c r="E410" s="132"/>
      <c r="F410" s="132"/>
      <c r="G410" s="361"/>
      <c r="H410" s="361"/>
      <c r="I410" s="361"/>
      <c r="J410" s="363"/>
      <c r="K410" s="364"/>
      <c r="L410" s="361"/>
      <c r="M410" s="361"/>
      <c r="N410" s="361"/>
      <c r="O410" s="361"/>
      <c r="P410" s="361"/>
      <c r="Q410" s="361"/>
      <c r="R410" s="361"/>
      <c r="S410" s="361"/>
      <c r="T410" s="361"/>
      <c r="U410" s="361"/>
      <c r="V410" s="361"/>
      <c r="W410" s="361"/>
      <c r="X410" s="361"/>
      <c r="Y410" s="131"/>
      <c r="Z410" s="163"/>
      <c r="AA410" s="131"/>
      <c r="AB410" s="131"/>
      <c r="AC410" s="131"/>
      <c r="AD410" s="131"/>
      <c r="AE410" s="131"/>
      <c r="AF410" s="163"/>
      <c r="AG410" s="163"/>
      <c r="AH410" s="163"/>
      <c r="AI410" s="163"/>
      <c r="AJ410" s="163"/>
      <c r="AK410" s="163"/>
      <c r="AL410" s="163"/>
      <c r="AM410" s="130"/>
      <c r="AN410" s="163"/>
    </row>
    <row r="411" ht="15.75" customHeight="1">
      <c r="A411" s="362"/>
      <c r="B411" s="362"/>
      <c r="C411" s="362"/>
      <c r="D411" s="362"/>
      <c r="E411" s="132"/>
      <c r="F411" s="132"/>
      <c r="G411" s="361"/>
      <c r="H411" s="361"/>
      <c r="I411" s="361"/>
      <c r="J411" s="363"/>
      <c r="K411" s="364"/>
      <c r="L411" s="361"/>
      <c r="M411" s="361"/>
      <c r="N411" s="361"/>
      <c r="O411" s="361"/>
      <c r="P411" s="361"/>
      <c r="Q411" s="361"/>
      <c r="R411" s="361"/>
      <c r="S411" s="361"/>
      <c r="T411" s="361"/>
      <c r="U411" s="361"/>
      <c r="V411" s="361"/>
      <c r="W411" s="361"/>
      <c r="X411" s="361"/>
      <c r="Y411" s="131"/>
      <c r="Z411" s="163"/>
      <c r="AA411" s="131"/>
      <c r="AB411" s="131"/>
      <c r="AC411" s="131"/>
      <c r="AD411" s="131"/>
      <c r="AE411" s="131"/>
      <c r="AF411" s="163"/>
      <c r="AG411" s="163"/>
      <c r="AH411" s="163"/>
      <c r="AI411" s="163"/>
      <c r="AJ411" s="163"/>
      <c r="AK411" s="163"/>
      <c r="AL411" s="163"/>
      <c r="AM411" s="130"/>
      <c r="AN411" s="163"/>
    </row>
    <row r="412" ht="15.75" customHeight="1">
      <c r="A412" s="362"/>
      <c r="B412" s="362"/>
      <c r="C412" s="362"/>
      <c r="D412" s="362"/>
      <c r="E412" s="132"/>
      <c r="F412" s="132"/>
      <c r="G412" s="361"/>
      <c r="H412" s="361"/>
      <c r="I412" s="361"/>
      <c r="J412" s="363"/>
      <c r="K412" s="364"/>
      <c r="L412" s="361"/>
      <c r="M412" s="361"/>
      <c r="N412" s="361"/>
      <c r="O412" s="361"/>
      <c r="P412" s="361"/>
      <c r="Q412" s="361"/>
      <c r="R412" s="361"/>
      <c r="S412" s="361"/>
      <c r="T412" s="361"/>
      <c r="U412" s="361"/>
      <c r="V412" s="361"/>
      <c r="W412" s="361"/>
      <c r="X412" s="361"/>
      <c r="Y412" s="131"/>
      <c r="Z412" s="163"/>
      <c r="AA412" s="131"/>
      <c r="AB412" s="131"/>
      <c r="AC412" s="131"/>
      <c r="AD412" s="131"/>
      <c r="AE412" s="131"/>
      <c r="AF412" s="163"/>
      <c r="AG412" s="163"/>
      <c r="AH412" s="163"/>
      <c r="AI412" s="163"/>
      <c r="AJ412" s="163"/>
      <c r="AK412" s="163"/>
      <c r="AL412" s="163"/>
      <c r="AM412" s="130"/>
      <c r="AN412" s="163"/>
    </row>
    <row r="413" ht="15.75" customHeight="1">
      <c r="A413" s="362"/>
      <c r="B413" s="362"/>
      <c r="C413" s="362"/>
      <c r="D413" s="362"/>
      <c r="E413" s="132"/>
      <c r="F413" s="132"/>
      <c r="G413" s="361"/>
      <c r="H413" s="361"/>
      <c r="I413" s="361"/>
      <c r="J413" s="363"/>
      <c r="K413" s="364"/>
      <c r="L413" s="361"/>
      <c r="M413" s="361"/>
      <c r="N413" s="361"/>
      <c r="O413" s="361"/>
      <c r="P413" s="361"/>
      <c r="Q413" s="361"/>
      <c r="R413" s="361"/>
      <c r="S413" s="361"/>
      <c r="T413" s="361"/>
      <c r="U413" s="361"/>
      <c r="V413" s="361"/>
      <c r="W413" s="361"/>
      <c r="X413" s="361"/>
      <c r="Y413" s="131"/>
      <c r="Z413" s="163"/>
      <c r="AA413" s="131"/>
      <c r="AB413" s="131"/>
      <c r="AC413" s="131"/>
      <c r="AD413" s="131"/>
      <c r="AE413" s="131"/>
      <c r="AF413" s="163"/>
      <c r="AG413" s="163"/>
      <c r="AH413" s="163"/>
      <c r="AI413" s="163"/>
      <c r="AJ413" s="163"/>
      <c r="AK413" s="163"/>
      <c r="AL413" s="163"/>
      <c r="AM413" s="130"/>
      <c r="AN413" s="163"/>
    </row>
    <row r="414" ht="15.75" customHeight="1">
      <c r="A414" s="362"/>
      <c r="B414" s="362"/>
      <c r="C414" s="362"/>
      <c r="D414" s="362"/>
      <c r="E414" s="132"/>
      <c r="F414" s="132"/>
      <c r="G414" s="361"/>
      <c r="H414" s="361"/>
      <c r="I414" s="361"/>
      <c r="J414" s="363"/>
      <c r="K414" s="364"/>
      <c r="L414" s="361"/>
      <c r="M414" s="361"/>
      <c r="N414" s="361"/>
      <c r="O414" s="361"/>
      <c r="P414" s="361"/>
      <c r="Q414" s="361"/>
      <c r="R414" s="361"/>
      <c r="S414" s="361"/>
      <c r="T414" s="361"/>
      <c r="U414" s="361"/>
      <c r="V414" s="361"/>
      <c r="W414" s="361"/>
      <c r="X414" s="361"/>
      <c r="Y414" s="131"/>
      <c r="Z414" s="163"/>
      <c r="AA414" s="131"/>
      <c r="AB414" s="131"/>
      <c r="AC414" s="131"/>
      <c r="AD414" s="131"/>
      <c r="AE414" s="131"/>
      <c r="AF414" s="163"/>
      <c r="AG414" s="163"/>
      <c r="AH414" s="163"/>
      <c r="AI414" s="163"/>
      <c r="AJ414" s="163"/>
      <c r="AK414" s="163"/>
      <c r="AL414" s="163"/>
      <c r="AM414" s="130"/>
      <c r="AN414" s="163"/>
    </row>
    <row r="415" ht="15.75" customHeight="1">
      <c r="A415" s="362"/>
      <c r="B415" s="362"/>
      <c r="C415" s="362"/>
      <c r="D415" s="362"/>
      <c r="E415" s="132"/>
      <c r="F415" s="132"/>
      <c r="G415" s="361"/>
      <c r="H415" s="361"/>
      <c r="I415" s="361"/>
      <c r="J415" s="363"/>
      <c r="K415" s="364"/>
      <c r="L415" s="361"/>
      <c r="M415" s="361"/>
      <c r="N415" s="361"/>
      <c r="O415" s="361"/>
      <c r="P415" s="361"/>
      <c r="Q415" s="361"/>
      <c r="R415" s="361"/>
      <c r="S415" s="361"/>
      <c r="T415" s="361"/>
      <c r="U415" s="361"/>
      <c r="V415" s="361"/>
      <c r="W415" s="361"/>
      <c r="X415" s="361"/>
      <c r="Y415" s="131"/>
      <c r="Z415" s="163"/>
      <c r="AA415" s="131"/>
      <c r="AB415" s="131"/>
      <c r="AC415" s="131"/>
      <c r="AD415" s="131"/>
      <c r="AE415" s="131"/>
      <c r="AF415" s="163"/>
      <c r="AG415" s="163"/>
      <c r="AH415" s="163"/>
      <c r="AI415" s="163"/>
      <c r="AJ415" s="163"/>
      <c r="AK415" s="163"/>
      <c r="AL415" s="163"/>
      <c r="AM415" s="130"/>
      <c r="AN415" s="163"/>
    </row>
    <row r="416" ht="15.75" customHeight="1">
      <c r="A416" s="362"/>
      <c r="B416" s="362"/>
      <c r="C416" s="362"/>
      <c r="D416" s="362"/>
      <c r="E416" s="132"/>
      <c r="F416" s="132"/>
      <c r="G416" s="361"/>
      <c r="H416" s="361"/>
      <c r="I416" s="361"/>
      <c r="J416" s="363"/>
      <c r="K416" s="364"/>
      <c r="L416" s="361"/>
      <c r="M416" s="361"/>
      <c r="N416" s="361"/>
      <c r="O416" s="361"/>
      <c r="P416" s="361"/>
      <c r="Q416" s="361"/>
      <c r="R416" s="361"/>
      <c r="S416" s="361"/>
      <c r="T416" s="361"/>
      <c r="U416" s="361"/>
      <c r="V416" s="361"/>
      <c r="W416" s="361"/>
      <c r="X416" s="361"/>
      <c r="Y416" s="131"/>
      <c r="Z416" s="163"/>
      <c r="AA416" s="131"/>
      <c r="AB416" s="131"/>
      <c r="AC416" s="131"/>
      <c r="AD416" s="131"/>
      <c r="AE416" s="131"/>
      <c r="AF416" s="163"/>
      <c r="AG416" s="163"/>
      <c r="AH416" s="163"/>
      <c r="AI416" s="163"/>
      <c r="AJ416" s="163"/>
      <c r="AK416" s="163"/>
      <c r="AL416" s="163"/>
      <c r="AM416" s="130"/>
      <c r="AN416" s="163"/>
    </row>
    <row r="417" ht="15.75" customHeight="1">
      <c r="A417" s="362"/>
      <c r="B417" s="362"/>
      <c r="C417" s="362"/>
      <c r="D417" s="362"/>
      <c r="E417" s="132"/>
      <c r="F417" s="132"/>
      <c r="G417" s="361"/>
      <c r="H417" s="361"/>
      <c r="I417" s="361"/>
      <c r="J417" s="363"/>
      <c r="K417" s="364"/>
      <c r="L417" s="361"/>
      <c r="M417" s="361"/>
      <c r="N417" s="361"/>
      <c r="O417" s="361"/>
      <c r="P417" s="361"/>
      <c r="Q417" s="361"/>
      <c r="R417" s="361"/>
      <c r="S417" s="361"/>
      <c r="T417" s="361"/>
      <c r="U417" s="361"/>
      <c r="V417" s="361"/>
      <c r="W417" s="361"/>
      <c r="X417" s="361"/>
      <c r="Y417" s="131"/>
      <c r="Z417" s="163"/>
      <c r="AA417" s="131"/>
      <c r="AB417" s="131"/>
      <c r="AC417" s="131"/>
      <c r="AD417" s="131"/>
      <c r="AE417" s="131"/>
      <c r="AF417" s="163"/>
      <c r="AG417" s="163"/>
      <c r="AH417" s="163"/>
      <c r="AI417" s="163"/>
      <c r="AJ417" s="163"/>
      <c r="AK417" s="163"/>
      <c r="AL417" s="163"/>
      <c r="AM417" s="130"/>
      <c r="AN417" s="163"/>
    </row>
    <row r="418" ht="15.75" customHeight="1">
      <c r="A418" s="362"/>
      <c r="B418" s="362"/>
      <c r="C418" s="362"/>
      <c r="D418" s="362"/>
      <c r="E418" s="132"/>
      <c r="F418" s="132"/>
      <c r="G418" s="361"/>
      <c r="H418" s="361"/>
      <c r="I418" s="361"/>
      <c r="J418" s="363"/>
      <c r="K418" s="364"/>
      <c r="L418" s="361"/>
      <c r="M418" s="361"/>
      <c r="N418" s="361"/>
      <c r="O418" s="361"/>
      <c r="P418" s="361"/>
      <c r="Q418" s="361"/>
      <c r="R418" s="361"/>
      <c r="S418" s="361"/>
      <c r="T418" s="361"/>
      <c r="U418" s="361"/>
      <c r="V418" s="361"/>
      <c r="W418" s="361"/>
      <c r="X418" s="361"/>
      <c r="Y418" s="131"/>
      <c r="Z418" s="163"/>
      <c r="AA418" s="131"/>
      <c r="AB418" s="131"/>
      <c r="AC418" s="131"/>
      <c r="AD418" s="131"/>
      <c r="AE418" s="131"/>
      <c r="AF418" s="163"/>
      <c r="AG418" s="163"/>
      <c r="AH418" s="163"/>
      <c r="AI418" s="163"/>
      <c r="AJ418" s="163"/>
      <c r="AK418" s="163"/>
      <c r="AL418" s="163"/>
      <c r="AM418" s="130"/>
      <c r="AN418" s="163"/>
    </row>
    <row r="419" ht="15.75" customHeight="1">
      <c r="A419" s="362"/>
      <c r="B419" s="362"/>
      <c r="C419" s="362"/>
      <c r="D419" s="362"/>
      <c r="E419" s="132"/>
      <c r="F419" s="132"/>
      <c r="G419" s="361"/>
      <c r="H419" s="361"/>
      <c r="I419" s="361"/>
      <c r="J419" s="363"/>
      <c r="K419" s="364"/>
      <c r="L419" s="361"/>
      <c r="M419" s="361"/>
      <c r="N419" s="361"/>
      <c r="O419" s="361"/>
      <c r="P419" s="361"/>
      <c r="Q419" s="361"/>
      <c r="R419" s="361"/>
      <c r="S419" s="361"/>
      <c r="T419" s="361"/>
      <c r="U419" s="361"/>
      <c r="V419" s="361"/>
      <c r="W419" s="361"/>
      <c r="X419" s="361"/>
      <c r="Y419" s="131"/>
      <c r="Z419" s="163"/>
      <c r="AA419" s="131"/>
      <c r="AB419" s="131"/>
      <c r="AC419" s="131"/>
      <c r="AD419" s="131"/>
      <c r="AE419" s="131"/>
      <c r="AF419" s="163"/>
      <c r="AG419" s="163"/>
      <c r="AH419" s="163"/>
      <c r="AI419" s="163"/>
      <c r="AJ419" s="163"/>
      <c r="AK419" s="163"/>
      <c r="AL419" s="163"/>
      <c r="AM419" s="130"/>
      <c r="AN419" s="163"/>
    </row>
    <row r="420" ht="15.75" customHeight="1">
      <c r="A420" s="362"/>
      <c r="B420" s="362"/>
      <c r="C420" s="362"/>
      <c r="D420" s="362"/>
      <c r="E420" s="132"/>
      <c r="F420" s="132"/>
      <c r="G420" s="361"/>
      <c r="H420" s="361"/>
      <c r="I420" s="361"/>
      <c r="J420" s="363"/>
      <c r="K420" s="364"/>
      <c r="L420" s="361"/>
      <c r="M420" s="361"/>
      <c r="N420" s="361"/>
      <c r="O420" s="361"/>
      <c r="P420" s="361"/>
      <c r="Q420" s="361"/>
      <c r="R420" s="361"/>
      <c r="S420" s="361"/>
      <c r="T420" s="361"/>
      <c r="U420" s="361"/>
      <c r="V420" s="361"/>
      <c r="W420" s="361"/>
      <c r="X420" s="361"/>
      <c r="Y420" s="131"/>
      <c r="Z420" s="163"/>
      <c r="AA420" s="131"/>
      <c r="AB420" s="131"/>
      <c r="AC420" s="131"/>
      <c r="AD420" s="131"/>
      <c r="AE420" s="131"/>
      <c r="AF420" s="163"/>
      <c r="AG420" s="163"/>
      <c r="AH420" s="163"/>
      <c r="AI420" s="163"/>
      <c r="AJ420" s="163"/>
      <c r="AK420" s="163"/>
      <c r="AL420" s="163"/>
      <c r="AM420" s="130"/>
      <c r="AN420" s="163"/>
    </row>
    <row r="421" ht="15.75" customHeight="1">
      <c r="A421" s="362"/>
      <c r="B421" s="362"/>
      <c r="C421" s="362"/>
      <c r="D421" s="362"/>
      <c r="E421" s="132"/>
      <c r="F421" s="132"/>
      <c r="G421" s="361"/>
      <c r="H421" s="361"/>
      <c r="I421" s="361"/>
      <c r="J421" s="363"/>
      <c r="K421" s="364"/>
      <c r="L421" s="361"/>
      <c r="M421" s="361"/>
      <c r="N421" s="361"/>
      <c r="O421" s="361"/>
      <c r="P421" s="361"/>
      <c r="Q421" s="361"/>
      <c r="R421" s="361"/>
      <c r="S421" s="361"/>
      <c r="T421" s="361"/>
      <c r="U421" s="361"/>
      <c r="V421" s="361"/>
      <c r="W421" s="361"/>
      <c r="X421" s="361"/>
      <c r="Y421" s="131"/>
      <c r="Z421" s="163"/>
      <c r="AA421" s="131"/>
      <c r="AB421" s="131"/>
      <c r="AC421" s="131"/>
      <c r="AD421" s="131"/>
      <c r="AE421" s="131"/>
      <c r="AF421" s="163"/>
      <c r="AG421" s="163"/>
      <c r="AH421" s="163"/>
      <c r="AI421" s="163"/>
      <c r="AJ421" s="163"/>
      <c r="AK421" s="163"/>
      <c r="AL421" s="163"/>
      <c r="AM421" s="130"/>
      <c r="AN421" s="163"/>
    </row>
    <row r="422" ht="15.75" customHeight="1">
      <c r="A422" s="362"/>
      <c r="B422" s="362"/>
      <c r="C422" s="362"/>
      <c r="D422" s="362"/>
      <c r="E422" s="132"/>
      <c r="F422" s="132"/>
      <c r="G422" s="361"/>
      <c r="H422" s="361"/>
      <c r="I422" s="361"/>
      <c r="J422" s="363"/>
      <c r="K422" s="364"/>
      <c r="L422" s="361"/>
      <c r="M422" s="361"/>
      <c r="N422" s="361"/>
      <c r="O422" s="361"/>
      <c r="P422" s="361"/>
      <c r="Q422" s="361"/>
      <c r="R422" s="361"/>
      <c r="S422" s="361"/>
      <c r="T422" s="361"/>
      <c r="U422" s="361"/>
      <c r="V422" s="361"/>
      <c r="W422" s="361"/>
      <c r="X422" s="361"/>
      <c r="Y422" s="131"/>
      <c r="Z422" s="163"/>
      <c r="AA422" s="131"/>
      <c r="AB422" s="131"/>
      <c r="AC422" s="131"/>
      <c r="AD422" s="131"/>
      <c r="AE422" s="131"/>
      <c r="AF422" s="163"/>
      <c r="AG422" s="163"/>
      <c r="AH422" s="163"/>
      <c r="AI422" s="163"/>
      <c r="AJ422" s="163"/>
      <c r="AK422" s="163"/>
      <c r="AL422" s="163"/>
      <c r="AM422" s="130"/>
      <c r="AN422" s="163"/>
    </row>
    <row r="423" ht="15.75" customHeight="1">
      <c r="A423" s="362"/>
      <c r="B423" s="362"/>
      <c r="C423" s="362"/>
      <c r="D423" s="362"/>
      <c r="E423" s="132"/>
      <c r="F423" s="132"/>
      <c r="G423" s="361"/>
      <c r="H423" s="361"/>
      <c r="I423" s="361"/>
      <c r="J423" s="363"/>
      <c r="K423" s="364"/>
      <c r="L423" s="361"/>
      <c r="M423" s="361"/>
      <c r="N423" s="361"/>
      <c r="O423" s="361"/>
      <c r="P423" s="361"/>
      <c r="Q423" s="361"/>
      <c r="R423" s="361"/>
      <c r="S423" s="361"/>
      <c r="T423" s="361"/>
      <c r="U423" s="361"/>
      <c r="V423" s="361"/>
      <c r="W423" s="361"/>
      <c r="X423" s="361"/>
      <c r="Y423" s="131"/>
      <c r="Z423" s="163"/>
      <c r="AA423" s="131"/>
      <c r="AB423" s="131"/>
      <c r="AC423" s="131"/>
      <c r="AD423" s="131"/>
      <c r="AE423" s="131"/>
      <c r="AF423" s="163"/>
      <c r="AG423" s="163"/>
      <c r="AH423" s="163"/>
      <c r="AI423" s="163"/>
      <c r="AJ423" s="163"/>
      <c r="AK423" s="163"/>
      <c r="AL423" s="163"/>
      <c r="AM423" s="130"/>
      <c r="AN423" s="163"/>
    </row>
    <row r="424" ht="15.75" customHeight="1">
      <c r="A424" s="362"/>
      <c r="B424" s="362"/>
      <c r="C424" s="362"/>
      <c r="D424" s="362"/>
      <c r="E424" s="132"/>
      <c r="F424" s="132"/>
      <c r="G424" s="361"/>
      <c r="H424" s="361"/>
      <c r="I424" s="361"/>
      <c r="J424" s="363"/>
      <c r="K424" s="364"/>
      <c r="L424" s="361"/>
      <c r="M424" s="361"/>
      <c r="N424" s="361"/>
      <c r="O424" s="361"/>
      <c r="P424" s="361"/>
      <c r="Q424" s="361"/>
      <c r="R424" s="361"/>
      <c r="S424" s="361"/>
      <c r="T424" s="361"/>
      <c r="U424" s="361"/>
      <c r="V424" s="361"/>
      <c r="W424" s="361"/>
      <c r="X424" s="361"/>
      <c r="Y424" s="131"/>
      <c r="Z424" s="163"/>
      <c r="AA424" s="131"/>
      <c r="AB424" s="131"/>
      <c r="AC424" s="131"/>
      <c r="AD424" s="131"/>
      <c r="AE424" s="131"/>
      <c r="AF424" s="163"/>
      <c r="AG424" s="163"/>
      <c r="AH424" s="163"/>
      <c r="AI424" s="163"/>
      <c r="AJ424" s="163"/>
      <c r="AK424" s="163"/>
      <c r="AL424" s="163"/>
      <c r="AM424" s="130"/>
      <c r="AN424" s="163"/>
    </row>
    <row r="425" ht="15.75" customHeight="1">
      <c r="A425" s="362"/>
      <c r="B425" s="362"/>
      <c r="C425" s="362"/>
      <c r="D425" s="362"/>
      <c r="E425" s="132"/>
      <c r="F425" s="132"/>
      <c r="G425" s="361"/>
      <c r="H425" s="361"/>
      <c r="I425" s="361"/>
      <c r="J425" s="363"/>
      <c r="K425" s="364"/>
      <c r="L425" s="361"/>
      <c r="M425" s="361"/>
      <c r="N425" s="361"/>
      <c r="O425" s="361"/>
      <c r="P425" s="361"/>
      <c r="Q425" s="361"/>
      <c r="R425" s="361"/>
      <c r="S425" s="361"/>
      <c r="T425" s="361"/>
      <c r="U425" s="361"/>
      <c r="V425" s="361"/>
      <c r="W425" s="361"/>
      <c r="X425" s="361"/>
      <c r="Y425" s="131"/>
      <c r="Z425" s="163"/>
      <c r="AA425" s="131"/>
      <c r="AB425" s="131"/>
      <c r="AC425" s="131"/>
      <c r="AD425" s="131"/>
      <c r="AE425" s="131"/>
      <c r="AF425" s="163"/>
      <c r="AG425" s="163"/>
      <c r="AH425" s="163"/>
      <c r="AI425" s="163"/>
      <c r="AJ425" s="163"/>
      <c r="AK425" s="163"/>
      <c r="AL425" s="163"/>
      <c r="AM425" s="130"/>
      <c r="AN425" s="163"/>
    </row>
    <row r="426" ht="15.75" customHeight="1">
      <c r="A426" s="362"/>
      <c r="B426" s="362"/>
      <c r="C426" s="362"/>
      <c r="D426" s="362"/>
      <c r="E426" s="132"/>
      <c r="F426" s="132"/>
      <c r="G426" s="361"/>
      <c r="H426" s="361"/>
      <c r="I426" s="361"/>
      <c r="J426" s="363"/>
      <c r="K426" s="364"/>
      <c r="L426" s="361"/>
      <c r="M426" s="361"/>
      <c r="N426" s="361"/>
      <c r="O426" s="361"/>
      <c r="P426" s="361"/>
      <c r="Q426" s="361"/>
      <c r="R426" s="361"/>
      <c r="S426" s="361"/>
      <c r="T426" s="361"/>
      <c r="U426" s="361"/>
      <c r="V426" s="361"/>
      <c r="W426" s="361"/>
      <c r="X426" s="361"/>
      <c r="Y426" s="131"/>
      <c r="Z426" s="163"/>
      <c r="AA426" s="131"/>
      <c r="AB426" s="131"/>
      <c r="AC426" s="131"/>
      <c r="AD426" s="131"/>
      <c r="AE426" s="131"/>
      <c r="AF426" s="163"/>
      <c r="AG426" s="163"/>
      <c r="AH426" s="163"/>
      <c r="AI426" s="163"/>
      <c r="AJ426" s="163"/>
      <c r="AK426" s="163"/>
      <c r="AL426" s="163"/>
      <c r="AM426" s="130"/>
      <c r="AN426" s="163"/>
    </row>
    <row r="427" ht="15.75" customHeight="1">
      <c r="A427" s="362"/>
      <c r="B427" s="362"/>
      <c r="C427" s="362"/>
      <c r="D427" s="362"/>
      <c r="E427" s="132"/>
      <c r="F427" s="132"/>
      <c r="G427" s="361"/>
      <c r="H427" s="361"/>
      <c r="I427" s="361"/>
      <c r="J427" s="363"/>
      <c r="K427" s="364"/>
      <c r="L427" s="361"/>
      <c r="M427" s="361"/>
      <c r="N427" s="361"/>
      <c r="O427" s="361"/>
      <c r="P427" s="361"/>
      <c r="Q427" s="361"/>
      <c r="R427" s="361"/>
      <c r="S427" s="361"/>
      <c r="T427" s="361"/>
      <c r="U427" s="361"/>
      <c r="V427" s="361"/>
      <c r="W427" s="361"/>
      <c r="X427" s="361"/>
      <c r="Y427" s="131"/>
      <c r="Z427" s="163"/>
      <c r="AA427" s="131"/>
      <c r="AB427" s="131"/>
      <c r="AC427" s="131"/>
      <c r="AD427" s="131"/>
      <c r="AE427" s="131"/>
      <c r="AF427" s="163"/>
      <c r="AG427" s="163"/>
      <c r="AH427" s="163"/>
      <c r="AI427" s="163"/>
      <c r="AJ427" s="163"/>
      <c r="AK427" s="163"/>
      <c r="AL427" s="163"/>
      <c r="AM427" s="130"/>
      <c r="AN427" s="163"/>
    </row>
    <row r="428" ht="15.75" customHeight="1">
      <c r="A428" s="362"/>
      <c r="B428" s="362"/>
      <c r="C428" s="362"/>
      <c r="D428" s="362"/>
      <c r="E428" s="132"/>
      <c r="F428" s="132"/>
      <c r="G428" s="361"/>
      <c r="H428" s="361"/>
      <c r="I428" s="361"/>
      <c r="J428" s="363"/>
      <c r="K428" s="364"/>
      <c r="L428" s="361"/>
      <c r="M428" s="361"/>
      <c r="N428" s="361"/>
      <c r="O428" s="361"/>
      <c r="P428" s="361"/>
      <c r="Q428" s="361"/>
      <c r="R428" s="361"/>
      <c r="S428" s="361"/>
      <c r="T428" s="361"/>
      <c r="U428" s="361"/>
      <c r="V428" s="361"/>
      <c r="W428" s="361"/>
      <c r="X428" s="361"/>
      <c r="Y428" s="131"/>
      <c r="Z428" s="163"/>
      <c r="AA428" s="131"/>
      <c r="AB428" s="131"/>
      <c r="AC428" s="131"/>
      <c r="AD428" s="131"/>
      <c r="AE428" s="131"/>
      <c r="AF428" s="163"/>
      <c r="AG428" s="163"/>
      <c r="AH428" s="163"/>
      <c r="AI428" s="163"/>
      <c r="AJ428" s="163"/>
      <c r="AK428" s="163"/>
      <c r="AL428" s="163"/>
      <c r="AM428" s="130"/>
      <c r="AN428" s="163"/>
    </row>
    <row r="429" ht="15.75" customHeight="1">
      <c r="A429" s="362"/>
      <c r="B429" s="362"/>
      <c r="C429" s="362"/>
      <c r="D429" s="362"/>
      <c r="E429" s="132"/>
      <c r="F429" s="132"/>
      <c r="G429" s="361"/>
      <c r="H429" s="361"/>
      <c r="I429" s="361"/>
      <c r="J429" s="363"/>
      <c r="K429" s="364"/>
      <c r="L429" s="361"/>
      <c r="M429" s="361"/>
      <c r="N429" s="361"/>
      <c r="O429" s="361"/>
      <c r="P429" s="361"/>
      <c r="Q429" s="361"/>
      <c r="R429" s="361"/>
      <c r="S429" s="361"/>
      <c r="T429" s="361"/>
      <c r="U429" s="361"/>
      <c r="V429" s="361"/>
      <c r="W429" s="361"/>
      <c r="X429" s="361"/>
      <c r="Y429" s="131"/>
      <c r="Z429" s="163"/>
      <c r="AA429" s="131"/>
      <c r="AB429" s="131"/>
      <c r="AC429" s="131"/>
      <c r="AD429" s="131"/>
      <c r="AE429" s="131"/>
      <c r="AF429" s="163"/>
      <c r="AG429" s="163"/>
      <c r="AH429" s="163"/>
      <c r="AI429" s="163"/>
      <c r="AJ429" s="163"/>
      <c r="AK429" s="163"/>
      <c r="AL429" s="163"/>
      <c r="AM429" s="130"/>
      <c r="AN429" s="163"/>
    </row>
    <row r="430" ht="15.75" customHeight="1">
      <c r="A430" s="362"/>
      <c r="B430" s="362"/>
      <c r="C430" s="362"/>
      <c r="D430" s="362"/>
      <c r="E430" s="132"/>
      <c r="F430" s="132"/>
      <c r="G430" s="361"/>
      <c r="H430" s="361"/>
      <c r="I430" s="361"/>
      <c r="J430" s="363"/>
      <c r="K430" s="364"/>
      <c r="L430" s="361"/>
      <c r="M430" s="361"/>
      <c r="N430" s="361"/>
      <c r="O430" s="361"/>
      <c r="P430" s="361"/>
      <c r="Q430" s="361"/>
      <c r="R430" s="361"/>
      <c r="S430" s="361"/>
      <c r="T430" s="361"/>
      <c r="U430" s="361"/>
      <c r="V430" s="361"/>
      <c r="W430" s="361"/>
      <c r="X430" s="361"/>
      <c r="Y430" s="131"/>
      <c r="Z430" s="163"/>
      <c r="AA430" s="131"/>
      <c r="AB430" s="131"/>
      <c r="AC430" s="131"/>
      <c r="AD430" s="131"/>
      <c r="AE430" s="131"/>
      <c r="AF430" s="163"/>
      <c r="AG430" s="163"/>
      <c r="AH430" s="163"/>
      <c r="AI430" s="163"/>
      <c r="AJ430" s="163"/>
      <c r="AK430" s="163"/>
      <c r="AL430" s="163"/>
      <c r="AM430" s="130"/>
      <c r="AN430" s="163"/>
    </row>
    <row r="431" ht="15.75" customHeight="1">
      <c r="A431" s="362"/>
      <c r="B431" s="362"/>
      <c r="C431" s="362"/>
      <c r="D431" s="362"/>
      <c r="E431" s="132"/>
      <c r="F431" s="132"/>
      <c r="G431" s="361"/>
      <c r="H431" s="361"/>
      <c r="I431" s="361"/>
      <c r="J431" s="363"/>
      <c r="K431" s="364"/>
      <c r="L431" s="361"/>
      <c r="M431" s="361"/>
      <c r="N431" s="361"/>
      <c r="O431" s="361"/>
      <c r="P431" s="361"/>
      <c r="Q431" s="361"/>
      <c r="R431" s="361"/>
      <c r="S431" s="361"/>
      <c r="T431" s="361"/>
      <c r="U431" s="361"/>
      <c r="V431" s="361"/>
      <c r="W431" s="361"/>
      <c r="X431" s="361"/>
      <c r="Y431" s="131"/>
      <c r="Z431" s="163"/>
      <c r="AA431" s="131"/>
      <c r="AB431" s="131"/>
      <c r="AC431" s="131"/>
      <c r="AD431" s="131"/>
      <c r="AE431" s="131"/>
      <c r="AF431" s="163"/>
      <c r="AG431" s="163"/>
      <c r="AH431" s="163"/>
      <c r="AI431" s="163"/>
      <c r="AJ431" s="163"/>
      <c r="AK431" s="163"/>
      <c r="AL431" s="163"/>
      <c r="AM431" s="130"/>
      <c r="AN431" s="163"/>
    </row>
    <row r="432" ht="15.75" customHeight="1">
      <c r="A432" s="362"/>
      <c r="B432" s="362"/>
      <c r="C432" s="362"/>
      <c r="D432" s="362"/>
      <c r="E432" s="132"/>
      <c r="F432" s="132"/>
      <c r="G432" s="361"/>
      <c r="H432" s="361"/>
      <c r="I432" s="361"/>
      <c r="J432" s="363"/>
      <c r="K432" s="364"/>
      <c r="L432" s="361"/>
      <c r="M432" s="361"/>
      <c r="N432" s="361"/>
      <c r="O432" s="361"/>
      <c r="P432" s="361"/>
      <c r="Q432" s="361"/>
      <c r="R432" s="361"/>
      <c r="S432" s="361"/>
      <c r="T432" s="361"/>
      <c r="U432" s="361"/>
      <c r="V432" s="361"/>
      <c r="W432" s="361"/>
      <c r="X432" s="361"/>
      <c r="Y432" s="131"/>
      <c r="Z432" s="163"/>
      <c r="AA432" s="131"/>
      <c r="AB432" s="131"/>
      <c r="AC432" s="131"/>
      <c r="AD432" s="131"/>
      <c r="AE432" s="131"/>
      <c r="AF432" s="163"/>
      <c r="AG432" s="163"/>
      <c r="AH432" s="163"/>
      <c r="AI432" s="163"/>
      <c r="AJ432" s="163"/>
      <c r="AK432" s="163"/>
      <c r="AL432" s="163"/>
      <c r="AM432" s="130"/>
      <c r="AN432" s="163"/>
    </row>
    <row r="433" ht="15.75" customHeight="1">
      <c r="A433" s="362"/>
      <c r="B433" s="362"/>
      <c r="C433" s="362"/>
      <c r="D433" s="362"/>
      <c r="E433" s="132"/>
      <c r="F433" s="132"/>
      <c r="G433" s="361"/>
      <c r="H433" s="361"/>
      <c r="I433" s="361"/>
      <c r="J433" s="363"/>
      <c r="K433" s="364"/>
      <c r="L433" s="361"/>
      <c r="M433" s="361"/>
      <c r="N433" s="361"/>
      <c r="O433" s="361"/>
      <c r="P433" s="361"/>
      <c r="Q433" s="361"/>
      <c r="R433" s="361"/>
      <c r="S433" s="361"/>
      <c r="T433" s="361"/>
      <c r="U433" s="361"/>
      <c r="V433" s="361"/>
      <c r="W433" s="361"/>
      <c r="X433" s="361"/>
      <c r="Y433" s="131"/>
      <c r="Z433" s="163"/>
      <c r="AA433" s="131"/>
      <c r="AB433" s="131"/>
      <c r="AC433" s="131"/>
      <c r="AD433" s="131"/>
      <c r="AE433" s="131"/>
      <c r="AF433" s="163"/>
      <c r="AG433" s="163"/>
      <c r="AH433" s="163"/>
      <c r="AI433" s="163"/>
      <c r="AJ433" s="163"/>
      <c r="AK433" s="163"/>
      <c r="AL433" s="163"/>
      <c r="AM433" s="130"/>
      <c r="AN433" s="163"/>
    </row>
    <row r="434" ht="15.75" customHeight="1">
      <c r="A434" s="362"/>
      <c r="B434" s="362"/>
      <c r="C434" s="362"/>
      <c r="D434" s="362"/>
      <c r="E434" s="132"/>
      <c r="F434" s="132"/>
      <c r="G434" s="361"/>
      <c r="H434" s="361"/>
      <c r="I434" s="361"/>
      <c r="J434" s="363"/>
      <c r="K434" s="364"/>
      <c r="L434" s="361"/>
      <c r="M434" s="361"/>
      <c r="N434" s="361"/>
      <c r="O434" s="361"/>
      <c r="P434" s="361"/>
      <c r="Q434" s="361"/>
      <c r="R434" s="361"/>
      <c r="S434" s="361"/>
      <c r="T434" s="361"/>
      <c r="U434" s="361"/>
      <c r="V434" s="361"/>
      <c r="W434" s="361"/>
      <c r="X434" s="361"/>
      <c r="Y434" s="131"/>
      <c r="Z434" s="163"/>
      <c r="AA434" s="131"/>
      <c r="AB434" s="131"/>
      <c r="AC434" s="131"/>
      <c r="AD434" s="131"/>
      <c r="AE434" s="131"/>
      <c r="AF434" s="163"/>
      <c r="AG434" s="163"/>
      <c r="AH434" s="163"/>
      <c r="AI434" s="163"/>
      <c r="AJ434" s="163"/>
      <c r="AK434" s="163"/>
      <c r="AL434" s="163"/>
      <c r="AM434" s="130"/>
      <c r="AN434" s="163"/>
    </row>
    <row r="435" ht="15.75" customHeight="1">
      <c r="A435" s="362"/>
      <c r="B435" s="362"/>
      <c r="C435" s="362"/>
      <c r="D435" s="362"/>
      <c r="E435" s="132"/>
      <c r="F435" s="132"/>
      <c r="G435" s="361"/>
      <c r="H435" s="361"/>
      <c r="I435" s="361"/>
      <c r="J435" s="363"/>
      <c r="K435" s="364"/>
      <c r="L435" s="361"/>
      <c r="M435" s="361"/>
      <c r="N435" s="361"/>
      <c r="O435" s="361"/>
      <c r="P435" s="361"/>
      <c r="Q435" s="361"/>
      <c r="R435" s="361"/>
      <c r="S435" s="361"/>
      <c r="T435" s="361"/>
      <c r="U435" s="361"/>
      <c r="V435" s="361"/>
      <c r="W435" s="361"/>
      <c r="X435" s="361"/>
      <c r="Y435" s="131"/>
      <c r="Z435" s="163"/>
      <c r="AA435" s="131"/>
      <c r="AB435" s="131"/>
      <c r="AC435" s="131"/>
      <c r="AD435" s="131"/>
      <c r="AE435" s="131"/>
      <c r="AF435" s="163"/>
      <c r="AG435" s="163"/>
      <c r="AH435" s="163"/>
      <c r="AI435" s="163"/>
      <c r="AJ435" s="163"/>
      <c r="AK435" s="163"/>
      <c r="AL435" s="163"/>
      <c r="AM435" s="130"/>
      <c r="AN435" s="163"/>
    </row>
    <row r="436" ht="15.75" customHeight="1">
      <c r="A436" s="362"/>
      <c r="B436" s="362"/>
      <c r="C436" s="362"/>
      <c r="D436" s="362"/>
      <c r="E436" s="132"/>
      <c r="F436" s="132"/>
      <c r="G436" s="361"/>
      <c r="H436" s="361"/>
      <c r="I436" s="361"/>
      <c r="J436" s="363"/>
      <c r="K436" s="364"/>
      <c r="L436" s="361"/>
      <c r="M436" s="361"/>
      <c r="N436" s="361"/>
      <c r="O436" s="361"/>
      <c r="P436" s="361"/>
      <c r="Q436" s="361"/>
      <c r="R436" s="361"/>
      <c r="S436" s="361"/>
      <c r="T436" s="361"/>
      <c r="U436" s="361"/>
      <c r="V436" s="361"/>
      <c r="W436" s="361"/>
      <c r="X436" s="361"/>
      <c r="Y436" s="131"/>
      <c r="Z436" s="163"/>
      <c r="AA436" s="131"/>
      <c r="AB436" s="131"/>
      <c r="AC436" s="131"/>
      <c r="AD436" s="131"/>
      <c r="AE436" s="131"/>
      <c r="AF436" s="163"/>
      <c r="AG436" s="163"/>
      <c r="AH436" s="163"/>
      <c r="AI436" s="163"/>
      <c r="AJ436" s="163"/>
      <c r="AK436" s="163"/>
      <c r="AL436" s="163"/>
      <c r="AM436" s="130"/>
      <c r="AN436" s="163"/>
    </row>
    <row r="437" ht="15.75" customHeight="1">
      <c r="A437" s="362"/>
      <c r="B437" s="362"/>
      <c r="C437" s="362"/>
      <c r="D437" s="362"/>
      <c r="E437" s="132"/>
      <c r="F437" s="132"/>
      <c r="G437" s="361"/>
      <c r="H437" s="361"/>
      <c r="I437" s="361"/>
      <c r="J437" s="363"/>
      <c r="K437" s="364"/>
      <c r="L437" s="361"/>
      <c r="M437" s="361"/>
      <c r="N437" s="361"/>
      <c r="O437" s="361"/>
      <c r="P437" s="361"/>
      <c r="Q437" s="361"/>
      <c r="R437" s="361"/>
      <c r="S437" s="361"/>
      <c r="T437" s="361"/>
      <c r="U437" s="361"/>
      <c r="V437" s="361"/>
      <c r="W437" s="361"/>
      <c r="X437" s="361"/>
      <c r="Y437" s="131"/>
      <c r="Z437" s="163"/>
      <c r="AA437" s="131"/>
      <c r="AB437" s="131"/>
      <c r="AC437" s="131"/>
      <c r="AD437" s="131"/>
      <c r="AE437" s="131"/>
      <c r="AF437" s="163"/>
      <c r="AG437" s="163"/>
      <c r="AH437" s="163"/>
      <c r="AI437" s="163"/>
      <c r="AJ437" s="163"/>
      <c r="AK437" s="163"/>
      <c r="AL437" s="163"/>
      <c r="AM437" s="130"/>
      <c r="AN437" s="163"/>
    </row>
    <row r="438" ht="15.75" customHeight="1">
      <c r="A438" s="362"/>
      <c r="B438" s="362"/>
      <c r="C438" s="362"/>
      <c r="D438" s="362"/>
      <c r="E438" s="132"/>
      <c r="F438" s="132"/>
      <c r="G438" s="361"/>
      <c r="H438" s="361"/>
      <c r="I438" s="361"/>
      <c r="J438" s="363"/>
      <c r="K438" s="364"/>
      <c r="L438" s="361"/>
      <c r="M438" s="361"/>
      <c r="N438" s="361"/>
      <c r="O438" s="361"/>
      <c r="P438" s="361"/>
      <c r="Q438" s="361"/>
      <c r="R438" s="361"/>
      <c r="S438" s="361"/>
      <c r="T438" s="361"/>
      <c r="U438" s="361"/>
      <c r="V438" s="361"/>
      <c r="W438" s="361"/>
      <c r="X438" s="361"/>
      <c r="Y438" s="131"/>
      <c r="Z438" s="163"/>
      <c r="AA438" s="131"/>
      <c r="AB438" s="131"/>
      <c r="AC438" s="131"/>
      <c r="AD438" s="131"/>
      <c r="AE438" s="131"/>
      <c r="AF438" s="163"/>
      <c r="AG438" s="163"/>
      <c r="AH438" s="163"/>
      <c r="AI438" s="163"/>
      <c r="AJ438" s="163"/>
      <c r="AK438" s="163"/>
      <c r="AL438" s="163"/>
      <c r="AM438" s="130"/>
      <c r="AN438" s="163"/>
    </row>
    <row r="439" ht="15.75" customHeight="1">
      <c r="A439" s="362"/>
      <c r="B439" s="362"/>
      <c r="C439" s="362"/>
      <c r="D439" s="362"/>
      <c r="E439" s="132"/>
      <c r="F439" s="132"/>
      <c r="G439" s="361"/>
      <c r="H439" s="361"/>
      <c r="I439" s="361"/>
      <c r="J439" s="363"/>
      <c r="K439" s="364"/>
      <c r="L439" s="361"/>
      <c r="M439" s="361"/>
      <c r="N439" s="361"/>
      <c r="O439" s="361"/>
      <c r="P439" s="361"/>
      <c r="Q439" s="361"/>
      <c r="R439" s="361"/>
      <c r="S439" s="361"/>
      <c r="T439" s="361"/>
      <c r="U439" s="361"/>
      <c r="V439" s="361"/>
      <c r="W439" s="361"/>
      <c r="X439" s="361"/>
      <c r="Y439" s="131"/>
      <c r="Z439" s="163"/>
      <c r="AA439" s="131"/>
      <c r="AB439" s="131"/>
      <c r="AC439" s="131"/>
      <c r="AD439" s="131"/>
      <c r="AE439" s="131"/>
      <c r="AF439" s="163"/>
      <c r="AG439" s="163"/>
      <c r="AH439" s="163"/>
      <c r="AI439" s="163"/>
      <c r="AJ439" s="163"/>
      <c r="AK439" s="163"/>
      <c r="AL439" s="163"/>
      <c r="AM439" s="130"/>
      <c r="AN439" s="163"/>
    </row>
    <row r="440" ht="15.75" customHeight="1">
      <c r="A440" s="362"/>
      <c r="B440" s="362"/>
      <c r="C440" s="362"/>
      <c r="D440" s="362"/>
      <c r="E440" s="132"/>
      <c r="F440" s="132"/>
      <c r="G440" s="361"/>
      <c r="H440" s="361"/>
      <c r="I440" s="361"/>
      <c r="J440" s="363"/>
      <c r="K440" s="364"/>
      <c r="L440" s="361"/>
      <c r="M440" s="361"/>
      <c r="N440" s="361"/>
      <c r="O440" s="361"/>
      <c r="P440" s="361"/>
      <c r="Q440" s="361"/>
      <c r="R440" s="361"/>
      <c r="S440" s="361"/>
      <c r="T440" s="361"/>
      <c r="U440" s="361"/>
      <c r="V440" s="361"/>
      <c r="W440" s="361"/>
      <c r="X440" s="361"/>
      <c r="Y440" s="131"/>
      <c r="Z440" s="163"/>
      <c r="AA440" s="131"/>
      <c r="AB440" s="131"/>
      <c r="AC440" s="131"/>
      <c r="AD440" s="131"/>
      <c r="AE440" s="131"/>
      <c r="AF440" s="163"/>
      <c r="AG440" s="163"/>
      <c r="AH440" s="163"/>
      <c r="AI440" s="163"/>
      <c r="AJ440" s="163"/>
      <c r="AK440" s="163"/>
      <c r="AL440" s="163"/>
      <c r="AM440" s="130"/>
      <c r="AN440" s="163"/>
    </row>
    <row r="441" ht="15.75" customHeight="1">
      <c r="A441" s="362"/>
      <c r="B441" s="362"/>
      <c r="C441" s="362"/>
      <c r="D441" s="362"/>
      <c r="E441" s="132"/>
      <c r="F441" s="132"/>
      <c r="G441" s="361"/>
      <c r="H441" s="361"/>
      <c r="I441" s="361"/>
      <c r="J441" s="363"/>
      <c r="K441" s="364"/>
      <c r="L441" s="361"/>
      <c r="M441" s="361"/>
      <c r="N441" s="361"/>
      <c r="O441" s="361"/>
      <c r="P441" s="361"/>
      <c r="Q441" s="361"/>
      <c r="R441" s="361"/>
      <c r="S441" s="361"/>
      <c r="T441" s="361"/>
      <c r="U441" s="361"/>
      <c r="V441" s="361"/>
      <c r="W441" s="361"/>
      <c r="X441" s="361"/>
      <c r="Y441" s="131"/>
      <c r="Z441" s="163"/>
      <c r="AA441" s="131"/>
      <c r="AB441" s="131"/>
      <c r="AC441" s="131"/>
      <c r="AD441" s="131"/>
      <c r="AE441" s="131"/>
      <c r="AF441" s="163"/>
      <c r="AG441" s="163"/>
      <c r="AH441" s="163"/>
      <c r="AI441" s="163"/>
      <c r="AJ441" s="163"/>
      <c r="AK441" s="163"/>
      <c r="AL441" s="163"/>
      <c r="AM441" s="130"/>
      <c r="AN441" s="163"/>
    </row>
    <row r="442" ht="15.75" customHeight="1">
      <c r="A442" s="362"/>
      <c r="B442" s="362"/>
      <c r="C442" s="362"/>
      <c r="D442" s="362"/>
      <c r="E442" s="132"/>
      <c r="F442" s="132"/>
      <c r="G442" s="361"/>
      <c r="H442" s="361"/>
      <c r="I442" s="361"/>
      <c r="J442" s="363"/>
      <c r="K442" s="364"/>
      <c r="L442" s="361"/>
      <c r="M442" s="361"/>
      <c r="N442" s="361"/>
      <c r="O442" s="361"/>
      <c r="P442" s="361"/>
      <c r="Q442" s="361"/>
      <c r="R442" s="361"/>
      <c r="S442" s="361"/>
      <c r="T442" s="361"/>
      <c r="U442" s="361"/>
      <c r="V442" s="361"/>
      <c r="W442" s="361"/>
      <c r="X442" s="361"/>
      <c r="Y442" s="131"/>
      <c r="Z442" s="163"/>
      <c r="AA442" s="131"/>
      <c r="AB442" s="131"/>
      <c r="AC442" s="131"/>
      <c r="AD442" s="131"/>
      <c r="AE442" s="131"/>
      <c r="AF442" s="163"/>
      <c r="AG442" s="163"/>
      <c r="AH442" s="163"/>
      <c r="AI442" s="163"/>
      <c r="AJ442" s="163"/>
      <c r="AK442" s="163"/>
      <c r="AL442" s="163"/>
      <c r="AM442" s="130"/>
      <c r="AN442" s="163"/>
    </row>
    <row r="443" ht="15.75" customHeight="1">
      <c r="A443" s="362"/>
      <c r="B443" s="362"/>
      <c r="C443" s="362"/>
      <c r="D443" s="362"/>
      <c r="E443" s="132"/>
      <c r="F443" s="132"/>
      <c r="G443" s="361"/>
      <c r="H443" s="361"/>
      <c r="I443" s="361"/>
      <c r="J443" s="363"/>
      <c r="K443" s="364"/>
      <c r="L443" s="361"/>
      <c r="M443" s="361"/>
      <c r="N443" s="361"/>
      <c r="O443" s="361"/>
      <c r="P443" s="361"/>
      <c r="Q443" s="361"/>
      <c r="R443" s="361"/>
      <c r="S443" s="361"/>
      <c r="T443" s="361"/>
      <c r="U443" s="361"/>
      <c r="V443" s="361"/>
      <c r="W443" s="361"/>
      <c r="X443" s="361"/>
      <c r="Y443" s="131"/>
      <c r="Z443" s="163"/>
      <c r="AA443" s="131"/>
      <c r="AB443" s="131"/>
      <c r="AC443" s="131"/>
      <c r="AD443" s="131"/>
      <c r="AE443" s="131"/>
      <c r="AF443" s="163"/>
      <c r="AG443" s="163"/>
      <c r="AH443" s="163"/>
      <c r="AI443" s="163"/>
      <c r="AJ443" s="163"/>
      <c r="AK443" s="163"/>
      <c r="AL443" s="163"/>
      <c r="AM443" s="130"/>
      <c r="AN443" s="163"/>
    </row>
    <row r="444" ht="15.75" customHeight="1">
      <c r="A444" s="362"/>
      <c r="B444" s="362"/>
      <c r="C444" s="362"/>
      <c r="D444" s="362"/>
      <c r="E444" s="132"/>
      <c r="F444" s="132"/>
      <c r="G444" s="361"/>
      <c r="H444" s="361"/>
      <c r="I444" s="361"/>
      <c r="J444" s="363"/>
      <c r="K444" s="364"/>
      <c r="L444" s="361"/>
      <c r="M444" s="361"/>
      <c r="N444" s="361"/>
      <c r="O444" s="361"/>
      <c r="P444" s="361"/>
      <c r="Q444" s="361"/>
      <c r="R444" s="361"/>
      <c r="S444" s="361"/>
      <c r="T444" s="361"/>
      <c r="U444" s="361"/>
      <c r="V444" s="361"/>
      <c r="W444" s="361"/>
      <c r="X444" s="361"/>
      <c r="Y444" s="131"/>
      <c r="Z444" s="163"/>
      <c r="AA444" s="131"/>
      <c r="AB444" s="131"/>
      <c r="AC444" s="131"/>
      <c r="AD444" s="131"/>
      <c r="AE444" s="131"/>
      <c r="AF444" s="163"/>
      <c r="AG444" s="163"/>
      <c r="AH444" s="163"/>
      <c r="AI444" s="163"/>
      <c r="AJ444" s="163"/>
      <c r="AK444" s="163"/>
      <c r="AL444" s="163"/>
      <c r="AM444" s="130"/>
      <c r="AN444" s="163"/>
    </row>
    <row r="445" ht="15.75" customHeight="1">
      <c r="A445" s="362"/>
      <c r="B445" s="362"/>
      <c r="C445" s="362"/>
      <c r="D445" s="362"/>
      <c r="E445" s="132"/>
      <c r="F445" s="132"/>
      <c r="G445" s="361"/>
      <c r="H445" s="361"/>
      <c r="I445" s="361"/>
      <c r="J445" s="363"/>
      <c r="K445" s="364"/>
      <c r="L445" s="361"/>
      <c r="M445" s="361"/>
      <c r="N445" s="361"/>
      <c r="O445" s="361"/>
      <c r="P445" s="361"/>
      <c r="Q445" s="361"/>
      <c r="R445" s="361"/>
      <c r="S445" s="361"/>
      <c r="T445" s="361"/>
      <c r="U445" s="361"/>
      <c r="V445" s="361"/>
      <c r="W445" s="361"/>
      <c r="X445" s="361"/>
      <c r="Y445" s="131"/>
      <c r="Z445" s="163"/>
      <c r="AA445" s="131"/>
      <c r="AB445" s="131"/>
      <c r="AC445" s="131"/>
      <c r="AD445" s="131"/>
      <c r="AE445" s="131"/>
      <c r="AF445" s="163"/>
      <c r="AG445" s="163"/>
      <c r="AH445" s="163"/>
      <c r="AI445" s="163"/>
      <c r="AJ445" s="163"/>
      <c r="AK445" s="163"/>
      <c r="AL445" s="163"/>
      <c r="AM445" s="130"/>
      <c r="AN445" s="163"/>
    </row>
    <row r="446" ht="15.75" customHeight="1">
      <c r="A446" s="362"/>
      <c r="B446" s="362"/>
      <c r="C446" s="362"/>
      <c r="D446" s="362"/>
      <c r="E446" s="132"/>
      <c r="F446" s="132"/>
      <c r="G446" s="361"/>
      <c r="H446" s="361"/>
      <c r="I446" s="361"/>
      <c r="J446" s="363"/>
      <c r="K446" s="364"/>
      <c r="L446" s="361"/>
      <c r="M446" s="361"/>
      <c r="N446" s="361"/>
      <c r="O446" s="361"/>
      <c r="P446" s="361"/>
      <c r="Q446" s="361"/>
      <c r="R446" s="361"/>
      <c r="S446" s="361"/>
      <c r="T446" s="361"/>
      <c r="U446" s="361"/>
      <c r="V446" s="361"/>
      <c r="W446" s="361"/>
      <c r="X446" s="361"/>
      <c r="Y446" s="131"/>
      <c r="Z446" s="163"/>
      <c r="AA446" s="131"/>
      <c r="AB446" s="131"/>
      <c r="AC446" s="131"/>
      <c r="AD446" s="131"/>
      <c r="AE446" s="131"/>
      <c r="AF446" s="163"/>
      <c r="AG446" s="163"/>
      <c r="AH446" s="163"/>
      <c r="AI446" s="163"/>
      <c r="AJ446" s="163"/>
      <c r="AK446" s="163"/>
      <c r="AL446" s="163"/>
      <c r="AM446" s="130"/>
      <c r="AN446" s="163"/>
    </row>
    <row r="447" ht="15.75" customHeight="1">
      <c r="A447" s="362"/>
      <c r="B447" s="362"/>
      <c r="C447" s="362"/>
      <c r="D447" s="362"/>
      <c r="E447" s="132"/>
      <c r="F447" s="132"/>
      <c r="G447" s="361"/>
      <c r="H447" s="361"/>
      <c r="I447" s="361"/>
      <c r="J447" s="363"/>
      <c r="K447" s="364"/>
      <c r="L447" s="361"/>
      <c r="M447" s="361"/>
      <c r="N447" s="361"/>
      <c r="O447" s="361"/>
      <c r="P447" s="361"/>
      <c r="Q447" s="361"/>
      <c r="R447" s="361"/>
      <c r="S447" s="361"/>
      <c r="T447" s="361"/>
      <c r="U447" s="361"/>
      <c r="V447" s="361"/>
      <c r="W447" s="361"/>
      <c r="X447" s="361"/>
      <c r="Y447" s="131"/>
      <c r="Z447" s="163"/>
      <c r="AA447" s="131"/>
      <c r="AB447" s="131"/>
      <c r="AC447" s="131"/>
      <c r="AD447" s="131"/>
      <c r="AE447" s="131"/>
      <c r="AF447" s="163"/>
      <c r="AG447" s="163"/>
      <c r="AH447" s="163"/>
      <c r="AI447" s="163"/>
      <c r="AJ447" s="163"/>
      <c r="AK447" s="163"/>
      <c r="AL447" s="163"/>
      <c r="AM447" s="130"/>
      <c r="AN447" s="163"/>
    </row>
    <row r="448" ht="15.75" customHeight="1">
      <c r="A448" s="362"/>
      <c r="B448" s="362"/>
      <c r="C448" s="362"/>
      <c r="D448" s="362"/>
      <c r="E448" s="132"/>
      <c r="F448" s="132"/>
      <c r="G448" s="361"/>
      <c r="H448" s="361"/>
      <c r="I448" s="361"/>
      <c r="J448" s="363"/>
      <c r="K448" s="364"/>
      <c r="L448" s="361"/>
      <c r="M448" s="361"/>
      <c r="N448" s="361"/>
      <c r="O448" s="361"/>
      <c r="P448" s="361"/>
      <c r="Q448" s="361"/>
      <c r="R448" s="361"/>
      <c r="S448" s="361"/>
      <c r="T448" s="361"/>
      <c r="U448" s="361"/>
      <c r="V448" s="361"/>
      <c r="W448" s="361"/>
      <c r="X448" s="361"/>
      <c r="Y448" s="131"/>
      <c r="Z448" s="163"/>
      <c r="AA448" s="131"/>
      <c r="AB448" s="131"/>
      <c r="AC448" s="131"/>
      <c r="AD448" s="131"/>
      <c r="AE448" s="131"/>
      <c r="AF448" s="163"/>
      <c r="AG448" s="163"/>
      <c r="AH448" s="163"/>
      <c r="AI448" s="163"/>
      <c r="AJ448" s="163"/>
      <c r="AK448" s="163"/>
      <c r="AL448" s="163"/>
      <c r="AM448" s="130"/>
      <c r="AN448" s="163"/>
    </row>
    <row r="449" ht="15.75" customHeight="1">
      <c r="A449" s="362"/>
      <c r="B449" s="362"/>
      <c r="C449" s="362"/>
      <c r="D449" s="362"/>
      <c r="E449" s="132"/>
      <c r="F449" s="132"/>
      <c r="G449" s="361"/>
      <c r="H449" s="361"/>
      <c r="I449" s="361"/>
      <c r="J449" s="363"/>
      <c r="K449" s="364"/>
      <c r="L449" s="361"/>
      <c r="M449" s="361"/>
      <c r="N449" s="361"/>
      <c r="O449" s="361"/>
      <c r="P449" s="361"/>
      <c r="Q449" s="361"/>
      <c r="R449" s="361"/>
      <c r="S449" s="361"/>
      <c r="T449" s="361"/>
      <c r="U449" s="361"/>
      <c r="V449" s="361"/>
      <c r="W449" s="361"/>
      <c r="X449" s="361"/>
      <c r="Y449" s="131"/>
      <c r="Z449" s="163"/>
      <c r="AA449" s="131"/>
      <c r="AB449" s="131"/>
      <c r="AC449" s="131"/>
      <c r="AD449" s="131"/>
      <c r="AE449" s="131"/>
      <c r="AF449" s="163"/>
      <c r="AG449" s="163"/>
      <c r="AH449" s="163"/>
      <c r="AI449" s="163"/>
      <c r="AJ449" s="163"/>
      <c r="AK449" s="163"/>
      <c r="AL449" s="163"/>
      <c r="AM449" s="130"/>
      <c r="AN449" s="163"/>
    </row>
    <row r="450" ht="15.75" customHeight="1">
      <c r="A450" s="362"/>
      <c r="B450" s="362"/>
      <c r="C450" s="362"/>
      <c r="D450" s="362"/>
      <c r="E450" s="132"/>
      <c r="F450" s="132"/>
      <c r="G450" s="361"/>
      <c r="H450" s="361"/>
      <c r="I450" s="361"/>
      <c r="J450" s="363"/>
      <c r="K450" s="364"/>
      <c r="L450" s="361"/>
      <c r="M450" s="361"/>
      <c r="N450" s="361"/>
      <c r="O450" s="361"/>
      <c r="P450" s="361"/>
      <c r="Q450" s="361"/>
      <c r="R450" s="361"/>
      <c r="S450" s="361"/>
      <c r="T450" s="361"/>
      <c r="U450" s="361"/>
      <c r="V450" s="361"/>
      <c r="W450" s="361"/>
      <c r="X450" s="361"/>
      <c r="Y450" s="131"/>
      <c r="Z450" s="163"/>
      <c r="AA450" s="131"/>
      <c r="AB450" s="131"/>
      <c r="AC450" s="131"/>
      <c r="AD450" s="131"/>
      <c r="AE450" s="131"/>
      <c r="AF450" s="163"/>
      <c r="AG450" s="163"/>
      <c r="AH450" s="163"/>
      <c r="AI450" s="163"/>
      <c r="AJ450" s="163"/>
      <c r="AK450" s="163"/>
      <c r="AL450" s="163"/>
      <c r="AM450" s="130"/>
      <c r="AN450" s="163"/>
    </row>
    <row r="451" ht="15.75" customHeight="1">
      <c r="A451" s="362"/>
      <c r="B451" s="362"/>
      <c r="C451" s="362"/>
      <c r="D451" s="362"/>
      <c r="E451" s="132"/>
      <c r="F451" s="132"/>
      <c r="G451" s="361"/>
      <c r="H451" s="361"/>
      <c r="I451" s="361"/>
      <c r="J451" s="363"/>
      <c r="K451" s="364"/>
      <c r="L451" s="361"/>
      <c r="M451" s="361"/>
      <c r="N451" s="361"/>
      <c r="O451" s="361"/>
      <c r="P451" s="361"/>
      <c r="Q451" s="361"/>
      <c r="R451" s="361"/>
      <c r="S451" s="361"/>
      <c r="T451" s="361"/>
      <c r="U451" s="361"/>
      <c r="V451" s="361"/>
      <c r="W451" s="361"/>
      <c r="X451" s="361"/>
      <c r="Y451" s="131"/>
      <c r="Z451" s="163"/>
      <c r="AA451" s="131"/>
      <c r="AB451" s="131"/>
      <c r="AC451" s="131"/>
      <c r="AD451" s="131"/>
      <c r="AE451" s="131"/>
      <c r="AF451" s="163"/>
      <c r="AG451" s="163"/>
      <c r="AH451" s="163"/>
      <c r="AI451" s="163"/>
      <c r="AJ451" s="163"/>
      <c r="AK451" s="163"/>
      <c r="AL451" s="163"/>
      <c r="AM451" s="130"/>
      <c r="AN451" s="163"/>
    </row>
    <row r="452" ht="15.75" customHeight="1">
      <c r="A452" s="362"/>
      <c r="B452" s="362"/>
      <c r="C452" s="362"/>
      <c r="D452" s="362"/>
      <c r="E452" s="132"/>
      <c r="F452" s="132"/>
      <c r="G452" s="361"/>
      <c r="H452" s="361"/>
      <c r="I452" s="361"/>
      <c r="J452" s="363"/>
      <c r="K452" s="364"/>
      <c r="L452" s="361"/>
      <c r="M452" s="361"/>
      <c r="N452" s="361"/>
      <c r="O452" s="361"/>
      <c r="P452" s="361"/>
      <c r="Q452" s="361"/>
      <c r="R452" s="361"/>
      <c r="S452" s="361"/>
      <c r="T452" s="361"/>
      <c r="U452" s="361"/>
      <c r="V452" s="361"/>
      <c r="W452" s="361"/>
      <c r="X452" s="361"/>
      <c r="Y452" s="131"/>
      <c r="Z452" s="163"/>
      <c r="AA452" s="131"/>
      <c r="AB452" s="131"/>
      <c r="AC452" s="131"/>
      <c r="AD452" s="131"/>
      <c r="AE452" s="131"/>
      <c r="AF452" s="163"/>
      <c r="AG452" s="163"/>
      <c r="AH452" s="163"/>
      <c r="AI452" s="163"/>
      <c r="AJ452" s="163"/>
      <c r="AK452" s="163"/>
      <c r="AL452" s="163"/>
      <c r="AM452" s="130"/>
      <c r="AN452" s="163"/>
    </row>
    <row r="453" ht="15.75" customHeight="1">
      <c r="A453" s="362"/>
      <c r="B453" s="362"/>
      <c r="C453" s="362"/>
      <c r="D453" s="362"/>
      <c r="E453" s="132"/>
      <c r="F453" s="132"/>
      <c r="G453" s="361"/>
      <c r="H453" s="361"/>
      <c r="I453" s="361"/>
      <c r="J453" s="363"/>
      <c r="K453" s="364"/>
      <c r="L453" s="361"/>
      <c r="M453" s="361"/>
      <c r="N453" s="361"/>
      <c r="O453" s="361"/>
      <c r="P453" s="361"/>
      <c r="Q453" s="361"/>
      <c r="R453" s="361"/>
      <c r="S453" s="361"/>
      <c r="T453" s="361"/>
      <c r="U453" s="361"/>
      <c r="V453" s="361"/>
      <c r="W453" s="361"/>
      <c r="X453" s="361"/>
      <c r="Y453" s="131"/>
      <c r="Z453" s="163"/>
      <c r="AA453" s="131"/>
      <c r="AB453" s="131"/>
      <c r="AC453" s="131"/>
      <c r="AD453" s="131"/>
      <c r="AE453" s="131"/>
      <c r="AF453" s="163"/>
      <c r="AG453" s="163"/>
      <c r="AH453" s="163"/>
      <c r="AI453" s="163"/>
      <c r="AJ453" s="163"/>
      <c r="AK453" s="163"/>
      <c r="AL453" s="163"/>
      <c r="AM453" s="130"/>
      <c r="AN453" s="163"/>
    </row>
    <row r="454" ht="15.75" customHeight="1">
      <c r="A454" s="362"/>
      <c r="B454" s="362"/>
      <c r="C454" s="362"/>
      <c r="D454" s="362"/>
      <c r="E454" s="132"/>
      <c r="F454" s="132"/>
      <c r="G454" s="361"/>
      <c r="H454" s="361"/>
      <c r="I454" s="361"/>
      <c r="J454" s="363"/>
      <c r="K454" s="364"/>
      <c r="L454" s="361"/>
      <c r="M454" s="361"/>
      <c r="N454" s="361"/>
      <c r="O454" s="361"/>
      <c r="P454" s="361"/>
      <c r="Q454" s="361"/>
      <c r="R454" s="361"/>
      <c r="S454" s="361"/>
      <c r="T454" s="361"/>
      <c r="U454" s="361"/>
      <c r="V454" s="361"/>
      <c r="W454" s="361"/>
      <c r="X454" s="361"/>
      <c r="Y454" s="131"/>
      <c r="Z454" s="163"/>
      <c r="AA454" s="131"/>
      <c r="AB454" s="131"/>
      <c r="AC454" s="131"/>
      <c r="AD454" s="131"/>
      <c r="AE454" s="131"/>
      <c r="AF454" s="163"/>
      <c r="AG454" s="163"/>
      <c r="AH454" s="163"/>
      <c r="AI454" s="163"/>
      <c r="AJ454" s="163"/>
      <c r="AK454" s="163"/>
      <c r="AL454" s="163"/>
      <c r="AM454" s="130"/>
      <c r="AN454" s="163"/>
    </row>
    <row r="455" ht="15.75" customHeight="1">
      <c r="A455" s="362"/>
      <c r="B455" s="362"/>
      <c r="C455" s="362"/>
      <c r="D455" s="362"/>
      <c r="E455" s="132"/>
      <c r="F455" s="132"/>
      <c r="G455" s="361"/>
      <c r="H455" s="361"/>
      <c r="I455" s="361"/>
      <c r="J455" s="363"/>
      <c r="K455" s="364"/>
      <c r="L455" s="361"/>
      <c r="M455" s="361"/>
      <c r="N455" s="361"/>
      <c r="O455" s="361"/>
      <c r="P455" s="361"/>
      <c r="Q455" s="361"/>
      <c r="R455" s="361"/>
      <c r="S455" s="361"/>
      <c r="T455" s="361"/>
      <c r="U455" s="361"/>
      <c r="V455" s="361"/>
      <c r="W455" s="361"/>
      <c r="X455" s="361"/>
      <c r="Y455" s="131"/>
      <c r="Z455" s="163"/>
      <c r="AA455" s="131"/>
      <c r="AB455" s="131"/>
      <c r="AC455" s="131"/>
      <c r="AD455" s="131"/>
      <c r="AE455" s="131"/>
      <c r="AF455" s="163"/>
      <c r="AG455" s="163"/>
      <c r="AH455" s="163"/>
      <c r="AI455" s="163"/>
      <c r="AJ455" s="163"/>
      <c r="AK455" s="163"/>
      <c r="AL455" s="163"/>
      <c r="AM455" s="130"/>
      <c r="AN455" s="163"/>
    </row>
    <row r="456" ht="15.75" customHeight="1">
      <c r="A456" s="362"/>
      <c r="B456" s="362"/>
      <c r="C456" s="362"/>
      <c r="D456" s="362"/>
      <c r="E456" s="132"/>
      <c r="F456" s="132"/>
      <c r="G456" s="361"/>
      <c r="H456" s="361"/>
      <c r="I456" s="361"/>
      <c r="J456" s="363"/>
      <c r="K456" s="364"/>
      <c r="L456" s="361"/>
      <c r="M456" s="361"/>
      <c r="N456" s="361"/>
      <c r="O456" s="361"/>
      <c r="P456" s="361"/>
      <c r="Q456" s="361"/>
      <c r="R456" s="361"/>
      <c r="S456" s="361"/>
      <c r="T456" s="361"/>
      <c r="U456" s="361"/>
      <c r="V456" s="361"/>
      <c r="W456" s="361"/>
      <c r="X456" s="361"/>
      <c r="Y456" s="131"/>
      <c r="Z456" s="163"/>
      <c r="AA456" s="131"/>
      <c r="AB456" s="131"/>
      <c r="AC456" s="131"/>
      <c r="AD456" s="131"/>
      <c r="AE456" s="131"/>
      <c r="AF456" s="163"/>
      <c r="AG456" s="163"/>
      <c r="AH456" s="163"/>
      <c r="AI456" s="163"/>
      <c r="AJ456" s="163"/>
      <c r="AK456" s="163"/>
      <c r="AL456" s="163"/>
      <c r="AM456" s="130"/>
      <c r="AN456" s="163"/>
    </row>
    <row r="457" ht="15.75" customHeight="1">
      <c r="A457" s="362"/>
      <c r="B457" s="362"/>
      <c r="C457" s="362"/>
      <c r="D457" s="362"/>
      <c r="E457" s="132"/>
      <c r="F457" s="132"/>
      <c r="G457" s="361"/>
      <c r="H457" s="361"/>
      <c r="I457" s="361"/>
      <c r="J457" s="363"/>
      <c r="K457" s="364"/>
      <c r="L457" s="361"/>
      <c r="M457" s="361"/>
      <c r="N457" s="361"/>
      <c r="O457" s="361"/>
      <c r="P457" s="361"/>
      <c r="Q457" s="361"/>
      <c r="R457" s="361"/>
      <c r="S457" s="361"/>
      <c r="T457" s="361"/>
      <c r="U457" s="361"/>
      <c r="V457" s="361"/>
      <c r="W457" s="361"/>
      <c r="X457" s="361"/>
      <c r="Y457" s="131"/>
      <c r="Z457" s="163"/>
      <c r="AA457" s="131"/>
      <c r="AB457" s="131"/>
      <c r="AC457" s="131"/>
      <c r="AD457" s="131"/>
      <c r="AE457" s="131"/>
      <c r="AF457" s="163"/>
      <c r="AG457" s="163"/>
      <c r="AH457" s="163"/>
      <c r="AI457" s="163"/>
      <c r="AJ457" s="163"/>
      <c r="AK457" s="163"/>
      <c r="AL457" s="163"/>
      <c r="AM457" s="130"/>
      <c r="AN457" s="163"/>
    </row>
    <row r="458" ht="15.75" customHeight="1">
      <c r="A458" s="362"/>
      <c r="B458" s="362"/>
      <c r="C458" s="362"/>
      <c r="D458" s="362"/>
      <c r="E458" s="132"/>
      <c r="F458" s="132"/>
      <c r="G458" s="361"/>
      <c r="H458" s="361"/>
      <c r="I458" s="361"/>
      <c r="J458" s="363"/>
      <c r="K458" s="364"/>
      <c r="L458" s="361"/>
      <c r="M458" s="361"/>
      <c r="N458" s="361"/>
      <c r="O458" s="361"/>
      <c r="P458" s="361"/>
      <c r="Q458" s="361"/>
      <c r="R458" s="361"/>
      <c r="S458" s="361"/>
      <c r="T458" s="361"/>
      <c r="U458" s="361"/>
      <c r="V458" s="361"/>
      <c r="W458" s="361"/>
      <c r="X458" s="361"/>
      <c r="Y458" s="131"/>
      <c r="Z458" s="163"/>
      <c r="AA458" s="131"/>
      <c r="AB458" s="131"/>
      <c r="AC458" s="131"/>
      <c r="AD458" s="131"/>
      <c r="AE458" s="131"/>
      <c r="AF458" s="163"/>
      <c r="AG458" s="163"/>
      <c r="AH458" s="163"/>
      <c r="AI458" s="163"/>
      <c r="AJ458" s="163"/>
      <c r="AK458" s="163"/>
      <c r="AL458" s="163"/>
      <c r="AM458" s="130"/>
      <c r="AN458" s="163"/>
    </row>
    <row r="459" ht="15.75" customHeight="1">
      <c r="A459" s="362"/>
      <c r="B459" s="362"/>
      <c r="C459" s="362"/>
      <c r="D459" s="362"/>
      <c r="E459" s="132"/>
      <c r="F459" s="132"/>
      <c r="G459" s="361"/>
      <c r="H459" s="361"/>
      <c r="I459" s="361"/>
      <c r="J459" s="363"/>
      <c r="K459" s="364"/>
      <c r="L459" s="361"/>
      <c r="M459" s="361"/>
      <c r="N459" s="361"/>
      <c r="O459" s="361"/>
      <c r="P459" s="361"/>
      <c r="Q459" s="361"/>
      <c r="R459" s="361"/>
      <c r="S459" s="361"/>
      <c r="T459" s="361"/>
      <c r="U459" s="361"/>
      <c r="V459" s="361"/>
      <c r="W459" s="361"/>
      <c r="X459" s="361"/>
      <c r="Y459" s="131"/>
      <c r="Z459" s="163"/>
      <c r="AA459" s="131"/>
      <c r="AB459" s="131"/>
      <c r="AC459" s="131"/>
      <c r="AD459" s="131"/>
      <c r="AE459" s="131"/>
      <c r="AF459" s="163"/>
      <c r="AG459" s="163"/>
      <c r="AH459" s="163"/>
      <c r="AI459" s="163"/>
      <c r="AJ459" s="163"/>
      <c r="AK459" s="163"/>
      <c r="AL459" s="163"/>
      <c r="AM459" s="130"/>
      <c r="AN459" s="163"/>
    </row>
    <row r="460" ht="15.75" customHeight="1">
      <c r="A460" s="362"/>
      <c r="B460" s="362"/>
      <c r="C460" s="362"/>
      <c r="D460" s="362"/>
      <c r="E460" s="132"/>
      <c r="F460" s="132"/>
      <c r="G460" s="361"/>
      <c r="H460" s="361"/>
      <c r="I460" s="361"/>
      <c r="J460" s="363"/>
      <c r="K460" s="364"/>
      <c r="L460" s="361"/>
      <c r="M460" s="361"/>
      <c r="N460" s="361"/>
      <c r="O460" s="361"/>
      <c r="P460" s="361"/>
      <c r="Q460" s="361"/>
      <c r="R460" s="361"/>
      <c r="S460" s="361"/>
      <c r="T460" s="361"/>
      <c r="U460" s="361"/>
      <c r="V460" s="361"/>
      <c r="W460" s="361"/>
      <c r="X460" s="361"/>
      <c r="Y460" s="131"/>
      <c r="Z460" s="163"/>
      <c r="AA460" s="131"/>
      <c r="AB460" s="131"/>
      <c r="AC460" s="131"/>
      <c r="AD460" s="131"/>
      <c r="AE460" s="131"/>
      <c r="AF460" s="163"/>
      <c r="AG460" s="163"/>
      <c r="AH460" s="163"/>
      <c r="AI460" s="163"/>
      <c r="AJ460" s="163"/>
      <c r="AK460" s="163"/>
      <c r="AL460" s="163"/>
      <c r="AM460" s="130"/>
      <c r="AN460" s="163"/>
    </row>
    <row r="461" ht="15.75" customHeight="1">
      <c r="A461" s="362"/>
      <c r="B461" s="362"/>
      <c r="C461" s="362"/>
      <c r="D461" s="362"/>
      <c r="E461" s="132"/>
      <c r="F461" s="132"/>
      <c r="G461" s="361"/>
      <c r="H461" s="361"/>
      <c r="I461" s="361"/>
      <c r="J461" s="363"/>
      <c r="K461" s="364"/>
      <c r="L461" s="361"/>
      <c r="M461" s="361"/>
      <c r="N461" s="361"/>
      <c r="O461" s="361"/>
      <c r="P461" s="361"/>
      <c r="Q461" s="361"/>
      <c r="R461" s="361"/>
      <c r="S461" s="361"/>
      <c r="T461" s="361"/>
      <c r="U461" s="361"/>
      <c r="V461" s="361"/>
      <c r="W461" s="361"/>
      <c r="X461" s="361"/>
      <c r="Y461" s="131"/>
      <c r="Z461" s="163"/>
      <c r="AA461" s="131"/>
      <c r="AB461" s="131"/>
      <c r="AC461" s="131"/>
      <c r="AD461" s="131"/>
      <c r="AE461" s="131"/>
      <c r="AF461" s="163"/>
      <c r="AG461" s="163"/>
      <c r="AH461" s="163"/>
      <c r="AI461" s="163"/>
      <c r="AJ461" s="163"/>
      <c r="AK461" s="163"/>
      <c r="AL461" s="163"/>
      <c r="AM461" s="130"/>
      <c r="AN461" s="163"/>
    </row>
    <row r="462" ht="15.75" customHeight="1">
      <c r="A462" s="362"/>
      <c r="B462" s="362"/>
      <c r="C462" s="362"/>
      <c r="D462" s="362"/>
      <c r="E462" s="132"/>
      <c r="F462" s="132"/>
      <c r="G462" s="361"/>
      <c r="H462" s="361"/>
      <c r="I462" s="361"/>
      <c r="J462" s="363"/>
      <c r="K462" s="364"/>
      <c r="L462" s="361"/>
      <c r="M462" s="361"/>
      <c r="N462" s="361"/>
      <c r="O462" s="361"/>
      <c r="P462" s="361"/>
      <c r="Q462" s="361"/>
      <c r="R462" s="361"/>
      <c r="S462" s="361"/>
      <c r="T462" s="361"/>
      <c r="U462" s="361"/>
      <c r="V462" s="361"/>
      <c r="W462" s="361"/>
      <c r="X462" s="361"/>
      <c r="Y462" s="131"/>
      <c r="Z462" s="163"/>
      <c r="AA462" s="131"/>
      <c r="AB462" s="131"/>
      <c r="AC462" s="131"/>
      <c r="AD462" s="131"/>
      <c r="AE462" s="131"/>
      <c r="AF462" s="163"/>
      <c r="AG462" s="163"/>
      <c r="AH462" s="163"/>
      <c r="AI462" s="163"/>
      <c r="AJ462" s="163"/>
      <c r="AK462" s="163"/>
      <c r="AL462" s="163"/>
      <c r="AM462" s="130"/>
      <c r="AN462" s="163"/>
    </row>
    <row r="463" ht="15.75" customHeight="1">
      <c r="A463" s="362"/>
      <c r="B463" s="362"/>
      <c r="C463" s="362"/>
      <c r="D463" s="362"/>
      <c r="E463" s="132"/>
      <c r="F463" s="132"/>
      <c r="G463" s="361"/>
      <c r="H463" s="361"/>
      <c r="I463" s="361"/>
      <c r="J463" s="363"/>
      <c r="K463" s="364"/>
      <c r="L463" s="361"/>
      <c r="M463" s="361"/>
      <c r="N463" s="361"/>
      <c r="O463" s="361"/>
      <c r="P463" s="361"/>
      <c r="Q463" s="361"/>
      <c r="R463" s="361"/>
      <c r="S463" s="361"/>
      <c r="T463" s="361"/>
      <c r="U463" s="361"/>
      <c r="V463" s="361"/>
      <c r="W463" s="361"/>
      <c r="X463" s="361"/>
      <c r="Y463" s="131"/>
      <c r="Z463" s="163"/>
      <c r="AA463" s="131"/>
      <c r="AB463" s="131"/>
      <c r="AC463" s="131"/>
      <c r="AD463" s="131"/>
      <c r="AE463" s="131"/>
      <c r="AF463" s="163"/>
      <c r="AG463" s="163"/>
      <c r="AH463" s="163"/>
      <c r="AI463" s="163"/>
      <c r="AJ463" s="163"/>
      <c r="AK463" s="163"/>
      <c r="AL463" s="163"/>
      <c r="AM463" s="130"/>
      <c r="AN463" s="163"/>
    </row>
    <row r="464" ht="15.75" customHeight="1">
      <c r="A464" s="362"/>
      <c r="B464" s="362"/>
      <c r="C464" s="362"/>
      <c r="D464" s="362"/>
      <c r="E464" s="132"/>
      <c r="F464" s="132"/>
      <c r="G464" s="361"/>
      <c r="H464" s="361"/>
      <c r="I464" s="361"/>
      <c r="J464" s="363"/>
      <c r="K464" s="364"/>
      <c r="L464" s="361"/>
      <c r="M464" s="361"/>
      <c r="N464" s="361"/>
      <c r="O464" s="361"/>
      <c r="P464" s="361"/>
      <c r="Q464" s="361"/>
      <c r="R464" s="361"/>
      <c r="S464" s="361"/>
      <c r="T464" s="361"/>
      <c r="U464" s="361"/>
      <c r="V464" s="361"/>
      <c r="W464" s="361"/>
      <c r="X464" s="361"/>
      <c r="Y464" s="131"/>
      <c r="Z464" s="163"/>
      <c r="AA464" s="131"/>
      <c r="AB464" s="131"/>
      <c r="AC464" s="131"/>
      <c r="AD464" s="131"/>
      <c r="AE464" s="131"/>
      <c r="AF464" s="163"/>
      <c r="AG464" s="163"/>
      <c r="AH464" s="163"/>
      <c r="AI464" s="163"/>
      <c r="AJ464" s="163"/>
      <c r="AK464" s="163"/>
      <c r="AL464" s="163"/>
      <c r="AM464" s="130"/>
      <c r="AN464" s="163"/>
    </row>
    <row r="465" ht="15.75" customHeight="1">
      <c r="A465" s="362"/>
      <c r="B465" s="362"/>
      <c r="C465" s="362"/>
      <c r="D465" s="362"/>
      <c r="E465" s="132"/>
      <c r="F465" s="132"/>
      <c r="G465" s="361"/>
      <c r="H465" s="361"/>
      <c r="I465" s="361"/>
      <c r="J465" s="363"/>
      <c r="K465" s="364"/>
      <c r="L465" s="361"/>
      <c r="M465" s="361"/>
      <c r="N465" s="361"/>
      <c r="O465" s="361"/>
      <c r="P465" s="361"/>
      <c r="Q465" s="361"/>
      <c r="R465" s="361"/>
      <c r="S465" s="361"/>
      <c r="T465" s="361"/>
      <c r="U465" s="361"/>
      <c r="V465" s="361"/>
      <c r="W465" s="361"/>
      <c r="X465" s="361"/>
      <c r="Y465" s="131"/>
      <c r="Z465" s="163"/>
      <c r="AA465" s="131"/>
      <c r="AB465" s="131"/>
      <c r="AC465" s="131"/>
      <c r="AD465" s="131"/>
      <c r="AE465" s="131"/>
      <c r="AF465" s="163"/>
      <c r="AG465" s="163"/>
      <c r="AH465" s="163"/>
      <c r="AI465" s="163"/>
      <c r="AJ465" s="163"/>
      <c r="AK465" s="163"/>
      <c r="AL465" s="163"/>
      <c r="AM465" s="130"/>
      <c r="AN465" s="163"/>
    </row>
    <row r="466" ht="15.75" customHeight="1">
      <c r="A466" s="362"/>
      <c r="B466" s="362"/>
      <c r="C466" s="362"/>
      <c r="D466" s="362"/>
      <c r="E466" s="132"/>
      <c r="F466" s="132"/>
      <c r="G466" s="361"/>
      <c r="H466" s="361"/>
      <c r="I466" s="361"/>
      <c r="J466" s="363"/>
      <c r="K466" s="364"/>
      <c r="L466" s="361"/>
      <c r="M466" s="361"/>
      <c r="N466" s="361"/>
      <c r="O466" s="361"/>
      <c r="P466" s="361"/>
      <c r="Q466" s="361"/>
      <c r="R466" s="361"/>
      <c r="S466" s="361"/>
      <c r="T466" s="361"/>
      <c r="U466" s="361"/>
      <c r="V466" s="361"/>
      <c r="W466" s="361"/>
      <c r="X466" s="361"/>
      <c r="Y466" s="131"/>
      <c r="Z466" s="163"/>
      <c r="AA466" s="131"/>
      <c r="AB466" s="131"/>
      <c r="AC466" s="131"/>
      <c r="AD466" s="131"/>
      <c r="AE466" s="131"/>
      <c r="AF466" s="163"/>
      <c r="AG466" s="163"/>
      <c r="AH466" s="163"/>
      <c r="AI466" s="163"/>
      <c r="AJ466" s="163"/>
      <c r="AK466" s="163"/>
      <c r="AL466" s="163"/>
      <c r="AM466" s="130"/>
      <c r="AN466" s="163"/>
    </row>
    <row r="467" ht="15.75" customHeight="1">
      <c r="A467" s="362"/>
      <c r="B467" s="362"/>
      <c r="C467" s="362"/>
      <c r="D467" s="362"/>
      <c r="E467" s="132"/>
      <c r="F467" s="132"/>
      <c r="G467" s="361"/>
      <c r="H467" s="361"/>
      <c r="I467" s="361"/>
      <c r="J467" s="363"/>
      <c r="K467" s="364"/>
      <c r="L467" s="361"/>
      <c r="M467" s="361"/>
      <c r="N467" s="361"/>
      <c r="O467" s="361"/>
      <c r="P467" s="361"/>
      <c r="Q467" s="361"/>
      <c r="R467" s="361"/>
      <c r="S467" s="361"/>
      <c r="T467" s="361"/>
      <c r="U467" s="361"/>
      <c r="V467" s="361"/>
      <c r="W467" s="361"/>
      <c r="X467" s="361"/>
      <c r="Y467" s="131"/>
      <c r="Z467" s="163"/>
      <c r="AA467" s="131"/>
      <c r="AB467" s="131"/>
      <c r="AC467" s="131"/>
      <c r="AD467" s="131"/>
      <c r="AE467" s="131"/>
      <c r="AF467" s="163"/>
      <c r="AG467" s="163"/>
      <c r="AH467" s="163"/>
      <c r="AI467" s="163"/>
      <c r="AJ467" s="163"/>
      <c r="AK467" s="163"/>
      <c r="AL467" s="163"/>
      <c r="AM467" s="130"/>
      <c r="AN467" s="163"/>
    </row>
    <row r="468" ht="15.75" customHeight="1">
      <c r="A468" s="362"/>
      <c r="B468" s="362"/>
      <c r="C468" s="362"/>
      <c r="D468" s="362"/>
      <c r="E468" s="132"/>
      <c r="F468" s="132"/>
      <c r="G468" s="361"/>
      <c r="H468" s="361"/>
      <c r="I468" s="361"/>
      <c r="J468" s="363"/>
      <c r="K468" s="364"/>
      <c r="L468" s="361"/>
      <c r="M468" s="361"/>
      <c r="N468" s="361"/>
      <c r="O468" s="361"/>
      <c r="P468" s="361"/>
      <c r="Q468" s="361"/>
      <c r="R468" s="361"/>
      <c r="S468" s="361"/>
      <c r="T468" s="361"/>
      <c r="U468" s="361"/>
      <c r="V468" s="361"/>
      <c r="W468" s="361"/>
      <c r="X468" s="361"/>
      <c r="Y468" s="131"/>
      <c r="Z468" s="163"/>
      <c r="AA468" s="131"/>
      <c r="AB468" s="131"/>
      <c r="AC468" s="131"/>
      <c r="AD468" s="131"/>
      <c r="AE468" s="131"/>
      <c r="AF468" s="163"/>
      <c r="AG468" s="163"/>
      <c r="AH468" s="163"/>
      <c r="AI468" s="163"/>
      <c r="AJ468" s="163"/>
      <c r="AK468" s="163"/>
      <c r="AL468" s="163"/>
      <c r="AM468" s="130"/>
      <c r="AN468" s="163"/>
    </row>
    <row r="469" ht="15.75" customHeight="1">
      <c r="A469" s="362"/>
      <c r="B469" s="362"/>
      <c r="C469" s="362"/>
      <c r="D469" s="362"/>
      <c r="E469" s="132"/>
      <c r="F469" s="132"/>
      <c r="G469" s="361"/>
      <c r="H469" s="361"/>
      <c r="I469" s="361"/>
      <c r="J469" s="363"/>
      <c r="K469" s="364"/>
      <c r="L469" s="361"/>
      <c r="M469" s="361"/>
      <c r="N469" s="361"/>
      <c r="O469" s="361"/>
      <c r="P469" s="361"/>
      <c r="Q469" s="361"/>
      <c r="R469" s="361"/>
      <c r="S469" s="361"/>
      <c r="T469" s="361"/>
      <c r="U469" s="361"/>
      <c r="V469" s="361"/>
      <c r="W469" s="361"/>
      <c r="X469" s="361"/>
      <c r="Y469" s="131"/>
      <c r="Z469" s="163"/>
      <c r="AA469" s="131"/>
      <c r="AB469" s="131"/>
      <c r="AC469" s="131"/>
      <c r="AD469" s="131"/>
      <c r="AE469" s="131"/>
      <c r="AF469" s="163"/>
      <c r="AG469" s="163"/>
      <c r="AH469" s="163"/>
      <c r="AI469" s="163"/>
      <c r="AJ469" s="163"/>
      <c r="AK469" s="163"/>
      <c r="AL469" s="163"/>
      <c r="AM469" s="130"/>
      <c r="AN469" s="163"/>
    </row>
    <row r="470" ht="15.75" customHeight="1">
      <c r="A470" s="362"/>
      <c r="B470" s="362"/>
      <c r="C470" s="362"/>
      <c r="D470" s="362"/>
      <c r="E470" s="132"/>
      <c r="F470" s="132"/>
      <c r="G470" s="361"/>
      <c r="H470" s="361"/>
      <c r="I470" s="361"/>
      <c r="J470" s="363"/>
      <c r="K470" s="364"/>
      <c r="L470" s="361"/>
      <c r="M470" s="361"/>
      <c r="N470" s="361"/>
      <c r="O470" s="361"/>
      <c r="P470" s="361"/>
      <c r="Q470" s="361"/>
      <c r="R470" s="361"/>
      <c r="S470" s="361"/>
      <c r="T470" s="361"/>
      <c r="U470" s="361"/>
      <c r="V470" s="361"/>
      <c r="W470" s="361"/>
      <c r="X470" s="361"/>
      <c r="Y470" s="131"/>
      <c r="Z470" s="163"/>
      <c r="AA470" s="131"/>
      <c r="AB470" s="131"/>
      <c r="AC470" s="131"/>
      <c r="AD470" s="131"/>
      <c r="AE470" s="131"/>
      <c r="AF470" s="163"/>
      <c r="AG470" s="163"/>
      <c r="AH470" s="163"/>
      <c r="AI470" s="163"/>
      <c r="AJ470" s="163"/>
      <c r="AK470" s="163"/>
      <c r="AL470" s="163"/>
      <c r="AM470" s="130"/>
      <c r="AN470" s="163"/>
    </row>
    <row r="471" ht="15.75" customHeight="1">
      <c r="A471" s="362"/>
      <c r="B471" s="362"/>
      <c r="C471" s="362"/>
      <c r="D471" s="362"/>
      <c r="E471" s="132"/>
      <c r="F471" s="132"/>
      <c r="G471" s="361"/>
      <c r="H471" s="361"/>
      <c r="I471" s="361"/>
      <c r="J471" s="363"/>
      <c r="K471" s="364"/>
      <c r="L471" s="361"/>
      <c r="M471" s="361"/>
      <c r="N471" s="361"/>
      <c r="O471" s="361"/>
      <c r="P471" s="361"/>
      <c r="Q471" s="361"/>
      <c r="R471" s="361"/>
      <c r="S471" s="361"/>
      <c r="T471" s="361"/>
      <c r="U471" s="361"/>
      <c r="V471" s="361"/>
      <c r="W471" s="361"/>
      <c r="X471" s="361"/>
      <c r="Y471" s="131"/>
      <c r="Z471" s="163"/>
      <c r="AA471" s="131"/>
      <c r="AB471" s="131"/>
      <c r="AC471" s="131"/>
      <c r="AD471" s="131"/>
      <c r="AE471" s="131"/>
      <c r="AF471" s="163"/>
      <c r="AG471" s="163"/>
      <c r="AH471" s="163"/>
      <c r="AI471" s="163"/>
      <c r="AJ471" s="163"/>
      <c r="AK471" s="163"/>
      <c r="AL471" s="163"/>
      <c r="AM471" s="130"/>
      <c r="AN471" s="163"/>
    </row>
    <row r="472" ht="15.75" customHeight="1">
      <c r="A472" s="362"/>
      <c r="B472" s="362"/>
      <c r="C472" s="362"/>
      <c r="D472" s="362"/>
      <c r="E472" s="132"/>
      <c r="F472" s="132"/>
      <c r="G472" s="361"/>
      <c r="H472" s="361"/>
      <c r="I472" s="361"/>
      <c r="J472" s="363"/>
      <c r="K472" s="364"/>
      <c r="L472" s="361"/>
      <c r="M472" s="361"/>
      <c r="N472" s="361"/>
      <c r="O472" s="361"/>
      <c r="P472" s="361"/>
      <c r="Q472" s="361"/>
      <c r="R472" s="361"/>
      <c r="S472" s="361"/>
      <c r="T472" s="361"/>
      <c r="U472" s="361"/>
      <c r="V472" s="361"/>
      <c r="W472" s="361"/>
      <c r="X472" s="361"/>
      <c r="Y472" s="131"/>
      <c r="Z472" s="163"/>
      <c r="AA472" s="131"/>
      <c r="AB472" s="131"/>
      <c r="AC472" s="131"/>
      <c r="AD472" s="131"/>
      <c r="AE472" s="131"/>
      <c r="AF472" s="163"/>
      <c r="AG472" s="163"/>
      <c r="AH472" s="163"/>
      <c r="AI472" s="163"/>
      <c r="AJ472" s="163"/>
      <c r="AK472" s="163"/>
      <c r="AL472" s="163"/>
      <c r="AM472" s="130"/>
      <c r="AN472" s="163"/>
    </row>
    <row r="473" ht="15.75" customHeight="1">
      <c r="A473" s="362"/>
      <c r="B473" s="362"/>
      <c r="C473" s="362"/>
      <c r="D473" s="362"/>
      <c r="E473" s="132"/>
      <c r="F473" s="132"/>
      <c r="G473" s="361"/>
      <c r="H473" s="361"/>
      <c r="I473" s="361"/>
      <c r="J473" s="363"/>
      <c r="K473" s="364"/>
      <c r="L473" s="361"/>
      <c r="M473" s="361"/>
      <c r="N473" s="361"/>
      <c r="O473" s="361"/>
      <c r="P473" s="361"/>
      <c r="Q473" s="361"/>
      <c r="R473" s="361"/>
      <c r="S473" s="361"/>
      <c r="T473" s="361"/>
      <c r="U473" s="361"/>
      <c r="V473" s="361"/>
      <c r="W473" s="361"/>
      <c r="X473" s="361"/>
      <c r="Y473" s="131"/>
      <c r="Z473" s="163"/>
      <c r="AA473" s="131"/>
      <c r="AB473" s="131"/>
      <c r="AC473" s="131"/>
      <c r="AD473" s="131"/>
      <c r="AE473" s="131"/>
      <c r="AF473" s="163"/>
      <c r="AG473" s="163"/>
      <c r="AH473" s="163"/>
      <c r="AI473" s="163"/>
      <c r="AJ473" s="163"/>
      <c r="AK473" s="163"/>
      <c r="AL473" s="163"/>
      <c r="AM473" s="130"/>
      <c r="AN473" s="163"/>
    </row>
    <row r="474" ht="15.75" customHeight="1">
      <c r="A474" s="362"/>
      <c r="B474" s="362"/>
      <c r="C474" s="362"/>
      <c r="D474" s="362"/>
      <c r="E474" s="132"/>
      <c r="F474" s="132"/>
      <c r="G474" s="361"/>
      <c r="H474" s="361"/>
      <c r="I474" s="361"/>
      <c r="J474" s="363"/>
      <c r="K474" s="364"/>
      <c r="L474" s="361"/>
      <c r="M474" s="361"/>
      <c r="N474" s="361"/>
      <c r="O474" s="361"/>
      <c r="P474" s="361"/>
      <c r="Q474" s="361"/>
      <c r="R474" s="361"/>
      <c r="S474" s="361"/>
      <c r="T474" s="361"/>
      <c r="U474" s="361"/>
      <c r="V474" s="361"/>
      <c r="W474" s="361"/>
      <c r="X474" s="361"/>
      <c r="Y474" s="131"/>
      <c r="Z474" s="163"/>
      <c r="AA474" s="131"/>
      <c r="AB474" s="131"/>
      <c r="AC474" s="131"/>
      <c r="AD474" s="131"/>
      <c r="AE474" s="131"/>
      <c r="AF474" s="163"/>
      <c r="AG474" s="163"/>
      <c r="AH474" s="163"/>
      <c r="AI474" s="163"/>
      <c r="AJ474" s="163"/>
      <c r="AK474" s="163"/>
      <c r="AL474" s="163"/>
      <c r="AM474" s="130"/>
      <c r="AN474" s="163"/>
    </row>
    <row r="475" ht="15.75" customHeight="1">
      <c r="A475" s="362"/>
      <c r="B475" s="362"/>
      <c r="C475" s="362"/>
      <c r="D475" s="362"/>
      <c r="E475" s="132"/>
      <c r="F475" s="132"/>
      <c r="G475" s="361"/>
      <c r="H475" s="361"/>
      <c r="I475" s="361"/>
      <c r="J475" s="363"/>
      <c r="K475" s="364"/>
      <c r="L475" s="361"/>
      <c r="M475" s="361"/>
      <c r="N475" s="361"/>
      <c r="O475" s="361"/>
      <c r="P475" s="361"/>
      <c r="Q475" s="361"/>
      <c r="R475" s="361"/>
      <c r="S475" s="361"/>
      <c r="T475" s="361"/>
      <c r="U475" s="361"/>
      <c r="V475" s="361"/>
      <c r="W475" s="361"/>
      <c r="X475" s="361"/>
      <c r="Y475" s="131"/>
      <c r="Z475" s="163"/>
      <c r="AA475" s="131"/>
      <c r="AB475" s="131"/>
      <c r="AC475" s="131"/>
      <c r="AD475" s="131"/>
      <c r="AE475" s="131"/>
      <c r="AF475" s="163"/>
      <c r="AG475" s="163"/>
      <c r="AH475" s="163"/>
      <c r="AI475" s="163"/>
      <c r="AJ475" s="163"/>
      <c r="AK475" s="163"/>
      <c r="AL475" s="163"/>
      <c r="AM475" s="130"/>
      <c r="AN475" s="163"/>
    </row>
    <row r="476" ht="15.75" customHeight="1">
      <c r="A476" s="362"/>
      <c r="B476" s="362"/>
      <c r="C476" s="362"/>
      <c r="D476" s="362"/>
      <c r="E476" s="132"/>
      <c r="F476" s="132"/>
      <c r="G476" s="361"/>
      <c r="H476" s="361"/>
      <c r="I476" s="361"/>
      <c r="J476" s="363"/>
      <c r="K476" s="364"/>
      <c r="L476" s="361"/>
      <c r="M476" s="361"/>
      <c r="N476" s="361"/>
      <c r="O476" s="361"/>
      <c r="P476" s="361"/>
      <c r="Q476" s="361"/>
      <c r="R476" s="361"/>
      <c r="S476" s="361"/>
      <c r="T476" s="361"/>
      <c r="U476" s="361"/>
      <c r="V476" s="361"/>
      <c r="W476" s="361"/>
      <c r="X476" s="361"/>
      <c r="Y476" s="131"/>
      <c r="Z476" s="163"/>
      <c r="AA476" s="131"/>
      <c r="AB476" s="131"/>
      <c r="AC476" s="131"/>
      <c r="AD476" s="131"/>
      <c r="AE476" s="131"/>
      <c r="AF476" s="163"/>
      <c r="AG476" s="163"/>
      <c r="AH476" s="163"/>
      <c r="AI476" s="163"/>
      <c r="AJ476" s="163"/>
      <c r="AK476" s="163"/>
      <c r="AL476" s="163"/>
      <c r="AM476" s="130"/>
      <c r="AN476" s="163"/>
    </row>
    <row r="477" ht="15.75" customHeight="1">
      <c r="A477" s="362"/>
      <c r="B477" s="362"/>
      <c r="C477" s="362"/>
      <c r="D477" s="362"/>
      <c r="E477" s="132"/>
      <c r="F477" s="132"/>
      <c r="G477" s="361"/>
      <c r="H477" s="361"/>
      <c r="I477" s="361"/>
      <c r="J477" s="363"/>
      <c r="K477" s="364"/>
      <c r="L477" s="361"/>
      <c r="M477" s="361"/>
      <c r="N477" s="361"/>
      <c r="O477" s="361"/>
      <c r="P477" s="361"/>
      <c r="Q477" s="361"/>
      <c r="R477" s="361"/>
      <c r="S477" s="361"/>
      <c r="T477" s="361"/>
      <c r="U477" s="361"/>
      <c r="V477" s="361"/>
      <c r="W477" s="361"/>
      <c r="X477" s="361"/>
      <c r="Y477" s="131"/>
      <c r="Z477" s="163"/>
      <c r="AA477" s="131"/>
      <c r="AB477" s="131"/>
      <c r="AC477" s="131"/>
      <c r="AD477" s="131"/>
      <c r="AE477" s="131"/>
      <c r="AF477" s="163"/>
      <c r="AG477" s="163"/>
      <c r="AH477" s="163"/>
      <c r="AI477" s="163"/>
      <c r="AJ477" s="163"/>
      <c r="AK477" s="163"/>
      <c r="AL477" s="163"/>
      <c r="AM477" s="130"/>
      <c r="AN477" s="163"/>
    </row>
    <row r="478" ht="15.75" customHeight="1">
      <c r="A478" s="362"/>
      <c r="B478" s="362"/>
      <c r="C478" s="362"/>
      <c r="D478" s="362"/>
      <c r="E478" s="132"/>
      <c r="F478" s="132"/>
      <c r="G478" s="361"/>
      <c r="H478" s="361"/>
      <c r="I478" s="361"/>
      <c r="J478" s="363"/>
      <c r="K478" s="364"/>
      <c r="L478" s="361"/>
      <c r="M478" s="361"/>
      <c r="N478" s="361"/>
      <c r="O478" s="361"/>
      <c r="P478" s="361"/>
      <c r="Q478" s="361"/>
      <c r="R478" s="361"/>
      <c r="S478" s="361"/>
      <c r="T478" s="361"/>
      <c r="U478" s="361"/>
      <c r="V478" s="361"/>
      <c r="W478" s="361"/>
      <c r="X478" s="361"/>
      <c r="Y478" s="131"/>
      <c r="Z478" s="163"/>
      <c r="AA478" s="131"/>
      <c r="AB478" s="131"/>
      <c r="AC478" s="131"/>
      <c r="AD478" s="131"/>
      <c r="AE478" s="131"/>
      <c r="AF478" s="163"/>
      <c r="AG478" s="163"/>
      <c r="AH478" s="163"/>
      <c r="AI478" s="163"/>
      <c r="AJ478" s="163"/>
      <c r="AK478" s="163"/>
      <c r="AL478" s="163"/>
      <c r="AM478" s="130"/>
      <c r="AN478" s="163"/>
    </row>
    <row r="479" ht="15.75" customHeight="1">
      <c r="A479" s="362"/>
      <c r="B479" s="362"/>
      <c r="C479" s="362"/>
      <c r="D479" s="362"/>
      <c r="E479" s="132"/>
      <c r="F479" s="132"/>
      <c r="G479" s="361"/>
      <c r="H479" s="361"/>
      <c r="I479" s="361"/>
      <c r="J479" s="363"/>
      <c r="K479" s="364"/>
      <c r="L479" s="361"/>
      <c r="M479" s="361"/>
      <c r="N479" s="361"/>
      <c r="O479" s="361"/>
      <c r="P479" s="361"/>
      <c r="Q479" s="361"/>
      <c r="R479" s="361"/>
      <c r="S479" s="361"/>
      <c r="T479" s="361"/>
      <c r="U479" s="361"/>
      <c r="V479" s="361"/>
      <c r="W479" s="361"/>
      <c r="X479" s="361"/>
      <c r="Y479" s="131"/>
      <c r="Z479" s="163"/>
      <c r="AA479" s="131"/>
      <c r="AB479" s="131"/>
      <c r="AC479" s="131"/>
      <c r="AD479" s="131"/>
      <c r="AE479" s="131"/>
      <c r="AF479" s="163"/>
      <c r="AG479" s="163"/>
      <c r="AH479" s="163"/>
      <c r="AI479" s="163"/>
      <c r="AJ479" s="163"/>
      <c r="AK479" s="163"/>
      <c r="AL479" s="163"/>
      <c r="AM479" s="130"/>
      <c r="AN479" s="163"/>
    </row>
    <row r="480" ht="15.75" customHeight="1">
      <c r="A480" s="362"/>
      <c r="B480" s="362"/>
      <c r="C480" s="362"/>
      <c r="D480" s="362"/>
      <c r="E480" s="132"/>
      <c r="F480" s="132"/>
      <c r="G480" s="361"/>
      <c r="H480" s="361"/>
      <c r="I480" s="361"/>
      <c r="J480" s="363"/>
      <c r="K480" s="364"/>
      <c r="L480" s="361"/>
      <c r="M480" s="361"/>
      <c r="N480" s="361"/>
      <c r="O480" s="361"/>
      <c r="P480" s="361"/>
      <c r="Q480" s="361"/>
      <c r="R480" s="361"/>
      <c r="S480" s="361"/>
      <c r="T480" s="361"/>
      <c r="U480" s="361"/>
      <c r="V480" s="361"/>
      <c r="W480" s="361"/>
      <c r="X480" s="361"/>
      <c r="Y480" s="131"/>
      <c r="Z480" s="163"/>
      <c r="AA480" s="131"/>
      <c r="AB480" s="131"/>
      <c r="AC480" s="131"/>
      <c r="AD480" s="131"/>
      <c r="AE480" s="131"/>
      <c r="AF480" s="163"/>
      <c r="AG480" s="163"/>
      <c r="AH480" s="163"/>
      <c r="AI480" s="163"/>
      <c r="AJ480" s="163"/>
      <c r="AK480" s="163"/>
      <c r="AL480" s="163"/>
      <c r="AM480" s="130"/>
      <c r="AN480" s="163"/>
    </row>
    <row r="481" ht="15.75" customHeight="1">
      <c r="A481" s="362"/>
      <c r="B481" s="362"/>
      <c r="C481" s="362"/>
      <c r="D481" s="362"/>
      <c r="E481" s="132"/>
      <c r="F481" s="132"/>
      <c r="G481" s="361"/>
      <c r="H481" s="361"/>
      <c r="I481" s="361"/>
      <c r="J481" s="363"/>
      <c r="K481" s="364"/>
      <c r="L481" s="361"/>
      <c r="M481" s="361"/>
      <c r="N481" s="361"/>
      <c r="O481" s="361"/>
      <c r="P481" s="361"/>
      <c r="Q481" s="361"/>
      <c r="R481" s="361"/>
      <c r="S481" s="361"/>
      <c r="T481" s="361"/>
      <c r="U481" s="361"/>
      <c r="V481" s="361"/>
      <c r="W481" s="361"/>
      <c r="X481" s="361"/>
      <c r="Y481" s="131"/>
      <c r="Z481" s="163"/>
      <c r="AA481" s="131"/>
      <c r="AB481" s="131"/>
      <c r="AC481" s="131"/>
      <c r="AD481" s="131"/>
      <c r="AE481" s="131"/>
      <c r="AF481" s="163"/>
      <c r="AG481" s="163"/>
      <c r="AH481" s="163"/>
      <c r="AI481" s="163"/>
      <c r="AJ481" s="163"/>
      <c r="AK481" s="163"/>
      <c r="AL481" s="163"/>
      <c r="AM481" s="130"/>
      <c r="AN481" s="163"/>
    </row>
    <row r="482" ht="15.75" customHeight="1">
      <c r="A482" s="362"/>
      <c r="B482" s="362"/>
      <c r="C482" s="362"/>
      <c r="D482" s="362"/>
      <c r="E482" s="132"/>
      <c r="F482" s="132"/>
      <c r="G482" s="361"/>
      <c r="H482" s="361"/>
      <c r="I482" s="361"/>
      <c r="J482" s="363"/>
      <c r="K482" s="364"/>
      <c r="L482" s="361"/>
      <c r="M482" s="361"/>
      <c r="N482" s="361"/>
      <c r="O482" s="361"/>
      <c r="P482" s="361"/>
      <c r="Q482" s="361"/>
      <c r="R482" s="361"/>
      <c r="S482" s="361"/>
      <c r="T482" s="361"/>
      <c r="U482" s="361"/>
      <c r="V482" s="361"/>
      <c r="W482" s="361"/>
      <c r="X482" s="361"/>
      <c r="Y482" s="131"/>
      <c r="Z482" s="163"/>
      <c r="AA482" s="131"/>
      <c r="AB482" s="131"/>
      <c r="AC482" s="131"/>
      <c r="AD482" s="131"/>
      <c r="AE482" s="131"/>
      <c r="AF482" s="163"/>
      <c r="AG482" s="163"/>
      <c r="AH482" s="163"/>
      <c r="AI482" s="163"/>
      <c r="AJ482" s="163"/>
      <c r="AK482" s="163"/>
      <c r="AL482" s="163"/>
      <c r="AM482" s="130"/>
      <c r="AN482" s="163"/>
    </row>
    <row r="483" ht="15.75" customHeight="1">
      <c r="A483" s="362"/>
      <c r="B483" s="362"/>
      <c r="C483" s="362"/>
      <c r="D483" s="362"/>
      <c r="E483" s="132"/>
      <c r="F483" s="132"/>
      <c r="G483" s="361"/>
      <c r="H483" s="361"/>
      <c r="I483" s="361"/>
      <c r="J483" s="363"/>
      <c r="K483" s="364"/>
      <c r="L483" s="361"/>
      <c r="M483" s="361"/>
      <c r="N483" s="361"/>
      <c r="O483" s="361"/>
      <c r="P483" s="361"/>
      <c r="Q483" s="361"/>
      <c r="R483" s="361"/>
      <c r="S483" s="361"/>
      <c r="T483" s="361"/>
      <c r="U483" s="361"/>
      <c r="V483" s="361"/>
      <c r="W483" s="361"/>
      <c r="X483" s="361"/>
      <c r="Y483" s="131"/>
      <c r="Z483" s="163"/>
      <c r="AA483" s="131"/>
      <c r="AB483" s="131"/>
      <c r="AC483" s="131"/>
      <c r="AD483" s="131"/>
      <c r="AE483" s="131"/>
      <c r="AF483" s="163"/>
      <c r="AG483" s="163"/>
      <c r="AH483" s="163"/>
      <c r="AI483" s="163"/>
      <c r="AJ483" s="163"/>
      <c r="AK483" s="163"/>
      <c r="AL483" s="163"/>
      <c r="AM483" s="130"/>
      <c r="AN483" s="163"/>
    </row>
    <row r="484" ht="15.75" customHeight="1">
      <c r="A484" s="362"/>
      <c r="B484" s="362"/>
      <c r="C484" s="362"/>
      <c r="D484" s="362"/>
      <c r="E484" s="132"/>
      <c r="F484" s="132"/>
      <c r="G484" s="361"/>
      <c r="H484" s="361"/>
      <c r="I484" s="361"/>
      <c r="J484" s="363"/>
      <c r="K484" s="364"/>
      <c r="L484" s="361"/>
      <c r="M484" s="361"/>
      <c r="N484" s="361"/>
      <c r="O484" s="361"/>
      <c r="P484" s="361"/>
      <c r="Q484" s="361"/>
      <c r="R484" s="361"/>
      <c r="S484" s="361"/>
      <c r="T484" s="361"/>
      <c r="U484" s="361"/>
      <c r="V484" s="361"/>
      <c r="W484" s="361"/>
      <c r="X484" s="361"/>
      <c r="Y484" s="131"/>
      <c r="Z484" s="163"/>
      <c r="AA484" s="131"/>
      <c r="AB484" s="131"/>
      <c r="AC484" s="131"/>
      <c r="AD484" s="131"/>
      <c r="AE484" s="131"/>
      <c r="AF484" s="163"/>
      <c r="AG484" s="163"/>
      <c r="AH484" s="163"/>
      <c r="AI484" s="163"/>
      <c r="AJ484" s="163"/>
      <c r="AK484" s="163"/>
      <c r="AL484" s="163"/>
      <c r="AM484" s="130"/>
      <c r="AN484" s="163"/>
    </row>
    <row r="485" ht="15.75" customHeight="1">
      <c r="A485" s="362"/>
      <c r="B485" s="362"/>
      <c r="C485" s="362"/>
      <c r="D485" s="362"/>
      <c r="E485" s="132"/>
      <c r="F485" s="132"/>
      <c r="G485" s="361"/>
      <c r="H485" s="361"/>
      <c r="I485" s="361"/>
      <c r="J485" s="363"/>
      <c r="K485" s="364"/>
      <c r="L485" s="361"/>
      <c r="M485" s="361"/>
      <c r="N485" s="361"/>
      <c r="O485" s="361"/>
      <c r="P485" s="361"/>
      <c r="Q485" s="361"/>
      <c r="R485" s="361"/>
      <c r="S485" s="361"/>
      <c r="T485" s="361"/>
      <c r="U485" s="361"/>
      <c r="V485" s="361"/>
      <c r="W485" s="361"/>
      <c r="X485" s="361"/>
      <c r="Y485" s="131"/>
      <c r="Z485" s="163"/>
      <c r="AA485" s="131"/>
      <c r="AB485" s="131"/>
      <c r="AC485" s="131"/>
      <c r="AD485" s="131"/>
      <c r="AE485" s="131"/>
      <c r="AF485" s="163"/>
      <c r="AG485" s="163"/>
      <c r="AH485" s="163"/>
      <c r="AI485" s="163"/>
      <c r="AJ485" s="163"/>
      <c r="AK485" s="163"/>
      <c r="AL485" s="163"/>
      <c r="AM485" s="130"/>
      <c r="AN485" s="163"/>
    </row>
    <row r="486" ht="15.75" customHeight="1">
      <c r="A486" s="362"/>
      <c r="B486" s="362"/>
      <c r="C486" s="362"/>
      <c r="D486" s="362"/>
      <c r="E486" s="132"/>
      <c r="F486" s="132"/>
      <c r="G486" s="361"/>
      <c r="H486" s="361"/>
      <c r="I486" s="361"/>
      <c r="J486" s="363"/>
      <c r="K486" s="364"/>
      <c r="L486" s="361"/>
      <c r="M486" s="361"/>
      <c r="N486" s="361"/>
      <c r="O486" s="361"/>
      <c r="P486" s="361"/>
      <c r="Q486" s="361"/>
      <c r="R486" s="361"/>
      <c r="S486" s="361"/>
      <c r="T486" s="361"/>
      <c r="U486" s="361"/>
      <c r="V486" s="361"/>
      <c r="W486" s="361"/>
      <c r="X486" s="361"/>
      <c r="Y486" s="131"/>
      <c r="Z486" s="163"/>
      <c r="AA486" s="131"/>
      <c r="AB486" s="131"/>
      <c r="AC486" s="131"/>
      <c r="AD486" s="131"/>
      <c r="AE486" s="131"/>
      <c r="AF486" s="163"/>
      <c r="AG486" s="163"/>
      <c r="AH486" s="163"/>
      <c r="AI486" s="163"/>
      <c r="AJ486" s="163"/>
      <c r="AK486" s="163"/>
      <c r="AL486" s="163"/>
      <c r="AM486" s="130"/>
      <c r="AN486" s="163"/>
    </row>
    <row r="487" ht="15.75" customHeight="1">
      <c r="A487" s="362"/>
      <c r="B487" s="362"/>
      <c r="C487" s="362"/>
      <c r="D487" s="362"/>
      <c r="E487" s="132"/>
      <c r="F487" s="132"/>
      <c r="G487" s="361"/>
      <c r="H487" s="361"/>
      <c r="I487" s="361"/>
      <c r="J487" s="363"/>
      <c r="K487" s="364"/>
      <c r="L487" s="361"/>
      <c r="M487" s="361"/>
      <c r="N487" s="361"/>
      <c r="O487" s="361"/>
      <c r="P487" s="361"/>
      <c r="Q487" s="361"/>
      <c r="R487" s="361"/>
      <c r="S487" s="361"/>
      <c r="T487" s="361"/>
      <c r="U487" s="361"/>
      <c r="V487" s="361"/>
      <c r="W487" s="361"/>
      <c r="X487" s="361"/>
      <c r="Y487" s="131"/>
      <c r="Z487" s="163"/>
      <c r="AA487" s="131"/>
      <c r="AB487" s="131"/>
      <c r="AC487" s="131"/>
      <c r="AD487" s="131"/>
      <c r="AE487" s="131"/>
      <c r="AF487" s="163"/>
      <c r="AG487" s="163"/>
      <c r="AH487" s="163"/>
      <c r="AI487" s="163"/>
      <c r="AJ487" s="163"/>
      <c r="AK487" s="163"/>
      <c r="AL487" s="163"/>
      <c r="AM487" s="130"/>
      <c r="AN487" s="163"/>
    </row>
    <row r="488" ht="15.75" customHeight="1">
      <c r="A488" s="362"/>
      <c r="B488" s="362"/>
      <c r="C488" s="362"/>
      <c r="D488" s="362"/>
      <c r="E488" s="132"/>
      <c r="F488" s="132"/>
      <c r="G488" s="361"/>
      <c r="H488" s="361"/>
      <c r="I488" s="361"/>
      <c r="J488" s="363"/>
      <c r="K488" s="364"/>
      <c r="L488" s="361"/>
      <c r="M488" s="361"/>
      <c r="N488" s="361"/>
      <c r="O488" s="361"/>
      <c r="P488" s="361"/>
      <c r="Q488" s="361"/>
      <c r="R488" s="361"/>
      <c r="S488" s="361"/>
      <c r="T488" s="361"/>
      <c r="U488" s="361"/>
      <c r="V488" s="361"/>
      <c r="W488" s="361"/>
      <c r="X488" s="361"/>
      <c r="Y488" s="131"/>
      <c r="Z488" s="163"/>
      <c r="AA488" s="131"/>
      <c r="AB488" s="131"/>
      <c r="AC488" s="131"/>
      <c r="AD488" s="131"/>
      <c r="AE488" s="131"/>
      <c r="AF488" s="163"/>
      <c r="AG488" s="163"/>
      <c r="AH488" s="163"/>
      <c r="AI488" s="163"/>
      <c r="AJ488" s="163"/>
      <c r="AK488" s="163"/>
      <c r="AL488" s="163"/>
      <c r="AM488" s="130"/>
      <c r="AN488" s="163"/>
    </row>
    <row r="489" ht="15.75" customHeight="1">
      <c r="A489" s="362"/>
      <c r="B489" s="362"/>
      <c r="C489" s="362"/>
      <c r="D489" s="362"/>
      <c r="E489" s="132"/>
      <c r="F489" s="132"/>
      <c r="G489" s="361"/>
      <c r="H489" s="361"/>
      <c r="I489" s="361"/>
      <c r="J489" s="363"/>
      <c r="K489" s="364"/>
      <c r="L489" s="361"/>
      <c r="M489" s="361"/>
      <c r="N489" s="361"/>
      <c r="O489" s="361"/>
      <c r="P489" s="361"/>
      <c r="Q489" s="361"/>
      <c r="R489" s="361"/>
      <c r="S489" s="361"/>
      <c r="T489" s="361"/>
      <c r="U489" s="361"/>
      <c r="V489" s="361"/>
      <c r="W489" s="361"/>
      <c r="X489" s="361"/>
      <c r="Y489" s="131"/>
      <c r="Z489" s="163"/>
      <c r="AA489" s="131"/>
      <c r="AB489" s="131"/>
      <c r="AC489" s="131"/>
      <c r="AD489" s="131"/>
      <c r="AE489" s="131"/>
      <c r="AF489" s="163"/>
      <c r="AG489" s="163"/>
      <c r="AH489" s="163"/>
      <c r="AI489" s="163"/>
      <c r="AJ489" s="163"/>
      <c r="AK489" s="163"/>
      <c r="AL489" s="163"/>
      <c r="AM489" s="130"/>
      <c r="AN489" s="163"/>
    </row>
    <row r="490" ht="15.75" customHeight="1">
      <c r="A490" s="362"/>
      <c r="B490" s="362"/>
      <c r="C490" s="362"/>
      <c r="D490" s="362"/>
      <c r="E490" s="132"/>
      <c r="F490" s="132"/>
      <c r="G490" s="361"/>
      <c r="H490" s="361"/>
      <c r="I490" s="361"/>
      <c r="J490" s="363"/>
      <c r="K490" s="364"/>
      <c r="L490" s="361"/>
      <c r="M490" s="361"/>
      <c r="N490" s="361"/>
      <c r="O490" s="361"/>
      <c r="P490" s="361"/>
      <c r="Q490" s="361"/>
      <c r="R490" s="361"/>
      <c r="S490" s="361"/>
      <c r="T490" s="361"/>
      <c r="U490" s="361"/>
      <c r="V490" s="361"/>
      <c r="W490" s="361"/>
      <c r="X490" s="361"/>
      <c r="Y490" s="131"/>
      <c r="Z490" s="163"/>
      <c r="AA490" s="131"/>
      <c r="AB490" s="131"/>
      <c r="AC490" s="131"/>
      <c r="AD490" s="131"/>
      <c r="AE490" s="131"/>
      <c r="AF490" s="163"/>
      <c r="AG490" s="163"/>
      <c r="AH490" s="163"/>
      <c r="AI490" s="163"/>
      <c r="AJ490" s="163"/>
      <c r="AK490" s="163"/>
      <c r="AL490" s="163"/>
      <c r="AM490" s="130"/>
      <c r="AN490" s="163"/>
    </row>
    <row r="491" ht="15.75" customHeight="1">
      <c r="A491" s="362"/>
      <c r="B491" s="362"/>
      <c r="C491" s="362"/>
      <c r="D491" s="362"/>
      <c r="E491" s="132"/>
      <c r="F491" s="132"/>
      <c r="G491" s="361"/>
      <c r="H491" s="361"/>
      <c r="I491" s="361"/>
      <c r="J491" s="363"/>
      <c r="K491" s="364"/>
      <c r="L491" s="361"/>
      <c r="M491" s="361"/>
      <c r="N491" s="361"/>
      <c r="O491" s="361"/>
      <c r="P491" s="361"/>
      <c r="Q491" s="361"/>
      <c r="R491" s="361"/>
      <c r="S491" s="361"/>
      <c r="T491" s="361"/>
      <c r="U491" s="361"/>
      <c r="V491" s="361"/>
      <c r="W491" s="361"/>
      <c r="X491" s="361"/>
      <c r="Y491" s="131"/>
      <c r="Z491" s="163"/>
      <c r="AA491" s="131"/>
      <c r="AB491" s="131"/>
      <c r="AC491" s="131"/>
      <c r="AD491" s="131"/>
      <c r="AE491" s="131"/>
      <c r="AF491" s="163"/>
      <c r="AG491" s="163"/>
      <c r="AH491" s="163"/>
      <c r="AI491" s="163"/>
      <c r="AJ491" s="163"/>
      <c r="AK491" s="163"/>
      <c r="AL491" s="163"/>
      <c r="AM491" s="130"/>
      <c r="AN491" s="163"/>
    </row>
    <row r="492" ht="15.75" customHeight="1">
      <c r="A492" s="362"/>
      <c r="B492" s="362"/>
      <c r="C492" s="362"/>
      <c r="D492" s="362"/>
      <c r="E492" s="132"/>
      <c r="F492" s="132"/>
      <c r="G492" s="361"/>
      <c r="H492" s="361"/>
      <c r="I492" s="361"/>
      <c r="J492" s="363"/>
      <c r="K492" s="364"/>
      <c r="L492" s="361"/>
      <c r="M492" s="361"/>
      <c r="N492" s="361"/>
      <c r="O492" s="361"/>
      <c r="P492" s="361"/>
      <c r="Q492" s="361"/>
      <c r="R492" s="361"/>
      <c r="S492" s="361"/>
      <c r="T492" s="361"/>
      <c r="U492" s="361"/>
      <c r="V492" s="361"/>
      <c r="W492" s="361"/>
      <c r="X492" s="361"/>
      <c r="Y492" s="131"/>
      <c r="Z492" s="163"/>
      <c r="AA492" s="131"/>
      <c r="AB492" s="131"/>
      <c r="AC492" s="131"/>
      <c r="AD492" s="131"/>
      <c r="AE492" s="131"/>
      <c r="AF492" s="163"/>
      <c r="AG492" s="163"/>
      <c r="AH492" s="163"/>
      <c r="AI492" s="163"/>
      <c r="AJ492" s="163"/>
      <c r="AK492" s="163"/>
      <c r="AL492" s="163"/>
      <c r="AM492" s="130"/>
      <c r="AN492" s="163"/>
    </row>
    <row r="493" ht="15.75" customHeight="1">
      <c r="A493" s="362"/>
      <c r="B493" s="362"/>
      <c r="C493" s="362"/>
      <c r="D493" s="362"/>
      <c r="E493" s="132"/>
      <c r="F493" s="132"/>
      <c r="G493" s="361"/>
      <c r="H493" s="361"/>
      <c r="I493" s="361"/>
      <c r="J493" s="363"/>
      <c r="K493" s="364"/>
      <c r="L493" s="361"/>
      <c r="M493" s="361"/>
      <c r="N493" s="361"/>
      <c r="O493" s="361"/>
      <c r="P493" s="361"/>
      <c r="Q493" s="361"/>
      <c r="R493" s="361"/>
      <c r="S493" s="361"/>
      <c r="T493" s="361"/>
      <c r="U493" s="361"/>
      <c r="V493" s="361"/>
      <c r="W493" s="361"/>
      <c r="X493" s="361"/>
      <c r="Y493" s="131"/>
      <c r="Z493" s="163"/>
      <c r="AA493" s="131"/>
      <c r="AB493" s="131"/>
      <c r="AC493" s="131"/>
      <c r="AD493" s="131"/>
      <c r="AE493" s="131"/>
      <c r="AF493" s="163"/>
      <c r="AG493" s="163"/>
      <c r="AH493" s="163"/>
      <c r="AI493" s="163"/>
      <c r="AJ493" s="163"/>
      <c r="AK493" s="163"/>
      <c r="AL493" s="163"/>
      <c r="AM493" s="130"/>
      <c r="AN493" s="163"/>
    </row>
    <row r="494" ht="15.75" customHeight="1">
      <c r="A494" s="362"/>
      <c r="B494" s="362"/>
      <c r="C494" s="362"/>
      <c r="D494" s="362"/>
      <c r="E494" s="132"/>
      <c r="F494" s="132"/>
      <c r="G494" s="361"/>
      <c r="H494" s="361"/>
      <c r="I494" s="361"/>
      <c r="J494" s="363"/>
      <c r="K494" s="364"/>
      <c r="L494" s="361"/>
      <c r="M494" s="361"/>
      <c r="N494" s="361"/>
      <c r="O494" s="361"/>
      <c r="P494" s="361"/>
      <c r="Q494" s="361"/>
      <c r="R494" s="361"/>
      <c r="S494" s="361"/>
      <c r="T494" s="361"/>
      <c r="U494" s="361"/>
      <c r="V494" s="361"/>
      <c r="W494" s="361"/>
      <c r="X494" s="361"/>
      <c r="Y494" s="131"/>
      <c r="Z494" s="163"/>
      <c r="AA494" s="131"/>
      <c r="AB494" s="131"/>
      <c r="AC494" s="131"/>
      <c r="AD494" s="131"/>
      <c r="AE494" s="131"/>
      <c r="AF494" s="163"/>
      <c r="AG494" s="163"/>
      <c r="AH494" s="163"/>
      <c r="AI494" s="163"/>
      <c r="AJ494" s="163"/>
      <c r="AK494" s="163"/>
      <c r="AL494" s="163"/>
      <c r="AM494" s="130"/>
      <c r="AN494" s="163"/>
    </row>
    <row r="495" ht="15.75" customHeight="1">
      <c r="A495" s="362"/>
      <c r="B495" s="362"/>
      <c r="C495" s="362"/>
      <c r="D495" s="362"/>
      <c r="E495" s="132"/>
      <c r="F495" s="132"/>
      <c r="G495" s="361"/>
      <c r="H495" s="361"/>
      <c r="I495" s="361"/>
      <c r="J495" s="363"/>
      <c r="K495" s="364"/>
      <c r="L495" s="361"/>
      <c r="M495" s="361"/>
      <c r="N495" s="361"/>
      <c r="O495" s="361"/>
      <c r="P495" s="361"/>
      <c r="Q495" s="361"/>
      <c r="R495" s="361"/>
      <c r="S495" s="361"/>
      <c r="T495" s="361"/>
      <c r="U495" s="361"/>
      <c r="V495" s="361"/>
      <c r="W495" s="361"/>
      <c r="X495" s="361"/>
      <c r="Y495" s="131"/>
      <c r="Z495" s="163"/>
      <c r="AA495" s="131"/>
      <c r="AB495" s="131"/>
      <c r="AC495" s="131"/>
      <c r="AD495" s="131"/>
      <c r="AE495" s="131"/>
      <c r="AF495" s="163"/>
      <c r="AG495" s="163"/>
      <c r="AH495" s="163"/>
      <c r="AI495" s="163"/>
      <c r="AJ495" s="163"/>
      <c r="AK495" s="163"/>
      <c r="AL495" s="163"/>
      <c r="AM495" s="130"/>
      <c r="AN495" s="163"/>
    </row>
    <row r="496" ht="15.75" customHeight="1">
      <c r="A496" s="362"/>
      <c r="B496" s="362"/>
      <c r="C496" s="362"/>
      <c r="D496" s="362"/>
      <c r="E496" s="132"/>
      <c r="F496" s="132"/>
      <c r="G496" s="361"/>
      <c r="H496" s="361"/>
      <c r="I496" s="361"/>
      <c r="J496" s="363"/>
      <c r="K496" s="364"/>
      <c r="L496" s="361"/>
      <c r="M496" s="361"/>
      <c r="N496" s="361"/>
      <c r="O496" s="361"/>
      <c r="P496" s="361"/>
      <c r="Q496" s="361"/>
      <c r="R496" s="361"/>
      <c r="S496" s="361"/>
      <c r="T496" s="361"/>
      <c r="U496" s="361"/>
      <c r="V496" s="361"/>
      <c r="W496" s="361"/>
      <c r="X496" s="361"/>
      <c r="Y496" s="131"/>
      <c r="Z496" s="163"/>
      <c r="AA496" s="131"/>
      <c r="AB496" s="131"/>
      <c r="AC496" s="131"/>
      <c r="AD496" s="131"/>
      <c r="AE496" s="131"/>
      <c r="AF496" s="163"/>
      <c r="AG496" s="163"/>
      <c r="AH496" s="163"/>
      <c r="AI496" s="163"/>
      <c r="AJ496" s="163"/>
      <c r="AK496" s="163"/>
      <c r="AL496" s="163"/>
      <c r="AM496" s="130"/>
      <c r="AN496" s="163"/>
    </row>
    <row r="497" ht="15.75" customHeight="1">
      <c r="A497" s="362"/>
      <c r="B497" s="362"/>
      <c r="C497" s="362"/>
      <c r="D497" s="362"/>
      <c r="E497" s="132"/>
      <c r="F497" s="132"/>
      <c r="G497" s="361"/>
      <c r="H497" s="361"/>
      <c r="I497" s="361"/>
      <c r="J497" s="363"/>
      <c r="K497" s="364"/>
      <c r="L497" s="361"/>
      <c r="M497" s="361"/>
      <c r="N497" s="361"/>
      <c r="O497" s="361"/>
      <c r="P497" s="361"/>
      <c r="Q497" s="361"/>
      <c r="R497" s="361"/>
      <c r="S497" s="361"/>
      <c r="T497" s="361"/>
      <c r="U497" s="361"/>
      <c r="V497" s="361"/>
      <c r="W497" s="361"/>
      <c r="X497" s="361"/>
      <c r="Y497" s="131"/>
      <c r="Z497" s="163"/>
      <c r="AA497" s="131"/>
      <c r="AB497" s="131"/>
      <c r="AC497" s="131"/>
      <c r="AD497" s="131"/>
      <c r="AE497" s="131"/>
      <c r="AF497" s="163"/>
      <c r="AG497" s="163"/>
      <c r="AH497" s="163"/>
      <c r="AI497" s="163"/>
      <c r="AJ497" s="163"/>
      <c r="AK497" s="163"/>
      <c r="AL497" s="163"/>
      <c r="AM497" s="130"/>
      <c r="AN497" s="163"/>
    </row>
    <row r="498" ht="15.75" customHeight="1">
      <c r="A498" s="362"/>
      <c r="B498" s="362"/>
      <c r="C498" s="362"/>
      <c r="D498" s="362"/>
      <c r="E498" s="132"/>
      <c r="F498" s="132"/>
      <c r="G498" s="361"/>
      <c r="H498" s="361"/>
      <c r="I498" s="361"/>
      <c r="J498" s="363"/>
      <c r="K498" s="364"/>
      <c r="L498" s="361"/>
      <c r="M498" s="361"/>
      <c r="N498" s="361"/>
      <c r="O498" s="361"/>
      <c r="P498" s="361"/>
      <c r="Q498" s="361"/>
      <c r="R498" s="361"/>
      <c r="S498" s="361"/>
      <c r="T498" s="361"/>
      <c r="U498" s="361"/>
      <c r="V498" s="361"/>
      <c r="W498" s="361"/>
      <c r="X498" s="361"/>
      <c r="Y498" s="131"/>
      <c r="Z498" s="163"/>
      <c r="AA498" s="131"/>
      <c r="AB498" s="131"/>
      <c r="AC498" s="131"/>
      <c r="AD498" s="131"/>
      <c r="AE498" s="131"/>
      <c r="AF498" s="163"/>
      <c r="AG498" s="163"/>
      <c r="AH498" s="163"/>
      <c r="AI498" s="163"/>
      <c r="AJ498" s="163"/>
      <c r="AK498" s="163"/>
      <c r="AL498" s="163"/>
      <c r="AM498" s="130"/>
      <c r="AN498" s="163"/>
    </row>
    <row r="499" ht="15.75" customHeight="1">
      <c r="A499" s="362"/>
      <c r="B499" s="362"/>
      <c r="C499" s="362"/>
      <c r="D499" s="362"/>
      <c r="E499" s="132"/>
      <c r="F499" s="132"/>
      <c r="G499" s="361"/>
      <c r="H499" s="361"/>
      <c r="I499" s="361"/>
      <c r="J499" s="363"/>
      <c r="K499" s="364"/>
      <c r="L499" s="361"/>
      <c r="M499" s="361"/>
      <c r="N499" s="361"/>
      <c r="O499" s="361"/>
      <c r="P499" s="361"/>
      <c r="Q499" s="361"/>
      <c r="R499" s="361"/>
      <c r="S499" s="361"/>
      <c r="T499" s="361"/>
      <c r="U499" s="361"/>
      <c r="V499" s="361"/>
      <c r="W499" s="361"/>
      <c r="X499" s="361"/>
      <c r="Y499" s="131"/>
      <c r="Z499" s="163"/>
      <c r="AA499" s="131"/>
      <c r="AB499" s="131"/>
      <c r="AC499" s="131"/>
      <c r="AD499" s="131"/>
      <c r="AE499" s="131"/>
      <c r="AF499" s="163"/>
      <c r="AG499" s="163"/>
      <c r="AH499" s="163"/>
      <c r="AI499" s="163"/>
      <c r="AJ499" s="163"/>
      <c r="AK499" s="163"/>
      <c r="AL499" s="163"/>
      <c r="AM499" s="130"/>
      <c r="AN499" s="163"/>
    </row>
    <row r="500" ht="15.75" customHeight="1">
      <c r="A500" s="362"/>
      <c r="B500" s="362"/>
      <c r="C500" s="362"/>
      <c r="D500" s="362"/>
      <c r="E500" s="132"/>
      <c r="F500" s="132"/>
      <c r="G500" s="361"/>
      <c r="H500" s="361"/>
      <c r="I500" s="361"/>
      <c r="J500" s="363"/>
      <c r="K500" s="364"/>
      <c r="L500" s="361"/>
      <c r="M500" s="361"/>
      <c r="N500" s="361"/>
      <c r="O500" s="361"/>
      <c r="P500" s="361"/>
      <c r="Q500" s="361"/>
      <c r="R500" s="361"/>
      <c r="S500" s="361"/>
      <c r="T500" s="361"/>
      <c r="U500" s="361"/>
      <c r="V500" s="361"/>
      <c r="W500" s="361"/>
      <c r="X500" s="361"/>
      <c r="Y500" s="131"/>
      <c r="Z500" s="163"/>
      <c r="AA500" s="131"/>
      <c r="AB500" s="131"/>
      <c r="AC500" s="131"/>
      <c r="AD500" s="131"/>
      <c r="AE500" s="131"/>
      <c r="AF500" s="163"/>
      <c r="AG500" s="163"/>
      <c r="AH500" s="163"/>
      <c r="AI500" s="163"/>
      <c r="AJ500" s="163"/>
      <c r="AK500" s="163"/>
      <c r="AL500" s="163"/>
      <c r="AM500" s="130"/>
      <c r="AN500" s="163"/>
    </row>
    <row r="501" ht="15.75" customHeight="1">
      <c r="A501" s="362"/>
      <c r="B501" s="362"/>
      <c r="C501" s="362"/>
      <c r="D501" s="362"/>
      <c r="E501" s="132"/>
      <c r="F501" s="132"/>
      <c r="G501" s="361"/>
      <c r="H501" s="361"/>
      <c r="I501" s="361"/>
      <c r="J501" s="363"/>
      <c r="K501" s="364"/>
      <c r="L501" s="361"/>
      <c r="M501" s="361"/>
      <c r="N501" s="361"/>
      <c r="O501" s="361"/>
      <c r="P501" s="361"/>
      <c r="Q501" s="361"/>
      <c r="R501" s="361"/>
      <c r="S501" s="361"/>
      <c r="T501" s="361"/>
      <c r="U501" s="361"/>
      <c r="V501" s="361"/>
      <c r="W501" s="361"/>
      <c r="X501" s="361"/>
      <c r="Y501" s="131"/>
      <c r="Z501" s="163"/>
      <c r="AA501" s="131"/>
      <c r="AB501" s="131"/>
      <c r="AC501" s="131"/>
      <c r="AD501" s="131"/>
      <c r="AE501" s="131"/>
      <c r="AF501" s="163"/>
      <c r="AG501" s="163"/>
      <c r="AH501" s="163"/>
      <c r="AI501" s="163"/>
      <c r="AJ501" s="163"/>
      <c r="AK501" s="163"/>
      <c r="AL501" s="163"/>
      <c r="AM501" s="130"/>
      <c r="AN501" s="163"/>
    </row>
    <row r="502" ht="15.75" customHeight="1">
      <c r="A502" s="362"/>
      <c r="B502" s="362"/>
      <c r="C502" s="362"/>
      <c r="D502" s="362"/>
      <c r="E502" s="132"/>
      <c r="F502" s="132"/>
      <c r="G502" s="361"/>
      <c r="H502" s="361"/>
      <c r="I502" s="361"/>
      <c r="J502" s="363"/>
      <c r="K502" s="364"/>
      <c r="L502" s="361"/>
      <c r="M502" s="361"/>
      <c r="N502" s="361"/>
      <c r="O502" s="361"/>
      <c r="P502" s="361"/>
      <c r="Q502" s="361"/>
      <c r="R502" s="361"/>
      <c r="S502" s="361"/>
      <c r="T502" s="361"/>
      <c r="U502" s="361"/>
      <c r="V502" s="361"/>
      <c r="W502" s="361"/>
      <c r="X502" s="361"/>
      <c r="Y502" s="131"/>
      <c r="Z502" s="163"/>
      <c r="AA502" s="131"/>
      <c r="AB502" s="131"/>
      <c r="AC502" s="131"/>
      <c r="AD502" s="131"/>
      <c r="AE502" s="131"/>
      <c r="AF502" s="163"/>
      <c r="AG502" s="163"/>
      <c r="AH502" s="163"/>
      <c r="AI502" s="163"/>
      <c r="AJ502" s="163"/>
      <c r="AK502" s="163"/>
      <c r="AL502" s="163"/>
      <c r="AM502" s="130"/>
      <c r="AN502" s="163"/>
    </row>
    <row r="503" ht="15.75" customHeight="1">
      <c r="A503" s="362"/>
      <c r="B503" s="362"/>
      <c r="C503" s="362"/>
      <c r="D503" s="362"/>
      <c r="E503" s="132"/>
      <c r="F503" s="132"/>
      <c r="G503" s="361"/>
      <c r="H503" s="361"/>
      <c r="I503" s="361"/>
      <c r="J503" s="363"/>
      <c r="K503" s="364"/>
      <c r="L503" s="361"/>
      <c r="M503" s="361"/>
      <c r="N503" s="361"/>
      <c r="O503" s="361"/>
      <c r="P503" s="361"/>
      <c r="Q503" s="361"/>
      <c r="R503" s="361"/>
      <c r="S503" s="361"/>
      <c r="T503" s="361"/>
      <c r="U503" s="361"/>
      <c r="V503" s="361"/>
      <c r="W503" s="361"/>
      <c r="X503" s="361"/>
      <c r="Y503" s="131"/>
      <c r="Z503" s="163"/>
      <c r="AA503" s="131"/>
      <c r="AB503" s="131"/>
      <c r="AC503" s="131"/>
      <c r="AD503" s="131"/>
      <c r="AE503" s="131"/>
      <c r="AF503" s="163"/>
      <c r="AG503" s="163"/>
      <c r="AH503" s="163"/>
      <c r="AI503" s="163"/>
      <c r="AJ503" s="163"/>
      <c r="AK503" s="163"/>
      <c r="AL503" s="163"/>
      <c r="AM503" s="130"/>
      <c r="AN503" s="163"/>
    </row>
    <row r="504" ht="15.75" customHeight="1">
      <c r="A504" s="362"/>
      <c r="B504" s="362"/>
      <c r="C504" s="362"/>
      <c r="D504" s="362"/>
      <c r="E504" s="132"/>
      <c r="F504" s="132"/>
      <c r="G504" s="361"/>
      <c r="H504" s="361"/>
      <c r="I504" s="361"/>
      <c r="J504" s="363"/>
      <c r="K504" s="364"/>
      <c r="L504" s="361"/>
      <c r="M504" s="361"/>
      <c r="N504" s="361"/>
      <c r="O504" s="361"/>
      <c r="P504" s="361"/>
      <c r="Q504" s="361"/>
      <c r="R504" s="361"/>
      <c r="S504" s="361"/>
      <c r="T504" s="361"/>
      <c r="U504" s="361"/>
      <c r="V504" s="361"/>
      <c r="W504" s="361"/>
      <c r="X504" s="361"/>
      <c r="Y504" s="131"/>
      <c r="Z504" s="163"/>
      <c r="AA504" s="131"/>
      <c r="AB504" s="131"/>
      <c r="AC504" s="131"/>
      <c r="AD504" s="131"/>
      <c r="AE504" s="131"/>
      <c r="AF504" s="163"/>
      <c r="AG504" s="163"/>
      <c r="AH504" s="163"/>
      <c r="AI504" s="163"/>
      <c r="AJ504" s="163"/>
      <c r="AK504" s="163"/>
      <c r="AL504" s="163"/>
      <c r="AM504" s="130"/>
      <c r="AN504" s="163"/>
    </row>
    <row r="505" ht="15.75" customHeight="1">
      <c r="A505" s="362"/>
      <c r="B505" s="362"/>
      <c r="C505" s="362"/>
      <c r="D505" s="362"/>
      <c r="E505" s="132"/>
      <c r="F505" s="132"/>
      <c r="G505" s="361"/>
      <c r="H505" s="361"/>
      <c r="I505" s="361"/>
      <c r="J505" s="363"/>
      <c r="K505" s="364"/>
      <c r="L505" s="361"/>
      <c r="M505" s="361"/>
      <c r="N505" s="361"/>
      <c r="O505" s="361"/>
      <c r="P505" s="361"/>
      <c r="Q505" s="361"/>
      <c r="R505" s="361"/>
      <c r="S505" s="361"/>
      <c r="T505" s="361"/>
      <c r="U505" s="361"/>
      <c r="V505" s="361"/>
      <c r="W505" s="361"/>
      <c r="X505" s="361"/>
      <c r="Y505" s="131"/>
      <c r="Z505" s="163"/>
      <c r="AA505" s="131"/>
      <c r="AB505" s="131"/>
      <c r="AC505" s="131"/>
      <c r="AD505" s="131"/>
      <c r="AE505" s="131"/>
      <c r="AF505" s="163"/>
      <c r="AG505" s="163"/>
      <c r="AH505" s="163"/>
      <c r="AI505" s="163"/>
      <c r="AJ505" s="163"/>
      <c r="AK505" s="163"/>
      <c r="AL505" s="163"/>
      <c r="AM505" s="130"/>
      <c r="AN505" s="163"/>
    </row>
    <row r="506" ht="15.75" customHeight="1">
      <c r="A506" s="362"/>
      <c r="B506" s="362"/>
      <c r="C506" s="362"/>
      <c r="D506" s="362"/>
      <c r="E506" s="132"/>
      <c r="F506" s="132"/>
      <c r="G506" s="361"/>
      <c r="H506" s="361"/>
      <c r="I506" s="361"/>
      <c r="J506" s="363"/>
      <c r="K506" s="364"/>
      <c r="L506" s="361"/>
      <c r="M506" s="361"/>
      <c r="N506" s="361"/>
      <c r="O506" s="361"/>
      <c r="P506" s="361"/>
      <c r="Q506" s="361"/>
      <c r="R506" s="361"/>
      <c r="S506" s="361"/>
      <c r="T506" s="361"/>
      <c r="U506" s="361"/>
      <c r="V506" s="361"/>
      <c r="W506" s="361"/>
      <c r="X506" s="361"/>
      <c r="Y506" s="131"/>
      <c r="Z506" s="163"/>
      <c r="AA506" s="131"/>
      <c r="AB506" s="131"/>
      <c r="AC506" s="131"/>
      <c r="AD506" s="131"/>
      <c r="AE506" s="131"/>
      <c r="AF506" s="163"/>
      <c r="AG506" s="163"/>
      <c r="AH506" s="163"/>
      <c r="AI506" s="163"/>
      <c r="AJ506" s="163"/>
      <c r="AK506" s="163"/>
      <c r="AL506" s="163"/>
      <c r="AM506" s="130"/>
      <c r="AN506" s="163"/>
    </row>
    <row r="507" ht="15.75" customHeight="1">
      <c r="A507" s="362"/>
      <c r="B507" s="362"/>
      <c r="C507" s="362"/>
      <c r="D507" s="362"/>
      <c r="E507" s="132"/>
      <c r="F507" s="132"/>
      <c r="G507" s="361"/>
      <c r="H507" s="361"/>
      <c r="I507" s="361"/>
      <c r="J507" s="363"/>
      <c r="K507" s="364"/>
      <c r="L507" s="361"/>
      <c r="M507" s="361"/>
      <c r="N507" s="361"/>
      <c r="O507" s="361"/>
      <c r="P507" s="361"/>
      <c r="Q507" s="361"/>
      <c r="R507" s="361"/>
      <c r="S507" s="361"/>
      <c r="T507" s="361"/>
      <c r="U507" s="361"/>
      <c r="V507" s="361"/>
      <c r="W507" s="361"/>
      <c r="X507" s="361"/>
      <c r="Y507" s="131"/>
      <c r="Z507" s="163"/>
      <c r="AA507" s="131"/>
      <c r="AB507" s="131"/>
      <c r="AC507" s="131"/>
      <c r="AD507" s="131"/>
      <c r="AE507" s="131"/>
      <c r="AF507" s="163"/>
      <c r="AG507" s="163"/>
      <c r="AH507" s="163"/>
      <c r="AI507" s="163"/>
      <c r="AJ507" s="163"/>
      <c r="AK507" s="163"/>
      <c r="AL507" s="163"/>
      <c r="AM507" s="130"/>
      <c r="AN507" s="163"/>
    </row>
    <row r="508" ht="15.75" customHeight="1">
      <c r="A508" s="362"/>
      <c r="B508" s="362"/>
      <c r="C508" s="362"/>
      <c r="D508" s="362"/>
      <c r="E508" s="132"/>
      <c r="F508" s="132"/>
      <c r="G508" s="361"/>
      <c r="H508" s="361"/>
      <c r="I508" s="361"/>
      <c r="J508" s="363"/>
      <c r="K508" s="364"/>
      <c r="L508" s="361"/>
      <c r="M508" s="361"/>
      <c r="N508" s="361"/>
      <c r="O508" s="361"/>
      <c r="P508" s="361"/>
      <c r="Q508" s="361"/>
      <c r="R508" s="361"/>
      <c r="S508" s="361"/>
      <c r="T508" s="361"/>
      <c r="U508" s="361"/>
      <c r="V508" s="361"/>
      <c r="W508" s="361"/>
      <c r="X508" s="361"/>
      <c r="Y508" s="131"/>
      <c r="Z508" s="163"/>
      <c r="AA508" s="131"/>
      <c r="AB508" s="131"/>
      <c r="AC508" s="131"/>
      <c r="AD508" s="131"/>
      <c r="AE508" s="131"/>
      <c r="AF508" s="163"/>
      <c r="AG508" s="163"/>
      <c r="AH508" s="163"/>
      <c r="AI508" s="163"/>
      <c r="AJ508" s="163"/>
      <c r="AK508" s="163"/>
      <c r="AL508" s="163"/>
      <c r="AM508" s="130"/>
      <c r="AN508" s="163"/>
    </row>
    <row r="509" ht="15.75" customHeight="1">
      <c r="A509" s="362"/>
      <c r="B509" s="362"/>
      <c r="C509" s="362"/>
      <c r="D509" s="362"/>
      <c r="E509" s="132"/>
      <c r="F509" s="132"/>
      <c r="G509" s="361"/>
      <c r="H509" s="361"/>
      <c r="I509" s="361"/>
      <c r="J509" s="363"/>
      <c r="K509" s="364"/>
      <c r="L509" s="361"/>
      <c r="M509" s="361"/>
      <c r="N509" s="361"/>
      <c r="O509" s="361"/>
      <c r="P509" s="361"/>
      <c r="Q509" s="361"/>
      <c r="R509" s="361"/>
      <c r="S509" s="361"/>
      <c r="T509" s="361"/>
      <c r="U509" s="361"/>
      <c r="V509" s="361"/>
      <c r="W509" s="361"/>
      <c r="X509" s="361"/>
      <c r="Y509" s="131"/>
      <c r="Z509" s="163"/>
      <c r="AA509" s="131"/>
      <c r="AB509" s="131"/>
      <c r="AC509" s="131"/>
      <c r="AD509" s="131"/>
      <c r="AE509" s="131"/>
      <c r="AF509" s="163"/>
      <c r="AG509" s="163"/>
      <c r="AH509" s="163"/>
      <c r="AI509" s="163"/>
      <c r="AJ509" s="163"/>
      <c r="AK509" s="163"/>
      <c r="AL509" s="163"/>
      <c r="AM509" s="130"/>
      <c r="AN509" s="163"/>
    </row>
    <row r="510" ht="15.75" customHeight="1">
      <c r="A510" s="362"/>
      <c r="B510" s="362"/>
      <c r="C510" s="362"/>
      <c r="D510" s="362"/>
      <c r="E510" s="132"/>
      <c r="F510" s="132"/>
      <c r="G510" s="361"/>
      <c r="H510" s="361"/>
      <c r="I510" s="361"/>
      <c r="J510" s="363"/>
      <c r="K510" s="364"/>
      <c r="L510" s="361"/>
      <c r="M510" s="361"/>
      <c r="N510" s="361"/>
      <c r="O510" s="361"/>
      <c r="P510" s="361"/>
      <c r="Q510" s="361"/>
      <c r="R510" s="361"/>
      <c r="S510" s="361"/>
      <c r="T510" s="361"/>
      <c r="U510" s="361"/>
      <c r="V510" s="361"/>
      <c r="W510" s="361"/>
      <c r="X510" s="361"/>
      <c r="Y510" s="131"/>
      <c r="Z510" s="163"/>
      <c r="AA510" s="131"/>
      <c r="AB510" s="131"/>
      <c r="AC510" s="131"/>
      <c r="AD510" s="131"/>
      <c r="AE510" s="131"/>
      <c r="AF510" s="163"/>
      <c r="AG510" s="163"/>
      <c r="AH510" s="163"/>
      <c r="AI510" s="163"/>
      <c r="AJ510" s="163"/>
      <c r="AK510" s="163"/>
      <c r="AL510" s="163"/>
      <c r="AM510" s="130"/>
      <c r="AN510" s="163"/>
    </row>
    <row r="511" ht="15.75" customHeight="1">
      <c r="A511" s="362"/>
      <c r="B511" s="362"/>
      <c r="C511" s="362"/>
      <c r="D511" s="362"/>
      <c r="E511" s="132"/>
      <c r="F511" s="132"/>
      <c r="G511" s="361"/>
      <c r="H511" s="361"/>
      <c r="I511" s="361"/>
      <c r="J511" s="363"/>
      <c r="K511" s="364"/>
      <c r="L511" s="361"/>
      <c r="M511" s="361"/>
      <c r="N511" s="361"/>
      <c r="O511" s="361"/>
      <c r="P511" s="361"/>
      <c r="Q511" s="361"/>
      <c r="R511" s="361"/>
      <c r="S511" s="361"/>
      <c r="T511" s="361"/>
      <c r="U511" s="361"/>
      <c r="V511" s="361"/>
      <c r="W511" s="361"/>
      <c r="X511" s="361"/>
      <c r="Y511" s="131"/>
      <c r="Z511" s="163"/>
      <c r="AA511" s="131"/>
      <c r="AB511" s="131"/>
      <c r="AC511" s="131"/>
      <c r="AD511" s="131"/>
      <c r="AE511" s="131"/>
      <c r="AF511" s="163"/>
      <c r="AG511" s="163"/>
      <c r="AH511" s="163"/>
      <c r="AI511" s="163"/>
      <c r="AJ511" s="163"/>
      <c r="AK511" s="163"/>
      <c r="AL511" s="163"/>
      <c r="AM511" s="130"/>
      <c r="AN511" s="163"/>
    </row>
    <row r="512" ht="15.75" customHeight="1">
      <c r="A512" s="362"/>
      <c r="B512" s="362"/>
      <c r="C512" s="362"/>
      <c r="D512" s="362"/>
      <c r="E512" s="132"/>
      <c r="F512" s="132"/>
      <c r="G512" s="361"/>
      <c r="H512" s="361"/>
      <c r="I512" s="361"/>
      <c r="J512" s="363"/>
      <c r="K512" s="364"/>
      <c r="L512" s="361"/>
      <c r="M512" s="361"/>
      <c r="N512" s="361"/>
      <c r="O512" s="361"/>
      <c r="P512" s="361"/>
      <c r="Q512" s="361"/>
      <c r="R512" s="361"/>
      <c r="S512" s="361"/>
      <c r="T512" s="361"/>
      <c r="U512" s="361"/>
      <c r="V512" s="361"/>
      <c r="W512" s="361"/>
      <c r="X512" s="361"/>
      <c r="Y512" s="131"/>
      <c r="Z512" s="163"/>
      <c r="AA512" s="131"/>
      <c r="AB512" s="131"/>
      <c r="AC512" s="131"/>
      <c r="AD512" s="131"/>
      <c r="AE512" s="131"/>
      <c r="AF512" s="163"/>
      <c r="AG512" s="163"/>
      <c r="AH512" s="163"/>
      <c r="AI512" s="163"/>
      <c r="AJ512" s="163"/>
      <c r="AK512" s="163"/>
      <c r="AL512" s="163"/>
      <c r="AM512" s="130"/>
      <c r="AN512" s="163"/>
    </row>
    <row r="513" ht="15.75" customHeight="1">
      <c r="A513" s="362"/>
      <c r="B513" s="362"/>
      <c r="C513" s="362"/>
      <c r="D513" s="362"/>
      <c r="E513" s="132"/>
      <c r="F513" s="132"/>
      <c r="G513" s="361"/>
      <c r="H513" s="361"/>
      <c r="I513" s="361"/>
      <c r="J513" s="363"/>
      <c r="K513" s="364"/>
      <c r="L513" s="361"/>
      <c r="M513" s="361"/>
      <c r="N513" s="361"/>
      <c r="O513" s="361"/>
      <c r="P513" s="361"/>
      <c r="Q513" s="361"/>
      <c r="R513" s="361"/>
      <c r="S513" s="361"/>
      <c r="T513" s="361"/>
      <c r="U513" s="361"/>
      <c r="V513" s="361"/>
      <c r="W513" s="361"/>
      <c r="X513" s="361"/>
      <c r="Y513" s="131"/>
      <c r="Z513" s="163"/>
      <c r="AA513" s="131"/>
      <c r="AB513" s="131"/>
      <c r="AC513" s="131"/>
      <c r="AD513" s="131"/>
      <c r="AE513" s="131"/>
      <c r="AF513" s="163"/>
      <c r="AG513" s="163"/>
      <c r="AH513" s="163"/>
      <c r="AI513" s="163"/>
      <c r="AJ513" s="163"/>
      <c r="AK513" s="163"/>
      <c r="AL513" s="163"/>
      <c r="AM513" s="130"/>
      <c r="AN513" s="163"/>
    </row>
    <row r="514" ht="15.75" customHeight="1">
      <c r="A514" s="362"/>
      <c r="B514" s="362"/>
      <c r="C514" s="362"/>
      <c r="D514" s="362"/>
      <c r="E514" s="132"/>
      <c r="F514" s="132"/>
      <c r="G514" s="361"/>
      <c r="H514" s="361"/>
      <c r="I514" s="361"/>
      <c r="J514" s="363"/>
      <c r="K514" s="364"/>
      <c r="L514" s="361"/>
      <c r="M514" s="361"/>
      <c r="N514" s="361"/>
      <c r="O514" s="361"/>
      <c r="P514" s="361"/>
      <c r="Q514" s="361"/>
      <c r="R514" s="361"/>
      <c r="S514" s="361"/>
      <c r="T514" s="361"/>
      <c r="U514" s="361"/>
      <c r="V514" s="361"/>
      <c r="W514" s="361"/>
      <c r="X514" s="361"/>
      <c r="Y514" s="131"/>
      <c r="Z514" s="163"/>
      <c r="AA514" s="131"/>
      <c r="AB514" s="131"/>
      <c r="AC514" s="131"/>
      <c r="AD514" s="131"/>
      <c r="AE514" s="131"/>
      <c r="AF514" s="163"/>
      <c r="AG514" s="163"/>
      <c r="AH514" s="163"/>
      <c r="AI514" s="163"/>
      <c r="AJ514" s="163"/>
      <c r="AK514" s="163"/>
      <c r="AL514" s="163"/>
      <c r="AM514" s="130"/>
      <c r="AN514" s="163"/>
    </row>
    <row r="515" ht="15.75" customHeight="1">
      <c r="A515" s="362"/>
      <c r="B515" s="362"/>
      <c r="C515" s="362"/>
      <c r="D515" s="362"/>
      <c r="E515" s="132"/>
      <c r="F515" s="132"/>
      <c r="G515" s="361"/>
      <c r="H515" s="361"/>
      <c r="I515" s="361"/>
      <c r="J515" s="363"/>
      <c r="K515" s="364"/>
      <c r="L515" s="361"/>
      <c r="M515" s="361"/>
      <c r="N515" s="361"/>
      <c r="O515" s="361"/>
      <c r="P515" s="361"/>
      <c r="Q515" s="361"/>
      <c r="R515" s="361"/>
      <c r="S515" s="361"/>
      <c r="T515" s="361"/>
      <c r="U515" s="361"/>
      <c r="V515" s="361"/>
      <c r="W515" s="361"/>
      <c r="X515" s="361"/>
      <c r="Y515" s="131"/>
      <c r="Z515" s="163"/>
      <c r="AA515" s="131"/>
      <c r="AB515" s="131"/>
      <c r="AC515" s="131"/>
      <c r="AD515" s="131"/>
      <c r="AE515" s="131"/>
      <c r="AF515" s="163"/>
      <c r="AG515" s="163"/>
      <c r="AH515" s="163"/>
      <c r="AI515" s="163"/>
      <c r="AJ515" s="163"/>
      <c r="AK515" s="163"/>
      <c r="AL515" s="163"/>
      <c r="AM515" s="130"/>
      <c r="AN515" s="163"/>
    </row>
    <row r="516" ht="15.75" customHeight="1">
      <c r="A516" s="362"/>
      <c r="B516" s="362"/>
      <c r="C516" s="362"/>
      <c r="D516" s="362"/>
      <c r="E516" s="132"/>
      <c r="F516" s="132"/>
      <c r="G516" s="361"/>
      <c r="H516" s="361"/>
      <c r="I516" s="361"/>
      <c r="J516" s="363"/>
      <c r="K516" s="364"/>
      <c r="L516" s="361"/>
      <c r="M516" s="361"/>
      <c r="N516" s="361"/>
      <c r="O516" s="361"/>
      <c r="P516" s="361"/>
      <c r="Q516" s="361"/>
      <c r="R516" s="361"/>
      <c r="S516" s="361"/>
      <c r="T516" s="361"/>
      <c r="U516" s="361"/>
      <c r="V516" s="361"/>
      <c r="W516" s="361"/>
      <c r="X516" s="361"/>
      <c r="Y516" s="131"/>
      <c r="Z516" s="163"/>
      <c r="AA516" s="131"/>
      <c r="AB516" s="131"/>
      <c r="AC516" s="131"/>
      <c r="AD516" s="131"/>
      <c r="AE516" s="131"/>
      <c r="AF516" s="163"/>
      <c r="AG516" s="163"/>
      <c r="AH516" s="163"/>
      <c r="AI516" s="163"/>
      <c r="AJ516" s="163"/>
      <c r="AK516" s="163"/>
      <c r="AL516" s="163"/>
      <c r="AM516" s="130"/>
      <c r="AN516" s="163"/>
    </row>
    <row r="517" ht="15.75" customHeight="1">
      <c r="A517" s="362"/>
      <c r="B517" s="362"/>
      <c r="C517" s="362"/>
      <c r="D517" s="362"/>
      <c r="E517" s="132"/>
      <c r="F517" s="132"/>
      <c r="G517" s="361"/>
      <c r="H517" s="361"/>
      <c r="I517" s="361"/>
      <c r="J517" s="363"/>
      <c r="K517" s="364"/>
      <c r="L517" s="361"/>
      <c r="M517" s="361"/>
      <c r="N517" s="361"/>
      <c r="O517" s="361"/>
      <c r="P517" s="361"/>
      <c r="Q517" s="361"/>
      <c r="R517" s="361"/>
      <c r="S517" s="361"/>
      <c r="T517" s="361"/>
      <c r="U517" s="361"/>
      <c r="V517" s="361"/>
      <c r="W517" s="361"/>
      <c r="X517" s="361"/>
      <c r="Y517" s="131"/>
      <c r="Z517" s="163"/>
      <c r="AA517" s="131"/>
      <c r="AB517" s="131"/>
      <c r="AC517" s="131"/>
      <c r="AD517" s="131"/>
      <c r="AE517" s="131"/>
      <c r="AF517" s="163"/>
      <c r="AG517" s="163"/>
      <c r="AH517" s="163"/>
      <c r="AI517" s="163"/>
      <c r="AJ517" s="163"/>
      <c r="AK517" s="163"/>
      <c r="AL517" s="163"/>
      <c r="AM517" s="130"/>
      <c r="AN517" s="163"/>
    </row>
    <row r="518" ht="15.75" customHeight="1">
      <c r="A518" s="362"/>
      <c r="B518" s="362"/>
      <c r="C518" s="362"/>
      <c r="D518" s="362"/>
      <c r="E518" s="132"/>
      <c r="F518" s="132"/>
      <c r="G518" s="361"/>
      <c r="H518" s="361"/>
      <c r="I518" s="361"/>
      <c r="J518" s="363"/>
      <c r="K518" s="364"/>
      <c r="L518" s="361"/>
      <c r="M518" s="361"/>
      <c r="N518" s="361"/>
      <c r="O518" s="361"/>
      <c r="P518" s="361"/>
      <c r="Q518" s="361"/>
      <c r="R518" s="361"/>
      <c r="S518" s="361"/>
      <c r="T518" s="361"/>
      <c r="U518" s="361"/>
      <c r="V518" s="361"/>
      <c r="W518" s="361"/>
      <c r="X518" s="361"/>
      <c r="Y518" s="131"/>
      <c r="Z518" s="163"/>
      <c r="AA518" s="131"/>
      <c r="AB518" s="131"/>
      <c r="AC518" s="131"/>
      <c r="AD518" s="131"/>
      <c r="AE518" s="131"/>
      <c r="AF518" s="163"/>
      <c r="AG518" s="163"/>
      <c r="AH518" s="163"/>
      <c r="AI518" s="163"/>
      <c r="AJ518" s="163"/>
      <c r="AK518" s="163"/>
      <c r="AL518" s="163"/>
      <c r="AM518" s="130"/>
      <c r="AN518" s="163"/>
    </row>
    <row r="519" ht="15.75" customHeight="1">
      <c r="A519" s="362"/>
      <c r="B519" s="362"/>
      <c r="C519" s="362"/>
      <c r="D519" s="362"/>
      <c r="E519" s="132"/>
      <c r="F519" s="132"/>
      <c r="G519" s="361"/>
      <c r="H519" s="361"/>
      <c r="I519" s="361"/>
      <c r="J519" s="363"/>
      <c r="K519" s="364"/>
      <c r="L519" s="361"/>
      <c r="M519" s="361"/>
      <c r="N519" s="361"/>
      <c r="O519" s="361"/>
      <c r="P519" s="361"/>
      <c r="Q519" s="361"/>
      <c r="R519" s="361"/>
      <c r="S519" s="361"/>
      <c r="T519" s="361"/>
      <c r="U519" s="361"/>
      <c r="V519" s="361"/>
      <c r="W519" s="361"/>
      <c r="X519" s="361"/>
      <c r="Y519" s="131"/>
      <c r="Z519" s="163"/>
      <c r="AA519" s="131"/>
      <c r="AB519" s="131"/>
      <c r="AC519" s="131"/>
      <c r="AD519" s="131"/>
      <c r="AE519" s="131"/>
      <c r="AF519" s="163"/>
      <c r="AG519" s="163"/>
      <c r="AH519" s="163"/>
      <c r="AI519" s="163"/>
      <c r="AJ519" s="163"/>
      <c r="AK519" s="163"/>
      <c r="AL519" s="163"/>
      <c r="AM519" s="130"/>
      <c r="AN519" s="163"/>
    </row>
    <row r="520" ht="15.75" customHeight="1">
      <c r="A520" s="362"/>
      <c r="B520" s="362"/>
      <c r="C520" s="362"/>
      <c r="D520" s="362"/>
      <c r="E520" s="132"/>
      <c r="F520" s="132"/>
      <c r="G520" s="361"/>
      <c r="H520" s="361"/>
      <c r="I520" s="361"/>
      <c r="J520" s="363"/>
      <c r="K520" s="364"/>
      <c r="L520" s="361"/>
      <c r="M520" s="361"/>
      <c r="N520" s="361"/>
      <c r="O520" s="361"/>
      <c r="P520" s="361"/>
      <c r="Q520" s="361"/>
      <c r="R520" s="361"/>
      <c r="S520" s="361"/>
      <c r="T520" s="361"/>
      <c r="U520" s="361"/>
      <c r="V520" s="361"/>
      <c r="W520" s="361"/>
      <c r="X520" s="361"/>
      <c r="Y520" s="131"/>
      <c r="Z520" s="163"/>
      <c r="AA520" s="131"/>
      <c r="AB520" s="131"/>
      <c r="AC520" s="131"/>
      <c r="AD520" s="131"/>
      <c r="AE520" s="131"/>
      <c r="AF520" s="163"/>
      <c r="AG520" s="163"/>
      <c r="AH520" s="163"/>
      <c r="AI520" s="163"/>
      <c r="AJ520" s="163"/>
      <c r="AK520" s="163"/>
      <c r="AL520" s="163"/>
      <c r="AM520" s="130"/>
      <c r="AN520" s="163"/>
    </row>
    <row r="521" ht="15.75" customHeight="1">
      <c r="A521" s="362"/>
      <c r="B521" s="362"/>
      <c r="C521" s="362"/>
      <c r="D521" s="362"/>
      <c r="E521" s="132"/>
      <c r="F521" s="132"/>
      <c r="G521" s="361"/>
      <c r="H521" s="361"/>
      <c r="I521" s="361"/>
      <c r="J521" s="363"/>
      <c r="K521" s="364"/>
      <c r="L521" s="361"/>
      <c r="M521" s="361"/>
      <c r="N521" s="361"/>
      <c r="O521" s="361"/>
      <c r="P521" s="361"/>
      <c r="Q521" s="361"/>
      <c r="R521" s="361"/>
      <c r="S521" s="361"/>
      <c r="T521" s="361"/>
      <c r="U521" s="361"/>
      <c r="V521" s="361"/>
      <c r="W521" s="361"/>
      <c r="X521" s="361"/>
      <c r="Y521" s="131"/>
      <c r="Z521" s="163"/>
      <c r="AA521" s="131"/>
      <c r="AB521" s="131"/>
      <c r="AC521" s="131"/>
      <c r="AD521" s="131"/>
      <c r="AE521" s="131"/>
      <c r="AF521" s="163"/>
      <c r="AG521" s="163"/>
      <c r="AH521" s="163"/>
      <c r="AI521" s="163"/>
      <c r="AJ521" s="163"/>
      <c r="AK521" s="163"/>
      <c r="AL521" s="163"/>
      <c r="AM521" s="130"/>
      <c r="AN521" s="163"/>
    </row>
    <row r="522" ht="15.75" customHeight="1">
      <c r="A522" s="362"/>
      <c r="B522" s="362"/>
      <c r="C522" s="362"/>
      <c r="D522" s="362"/>
      <c r="E522" s="132"/>
      <c r="F522" s="132"/>
      <c r="G522" s="361"/>
      <c r="H522" s="361"/>
      <c r="I522" s="361"/>
      <c r="J522" s="363"/>
      <c r="K522" s="364"/>
      <c r="L522" s="361"/>
      <c r="M522" s="361"/>
      <c r="N522" s="361"/>
      <c r="O522" s="361"/>
      <c r="P522" s="361"/>
      <c r="Q522" s="361"/>
      <c r="R522" s="361"/>
      <c r="S522" s="361"/>
      <c r="T522" s="361"/>
      <c r="U522" s="361"/>
      <c r="V522" s="361"/>
      <c r="W522" s="361"/>
      <c r="X522" s="361"/>
      <c r="Y522" s="131"/>
      <c r="Z522" s="163"/>
      <c r="AA522" s="131"/>
      <c r="AB522" s="131"/>
      <c r="AC522" s="131"/>
      <c r="AD522" s="131"/>
      <c r="AE522" s="131"/>
      <c r="AF522" s="163"/>
      <c r="AG522" s="163"/>
      <c r="AH522" s="163"/>
      <c r="AI522" s="163"/>
      <c r="AJ522" s="163"/>
      <c r="AK522" s="163"/>
      <c r="AL522" s="163"/>
      <c r="AM522" s="130"/>
      <c r="AN522" s="163"/>
    </row>
    <row r="523" ht="15.75" customHeight="1">
      <c r="A523" s="362"/>
      <c r="B523" s="362"/>
      <c r="C523" s="362"/>
      <c r="D523" s="362"/>
      <c r="E523" s="132"/>
      <c r="F523" s="132"/>
      <c r="G523" s="361"/>
      <c r="H523" s="361"/>
      <c r="I523" s="361"/>
      <c r="J523" s="363"/>
      <c r="K523" s="364"/>
      <c r="L523" s="361"/>
      <c r="M523" s="361"/>
      <c r="N523" s="361"/>
      <c r="O523" s="361"/>
      <c r="P523" s="361"/>
      <c r="Q523" s="361"/>
      <c r="R523" s="361"/>
      <c r="S523" s="361"/>
      <c r="T523" s="361"/>
      <c r="U523" s="361"/>
      <c r="V523" s="361"/>
      <c r="W523" s="361"/>
      <c r="X523" s="361"/>
      <c r="Y523" s="131"/>
      <c r="Z523" s="163"/>
      <c r="AA523" s="131"/>
      <c r="AB523" s="131"/>
      <c r="AC523" s="131"/>
      <c r="AD523" s="131"/>
      <c r="AE523" s="131"/>
      <c r="AF523" s="163"/>
      <c r="AG523" s="163"/>
      <c r="AH523" s="163"/>
      <c r="AI523" s="163"/>
      <c r="AJ523" s="163"/>
      <c r="AK523" s="163"/>
      <c r="AL523" s="163"/>
      <c r="AM523" s="130"/>
      <c r="AN523" s="163"/>
    </row>
    <row r="524" ht="15.75" customHeight="1">
      <c r="A524" s="362"/>
      <c r="B524" s="362"/>
      <c r="C524" s="362"/>
      <c r="D524" s="362"/>
      <c r="E524" s="132"/>
      <c r="F524" s="132"/>
      <c r="G524" s="361"/>
      <c r="H524" s="361"/>
      <c r="I524" s="361"/>
      <c r="J524" s="363"/>
      <c r="K524" s="364"/>
      <c r="L524" s="361"/>
      <c r="M524" s="361"/>
      <c r="N524" s="361"/>
      <c r="O524" s="361"/>
      <c r="P524" s="361"/>
      <c r="Q524" s="361"/>
      <c r="R524" s="361"/>
      <c r="S524" s="361"/>
      <c r="T524" s="361"/>
      <c r="U524" s="361"/>
      <c r="V524" s="361"/>
      <c r="W524" s="361"/>
      <c r="X524" s="361"/>
      <c r="Y524" s="131"/>
      <c r="Z524" s="163"/>
      <c r="AA524" s="131"/>
      <c r="AB524" s="131"/>
      <c r="AC524" s="131"/>
      <c r="AD524" s="131"/>
      <c r="AE524" s="131"/>
      <c r="AF524" s="163"/>
      <c r="AG524" s="163"/>
      <c r="AH524" s="163"/>
      <c r="AI524" s="163"/>
      <c r="AJ524" s="163"/>
      <c r="AK524" s="163"/>
      <c r="AL524" s="163"/>
      <c r="AM524" s="130"/>
      <c r="AN524" s="163"/>
    </row>
    <row r="525" ht="15.75" customHeight="1">
      <c r="A525" s="362"/>
      <c r="B525" s="362"/>
      <c r="C525" s="362"/>
      <c r="D525" s="362"/>
      <c r="E525" s="132"/>
      <c r="F525" s="132"/>
      <c r="G525" s="361"/>
      <c r="H525" s="361"/>
      <c r="I525" s="361"/>
      <c r="J525" s="363"/>
      <c r="K525" s="364"/>
      <c r="L525" s="361"/>
      <c r="M525" s="361"/>
      <c r="N525" s="361"/>
      <c r="O525" s="361"/>
      <c r="P525" s="361"/>
      <c r="Q525" s="361"/>
      <c r="R525" s="361"/>
      <c r="S525" s="361"/>
      <c r="T525" s="361"/>
      <c r="U525" s="361"/>
      <c r="V525" s="361"/>
      <c r="W525" s="361"/>
      <c r="X525" s="361"/>
      <c r="Y525" s="131"/>
      <c r="Z525" s="163"/>
      <c r="AA525" s="131"/>
      <c r="AB525" s="131"/>
      <c r="AC525" s="131"/>
      <c r="AD525" s="131"/>
      <c r="AE525" s="131"/>
      <c r="AF525" s="163"/>
      <c r="AG525" s="163"/>
      <c r="AH525" s="163"/>
      <c r="AI525" s="163"/>
      <c r="AJ525" s="163"/>
      <c r="AK525" s="163"/>
      <c r="AL525" s="163"/>
      <c r="AM525" s="130"/>
      <c r="AN525" s="163"/>
    </row>
    <row r="526" ht="15.75" customHeight="1">
      <c r="A526" s="362"/>
      <c r="B526" s="362"/>
      <c r="C526" s="362"/>
      <c r="D526" s="362"/>
      <c r="E526" s="132"/>
      <c r="F526" s="132"/>
      <c r="G526" s="361"/>
      <c r="H526" s="361"/>
      <c r="I526" s="361"/>
      <c r="J526" s="363"/>
      <c r="K526" s="364"/>
      <c r="L526" s="361"/>
      <c r="M526" s="361"/>
      <c r="N526" s="361"/>
      <c r="O526" s="361"/>
      <c r="P526" s="361"/>
      <c r="Q526" s="361"/>
      <c r="R526" s="361"/>
      <c r="S526" s="361"/>
      <c r="T526" s="361"/>
      <c r="U526" s="361"/>
      <c r="V526" s="361"/>
      <c r="W526" s="361"/>
      <c r="X526" s="361"/>
      <c r="Y526" s="131"/>
      <c r="Z526" s="163"/>
      <c r="AA526" s="131"/>
      <c r="AB526" s="131"/>
      <c r="AC526" s="131"/>
      <c r="AD526" s="131"/>
      <c r="AE526" s="131"/>
      <c r="AF526" s="163"/>
      <c r="AG526" s="163"/>
      <c r="AH526" s="163"/>
      <c r="AI526" s="163"/>
      <c r="AJ526" s="163"/>
      <c r="AK526" s="163"/>
      <c r="AL526" s="163"/>
      <c r="AM526" s="130"/>
      <c r="AN526" s="163"/>
    </row>
    <row r="527" ht="15.75" customHeight="1">
      <c r="A527" s="362"/>
      <c r="B527" s="362"/>
      <c r="C527" s="362"/>
      <c r="D527" s="362"/>
      <c r="E527" s="132"/>
      <c r="F527" s="132"/>
      <c r="G527" s="361"/>
      <c r="H527" s="361"/>
      <c r="I527" s="361"/>
      <c r="J527" s="363"/>
      <c r="K527" s="364"/>
      <c r="L527" s="361"/>
      <c r="M527" s="361"/>
      <c r="N527" s="361"/>
      <c r="O527" s="361"/>
      <c r="P527" s="361"/>
      <c r="Q527" s="361"/>
      <c r="R527" s="361"/>
      <c r="S527" s="361"/>
      <c r="T527" s="361"/>
      <c r="U527" s="361"/>
      <c r="V527" s="361"/>
      <c r="W527" s="361"/>
      <c r="X527" s="361"/>
      <c r="Y527" s="131"/>
      <c r="Z527" s="163"/>
      <c r="AA527" s="131"/>
      <c r="AB527" s="131"/>
      <c r="AC527" s="131"/>
      <c r="AD527" s="131"/>
      <c r="AE527" s="131"/>
      <c r="AF527" s="163"/>
      <c r="AG527" s="163"/>
      <c r="AH527" s="163"/>
      <c r="AI527" s="163"/>
      <c r="AJ527" s="163"/>
      <c r="AK527" s="163"/>
      <c r="AL527" s="163"/>
      <c r="AM527" s="130"/>
      <c r="AN527" s="163"/>
    </row>
    <row r="528" ht="15.75" customHeight="1">
      <c r="A528" s="362"/>
      <c r="B528" s="362"/>
      <c r="C528" s="362"/>
      <c r="D528" s="362"/>
      <c r="E528" s="132"/>
      <c r="F528" s="132"/>
      <c r="G528" s="361"/>
      <c r="H528" s="361"/>
      <c r="I528" s="361"/>
      <c r="J528" s="363"/>
      <c r="K528" s="364"/>
      <c r="L528" s="361"/>
      <c r="M528" s="361"/>
      <c r="N528" s="361"/>
      <c r="O528" s="361"/>
      <c r="P528" s="361"/>
      <c r="Q528" s="361"/>
      <c r="R528" s="361"/>
      <c r="S528" s="361"/>
      <c r="T528" s="361"/>
      <c r="U528" s="361"/>
      <c r="V528" s="361"/>
      <c r="W528" s="361"/>
      <c r="X528" s="361"/>
      <c r="Y528" s="131"/>
      <c r="Z528" s="163"/>
      <c r="AA528" s="131"/>
      <c r="AB528" s="131"/>
      <c r="AC528" s="131"/>
      <c r="AD528" s="131"/>
      <c r="AE528" s="131"/>
      <c r="AF528" s="163"/>
      <c r="AG528" s="163"/>
      <c r="AH528" s="163"/>
      <c r="AI528" s="163"/>
      <c r="AJ528" s="163"/>
      <c r="AK528" s="163"/>
      <c r="AL528" s="163"/>
      <c r="AM528" s="130"/>
      <c r="AN528" s="163"/>
    </row>
    <row r="529" ht="15.75" customHeight="1">
      <c r="A529" s="362"/>
      <c r="B529" s="362"/>
      <c r="C529" s="362"/>
      <c r="D529" s="362"/>
      <c r="E529" s="132"/>
      <c r="F529" s="132"/>
      <c r="G529" s="361"/>
      <c r="H529" s="361"/>
      <c r="I529" s="361"/>
      <c r="J529" s="363"/>
      <c r="K529" s="364"/>
      <c r="L529" s="361"/>
      <c r="M529" s="361"/>
      <c r="N529" s="361"/>
      <c r="O529" s="361"/>
      <c r="P529" s="361"/>
      <c r="Q529" s="361"/>
      <c r="R529" s="361"/>
      <c r="S529" s="361"/>
      <c r="T529" s="361"/>
      <c r="U529" s="361"/>
      <c r="V529" s="361"/>
      <c r="W529" s="361"/>
      <c r="X529" s="361"/>
      <c r="Y529" s="131"/>
      <c r="Z529" s="163"/>
      <c r="AA529" s="131"/>
      <c r="AB529" s="131"/>
      <c r="AC529" s="131"/>
      <c r="AD529" s="131"/>
      <c r="AE529" s="131"/>
      <c r="AF529" s="163"/>
      <c r="AG529" s="163"/>
      <c r="AH529" s="163"/>
      <c r="AI529" s="163"/>
      <c r="AJ529" s="163"/>
      <c r="AK529" s="163"/>
      <c r="AL529" s="163"/>
      <c r="AM529" s="130"/>
      <c r="AN529" s="163"/>
    </row>
    <row r="530" ht="15.75" customHeight="1">
      <c r="A530" s="362"/>
      <c r="B530" s="362"/>
      <c r="C530" s="362"/>
      <c r="D530" s="362"/>
      <c r="E530" s="132"/>
      <c r="F530" s="132"/>
      <c r="G530" s="361"/>
      <c r="H530" s="361"/>
      <c r="I530" s="361"/>
      <c r="J530" s="363"/>
      <c r="K530" s="364"/>
      <c r="L530" s="361"/>
      <c r="M530" s="361"/>
      <c r="N530" s="361"/>
      <c r="O530" s="361"/>
      <c r="P530" s="361"/>
      <c r="Q530" s="361"/>
      <c r="R530" s="361"/>
      <c r="S530" s="361"/>
      <c r="T530" s="361"/>
      <c r="U530" s="361"/>
      <c r="V530" s="361"/>
      <c r="W530" s="361"/>
      <c r="X530" s="361"/>
      <c r="Y530" s="131"/>
      <c r="Z530" s="163"/>
      <c r="AA530" s="131"/>
      <c r="AB530" s="131"/>
      <c r="AC530" s="131"/>
      <c r="AD530" s="131"/>
      <c r="AE530" s="131"/>
      <c r="AF530" s="163"/>
      <c r="AG530" s="163"/>
      <c r="AH530" s="163"/>
      <c r="AI530" s="163"/>
      <c r="AJ530" s="163"/>
      <c r="AK530" s="163"/>
      <c r="AL530" s="163"/>
      <c r="AM530" s="130"/>
      <c r="AN530" s="163"/>
    </row>
    <row r="531" ht="15.75" customHeight="1">
      <c r="A531" s="362"/>
      <c r="B531" s="362"/>
      <c r="C531" s="362"/>
      <c r="D531" s="362"/>
      <c r="E531" s="132"/>
      <c r="F531" s="132"/>
      <c r="G531" s="361"/>
      <c r="H531" s="361"/>
      <c r="I531" s="361"/>
      <c r="J531" s="363"/>
      <c r="K531" s="364"/>
      <c r="L531" s="361"/>
      <c r="M531" s="361"/>
      <c r="N531" s="361"/>
      <c r="O531" s="361"/>
      <c r="P531" s="361"/>
      <c r="Q531" s="361"/>
      <c r="R531" s="361"/>
      <c r="S531" s="361"/>
      <c r="T531" s="361"/>
      <c r="U531" s="361"/>
      <c r="V531" s="361"/>
      <c r="W531" s="361"/>
      <c r="X531" s="361"/>
      <c r="Y531" s="131"/>
      <c r="Z531" s="163"/>
      <c r="AA531" s="131"/>
      <c r="AB531" s="131"/>
      <c r="AC531" s="131"/>
      <c r="AD531" s="131"/>
      <c r="AE531" s="131"/>
      <c r="AF531" s="163"/>
      <c r="AG531" s="163"/>
      <c r="AH531" s="163"/>
      <c r="AI531" s="163"/>
      <c r="AJ531" s="163"/>
      <c r="AK531" s="163"/>
      <c r="AL531" s="163"/>
      <c r="AM531" s="130"/>
      <c r="AN531" s="163"/>
    </row>
    <row r="532" ht="15.75" customHeight="1">
      <c r="A532" s="362"/>
      <c r="B532" s="362"/>
      <c r="C532" s="362"/>
      <c r="D532" s="362"/>
      <c r="E532" s="132"/>
      <c r="F532" s="132"/>
      <c r="G532" s="361"/>
      <c r="H532" s="361"/>
      <c r="I532" s="361"/>
      <c r="J532" s="363"/>
      <c r="K532" s="364"/>
      <c r="L532" s="361"/>
      <c r="M532" s="361"/>
      <c r="N532" s="361"/>
      <c r="O532" s="361"/>
      <c r="P532" s="361"/>
      <c r="Q532" s="361"/>
      <c r="R532" s="361"/>
      <c r="S532" s="361"/>
      <c r="T532" s="361"/>
      <c r="U532" s="361"/>
      <c r="V532" s="361"/>
      <c r="W532" s="361"/>
      <c r="X532" s="361"/>
      <c r="Y532" s="131"/>
      <c r="Z532" s="163"/>
      <c r="AA532" s="131"/>
      <c r="AB532" s="131"/>
      <c r="AC532" s="131"/>
      <c r="AD532" s="131"/>
      <c r="AE532" s="131"/>
      <c r="AF532" s="163"/>
      <c r="AG532" s="163"/>
      <c r="AH532" s="163"/>
      <c r="AI532" s="163"/>
      <c r="AJ532" s="163"/>
      <c r="AK532" s="163"/>
      <c r="AL532" s="163"/>
      <c r="AM532" s="130"/>
      <c r="AN532" s="163"/>
    </row>
    <row r="533" ht="15.75" customHeight="1">
      <c r="A533" s="362"/>
      <c r="B533" s="362"/>
      <c r="C533" s="362"/>
      <c r="D533" s="362"/>
      <c r="E533" s="132"/>
      <c r="F533" s="132"/>
      <c r="G533" s="361"/>
      <c r="H533" s="361"/>
      <c r="I533" s="361"/>
      <c r="J533" s="363"/>
      <c r="K533" s="364"/>
      <c r="L533" s="361"/>
      <c r="M533" s="361"/>
      <c r="N533" s="361"/>
      <c r="O533" s="361"/>
      <c r="P533" s="361"/>
      <c r="Q533" s="361"/>
      <c r="R533" s="361"/>
      <c r="S533" s="361"/>
      <c r="T533" s="361"/>
      <c r="U533" s="361"/>
      <c r="V533" s="361"/>
      <c r="W533" s="361"/>
      <c r="X533" s="361"/>
      <c r="Y533" s="131"/>
      <c r="Z533" s="163"/>
      <c r="AA533" s="131"/>
      <c r="AB533" s="131"/>
      <c r="AC533" s="131"/>
      <c r="AD533" s="131"/>
      <c r="AE533" s="131"/>
      <c r="AF533" s="163"/>
      <c r="AG533" s="163"/>
      <c r="AH533" s="163"/>
      <c r="AI533" s="163"/>
      <c r="AJ533" s="163"/>
      <c r="AK533" s="163"/>
      <c r="AL533" s="163"/>
      <c r="AM533" s="130"/>
      <c r="AN533" s="163"/>
    </row>
    <row r="534" ht="15.75" customHeight="1">
      <c r="A534" s="362"/>
      <c r="B534" s="362"/>
      <c r="C534" s="362"/>
      <c r="D534" s="362"/>
      <c r="E534" s="132"/>
      <c r="F534" s="132"/>
      <c r="G534" s="361"/>
      <c r="H534" s="361"/>
      <c r="I534" s="361"/>
      <c r="J534" s="363"/>
      <c r="K534" s="364"/>
      <c r="L534" s="361"/>
      <c r="M534" s="361"/>
      <c r="N534" s="361"/>
      <c r="O534" s="361"/>
      <c r="P534" s="361"/>
      <c r="Q534" s="361"/>
      <c r="R534" s="361"/>
      <c r="S534" s="361"/>
      <c r="T534" s="361"/>
      <c r="U534" s="361"/>
      <c r="V534" s="361"/>
      <c r="W534" s="361"/>
      <c r="X534" s="361"/>
      <c r="Y534" s="131"/>
      <c r="Z534" s="163"/>
      <c r="AA534" s="131"/>
      <c r="AB534" s="131"/>
      <c r="AC534" s="131"/>
      <c r="AD534" s="131"/>
      <c r="AE534" s="131"/>
      <c r="AF534" s="163"/>
      <c r="AG534" s="163"/>
      <c r="AH534" s="163"/>
      <c r="AI534" s="163"/>
      <c r="AJ534" s="163"/>
      <c r="AK534" s="163"/>
      <c r="AL534" s="163"/>
      <c r="AM534" s="130"/>
      <c r="AN534" s="163"/>
    </row>
    <row r="535" ht="15.75" customHeight="1">
      <c r="A535" s="362"/>
      <c r="B535" s="362"/>
      <c r="C535" s="362"/>
      <c r="D535" s="362"/>
      <c r="E535" s="132"/>
      <c r="F535" s="132"/>
      <c r="G535" s="361"/>
      <c r="H535" s="361"/>
      <c r="I535" s="361"/>
      <c r="J535" s="363"/>
      <c r="K535" s="364"/>
      <c r="L535" s="361"/>
      <c r="M535" s="361"/>
      <c r="N535" s="361"/>
      <c r="O535" s="361"/>
      <c r="P535" s="361"/>
      <c r="Q535" s="361"/>
      <c r="R535" s="361"/>
      <c r="S535" s="361"/>
      <c r="T535" s="361"/>
      <c r="U535" s="361"/>
      <c r="V535" s="361"/>
      <c r="W535" s="361"/>
      <c r="X535" s="361"/>
      <c r="Y535" s="131"/>
      <c r="Z535" s="163"/>
      <c r="AA535" s="131"/>
      <c r="AB535" s="131"/>
      <c r="AC535" s="131"/>
      <c r="AD535" s="131"/>
      <c r="AE535" s="131"/>
      <c r="AF535" s="163"/>
      <c r="AG535" s="163"/>
      <c r="AH535" s="163"/>
      <c r="AI535" s="163"/>
      <c r="AJ535" s="163"/>
      <c r="AK535" s="163"/>
      <c r="AL535" s="163"/>
      <c r="AM535" s="130"/>
      <c r="AN535" s="163"/>
    </row>
    <row r="536" ht="15.75" customHeight="1">
      <c r="A536" s="362"/>
      <c r="B536" s="362"/>
      <c r="C536" s="362"/>
      <c r="D536" s="362"/>
      <c r="E536" s="132"/>
      <c r="F536" s="132"/>
      <c r="G536" s="361"/>
      <c r="H536" s="361"/>
      <c r="I536" s="361"/>
      <c r="J536" s="363"/>
      <c r="K536" s="364"/>
      <c r="L536" s="361"/>
      <c r="M536" s="361"/>
      <c r="N536" s="361"/>
      <c r="O536" s="361"/>
      <c r="P536" s="361"/>
      <c r="Q536" s="361"/>
      <c r="R536" s="361"/>
      <c r="S536" s="361"/>
      <c r="T536" s="361"/>
      <c r="U536" s="361"/>
      <c r="V536" s="361"/>
      <c r="W536" s="361"/>
      <c r="X536" s="361"/>
      <c r="Y536" s="131"/>
      <c r="Z536" s="163"/>
      <c r="AA536" s="131"/>
      <c r="AB536" s="131"/>
      <c r="AC536" s="131"/>
      <c r="AD536" s="131"/>
      <c r="AE536" s="131"/>
      <c r="AF536" s="163"/>
      <c r="AG536" s="163"/>
      <c r="AH536" s="163"/>
      <c r="AI536" s="163"/>
      <c r="AJ536" s="163"/>
      <c r="AK536" s="163"/>
      <c r="AL536" s="163"/>
      <c r="AM536" s="130"/>
      <c r="AN536" s="163"/>
    </row>
    <row r="537" ht="15.75" customHeight="1">
      <c r="A537" s="362"/>
      <c r="B537" s="362"/>
      <c r="C537" s="362"/>
      <c r="D537" s="362"/>
      <c r="E537" s="132"/>
      <c r="F537" s="132"/>
      <c r="G537" s="361"/>
      <c r="H537" s="361"/>
      <c r="I537" s="361"/>
      <c r="J537" s="363"/>
      <c r="K537" s="364"/>
      <c r="L537" s="361"/>
      <c r="M537" s="361"/>
      <c r="N537" s="361"/>
      <c r="O537" s="361"/>
      <c r="P537" s="361"/>
      <c r="Q537" s="361"/>
      <c r="R537" s="361"/>
      <c r="S537" s="361"/>
      <c r="T537" s="361"/>
      <c r="U537" s="361"/>
      <c r="V537" s="361"/>
      <c r="W537" s="361"/>
      <c r="X537" s="361"/>
      <c r="Y537" s="131"/>
      <c r="Z537" s="163"/>
      <c r="AA537" s="131"/>
      <c r="AB537" s="131"/>
      <c r="AC537" s="131"/>
      <c r="AD537" s="131"/>
      <c r="AE537" s="131"/>
      <c r="AF537" s="163"/>
      <c r="AG537" s="163"/>
      <c r="AH537" s="163"/>
      <c r="AI537" s="163"/>
      <c r="AJ537" s="163"/>
      <c r="AK537" s="163"/>
      <c r="AL537" s="163"/>
      <c r="AM537" s="130"/>
      <c r="AN537" s="163"/>
    </row>
    <row r="538" ht="15.75" customHeight="1">
      <c r="A538" s="362"/>
      <c r="B538" s="362"/>
      <c r="C538" s="362"/>
      <c r="D538" s="362"/>
      <c r="E538" s="132"/>
      <c r="F538" s="132"/>
      <c r="G538" s="361"/>
      <c r="H538" s="361"/>
      <c r="I538" s="361"/>
      <c r="J538" s="363"/>
      <c r="K538" s="364"/>
      <c r="L538" s="361"/>
      <c r="M538" s="361"/>
      <c r="N538" s="361"/>
      <c r="O538" s="361"/>
      <c r="P538" s="361"/>
      <c r="Q538" s="361"/>
      <c r="R538" s="361"/>
      <c r="S538" s="361"/>
      <c r="T538" s="361"/>
      <c r="U538" s="361"/>
      <c r="V538" s="361"/>
      <c r="W538" s="361"/>
      <c r="X538" s="361"/>
      <c r="Y538" s="131"/>
      <c r="Z538" s="163"/>
      <c r="AA538" s="131"/>
      <c r="AB538" s="131"/>
      <c r="AC538" s="131"/>
      <c r="AD538" s="131"/>
      <c r="AE538" s="131"/>
      <c r="AF538" s="163"/>
      <c r="AG538" s="163"/>
      <c r="AH538" s="163"/>
      <c r="AI538" s="163"/>
      <c r="AJ538" s="163"/>
      <c r="AK538" s="163"/>
      <c r="AL538" s="163"/>
      <c r="AM538" s="130"/>
      <c r="AN538" s="163"/>
    </row>
    <row r="539" ht="15.75" customHeight="1">
      <c r="A539" s="362"/>
      <c r="B539" s="362"/>
      <c r="C539" s="362"/>
      <c r="D539" s="362"/>
      <c r="E539" s="132"/>
      <c r="F539" s="132"/>
      <c r="G539" s="361"/>
      <c r="H539" s="361"/>
      <c r="I539" s="361"/>
      <c r="J539" s="363"/>
      <c r="K539" s="364"/>
      <c r="L539" s="361"/>
      <c r="M539" s="361"/>
      <c r="N539" s="361"/>
      <c r="O539" s="361"/>
      <c r="P539" s="361"/>
      <c r="Q539" s="361"/>
      <c r="R539" s="361"/>
      <c r="S539" s="361"/>
      <c r="T539" s="361"/>
      <c r="U539" s="361"/>
      <c r="V539" s="361"/>
      <c r="W539" s="361"/>
      <c r="X539" s="361"/>
      <c r="Y539" s="131"/>
      <c r="Z539" s="163"/>
      <c r="AA539" s="131"/>
      <c r="AB539" s="131"/>
      <c r="AC539" s="131"/>
      <c r="AD539" s="131"/>
      <c r="AE539" s="131"/>
      <c r="AF539" s="163"/>
      <c r="AG539" s="163"/>
      <c r="AH539" s="163"/>
      <c r="AI539" s="163"/>
      <c r="AJ539" s="163"/>
      <c r="AK539" s="163"/>
      <c r="AL539" s="163"/>
      <c r="AM539" s="130"/>
      <c r="AN539" s="163"/>
    </row>
    <row r="540" ht="15.75" customHeight="1">
      <c r="A540" s="362"/>
      <c r="B540" s="362"/>
      <c r="C540" s="362"/>
      <c r="D540" s="362"/>
      <c r="E540" s="132"/>
      <c r="F540" s="132"/>
      <c r="G540" s="361"/>
      <c r="H540" s="361"/>
      <c r="I540" s="361"/>
      <c r="J540" s="363"/>
      <c r="K540" s="364"/>
      <c r="L540" s="361"/>
      <c r="M540" s="361"/>
      <c r="N540" s="361"/>
      <c r="O540" s="361"/>
      <c r="P540" s="361"/>
      <c r="Q540" s="361"/>
      <c r="R540" s="361"/>
      <c r="S540" s="361"/>
      <c r="T540" s="361"/>
      <c r="U540" s="361"/>
      <c r="V540" s="361"/>
      <c r="W540" s="361"/>
      <c r="X540" s="361"/>
      <c r="Y540" s="131"/>
      <c r="Z540" s="163"/>
      <c r="AA540" s="131"/>
      <c r="AB540" s="131"/>
      <c r="AC540" s="131"/>
      <c r="AD540" s="131"/>
      <c r="AE540" s="131"/>
      <c r="AF540" s="163"/>
      <c r="AG540" s="163"/>
      <c r="AH540" s="163"/>
      <c r="AI540" s="163"/>
      <c r="AJ540" s="163"/>
      <c r="AK540" s="163"/>
      <c r="AL540" s="163"/>
      <c r="AM540" s="130"/>
      <c r="AN540" s="163"/>
    </row>
    <row r="541" ht="15.75" customHeight="1">
      <c r="A541" s="362"/>
      <c r="B541" s="362"/>
      <c r="C541" s="362"/>
      <c r="D541" s="362"/>
      <c r="E541" s="132"/>
      <c r="F541" s="132"/>
      <c r="G541" s="361"/>
      <c r="H541" s="361"/>
      <c r="I541" s="361"/>
      <c r="J541" s="363"/>
      <c r="K541" s="364"/>
      <c r="L541" s="361"/>
      <c r="M541" s="361"/>
      <c r="N541" s="361"/>
      <c r="O541" s="361"/>
      <c r="P541" s="361"/>
      <c r="Q541" s="361"/>
      <c r="R541" s="361"/>
      <c r="S541" s="361"/>
      <c r="T541" s="361"/>
      <c r="U541" s="361"/>
      <c r="V541" s="361"/>
      <c r="W541" s="361"/>
      <c r="X541" s="361"/>
      <c r="Y541" s="131"/>
      <c r="Z541" s="163"/>
      <c r="AA541" s="131"/>
      <c r="AB541" s="131"/>
      <c r="AC541" s="131"/>
      <c r="AD541" s="131"/>
      <c r="AE541" s="131"/>
      <c r="AF541" s="163"/>
      <c r="AG541" s="163"/>
      <c r="AH541" s="163"/>
      <c r="AI541" s="163"/>
      <c r="AJ541" s="163"/>
      <c r="AK541" s="163"/>
      <c r="AL541" s="163"/>
      <c r="AM541" s="130"/>
      <c r="AN541" s="163"/>
    </row>
    <row r="542" ht="15.75" customHeight="1">
      <c r="A542" s="362"/>
      <c r="B542" s="362"/>
      <c r="C542" s="362"/>
      <c r="D542" s="362"/>
      <c r="E542" s="132"/>
      <c r="F542" s="132"/>
      <c r="G542" s="361"/>
      <c r="H542" s="361"/>
      <c r="I542" s="361"/>
      <c r="J542" s="363"/>
      <c r="K542" s="364"/>
      <c r="L542" s="361"/>
      <c r="M542" s="361"/>
      <c r="N542" s="361"/>
      <c r="O542" s="361"/>
      <c r="P542" s="361"/>
      <c r="Q542" s="361"/>
      <c r="R542" s="361"/>
      <c r="S542" s="361"/>
      <c r="T542" s="361"/>
      <c r="U542" s="361"/>
      <c r="V542" s="361"/>
      <c r="W542" s="361"/>
      <c r="X542" s="361"/>
      <c r="Y542" s="131"/>
      <c r="Z542" s="163"/>
      <c r="AA542" s="131"/>
      <c r="AB542" s="131"/>
      <c r="AC542" s="131"/>
      <c r="AD542" s="131"/>
      <c r="AE542" s="131"/>
      <c r="AF542" s="163"/>
      <c r="AG542" s="163"/>
      <c r="AH542" s="163"/>
      <c r="AI542" s="163"/>
      <c r="AJ542" s="163"/>
      <c r="AK542" s="163"/>
      <c r="AL542" s="163"/>
      <c r="AM542" s="130"/>
      <c r="AN542" s="163"/>
    </row>
    <row r="543" ht="15.75" customHeight="1">
      <c r="A543" s="362"/>
      <c r="B543" s="362"/>
      <c r="C543" s="362"/>
      <c r="D543" s="362"/>
      <c r="E543" s="132"/>
      <c r="F543" s="132"/>
      <c r="G543" s="361"/>
      <c r="H543" s="361"/>
      <c r="I543" s="361"/>
      <c r="J543" s="363"/>
      <c r="K543" s="364"/>
      <c r="L543" s="361"/>
      <c r="M543" s="361"/>
      <c r="N543" s="361"/>
      <c r="O543" s="361"/>
      <c r="P543" s="361"/>
      <c r="Q543" s="361"/>
      <c r="R543" s="361"/>
      <c r="S543" s="361"/>
      <c r="T543" s="361"/>
      <c r="U543" s="361"/>
      <c r="V543" s="361"/>
      <c r="W543" s="361"/>
      <c r="X543" s="361"/>
      <c r="Y543" s="131"/>
      <c r="Z543" s="163"/>
      <c r="AA543" s="131"/>
      <c r="AB543" s="131"/>
      <c r="AC543" s="131"/>
      <c r="AD543" s="131"/>
      <c r="AE543" s="131"/>
      <c r="AF543" s="163"/>
      <c r="AG543" s="163"/>
      <c r="AH543" s="163"/>
      <c r="AI543" s="163"/>
      <c r="AJ543" s="163"/>
      <c r="AK543" s="163"/>
      <c r="AL543" s="163"/>
      <c r="AM543" s="130"/>
      <c r="AN543" s="163"/>
    </row>
    <row r="544" ht="15.75" customHeight="1">
      <c r="A544" s="362"/>
      <c r="B544" s="362"/>
      <c r="C544" s="362"/>
      <c r="D544" s="362"/>
      <c r="E544" s="132"/>
      <c r="F544" s="132"/>
      <c r="G544" s="361"/>
      <c r="H544" s="361"/>
      <c r="I544" s="361"/>
      <c r="J544" s="363"/>
      <c r="K544" s="364"/>
      <c r="L544" s="361"/>
      <c r="M544" s="361"/>
      <c r="N544" s="361"/>
      <c r="O544" s="361"/>
      <c r="P544" s="361"/>
      <c r="Q544" s="361"/>
      <c r="R544" s="361"/>
      <c r="S544" s="361"/>
      <c r="T544" s="361"/>
      <c r="U544" s="361"/>
      <c r="V544" s="361"/>
      <c r="W544" s="361"/>
      <c r="X544" s="361"/>
      <c r="Y544" s="131"/>
      <c r="Z544" s="163"/>
      <c r="AA544" s="131"/>
      <c r="AB544" s="131"/>
      <c r="AC544" s="131"/>
      <c r="AD544" s="131"/>
      <c r="AE544" s="131"/>
      <c r="AF544" s="163"/>
      <c r="AG544" s="163"/>
      <c r="AH544" s="163"/>
      <c r="AI544" s="163"/>
      <c r="AJ544" s="163"/>
      <c r="AK544" s="163"/>
      <c r="AL544" s="163"/>
      <c r="AM544" s="130"/>
      <c r="AN544" s="163"/>
    </row>
    <row r="545" ht="15.75" customHeight="1">
      <c r="A545" s="362"/>
      <c r="B545" s="362"/>
      <c r="C545" s="362"/>
      <c r="D545" s="362"/>
      <c r="E545" s="132"/>
      <c r="F545" s="132"/>
      <c r="G545" s="361"/>
      <c r="H545" s="361"/>
      <c r="I545" s="361"/>
      <c r="J545" s="363"/>
      <c r="K545" s="364"/>
      <c r="L545" s="361"/>
      <c r="M545" s="361"/>
      <c r="N545" s="361"/>
      <c r="O545" s="361"/>
      <c r="P545" s="361"/>
      <c r="Q545" s="361"/>
      <c r="R545" s="361"/>
      <c r="S545" s="361"/>
      <c r="T545" s="361"/>
      <c r="U545" s="361"/>
      <c r="V545" s="361"/>
      <c r="W545" s="361"/>
      <c r="X545" s="361"/>
      <c r="Y545" s="131"/>
      <c r="Z545" s="163"/>
      <c r="AA545" s="131"/>
      <c r="AB545" s="131"/>
      <c r="AC545" s="131"/>
      <c r="AD545" s="131"/>
      <c r="AE545" s="131"/>
      <c r="AF545" s="163"/>
      <c r="AG545" s="163"/>
      <c r="AH545" s="163"/>
      <c r="AI545" s="163"/>
      <c r="AJ545" s="163"/>
      <c r="AK545" s="163"/>
      <c r="AL545" s="163"/>
      <c r="AM545" s="130"/>
      <c r="AN545" s="163"/>
    </row>
    <row r="546" ht="15.75" customHeight="1">
      <c r="A546" s="362"/>
      <c r="B546" s="362"/>
      <c r="C546" s="362"/>
      <c r="D546" s="362"/>
      <c r="E546" s="132"/>
      <c r="F546" s="132"/>
      <c r="G546" s="361"/>
      <c r="H546" s="361"/>
      <c r="I546" s="361"/>
      <c r="J546" s="363"/>
      <c r="K546" s="364"/>
      <c r="L546" s="361"/>
      <c r="M546" s="361"/>
      <c r="N546" s="361"/>
      <c r="O546" s="361"/>
      <c r="P546" s="361"/>
      <c r="Q546" s="361"/>
      <c r="R546" s="361"/>
      <c r="S546" s="361"/>
      <c r="T546" s="361"/>
      <c r="U546" s="361"/>
      <c r="V546" s="361"/>
      <c r="W546" s="361"/>
      <c r="X546" s="361"/>
      <c r="Y546" s="131"/>
      <c r="Z546" s="163"/>
      <c r="AA546" s="131"/>
      <c r="AB546" s="131"/>
      <c r="AC546" s="131"/>
      <c r="AD546" s="131"/>
      <c r="AE546" s="131"/>
      <c r="AF546" s="163"/>
      <c r="AG546" s="163"/>
      <c r="AH546" s="163"/>
      <c r="AI546" s="163"/>
      <c r="AJ546" s="163"/>
      <c r="AK546" s="163"/>
      <c r="AL546" s="163"/>
      <c r="AM546" s="130"/>
      <c r="AN546" s="163"/>
    </row>
    <row r="547" ht="15.75" customHeight="1">
      <c r="A547" s="362"/>
      <c r="B547" s="362"/>
      <c r="C547" s="362"/>
      <c r="D547" s="362"/>
      <c r="E547" s="132"/>
      <c r="F547" s="132"/>
      <c r="G547" s="361"/>
      <c r="H547" s="361"/>
      <c r="I547" s="361"/>
      <c r="J547" s="363"/>
      <c r="K547" s="364"/>
      <c r="L547" s="361"/>
      <c r="M547" s="361"/>
      <c r="N547" s="361"/>
      <c r="O547" s="361"/>
      <c r="P547" s="361"/>
      <c r="Q547" s="361"/>
      <c r="R547" s="361"/>
      <c r="S547" s="361"/>
      <c r="T547" s="361"/>
      <c r="U547" s="361"/>
      <c r="V547" s="361"/>
      <c r="W547" s="361"/>
      <c r="X547" s="361"/>
      <c r="Y547" s="131"/>
      <c r="Z547" s="163"/>
      <c r="AA547" s="131"/>
      <c r="AB547" s="131"/>
      <c r="AC547" s="131"/>
      <c r="AD547" s="131"/>
      <c r="AE547" s="131"/>
      <c r="AF547" s="163"/>
      <c r="AG547" s="163"/>
      <c r="AH547" s="163"/>
      <c r="AI547" s="163"/>
      <c r="AJ547" s="163"/>
      <c r="AK547" s="163"/>
      <c r="AL547" s="163"/>
      <c r="AM547" s="130"/>
      <c r="AN547" s="163"/>
    </row>
    <row r="548" ht="15.75" customHeight="1">
      <c r="A548" s="362"/>
      <c r="B548" s="362"/>
      <c r="C548" s="362"/>
      <c r="D548" s="362"/>
      <c r="E548" s="132"/>
      <c r="F548" s="132"/>
      <c r="G548" s="361"/>
      <c r="H548" s="361"/>
      <c r="I548" s="361"/>
      <c r="J548" s="363"/>
      <c r="K548" s="364"/>
      <c r="L548" s="361"/>
      <c r="M548" s="361"/>
      <c r="N548" s="361"/>
      <c r="O548" s="361"/>
      <c r="P548" s="361"/>
      <c r="Q548" s="361"/>
      <c r="R548" s="361"/>
      <c r="S548" s="361"/>
      <c r="T548" s="361"/>
      <c r="U548" s="361"/>
      <c r="V548" s="361"/>
      <c r="W548" s="361"/>
      <c r="X548" s="361"/>
      <c r="Y548" s="131"/>
      <c r="Z548" s="163"/>
      <c r="AA548" s="131"/>
      <c r="AB548" s="131"/>
      <c r="AC548" s="131"/>
      <c r="AD548" s="131"/>
      <c r="AE548" s="131"/>
      <c r="AF548" s="163"/>
      <c r="AG548" s="163"/>
      <c r="AH548" s="163"/>
      <c r="AI548" s="163"/>
      <c r="AJ548" s="163"/>
      <c r="AK548" s="163"/>
      <c r="AL548" s="163"/>
      <c r="AM548" s="130"/>
      <c r="AN548" s="163"/>
    </row>
    <row r="549" ht="15.75" customHeight="1">
      <c r="A549" s="362"/>
      <c r="B549" s="362"/>
      <c r="C549" s="362"/>
      <c r="D549" s="362"/>
      <c r="E549" s="132"/>
      <c r="F549" s="132"/>
      <c r="G549" s="361"/>
      <c r="H549" s="361"/>
      <c r="I549" s="361"/>
      <c r="J549" s="363"/>
      <c r="K549" s="364"/>
      <c r="L549" s="361"/>
      <c r="M549" s="361"/>
      <c r="N549" s="361"/>
      <c r="O549" s="361"/>
      <c r="P549" s="361"/>
      <c r="Q549" s="361"/>
      <c r="R549" s="361"/>
      <c r="S549" s="361"/>
      <c r="T549" s="361"/>
      <c r="U549" s="361"/>
      <c r="V549" s="361"/>
      <c r="W549" s="361"/>
      <c r="X549" s="361"/>
      <c r="Y549" s="131"/>
      <c r="Z549" s="163"/>
      <c r="AA549" s="131"/>
      <c r="AB549" s="131"/>
      <c r="AC549" s="131"/>
      <c r="AD549" s="131"/>
      <c r="AE549" s="131"/>
      <c r="AF549" s="163"/>
      <c r="AG549" s="163"/>
      <c r="AH549" s="163"/>
      <c r="AI549" s="163"/>
      <c r="AJ549" s="163"/>
      <c r="AK549" s="163"/>
      <c r="AL549" s="163"/>
      <c r="AM549" s="130"/>
      <c r="AN549" s="163"/>
    </row>
    <row r="550" ht="15.75" customHeight="1">
      <c r="A550" s="362"/>
      <c r="B550" s="362"/>
      <c r="C550" s="362"/>
      <c r="D550" s="362"/>
      <c r="E550" s="132"/>
      <c r="F550" s="132"/>
      <c r="G550" s="361"/>
      <c r="H550" s="361"/>
      <c r="I550" s="361"/>
      <c r="J550" s="363"/>
      <c r="K550" s="364"/>
      <c r="L550" s="361"/>
      <c r="M550" s="361"/>
      <c r="N550" s="361"/>
      <c r="O550" s="361"/>
      <c r="P550" s="361"/>
      <c r="Q550" s="361"/>
      <c r="R550" s="361"/>
      <c r="S550" s="361"/>
      <c r="T550" s="361"/>
      <c r="U550" s="361"/>
      <c r="V550" s="361"/>
      <c r="W550" s="361"/>
      <c r="X550" s="361"/>
      <c r="Y550" s="131"/>
      <c r="Z550" s="163"/>
      <c r="AA550" s="131"/>
      <c r="AB550" s="131"/>
      <c r="AC550" s="131"/>
      <c r="AD550" s="131"/>
      <c r="AE550" s="131"/>
      <c r="AF550" s="163"/>
      <c r="AG550" s="163"/>
      <c r="AH550" s="163"/>
      <c r="AI550" s="163"/>
      <c r="AJ550" s="163"/>
      <c r="AK550" s="163"/>
      <c r="AL550" s="163"/>
      <c r="AM550" s="130"/>
      <c r="AN550" s="163"/>
    </row>
    <row r="551" ht="15.75" customHeight="1">
      <c r="A551" s="362"/>
      <c r="B551" s="362"/>
      <c r="C551" s="362"/>
      <c r="D551" s="362"/>
      <c r="E551" s="132"/>
      <c r="F551" s="132"/>
      <c r="G551" s="361"/>
      <c r="H551" s="361"/>
      <c r="I551" s="361"/>
      <c r="J551" s="363"/>
      <c r="K551" s="364"/>
      <c r="L551" s="361"/>
      <c r="M551" s="361"/>
      <c r="N551" s="361"/>
      <c r="O551" s="361"/>
      <c r="P551" s="361"/>
      <c r="Q551" s="361"/>
      <c r="R551" s="361"/>
      <c r="S551" s="361"/>
      <c r="T551" s="361"/>
      <c r="U551" s="361"/>
      <c r="V551" s="361"/>
      <c r="W551" s="361"/>
      <c r="X551" s="361"/>
      <c r="Y551" s="131"/>
      <c r="Z551" s="163"/>
      <c r="AA551" s="131"/>
      <c r="AB551" s="131"/>
      <c r="AC551" s="131"/>
      <c r="AD551" s="131"/>
      <c r="AE551" s="131"/>
      <c r="AF551" s="163"/>
      <c r="AG551" s="163"/>
      <c r="AH551" s="163"/>
      <c r="AI551" s="163"/>
      <c r="AJ551" s="163"/>
      <c r="AK551" s="163"/>
      <c r="AL551" s="163"/>
      <c r="AM551" s="130"/>
      <c r="AN551" s="163"/>
    </row>
    <row r="552" ht="15.75" customHeight="1">
      <c r="A552" s="362"/>
      <c r="B552" s="362"/>
      <c r="C552" s="362"/>
      <c r="D552" s="362"/>
      <c r="E552" s="132"/>
      <c r="F552" s="132"/>
      <c r="G552" s="361"/>
      <c r="H552" s="361"/>
      <c r="I552" s="361"/>
      <c r="J552" s="363"/>
      <c r="K552" s="364"/>
      <c r="L552" s="361"/>
      <c r="M552" s="361"/>
      <c r="N552" s="361"/>
      <c r="O552" s="361"/>
      <c r="P552" s="361"/>
      <c r="Q552" s="361"/>
      <c r="R552" s="361"/>
      <c r="S552" s="361"/>
      <c r="T552" s="361"/>
      <c r="U552" s="361"/>
      <c r="V552" s="361"/>
      <c r="W552" s="361"/>
      <c r="X552" s="361"/>
      <c r="Y552" s="131"/>
      <c r="Z552" s="163"/>
      <c r="AA552" s="131"/>
      <c r="AB552" s="131"/>
      <c r="AC552" s="131"/>
      <c r="AD552" s="131"/>
      <c r="AE552" s="131"/>
      <c r="AF552" s="163"/>
      <c r="AG552" s="163"/>
      <c r="AH552" s="163"/>
      <c r="AI552" s="163"/>
      <c r="AJ552" s="163"/>
      <c r="AK552" s="163"/>
      <c r="AL552" s="163"/>
      <c r="AM552" s="130"/>
      <c r="AN552" s="163"/>
    </row>
    <row r="553" ht="15.75" customHeight="1">
      <c r="A553" s="362"/>
      <c r="B553" s="362"/>
      <c r="C553" s="362"/>
      <c r="D553" s="362"/>
      <c r="E553" s="132"/>
      <c r="F553" s="132"/>
      <c r="G553" s="361"/>
      <c r="H553" s="361"/>
      <c r="I553" s="361"/>
      <c r="J553" s="363"/>
      <c r="K553" s="364"/>
      <c r="L553" s="361"/>
      <c r="M553" s="361"/>
      <c r="N553" s="361"/>
      <c r="O553" s="361"/>
      <c r="P553" s="361"/>
      <c r="Q553" s="361"/>
      <c r="R553" s="361"/>
      <c r="S553" s="361"/>
      <c r="T553" s="361"/>
      <c r="U553" s="361"/>
      <c r="V553" s="361"/>
      <c r="W553" s="361"/>
      <c r="X553" s="361"/>
      <c r="Y553" s="131"/>
      <c r="Z553" s="163"/>
      <c r="AA553" s="131"/>
      <c r="AB553" s="131"/>
      <c r="AC553" s="131"/>
      <c r="AD553" s="131"/>
      <c r="AE553" s="131"/>
      <c r="AF553" s="163"/>
      <c r="AG553" s="163"/>
      <c r="AH553" s="163"/>
      <c r="AI553" s="163"/>
      <c r="AJ553" s="163"/>
      <c r="AK553" s="163"/>
      <c r="AL553" s="163"/>
      <c r="AM553" s="130"/>
      <c r="AN553" s="163"/>
    </row>
    <row r="554" ht="15.75" customHeight="1">
      <c r="A554" s="362"/>
      <c r="B554" s="362"/>
      <c r="C554" s="362"/>
      <c r="D554" s="362"/>
      <c r="E554" s="132"/>
      <c r="F554" s="132"/>
      <c r="G554" s="361"/>
      <c r="H554" s="361"/>
      <c r="I554" s="361"/>
      <c r="J554" s="363"/>
      <c r="K554" s="364"/>
      <c r="L554" s="361"/>
      <c r="M554" s="361"/>
      <c r="N554" s="361"/>
      <c r="O554" s="361"/>
      <c r="P554" s="361"/>
      <c r="Q554" s="361"/>
      <c r="R554" s="361"/>
      <c r="S554" s="361"/>
      <c r="T554" s="361"/>
      <c r="U554" s="361"/>
      <c r="V554" s="361"/>
      <c r="W554" s="361"/>
      <c r="X554" s="361"/>
      <c r="Y554" s="131"/>
      <c r="Z554" s="163"/>
      <c r="AA554" s="131"/>
      <c r="AB554" s="131"/>
      <c r="AC554" s="131"/>
      <c r="AD554" s="131"/>
      <c r="AE554" s="131"/>
      <c r="AF554" s="163"/>
      <c r="AG554" s="163"/>
      <c r="AH554" s="163"/>
      <c r="AI554" s="163"/>
      <c r="AJ554" s="163"/>
      <c r="AK554" s="163"/>
      <c r="AL554" s="163"/>
      <c r="AM554" s="130"/>
      <c r="AN554" s="163"/>
    </row>
    <row r="555" ht="15.75" customHeight="1">
      <c r="A555" s="362"/>
      <c r="B555" s="362"/>
      <c r="C555" s="362"/>
      <c r="D555" s="362"/>
      <c r="E555" s="132"/>
      <c r="F555" s="132"/>
      <c r="G555" s="361"/>
      <c r="H555" s="361"/>
      <c r="I555" s="361"/>
      <c r="J555" s="363"/>
      <c r="K555" s="364"/>
      <c r="L555" s="361"/>
      <c r="M555" s="361"/>
      <c r="N555" s="361"/>
      <c r="O555" s="361"/>
      <c r="P555" s="361"/>
      <c r="Q555" s="361"/>
      <c r="R555" s="361"/>
      <c r="S555" s="361"/>
      <c r="T555" s="361"/>
      <c r="U555" s="361"/>
      <c r="V555" s="361"/>
      <c r="W555" s="361"/>
      <c r="X555" s="361"/>
      <c r="Y555" s="131"/>
      <c r="Z555" s="163"/>
      <c r="AA555" s="131"/>
      <c r="AB555" s="131"/>
      <c r="AC555" s="131"/>
      <c r="AD555" s="131"/>
      <c r="AE555" s="131"/>
      <c r="AF555" s="163"/>
      <c r="AG555" s="163"/>
      <c r="AH555" s="163"/>
      <c r="AI555" s="163"/>
      <c r="AJ555" s="163"/>
      <c r="AK555" s="163"/>
      <c r="AL555" s="163"/>
      <c r="AM555" s="130"/>
      <c r="AN555" s="163"/>
    </row>
    <row r="556" ht="15.75" customHeight="1">
      <c r="A556" s="362"/>
      <c r="B556" s="362"/>
      <c r="C556" s="362"/>
      <c r="D556" s="362"/>
      <c r="E556" s="132"/>
      <c r="F556" s="132"/>
      <c r="G556" s="361"/>
      <c r="H556" s="361"/>
      <c r="I556" s="361"/>
      <c r="J556" s="363"/>
      <c r="K556" s="364"/>
      <c r="L556" s="361"/>
      <c r="M556" s="361"/>
      <c r="N556" s="361"/>
      <c r="O556" s="361"/>
      <c r="P556" s="361"/>
      <c r="Q556" s="361"/>
      <c r="R556" s="361"/>
      <c r="S556" s="361"/>
      <c r="T556" s="361"/>
      <c r="U556" s="361"/>
      <c r="V556" s="361"/>
      <c r="W556" s="361"/>
      <c r="X556" s="361"/>
      <c r="Y556" s="131"/>
      <c r="Z556" s="163"/>
      <c r="AA556" s="131"/>
      <c r="AB556" s="131"/>
      <c r="AC556" s="131"/>
      <c r="AD556" s="131"/>
      <c r="AE556" s="131"/>
      <c r="AF556" s="163"/>
      <c r="AG556" s="163"/>
      <c r="AH556" s="163"/>
      <c r="AI556" s="163"/>
      <c r="AJ556" s="163"/>
      <c r="AK556" s="163"/>
      <c r="AL556" s="163"/>
      <c r="AM556" s="130"/>
      <c r="AN556" s="163"/>
    </row>
    <row r="557" ht="15.75" customHeight="1">
      <c r="A557" s="362"/>
      <c r="B557" s="362"/>
      <c r="C557" s="362"/>
      <c r="D557" s="362"/>
      <c r="E557" s="132"/>
      <c r="F557" s="132"/>
      <c r="G557" s="361"/>
      <c r="H557" s="361"/>
      <c r="I557" s="361"/>
      <c r="J557" s="363"/>
      <c r="K557" s="364"/>
      <c r="L557" s="361"/>
      <c r="M557" s="361"/>
      <c r="N557" s="361"/>
      <c r="O557" s="361"/>
      <c r="P557" s="361"/>
      <c r="Q557" s="361"/>
      <c r="R557" s="361"/>
      <c r="S557" s="361"/>
      <c r="T557" s="361"/>
      <c r="U557" s="361"/>
      <c r="V557" s="361"/>
      <c r="W557" s="361"/>
      <c r="X557" s="361"/>
      <c r="Y557" s="131"/>
      <c r="Z557" s="163"/>
      <c r="AA557" s="131"/>
      <c r="AB557" s="131"/>
      <c r="AC557" s="131"/>
      <c r="AD557" s="131"/>
      <c r="AE557" s="131"/>
      <c r="AF557" s="163"/>
      <c r="AG557" s="163"/>
      <c r="AH557" s="163"/>
      <c r="AI557" s="163"/>
      <c r="AJ557" s="163"/>
      <c r="AK557" s="163"/>
      <c r="AL557" s="163"/>
      <c r="AM557" s="130"/>
      <c r="AN557" s="163"/>
    </row>
    <row r="558" ht="15.75" customHeight="1">
      <c r="A558" s="362"/>
      <c r="B558" s="362"/>
      <c r="C558" s="362"/>
      <c r="D558" s="362"/>
      <c r="E558" s="132"/>
      <c r="F558" s="132"/>
      <c r="G558" s="361"/>
      <c r="H558" s="361"/>
      <c r="I558" s="361"/>
      <c r="J558" s="363"/>
      <c r="K558" s="364"/>
      <c r="L558" s="361"/>
      <c r="M558" s="361"/>
      <c r="N558" s="361"/>
      <c r="O558" s="361"/>
      <c r="P558" s="361"/>
      <c r="Q558" s="361"/>
      <c r="R558" s="361"/>
      <c r="S558" s="361"/>
      <c r="T558" s="361"/>
      <c r="U558" s="361"/>
      <c r="V558" s="361"/>
      <c r="W558" s="361"/>
      <c r="X558" s="361"/>
      <c r="Y558" s="131"/>
      <c r="Z558" s="163"/>
      <c r="AA558" s="131"/>
      <c r="AB558" s="131"/>
      <c r="AC558" s="131"/>
      <c r="AD558" s="131"/>
      <c r="AE558" s="131"/>
      <c r="AF558" s="163"/>
      <c r="AG558" s="163"/>
      <c r="AH558" s="163"/>
      <c r="AI558" s="163"/>
      <c r="AJ558" s="163"/>
      <c r="AK558" s="163"/>
      <c r="AL558" s="163"/>
      <c r="AM558" s="130"/>
      <c r="AN558" s="163"/>
    </row>
    <row r="559" ht="15.75" customHeight="1">
      <c r="A559" s="362"/>
      <c r="B559" s="362"/>
      <c r="C559" s="362"/>
      <c r="D559" s="362"/>
      <c r="E559" s="132"/>
      <c r="F559" s="132"/>
      <c r="G559" s="361"/>
      <c r="H559" s="361"/>
      <c r="I559" s="361"/>
      <c r="J559" s="363"/>
      <c r="K559" s="364"/>
      <c r="L559" s="361"/>
      <c r="M559" s="361"/>
      <c r="N559" s="361"/>
      <c r="O559" s="361"/>
      <c r="P559" s="361"/>
      <c r="Q559" s="361"/>
      <c r="R559" s="361"/>
      <c r="S559" s="361"/>
      <c r="T559" s="361"/>
      <c r="U559" s="361"/>
      <c r="V559" s="361"/>
      <c r="W559" s="361"/>
      <c r="X559" s="361"/>
      <c r="Y559" s="131"/>
      <c r="Z559" s="163"/>
      <c r="AA559" s="131"/>
      <c r="AB559" s="131"/>
      <c r="AC559" s="131"/>
      <c r="AD559" s="131"/>
      <c r="AE559" s="131"/>
      <c r="AF559" s="163"/>
      <c r="AG559" s="163"/>
      <c r="AH559" s="163"/>
      <c r="AI559" s="163"/>
      <c r="AJ559" s="163"/>
      <c r="AK559" s="163"/>
      <c r="AL559" s="163"/>
      <c r="AM559" s="130"/>
      <c r="AN559" s="163"/>
    </row>
    <row r="560" ht="15.75" customHeight="1">
      <c r="A560" s="362"/>
      <c r="B560" s="362"/>
      <c r="C560" s="362"/>
      <c r="D560" s="362"/>
      <c r="E560" s="132"/>
      <c r="F560" s="132"/>
      <c r="G560" s="361"/>
      <c r="H560" s="361"/>
      <c r="I560" s="361"/>
      <c r="J560" s="363"/>
      <c r="K560" s="364"/>
      <c r="L560" s="361"/>
      <c r="M560" s="361"/>
      <c r="N560" s="361"/>
      <c r="O560" s="361"/>
      <c r="P560" s="361"/>
      <c r="Q560" s="361"/>
      <c r="R560" s="361"/>
      <c r="S560" s="361"/>
      <c r="T560" s="361"/>
      <c r="U560" s="361"/>
      <c r="V560" s="361"/>
      <c r="W560" s="361"/>
      <c r="X560" s="361"/>
      <c r="Y560" s="131"/>
      <c r="Z560" s="163"/>
      <c r="AA560" s="131"/>
      <c r="AB560" s="131"/>
      <c r="AC560" s="131"/>
      <c r="AD560" s="131"/>
      <c r="AE560" s="131"/>
      <c r="AF560" s="163"/>
      <c r="AG560" s="163"/>
      <c r="AH560" s="163"/>
      <c r="AI560" s="163"/>
      <c r="AJ560" s="163"/>
      <c r="AK560" s="163"/>
      <c r="AL560" s="163"/>
      <c r="AM560" s="130"/>
      <c r="AN560" s="163"/>
    </row>
    <row r="561" ht="15.75" customHeight="1">
      <c r="A561" s="362"/>
      <c r="B561" s="362"/>
      <c r="C561" s="362"/>
      <c r="D561" s="362"/>
      <c r="E561" s="132"/>
      <c r="F561" s="132"/>
      <c r="G561" s="361"/>
      <c r="H561" s="361"/>
      <c r="I561" s="361"/>
      <c r="J561" s="363"/>
      <c r="K561" s="364"/>
      <c r="L561" s="361"/>
      <c r="M561" s="361"/>
      <c r="N561" s="361"/>
      <c r="O561" s="361"/>
      <c r="P561" s="361"/>
      <c r="Q561" s="361"/>
      <c r="R561" s="361"/>
      <c r="S561" s="361"/>
      <c r="T561" s="361"/>
      <c r="U561" s="361"/>
      <c r="V561" s="361"/>
      <c r="W561" s="361"/>
      <c r="X561" s="361"/>
      <c r="Y561" s="131"/>
      <c r="Z561" s="163"/>
      <c r="AA561" s="131"/>
      <c r="AB561" s="131"/>
      <c r="AC561" s="131"/>
      <c r="AD561" s="131"/>
      <c r="AE561" s="131"/>
      <c r="AF561" s="163"/>
      <c r="AG561" s="163"/>
      <c r="AH561" s="163"/>
      <c r="AI561" s="163"/>
      <c r="AJ561" s="163"/>
      <c r="AK561" s="163"/>
      <c r="AL561" s="163"/>
      <c r="AM561" s="130"/>
      <c r="AN561" s="163"/>
    </row>
    <row r="562" ht="15.75" customHeight="1">
      <c r="A562" s="362"/>
      <c r="B562" s="362"/>
      <c r="C562" s="362"/>
      <c r="D562" s="362"/>
      <c r="E562" s="132"/>
      <c r="F562" s="132"/>
      <c r="G562" s="361"/>
      <c r="H562" s="361"/>
      <c r="I562" s="361"/>
      <c r="J562" s="363"/>
      <c r="K562" s="364"/>
      <c r="L562" s="361"/>
      <c r="M562" s="361"/>
      <c r="N562" s="361"/>
      <c r="O562" s="361"/>
      <c r="P562" s="361"/>
      <c r="Q562" s="361"/>
      <c r="R562" s="361"/>
      <c r="S562" s="361"/>
      <c r="T562" s="361"/>
      <c r="U562" s="361"/>
      <c r="V562" s="361"/>
      <c r="W562" s="361"/>
      <c r="X562" s="361"/>
      <c r="Y562" s="131"/>
      <c r="Z562" s="163"/>
      <c r="AA562" s="131"/>
      <c r="AB562" s="131"/>
      <c r="AC562" s="131"/>
      <c r="AD562" s="131"/>
      <c r="AE562" s="131"/>
      <c r="AF562" s="163"/>
      <c r="AG562" s="163"/>
      <c r="AH562" s="163"/>
      <c r="AI562" s="163"/>
      <c r="AJ562" s="163"/>
      <c r="AK562" s="163"/>
      <c r="AL562" s="163"/>
      <c r="AM562" s="130"/>
      <c r="AN562" s="163"/>
    </row>
    <row r="563" ht="15.75" customHeight="1">
      <c r="A563" s="362"/>
      <c r="B563" s="362"/>
      <c r="C563" s="362"/>
      <c r="D563" s="362"/>
      <c r="E563" s="132"/>
      <c r="F563" s="132"/>
      <c r="G563" s="361"/>
      <c r="H563" s="361"/>
      <c r="I563" s="361"/>
      <c r="J563" s="363"/>
      <c r="K563" s="364"/>
      <c r="L563" s="361"/>
      <c r="M563" s="361"/>
      <c r="N563" s="361"/>
      <c r="O563" s="361"/>
      <c r="P563" s="361"/>
      <c r="Q563" s="361"/>
      <c r="R563" s="361"/>
      <c r="S563" s="361"/>
      <c r="T563" s="361"/>
      <c r="U563" s="361"/>
      <c r="V563" s="361"/>
      <c r="W563" s="361"/>
      <c r="X563" s="361"/>
      <c r="Y563" s="131"/>
      <c r="Z563" s="163"/>
      <c r="AA563" s="131"/>
      <c r="AB563" s="131"/>
      <c r="AC563" s="131"/>
      <c r="AD563" s="131"/>
      <c r="AE563" s="131"/>
      <c r="AF563" s="163"/>
      <c r="AG563" s="163"/>
      <c r="AH563" s="163"/>
      <c r="AI563" s="163"/>
      <c r="AJ563" s="163"/>
      <c r="AK563" s="163"/>
      <c r="AL563" s="163"/>
      <c r="AM563" s="130"/>
      <c r="AN563" s="163"/>
    </row>
    <row r="564" ht="15.75" customHeight="1">
      <c r="A564" s="362"/>
      <c r="B564" s="362"/>
      <c r="C564" s="362"/>
      <c r="D564" s="362"/>
      <c r="E564" s="132"/>
      <c r="F564" s="132"/>
      <c r="G564" s="361"/>
      <c r="H564" s="361"/>
      <c r="I564" s="361"/>
      <c r="J564" s="363"/>
      <c r="K564" s="364"/>
      <c r="L564" s="361"/>
      <c r="M564" s="361"/>
      <c r="N564" s="361"/>
      <c r="O564" s="361"/>
      <c r="P564" s="361"/>
      <c r="Q564" s="361"/>
      <c r="R564" s="361"/>
      <c r="S564" s="361"/>
      <c r="T564" s="361"/>
      <c r="U564" s="361"/>
      <c r="V564" s="361"/>
      <c r="W564" s="361"/>
      <c r="X564" s="361"/>
      <c r="Y564" s="131"/>
      <c r="Z564" s="163"/>
      <c r="AA564" s="131"/>
      <c r="AB564" s="131"/>
      <c r="AC564" s="131"/>
      <c r="AD564" s="131"/>
      <c r="AE564" s="131"/>
      <c r="AF564" s="163"/>
      <c r="AG564" s="163"/>
      <c r="AH564" s="163"/>
      <c r="AI564" s="163"/>
      <c r="AJ564" s="163"/>
      <c r="AK564" s="163"/>
      <c r="AL564" s="163"/>
      <c r="AM564" s="130"/>
      <c r="AN564" s="163"/>
    </row>
    <row r="565" ht="15.75" customHeight="1">
      <c r="A565" s="362"/>
      <c r="B565" s="362"/>
      <c r="C565" s="362"/>
      <c r="D565" s="362"/>
      <c r="E565" s="132"/>
      <c r="F565" s="132"/>
      <c r="G565" s="361"/>
      <c r="H565" s="361"/>
      <c r="I565" s="361"/>
      <c r="J565" s="363"/>
      <c r="K565" s="364"/>
      <c r="L565" s="361"/>
      <c r="M565" s="361"/>
      <c r="N565" s="361"/>
      <c r="O565" s="361"/>
      <c r="P565" s="361"/>
      <c r="Q565" s="361"/>
      <c r="R565" s="361"/>
      <c r="S565" s="361"/>
      <c r="T565" s="361"/>
      <c r="U565" s="361"/>
      <c r="V565" s="361"/>
      <c r="W565" s="361"/>
      <c r="X565" s="361"/>
      <c r="Y565" s="131"/>
      <c r="Z565" s="163"/>
      <c r="AA565" s="131"/>
      <c r="AB565" s="131"/>
      <c r="AC565" s="131"/>
      <c r="AD565" s="131"/>
      <c r="AE565" s="131"/>
      <c r="AF565" s="163"/>
      <c r="AG565" s="163"/>
      <c r="AH565" s="163"/>
      <c r="AI565" s="163"/>
      <c r="AJ565" s="163"/>
      <c r="AK565" s="163"/>
      <c r="AL565" s="163"/>
      <c r="AM565" s="130"/>
      <c r="AN565" s="163"/>
    </row>
    <row r="566" ht="15.75" customHeight="1">
      <c r="A566" s="362"/>
      <c r="B566" s="362"/>
      <c r="C566" s="362"/>
      <c r="D566" s="362"/>
      <c r="E566" s="132"/>
      <c r="F566" s="132"/>
      <c r="G566" s="361"/>
      <c r="H566" s="361"/>
      <c r="I566" s="361"/>
      <c r="J566" s="363"/>
      <c r="K566" s="364"/>
      <c r="L566" s="361"/>
      <c r="M566" s="361"/>
      <c r="N566" s="361"/>
      <c r="O566" s="361"/>
      <c r="P566" s="361"/>
      <c r="Q566" s="361"/>
      <c r="R566" s="361"/>
      <c r="S566" s="361"/>
      <c r="T566" s="361"/>
      <c r="U566" s="361"/>
      <c r="V566" s="361"/>
      <c r="W566" s="361"/>
      <c r="X566" s="361"/>
      <c r="Y566" s="131"/>
      <c r="Z566" s="163"/>
      <c r="AA566" s="131"/>
      <c r="AB566" s="131"/>
      <c r="AC566" s="131"/>
      <c r="AD566" s="131"/>
      <c r="AE566" s="131"/>
      <c r="AF566" s="163"/>
      <c r="AG566" s="163"/>
      <c r="AH566" s="163"/>
      <c r="AI566" s="163"/>
      <c r="AJ566" s="163"/>
      <c r="AK566" s="163"/>
      <c r="AL566" s="163"/>
      <c r="AM566" s="130"/>
      <c r="AN566" s="163"/>
    </row>
    <row r="567" ht="15.75" customHeight="1">
      <c r="A567" s="362"/>
      <c r="B567" s="362"/>
      <c r="C567" s="362"/>
      <c r="D567" s="362"/>
      <c r="E567" s="132"/>
      <c r="F567" s="132"/>
      <c r="G567" s="361"/>
      <c r="H567" s="361"/>
      <c r="I567" s="361"/>
      <c r="J567" s="363"/>
      <c r="K567" s="364"/>
      <c r="L567" s="361"/>
      <c r="M567" s="361"/>
      <c r="N567" s="361"/>
      <c r="O567" s="361"/>
      <c r="P567" s="361"/>
      <c r="Q567" s="361"/>
      <c r="R567" s="361"/>
      <c r="S567" s="361"/>
      <c r="T567" s="361"/>
      <c r="U567" s="361"/>
      <c r="V567" s="361"/>
      <c r="W567" s="361"/>
      <c r="X567" s="361"/>
      <c r="Y567" s="131"/>
      <c r="Z567" s="163"/>
      <c r="AA567" s="131"/>
      <c r="AB567" s="131"/>
      <c r="AC567" s="131"/>
      <c r="AD567" s="131"/>
      <c r="AE567" s="131"/>
      <c r="AF567" s="163"/>
      <c r="AG567" s="163"/>
      <c r="AH567" s="163"/>
      <c r="AI567" s="163"/>
      <c r="AJ567" s="163"/>
      <c r="AK567" s="163"/>
      <c r="AL567" s="163"/>
      <c r="AM567" s="130"/>
      <c r="AN567" s="163"/>
    </row>
    <row r="568" ht="15.75" customHeight="1">
      <c r="A568" s="362"/>
      <c r="B568" s="362"/>
      <c r="C568" s="362"/>
      <c r="D568" s="362"/>
      <c r="E568" s="132"/>
      <c r="F568" s="132"/>
      <c r="G568" s="361"/>
      <c r="H568" s="361"/>
      <c r="I568" s="361"/>
      <c r="J568" s="363"/>
      <c r="K568" s="364"/>
      <c r="L568" s="361"/>
      <c r="M568" s="361"/>
      <c r="N568" s="361"/>
      <c r="O568" s="361"/>
      <c r="P568" s="361"/>
      <c r="Q568" s="361"/>
      <c r="R568" s="361"/>
      <c r="S568" s="361"/>
      <c r="T568" s="361"/>
      <c r="U568" s="361"/>
      <c r="V568" s="361"/>
      <c r="W568" s="361"/>
      <c r="X568" s="361"/>
      <c r="Y568" s="131"/>
      <c r="Z568" s="163"/>
      <c r="AA568" s="131"/>
      <c r="AB568" s="131"/>
      <c r="AC568" s="131"/>
      <c r="AD568" s="131"/>
      <c r="AE568" s="131"/>
      <c r="AF568" s="163"/>
      <c r="AG568" s="163"/>
      <c r="AH568" s="163"/>
      <c r="AI568" s="163"/>
      <c r="AJ568" s="163"/>
      <c r="AK568" s="163"/>
      <c r="AL568" s="163"/>
      <c r="AM568" s="130"/>
      <c r="AN568" s="163"/>
    </row>
    <row r="569" ht="15.75" customHeight="1">
      <c r="A569" s="362"/>
      <c r="B569" s="362"/>
      <c r="C569" s="362"/>
      <c r="D569" s="362"/>
      <c r="E569" s="132"/>
      <c r="F569" s="132"/>
      <c r="G569" s="361"/>
      <c r="H569" s="361"/>
      <c r="I569" s="361"/>
      <c r="J569" s="363"/>
      <c r="K569" s="364"/>
      <c r="L569" s="361"/>
      <c r="M569" s="361"/>
      <c r="N569" s="361"/>
      <c r="O569" s="361"/>
      <c r="P569" s="361"/>
      <c r="Q569" s="361"/>
      <c r="R569" s="361"/>
      <c r="S569" s="361"/>
      <c r="T569" s="361"/>
      <c r="U569" s="361"/>
      <c r="V569" s="361"/>
      <c r="W569" s="361"/>
      <c r="X569" s="361"/>
      <c r="Y569" s="131"/>
      <c r="Z569" s="163"/>
      <c r="AA569" s="131"/>
      <c r="AB569" s="131"/>
      <c r="AC569" s="131"/>
      <c r="AD569" s="131"/>
      <c r="AE569" s="131"/>
      <c r="AF569" s="163"/>
      <c r="AG569" s="163"/>
      <c r="AH569" s="163"/>
      <c r="AI569" s="163"/>
      <c r="AJ569" s="163"/>
      <c r="AK569" s="163"/>
      <c r="AL569" s="163"/>
      <c r="AM569" s="130"/>
      <c r="AN569" s="163"/>
    </row>
    <row r="570" ht="15.75" customHeight="1">
      <c r="A570" s="362"/>
      <c r="B570" s="362"/>
      <c r="C570" s="362"/>
      <c r="D570" s="362"/>
      <c r="E570" s="132"/>
      <c r="F570" s="132"/>
      <c r="G570" s="361"/>
      <c r="H570" s="361"/>
      <c r="I570" s="361"/>
      <c r="J570" s="363"/>
      <c r="K570" s="364"/>
      <c r="L570" s="361"/>
      <c r="M570" s="361"/>
      <c r="N570" s="361"/>
      <c r="O570" s="361"/>
      <c r="P570" s="361"/>
      <c r="Q570" s="361"/>
      <c r="R570" s="361"/>
      <c r="S570" s="361"/>
      <c r="T570" s="361"/>
      <c r="U570" s="361"/>
      <c r="V570" s="361"/>
      <c r="W570" s="361"/>
      <c r="X570" s="361"/>
      <c r="Y570" s="131"/>
      <c r="Z570" s="163"/>
      <c r="AA570" s="131"/>
      <c r="AB570" s="131"/>
      <c r="AC570" s="131"/>
      <c r="AD570" s="131"/>
      <c r="AE570" s="131"/>
      <c r="AF570" s="163"/>
      <c r="AG570" s="163"/>
      <c r="AH570" s="163"/>
      <c r="AI570" s="163"/>
      <c r="AJ570" s="163"/>
      <c r="AK570" s="163"/>
      <c r="AL570" s="163"/>
      <c r="AM570" s="130"/>
      <c r="AN570" s="163"/>
    </row>
    <row r="571" ht="15.75" customHeight="1">
      <c r="A571" s="362"/>
      <c r="B571" s="362"/>
      <c r="C571" s="362"/>
      <c r="D571" s="362"/>
      <c r="E571" s="132"/>
      <c r="F571" s="132"/>
      <c r="G571" s="361"/>
      <c r="H571" s="361"/>
      <c r="I571" s="361"/>
      <c r="J571" s="363"/>
      <c r="K571" s="364"/>
      <c r="L571" s="361"/>
      <c r="M571" s="361"/>
      <c r="N571" s="361"/>
      <c r="O571" s="361"/>
      <c r="P571" s="361"/>
      <c r="Q571" s="361"/>
      <c r="R571" s="361"/>
      <c r="S571" s="361"/>
      <c r="T571" s="361"/>
      <c r="U571" s="361"/>
      <c r="V571" s="361"/>
      <c r="W571" s="361"/>
      <c r="X571" s="361"/>
      <c r="Y571" s="131"/>
      <c r="Z571" s="163"/>
      <c r="AA571" s="131"/>
      <c r="AB571" s="131"/>
      <c r="AC571" s="131"/>
      <c r="AD571" s="131"/>
      <c r="AE571" s="131"/>
      <c r="AF571" s="163"/>
      <c r="AG571" s="163"/>
      <c r="AH571" s="163"/>
      <c r="AI571" s="163"/>
      <c r="AJ571" s="163"/>
      <c r="AK571" s="163"/>
      <c r="AL571" s="163"/>
      <c r="AM571" s="130"/>
      <c r="AN571" s="163"/>
    </row>
    <row r="572" ht="15.75" customHeight="1">
      <c r="A572" s="362"/>
      <c r="B572" s="362"/>
      <c r="C572" s="362"/>
      <c r="D572" s="362"/>
      <c r="E572" s="132"/>
      <c r="F572" s="132"/>
      <c r="G572" s="361"/>
      <c r="H572" s="361"/>
      <c r="I572" s="361"/>
      <c r="J572" s="363"/>
      <c r="K572" s="364"/>
      <c r="L572" s="361"/>
      <c r="M572" s="361"/>
      <c r="N572" s="361"/>
      <c r="O572" s="361"/>
      <c r="P572" s="361"/>
      <c r="Q572" s="361"/>
      <c r="R572" s="361"/>
      <c r="S572" s="361"/>
      <c r="T572" s="361"/>
      <c r="U572" s="361"/>
      <c r="V572" s="361"/>
      <c r="W572" s="361"/>
      <c r="X572" s="361"/>
      <c r="Y572" s="131"/>
      <c r="Z572" s="163"/>
      <c r="AA572" s="131"/>
      <c r="AB572" s="131"/>
      <c r="AC572" s="131"/>
      <c r="AD572" s="131"/>
      <c r="AE572" s="131"/>
      <c r="AF572" s="163"/>
      <c r="AG572" s="163"/>
      <c r="AH572" s="163"/>
      <c r="AI572" s="163"/>
      <c r="AJ572" s="163"/>
      <c r="AK572" s="163"/>
      <c r="AL572" s="163"/>
      <c r="AM572" s="130"/>
      <c r="AN572" s="163"/>
    </row>
    <row r="573" ht="15.75" customHeight="1">
      <c r="A573" s="362"/>
      <c r="B573" s="362"/>
      <c r="C573" s="362"/>
      <c r="D573" s="362"/>
      <c r="E573" s="132"/>
      <c r="F573" s="132"/>
      <c r="G573" s="361"/>
      <c r="H573" s="361"/>
      <c r="I573" s="361"/>
      <c r="J573" s="363"/>
      <c r="K573" s="364"/>
      <c r="L573" s="361"/>
      <c r="M573" s="361"/>
      <c r="N573" s="361"/>
      <c r="O573" s="361"/>
      <c r="P573" s="361"/>
      <c r="Q573" s="361"/>
      <c r="R573" s="361"/>
      <c r="S573" s="361"/>
      <c r="T573" s="361"/>
      <c r="U573" s="361"/>
      <c r="V573" s="361"/>
      <c r="W573" s="361"/>
      <c r="X573" s="361"/>
      <c r="Y573" s="131"/>
      <c r="Z573" s="163"/>
      <c r="AA573" s="131"/>
      <c r="AB573" s="131"/>
      <c r="AC573" s="131"/>
      <c r="AD573" s="131"/>
      <c r="AE573" s="131"/>
      <c r="AF573" s="163"/>
      <c r="AG573" s="163"/>
      <c r="AH573" s="163"/>
      <c r="AI573" s="163"/>
      <c r="AJ573" s="163"/>
      <c r="AK573" s="163"/>
      <c r="AL573" s="163"/>
      <c r="AM573" s="130"/>
      <c r="AN573" s="163"/>
    </row>
    <row r="574" ht="15.75" customHeight="1">
      <c r="A574" s="362"/>
      <c r="B574" s="362"/>
      <c r="C574" s="362"/>
      <c r="D574" s="362"/>
      <c r="E574" s="132"/>
      <c r="F574" s="132"/>
      <c r="G574" s="361"/>
      <c r="H574" s="361"/>
      <c r="I574" s="361"/>
      <c r="J574" s="363"/>
      <c r="K574" s="364"/>
      <c r="L574" s="361"/>
      <c r="M574" s="361"/>
      <c r="N574" s="361"/>
      <c r="O574" s="361"/>
      <c r="P574" s="361"/>
      <c r="Q574" s="361"/>
      <c r="R574" s="361"/>
      <c r="S574" s="361"/>
      <c r="T574" s="361"/>
      <c r="U574" s="361"/>
      <c r="V574" s="361"/>
      <c r="W574" s="361"/>
      <c r="X574" s="361"/>
      <c r="Y574" s="131"/>
      <c r="Z574" s="163"/>
      <c r="AA574" s="131"/>
      <c r="AB574" s="131"/>
      <c r="AC574" s="131"/>
      <c r="AD574" s="131"/>
      <c r="AE574" s="131"/>
      <c r="AF574" s="163"/>
      <c r="AG574" s="163"/>
      <c r="AH574" s="163"/>
      <c r="AI574" s="163"/>
      <c r="AJ574" s="163"/>
      <c r="AK574" s="163"/>
      <c r="AL574" s="163"/>
      <c r="AM574" s="130"/>
      <c r="AN574" s="163"/>
    </row>
    <row r="575" ht="15.75" customHeight="1">
      <c r="A575" s="362"/>
      <c r="B575" s="362"/>
      <c r="C575" s="362"/>
      <c r="D575" s="362"/>
      <c r="E575" s="132"/>
      <c r="F575" s="132"/>
      <c r="G575" s="361"/>
      <c r="H575" s="361"/>
      <c r="I575" s="361"/>
      <c r="J575" s="363"/>
      <c r="K575" s="364"/>
      <c r="L575" s="361"/>
      <c r="M575" s="361"/>
      <c r="N575" s="361"/>
      <c r="O575" s="361"/>
      <c r="P575" s="361"/>
      <c r="Q575" s="361"/>
      <c r="R575" s="361"/>
      <c r="S575" s="361"/>
      <c r="T575" s="361"/>
      <c r="U575" s="361"/>
      <c r="V575" s="361"/>
      <c r="W575" s="361"/>
      <c r="X575" s="361"/>
      <c r="Y575" s="131"/>
      <c r="Z575" s="163"/>
      <c r="AA575" s="131"/>
      <c r="AB575" s="131"/>
      <c r="AC575" s="131"/>
      <c r="AD575" s="131"/>
      <c r="AE575" s="131"/>
      <c r="AF575" s="163"/>
      <c r="AG575" s="163"/>
      <c r="AH575" s="163"/>
      <c r="AI575" s="163"/>
      <c r="AJ575" s="163"/>
      <c r="AK575" s="163"/>
      <c r="AL575" s="163"/>
      <c r="AM575" s="130"/>
      <c r="AN575" s="163"/>
    </row>
    <row r="576" ht="15.75" customHeight="1">
      <c r="A576" s="362"/>
      <c r="B576" s="362"/>
      <c r="C576" s="362"/>
      <c r="D576" s="362"/>
      <c r="E576" s="132"/>
      <c r="F576" s="132"/>
      <c r="G576" s="361"/>
      <c r="H576" s="361"/>
      <c r="I576" s="361"/>
      <c r="J576" s="363"/>
      <c r="K576" s="364"/>
      <c r="L576" s="361"/>
      <c r="M576" s="361"/>
      <c r="N576" s="361"/>
      <c r="O576" s="361"/>
      <c r="P576" s="361"/>
      <c r="Q576" s="361"/>
      <c r="R576" s="361"/>
      <c r="S576" s="361"/>
      <c r="T576" s="361"/>
      <c r="U576" s="361"/>
      <c r="V576" s="361"/>
      <c r="W576" s="361"/>
      <c r="X576" s="361"/>
      <c r="Y576" s="131"/>
      <c r="Z576" s="163"/>
      <c r="AA576" s="131"/>
      <c r="AB576" s="131"/>
      <c r="AC576" s="131"/>
      <c r="AD576" s="131"/>
      <c r="AE576" s="131"/>
      <c r="AF576" s="163"/>
      <c r="AG576" s="163"/>
      <c r="AH576" s="163"/>
      <c r="AI576" s="163"/>
      <c r="AJ576" s="163"/>
      <c r="AK576" s="163"/>
      <c r="AL576" s="163"/>
      <c r="AM576" s="130"/>
      <c r="AN576" s="163"/>
    </row>
    <row r="577" ht="15.75" customHeight="1">
      <c r="A577" s="362"/>
      <c r="B577" s="362"/>
      <c r="C577" s="362"/>
      <c r="D577" s="362"/>
      <c r="E577" s="132"/>
      <c r="F577" s="132"/>
      <c r="G577" s="361"/>
      <c r="H577" s="361"/>
      <c r="I577" s="361"/>
      <c r="J577" s="363"/>
      <c r="K577" s="364"/>
      <c r="L577" s="361"/>
      <c r="M577" s="361"/>
      <c r="N577" s="361"/>
      <c r="O577" s="361"/>
      <c r="P577" s="361"/>
      <c r="Q577" s="361"/>
      <c r="R577" s="361"/>
      <c r="S577" s="361"/>
      <c r="T577" s="361"/>
      <c r="U577" s="361"/>
      <c r="V577" s="361"/>
      <c r="W577" s="361"/>
      <c r="X577" s="361"/>
      <c r="Y577" s="131"/>
      <c r="Z577" s="163"/>
      <c r="AA577" s="131"/>
      <c r="AB577" s="131"/>
      <c r="AC577" s="131"/>
      <c r="AD577" s="131"/>
      <c r="AE577" s="131"/>
      <c r="AF577" s="163"/>
      <c r="AG577" s="163"/>
      <c r="AH577" s="163"/>
      <c r="AI577" s="163"/>
      <c r="AJ577" s="163"/>
      <c r="AK577" s="163"/>
      <c r="AL577" s="163"/>
      <c r="AM577" s="130"/>
      <c r="AN577" s="163"/>
    </row>
    <row r="578" ht="15.75" customHeight="1">
      <c r="A578" s="362"/>
      <c r="B578" s="362"/>
      <c r="C578" s="362"/>
      <c r="D578" s="362"/>
      <c r="E578" s="132"/>
      <c r="F578" s="132"/>
      <c r="G578" s="361"/>
      <c r="H578" s="361"/>
      <c r="I578" s="361"/>
      <c r="J578" s="363"/>
      <c r="K578" s="364"/>
      <c r="L578" s="361"/>
      <c r="M578" s="361"/>
      <c r="N578" s="361"/>
      <c r="O578" s="361"/>
      <c r="P578" s="361"/>
      <c r="Q578" s="361"/>
      <c r="R578" s="361"/>
      <c r="S578" s="361"/>
      <c r="T578" s="361"/>
      <c r="U578" s="361"/>
      <c r="V578" s="361"/>
      <c r="W578" s="361"/>
      <c r="X578" s="361"/>
      <c r="Y578" s="131"/>
      <c r="Z578" s="163"/>
      <c r="AA578" s="131"/>
      <c r="AB578" s="131"/>
      <c r="AC578" s="131"/>
      <c r="AD578" s="131"/>
      <c r="AE578" s="131"/>
      <c r="AF578" s="163"/>
      <c r="AG578" s="163"/>
      <c r="AH578" s="163"/>
      <c r="AI578" s="163"/>
      <c r="AJ578" s="163"/>
      <c r="AK578" s="163"/>
      <c r="AL578" s="163"/>
      <c r="AM578" s="130"/>
      <c r="AN578" s="163"/>
    </row>
    <row r="579" ht="15.75" customHeight="1">
      <c r="A579" s="362"/>
      <c r="B579" s="362"/>
      <c r="C579" s="362"/>
      <c r="D579" s="362"/>
      <c r="E579" s="132"/>
      <c r="F579" s="132"/>
      <c r="G579" s="361"/>
      <c r="H579" s="361"/>
      <c r="I579" s="361"/>
      <c r="J579" s="363"/>
      <c r="K579" s="364"/>
      <c r="L579" s="361"/>
      <c r="M579" s="361"/>
      <c r="N579" s="361"/>
      <c r="O579" s="361"/>
      <c r="P579" s="361"/>
      <c r="Q579" s="361"/>
      <c r="R579" s="361"/>
      <c r="S579" s="361"/>
      <c r="T579" s="361"/>
      <c r="U579" s="361"/>
      <c r="V579" s="361"/>
      <c r="W579" s="361"/>
      <c r="X579" s="361"/>
      <c r="Y579" s="131"/>
      <c r="Z579" s="163"/>
      <c r="AA579" s="131"/>
      <c r="AB579" s="131"/>
      <c r="AC579" s="131"/>
      <c r="AD579" s="131"/>
      <c r="AE579" s="131"/>
      <c r="AF579" s="163"/>
      <c r="AG579" s="163"/>
      <c r="AH579" s="163"/>
      <c r="AI579" s="163"/>
      <c r="AJ579" s="163"/>
      <c r="AK579" s="163"/>
      <c r="AL579" s="163"/>
      <c r="AM579" s="130"/>
      <c r="AN579" s="163"/>
    </row>
    <row r="580" ht="15.75" customHeight="1">
      <c r="A580" s="362"/>
      <c r="B580" s="362"/>
      <c r="C580" s="362"/>
      <c r="D580" s="362"/>
      <c r="E580" s="132"/>
      <c r="F580" s="132"/>
      <c r="G580" s="361"/>
      <c r="H580" s="361"/>
      <c r="I580" s="361"/>
      <c r="J580" s="363"/>
      <c r="K580" s="364"/>
      <c r="L580" s="361"/>
      <c r="M580" s="361"/>
      <c r="N580" s="361"/>
      <c r="O580" s="361"/>
      <c r="P580" s="361"/>
      <c r="Q580" s="361"/>
      <c r="R580" s="361"/>
      <c r="S580" s="361"/>
      <c r="T580" s="361"/>
      <c r="U580" s="361"/>
      <c r="V580" s="361"/>
      <c r="W580" s="361"/>
      <c r="X580" s="361"/>
      <c r="Y580" s="131"/>
      <c r="Z580" s="163"/>
      <c r="AA580" s="131"/>
      <c r="AB580" s="131"/>
      <c r="AC580" s="131"/>
      <c r="AD580" s="131"/>
      <c r="AE580" s="131"/>
      <c r="AF580" s="163"/>
      <c r="AG580" s="163"/>
      <c r="AH580" s="163"/>
      <c r="AI580" s="163"/>
      <c r="AJ580" s="163"/>
      <c r="AK580" s="163"/>
      <c r="AL580" s="163"/>
      <c r="AM580" s="130"/>
      <c r="AN580" s="163"/>
    </row>
    <row r="581" ht="15.75" customHeight="1">
      <c r="A581" s="362"/>
      <c r="B581" s="362"/>
      <c r="C581" s="362"/>
      <c r="D581" s="362"/>
      <c r="E581" s="132"/>
      <c r="F581" s="132"/>
      <c r="G581" s="361"/>
      <c r="H581" s="361"/>
      <c r="I581" s="361"/>
      <c r="J581" s="363"/>
      <c r="K581" s="364"/>
      <c r="L581" s="361"/>
      <c r="M581" s="361"/>
      <c r="N581" s="361"/>
      <c r="O581" s="361"/>
      <c r="P581" s="361"/>
      <c r="Q581" s="361"/>
      <c r="R581" s="361"/>
      <c r="S581" s="361"/>
      <c r="T581" s="361"/>
      <c r="U581" s="361"/>
      <c r="V581" s="361"/>
      <c r="W581" s="361"/>
      <c r="X581" s="361"/>
      <c r="Y581" s="131"/>
      <c r="Z581" s="163"/>
      <c r="AA581" s="131"/>
      <c r="AB581" s="131"/>
      <c r="AC581" s="131"/>
      <c r="AD581" s="131"/>
      <c r="AE581" s="131"/>
      <c r="AF581" s="163"/>
      <c r="AG581" s="163"/>
      <c r="AH581" s="163"/>
      <c r="AI581" s="163"/>
      <c r="AJ581" s="163"/>
      <c r="AK581" s="163"/>
      <c r="AL581" s="163"/>
      <c r="AM581" s="130"/>
      <c r="AN581" s="163"/>
    </row>
    <row r="582" ht="15.75" customHeight="1">
      <c r="A582" s="362"/>
      <c r="B582" s="362"/>
      <c r="C582" s="362"/>
      <c r="D582" s="362"/>
      <c r="E582" s="132"/>
      <c r="F582" s="132"/>
      <c r="G582" s="361"/>
      <c r="H582" s="361"/>
      <c r="I582" s="361"/>
      <c r="J582" s="363"/>
      <c r="K582" s="364"/>
      <c r="L582" s="361"/>
      <c r="M582" s="361"/>
      <c r="N582" s="361"/>
      <c r="O582" s="361"/>
      <c r="P582" s="361"/>
      <c r="Q582" s="361"/>
      <c r="R582" s="361"/>
      <c r="S582" s="361"/>
      <c r="T582" s="361"/>
      <c r="U582" s="361"/>
      <c r="V582" s="361"/>
      <c r="W582" s="361"/>
      <c r="X582" s="361"/>
      <c r="Y582" s="131"/>
      <c r="Z582" s="163"/>
      <c r="AA582" s="131"/>
      <c r="AB582" s="131"/>
      <c r="AC582" s="131"/>
      <c r="AD582" s="131"/>
      <c r="AE582" s="131"/>
      <c r="AF582" s="163"/>
      <c r="AG582" s="163"/>
      <c r="AH582" s="163"/>
      <c r="AI582" s="163"/>
      <c r="AJ582" s="163"/>
      <c r="AK582" s="163"/>
      <c r="AL582" s="163"/>
      <c r="AM582" s="130"/>
      <c r="AN582" s="163"/>
    </row>
    <row r="583" ht="15.75" customHeight="1">
      <c r="A583" s="362"/>
      <c r="B583" s="362"/>
      <c r="C583" s="362"/>
      <c r="D583" s="362"/>
      <c r="E583" s="132"/>
      <c r="F583" s="132"/>
      <c r="G583" s="361"/>
      <c r="H583" s="361"/>
      <c r="I583" s="361"/>
      <c r="J583" s="363"/>
      <c r="K583" s="364"/>
      <c r="L583" s="361"/>
      <c r="M583" s="361"/>
      <c r="N583" s="361"/>
      <c r="O583" s="361"/>
      <c r="P583" s="361"/>
      <c r="Q583" s="361"/>
      <c r="R583" s="361"/>
      <c r="S583" s="361"/>
      <c r="T583" s="361"/>
      <c r="U583" s="361"/>
      <c r="V583" s="361"/>
      <c r="W583" s="361"/>
      <c r="X583" s="361"/>
      <c r="Y583" s="131"/>
      <c r="Z583" s="163"/>
      <c r="AA583" s="131"/>
      <c r="AB583" s="131"/>
      <c r="AC583" s="131"/>
      <c r="AD583" s="131"/>
      <c r="AE583" s="131"/>
      <c r="AF583" s="163"/>
      <c r="AG583" s="163"/>
      <c r="AH583" s="163"/>
      <c r="AI583" s="163"/>
      <c r="AJ583" s="163"/>
      <c r="AK583" s="163"/>
      <c r="AL583" s="163"/>
      <c r="AM583" s="130"/>
      <c r="AN583" s="163"/>
    </row>
    <row r="584" ht="15.75" customHeight="1">
      <c r="A584" s="362"/>
      <c r="B584" s="362"/>
      <c r="C584" s="362"/>
      <c r="D584" s="362"/>
      <c r="E584" s="132"/>
      <c r="F584" s="132"/>
      <c r="G584" s="361"/>
      <c r="H584" s="361"/>
      <c r="I584" s="361"/>
      <c r="J584" s="363"/>
      <c r="K584" s="364"/>
      <c r="L584" s="361"/>
      <c r="M584" s="361"/>
      <c r="N584" s="361"/>
      <c r="O584" s="361"/>
      <c r="P584" s="361"/>
      <c r="Q584" s="361"/>
      <c r="R584" s="361"/>
      <c r="S584" s="361"/>
      <c r="T584" s="361"/>
      <c r="U584" s="361"/>
      <c r="V584" s="361"/>
      <c r="W584" s="361"/>
      <c r="X584" s="361"/>
      <c r="Y584" s="131"/>
      <c r="Z584" s="163"/>
      <c r="AA584" s="131"/>
      <c r="AB584" s="131"/>
      <c r="AC584" s="131"/>
      <c r="AD584" s="131"/>
      <c r="AE584" s="131"/>
      <c r="AF584" s="163"/>
      <c r="AG584" s="163"/>
      <c r="AH584" s="163"/>
      <c r="AI584" s="163"/>
      <c r="AJ584" s="163"/>
      <c r="AK584" s="163"/>
      <c r="AL584" s="163"/>
      <c r="AM584" s="130"/>
      <c r="AN584" s="163"/>
    </row>
    <row r="585" ht="15.75" customHeight="1">
      <c r="A585" s="362"/>
      <c r="B585" s="362"/>
      <c r="C585" s="362"/>
      <c r="D585" s="362"/>
      <c r="E585" s="132"/>
      <c r="F585" s="132"/>
      <c r="G585" s="361"/>
      <c r="H585" s="361"/>
      <c r="I585" s="361"/>
      <c r="J585" s="363"/>
      <c r="K585" s="364"/>
      <c r="L585" s="361"/>
      <c r="M585" s="361"/>
      <c r="N585" s="361"/>
      <c r="O585" s="361"/>
      <c r="P585" s="361"/>
      <c r="Q585" s="361"/>
      <c r="R585" s="361"/>
      <c r="S585" s="361"/>
      <c r="T585" s="361"/>
      <c r="U585" s="361"/>
      <c r="V585" s="361"/>
      <c r="W585" s="361"/>
      <c r="X585" s="361"/>
      <c r="Y585" s="131"/>
      <c r="Z585" s="163"/>
      <c r="AA585" s="131"/>
      <c r="AB585" s="131"/>
      <c r="AC585" s="131"/>
      <c r="AD585" s="131"/>
      <c r="AE585" s="131"/>
      <c r="AF585" s="163"/>
      <c r="AG585" s="163"/>
      <c r="AH585" s="163"/>
      <c r="AI585" s="163"/>
      <c r="AJ585" s="163"/>
      <c r="AK585" s="163"/>
      <c r="AL585" s="163"/>
      <c r="AM585" s="130"/>
      <c r="AN585" s="163"/>
    </row>
    <row r="586" ht="15.75" customHeight="1">
      <c r="A586" s="362"/>
      <c r="B586" s="362"/>
      <c r="C586" s="362"/>
      <c r="D586" s="362"/>
      <c r="E586" s="132"/>
      <c r="F586" s="132"/>
      <c r="G586" s="361"/>
      <c r="H586" s="361"/>
      <c r="I586" s="361"/>
      <c r="J586" s="363"/>
      <c r="K586" s="364"/>
      <c r="L586" s="361"/>
      <c r="M586" s="361"/>
      <c r="N586" s="361"/>
      <c r="O586" s="361"/>
      <c r="P586" s="361"/>
      <c r="Q586" s="361"/>
      <c r="R586" s="361"/>
      <c r="S586" s="361"/>
      <c r="T586" s="361"/>
      <c r="U586" s="361"/>
      <c r="V586" s="361"/>
      <c r="W586" s="361"/>
      <c r="X586" s="361"/>
      <c r="Y586" s="131"/>
      <c r="Z586" s="163"/>
      <c r="AA586" s="131"/>
      <c r="AB586" s="131"/>
      <c r="AC586" s="131"/>
      <c r="AD586" s="131"/>
      <c r="AE586" s="131"/>
      <c r="AF586" s="163"/>
      <c r="AG586" s="163"/>
      <c r="AH586" s="163"/>
      <c r="AI586" s="163"/>
      <c r="AJ586" s="163"/>
      <c r="AK586" s="163"/>
      <c r="AL586" s="163"/>
      <c r="AM586" s="130"/>
      <c r="AN586" s="163"/>
    </row>
    <row r="587" ht="15.75" customHeight="1">
      <c r="A587" s="362"/>
      <c r="B587" s="362"/>
      <c r="C587" s="362"/>
      <c r="D587" s="362"/>
      <c r="E587" s="132"/>
      <c r="F587" s="132"/>
      <c r="G587" s="361"/>
      <c r="H587" s="361"/>
      <c r="I587" s="361"/>
      <c r="J587" s="363"/>
      <c r="K587" s="364"/>
      <c r="L587" s="361"/>
      <c r="M587" s="361"/>
      <c r="N587" s="361"/>
      <c r="O587" s="361"/>
      <c r="P587" s="361"/>
      <c r="Q587" s="361"/>
      <c r="R587" s="361"/>
      <c r="S587" s="361"/>
      <c r="T587" s="361"/>
      <c r="U587" s="361"/>
      <c r="V587" s="361"/>
      <c r="W587" s="361"/>
      <c r="X587" s="361"/>
      <c r="Y587" s="131"/>
      <c r="Z587" s="163"/>
      <c r="AA587" s="131"/>
      <c r="AB587" s="131"/>
      <c r="AC587" s="131"/>
      <c r="AD587" s="131"/>
      <c r="AE587" s="131"/>
      <c r="AF587" s="163"/>
      <c r="AG587" s="163"/>
      <c r="AH587" s="163"/>
      <c r="AI587" s="163"/>
      <c r="AJ587" s="163"/>
      <c r="AK587" s="163"/>
      <c r="AL587" s="163"/>
      <c r="AM587" s="130"/>
      <c r="AN587" s="163"/>
    </row>
    <row r="588" ht="15.75" customHeight="1">
      <c r="A588" s="362"/>
      <c r="B588" s="362"/>
      <c r="C588" s="362"/>
      <c r="D588" s="362"/>
      <c r="E588" s="132"/>
      <c r="F588" s="132"/>
      <c r="G588" s="361"/>
      <c r="H588" s="361"/>
      <c r="I588" s="361"/>
      <c r="J588" s="363"/>
      <c r="K588" s="364"/>
      <c r="L588" s="361"/>
      <c r="M588" s="361"/>
      <c r="N588" s="361"/>
      <c r="O588" s="361"/>
      <c r="P588" s="361"/>
      <c r="Q588" s="361"/>
      <c r="R588" s="361"/>
      <c r="S588" s="361"/>
      <c r="T588" s="361"/>
      <c r="U588" s="361"/>
      <c r="V588" s="361"/>
      <c r="W588" s="361"/>
      <c r="X588" s="361"/>
      <c r="Y588" s="131"/>
      <c r="Z588" s="163"/>
      <c r="AA588" s="131"/>
      <c r="AB588" s="131"/>
      <c r="AC588" s="131"/>
      <c r="AD588" s="131"/>
      <c r="AE588" s="131"/>
      <c r="AF588" s="163"/>
      <c r="AG588" s="163"/>
      <c r="AH588" s="163"/>
      <c r="AI588" s="163"/>
      <c r="AJ588" s="163"/>
      <c r="AK588" s="163"/>
      <c r="AL588" s="163"/>
      <c r="AM588" s="130"/>
      <c r="AN588" s="163"/>
    </row>
    <row r="589" ht="15.75" customHeight="1">
      <c r="A589" s="362"/>
      <c r="B589" s="362"/>
      <c r="C589" s="362"/>
      <c r="D589" s="362"/>
      <c r="E589" s="132"/>
      <c r="F589" s="132"/>
      <c r="G589" s="361"/>
      <c r="H589" s="361"/>
      <c r="I589" s="361"/>
      <c r="J589" s="363"/>
      <c r="K589" s="364"/>
      <c r="L589" s="361"/>
      <c r="M589" s="361"/>
      <c r="N589" s="361"/>
      <c r="O589" s="361"/>
      <c r="P589" s="361"/>
      <c r="Q589" s="361"/>
      <c r="R589" s="361"/>
      <c r="S589" s="361"/>
      <c r="T589" s="361"/>
      <c r="U589" s="361"/>
      <c r="V589" s="361"/>
      <c r="W589" s="361"/>
      <c r="X589" s="361"/>
      <c r="Y589" s="131"/>
      <c r="Z589" s="163"/>
      <c r="AA589" s="131"/>
      <c r="AB589" s="131"/>
      <c r="AC589" s="131"/>
      <c r="AD589" s="131"/>
      <c r="AE589" s="131"/>
      <c r="AF589" s="163"/>
      <c r="AG589" s="163"/>
      <c r="AH589" s="163"/>
      <c r="AI589" s="163"/>
      <c r="AJ589" s="163"/>
      <c r="AK589" s="163"/>
      <c r="AL589" s="163"/>
      <c r="AM589" s="130"/>
      <c r="AN589" s="163"/>
    </row>
    <row r="590" ht="15.75" customHeight="1">
      <c r="A590" s="362"/>
      <c r="B590" s="362"/>
      <c r="C590" s="362"/>
      <c r="D590" s="362"/>
      <c r="E590" s="132"/>
      <c r="F590" s="132"/>
      <c r="G590" s="361"/>
      <c r="H590" s="361"/>
      <c r="I590" s="361"/>
      <c r="J590" s="363"/>
      <c r="K590" s="364"/>
      <c r="L590" s="361"/>
      <c r="M590" s="361"/>
      <c r="N590" s="361"/>
      <c r="O590" s="361"/>
      <c r="P590" s="361"/>
      <c r="Q590" s="361"/>
      <c r="R590" s="361"/>
      <c r="S590" s="361"/>
      <c r="T590" s="361"/>
      <c r="U590" s="361"/>
      <c r="V590" s="361"/>
      <c r="W590" s="361"/>
      <c r="X590" s="361"/>
      <c r="Y590" s="131"/>
      <c r="Z590" s="163"/>
      <c r="AA590" s="131"/>
      <c r="AB590" s="131"/>
      <c r="AC590" s="131"/>
      <c r="AD590" s="131"/>
      <c r="AE590" s="131"/>
      <c r="AF590" s="163"/>
      <c r="AG590" s="163"/>
      <c r="AH590" s="163"/>
      <c r="AI590" s="163"/>
      <c r="AJ590" s="163"/>
      <c r="AK590" s="163"/>
      <c r="AL590" s="163"/>
      <c r="AM590" s="130"/>
      <c r="AN590" s="163"/>
    </row>
    <row r="591" ht="15.75" customHeight="1">
      <c r="A591" s="362"/>
      <c r="B591" s="362"/>
      <c r="C591" s="362"/>
      <c r="D591" s="362"/>
      <c r="E591" s="132"/>
      <c r="F591" s="132"/>
      <c r="G591" s="361"/>
      <c r="H591" s="361"/>
      <c r="I591" s="361"/>
      <c r="J591" s="363"/>
      <c r="K591" s="364"/>
      <c r="L591" s="361"/>
      <c r="M591" s="361"/>
      <c r="N591" s="361"/>
      <c r="O591" s="361"/>
      <c r="P591" s="361"/>
      <c r="Q591" s="361"/>
      <c r="R591" s="361"/>
      <c r="S591" s="361"/>
      <c r="T591" s="361"/>
      <c r="U591" s="361"/>
      <c r="V591" s="361"/>
      <c r="W591" s="361"/>
      <c r="X591" s="361"/>
      <c r="Y591" s="131"/>
      <c r="Z591" s="163"/>
      <c r="AA591" s="131"/>
      <c r="AB591" s="131"/>
      <c r="AC591" s="131"/>
      <c r="AD591" s="131"/>
      <c r="AE591" s="131"/>
      <c r="AF591" s="163"/>
      <c r="AG591" s="163"/>
      <c r="AH591" s="163"/>
      <c r="AI591" s="163"/>
      <c r="AJ591" s="163"/>
      <c r="AK591" s="163"/>
      <c r="AL591" s="163"/>
      <c r="AM591" s="130"/>
      <c r="AN591" s="163"/>
    </row>
    <row r="592" ht="15.75" customHeight="1">
      <c r="A592" s="362"/>
      <c r="B592" s="362"/>
      <c r="C592" s="362"/>
      <c r="D592" s="362"/>
      <c r="E592" s="132"/>
      <c r="F592" s="132"/>
      <c r="G592" s="361"/>
      <c r="H592" s="361"/>
      <c r="I592" s="361"/>
      <c r="J592" s="363"/>
      <c r="K592" s="364"/>
      <c r="L592" s="361"/>
      <c r="M592" s="361"/>
      <c r="N592" s="361"/>
      <c r="O592" s="361"/>
      <c r="P592" s="361"/>
      <c r="Q592" s="361"/>
      <c r="R592" s="361"/>
      <c r="S592" s="361"/>
      <c r="T592" s="361"/>
      <c r="U592" s="361"/>
      <c r="V592" s="361"/>
      <c r="W592" s="361"/>
      <c r="X592" s="361"/>
      <c r="Y592" s="131"/>
      <c r="Z592" s="163"/>
      <c r="AA592" s="131"/>
      <c r="AB592" s="131"/>
      <c r="AC592" s="131"/>
      <c r="AD592" s="131"/>
      <c r="AE592" s="131"/>
      <c r="AF592" s="163"/>
      <c r="AG592" s="163"/>
      <c r="AH592" s="163"/>
      <c r="AI592" s="163"/>
      <c r="AJ592" s="163"/>
      <c r="AK592" s="163"/>
      <c r="AL592" s="163"/>
      <c r="AM592" s="130"/>
      <c r="AN592" s="163"/>
    </row>
    <row r="593" ht="15.75" customHeight="1">
      <c r="A593" s="362"/>
      <c r="B593" s="362"/>
      <c r="C593" s="362"/>
      <c r="D593" s="362"/>
      <c r="E593" s="132"/>
      <c r="F593" s="132"/>
      <c r="G593" s="361"/>
      <c r="H593" s="361"/>
      <c r="I593" s="361"/>
      <c r="J593" s="363"/>
      <c r="K593" s="364"/>
      <c r="L593" s="361"/>
      <c r="M593" s="361"/>
      <c r="N593" s="361"/>
      <c r="O593" s="361"/>
      <c r="P593" s="361"/>
      <c r="Q593" s="361"/>
      <c r="R593" s="361"/>
      <c r="S593" s="361"/>
      <c r="T593" s="361"/>
      <c r="U593" s="361"/>
      <c r="V593" s="361"/>
      <c r="W593" s="361"/>
      <c r="X593" s="361"/>
      <c r="Y593" s="131"/>
      <c r="Z593" s="163"/>
      <c r="AA593" s="131"/>
      <c r="AB593" s="131"/>
      <c r="AC593" s="131"/>
      <c r="AD593" s="131"/>
      <c r="AE593" s="131"/>
      <c r="AF593" s="163"/>
      <c r="AG593" s="163"/>
      <c r="AH593" s="163"/>
      <c r="AI593" s="163"/>
      <c r="AJ593" s="163"/>
      <c r="AK593" s="163"/>
      <c r="AL593" s="163"/>
      <c r="AM593" s="130"/>
      <c r="AN593" s="163"/>
    </row>
    <row r="594" ht="15.75" customHeight="1">
      <c r="A594" s="362"/>
      <c r="B594" s="362"/>
      <c r="C594" s="362"/>
      <c r="D594" s="362"/>
      <c r="E594" s="132"/>
      <c r="F594" s="132"/>
      <c r="G594" s="361"/>
      <c r="H594" s="361"/>
      <c r="I594" s="361"/>
      <c r="J594" s="363"/>
      <c r="K594" s="364"/>
      <c r="L594" s="361"/>
      <c r="M594" s="361"/>
      <c r="N594" s="361"/>
      <c r="O594" s="361"/>
      <c r="P594" s="361"/>
      <c r="Q594" s="361"/>
      <c r="R594" s="361"/>
      <c r="S594" s="361"/>
      <c r="T594" s="361"/>
      <c r="U594" s="361"/>
      <c r="V594" s="361"/>
      <c r="W594" s="361"/>
      <c r="X594" s="361"/>
      <c r="Y594" s="131"/>
      <c r="Z594" s="163"/>
      <c r="AA594" s="131"/>
      <c r="AB594" s="131"/>
      <c r="AC594" s="131"/>
      <c r="AD594" s="131"/>
      <c r="AE594" s="131"/>
      <c r="AF594" s="163"/>
      <c r="AG594" s="163"/>
      <c r="AH594" s="163"/>
      <c r="AI594" s="163"/>
      <c r="AJ594" s="163"/>
      <c r="AK594" s="163"/>
      <c r="AL594" s="163"/>
      <c r="AM594" s="130"/>
      <c r="AN594" s="163"/>
    </row>
    <row r="595" ht="15.75" customHeight="1">
      <c r="A595" s="362"/>
      <c r="B595" s="362"/>
      <c r="C595" s="362"/>
      <c r="D595" s="362"/>
      <c r="E595" s="132"/>
      <c r="F595" s="132"/>
      <c r="G595" s="361"/>
      <c r="H595" s="361"/>
      <c r="I595" s="361"/>
      <c r="J595" s="363"/>
      <c r="K595" s="364"/>
      <c r="L595" s="361"/>
      <c r="M595" s="361"/>
      <c r="N595" s="361"/>
      <c r="O595" s="361"/>
      <c r="P595" s="361"/>
      <c r="Q595" s="361"/>
      <c r="R595" s="361"/>
      <c r="S595" s="361"/>
      <c r="T595" s="361"/>
      <c r="U595" s="361"/>
      <c r="V595" s="361"/>
      <c r="W595" s="361"/>
      <c r="X595" s="361"/>
      <c r="Y595" s="131"/>
      <c r="Z595" s="163"/>
      <c r="AA595" s="131"/>
      <c r="AB595" s="131"/>
      <c r="AC595" s="131"/>
      <c r="AD595" s="131"/>
      <c r="AE595" s="131"/>
      <c r="AF595" s="163"/>
      <c r="AG595" s="163"/>
      <c r="AH595" s="163"/>
      <c r="AI595" s="163"/>
      <c r="AJ595" s="163"/>
      <c r="AK595" s="163"/>
      <c r="AL595" s="163"/>
      <c r="AM595" s="130"/>
      <c r="AN595" s="163"/>
    </row>
    <row r="596" ht="15.75" customHeight="1">
      <c r="A596" s="362"/>
      <c r="B596" s="362"/>
      <c r="C596" s="362"/>
      <c r="D596" s="362"/>
      <c r="E596" s="132"/>
      <c r="F596" s="132"/>
      <c r="G596" s="361"/>
      <c r="H596" s="361"/>
      <c r="I596" s="361"/>
      <c r="J596" s="363"/>
      <c r="K596" s="364"/>
      <c r="L596" s="361"/>
      <c r="M596" s="361"/>
      <c r="N596" s="361"/>
      <c r="O596" s="361"/>
      <c r="P596" s="361"/>
      <c r="Q596" s="361"/>
      <c r="R596" s="361"/>
      <c r="S596" s="361"/>
      <c r="T596" s="361"/>
      <c r="U596" s="361"/>
      <c r="V596" s="361"/>
      <c r="W596" s="361"/>
      <c r="X596" s="361"/>
      <c r="Y596" s="131"/>
      <c r="Z596" s="163"/>
      <c r="AA596" s="131"/>
      <c r="AB596" s="131"/>
      <c r="AC596" s="131"/>
      <c r="AD596" s="131"/>
      <c r="AE596" s="131"/>
      <c r="AF596" s="163"/>
      <c r="AG596" s="163"/>
      <c r="AH596" s="163"/>
      <c r="AI596" s="163"/>
      <c r="AJ596" s="163"/>
      <c r="AK596" s="163"/>
      <c r="AL596" s="163"/>
      <c r="AM596" s="130"/>
      <c r="AN596" s="163"/>
    </row>
    <row r="597" ht="15.75" customHeight="1">
      <c r="A597" s="362"/>
      <c r="B597" s="362"/>
      <c r="C597" s="362"/>
      <c r="D597" s="362"/>
      <c r="E597" s="132"/>
      <c r="F597" s="132"/>
      <c r="G597" s="361"/>
      <c r="H597" s="361"/>
      <c r="I597" s="361"/>
      <c r="J597" s="363"/>
      <c r="K597" s="364"/>
      <c r="L597" s="361"/>
      <c r="M597" s="361"/>
      <c r="N597" s="361"/>
      <c r="O597" s="361"/>
      <c r="P597" s="361"/>
      <c r="Q597" s="361"/>
      <c r="R597" s="361"/>
      <c r="S597" s="361"/>
      <c r="T597" s="361"/>
      <c r="U597" s="361"/>
      <c r="V597" s="361"/>
      <c r="W597" s="361"/>
      <c r="X597" s="361"/>
      <c r="Y597" s="131"/>
      <c r="Z597" s="163"/>
      <c r="AA597" s="131"/>
      <c r="AB597" s="131"/>
      <c r="AC597" s="131"/>
      <c r="AD597" s="131"/>
      <c r="AE597" s="131"/>
      <c r="AF597" s="163"/>
      <c r="AG597" s="163"/>
      <c r="AH597" s="163"/>
      <c r="AI597" s="163"/>
      <c r="AJ597" s="163"/>
      <c r="AK597" s="163"/>
      <c r="AL597" s="163"/>
      <c r="AM597" s="130"/>
      <c r="AN597" s="163"/>
    </row>
    <row r="598" ht="15.75" customHeight="1">
      <c r="A598" s="362"/>
      <c r="B598" s="362"/>
      <c r="C598" s="362"/>
      <c r="D598" s="362"/>
      <c r="E598" s="132"/>
      <c r="F598" s="132"/>
      <c r="G598" s="361"/>
      <c r="H598" s="361"/>
      <c r="I598" s="361"/>
      <c r="J598" s="363"/>
      <c r="K598" s="364"/>
      <c r="L598" s="361"/>
      <c r="M598" s="361"/>
      <c r="N598" s="361"/>
      <c r="O598" s="361"/>
      <c r="P598" s="361"/>
      <c r="Q598" s="361"/>
      <c r="R598" s="361"/>
      <c r="S598" s="361"/>
      <c r="T598" s="361"/>
      <c r="U598" s="361"/>
      <c r="V598" s="361"/>
      <c r="W598" s="361"/>
      <c r="X598" s="361"/>
      <c r="Y598" s="131"/>
      <c r="Z598" s="163"/>
      <c r="AA598" s="131"/>
      <c r="AB598" s="131"/>
      <c r="AC598" s="131"/>
      <c r="AD598" s="131"/>
      <c r="AE598" s="131"/>
      <c r="AF598" s="163"/>
      <c r="AG598" s="163"/>
      <c r="AH598" s="163"/>
      <c r="AI598" s="163"/>
      <c r="AJ598" s="163"/>
      <c r="AK598" s="163"/>
      <c r="AL598" s="163"/>
      <c r="AM598" s="130"/>
      <c r="AN598" s="163"/>
    </row>
    <row r="599" ht="15.75" customHeight="1">
      <c r="A599" s="362"/>
      <c r="B599" s="362"/>
      <c r="C599" s="362"/>
      <c r="D599" s="362"/>
      <c r="E599" s="132"/>
      <c r="F599" s="132"/>
      <c r="G599" s="361"/>
      <c r="H599" s="361"/>
      <c r="I599" s="361"/>
      <c r="J599" s="363"/>
      <c r="K599" s="364"/>
      <c r="L599" s="361"/>
      <c r="M599" s="361"/>
      <c r="N599" s="361"/>
      <c r="O599" s="361"/>
      <c r="P599" s="361"/>
      <c r="Q599" s="361"/>
      <c r="R599" s="361"/>
      <c r="S599" s="361"/>
      <c r="T599" s="361"/>
      <c r="U599" s="361"/>
      <c r="V599" s="361"/>
      <c r="W599" s="361"/>
      <c r="X599" s="361"/>
      <c r="Y599" s="131"/>
      <c r="Z599" s="163"/>
      <c r="AA599" s="131"/>
      <c r="AB599" s="131"/>
      <c r="AC599" s="131"/>
      <c r="AD599" s="131"/>
      <c r="AE599" s="131"/>
      <c r="AF599" s="163"/>
      <c r="AG599" s="163"/>
      <c r="AH599" s="163"/>
      <c r="AI599" s="163"/>
      <c r="AJ599" s="163"/>
      <c r="AK599" s="163"/>
      <c r="AL599" s="163"/>
      <c r="AM599" s="130"/>
      <c r="AN599" s="163"/>
    </row>
    <row r="600" ht="15.75" customHeight="1">
      <c r="A600" s="362"/>
      <c r="B600" s="362"/>
      <c r="C600" s="362"/>
      <c r="D600" s="362"/>
      <c r="E600" s="132"/>
      <c r="F600" s="132"/>
      <c r="G600" s="361"/>
      <c r="H600" s="361"/>
      <c r="I600" s="361"/>
      <c r="J600" s="363"/>
      <c r="K600" s="364"/>
      <c r="L600" s="361"/>
      <c r="M600" s="361"/>
      <c r="N600" s="361"/>
      <c r="O600" s="361"/>
      <c r="P600" s="361"/>
      <c r="Q600" s="361"/>
      <c r="R600" s="361"/>
      <c r="S600" s="361"/>
      <c r="T600" s="361"/>
      <c r="U600" s="361"/>
      <c r="V600" s="361"/>
      <c r="W600" s="361"/>
      <c r="X600" s="361"/>
      <c r="Y600" s="131"/>
      <c r="Z600" s="163"/>
      <c r="AA600" s="131"/>
      <c r="AB600" s="131"/>
      <c r="AC600" s="131"/>
      <c r="AD600" s="131"/>
      <c r="AE600" s="131"/>
      <c r="AF600" s="163"/>
      <c r="AG600" s="163"/>
      <c r="AH600" s="163"/>
      <c r="AI600" s="163"/>
      <c r="AJ600" s="163"/>
      <c r="AK600" s="163"/>
      <c r="AL600" s="163"/>
      <c r="AM600" s="130"/>
      <c r="AN600" s="163"/>
    </row>
    <row r="601" ht="15.75" customHeight="1">
      <c r="A601" s="362"/>
      <c r="B601" s="362"/>
      <c r="C601" s="362"/>
      <c r="D601" s="362"/>
      <c r="E601" s="132"/>
      <c r="F601" s="132"/>
      <c r="G601" s="361"/>
      <c r="H601" s="361"/>
      <c r="I601" s="361"/>
      <c r="J601" s="363"/>
      <c r="K601" s="364"/>
      <c r="L601" s="361"/>
      <c r="M601" s="361"/>
      <c r="N601" s="361"/>
      <c r="O601" s="361"/>
      <c r="P601" s="361"/>
      <c r="Q601" s="361"/>
      <c r="R601" s="361"/>
      <c r="S601" s="361"/>
      <c r="T601" s="361"/>
      <c r="U601" s="361"/>
      <c r="V601" s="361"/>
      <c r="W601" s="361"/>
      <c r="X601" s="361"/>
      <c r="Y601" s="131"/>
      <c r="Z601" s="163"/>
      <c r="AA601" s="131"/>
      <c r="AB601" s="131"/>
      <c r="AC601" s="131"/>
      <c r="AD601" s="131"/>
      <c r="AE601" s="131"/>
      <c r="AF601" s="163"/>
      <c r="AG601" s="163"/>
      <c r="AH601" s="163"/>
      <c r="AI601" s="163"/>
      <c r="AJ601" s="163"/>
      <c r="AK601" s="163"/>
      <c r="AL601" s="163"/>
      <c r="AM601" s="130"/>
      <c r="AN601" s="163"/>
    </row>
    <row r="602" ht="15.75" customHeight="1">
      <c r="A602" s="362"/>
      <c r="B602" s="362"/>
      <c r="C602" s="362"/>
      <c r="D602" s="362"/>
      <c r="E602" s="132"/>
      <c r="F602" s="132"/>
      <c r="G602" s="361"/>
      <c r="H602" s="361"/>
      <c r="I602" s="361"/>
      <c r="J602" s="363"/>
      <c r="K602" s="364"/>
      <c r="L602" s="361"/>
      <c r="M602" s="361"/>
      <c r="N602" s="361"/>
      <c r="O602" s="361"/>
      <c r="P602" s="361"/>
      <c r="Q602" s="361"/>
      <c r="R602" s="361"/>
      <c r="S602" s="361"/>
      <c r="T602" s="361"/>
      <c r="U602" s="361"/>
      <c r="V602" s="361"/>
      <c r="W602" s="361"/>
      <c r="X602" s="361"/>
      <c r="Y602" s="131"/>
      <c r="Z602" s="163"/>
      <c r="AA602" s="131"/>
      <c r="AB602" s="131"/>
      <c r="AC602" s="131"/>
      <c r="AD602" s="131"/>
      <c r="AE602" s="131"/>
      <c r="AF602" s="163"/>
      <c r="AG602" s="163"/>
      <c r="AH602" s="163"/>
      <c r="AI602" s="163"/>
      <c r="AJ602" s="163"/>
      <c r="AK602" s="163"/>
      <c r="AL602" s="163"/>
      <c r="AM602" s="130"/>
      <c r="AN602" s="163"/>
    </row>
    <row r="603" ht="15.75" customHeight="1">
      <c r="A603" s="362"/>
      <c r="B603" s="362"/>
      <c r="C603" s="362"/>
      <c r="D603" s="362"/>
      <c r="E603" s="132"/>
      <c r="F603" s="132"/>
      <c r="G603" s="361"/>
      <c r="H603" s="361"/>
      <c r="I603" s="361"/>
      <c r="J603" s="363"/>
      <c r="K603" s="364"/>
      <c r="L603" s="361"/>
      <c r="M603" s="361"/>
      <c r="N603" s="361"/>
      <c r="O603" s="361"/>
      <c r="P603" s="361"/>
      <c r="Q603" s="361"/>
      <c r="R603" s="361"/>
      <c r="S603" s="361"/>
      <c r="T603" s="361"/>
      <c r="U603" s="361"/>
      <c r="V603" s="361"/>
      <c r="W603" s="361"/>
      <c r="X603" s="361"/>
      <c r="Y603" s="131"/>
      <c r="Z603" s="163"/>
      <c r="AA603" s="131"/>
      <c r="AB603" s="131"/>
      <c r="AC603" s="131"/>
      <c r="AD603" s="131"/>
      <c r="AE603" s="131"/>
      <c r="AF603" s="163"/>
      <c r="AG603" s="163"/>
      <c r="AH603" s="163"/>
      <c r="AI603" s="163"/>
      <c r="AJ603" s="163"/>
      <c r="AK603" s="163"/>
      <c r="AL603" s="163"/>
      <c r="AM603" s="130"/>
      <c r="AN603" s="163"/>
    </row>
    <row r="604" ht="15.75" customHeight="1">
      <c r="A604" s="362"/>
      <c r="B604" s="362"/>
      <c r="C604" s="362"/>
      <c r="D604" s="362"/>
      <c r="E604" s="132"/>
      <c r="F604" s="132"/>
      <c r="G604" s="361"/>
      <c r="H604" s="361"/>
      <c r="I604" s="361"/>
      <c r="J604" s="363"/>
      <c r="K604" s="364"/>
      <c r="L604" s="361"/>
      <c r="M604" s="361"/>
      <c r="N604" s="361"/>
      <c r="O604" s="361"/>
      <c r="P604" s="361"/>
      <c r="Q604" s="361"/>
      <c r="R604" s="361"/>
      <c r="S604" s="361"/>
      <c r="T604" s="361"/>
      <c r="U604" s="361"/>
      <c r="V604" s="361"/>
      <c r="W604" s="361"/>
      <c r="X604" s="361"/>
      <c r="Y604" s="131"/>
      <c r="Z604" s="163"/>
      <c r="AA604" s="131"/>
      <c r="AB604" s="131"/>
      <c r="AC604" s="131"/>
      <c r="AD604" s="131"/>
      <c r="AE604" s="131"/>
      <c r="AF604" s="163"/>
      <c r="AG604" s="163"/>
      <c r="AH604" s="163"/>
      <c r="AI604" s="163"/>
      <c r="AJ604" s="163"/>
      <c r="AK604" s="163"/>
      <c r="AL604" s="163"/>
      <c r="AM604" s="130"/>
      <c r="AN604" s="163"/>
    </row>
    <row r="605" ht="15.75" customHeight="1">
      <c r="A605" s="362"/>
      <c r="B605" s="362"/>
      <c r="C605" s="362"/>
      <c r="D605" s="362"/>
      <c r="E605" s="132"/>
      <c r="F605" s="132"/>
      <c r="G605" s="361"/>
      <c r="H605" s="361"/>
      <c r="I605" s="361"/>
      <c r="J605" s="363"/>
      <c r="K605" s="364"/>
      <c r="L605" s="361"/>
      <c r="M605" s="361"/>
      <c r="N605" s="361"/>
      <c r="O605" s="361"/>
      <c r="P605" s="361"/>
      <c r="Q605" s="361"/>
      <c r="R605" s="361"/>
      <c r="S605" s="361"/>
      <c r="T605" s="361"/>
      <c r="U605" s="361"/>
      <c r="V605" s="361"/>
      <c r="W605" s="361"/>
      <c r="X605" s="361"/>
      <c r="Y605" s="131"/>
      <c r="Z605" s="163"/>
      <c r="AA605" s="131"/>
      <c r="AB605" s="131"/>
      <c r="AC605" s="131"/>
      <c r="AD605" s="131"/>
      <c r="AE605" s="131"/>
      <c r="AF605" s="163"/>
      <c r="AG605" s="163"/>
      <c r="AH605" s="163"/>
      <c r="AI605" s="163"/>
      <c r="AJ605" s="163"/>
      <c r="AK605" s="163"/>
      <c r="AL605" s="163"/>
      <c r="AM605" s="130"/>
      <c r="AN605" s="163"/>
    </row>
    <row r="606" ht="15.75" customHeight="1">
      <c r="A606" s="362"/>
      <c r="B606" s="362"/>
      <c r="C606" s="362"/>
      <c r="D606" s="362"/>
      <c r="E606" s="132"/>
      <c r="F606" s="132"/>
      <c r="G606" s="361"/>
      <c r="H606" s="361"/>
      <c r="I606" s="361"/>
      <c r="J606" s="363"/>
      <c r="K606" s="364"/>
      <c r="L606" s="361"/>
      <c r="M606" s="361"/>
      <c r="N606" s="361"/>
      <c r="O606" s="361"/>
      <c r="P606" s="361"/>
      <c r="Q606" s="361"/>
      <c r="R606" s="361"/>
      <c r="S606" s="361"/>
      <c r="T606" s="361"/>
      <c r="U606" s="361"/>
      <c r="V606" s="361"/>
      <c r="W606" s="361"/>
      <c r="X606" s="361"/>
      <c r="Y606" s="131"/>
      <c r="Z606" s="163"/>
      <c r="AA606" s="131"/>
      <c r="AB606" s="131"/>
      <c r="AC606" s="131"/>
      <c r="AD606" s="131"/>
      <c r="AE606" s="131"/>
      <c r="AF606" s="163"/>
      <c r="AG606" s="163"/>
      <c r="AH606" s="163"/>
      <c r="AI606" s="163"/>
      <c r="AJ606" s="163"/>
      <c r="AK606" s="163"/>
      <c r="AL606" s="163"/>
      <c r="AM606" s="130"/>
      <c r="AN606" s="163"/>
    </row>
    <row r="607" ht="15.75" customHeight="1">
      <c r="A607" s="362"/>
      <c r="B607" s="362"/>
      <c r="C607" s="362"/>
      <c r="D607" s="362"/>
      <c r="E607" s="132"/>
      <c r="F607" s="132"/>
      <c r="G607" s="361"/>
      <c r="H607" s="361"/>
      <c r="I607" s="361"/>
      <c r="J607" s="363"/>
      <c r="K607" s="364"/>
      <c r="L607" s="361"/>
      <c r="M607" s="361"/>
      <c r="N607" s="361"/>
      <c r="O607" s="361"/>
      <c r="P607" s="361"/>
      <c r="Q607" s="361"/>
      <c r="R607" s="361"/>
      <c r="S607" s="361"/>
      <c r="T607" s="361"/>
      <c r="U607" s="361"/>
      <c r="V607" s="361"/>
      <c r="W607" s="361"/>
      <c r="X607" s="361"/>
      <c r="Y607" s="131"/>
      <c r="Z607" s="163"/>
      <c r="AA607" s="131"/>
      <c r="AB607" s="131"/>
      <c r="AC607" s="131"/>
      <c r="AD607" s="131"/>
      <c r="AE607" s="131"/>
      <c r="AF607" s="163"/>
      <c r="AG607" s="163"/>
      <c r="AH607" s="163"/>
      <c r="AI607" s="163"/>
      <c r="AJ607" s="163"/>
      <c r="AK607" s="163"/>
      <c r="AL607" s="163"/>
      <c r="AM607" s="130"/>
      <c r="AN607" s="163"/>
    </row>
    <row r="608" ht="15.75" customHeight="1">
      <c r="A608" s="362"/>
      <c r="B608" s="362"/>
      <c r="C608" s="362"/>
      <c r="D608" s="362"/>
      <c r="E608" s="132"/>
      <c r="F608" s="132"/>
      <c r="G608" s="361"/>
      <c r="H608" s="361"/>
      <c r="I608" s="361"/>
      <c r="J608" s="363"/>
      <c r="K608" s="364"/>
      <c r="L608" s="361"/>
      <c r="M608" s="361"/>
      <c r="N608" s="361"/>
      <c r="O608" s="361"/>
      <c r="P608" s="361"/>
      <c r="Q608" s="361"/>
      <c r="R608" s="361"/>
      <c r="S608" s="361"/>
      <c r="T608" s="361"/>
      <c r="U608" s="361"/>
      <c r="V608" s="361"/>
      <c r="W608" s="361"/>
      <c r="X608" s="361"/>
      <c r="Y608" s="131"/>
      <c r="Z608" s="163"/>
      <c r="AA608" s="131"/>
      <c r="AB608" s="131"/>
      <c r="AC608" s="131"/>
      <c r="AD608" s="131"/>
      <c r="AE608" s="131"/>
      <c r="AF608" s="163"/>
      <c r="AG608" s="163"/>
      <c r="AH608" s="163"/>
      <c r="AI608" s="163"/>
      <c r="AJ608" s="163"/>
      <c r="AK608" s="163"/>
      <c r="AL608" s="163"/>
      <c r="AM608" s="130"/>
      <c r="AN608" s="163"/>
    </row>
    <row r="609" ht="15.75" customHeight="1">
      <c r="A609" s="362"/>
      <c r="B609" s="362"/>
      <c r="C609" s="362"/>
      <c r="D609" s="362"/>
      <c r="E609" s="132"/>
      <c r="F609" s="132"/>
      <c r="G609" s="361"/>
      <c r="H609" s="361"/>
      <c r="I609" s="361"/>
      <c r="J609" s="363"/>
      <c r="K609" s="364"/>
      <c r="L609" s="361"/>
      <c r="M609" s="361"/>
      <c r="N609" s="361"/>
      <c r="O609" s="361"/>
      <c r="P609" s="361"/>
      <c r="Q609" s="361"/>
      <c r="R609" s="361"/>
      <c r="S609" s="361"/>
      <c r="T609" s="361"/>
      <c r="U609" s="361"/>
      <c r="V609" s="361"/>
      <c r="W609" s="361"/>
      <c r="X609" s="361"/>
      <c r="Y609" s="131"/>
      <c r="Z609" s="163"/>
      <c r="AA609" s="131"/>
      <c r="AB609" s="131"/>
      <c r="AC609" s="131"/>
      <c r="AD609" s="131"/>
      <c r="AE609" s="131"/>
      <c r="AF609" s="163"/>
      <c r="AG609" s="163"/>
      <c r="AH609" s="163"/>
      <c r="AI609" s="163"/>
      <c r="AJ609" s="163"/>
      <c r="AK609" s="163"/>
      <c r="AL609" s="163"/>
      <c r="AM609" s="130"/>
      <c r="AN609" s="163"/>
    </row>
    <row r="610" ht="15.75" customHeight="1">
      <c r="A610" s="362"/>
      <c r="B610" s="362"/>
      <c r="C610" s="362"/>
      <c r="D610" s="362"/>
      <c r="E610" s="132"/>
      <c r="F610" s="132"/>
      <c r="G610" s="361"/>
      <c r="H610" s="361"/>
      <c r="I610" s="361"/>
      <c r="J610" s="363"/>
      <c r="K610" s="364"/>
      <c r="L610" s="361"/>
      <c r="M610" s="361"/>
      <c r="N610" s="361"/>
      <c r="O610" s="361"/>
      <c r="P610" s="361"/>
      <c r="Q610" s="361"/>
      <c r="R610" s="361"/>
      <c r="S610" s="361"/>
      <c r="T610" s="361"/>
      <c r="U610" s="361"/>
      <c r="V610" s="361"/>
      <c r="W610" s="361"/>
      <c r="X610" s="361"/>
      <c r="Y610" s="131"/>
      <c r="Z610" s="163"/>
      <c r="AA610" s="131"/>
      <c r="AB610" s="131"/>
      <c r="AC610" s="131"/>
      <c r="AD610" s="131"/>
      <c r="AE610" s="131"/>
      <c r="AF610" s="163"/>
      <c r="AG610" s="163"/>
      <c r="AH610" s="163"/>
      <c r="AI610" s="163"/>
      <c r="AJ610" s="163"/>
      <c r="AK610" s="163"/>
      <c r="AL610" s="163"/>
      <c r="AM610" s="130"/>
      <c r="AN610" s="163"/>
    </row>
    <row r="611" ht="15.75" customHeight="1">
      <c r="A611" s="362"/>
      <c r="B611" s="362"/>
      <c r="C611" s="362"/>
      <c r="D611" s="362"/>
      <c r="E611" s="132"/>
      <c r="F611" s="132"/>
      <c r="G611" s="361"/>
      <c r="H611" s="361"/>
      <c r="I611" s="361"/>
      <c r="J611" s="363"/>
      <c r="K611" s="364"/>
      <c r="L611" s="361"/>
      <c r="M611" s="361"/>
      <c r="N611" s="361"/>
      <c r="O611" s="361"/>
      <c r="P611" s="361"/>
      <c r="Q611" s="361"/>
      <c r="R611" s="361"/>
      <c r="S611" s="361"/>
      <c r="T611" s="361"/>
      <c r="U611" s="361"/>
      <c r="V611" s="361"/>
      <c r="W611" s="361"/>
      <c r="X611" s="361"/>
      <c r="Y611" s="131"/>
      <c r="Z611" s="163"/>
      <c r="AA611" s="131"/>
      <c r="AB611" s="131"/>
      <c r="AC611" s="131"/>
      <c r="AD611" s="131"/>
      <c r="AE611" s="131"/>
      <c r="AF611" s="163"/>
      <c r="AG611" s="163"/>
      <c r="AH611" s="163"/>
      <c r="AI611" s="163"/>
      <c r="AJ611" s="163"/>
      <c r="AK611" s="163"/>
      <c r="AL611" s="163"/>
      <c r="AM611" s="130"/>
      <c r="AN611" s="163"/>
    </row>
    <row r="612" ht="15.75" customHeight="1">
      <c r="A612" s="362"/>
      <c r="B612" s="362"/>
      <c r="C612" s="362"/>
      <c r="D612" s="362"/>
      <c r="E612" s="132"/>
      <c r="F612" s="132"/>
      <c r="G612" s="361"/>
      <c r="H612" s="361"/>
      <c r="I612" s="361"/>
      <c r="J612" s="363"/>
      <c r="K612" s="364"/>
      <c r="L612" s="361"/>
      <c r="M612" s="361"/>
      <c r="N612" s="361"/>
      <c r="O612" s="361"/>
      <c r="P612" s="361"/>
      <c r="Q612" s="361"/>
      <c r="R612" s="361"/>
      <c r="S612" s="361"/>
      <c r="T612" s="361"/>
      <c r="U612" s="361"/>
      <c r="V612" s="361"/>
      <c r="W612" s="361"/>
      <c r="X612" s="361"/>
      <c r="Y612" s="131"/>
      <c r="Z612" s="163"/>
      <c r="AA612" s="131"/>
      <c r="AB612" s="131"/>
      <c r="AC612" s="131"/>
      <c r="AD612" s="131"/>
      <c r="AE612" s="131"/>
      <c r="AF612" s="163"/>
      <c r="AG612" s="163"/>
      <c r="AH612" s="163"/>
      <c r="AI612" s="163"/>
      <c r="AJ612" s="163"/>
      <c r="AK612" s="163"/>
      <c r="AL612" s="163"/>
      <c r="AM612" s="130"/>
      <c r="AN612" s="163"/>
    </row>
    <row r="613" ht="15.75" customHeight="1">
      <c r="A613" s="362"/>
      <c r="B613" s="362"/>
      <c r="C613" s="362"/>
      <c r="D613" s="362"/>
      <c r="E613" s="132"/>
      <c r="F613" s="132"/>
      <c r="G613" s="361"/>
      <c r="H613" s="361"/>
      <c r="I613" s="361"/>
      <c r="J613" s="363"/>
      <c r="K613" s="364"/>
      <c r="L613" s="361"/>
      <c r="M613" s="361"/>
      <c r="N613" s="361"/>
      <c r="O613" s="361"/>
      <c r="P613" s="361"/>
      <c r="Q613" s="361"/>
      <c r="R613" s="361"/>
      <c r="S613" s="361"/>
      <c r="T613" s="361"/>
      <c r="U613" s="361"/>
      <c r="V613" s="361"/>
      <c r="W613" s="361"/>
      <c r="X613" s="361"/>
      <c r="Y613" s="131"/>
      <c r="Z613" s="163"/>
      <c r="AA613" s="131"/>
      <c r="AB613" s="131"/>
      <c r="AC613" s="131"/>
      <c r="AD613" s="131"/>
      <c r="AE613" s="131"/>
      <c r="AF613" s="163"/>
      <c r="AG613" s="163"/>
      <c r="AH613" s="163"/>
      <c r="AI613" s="163"/>
      <c r="AJ613" s="163"/>
      <c r="AK613" s="163"/>
      <c r="AL613" s="163"/>
      <c r="AM613" s="130"/>
      <c r="AN613" s="163"/>
    </row>
    <row r="614" ht="15.75" customHeight="1">
      <c r="A614" s="362"/>
      <c r="B614" s="362"/>
      <c r="C614" s="362"/>
      <c r="D614" s="362"/>
      <c r="E614" s="132"/>
      <c r="F614" s="132"/>
      <c r="G614" s="361"/>
      <c r="H614" s="361"/>
      <c r="I614" s="361"/>
      <c r="J614" s="363"/>
      <c r="K614" s="364"/>
      <c r="L614" s="361"/>
      <c r="M614" s="361"/>
      <c r="N614" s="361"/>
      <c r="O614" s="361"/>
      <c r="P614" s="361"/>
      <c r="Q614" s="361"/>
      <c r="R614" s="361"/>
      <c r="S614" s="361"/>
      <c r="T614" s="361"/>
      <c r="U614" s="361"/>
      <c r="V614" s="361"/>
      <c r="W614" s="361"/>
      <c r="X614" s="361"/>
      <c r="Y614" s="131"/>
      <c r="Z614" s="163"/>
      <c r="AA614" s="131"/>
      <c r="AB614" s="131"/>
      <c r="AC614" s="131"/>
      <c r="AD614" s="131"/>
      <c r="AE614" s="131"/>
      <c r="AF614" s="163"/>
      <c r="AG614" s="163"/>
      <c r="AH614" s="163"/>
      <c r="AI614" s="163"/>
      <c r="AJ614" s="163"/>
      <c r="AK614" s="163"/>
      <c r="AL614" s="163"/>
      <c r="AM614" s="130"/>
      <c r="AN614" s="163"/>
    </row>
    <row r="615" ht="15.75" customHeight="1">
      <c r="A615" s="362"/>
      <c r="B615" s="362"/>
      <c r="C615" s="362"/>
      <c r="D615" s="362"/>
      <c r="E615" s="132"/>
      <c r="F615" s="132"/>
      <c r="G615" s="361"/>
      <c r="H615" s="361"/>
      <c r="I615" s="361"/>
      <c r="J615" s="363"/>
      <c r="K615" s="364"/>
      <c r="L615" s="361"/>
      <c r="M615" s="361"/>
      <c r="N615" s="361"/>
      <c r="O615" s="361"/>
      <c r="P615" s="361"/>
      <c r="Q615" s="361"/>
      <c r="R615" s="361"/>
      <c r="S615" s="361"/>
      <c r="T615" s="361"/>
      <c r="U615" s="361"/>
      <c r="V615" s="361"/>
      <c r="W615" s="361"/>
      <c r="X615" s="361"/>
      <c r="Y615" s="131"/>
      <c r="Z615" s="163"/>
      <c r="AA615" s="131"/>
      <c r="AB615" s="131"/>
      <c r="AC615" s="131"/>
      <c r="AD615" s="131"/>
      <c r="AE615" s="131"/>
      <c r="AF615" s="163"/>
      <c r="AG615" s="163"/>
      <c r="AH615" s="163"/>
      <c r="AI615" s="163"/>
      <c r="AJ615" s="163"/>
      <c r="AK615" s="163"/>
      <c r="AL615" s="163"/>
      <c r="AM615" s="130"/>
      <c r="AN615" s="163"/>
    </row>
    <row r="616" ht="15.75" customHeight="1">
      <c r="A616" s="362"/>
      <c r="B616" s="362"/>
      <c r="C616" s="362"/>
      <c r="D616" s="362"/>
      <c r="E616" s="132"/>
      <c r="F616" s="132"/>
      <c r="G616" s="361"/>
      <c r="H616" s="361"/>
      <c r="I616" s="361"/>
      <c r="J616" s="363"/>
      <c r="K616" s="364"/>
      <c r="L616" s="361"/>
      <c r="M616" s="361"/>
      <c r="N616" s="361"/>
      <c r="O616" s="361"/>
      <c r="P616" s="361"/>
      <c r="Q616" s="361"/>
      <c r="R616" s="361"/>
      <c r="S616" s="361"/>
      <c r="T616" s="361"/>
      <c r="U616" s="361"/>
      <c r="V616" s="361"/>
      <c r="W616" s="361"/>
      <c r="X616" s="361"/>
      <c r="Y616" s="131"/>
      <c r="Z616" s="163"/>
      <c r="AA616" s="131"/>
      <c r="AB616" s="131"/>
      <c r="AC616" s="131"/>
      <c r="AD616" s="131"/>
      <c r="AE616" s="131"/>
      <c r="AF616" s="163"/>
      <c r="AG616" s="163"/>
      <c r="AH616" s="163"/>
      <c r="AI616" s="163"/>
      <c r="AJ616" s="163"/>
      <c r="AK616" s="163"/>
      <c r="AL616" s="163"/>
      <c r="AM616" s="130"/>
      <c r="AN616" s="163"/>
    </row>
    <row r="617" ht="15.75" customHeight="1">
      <c r="A617" s="362"/>
      <c r="B617" s="362"/>
      <c r="C617" s="362"/>
      <c r="D617" s="362"/>
      <c r="E617" s="132"/>
      <c r="F617" s="132"/>
      <c r="G617" s="361"/>
      <c r="H617" s="361"/>
      <c r="I617" s="361"/>
      <c r="J617" s="363"/>
      <c r="K617" s="364"/>
      <c r="L617" s="361"/>
      <c r="M617" s="361"/>
      <c r="N617" s="361"/>
      <c r="O617" s="361"/>
      <c r="P617" s="361"/>
      <c r="Q617" s="361"/>
      <c r="R617" s="361"/>
      <c r="S617" s="361"/>
      <c r="T617" s="361"/>
      <c r="U617" s="361"/>
      <c r="V617" s="361"/>
      <c r="W617" s="361"/>
      <c r="X617" s="361"/>
      <c r="Y617" s="131"/>
      <c r="Z617" s="163"/>
      <c r="AA617" s="131"/>
      <c r="AB617" s="131"/>
      <c r="AC617" s="131"/>
      <c r="AD617" s="131"/>
      <c r="AE617" s="131"/>
      <c r="AF617" s="163"/>
      <c r="AG617" s="163"/>
      <c r="AH617" s="163"/>
      <c r="AI617" s="163"/>
      <c r="AJ617" s="163"/>
      <c r="AK617" s="163"/>
      <c r="AL617" s="163"/>
      <c r="AM617" s="130"/>
      <c r="AN617" s="163"/>
    </row>
    <row r="618" ht="15.75" customHeight="1">
      <c r="A618" s="362"/>
      <c r="B618" s="362"/>
      <c r="C618" s="362"/>
      <c r="D618" s="362"/>
      <c r="E618" s="132"/>
      <c r="F618" s="132"/>
      <c r="G618" s="361"/>
      <c r="H618" s="361"/>
      <c r="I618" s="361"/>
      <c r="J618" s="363"/>
      <c r="K618" s="364"/>
      <c r="L618" s="361"/>
      <c r="M618" s="361"/>
      <c r="N618" s="361"/>
      <c r="O618" s="361"/>
      <c r="P618" s="361"/>
      <c r="Q618" s="361"/>
      <c r="R618" s="361"/>
      <c r="S618" s="361"/>
      <c r="T618" s="361"/>
      <c r="U618" s="361"/>
      <c r="V618" s="361"/>
      <c r="W618" s="361"/>
      <c r="X618" s="361"/>
      <c r="Y618" s="131"/>
      <c r="Z618" s="163"/>
      <c r="AA618" s="131"/>
      <c r="AB618" s="131"/>
      <c r="AC618" s="131"/>
      <c r="AD618" s="131"/>
      <c r="AE618" s="131"/>
      <c r="AF618" s="163"/>
      <c r="AG618" s="163"/>
      <c r="AH618" s="163"/>
      <c r="AI618" s="163"/>
      <c r="AJ618" s="163"/>
      <c r="AK618" s="163"/>
      <c r="AL618" s="163"/>
      <c r="AM618" s="130"/>
      <c r="AN618" s="163"/>
    </row>
    <row r="619" ht="15.75" customHeight="1">
      <c r="A619" s="362"/>
      <c r="B619" s="362"/>
      <c r="C619" s="362"/>
      <c r="D619" s="362"/>
      <c r="E619" s="132"/>
      <c r="F619" s="132"/>
      <c r="G619" s="361"/>
      <c r="H619" s="361"/>
      <c r="I619" s="361"/>
      <c r="J619" s="363"/>
      <c r="K619" s="364"/>
      <c r="L619" s="361"/>
      <c r="M619" s="361"/>
      <c r="N619" s="361"/>
      <c r="O619" s="361"/>
      <c r="P619" s="361"/>
      <c r="Q619" s="361"/>
      <c r="R619" s="361"/>
      <c r="S619" s="361"/>
      <c r="T619" s="361"/>
      <c r="U619" s="361"/>
      <c r="V619" s="361"/>
      <c r="W619" s="361"/>
      <c r="X619" s="361"/>
      <c r="Y619" s="131"/>
      <c r="Z619" s="163"/>
      <c r="AA619" s="131"/>
      <c r="AB619" s="131"/>
      <c r="AC619" s="131"/>
      <c r="AD619" s="131"/>
      <c r="AE619" s="131"/>
      <c r="AF619" s="163"/>
      <c r="AG619" s="163"/>
      <c r="AH619" s="163"/>
      <c r="AI619" s="163"/>
      <c r="AJ619" s="163"/>
      <c r="AK619" s="163"/>
      <c r="AL619" s="163"/>
      <c r="AM619" s="130"/>
      <c r="AN619" s="163"/>
    </row>
    <row r="620" ht="15.75" customHeight="1">
      <c r="A620" s="362"/>
      <c r="B620" s="362"/>
      <c r="C620" s="362"/>
      <c r="D620" s="362"/>
      <c r="E620" s="132"/>
      <c r="F620" s="132"/>
      <c r="G620" s="361"/>
      <c r="H620" s="361"/>
      <c r="I620" s="361"/>
      <c r="J620" s="363"/>
      <c r="K620" s="364"/>
      <c r="L620" s="361"/>
      <c r="M620" s="361"/>
      <c r="N620" s="361"/>
      <c r="O620" s="361"/>
      <c r="P620" s="361"/>
      <c r="Q620" s="361"/>
      <c r="R620" s="361"/>
      <c r="S620" s="361"/>
      <c r="T620" s="361"/>
      <c r="U620" s="361"/>
      <c r="V620" s="361"/>
      <c r="W620" s="361"/>
      <c r="X620" s="361"/>
      <c r="Y620" s="131"/>
      <c r="Z620" s="163"/>
      <c r="AA620" s="131"/>
      <c r="AB620" s="131"/>
      <c r="AC620" s="131"/>
      <c r="AD620" s="131"/>
      <c r="AE620" s="131"/>
      <c r="AF620" s="163"/>
      <c r="AG620" s="163"/>
      <c r="AH620" s="163"/>
      <c r="AI620" s="163"/>
      <c r="AJ620" s="163"/>
      <c r="AK620" s="163"/>
      <c r="AL620" s="163"/>
      <c r="AM620" s="130"/>
      <c r="AN620" s="163"/>
    </row>
    <row r="621" ht="15.75" customHeight="1">
      <c r="A621" s="362"/>
      <c r="B621" s="362"/>
      <c r="C621" s="362"/>
      <c r="D621" s="362"/>
      <c r="E621" s="132"/>
      <c r="F621" s="132"/>
      <c r="G621" s="361"/>
      <c r="H621" s="361"/>
      <c r="I621" s="361"/>
      <c r="J621" s="363"/>
      <c r="K621" s="364"/>
      <c r="L621" s="361"/>
      <c r="M621" s="361"/>
      <c r="N621" s="361"/>
      <c r="O621" s="361"/>
      <c r="P621" s="361"/>
      <c r="Q621" s="361"/>
      <c r="R621" s="361"/>
      <c r="S621" s="361"/>
      <c r="T621" s="361"/>
      <c r="U621" s="361"/>
      <c r="V621" s="361"/>
      <c r="W621" s="361"/>
      <c r="X621" s="361"/>
      <c r="Y621" s="131"/>
      <c r="Z621" s="163"/>
      <c r="AA621" s="131"/>
      <c r="AB621" s="131"/>
      <c r="AC621" s="131"/>
      <c r="AD621" s="131"/>
      <c r="AE621" s="131"/>
      <c r="AF621" s="163"/>
      <c r="AG621" s="163"/>
      <c r="AH621" s="163"/>
      <c r="AI621" s="163"/>
      <c r="AJ621" s="163"/>
      <c r="AK621" s="163"/>
      <c r="AL621" s="163"/>
      <c r="AM621" s="130"/>
      <c r="AN621" s="163"/>
    </row>
    <row r="622" ht="15.75" customHeight="1">
      <c r="A622" s="362"/>
      <c r="B622" s="362"/>
      <c r="C622" s="362"/>
      <c r="D622" s="362"/>
      <c r="E622" s="132"/>
      <c r="F622" s="132"/>
      <c r="G622" s="361"/>
      <c r="H622" s="361"/>
      <c r="I622" s="361"/>
      <c r="J622" s="363"/>
      <c r="K622" s="364"/>
      <c r="L622" s="361"/>
      <c r="M622" s="361"/>
      <c r="N622" s="361"/>
      <c r="O622" s="361"/>
      <c r="P622" s="361"/>
      <c r="Q622" s="361"/>
      <c r="R622" s="361"/>
      <c r="S622" s="361"/>
      <c r="T622" s="361"/>
      <c r="U622" s="361"/>
      <c r="V622" s="361"/>
      <c r="W622" s="361"/>
      <c r="X622" s="361"/>
      <c r="Y622" s="131"/>
      <c r="Z622" s="163"/>
      <c r="AA622" s="131"/>
      <c r="AB622" s="131"/>
      <c r="AC622" s="131"/>
      <c r="AD622" s="131"/>
      <c r="AE622" s="131"/>
      <c r="AF622" s="163"/>
      <c r="AG622" s="163"/>
      <c r="AH622" s="163"/>
      <c r="AI622" s="163"/>
      <c r="AJ622" s="163"/>
      <c r="AK622" s="163"/>
      <c r="AL622" s="163"/>
      <c r="AM622" s="130"/>
      <c r="AN622" s="163"/>
    </row>
    <row r="623" ht="15.75" customHeight="1">
      <c r="A623" s="362"/>
      <c r="B623" s="362"/>
      <c r="C623" s="362"/>
      <c r="D623" s="362"/>
      <c r="E623" s="132"/>
      <c r="F623" s="132"/>
      <c r="G623" s="361"/>
      <c r="H623" s="361"/>
      <c r="I623" s="361"/>
      <c r="J623" s="363"/>
      <c r="K623" s="364"/>
      <c r="L623" s="361"/>
      <c r="M623" s="361"/>
      <c r="N623" s="361"/>
      <c r="O623" s="361"/>
      <c r="P623" s="361"/>
      <c r="Q623" s="361"/>
      <c r="R623" s="361"/>
      <c r="S623" s="361"/>
      <c r="T623" s="361"/>
      <c r="U623" s="361"/>
      <c r="V623" s="361"/>
      <c r="W623" s="361"/>
      <c r="X623" s="361"/>
      <c r="Y623" s="131"/>
      <c r="Z623" s="163"/>
      <c r="AA623" s="131"/>
      <c r="AB623" s="131"/>
      <c r="AC623" s="131"/>
      <c r="AD623" s="131"/>
      <c r="AE623" s="131"/>
      <c r="AF623" s="163"/>
      <c r="AG623" s="163"/>
      <c r="AH623" s="163"/>
      <c r="AI623" s="163"/>
      <c r="AJ623" s="163"/>
      <c r="AK623" s="163"/>
      <c r="AL623" s="163"/>
      <c r="AM623" s="130"/>
      <c r="AN623" s="163"/>
    </row>
    <row r="624" ht="15.75" customHeight="1">
      <c r="A624" s="362"/>
      <c r="B624" s="362"/>
      <c r="C624" s="362"/>
      <c r="D624" s="362"/>
      <c r="E624" s="132"/>
      <c r="F624" s="132"/>
      <c r="G624" s="361"/>
      <c r="H624" s="361"/>
      <c r="I624" s="361"/>
      <c r="J624" s="363"/>
      <c r="K624" s="364"/>
      <c r="L624" s="361"/>
      <c r="M624" s="361"/>
      <c r="N624" s="361"/>
      <c r="O624" s="361"/>
      <c r="P624" s="361"/>
      <c r="Q624" s="361"/>
      <c r="R624" s="361"/>
      <c r="S624" s="361"/>
      <c r="T624" s="361"/>
      <c r="U624" s="361"/>
      <c r="V624" s="361"/>
      <c r="W624" s="361"/>
      <c r="X624" s="361"/>
      <c r="Y624" s="131"/>
      <c r="Z624" s="163"/>
      <c r="AA624" s="131"/>
      <c r="AB624" s="131"/>
      <c r="AC624" s="131"/>
      <c r="AD624" s="131"/>
      <c r="AE624" s="131"/>
      <c r="AF624" s="163"/>
      <c r="AG624" s="163"/>
      <c r="AH624" s="163"/>
      <c r="AI624" s="163"/>
      <c r="AJ624" s="163"/>
      <c r="AK624" s="163"/>
      <c r="AL624" s="163"/>
      <c r="AM624" s="130"/>
      <c r="AN624" s="163"/>
    </row>
    <row r="625" ht="15.75" customHeight="1">
      <c r="A625" s="362"/>
      <c r="B625" s="362"/>
      <c r="C625" s="362"/>
      <c r="D625" s="362"/>
      <c r="E625" s="132"/>
      <c r="F625" s="132"/>
      <c r="G625" s="361"/>
      <c r="H625" s="361"/>
      <c r="I625" s="361"/>
      <c r="J625" s="363"/>
      <c r="K625" s="364"/>
      <c r="L625" s="361"/>
      <c r="M625" s="361"/>
      <c r="N625" s="361"/>
      <c r="O625" s="361"/>
      <c r="P625" s="361"/>
      <c r="Q625" s="361"/>
      <c r="R625" s="361"/>
      <c r="S625" s="361"/>
      <c r="T625" s="361"/>
      <c r="U625" s="361"/>
      <c r="V625" s="361"/>
      <c r="W625" s="361"/>
      <c r="X625" s="361"/>
      <c r="Y625" s="131"/>
      <c r="Z625" s="163"/>
      <c r="AA625" s="131"/>
      <c r="AB625" s="131"/>
      <c r="AC625" s="131"/>
      <c r="AD625" s="131"/>
      <c r="AE625" s="131"/>
      <c r="AF625" s="163"/>
      <c r="AG625" s="163"/>
      <c r="AH625" s="163"/>
      <c r="AI625" s="163"/>
      <c r="AJ625" s="163"/>
      <c r="AK625" s="163"/>
      <c r="AL625" s="163"/>
      <c r="AM625" s="130"/>
      <c r="AN625" s="163"/>
    </row>
    <row r="626" ht="15.75" customHeight="1">
      <c r="A626" s="362"/>
      <c r="B626" s="362"/>
      <c r="C626" s="362"/>
      <c r="D626" s="362"/>
      <c r="E626" s="132"/>
      <c r="F626" s="132"/>
      <c r="G626" s="361"/>
      <c r="H626" s="361"/>
      <c r="I626" s="361"/>
      <c r="J626" s="363"/>
      <c r="K626" s="364"/>
      <c r="L626" s="361"/>
      <c r="M626" s="361"/>
      <c r="N626" s="361"/>
      <c r="O626" s="361"/>
      <c r="P626" s="361"/>
      <c r="Q626" s="361"/>
      <c r="R626" s="361"/>
      <c r="S626" s="361"/>
      <c r="T626" s="361"/>
      <c r="U626" s="361"/>
      <c r="V626" s="361"/>
      <c r="W626" s="361"/>
      <c r="X626" s="361"/>
      <c r="Y626" s="131"/>
      <c r="Z626" s="163"/>
      <c r="AA626" s="131"/>
      <c r="AB626" s="131"/>
      <c r="AC626" s="131"/>
      <c r="AD626" s="131"/>
      <c r="AE626" s="131"/>
      <c r="AF626" s="163"/>
      <c r="AG626" s="163"/>
      <c r="AH626" s="163"/>
      <c r="AI626" s="163"/>
      <c r="AJ626" s="163"/>
      <c r="AK626" s="163"/>
      <c r="AL626" s="163"/>
      <c r="AM626" s="130"/>
      <c r="AN626" s="163"/>
    </row>
    <row r="627" ht="15.75" customHeight="1">
      <c r="A627" s="362"/>
      <c r="B627" s="362"/>
      <c r="C627" s="362"/>
      <c r="D627" s="362"/>
      <c r="E627" s="132"/>
      <c r="F627" s="132"/>
      <c r="G627" s="361"/>
      <c r="H627" s="361"/>
      <c r="I627" s="361"/>
      <c r="J627" s="363"/>
      <c r="K627" s="364"/>
      <c r="L627" s="361"/>
      <c r="M627" s="361"/>
      <c r="N627" s="361"/>
      <c r="O627" s="361"/>
      <c r="P627" s="361"/>
      <c r="Q627" s="361"/>
      <c r="R627" s="361"/>
      <c r="S627" s="361"/>
      <c r="T627" s="361"/>
      <c r="U627" s="361"/>
      <c r="V627" s="361"/>
      <c r="W627" s="361"/>
      <c r="X627" s="361"/>
      <c r="Y627" s="131"/>
      <c r="Z627" s="163"/>
      <c r="AA627" s="131"/>
      <c r="AB627" s="131"/>
      <c r="AC627" s="131"/>
      <c r="AD627" s="131"/>
      <c r="AE627" s="131"/>
      <c r="AF627" s="163"/>
      <c r="AG627" s="163"/>
      <c r="AH627" s="163"/>
      <c r="AI627" s="163"/>
      <c r="AJ627" s="163"/>
      <c r="AK627" s="163"/>
      <c r="AL627" s="163"/>
      <c r="AM627" s="130"/>
      <c r="AN627" s="163"/>
    </row>
    <row r="628" ht="15.75" customHeight="1">
      <c r="A628" s="362"/>
      <c r="B628" s="362"/>
      <c r="C628" s="362"/>
      <c r="D628" s="362"/>
      <c r="E628" s="132"/>
      <c r="F628" s="132"/>
      <c r="G628" s="361"/>
      <c r="H628" s="361"/>
      <c r="I628" s="361"/>
      <c r="J628" s="363"/>
      <c r="K628" s="364"/>
      <c r="L628" s="361"/>
      <c r="M628" s="361"/>
      <c r="N628" s="361"/>
      <c r="O628" s="361"/>
      <c r="P628" s="361"/>
      <c r="Q628" s="361"/>
      <c r="R628" s="361"/>
      <c r="S628" s="361"/>
      <c r="T628" s="361"/>
      <c r="U628" s="361"/>
      <c r="V628" s="361"/>
      <c r="W628" s="361"/>
      <c r="X628" s="361"/>
      <c r="Y628" s="131"/>
      <c r="Z628" s="163"/>
      <c r="AA628" s="131"/>
      <c r="AB628" s="131"/>
      <c r="AC628" s="131"/>
      <c r="AD628" s="131"/>
      <c r="AE628" s="131"/>
      <c r="AF628" s="163"/>
      <c r="AG628" s="163"/>
      <c r="AH628" s="163"/>
      <c r="AI628" s="163"/>
      <c r="AJ628" s="163"/>
      <c r="AK628" s="163"/>
      <c r="AL628" s="163"/>
      <c r="AM628" s="130"/>
      <c r="AN628" s="163"/>
    </row>
    <row r="629" ht="15.75" customHeight="1">
      <c r="A629" s="362"/>
      <c r="B629" s="362"/>
      <c r="C629" s="362"/>
      <c r="D629" s="362"/>
      <c r="E629" s="132"/>
      <c r="F629" s="132"/>
      <c r="G629" s="361"/>
      <c r="H629" s="361"/>
      <c r="I629" s="361"/>
      <c r="J629" s="363"/>
      <c r="K629" s="364"/>
      <c r="L629" s="361"/>
      <c r="M629" s="361"/>
      <c r="N629" s="361"/>
      <c r="O629" s="361"/>
      <c r="P629" s="361"/>
      <c r="Q629" s="361"/>
      <c r="R629" s="361"/>
      <c r="S629" s="361"/>
      <c r="T629" s="361"/>
      <c r="U629" s="361"/>
      <c r="V629" s="361"/>
      <c r="W629" s="361"/>
      <c r="X629" s="361"/>
      <c r="Y629" s="131"/>
      <c r="Z629" s="163"/>
      <c r="AA629" s="131"/>
      <c r="AB629" s="131"/>
      <c r="AC629" s="131"/>
      <c r="AD629" s="131"/>
      <c r="AE629" s="131"/>
      <c r="AF629" s="163"/>
      <c r="AG629" s="163"/>
      <c r="AH629" s="163"/>
      <c r="AI629" s="163"/>
      <c r="AJ629" s="163"/>
      <c r="AK629" s="163"/>
      <c r="AL629" s="163"/>
      <c r="AM629" s="130"/>
      <c r="AN629" s="163"/>
    </row>
    <row r="630" ht="15.75" customHeight="1">
      <c r="A630" s="362"/>
      <c r="B630" s="362"/>
      <c r="C630" s="362"/>
      <c r="D630" s="362"/>
      <c r="E630" s="132"/>
      <c r="F630" s="132"/>
      <c r="G630" s="361"/>
      <c r="H630" s="361"/>
      <c r="I630" s="361"/>
      <c r="J630" s="363"/>
      <c r="K630" s="364"/>
      <c r="L630" s="361"/>
      <c r="M630" s="361"/>
      <c r="N630" s="361"/>
      <c r="O630" s="361"/>
      <c r="P630" s="361"/>
      <c r="Q630" s="361"/>
      <c r="R630" s="361"/>
      <c r="S630" s="361"/>
      <c r="T630" s="361"/>
      <c r="U630" s="361"/>
      <c r="V630" s="361"/>
      <c r="W630" s="361"/>
      <c r="X630" s="361"/>
      <c r="Y630" s="131"/>
      <c r="Z630" s="163"/>
      <c r="AA630" s="131"/>
      <c r="AB630" s="131"/>
      <c r="AC630" s="131"/>
      <c r="AD630" s="131"/>
      <c r="AE630" s="131"/>
      <c r="AF630" s="163"/>
      <c r="AG630" s="163"/>
      <c r="AH630" s="163"/>
      <c r="AI630" s="163"/>
      <c r="AJ630" s="163"/>
      <c r="AK630" s="163"/>
      <c r="AL630" s="163"/>
      <c r="AM630" s="130"/>
      <c r="AN630" s="163"/>
    </row>
    <row r="631" ht="15.75" customHeight="1">
      <c r="A631" s="362"/>
      <c r="B631" s="362"/>
      <c r="C631" s="362"/>
      <c r="D631" s="362"/>
      <c r="E631" s="132"/>
      <c r="F631" s="132"/>
      <c r="G631" s="361"/>
      <c r="H631" s="361"/>
      <c r="I631" s="361"/>
      <c r="J631" s="363"/>
      <c r="K631" s="364"/>
      <c r="L631" s="361"/>
      <c r="M631" s="361"/>
      <c r="N631" s="361"/>
      <c r="O631" s="361"/>
      <c r="P631" s="361"/>
      <c r="Q631" s="361"/>
      <c r="R631" s="361"/>
      <c r="S631" s="361"/>
      <c r="T631" s="361"/>
      <c r="U631" s="361"/>
      <c r="V631" s="361"/>
      <c r="W631" s="361"/>
      <c r="X631" s="361"/>
      <c r="Y631" s="131"/>
      <c r="Z631" s="163"/>
      <c r="AA631" s="131"/>
      <c r="AB631" s="131"/>
      <c r="AC631" s="131"/>
      <c r="AD631" s="131"/>
      <c r="AE631" s="131"/>
      <c r="AF631" s="163"/>
      <c r="AG631" s="163"/>
      <c r="AH631" s="163"/>
      <c r="AI631" s="163"/>
      <c r="AJ631" s="163"/>
      <c r="AK631" s="163"/>
      <c r="AL631" s="163"/>
      <c r="AM631" s="130"/>
      <c r="AN631" s="163"/>
    </row>
    <row r="632" ht="15.75" customHeight="1">
      <c r="A632" s="362"/>
      <c r="B632" s="362"/>
      <c r="C632" s="362"/>
      <c r="D632" s="362"/>
      <c r="E632" s="132"/>
      <c r="F632" s="132"/>
      <c r="G632" s="361"/>
      <c r="H632" s="361"/>
      <c r="I632" s="361"/>
      <c r="J632" s="363"/>
      <c r="K632" s="364"/>
      <c r="L632" s="361"/>
      <c r="M632" s="361"/>
      <c r="N632" s="361"/>
      <c r="O632" s="361"/>
      <c r="P632" s="361"/>
      <c r="Q632" s="361"/>
      <c r="R632" s="361"/>
      <c r="S632" s="361"/>
      <c r="T632" s="361"/>
      <c r="U632" s="361"/>
      <c r="V632" s="361"/>
      <c r="W632" s="361"/>
      <c r="X632" s="361"/>
      <c r="Y632" s="131"/>
      <c r="Z632" s="163"/>
      <c r="AA632" s="131"/>
      <c r="AB632" s="131"/>
      <c r="AC632" s="131"/>
      <c r="AD632" s="131"/>
      <c r="AE632" s="131"/>
      <c r="AF632" s="163"/>
      <c r="AG632" s="163"/>
      <c r="AH632" s="163"/>
      <c r="AI632" s="163"/>
      <c r="AJ632" s="163"/>
      <c r="AK632" s="163"/>
      <c r="AL632" s="163"/>
      <c r="AM632" s="130"/>
      <c r="AN632" s="163"/>
    </row>
    <row r="633" ht="15.75" customHeight="1">
      <c r="A633" s="362"/>
      <c r="B633" s="362"/>
      <c r="C633" s="362"/>
      <c r="D633" s="362"/>
      <c r="E633" s="132"/>
      <c r="F633" s="132"/>
      <c r="G633" s="361"/>
      <c r="H633" s="361"/>
      <c r="I633" s="361"/>
      <c r="J633" s="363"/>
      <c r="K633" s="364"/>
      <c r="L633" s="361"/>
      <c r="M633" s="361"/>
      <c r="N633" s="361"/>
      <c r="O633" s="361"/>
      <c r="P633" s="361"/>
      <c r="Q633" s="361"/>
      <c r="R633" s="361"/>
      <c r="S633" s="361"/>
      <c r="T633" s="361"/>
      <c r="U633" s="361"/>
      <c r="V633" s="361"/>
      <c r="W633" s="361"/>
      <c r="X633" s="361"/>
      <c r="Y633" s="131"/>
      <c r="Z633" s="163"/>
      <c r="AA633" s="131"/>
      <c r="AB633" s="131"/>
      <c r="AC633" s="131"/>
      <c r="AD633" s="131"/>
      <c r="AE633" s="131"/>
      <c r="AF633" s="163"/>
      <c r="AG633" s="163"/>
      <c r="AH633" s="163"/>
      <c r="AI633" s="163"/>
      <c r="AJ633" s="163"/>
      <c r="AK633" s="163"/>
      <c r="AL633" s="163"/>
      <c r="AM633" s="130"/>
      <c r="AN633" s="163"/>
    </row>
    <row r="634" ht="15.75" customHeight="1">
      <c r="A634" s="362"/>
      <c r="B634" s="362"/>
      <c r="C634" s="362"/>
      <c r="D634" s="362"/>
      <c r="E634" s="132"/>
      <c r="F634" s="132"/>
      <c r="G634" s="361"/>
      <c r="H634" s="361"/>
      <c r="I634" s="361"/>
      <c r="J634" s="363"/>
      <c r="K634" s="364"/>
      <c r="L634" s="361"/>
      <c r="M634" s="361"/>
      <c r="N634" s="361"/>
      <c r="O634" s="361"/>
      <c r="P634" s="361"/>
      <c r="Q634" s="361"/>
      <c r="R634" s="361"/>
      <c r="S634" s="361"/>
      <c r="T634" s="361"/>
      <c r="U634" s="361"/>
      <c r="V634" s="361"/>
      <c r="W634" s="361"/>
      <c r="X634" s="361"/>
      <c r="Y634" s="131"/>
      <c r="Z634" s="163"/>
      <c r="AA634" s="131"/>
      <c r="AB634" s="131"/>
      <c r="AC634" s="131"/>
      <c r="AD634" s="131"/>
      <c r="AE634" s="131"/>
      <c r="AF634" s="163"/>
      <c r="AG634" s="163"/>
      <c r="AH634" s="163"/>
      <c r="AI634" s="163"/>
      <c r="AJ634" s="163"/>
      <c r="AK634" s="163"/>
      <c r="AL634" s="163"/>
      <c r="AM634" s="130"/>
      <c r="AN634" s="163"/>
    </row>
    <row r="635" ht="15.75" customHeight="1">
      <c r="A635" s="362"/>
      <c r="B635" s="362"/>
      <c r="C635" s="362"/>
      <c r="D635" s="362"/>
      <c r="E635" s="132"/>
      <c r="F635" s="132"/>
      <c r="G635" s="361"/>
      <c r="H635" s="361"/>
      <c r="I635" s="361"/>
      <c r="J635" s="363"/>
      <c r="K635" s="364"/>
      <c r="L635" s="361"/>
      <c r="M635" s="361"/>
      <c r="N635" s="361"/>
      <c r="O635" s="361"/>
      <c r="P635" s="361"/>
      <c r="Q635" s="361"/>
      <c r="R635" s="361"/>
      <c r="S635" s="361"/>
      <c r="T635" s="361"/>
      <c r="U635" s="361"/>
      <c r="V635" s="361"/>
      <c r="W635" s="361"/>
      <c r="X635" s="361"/>
      <c r="Y635" s="131"/>
      <c r="Z635" s="163"/>
      <c r="AA635" s="131"/>
      <c r="AB635" s="131"/>
      <c r="AC635" s="131"/>
      <c r="AD635" s="131"/>
      <c r="AE635" s="131"/>
      <c r="AF635" s="163"/>
      <c r="AG635" s="163"/>
      <c r="AH635" s="163"/>
      <c r="AI635" s="163"/>
      <c r="AJ635" s="163"/>
      <c r="AK635" s="163"/>
      <c r="AL635" s="163"/>
      <c r="AM635" s="130"/>
      <c r="AN635" s="163"/>
    </row>
    <row r="636" ht="15.75" customHeight="1">
      <c r="A636" s="362"/>
      <c r="B636" s="362"/>
      <c r="C636" s="362"/>
      <c r="D636" s="362"/>
      <c r="E636" s="132"/>
      <c r="F636" s="132"/>
      <c r="G636" s="361"/>
      <c r="H636" s="361"/>
      <c r="I636" s="361"/>
      <c r="J636" s="363"/>
      <c r="K636" s="364"/>
      <c r="L636" s="361"/>
      <c r="M636" s="361"/>
      <c r="N636" s="361"/>
      <c r="O636" s="361"/>
      <c r="P636" s="361"/>
      <c r="Q636" s="361"/>
      <c r="R636" s="361"/>
      <c r="S636" s="361"/>
      <c r="T636" s="361"/>
      <c r="U636" s="361"/>
      <c r="V636" s="361"/>
      <c r="W636" s="361"/>
      <c r="X636" s="361"/>
      <c r="Y636" s="131"/>
      <c r="Z636" s="163"/>
      <c r="AA636" s="131"/>
      <c r="AB636" s="131"/>
      <c r="AC636" s="131"/>
      <c r="AD636" s="131"/>
      <c r="AE636" s="131"/>
      <c r="AF636" s="163"/>
      <c r="AG636" s="163"/>
      <c r="AH636" s="163"/>
      <c r="AI636" s="163"/>
      <c r="AJ636" s="163"/>
      <c r="AK636" s="163"/>
      <c r="AL636" s="163"/>
      <c r="AM636" s="130"/>
      <c r="AN636" s="163"/>
    </row>
    <row r="637" ht="15.75" customHeight="1">
      <c r="A637" s="362"/>
      <c r="B637" s="362"/>
      <c r="C637" s="362"/>
      <c r="D637" s="362"/>
      <c r="E637" s="132"/>
      <c r="F637" s="132"/>
      <c r="G637" s="361"/>
      <c r="H637" s="361"/>
      <c r="I637" s="361"/>
      <c r="J637" s="363"/>
      <c r="K637" s="364"/>
      <c r="L637" s="361"/>
      <c r="M637" s="361"/>
      <c r="N637" s="361"/>
      <c r="O637" s="361"/>
      <c r="P637" s="361"/>
      <c r="Q637" s="361"/>
      <c r="R637" s="361"/>
      <c r="S637" s="361"/>
      <c r="T637" s="361"/>
      <c r="U637" s="361"/>
      <c r="V637" s="361"/>
      <c r="W637" s="361"/>
      <c r="X637" s="361"/>
      <c r="Y637" s="131"/>
      <c r="Z637" s="163"/>
      <c r="AA637" s="131"/>
      <c r="AB637" s="131"/>
      <c r="AC637" s="131"/>
      <c r="AD637" s="131"/>
      <c r="AE637" s="131"/>
      <c r="AF637" s="163"/>
      <c r="AG637" s="163"/>
      <c r="AH637" s="163"/>
      <c r="AI637" s="163"/>
      <c r="AJ637" s="163"/>
      <c r="AK637" s="163"/>
      <c r="AL637" s="163"/>
      <c r="AM637" s="130"/>
      <c r="AN637" s="163"/>
    </row>
    <row r="638" ht="15.75" customHeight="1">
      <c r="A638" s="362"/>
      <c r="B638" s="362"/>
      <c r="C638" s="362"/>
      <c r="D638" s="362"/>
      <c r="E638" s="132"/>
      <c r="F638" s="132"/>
      <c r="G638" s="361"/>
      <c r="H638" s="361"/>
      <c r="I638" s="361"/>
      <c r="J638" s="363"/>
      <c r="K638" s="364"/>
      <c r="L638" s="361"/>
      <c r="M638" s="361"/>
      <c r="N638" s="361"/>
      <c r="O638" s="361"/>
      <c r="P638" s="361"/>
      <c r="Q638" s="361"/>
      <c r="R638" s="361"/>
      <c r="S638" s="361"/>
      <c r="T638" s="361"/>
      <c r="U638" s="361"/>
      <c r="V638" s="361"/>
      <c r="W638" s="361"/>
      <c r="X638" s="361"/>
      <c r="Y638" s="131"/>
      <c r="Z638" s="163"/>
      <c r="AA638" s="131"/>
      <c r="AB638" s="131"/>
      <c r="AC638" s="131"/>
      <c r="AD638" s="131"/>
      <c r="AE638" s="131"/>
      <c r="AF638" s="163"/>
      <c r="AG638" s="163"/>
      <c r="AH638" s="163"/>
      <c r="AI638" s="163"/>
      <c r="AJ638" s="163"/>
      <c r="AK638" s="163"/>
      <c r="AL638" s="163"/>
      <c r="AM638" s="130"/>
      <c r="AN638" s="163"/>
    </row>
    <row r="639" ht="15.75" customHeight="1">
      <c r="A639" s="362"/>
      <c r="B639" s="362"/>
      <c r="C639" s="362"/>
      <c r="D639" s="362"/>
      <c r="E639" s="132"/>
      <c r="F639" s="132"/>
      <c r="G639" s="361"/>
      <c r="H639" s="361"/>
      <c r="I639" s="361"/>
      <c r="J639" s="363"/>
      <c r="K639" s="364"/>
      <c r="L639" s="361"/>
      <c r="M639" s="361"/>
      <c r="N639" s="361"/>
      <c r="O639" s="361"/>
      <c r="P639" s="361"/>
      <c r="Q639" s="361"/>
      <c r="R639" s="361"/>
      <c r="S639" s="361"/>
      <c r="T639" s="361"/>
      <c r="U639" s="361"/>
      <c r="V639" s="361"/>
      <c r="W639" s="361"/>
      <c r="X639" s="361"/>
      <c r="Y639" s="131"/>
      <c r="Z639" s="163"/>
      <c r="AA639" s="131"/>
      <c r="AB639" s="131"/>
      <c r="AC639" s="131"/>
      <c r="AD639" s="131"/>
      <c r="AE639" s="131"/>
      <c r="AF639" s="163"/>
      <c r="AG639" s="163"/>
      <c r="AH639" s="163"/>
      <c r="AI639" s="163"/>
      <c r="AJ639" s="163"/>
      <c r="AK639" s="163"/>
      <c r="AL639" s="163"/>
      <c r="AM639" s="130"/>
      <c r="AN639" s="163"/>
    </row>
    <row r="640" ht="15.75" customHeight="1">
      <c r="A640" s="362"/>
      <c r="B640" s="362"/>
      <c r="C640" s="362"/>
      <c r="D640" s="362"/>
      <c r="E640" s="132"/>
      <c r="F640" s="132"/>
      <c r="G640" s="361"/>
      <c r="H640" s="361"/>
      <c r="I640" s="361"/>
      <c r="J640" s="363"/>
      <c r="K640" s="364"/>
      <c r="L640" s="361"/>
      <c r="M640" s="361"/>
      <c r="N640" s="361"/>
      <c r="O640" s="361"/>
      <c r="P640" s="361"/>
      <c r="Q640" s="361"/>
      <c r="R640" s="361"/>
      <c r="S640" s="361"/>
      <c r="T640" s="361"/>
      <c r="U640" s="361"/>
      <c r="V640" s="361"/>
      <c r="W640" s="361"/>
      <c r="X640" s="361"/>
      <c r="Y640" s="131"/>
      <c r="Z640" s="163"/>
      <c r="AA640" s="131"/>
      <c r="AB640" s="131"/>
      <c r="AC640" s="131"/>
      <c r="AD640" s="131"/>
      <c r="AE640" s="131"/>
      <c r="AF640" s="163"/>
      <c r="AG640" s="163"/>
      <c r="AH640" s="163"/>
      <c r="AI640" s="163"/>
      <c r="AJ640" s="163"/>
      <c r="AK640" s="163"/>
      <c r="AL640" s="163"/>
      <c r="AM640" s="130"/>
      <c r="AN640" s="163"/>
    </row>
    <row r="641" ht="15.75" customHeight="1">
      <c r="A641" s="362"/>
      <c r="B641" s="362"/>
      <c r="C641" s="362"/>
      <c r="D641" s="362"/>
      <c r="E641" s="132"/>
      <c r="F641" s="132"/>
      <c r="G641" s="361"/>
      <c r="H641" s="361"/>
      <c r="I641" s="361"/>
      <c r="J641" s="363"/>
      <c r="K641" s="364"/>
      <c r="L641" s="361"/>
      <c r="M641" s="361"/>
      <c r="N641" s="361"/>
      <c r="O641" s="361"/>
      <c r="P641" s="361"/>
      <c r="Q641" s="361"/>
      <c r="R641" s="361"/>
      <c r="S641" s="361"/>
      <c r="T641" s="361"/>
      <c r="U641" s="361"/>
      <c r="V641" s="361"/>
      <c r="W641" s="361"/>
      <c r="X641" s="361"/>
      <c r="Y641" s="131"/>
      <c r="Z641" s="163"/>
      <c r="AA641" s="131"/>
      <c r="AB641" s="131"/>
      <c r="AC641" s="131"/>
      <c r="AD641" s="131"/>
      <c r="AE641" s="131"/>
      <c r="AF641" s="163"/>
      <c r="AG641" s="163"/>
      <c r="AH641" s="163"/>
      <c r="AI641" s="163"/>
      <c r="AJ641" s="163"/>
      <c r="AK641" s="163"/>
      <c r="AL641" s="163"/>
      <c r="AM641" s="130"/>
      <c r="AN641" s="163"/>
    </row>
    <row r="642" ht="15.75" customHeight="1">
      <c r="A642" s="362"/>
      <c r="B642" s="362"/>
      <c r="C642" s="362"/>
      <c r="D642" s="362"/>
      <c r="E642" s="132"/>
      <c r="F642" s="132"/>
      <c r="G642" s="361"/>
      <c r="H642" s="361"/>
      <c r="I642" s="361"/>
      <c r="J642" s="363"/>
      <c r="K642" s="364"/>
      <c r="L642" s="361"/>
      <c r="M642" s="361"/>
      <c r="N642" s="361"/>
      <c r="O642" s="361"/>
      <c r="P642" s="361"/>
      <c r="Q642" s="361"/>
      <c r="R642" s="361"/>
      <c r="S642" s="361"/>
      <c r="T642" s="361"/>
      <c r="U642" s="361"/>
      <c r="V642" s="361"/>
      <c r="W642" s="361"/>
      <c r="X642" s="361"/>
      <c r="Y642" s="131"/>
      <c r="Z642" s="163"/>
      <c r="AA642" s="131"/>
      <c r="AB642" s="131"/>
      <c r="AC642" s="131"/>
      <c r="AD642" s="131"/>
      <c r="AE642" s="131"/>
      <c r="AF642" s="163"/>
      <c r="AG642" s="163"/>
      <c r="AH642" s="163"/>
      <c r="AI642" s="163"/>
      <c r="AJ642" s="163"/>
      <c r="AK642" s="163"/>
      <c r="AL642" s="163"/>
      <c r="AM642" s="130"/>
      <c r="AN642" s="163"/>
    </row>
    <row r="643" ht="15.75" customHeight="1">
      <c r="A643" s="362"/>
      <c r="B643" s="362"/>
      <c r="C643" s="362"/>
      <c r="D643" s="362"/>
      <c r="E643" s="132"/>
      <c r="F643" s="132"/>
      <c r="G643" s="361"/>
      <c r="H643" s="361"/>
      <c r="I643" s="361"/>
      <c r="J643" s="363"/>
      <c r="K643" s="364"/>
      <c r="L643" s="361"/>
      <c r="M643" s="361"/>
      <c r="N643" s="361"/>
      <c r="O643" s="361"/>
      <c r="P643" s="361"/>
      <c r="Q643" s="361"/>
      <c r="R643" s="361"/>
      <c r="S643" s="361"/>
      <c r="T643" s="361"/>
      <c r="U643" s="361"/>
      <c r="V643" s="361"/>
      <c r="W643" s="361"/>
      <c r="X643" s="361"/>
      <c r="Y643" s="131"/>
      <c r="Z643" s="163"/>
      <c r="AA643" s="131"/>
      <c r="AB643" s="131"/>
      <c r="AC643" s="131"/>
      <c r="AD643" s="131"/>
      <c r="AE643" s="131"/>
      <c r="AF643" s="163"/>
      <c r="AG643" s="163"/>
      <c r="AH643" s="163"/>
      <c r="AI643" s="163"/>
      <c r="AJ643" s="163"/>
      <c r="AK643" s="163"/>
      <c r="AL643" s="163"/>
      <c r="AM643" s="130"/>
      <c r="AN643" s="163"/>
    </row>
    <row r="644" ht="15.75" customHeight="1">
      <c r="A644" s="362"/>
      <c r="B644" s="362"/>
      <c r="C644" s="362"/>
      <c r="D644" s="362"/>
      <c r="E644" s="132"/>
      <c r="F644" s="132"/>
      <c r="G644" s="361"/>
      <c r="H644" s="361"/>
      <c r="I644" s="361"/>
      <c r="J644" s="363"/>
      <c r="K644" s="364"/>
      <c r="L644" s="361"/>
      <c r="M644" s="361"/>
      <c r="N644" s="361"/>
      <c r="O644" s="361"/>
      <c r="P644" s="361"/>
      <c r="Q644" s="361"/>
      <c r="R644" s="361"/>
      <c r="S644" s="361"/>
      <c r="T644" s="361"/>
      <c r="U644" s="361"/>
      <c r="V644" s="361"/>
      <c r="W644" s="361"/>
      <c r="X644" s="361"/>
      <c r="Y644" s="131"/>
      <c r="Z644" s="163"/>
      <c r="AA644" s="131"/>
      <c r="AB644" s="131"/>
      <c r="AC644" s="131"/>
      <c r="AD644" s="131"/>
      <c r="AE644" s="131"/>
      <c r="AF644" s="163"/>
      <c r="AG644" s="163"/>
      <c r="AH644" s="163"/>
      <c r="AI644" s="163"/>
      <c r="AJ644" s="163"/>
      <c r="AK644" s="163"/>
      <c r="AL644" s="163"/>
      <c r="AM644" s="130"/>
      <c r="AN644" s="163"/>
    </row>
    <row r="645" ht="15.75" customHeight="1">
      <c r="A645" s="362"/>
      <c r="B645" s="362"/>
      <c r="C645" s="362"/>
      <c r="D645" s="362"/>
      <c r="E645" s="132"/>
      <c r="F645" s="132"/>
      <c r="G645" s="361"/>
      <c r="H645" s="361"/>
      <c r="I645" s="361"/>
      <c r="J645" s="363"/>
      <c r="K645" s="364"/>
      <c r="L645" s="361"/>
      <c r="M645" s="361"/>
      <c r="N645" s="361"/>
      <c r="O645" s="361"/>
      <c r="P645" s="361"/>
      <c r="Q645" s="361"/>
      <c r="R645" s="361"/>
      <c r="S645" s="361"/>
      <c r="T645" s="361"/>
      <c r="U645" s="361"/>
      <c r="V645" s="361"/>
      <c r="W645" s="361"/>
      <c r="X645" s="361"/>
      <c r="Y645" s="131"/>
      <c r="Z645" s="163"/>
      <c r="AA645" s="131"/>
      <c r="AB645" s="131"/>
      <c r="AC645" s="131"/>
      <c r="AD645" s="131"/>
      <c r="AE645" s="131"/>
      <c r="AF645" s="163"/>
      <c r="AG645" s="163"/>
      <c r="AH645" s="163"/>
      <c r="AI645" s="163"/>
      <c r="AJ645" s="163"/>
      <c r="AK645" s="163"/>
      <c r="AL645" s="163"/>
      <c r="AM645" s="130"/>
      <c r="AN645" s="163"/>
    </row>
    <row r="646" ht="15.75" customHeight="1">
      <c r="A646" s="362"/>
      <c r="B646" s="362"/>
      <c r="C646" s="362"/>
      <c r="D646" s="362"/>
      <c r="E646" s="132"/>
      <c r="F646" s="132"/>
      <c r="G646" s="361"/>
      <c r="H646" s="361"/>
      <c r="I646" s="361"/>
      <c r="J646" s="363"/>
      <c r="K646" s="364"/>
      <c r="L646" s="361"/>
      <c r="M646" s="361"/>
      <c r="N646" s="361"/>
      <c r="O646" s="361"/>
      <c r="P646" s="361"/>
      <c r="Q646" s="361"/>
      <c r="R646" s="361"/>
      <c r="S646" s="361"/>
      <c r="T646" s="361"/>
      <c r="U646" s="361"/>
      <c r="V646" s="361"/>
      <c r="W646" s="361"/>
      <c r="X646" s="361"/>
      <c r="Y646" s="131"/>
      <c r="Z646" s="163"/>
      <c r="AA646" s="131"/>
      <c r="AB646" s="131"/>
      <c r="AC646" s="131"/>
      <c r="AD646" s="131"/>
      <c r="AE646" s="131"/>
      <c r="AF646" s="163"/>
      <c r="AG646" s="163"/>
      <c r="AH646" s="163"/>
      <c r="AI646" s="163"/>
      <c r="AJ646" s="163"/>
      <c r="AK646" s="163"/>
      <c r="AL646" s="163"/>
      <c r="AM646" s="130"/>
      <c r="AN646" s="163"/>
    </row>
    <row r="647" ht="15.75" customHeight="1">
      <c r="A647" s="362"/>
      <c r="B647" s="362"/>
      <c r="C647" s="362"/>
      <c r="D647" s="362"/>
      <c r="E647" s="132"/>
      <c r="F647" s="132"/>
      <c r="G647" s="361"/>
      <c r="H647" s="361"/>
      <c r="I647" s="361"/>
      <c r="J647" s="363"/>
      <c r="K647" s="364"/>
      <c r="L647" s="361"/>
      <c r="M647" s="361"/>
      <c r="N647" s="361"/>
      <c r="O647" s="361"/>
      <c r="P647" s="361"/>
      <c r="Q647" s="361"/>
      <c r="R647" s="361"/>
      <c r="S647" s="361"/>
      <c r="T647" s="361"/>
      <c r="U647" s="361"/>
      <c r="V647" s="361"/>
      <c r="W647" s="361"/>
      <c r="X647" s="361"/>
      <c r="Y647" s="131"/>
      <c r="Z647" s="163"/>
      <c r="AA647" s="131"/>
      <c r="AB647" s="131"/>
      <c r="AC647" s="131"/>
      <c r="AD647" s="131"/>
      <c r="AE647" s="131"/>
      <c r="AF647" s="163"/>
      <c r="AG647" s="163"/>
      <c r="AH647" s="163"/>
      <c r="AI647" s="163"/>
      <c r="AJ647" s="163"/>
      <c r="AK647" s="163"/>
      <c r="AL647" s="163"/>
      <c r="AM647" s="130"/>
      <c r="AN647" s="163"/>
    </row>
    <row r="648" ht="15.75" customHeight="1">
      <c r="A648" s="362"/>
      <c r="B648" s="362"/>
      <c r="C648" s="362"/>
      <c r="D648" s="362"/>
      <c r="E648" s="132"/>
      <c r="F648" s="132"/>
      <c r="G648" s="361"/>
      <c r="H648" s="361"/>
      <c r="I648" s="361"/>
      <c r="J648" s="363"/>
      <c r="K648" s="364"/>
      <c r="L648" s="361"/>
      <c r="M648" s="361"/>
      <c r="N648" s="361"/>
      <c r="O648" s="361"/>
      <c r="P648" s="361"/>
      <c r="Q648" s="361"/>
      <c r="R648" s="361"/>
      <c r="S648" s="361"/>
      <c r="T648" s="361"/>
      <c r="U648" s="361"/>
      <c r="V648" s="361"/>
      <c r="W648" s="361"/>
      <c r="X648" s="361"/>
      <c r="Y648" s="131"/>
      <c r="Z648" s="163"/>
      <c r="AA648" s="131"/>
      <c r="AB648" s="131"/>
      <c r="AC648" s="131"/>
      <c r="AD648" s="131"/>
      <c r="AE648" s="131"/>
      <c r="AF648" s="163"/>
      <c r="AG648" s="163"/>
      <c r="AH648" s="163"/>
      <c r="AI648" s="163"/>
      <c r="AJ648" s="163"/>
      <c r="AK648" s="163"/>
      <c r="AL648" s="163"/>
      <c r="AM648" s="130"/>
      <c r="AN648" s="163"/>
    </row>
    <row r="649" ht="15.75" customHeight="1">
      <c r="A649" s="362"/>
      <c r="B649" s="362"/>
      <c r="C649" s="362"/>
      <c r="D649" s="362"/>
      <c r="E649" s="132"/>
      <c r="F649" s="132"/>
      <c r="G649" s="361"/>
      <c r="H649" s="361"/>
      <c r="I649" s="361"/>
      <c r="J649" s="363"/>
      <c r="K649" s="364"/>
      <c r="L649" s="361"/>
      <c r="M649" s="361"/>
      <c r="N649" s="361"/>
      <c r="O649" s="361"/>
      <c r="P649" s="361"/>
      <c r="Q649" s="361"/>
      <c r="R649" s="361"/>
      <c r="S649" s="361"/>
      <c r="T649" s="361"/>
      <c r="U649" s="361"/>
      <c r="V649" s="361"/>
      <c r="W649" s="361"/>
      <c r="X649" s="361"/>
      <c r="Y649" s="131"/>
      <c r="Z649" s="163"/>
      <c r="AA649" s="131"/>
      <c r="AB649" s="131"/>
      <c r="AC649" s="131"/>
      <c r="AD649" s="131"/>
      <c r="AE649" s="131"/>
      <c r="AF649" s="163"/>
      <c r="AG649" s="163"/>
      <c r="AH649" s="163"/>
      <c r="AI649" s="163"/>
      <c r="AJ649" s="163"/>
      <c r="AK649" s="163"/>
      <c r="AL649" s="163"/>
      <c r="AM649" s="130"/>
      <c r="AN649" s="163"/>
    </row>
    <row r="650" ht="15.75" customHeight="1">
      <c r="A650" s="362"/>
      <c r="B650" s="362"/>
      <c r="C650" s="362"/>
      <c r="D650" s="362"/>
      <c r="E650" s="132"/>
      <c r="F650" s="132"/>
      <c r="G650" s="361"/>
      <c r="H650" s="361"/>
      <c r="I650" s="361"/>
      <c r="J650" s="363"/>
      <c r="K650" s="364"/>
      <c r="L650" s="361"/>
      <c r="M650" s="361"/>
      <c r="N650" s="361"/>
      <c r="O650" s="361"/>
      <c r="P650" s="361"/>
      <c r="Q650" s="361"/>
      <c r="R650" s="361"/>
      <c r="S650" s="361"/>
      <c r="T650" s="361"/>
      <c r="U650" s="361"/>
      <c r="V650" s="361"/>
      <c r="W650" s="361"/>
      <c r="X650" s="361"/>
      <c r="Y650" s="131"/>
      <c r="Z650" s="163"/>
      <c r="AA650" s="131"/>
      <c r="AB650" s="131"/>
      <c r="AC650" s="131"/>
      <c r="AD650" s="131"/>
      <c r="AE650" s="131"/>
      <c r="AF650" s="163"/>
      <c r="AG650" s="163"/>
      <c r="AH650" s="163"/>
      <c r="AI650" s="163"/>
      <c r="AJ650" s="163"/>
      <c r="AK650" s="163"/>
      <c r="AL650" s="163"/>
      <c r="AM650" s="130"/>
      <c r="AN650" s="163"/>
    </row>
    <row r="651" ht="15.75" customHeight="1">
      <c r="A651" s="362"/>
      <c r="B651" s="362"/>
      <c r="C651" s="362"/>
      <c r="D651" s="362"/>
      <c r="E651" s="132"/>
      <c r="F651" s="132"/>
      <c r="G651" s="361"/>
      <c r="H651" s="361"/>
      <c r="I651" s="361"/>
      <c r="J651" s="363"/>
      <c r="K651" s="364"/>
      <c r="L651" s="361"/>
      <c r="M651" s="361"/>
      <c r="N651" s="361"/>
      <c r="O651" s="361"/>
      <c r="P651" s="361"/>
      <c r="Q651" s="361"/>
      <c r="R651" s="361"/>
      <c r="S651" s="361"/>
      <c r="T651" s="361"/>
      <c r="U651" s="361"/>
      <c r="V651" s="361"/>
      <c r="W651" s="361"/>
      <c r="X651" s="361"/>
      <c r="Y651" s="131"/>
      <c r="Z651" s="163"/>
      <c r="AA651" s="131"/>
      <c r="AB651" s="131"/>
      <c r="AC651" s="131"/>
      <c r="AD651" s="131"/>
      <c r="AE651" s="131"/>
      <c r="AF651" s="163"/>
      <c r="AG651" s="163"/>
      <c r="AH651" s="163"/>
      <c r="AI651" s="163"/>
      <c r="AJ651" s="163"/>
      <c r="AK651" s="163"/>
      <c r="AL651" s="163"/>
      <c r="AM651" s="130"/>
      <c r="AN651" s="163"/>
    </row>
    <row r="652" ht="15.75" customHeight="1">
      <c r="A652" s="362"/>
      <c r="B652" s="362"/>
      <c r="C652" s="362"/>
      <c r="D652" s="362"/>
      <c r="E652" s="132"/>
      <c r="F652" s="132"/>
      <c r="G652" s="361"/>
      <c r="H652" s="361"/>
      <c r="I652" s="361"/>
      <c r="J652" s="363"/>
      <c r="K652" s="364"/>
      <c r="L652" s="361"/>
      <c r="M652" s="361"/>
      <c r="N652" s="361"/>
      <c r="O652" s="361"/>
      <c r="P652" s="361"/>
      <c r="Q652" s="361"/>
      <c r="R652" s="361"/>
      <c r="S652" s="361"/>
      <c r="T652" s="361"/>
      <c r="U652" s="361"/>
      <c r="V652" s="361"/>
      <c r="W652" s="361"/>
      <c r="X652" s="361"/>
      <c r="Y652" s="131"/>
      <c r="Z652" s="163"/>
      <c r="AA652" s="131"/>
      <c r="AB652" s="131"/>
      <c r="AC652" s="131"/>
      <c r="AD652" s="131"/>
      <c r="AE652" s="131"/>
      <c r="AF652" s="163"/>
      <c r="AG652" s="163"/>
      <c r="AH652" s="163"/>
      <c r="AI652" s="163"/>
      <c r="AJ652" s="163"/>
      <c r="AK652" s="163"/>
      <c r="AL652" s="163"/>
      <c r="AM652" s="130"/>
      <c r="AN652" s="163"/>
    </row>
    <row r="653" ht="15.75" customHeight="1">
      <c r="A653" s="362"/>
      <c r="B653" s="362"/>
      <c r="C653" s="362"/>
      <c r="D653" s="362"/>
      <c r="E653" s="132"/>
      <c r="F653" s="132"/>
      <c r="G653" s="361"/>
      <c r="H653" s="361"/>
      <c r="I653" s="361"/>
      <c r="J653" s="363"/>
      <c r="K653" s="364"/>
      <c r="L653" s="361"/>
      <c r="M653" s="361"/>
      <c r="N653" s="361"/>
      <c r="O653" s="361"/>
      <c r="P653" s="361"/>
      <c r="Q653" s="361"/>
      <c r="R653" s="361"/>
      <c r="S653" s="361"/>
      <c r="T653" s="361"/>
      <c r="U653" s="361"/>
      <c r="V653" s="361"/>
      <c r="W653" s="361"/>
      <c r="X653" s="361"/>
      <c r="Y653" s="131"/>
      <c r="Z653" s="163"/>
      <c r="AA653" s="131"/>
      <c r="AB653" s="131"/>
      <c r="AC653" s="131"/>
      <c r="AD653" s="131"/>
      <c r="AE653" s="131"/>
      <c r="AF653" s="163"/>
      <c r="AG653" s="163"/>
      <c r="AH653" s="163"/>
      <c r="AI653" s="163"/>
      <c r="AJ653" s="163"/>
      <c r="AK653" s="163"/>
      <c r="AL653" s="163"/>
      <c r="AM653" s="130"/>
      <c r="AN653" s="163"/>
    </row>
    <row r="654" ht="15.75" customHeight="1">
      <c r="A654" s="362"/>
      <c r="B654" s="362"/>
      <c r="C654" s="362"/>
      <c r="D654" s="362"/>
      <c r="E654" s="132"/>
      <c r="F654" s="132"/>
      <c r="G654" s="361"/>
      <c r="H654" s="361"/>
      <c r="I654" s="361"/>
      <c r="J654" s="363"/>
      <c r="K654" s="364"/>
      <c r="L654" s="361"/>
      <c r="M654" s="361"/>
      <c r="N654" s="361"/>
      <c r="O654" s="361"/>
      <c r="P654" s="361"/>
      <c r="Q654" s="361"/>
      <c r="R654" s="361"/>
      <c r="S654" s="361"/>
      <c r="T654" s="361"/>
      <c r="U654" s="361"/>
      <c r="V654" s="361"/>
      <c r="W654" s="361"/>
      <c r="X654" s="361"/>
      <c r="Y654" s="131"/>
      <c r="Z654" s="163"/>
      <c r="AA654" s="131"/>
      <c r="AB654" s="131"/>
      <c r="AC654" s="131"/>
      <c r="AD654" s="131"/>
      <c r="AE654" s="131"/>
      <c r="AF654" s="163"/>
      <c r="AG654" s="163"/>
      <c r="AH654" s="163"/>
      <c r="AI654" s="163"/>
      <c r="AJ654" s="163"/>
      <c r="AK654" s="163"/>
      <c r="AL654" s="163"/>
      <c r="AM654" s="130"/>
      <c r="AN654" s="163"/>
    </row>
    <row r="655" ht="15.75" customHeight="1">
      <c r="A655" s="362"/>
      <c r="B655" s="362"/>
      <c r="C655" s="362"/>
      <c r="D655" s="362"/>
      <c r="E655" s="132"/>
      <c r="F655" s="132"/>
      <c r="G655" s="361"/>
      <c r="H655" s="361"/>
      <c r="I655" s="361"/>
      <c r="J655" s="363"/>
      <c r="K655" s="364"/>
      <c r="L655" s="361"/>
      <c r="M655" s="361"/>
      <c r="N655" s="361"/>
      <c r="O655" s="361"/>
      <c r="P655" s="361"/>
      <c r="Q655" s="361"/>
      <c r="R655" s="361"/>
      <c r="S655" s="361"/>
      <c r="T655" s="361"/>
      <c r="U655" s="361"/>
      <c r="V655" s="361"/>
      <c r="W655" s="361"/>
      <c r="X655" s="361"/>
      <c r="Y655" s="131"/>
      <c r="Z655" s="163"/>
      <c r="AA655" s="131"/>
      <c r="AB655" s="131"/>
      <c r="AC655" s="131"/>
      <c r="AD655" s="131"/>
      <c r="AE655" s="131"/>
      <c r="AF655" s="163"/>
      <c r="AG655" s="163"/>
      <c r="AH655" s="163"/>
      <c r="AI655" s="163"/>
      <c r="AJ655" s="163"/>
      <c r="AK655" s="163"/>
      <c r="AL655" s="163"/>
      <c r="AM655" s="130"/>
      <c r="AN655" s="163"/>
    </row>
    <row r="656" ht="15.75" customHeight="1">
      <c r="A656" s="362"/>
      <c r="B656" s="362"/>
      <c r="C656" s="362"/>
      <c r="D656" s="362"/>
      <c r="E656" s="132"/>
      <c r="F656" s="132"/>
      <c r="G656" s="361"/>
      <c r="H656" s="361"/>
      <c r="I656" s="361"/>
      <c r="J656" s="363"/>
      <c r="K656" s="364"/>
      <c r="L656" s="361"/>
      <c r="M656" s="361"/>
      <c r="N656" s="361"/>
      <c r="O656" s="361"/>
      <c r="P656" s="361"/>
      <c r="Q656" s="361"/>
      <c r="R656" s="361"/>
      <c r="S656" s="361"/>
      <c r="T656" s="361"/>
      <c r="U656" s="361"/>
      <c r="V656" s="361"/>
      <c r="W656" s="361"/>
      <c r="X656" s="361"/>
      <c r="Y656" s="131"/>
      <c r="Z656" s="163"/>
      <c r="AA656" s="131"/>
      <c r="AB656" s="131"/>
      <c r="AC656" s="131"/>
      <c r="AD656" s="131"/>
      <c r="AE656" s="131"/>
      <c r="AF656" s="163"/>
      <c r="AG656" s="163"/>
      <c r="AH656" s="163"/>
      <c r="AI656" s="163"/>
      <c r="AJ656" s="163"/>
      <c r="AK656" s="163"/>
      <c r="AL656" s="163"/>
      <c r="AM656" s="130"/>
      <c r="AN656" s="163"/>
    </row>
    <row r="657" ht="15.75" customHeight="1">
      <c r="A657" s="362"/>
      <c r="B657" s="362"/>
      <c r="C657" s="362"/>
      <c r="D657" s="362"/>
      <c r="E657" s="132"/>
      <c r="F657" s="132"/>
      <c r="G657" s="361"/>
      <c r="H657" s="361"/>
      <c r="I657" s="361"/>
      <c r="J657" s="363"/>
      <c r="K657" s="364"/>
      <c r="L657" s="361"/>
      <c r="M657" s="361"/>
      <c r="N657" s="361"/>
      <c r="O657" s="361"/>
      <c r="P657" s="361"/>
      <c r="Q657" s="361"/>
      <c r="R657" s="361"/>
      <c r="S657" s="361"/>
      <c r="T657" s="361"/>
      <c r="U657" s="361"/>
      <c r="V657" s="361"/>
      <c r="W657" s="361"/>
      <c r="X657" s="361"/>
      <c r="Y657" s="131"/>
      <c r="Z657" s="163"/>
      <c r="AA657" s="131"/>
      <c r="AB657" s="131"/>
      <c r="AC657" s="131"/>
      <c r="AD657" s="131"/>
      <c r="AE657" s="131"/>
      <c r="AF657" s="163"/>
      <c r="AG657" s="163"/>
      <c r="AH657" s="163"/>
      <c r="AI657" s="163"/>
      <c r="AJ657" s="163"/>
      <c r="AK657" s="163"/>
      <c r="AL657" s="163"/>
      <c r="AM657" s="130"/>
      <c r="AN657" s="163"/>
    </row>
    <row r="658" ht="15.75" customHeight="1">
      <c r="A658" s="362"/>
      <c r="B658" s="362"/>
      <c r="C658" s="362"/>
      <c r="D658" s="362"/>
      <c r="E658" s="132"/>
      <c r="F658" s="132"/>
      <c r="G658" s="361"/>
      <c r="H658" s="361"/>
      <c r="I658" s="361"/>
      <c r="J658" s="363"/>
      <c r="K658" s="364"/>
      <c r="L658" s="361"/>
      <c r="M658" s="361"/>
      <c r="N658" s="361"/>
      <c r="O658" s="361"/>
      <c r="P658" s="361"/>
      <c r="Q658" s="361"/>
      <c r="R658" s="361"/>
      <c r="S658" s="361"/>
      <c r="T658" s="361"/>
      <c r="U658" s="361"/>
      <c r="V658" s="361"/>
      <c r="W658" s="361"/>
      <c r="X658" s="361"/>
      <c r="Y658" s="131"/>
      <c r="Z658" s="163"/>
      <c r="AA658" s="131"/>
      <c r="AB658" s="131"/>
      <c r="AC658" s="131"/>
      <c r="AD658" s="131"/>
      <c r="AE658" s="131"/>
      <c r="AF658" s="163"/>
      <c r="AG658" s="163"/>
      <c r="AH658" s="163"/>
      <c r="AI658" s="163"/>
      <c r="AJ658" s="163"/>
      <c r="AK658" s="163"/>
      <c r="AL658" s="163"/>
      <c r="AM658" s="130"/>
      <c r="AN658" s="163"/>
    </row>
    <row r="659" ht="15.75" customHeight="1">
      <c r="A659" s="362"/>
      <c r="B659" s="362"/>
      <c r="C659" s="362"/>
      <c r="D659" s="362"/>
      <c r="E659" s="132"/>
      <c r="F659" s="132"/>
      <c r="G659" s="361"/>
      <c r="H659" s="361"/>
      <c r="I659" s="361"/>
      <c r="J659" s="363"/>
      <c r="K659" s="364"/>
      <c r="L659" s="361"/>
      <c r="M659" s="361"/>
      <c r="N659" s="361"/>
      <c r="O659" s="361"/>
      <c r="P659" s="361"/>
      <c r="Q659" s="361"/>
      <c r="R659" s="361"/>
      <c r="S659" s="361"/>
      <c r="T659" s="361"/>
      <c r="U659" s="361"/>
      <c r="V659" s="361"/>
      <c r="W659" s="361"/>
      <c r="X659" s="361"/>
      <c r="Y659" s="131"/>
      <c r="Z659" s="163"/>
      <c r="AA659" s="131"/>
      <c r="AB659" s="131"/>
      <c r="AC659" s="131"/>
      <c r="AD659" s="131"/>
      <c r="AE659" s="131"/>
      <c r="AF659" s="163"/>
      <c r="AG659" s="163"/>
      <c r="AH659" s="163"/>
      <c r="AI659" s="163"/>
      <c r="AJ659" s="163"/>
      <c r="AK659" s="163"/>
      <c r="AL659" s="163"/>
      <c r="AM659" s="130"/>
      <c r="AN659" s="163"/>
    </row>
    <row r="660" ht="15.75" customHeight="1">
      <c r="A660" s="362"/>
      <c r="B660" s="362"/>
      <c r="C660" s="362"/>
      <c r="D660" s="362"/>
      <c r="E660" s="132"/>
      <c r="F660" s="132"/>
      <c r="G660" s="361"/>
      <c r="H660" s="361"/>
      <c r="I660" s="361"/>
      <c r="J660" s="363"/>
      <c r="K660" s="364"/>
      <c r="L660" s="361"/>
      <c r="M660" s="361"/>
      <c r="N660" s="361"/>
      <c r="O660" s="361"/>
      <c r="P660" s="361"/>
      <c r="Q660" s="361"/>
      <c r="R660" s="361"/>
      <c r="S660" s="361"/>
      <c r="T660" s="361"/>
      <c r="U660" s="361"/>
      <c r="V660" s="361"/>
      <c r="W660" s="361"/>
      <c r="X660" s="361"/>
      <c r="Y660" s="131"/>
      <c r="Z660" s="163"/>
      <c r="AA660" s="131"/>
      <c r="AB660" s="131"/>
      <c r="AC660" s="131"/>
      <c r="AD660" s="131"/>
      <c r="AE660" s="131"/>
      <c r="AF660" s="163"/>
      <c r="AG660" s="163"/>
      <c r="AH660" s="163"/>
      <c r="AI660" s="163"/>
      <c r="AJ660" s="163"/>
      <c r="AK660" s="163"/>
      <c r="AL660" s="163"/>
      <c r="AM660" s="130"/>
      <c r="AN660" s="163"/>
    </row>
    <row r="661" ht="15.75" customHeight="1">
      <c r="A661" s="362"/>
      <c r="B661" s="362"/>
      <c r="C661" s="362"/>
      <c r="D661" s="362"/>
      <c r="E661" s="132"/>
      <c r="F661" s="132"/>
      <c r="G661" s="361"/>
      <c r="H661" s="361"/>
      <c r="I661" s="361"/>
      <c r="J661" s="363"/>
      <c r="K661" s="364"/>
      <c r="L661" s="361"/>
      <c r="M661" s="361"/>
      <c r="N661" s="361"/>
      <c r="O661" s="361"/>
      <c r="P661" s="361"/>
      <c r="Q661" s="361"/>
      <c r="R661" s="361"/>
      <c r="S661" s="361"/>
      <c r="T661" s="361"/>
      <c r="U661" s="361"/>
      <c r="V661" s="361"/>
      <c r="W661" s="361"/>
      <c r="X661" s="361"/>
      <c r="Y661" s="131"/>
      <c r="Z661" s="163"/>
      <c r="AA661" s="131"/>
      <c r="AB661" s="131"/>
      <c r="AC661" s="131"/>
      <c r="AD661" s="131"/>
      <c r="AE661" s="131"/>
      <c r="AF661" s="163"/>
      <c r="AG661" s="163"/>
      <c r="AH661" s="163"/>
      <c r="AI661" s="163"/>
      <c r="AJ661" s="163"/>
      <c r="AK661" s="163"/>
      <c r="AL661" s="163"/>
      <c r="AM661" s="130"/>
      <c r="AN661" s="163"/>
    </row>
    <row r="662" ht="15.75" customHeight="1">
      <c r="A662" s="362"/>
      <c r="B662" s="362"/>
      <c r="C662" s="362"/>
      <c r="D662" s="362"/>
      <c r="E662" s="132"/>
      <c r="F662" s="132"/>
      <c r="G662" s="361"/>
      <c r="H662" s="361"/>
      <c r="I662" s="361"/>
      <c r="J662" s="363"/>
      <c r="K662" s="364"/>
      <c r="L662" s="361"/>
      <c r="M662" s="361"/>
      <c r="N662" s="361"/>
      <c r="O662" s="361"/>
      <c r="P662" s="361"/>
      <c r="Q662" s="361"/>
      <c r="R662" s="361"/>
      <c r="S662" s="361"/>
      <c r="T662" s="361"/>
      <c r="U662" s="361"/>
      <c r="V662" s="361"/>
      <c r="W662" s="361"/>
      <c r="X662" s="361"/>
      <c r="Y662" s="131"/>
      <c r="Z662" s="163"/>
      <c r="AA662" s="131"/>
      <c r="AB662" s="131"/>
      <c r="AC662" s="131"/>
      <c r="AD662" s="131"/>
      <c r="AE662" s="131"/>
      <c r="AF662" s="163"/>
      <c r="AG662" s="163"/>
      <c r="AH662" s="163"/>
      <c r="AI662" s="163"/>
      <c r="AJ662" s="163"/>
      <c r="AK662" s="163"/>
      <c r="AL662" s="163"/>
      <c r="AM662" s="130"/>
      <c r="AN662" s="163"/>
    </row>
    <row r="663" ht="15.75" customHeight="1">
      <c r="A663" s="362"/>
      <c r="B663" s="362"/>
      <c r="C663" s="362"/>
      <c r="D663" s="362"/>
      <c r="E663" s="132"/>
      <c r="F663" s="132"/>
      <c r="G663" s="361"/>
      <c r="H663" s="361"/>
      <c r="I663" s="361"/>
      <c r="J663" s="363"/>
      <c r="K663" s="364"/>
      <c r="L663" s="361"/>
      <c r="M663" s="361"/>
      <c r="N663" s="361"/>
      <c r="O663" s="361"/>
      <c r="P663" s="361"/>
      <c r="Q663" s="361"/>
      <c r="R663" s="361"/>
      <c r="S663" s="361"/>
      <c r="T663" s="361"/>
      <c r="U663" s="361"/>
      <c r="V663" s="361"/>
      <c r="W663" s="361"/>
      <c r="X663" s="361"/>
      <c r="Y663" s="131"/>
      <c r="Z663" s="163"/>
      <c r="AA663" s="131"/>
      <c r="AB663" s="131"/>
      <c r="AC663" s="131"/>
      <c r="AD663" s="131"/>
      <c r="AE663" s="131"/>
      <c r="AF663" s="163"/>
      <c r="AG663" s="163"/>
      <c r="AH663" s="163"/>
      <c r="AI663" s="163"/>
      <c r="AJ663" s="163"/>
      <c r="AK663" s="163"/>
      <c r="AL663" s="163"/>
      <c r="AM663" s="130"/>
      <c r="AN663" s="163"/>
    </row>
    <row r="664" ht="15.75" customHeight="1">
      <c r="A664" s="362"/>
      <c r="B664" s="362"/>
      <c r="C664" s="362"/>
      <c r="D664" s="362"/>
      <c r="E664" s="132"/>
      <c r="F664" s="132"/>
      <c r="G664" s="361"/>
      <c r="H664" s="361"/>
      <c r="I664" s="361"/>
      <c r="J664" s="363"/>
      <c r="K664" s="364"/>
      <c r="L664" s="361"/>
      <c r="M664" s="361"/>
      <c r="N664" s="361"/>
      <c r="O664" s="361"/>
      <c r="P664" s="361"/>
      <c r="Q664" s="361"/>
      <c r="R664" s="361"/>
      <c r="S664" s="361"/>
      <c r="T664" s="361"/>
      <c r="U664" s="361"/>
      <c r="V664" s="361"/>
      <c r="W664" s="361"/>
      <c r="X664" s="361"/>
      <c r="Y664" s="131"/>
      <c r="Z664" s="163"/>
      <c r="AA664" s="131"/>
      <c r="AB664" s="131"/>
      <c r="AC664" s="131"/>
      <c r="AD664" s="131"/>
      <c r="AE664" s="131"/>
      <c r="AF664" s="163"/>
      <c r="AG664" s="163"/>
      <c r="AH664" s="163"/>
      <c r="AI664" s="163"/>
      <c r="AJ664" s="163"/>
      <c r="AK664" s="163"/>
      <c r="AL664" s="163"/>
      <c r="AM664" s="130"/>
      <c r="AN664" s="163"/>
    </row>
    <row r="665" ht="15.75" customHeight="1">
      <c r="A665" s="362"/>
      <c r="B665" s="362"/>
      <c r="C665" s="362"/>
      <c r="D665" s="362"/>
      <c r="E665" s="132"/>
      <c r="F665" s="132"/>
      <c r="G665" s="361"/>
      <c r="H665" s="361"/>
      <c r="I665" s="361"/>
      <c r="J665" s="363"/>
      <c r="K665" s="364"/>
      <c r="L665" s="361"/>
      <c r="M665" s="361"/>
      <c r="N665" s="361"/>
      <c r="O665" s="361"/>
      <c r="P665" s="361"/>
      <c r="Q665" s="361"/>
      <c r="R665" s="361"/>
      <c r="S665" s="361"/>
      <c r="T665" s="361"/>
      <c r="U665" s="361"/>
      <c r="V665" s="361"/>
      <c r="W665" s="361"/>
      <c r="X665" s="361"/>
      <c r="Y665" s="131"/>
      <c r="Z665" s="163"/>
      <c r="AA665" s="131"/>
      <c r="AB665" s="131"/>
      <c r="AC665" s="131"/>
      <c r="AD665" s="131"/>
      <c r="AE665" s="131"/>
      <c r="AF665" s="163"/>
      <c r="AG665" s="163"/>
      <c r="AH665" s="163"/>
      <c r="AI665" s="163"/>
      <c r="AJ665" s="163"/>
      <c r="AK665" s="163"/>
      <c r="AL665" s="163"/>
      <c r="AM665" s="130"/>
      <c r="AN665" s="163"/>
    </row>
    <row r="666" ht="15.75" customHeight="1">
      <c r="A666" s="362"/>
      <c r="B666" s="362"/>
      <c r="C666" s="362"/>
      <c r="D666" s="362"/>
      <c r="E666" s="132"/>
      <c r="F666" s="132"/>
      <c r="G666" s="361"/>
      <c r="H666" s="361"/>
      <c r="I666" s="361"/>
      <c r="J666" s="363"/>
      <c r="K666" s="364"/>
      <c r="L666" s="361"/>
      <c r="M666" s="361"/>
      <c r="N666" s="361"/>
      <c r="O666" s="361"/>
      <c r="P666" s="361"/>
      <c r="Q666" s="361"/>
      <c r="R666" s="361"/>
      <c r="S666" s="361"/>
      <c r="T666" s="361"/>
      <c r="U666" s="361"/>
      <c r="V666" s="361"/>
      <c r="W666" s="361"/>
      <c r="X666" s="361"/>
      <c r="Y666" s="131"/>
      <c r="Z666" s="163"/>
      <c r="AA666" s="131"/>
      <c r="AB666" s="131"/>
      <c r="AC666" s="131"/>
      <c r="AD666" s="131"/>
      <c r="AE666" s="131"/>
      <c r="AF666" s="163"/>
      <c r="AG666" s="163"/>
      <c r="AH666" s="163"/>
      <c r="AI666" s="163"/>
      <c r="AJ666" s="163"/>
      <c r="AK666" s="163"/>
      <c r="AL666" s="163"/>
      <c r="AM666" s="130"/>
      <c r="AN666" s="163"/>
    </row>
    <row r="667" ht="15.75" customHeight="1">
      <c r="A667" s="362"/>
      <c r="B667" s="362"/>
      <c r="C667" s="362"/>
      <c r="D667" s="362"/>
      <c r="E667" s="132"/>
      <c r="F667" s="132"/>
      <c r="G667" s="361"/>
      <c r="H667" s="361"/>
      <c r="I667" s="361"/>
      <c r="J667" s="363"/>
      <c r="K667" s="364"/>
      <c r="L667" s="361"/>
      <c r="M667" s="361"/>
      <c r="N667" s="361"/>
      <c r="O667" s="361"/>
      <c r="P667" s="361"/>
      <c r="Q667" s="361"/>
      <c r="R667" s="361"/>
      <c r="S667" s="361"/>
      <c r="T667" s="361"/>
      <c r="U667" s="361"/>
      <c r="V667" s="361"/>
      <c r="W667" s="361"/>
      <c r="X667" s="361"/>
      <c r="Y667" s="131"/>
      <c r="Z667" s="163"/>
      <c r="AA667" s="131"/>
      <c r="AB667" s="131"/>
      <c r="AC667" s="131"/>
      <c r="AD667" s="131"/>
      <c r="AE667" s="131"/>
      <c r="AF667" s="163"/>
      <c r="AG667" s="163"/>
      <c r="AH667" s="163"/>
      <c r="AI667" s="163"/>
      <c r="AJ667" s="163"/>
      <c r="AK667" s="163"/>
      <c r="AL667" s="163"/>
      <c r="AM667" s="130"/>
      <c r="AN667" s="163"/>
    </row>
    <row r="668" ht="15.75" customHeight="1">
      <c r="A668" s="362"/>
      <c r="B668" s="362"/>
      <c r="C668" s="362"/>
      <c r="D668" s="362"/>
      <c r="E668" s="132"/>
      <c r="F668" s="132"/>
      <c r="G668" s="361"/>
      <c r="H668" s="361"/>
      <c r="I668" s="361"/>
      <c r="J668" s="363"/>
      <c r="K668" s="364"/>
      <c r="L668" s="361"/>
      <c r="M668" s="361"/>
      <c r="N668" s="361"/>
      <c r="O668" s="361"/>
      <c r="P668" s="361"/>
      <c r="Q668" s="361"/>
      <c r="R668" s="361"/>
      <c r="S668" s="361"/>
      <c r="T668" s="361"/>
      <c r="U668" s="361"/>
      <c r="V668" s="361"/>
      <c r="W668" s="361"/>
      <c r="X668" s="361"/>
      <c r="Y668" s="131"/>
      <c r="Z668" s="163"/>
      <c r="AA668" s="131"/>
      <c r="AB668" s="131"/>
      <c r="AC668" s="131"/>
      <c r="AD668" s="131"/>
      <c r="AE668" s="131"/>
      <c r="AF668" s="163"/>
      <c r="AG668" s="163"/>
      <c r="AH668" s="163"/>
      <c r="AI668" s="163"/>
      <c r="AJ668" s="163"/>
      <c r="AK668" s="163"/>
      <c r="AL668" s="163"/>
      <c r="AM668" s="130"/>
      <c r="AN668" s="163"/>
    </row>
    <row r="669" ht="15.75" customHeight="1">
      <c r="A669" s="362"/>
      <c r="B669" s="362"/>
      <c r="C669" s="362"/>
      <c r="D669" s="362"/>
      <c r="E669" s="132"/>
      <c r="F669" s="132"/>
      <c r="G669" s="361"/>
      <c r="H669" s="361"/>
      <c r="I669" s="361"/>
      <c r="J669" s="363"/>
      <c r="K669" s="364"/>
      <c r="L669" s="361"/>
      <c r="M669" s="361"/>
      <c r="N669" s="361"/>
      <c r="O669" s="361"/>
      <c r="P669" s="361"/>
      <c r="Q669" s="361"/>
      <c r="R669" s="361"/>
      <c r="S669" s="361"/>
      <c r="T669" s="361"/>
      <c r="U669" s="361"/>
      <c r="V669" s="361"/>
      <c r="W669" s="361"/>
      <c r="X669" s="361"/>
      <c r="Y669" s="131"/>
      <c r="Z669" s="163"/>
      <c r="AA669" s="131"/>
      <c r="AB669" s="131"/>
      <c r="AC669" s="131"/>
      <c r="AD669" s="131"/>
      <c r="AE669" s="131"/>
      <c r="AF669" s="163"/>
      <c r="AG669" s="163"/>
      <c r="AH669" s="163"/>
      <c r="AI669" s="163"/>
      <c r="AJ669" s="163"/>
      <c r="AK669" s="163"/>
      <c r="AL669" s="163"/>
      <c r="AM669" s="130"/>
      <c r="AN669" s="163"/>
    </row>
    <row r="670" ht="15.75" customHeight="1">
      <c r="A670" s="362"/>
      <c r="B670" s="362"/>
      <c r="C670" s="362"/>
      <c r="D670" s="362"/>
      <c r="E670" s="132"/>
      <c r="F670" s="132"/>
      <c r="G670" s="361"/>
      <c r="H670" s="361"/>
      <c r="I670" s="361"/>
      <c r="J670" s="363"/>
      <c r="K670" s="364"/>
      <c r="L670" s="361"/>
      <c r="M670" s="361"/>
      <c r="N670" s="361"/>
      <c r="O670" s="361"/>
      <c r="P670" s="361"/>
      <c r="Q670" s="361"/>
      <c r="R670" s="361"/>
      <c r="S670" s="361"/>
      <c r="T670" s="361"/>
      <c r="U670" s="361"/>
      <c r="V670" s="361"/>
      <c r="W670" s="361"/>
      <c r="X670" s="361"/>
      <c r="Y670" s="131"/>
      <c r="Z670" s="163"/>
      <c r="AA670" s="131"/>
      <c r="AB670" s="131"/>
      <c r="AC670" s="131"/>
      <c r="AD670" s="131"/>
      <c r="AE670" s="131"/>
      <c r="AF670" s="163"/>
      <c r="AG670" s="163"/>
      <c r="AH670" s="163"/>
      <c r="AI670" s="163"/>
      <c r="AJ670" s="163"/>
      <c r="AK670" s="163"/>
      <c r="AL670" s="163"/>
      <c r="AM670" s="130"/>
      <c r="AN670" s="163"/>
    </row>
    <row r="671" ht="15.75" customHeight="1">
      <c r="A671" s="362"/>
      <c r="B671" s="362"/>
      <c r="C671" s="362"/>
      <c r="D671" s="362"/>
      <c r="E671" s="132"/>
      <c r="F671" s="132"/>
      <c r="G671" s="361"/>
      <c r="H671" s="361"/>
      <c r="I671" s="361"/>
      <c r="J671" s="363"/>
      <c r="K671" s="364"/>
      <c r="L671" s="361"/>
      <c r="M671" s="361"/>
      <c r="N671" s="361"/>
      <c r="O671" s="361"/>
      <c r="P671" s="361"/>
      <c r="Q671" s="361"/>
      <c r="R671" s="361"/>
      <c r="S671" s="361"/>
      <c r="T671" s="361"/>
      <c r="U671" s="361"/>
      <c r="V671" s="361"/>
      <c r="W671" s="361"/>
      <c r="X671" s="361"/>
      <c r="Y671" s="131"/>
      <c r="Z671" s="163"/>
      <c r="AA671" s="131"/>
      <c r="AB671" s="131"/>
      <c r="AC671" s="131"/>
      <c r="AD671" s="131"/>
      <c r="AE671" s="131"/>
      <c r="AF671" s="163"/>
      <c r="AG671" s="163"/>
      <c r="AH671" s="163"/>
      <c r="AI671" s="163"/>
      <c r="AJ671" s="163"/>
      <c r="AK671" s="163"/>
      <c r="AL671" s="163"/>
      <c r="AM671" s="130"/>
      <c r="AN671" s="163"/>
    </row>
    <row r="672" ht="15.75" customHeight="1">
      <c r="A672" s="362"/>
      <c r="B672" s="362"/>
      <c r="C672" s="362"/>
      <c r="D672" s="362"/>
      <c r="E672" s="132"/>
      <c r="F672" s="132"/>
      <c r="G672" s="361"/>
      <c r="H672" s="361"/>
      <c r="I672" s="361"/>
      <c r="J672" s="363"/>
      <c r="K672" s="364"/>
      <c r="L672" s="361"/>
      <c r="M672" s="361"/>
      <c r="N672" s="361"/>
      <c r="O672" s="361"/>
      <c r="P672" s="361"/>
      <c r="Q672" s="361"/>
      <c r="R672" s="361"/>
      <c r="S672" s="361"/>
      <c r="T672" s="361"/>
      <c r="U672" s="361"/>
      <c r="V672" s="361"/>
      <c r="W672" s="361"/>
      <c r="X672" s="361"/>
      <c r="Y672" s="131"/>
      <c r="Z672" s="163"/>
      <c r="AA672" s="131"/>
      <c r="AB672" s="131"/>
      <c r="AC672" s="131"/>
      <c r="AD672" s="131"/>
      <c r="AE672" s="131"/>
      <c r="AF672" s="163"/>
      <c r="AG672" s="163"/>
      <c r="AH672" s="163"/>
      <c r="AI672" s="163"/>
      <c r="AJ672" s="163"/>
      <c r="AK672" s="163"/>
      <c r="AL672" s="163"/>
      <c r="AM672" s="130"/>
      <c r="AN672" s="163"/>
    </row>
    <row r="673" ht="15.75" customHeight="1">
      <c r="A673" s="362"/>
      <c r="B673" s="362"/>
      <c r="C673" s="362"/>
      <c r="D673" s="362"/>
      <c r="E673" s="132"/>
      <c r="F673" s="132"/>
      <c r="G673" s="361"/>
      <c r="H673" s="361"/>
      <c r="I673" s="361"/>
      <c r="J673" s="363"/>
      <c r="K673" s="364"/>
      <c r="L673" s="361"/>
      <c r="M673" s="361"/>
      <c r="N673" s="361"/>
      <c r="O673" s="361"/>
      <c r="P673" s="361"/>
      <c r="Q673" s="361"/>
      <c r="R673" s="361"/>
      <c r="S673" s="361"/>
      <c r="T673" s="361"/>
      <c r="U673" s="361"/>
      <c r="V673" s="361"/>
      <c r="W673" s="361"/>
      <c r="X673" s="361"/>
      <c r="Y673" s="131"/>
      <c r="Z673" s="163"/>
      <c r="AA673" s="131"/>
      <c r="AB673" s="131"/>
      <c r="AC673" s="131"/>
      <c r="AD673" s="131"/>
      <c r="AE673" s="131"/>
      <c r="AF673" s="163"/>
      <c r="AG673" s="163"/>
      <c r="AH673" s="163"/>
      <c r="AI673" s="163"/>
      <c r="AJ673" s="163"/>
      <c r="AK673" s="163"/>
      <c r="AL673" s="163"/>
      <c r="AM673" s="130"/>
      <c r="AN673" s="163"/>
    </row>
    <row r="674" ht="15.75" customHeight="1">
      <c r="A674" s="362"/>
      <c r="B674" s="362"/>
      <c r="C674" s="362"/>
      <c r="D674" s="362"/>
      <c r="E674" s="132"/>
      <c r="F674" s="132"/>
      <c r="G674" s="361"/>
      <c r="H674" s="361"/>
      <c r="I674" s="361"/>
      <c r="J674" s="363"/>
      <c r="K674" s="364"/>
      <c r="L674" s="361"/>
      <c r="M674" s="361"/>
      <c r="N674" s="361"/>
      <c r="O674" s="361"/>
      <c r="P674" s="361"/>
      <c r="Q674" s="361"/>
      <c r="R674" s="361"/>
      <c r="S674" s="361"/>
      <c r="T674" s="361"/>
      <c r="U674" s="361"/>
      <c r="V674" s="361"/>
      <c r="W674" s="361"/>
      <c r="X674" s="361"/>
      <c r="Y674" s="131"/>
      <c r="Z674" s="163"/>
      <c r="AA674" s="131"/>
      <c r="AB674" s="131"/>
      <c r="AC674" s="131"/>
      <c r="AD674" s="131"/>
      <c r="AE674" s="131"/>
      <c r="AF674" s="163"/>
      <c r="AG674" s="163"/>
      <c r="AH674" s="163"/>
      <c r="AI674" s="163"/>
      <c r="AJ674" s="163"/>
      <c r="AK674" s="163"/>
      <c r="AL674" s="163"/>
      <c r="AM674" s="130"/>
      <c r="AN674" s="163"/>
    </row>
    <row r="675" ht="15.75" customHeight="1">
      <c r="A675" s="362"/>
      <c r="B675" s="362"/>
      <c r="C675" s="362"/>
      <c r="D675" s="362"/>
      <c r="E675" s="132"/>
      <c r="F675" s="132"/>
      <c r="G675" s="361"/>
      <c r="H675" s="361"/>
      <c r="I675" s="361"/>
      <c r="J675" s="363"/>
      <c r="K675" s="364"/>
      <c r="L675" s="361"/>
      <c r="M675" s="361"/>
      <c r="N675" s="361"/>
      <c r="O675" s="361"/>
      <c r="P675" s="361"/>
      <c r="Q675" s="361"/>
      <c r="R675" s="361"/>
      <c r="S675" s="361"/>
      <c r="T675" s="361"/>
      <c r="U675" s="361"/>
      <c r="V675" s="361"/>
      <c r="W675" s="361"/>
      <c r="X675" s="361"/>
      <c r="Y675" s="131"/>
      <c r="Z675" s="163"/>
      <c r="AA675" s="131"/>
      <c r="AB675" s="131"/>
      <c r="AC675" s="131"/>
      <c r="AD675" s="131"/>
      <c r="AE675" s="131"/>
      <c r="AF675" s="163"/>
      <c r="AG675" s="163"/>
      <c r="AH675" s="163"/>
      <c r="AI675" s="163"/>
      <c r="AJ675" s="163"/>
      <c r="AK675" s="163"/>
      <c r="AL675" s="163"/>
      <c r="AM675" s="130"/>
      <c r="AN675" s="163"/>
    </row>
    <row r="676" ht="15.75" customHeight="1">
      <c r="A676" s="362"/>
      <c r="B676" s="362"/>
      <c r="C676" s="362"/>
      <c r="D676" s="362"/>
      <c r="E676" s="132"/>
      <c r="F676" s="132"/>
      <c r="G676" s="361"/>
      <c r="H676" s="361"/>
      <c r="I676" s="361"/>
      <c r="J676" s="363"/>
      <c r="K676" s="364"/>
      <c r="L676" s="361"/>
      <c r="M676" s="361"/>
      <c r="N676" s="361"/>
      <c r="O676" s="361"/>
      <c r="P676" s="361"/>
      <c r="Q676" s="361"/>
      <c r="R676" s="361"/>
      <c r="S676" s="361"/>
      <c r="T676" s="361"/>
      <c r="U676" s="361"/>
      <c r="V676" s="361"/>
      <c r="W676" s="361"/>
      <c r="X676" s="361"/>
      <c r="Y676" s="131"/>
      <c r="Z676" s="163"/>
      <c r="AA676" s="131"/>
      <c r="AB676" s="131"/>
      <c r="AC676" s="131"/>
      <c r="AD676" s="131"/>
      <c r="AE676" s="131"/>
      <c r="AF676" s="163"/>
      <c r="AG676" s="163"/>
      <c r="AH676" s="163"/>
      <c r="AI676" s="163"/>
      <c r="AJ676" s="163"/>
      <c r="AK676" s="163"/>
      <c r="AL676" s="163"/>
      <c r="AM676" s="130"/>
      <c r="AN676" s="163"/>
    </row>
    <row r="677" ht="15.75" customHeight="1">
      <c r="A677" s="362"/>
      <c r="B677" s="362"/>
      <c r="C677" s="362"/>
      <c r="D677" s="362"/>
      <c r="E677" s="132"/>
      <c r="F677" s="132"/>
      <c r="G677" s="361"/>
      <c r="H677" s="361"/>
      <c r="I677" s="361"/>
      <c r="J677" s="363"/>
      <c r="K677" s="364"/>
      <c r="L677" s="361"/>
      <c r="M677" s="361"/>
      <c r="N677" s="361"/>
      <c r="O677" s="361"/>
      <c r="P677" s="361"/>
      <c r="Q677" s="361"/>
      <c r="R677" s="361"/>
      <c r="S677" s="361"/>
      <c r="T677" s="361"/>
      <c r="U677" s="361"/>
      <c r="V677" s="361"/>
      <c r="W677" s="361"/>
      <c r="X677" s="361"/>
      <c r="Y677" s="131"/>
      <c r="Z677" s="163"/>
      <c r="AA677" s="131"/>
      <c r="AB677" s="131"/>
      <c r="AC677" s="131"/>
      <c r="AD677" s="131"/>
      <c r="AE677" s="131"/>
      <c r="AF677" s="163"/>
      <c r="AG677" s="163"/>
      <c r="AH677" s="163"/>
      <c r="AI677" s="163"/>
      <c r="AJ677" s="163"/>
      <c r="AK677" s="163"/>
      <c r="AL677" s="163"/>
      <c r="AM677" s="130"/>
      <c r="AN677" s="163"/>
    </row>
    <row r="678" ht="15.75" customHeight="1">
      <c r="A678" s="362"/>
      <c r="B678" s="362"/>
      <c r="C678" s="362"/>
      <c r="D678" s="362"/>
      <c r="E678" s="132"/>
      <c r="F678" s="132"/>
      <c r="G678" s="361"/>
      <c r="H678" s="361"/>
      <c r="I678" s="361"/>
      <c r="J678" s="363"/>
      <c r="K678" s="364"/>
      <c r="L678" s="361"/>
      <c r="M678" s="361"/>
      <c r="N678" s="361"/>
      <c r="O678" s="361"/>
      <c r="P678" s="361"/>
      <c r="Q678" s="361"/>
      <c r="R678" s="361"/>
      <c r="S678" s="361"/>
      <c r="T678" s="361"/>
      <c r="U678" s="361"/>
      <c r="V678" s="361"/>
      <c r="W678" s="361"/>
      <c r="X678" s="361"/>
      <c r="Y678" s="131"/>
      <c r="Z678" s="163"/>
      <c r="AA678" s="131"/>
      <c r="AB678" s="131"/>
      <c r="AC678" s="131"/>
      <c r="AD678" s="131"/>
      <c r="AE678" s="131"/>
      <c r="AF678" s="163"/>
      <c r="AG678" s="163"/>
      <c r="AH678" s="163"/>
      <c r="AI678" s="163"/>
      <c r="AJ678" s="163"/>
      <c r="AK678" s="163"/>
      <c r="AL678" s="163"/>
      <c r="AM678" s="130"/>
      <c r="AN678" s="163"/>
    </row>
    <row r="679" ht="15.75" customHeight="1">
      <c r="A679" s="362"/>
      <c r="B679" s="362"/>
      <c r="C679" s="362"/>
      <c r="D679" s="362"/>
      <c r="E679" s="132"/>
      <c r="F679" s="132"/>
      <c r="G679" s="361"/>
      <c r="H679" s="361"/>
      <c r="I679" s="361"/>
      <c r="J679" s="363"/>
      <c r="K679" s="364"/>
      <c r="L679" s="361"/>
      <c r="M679" s="361"/>
      <c r="N679" s="361"/>
      <c r="O679" s="361"/>
      <c r="P679" s="361"/>
      <c r="Q679" s="361"/>
      <c r="R679" s="361"/>
      <c r="S679" s="361"/>
      <c r="T679" s="361"/>
      <c r="U679" s="361"/>
      <c r="V679" s="361"/>
      <c r="W679" s="361"/>
      <c r="X679" s="361"/>
      <c r="Y679" s="131"/>
      <c r="Z679" s="163"/>
      <c r="AA679" s="131"/>
      <c r="AB679" s="131"/>
      <c r="AC679" s="131"/>
      <c r="AD679" s="131"/>
      <c r="AE679" s="131"/>
      <c r="AF679" s="163"/>
      <c r="AG679" s="163"/>
      <c r="AH679" s="163"/>
      <c r="AI679" s="163"/>
      <c r="AJ679" s="163"/>
      <c r="AK679" s="163"/>
      <c r="AL679" s="163"/>
      <c r="AM679" s="130"/>
      <c r="AN679" s="163"/>
    </row>
    <row r="680" ht="15.75" customHeight="1">
      <c r="A680" s="362"/>
      <c r="B680" s="362"/>
      <c r="C680" s="362"/>
      <c r="D680" s="362"/>
      <c r="E680" s="132"/>
      <c r="F680" s="132"/>
      <c r="G680" s="361"/>
      <c r="H680" s="361"/>
      <c r="I680" s="361"/>
      <c r="J680" s="363"/>
      <c r="K680" s="364"/>
      <c r="L680" s="361"/>
      <c r="M680" s="361"/>
      <c r="N680" s="361"/>
      <c r="O680" s="361"/>
      <c r="P680" s="361"/>
      <c r="Q680" s="361"/>
      <c r="R680" s="361"/>
      <c r="S680" s="361"/>
      <c r="T680" s="361"/>
      <c r="U680" s="361"/>
      <c r="V680" s="361"/>
      <c r="W680" s="361"/>
      <c r="X680" s="361"/>
      <c r="Y680" s="131"/>
      <c r="Z680" s="163"/>
      <c r="AA680" s="131"/>
      <c r="AB680" s="131"/>
      <c r="AC680" s="131"/>
      <c r="AD680" s="131"/>
      <c r="AE680" s="131"/>
      <c r="AF680" s="163"/>
      <c r="AG680" s="163"/>
      <c r="AH680" s="163"/>
      <c r="AI680" s="163"/>
      <c r="AJ680" s="163"/>
      <c r="AK680" s="163"/>
      <c r="AL680" s="163"/>
      <c r="AM680" s="130"/>
      <c r="AN680" s="163"/>
    </row>
    <row r="681" ht="15.75" customHeight="1">
      <c r="A681" s="362"/>
      <c r="B681" s="362"/>
      <c r="C681" s="362"/>
      <c r="D681" s="362"/>
      <c r="E681" s="132"/>
      <c r="F681" s="132"/>
      <c r="G681" s="361"/>
      <c r="H681" s="361"/>
      <c r="I681" s="361"/>
      <c r="J681" s="363"/>
      <c r="K681" s="364"/>
      <c r="L681" s="361"/>
      <c r="M681" s="361"/>
      <c r="N681" s="361"/>
      <c r="O681" s="361"/>
      <c r="P681" s="361"/>
      <c r="Q681" s="361"/>
      <c r="R681" s="361"/>
      <c r="S681" s="361"/>
      <c r="T681" s="361"/>
      <c r="U681" s="361"/>
      <c r="V681" s="361"/>
      <c r="W681" s="361"/>
      <c r="X681" s="361"/>
      <c r="Y681" s="131"/>
      <c r="Z681" s="163"/>
      <c r="AA681" s="131"/>
      <c r="AB681" s="131"/>
      <c r="AC681" s="131"/>
      <c r="AD681" s="131"/>
      <c r="AE681" s="131"/>
      <c r="AF681" s="163"/>
      <c r="AG681" s="163"/>
      <c r="AH681" s="163"/>
      <c r="AI681" s="163"/>
      <c r="AJ681" s="163"/>
      <c r="AK681" s="163"/>
      <c r="AL681" s="163"/>
      <c r="AM681" s="130"/>
      <c r="AN681" s="163"/>
    </row>
    <row r="682" ht="15.75" customHeight="1">
      <c r="A682" s="362"/>
      <c r="B682" s="362"/>
      <c r="C682" s="362"/>
      <c r="D682" s="362"/>
      <c r="E682" s="132"/>
      <c r="F682" s="132"/>
      <c r="G682" s="361"/>
      <c r="H682" s="361"/>
      <c r="I682" s="361"/>
      <c r="J682" s="363"/>
      <c r="K682" s="364"/>
      <c r="L682" s="361"/>
      <c r="M682" s="361"/>
      <c r="N682" s="361"/>
      <c r="O682" s="361"/>
      <c r="P682" s="361"/>
      <c r="Q682" s="361"/>
      <c r="R682" s="361"/>
      <c r="S682" s="361"/>
      <c r="T682" s="361"/>
      <c r="U682" s="361"/>
      <c r="V682" s="361"/>
      <c r="W682" s="361"/>
      <c r="X682" s="361"/>
      <c r="Y682" s="131"/>
      <c r="Z682" s="163"/>
      <c r="AA682" s="131"/>
      <c r="AB682" s="131"/>
      <c r="AC682" s="131"/>
      <c r="AD682" s="131"/>
      <c r="AE682" s="131"/>
      <c r="AF682" s="163"/>
      <c r="AG682" s="163"/>
      <c r="AH682" s="163"/>
      <c r="AI682" s="163"/>
      <c r="AJ682" s="163"/>
      <c r="AK682" s="163"/>
      <c r="AL682" s="163"/>
      <c r="AM682" s="130"/>
      <c r="AN682" s="163"/>
    </row>
    <row r="683" ht="15.75" customHeight="1">
      <c r="A683" s="362"/>
      <c r="B683" s="362"/>
      <c r="C683" s="362"/>
      <c r="D683" s="362"/>
      <c r="E683" s="132"/>
      <c r="F683" s="132"/>
      <c r="G683" s="361"/>
      <c r="H683" s="361"/>
      <c r="I683" s="361"/>
      <c r="J683" s="363"/>
      <c r="K683" s="364"/>
      <c r="L683" s="361"/>
      <c r="M683" s="361"/>
      <c r="N683" s="361"/>
      <c r="O683" s="361"/>
      <c r="P683" s="361"/>
      <c r="Q683" s="361"/>
      <c r="R683" s="361"/>
      <c r="S683" s="361"/>
      <c r="T683" s="361"/>
      <c r="U683" s="361"/>
      <c r="V683" s="361"/>
      <c r="W683" s="361"/>
      <c r="X683" s="361"/>
      <c r="Y683" s="131"/>
      <c r="Z683" s="163"/>
      <c r="AA683" s="131"/>
      <c r="AB683" s="131"/>
      <c r="AC683" s="131"/>
      <c r="AD683" s="131"/>
      <c r="AE683" s="131"/>
      <c r="AF683" s="163"/>
      <c r="AG683" s="163"/>
      <c r="AH683" s="163"/>
      <c r="AI683" s="163"/>
      <c r="AJ683" s="163"/>
      <c r="AK683" s="163"/>
      <c r="AL683" s="163"/>
      <c r="AM683" s="130"/>
      <c r="AN683" s="163"/>
    </row>
    <row r="684" ht="15.75" customHeight="1">
      <c r="A684" s="362"/>
      <c r="B684" s="362"/>
      <c r="C684" s="362"/>
      <c r="D684" s="362"/>
      <c r="E684" s="132"/>
      <c r="F684" s="132"/>
      <c r="G684" s="361"/>
      <c r="H684" s="361"/>
      <c r="I684" s="361"/>
      <c r="J684" s="363"/>
      <c r="K684" s="364"/>
      <c r="L684" s="361"/>
      <c r="M684" s="361"/>
      <c r="N684" s="361"/>
      <c r="O684" s="361"/>
      <c r="P684" s="361"/>
      <c r="Q684" s="361"/>
      <c r="R684" s="361"/>
      <c r="S684" s="361"/>
      <c r="T684" s="361"/>
      <c r="U684" s="361"/>
      <c r="V684" s="361"/>
      <c r="W684" s="361"/>
      <c r="X684" s="361"/>
      <c r="Y684" s="131"/>
      <c r="Z684" s="163"/>
      <c r="AA684" s="131"/>
      <c r="AB684" s="131"/>
      <c r="AC684" s="131"/>
      <c r="AD684" s="131"/>
      <c r="AE684" s="131"/>
      <c r="AF684" s="163"/>
      <c r="AG684" s="163"/>
      <c r="AH684" s="163"/>
      <c r="AI684" s="163"/>
      <c r="AJ684" s="163"/>
      <c r="AK684" s="163"/>
      <c r="AL684" s="163"/>
      <c r="AM684" s="130"/>
      <c r="AN684" s="163"/>
    </row>
    <row r="685" ht="15.75" customHeight="1">
      <c r="A685" s="362"/>
      <c r="B685" s="362"/>
      <c r="C685" s="362"/>
      <c r="D685" s="362"/>
      <c r="E685" s="132"/>
      <c r="F685" s="132"/>
      <c r="G685" s="361"/>
      <c r="H685" s="361"/>
      <c r="I685" s="361"/>
      <c r="J685" s="363"/>
      <c r="K685" s="364"/>
      <c r="L685" s="361"/>
      <c r="M685" s="361"/>
      <c r="N685" s="361"/>
      <c r="O685" s="361"/>
      <c r="P685" s="361"/>
      <c r="Q685" s="361"/>
      <c r="R685" s="361"/>
      <c r="S685" s="361"/>
      <c r="T685" s="361"/>
      <c r="U685" s="361"/>
      <c r="V685" s="361"/>
      <c r="W685" s="361"/>
      <c r="X685" s="361"/>
      <c r="Y685" s="131"/>
      <c r="Z685" s="163"/>
      <c r="AA685" s="131"/>
      <c r="AB685" s="131"/>
      <c r="AC685" s="131"/>
      <c r="AD685" s="131"/>
      <c r="AE685" s="131"/>
      <c r="AF685" s="163"/>
      <c r="AG685" s="163"/>
      <c r="AH685" s="163"/>
      <c r="AI685" s="163"/>
      <c r="AJ685" s="163"/>
      <c r="AK685" s="163"/>
      <c r="AL685" s="163"/>
      <c r="AM685" s="130"/>
      <c r="AN685" s="163"/>
    </row>
    <row r="686" ht="15.75" customHeight="1">
      <c r="A686" s="362"/>
      <c r="B686" s="362"/>
      <c r="C686" s="362"/>
      <c r="D686" s="362"/>
      <c r="E686" s="132"/>
      <c r="F686" s="132"/>
      <c r="G686" s="361"/>
      <c r="H686" s="361"/>
      <c r="I686" s="361"/>
      <c r="J686" s="363"/>
      <c r="K686" s="364"/>
      <c r="L686" s="361"/>
      <c r="M686" s="361"/>
      <c r="N686" s="361"/>
      <c r="O686" s="361"/>
      <c r="P686" s="361"/>
      <c r="Q686" s="361"/>
      <c r="R686" s="361"/>
      <c r="S686" s="361"/>
      <c r="T686" s="361"/>
      <c r="U686" s="361"/>
      <c r="V686" s="361"/>
      <c r="W686" s="361"/>
      <c r="X686" s="361"/>
      <c r="Y686" s="131"/>
      <c r="Z686" s="163"/>
      <c r="AA686" s="131"/>
      <c r="AB686" s="131"/>
      <c r="AC686" s="131"/>
      <c r="AD686" s="131"/>
      <c r="AE686" s="131"/>
      <c r="AF686" s="163"/>
      <c r="AG686" s="163"/>
      <c r="AH686" s="163"/>
      <c r="AI686" s="163"/>
      <c r="AJ686" s="163"/>
      <c r="AK686" s="163"/>
      <c r="AL686" s="163"/>
      <c r="AM686" s="130"/>
      <c r="AN686" s="163"/>
    </row>
    <row r="687" ht="15.75" customHeight="1">
      <c r="A687" s="362"/>
      <c r="B687" s="362"/>
      <c r="C687" s="362"/>
      <c r="D687" s="362"/>
      <c r="E687" s="132"/>
      <c r="F687" s="132"/>
      <c r="G687" s="361"/>
      <c r="H687" s="361"/>
      <c r="I687" s="361"/>
      <c r="J687" s="363"/>
      <c r="K687" s="364"/>
      <c r="L687" s="361"/>
      <c r="M687" s="361"/>
      <c r="N687" s="361"/>
      <c r="O687" s="361"/>
      <c r="P687" s="361"/>
      <c r="Q687" s="361"/>
      <c r="R687" s="361"/>
      <c r="S687" s="361"/>
      <c r="T687" s="361"/>
      <c r="U687" s="361"/>
      <c r="V687" s="361"/>
      <c r="W687" s="361"/>
      <c r="X687" s="361"/>
      <c r="Y687" s="131"/>
      <c r="Z687" s="163"/>
      <c r="AA687" s="131"/>
      <c r="AB687" s="131"/>
      <c r="AC687" s="131"/>
      <c r="AD687" s="131"/>
      <c r="AE687" s="131"/>
      <c r="AF687" s="163"/>
      <c r="AG687" s="163"/>
      <c r="AH687" s="163"/>
      <c r="AI687" s="163"/>
      <c r="AJ687" s="163"/>
      <c r="AK687" s="163"/>
      <c r="AL687" s="163"/>
      <c r="AM687" s="130"/>
      <c r="AN687" s="163"/>
    </row>
    <row r="688" ht="15.75" customHeight="1">
      <c r="A688" s="362"/>
      <c r="B688" s="362"/>
      <c r="C688" s="362"/>
      <c r="D688" s="362"/>
      <c r="E688" s="132"/>
      <c r="F688" s="132"/>
      <c r="G688" s="361"/>
      <c r="H688" s="361"/>
      <c r="I688" s="361"/>
      <c r="J688" s="363"/>
      <c r="K688" s="364"/>
      <c r="L688" s="361"/>
      <c r="M688" s="361"/>
      <c r="N688" s="361"/>
      <c r="O688" s="361"/>
      <c r="P688" s="361"/>
      <c r="Q688" s="361"/>
      <c r="R688" s="361"/>
      <c r="S688" s="361"/>
      <c r="T688" s="361"/>
      <c r="U688" s="361"/>
      <c r="V688" s="361"/>
      <c r="W688" s="361"/>
      <c r="X688" s="361"/>
      <c r="Y688" s="131"/>
      <c r="Z688" s="163"/>
      <c r="AA688" s="131"/>
      <c r="AB688" s="131"/>
      <c r="AC688" s="131"/>
      <c r="AD688" s="131"/>
      <c r="AE688" s="131"/>
      <c r="AF688" s="163"/>
      <c r="AG688" s="163"/>
      <c r="AH688" s="163"/>
      <c r="AI688" s="163"/>
      <c r="AJ688" s="163"/>
      <c r="AK688" s="163"/>
      <c r="AL688" s="163"/>
      <c r="AM688" s="130"/>
      <c r="AN688" s="163"/>
    </row>
    <row r="689" ht="15.75" customHeight="1">
      <c r="A689" s="362"/>
      <c r="B689" s="362"/>
      <c r="C689" s="362"/>
      <c r="D689" s="362"/>
      <c r="E689" s="132"/>
      <c r="F689" s="132"/>
      <c r="G689" s="361"/>
      <c r="H689" s="361"/>
      <c r="I689" s="361"/>
      <c r="J689" s="363"/>
      <c r="K689" s="364"/>
      <c r="L689" s="361"/>
      <c r="M689" s="361"/>
      <c r="N689" s="361"/>
      <c r="O689" s="361"/>
      <c r="P689" s="361"/>
      <c r="Q689" s="361"/>
      <c r="R689" s="361"/>
      <c r="S689" s="361"/>
      <c r="T689" s="361"/>
      <c r="U689" s="361"/>
      <c r="V689" s="361"/>
      <c r="W689" s="361"/>
      <c r="X689" s="361"/>
      <c r="Y689" s="131"/>
      <c r="Z689" s="163"/>
      <c r="AA689" s="131"/>
      <c r="AB689" s="131"/>
      <c r="AC689" s="131"/>
      <c r="AD689" s="131"/>
      <c r="AE689" s="131"/>
      <c r="AF689" s="163"/>
      <c r="AG689" s="163"/>
      <c r="AH689" s="163"/>
      <c r="AI689" s="163"/>
      <c r="AJ689" s="163"/>
      <c r="AK689" s="163"/>
      <c r="AL689" s="163"/>
      <c r="AM689" s="130"/>
      <c r="AN689" s="163"/>
    </row>
    <row r="690" ht="15.75" customHeight="1">
      <c r="A690" s="362"/>
      <c r="B690" s="362"/>
      <c r="C690" s="362"/>
      <c r="D690" s="362"/>
      <c r="E690" s="132"/>
      <c r="F690" s="132"/>
      <c r="G690" s="361"/>
      <c r="H690" s="361"/>
      <c r="I690" s="361"/>
      <c r="J690" s="363"/>
      <c r="K690" s="364"/>
      <c r="L690" s="361"/>
      <c r="M690" s="361"/>
      <c r="N690" s="361"/>
      <c r="O690" s="361"/>
      <c r="P690" s="361"/>
      <c r="Q690" s="361"/>
      <c r="R690" s="361"/>
      <c r="S690" s="361"/>
      <c r="T690" s="361"/>
      <c r="U690" s="361"/>
      <c r="V690" s="361"/>
      <c r="W690" s="361"/>
      <c r="X690" s="361"/>
      <c r="Y690" s="131"/>
      <c r="Z690" s="163"/>
      <c r="AA690" s="131"/>
      <c r="AB690" s="131"/>
      <c r="AC690" s="131"/>
      <c r="AD690" s="131"/>
      <c r="AE690" s="131"/>
      <c r="AF690" s="163"/>
      <c r="AG690" s="163"/>
      <c r="AH690" s="163"/>
      <c r="AI690" s="163"/>
      <c r="AJ690" s="163"/>
      <c r="AK690" s="163"/>
      <c r="AL690" s="163"/>
      <c r="AM690" s="130"/>
      <c r="AN690" s="163"/>
    </row>
    <row r="691" ht="15.75" customHeight="1">
      <c r="A691" s="362"/>
      <c r="B691" s="362"/>
      <c r="C691" s="362"/>
      <c r="D691" s="362"/>
      <c r="E691" s="132"/>
      <c r="F691" s="132"/>
      <c r="G691" s="361"/>
      <c r="H691" s="361"/>
      <c r="I691" s="361"/>
      <c r="J691" s="363"/>
      <c r="K691" s="364"/>
      <c r="L691" s="361"/>
      <c r="M691" s="361"/>
      <c r="N691" s="361"/>
      <c r="O691" s="361"/>
      <c r="P691" s="361"/>
      <c r="Q691" s="361"/>
      <c r="R691" s="361"/>
      <c r="S691" s="361"/>
      <c r="T691" s="361"/>
      <c r="U691" s="361"/>
      <c r="V691" s="361"/>
      <c r="W691" s="361"/>
      <c r="X691" s="361"/>
      <c r="Y691" s="131"/>
      <c r="Z691" s="163"/>
      <c r="AA691" s="131"/>
      <c r="AB691" s="131"/>
      <c r="AC691" s="131"/>
      <c r="AD691" s="131"/>
      <c r="AE691" s="131"/>
      <c r="AF691" s="163"/>
      <c r="AG691" s="163"/>
      <c r="AH691" s="163"/>
      <c r="AI691" s="163"/>
      <c r="AJ691" s="163"/>
      <c r="AK691" s="163"/>
      <c r="AL691" s="163"/>
      <c r="AM691" s="130"/>
      <c r="AN691" s="163"/>
    </row>
    <row r="692" ht="15.75" customHeight="1">
      <c r="A692" s="362"/>
      <c r="B692" s="362"/>
      <c r="C692" s="362"/>
      <c r="D692" s="362"/>
      <c r="E692" s="132"/>
      <c r="F692" s="132"/>
      <c r="G692" s="361"/>
      <c r="H692" s="361"/>
      <c r="I692" s="361"/>
      <c r="J692" s="363"/>
      <c r="K692" s="364"/>
      <c r="L692" s="361"/>
      <c r="M692" s="361"/>
      <c r="N692" s="361"/>
      <c r="O692" s="361"/>
      <c r="P692" s="361"/>
      <c r="Q692" s="361"/>
      <c r="R692" s="361"/>
      <c r="S692" s="361"/>
      <c r="T692" s="361"/>
      <c r="U692" s="361"/>
      <c r="V692" s="361"/>
      <c r="W692" s="361"/>
      <c r="X692" s="361"/>
      <c r="Y692" s="131"/>
      <c r="Z692" s="163"/>
      <c r="AA692" s="131"/>
      <c r="AB692" s="131"/>
      <c r="AC692" s="131"/>
      <c r="AD692" s="131"/>
      <c r="AE692" s="131"/>
      <c r="AF692" s="163"/>
      <c r="AG692" s="163"/>
      <c r="AH692" s="163"/>
      <c r="AI692" s="163"/>
      <c r="AJ692" s="163"/>
      <c r="AK692" s="163"/>
      <c r="AL692" s="163"/>
      <c r="AM692" s="130"/>
      <c r="AN692" s="163"/>
    </row>
    <row r="693" ht="15.75" customHeight="1">
      <c r="A693" s="362"/>
      <c r="B693" s="362"/>
      <c r="C693" s="362"/>
      <c r="D693" s="362"/>
      <c r="E693" s="132"/>
      <c r="F693" s="132"/>
      <c r="G693" s="361"/>
      <c r="H693" s="361"/>
      <c r="I693" s="361"/>
      <c r="J693" s="363"/>
      <c r="K693" s="364"/>
      <c r="L693" s="361"/>
      <c r="M693" s="361"/>
      <c r="N693" s="361"/>
      <c r="O693" s="361"/>
      <c r="P693" s="361"/>
      <c r="Q693" s="361"/>
      <c r="R693" s="361"/>
      <c r="S693" s="361"/>
      <c r="T693" s="361"/>
      <c r="U693" s="361"/>
      <c r="V693" s="361"/>
      <c r="W693" s="361"/>
      <c r="X693" s="361"/>
      <c r="Y693" s="131"/>
      <c r="Z693" s="163"/>
      <c r="AA693" s="131"/>
      <c r="AB693" s="131"/>
      <c r="AC693" s="131"/>
      <c r="AD693" s="131"/>
      <c r="AE693" s="131"/>
      <c r="AF693" s="163"/>
      <c r="AG693" s="163"/>
      <c r="AH693" s="163"/>
      <c r="AI693" s="163"/>
      <c r="AJ693" s="163"/>
      <c r="AK693" s="163"/>
      <c r="AL693" s="163"/>
      <c r="AM693" s="130"/>
      <c r="AN693" s="163"/>
    </row>
    <row r="694" ht="15.75" customHeight="1">
      <c r="A694" s="362"/>
      <c r="B694" s="362"/>
      <c r="C694" s="362"/>
      <c r="D694" s="362"/>
      <c r="E694" s="132"/>
      <c r="F694" s="132"/>
      <c r="G694" s="361"/>
      <c r="H694" s="361"/>
      <c r="I694" s="361"/>
      <c r="J694" s="363"/>
      <c r="K694" s="364"/>
      <c r="L694" s="361"/>
      <c r="M694" s="361"/>
      <c r="N694" s="361"/>
      <c r="O694" s="361"/>
      <c r="P694" s="361"/>
      <c r="Q694" s="361"/>
      <c r="R694" s="361"/>
      <c r="S694" s="361"/>
      <c r="T694" s="361"/>
      <c r="U694" s="361"/>
      <c r="V694" s="361"/>
      <c r="W694" s="361"/>
      <c r="X694" s="361"/>
      <c r="Y694" s="131"/>
      <c r="Z694" s="163"/>
      <c r="AA694" s="131"/>
      <c r="AB694" s="131"/>
      <c r="AC694" s="131"/>
      <c r="AD694" s="131"/>
      <c r="AE694" s="131"/>
      <c r="AF694" s="163"/>
      <c r="AG694" s="163"/>
      <c r="AH694" s="163"/>
      <c r="AI694" s="163"/>
      <c r="AJ694" s="163"/>
      <c r="AK694" s="163"/>
      <c r="AL694" s="163"/>
      <c r="AM694" s="130"/>
      <c r="AN694" s="163"/>
    </row>
    <row r="695" ht="15.75" customHeight="1">
      <c r="A695" s="362"/>
      <c r="B695" s="362"/>
      <c r="C695" s="362"/>
      <c r="D695" s="362"/>
      <c r="E695" s="132"/>
      <c r="F695" s="132"/>
      <c r="G695" s="361"/>
      <c r="H695" s="361"/>
      <c r="I695" s="361"/>
      <c r="J695" s="363"/>
      <c r="K695" s="364"/>
      <c r="L695" s="361"/>
      <c r="M695" s="361"/>
      <c r="N695" s="361"/>
      <c r="O695" s="361"/>
      <c r="P695" s="361"/>
      <c r="Q695" s="361"/>
      <c r="R695" s="361"/>
      <c r="S695" s="361"/>
      <c r="T695" s="361"/>
      <c r="U695" s="361"/>
      <c r="V695" s="361"/>
      <c r="W695" s="361"/>
      <c r="X695" s="361"/>
      <c r="Y695" s="131"/>
      <c r="Z695" s="163"/>
      <c r="AA695" s="131"/>
      <c r="AB695" s="131"/>
      <c r="AC695" s="131"/>
      <c r="AD695" s="131"/>
      <c r="AE695" s="131"/>
      <c r="AF695" s="163"/>
      <c r="AG695" s="163"/>
      <c r="AH695" s="163"/>
      <c r="AI695" s="163"/>
      <c r="AJ695" s="163"/>
      <c r="AK695" s="163"/>
      <c r="AL695" s="163"/>
      <c r="AM695" s="130"/>
      <c r="AN695" s="163"/>
    </row>
    <row r="696" ht="15.75" customHeight="1">
      <c r="A696" s="362"/>
      <c r="B696" s="362"/>
      <c r="C696" s="362"/>
      <c r="D696" s="362"/>
      <c r="E696" s="132"/>
      <c r="F696" s="132"/>
      <c r="G696" s="361"/>
      <c r="H696" s="361"/>
      <c r="I696" s="361"/>
      <c r="J696" s="363"/>
      <c r="K696" s="364"/>
      <c r="L696" s="361"/>
      <c r="M696" s="361"/>
      <c r="N696" s="361"/>
      <c r="O696" s="361"/>
      <c r="P696" s="361"/>
      <c r="Q696" s="361"/>
      <c r="R696" s="361"/>
      <c r="S696" s="361"/>
      <c r="T696" s="361"/>
      <c r="U696" s="361"/>
      <c r="V696" s="361"/>
      <c r="W696" s="361"/>
      <c r="X696" s="361"/>
      <c r="Y696" s="131"/>
      <c r="Z696" s="163"/>
      <c r="AA696" s="131"/>
      <c r="AB696" s="131"/>
      <c r="AC696" s="131"/>
      <c r="AD696" s="131"/>
      <c r="AE696" s="131"/>
      <c r="AF696" s="163"/>
      <c r="AG696" s="163"/>
      <c r="AH696" s="163"/>
      <c r="AI696" s="163"/>
      <c r="AJ696" s="163"/>
      <c r="AK696" s="163"/>
      <c r="AL696" s="163"/>
      <c r="AM696" s="130"/>
      <c r="AN696" s="163"/>
    </row>
    <row r="697" ht="15.75" customHeight="1">
      <c r="A697" s="362"/>
      <c r="B697" s="362"/>
      <c r="C697" s="362"/>
      <c r="D697" s="362"/>
      <c r="E697" s="132"/>
      <c r="F697" s="132"/>
      <c r="G697" s="361"/>
      <c r="H697" s="361"/>
      <c r="I697" s="361"/>
      <c r="J697" s="363"/>
      <c r="K697" s="364"/>
      <c r="L697" s="361"/>
      <c r="M697" s="361"/>
      <c r="N697" s="361"/>
      <c r="O697" s="361"/>
      <c r="P697" s="361"/>
      <c r="Q697" s="361"/>
      <c r="R697" s="361"/>
      <c r="S697" s="361"/>
      <c r="T697" s="361"/>
      <c r="U697" s="361"/>
      <c r="V697" s="361"/>
      <c r="W697" s="361"/>
      <c r="X697" s="361"/>
      <c r="Y697" s="131"/>
      <c r="Z697" s="163"/>
      <c r="AA697" s="131"/>
      <c r="AB697" s="131"/>
      <c r="AC697" s="131"/>
      <c r="AD697" s="131"/>
      <c r="AE697" s="131"/>
      <c r="AF697" s="163"/>
      <c r="AG697" s="163"/>
      <c r="AH697" s="163"/>
      <c r="AI697" s="163"/>
      <c r="AJ697" s="163"/>
      <c r="AK697" s="163"/>
      <c r="AL697" s="163"/>
      <c r="AM697" s="130"/>
      <c r="AN697" s="163"/>
    </row>
    <row r="698" ht="15.75" customHeight="1">
      <c r="A698" s="362"/>
      <c r="B698" s="362"/>
      <c r="C698" s="362"/>
      <c r="D698" s="362"/>
      <c r="E698" s="132"/>
      <c r="F698" s="132"/>
      <c r="G698" s="361"/>
      <c r="H698" s="361"/>
      <c r="I698" s="361"/>
      <c r="J698" s="363"/>
      <c r="K698" s="364"/>
      <c r="L698" s="361"/>
      <c r="M698" s="361"/>
      <c r="N698" s="361"/>
      <c r="O698" s="361"/>
      <c r="P698" s="361"/>
      <c r="Q698" s="361"/>
      <c r="R698" s="361"/>
      <c r="S698" s="361"/>
      <c r="T698" s="361"/>
      <c r="U698" s="361"/>
      <c r="V698" s="361"/>
      <c r="W698" s="361"/>
      <c r="X698" s="361"/>
      <c r="Y698" s="131"/>
      <c r="Z698" s="163"/>
      <c r="AA698" s="131"/>
      <c r="AB698" s="131"/>
      <c r="AC698" s="131"/>
      <c r="AD698" s="131"/>
      <c r="AE698" s="131"/>
      <c r="AF698" s="163"/>
      <c r="AG698" s="163"/>
      <c r="AH698" s="163"/>
      <c r="AI698" s="163"/>
      <c r="AJ698" s="163"/>
      <c r="AK698" s="163"/>
      <c r="AL698" s="163"/>
      <c r="AM698" s="130"/>
      <c r="AN698" s="163"/>
    </row>
    <row r="699" ht="15.75" customHeight="1">
      <c r="A699" s="362"/>
      <c r="B699" s="362"/>
      <c r="C699" s="362"/>
      <c r="D699" s="362"/>
      <c r="E699" s="132"/>
      <c r="F699" s="132"/>
      <c r="G699" s="361"/>
      <c r="H699" s="361"/>
      <c r="I699" s="361"/>
      <c r="J699" s="363"/>
      <c r="K699" s="364"/>
      <c r="L699" s="361"/>
      <c r="M699" s="361"/>
      <c r="N699" s="361"/>
      <c r="O699" s="361"/>
      <c r="P699" s="361"/>
      <c r="Q699" s="361"/>
      <c r="R699" s="361"/>
      <c r="S699" s="361"/>
      <c r="T699" s="361"/>
      <c r="U699" s="361"/>
      <c r="V699" s="361"/>
      <c r="W699" s="361"/>
      <c r="X699" s="361"/>
      <c r="Y699" s="131"/>
      <c r="Z699" s="163"/>
      <c r="AA699" s="131"/>
      <c r="AB699" s="131"/>
      <c r="AC699" s="131"/>
      <c r="AD699" s="131"/>
      <c r="AE699" s="131"/>
      <c r="AF699" s="163"/>
      <c r="AG699" s="163"/>
      <c r="AH699" s="163"/>
      <c r="AI699" s="163"/>
      <c r="AJ699" s="163"/>
      <c r="AK699" s="163"/>
      <c r="AL699" s="163"/>
      <c r="AM699" s="130"/>
      <c r="AN699" s="163"/>
    </row>
    <row r="700" ht="15.75" customHeight="1">
      <c r="A700" s="362"/>
      <c r="B700" s="362"/>
      <c r="C700" s="362"/>
      <c r="D700" s="362"/>
      <c r="E700" s="132"/>
      <c r="F700" s="132"/>
      <c r="G700" s="361"/>
      <c r="H700" s="361"/>
      <c r="I700" s="361"/>
      <c r="J700" s="363"/>
      <c r="K700" s="364"/>
      <c r="L700" s="361"/>
      <c r="M700" s="361"/>
      <c r="N700" s="361"/>
      <c r="O700" s="361"/>
      <c r="P700" s="361"/>
      <c r="Q700" s="361"/>
      <c r="R700" s="361"/>
      <c r="S700" s="361"/>
      <c r="T700" s="361"/>
      <c r="U700" s="361"/>
      <c r="V700" s="361"/>
      <c r="W700" s="361"/>
      <c r="X700" s="361"/>
      <c r="Y700" s="131"/>
      <c r="Z700" s="163"/>
      <c r="AA700" s="131"/>
      <c r="AB700" s="131"/>
      <c r="AC700" s="131"/>
      <c r="AD700" s="131"/>
      <c r="AE700" s="131"/>
      <c r="AF700" s="163"/>
      <c r="AG700" s="163"/>
      <c r="AH700" s="163"/>
      <c r="AI700" s="163"/>
      <c r="AJ700" s="163"/>
      <c r="AK700" s="163"/>
      <c r="AL700" s="163"/>
      <c r="AM700" s="130"/>
      <c r="AN700" s="163"/>
    </row>
    <row r="701" ht="15.75" customHeight="1">
      <c r="A701" s="362"/>
      <c r="B701" s="362"/>
      <c r="C701" s="362"/>
      <c r="D701" s="362"/>
      <c r="E701" s="132"/>
      <c r="F701" s="132"/>
      <c r="G701" s="361"/>
      <c r="H701" s="361"/>
      <c r="I701" s="361"/>
      <c r="J701" s="363"/>
      <c r="K701" s="364"/>
      <c r="L701" s="361"/>
      <c r="M701" s="361"/>
      <c r="N701" s="361"/>
      <c r="O701" s="361"/>
      <c r="P701" s="361"/>
      <c r="Q701" s="361"/>
      <c r="R701" s="361"/>
      <c r="S701" s="361"/>
      <c r="T701" s="361"/>
      <c r="U701" s="361"/>
      <c r="V701" s="361"/>
      <c r="W701" s="361"/>
      <c r="X701" s="361"/>
      <c r="Y701" s="131"/>
      <c r="Z701" s="163"/>
      <c r="AA701" s="131"/>
      <c r="AB701" s="131"/>
      <c r="AC701" s="131"/>
      <c r="AD701" s="131"/>
      <c r="AE701" s="131"/>
      <c r="AF701" s="163"/>
      <c r="AG701" s="163"/>
      <c r="AH701" s="163"/>
      <c r="AI701" s="163"/>
      <c r="AJ701" s="163"/>
      <c r="AK701" s="163"/>
      <c r="AL701" s="163"/>
      <c r="AM701" s="130"/>
      <c r="AN701" s="163"/>
    </row>
    <row r="702" ht="15.75" customHeight="1">
      <c r="A702" s="362"/>
      <c r="B702" s="362"/>
      <c r="C702" s="362"/>
      <c r="D702" s="362"/>
      <c r="E702" s="132"/>
      <c r="F702" s="132"/>
      <c r="G702" s="361"/>
      <c r="H702" s="361"/>
      <c r="I702" s="361"/>
      <c r="J702" s="363"/>
      <c r="K702" s="364"/>
      <c r="L702" s="361"/>
      <c r="M702" s="361"/>
      <c r="N702" s="361"/>
      <c r="O702" s="361"/>
      <c r="P702" s="361"/>
      <c r="Q702" s="361"/>
      <c r="R702" s="361"/>
      <c r="S702" s="361"/>
      <c r="T702" s="361"/>
      <c r="U702" s="361"/>
      <c r="V702" s="361"/>
      <c r="W702" s="361"/>
      <c r="X702" s="361"/>
      <c r="Y702" s="131"/>
      <c r="Z702" s="163"/>
      <c r="AA702" s="131"/>
      <c r="AB702" s="131"/>
      <c r="AC702" s="131"/>
      <c r="AD702" s="131"/>
      <c r="AE702" s="131"/>
      <c r="AF702" s="163"/>
      <c r="AG702" s="163"/>
      <c r="AH702" s="163"/>
      <c r="AI702" s="163"/>
      <c r="AJ702" s="163"/>
      <c r="AK702" s="163"/>
      <c r="AL702" s="163"/>
      <c r="AM702" s="130"/>
      <c r="AN702" s="163"/>
    </row>
    <row r="703" ht="15.75" customHeight="1">
      <c r="A703" s="362"/>
      <c r="B703" s="362"/>
      <c r="C703" s="362"/>
      <c r="D703" s="362"/>
      <c r="E703" s="132"/>
      <c r="F703" s="132"/>
      <c r="G703" s="361"/>
      <c r="H703" s="361"/>
      <c r="I703" s="361"/>
      <c r="J703" s="363"/>
      <c r="K703" s="364"/>
      <c r="L703" s="361"/>
      <c r="M703" s="361"/>
      <c r="N703" s="361"/>
      <c r="O703" s="361"/>
      <c r="P703" s="361"/>
      <c r="Q703" s="361"/>
      <c r="R703" s="361"/>
      <c r="S703" s="361"/>
      <c r="T703" s="361"/>
      <c r="U703" s="361"/>
      <c r="V703" s="361"/>
      <c r="W703" s="361"/>
      <c r="X703" s="361"/>
      <c r="Y703" s="131"/>
      <c r="Z703" s="163"/>
      <c r="AA703" s="131"/>
      <c r="AB703" s="131"/>
      <c r="AC703" s="131"/>
      <c r="AD703" s="131"/>
      <c r="AE703" s="131"/>
      <c r="AF703" s="163"/>
      <c r="AG703" s="163"/>
      <c r="AH703" s="163"/>
      <c r="AI703" s="163"/>
      <c r="AJ703" s="163"/>
      <c r="AK703" s="163"/>
      <c r="AL703" s="163"/>
      <c r="AM703" s="130"/>
      <c r="AN703" s="163"/>
    </row>
    <row r="704" ht="15.75" customHeight="1">
      <c r="A704" s="362"/>
      <c r="B704" s="362"/>
      <c r="C704" s="362"/>
      <c r="D704" s="362"/>
      <c r="E704" s="132"/>
      <c r="F704" s="132"/>
      <c r="G704" s="361"/>
      <c r="H704" s="361"/>
      <c r="I704" s="361"/>
      <c r="J704" s="363"/>
      <c r="K704" s="364"/>
      <c r="L704" s="361"/>
      <c r="M704" s="361"/>
      <c r="N704" s="361"/>
      <c r="O704" s="361"/>
      <c r="P704" s="361"/>
      <c r="Q704" s="361"/>
      <c r="R704" s="361"/>
      <c r="S704" s="361"/>
      <c r="T704" s="361"/>
      <c r="U704" s="361"/>
      <c r="V704" s="361"/>
      <c r="W704" s="361"/>
      <c r="X704" s="361"/>
      <c r="Y704" s="131"/>
      <c r="Z704" s="163"/>
      <c r="AA704" s="131"/>
      <c r="AB704" s="131"/>
      <c r="AC704" s="131"/>
      <c r="AD704" s="131"/>
      <c r="AE704" s="131"/>
      <c r="AF704" s="163"/>
      <c r="AG704" s="163"/>
      <c r="AH704" s="163"/>
      <c r="AI704" s="163"/>
      <c r="AJ704" s="163"/>
      <c r="AK704" s="163"/>
      <c r="AL704" s="163"/>
      <c r="AM704" s="130"/>
      <c r="AN704" s="163"/>
    </row>
    <row r="705" ht="15.75" customHeight="1">
      <c r="A705" s="362"/>
      <c r="B705" s="362"/>
      <c r="C705" s="362"/>
      <c r="D705" s="362"/>
      <c r="E705" s="132"/>
      <c r="F705" s="132"/>
      <c r="G705" s="361"/>
      <c r="H705" s="361"/>
      <c r="I705" s="361"/>
      <c r="J705" s="363"/>
      <c r="K705" s="364"/>
      <c r="L705" s="361"/>
      <c r="M705" s="361"/>
      <c r="N705" s="361"/>
      <c r="O705" s="361"/>
      <c r="P705" s="361"/>
      <c r="Q705" s="361"/>
      <c r="R705" s="361"/>
      <c r="S705" s="361"/>
      <c r="T705" s="361"/>
      <c r="U705" s="361"/>
      <c r="V705" s="361"/>
      <c r="W705" s="361"/>
      <c r="X705" s="361"/>
      <c r="Y705" s="131"/>
      <c r="Z705" s="163"/>
      <c r="AA705" s="131"/>
      <c r="AB705" s="131"/>
      <c r="AC705" s="131"/>
      <c r="AD705" s="131"/>
      <c r="AE705" s="131"/>
      <c r="AF705" s="163"/>
      <c r="AG705" s="163"/>
      <c r="AH705" s="163"/>
      <c r="AI705" s="163"/>
      <c r="AJ705" s="163"/>
      <c r="AK705" s="163"/>
      <c r="AL705" s="163"/>
      <c r="AM705" s="130"/>
      <c r="AN705" s="163"/>
    </row>
    <row r="706" ht="15.75" customHeight="1">
      <c r="A706" s="362"/>
      <c r="B706" s="362"/>
      <c r="C706" s="362"/>
      <c r="D706" s="362"/>
      <c r="E706" s="132"/>
      <c r="F706" s="132"/>
      <c r="G706" s="361"/>
      <c r="H706" s="361"/>
      <c r="I706" s="361"/>
      <c r="J706" s="363"/>
      <c r="K706" s="364"/>
      <c r="L706" s="361"/>
      <c r="M706" s="361"/>
      <c r="N706" s="361"/>
      <c r="O706" s="361"/>
      <c r="P706" s="361"/>
      <c r="Q706" s="361"/>
      <c r="R706" s="361"/>
      <c r="S706" s="361"/>
      <c r="T706" s="361"/>
      <c r="U706" s="361"/>
      <c r="V706" s="361"/>
      <c r="W706" s="361"/>
      <c r="X706" s="361"/>
      <c r="Y706" s="131"/>
      <c r="Z706" s="163"/>
      <c r="AA706" s="131"/>
      <c r="AB706" s="131"/>
      <c r="AC706" s="131"/>
      <c r="AD706" s="131"/>
      <c r="AE706" s="131"/>
      <c r="AF706" s="163"/>
      <c r="AG706" s="163"/>
      <c r="AH706" s="163"/>
      <c r="AI706" s="163"/>
      <c r="AJ706" s="163"/>
      <c r="AK706" s="163"/>
      <c r="AL706" s="163"/>
      <c r="AM706" s="130"/>
      <c r="AN706" s="163"/>
    </row>
    <row r="707" ht="15.75" customHeight="1">
      <c r="A707" s="362"/>
      <c r="B707" s="362"/>
      <c r="C707" s="362"/>
      <c r="D707" s="362"/>
      <c r="E707" s="132"/>
      <c r="F707" s="132"/>
      <c r="G707" s="361"/>
      <c r="H707" s="361"/>
      <c r="I707" s="361"/>
      <c r="J707" s="363"/>
      <c r="K707" s="364"/>
      <c r="L707" s="361"/>
      <c r="M707" s="361"/>
      <c r="N707" s="361"/>
      <c r="O707" s="361"/>
      <c r="P707" s="361"/>
      <c r="Q707" s="361"/>
      <c r="R707" s="361"/>
      <c r="S707" s="361"/>
      <c r="T707" s="361"/>
      <c r="U707" s="361"/>
      <c r="V707" s="361"/>
      <c r="W707" s="361"/>
      <c r="X707" s="361"/>
      <c r="Y707" s="131"/>
      <c r="Z707" s="163"/>
      <c r="AA707" s="131"/>
      <c r="AB707" s="131"/>
      <c r="AC707" s="131"/>
      <c r="AD707" s="131"/>
      <c r="AE707" s="131"/>
      <c r="AF707" s="163"/>
      <c r="AG707" s="163"/>
      <c r="AH707" s="163"/>
      <c r="AI707" s="163"/>
      <c r="AJ707" s="163"/>
      <c r="AK707" s="163"/>
      <c r="AL707" s="163"/>
      <c r="AM707" s="130"/>
      <c r="AN707" s="163"/>
    </row>
    <row r="708" ht="15.75" customHeight="1">
      <c r="A708" s="362"/>
      <c r="B708" s="362"/>
      <c r="C708" s="362"/>
      <c r="D708" s="362"/>
      <c r="E708" s="132"/>
      <c r="F708" s="132"/>
      <c r="G708" s="361"/>
      <c r="H708" s="361"/>
      <c r="I708" s="361"/>
      <c r="J708" s="363"/>
      <c r="K708" s="364"/>
      <c r="L708" s="361"/>
      <c r="M708" s="361"/>
      <c r="N708" s="361"/>
      <c r="O708" s="361"/>
      <c r="P708" s="361"/>
      <c r="Q708" s="361"/>
      <c r="R708" s="361"/>
      <c r="S708" s="361"/>
      <c r="T708" s="361"/>
      <c r="U708" s="361"/>
      <c r="V708" s="361"/>
      <c r="W708" s="361"/>
      <c r="X708" s="361"/>
      <c r="Y708" s="131"/>
      <c r="Z708" s="163"/>
      <c r="AA708" s="131"/>
      <c r="AB708" s="131"/>
      <c r="AC708" s="131"/>
      <c r="AD708" s="131"/>
      <c r="AE708" s="131"/>
      <c r="AF708" s="163"/>
      <c r="AG708" s="163"/>
      <c r="AH708" s="163"/>
      <c r="AI708" s="163"/>
      <c r="AJ708" s="163"/>
      <c r="AK708" s="163"/>
      <c r="AL708" s="163"/>
      <c r="AM708" s="130"/>
      <c r="AN708" s="163"/>
    </row>
    <row r="709" ht="15.75" customHeight="1">
      <c r="A709" s="362"/>
      <c r="B709" s="362"/>
      <c r="C709" s="362"/>
      <c r="D709" s="362"/>
      <c r="E709" s="132"/>
      <c r="F709" s="132"/>
      <c r="G709" s="361"/>
      <c r="H709" s="361"/>
      <c r="I709" s="361"/>
      <c r="J709" s="363"/>
      <c r="K709" s="364"/>
      <c r="L709" s="361"/>
      <c r="M709" s="361"/>
      <c r="N709" s="361"/>
      <c r="O709" s="361"/>
      <c r="P709" s="361"/>
      <c r="Q709" s="361"/>
      <c r="R709" s="361"/>
      <c r="S709" s="361"/>
      <c r="T709" s="361"/>
      <c r="U709" s="361"/>
      <c r="V709" s="361"/>
      <c r="W709" s="361"/>
      <c r="X709" s="361"/>
      <c r="Y709" s="131"/>
      <c r="Z709" s="163"/>
      <c r="AA709" s="131"/>
      <c r="AB709" s="131"/>
      <c r="AC709" s="131"/>
      <c r="AD709" s="131"/>
      <c r="AE709" s="131"/>
      <c r="AF709" s="163"/>
      <c r="AG709" s="163"/>
      <c r="AH709" s="163"/>
      <c r="AI709" s="163"/>
      <c r="AJ709" s="163"/>
      <c r="AK709" s="163"/>
      <c r="AL709" s="163"/>
      <c r="AM709" s="130"/>
      <c r="AN709" s="163"/>
    </row>
    <row r="710" ht="15.75" customHeight="1">
      <c r="A710" s="362"/>
      <c r="B710" s="362"/>
      <c r="C710" s="362"/>
      <c r="D710" s="362"/>
      <c r="E710" s="132"/>
      <c r="F710" s="132"/>
      <c r="G710" s="361"/>
      <c r="H710" s="361"/>
      <c r="I710" s="361"/>
      <c r="J710" s="363"/>
      <c r="K710" s="364"/>
      <c r="L710" s="361"/>
      <c r="M710" s="361"/>
      <c r="N710" s="361"/>
      <c r="O710" s="361"/>
      <c r="P710" s="361"/>
      <c r="Q710" s="361"/>
      <c r="R710" s="361"/>
      <c r="S710" s="361"/>
      <c r="T710" s="361"/>
      <c r="U710" s="361"/>
      <c r="V710" s="361"/>
      <c r="W710" s="361"/>
      <c r="X710" s="361"/>
      <c r="Y710" s="131"/>
      <c r="Z710" s="163"/>
      <c r="AA710" s="131"/>
      <c r="AB710" s="131"/>
      <c r="AC710" s="131"/>
      <c r="AD710" s="131"/>
      <c r="AE710" s="131"/>
      <c r="AF710" s="163"/>
      <c r="AG710" s="163"/>
      <c r="AH710" s="163"/>
      <c r="AI710" s="163"/>
      <c r="AJ710" s="163"/>
      <c r="AK710" s="163"/>
      <c r="AL710" s="163"/>
      <c r="AM710" s="130"/>
      <c r="AN710" s="163"/>
    </row>
    <row r="711" ht="15.75" customHeight="1">
      <c r="A711" s="362"/>
      <c r="B711" s="362"/>
      <c r="C711" s="362"/>
      <c r="D711" s="362"/>
      <c r="E711" s="132"/>
      <c r="F711" s="132"/>
      <c r="G711" s="361"/>
      <c r="H711" s="361"/>
      <c r="I711" s="361"/>
      <c r="J711" s="363"/>
      <c r="K711" s="364"/>
      <c r="L711" s="361"/>
      <c r="M711" s="361"/>
      <c r="N711" s="361"/>
      <c r="O711" s="361"/>
      <c r="P711" s="361"/>
      <c r="Q711" s="361"/>
      <c r="R711" s="361"/>
      <c r="S711" s="361"/>
      <c r="T711" s="361"/>
      <c r="U711" s="361"/>
      <c r="V711" s="361"/>
      <c r="W711" s="361"/>
      <c r="X711" s="361"/>
      <c r="Y711" s="131"/>
      <c r="Z711" s="163"/>
      <c r="AA711" s="131"/>
      <c r="AB711" s="131"/>
      <c r="AC711" s="131"/>
      <c r="AD711" s="131"/>
      <c r="AE711" s="131"/>
      <c r="AF711" s="163"/>
      <c r="AG711" s="163"/>
      <c r="AH711" s="163"/>
      <c r="AI711" s="163"/>
      <c r="AJ711" s="163"/>
      <c r="AK711" s="163"/>
      <c r="AL711" s="163"/>
      <c r="AM711" s="130"/>
      <c r="AN711" s="163"/>
    </row>
    <row r="712" ht="15.75" customHeight="1">
      <c r="A712" s="362"/>
      <c r="B712" s="362"/>
      <c r="C712" s="362"/>
      <c r="D712" s="362"/>
      <c r="E712" s="132"/>
      <c r="F712" s="132"/>
      <c r="G712" s="361"/>
      <c r="H712" s="361"/>
      <c r="I712" s="361"/>
      <c r="J712" s="363"/>
      <c r="K712" s="364"/>
      <c r="L712" s="361"/>
      <c r="M712" s="361"/>
      <c r="N712" s="361"/>
      <c r="O712" s="361"/>
      <c r="P712" s="361"/>
      <c r="Q712" s="361"/>
      <c r="R712" s="361"/>
      <c r="S712" s="361"/>
      <c r="T712" s="361"/>
      <c r="U712" s="361"/>
      <c r="V712" s="361"/>
      <c r="W712" s="361"/>
      <c r="X712" s="361"/>
      <c r="Y712" s="131"/>
      <c r="Z712" s="163"/>
      <c r="AA712" s="131"/>
      <c r="AB712" s="131"/>
      <c r="AC712" s="131"/>
      <c r="AD712" s="131"/>
      <c r="AE712" s="131"/>
      <c r="AF712" s="163"/>
      <c r="AG712" s="163"/>
      <c r="AH712" s="163"/>
      <c r="AI712" s="163"/>
      <c r="AJ712" s="163"/>
      <c r="AK712" s="163"/>
      <c r="AL712" s="163"/>
      <c r="AM712" s="130"/>
      <c r="AN712" s="163"/>
    </row>
    <row r="713" ht="15.75" customHeight="1">
      <c r="A713" s="362"/>
      <c r="B713" s="362"/>
      <c r="C713" s="362"/>
      <c r="D713" s="362"/>
      <c r="E713" s="132"/>
      <c r="F713" s="132"/>
      <c r="G713" s="361"/>
      <c r="H713" s="361"/>
      <c r="I713" s="361"/>
      <c r="J713" s="363"/>
      <c r="K713" s="364"/>
      <c r="L713" s="361"/>
      <c r="M713" s="361"/>
      <c r="N713" s="361"/>
      <c r="O713" s="361"/>
      <c r="P713" s="361"/>
      <c r="Q713" s="361"/>
      <c r="R713" s="361"/>
      <c r="S713" s="361"/>
      <c r="T713" s="361"/>
      <c r="U713" s="361"/>
      <c r="V713" s="361"/>
      <c r="W713" s="361"/>
      <c r="X713" s="361"/>
      <c r="Y713" s="131"/>
      <c r="Z713" s="163"/>
      <c r="AA713" s="131"/>
      <c r="AB713" s="131"/>
      <c r="AC713" s="131"/>
      <c r="AD713" s="131"/>
      <c r="AE713" s="131"/>
      <c r="AF713" s="163"/>
      <c r="AG713" s="163"/>
      <c r="AH713" s="163"/>
      <c r="AI713" s="163"/>
      <c r="AJ713" s="163"/>
      <c r="AK713" s="163"/>
      <c r="AL713" s="163"/>
      <c r="AM713" s="130"/>
      <c r="AN713" s="163"/>
    </row>
    <row r="714" ht="15.75" customHeight="1">
      <c r="A714" s="362"/>
      <c r="B714" s="362"/>
      <c r="C714" s="362"/>
      <c r="D714" s="362"/>
      <c r="E714" s="132"/>
      <c r="F714" s="132"/>
      <c r="G714" s="361"/>
      <c r="H714" s="361"/>
      <c r="I714" s="361"/>
      <c r="J714" s="363"/>
      <c r="K714" s="364"/>
      <c r="L714" s="361"/>
      <c r="M714" s="361"/>
      <c r="N714" s="361"/>
      <c r="O714" s="361"/>
      <c r="P714" s="361"/>
      <c r="Q714" s="361"/>
      <c r="R714" s="361"/>
      <c r="S714" s="361"/>
      <c r="T714" s="361"/>
      <c r="U714" s="361"/>
      <c r="V714" s="361"/>
      <c r="W714" s="361"/>
      <c r="X714" s="361"/>
      <c r="Y714" s="131"/>
      <c r="Z714" s="163"/>
      <c r="AA714" s="131"/>
      <c r="AB714" s="131"/>
      <c r="AC714" s="131"/>
      <c r="AD714" s="131"/>
      <c r="AE714" s="131"/>
      <c r="AF714" s="163"/>
      <c r="AG714" s="163"/>
      <c r="AH714" s="163"/>
      <c r="AI714" s="163"/>
      <c r="AJ714" s="163"/>
      <c r="AK714" s="163"/>
      <c r="AL714" s="163"/>
      <c r="AM714" s="130"/>
      <c r="AN714" s="163"/>
    </row>
    <row r="715" ht="15.75" customHeight="1">
      <c r="A715" s="362"/>
      <c r="B715" s="362"/>
      <c r="C715" s="362"/>
      <c r="D715" s="362"/>
      <c r="E715" s="132"/>
      <c r="F715" s="132"/>
      <c r="G715" s="361"/>
      <c r="H715" s="361"/>
      <c r="I715" s="361"/>
      <c r="J715" s="363"/>
      <c r="K715" s="364"/>
      <c r="L715" s="361"/>
      <c r="M715" s="361"/>
      <c r="N715" s="361"/>
      <c r="O715" s="361"/>
      <c r="P715" s="361"/>
      <c r="Q715" s="361"/>
      <c r="R715" s="361"/>
      <c r="S715" s="361"/>
      <c r="T715" s="361"/>
      <c r="U715" s="361"/>
      <c r="V715" s="361"/>
      <c r="W715" s="361"/>
      <c r="X715" s="361"/>
      <c r="Y715" s="131"/>
      <c r="Z715" s="163"/>
      <c r="AA715" s="131"/>
      <c r="AB715" s="131"/>
      <c r="AC715" s="131"/>
      <c r="AD715" s="131"/>
      <c r="AE715" s="131"/>
      <c r="AF715" s="163"/>
      <c r="AG715" s="163"/>
      <c r="AH715" s="163"/>
      <c r="AI715" s="163"/>
      <c r="AJ715" s="163"/>
      <c r="AK715" s="163"/>
      <c r="AL715" s="163"/>
      <c r="AM715" s="130"/>
      <c r="AN715" s="163"/>
    </row>
    <row r="716" ht="15.75" customHeight="1">
      <c r="A716" s="362"/>
      <c r="B716" s="362"/>
      <c r="C716" s="362"/>
      <c r="D716" s="362"/>
      <c r="E716" s="132"/>
      <c r="F716" s="132"/>
      <c r="G716" s="361"/>
      <c r="H716" s="361"/>
      <c r="I716" s="361"/>
      <c r="J716" s="363"/>
      <c r="K716" s="364"/>
      <c r="L716" s="361"/>
      <c r="M716" s="361"/>
      <c r="N716" s="361"/>
      <c r="O716" s="361"/>
      <c r="P716" s="361"/>
      <c r="Q716" s="361"/>
      <c r="R716" s="361"/>
      <c r="S716" s="361"/>
      <c r="T716" s="361"/>
      <c r="U716" s="361"/>
      <c r="V716" s="361"/>
      <c r="W716" s="361"/>
      <c r="X716" s="361"/>
      <c r="Y716" s="131"/>
      <c r="Z716" s="163"/>
      <c r="AA716" s="131"/>
      <c r="AB716" s="131"/>
      <c r="AC716" s="131"/>
      <c r="AD716" s="131"/>
      <c r="AE716" s="131"/>
      <c r="AF716" s="163"/>
      <c r="AG716" s="163"/>
      <c r="AH716" s="163"/>
      <c r="AI716" s="163"/>
      <c r="AJ716" s="163"/>
      <c r="AK716" s="163"/>
      <c r="AL716" s="163"/>
      <c r="AM716" s="130"/>
      <c r="AN716" s="163"/>
    </row>
    <row r="717" ht="15.75" customHeight="1">
      <c r="A717" s="362"/>
      <c r="B717" s="362"/>
      <c r="C717" s="362"/>
      <c r="D717" s="362"/>
      <c r="E717" s="132"/>
      <c r="F717" s="132"/>
      <c r="G717" s="361"/>
      <c r="H717" s="361"/>
      <c r="I717" s="361"/>
      <c r="J717" s="363"/>
      <c r="K717" s="364"/>
      <c r="L717" s="361"/>
      <c r="M717" s="361"/>
      <c r="N717" s="361"/>
      <c r="O717" s="361"/>
      <c r="P717" s="361"/>
      <c r="Q717" s="361"/>
      <c r="R717" s="361"/>
      <c r="S717" s="361"/>
      <c r="T717" s="361"/>
      <c r="U717" s="361"/>
      <c r="V717" s="361"/>
      <c r="W717" s="361"/>
      <c r="X717" s="361"/>
      <c r="Y717" s="131"/>
      <c r="Z717" s="163"/>
      <c r="AA717" s="131"/>
      <c r="AB717" s="131"/>
      <c r="AC717" s="131"/>
      <c r="AD717" s="131"/>
      <c r="AE717" s="131"/>
      <c r="AF717" s="163"/>
      <c r="AG717" s="163"/>
      <c r="AH717" s="163"/>
      <c r="AI717" s="163"/>
      <c r="AJ717" s="163"/>
      <c r="AK717" s="163"/>
      <c r="AL717" s="163"/>
      <c r="AM717" s="130"/>
      <c r="AN717" s="163"/>
    </row>
    <row r="718" ht="15.75" customHeight="1">
      <c r="A718" s="362"/>
      <c r="B718" s="362"/>
      <c r="C718" s="362"/>
      <c r="D718" s="362"/>
      <c r="E718" s="132"/>
      <c r="F718" s="132"/>
      <c r="G718" s="361"/>
      <c r="H718" s="361"/>
      <c r="I718" s="361"/>
      <c r="J718" s="363"/>
      <c r="K718" s="364"/>
      <c r="L718" s="361"/>
      <c r="M718" s="361"/>
      <c r="N718" s="361"/>
      <c r="O718" s="361"/>
      <c r="P718" s="361"/>
      <c r="Q718" s="361"/>
      <c r="R718" s="361"/>
      <c r="S718" s="361"/>
      <c r="T718" s="361"/>
      <c r="U718" s="361"/>
      <c r="V718" s="361"/>
      <c r="W718" s="361"/>
      <c r="X718" s="361"/>
      <c r="Y718" s="131"/>
      <c r="Z718" s="163"/>
      <c r="AA718" s="131"/>
      <c r="AB718" s="131"/>
      <c r="AC718" s="131"/>
      <c r="AD718" s="131"/>
      <c r="AE718" s="131"/>
      <c r="AF718" s="163"/>
      <c r="AG718" s="163"/>
      <c r="AH718" s="163"/>
      <c r="AI718" s="163"/>
      <c r="AJ718" s="163"/>
      <c r="AK718" s="163"/>
      <c r="AL718" s="163"/>
      <c r="AM718" s="130"/>
      <c r="AN718" s="163"/>
    </row>
    <row r="719" ht="15.75" customHeight="1">
      <c r="A719" s="362"/>
      <c r="B719" s="362"/>
      <c r="C719" s="362"/>
      <c r="D719" s="362"/>
      <c r="E719" s="132"/>
      <c r="F719" s="132"/>
      <c r="G719" s="361"/>
      <c r="H719" s="361"/>
      <c r="I719" s="361"/>
      <c r="J719" s="363"/>
      <c r="K719" s="364"/>
      <c r="L719" s="361"/>
      <c r="M719" s="361"/>
      <c r="N719" s="361"/>
      <c r="O719" s="361"/>
      <c r="P719" s="361"/>
      <c r="Q719" s="361"/>
      <c r="R719" s="361"/>
      <c r="S719" s="361"/>
      <c r="T719" s="361"/>
      <c r="U719" s="361"/>
      <c r="V719" s="361"/>
      <c r="W719" s="361"/>
      <c r="X719" s="361"/>
      <c r="Y719" s="131"/>
      <c r="Z719" s="163"/>
      <c r="AA719" s="131"/>
      <c r="AB719" s="131"/>
      <c r="AC719" s="131"/>
      <c r="AD719" s="131"/>
      <c r="AE719" s="131"/>
      <c r="AF719" s="163"/>
      <c r="AG719" s="163"/>
      <c r="AH719" s="163"/>
      <c r="AI719" s="163"/>
      <c r="AJ719" s="163"/>
      <c r="AK719" s="163"/>
      <c r="AL719" s="163"/>
      <c r="AM719" s="130"/>
      <c r="AN719" s="163"/>
    </row>
    <row r="720" ht="15.75" customHeight="1">
      <c r="A720" s="362"/>
      <c r="B720" s="362"/>
      <c r="C720" s="362"/>
      <c r="D720" s="362"/>
      <c r="E720" s="132"/>
      <c r="F720" s="132"/>
      <c r="G720" s="361"/>
      <c r="H720" s="361"/>
      <c r="I720" s="361"/>
      <c r="J720" s="363"/>
      <c r="K720" s="364"/>
      <c r="L720" s="361"/>
      <c r="M720" s="361"/>
      <c r="N720" s="361"/>
      <c r="O720" s="361"/>
      <c r="P720" s="361"/>
      <c r="Q720" s="361"/>
      <c r="R720" s="361"/>
      <c r="S720" s="361"/>
      <c r="T720" s="361"/>
      <c r="U720" s="361"/>
      <c r="V720" s="361"/>
      <c r="W720" s="361"/>
      <c r="X720" s="361"/>
      <c r="Y720" s="131"/>
      <c r="Z720" s="163"/>
      <c r="AA720" s="131"/>
      <c r="AB720" s="131"/>
      <c r="AC720" s="131"/>
      <c r="AD720" s="131"/>
      <c r="AE720" s="131"/>
      <c r="AF720" s="163"/>
      <c r="AG720" s="163"/>
      <c r="AH720" s="163"/>
      <c r="AI720" s="163"/>
      <c r="AJ720" s="163"/>
      <c r="AK720" s="163"/>
      <c r="AL720" s="163"/>
      <c r="AM720" s="130"/>
      <c r="AN720" s="163"/>
    </row>
    <row r="721" ht="15.75" customHeight="1">
      <c r="A721" s="362"/>
      <c r="B721" s="362"/>
      <c r="C721" s="362"/>
      <c r="D721" s="362"/>
      <c r="E721" s="132"/>
      <c r="F721" s="132"/>
      <c r="G721" s="361"/>
      <c r="H721" s="361"/>
      <c r="I721" s="361"/>
      <c r="J721" s="363"/>
      <c r="K721" s="364"/>
      <c r="L721" s="361"/>
      <c r="M721" s="361"/>
      <c r="N721" s="361"/>
      <c r="O721" s="361"/>
      <c r="P721" s="361"/>
      <c r="Q721" s="361"/>
      <c r="R721" s="361"/>
      <c r="S721" s="361"/>
      <c r="T721" s="361"/>
      <c r="U721" s="361"/>
      <c r="V721" s="361"/>
      <c r="W721" s="361"/>
      <c r="X721" s="361"/>
      <c r="Y721" s="131"/>
      <c r="Z721" s="163"/>
      <c r="AA721" s="131"/>
      <c r="AB721" s="131"/>
      <c r="AC721" s="131"/>
      <c r="AD721" s="131"/>
      <c r="AE721" s="131"/>
      <c r="AF721" s="163"/>
      <c r="AG721" s="163"/>
      <c r="AH721" s="163"/>
      <c r="AI721" s="163"/>
      <c r="AJ721" s="163"/>
      <c r="AK721" s="163"/>
      <c r="AL721" s="163"/>
      <c r="AM721" s="130"/>
      <c r="AN721" s="163"/>
    </row>
    <row r="722" ht="15.75" customHeight="1">
      <c r="A722" s="362"/>
      <c r="B722" s="362"/>
      <c r="C722" s="362"/>
      <c r="D722" s="362"/>
      <c r="E722" s="132"/>
      <c r="F722" s="132"/>
      <c r="G722" s="361"/>
      <c r="H722" s="361"/>
      <c r="I722" s="361"/>
      <c r="J722" s="363"/>
      <c r="K722" s="364"/>
      <c r="L722" s="361"/>
      <c r="M722" s="361"/>
      <c r="N722" s="361"/>
      <c r="O722" s="361"/>
      <c r="P722" s="361"/>
      <c r="Q722" s="361"/>
      <c r="R722" s="361"/>
      <c r="S722" s="361"/>
      <c r="T722" s="361"/>
      <c r="U722" s="361"/>
      <c r="V722" s="361"/>
      <c r="W722" s="361"/>
      <c r="X722" s="361"/>
      <c r="Y722" s="131"/>
      <c r="Z722" s="163"/>
      <c r="AA722" s="131"/>
      <c r="AB722" s="131"/>
      <c r="AC722" s="131"/>
      <c r="AD722" s="131"/>
      <c r="AE722" s="131"/>
      <c r="AF722" s="163"/>
      <c r="AG722" s="163"/>
      <c r="AH722" s="163"/>
      <c r="AI722" s="163"/>
      <c r="AJ722" s="163"/>
      <c r="AK722" s="163"/>
      <c r="AL722" s="163"/>
      <c r="AM722" s="130"/>
      <c r="AN722" s="163"/>
    </row>
    <row r="723" ht="15.75" customHeight="1">
      <c r="A723" s="362"/>
      <c r="B723" s="362"/>
      <c r="C723" s="362"/>
      <c r="D723" s="362"/>
      <c r="E723" s="132"/>
      <c r="F723" s="132"/>
      <c r="G723" s="361"/>
      <c r="H723" s="361"/>
      <c r="I723" s="361"/>
      <c r="J723" s="363"/>
      <c r="K723" s="364"/>
      <c r="L723" s="361"/>
      <c r="M723" s="361"/>
      <c r="N723" s="361"/>
      <c r="O723" s="361"/>
      <c r="P723" s="361"/>
      <c r="Q723" s="361"/>
      <c r="R723" s="361"/>
      <c r="S723" s="361"/>
      <c r="T723" s="361"/>
      <c r="U723" s="361"/>
      <c r="V723" s="361"/>
      <c r="W723" s="361"/>
      <c r="X723" s="361"/>
      <c r="Y723" s="131"/>
      <c r="Z723" s="163"/>
      <c r="AA723" s="131"/>
      <c r="AB723" s="131"/>
      <c r="AC723" s="131"/>
      <c r="AD723" s="131"/>
      <c r="AE723" s="131"/>
      <c r="AF723" s="163"/>
      <c r="AG723" s="163"/>
      <c r="AH723" s="163"/>
      <c r="AI723" s="163"/>
      <c r="AJ723" s="163"/>
      <c r="AK723" s="163"/>
      <c r="AL723" s="163"/>
      <c r="AM723" s="130"/>
      <c r="AN723" s="163"/>
    </row>
    <row r="724" ht="15.75" customHeight="1">
      <c r="A724" s="362"/>
      <c r="B724" s="362"/>
      <c r="C724" s="362"/>
      <c r="D724" s="362"/>
      <c r="E724" s="132"/>
      <c r="F724" s="132"/>
      <c r="G724" s="361"/>
      <c r="H724" s="361"/>
      <c r="I724" s="361"/>
      <c r="J724" s="363"/>
      <c r="K724" s="364"/>
      <c r="L724" s="361"/>
      <c r="M724" s="361"/>
      <c r="N724" s="361"/>
      <c r="O724" s="361"/>
      <c r="P724" s="361"/>
      <c r="Q724" s="361"/>
      <c r="R724" s="361"/>
      <c r="S724" s="361"/>
      <c r="T724" s="361"/>
      <c r="U724" s="361"/>
      <c r="V724" s="361"/>
      <c r="W724" s="361"/>
      <c r="X724" s="361"/>
      <c r="Y724" s="131"/>
      <c r="Z724" s="163"/>
      <c r="AA724" s="131"/>
      <c r="AB724" s="131"/>
      <c r="AC724" s="131"/>
      <c r="AD724" s="131"/>
      <c r="AE724" s="131"/>
      <c r="AF724" s="163"/>
      <c r="AG724" s="163"/>
      <c r="AH724" s="163"/>
      <c r="AI724" s="163"/>
      <c r="AJ724" s="163"/>
      <c r="AK724" s="163"/>
      <c r="AL724" s="163"/>
      <c r="AM724" s="130"/>
      <c r="AN724" s="163"/>
    </row>
    <row r="725" ht="15.75" customHeight="1">
      <c r="A725" s="362"/>
      <c r="B725" s="362"/>
      <c r="C725" s="362"/>
      <c r="D725" s="362"/>
      <c r="E725" s="132"/>
      <c r="F725" s="132"/>
      <c r="G725" s="361"/>
      <c r="H725" s="361"/>
      <c r="I725" s="361"/>
      <c r="J725" s="363"/>
      <c r="K725" s="364"/>
      <c r="L725" s="361"/>
      <c r="M725" s="361"/>
      <c r="N725" s="361"/>
      <c r="O725" s="361"/>
      <c r="P725" s="361"/>
      <c r="Q725" s="361"/>
      <c r="R725" s="361"/>
      <c r="S725" s="361"/>
      <c r="T725" s="361"/>
      <c r="U725" s="361"/>
      <c r="V725" s="361"/>
      <c r="W725" s="361"/>
      <c r="X725" s="361"/>
      <c r="Y725" s="131"/>
      <c r="Z725" s="163"/>
      <c r="AA725" s="131"/>
      <c r="AB725" s="131"/>
      <c r="AC725" s="131"/>
      <c r="AD725" s="131"/>
      <c r="AE725" s="131"/>
      <c r="AF725" s="163"/>
      <c r="AG725" s="163"/>
      <c r="AH725" s="163"/>
      <c r="AI725" s="163"/>
      <c r="AJ725" s="163"/>
      <c r="AK725" s="163"/>
      <c r="AL725" s="163"/>
      <c r="AM725" s="130"/>
      <c r="AN725" s="163"/>
    </row>
    <row r="726" ht="15.75" customHeight="1">
      <c r="A726" s="362"/>
      <c r="B726" s="362"/>
      <c r="C726" s="362"/>
      <c r="D726" s="362"/>
      <c r="E726" s="132"/>
      <c r="F726" s="132"/>
      <c r="G726" s="361"/>
      <c r="H726" s="361"/>
      <c r="I726" s="361"/>
      <c r="J726" s="363"/>
      <c r="K726" s="364"/>
      <c r="L726" s="361"/>
      <c r="M726" s="361"/>
      <c r="N726" s="361"/>
      <c r="O726" s="361"/>
      <c r="P726" s="361"/>
      <c r="Q726" s="361"/>
      <c r="R726" s="361"/>
      <c r="S726" s="361"/>
      <c r="T726" s="361"/>
      <c r="U726" s="361"/>
      <c r="V726" s="361"/>
      <c r="W726" s="361"/>
      <c r="X726" s="361"/>
      <c r="Y726" s="131"/>
      <c r="Z726" s="163"/>
      <c r="AA726" s="131"/>
      <c r="AB726" s="131"/>
      <c r="AC726" s="131"/>
      <c r="AD726" s="131"/>
      <c r="AE726" s="131"/>
      <c r="AF726" s="163"/>
      <c r="AG726" s="163"/>
      <c r="AH726" s="163"/>
      <c r="AI726" s="163"/>
      <c r="AJ726" s="163"/>
      <c r="AK726" s="163"/>
      <c r="AL726" s="163"/>
      <c r="AM726" s="130"/>
      <c r="AN726" s="163"/>
    </row>
    <row r="727" ht="15.75" customHeight="1">
      <c r="A727" s="362"/>
      <c r="B727" s="362"/>
      <c r="C727" s="362"/>
      <c r="D727" s="362"/>
      <c r="E727" s="132"/>
      <c r="F727" s="132"/>
      <c r="G727" s="361"/>
      <c r="H727" s="361"/>
      <c r="I727" s="361"/>
      <c r="J727" s="363"/>
      <c r="K727" s="364"/>
      <c r="L727" s="361"/>
      <c r="M727" s="361"/>
      <c r="N727" s="361"/>
      <c r="O727" s="361"/>
      <c r="P727" s="361"/>
      <c r="Q727" s="361"/>
      <c r="R727" s="361"/>
      <c r="S727" s="361"/>
      <c r="T727" s="361"/>
      <c r="U727" s="361"/>
      <c r="V727" s="361"/>
      <c r="W727" s="361"/>
      <c r="X727" s="361"/>
      <c r="Y727" s="131"/>
      <c r="Z727" s="163"/>
      <c r="AA727" s="131"/>
      <c r="AB727" s="131"/>
      <c r="AC727" s="131"/>
      <c r="AD727" s="131"/>
      <c r="AE727" s="131"/>
      <c r="AF727" s="163"/>
      <c r="AG727" s="163"/>
      <c r="AH727" s="163"/>
      <c r="AI727" s="163"/>
      <c r="AJ727" s="163"/>
      <c r="AK727" s="163"/>
      <c r="AL727" s="163"/>
      <c r="AM727" s="130"/>
      <c r="AN727" s="163"/>
    </row>
    <row r="728" ht="15.75" customHeight="1">
      <c r="A728" s="362"/>
      <c r="B728" s="362"/>
      <c r="C728" s="362"/>
      <c r="D728" s="362"/>
      <c r="E728" s="132"/>
      <c r="F728" s="132"/>
      <c r="G728" s="361"/>
      <c r="H728" s="361"/>
      <c r="I728" s="361"/>
      <c r="J728" s="363"/>
      <c r="K728" s="364"/>
      <c r="L728" s="361"/>
      <c r="M728" s="361"/>
      <c r="N728" s="361"/>
      <c r="O728" s="361"/>
      <c r="P728" s="361"/>
      <c r="Q728" s="361"/>
      <c r="R728" s="361"/>
      <c r="S728" s="361"/>
      <c r="T728" s="361"/>
      <c r="U728" s="361"/>
      <c r="V728" s="361"/>
      <c r="W728" s="361"/>
      <c r="X728" s="361"/>
      <c r="Y728" s="131"/>
      <c r="Z728" s="163"/>
      <c r="AA728" s="131"/>
      <c r="AB728" s="131"/>
      <c r="AC728" s="131"/>
      <c r="AD728" s="131"/>
      <c r="AE728" s="131"/>
      <c r="AF728" s="163"/>
      <c r="AG728" s="163"/>
      <c r="AH728" s="163"/>
      <c r="AI728" s="163"/>
      <c r="AJ728" s="163"/>
      <c r="AK728" s="163"/>
      <c r="AL728" s="163"/>
      <c r="AM728" s="130"/>
      <c r="AN728" s="163"/>
    </row>
    <row r="729" ht="15.75" customHeight="1">
      <c r="A729" s="362"/>
      <c r="B729" s="362"/>
      <c r="C729" s="362"/>
      <c r="D729" s="362"/>
      <c r="E729" s="132"/>
      <c r="F729" s="132"/>
      <c r="G729" s="361"/>
      <c r="H729" s="361"/>
      <c r="I729" s="361"/>
      <c r="J729" s="363"/>
      <c r="K729" s="364"/>
      <c r="L729" s="361"/>
      <c r="M729" s="361"/>
      <c r="N729" s="361"/>
      <c r="O729" s="361"/>
      <c r="P729" s="361"/>
      <c r="Q729" s="361"/>
      <c r="R729" s="361"/>
      <c r="S729" s="361"/>
      <c r="T729" s="361"/>
      <c r="U729" s="361"/>
      <c r="V729" s="361"/>
      <c r="W729" s="361"/>
      <c r="X729" s="361"/>
      <c r="Y729" s="131"/>
      <c r="Z729" s="163"/>
      <c r="AA729" s="131"/>
      <c r="AB729" s="131"/>
      <c r="AC729" s="131"/>
      <c r="AD729" s="131"/>
      <c r="AE729" s="131"/>
      <c r="AF729" s="163"/>
      <c r="AG729" s="163"/>
      <c r="AH729" s="163"/>
      <c r="AI729" s="163"/>
      <c r="AJ729" s="163"/>
      <c r="AK729" s="163"/>
      <c r="AL729" s="163"/>
      <c r="AM729" s="130"/>
      <c r="AN729" s="163"/>
    </row>
    <row r="730" ht="15.75" customHeight="1">
      <c r="A730" s="362"/>
      <c r="B730" s="362"/>
      <c r="C730" s="362"/>
      <c r="D730" s="362"/>
      <c r="E730" s="132"/>
      <c r="F730" s="132"/>
      <c r="G730" s="361"/>
      <c r="H730" s="361"/>
      <c r="I730" s="361"/>
      <c r="J730" s="363"/>
      <c r="K730" s="364"/>
      <c r="L730" s="361"/>
      <c r="M730" s="361"/>
      <c r="N730" s="361"/>
      <c r="O730" s="361"/>
      <c r="P730" s="361"/>
      <c r="Q730" s="361"/>
      <c r="R730" s="361"/>
      <c r="S730" s="361"/>
      <c r="T730" s="361"/>
      <c r="U730" s="361"/>
      <c r="V730" s="361"/>
      <c r="W730" s="361"/>
      <c r="X730" s="361"/>
      <c r="Y730" s="131"/>
      <c r="Z730" s="163"/>
      <c r="AA730" s="131"/>
      <c r="AB730" s="131"/>
      <c r="AC730" s="131"/>
      <c r="AD730" s="131"/>
      <c r="AE730" s="131"/>
      <c r="AF730" s="163"/>
      <c r="AG730" s="163"/>
      <c r="AH730" s="163"/>
      <c r="AI730" s="163"/>
      <c r="AJ730" s="163"/>
      <c r="AK730" s="163"/>
      <c r="AL730" s="163"/>
      <c r="AM730" s="130"/>
      <c r="AN730" s="163"/>
    </row>
    <row r="731" ht="15.75" customHeight="1">
      <c r="A731" s="362"/>
      <c r="B731" s="362"/>
      <c r="C731" s="362"/>
      <c r="D731" s="362"/>
      <c r="E731" s="132"/>
      <c r="F731" s="132"/>
      <c r="G731" s="361"/>
      <c r="H731" s="361"/>
      <c r="I731" s="361"/>
      <c r="J731" s="363"/>
      <c r="K731" s="364"/>
      <c r="L731" s="361"/>
      <c r="M731" s="361"/>
      <c r="N731" s="361"/>
      <c r="O731" s="361"/>
      <c r="P731" s="361"/>
      <c r="Q731" s="361"/>
      <c r="R731" s="361"/>
      <c r="S731" s="361"/>
      <c r="T731" s="361"/>
      <c r="U731" s="361"/>
      <c r="V731" s="361"/>
      <c r="W731" s="361"/>
      <c r="X731" s="361"/>
      <c r="Y731" s="131"/>
      <c r="Z731" s="163"/>
      <c r="AA731" s="131"/>
      <c r="AB731" s="131"/>
      <c r="AC731" s="131"/>
      <c r="AD731" s="131"/>
      <c r="AE731" s="131"/>
      <c r="AF731" s="163"/>
      <c r="AG731" s="163"/>
      <c r="AH731" s="163"/>
      <c r="AI731" s="163"/>
      <c r="AJ731" s="163"/>
      <c r="AK731" s="163"/>
      <c r="AL731" s="163"/>
      <c r="AM731" s="130"/>
      <c r="AN731" s="163"/>
    </row>
    <row r="732" ht="15.75" customHeight="1">
      <c r="A732" s="362"/>
      <c r="B732" s="362"/>
      <c r="C732" s="362"/>
      <c r="D732" s="362"/>
      <c r="E732" s="132"/>
      <c r="F732" s="132"/>
      <c r="G732" s="361"/>
      <c r="H732" s="361"/>
      <c r="I732" s="361"/>
      <c r="J732" s="363"/>
      <c r="K732" s="364"/>
      <c r="L732" s="361"/>
      <c r="M732" s="361"/>
      <c r="N732" s="361"/>
      <c r="O732" s="361"/>
      <c r="P732" s="361"/>
      <c r="Q732" s="361"/>
      <c r="R732" s="361"/>
      <c r="S732" s="361"/>
      <c r="T732" s="361"/>
      <c r="U732" s="361"/>
      <c r="V732" s="361"/>
      <c r="W732" s="361"/>
      <c r="X732" s="361"/>
      <c r="Y732" s="131"/>
      <c r="Z732" s="163"/>
      <c r="AA732" s="131"/>
      <c r="AB732" s="131"/>
      <c r="AC732" s="131"/>
      <c r="AD732" s="131"/>
      <c r="AE732" s="131"/>
      <c r="AF732" s="163"/>
      <c r="AG732" s="163"/>
      <c r="AH732" s="163"/>
      <c r="AI732" s="163"/>
      <c r="AJ732" s="163"/>
      <c r="AK732" s="163"/>
      <c r="AL732" s="163"/>
      <c r="AM732" s="130"/>
      <c r="AN732" s="163"/>
    </row>
    <row r="733" ht="15.75" customHeight="1">
      <c r="A733" s="362"/>
      <c r="B733" s="362"/>
      <c r="C733" s="362"/>
      <c r="D733" s="362"/>
      <c r="E733" s="132"/>
      <c r="F733" s="132"/>
      <c r="G733" s="361"/>
      <c r="H733" s="361"/>
      <c r="I733" s="361"/>
      <c r="J733" s="363"/>
      <c r="K733" s="364"/>
      <c r="L733" s="361"/>
      <c r="M733" s="361"/>
      <c r="N733" s="361"/>
      <c r="O733" s="361"/>
      <c r="P733" s="361"/>
      <c r="Q733" s="361"/>
      <c r="R733" s="361"/>
      <c r="S733" s="361"/>
      <c r="T733" s="361"/>
      <c r="U733" s="361"/>
      <c r="V733" s="361"/>
      <c r="W733" s="361"/>
      <c r="X733" s="361"/>
      <c r="Y733" s="131"/>
      <c r="Z733" s="163"/>
      <c r="AA733" s="131"/>
      <c r="AB733" s="131"/>
      <c r="AC733" s="131"/>
      <c r="AD733" s="131"/>
      <c r="AE733" s="131"/>
      <c r="AF733" s="163"/>
      <c r="AG733" s="163"/>
      <c r="AH733" s="163"/>
      <c r="AI733" s="163"/>
      <c r="AJ733" s="163"/>
      <c r="AK733" s="163"/>
      <c r="AL733" s="163"/>
      <c r="AM733" s="130"/>
      <c r="AN733" s="163"/>
    </row>
    <row r="734" ht="15.75" customHeight="1">
      <c r="A734" s="362"/>
      <c r="B734" s="362"/>
      <c r="C734" s="362"/>
      <c r="D734" s="362"/>
      <c r="E734" s="132"/>
      <c r="F734" s="132"/>
      <c r="G734" s="361"/>
      <c r="H734" s="361"/>
      <c r="I734" s="361"/>
      <c r="J734" s="363"/>
      <c r="K734" s="364"/>
      <c r="L734" s="361"/>
      <c r="M734" s="361"/>
      <c r="N734" s="361"/>
      <c r="O734" s="361"/>
      <c r="P734" s="361"/>
      <c r="Q734" s="361"/>
      <c r="R734" s="361"/>
      <c r="S734" s="361"/>
      <c r="T734" s="361"/>
      <c r="U734" s="361"/>
      <c r="V734" s="361"/>
      <c r="W734" s="361"/>
      <c r="X734" s="361"/>
      <c r="Y734" s="131"/>
      <c r="Z734" s="163"/>
      <c r="AA734" s="131"/>
      <c r="AB734" s="131"/>
      <c r="AC734" s="131"/>
      <c r="AD734" s="131"/>
      <c r="AE734" s="131"/>
      <c r="AF734" s="163"/>
      <c r="AG734" s="163"/>
      <c r="AH734" s="163"/>
      <c r="AI734" s="163"/>
      <c r="AJ734" s="163"/>
      <c r="AK734" s="163"/>
      <c r="AL734" s="163"/>
      <c r="AM734" s="130"/>
      <c r="AN734" s="163"/>
    </row>
    <row r="735" ht="15.75" customHeight="1">
      <c r="A735" s="362"/>
      <c r="B735" s="362"/>
      <c r="C735" s="362"/>
      <c r="D735" s="362"/>
      <c r="E735" s="132"/>
      <c r="F735" s="132"/>
      <c r="G735" s="361"/>
      <c r="H735" s="361"/>
      <c r="I735" s="361"/>
      <c r="J735" s="363"/>
      <c r="K735" s="364"/>
      <c r="L735" s="361"/>
      <c r="M735" s="361"/>
      <c r="N735" s="361"/>
      <c r="O735" s="361"/>
      <c r="P735" s="361"/>
      <c r="Q735" s="361"/>
      <c r="R735" s="361"/>
      <c r="S735" s="361"/>
      <c r="T735" s="361"/>
      <c r="U735" s="361"/>
      <c r="V735" s="361"/>
      <c r="W735" s="361"/>
      <c r="X735" s="361"/>
      <c r="Y735" s="131"/>
      <c r="Z735" s="163"/>
      <c r="AA735" s="131"/>
      <c r="AB735" s="131"/>
      <c r="AC735" s="131"/>
      <c r="AD735" s="131"/>
      <c r="AE735" s="131"/>
      <c r="AF735" s="163"/>
      <c r="AG735" s="163"/>
      <c r="AH735" s="163"/>
      <c r="AI735" s="163"/>
      <c r="AJ735" s="163"/>
      <c r="AK735" s="163"/>
      <c r="AL735" s="163"/>
      <c r="AM735" s="130"/>
      <c r="AN735" s="163"/>
    </row>
    <row r="736" ht="15.75" customHeight="1">
      <c r="A736" s="362"/>
      <c r="B736" s="362"/>
      <c r="C736" s="362"/>
      <c r="D736" s="362"/>
      <c r="E736" s="132"/>
      <c r="F736" s="132"/>
      <c r="G736" s="361"/>
      <c r="H736" s="361"/>
      <c r="I736" s="361"/>
      <c r="J736" s="363"/>
      <c r="K736" s="364"/>
      <c r="L736" s="361"/>
      <c r="M736" s="361"/>
      <c r="N736" s="361"/>
      <c r="O736" s="361"/>
      <c r="P736" s="361"/>
      <c r="Q736" s="361"/>
      <c r="R736" s="361"/>
      <c r="S736" s="361"/>
      <c r="T736" s="361"/>
      <c r="U736" s="361"/>
      <c r="V736" s="361"/>
      <c r="W736" s="361"/>
      <c r="X736" s="361"/>
      <c r="Y736" s="131"/>
      <c r="Z736" s="163"/>
      <c r="AA736" s="131"/>
      <c r="AB736" s="131"/>
      <c r="AC736" s="131"/>
      <c r="AD736" s="131"/>
      <c r="AE736" s="131"/>
      <c r="AF736" s="163"/>
      <c r="AG736" s="163"/>
      <c r="AH736" s="163"/>
      <c r="AI736" s="163"/>
      <c r="AJ736" s="163"/>
      <c r="AK736" s="163"/>
      <c r="AL736" s="163"/>
      <c r="AM736" s="130"/>
      <c r="AN736" s="163"/>
    </row>
    <row r="737" ht="15.75" customHeight="1">
      <c r="A737" s="362"/>
      <c r="B737" s="362"/>
      <c r="C737" s="362"/>
      <c r="D737" s="362"/>
      <c r="E737" s="132"/>
      <c r="F737" s="132"/>
      <c r="G737" s="361"/>
      <c r="H737" s="361"/>
      <c r="I737" s="361"/>
      <c r="J737" s="363"/>
      <c r="K737" s="364"/>
      <c r="L737" s="361"/>
      <c r="M737" s="361"/>
      <c r="N737" s="361"/>
      <c r="O737" s="361"/>
      <c r="P737" s="361"/>
      <c r="Q737" s="361"/>
      <c r="R737" s="361"/>
      <c r="S737" s="361"/>
      <c r="T737" s="361"/>
      <c r="U737" s="361"/>
      <c r="V737" s="361"/>
      <c r="W737" s="361"/>
      <c r="X737" s="361"/>
      <c r="Y737" s="131"/>
      <c r="Z737" s="163"/>
      <c r="AA737" s="131"/>
      <c r="AB737" s="131"/>
      <c r="AC737" s="131"/>
      <c r="AD737" s="131"/>
      <c r="AE737" s="131"/>
      <c r="AF737" s="163"/>
      <c r="AG737" s="163"/>
      <c r="AH737" s="163"/>
      <c r="AI737" s="163"/>
      <c r="AJ737" s="163"/>
      <c r="AK737" s="163"/>
      <c r="AL737" s="163"/>
      <c r="AM737" s="130"/>
      <c r="AN737" s="163"/>
    </row>
    <row r="738" ht="15.75" customHeight="1">
      <c r="A738" s="362"/>
      <c r="B738" s="362"/>
      <c r="C738" s="362"/>
      <c r="D738" s="362"/>
      <c r="E738" s="132"/>
      <c r="F738" s="132"/>
      <c r="G738" s="361"/>
      <c r="H738" s="361"/>
      <c r="I738" s="361"/>
      <c r="J738" s="363"/>
      <c r="K738" s="364"/>
      <c r="L738" s="361"/>
      <c r="M738" s="361"/>
      <c r="N738" s="361"/>
      <c r="O738" s="361"/>
      <c r="P738" s="361"/>
      <c r="Q738" s="361"/>
      <c r="R738" s="361"/>
      <c r="S738" s="361"/>
      <c r="T738" s="361"/>
      <c r="U738" s="361"/>
      <c r="V738" s="361"/>
      <c r="W738" s="361"/>
      <c r="X738" s="361"/>
      <c r="Y738" s="131"/>
      <c r="Z738" s="163"/>
      <c r="AA738" s="131"/>
      <c r="AB738" s="131"/>
      <c r="AC738" s="131"/>
      <c r="AD738" s="131"/>
      <c r="AE738" s="131"/>
      <c r="AF738" s="163"/>
      <c r="AG738" s="163"/>
      <c r="AH738" s="163"/>
      <c r="AI738" s="163"/>
      <c r="AJ738" s="163"/>
      <c r="AK738" s="163"/>
      <c r="AL738" s="163"/>
      <c r="AM738" s="130"/>
      <c r="AN738" s="163"/>
    </row>
    <row r="739" ht="15.75" customHeight="1">
      <c r="A739" s="362"/>
      <c r="B739" s="362"/>
      <c r="C739" s="362"/>
      <c r="D739" s="362"/>
      <c r="E739" s="132"/>
      <c r="F739" s="132"/>
      <c r="G739" s="361"/>
      <c r="H739" s="361"/>
      <c r="I739" s="361"/>
      <c r="J739" s="363"/>
      <c r="K739" s="364"/>
      <c r="L739" s="361"/>
      <c r="M739" s="361"/>
      <c r="N739" s="361"/>
      <c r="O739" s="361"/>
      <c r="P739" s="361"/>
      <c r="Q739" s="361"/>
      <c r="R739" s="361"/>
      <c r="S739" s="361"/>
      <c r="T739" s="361"/>
      <c r="U739" s="361"/>
      <c r="V739" s="361"/>
      <c r="W739" s="361"/>
      <c r="X739" s="361"/>
      <c r="Y739" s="131"/>
      <c r="Z739" s="163"/>
      <c r="AA739" s="131"/>
      <c r="AB739" s="131"/>
      <c r="AC739" s="131"/>
      <c r="AD739" s="131"/>
      <c r="AE739" s="131"/>
      <c r="AF739" s="163"/>
      <c r="AG739" s="163"/>
      <c r="AH739" s="163"/>
      <c r="AI739" s="163"/>
      <c r="AJ739" s="163"/>
      <c r="AK739" s="163"/>
      <c r="AL739" s="163"/>
      <c r="AM739" s="130"/>
      <c r="AN739" s="163"/>
    </row>
    <row r="740" ht="15.75" customHeight="1">
      <c r="A740" s="362"/>
      <c r="B740" s="362"/>
      <c r="C740" s="362"/>
      <c r="D740" s="362"/>
      <c r="E740" s="132"/>
      <c r="F740" s="132"/>
      <c r="G740" s="361"/>
      <c r="H740" s="361"/>
      <c r="I740" s="361"/>
      <c r="J740" s="363"/>
      <c r="K740" s="364"/>
      <c r="L740" s="361"/>
      <c r="M740" s="361"/>
      <c r="N740" s="361"/>
      <c r="O740" s="361"/>
      <c r="P740" s="361"/>
      <c r="Q740" s="361"/>
      <c r="R740" s="361"/>
      <c r="S740" s="361"/>
      <c r="T740" s="361"/>
      <c r="U740" s="361"/>
      <c r="V740" s="361"/>
      <c r="W740" s="361"/>
      <c r="X740" s="361"/>
      <c r="Y740" s="131"/>
      <c r="Z740" s="163"/>
      <c r="AA740" s="131"/>
      <c r="AB740" s="131"/>
      <c r="AC740" s="131"/>
      <c r="AD740" s="131"/>
      <c r="AE740" s="131"/>
      <c r="AF740" s="163"/>
      <c r="AG740" s="163"/>
      <c r="AH740" s="163"/>
      <c r="AI740" s="163"/>
      <c r="AJ740" s="163"/>
      <c r="AK740" s="163"/>
      <c r="AL740" s="163"/>
      <c r="AM740" s="130"/>
      <c r="AN740" s="163"/>
    </row>
    <row r="741" ht="15.75" customHeight="1">
      <c r="A741" s="362"/>
      <c r="B741" s="362"/>
      <c r="C741" s="362"/>
      <c r="D741" s="362"/>
      <c r="E741" s="132"/>
      <c r="F741" s="132"/>
      <c r="G741" s="361"/>
      <c r="H741" s="361"/>
      <c r="I741" s="361"/>
      <c r="J741" s="363"/>
      <c r="K741" s="364"/>
      <c r="L741" s="361"/>
      <c r="M741" s="361"/>
      <c r="N741" s="361"/>
      <c r="O741" s="361"/>
      <c r="P741" s="361"/>
      <c r="Q741" s="361"/>
      <c r="R741" s="361"/>
      <c r="S741" s="361"/>
      <c r="T741" s="361"/>
      <c r="U741" s="361"/>
      <c r="V741" s="361"/>
      <c r="W741" s="361"/>
      <c r="X741" s="361"/>
      <c r="Y741" s="131"/>
      <c r="Z741" s="163"/>
      <c r="AA741" s="131"/>
      <c r="AB741" s="131"/>
      <c r="AC741" s="131"/>
      <c r="AD741" s="131"/>
      <c r="AE741" s="131"/>
      <c r="AF741" s="163"/>
      <c r="AG741" s="163"/>
      <c r="AH741" s="163"/>
      <c r="AI741" s="163"/>
      <c r="AJ741" s="163"/>
      <c r="AK741" s="163"/>
      <c r="AL741" s="163"/>
      <c r="AM741" s="130"/>
      <c r="AN741" s="163"/>
    </row>
    <row r="742" ht="15.75" customHeight="1">
      <c r="A742" s="362"/>
      <c r="B742" s="362"/>
      <c r="C742" s="362"/>
      <c r="D742" s="362"/>
      <c r="E742" s="132"/>
      <c r="F742" s="132"/>
      <c r="G742" s="361"/>
      <c r="H742" s="361"/>
      <c r="I742" s="361"/>
      <c r="J742" s="363"/>
      <c r="K742" s="364"/>
      <c r="L742" s="361"/>
      <c r="M742" s="361"/>
      <c r="N742" s="361"/>
      <c r="O742" s="361"/>
      <c r="P742" s="361"/>
      <c r="Q742" s="361"/>
      <c r="R742" s="361"/>
      <c r="S742" s="361"/>
      <c r="T742" s="361"/>
      <c r="U742" s="361"/>
      <c r="V742" s="361"/>
      <c r="W742" s="361"/>
      <c r="X742" s="361"/>
      <c r="Y742" s="131"/>
      <c r="Z742" s="163"/>
      <c r="AA742" s="131"/>
      <c r="AB742" s="131"/>
      <c r="AC742" s="131"/>
      <c r="AD742" s="131"/>
      <c r="AE742" s="131"/>
      <c r="AF742" s="163"/>
      <c r="AG742" s="163"/>
      <c r="AH742" s="163"/>
      <c r="AI742" s="163"/>
      <c r="AJ742" s="163"/>
      <c r="AK742" s="163"/>
      <c r="AL742" s="163"/>
      <c r="AM742" s="130"/>
      <c r="AN742" s="163"/>
    </row>
    <row r="743" ht="15.75" customHeight="1">
      <c r="A743" s="362"/>
      <c r="B743" s="362"/>
      <c r="C743" s="362"/>
      <c r="D743" s="362"/>
      <c r="E743" s="132"/>
      <c r="F743" s="132"/>
      <c r="G743" s="361"/>
      <c r="H743" s="361"/>
      <c r="I743" s="361"/>
      <c r="J743" s="363"/>
      <c r="K743" s="364"/>
      <c r="L743" s="361"/>
      <c r="M743" s="361"/>
      <c r="N743" s="361"/>
      <c r="O743" s="361"/>
      <c r="P743" s="361"/>
      <c r="Q743" s="361"/>
      <c r="R743" s="361"/>
      <c r="S743" s="361"/>
      <c r="T743" s="361"/>
      <c r="U743" s="361"/>
      <c r="V743" s="361"/>
      <c r="W743" s="361"/>
      <c r="X743" s="361"/>
      <c r="Y743" s="131"/>
      <c r="Z743" s="163"/>
      <c r="AA743" s="131"/>
      <c r="AB743" s="131"/>
      <c r="AC743" s="131"/>
      <c r="AD743" s="131"/>
      <c r="AE743" s="131"/>
      <c r="AF743" s="163"/>
      <c r="AG743" s="163"/>
      <c r="AH743" s="163"/>
      <c r="AI743" s="163"/>
      <c r="AJ743" s="163"/>
      <c r="AK743" s="163"/>
      <c r="AL743" s="163"/>
      <c r="AM743" s="130"/>
      <c r="AN743" s="163"/>
    </row>
    <row r="744" ht="15.75" customHeight="1">
      <c r="A744" s="362"/>
      <c r="B744" s="362"/>
      <c r="C744" s="362"/>
      <c r="D744" s="362"/>
      <c r="E744" s="132"/>
      <c r="F744" s="132"/>
      <c r="G744" s="361"/>
      <c r="H744" s="361"/>
      <c r="I744" s="361"/>
      <c r="J744" s="363"/>
      <c r="K744" s="364"/>
      <c r="L744" s="361"/>
      <c r="M744" s="361"/>
      <c r="N744" s="361"/>
      <c r="O744" s="361"/>
      <c r="P744" s="361"/>
      <c r="Q744" s="361"/>
      <c r="R744" s="361"/>
      <c r="S744" s="361"/>
      <c r="T744" s="361"/>
      <c r="U744" s="361"/>
      <c r="V744" s="361"/>
      <c r="W744" s="361"/>
      <c r="X744" s="361"/>
      <c r="Y744" s="131"/>
      <c r="Z744" s="163"/>
      <c r="AA744" s="131"/>
      <c r="AB744" s="131"/>
      <c r="AC744" s="131"/>
      <c r="AD744" s="131"/>
      <c r="AE744" s="131"/>
      <c r="AF744" s="163"/>
      <c r="AG744" s="163"/>
      <c r="AH744" s="163"/>
      <c r="AI744" s="163"/>
      <c r="AJ744" s="163"/>
      <c r="AK744" s="163"/>
      <c r="AL744" s="163"/>
      <c r="AM744" s="130"/>
      <c r="AN744" s="163"/>
    </row>
    <row r="745" ht="15.75" customHeight="1">
      <c r="A745" s="362"/>
      <c r="B745" s="362"/>
      <c r="C745" s="362"/>
      <c r="D745" s="362"/>
      <c r="E745" s="132"/>
      <c r="F745" s="132"/>
      <c r="G745" s="361"/>
      <c r="H745" s="361"/>
      <c r="I745" s="361"/>
      <c r="J745" s="363"/>
      <c r="K745" s="364"/>
      <c r="L745" s="361"/>
      <c r="M745" s="361"/>
      <c r="N745" s="361"/>
      <c r="O745" s="361"/>
      <c r="P745" s="361"/>
      <c r="Q745" s="361"/>
      <c r="R745" s="361"/>
      <c r="S745" s="361"/>
      <c r="T745" s="361"/>
      <c r="U745" s="361"/>
      <c r="V745" s="361"/>
      <c r="W745" s="361"/>
      <c r="X745" s="361"/>
      <c r="Y745" s="131"/>
      <c r="Z745" s="163"/>
      <c r="AA745" s="131"/>
      <c r="AB745" s="131"/>
      <c r="AC745" s="131"/>
      <c r="AD745" s="131"/>
      <c r="AE745" s="131"/>
      <c r="AF745" s="163"/>
      <c r="AG745" s="163"/>
      <c r="AH745" s="163"/>
      <c r="AI745" s="163"/>
      <c r="AJ745" s="163"/>
      <c r="AK745" s="163"/>
      <c r="AL745" s="163"/>
      <c r="AM745" s="130"/>
      <c r="AN745" s="163"/>
    </row>
    <row r="746" ht="15.75" customHeight="1">
      <c r="A746" s="362"/>
      <c r="B746" s="362"/>
      <c r="C746" s="362"/>
      <c r="D746" s="362"/>
      <c r="E746" s="132"/>
      <c r="F746" s="132"/>
      <c r="G746" s="361"/>
      <c r="H746" s="361"/>
      <c r="I746" s="361"/>
      <c r="J746" s="363"/>
      <c r="K746" s="364"/>
      <c r="L746" s="361"/>
      <c r="M746" s="361"/>
      <c r="N746" s="361"/>
      <c r="O746" s="361"/>
      <c r="P746" s="361"/>
      <c r="Q746" s="361"/>
      <c r="R746" s="361"/>
      <c r="S746" s="361"/>
      <c r="T746" s="361"/>
      <c r="U746" s="361"/>
      <c r="V746" s="361"/>
      <c r="W746" s="361"/>
      <c r="X746" s="361"/>
      <c r="Y746" s="131"/>
      <c r="Z746" s="163"/>
      <c r="AA746" s="131"/>
      <c r="AB746" s="131"/>
      <c r="AC746" s="131"/>
      <c r="AD746" s="131"/>
      <c r="AE746" s="131"/>
      <c r="AF746" s="163"/>
      <c r="AG746" s="163"/>
      <c r="AH746" s="163"/>
      <c r="AI746" s="163"/>
      <c r="AJ746" s="163"/>
      <c r="AK746" s="163"/>
      <c r="AL746" s="163"/>
      <c r="AM746" s="130"/>
      <c r="AN746" s="163"/>
    </row>
    <row r="747" ht="15.75" customHeight="1">
      <c r="A747" s="362"/>
      <c r="B747" s="362"/>
      <c r="C747" s="362"/>
      <c r="D747" s="362"/>
      <c r="E747" s="132"/>
      <c r="F747" s="132"/>
      <c r="G747" s="361"/>
      <c r="H747" s="361"/>
      <c r="I747" s="361"/>
      <c r="J747" s="363"/>
      <c r="K747" s="364"/>
      <c r="L747" s="361"/>
      <c r="M747" s="361"/>
      <c r="N747" s="361"/>
      <c r="O747" s="361"/>
      <c r="P747" s="361"/>
      <c r="Q747" s="361"/>
      <c r="R747" s="361"/>
      <c r="S747" s="361"/>
      <c r="T747" s="361"/>
      <c r="U747" s="361"/>
      <c r="V747" s="361"/>
      <c r="W747" s="361"/>
      <c r="X747" s="361"/>
      <c r="Y747" s="131"/>
      <c r="Z747" s="163"/>
      <c r="AA747" s="131"/>
      <c r="AB747" s="131"/>
      <c r="AC747" s="131"/>
      <c r="AD747" s="131"/>
      <c r="AE747" s="131"/>
      <c r="AF747" s="163"/>
      <c r="AG747" s="163"/>
      <c r="AH747" s="163"/>
      <c r="AI747" s="163"/>
      <c r="AJ747" s="163"/>
      <c r="AK747" s="163"/>
      <c r="AL747" s="163"/>
      <c r="AM747" s="130"/>
      <c r="AN747" s="163"/>
    </row>
    <row r="748" ht="15.75" customHeight="1">
      <c r="A748" s="362"/>
      <c r="B748" s="362"/>
      <c r="C748" s="362"/>
      <c r="D748" s="362"/>
      <c r="E748" s="132"/>
      <c r="F748" s="132"/>
      <c r="G748" s="361"/>
      <c r="H748" s="361"/>
      <c r="I748" s="361"/>
      <c r="J748" s="363"/>
      <c r="K748" s="364"/>
      <c r="L748" s="361"/>
      <c r="M748" s="361"/>
      <c r="N748" s="361"/>
      <c r="O748" s="361"/>
      <c r="P748" s="361"/>
      <c r="Q748" s="361"/>
      <c r="R748" s="361"/>
      <c r="S748" s="361"/>
      <c r="T748" s="361"/>
      <c r="U748" s="361"/>
      <c r="V748" s="361"/>
      <c r="W748" s="361"/>
      <c r="X748" s="361"/>
      <c r="Y748" s="131"/>
      <c r="Z748" s="163"/>
      <c r="AA748" s="131"/>
      <c r="AB748" s="131"/>
      <c r="AC748" s="131"/>
      <c r="AD748" s="131"/>
      <c r="AE748" s="131"/>
      <c r="AF748" s="163"/>
      <c r="AG748" s="163"/>
      <c r="AH748" s="163"/>
      <c r="AI748" s="163"/>
      <c r="AJ748" s="163"/>
      <c r="AK748" s="163"/>
      <c r="AL748" s="163"/>
      <c r="AM748" s="130"/>
      <c r="AN748" s="163"/>
    </row>
    <row r="749" ht="15.75" customHeight="1">
      <c r="A749" s="362"/>
      <c r="B749" s="362"/>
      <c r="C749" s="362"/>
      <c r="D749" s="362"/>
      <c r="E749" s="132"/>
      <c r="F749" s="132"/>
      <c r="G749" s="361"/>
      <c r="H749" s="361"/>
      <c r="I749" s="361"/>
      <c r="J749" s="363"/>
      <c r="K749" s="364"/>
      <c r="L749" s="361"/>
      <c r="M749" s="361"/>
      <c r="N749" s="361"/>
      <c r="O749" s="361"/>
      <c r="P749" s="361"/>
      <c r="Q749" s="361"/>
      <c r="R749" s="361"/>
      <c r="S749" s="361"/>
      <c r="T749" s="361"/>
      <c r="U749" s="361"/>
      <c r="V749" s="361"/>
      <c r="W749" s="361"/>
      <c r="X749" s="361"/>
      <c r="Y749" s="131"/>
      <c r="Z749" s="163"/>
      <c r="AA749" s="131"/>
      <c r="AB749" s="131"/>
      <c r="AC749" s="131"/>
      <c r="AD749" s="131"/>
      <c r="AE749" s="131"/>
      <c r="AF749" s="163"/>
      <c r="AG749" s="163"/>
      <c r="AH749" s="163"/>
      <c r="AI749" s="163"/>
      <c r="AJ749" s="163"/>
      <c r="AK749" s="163"/>
      <c r="AL749" s="163"/>
      <c r="AM749" s="130"/>
      <c r="AN749" s="163"/>
    </row>
    <row r="750" ht="15.75" customHeight="1">
      <c r="A750" s="362"/>
      <c r="B750" s="362"/>
      <c r="C750" s="362"/>
      <c r="D750" s="362"/>
      <c r="E750" s="132"/>
      <c r="F750" s="132"/>
      <c r="G750" s="361"/>
      <c r="H750" s="361"/>
      <c r="I750" s="361"/>
      <c r="J750" s="363"/>
      <c r="K750" s="364"/>
      <c r="L750" s="361"/>
      <c r="M750" s="361"/>
      <c r="N750" s="361"/>
      <c r="O750" s="361"/>
      <c r="P750" s="361"/>
      <c r="Q750" s="361"/>
      <c r="R750" s="361"/>
      <c r="S750" s="361"/>
      <c r="T750" s="361"/>
      <c r="U750" s="361"/>
      <c r="V750" s="361"/>
      <c r="W750" s="361"/>
      <c r="X750" s="361"/>
      <c r="Y750" s="131"/>
      <c r="Z750" s="163"/>
      <c r="AA750" s="131"/>
      <c r="AB750" s="131"/>
      <c r="AC750" s="131"/>
      <c r="AD750" s="131"/>
      <c r="AE750" s="131"/>
      <c r="AF750" s="163"/>
      <c r="AG750" s="163"/>
      <c r="AH750" s="163"/>
      <c r="AI750" s="163"/>
      <c r="AJ750" s="163"/>
      <c r="AK750" s="163"/>
      <c r="AL750" s="163"/>
      <c r="AM750" s="130"/>
      <c r="AN750" s="163"/>
    </row>
    <row r="751" ht="15.75" customHeight="1">
      <c r="A751" s="362"/>
      <c r="B751" s="362"/>
      <c r="C751" s="362"/>
      <c r="D751" s="362"/>
      <c r="E751" s="132"/>
      <c r="F751" s="132"/>
      <c r="G751" s="361"/>
      <c r="H751" s="361"/>
      <c r="I751" s="361"/>
      <c r="J751" s="363"/>
      <c r="K751" s="364"/>
      <c r="L751" s="361"/>
      <c r="M751" s="361"/>
      <c r="N751" s="361"/>
      <c r="O751" s="361"/>
      <c r="P751" s="361"/>
      <c r="Q751" s="361"/>
      <c r="R751" s="361"/>
      <c r="S751" s="361"/>
      <c r="T751" s="361"/>
      <c r="U751" s="361"/>
      <c r="V751" s="361"/>
      <c r="W751" s="361"/>
      <c r="X751" s="361"/>
      <c r="Y751" s="131"/>
      <c r="Z751" s="163"/>
      <c r="AA751" s="131"/>
      <c r="AB751" s="131"/>
      <c r="AC751" s="131"/>
      <c r="AD751" s="131"/>
      <c r="AE751" s="131"/>
      <c r="AF751" s="163"/>
      <c r="AG751" s="163"/>
      <c r="AH751" s="163"/>
      <c r="AI751" s="163"/>
      <c r="AJ751" s="163"/>
      <c r="AK751" s="163"/>
      <c r="AL751" s="163"/>
      <c r="AM751" s="130"/>
      <c r="AN751" s="163"/>
    </row>
    <row r="752" ht="15.75" customHeight="1">
      <c r="A752" s="362"/>
      <c r="B752" s="362"/>
      <c r="C752" s="362"/>
      <c r="D752" s="362"/>
      <c r="E752" s="132"/>
      <c r="F752" s="132"/>
      <c r="G752" s="361"/>
      <c r="H752" s="361"/>
      <c r="I752" s="361"/>
      <c r="J752" s="363"/>
      <c r="K752" s="364"/>
      <c r="L752" s="361"/>
      <c r="M752" s="361"/>
      <c r="N752" s="361"/>
      <c r="O752" s="361"/>
      <c r="P752" s="361"/>
      <c r="Q752" s="361"/>
      <c r="R752" s="361"/>
      <c r="S752" s="361"/>
      <c r="T752" s="361"/>
      <c r="U752" s="361"/>
      <c r="V752" s="361"/>
      <c r="W752" s="361"/>
      <c r="X752" s="361"/>
      <c r="Y752" s="131"/>
      <c r="Z752" s="163"/>
      <c r="AA752" s="131"/>
      <c r="AB752" s="131"/>
      <c r="AC752" s="131"/>
      <c r="AD752" s="131"/>
      <c r="AE752" s="131"/>
      <c r="AF752" s="163"/>
      <c r="AG752" s="163"/>
      <c r="AH752" s="163"/>
      <c r="AI752" s="163"/>
      <c r="AJ752" s="163"/>
      <c r="AK752" s="163"/>
      <c r="AL752" s="163"/>
      <c r="AM752" s="130"/>
      <c r="AN752" s="163"/>
    </row>
    <row r="753" ht="15.75" customHeight="1">
      <c r="A753" s="362"/>
      <c r="B753" s="362"/>
      <c r="C753" s="362"/>
      <c r="D753" s="362"/>
      <c r="E753" s="132"/>
      <c r="F753" s="132"/>
      <c r="G753" s="361"/>
      <c r="H753" s="361"/>
      <c r="I753" s="361"/>
      <c r="J753" s="363"/>
      <c r="K753" s="364"/>
      <c r="L753" s="361"/>
      <c r="M753" s="361"/>
      <c r="N753" s="361"/>
      <c r="O753" s="361"/>
      <c r="P753" s="361"/>
      <c r="Q753" s="361"/>
      <c r="R753" s="361"/>
      <c r="S753" s="361"/>
      <c r="T753" s="361"/>
      <c r="U753" s="361"/>
      <c r="V753" s="361"/>
      <c r="W753" s="361"/>
      <c r="X753" s="361"/>
      <c r="Y753" s="131"/>
      <c r="Z753" s="163"/>
      <c r="AA753" s="131"/>
      <c r="AB753" s="131"/>
      <c r="AC753" s="131"/>
      <c r="AD753" s="131"/>
      <c r="AE753" s="131"/>
      <c r="AF753" s="163"/>
      <c r="AG753" s="163"/>
      <c r="AH753" s="163"/>
      <c r="AI753" s="163"/>
      <c r="AJ753" s="163"/>
      <c r="AK753" s="163"/>
      <c r="AL753" s="163"/>
      <c r="AM753" s="130"/>
      <c r="AN753" s="163"/>
    </row>
    <row r="754" ht="15.75" customHeight="1">
      <c r="A754" s="362"/>
      <c r="B754" s="362"/>
      <c r="C754" s="362"/>
      <c r="D754" s="362"/>
      <c r="E754" s="132"/>
      <c r="F754" s="132"/>
      <c r="G754" s="361"/>
      <c r="H754" s="361"/>
      <c r="I754" s="361"/>
      <c r="J754" s="363"/>
      <c r="K754" s="364"/>
      <c r="L754" s="361"/>
      <c r="M754" s="361"/>
      <c r="N754" s="361"/>
      <c r="O754" s="361"/>
      <c r="P754" s="361"/>
      <c r="Q754" s="361"/>
      <c r="R754" s="361"/>
      <c r="S754" s="361"/>
      <c r="T754" s="361"/>
      <c r="U754" s="361"/>
      <c r="V754" s="361"/>
      <c r="W754" s="361"/>
      <c r="X754" s="361"/>
      <c r="Y754" s="131"/>
      <c r="Z754" s="163"/>
      <c r="AA754" s="131"/>
      <c r="AB754" s="131"/>
      <c r="AC754" s="131"/>
      <c r="AD754" s="131"/>
      <c r="AE754" s="131"/>
      <c r="AF754" s="163"/>
      <c r="AG754" s="163"/>
      <c r="AH754" s="163"/>
      <c r="AI754" s="163"/>
      <c r="AJ754" s="163"/>
      <c r="AK754" s="163"/>
      <c r="AL754" s="163"/>
      <c r="AM754" s="130"/>
      <c r="AN754" s="163"/>
    </row>
    <row r="755" ht="15.75" customHeight="1">
      <c r="A755" s="362"/>
      <c r="B755" s="362"/>
      <c r="C755" s="362"/>
      <c r="D755" s="362"/>
      <c r="E755" s="132"/>
      <c r="F755" s="132"/>
      <c r="G755" s="361"/>
      <c r="H755" s="361"/>
      <c r="I755" s="361"/>
      <c r="J755" s="363"/>
      <c r="K755" s="364"/>
      <c r="L755" s="361"/>
      <c r="M755" s="361"/>
      <c r="N755" s="361"/>
      <c r="O755" s="361"/>
      <c r="P755" s="361"/>
      <c r="Q755" s="361"/>
      <c r="R755" s="361"/>
      <c r="S755" s="361"/>
      <c r="T755" s="361"/>
      <c r="U755" s="361"/>
      <c r="V755" s="361"/>
      <c r="W755" s="361"/>
      <c r="X755" s="361"/>
      <c r="Y755" s="131"/>
      <c r="Z755" s="163"/>
      <c r="AA755" s="131"/>
      <c r="AB755" s="131"/>
      <c r="AC755" s="131"/>
      <c r="AD755" s="131"/>
      <c r="AE755" s="131"/>
      <c r="AF755" s="163"/>
      <c r="AG755" s="163"/>
      <c r="AH755" s="163"/>
      <c r="AI755" s="163"/>
      <c r="AJ755" s="163"/>
      <c r="AK755" s="163"/>
      <c r="AL755" s="163"/>
      <c r="AM755" s="130"/>
      <c r="AN755" s="163"/>
    </row>
    <row r="756" ht="15.75" customHeight="1">
      <c r="A756" s="362"/>
      <c r="B756" s="362"/>
      <c r="C756" s="362"/>
      <c r="D756" s="362"/>
      <c r="E756" s="132"/>
      <c r="F756" s="132"/>
      <c r="G756" s="361"/>
      <c r="H756" s="361"/>
      <c r="I756" s="361"/>
      <c r="J756" s="363"/>
      <c r="K756" s="364"/>
      <c r="L756" s="361"/>
      <c r="M756" s="361"/>
      <c r="N756" s="361"/>
      <c r="O756" s="361"/>
      <c r="P756" s="361"/>
      <c r="Q756" s="361"/>
      <c r="R756" s="361"/>
      <c r="S756" s="361"/>
      <c r="T756" s="361"/>
      <c r="U756" s="361"/>
      <c r="V756" s="361"/>
      <c r="W756" s="361"/>
      <c r="X756" s="361"/>
      <c r="Y756" s="131"/>
      <c r="Z756" s="163"/>
      <c r="AA756" s="131"/>
      <c r="AB756" s="131"/>
      <c r="AC756" s="131"/>
      <c r="AD756" s="131"/>
      <c r="AE756" s="131"/>
      <c r="AF756" s="163"/>
      <c r="AG756" s="163"/>
      <c r="AH756" s="163"/>
      <c r="AI756" s="163"/>
      <c r="AJ756" s="163"/>
      <c r="AK756" s="163"/>
      <c r="AL756" s="163"/>
      <c r="AM756" s="130"/>
      <c r="AN756" s="163"/>
    </row>
    <row r="757" ht="15.75" customHeight="1">
      <c r="A757" s="362"/>
      <c r="B757" s="362"/>
      <c r="C757" s="362"/>
      <c r="D757" s="362"/>
      <c r="E757" s="132"/>
      <c r="F757" s="132"/>
      <c r="G757" s="361"/>
      <c r="H757" s="361"/>
      <c r="I757" s="361"/>
      <c r="J757" s="363"/>
      <c r="K757" s="364"/>
      <c r="L757" s="361"/>
      <c r="M757" s="361"/>
      <c r="N757" s="361"/>
      <c r="O757" s="361"/>
      <c r="P757" s="361"/>
      <c r="Q757" s="361"/>
      <c r="R757" s="361"/>
      <c r="S757" s="361"/>
      <c r="T757" s="361"/>
      <c r="U757" s="361"/>
      <c r="V757" s="361"/>
      <c r="W757" s="361"/>
      <c r="X757" s="361"/>
      <c r="Y757" s="131"/>
      <c r="Z757" s="163"/>
      <c r="AA757" s="131"/>
      <c r="AB757" s="131"/>
      <c r="AC757" s="131"/>
      <c r="AD757" s="131"/>
      <c r="AE757" s="131"/>
      <c r="AF757" s="163"/>
      <c r="AG757" s="163"/>
      <c r="AH757" s="163"/>
      <c r="AI757" s="163"/>
      <c r="AJ757" s="163"/>
      <c r="AK757" s="163"/>
      <c r="AL757" s="163"/>
      <c r="AM757" s="130"/>
      <c r="AN757" s="163"/>
    </row>
    <row r="758" ht="15.75" customHeight="1">
      <c r="A758" s="362"/>
      <c r="B758" s="362"/>
      <c r="C758" s="362"/>
      <c r="D758" s="362"/>
      <c r="E758" s="132"/>
      <c r="F758" s="132"/>
      <c r="G758" s="361"/>
      <c r="H758" s="361"/>
      <c r="I758" s="361"/>
      <c r="J758" s="363"/>
      <c r="K758" s="364"/>
      <c r="L758" s="361"/>
      <c r="M758" s="361"/>
      <c r="N758" s="361"/>
      <c r="O758" s="361"/>
      <c r="P758" s="361"/>
      <c r="Q758" s="361"/>
      <c r="R758" s="361"/>
      <c r="S758" s="361"/>
      <c r="T758" s="361"/>
      <c r="U758" s="361"/>
      <c r="V758" s="361"/>
      <c r="W758" s="361"/>
      <c r="X758" s="361"/>
      <c r="Y758" s="131"/>
      <c r="Z758" s="163"/>
      <c r="AA758" s="131"/>
      <c r="AB758" s="131"/>
      <c r="AC758" s="131"/>
      <c r="AD758" s="131"/>
      <c r="AE758" s="131"/>
      <c r="AF758" s="163"/>
      <c r="AG758" s="163"/>
      <c r="AH758" s="163"/>
      <c r="AI758" s="163"/>
      <c r="AJ758" s="163"/>
      <c r="AK758" s="163"/>
      <c r="AL758" s="163"/>
      <c r="AM758" s="130"/>
      <c r="AN758" s="163"/>
    </row>
    <row r="759" ht="15.75" customHeight="1">
      <c r="A759" s="362"/>
      <c r="B759" s="362"/>
      <c r="C759" s="362"/>
      <c r="D759" s="362"/>
      <c r="E759" s="132"/>
      <c r="F759" s="132"/>
      <c r="G759" s="361"/>
      <c r="H759" s="361"/>
      <c r="I759" s="361"/>
      <c r="J759" s="363"/>
      <c r="K759" s="364"/>
      <c r="L759" s="361"/>
      <c r="M759" s="361"/>
      <c r="N759" s="361"/>
      <c r="O759" s="361"/>
      <c r="P759" s="361"/>
      <c r="Q759" s="361"/>
      <c r="R759" s="361"/>
      <c r="S759" s="361"/>
      <c r="T759" s="361"/>
      <c r="U759" s="361"/>
      <c r="V759" s="361"/>
      <c r="W759" s="361"/>
      <c r="X759" s="361"/>
      <c r="Y759" s="131"/>
      <c r="Z759" s="163"/>
      <c r="AA759" s="131"/>
      <c r="AB759" s="131"/>
      <c r="AC759" s="131"/>
      <c r="AD759" s="131"/>
      <c r="AE759" s="131"/>
      <c r="AF759" s="163"/>
      <c r="AG759" s="163"/>
      <c r="AH759" s="163"/>
      <c r="AI759" s="163"/>
      <c r="AJ759" s="163"/>
      <c r="AK759" s="163"/>
      <c r="AL759" s="163"/>
      <c r="AM759" s="130"/>
      <c r="AN759" s="163"/>
    </row>
    <row r="760" ht="15.75" customHeight="1">
      <c r="A760" s="362"/>
      <c r="B760" s="362"/>
      <c r="C760" s="362"/>
      <c r="D760" s="362"/>
      <c r="E760" s="132"/>
      <c r="F760" s="132"/>
      <c r="G760" s="361"/>
      <c r="H760" s="361"/>
      <c r="I760" s="361"/>
      <c r="J760" s="363"/>
      <c r="K760" s="364"/>
      <c r="L760" s="361"/>
      <c r="M760" s="361"/>
      <c r="N760" s="361"/>
      <c r="O760" s="361"/>
      <c r="P760" s="361"/>
      <c r="Q760" s="361"/>
      <c r="R760" s="361"/>
      <c r="S760" s="361"/>
      <c r="T760" s="361"/>
      <c r="U760" s="361"/>
      <c r="V760" s="361"/>
      <c r="W760" s="361"/>
      <c r="X760" s="361"/>
      <c r="Y760" s="131"/>
      <c r="Z760" s="163"/>
      <c r="AA760" s="131"/>
      <c r="AB760" s="131"/>
      <c r="AC760" s="131"/>
      <c r="AD760" s="131"/>
      <c r="AE760" s="131"/>
      <c r="AF760" s="163"/>
      <c r="AG760" s="163"/>
      <c r="AH760" s="163"/>
      <c r="AI760" s="163"/>
      <c r="AJ760" s="163"/>
      <c r="AK760" s="163"/>
      <c r="AL760" s="163"/>
      <c r="AM760" s="130"/>
      <c r="AN760" s="163"/>
    </row>
    <row r="761" ht="15.75" customHeight="1">
      <c r="A761" s="362"/>
      <c r="B761" s="362"/>
      <c r="C761" s="362"/>
      <c r="D761" s="362"/>
      <c r="E761" s="132"/>
      <c r="F761" s="132"/>
      <c r="G761" s="361"/>
      <c r="H761" s="361"/>
      <c r="I761" s="361"/>
      <c r="J761" s="363"/>
      <c r="K761" s="364"/>
      <c r="L761" s="361"/>
      <c r="M761" s="361"/>
      <c r="N761" s="361"/>
      <c r="O761" s="361"/>
      <c r="P761" s="361"/>
      <c r="Q761" s="361"/>
      <c r="R761" s="361"/>
      <c r="S761" s="361"/>
      <c r="T761" s="361"/>
      <c r="U761" s="361"/>
      <c r="V761" s="361"/>
      <c r="W761" s="361"/>
      <c r="X761" s="361"/>
      <c r="Y761" s="131"/>
      <c r="Z761" s="163"/>
      <c r="AA761" s="131"/>
      <c r="AB761" s="131"/>
      <c r="AC761" s="131"/>
      <c r="AD761" s="131"/>
      <c r="AE761" s="131"/>
      <c r="AF761" s="163"/>
      <c r="AG761" s="163"/>
      <c r="AH761" s="163"/>
      <c r="AI761" s="163"/>
      <c r="AJ761" s="163"/>
      <c r="AK761" s="163"/>
      <c r="AL761" s="163"/>
      <c r="AM761" s="130"/>
      <c r="AN761" s="163"/>
    </row>
    <row r="762" ht="15.75" customHeight="1">
      <c r="A762" s="362"/>
      <c r="B762" s="362"/>
      <c r="C762" s="362"/>
      <c r="D762" s="362"/>
      <c r="E762" s="132"/>
      <c r="F762" s="132"/>
      <c r="G762" s="361"/>
      <c r="H762" s="361"/>
      <c r="I762" s="361"/>
      <c r="J762" s="363"/>
      <c r="K762" s="364"/>
      <c r="L762" s="361"/>
      <c r="M762" s="361"/>
      <c r="N762" s="361"/>
      <c r="O762" s="361"/>
      <c r="P762" s="361"/>
      <c r="Q762" s="361"/>
      <c r="R762" s="361"/>
      <c r="S762" s="361"/>
      <c r="T762" s="361"/>
      <c r="U762" s="361"/>
      <c r="V762" s="361"/>
      <c r="W762" s="361"/>
      <c r="X762" s="361"/>
      <c r="Y762" s="131"/>
      <c r="Z762" s="163"/>
      <c r="AA762" s="131"/>
      <c r="AB762" s="131"/>
      <c r="AC762" s="131"/>
      <c r="AD762" s="131"/>
      <c r="AE762" s="131"/>
      <c r="AF762" s="163"/>
      <c r="AG762" s="163"/>
      <c r="AH762" s="163"/>
      <c r="AI762" s="163"/>
      <c r="AJ762" s="163"/>
      <c r="AK762" s="163"/>
      <c r="AL762" s="163"/>
      <c r="AM762" s="130"/>
      <c r="AN762" s="163"/>
    </row>
    <row r="763" ht="15.75" customHeight="1">
      <c r="A763" s="362"/>
      <c r="B763" s="362"/>
      <c r="C763" s="362"/>
      <c r="D763" s="362"/>
      <c r="E763" s="132"/>
      <c r="F763" s="132"/>
      <c r="G763" s="361"/>
      <c r="H763" s="361"/>
      <c r="I763" s="361"/>
      <c r="J763" s="363"/>
      <c r="K763" s="364"/>
      <c r="L763" s="361"/>
      <c r="M763" s="361"/>
      <c r="N763" s="361"/>
      <c r="O763" s="361"/>
      <c r="P763" s="361"/>
      <c r="Q763" s="361"/>
      <c r="R763" s="361"/>
      <c r="S763" s="361"/>
      <c r="T763" s="361"/>
      <c r="U763" s="361"/>
      <c r="V763" s="361"/>
      <c r="W763" s="361"/>
      <c r="X763" s="361"/>
      <c r="Y763" s="131"/>
      <c r="Z763" s="163"/>
      <c r="AA763" s="131"/>
      <c r="AB763" s="131"/>
      <c r="AC763" s="131"/>
      <c r="AD763" s="131"/>
      <c r="AE763" s="131"/>
      <c r="AF763" s="163"/>
      <c r="AG763" s="163"/>
      <c r="AH763" s="163"/>
      <c r="AI763" s="163"/>
      <c r="AJ763" s="163"/>
      <c r="AK763" s="163"/>
      <c r="AL763" s="163"/>
      <c r="AM763" s="130"/>
      <c r="AN763" s="163"/>
    </row>
    <row r="764" ht="15.75" customHeight="1">
      <c r="A764" s="362"/>
      <c r="B764" s="362"/>
      <c r="C764" s="362"/>
      <c r="D764" s="362"/>
      <c r="E764" s="132"/>
      <c r="F764" s="132"/>
      <c r="G764" s="361"/>
      <c r="H764" s="361"/>
      <c r="I764" s="361"/>
      <c r="J764" s="363"/>
      <c r="K764" s="364"/>
      <c r="L764" s="361"/>
      <c r="M764" s="361"/>
      <c r="N764" s="361"/>
      <c r="O764" s="361"/>
      <c r="P764" s="361"/>
      <c r="Q764" s="361"/>
      <c r="R764" s="361"/>
      <c r="S764" s="361"/>
      <c r="T764" s="361"/>
      <c r="U764" s="361"/>
      <c r="V764" s="361"/>
      <c r="W764" s="361"/>
      <c r="X764" s="361"/>
      <c r="Y764" s="131"/>
      <c r="Z764" s="163"/>
      <c r="AA764" s="131"/>
      <c r="AB764" s="131"/>
      <c r="AC764" s="131"/>
      <c r="AD764" s="131"/>
      <c r="AE764" s="131"/>
      <c r="AF764" s="163"/>
      <c r="AG764" s="163"/>
      <c r="AH764" s="163"/>
      <c r="AI764" s="163"/>
      <c r="AJ764" s="163"/>
      <c r="AK764" s="163"/>
      <c r="AL764" s="163"/>
      <c r="AM764" s="130"/>
      <c r="AN764" s="163"/>
    </row>
    <row r="765" ht="15.75" customHeight="1">
      <c r="A765" s="362"/>
      <c r="B765" s="362"/>
      <c r="C765" s="362"/>
      <c r="D765" s="362"/>
      <c r="E765" s="132"/>
      <c r="F765" s="132"/>
      <c r="G765" s="361"/>
      <c r="H765" s="361"/>
      <c r="I765" s="361"/>
      <c r="J765" s="363"/>
      <c r="K765" s="364"/>
      <c r="L765" s="361"/>
      <c r="M765" s="361"/>
      <c r="N765" s="361"/>
      <c r="O765" s="361"/>
      <c r="P765" s="361"/>
      <c r="Q765" s="361"/>
      <c r="R765" s="361"/>
      <c r="S765" s="361"/>
      <c r="T765" s="361"/>
      <c r="U765" s="361"/>
      <c r="V765" s="361"/>
      <c r="W765" s="361"/>
      <c r="X765" s="361"/>
      <c r="Y765" s="131"/>
      <c r="Z765" s="163"/>
      <c r="AA765" s="131"/>
      <c r="AB765" s="131"/>
      <c r="AC765" s="131"/>
      <c r="AD765" s="131"/>
      <c r="AE765" s="131"/>
      <c r="AF765" s="163"/>
      <c r="AG765" s="163"/>
      <c r="AH765" s="163"/>
      <c r="AI765" s="163"/>
      <c r="AJ765" s="163"/>
      <c r="AK765" s="163"/>
      <c r="AL765" s="163"/>
      <c r="AM765" s="130"/>
      <c r="AN765" s="163"/>
    </row>
    <row r="766" ht="15.75" customHeight="1">
      <c r="A766" s="362"/>
      <c r="B766" s="362"/>
      <c r="C766" s="362"/>
      <c r="D766" s="362"/>
      <c r="E766" s="132"/>
      <c r="F766" s="132"/>
      <c r="G766" s="361"/>
      <c r="H766" s="361"/>
      <c r="I766" s="361"/>
      <c r="J766" s="363"/>
      <c r="K766" s="364"/>
      <c r="L766" s="361"/>
      <c r="M766" s="361"/>
      <c r="N766" s="361"/>
      <c r="O766" s="361"/>
      <c r="P766" s="361"/>
      <c r="Q766" s="361"/>
      <c r="R766" s="361"/>
      <c r="S766" s="361"/>
      <c r="T766" s="361"/>
      <c r="U766" s="361"/>
      <c r="V766" s="361"/>
      <c r="W766" s="361"/>
      <c r="X766" s="361"/>
      <c r="Y766" s="131"/>
      <c r="Z766" s="163"/>
      <c r="AA766" s="131"/>
      <c r="AB766" s="131"/>
      <c r="AC766" s="131"/>
      <c r="AD766" s="131"/>
      <c r="AE766" s="131"/>
      <c r="AF766" s="163"/>
      <c r="AG766" s="163"/>
      <c r="AH766" s="163"/>
      <c r="AI766" s="163"/>
      <c r="AJ766" s="163"/>
      <c r="AK766" s="163"/>
      <c r="AL766" s="163"/>
      <c r="AM766" s="130"/>
      <c r="AN766" s="163"/>
    </row>
    <row r="767" ht="15.75" customHeight="1">
      <c r="A767" s="362"/>
      <c r="B767" s="362"/>
      <c r="C767" s="362"/>
      <c r="D767" s="362"/>
      <c r="E767" s="132"/>
      <c r="F767" s="132"/>
      <c r="G767" s="361"/>
      <c r="H767" s="361"/>
      <c r="I767" s="361"/>
      <c r="J767" s="363"/>
      <c r="K767" s="364"/>
      <c r="L767" s="361"/>
      <c r="M767" s="361"/>
      <c r="N767" s="361"/>
      <c r="O767" s="361"/>
      <c r="P767" s="361"/>
      <c r="Q767" s="361"/>
      <c r="R767" s="361"/>
      <c r="S767" s="361"/>
      <c r="T767" s="361"/>
      <c r="U767" s="361"/>
      <c r="V767" s="361"/>
      <c r="W767" s="361"/>
      <c r="X767" s="361"/>
      <c r="Y767" s="131"/>
      <c r="Z767" s="163"/>
      <c r="AA767" s="131"/>
      <c r="AB767" s="131"/>
      <c r="AC767" s="131"/>
      <c r="AD767" s="131"/>
      <c r="AE767" s="131"/>
      <c r="AF767" s="163"/>
      <c r="AG767" s="163"/>
      <c r="AH767" s="163"/>
      <c r="AI767" s="163"/>
      <c r="AJ767" s="163"/>
      <c r="AK767" s="163"/>
      <c r="AL767" s="163"/>
      <c r="AM767" s="130"/>
      <c r="AN767" s="163"/>
    </row>
    <row r="768" ht="15.75" customHeight="1">
      <c r="A768" s="362"/>
      <c r="B768" s="362"/>
      <c r="C768" s="362"/>
      <c r="D768" s="362"/>
      <c r="E768" s="132"/>
      <c r="F768" s="132"/>
      <c r="G768" s="361"/>
      <c r="H768" s="361"/>
      <c r="I768" s="361"/>
      <c r="J768" s="363"/>
      <c r="K768" s="364"/>
      <c r="L768" s="361"/>
      <c r="M768" s="361"/>
      <c r="N768" s="361"/>
      <c r="O768" s="361"/>
      <c r="P768" s="361"/>
      <c r="Q768" s="361"/>
      <c r="R768" s="361"/>
      <c r="S768" s="361"/>
      <c r="T768" s="361"/>
      <c r="U768" s="361"/>
      <c r="V768" s="361"/>
      <c r="W768" s="361"/>
      <c r="X768" s="361"/>
      <c r="Y768" s="131"/>
      <c r="Z768" s="163"/>
      <c r="AA768" s="131"/>
      <c r="AB768" s="131"/>
      <c r="AC768" s="131"/>
      <c r="AD768" s="131"/>
      <c r="AE768" s="131"/>
      <c r="AF768" s="163"/>
      <c r="AG768" s="163"/>
      <c r="AH768" s="163"/>
      <c r="AI768" s="163"/>
      <c r="AJ768" s="163"/>
      <c r="AK768" s="163"/>
      <c r="AL768" s="163"/>
      <c r="AM768" s="130"/>
      <c r="AN768" s="163"/>
    </row>
    <row r="769" ht="15.75" customHeight="1">
      <c r="A769" s="362"/>
      <c r="B769" s="362"/>
      <c r="C769" s="362"/>
      <c r="D769" s="362"/>
      <c r="E769" s="132"/>
      <c r="F769" s="132"/>
      <c r="G769" s="361"/>
      <c r="H769" s="361"/>
      <c r="I769" s="361"/>
      <c r="J769" s="363"/>
      <c r="K769" s="364"/>
      <c r="L769" s="361"/>
      <c r="M769" s="361"/>
      <c r="N769" s="361"/>
      <c r="O769" s="361"/>
      <c r="P769" s="361"/>
      <c r="Q769" s="361"/>
      <c r="R769" s="361"/>
      <c r="S769" s="361"/>
      <c r="T769" s="361"/>
      <c r="U769" s="361"/>
      <c r="V769" s="361"/>
      <c r="W769" s="361"/>
      <c r="X769" s="361"/>
      <c r="Y769" s="131"/>
      <c r="Z769" s="163"/>
      <c r="AA769" s="131"/>
      <c r="AB769" s="131"/>
      <c r="AC769" s="131"/>
      <c r="AD769" s="131"/>
      <c r="AE769" s="131"/>
      <c r="AF769" s="163"/>
      <c r="AG769" s="163"/>
      <c r="AH769" s="163"/>
      <c r="AI769" s="163"/>
      <c r="AJ769" s="163"/>
      <c r="AK769" s="163"/>
      <c r="AL769" s="163"/>
      <c r="AM769" s="130"/>
      <c r="AN769" s="163"/>
    </row>
    <row r="770" ht="15.75" customHeight="1">
      <c r="A770" s="362"/>
      <c r="B770" s="362"/>
      <c r="C770" s="362"/>
      <c r="D770" s="362"/>
      <c r="E770" s="132"/>
      <c r="F770" s="132"/>
      <c r="G770" s="361"/>
      <c r="H770" s="361"/>
      <c r="I770" s="361"/>
      <c r="J770" s="363"/>
      <c r="K770" s="364"/>
      <c r="L770" s="361"/>
      <c r="M770" s="361"/>
      <c r="N770" s="361"/>
      <c r="O770" s="361"/>
      <c r="P770" s="361"/>
      <c r="Q770" s="361"/>
      <c r="R770" s="361"/>
      <c r="S770" s="361"/>
      <c r="T770" s="361"/>
      <c r="U770" s="361"/>
      <c r="V770" s="361"/>
      <c r="W770" s="361"/>
      <c r="X770" s="361"/>
      <c r="Y770" s="131"/>
      <c r="Z770" s="163"/>
      <c r="AA770" s="131"/>
      <c r="AB770" s="131"/>
      <c r="AC770" s="131"/>
      <c r="AD770" s="131"/>
      <c r="AE770" s="131"/>
      <c r="AF770" s="163"/>
      <c r="AG770" s="163"/>
      <c r="AH770" s="163"/>
      <c r="AI770" s="163"/>
      <c r="AJ770" s="163"/>
      <c r="AK770" s="163"/>
      <c r="AL770" s="163"/>
      <c r="AM770" s="130"/>
      <c r="AN770" s="163"/>
    </row>
    <row r="771" ht="15.75" customHeight="1">
      <c r="A771" s="362"/>
      <c r="B771" s="362"/>
      <c r="C771" s="362"/>
      <c r="D771" s="362"/>
      <c r="E771" s="132"/>
      <c r="F771" s="132"/>
      <c r="G771" s="361"/>
      <c r="H771" s="361"/>
      <c r="I771" s="361"/>
      <c r="J771" s="363"/>
      <c r="K771" s="364"/>
      <c r="L771" s="361"/>
      <c r="M771" s="361"/>
      <c r="N771" s="361"/>
      <c r="O771" s="361"/>
      <c r="P771" s="361"/>
      <c r="Q771" s="361"/>
      <c r="R771" s="361"/>
      <c r="S771" s="361"/>
      <c r="T771" s="361"/>
      <c r="U771" s="361"/>
      <c r="V771" s="361"/>
      <c r="W771" s="361"/>
      <c r="X771" s="361"/>
      <c r="Y771" s="131"/>
      <c r="Z771" s="163"/>
      <c r="AA771" s="131"/>
      <c r="AB771" s="131"/>
      <c r="AC771" s="131"/>
      <c r="AD771" s="131"/>
      <c r="AE771" s="131"/>
      <c r="AF771" s="163"/>
      <c r="AG771" s="163"/>
      <c r="AH771" s="163"/>
      <c r="AI771" s="163"/>
      <c r="AJ771" s="163"/>
      <c r="AK771" s="163"/>
      <c r="AL771" s="163"/>
      <c r="AM771" s="130"/>
      <c r="AN771" s="163"/>
    </row>
    <row r="772" ht="15.75" customHeight="1">
      <c r="A772" s="362"/>
      <c r="B772" s="362"/>
      <c r="C772" s="362"/>
      <c r="D772" s="362"/>
      <c r="E772" s="132"/>
      <c r="F772" s="132"/>
      <c r="G772" s="361"/>
      <c r="H772" s="361"/>
      <c r="I772" s="361"/>
      <c r="J772" s="363"/>
      <c r="K772" s="364"/>
      <c r="L772" s="361"/>
      <c r="M772" s="361"/>
      <c r="N772" s="361"/>
      <c r="O772" s="361"/>
      <c r="P772" s="361"/>
      <c r="Q772" s="361"/>
      <c r="R772" s="361"/>
      <c r="S772" s="361"/>
      <c r="T772" s="361"/>
      <c r="U772" s="361"/>
      <c r="V772" s="361"/>
      <c r="W772" s="361"/>
      <c r="X772" s="361"/>
      <c r="Y772" s="131"/>
      <c r="Z772" s="163"/>
      <c r="AA772" s="131"/>
      <c r="AB772" s="131"/>
      <c r="AC772" s="131"/>
      <c r="AD772" s="131"/>
      <c r="AE772" s="131"/>
      <c r="AF772" s="163"/>
      <c r="AG772" s="163"/>
      <c r="AH772" s="163"/>
      <c r="AI772" s="163"/>
      <c r="AJ772" s="163"/>
      <c r="AK772" s="163"/>
      <c r="AL772" s="163"/>
      <c r="AM772" s="130"/>
      <c r="AN772" s="163"/>
    </row>
    <row r="773" ht="15.75" customHeight="1">
      <c r="A773" s="362"/>
      <c r="B773" s="362"/>
      <c r="C773" s="362"/>
      <c r="D773" s="362"/>
      <c r="E773" s="132"/>
      <c r="F773" s="132"/>
      <c r="G773" s="361"/>
      <c r="H773" s="361"/>
      <c r="I773" s="361"/>
      <c r="J773" s="363"/>
      <c r="K773" s="364"/>
      <c r="L773" s="361"/>
      <c r="M773" s="361"/>
      <c r="N773" s="361"/>
      <c r="O773" s="361"/>
      <c r="P773" s="361"/>
      <c r="Q773" s="361"/>
      <c r="R773" s="361"/>
      <c r="S773" s="361"/>
      <c r="T773" s="361"/>
      <c r="U773" s="361"/>
      <c r="V773" s="361"/>
      <c r="W773" s="361"/>
      <c r="X773" s="361"/>
      <c r="Y773" s="131"/>
      <c r="Z773" s="163"/>
      <c r="AA773" s="131"/>
      <c r="AB773" s="131"/>
      <c r="AC773" s="131"/>
      <c r="AD773" s="131"/>
      <c r="AE773" s="131"/>
      <c r="AF773" s="163"/>
      <c r="AG773" s="163"/>
      <c r="AH773" s="163"/>
      <c r="AI773" s="163"/>
      <c r="AJ773" s="163"/>
      <c r="AK773" s="163"/>
      <c r="AL773" s="163"/>
      <c r="AM773" s="130"/>
      <c r="AN773" s="163"/>
    </row>
    <row r="774" ht="15.75" customHeight="1">
      <c r="A774" s="362"/>
      <c r="B774" s="362"/>
      <c r="C774" s="362"/>
      <c r="D774" s="362"/>
      <c r="E774" s="132"/>
      <c r="F774" s="132"/>
      <c r="G774" s="361"/>
      <c r="H774" s="361"/>
      <c r="I774" s="361"/>
      <c r="J774" s="363"/>
      <c r="K774" s="364"/>
      <c r="L774" s="361"/>
      <c r="M774" s="361"/>
      <c r="N774" s="361"/>
      <c r="O774" s="361"/>
      <c r="P774" s="361"/>
      <c r="Q774" s="361"/>
      <c r="R774" s="361"/>
      <c r="S774" s="361"/>
      <c r="T774" s="361"/>
      <c r="U774" s="361"/>
      <c r="V774" s="361"/>
      <c r="W774" s="361"/>
      <c r="X774" s="361"/>
      <c r="Y774" s="131"/>
      <c r="Z774" s="163"/>
      <c r="AA774" s="131"/>
      <c r="AB774" s="131"/>
      <c r="AC774" s="131"/>
      <c r="AD774" s="131"/>
      <c r="AE774" s="131"/>
      <c r="AF774" s="163"/>
      <c r="AG774" s="163"/>
      <c r="AH774" s="163"/>
      <c r="AI774" s="163"/>
      <c r="AJ774" s="163"/>
      <c r="AK774" s="163"/>
      <c r="AL774" s="163"/>
      <c r="AM774" s="130"/>
      <c r="AN774" s="163"/>
    </row>
    <row r="775" ht="15.75" customHeight="1">
      <c r="A775" s="362"/>
      <c r="B775" s="362"/>
      <c r="C775" s="362"/>
      <c r="D775" s="362"/>
      <c r="E775" s="132"/>
      <c r="F775" s="132"/>
      <c r="G775" s="361"/>
      <c r="H775" s="361"/>
      <c r="I775" s="361"/>
      <c r="J775" s="363"/>
      <c r="K775" s="364"/>
      <c r="L775" s="361"/>
      <c r="M775" s="361"/>
      <c r="N775" s="361"/>
      <c r="O775" s="361"/>
      <c r="P775" s="361"/>
      <c r="Q775" s="361"/>
      <c r="R775" s="361"/>
      <c r="S775" s="361"/>
      <c r="T775" s="361"/>
      <c r="U775" s="361"/>
      <c r="V775" s="361"/>
      <c r="W775" s="361"/>
      <c r="X775" s="361"/>
      <c r="Y775" s="131"/>
      <c r="Z775" s="163"/>
      <c r="AA775" s="131"/>
      <c r="AB775" s="131"/>
      <c r="AC775" s="131"/>
      <c r="AD775" s="131"/>
      <c r="AE775" s="131"/>
      <c r="AF775" s="163"/>
      <c r="AG775" s="163"/>
      <c r="AH775" s="163"/>
      <c r="AI775" s="163"/>
      <c r="AJ775" s="163"/>
      <c r="AK775" s="163"/>
      <c r="AL775" s="163"/>
      <c r="AM775" s="130"/>
      <c r="AN775" s="163"/>
    </row>
    <row r="776" ht="15.75" customHeight="1">
      <c r="A776" s="362"/>
      <c r="B776" s="362"/>
      <c r="C776" s="362"/>
      <c r="D776" s="362"/>
      <c r="E776" s="132"/>
      <c r="F776" s="132"/>
      <c r="G776" s="361"/>
      <c r="H776" s="361"/>
      <c r="I776" s="361"/>
      <c r="J776" s="363"/>
      <c r="K776" s="364"/>
      <c r="L776" s="361"/>
      <c r="M776" s="361"/>
      <c r="N776" s="361"/>
      <c r="O776" s="361"/>
      <c r="P776" s="361"/>
      <c r="Q776" s="361"/>
      <c r="R776" s="361"/>
      <c r="S776" s="361"/>
      <c r="T776" s="361"/>
      <c r="U776" s="361"/>
      <c r="V776" s="361"/>
      <c r="W776" s="361"/>
      <c r="X776" s="361"/>
      <c r="Y776" s="131"/>
      <c r="Z776" s="163"/>
      <c r="AA776" s="131"/>
      <c r="AB776" s="131"/>
      <c r="AC776" s="131"/>
      <c r="AD776" s="131"/>
      <c r="AE776" s="131"/>
      <c r="AF776" s="163"/>
      <c r="AG776" s="163"/>
      <c r="AH776" s="163"/>
      <c r="AI776" s="163"/>
      <c r="AJ776" s="163"/>
      <c r="AK776" s="163"/>
      <c r="AL776" s="163"/>
      <c r="AM776" s="130"/>
      <c r="AN776" s="163"/>
    </row>
    <row r="777" ht="15.75" customHeight="1">
      <c r="A777" s="362"/>
      <c r="B777" s="362"/>
      <c r="C777" s="362"/>
      <c r="D777" s="362"/>
      <c r="E777" s="132"/>
      <c r="F777" s="132"/>
      <c r="G777" s="361"/>
      <c r="H777" s="361"/>
      <c r="I777" s="361"/>
      <c r="J777" s="363"/>
      <c r="K777" s="364"/>
      <c r="L777" s="361"/>
      <c r="M777" s="361"/>
      <c r="N777" s="361"/>
      <c r="O777" s="361"/>
      <c r="P777" s="361"/>
      <c r="Q777" s="361"/>
      <c r="R777" s="361"/>
      <c r="S777" s="361"/>
      <c r="T777" s="361"/>
      <c r="U777" s="361"/>
      <c r="V777" s="361"/>
      <c r="W777" s="361"/>
      <c r="X777" s="361"/>
      <c r="Y777" s="131"/>
      <c r="Z777" s="163"/>
      <c r="AA777" s="131"/>
      <c r="AB777" s="131"/>
      <c r="AC777" s="131"/>
      <c r="AD777" s="131"/>
      <c r="AE777" s="131"/>
      <c r="AF777" s="163"/>
      <c r="AG777" s="163"/>
      <c r="AH777" s="163"/>
      <c r="AI777" s="163"/>
      <c r="AJ777" s="163"/>
      <c r="AK777" s="163"/>
      <c r="AL777" s="163"/>
      <c r="AM777" s="130"/>
      <c r="AN777" s="163"/>
    </row>
    <row r="778" ht="15.75" customHeight="1">
      <c r="A778" s="362"/>
      <c r="B778" s="362"/>
      <c r="C778" s="362"/>
      <c r="D778" s="362"/>
      <c r="E778" s="132"/>
      <c r="F778" s="132"/>
      <c r="G778" s="361"/>
      <c r="H778" s="361"/>
      <c r="I778" s="361"/>
      <c r="J778" s="363"/>
      <c r="K778" s="364"/>
      <c r="L778" s="361"/>
      <c r="M778" s="361"/>
      <c r="N778" s="361"/>
      <c r="O778" s="361"/>
      <c r="P778" s="361"/>
      <c r="Q778" s="361"/>
      <c r="R778" s="361"/>
      <c r="S778" s="361"/>
      <c r="T778" s="361"/>
      <c r="U778" s="361"/>
      <c r="V778" s="361"/>
      <c r="W778" s="361"/>
      <c r="X778" s="361"/>
      <c r="Y778" s="131"/>
      <c r="Z778" s="163"/>
      <c r="AA778" s="131"/>
      <c r="AB778" s="131"/>
      <c r="AC778" s="131"/>
      <c r="AD778" s="131"/>
      <c r="AE778" s="131"/>
      <c r="AF778" s="163"/>
      <c r="AG778" s="163"/>
      <c r="AH778" s="163"/>
      <c r="AI778" s="163"/>
      <c r="AJ778" s="163"/>
      <c r="AK778" s="163"/>
      <c r="AL778" s="163"/>
      <c r="AM778" s="130"/>
      <c r="AN778" s="163"/>
    </row>
    <row r="779" ht="15.75" customHeight="1">
      <c r="A779" s="362"/>
      <c r="B779" s="362"/>
      <c r="C779" s="362"/>
      <c r="D779" s="362"/>
      <c r="E779" s="132"/>
      <c r="F779" s="132"/>
      <c r="G779" s="361"/>
      <c r="H779" s="361"/>
      <c r="I779" s="361"/>
      <c r="J779" s="363"/>
      <c r="K779" s="364"/>
      <c r="L779" s="361"/>
      <c r="M779" s="361"/>
      <c r="N779" s="361"/>
      <c r="O779" s="361"/>
      <c r="P779" s="361"/>
      <c r="Q779" s="361"/>
      <c r="R779" s="361"/>
      <c r="S779" s="361"/>
      <c r="T779" s="361"/>
      <c r="U779" s="361"/>
      <c r="V779" s="361"/>
      <c r="W779" s="361"/>
      <c r="X779" s="361"/>
      <c r="Y779" s="131"/>
      <c r="Z779" s="163"/>
      <c r="AA779" s="131"/>
      <c r="AB779" s="131"/>
      <c r="AC779" s="131"/>
      <c r="AD779" s="131"/>
      <c r="AE779" s="131"/>
      <c r="AF779" s="163"/>
      <c r="AG779" s="163"/>
      <c r="AH779" s="163"/>
      <c r="AI779" s="163"/>
      <c r="AJ779" s="163"/>
      <c r="AK779" s="163"/>
      <c r="AL779" s="163"/>
      <c r="AM779" s="130"/>
      <c r="AN779" s="163"/>
    </row>
    <row r="780" ht="15.75" customHeight="1">
      <c r="A780" s="362"/>
      <c r="B780" s="362"/>
      <c r="C780" s="362"/>
      <c r="D780" s="362"/>
      <c r="E780" s="132"/>
      <c r="F780" s="132"/>
      <c r="G780" s="361"/>
      <c r="H780" s="361"/>
      <c r="I780" s="361"/>
      <c r="J780" s="363"/>
      <c r="K780" s="364"/>
      <c r="L780" s="361"/>
      <c r="M780" s="361"/>
      <c r="N780" s="361"/>
      <c r="O780" s="361"/>
      <c r="P780" s="361"/>
      <c r="Q780" s="361"/>
      <c r="R780" s="361"/>
      <c r="S780" s="361"/>
      <c r="T780" s="361"/>
      <c r="U780" s="361"/>
      <c r="V780" s="361"/>
      <c r="W780" s="361"/>
      <c r="X780" s="361"/>
      <c r="Y780" s="131"/>
      <c r="Z780" s="163"/>
      <c r="AA780" s="131"/>
      <c r="AB780" s="131"/>
      <c r="AC780" s="131"/>
      <c r="AD780" s="131"/>
      <c r="AE780" s="131"/>
      <c r="AF780" s="163"/>
      <c r="AG780" s="163"/>
      <c r="AH780" s="163"/>
      <c r="AI780" s="163"/>
      <c r="AJ780" s="163"/>
      <c r="AK780" s="163"/>
      <c r="AL780" s="163"/>
      <c r="AM780" s="130"/>
      <c r="AN780" s="163"/>
    </row>
    <row r="781" ht="15.75" customHeight="1">
      <c r="A781" s="362"/>
      <c r="B781" s="362"/>
      <c r="C781" s="362"/>
      <c r="D781" s="362"/>
      <c r="E781" s="132"/>
      <c r="F781" s="132"/>
      <c r="G781" s="361"/>
      <c r="H781" s="361"/>
      <c r="I781" s="361"/>
      <c r="J781" s="363"/>
      <c r="K781" s="364"/>
      <c r="L781" s="361"/>
      <c r="M781" s="361"/>
      <c r="N781" s="361"/>
      <c r="O781" s="361"/>
      <c r="P781" s="361"/>
      <c r="Q781" s="361"/>
      <c r="R781" s="361"/>
      <c r="S781" s="361"/>
      <c r="T781" s="361"/>
      <c r="U781" s="361"/>
      <c r="V781" s="361"/>
      <c r="W781" s="361"/>
      <c r="X781" s="361"/>
      <c r="Y781" s="131"/>
      <c r="Z781" s="163"/>
      <c r="AA781" s="131"/>
      <c r="AB781" s="131"/>
      <c r="AC781" s="131"/>
      <c r="AD781" s="131"/>
      <c r="AE781" s="131"/>
      <c r="AF781" s="163"/>
      <c r="AG781" s="163"/>
      <c r="AH781" s="163"/>
      <c r="AI781" s="163"/>
      <c r="AJ781" s="163"/>
      <c r="AK781" s="163"/>
      <c r="AL781" s="163"/>
      <c r="AM781" s="130"/>
      <c r="AN781" s="163"/>
    </row>
    <row r="782" ht="15.75" customHeight="1">
      <c r="A782" s="362"/>
      <c r="B782" s="362"/>
      <c r="C782" s="362"/>
      <c r="D782" s="362"/>
      <c r="E782" s="132"/>
      <c r="F782" s="132"/>
      <c r="G782" s="361"/>
      <c r="H782" s="361"/>
      <c r="I782" s="361"/>
      <c r="J782" s="363"/>
      <c r="K782" s="364"/>
      <c r="L782" s="361"/>
      <c r="M782" s="361"/>
      <c r="N782" s="361"/>
      <c r="O782" s="361"/>
      <c r="P782" s="361"/>
      <c r="Q782" s="361"/>
      <c r="R782" s="361"/>
      <c r="S782" s="361"/>
      <c r="T782" s="361"/>
      <c r="U782" s="361"/>
      <c r="V782" s="361"/>
      <c r="W782" s="361"/>
      <c r="X782" s="361"/>
      <c r="Y782" s="131"/>
      <c r="Z782" s="163"/>
      <c r="AA782" s="131"/>
      <c r="AB782" s="131"/>
      <c r="AC782" s="131"/>
      <c r="AD782" s="131"/>
      <c r="AE782" s="131"/>
      <c r="AF782" s="163"/>
      <c r="AG782" s="163"/>
      <c r="AH782" s="163"/>
      <c r="AI782" s="163"/>
      <c r="AJ782" s="163"/>
      <c r="AK782" s="163"/>
      <c r="AL782" s="163"/>
      <c r="AM782" s="130"/>
      <c r="AN782" s="163"/>
    </row>
    <row r="783" ht="15.75" customHeight="1">
      <c r="A783" s="362"/>
      <c r="B783" s="362"/>
      <c r="C783" s="362"/>
      <c r="D783" s="362"/>
      <c r="E783" s="132"/>
      <c r="F783" s="132"/>
      <c r="G783" s="361"/>
      <c r="H783" s="361"/>
      <c r="I783" s="361"/>
      <c r="J783" s="363"/>
      <c r="K783" s="364"/>
      <c r="L783" s="361"/>
      <c r="M783" s="361"/>
      <c r="N783" s="361"/>
      <c r="O783" s="361"/>
      <c r="P783" s="361"/>
      <c r="Q783" s="361"/>
      <c r="R783" s="361"/>
      <c r="S783" s="361"/>
      <c r="T783" s="361"/>
      <c r="U783" s="361"/>
      <c r="V783" s="361"/>
      <c r="W783" s="361"/>
      <c r="X783" s="361"/>
      <c r="Y783" s="131"/>
      <c r="Z783" s="163"/>
      <c r="AA783" s="131"/>
      <c r="AB783" s="131"/>
      <c r="AC783" s="131"/>
      <c r="AD783" s="131"/>
      <c r="AE783" s="131"/>
      <c r="AF783" s="163"/>
      <c r="AG783" s="163"/>
      <c r="AH783" s="163"/>
      <c r="AI783" s="163"/>
      <c r="AJ783" s="163"/>
      <c r="AK783" s="163"/>
      <c r="AL783" s="163"/>
      <c r="AM783" s="130"/>
      <c r="AN783" s="163"/>
    </row>
    <row r="784" ht="15.75" customHeight="1">
      <c r="A784" s="362"/>
      <c r="B784" s="362"/>
      <c r="C784" s="362"/>
      <c r="D784" s="362"/>
      <c r="E784" s="132"/>
      <c r="F784" s="132"/>
      <c r="G784" s="361"/>
      <c r="H784" s="361"/>
      <c r="I784" s="361"/>
      <c r="J784" s="363"/>
      <c r="K784" s="364"/>
      <c r="L784" s="361"/>
      <c r="M784" s="361"/>
      <c r="N784" s="361"/>
      <c r="O784" s="361"/>
      <c r="P784" s="361"/>
      <c r="Q784" s="361"/>
      <c r="R784" s="361"/>
      <c r="S784" s="361"/>
      <c r="T784" s="361"/>
      <c r="U784" s="361"/>
      <c r="V784" s="361"/>
      <c r="W784" s="361"/>
      <c r="X784" s="361"/>
      <c r="Y784" s="131"/>
      <c r="Z784" s="163"/>
      <c r="AA784" s="131"/>
      <c r="AB784" s="131"/>
      <c r="AC784" s="131"/>
      <c r="AD784" s="131"/>
      <c r="AE784" s="131"/>
      <c r="AF784" s="163"/>
      <c r="AG784" s="163"/>
      <c r="AH784" s="163"/>
      <c r="AI784" s="163"/>
      <c r="AJ784" s="163"/>
      <c r="AK784" s="163"/>
      <c r="AL784" s="163"/>
      <c r="AM784" s="130"/>
      <c r="AN784" s="163"/>
    </row>
    <row r="785" ht="15.75" customHeight="1">
      <c r="A785" s="362"/>
      <c r="B785" s="362"/>
      <c r="C785" s="362"/>
      <c r="D785" s="362"/>
      <c r="E785" s="132"/>
      <c r="F785" s="132"/>
      <c r="G785" s="361"/>
      <c r="H785" s="361"/>
      <c r="I785" s="361"/>
      <c r="J785" s="363"/>
      <c r="K785" s="364"/>
      <c r="L785" s="361"/>
      <c r="M785" s="361"/>
      <c r="N785" s="361"/>
      <c r="O785" s="361"/>
      <c r="P785" s="361"/>
      <c r="Q785" s="361"/>
      <c r="R785" s="361"/>
      <c r="S785" s="361"/>
      <c r="T785" s="361"/>
      <c r="U785" s="361"/>
      <c r="V785" s="361"/>
      <c r="W785" s="361"/>
      <c r="X785" s="361"/>
      <c r="Y785" s="131"/>
      <c r="Z785" s="163"/>
      <c r="AA785" s="131"/>
      <c r="AB785" s="131"/>
      <c r="AC785" s="131"/>
      <c r="AD785" s="131"/>
      <c r="AE785" s="131"/>
      <c r="AF785" s="163"/>
      <c r="AG785" s="163"/>
      <c r="AH785" s="163"/>
      <c r="AI785" s="163"/>
      <c r="AJ785" s="163"/>
      <c r="AK785" s="163"/>
      <c r="AL785" s="163"/>
      <c r="AM785" s="130"/>
      <c r="AN785" s="163"/>
    </row>
    <row r="786" ht="15.75" customHeight="1">
      <c r="A786" s="362"/>
      <c r="B786" s="362"/>
      <c r="C786" s="362"/>
      <c r="D786" s="362"/>
      <c r="E786" s="132"/>
      <c r="F786" s="132"/>
      <c r="G786" s="361"/>
      <c r="H786" s="361"/>
      <c r="I786" s="361"/>
      <c r="J786" s="363"/>
      <c r="K786" s="364"/>
      <c r="L786" s="361"/>
      <c r="M786" s="361"/>
      <c r="N786" s="361"/>
      <c r="O786" s="361"/>
      <c r="P786" s="361"/>
      <c r="Q786" s="361"/>
      <c r="R786" s="361"/>
      <c r="S786" s="361"/>
      <c r="T786" s="361"/>
      <c r="U786" s="361"/>
      <c r="V786" s="361"/>
      <c r="W786" s="361"/>
      <c r="X786" s="361"/>
      <c r="Y786" s="131"/>
      <c r="Z786" s="163"/>
      <c r="AA786" s="131"/>
      <c r="AB786" s="131"/>
      <c r="AC786" s="131"/>
      <c r="AD786" s="131"/>
      <c r="AE786" s="131"/>
      <c r="AF786" s="163"/>
      <c r="AG786" s="163"/>
      <c r="AH786" s="163"/>
      <c r="AI786" s="163"/>
      <c r="AJ786" s="163"/>
      <c r="AK786" s="163"/>
      <c r="AL786" s="163"/>
      <c r="AM786" s="130"/>
      <c r="AN786" s="163"/>
    </row>
    <row r="787" ht="15.75" customHeight="1">
      <c r="A787" s="362"/>
      <c r="B787" s="362"/>
      <c r="C787" s="362"/>
      <c r="D787" s="362"/>
      <c r="E787" s="132"/>
      <c r="F787" s="132"/>
      <c r="G787" s="361"/>
      <c r="H787" s="361"/>
      <c r="I787" s="361"/>
      <c r="J787" s="363"/>
      <c r="K787" s="364"/>
      <c r="L787" s="361"/>
      <c r="M787" s="361"/>
      <c r="N787" s="361"/>
      <c r="O787" s="361"/>
      <c r="P787" s="361"/>
      <c r="Q787" s="361"/>
      <c r="R787" s="361"/>
      <c r="S787" s="361"/>
      <c r="T787" s="361"/>
      <c r="U787" s="361"/>
      <c r="V787" s="361"/>
      <c r="W787" s="361"/>
      <c r="X787" s="361"/>
      <c r="Y787" s="131"/>
      <c r="Z787" s="163"/>
      <c r="AA787" s="131"/>
      <c r="AB787" s="131"/>
      <c r="AC787" s="131"/>
      <c r="AD787" s="131"/>
      <c r="AE787" s="131"/>
      <c r="AF787" s="163"/>
      <c r="AG787" s="163"/>
      <c r="AH787" s="163"/>
      <c r="AI787" s="163"/>
      <c r="AJ787" s="163"/>
      <c r="AK787" s="163"/>
      <c r="AL787" s="163"/>
      <c r="AM787" s="130"/>
      <c r="AN787" s="163"/>
    </row>
    <row r="788" ht="15.75" customHeight="1">
      <c r="A788" s="362"/>
      <c r="B788" s="362"/>
      <c r="C788" s="362"/>
      <c r="D788" s="362"/>
      <c r="E788" s="132"/>
      <c r="F788" s="132"/>
      <c r="G788" s="361"/>
      <c r="H788" s="361"/>
      <c r="I788" s="361"/>
      <c r="J788" s="363"/>
      <c r="K788" s="364"/>
      <c r="L788" s="361"/>
      <c r="M788" s="361"/>
      <c r="N788" s="361"/>
      <c r="O788" s="361"/>
      <c r="P788" s="361"/>
      <c r="Q788" s="361"/>
      <c r="R788" s="361"/>
      <c r="S788" s="361"/>
      <c r="T788" s="361"/>
      <c r="U788" s="361"/>
      <c r="V788" s="361"/>
      <c r="W788" s="361"/>
      <c r="X788" s="361"/>
      <c r="Y788" s="131"/>
      <c r="Z788" s="163"/>
      <c r="AA788" s="131"/>
      <c r="AB788" s="131"/>
      <c r="AC788" s="131"/>
      <c r="AD788" s="131"/>
      <c r="AE788" s="131"/>
      <c r="AF788" s="163"/>
      <c r="AG788" s="163"/>
      <c r="AH788" s="163"/>
      <c r="AI788" s="163"/>
      <c r="AJ788" s="163"/>
      <c r="AK788" s="163"/>
      <c r="AL788" s="163"/>
      <c r="AM788" s="130"/>
      <c r="AN788" s="163"/>
    </row>
    <row r="789" ht="15.75" customHeight="1">
      <c r="A789" s="362"/>
      <c r="B789" s="362"/>
      <c r="C789" s="362"/>
      <c r="D789" s="362"/>
      <c r="E789" s="132"/>
      <c r="F789" s="132"/>
      <c r="G789" s="361"/>
      <c r="H789" s="361"/>
      <c r="I789" s="361"/>
      <c r="J789" s="363"/>
      <c r="K789" s="364"/>
      <c r="L789" s="361"/>
      <c r="M789" s="361"/>
      <c r="N789" s="361"/>
      <c r="O789" s="361"/>
      <c r="P789" s="361"/>
      <c r="Q789" s="361"/>
      <c r="R789" s="361"/>
      <c r="S789" s="361"/>
      <c r="T789" s="361"/>
      <c r="U789" s="361"/>
      <c r="V789" s="361"/>
      <c r="W789" s="361"/>
      <c r="X789" s="361"/>
      <c r="Y789" s="131"/>
      <c r="Z789" s="163"/>
      <c r="AA789" s="131"/>
      <c r="AB789" s="131"/>
      <c r="AC789" s="131"/>
      <c r="AD789" s="131"/>
      <c r="AE789" s="131"/>
      <c r="AF789" s="163"/>
      <c r="AG789" s="163"/>
      <c r="AH789" s="163"/>
      <c r="AI789" s="163"/>
      <c r="AJ789" s="163"/>
      <c r="AK789" s="163"/>
      <c r="AL789" s="163"/>
      <c r="AM789" s="130"/>
      <c r="AN789" s="163"/>
    </row>
    <row r="790" ht="15.75" customHeight="1">
      <c r="A790" s="362"/>
      <c r="B790" s="362"/>
      <c r="C790" s="362"/>
      <c r="D790" s="362"/>
      <c r="E790" s="132"/>
      <c r="F790" s="132"/>
      <c r="G790" s="361"/>
      <c r="H790" s="361"/>
      <c r="I790" s="361"/>
      <c r="J790" s="363"/>
      <c r="K790" s="364"/>
      <c r="L790" s="361"/>
      <c r="M790" s="361"/>
      <c r="N790" s="361"/>
      <c r="O790" s="361"/>
      <c r="P790" s="361"/>
      <c r="Q790" s="361"/>
      <c r="R790" s="361"/>
      <c r="S790" s="361"/>
      <c r="T790" s="361"/>
      <c r="U790" s="361"/>
      <c r="V790" s="361"/>
      <c r="W790" s="361"/>
      <c r="X790" s="361"/>
      <c r="Y790" s="131"/>
      <c r="Z790" s="163"/>
      <c r="AA790" s="131"/>
      <c r="AB790" s="131"/>
      <c r="AC790" s="131"/>
      <c r="AD790" s="131"/>
      <c r="AE790" s="131"/>
      <c r="AF790" s="163"/>
      <c r="AG790" s="163"/>
      <c r="AH790" s="163"/>
      <c r="AI790" s="163"/>
      <c r="AJ790" s="163"/>
      <c r="AK790" s="163"/>
      <c r="AL790" s="163"/>
      <c r="AM790" s="130"/>
      <c r="AN790" s="163"/>
    </row>
    <row r="791" ht="15.75" customHeight="1">
      <c r="A791" s="362"/>
      <c r="B791" s="362"/>
      <c r="C791" s="362"/>
      <c r="D791" s="362"/>
      <c r="E791" s="132"/>
      <c r="F791" s="132"/>
      <c r="G791" s="361"/>
      <c r="H791" s="361"/>
      <c r="I791" s="361"/>
      <c r="J791" s="363"/>
      <c r="K791" s="364"/>
      <c r="L791" s="361"/>
      <c r="M791" s="361"/>
      <c r="N791" s="361"/>
      <c r="O791" s="361"/>
      <c r="P791" s="361"/>
      <c r="Q791" s="361"/>
      <c r="R791" s="361"/>
      <c r="S791" s="361"/>
      <c r="T791" s="361"/>
      <c r="U791" s="361"/>
      <c r="V791" s="361"/>
      <c r="W791" s="361"/>
      <c r="X791" s="361"/>
      <c r="Y791" s="131"/>
      <c r="Z791" s="163"/>
      <c r="AA791" s="131"/>
      <c r="AB791" s="131"/>
      <c r="AC791" s="131"/>
      <c r="AD791" s="131"/>
      <c r="AE791" s="131"/>
      <c r="AF791" s="163"/>
      <c r="AG791" s="163"/>
      <c r="AH791" s="163"/>
      <c r="AI791" s="163"/>
      <c r="AJ791" s="163"/>
      <c r="AK791" s="163"/>
      <c r="AL791" s="163"/>
      <c r="AM791" s="130"/>
      <c r="AN791" s="163"/>
    </row>
    <row r="792" ht="15.75" customHeight="1">
      <c r="A792" s="362"/>
      <c r="B792" s="362"/>
      <c r="C792" s="362"/>
      <c r="D792" s="362"/>
      <c r="E792" s="132"/>
      <c r="F792" s="132"/>
      <c r="G792" s="361"/>
      <c r="H792" s="361"/>
      <c r="I792" s="361"/>
      <c r="J792" s="363"/>
      <c r="K792" s="364"/>
      <c r="L792" s="361"/>
      <c r="M792" s="361"/>
      <c r="N792" s="361"/>
      <c r="O792" s="361"/>
      <c r="P792" s="361"/>
      <c r="Q792" s="361"/>
      <c r="R792" s="361"/>
      <c r="S792" s="361"/>
      <c r="T792" s="361"/>
      <c r="U792" s="361"/>
      <c r="V792" s="361"/>
      <c r="W792" s="361"/>
      <c r="X792" s="361"/>
      <c r="Y792" s="131"/>
      <c r="Z792" s="163"/>
      <c r="AA792" s="131"/>
      <c r="AB792" s="131"/>
      <c r="AC792" s="131"/>
      <c r="AD792" s="131"/>
      <c r="AE792" s="131"/>
      <c r="AF792" s="163"/>
      <c r="AG792" s="163"/>
      <c r="AH792" s="163"/>
      <c r="AI792" s="163"/>
      <c r="AJ792" s="163"/>
      <c r="AK792" s="163"/>
      <c r="AL792" s="163"/>
      <c r="AM792" s="130"/>
      <c r="AN792" s="163"/>
    </row>
    <row r="793" ht="15.75" customHeight="1">
      <c r="A793" s="362"/>
      <c r="B793" s="362"/>
      <c r="C793" s="362"/>
      <c r="D793" s="362"/>
      <c r="E793" s="132"/>
      <c r="F793" s="132"/>
      <c r="G793" s="361"/>
      <c r="H793" s="361"/>
      <c r="I793" s="361"/>
      <c r="J793" s="363"/>
      <c r="K793" s="364"/>
      <c r="L793" s="361"/>
      <c r="M793" s="361"/>
      <c r="N793" s="361"/>
      <c r="O793" s="361"/>
      <c r="P793" s="361"/>
      <c r="Q793" s="361"/>
      <c r="R793" s="361"/>
      <c r="S793" s="361"/>
      <c r="T793" s="361"/>
      <c r="U793" s="361"/>
      <c r="V793" s="361"/>
      <c r="W793" s="361"/>
      <c r="X793" s="361"/>
      <c r="Y793" s="131"/>
      <c r="Z793" s="163"/>
      <c r="AA793" s="131"/>
      <c r="AB793" s="131"/>
      <c r="AC793" s="131"/>
      <c r="AD793" s="131"/>
      <c r="AE793" s="131"/>
      <c r="AF793" s="163"/>
      <c r="AG793" s="163"/>
      <c r="AH793" s="163"/>
      <c r="AI793" s="163"/>
      <c r="AJ793" s="163"/>
      <c r="AK793" s="163"/>
      <c r="AL793" s="163"/>
      <c r="AM793" s="130"/>
      <c r="AN793" s="163"/>
    </row>
    <row r="794" ht="15.75" customHeight="1">
      <c r="A794" s="362"/>
      <c r="B794" s="362"/>
      <c r="C794" s="362"/>
      <c r="D794" s="362"/>
      <c r="E794" s="132"/>
      <c r="F794" s="132"/>
      <c r="G794" s="361"/>
      <c r="H794" s="361"/>
      <c r="I794" s="361"/>
      <c r="J794" s="363"/>
      <c r="K794" s="364"/>
      <c r="L794" s="361"/>
      <c r="M794" s="361"/>
      <c r="N794" s="361"/>
      <c r="O794" s="361"/>
      <c r="P794" s="361"/>
      <c r="Q794" s="361"/>
      <c r="R794" s="361"/>
      <c r="S794" s="361"/>
      <c r="T794" s="361"/>
      <c r="U794" s="361"/>
      <c r="V794" s="361"/>
      <c r="W794" s="361"/>
      <c r="X794" s="361"/>
      <c r="Y794" s="131"/>
      <c r="Z794" s="163"/>
      <c r="AA794" s="131"/>
      <c r="AB794" s="131"/>
      <c r="AC794" s="131"/>
      <c r="AD794" s="131"/>
      <c r="AE794" s="131"/>
      <c r="AF794" s="163"/>
      <c r="AG794" s="163"/>
      <c r="AH794" s="163"/>
      <c r="AI794" s="163"/>
      <c r="AJ794" s="163"/>
      <c r="AK794" s="163"/>
      <c r="AL794" s="163"/>
      <c r="AM794" s="130"/>
      <c r="AN794" s="163"/>
    </row>
    <row r="795" ht="15.75" customHeight="1">
      <c r="A795" s="362"/>
      <c r="B795" s="362"/>
      <c r="C795" s="362"/>
      <c r="D795" s="362"/>
      <c r="E795" s="132"/>
      <c r="F795" s="132"/>
      <c r="G795" s="361"/>
      <c r="H795" s="361"/>
      <c r="I795" s="361"/>
      <c r="J795" s="363"/>
      <c r="K795" s="364"/>
      <c r="L795" s="361"/>
      <c r="M795" s="361"/>
      <c r="N795" s="361"/>
      <c r="O795" s="361"/>
      <c r="P795" s="361"/>
      <c r="Q795" s="361"/>
      <c r="R795" s="361"/>
      <c r="S795" s="361"/>
      <c r="T795" s="361"/>
      <c r="U795" s="361"/>
      <c r="V795" s="361"/>
      <c r="W795" s="361"/>
      <c r="X795" s="361"/>
      <c r="Y795" s="131"/>
      <c r="Z795" s="163"/>
      <c r="AA795" s="131"/>
      <c r="AB795" s="131"/>
      <c r="AC795" s="131"/>
      <c r="AD795" s="131"/>
      <c r="AE795" s="131"/>
      <c r="AF795" s="163"/>
      <c r="AG795" s="163"/>
      <c r="AH795" s="163"/>
      <c r="AI795" s="163"/>
      <c r="AJ795" s="163"/>
      <c r="AK795" s="163"/>
      <c r="AL795" s="163"/>
      <c r="AM795" s="130"/>
      <c r="AN795" s="163"/>
    </row>
    <row r="796" ht="15.75" customHeight="1">
      <c r="A796" s="362"/>
      <c r="B796" s="362"/>
      <c r="C796" s="362"/>
      <c r="D796" s="362"/>
      <c r="E796" s="132"/>
      <c r="F796" s="132"/>
      <c r="G796" s="361"/>
      <c r="H796" s="361"/>
      <c r="I796" s="361"/>
      <c r="J796" s="363"/>
      <c r="K796" s="364"/>
      <c r="L796" s="361"/>
      <c r="M796" s="361"/>
      <c r="N796" s="361"/>
      <c r="O796" s="361"/>
      <c r="P796" s="361"/>
      <c r="Q796" s="361"/>
      <c r="R796" s="361"/>
      <c r="S796" s="361"/>
      <c r="T796" s="361"/>
      <c r="U796" s="361"/>
      <c r="V796" s="361"/>
      <c r="W796" s="361"/>
      <c r="X796" s="361"/>
      <c r="Y796" s="131"/>
      <c r="Z796" s="163"/>
      <c r="AA796" s="131"/>
      <c r="AB796" s="131"/>
      <c r="AC796" s="131"/>
      <c r="AD796" s="131"/>
      <c r="AE796" s="131"/>
      <c r="AF796" s="163"/>
      <c r="AG796" s="163"/>
      <c r="AH796" s="163"/>
      <c r="AI796" s="163"/>
      <c r="AJ796" s="163"/>
      <c r="AK796" s="163"/>
      <c r="AL796" s="163"/>
      <c r="AM796" s="130"/>
      <c r="AN796" s="163"/>
    </row>
    <row r="797" ht="15.75" customHeight="1">
      <c r="A797" s="362"/>
      <c r="B797" s="362"/>
      <c r="C797" s="362"/>
      <c r="D797" s="362"/>
      <c r="E797" s="132"/>
      <c r="F797" s="132"/>
      <c r="G797" s="361"/>
      <c r="H797" s="361"/>
      <c r="I797" s="361"/>
      <c r="J797" s="363"/>
      <c r="K797" s="364"/>
      <c r="L797" s="361"/>
      <c r="M797" s="361"/>
      <c r="N797" s="361"/>
      <c r="O797" s="361"/>
      <c r="P797" s="361"/>
      <c r="Q797" s="361"/>
      <c r="R797" s="361"/>
      <c r="S797" s="361"/>
      <c r="T797" s="361"/>
      <c r="U797" s="361"/>
      <c r="V797" s="361"/>
      <c r="W797" s="361"/>
      <c r="X797" s="361"/>
      <c r="Y797" s="131"/>
      <c r="Z797" s="163"/>
      <c r="AA797" s="131"/>
      <c r="AB797" s="131"/>
      <c r="AC797" s="131"/>
      <c r="AD797" s="131"/>
      <c r="AE797" s="131"/>
      <c r="AF797" s="163"/>
      <c r="AG797" s="163"/>
      <c r="AH797" s="163"/>
      <c r="AI797" s="163"/>
      <c r="AJ797" s="163"/>
      <c r="AK797" s="163"/>
      <c r="AL797" s="163"/>
      <c r="AM797" s="130"/>
      <c r="AN797" s="163"/>
    </row>
    <row r="798" ht="15.75" customHeight="1">
      <c r="A798" s="362"/>
      <c r="B798" s="362"/>
      <c r="C798" s="362"/>
      <c r="D798" s="362"/>
      <c r="E798" s="132"/>
      <c r="F798" s="132"/>
      <c r="G798" s="361"/>
      <c r="H798" s="361"/>
      <c r="I798" s="361"/>
      <c r="J798" s="363"/>
      <c r="K798" s="364"/>
      <c r="L798" s="361"/>
      <c r="M798" s="361"/>
      <c r="N798" s="361"/>
      <c r="O798" s="361"/>
      <c r="P798" s="361"/>
      <c r="Q798" s="361"/>
      <c r="R798" s="361"/>
      <c r="S798" s="361"/>
      <c r="T798" s="361"/>
      <c r="U798" s="361"/>
      <c r="V798" s="361"/>
      <c r="W798" s="361"/>
      <c r="X798" s="361"/>
      <c r="Y798" s="131"/>
      <c r="Z798" s="163"/>
      <c r="AA798" s="131"/>
      <c r="AB798" s="131"/>
      <c r="AC798" s="131"/>
      <c r="AD798" s="131"/>
      <c r="AE798" s="131"/>
      <c r="AF798" s="163"/>
      <c r="AG798" s="163"/>
      <c r="AH798" s="163"/>
      <c r="AI798" s="163"/>
      <c r="AJ798" s="163"/>
      <c r="AK798" s="163"/>
      <c r="AL798" s="163"/>
      <c r="AM798" s="130"/>
      <c r="AN798" s="163"/>
    </row>
    <row r="799" ht="15.75" customHeight="1">
      <c r="A799" s="362"/>
      <c r="B799" s="362"/>
      <c r="C799" s="362"/>
      <c r="D799" s="362"/>
      <c r="E799" s="132"/>
      <c r="F799" s="132"/>
      <c r="G799" s="361"/>
      <c r="H799" s="361"/>
      <c r="I799" s="361"/>
      <c r="J799" s="363"/>
      <c r="K799" s="364"/>
      <c r="L799" s="361"/>
      <c r="M799" s="361"/>
      <c r="N799" s="361"/>
      <c r="O799" s="361"/>
      <c r="P799" s="361"/>
      <c r="Q799" s="361"/>
      <c r="R799" s="361"/>
      <c r="S799" s="361"/>
      <c r="T799" s="361"/>
      <c r="U799" s="361"/>
      <c r="V799" s="361"/>
      <c r="W799" s="361"/>
      <c r="X799" s="361"/>
      <c r="Y799" s="131"/>
      <c r="Z799" s="163"/>
      <c r="AA799" s="131"/>
      <c r="AB799" s="131"/>
      <c r="AC799" s="131"/>
      <c r="AD799" s="131"/>
      <c r="AE799" s="131"/>
      <c r="AF799" s="163"/>
      <c r="AG799" s="163"/>
      <c r="AH799" s="163"/>
      <c r="AI799" s="163"/>
      <c r="AJ799" s="163"/>
      <c r="AK799" s="163"/>
      <c r="AL799" s="163"/>
      <c r="AM799" s="130"/>
      <c r="AN799" s="163"/>
    </row>
    <row r="800" ht="15.75" customHeight="1">
      <c r="A800" s="362"/>
      <c r="B800" s="362"/>
      <c r="C800" s="362"/>
      <c r="D800" s="362"/>
      <c r="E800" s="132"/>
      <c r="F800" s="132"/>
      <c r="G800" s="361"/>
      <c r="H800" s="361"/>
      <c r="I800" s="361"/>
      <c r="J800" s="363"/>
      <c r="K800" s="364"/>
      <c r="L800" s="361"/>
      <c r="M800" s="361"/>
      <c r="N800" s="361"/>
      <c r="O800" s="361"/>
      <c r="P800" s="361"/>
      <c r="Q800" s="361"/>
      <c r="R800" s="361"/>
      <c r="S800" s="361"/>
      <c r="T800" s="361"/>
      <c r="U800" s="361"/>
      <c r="V800" s="361"/>
      <c r="W800" s="361"/>
      <c r="X800" s="361"/>
      <c r="Y800" s="131"/>
      <c r="Z800" s="163"/>
      <c r="AA800" s="131"/>
      <c r="AB800" s="131"/>
      <c r="AC800" s="131"/>
      <c r="AD800" s="131"/>
      <c r="AE800" s="131"/>
      <c r="AF800" s="163"/>
      <c r="AG800" s="163"/>
      <c r="AH800" s="163"/>
      <c r="AI800" s="163"/>
      <c r="AJ800" s="163"/>
      <c r="AK800" s="163"/>
      <c r="AL800" s="163"/>
      <c r="AM800" s="130"/>
      <c r="AN800" s="163"/>
    </row>
    <row r="801" ht="15.75" customHeight="1">
      <c r="A801" s="362"/>
      <c r="B801" s="362"/>
      <c r="C801" s="362"/>
      <c r="D801" s="362"/>
      <c r="E801" s="132"/>
      <c r="F801" s="132"/>
      <c r="G801" s="361"/>
      <c r="H801" s="361"/>
      <c r="I801" s="361"/>
      <c r="J801" s="363"/>
      <c r="K801" s="364"/>
      <c r="L801" s="361"/>
      <c r="M801" s="361"/>
      <c r="N801" s="361"/>
      <c r="O801" s="361"/>
      <c r="P801" s="361"/>
      <c r="Q801" s="361"/>
      <c r="R801" s="361"/>
      <c r="S801" s="361"/>
      <c r="T801" s="361"/>
      <c r="U801" s="361"/>
      <c r="V801" s="361"/>
      <c r="W801" s="361"/>
      <c r="X801" s="361"/>
      <c r="Y801" s="131"/>
      <c r="Z801" s="163"/>
      <c r="AA801" s="131"/>
      <c r="AB801" s="131"/>
      <c r="AC801" s="131"/>
      <c r="AD801" s="131"/>
      <c r="AE801" s="131"/>
      <c r="AF801" s="163"/>
      <c r="AG801" s="163"/>
      <c r="AH801" s="163"/>
      <c r="AI801" s="163"/>
      <c r="AJ801" s="163"/>
      <c r="AK801" s="163"/>
      <c r="AL801" s="163"/>
      <c r="AM801" s="130"/>
      <c r="AN801" s="163"/>
    </row>
    <row r="802" ht="15.75" customHeight="1">
      <c r="A802" s="362"/>
      <c r="B802" s="362"/>
      <c r="C802" s="362"/>
      <c r="D802" s="362"/>
      <c r="E802" s="132"/>
      <c r="F802" s="132"/>
      <c r="G802" s="361"/>
      <c r="H802" s="361"/>
      <c r="I802" s="361"/>
      <c r="J802" s="363"/>
      <c r="K802" s="364"/>
      <c r="L802" s="361"/>
      <c r="M802" s="361"/>
      <c r="N802" s="361"/>
      <c r="O802" s="361"/>
      <c r="P802" s="361"/>
      <c r="Q802" s="361"/>
      <c r="R802" s="361"/>
      <c r="S802" s="361"/>
      <c r="T802" s="361"/>
      <c r="U802" s="361"/>
      <c r="V802" s="361"/>
      <c r="W802" s="361"/>
      <c r="X802" s="361"/>
      <c r="Y802" s="131"/>
      <c r="Z802" s="163"/>
      <c r="AA802" s="131"/>
      <c r="AB802" s="131"/>
      <c r="AC802" s="131"/>
      <c r="AD802" s="131"/>
      <c r="AE802" s="131"/>
      <c r="AF802" s="163"/>
      <c r="AG802" s="163"/>
      <c r="AH802" s="163"/>
      <c r="AI802" s="163"/>
      <c r="AJ802" s="163"/>
      <c r="AK802" s="163"/>
      <c r="AL802" s="163"/>
      <c r="AM802" s="130"/>
      <c r="AN802" s="163"/>
    </row>
    <row r="803" ht="15.75" customHeight="1">
      <c r="A803" s="362"/>
      <c r="B803" s="362"/>
      <c r="C803" s="362"/>
      <c r="D803" s="362"/>
      <c r="E803" s="132"/>
      <c r="F803" s="132"/>
      <c r="G803" s="361"/>
      <c r="H803" s="361"/>
      <c r="I803" s="361"/>
      <c r="J803" s="363"/>
      <c r="K803" s="364"/>
      <c r="L803" s="361"/>
      <c r="M803" s="361"/>
      <c r="N803" s="361"/>
      <c r="O803" s="361"/>
      <c r="P803" s="361"/>
      <c r="Q803" s="361"/>
      <c r="R803" s="361"/>
      <c r="S803" s="361"/>
      <c r="T803" s="361"/>
      <c r="U803" s="361"/>
      <c r="V803" s="361"/>
      <c r="W803" s="361"/>
      <c r="X803" s="361"/>
      <c r="Y803" s="131"/>
      <c r="Z803" s="163"/>
      <c r="AA803" s="131"/>
      <c r="AB803" s="131"/>
      <c r="AC803" s="131"/>
      <c r="AD803" s="131"/>
      <c r="AE803" s="131"/>
      <c r="AF803" s="163"/>
      <c r="AG803" s="163"/>
      <c r="AH803" s="163"/>
      <c r="AI803" s="163"/>
      <c r="AJ803" s="163"/>
      <c r="AK803" s="163"/>
      <c r="AL803" s="163"/>
      <c r="AM803" s="130"/>
      <c r="AN803" s="163"/>
    </row>
    <row r="804" ht="15.75" customHeight="1">
      <c r="A804" s="362"/>
      <c r="B804" s="362"/>
      <c r="C804" s="362"/>
      <c r="D804" s="362"/>
      <c r="E804" s="132"/>
      <c r="F804" s="132"/>
      <c r="G804" s="361"/>
      <c r="H804" s="361"/>
      <c r="I804" s="361"/>
      <c r="J804" s="363"/>
      <c r="K804" s="364"/>
      <c r="L804" s="361"/>
      <c r="M804" s="361"/>
      <c r="N804" s="361"/>
      <c r="O804" s="361"/>
      <c r="P804" s="361"/>
      <c r="Q804" s="361"/>
      <c r="R804" s="361"/>
      <c r="S804" s="361"/>
      <c r="T804" s="361"/>
      <c r="U804" s="361"/>
      <c r="V804" s="361"/>
      <c r="W804" s="361"/>
      <c r="X804" s="361"/>
      <c r="Y804" s="131"/>
      <c r="Z804" s="163"/>
      <c r="AA804" s="131"/>
      <c r="AB804" s="131"/>
      <c r="AC804" s="131"/>
      <c r="AD804" s="131"/>
      <c r="AE804" s="131"/>
      <c r="AF804" s="163"/>
      <c r="AG804" s="163"/>
      <c r="AH804" s="163"/>
      <c r="AI804" s="163"/>
      <c r="AJ804" s="163"/>
      <c r="AK804" s="163"/>
      <c r="AL804" s="163"/>
      <c r="AM804" s="130"/>
      <c r="AN804" s="163"/>
    </row>
    <row r="805" ht="15.75" customHeight="1">
      <c r="A805" s="362"/>
      <c r="B805" s="362"/>
      <c r="C805" s="362"/>
      <c r="D805" s="362"/>
      <c r="E805" s="132"/>
      <c r="F805" s="132"/>
      <c r="G805" s="361"/>
      <c r="H805" s="361"/>
      <c r="I805" s="361"/>
      <c r="J805" s="363"/>
      <c r="K805" s="364"/>
      <c r="L805" s="361"/>
      <c r="M805" s="361"/>
      <c r="N805" s="361"/>
      <c r="O805" s="361"/>
      <c r="P805" s="361"/>
      <c r="Q805" s="361"/>
      <c r="R805" s="361"/>
      <c r="S805" s="361"/>
      <c r="T805" s="361"/>
      <c r="U805" s="361"/>
      <c r="V805" s="361"/>
      <c r="W805" s="361"/>
      <c r="X805" s="361"/>
      <c r="Y805" s="131"/>
      <c r="Z805" s="163"/>
      <c r="AA805" s="131"/>
      <c r="AB805" s="131"/>
      <c r="AC805" s="131"/>
      <c r="AD805" s="131"/>
      <c r="AE805" s="131"/>
      <c r="AF805" s="163"/>
      <c r="AG805" s="163"/>
      <c r="AH805" s="163"/>
      <c r="AI805" s="163"/>
      <c r="AJ805" s="163"/>
      <c r="AK805" s="163"/>
      <c r="AL805" s="163"/>
      <c r="AM805" s="130"/>
      <c r="AN805" s="163"/>
    </row>
    <row r="806" ht="15.75" customHeight="1">
      <c r="A806" s="362"/>
      <c r="B806" s="362"/>
      <c r="C806" s="362"/>
      <c r="D806" s="362"/>
      <c r="E806" s="132"/>
      <c r="F806" s="132"/>
      <c r="G806" s="361"/>
      <c r="H806" s="361"/>
      <c r="I806" s="361"/>
      <c r="J806" s="363"/>
      <c r="K806" s="364"/>
      <c r="L806" s="361"/>
      <c r="M806" s="361"/>
      <c r="N806" s="361"/>
      <c r="O806" s="361"/>
      <c r="P806" s="361"/>
      <c r="Q806" s="361"/>
      <c r="R806" s="361"/>
      <c r="S806" s="361"/>
      <c r="T806" s="361"/>
      <c r="U806" s="361"/>
      <c r="V806" s="361"/>
      <c r="W806" s="361"/>
      <c r="X806" s="361"/>
      <c r="Y806" s="131"/>
      <c r="Z806" s="163"/>
      <c r="AA806" s="131"/>
      <c r="AB806" s="131"/>
      <c r="AC806" s="131"/>
      <c r="AD806" s="131"/>
      <c r="AE806" s="131"/>
      <c r="AF806" s="163"/>
      <c r="AG806" s="163"/>
      <c r="AH806" s="163"/>
      <c r="AI806" s="163"/>
      <c r="AJ806" s="163"/>
      <c r="AK806" s="163"/>
      <c r="AL806" s="163"/>
      <c r="AM806" s="130"/>
      <c r="AN806" s="163"/>
    </row>
    <row r="807" ht="15.75" customHeight="1">
      <c r="A807" s="362"/>
      <c r="B807" s="362"/>
      <c r="C807" s="362"/>
      <c r="D807" s="362"/>
      <c r="E807" s="132"/>
      <c r="F807" s="132"/>
      <c r="G807" s="361"/>
      <c r="H807" s="361"/>
      <c r="I807" s="361"/>
      <c r="J807" s="363"/>
      <c r="K807" s="364"/>
      <c r="L807" s="361"/>
      <c r="M807" s="361"/>
      <c r="N807" s="361"/>
      <c r="O807" s="361"/>
      <c r="P807" s="361"/>
      <c r="Q807" s="361"/>
      <c r="R807" s="361"/>
      <c r="S807" s="361"/>
      <c r="T807" s="361"/>
      <c r="U807" s="361"/>
      <c r="V807" s="361"/>
      <c r="W807" s="361"/>
      <c r="X807" s="361"/>
      <c r="Y807" s="131"/>
      <c r="Z807" s="163"/>
      <c r="AA807" s="131"/>
      <c r="AB807" s="131"/>
      <c r="AC807" s="131"/>
      <c r="AD807" s="131"/>
      <c r="AE807" s="131"/>
      <c r="AF807" s="163"/>
      <c r="AG807" s="163"/>
      <c r="AH807" s="163"/>
      <c r="AI807" s="163"/>
      <c r="AJ807" s="163"/>
      <c r="AK807" s="163"/>
      <c r="AL807" s="163"/>
      <c r="AM807" s="130"/>
      <c r="AN807" s="163"/>
    </row>
    <row r="808" ht="15.75" customHeight="1">
      <c r="A808" s="362"/>
      <c r="B808" s="362"/>
      <c r="C808" s="362"/>
      <c r="D808" s="362"/>
      <c r="E808" s="132"/>
      <c r="F808" s="132"/>
      <c r="G808" s="361"/>
      <c r="H808" s="361"/>
      <c r="I808" s="361"/>
      <c r="J808" s="363"/>
      <c r="K808" s="364"/>
      <c r="L808" s="361"/>
      <c r="M808" s="361"/>
      <c r="N808" s="361"/>
      <c r="O808" s="361"/>
      <c r="P808" s="361"/>
      <c r="Q808" s="361"/>
      <c r="R808" s="361"/>
      <c r="S808" s="361"/>
      <c r="T808" s="361"/>
      <c r="U808" s="361"/>
      <c r="V808" s="361"/>
      <c r="W808" s="361"/>
      <c r="X808" s="361"/>
      <c r="Y808" s="131"/>
      <c r="Z808" s="163"/>
      <c r="AA808" s="131"/>
      <c r="AB808" s="131"/>
      <c r="AC808" s="131"/>
      <c r="AD808" s="131"/>
      <c r="AE808" s="131"/>
      <c r="AF808" s="163"/>
      <c r="AG808" s="163"/>
      <c r="AH808" s="163"/>
      <c r="AI808" s="163"/>
      <c r="AJ808" s="163"/>
      <c r="AK808" s="163"/>
      <c r="AL808" s="163"/>
      <c r="AM808" s="130"/>
      <c r="AN808" s="163"/>
    </row>
    <row r="809" ht="15.75" customHeight="1">
      <c r="A809" s="362"/>
      <c r="B809" s="362"/>
      <c r="C809" s="362"/>
      <c r="D809" s="362"/>
      <c r="E809" s="132"/>
      <c r="F809" s="132"/>
      <c r="G809" s="361"/>
      <c r="H809" s="361"/>
      <c r="I809" s="361"/>
      <c r="J809" s="363"/>
      <c r="K809" s="364"/>
      <c r="L809" s="361"/>
      <c r="M809" s="361"/>
      <c r="N809" s="361"/>
      <c r="O809" s="361"/>
      <c r="P809" s="361"/>
      <c r="Q809" s="361"/>
      <c r="R809" s="361"/>
      <c r="S809" s="361"/>
      <c r="T809" s="361"/>
      <c r="U809" s="361"/>
      <c r="V809" s="361"/>
      <c r="W809" s="361"/>
      <c r="X809" s="361"/>
      <c r="Y809" s="131"/>
      <c r="Z809" s="163"/>
      <c r="AA809" s="131"/>
      <c r="AB809" s="131"/>
      <c r="AC809" s="131"/>
      <c r="AD809" s="131"/>
      <c r="AE809" s="131"/>
      <c r="AF809" s="163"/>
      <c r="AG809" s="163"/>
      <c r="AH809" s="163"/>
      <c r="AI809" s="163"/>
      <c r="AJ809" s="163"/>
      <c r="AK809" s="163"/>
      <c r="AL809" s="163"/>
      <c r="AM809" s="130"/>
      <c r="AN809" s="163"/>
    </row>
    <row r="810" ht="15.75" customHeight="1">
      <c r="A810" s="362"/>
      <c r="B810" s="362"/>
      <c r="C810" s="362"/>
      <c r="D810" s="362"/>
      <c r="E810" s="132"/>
      <c r="F810" s="132"/>
      <c r="G810" s="361"/>
      <c r="H810" s="361"/>
      <c r="I810" s="361"/>
      <c r="J810" s="363"/>
      <c r="K810" s="364"/>
      <c r="L810" s="361"/>
      <c r="M810" s="361"/>
      <c r="N810" s="361"/>
      <c r="O810" s="361"/>
      <c r="P810" s="361"/>
      <c r="Q810" s="361"/>
      <c r="R810" s="361"/>
      <c r="S810" s="361"/>
      <c r="T810" s="361"/>
      <c r="U810" s="361"/>
      <c r="V810" s="361"/>
      <c r="W810" s="361"/>
      <c r="X810" s="361"/>
      <c r="Y810" s="131"/>
      <c r="Z810" s="163"/>
      <c r="AA810" s="131"/>
      <c r="AB810" s="131"/>
      <c r="AC810" s="131"/>
      <c r="AD810" s="131"/>
      <c r="AE810" s="131"/>
      <c r="AF810" s="163"/>
      <c r="AG810" s="163"/>
      <c r="AH810" s="163"/>
      <c r="AI810" s="163"/>
      <c r="AJ810" s="163"/>
      <c r="AK810" s="163"/>
      <c r="AL810" s="163"/>
      <c r="AM810" s="130"/>
      <c r="AN810" s="163"/>
    </row>
    <row r="811" ht="15.75" customHeight="1">
      <c r="A811" s="362"/>
      <c r="B811" s="362"/>
      <c r="C811" s="362"/>
      <c r="D811" s="362"/>
      <c r="E811" s="132"/>
      <c r="F811" s="132"/>
      <c r="G811" s="361"/>
      <c r="H811" s="361"/>
      <c r="I811" s="361"/>
      <c r="J811" s="363"/>
      <c r="K811" s="364"/>
      <c r="L811" s="361"/>
      <c r="M811" s="361"/>
      <c r="N811" s="361"/>
      <c r="O811" s="361"/>
      <c r="P811" s="361"/>
      <c r="Q811" s="361"/>
      <c r="R811" s="361"/>
      <c r="S811" s="361"/>
      <c r="T811" s="361"/>
      <c r="U811" s="361"/>
      <c r="V811" s="361"/>
      <c r="W811" s="361"/>
      <c r="X811" s="361"/>
      <c r="Y811" s="131"/>
      <c r="Z811" s="163"/>
      <c r="AA811" s="131"/>
      <c r="AB811" s="131"/>
      <c r="AC811" s="131"/>
      <c r="AD811" s="131"/>
      <c r="AE811" s="131"/>
      <c r="AF811" s="163"/>
      <c r="AG811" s="163"/>
      <c r="AH811" s="163"/>
      <c r="AI811" s="163"/>
      <c r="AJ811" s="163"/>
      <c r="AK811" s="163"/>
      <c r="AL811" s="163"/>
      <c r="AM811" s="130"/>
      <c r="AN811" s="163"/>
    </row>
    <row r="812" ht="15.75" customHeight="1">
      <c r="A812" s="362"/>
      <c r="B812" s="362"/>
      <c r="C812" s="362"/>
      <c r="D812" s="362"/>
      <c r="E812" s="132"/>
      <c r="F812" s="132"/>
      <c r="G812" s="361"/>
      <c r="H812" s="361"/>
      <c r="I812" s="361"/>
      <c r="J812" s="363"/>
      <c r="K812" s="364"/>
      <c r="L812" s="361"/>
      <c r="M812" s="361"/>
      <c r="N812" s="361"/>
      <c r="O812" s="361"/>
      <c r="P812" s="361"/>
      <c r="Q812" s="361"/>
      <c r="R812" s="361"/>
      <c r="S812" s="361"/>
      <c r="T812" s="361"/>
      <c r="U812" s="361"/>
      <c r="V812" s="361"/>
      <c r="W812" s="361"/>
      <c r="X812" s="361"/>
      <c r="Y812" s="131"/>
      <c r="Z812" s="163"/>
      <c r="AA812" s="131"/>
      <c r="AB812" s="131"/>
      <c r="AC812" s="131"/>
      <c r="AD812" s="131"/>
      <c r="AE812" s="131"/>
      <c r="AF812" s="163"/>
      <c r="AG812" s="163"/>
      <c r="AH812" s="163"/>
      <c r="AI812" s="163"/>
      <c r="AJ812" s="163"/>
      <c r="AK812" s="163"/>
      <c r="AL812" s="163"/>
      <c r="AM812" s="130"/>
      <c r="AN812" s="163"/>
    </row>
    <row r="813" ht="15.75" customHeight="1">
      <c r="A813" s="362"/>
      <c r="B813" s="362"/>
      <c r="C813" s="362"/>
      <c r="D813" s="362"/>
      <c r="E813" s="132"/>
      <c r="F813" s="132"/>
      <c r="G813" s="361"/>
      <c r="H813" s="361"/>
      <c r="I813" s="361"/>
      <c r="J813" s="363"/>
      <c r="K813" s="364"/>
      <c r="L813" s="361"/>
      <c r="M813" s="361"/>
      <c r="N813" s="361"/>
      <c r="O813" s="361"/>
      <c r="P813" s="361"/>
      <c r="Q813" s="361"/>
      <c r="R813" s="361"/>
      <c r="S813" s="361"/>
      <c r="T813" s="361"/>
      <c r="U813" s="361"/>
      <c r="V813" s="361"/>
      <c r="W813" s="361"/>
      <c r="X813" s="361"/>
      <c r="Y813" s="131"/>
      <c r="Z813" s="163"/>
      <c r="AA813" s="131"/>
      <c r="AB813" s="131"/>
      <c r="AC813" s="131"/>
      <c r="AD813" s="131"/>
      <c r="AE813" s="131"/>
      <c r="AF813" s="163"/>
      <c r="AG813" s="163"/>
      <c r="AH813" s="163"/>
      <c r="AI813" s="163"/>
      <c r="AJ813" s="163"/>
      <c r="AK813" s="163"/>
      <c r="AL813" s="163"/>
      <c r="AM813" s="130"/>
      <c r="AN813" s="163"/>
    </row>
    <row r="814" ht="15.75" customHeight="1">
      <c r="A814" s="362"/>
      <c r="B814" s="362"/>
      <c r="C814" s="362"/>
      <c r="D814" s="362"/>
      <c r="E814" s="132"/>
      <c r="F814" s="132"/>
      <c r="G814" s="361"/>
      <c r="H814" s="361"/>
      <c r="I814" s="361"/>
      <c r="J814" s="363"/>
      <c r="K814" s="364"/>
      <c r="L814" s="361"/>
      <c r="M814" s="361"/>
      <c r="N814" s="361"/>
      <c r="O814" s="361"/>
      <c r="P814" s="361"/>
      <c r="Q814" s="361"/>
      <c r="R814" s="361"/>
      <c r="S814" s="361"/>
      <c r="T814" s="361"/>
      <c r="U814" s="361"/>
      <c r="V814" s="361"/>
      <c r="W814" s="361"/>
      <c r="X814" s="361"/>
      <c r="Y814" s="131"/>
      <c r="Z814" s="163"/>
      <c r="AA814" s="131"/>
      <c r="AB814" s="131"/>
      <c r="AC814" s="131"/>
      <c r="AD814" s="131"/>
      <c r="AE814" s="131"/>
      <c r="AF814" s="163"/>
      <c r="AG814" s="163"/>
      <c r="AH814" s="163"/>
      <c r="AI814" s="163"/>
      <c r="AJ814" s="163"/>
      <c r="AK814" s="163"/>
      <c r="AL814" s="163"/>
      <c r="AM814" s="130"/>
      <c r="AN814" s="163"/>
    </row>
    <row r="815" ht="15.75" customHeight="1">
      <c r="A815" s="362"/>
      <c r="B815" s="362"/>
      <c r="C815" s="362"/>
      <c r="D815" s="362"/>
      <c r="E815" s="132"/>
      <c r="F815" s="132"/>
      <c r="G815" s="361"/>
      <c r="H815" s="361"/>
      <c r="I815" s="361"/>
      <c r="J815" s="363"/>
      <c r="K815" s="364"/>
      <c r="L815" s="361"/>
      <c r="M815" s="361"/>
      <c r="N815" s="361"/>
      <c r="O815" s="361"/>
      <c r="P815" s="361"/>
      <c r="Q815" s="361"/>
      <c r="R815" s="361"/>
      <c r="S815" s="361"/>
      <c r="T815" s="361"/>
      <c r="U815" s="361"/>
      <c r="V815" s="361"/>
      <c r="W815" s="361"/>
      <c r="X815" s="361"/>
      <c r="Y815" s="131"/>
      <c r="Z815" s="163"/>
      <c r="AA815" s="131"/>
      <c r="AB815" s="131"/>
      <c r="AC815" s="131"/>
      <c r="AD815" s="131"/>
      <c r="AE815" s="131"/>
      <c r="AF815" s="163"/>
      <c r="AG815" s="163"/>
      <c r="AH815" s="163"/>
      <c r="AI815" s="163"/>
      <c r="AJ815" s="163"/>
      <c r="AK815" s="163"/>
      <c r="AL815" s="163"/>
      <c r="AM815" s="130"/>
      <c r="AN815" s="163"/>
    </row>
    <row r="816" ht="15.75" customHeight="1">
      <c r="A816" s="362"/>
      <c r="B816" s="362"/>
      <c r="C816" s="362"/>
      <c r="D816" s="362"/>
      <c r="E816" s="132"/>
      <c r="F816" s="132"/>
      <c r="G816" s="361"/>
      <c r="H816" s="361"/>
      <c r="I816" s="361"/>
      <c r="J816" s="363"/>
      <c r="K816" s="364"/>
      <c r="L816" s="361"/>
      <c r="M816" s="361"/>
      <c r="N816" s="361"/>
      <c r="O816" s="361"/>
      <c r="P816" s="361"/>
      <c r="Q816" s="361"/>
      <c r="R816" s="361"/>
      <c r="S816" s="361"/>
      <c r="T816" s="361"/>
      <c r="U816" s="361"/>
      <c r="V816" s="361"/>
      <c r="W816" s="361"/>
      <c r="X816" s="361"/>
      <c r="Y816" s="131"/>
      <c r="Z816" s="163"/>
      <c r="AA816" s="131"/>
      <c r="AB816" s="131"/>
      <c r="AC816" s="131"/>
      <c r="AD816" s="131"/>
      <c r="AE816" s="131"/>
      <c r="AF816" s="163"/>
      <c r="AG816" s="163"/>
      <c r="AH816" s="163"/>
      <c r="AI816" s="163"/>
      <c r="AJ816" s="163"/>
      <c r="AK816" s="163"/>
      <c r="AL816" s="163"/>
      <c r="AM816" s="130"/>
      <c r="AN816" s="163"/>
    </row>
    <row r="817" ht="15.75" customHeight="1">
      <c r="A817" s="362"/>
      <c r="B817" s="362"/>
      <c r="C817" s="362"/>
      <c r="D817" s="362"/>
      <c r="E817" s="132"/>
      <c r="F817" s="132"/>
      <c r="G817" s="361"/>
      <c r="H817" s="361"/>
      <c r="I817" s="361"/>
      <c r="J817" s="363"/>
      <c r="K817" s="364"/>
      <c r="L817" s="361"/>
      <c r="M817" s="361"/>
      <c r="N817" s="361"/>
      <c r="O817" s="361"/>
      <c r="P817" s="361"/>
      <c r="Q817" s="361"/>
      <c r="R817" s="361"/>
      <c r="S817" s="361"/>
      <c r="T817" s="361"/>
      <c r="U817" s="361"/>
      <c r="V817" s="361"/>
      <c r="W817" s="361"/>
      <c r="X817" s="361"/>
      <c r="Y817" s="131"/>
      <c r="Z817" s="163"/>
      <c r="AA817" s="131"/>
      <c r="AB817" s="131"/>
      <c r="AC817" s="131"/>
      <c r="AD817" s="131"/>
      <c r="AE817" s="131"/>
      <c r="AF817" s="163"/>
      <c r="AG817" s="163"/>
      <c r="AH817" s="163"/>
      <c r="AI817" s="163"/>
      <c r="AJ817" s="163"/>
      <c r="AK817" s="163"/>
      <c r="AL817" s="163"/>
      <c r="AM817" s="130"/>
      <c r="AN817" s="163"/>
    </row>
    <row r="818" ht="15.75" customHeight="1">
      <c r="A818" s="362"/>
      <c r="B818" s="362"/>
      <c r="C818" s="362"/>
      <c r="D818" s="362"/>
      <c r="E818" s="132"/>
      <c r="F818" s="132"/>
      <c r="G818" s="361"/>
      <c r="H818" s="361"/>
      <c r="I818" s="361"/>
      <c r="J818" s="363"/>
      <c r="K818" s="364"/>
      <c r="L818" s="361"/>
      <c r="M818" s="361"/>
      <c r="N818" s="361"/>
      <c r="O818" s="361"/>
      <c r="P818" s="361"/>
      <c r="Q818" s="361"/>
      <c r="R818" s="361"/>
      <c r="S818" s="361"/>
      <c r="T818" s="361"/>
      <c r="U818" s="361"/>
      <c r="V818" s="361"/>
      <c r="W818" s="361"/>
      <c r="X818" s="361"/>
      <c r="Y818" s="131"/>
      <c r="Z818" s="163"/>
      <c r="AA818" s="131"/>
      <c r="AB818" s="131"/>
      <c r="AC818" s="131"/>
      <c r="AD818" s="131"/>
      <c r="AE818" s="131"/>
      <c r="AF818" s="163"/>
      <c r="AG818" s="163"/>
      <c r="AH818" s="163"/>
      <c r="AI818" s="163"/>
      <c r="AJ818" s="163"/>
      <c r="AK818" s="163"/>
      <c r="AL818" s="163"/>
      <c r="AM818" s="130"/>
      <c r="AN818" s="163"/>
    </row>
    <row r="819" ht="15.75" customHeight="1">
      <c r="A819" s="362"/>
      <c r="B819" s="362"/>
      <c r="C819" s="362"/>
      <c r="D819" s="362"/>
      <c r="E819" s="132"/>
      <c r="F819" s="132"/>
      <c r="G819" s="361"/>
      <c r="H819" s="361"/>
      <c r="I819" s="361"/>
      <c r="J819" s="363"/>
      <c r="K819" s="364"/>
      <c r="L819" s="361"/>
      <c r="M819" s="361"/>
      <c r="N819" s="361"/>
      <c r="O819" s="361"/>
      <c r="P819" s="361"/>
      <c r="Q819" s="361"/>
      <c r="R819" s="361"/>
      <c r="S819" s="361"/>
      <c r="T819" s="361"/>
      <c r="U819" s="361"/>
      <c r="V819" s="361"/>
      <c r="W819" s="361"/>
      <c r="X819" s="361"/>
      <c r="Y819" s="131"/>
      <c r="Z819" s="163"/>
      <c r="AA819" s="131"/>
      <c r="AB819" s="131"/>
      <c r="AC819" s="131"/>
      <c r="AD819" s="131"/>
      <c r="AE819" s="131"/>
      <c r="AF819" s="163"/>
      <c r="AG819" s="163"/>
      <c r="AH819" s="163"/>
      <c r="AI819" s="163"/>
      <c r="AJ819" s="163"/>
      <c r="AK819" s="163"/>
      <c r="AL819" s="163"/>
      <c r="AM819" s="130"/>
      <c r="AN819" s="163"/>
    </row>
    <row r="820" ht="15.75" customHeight="1">
      <c r="A820" s="362"/>
      <c r="B820" s="362"/>
      <c r="C820" s="362"/>
      <c r="D820" s="362"/>
      <c r="E820" s="132"/>
      <c r="F820" s="132"/>
      <c r="G820" s="361"/>
      <c r="H820" s="361"/>
      <c r="I820" s="361"/>
      <c r="J820" s="363"/>
      <c r="K820" s="364"/>
      <c r="L820" s="361"/>
      <c r="M820" s="361"/>
      <c r="N820" s="361"/>
      <c r="O820" s="361"/>
      <c r="P820" s="361"/>
      <c r="Q820" s="361"/>
      <c r="R820" s="361"/>
      <c r="S820" s="361"/>
      <c r="T820" s="361"/>
      <c r="U820" s="361"/>
      <c r="V820" s="361"/>
      <c r="W820" s="361"/>
      <c r="X820" s="361"/>
      <c r="Y820" s="131"/>
      <c r="Z820" s="163"/>
      <c r="AA820" s="131"/>
      <c r="AB820" s="131"/>
      <c r="AC820" s="131"/>
      <c r="AD820" s="131"/>
      <c r="AE820" s="131"/>
      <c r="AF820" s="163"/>
      <c r="AG820" s="163"/>
      <c r="AH820" s="163"/>
      <c r="AI820" s="163"/>
      <c r="AJ820" s="163"/>
      <c r="AK820" s="163"/>
      <c r="AL820" s="163"/>
      <c r="AM820" s="130"/>
      <c r="AN820" s="163"/>
    </row>
    <row r="821" ht="15.75" customHeight="1">
      <c r="A821" s="362"/>
      <c r="B821" s="362"/>
      <c r="C821" s="362"/>
      <c r="D821" s="362"/>
      <c r="E821" s="132"/>
      <c r="F821" s="132"/>
      <c r="G821" s="361"/>
      <c r="H821" s="361"/>
      <c r="I821" s="361"/>
      <c r="J821" s="363"/>
      <c r="K821" s="364"/>
      <c r="L821" s="361"/>
      <c r="M821" s="361"/>
      <c r="N821" s="361"/>
      <c r="O821" s="361"/>
      <c r="P821" s="361"/>
      <c r="Q821" s="361"/>
      <c r="R821" s="361"/>
      <c r="S821" s="361"/>
      <c r="T821" s="361"/>
      <c r="U821" s="361"/>
      <c r="V821" s="361"/>
      <c r="W821" s="361"/>
      <c r="X821" s="361"/>
      <c r="Y821" s="131"/>
      <c r="Z821" s="163"/>
      <c r="AA821" s="131"/>
      <c r="AB821" s="131"/>
      <c r="AC821" s="131"/>
      <c r="AD821" s="131"/>
      <c r="AE821" s="131"/>
      <c r="AF821" s="163"/>
      <c r="AG821" s="163"/>
      <c r="AH821" s="163"/>
      <c r="AI821" s="163"/>
      <c r="AJ821" s="163"/>
      <c r="AK821" s="163"/>
      <c r="AL821" s="163"/>
      <c r="AM821" s="130"/>
      <c r="AN821" s="163"/>
    </row>
    <row r="822" ht="15.75" customHeight="1">
      <c r="A822" s="362"/>
      <c r="B822" s="362"/>
      <c r="C822" s="362"/>
      <c r="D822" s="362"/>
      <c r="E822" s="132"/>
      <c r="F822" s="132"/>
      <c r="G822" s="361"/>
      <c r="H822" s="361"/>
      <c r="I822" s="361"/>
      <c r="J822" s="363"/>
      <c r="K822" s="364"/>
      <c r="L822" s="361"/>
      <c r="M822" s="361"/>
      <c r="N822" s="361"/>
      <c r="O822" s="361"/>
      <c r="P822" s="361"/>
      <c r="Q822" s="361"/>
      <c r="R822" s="361"/>
      <c r="S822" s="361"/>
      <c r="T822" s="361"/>
      <c r="U822" s="361"/>
      <c r="V822" s="361"/>
      <c r="W822" s="361"/>
      <c r="X822" s="361"/>
      <c r="Y822" s="131"/>
      <c r="Z822" s="163"/>
      <c r="AA822" s="131"/>
      <c r="AB822" s="131"/>
      <c r="AC822" s="131"/>
      <c r="AD822" s="131"/>
      <c r="AE822" s="131"/>
      <c r="AF822" s="163"/>
      <c r="AG822" s="163"/>
      <c r="AH822" s="163"/>
      <c r="AI822" s="163"/>
      <c r="AJ822" s="163"/>
      <c r="AK822" s="163"/>
      <c r="AL822" s="163"/>
      <c r="AM822" s="130"/>
      <c r="AN822" s="163"/>
    </row>
    <row r="823" ht="15.75" customHeight="1">
      <c r="A823" s="362"/>
      <c r="B823" s="362"/>
      <c r="C823" s="362"/>
      <c r="D823" s="362"/>
      <c r="E823" s="132"/>
      <c r="F823" s="132"/>
      <c r="G823" s="361"/>
      <c r="H823" s="361"/>
      <c r="I823" s="361"/>
      <c r="J823" s="363"/>
      <c r="K823" s="364"/>
      <c r="L823" s="361"/>
      <c r="M823" s="361"/>
      <c r="N823" s="361"/>
      <c r="O823" s="361"/>
      <c r="P823" s="361"/>
      <c r="Q823" s="361"/>
      <c r="R823" s="361"/>
      <c r="S823" s="361"/>
      <c r="T823" s="361"/>
      <c r="U823" s="361"/>
      <c r="V823" s="361"/>
      <c r="W823" s="361"/>
      <c r="X823" s="361"/>
      <c r="Y823" s="131"/>
      <c r="Z823" s="163"/>
      <c r="AA823" s="131"/>
      <c r="AB823" s="131"/>
      <c r="AC823" s="131"/>
      <c r="AD823" s="131"/>
      <c r="AE823" s="131"/>
      <c r="AF823" s="163"/>
      <c r="AG823" s="163"/>
      <c r="AH823" s="163"/>
      <c r="AI823" s="163"/>
      <c r="AJ823" s="163"/>
      <c r="AK823" s="163"/>
      <c r="AL823" s="163"/>
      <c r="AM823" s="130"/>
      <c r="AN823" s="163"/>
    </row>
    <row r="824" ht="15.75" customHeight="1">
      <c r="A824" s="362"/>
      <c r="B824" s="362"/>
      <c r="C824" s="362"/>
      <c r="D824" s="362"/>
      <c r="E824" s="132"/>
      <c r="F824" s="132"/>
      <c r="G824" s="361"/>
      <c r="H824" s="361"/>
      <c r="I824" s="361"/>
      <c r="J824" s="363"/>
      <c r="K824" s="364"/>
      <c r="L824" s="361"/>
      <c r="M824" s="361"/>
      <c r="N824" s="361"/>
      <c r="O824" s="361"/>
      <c r="P824" s="361"/>
      <c r="Q824" s="361"/>
      <c r="R824" s="361"/>
      <c r="S824" s="361"/>
      <c r="T824" s="361"/>
      <c r="U824" s="361"/>
      <c r="V824" s="361"/>
      <c r="W824" s="361"/>
      <c r="X824" s="361"/>
      <c r="Y824" s="131"/>
      <c r="Z824" s="163"/>
      <c r="AA824" s="131"/>
      <c r="AB824" s="131"/>
      <c r="AC824" s="131"/>
      <c r="AD824" s="131"/>
      <c r="AE824" s="131"/>
      <c r="AF824" s="163"/>
      <c r="AG824" s="163"/>
      <c r="AH824" s="163"/>
      <c r="AI824" s="163"/>
      <c r="AJ824" s="163"/>
      <c r="AK824" s="163"/>
      <c r="AL824" s="163"/>
      <c r="AM824" s="130"/>
      <c r="AN824" s="163"/>
    </row>
    <row r="825" ht="15.75" customHeight="1">
      <c r="A825" s="362"/>
      <c r="B825" s="362"/>
      <c r="C825" s="362"/>
      <c r="D825" s="362"/>
      <c r="E825" s="132"/>
      <c r="F825" s="132"/>
      <c r="G825" s="361"/>
      <c r="H825" s="361"/>
      <c r="I825" s="361"/>
      <c r="J825" s="363"/>
      <c r="K825" s="364"/>
      <c r="L825" s="361"/>
      <c r="M825" s="361"/>
      <c r="N825" s="361"/>
      <c r="O825" s="361"/>
      <c r="P825" s="361"/>
      <c r="Q825" s="361"/>
      <c r="R825" s="361"/>
      <c r="S825" s="361"/>
      <c r="T825" s="361"/>
      <c r="U825" s="361"/>
      <c r="V825" s="361"/>
      <c r="W825" s="361"/>
      <c r="X825" s="361"/>
      <c r="Y825" s="131"/>
      <c r="Z825" s="163"/>
      <c r="AA825" s="131"/>
      <c r="AB825" s="131"/>
      <c r="AC825" s="131"/>
      <c r="AD825" s="131"/>
      <c r="AE825" s="131"/>
      <c r="AF825" s="163"/>
      <c r="AG825" s="163"/>
      <c r="AH825" s="163"/>
      <c r="AI825" s="163"/>
      <c r="AJ825" s="163"/>
      <c r="AK825" s="163"/>
      <c r="AL825" s="163"/>
      <c r="AM825" s="130"/>
      <c r="AN825" s="163"/>
    </row>
    <row r="826" ht="15.75" customHeight="1">
      <c r="A826" s="362"/>
      <c r="B826" s="362"/>
      <c r="C826" s="362"/>
      <c r="D826" s="362"/>
      <c r="E826" s="132"/>
      <c r="F826" s="132"/>
      <c r="G826" s="361"/>
      <c r="H826" s="361"/>
      <c r="I826" s="361"/>
      <c r="J826" s="363"/>
      <c r="K826" s="364"/>
      <c r="L826" s="361"/>
      <c r="M826" s="361"/>
      <c r="N826" s="361"/>
      <c r="O826" s="361"/>
      <c r="P826" s="361"/>
      <c r="Q826" s="361"/>
      <c r="R826" s="361"/>
      <c r="S826" s="361"/>
      <c r="T826" s="361"/>
      <c r="U826" s="361"/>
      <c r="V826" s="361"/>
      <c r="W826" s="361"/>
      <c r="X826" s="361"/>
      <c r="Y826" s="131"/>
      <c r="Z826" s="163"/>
      <c r="AA826" s="131"/>
      <c r="AB826" s="131"/>
      <c r="AC826" s="131"/>
      <c r="AD826" s="131"/>
      <c r="AE826" s="131"/>
      <c r="AF826" s="163"/>
      <c r="AG826" s="163"/>
      <c r="AH826" s="163"/>
      <c r="AI826" s="163"/>
      <c r="AJ826" s="163"/>
      <c r="AK826" s="163"/>
      <c r="AL826" s="163"/>
      <c r="AM826" s="130"/>
      <c r="AN826" s="163"/>
    </row>
    <row r="827" ht="15.75" customHeight="1">
      <c r="A827" s="362"/>
      <c r="B827" s="362"/>
      <c r="C827" s="362"/>
      <c r="D827" s="362"/>
      <c r="E827" s="132"/>
      <c r="F827" s="132"/>
      <c r="G827" s="361"/>
      <c r="H827" s="361"/>
      <c r="I827" s="361"/>
      <c r="J827" s="363"/>
      <c r="K827" s="364"/>
      <c r="L827" s="361"/>
      <c r="M827" s="361"/>
      <c r="N827" s="361"/>
      <c r="O827" s="361"/>
      <c r="P827" s="361"/>
      <c r="Q827" s="361"/>
      <c r="R827" s="361"/>
      <c r="S827" s="361"/>
      <c r="T827" s="361"/>
      <c r="U827" s="361"/>
      <c r="V827" s="361"/>
      <c r="W827" s="361"/>
      <c r="X827" s="361"/>
      <c r="Y827" s="131"/>
      <c r="Z827" s="163"/>
      <c r="AA827" s="131"/>
      <c r="AB827" s="131"/>
      <c r="AC827" s="131"/>
      <c r="AD827" s="131"/>
      <c r="AE827" s="131"/>
      <c r="AF827" s="163"/>
      <c r="AG827" s="163"/>
      <c r="AH827" s="163"/>
      <c r="AI827" s="163"/>
      <c r="AJ827" s="163"/>
      <c r="AK827" s="163"/>
      <c r="AL827" s="163"/>
      <c r="AM827" s="130"/>
      <c r="AN827" s="163"/>
    </row>
    <row r="828" ht="15.75" customHeight="1">
      <c r="A828" s="362"/>
      <c r="B828" s="362"/>
      <c r="C828" s="362"/>
      <c r="D828" s="362"/>
      <c r="E828" s="132"/>
      <c r="F828" s="132"/>
      <c r="G828" s="361"/>
      <c r="H828" s="361"/>
      <c r="I828" s="361"/>
      <c r="J828" s="363"/>
      <c r="K828" s="364"/>
      <c r="L828" s="361"/>
      <c r="M828" s="361"/>
      <c r="N828" s="361"/>
      <c r="O828" s="361"/>
      <c r="P828" s="361"/>
      <c r="Q828" s="361"/>
      <c r="R828" s="361"/>
      <c r="S828" s="361"/>
      <c r="T828" s="361"/>
      <c r="U828" s="361"/>
      <c r="V828" s="361"/>
      <c r="W828" s="361"/>
      <c r="X828" s="361"/>
      <c r="Y828" s="131"/>
      <c r="Z828" s="163"/>
      <c r="AA828" s="131"/>
      <c r="AB828" s="131"/>
      <c r="AC828" s="131"/>
      <c r="AD828" s="131"/>
      <c r="AE828" s="131"/>
      <c r="AF828" s="163"/>
      <c r="AG828" s="163"/>
      <c r="AH828" s="163"/>
      <c r="AI828" s="163"/>
      <c r="AJ828" s="163"/>
      <c r="AK828" s="163"/>
      <c r="AL828" s="163"/>
      <c r="AM828" s="130"/>
      <c r="AN828" s="163"/>
    </row>
    <row r="829" ht="15.75" customHeight="1">
      <c r="A829" s="362"/>
      <c r="B829" s="362"/>
      <c r="C829" s="362"/>
      <c r="D829" s="362"/>
      <c r="E829" s="132"/>
      <c r="F829" s="132"/>
      <c r="G829" s="361"/>
      <c r="H829" s="361"/>
      <c r="I829" s="361"/>
      <c r="J829" s="363"/>
      <c r="K829" s="364"/>
      <c r="L829" s="361"/>
      <c r="M829" s="361"/>
      <c r="N829" s="361"/>
      <c r="O829" s="361"/>
      <c r="P829" s="361"/>
      <c r="Q829" s="361"/>
      <c r="R829" s="361"/>
      <c r="S829" s="361"/>
      <c r="T829" s="361"/>
      <c r="U829" s="361"/>
      <c r="V829" s="361"/>
      <c r="W829" s="361"/>
      <c r="X829" s="361"/>
      <c r="Y829" s="131"/>
      <c r="Z829" s="163"/>
      <c r="AA829" s="131"/>
      <c r="AB829" s="131"/>
      <c r="AC829" s="131"/>
      <c r="AD829" s="131"/>
      <c r="AE829" s="131"/>
      <c r="AF829" s="163"/>
      <c r="AG829" s="163"/>
      <c r="AH829" s="163"/>
      <c r="AI829" s="163"/>
      <c r="AJ829" s="163"/>
      <c r="AK829" s="163"/>
      <c r="AL829" s="163"/>
      <c r="AM829" s="130"/>
      <c r="AN829" s="163"/>
    </row>
    <row r="830" ht="15.75" customHeight="1">
      <c r="A830" s="362"/>
      <c r="B830" s="362"/>
      <c r="C830" s="362"/>
      <c r="D830" s="362"/>
      <c r="E830" s="132"/>
      <c r="F830" s="132"/>
      <c r="G830" s="361"/>
      <c r="H830" s="361"/>
      <c r="I830" s="361"/>
      <c r="J830" s="363"/>
      <c r="K830" s="364"/>
      <c r="L830" s="361"/>
      <c r="M830" s="361"/>
      <c r="N830" s="361"/>
      <c r="O830" s="361"/>
      <c r="P830" s="361"/>
      <c r="Q830" s="361"/>
      <c r="R830" s="361"/>
      <c r="S830" s="361"/>
      <c r="T830" s="361"/>
      <c r="U830" s="361"/>
      <c r="V830" s="361"/>
      <c r="W830" s="361"/>
      <c r="X830" s="361"/>
      <c r="Y830" s="131"/>
      <c r="Z830" s="163"/>
      <c r="AA830" s="131"/>
      <c r="AB830" s="131"/>
      <c r="AC830" s="131"/>
      <c r="AD830" s="131"/>
      <c r="AE830" s="131"/>
      <c r="AF830" s="163"/>
      <c r="AG830" s="163"/>
      <c r="AH830" s="163"/>
      <c r="AI830" s="163"/>
      <c r="AJ830" s="163"/>
      <c r="AK830" s="163"/>
      <c r="AL830" s="163"/>
      <c r="AM830" s="130"/>
      <c r="AN830" s="163"/>
    </row>
    <row r="831" ht="15.75" customHeight="1">
      <c r="A831" s="362"/>
      <c r="B831" s="362"/>
      <c r="C831" s="362"/>
      <c r="D831" s="362"/>
      <c r="E831" s="132"/>
      <c r="F831" s="132"/>
      <c r="G831" s="361"/>
      <c r="H831" s="361"/>
      <c r="I831" s="361"/>
      <c r="J831" s="363"/>
      <c r="K831" s="364"/>
      <c r="L831" s="361"/>
      <c r="M831" s="361"/>
      <c r="N831" s="361"/>
      <c r="O831" s="361"/>
      <c r="P831" s="361"/>
      <c r="Q831" s="361"/>
      <c r="R831" s="361"/>
      <c r="S831" s="361"/>
      <c r="T831" s="361"/>
      <c r="U831" s="361"/>
      <c r="V831" s="361"/>
      <c r="W831" s="361"/>
      <c r="X831" s="361"/>
      <c r="Y831" s="131"/>
      <c r="Z831" s="163"/>
      <c r="AA831" s="131"/>
      <c r="AB831" s="131"/>
      <c r="AC831" s="131"/>
      <c r="AD831" s="131"/>
      <c r="AE831" s="131"/>
      <c r="AF831" s="163"/>
      <c r="AG831" s="163"/>
      <c r="AH831" s="163"/>
      <c r="AI831" s="163"/>
      <c r="AJ831" s="163"/>
      <c r="AK831" s="163"/>
      <c r="AL831" s="163"/>
      <c r="AM831" s="130"/>
      <c r="AN831" s="163"/>
    </row>
    <row r="832" ht="15.75" customHeight="1">
      <c r="A832" s="362"/>
      <c r="B832" s="362"/>
      <c r="C832" s="362"/>
      <c r="D832" s="362"/>
      <c r="E832" s="132"/>
      <c r="F832" s="132"/>
      <c r="G832" s="361"/>
      <c r="H832" s="361"/>
      <c r="I832" s="361"/>
      <c r="J832" s="363"/>
      <c r="K832" s="364"/>
      <c r="L832" s="361"/>
      <c r="M832" s="361"/>
      <c r="N832" s="361"/>
      <c r="O832" s="361"/>
      <c r="P832" s="361"/>
      <c r="Q832" s="361"/>
      <c r="R832" s="361"/>
      <c r="S832" s="361"/>
      <c r="T832" s="361"/>
      <c r="U832" s="361"/>
      <c r="V832" s="361"/>
      <c r="W832" s="361"/>
      <c r="X832" s="361"/>
      <c r="Y832" s="131"/>
      <c r="Z832" s="163"/>
      <c r="AA832" s="131"/>
      <c r="AB832" s="131"/>
      <c r="AC832" s="131"/>
      <c r="AD832" s="131"/>
      <c r="AE832" s="131"/>
      <c r="AF832" s="163"/>
      <c r="AG832" s="163"/>
      <c r="AH832" s="163"/>
      <c r="AI832" s="163"/>
      <c r="AJ832" s="163"/>
      <c r="AK832" s="163"/>
      <c r="AL832" s="163"/>
      <c r="AM832" s="130"/>
      <c r="AN832" s="163"/>
    </row>
    <row r="833" ht="15.75" customHeight="1">
      <c r="A833" s="362"/>
      <c r="B833" s="362"/>
      <c r="C833" s="362"/>
      <c r="D833" s="362"/>
      <c r="E833" s="132"/>
      <c r="F833" s="132"/>
      <c r="G833" s="361"/>
      <c r="H833" s="361"/>
      <c r="I833" s="361"/>
      <c r="J833" s="363"/>
      <c r="K833" s="364"/>
      <c r="L833" s="361"/>
      <c r="M833" s="361"/>
      <c r="N833" s="361"/>
      <c r="O833" s="361"/>
      <c r="P833" s="361"/>
      <c r="Q833" s="361"/>
      <c r="R833" s="361"/>
      <c r="S833" s="361"/>
      <c r="T833" s="361"/>
      <c r="U833" s="361"/>
      <c r="V833" s="361"/>
      <c r="W833" s="361"/>
      <c r="X833" s="361"/>
      <c r="Y833" s="131"/>
      <c r="Z833" s="163"/>
      <c r="AA833" s="131"/>
      <c r="AB833" s="131"/>
      <c r="AC833" s="131"/>
      <c r="AD833" s="131"/>
      <c r="AE833" s="131"/>
      <c r="AF833" s="163"/>
      <c r="AG833" s="163"/>
      <c r="AH833" s="163"/>
      <c r="AI833" s="163"/>
      <c r="AJ833" s="163"/>
      <c r="AK833" s="163"/>
      <c r="AL833" s="163"/>
      <c r="AM833" s="130"/>
      <c r="AN833" s="163"/>
    </row>
    <row r="834" ht="15.75" customHeight="1">
      <c r="A834" s="362"/>
      <c r="B834" s="362"/>
      <c r="C834" s="362"/>
      <c r="D834" s="362"/>
      <c r="E834" s="132"/>
      <c r="F834" s="132"/>
      <c r="G834" s="361"/>
      <c r="H834" s="361"/>
      <c r="I834" s="361"/>
      <c r="J834" s="363"/>
      <c r="K834" s="364"/>
      <c r="L834" s="361"/>
      <c r="M834" s="361"/>
      <c r="N834" s="361"/>
      <c r="O834" s="361"/>
      <c r="P834" s="361"/>
      <c r="Q834" s="361"/>
      <c r="R834" s="361"/>
      <c r="S834" s="361"/>
      <c r="T834" s="361"/>
      <c r="U834" s="361"/>
      <c r="V834" s="361"/>
      <c r="W834" s="361"/>
      <c r="X834" s="361"/>
      <c r="Y834" s="131"/>
      <c r="Z834" s="163"/>
      <c r="AA834" s="131"/>
      <c r="AB834" s="131"/>
      <c r="AC834" s="131"/>
      <c r="AD834" s="131"/>
      <c r="AE834" s="131"/>
      <c r="AF834" s="163"/>
      <c r="AG834" s="163"/>
      <c r="AH834" s="163"/>
      <c r="AI834" s="163"/>
      <c r="AJ834" s="163"/>
      <c r="AK834" s="163"/>
      <c r="AL834" s="163"/>
      <c r="AM834" s="130"/>
      <c r="AN834" s="163"/>
    </row>
    <row r="835" ht="15.75" customHeight="1">
      <c r="A835" s="362"/>
      <c r="B835" s="362"/>
      <c r="C835" s="362"/>
      <c r="D835" s="362"/>
      <c r="E835" s="132"/>
      <c r="F835" s="132"/>
      <c r="G835" s="361"/>
      <c r="H835" s="361"/>
      <c r="I835" s="361"/>
      <c r="J835" s="363"/>
      <c r="K835" s="364"/>
      <c r="L835" s="361"/>
      <c r="M835" s="361"/>
      <c r="N835" s="361"/>
      <c r="O835" s="361"/>
      <c r="P835" s="361"/>
      <c r="Q835" s="361"/>
      <c r="R835" s="361"/>
      <c r="S835" s="361"/>
      <c r="T835" s="361"/>
      <c r="U835" s="361"/>
      <c r="V835" s="361"/>
      <c r="W835" s="361"/>
      <c r="X835" s="361"/>
      <c r="Y835" s="131"/>
      <c r="Z835" s="163"/>
      <c r="AA835" s="131"/>
      <c r="AB835" s="131"/>
      <c r="AC835" s="131"/>
      <c r="AD835" s="131"/>
      <c r="AE835" s="131"/>
      <c r="AF835" s="163"/>
      <c r="AG835" s="163"/>
      <c r="AH835" s="163"/>
      <c r="AI835" s="163"/>
      <c r="AJ835" s="163"/>
      <c r="AK835" s="163"/>
      <c r="AL835" s="163"/>
      <c r="AM835" s="130"/>
      <c r="AN835" s="163"/>
    </row>
    <row r="836" ht="15.75" customHeight="1">
      <c r="A836" s="362"/>
      <c r="B836" s="362"/>
      <c r="C836" s="362"/>
      <c r="D836" s="362"/>
      <c r="E836" s="132"/>
      <c r="F836" s="132"/>
      <c r="G836" s="361"/>
      <c r="H836" s="361"/>
      <c r="I836" s="361"/>
      <c r="J836" s="363"/>
      <c r="K836" s="364"/>
      <c r="L836" s="361"/>
      <c r="M836" s="361"/>
      <c r="N836" s="361"/>
      <c r="O836" s="361"/>
      <c r="P836" s="361"/>
      <c r="Q836" s="361"/>
      <c r="R836" s="361"/>
      <c r="S836" s="361"/>
      <c r="T836" s="361"/>
      <c r="U836" s="361"/>
      <c r="V836" s="361"/>
      <c r="W836" s="361"/>
      <c r="X836" s="361"/>
      <c r="Y836" s="131"/>
      <c r="Z836" s="163"/>
      <c r="AA836" s="131"/>
      <c r="AB836" s="131"/>
      <c r="AC836" s="131"/>
      <c r="AD836" s="131"/>
      <c r="AE836" s="131"/>
      <c r="AF836" s="163"/>
      <c r="AG836" s="163"/>
      <c r="AH836" s="163"/>
      <c r="AI836" s="163"/>
      <c r="AJ836" s="163"/>
      <c r="AK836" s="163"/>
      <c r="AL836" s="163"/>
      <c r="AM836" s="130"/>
      <c r="AN836" s="163"/>
    </row>
    <row r="837" ht="15.75" customHeight="1">
      <c r="A837" s="362"/>
      <c r="B837" s="362"/>
      <c r="C837" s="362"/>
      <c r="D837" s="362"/>
      <c r="E837" s="132"/>
      <c r="F837" s="132"/>
      <c r="G837" s="361"/>
      <c r="H837" s="361"/>
      <c r="I837" s="361"/>
      <c r="J837" s="363"/>
      <c r="K837" s="364"/>
      <c r="L837" s="361"/>
      <c r="M837" s="361"/>
      <c r="N837" s="361"/>
      <c r="O837" s="361"/>
      <c r="P837" s="361"/>
      <c r="Q837" s="361"/>
      <c r="R837" s="361"/>
      <c r="S837" s="361"/>
      <c r="T837" s="361"/>
      <c r="U837" s="361"/>
      <c r="V837" s="361"/>
      <c r="W837" s="361"/>
      <c r="X837" s="361"/>
      <c r="Y837" s="131"/>
      <c r="Z837" s="163"/>
      <c r="AA837" s="131"/>
      <c r="AB837" s="131"/>
      <c r="AC837" s="131"/>
      <c r="AD837" s="131"/>
      <c r="AE837" s="131"/>
      <c r="AF837" s="163"/>
      <c r="AG837" s="163"/>
      <c r="AH837" s="163"/>
      <c r="AI837" s="163"/>
      <c r="AJ837" s="163"/>
      <c r="AK837" s="163"/>
      <c r="AL837" s="163"/>
      <c r="AM837" s="130"/>
      <c r="AN837" s="163"/>
    </row>
    <row r="838" ht="15.75" customHeight="1">
      <c r="A838" s="362"/>
      <c r="B838" s="362"/>
      <c r="C838" s="362"/>
      <c r="D838" s="362"/>
      <c r="E838" s="132"/>
      <c r="F838" s="132"/>
      <c r="G838" s="361"/>
      <c r="H838" s="361"/>
      <c r="I838" s="361"/>
      <c r="J838" s="363"/>
      <c r="K838" s="364"/>
      <c r="L838" s="361"/>
      <c r="M838" s="361"/>
      <c r="N838" s="361"/>
      <c r="O838" s="361"/>
      <c r="P838" s="361"/>
      <c r="Q838" s="361"/>
      <c r="R838" s="361"/>
      <c r="S838" s="361"/>
      <c r="T838" s="361"/>
      <c r="U838" s="361"/>
      <c r="V838" s="361"/>
      <c r="W838" s="361"/>
      <c r="X838" s="361"/>
      <c r="Y838" s="131"/>
      <c r="Z838" s="163"/>
      <c r="AA838" s="131"/>
      <c r="AB838" s="131"/>
      <c r="AC838" s="131"/>
      <c r="AD838" s="131"/>
      <c r="AE838" s="131"/>
      <c r="AF838" s="163"/>
      <c r="AG838" s="163"/>
      <c r="AH838" s="163"/>
      <c r="AI838" s="163"/>
      <c r="AJ838" s="163"/>
      <c r="AK838" s="163"/>
      <c r="AL838" s="163"/>
      <c r="AM838" s="130"/>
      <c r="AN838" s="163"/>
    </row>
    <row r="839" ht="15.75" customHeight="1">
      <c r="A839" s="362"/>
      <c r="B839" s="362"/>
      <c r="C839" s="362"/>
      <c r="D839" s="362"/>
      <c r="E839" s="132"/>
      <c r="F839" s="132"/>
      <c r="G839" s="361"/>
      <c r="H839" s="361"/>
      <c r="I839" s="361"/>
      <c r="J839" s="363"/>
      <c r="K839" s="364"/>
      <c r="L839" s="361"/>
      <c r="M839" s="361"/>
      <c r="N839" s="361"/>
      <c r="O839" s="361"/>
      <c r="P839" s="361"/>
      <c r="Q839" s="361"/>
      <c r="R839" s="361"/>
      <c r="S839" s="361"/>
      <c r="T839" s="361"/>
      <c r="U839" s="361"/>
      <c r="V839" s="361"/>
      <c r="W839" s="361"/>
      <c r="X839" s="361"/>
      <c r="Y839" s="131"/>
      <c r="Z839" s="163"/>
      <c r="AA839" s="131"/>
      <c r="AB839" s="131"/>
      <c r="AC839" s="131"/>
      <c r="AD839" s="131"/>
      <c r="AE839" s="131"/>
      <c r="AF839" s="163"/>
      <c r="AG839" s="163"/>
      <c r="AH839" s="163"/>
      <c r="AI839" s="163"/>
      <c r="AJ839" s="163"/>
      <c r="AK839" s="163"/>
      <c r="AL839" s="163"/>
      <c r="AM839" s="130"/>
      <c r="AN839" s="163"/>
    </row>
    <row r="840" ht="15.75" customHeight="1">
      <c r="A840" s="362"/>
      <c r="B840" s="362"/>
      <c r="C840" s="362"/>
      <c r="D840" s="362"/>
      <c r="E840" s="132"/>
      <c r="F840" s="132"/>
      <c r="G840" s="361"/>
      <c r="H840" s="361"/>
      <c r="I840" s="361"/>
      <c r="J840" s="363"/>
      <c r="K840" s="364"/>
      <c r="L840" s="361"/>
      <c r="M840" s="361"/>
      <c r="N840" s="361"/>
      <c r="O840" s="361"/>
      <c r="P840" s="361"/>
      <c r="Q840" s="361"/>
      <c r="R840" s="361"/>
      <c r="S840" s="361"/>
      <c r="T840" s="361"/>
      <c r="U840" s="361"/>
      <c r="V840" s="361"/>
      <c r="W840" s="361"/>
      <c r="X840" s="361"/>
      <c r="Y840" s="131"/>
      <c r="Z840" s="163"/>
      <c r="AA840" s="131"/>
      <c r="AB840" s="131"/>
      <c r="AC840" s="131"/>
      <c r="AD840" s="131"/>
      <c r="AE840" s="131"/>
      <c r="AF840" s="163"/>
      <c r="AG840" s="163"/>
      <c r="AH840" s="163"/>
      <c r="AI840" s="163"/>
      <c r="AJ840" s="163"/>
      <c r="AK840" s="163"/>
      <c r="AL840" s="163"/>
      <c r="AM840" s="130"/>
      <c r="AN840" s="163"/>
    </row>
    <row r="841" ht="15.75" customHeight="1">
      <c r="A841" s="362"/>
      <c r="B841" s="362"/>
      <c r="C841" s="362"/>
      <c r="D841" s="362"/>
      <c r="E841" s="132"/>
      <c r="F841" s="132"/>
      <c r="G841" s="361"/>
      <c r="H841" s="361"/>
      <c r="I841" s="361"/>
      <c r="J841" s="363"/>
      <c r="K841" s="364"/>
      <c r="L841" s="361"/>
      <c r="M841" s="361"/>
      <c r="N841" s="361"/>
      <c r="O841" s="361"/>
      <c r="P841" s="361"/>
      <c r="Q841" s="361"/>
      <c r="R841" s="361"/>
      <c r="S841" s="361"/>
      <c r="T841" s="361"/>
      <c r="U841" s="361"/>
      <c r="V841" s="361"/>
      <c r="W841" s="361"/>
      <c r="X841" s="361"/>
      <c r="Y841" s="131"/>
      <c r="Z841" s="163"/>
      <c r="AA841" s="131"/>
      <c r="AB841" s="131"/>
      <c r="AC841" s="131"/>
      <c r="AD841" s="131"/>
      <c r="AE841" s="131"/>
      <c r="AF841" s="163"/>
      <c r="AG841" s="163"/>
      <c r="AH841" s="163"/>
      <c r="AI841" s="163"/>
      <c r="AJ841" s="163"/>
      <c r="AK841" s="163"/>
      <c r="AL841" s="163"/>
      <c r="AM841" s="130"/>
      <c r="AN841" s="163"/>
    </row>
    <row r="842" ht="15.75" customHeight="1">
      <c r="A842" s="362"/>
      <c r="B842" s="362"/>
      <c r="C842" s="362"/>
      <c r="D842" s="362"/>
      <c r="E842" s="132"/>
      <c r="F842" s="132"/>
      <c r="G842" s="361"/>
      <c r="H842" s="361"/>
      <c r="I842" s="361"/>
      <c r="J842" s="363"/>
      <c r="K842" s="364"/>
      <c r="L842" s="361"/>
      <c r="M842" s="361"/>
      <c r="N842" s="361"/>
      <c r="O842" s="361"/>
      <c r="P842" s="361"/>
      <c r="Q842" s="361"/>
      <c r="R842" s="361"/>
      <c r="S842" s="361"/>
      <c r="T842" s="361"/>
      <c r="U842" s="361"/>
      <c r="V842" s="361"/>
      <c r="W842" s="361"/>
      <c r="X842" s="361"/>
      <c r="Y842" s="131"/>
      <c r="Z842" s="163"/>
      <c r="AA842" s="131"/>
      <c r="AB842" s="131"/>
      <c r="AC842" s="131"/>
      <c r="AD842" s="131"/>
      <c r="AE842" s="131"/>
      <c r="AF842" s="163"/>
      <c r="AG842" s="163"/>
      <c r="AH842" s="163"/>
      <c r="AI842" s="163"/>
      <c r="AJ842" s="163"/>
      <c r="AK842" s="163"/>
      <c r="AL842" s="163"/>
      <c r="AM842" s="130"/>
      <c r="AN842" s="163"/>
    </row>
    <row r="843" ht="15.75" customHeight="1">
      <c r="A843" s="362"/>
      <c r="B843" s="362"/>
      <c r="C843" s="362"/>
      <c r="D843" s="362"/>
      <c r="E843" s="132"/>
      <c r="F843" s="132"/>
      <c r="G843" s="361"/>
      <c r="H843" s="361"/>
      <c r="I843" s="361"/>
      <c r="J843" s="363"/>
      <c r="K843" s="364"/>
      <c r="L843" s="361"/>
      <c r="M843" s="361"/>
      <c r="N843" s="361"/>
      <c r="O843" s="361"/>
      <c r="P843" s="361"/>
      <c r="Q843" s="361"/>
      <c r="R843" s="361"/>
      <c r="S843" s="361"/>
      <c r="T843" s="361"/>
      <c r="U843" s="361"/>
      <c r="V843" s="361"/>
      <c r="W843" s="361"/>
      <c r="X843" s="361"/>
      <c r="Y843" s="131"/>
      <c r="Z843" s="163"/>
      <c r="AA843" s="131"/>
      <c r="AB843" s="131"/>
      <c r="AC843" s="131"/>
      <c r="AD843" s="131"/>
      <c r="AE843" s="131"/>
      <c r="AF843" s="163"/>
      <c r="AG843" s="163"/>
      <c r="AH843" s="163"/>
      <c r="AI843" s="163"/>
      <c r="AJ843" s="163"/>
      <c r="AK843" s="163"/>
      <c r="AL843" s="163"/>
      <c r="AM843" s="130"/>
      <c r="AN843" s="163"/>
    </row>
    <row r="844" ht="15.75" customHeight="1">
      <c r="A844" s="362"/>
      <c r="B844" s="362"/>
      <c r="C844" s="362"/>
      <c r="D844" s="362"/>
      <c r="E844" s="132"/>
      <c r="F844" s="132"/>
      <c r="G844" s="361"/>
      <c r="H844" s="361"/>
      <c r="I844" s="361"/>
      <c r="J844" s="363"/>
      <c r="K844" s="364"/>
      <c r="L844" s="361"/>
      <c r="M844" s="361"/>
      <c r="N844" s="361"/>
      <c r="O844" s="361"/>
      <c r="P844" s="361"/>
      <c r="Q844" s="361"/>
      <c r="R844" s="361"/>
      <c r="S844" s="361"/>
      <c r="T844" s="361"/>
      <c r="U844" s="361"/>
      <c r="V844" s="361"/>
      <c r="W844" s="361"/>
      <c r="X844" s="361"/>
      <c r="Y844" s="131"/>
      <c r="Z844" s="163"/>
      <c r="AA844" s="131"/>
      <c r="AB844" s="131"/>
      <c r="AC844" s="131"/>
      <c r="AD844" s="131"/>
      <c r="AE844" s="131"/>
      <c r="AF844" s="163"/>
      <c r="AG844" s="163"/>
      <c r="AH844" s="163"/>
      <c r="AI844" s="163"/>
      <c r="AJ844" s="163"/>
      <c r="AK844" s="163"/>
      <c r="AL844" s="163"/>
      <c r="AM844" s="130"/>
      <c r="AN844" s="163"/>
    </row>
    <row r="845" ht="15.75" customHeight="1">
      <c r="A845" s="362"/>
      <c r="B845" s="362"/>
      <c r="C845" s="362"/>
      <c r="D845" s="362"/>
      <c r="E845" s="132"/>
      <c r="F845" s="132"/>
      <c r="G845" s="361"/>
      <c r="H845" s="361"/>
      <c r="I845" s="361"/>
      <c r="J845" s="363"/>
      <c r="K845" s="364"/>
      <c r="L845" s="361"/>
      <c r="M845" s="361"/>
      <c r="N845" s="361"/>
      <c r="O845" s="361"/>
      <c r="P845" s="361"/>
      <c r="Q845" s="361"/>
      <c r="R845" s="361"/>
      <c r="S845" s="361"/>
      <c r="T845" s="361"/>
      <c r="U845" s="361"/>
      <c r="V845" s="361"/>
      <c r="W845" s="361"/>
      <c r="X845" s="361"/>
      <c r="Y845" s="131"/>
      <c r="Z845" s="163"/>
      <c r="AA845" s="131"/>
      <c r="AB845" s="131"/>
      <c r="AC845" s="131"/>
      <c r="AD845" s="131"/>
      <c r="AE845" s="131"/>
      <c r="AF845" s="163"/>
      <c r="AG845" s="163"/>
      <c r="AH845" s="163"/>
      <c r="AI845" s="163"/>
      <c r="AJ845" s="163"/>
      <c r="AK845" s="163"/>
      <c r="AL845" s="163"/>
      <c r="AM845" s="130"/>
      <c r="AN845" s="163"/>
    </row>
    <row r="846" ht="15.75" customHeight="1">
      <c r="A846" s="362"/>
      <c r="B846" s="362"/>
      <c r="C846" s="362"/>
      <c r="D846" s="362"/>
      <c r="E846" s="132"/>
      <c r="F846" s="132"/>
      <c r="G846" s="361"/>
      <c r="H846" s="361"/>
      <c r="I846" s="361"/>
      <c r="J846" s="363"/>
      <c r="K846" s="364"/>
      <c r="L846" s="361"/>
      <c r="M846" s="361"/>
      <c r="N846" s="361"/>
      <c r="O846" s="361"/>
      <c r="P846" s="361"/>
      <c r="Q846" s="361"/>
      <c r="R846" s="361"/>
      <c r="S846" s="361"/>
      <c r="T846" s="361"/>
      <c r="U846" s="361"/>
      <c r="V846" s="361"/>
      <c r="W846" s="361"/>
      <c r="X846" s="361"/>
      <c r="Y846" s="131"/>
      <c r="Z846" s="163"/>
      <c r="AA846" s="131"/>
      <c r="AB846" s="131"/>
      <c r="AC846" s="131"/>
      <c r="AD846" s="131"/>
      <c r="AE846" s="131"/>
      <c r="AF846" s="163"/>
      <c r="AG846" s="163"/>
      <c r="AH846" s="163"/>
      <c r="AI846" s="163"/>
      <c r="AJ846" s="163"/>
      <c r="AK846" s="163"/>
      <c r="AL846" s="163"/>
      <c r="AM846" s="130"/>
      <c r="AN846" s="163"/>
    </row>
    <row r="847" ht="15.75" customHeight="1">
      <c r="A847" s="362"/>
      <c r="B847" s="362"/>
      <c r="C847" s="362"/>
      <c r="D847" s="362"/>
      <c r="E847" s="132"/>
      <c r="F847" s="132"/>
      <c r="G847" s="361"/>
      <c r="H847" s="361"/>
      <c r="I847" s="361"/>
      <c r="J847" s="363"/>
      <c r="K847" s="364"/>
      <c r="L847" s="361"/>
      <c r="M847" s="361"/>
      <c r="N847" s="361"/>
      <c r="O847" s="361"/>
      <c r="P847" s="361"/>
      <c r="Q847" s="361"/>
      <c r="R847" s="361"/>
      <c r="S847" s="361"/>
      <c r="T847" s="361"/>
      <c r="U847" s="361"/>
      <c r="V847" s="361"/>
      <c r="W847" s="361"/>
      <c r="X847" s="361"/>
      <c r="Y847" s="131"/>
      <c r="Z847" s="163"/>
      <c r="AA847" s="131"/>
      <c r="AB847" s="131"/>
      <c r="AC847" s="131"/>
      <c r="AD847" s="131"/>
      <c r="AE847" s="131"/>
      <c r="AF847" s="163"/>
      <c r="AG847" s="163"/>
      <c r="AH847" s="163"/>
      <c r="AI847" s="163"/>
      <c r="AJ847" s="163"/>
      <c r="AK847" s="163"/>
      <c r="AL847" s="163"/>
      <c r="AM847" s="130"/>
      <c r="AN847" s="163"/>
    </row>
    <row r="848" ht="15.75" customHeight="1">
      <c r="A848" s="362"/>
      <c r="B848" s="362"/>
      <c r="C848" s="362"/>
      <c r="D848" s="362"/>
      <c r="E848" s="132"/>
      <c r="F848" s="132"/>
      <c r="G848" s="361"/>
      <c r="H848" s="361"/>
      <c r="I848" s="361"/>
      <c r="J848" s="363"/>
      <c r="K848" s="364"/>
      <c r="L848" s="361"/>
      <c r="M848" s="361"/>
      <c r="N848" s="361"/>
      <c r="O848" s="361"/>
      <c r="P848" s="361"/>
      <c r="Q848" s="361"/>
      <c r="R848" s="361"/>
      <c r="S848" s="361"/>
      <c r="T848" s="361"/>
      <c r="U848" s="361"/>
      <c r="V848" s="361"/>
      <c r="W848" s="361"/>
      <c r="X848" s="361"/>
      <c r="Y848" s="131"/>
      <c r="Z848" s="163"/>
      <c r="AA848" s="131"/>
      <c r="AB848" s="131"/>
      <c r="AC848" s="131"/>
      <c r="AD848" s="131"/>
      <c r="AE848" s="131"/>
      <c r="AF848" s="163"/>
      <c r="AG848" s="163"/>
      <c r="AH848" s="163"/>
      <c r="AI848" s="163"/>
      <c r="AJ848" s="163"/>
      <c r="AK848" s="163"/>
      <c r="AL848" s="163"/>
      <c r="AM848" s="130"/>
      <c r="AN848" s="163"/>
    </row>
    <row r="849" ht="15.75" customHeight="1">
      <c r="A849" s="362"/>
      <c r="B849" s="362"/>
      <c r="C849" s="362"/>
      <c r="D849" s="362"/>
      <c r="E849" s="132"/>
      <c r="F849" s="132"/>
      <c r="G849" s="361"/>
      <c r="H849" s="361"/>
      <c r="I849" s="361"/>
      <c r="J849" s="363"/>
      <c r="K849" s="364"/>
      <c r="L849" s="361"/>
      <c r="M849" s="361"/>
      <c r="N849" s="361"/>
      <c r="O849" s="361"/>
      <c r="P849" s="361"/>
      <c r="Q849" s="361"/>
      <c r="R849" s="361"/>
      <c r="S849" s="361"/>
      <c r="T849" s="361"/>
      <c r="U849" s="361"/>
      <c r="V849" s="361"/>
      <c r="W849" s="361"/>
      <c r="X849" s="361"/>
      <c r="Y849" s="131"/>
      <c r="Z849" s="163"/>
      <c r="AA849" s="131"/>
      <c r="AB849" s="131"/>
      <c r="AC849" s="131"/>
      <c r="AD849" s="131"/>
      <c r="AE849" s="131"/>
      <c r="AF849" s="163"/>
      <c r="AG849" s="163"/>
      <c r="AH849" s="163"/>
      <c r="AI849" s="163"/>
      <c r="AJ849" s="163"/>
      <c r="AK849" s="163"/>
      <c r="AL849" s="163"/>
      <c r="AM849" s="130"/>
      <c r="AN849" s="163"/>
    </row>
    <row r="850" ht="15.75" customHeight="1">
      <c r="A850" s="362"/>
      <c r="B850" s="362"/>
      <c r="C850" s="362"/>
      <c r="D850" s="362"/>
      <c r="E850" s="132"/>
      <c r="F850" s="132"/>
      <c r="G850" s="361"/>
      <c r="H850" s="361"/>
      <c r="I850" s="361"/>
      <c r="J850" s="363"/>
      <c r="K850" s="364"/>
      <c r="L850" s="361"/>
      <c r="M850" s="361"/>
      <c r="N850" s="361"/>
      <c r="O850" s="361"/>
      <c r="P850" s="361"/>
      <c r="Q850" s="361"/>
      <c r="R850" s="361"/>
      <c r="S850" s="361"/>
      <c r="T850" s="361"/>
      <c r="U850" s="361"/>
      <c r="V850" s="361"/>
      <c r="W850" s="361"/>
      <c r="X850" s="361"/>
      <c r="Y850" s="131"/>
      <c r="Z850" s="163"/>
      <c r="AA850" s="131"/>
      <c r="AB850" s="131"/>
      <c r="AC850" s="131"/>
      <c r="AD850" s="131"/>
      <c r="AE850" s="131"/>
      <c r="AF850" s="163"/>
      <c r="AG850" s="163"/>
      <c r="AH850" s="163"/>
      <c r="AI850" s="163"/>
      <c r="AJ850" s="163"/>
      <c r="AK850" s="163"/>
      <c r="AL850" s="163"/>
      <c r="AM850" s="130"/>
      <c r="AN850" s="163"/>
    </row>
    <row r="851" ht="15.75" customHeight="1">
      <c r="A851" s="362"/>
      <c r="B851" s="362"/>
      <c r="C851" s="362"/>
      <c r="D851" s="362"/>
      <c r="E851" s="132"/>
      <c r="F851" s="132"/>
      <c r="G851" s="361"/>
      <c r="H851" s="361"/>
      <c r="I851" s="361"/>
      <c r="J851" s="363"/>
      <c r="K851" s="364"/>
      <c r="L851" s="361"/>
      <c r="M851" s="361"/>
      <c r="N851" s="361"/>
      <c r="O851" s="361"/>
      <c r="P851" s="361"/>
      <c r="Q851" s="361"/>
      <c r="R851" s="361"/>
      <c r="S851" s="361"/>
      <c r="T851" s="361"/>
      <c r="U851" s="361"/>
      <c r="V851" s="361"/>
      <c r="W851" s="361"/>
      <c r="X851" s="361"/>
      <c r="Y851" s="131"/>
      <c r="Z851" s="163"/>
      <c r="AA851" s="131"/>
      <c r="AB851" s="131"/>
      <c r="AC851" s="131"/>
      <c r="AD851" s="131"/>
      <c r="AE851" s="131"/>
      <c r="AF851" s="163"/>
      <c r="AG851" s="163"/>
      <c r="AH851" s="163"/>
      <c r="AI851" s="163"/>
      <c r="AJ851" s="163"/>
      <c r="AK851" s="163"/>
      <c r="AL851" s="163"/>
      <c r="AM851" s="130"/>
      <c r="AN851" s="163"/>
    </row>
    <row r="852" ht="15.75" customHeight="1">
      <c r="A852" s="362"/>
      <c r="B852" s="362"/>
      <c r="C852" s="362"/>
      <c r="D852" s="362"/>
      <c r="E852" s="132"/>
      <c r="F852" s="132"/>
      <c r="G852" s="361"/>
      <c r="H852" s="361"/>
      <c r="I852" s="361"/>
      <c r="J852" s="363"/>
      <c r="K852" s="364"/>
      <c r="L852" s="361"/>
      <c r="M852" s="361"/>
      <c r="N852" s="361"/>
      <c r="O852" s="361"/>
      <c r="P852" s="361"/>
      <c r="Q852" s="361"/>
      <c r="R852" s="361"/>
      <c r="S852" s="361"/>
      <c r="T852" s="361"/>
      <c r="U852" s="361"/>
      <c r="V852" s="361"/>
      <c r="W852" s="361"/>
      <c r="X852" s="361"/>
      <c r="Y852" s="131"/>
      <c r="Z852" s="163"/>
      <c r="AA852" s="131"/>
      <c r="AB852" s="131"/>
      <c r="AC852" s="131"/>
      <c r="AD852" s="131"/>
      <c r="AE852" s="131"/>
      <c r="AF852" s="163"/>
      <c r="AG852" s="163"/>
      <c r="AH852" s="163"/>
      <c r="AI852" s="163"/>
      <c r="AJ852" s="163"/>
      <c r="AK852" s="163"/>
      <c r="AL852" s="163"/>
      <c r="AM852" s="130"/>
      <c r="AN852" s="163"/>
    </row>
    <row r="853" ht="15.75" customHeight="1">
      <c r="A853" s="362"/>
      <c r="B853" s="362"/>
      <c r="C853" s="362"/>
      <c r="D853" s="362"/>
      <c r="E853" s="132"/>
      <c r="F853" s="132"/>
      <c r="G853" s="361"/>
      <c r="H853" s="361"/>
      <c r="I853" s="361"/>
      <c r="J853" s="363"/>
      <c r="K853" s="364"/>
      <c r="L853" s="361"/>
      <c r="M853" s="361"/>
      <c r="N853" s="361"/>
      <c r="O853" s="361"/>
      <c r="P853" s="361"/>
      <c r="Q853" s="361"/>
      <c r="R853" s="361"/>
      <c r="S853" s="361"/>
      <c r="T853" s="361"/>
      <c r="U853" s="361"/>
      <c r="V853" s="361"/>
      <c r="W853" s="361"/>
      <c r="X853" s="361"/>
      <c r="Y853" s="131"/>
      <c r="Z853" s="163"/>
      <c r="AA853" s="131"/>
      <c r="AB853" s="131"/>
      <c r="AC853" s="131"/>
      <c r="AD853" s="131"/>
      <c r="AE853" s="131"/>
      <c r="AF853" s="163"/>
      <c r="AG853" s="163"/>
      <c r="AH853" s="163"/>
      <c r="AI853" s="163"/>
      <c r="AJ853" s="163"/>
      <c r="AK853" s="163"/>
      <c r="AL853" s="163"/>
      <c r="AM853" s="130"/>
      <c r="AN853" s="163"/>
    </row>
    <row r="854" ht="15.75" customHeight="1">
      <c r="A854" s="362"/>
      <c r="B854" s="362"/>
      <c r="C854" s="362"/>
      <c r="D854" s="362"/>
      <c r="E854" s="132"/>
      <c r="F854" s="132"/>
      <c r="G854" s="361"/>
      <c r="H854" s="361"/>
      <c r="I854" s="361"/>
      <c r="J854" s="363"/>
      <c r="K854" s="364"/>
      <c r="L854" s="361"/>
      <c r="M854" s="361"/>
      <c r="N854" s="361"/>
      <c r="O854" s="361"/>
      <c r="P854" s="361"/>
      <c r="Q854" s="361"/>
      <c r="R854" s="361"/>
      <c r="S854" s="361"/>
      <c r="T854" s="361"/>
      <c r="U854" s="361"/>
      <c r="V854" s="361"/>
      <c r="W854" s="361"/>
      <c r="X854" s="361"/>
      <c r="Y854" s="131"/>
      <c r="Z854" s="163"/>
      <c r="AA854" s="131"/>
      <c r="AB854" s="131"/>
      <c r="AC854" s="131"/>
      <c r="AD854" s="131"/>
      <c r="AE854" s="131"/>
      <c r="AF854" s="163"/>
      <c r="AG854" s="163"/>
      <c r="AH854" s="163"/>
      <c r="AI854" s="163"/>
      <c r="AJ854" s="163"/>
      <c r="AK854" s="163"/>
      <c r="AL854" s="163"/>
      <c r="AM854" s="130"/>
      <c r="AN854" s="163"/>
    </row>
    <row r="855" ht="15.75" customHeight="1">
      <c r="A855" s="362"/>
      <c r="B855" s="362"/>
      <c r="C855" s="362"/>
      <c r="D855" s="362"/>
      <c r="E855" s="132"/>
      <c r="F855" s="132"/>
      <c r="G855" s="361"/>
      <c r="H855" s="361"/>
      <c r="I855" s="361"/>
      <c r="J855" s="363"/>
      <c r="K855" s="364"/>
      <c r="L855" s="361"/>
      <c r="M855" s="361"/>
      <c r="N855" s="361"/>
      <c r="O855" s="361"/>
      <c r="P855" s="361"/>
      <c r="Q855" s="361"/>
      <c r="R855" s="361"/>
      <c r="S855" s="361"/>
      <c r="T855" s="361"/>
      <c r="U855" s="361"/>
      <c r="V855" s="361"/>
      <c r="W855" s="361"/>
      <c r="X855" s="361"/>
      <c r="Y855" s="131"/>
      <c r="Z855" s="163"/>
      <c r="AA855" s="131"/>
      <c r="AB855" s="131"/>
      <c r="AC855" s="131"/>
      <c r="AD855" s="131"/>
      <c r="AE855" s="131"/>
      <c r="AF855" s="163"/>
      <c r="AG855" s="163"/>
      <c r="AH855" s="163"/>
      <c r="AI855" s="163"/>
      <c r="AJ855" s="163"/>
      <c r="AK855" s="163"/>
      <c r="AL855" s="163"/>
      <c r="AM855" s="130"/>
      <c r="AN855" s="163"/>
    </row>
    <row r="856" ht="15.75" customHeight="1">
      <c r="A856" s="362"/>
      <c r="B856" s="362"/>
      <c r="C856" s="362"/>
      <c r="D856" s="362"/>
      <c r="E856" s="132"/>
      <c r="F856" s="132"/>
      <c r="G856" s="361"/>
      <c r="H856" s="361"/>
      <c r="I856" s="361"/>
      <c r="J856" s="363"/>
      <c r="K856" s="364"/>
      <c r="L856" s="361"/>
      <c r="M856" s="361"/>
      <c r="N856" s="361"/>
      <c r="O856" s="361"/>
      <c r="P856" s="361"/>
      <c r="Q856" s="361"/>
      <c r="R856" s="361"/>
      <c r="S856" s="361"/>
      <c r="T856" s="361"/>
      <c r="U856" s="361"/>
      <c r="V856" s="361"/>
      <c r="W856" s="361"/>
      <c r="X856" s="361"/>
      <c r="Y856" s="131"/>
      <c r="Z856" s="163"/>
      <c r="AA856" s="131"/>
      <c r="AB856" s="131"/>
      <c r="AC856" s="131"/>
      <c r="AD856" s="131"/>
      <c r="AE856" s="131"/>
      <c r="AF856" s="163"/>
      <c r="AG856" s="163"/>
      <c r="AH856" s="163"/>
      <c r="AI856" s="163"/>
      <c r="AJ856" s="163"/>
      <c r="AK856" s="163"/>
      <c r="AL856" s="163"/>
      <c r="AM856" s="130"/>
      <c r="AN856" s="163"/>
    </row>
    <row r="857" ht="15.75" customHeight="1">
      <c r="A857" s="362"/>
      <c r="B857" s="362"/>
      <c r="C857" s="362"/>
      <c r="D857" s="362"/>
      <c r="E857" s="132"/>
      <c r="F857" s="132"/>
      <c r="G857" s="361"/>
      <c r="H857" s="361"/>
      <c r="I857" s="361"/>
      <c r="J857" s="363"/>
      <c r="K857" s="364"/>
      <c r="L857" s="361"/>
      <c r="M857" s="361"/>
      <c r="N857" s="361"/>
      <c r="O857" s="361"/>
      <c r="P857" s="361"/>
      <c r="Q857" s="361"/>
      <c r="R857" s="361"/>
      <c r="S857" s="361"/>
      <c r="T857" s="361"/>
      <c r="U857" s="361"/>
      <c r="V857" s="361"/>
      <c r="W857" s="361"/>
      <c r="X857" s="361"/>
      <c r="Y857" s="131"/>
      <c r="Z857" s="163"/>
      <c r="AA857" s="131"/>
      <c r="AB857" s="131"/>
      <c r="AC857" s="131"/>
      <c r="AD857" s="131"/>
      <c r="AE857" s="131"/>
      <c r="AF857" s="163"/>
      <c r="AG857" s="163"/>
      <c r="AH857" s="163"/>
      <c r="AI857" s="163"/>
      <c r="AJ857" s="163"/>
      <c r="AK857" s="163"/>
      <c r="AL857" s="163"/>
      <c r="AM857" s="130"/>
      <c r="AN857" s="163"/>
    </row>
    <row r="858" ht="15.75" customHeight="1">
      <c r="A858" s="362"/>
      <c r="B858" s="362"/>
      <c r="C858" s="362"/>
      <c r="D858" s="362"/>
      <c r="E858" s="132"/>
      <c r="F858" s="132"/>
      <c r="G858" s="361"/>
      <c r="H858" s="361"/>
      <c r="I858" s="361"/>
      <c r="J858" s="363"/>
      <c r="K858" s="364"/>
      <c r="L858" s="361"/>
      <c r="M858" s="361"/>
      <c r="N858" s="361"/>
      <c r="O858" s="361"/>
      <c r="P858" s="361"/>
      <c r="Q858" s="361"/>
      <c r="R858" s="361"/>
      <c r="S858" s="361"/>
      <c r="T858" s="361"/>
      <c r="U858" s="361"/>
      <c r="V858" s="361"/>
      <c r="W858" s="361"/>
      <c r="X858" s="361"/>
      <c r="Y858" s="131"/>
      <c r="Z858" s="163"/>
      <c r="AA858" s="131"/>
      <c r="AB858" s="131"/>
      <c r="AC858" s="131"/>
      <c r="AD858" s="131"/>
      <c r="AE858" s="131"/>
      <c r="AF858" s="163"/>
      <c r="AG858" s="163"/>
      <c r="AH858" s="163"/>
      <c r="AI858" s="163"/>
      <c r="AJ858" s="163"/>
      <c r="AK858" s="163"/>
      <c r="AL858" s="163"/>
      <c r="AM858" s="130"/>
      <c r="AN858" s="163"/>
    </row>
    <row r="859" ht="15.75" customHeight="1">
      <c r="A859" s="362"/>
      <c r="B859" s="362"/>
      <c r="C859" s="362"/>
      <c r="D859" s="362"/>
      <c r="E859" s="132"/>
      <c r="F859" s="132"/>
      <c r="G859" s="361"/>
      <c r="H859" s="361"/>
      <c r="I859" s="361"/>
      <c r="J859" s="363"/>
      <c r="K859" s="364"/>
      <c r="L859" s="361"/>
      <c r="M859" s="361"/>
      <c r="N859" s="361"/>
      <c r="O859" s="361"/>
      <c r="P859" s="361"/>
      <c r="Q859" s="361"/>
      <c r="R859" s="361"/>
      <c r="S859" s="361"/>
      <c r="T859" s="361"/>
      <c r="U859" s="361"/>
      <c r="V859" s="361"/>
      <c r="W859" s="361"/>
      <c r="X859" s="361"/>
      <c r="Y859" s="131"/>
      <c r="Z859" s="163"/>
      <c r="AA859" s="131"/>
      <c r="AB859" s="131"/>
      <c r="AC859" s="131"/>
      <c r="AD859" s="131"/>
      <c r="AE859" s="131"/>
      <c r="AF859" s="163"/>
      <c r="AG859" s="163"/>
      <c r="AH859" s="163"/>
      <c r="AI859" s="163"/>
      <c r="AJ859" s="163"/>
      <c r="AK859" s="163"/>
      <c r="AL859" s="163"/>
      <c r="AM859" s="130"/>
      <c r="AN859" s="163"/>
    </row>
    <row r="860" ht="15.75" customHeight="1">
      <c r="A860" s="362"/>
      <c r="B860" s="362"/>
      <c r="C860" s="362"/>
      <c r="D860" s="362"/>
      <c r="E860" s="132"/>
      <c r="F860" s="132"/>
      <c r="G860" s="361"/>
      <c r="H860" s="361"/>
      <c r="I860" s="361"/>
      <c r="J860" s="363"/>
      <c r="K860" s="364"/>
      <c r="L860" s="361"/>
      <c r="M860" s="361"/>
      <c r="N860" s="361"/>
      <c r="O860" s="361"/>
      <c r="P860" s="361"/>
      <c r="Q860" s="361"/>
      <c r="R860" s="361"/>
      <c r="S860" s="361"/>
      <c r="T860" s="361"/>
      <c r="U860" s="361"/>
      <c r="V860" s="361"/>
      <c r="W860" s="361"/>
      <c r="X860" s="361"/>
      <c r="Y860" s="131"/>
      <c r="Z860" s="163"/>
      <c r="AA860" s="131"/>
      <c r="AB860" s="131"/>
      <c r="AC860" s="131"/>
      <c r="AD860" s="131"/>
      <c r="AE860" s="131"/>
      <c r="AF860" s="163"/>
      <c r="AG860" s="163"/>
      <c r="AH860" s="163"/>
      <c r="AI860" s="163"/>
      <c r="AJ860" s="163"/>
      <c r="AK860" s="163"/>
      <c r="AL860" s="163"/>
      <c r="AM860" s="130"/>
      <c r="AN860" s="163"/>
    </row>
    <row r="861" ht="15.75" customHeight="1">
      <c r="A861" s="362"/>
      <c r="B861" s="362"/>
      <c r="C861" s="362"/>
      <c r="D861" s="362"/>
      <c r="E861" s="132"/>
      <c r="F861" s="132"/>
      <c r="G861" s="361"/>
      <c r="H861" s="361"/>
      <c r="I861" s="361"/>
      <c r="J861" s="363"/>
      <c r="K861" s="364"/>
      <c r="L861" s="361"/>
      <c r="M861" s="361"/>
      <c r="N861" s="361"/>
      <c r="O861" s="361"/>
      <c r="P861" s="361"/>
      <c r="Q861" s="361"/>
      <c r="R861" s="361"/>
      <c r="S861" s="361"/>
      <c r="T861" s="361"/>
      <c r="U861" s="361"/>
      <c r="V861" s="361"/>
      <c r="W861" s="361"/>
      <c r="X861" s="361"/>
      <c r="Y861" s="131"/>
      <c r="Z861" s="163"/>
      <c r="AA861" s="131"/>
      <c r="AB861" s="131"/>
      <c r="AC861" s="131"/>
      <c r="AD861" s="131"/>
      <c r="AE861" s="131"/>
      <c r="AF861" s="163"/>
      <c r="AG861" s="163"/>
      <c r="AH861" s="163"/>
      <c r="AI861" s="163"/>
      <c r="AJ861" s="163"/>
      <c r="AK861" s="163"/>
      <c r="AL861" s="163"/>
      <c r="AM861" s="130"/>
      <c r="AN861" s="163"/>
    </row>
    <row r="862" ht="15.75" customHeight="1">
      <c r="A862" s="362"/>
      <c r="B862" s="362"/>
      <c r="C862" s="362"/>
      <c r="D862" s="362"/>
      <c r="E862" s="132"/>
      <c r="F862" s="132"/>
      <c r="G862" s="361"/>
      <c r="H862" s="361"/>
      <c r="I862" s="361"/>
      <c r="J862" s="363"/>
      <c r="K862" s="364"/>
      <c r="L862" s="361"/>
      <c r="M862" s="361"/>
      <c r="N862" s="361"/>
      <c r="O862" s="361"/>
      <c r="P862" s="361"/>
      <c r="Q862" s="361"/>
      <c r="R862" s="361"/>
      <c r="S862" s="361"/>
      <c r="T862" s="361"/>
      <c r="U862" s="361"/>
      <c r="V862" s="361"/>
      <c r="W862" s="361"/>
      <c r="X862" s="361"/>
      <c r="Y862" s="131"/>
      <c r="Z862" s="163"/>
      <c r="AA862" s="131"/>
      <c r="AB862" s="131"/>
      <c r="AC862" s="131"/>
      <c r="AD862" s="131"/>
      <c r="AE862" s="131"/>
      <c r="AF862" s="163"/>
      <c r="AG862" s="163"/>
      <c r="AH862" s="163"/>
      <c r="AI862" s="163"/>
      <c r="AJ862" s="163"/>
      <c r="AK862" s="163"/>
      <c r="AL862" s="163"/>
      <c r="AM862" s="130"/>
      <c r="AN862" s="163"/>
    </row>
    <row r="863" ht="15.75" customHeight="1">
      <c r="A863" s="362"/>
      <c r="B863" s="362"/>
      <c r="C863" s="362"/>
      <c r="D863" s="362"/>
      <c r="E863" s="132"/>
      <c r="F863" s="132"/>
      <c r="G863" s="361"/>
      <c r="H863" s="361"/>
      <c r="I863" s="361"/>
      <c r="J863" s="363"/>
      <c r="K863" s="364"/>
      <c r="L863" s="361"/>
      <c r="M863" s="361"/>
      <c r="N863" s="361"/>
      <c r="O863" s="361"/>
      <c r="P863" s="361"/>
      <c r="Q863" s="361"/>
      <c r="R863" s="361"/>
      <c r="S863" s="361"/>
      <c r="T863" s="361"/>
      <c r="U863" s="361"/>
      <c r="V863" s="361"/>
      <c r="W863" s="361"/>
      <c r="X863" s="361"/>
      <c r="Y863" s="131"/>
      <c r="Z863" s="163"/>
      <c r="AA863" s="131"/>
      <c r="AB863" s="131"/>
      <c r="AC863" s="131"/>
      <c r="AD863" s="131"/>
      <c r="AE863" s="131"/>
      <c r="AF863" s="163"/>
      <c r="AG863" s="163"/>
      <c r="AH863" s="163"/>
      <c r="AI863" s="163"/>
      <c r="AJ863" s="163"/>
      <c r="AK863" s="163"/>
      <c r="AL863" s="163"/>
      <c r="AM863" s="130"/>
      <c r="AN863" s="163"/>
    </row>
    <row r="864" ht="15.75" customHeight="1">
      <c r="A864" s="362"/>
      <c r="B864" s="362"/>
      <c r="C864" s="362"/>
      <c r="D864" s="362"/>
      <c r="E864" s="132"/>
      <c r="F864" s="132"/>
      <c r="G864" s="361"/>
      <c r="H864" s="361"/>
      <c r="I864" s="361"/>
      <c r="J864" s="363"/>
      <c r="K864" s="364"/>
      <c r="L864" s="361"/>
      <c r="M864" s="361"/>
      <c r="N864" s="361"/>
      <c r="O864" s="361"/>
      <c r="P864" s="361"/>
      <c r="Q864" s="361"/>
      <c r="R864" s="361"/>
      <c r="S864" s="361"/>
      <c r="T864" s="361"/>
      <c r="U864" s="361"/>
      <c r="V864" s="361"/>
      <c r="W864" s="361"/>
      <c r="X864" s="361"/>
      <c r="Y864" s="131"/>
      <c r="Z864" s="163"/>
      <c r="AA864" s="131"/>
      <c r="AB864" s="131"/>
      <c r="AC864" s="131"/>
      <c r="AD864" s="131"/>
      <c r="AE864" s="131"/>
      <c r="AF864" s="163"/>
      <c r="AG864" s="163"/>
      <c r="AH864" s="163"/>
      <c r="AI864" s="163"/>
      <c r="AJ864" s="163"/>
      <c r="AK864" s="163"/>
      <c r="AL864" s="163"/>
      <c r="AM864" s="130"/>
      <c r="AN864" s="163"/>
    </row>
    <row r="865" ht="15.75" customHeight="1">
      <c r="A865" s="362"/>
      <c r="B865" s="362"/>
      <c r="C865" s="362"/>
      <c r="D865" s="362"/>
      <c r="E865" s="132"/>
      <c r="F865" s="132"/>
      <c r="G865" s="361"/>
      <c r="H865" s="361"/>
      <c r="I865" s="361"/>
      <c r="J865" s="363"/>
      <c r="K865" s="364"/>
      <c r="L865" s="361"/>
      <c r="M865" s="361"/>
      <c r="N865" s="361"/>
      <c r="O865" s="361"/>
      <c r="P865" s="361"/>
      <c r="Q865" s="361"/>
      <c r="R865" s="361"/>
      <c r="S865" s="361"/>
      <c r="T865" s="361"/>
      <c r="U865" s="361"/>
      <c r="V865" s="361"/>
      <c r="W865" s="361"/>
      <c r="X865" s="361"/>
      <c r="Y865" s="131"/>
      <c r="Z865" s="163"/>
      <c r="AA865" s="131"/>
      <c r="AB865" s="131"/>
      <c r="AC865" s="131"/>
      <c r="AD865" s="131"/>
      <c r="AE865" s="131"/>
      <c r="AF865" s="163"/>
      <c r="AG865" s="163"/>
      <c r="AH865" s="163"/>
      <c r="AI865" s="163"/>
      <c r="AJ865" s="163"/>
      <c r="AK865" s="163"/>
      <c r="AL865" s="163"/>
      <c r="AM865" s="130"/>
      <c r="AN865" s="163"/>
    </row>
    <row r="866" ht="15.75" customHeight="1">
      <c r="A866" s="362"/>
      <c r="B866" s="362"/>
      <c r="C866" s="362"/>
      <c r="D866" s="362"/>
      <c r="E866" s="132"/>
      <c r="F866" s="132"/>
      <c r="G866" s="361"/>
      <c r="H866" s="361"/>
      <c r="I866" s="361"/>
      <c r="J866" s="363"/>
      <c r="K866" s="364"/>
      <c r="L866" s="361"/>
      <c r="M866" s="361"/>
      <c r="N866" s="361"/>
      <c r="O866" s="361"/>
      <c r="P866" s="361"/>
      <c r="Q866" s="361"/>
      <c r="R866" s="361"/>
      <c r="S866" s="361"/>
      <c r="T866" s="361"/>
      <c r="U866" s="361"/>
      <c r="V866" s="361"/>
      <c r="W866" s="361"/>
      <c r="X866" s="361"/>
      <c r="Y866" s="131"/>
      <c r="Z866" s="163"/>
      <c r="AA866" s="131"/>
      <c r="AB866" s="131"/>
      <c r="AC866" s="131"/>
      <c r="AD866" s="131"/>
      <c r="AE866" s="131"/>
      <c r="AF866" s="163"/>
      <c r="AG866" s="163"/>
      <c r="AH866" s="163"/>
      <c r="AI866" s="163"/>
      <c r="AJ866" s="163"/>
      <c r="AK866" s="163"/>
      <c r="AL866" s="163"/>
      <c r="AM866" s="130"/>
      <c r="AN866" s="163"/>
    </row>
    <row r="867" ht="15.75" customHeight="1">
      <c r="A867" s="362"/>
      <c r="B867" s="362"/>
      <c r="C867" s="362"/>
      <c r="D867" s="362"/>
      <c r="E867" s="132"/>
      <c r="F867" s="132"/>
      <c r="G867" s="361"/>
      <c r="H867" s="361"/>
      <c r="I867" s="361"/>
      <c r="J867" s="363"/>
      <c r="K867" s="364"/>
      <c r="L867" s="361"/>
      <c r="M867" s="361"/>
      <c r="N867" s="361"/>
      <c r="O867" s="361"/>
      <c r="P867" s="361"/>
      <c r="Q867" s="361"/>
      <c r="R867" s="361"/>
      <c r="S867" s="361"/>
      <c r="T867" s="361"/>
      <c r="U867" s="361"/>
      <c r="V867" s="361"/>
      <c r="W867" s="361"/>
      <c r="X867" s="361"/>
      <c r="Y867" s="131"/>
      <c r="Z867" s="163"/>
      <c r="AA867" s="131"/>
      <c r="AB867" s="131"/>
      <c r="AC867" s="131"/>
      <c r="AD867" s="131"/>
      <c r="AE867" s="131"/>
      <c r="AF867" s="163"/>
      <c r="AG867" s="163"/>
      <c r="AH867" s="163"/>
      <c r="AI867" s="163"/>
      <c r="AJ867" s="163"/>
      <c r="AK867" s="163"/>
      <c r="AL867" s="163"/>
      <c r="AM867" s="130"/>
      <c r="AN867" s="163"/>
    </row>
    <row r="868" ht="15.75" customHeight="1">
      <c r="A868" s="362"/>
      <c r="B868" s="362"/>
      <c r="C868" s="362"/>
      <c r="D868" s="362"/>
      <c r="E868" s="132"/>
      <c r="F868" s="132"/>
      <c r="G868" s="361"/>
      <c r="H868" s="361"/>
      <c r="I868" s="361"/>
      <c r="J868" s="363"/>
      <c r="K868" s="364"/>
      <c r="L868" s="361"/>
      <c r="M868" s="361"/>
      <c r="N868" s="361"/>
      <c r="O868" s="361"/>
      <c r="P868" s="361"/>
      <c r="Q868" s="361"/>
      <c r="R868" s="361"/>
      <c r="S868" s="361"/>
      <c r="T868" s="361"/>
      <c r="U868" s="361"/>
      <c r="V868" s="361"/>
      <c r="W868" s="361"/>
      <c r="X868" s="361"/>
      <c r="Y868" s="131"/>
      <c r="Z868" s="163"/>
      <c r="AA868" s="131"/>
      <c r="AB868" s="131"/>
      <c r="AC868" s="131"/>
      <c r="AD868" s="131"/>
      <c r="AE868" s="131"/>
      <c r="AF868" s="163"/>
      <c r="AG868" s="163"/>
      <c r="AH868" s="163"/>
      <c r="AI868" s="163"/>
      <c r="AJ868" s="163"/>
      <c r="AK868" s="163"/>
      <c r="AL868" s="163"/>
      <c r="AM868" s="130"/>
      <c r="AN868" s="163"/>
    </row>
    <row r="869" ht="15.75" customHeight="1">
      <c r="A869" s="362"/>
      <c r="B869" s="362"/>
      <c r="C869" s="362"/>
      <c r="D869" s="362"/>
      <c r="E869" s="132"/>
      <c r="F869" s="132"/>
      <c r="G869" s="361"/>
      <c r="H869" s="361"/>
      <c r="I869" s="361"/>
      <c r="J869" s="363"/>
      <c r="K869" s="364"/>
      <c r="L869" s="361"/>
      <c r="M869" s="361"/>
      <c r="N869" s="361"/>
      <c r="O869" s="361"/>
      <c r="P869" s="361"/>
      <c r="Q869" s="361"/>
      <c r="R869" s="361"/>
      <c r="S869" s="361"/>
      <c r="T869" s="361"/>
      <c r="U869" s="361"/>
      <c r="V869" s="361"/>
      <c r="W869" s="361"/>
      <c r="X869" s="361"/>
      <c r="Y869" s="131"/>
      <c r="Z869" s="163"/>
      <c r="AA869" s="131"/>
      <c r="AB869" s="131"/>
      <c r="AC869" s="131"/>
      <c r="AD869" s="131"/>
      <c r="AE869" s="131"/>
      <c r="AF869" s="163"/>
      <c r="AG869" s="163"/>
      <c r="AH869" s="163"/>
      <c r="AI869" s="163"/>
      <c r="AJ869" s="163"/>
      <c r="AK869" s="163"/>
      <c r="AL869" s="163"/>
      <c r="AM869" s="130"/>
      <c r="AN869" s="163"/>
    </row>
    <row r="870" ht="15.75" customHeight="1">
      <c r="A870" s="362"/>
      <c r="B870" s="362"/>
      <c r="C870" s="362"/>
      <c r="D870" s="362"/>
      <c r="E870" s="132"/>
      <c r="F870" s="132"/>
      <c r="G870" s="361"/>
      <c r="H870" s="361"/>
      <c r="I870" s="361"/>
      <c r="J870" s="363"/>
      <c r="K870" s="364"/>
      <c r="L870" s="361"/>
      <c r="M870" s="361"/>
      <c r="N870" s="361"/>
      <c r="O870" s="361"/>
      <c r="P870" s="361"/>
      <c r="Q870" s="361"/>
      <c r="R870" s="361"/>
      <c r="S870" s="361"/>
      <c r="T870" s="361"/>
      <c r="U870" s="361"/>
      <c r="V870" s="361"/>
      <c r="W870" s="361"/>
      <c r="X870" s="361"/>
      <c r="Y870" s="131"/>
      <c r="Z870" s="163"/>
      <c r="AA870" s="131"/>
      <c r="AB870" s="131"/>
      <c r="AC870" s="131"/>
      <c r="AD870" s="131"/>
      <c r="AE870" s="131"/>
      <c r="AF870" s="163"/>
      <c r="AG870" s="163"/>
      <c r="AH870" s="163"/>
      <c r="AI870" s="163"/>
      <c r="AJ870" s="163"/>
      <c r="AK870" s="163"/>
      <c r="AL870" s="163"/>
      <c r="AM870" s="130"/>
      <c r="AN870" s="163"/>
    </row>
    <row r="871" ht="15.75" customHeight="1">
      <c r="A871" s="362"/>
      <c r="B871" s="362"/>
      <c r="C871" s="362"/>
      <c r="D871" s="362"/>
      <c r="E871" s="132"/>
      <c r="F871" s="132"/>
      <c r="G871" s="361"/>
      <c r="H871" s="361"/>
      <c r="I871" s="361"/>
      <c r="J871" s="363"/>
      <c r="K871" s="364"/>
      <c r="L871" s="361"/>
      <c r="M871" s="361"/>
      <c r="N871" s="361"/>
      <c r="O871" s="361"/>
      <c r="P871" s="361"/>
      <c r="Q871" s="361"/>
      <c r="R871" s="361"/>
      <c r="S871" s="361"/>
      <c r="T871" s="361"/>
      <c r="U871" s="361"/>
      <c r="V871" s="361"/>
      <c r="W871" s="361"/>
      <c r="X871" s="361"/>
      <c r="Y871" s="131"/>
      <c r="Z871" s="163"/>
      <c r="AA871" s="131"/>
      <c r="AB871" s="131"/>
      <c r="AC871" s="131"/>
      <c r="AD871" s="131"/>
      <c r="AE871" s="131"/>
      <c r="AF871" s="163"/>
      <c r="AG871" s="163"/>
      <c r="AH871" s="163"/>
      <c r="AI871" s="163"/>
      <c r="AJ871" s="163"/>
      <c r="AK871" s="163"/>
      <c r="AL871" s="163"/>
      <c r="AM871" s="130"/>
      <c r="AN871" s="163"/>
    </row>
    <row r="872" ht="15.75" customHeight="1">
      <c r="A872" s="362"/>
      <c r="B872" s="362"/>
      <c r="C872" s="362"/>
      <c r="D872" s="362"/>
      <c r="E872" s="132"/>
      <c r="F872" s="132"/>
      <c r="G872" s="361"/>
      <c r="H872" s="361"/>
      <c r="I872" s="361"/>
      <c r="J872" s="363"/>
      <c r="K872" s="364"/>
      <c r="L872" s="361"/>
      <c r="M872" s="361"/>
      <c r="N872" s="361"/>
      <c r="O872" s="361"/>
      <c r="P872" s="361"/>
      <c r="Q872" s="361"/>
      <c r="R872" s="361"/>
      <c r="S872" s="361"/>
      <c r="T872" s="361"/>
      <c r="U872" s="361"/>
      <c r="V872" s="361"/>
      <c r="W872" s="361"/>
      <c r="X872" s="361"/>
      <c r="Y872" s="131"/>
      <c r="Z872" s="163"/>
      <c r="AA872" s="131"/>
      <c r="AB872" s="131"/>
      <c r="AC872" s="131"/>
      <c r="AD872" s="131"/>
      <c r="AE872" s="131"/>
      <c r="AF872" s="163"/>
      <c r="AG872" s="163"/>
      <c r="AH872" s="163"/>
      <c r="AI872" s="163"/>
      <c r="AJ872" s="163"/>
      <c r="AK872" s="163"/>
      <c r="AL872" s="163"/>
      <c r="AM872" s="130"/>
      <c r="AN872" s="163"/>
    </row>
    <row r="873" ht="15.75" customHeight="1">
      <c r="A873" s="362"/>
      <c r="B873" s="362"/>
      <c r="C873" s="362"/>
      <c r="D873" s="362"/>
      <c r="E873" s="132"/>
      <c r="F873" s="132"/>
      <c r="G873" s="361"/>
      <c r="H873" s="361"/>
      <c r="I873" s="361"/>
      <c r="J873" s="363"/>
      <c r="K873" s="364"/>
      <c r="L873" s="361"/>
      <c r="M873" s="361"/>
      <c r="N873" s="361"/>
      <c r="O873" s="361"/>
      <c r="P873" s="361"/>
      <c r="Q873" s="361"/>
      <c r="R873" s="361"/>
      <c r="S873" s="361"/>
      <c r="T873" s="361"/>
      <c r="U873" s="361"/>
      <c r="V873" s="361"/>
      <c r="W873" s="361"/>
      <c r="X873" s="361"/>
      <c r="Y873" s="131"/>
      <c r="Z873" s="163"/>
      <c r="AA873" s="131"/>
      <c r="AB873" s="131"/>
      <c r="AC873" s="131"/>
      <c r="AD873" s="131"/>
      <c r="AE873" s="131"/>
      <c r="AF873" s="163"/>
      <c r="AG873" s="163"/>
      <c r="AH873" s="163"/>
      <c r="AI873" s="163"/>
      <c r="AJ873" s="163"/>
      <c r="AK873" s="163"/>
      <c r="AL873" s="163"/>
      <c r="AM873" s="130"/>
      <c r="AN873" s="163"/>
    </row>
    <row r="874" ht="15.75" customHeight="1">
      <c r="A874" s="362"/>
      <c r="B874" s="362"/>
      <c r="C874" s="362"/>
      <c r="D874" s="362"/>
      <c r="E874" s="132"/>
      <c r="F874" s="132"/>
      <c r="G874" s="361"/>
      <c r="H874" s="361"/>
      <c r="I874" s="361"/>
      <c r="J874" s="363"/>
      <c r="K874" s="364"/>
      <c r="L874" s="361"/>
      <c r="M874" s="361"/>
      <c r="N874" s="361"/>
      <c r="O874" s="361"/>
      <c r="P874" s="361"/>
      <c r="Q874" s="361"/>
      <c r="R874" s="361"/>
      <c r="S874" s="361"/>
      <c r="T874" s="361"/>
      <c r="U874" s="361"/>
      <c r="V874" s="361"/>
      <c r="W874" s="361"/>
      <c r="X874" s="361"/>
      <c r="Y874" s="131"/>
      <c r="Z874" s="163"/>
      <c r="AA874" s="131"/>
      <c r="AB874" s="131"/>
      <c r="AC874" s="131"/>
      <c r="AD874" s="131"/>
      <c r="AE874" s="131"/>
      <c r="AF874" s="163"/>
      <c r="AG874" s="163"/>
      <c r="AH874" s="163"/>
      <c r="AI874" s="163"/>
      <c r="AJ874" s="163"/>
      <c r="AK874" s="163"/>
      <c r="AL874" s="163"/>
      <c r="AM874" s="130"/>
      <c r="AN874" s="163"/>
    </row>
    <row r="875" ht="15.75" customHeight="1">
      <c r="A875" s="362"/>
      <c r="B875" s="362"/>
      <c r="C875" s="362"/>
      <c r="D875" s="362"/>
      <c r="E875" s="132"/>
      <c r="F875" s="132"/>
      <c r="G875" s="361"/>
      <c r="H875" s="361"/>
      <c r="I875" s="361"/>
      <c r="J875" s="363"/>
      <c r="K875" s="364"/>
      <c r="L875" s="361"/>
      <c r="M875" s="361"/>
      <c r="N875" s="361"/>
      <c r="O875" s="361"/>
      <c r="P875" s="361"/>
      <c r="Q875" s="361"/>
      <c r="R875" s="361"/>
      <c r="S875" s="361"/>
      <c r="T875" s="361"/>
      <c r="U875" s="361"/>
      <c r="V875" s="361"/>
      <c r="W875" s="361"/>
      <c r="X875" s="361"/>
      <c r="Y875" s="131"/>
      <c r="Z875" s="163"/>
      <c r="AA875" s="131"/>
      <c r="AB875" s="131"/>
      <c r="AC875" s="131"/>
      <c r="AD875" s="131"/>
      <c r="AE875" s="131"/>
      <c r="AF875" s="163"/>
      <c r="AG875" s="163"/>
      <c r="AH875" s="163"/>
      <c r="AI875" s="163"/>
      <c r="AJ875" s="163"/>
      <c r="AK875" s="163"/>
      <c r="AL875" s="163"/>
      <c r="AM875" s="130"/>
      <c r="AN875" s="163"/>
    </row>
    <row r="876" ht="15.75" customHeight="1">
      <c r="A876" s="362"/>
      <c r="B876" s="362"/>
      <c r="C876" s="362"/>
      <c r="D876" s="362"/>
      <c r="E876" s="132"/>
      <c r="F876" s="132"/>
      <c r="G876" s="361"/>
      <c r="H876" s="361"/>
      <c r="I876" s="361"/>
      <c r="J876" s="363"/>
      <c r="K876" s="364"/>
      <c r="L876" s="361"/>
      <c r="M876" s="361"/>
      <c r="N876" s="361"/>
      <c r="O876" s="361"/>
      <c r="P876" s="361"/>
      <c r="Q876" s="361"/>
      <c r="R876" s="361"/>
      <c r="S876" s="361"/>
      <c r="T876" s="361"/>
      <c r="U876" s="361"/>
      <c r="V876" s="361"/>
      <c r="W876" s="361"/>
      <c r="X876" s="361"/>
      <c r="Y876" s="131"/>
      <c r="Z876" s="163"/>
      <c r="AA876" s="131"/>
      <c r="AB876" s="131"/>
      <c r="AC876" s="131"/>
      <c r="AD876" s="131"/>
      <c r="AE876" s="131"/>
      <c r="AF876" s="163"/>
      <c r="AG876" s="163"/>
      <c r="AH876" s="163"/>
      <c r="AI876" s="163"/>
      <c r="AJ876" s="163"/>
      <c r="AK876" s="163"/>
      <c r="AL876" s="163"/>
      <c r="AM876" s="130"/>
      <c r="AN876" s="163"/>
    </row>
    <row r="877" ht="15.75" customHeight="1">
      <c r="A877" s="362"/>
      <c r="B877" s="362"/>
      <c r="C877" s="362"/>
      <c r="D877" s="362"/>
      <c r="E877" s="132"/>
      <c r="F877" s="132"/>
      <c r="G877" s="361"/>
      <c r="H877" s="361"/>
      <c r="I877" s="361"/>
      <c r="J877" s="363"/>
      <c r="K877" s="364"/>
      <c r="L877" s="361"/>
      <c r="M877" s="361"/>
      <c r="N877" s="361"/>
      <c r="O877" s="361"/>
      <c r="P877" s="361"/>
      <c r="Q877" s="361"/>
      <c r="R877" s="361"/>
      <c r="S877" s="361"/>
      <c r="T877" s="361"/>
      <c r="U877" s="361"/>
      <c r="V877" s="361"/>
      <c r="W877" s="361"/>
      <c r="X877" s="361"/>
      <c r="Y877" s="131"/>
      <c r="Z877" s="163"/>
      <c r="AA877" s="131"/>
      <c r="AB877" s="131"/>
      <c r="AC877" s="131"/>
      <c r="AD877" s="131"/>
      <c r="AE877" s="131"/>
      <c r="AF877" s="163"/>
      <c r="AG877" s="163"/>
      <c r="AH877" s="163"/>
      <c r="AI877" s="163"/>
      <c r="AJ877" s="163"/>
      <c r="AK877" s="163"/>
      <c r="AL877" s="163"/>
      <c r="AM877" s="130"/>
      <c r="AN877" s="163"/>
    </row>
    <row r="878" ht="15.75" customHeight="1">
      <c r="A878" s="362"/>
      <c r="B878" s="362"/>
      <c r="C878" s="362"/>
      <c r="D878" s="362"/>
      <c r="E878" s="132"/>
      <c r="F878" s="132"/>
      <c r="G878" s="361"/>
      <c r="H878" s="361"/>
      <c r="I878" s="361"/>
      <c r="J878" s="363"/>
      <c r="K878" s="364"/>
      <c r="L878" s="361"/>
      <c r="M878" s="361"/>
      <c r="N878" s="361"/>
      <c r="O878" s="361"/>
      <c r="P878" s="361"/>
      <c r="Q878" s="361"/>
      <c r="R878" s="361"/>
      <c r="S878" s="361"/>
      <c r="T878" s="361"/>
      <c r="U878" s="361"/>
      <c r="V878" s="361"/>
      <c r="W878" s="361"/>
      <c r="X878" s="361"/>
      <c r="Y878" s="131"/>
      <c r="Z878" s="163"/>
      <c r="AA878" s="131"/>
      <c r="AB878" s="131"/>
      <c r="AC878" s="131"/>
      <c r="AD878" s="131"/>
      <c r="AE878" s="131"/>
      <c r="AF878" s="163"/>
      <c r="AG878" s="163"/>
      <c r="AH878" s="163"/>
      <c r="AI878" s="163"/>
      <c r="AJ878" s="163"/>
      <c r="AK878" s="163"/>
      <c r="AL878" s="163"/>
      <c r="AM878" s="130"/>
      <c r="AN878" s="163"/>
    </row>
    <row r="879" ht="15.75" customHeight="1">
      <c r="A879" s="362"/>
      <c r="B879" s="362"/>
      <c r="C879" s="362"/>
      <c r="D879" s="362"/>
      <c r="E879" s="132"/>
      <c r="F879" s="132"/>
      <c r="G879" s="361"/>
      <c r="H879" s="361"/>
      <c r="I879" s="361"/>
      <c r="J879" s="363"/>
      <c r="K879" s="364"/>
      <c r="L879" s="361"/>
      <c r="M879" s="361"/>
      <c r="N879" s="361"/>
      <c r="O879" s="361"/>
      <c r="P879" s="361"/>
      <c r="Q879" s="361"/>
      <c r="R879" s="361"/>
      <c r="S879" s="361"/>
      <c r="T879" s="361"/>
      <c r="U879" s="361"/>
      <c r="V879" s="361"/>
      <c r="W879" s="361"/>
      <c r="X879" s="361"/>
      <c r="Y879" s="131"/>
      <c r="Z879" s="163"/>
      <c r="AA879" s="131"/>
      <c r="AB879" s="131"/>
      <c r="AC879" s="131"/>
      <c r="AD879" s="131"/>
      <c r="AE879" s="131"/>
      <c r="AF879" s="163"/>
      <c r="AG879" s="163"/>
      <c r="AH879" s="163"/>
      <c r="AI879" s="163"/>
      <c r="AJ879" s="163"/>
      <c r="AK879" s="163"/>
      <c r="AL879" s="163"/>
      <c r="AM879" s="130"/>
      <c r="AN879" s="163"/>
    </row>
    <row r="880" ht="15.75" customHeight="1">
      <c r="A880" s="362"/>
      <c r="B880" s="362"/>
      <c r="C880" s="362"/>
      <c r="D880" s="362"/>
      <c r="E880" s="132"/>
      <c r="F880" s="132"/>
      <c r="G880" s="361"/>
      <c r="H880" s="361"/>
      <c r="I880" s="361"/>
      <c r="J880" s="363"/>
      <c r="K880" s="364"/>
      <c r="L880" s="361"/>
      <c r="M880" s="361"/>
      <c r="N880" s="361"/>
      <c r="O880" s="361"/>
      <c r="P880" s="361"/>
      <c r="Q880" s="361"/>
      <c r="R880" s="361"/>
      <c r="S880" s="361"/>
      <c r="T880" s="361"/>
      <c r="U880" s="361"/>
      <c r="V880" s="361"/>
      <c r="W880" s="361"/>
      <c r="X880" s="361"/>
      <c r="Y880" s="131"/>
      <c r="Z880" s="163"/>
      <c r="AA880" s="131"/>
      <c r="AB880" s="131"/>
      <c r="AC880" s="131"/>
      <c r="AD880" s="131"/>
      <c r="AE880" s="131"/>
      <c r="AF880" s="163"/>
      <c r="AG880" s="163"/>
      <c r="AH880" s="163"/>
      <c r="AI880" s="163"/>
      <c r="AJ880" s="163"/>
      <c r="AK880" s="163"/>
      <c r="AL880" s="163"/>
      <c r="AM880" s="130"/>
      <c r="AN880" s="163"/>
    </row>
    <row r="881" ht="15.75" customHeight="1">
      <c r="A881" s="362"/>
      <c r="B881" s="362"/>
      <c r="C881" s="362"/>
      <c r="D881" s="362"/>
      <c r="E881" s="132"/>
      <c r="F881" s="132"/>
      <c r="G881" s="361"/>
      <c r="H881" s="361"/>
      <c r="I881" s="361"/>
      <c r="J881" s="363"/>
      <c r="K881" s="364"/>
      <c r="L881" s="361"/>
      <c r="M881" s="361"/>
      <c r="N881" s="361"/>
      <c r="O881" s="361"/>
      <c r="P881" s="361"/>
      <c r="Q881" s="361"/>
      <c r="R881" s="361"/>
      <c r="S881" s="361"/>
      <c r="T881" s="361"/>
      <c r="U881" s="361"/>
      <c r="V881" s="361"/>
      <c r="W881" s="361"/>
      <c r="X881" s="361"/>
      <c r="Y881" s="131"/>
      <c r="Z881" s="163"/>
      <c r="AA881" s="131"/>
      <c r="AB881" s="131"/>
      <c r="AC881" s="131"/>
      <c r="AD881" s="131"/>
      <c r="AE881" s="131"/>
      <c r="AF881" s="163"/>
      <c r="AG881" s="163"/>
      <c r="AH881" s="163"/>
      <c r="AI881" s="163"/>
      <c r="AJ881" s="163"/>
      <c r="AK881" s="163"/>
      <c r="AL881" s="163"/>
      <c r="AM881" s="130"/>
      <c r="AN881" s="163"/>
    </row>
    <row r="882" ht="15.75" customHeight="1">
      <c r="A882" s="362"/>
      <c r="B882" s="362"/>
      <c r="C882" s="362"/>
      <c r="D882" s="362"/>
      <c r="E882" s="132"/>
      <c r="F882" s="132"/>
      <c r="G882" s="361"/>
      <c r="H882" s="361"/>
      <c r="I882" s="361"/>
      <c r="J882" s="363"/>
      <c r="K882" s="364"/>
      <c r="L882" s="361"/>
      <c r="M882" s="361"/>
      <c r="N882" s="361"/>
      <c r="O882" s="361"/>
      <c r="P882" s="361"/>
      <c r="Q882" s="361"/>
      <c r="R882" s="361"/>
      <c r="S882" s="361"/>
      <c r="T882" s="361"/>
      <c r="U882" s="361"/>
      <c r="V882" s="361"/>
      <c r="W882" s="361"/>
      <c r="X882" s="361"/>
      <c r="Y882" s="131"/>
      <c r="Z882" s="163"/>
      <c r="AA882" s="131"/>
      <c r="AB882" s="131"/>
      <c r="AC882" s="131"/>
      <c r="AD882" s="131"/>
      <c r="AE882" s="131"/>
      <c r="AF882" s="163"/>
      <c r="AG882" s="163"/>
      <c r="AH882" s="163"/>
      <c r="AI882" s="163"/>
      <c r="AJ882" s="163"/>
      <c r="AK882" s="163"/>
      <c r="AL882" s="163"/>
      <c r="AM882" s="130"/>
      <c r="AN882" s="163"/>
    </row>
    <row r="883" ht="15.75" customHeight="1">
      <c r="A883" s="362"/>
      <c r="B883" s="362"/>
      <c r="C883" s="362"/>
      <c r="D883" s="362"/>
      <c r="E883" s="132"/>
      <c r="F883" s="132"/>
      <c r="G883" s="361"/>
      <c r="H883" s="361"/>
      <c r="I883" s="361"/>
      <c r="J883" s="363"/>
      <c r="K883" s="364"/>
      <c r="L883" s="361"/>
      <c r="M883" s="361"/>
      <c r="N883" s="361"/>
      <c r="O883" s="361"/>
      <c r="P883" s="361"/>
      <c r="Q883" s="361"/>
      <c r="R883" s="361"/>
      <c r="S883" s="361"/>
      <c r="T883" s="361"/>
      <c r="U883" s="361"/>
      <c r="V883" s="361"/>
      <c r="W883" s="361"/>
      <c r="X883" s="361"/>
      <c r="Y883" s="131"/>
      <c r="Z883" s="163"/>
      <c r="AA883" s="131"/>
      <c r="AB883" s="131"/>
      <c r="AC883" s="131"/>
      <c r="AD883" s="131"/>
      <c r="AE883" s="131"/>
      <c r="AF883" s="163"/>
      <c r="AG883" s="163"/>
      <c r="AH883" s="163"/>
      <c r="AI883" s="163"/>
      <c r="AJ883" s="163"/>
      <c r="AK883" s="163"/>
      <c r="AL883" s="163"/>
      <c r="AM883" s="130"/>
      <c r="AN883" s="163"/>
    </row>
    <row r="884" ht="15.75" customHeight="1">
      <c r="A884" s="362"/>
      <c r="B884" s="362"/>
      <c r="C884" s="362"/>
      <c r="D884" s="362"/>
      <c r="E884" s="132"/>
      <c r="F884" s="132"/>
      <c r="G884" s="361"/>
      <c r="H884" s="361"/>
      <c r="I884" s="361"/>
      <c r="J884" s="363"/>
      <c r="K884" s="364"/>
      <c r="L884" s="361"/>
      <c r="M884" s="361"/>
      <c r="N884" s="361"/>
      <c r="O884" s="361"/>
      <c r="P884" s="361"/>
      <c r="Q884" s="361"/>
      <c r="R884" s="361"/>
      <c r="S884" s="361"/>
      <c r="T884" s="361"/>
      <c r="U884" s="361"/>
      <c r="V884" s="361"/>
      <c r="W884" s="361"/>
      <c r="X884" s="361"/>
      <c r="Y884" s="131"/>
      <c r="Z884" s="163"/>
      <c r="AA884" s="131"/>
      <c r="AB884" s="131"/>
      <c r="AC884" s="131"/>
      <c r="AD884" s="131"/>
      <c r="AE884" s="131"/>
      <c r="AF884" s="163"/>
      <c r="AG884" s="163"/>
      <c r="AH884" s="163"/>
      <c r="AI884" s="163"/>
      <c r="AJ884" s="163"/>
      <c r="AK884" s="163"/>
      <c r="AL884" s="163"/>
      <c r="AM884" s="130"/>
      <c r="AN884" s="163"/>
    </row>
    <row r="885" ht="15.75" customHeight="1">
      <c r="A885" s="362"/>
      <c r="B885" s="362"/>
      <c r="C885" s="362"/>
      <c r="D885" s="362"/>
      <c r="E885" s="132"/>
      <c r="F885" s="132"/>
      <c r="G885" s="361"/>
      <c r="H885" s="361"/>
      <c r="I885" s="361"/>
      <c r="J885" s="363"/>
      <c r="K885" s="364"/>
      <c r="L885" s="361"/>
      <c r="M885" s="361"/>
      <c r="N885" s="361"/>
      <c r="O885" s="361"/>
      <c r="P885" s="361"/>
      <c r="Q885" s="361"/>
      <c r="R885" s="361"/>
      <c r="S885" s="361"/>
      <c r="T885" s="361"/>
      <c r="U885" s="361"/>
      <c r="V885" s="361"/>
      <c r="W885" s="361"/>
      <c r="X885" s="361"/>
      <c r="Y885" s="131"/>
      <c r="Z885" s="163"/>
      <c r="AA885" s="131"/>
      <c r="AB885" s="131"/>
      <c r="AC885" s="131"/>
      <c r="AD885" s="131"/>
      <c r="AE885" s="131"/>
      <c r="AF885" s="163"/>
      <c r="AG885" s="163"/>
      <c r="AH885" s="163"/>
      <c r="AI885" s="163"/>
      <c r="AJ885" s="163"/>
      <c r="AK885" s="163"/>
      <c r="AL885" s="163"/>
      <c r="AM885" s="130"/>
      <c r="AN885" s="163"/>
    </row>
    <row r="886" ht="15.75" customHeight="1">
      <c r="A886" s="362"/>
      <c r="B886" s="362"/>
      <c r="C886" s="362"/>
      <c r="D886" s="362"/>
      <c r="E886" s="132"/>
      <c r="F886" s="132"/>
      <c r="G886" s="361"/>
      <c r="H886" s="361"/>
      <c r="I886" s="361"/>
      <c r="J886" s="363"/>
      <c r="K886" s="364"/>
      <c r="L886" s="361"/>
      <c r="M886" s="361"/>
      <c r="N886" s="361"/>
      <c r="O886" s="361"/>
      <c r="P886" s="361"/>
      <c r="Q886" s="361"/>
      <c r="R886" s="361"/>
      <c r="S886" s="361"/>
      <c r="T886" s="361"/>
      <c r="U886" s="361"/>
      <c r="V886" s="361"/>
      <c r="W886" s="361"/>
      <c r="X886" s="361"/>
      <c r="Y886" s="131"/>
      <c r="Z886" s="163"/>
      <c r="AA886" s="131"/>
      <c r="AB886" s="131"/>
      <c r="AC886" s="131"/>
      <c r="AD886" s="131"/>
      <c r="AE886" s="131"/>
      <c r="AF886" s="163"/>
      <c r="AG886" s="163"/>
      <c r="AH886" s="163"/>
      <c r="AI886" s="163"/>
      <c r="AJ886" s="163"/>
      <c r="AK886" s="163"/>
      <c r="AL886" s="163"/>
      <c r="AM886" s="130"/>
      <c r="AN886" s="163"/>
    </row>
    <row r="887" ht="15.75" customHeight="1">
      <c r="A887" s="362"/>
      <c r="B887" s="362"/>
      <c r="C887" s="362"/>
      <c r="D887" s="362"/>
      <c r="E887" s="132"/>
      <c r="F887" s="132"/>
      <c r="G887" s="361"/>
      <c r="H887" s="361"/>
      <c r="I887" s="361"/>
      <c r="J887" s="363"/>
      <c r="K887" s="364"/>
      <c r="L887" s="361"/>
      <c r="M887" s="361"/>
      <c r="N887" s="361"/>
      <c r="O887" s="361"/>
      <c r="P887" s="361"/>
      <c r="Q887" s="361"/>
      <c r="R887" s="361"/>
      <c r="S887" s="361"/>
      <c r="T887" s="361"/>
      <c r="U887" s="361"/>
      <c r="V887" s="361"/>
      <c r="W887" s="361"/>
      <c r="X887" s="361"/>
      <c r="Y887" s="131"/>
      <c r="Z887" s="163"/>
      <c r="AA887" s="131"/>
      <c r="AB887" s="131"/>
      <c r="AC887" s="131"/>
      <c r="AD887" s="131"/>
      <c r="AE887" s="131"/>
      <c r="AF887" s="163"/>
      <c r="AG887" s="163"/>
      <c r="AH887" s="163"/>
      <c r="AI887" s="163"/>
      <c r="AJ887" s="163"/>
      <c r="AK887" s="163"/>
      <c r="AL887" s="163"/>
      <c r="AM887" s="130"/>
      <c r="AN887" s="163"/>
    </row>
    <row r="888" ht="15.75" customHeight="1">
      <c r="A888" s="362"/>
      <c r="B888" s="362"/>
      <c r="C888" s="362"/>
      <c r="D888" s="362"/>
      <c r="E888" s="132"/>
      <c r="F888" s="132"/>
      <c r="G888" s="361"/>
      <c r="H888" s="361"/>
      <c r="I888" s="361"/>
      <c r="J888" s="363"/>
      <c r="K888" s="364"/>
      <c r="L888" s="361"/>
      <c r="M888" s="361"/>
      <c r="N888" s="361"/>
      <c r="O888" s="361"/>
      <c r="P888" s="361"/>
      <c r="Q888" s="361"/>
      <c r="R888" s="361"/>
      <c r="S888" s="361"/>
      <c r="T888" s="361"/>
      <c r="U888" s="361"/>
      <c r="V888" s="361"/>
      <c r="W888" s="361"/>
      <c r="X888" s="361"/>
      <c r="Y888" s="131"/>
      <c r="Z888" s="163"/>
      <c r="AA888" s="131"/>
      <c r="AB888" s="131"/>
      <c r="AC888" s="131"/>
      <c r="AD888" s="131"/>
      <c r="AE888" s="131"/>
      <c r="AF888" s="163"/>
      <c r="AG888" s="163"/>
      <c r="AH888" s="163"/>
      <c r="AI888" s="163"/>
      <c r="AJ888" s="163"/>
      <c r="AK888" s="163"/>
      <c r="AL888" s="163"/>
      <c r="AM888" s="130"/>
      <c r="AN888" s="163"/>
    </row>
    <row r="889" ht="15.75" customHeight="1">
      <c r="A889" s="362"/>
      <c r="B889" s="362"/>
      <c r="C889" s="362"/>
      <c r="D889" s="362"/>
      <c r="E889" s="132"/>
      <c r="F889" s="132"/>
      <c r="G889" s="361"/>
      <c r="H889" s="361"/>
      <c r="I889" s="361"/>
      <c r="J889" s="363"/>
      <c r="K889" s="364"/>
      <c r="L889" s="361"/>
      <c r="M889" s="361"/>
      <c r="N889" s="361"/>
      <c r="O889" s="361"/>
      <c r="P889" s="361"/>
      <c r="Q889" s="361"/>
      <c r="R889" s="361"/>
      <c r="S889" s="361"/>
      <c r="T889" s="361"/>
      <c r="U889" s="361"/>
      <c r="V889" s="361"/>
      <c r="W889" s="361"/>
      <c r="X889" s="361"/>
      <c r="Y889" s="131"/>
      <c r="Z889" s="163"/>
      <c r="AA889" s="131"/>
      <c r="AB889" s="131"/>
      <c r="AC889" s="131"/>
      <c r="AD889" s="131"/>
      <c r="AE889" s="131"/>
      <c r="AF889" s="163"/>
      <c r="AG889" s="163"/>
      <c r="AH889" s="163"/>
      <c r="AI889" s="163"/>
      <c r="AJ889" s="163"/>
      <c r="AK889" s="163"/>
      <c r="AL889" s="163"/>
      <c r="AM889" s="130"/>
      <c r="AN889" s="163"/>
    </row>
    <row r="890" ht="15.75" customHeight="1">
      <c r="A890" s="362"/>
      <c r="B890" s="362"/>
      <c r="C890" s="362"/>
      <c r="D890" s="362"/>
      <c r="E890" s="132"/>
      <c r="F890" s="132"/>
      <c r="G890" s="361"/>
      <c r="H890" s="361"/>
      <c r="I890" s="361"/>
      <c r="J890" s="363"/>
      <c r="K890" s="364"/>
      <c r="L890" s="361"/>
      <c r="M890" s="361"/>
      <c r="N890" s="361"/>
      <c r="O890" s="361"/>
      <c r="P890" s="361"/>
      <c r="Q890" s="361"/>
      <c r="R890" s="361"/>
      <c r="S890" s="361"/>
      <c r="T890" s="361"/>
      <c r="U890" s="361"/>
      <c r="V890" s="361"/>
      <c r="W890" s="361"/>
      <c r="X890" s="361"/>
      <c r="Y890" s="131"/>
      <c r="Z890" s="163"/>
      <c r="AA890" s="131"/>
      <c r="AB890" s="131"/>
      <c r="AC890" s="131"/>
      <c r="AD890" s="131"/>
      <c r="AE890" s="131"/>
      <c r="AF890" s="163"/>
      <c r="AG890" s="163"/>
      <c r="AH890" s="163"/>
      <c r="AI890" s="163"/>
      <c r="AJ890" s="163"/>
      <c r="AK890" s="163"/>
      <c r="AL890" s="163"/>
      <c r="AM890" s="130"/>
      <c r="AN890" s="163"/>
    </row>
    <row r="891" ht="15.75" customHeight="1">
      <c r="A891" s="362"/>
      <c r="B891" s="362"/>
      <c r="C891" s="362"/>
      <c r="D891" s="362"/>
      <c r="E891" s="132"/>
      <c r="F891" s="132"/>
      <c r="G891" s="361"/>
      <c r="H891" s="361"/>
      <c r="I891" s="361"/>
      <c r="J891" s="363"/>
      <c r="K891" s="364"/>
      <c r="L891" s="361"/>
      <c r="M891" s="361"/>
      <c r="N891" s="361"/>
      <c r="O891" s="361"/>
      <c r="P891" s="361"/>
      <c r="Q891" s="361"/>
      <c r="R891" s="361"/>
      <c r="S891" s="361"/>
      <c r="T891" s="361"/>
      <c r="U891" s="361"/>
      <c r="V891" s="361"/>
      <c r="W891" s="361"/>
      <c r="X891" s="361"/>
      <c r="Y891" s="131"/>
      <c r="Z891" s="163"/>
      <c r="AA891" s="131"/>
      <c r="AB891" s="131"/>
      <c r="AC891" s="131"/>
      <c r="AD891" s="131"/>
      <c r="AE891" s="131"/>
      <c r="AF891" s="163"/>
      <c r="AG891" s="163"/>
      <c r="AH891" s="163"/>
      <c r="AI891" s="163"/>
      <c r="AJ891" s="163"/>
      <c r="AK891" s="163"/>
      <c r="AL891" s="163"/>
      <c r="AM891" s="130"/>
      <c r="AN891" s="163"/>
    </row>
    <row r="892" ht="15.75" customHeight="1">
      <c r="A892" s="362"/>
      <c r="B892" s="362"/>
      <c r="C892" s="362"/>
      <c r="D892" s="362"/>
      <c r="E892" s="132"/>
      <c r="F892" s="132"/>
      <c r="G892" s="361"/>
      <c r="H892" s="361"/>
      <c r="I892" s="361"/>
      <c r="J892" s="363"/>
      <c r="K892" s="364"/>
      <c r="L892" s="361"/>
      <c r="M892" s="361"/>
      <c r="N892" s="361"/>
      <c r="O892" s="361"/>
      <c r="P892" s="361"/>
      <c r="Q892" s="361"/>
      <c r="R892" s="361"/>
      <c r="S892" s="361"/>
      <c r="T892" s="361"/>
      <c r="U892" s="361"/>
      <c r="V892" s="361"/>
      <c r="W892" s="361"/>
      <c r="X892" s="361"/>
      <c r="Y892" s="131"/>
      <c r="Z892" s="163"/>
      <c r="AA892" s="131"/>
      <c r="AB892" s="131"/>
      <c r="AC892" s="131"/>
      <c r="AD892" s="131"/>
      <c r="AE892" s="131"/>
      <c r="AF892" s="163"/>
      <c r="AG892" s="163"/>
      <c r="AH892" s="163"/>
      <c r="AI892" s="163"/>
      <c r="AJ892" s="163"/>
      <c r="AK892" s="163"/>
      <c r="AL892" s="163"/>
      <c r="AM892" s="130"/>
      <c r="AN892" s="163"/>
    </row>
    <row r="893" ht="15.75" customHeight="1">
      <c r="A893" s="362"/>
      <c r="B893" s="362"/>
      <c r="C893" s="362"/>
      <c r="D893" s="362"/>
      <c r="E893" s="132"/>
      <c r="F893" s="132"/>
      <c r="G893" s="361"/>
      <c r="H893" s="361"/>
      <c r="I893" s="361"/>
      <c r="J893" s="363"/>
      <c r="K893" s="364"/>
      <c r="L893" s="361"/>
      <c r="M893" s="361"/>
      <c r="N893" s="361"/>
      <c r="O893" s="361"/>
      <c r="P893" s="361"/>
      <c r="Q893" s="361"/>
      <c r="R893" s="361"/>
      <c r="S893" s="361"/>
      <c r="T893" s="361"/>
      <c r="U893" s="361"/>
      <c r="V893" s="361"/>
      <c r="W893" s="361"/>
      <c r="X893" s="361"/>
      <c r="Y893" s="131"/>
      <c r="Z893" s="163"/>
      <c r="AA893" s="131"/>
      <c r="AB893" s="131"/>
      <c r="AC893" s="131"/>
      <c r="AD893" s="131"/>
      <c r="AE893" s="131"/>
      <c r="AF893" s="163"/>
      <c r="AG893" s="163"/>
      <c r="AH893" s="163"/>
      <c r="AI893" s="163"/>
      <c r="AJ893" s="163"/>
      <c r="AK893" s="163"/>
      <c r="AL893" s="163"/>
      <c r="AM893" s="130"/>
      <c r="AN893" s="163"/>
    </row>
    <row r="894" ht="15.75" customHeight="1">
      <c r="A894" s="362"/>
      <c r="B894" s="362"/>
      <c r="C894" s="362"/>
      <c r="D894" s="362"/>
      <c r="E894" s="132"/>
      <c r="F894" s="132"/>
      <c r="G894" s="361"/>
      <c r="H894" s="361"/>
      <c r="I894" s="361"/>
      <c r="J894" s="363"/>
      <c r="K894" s="364"/>
      <c r="L894" s="361"/>
      <c r="M894" s="361"/>
      <c r="N894" s="361"/>
      <c r="O894" s="361"/>
      <c r="P894" s="361"/>
      <c r="Q894" s="361"/>
      <c r="R894" s="361"/>
      <c r="S894" s="361"/>
      <c r="T894" s="361"/>
      <c r="U894" s="361"/>
      <c r="V894" s="361"/>
      <c r="W894" s="361"/>
      <c r="X894" s="361"/>
      <c r="Y894" s="131"/>
      <c r="Z894" s="163"/>
      <c r="AA894" s="131"/>
      <c r="AB894" s="131"/>
      <c r="AC894" s="131"/>
      <c r="AD894" s="131"/>
      <c r="AE894" s="131"/>
      <c r="AF894" s="163"/>
      <c r="AG894" s="163"/>
      <c r="AH894" s="163"/>
      <c r="AI894" s="163"/>
      <c r="AJ894" s="163"/>
      <c r="AK894" s="163"/>
      <c r="AL894" s="163"/>
      <c r="AM894" s="130"/>
      <c r="AN894" s="163"/>
    </row>
    <row r="895" ht="15.75" customHeight="1">
      <c r="A895" s="362"/>
      <c r="B895" s="362"/>
      <c r="C895" s="362"/>
      <c r="D895" s="362"/>
      <c r="E895" s="132"/>
      <c r="F895" s="132"/>
      <c r="G895" s="361"/>
      <c r="H895" s="361"/>
      <c r="I895" s="361"/>
      <c r="J895" s="363"/>
      <c r="K895" s="364"/>
      <c r="L895" s="361"/>
      <c r="M895" s="361"/>
      <c r="N895" s="361"/>
      <c r="O895" s="361"/>
      <c r="P895" s="361"/>
      <c r="Q895" s="361"/>
      <c r="R895" s="361"/>
      <c r="S895" s="361"/>
      <c r="T895" s="361"/>
      <c r="U895" s="361"/>
      <c r="V895" s="361"/>
      <c r="W895" s="361"/>
      <c r="X895" s="361"/>
      <c r="Y895" s="131"/>
      <c r="Z895" s="163"/>
      <c r="AA895" s="131"/>
      <c r="AB895" s="131"/>
      <c r="AC895" s="131"/>
      <c r="AD895" s="131"/>
      <c r="AE895" s="131"/>
      <c r="AF895" s="163"/>
      <c r="AG895" s="163"/>
      <c r="AH895" s="163"/>
      <c r="AI895" s="163"/>
      <c r="AJ895" s="163"/>
      <c r="AK895" s="163"/>
      <c r="AL895" s="163"/>
      <c r="AM895" s="130"/>
      <c r="AN895" s="163"/>
    </row>
    <row r="896" ht="15.75" customHeight="1">
      <c r="A896" s="362"/>
      <c r="B896" s="362"/>
      <c r="C896" s="362"/>
      <c r="D896" s="362"/>
      <c r="E896" s="132"/>
      <c r="F896" s="132"/>
      <c r="G896" s="361"/>
      <c r="H896" s="361"/>
      <c r="I896" s="361"/>
      <c r="J896" s="363"/>
      <c r="K896" s="364"/>
      <c r="L896" s="361"/>
      <c r="M896" s="361"/>
      <c r="N896" s="361"/>
      <c r="O896" s="361"/>
      <c r="P896" s="361"/>
      <c r="Q896" s="361"/>
      <c r="R896" s="361"/>
      <c r="S896" s="361"/>
      <c r="T896" s="361"/>
      <c r="U896" s="361"/>
      <c r="V896" s="361"/>
      <c r="W896" s="361"/>
      <c r="X896" s="361"/>
      <c r="Y896" s="131"/>
      <c r="Z896" s="163"/>
      <c r="AA896" s="131"/>
      <c r="AB896" s="131"/>
      <c r="AC896" s="131"/>
      <c r="AD896" s="131"/>
      <c r="AE896" s="131"/>
      <c r="AF896" s="163"/>
      <c r="AG896" s="163"/>
      <c r="AH896" s="163"/>
      <c r="AI896" s="163"/>
      <c r="AJ896" s="163"/>
      <c r="AK896" s="163"/>
      <c r="AL896" s="163"/>
      <c r="AM896" s="130"/>
      <c r="AN896" s="163"/>
    </row>
    <row r="897" ht="15.75" customHeight="1">
      <c r="A897" s="362"/>
      <c r="B897" s="362"/>
      <c r="C897" s="362"/>
      <c r="D897" s="362"/>
      <c r="E897" s="132"/>
      <c r="F897" s="132"/>
      <c r="G897" s="361"/>
      <c r="H897" s="361"/>
      <c r="I897" s="361"/>
      <c r="J897" s="363"/>
      <c r="K897" s="364"/>
      <c r="L897" s="361"/>
      <c r="M897" s="361"/>
      <c r="N897" s="361"/>
      <c r="O897" s="361"/>
      <c r="P897" s="361"/>
      <c r="Q897" s="361"/>
      <c r="R897" s="361"/>
      <c r="S897" s="361"/>
      <c r="T897" s="361"/>
      <c r="U897" s="361"/>
      <c r="V897" s="361"/>
      <c r="W897" s="361"/>
      <c r="X897" s="361"/>
      <c r="Y897" s="131"/>
      <c r="Z897" s="163"/>
      <c r="AA897" s="131"/>
      <c r="AB897" s="131"/>
      <c r="AC897" s="131"/>
      <c r="AD897" s="131"/>
      <c r="AE897" s="131"/>
      <c r="AF897" s="163"/>
      <c r="AG897" s="163"/>
      <c r="AH897" s="163"/>
      <c r="AI897" s="163"/>
      <c r="AJ897" s="163"/>
      <c r="AK897" s="163"/>
      <c r="AL897" s="163"/>
      <c r="AM897" s="130"/>
      <c r="AN897" s="163"/>
    </row>
    <row r="898" ht="15.75" customHeight="1">
      <c r="A898" s="362"/>
      <c r="B898" s="362"/>
      <c r="C898" s="362"/>
      <c r="D898" s="362"/>
      <c r="E898" s="132"/>
      <c r="F898" s="132"/>
      <c r="G898" s="361"/>
      <c r="H898" s="361"/>
      <c r="I898" s="361"/>
      <c r="J898" s="363"/>
      <c r="K898" s="364"/>
      <c r="L898" s="361"/>
      <c r="M898" s="361"/>
      <c r="N898" s="361"/>
      <c r="O898" s="361"/>
      <c r="P898" s="361"/>
      <c r="Q898" s="361"/>
      <c r="R898" s="361"/>
      <c r="S898" s="361"/>
      <c r="T898" s="361"/>
      <c r="U898" s="361"/>
      <c r="V898" s="361"/>
      <c r="W898" s="361"/>
      <c r="X898" s="361"/>
      <c r="Y898" s="131"/>
      <c r="Z898" s="163"/>
      <c r="AA898" s="131"/>
      <c r="AB898" s="131"/>
      <c r="AC898" s="131"/>
      <c r="AD898" s="131"/>
      <c r="AE898" s="131"/>
      <c r="AF898" s="163"/>
      <c r="AG898" s="163"/>
      <c r="AH898" s="163"/>
      <c r="AI898" s="163"/>
      <c r="AJ898" s="163"/>
      <c r="AK898" s="163"/>
      <c r="AL898" s="163"/>
      <c r="AM898" s="130"/>
      <c r="AN898" s="163"/>
    </row>
    <row r="899" ht="15.75" customHeight="1">
      <c r="A899" s="362"/>
      <c r="B899" s="362"/>
      <c r="C899" s="362"/>
      <c r="D899" s="362"/>
      <c r="E899" s="132"/>
      <c r="F899" s="132"/>
      <c r="G899" s="361"/>
      <c r="H899" s="361"/>
      <c r="I899" s="361"/>
      <c r="J899" s="363"/>
      <c r="K899" s="364"/>
      <c r="L899" s="361"/>
      <c r="M899" s="361"/>
      <c r="N899" s="361"/>
      <c r="O899" s="361"/>
      <c r="P899" s="361"/>
      <c r="Q899" s="361"/>
      <c r="R899" s="361"/>
      <c r="S899" s="361"/>
      <c r="T899" s="361"/>
      <c r="U899" s="361"/>
      <c r="V899" s="361"/>
      <c r="W899" s="361"/>
      <c r="X899" s="361"/>
      <c r="Y899" s="131"/>
      <c r="Z899" s="163"/>
      <c r="AA899" s="131"/>
      <c r="AB899" s="131"/>
      <c r="AC899" s="131"/>
      <c r="AD899" s="131"/>
      <c r="AE899" s="131"/>
      <c r="AF899" s="163"/>
      <c r="AG899" s="163"/>
      <c r="AH899" s="163"/>
      <c r="AI899" s="163"/>
      <c r="AJ899" s="163"/>
      <c r="AK899" s="163"/>
      <c r="AL899" s="163"/>
      <c r="AM899" s="130"/>
      <c r="AN899" s="163"/>
    </row>
    <row r="900" ht="15.75" customHeight="1">
      <c r="A900" s="362"/>
      <c r="B900" s="362"/>
      <c r="C900" s="362"/>
      <c r="D900" s="362"/>
      <c r="E900" s="132"/>
      <c r="F900" s="132"/>
      <c r="G900" s="361"/>
      <c r="H900" s="361"/>
      <c r="I900" s="361"/>
      <c r="J900" s="363"/>
      <c r="K900" s="364"/>
      <c r="L900" s="361"/>
      <c r="M900" s="361"/>
      <c r="N900" s="361"/>
      <c r="O900" s="361"/>
      <c r="P900" s="361"/>
      <c r="Q900" s="361"/>
      <c r="R900" s="361"/>
      <c r="S900" s="361"/>
      <c r="T900" s="361"/>
      <c r="U900" s="361"/>
      <c r="V900" s="361"/>
      <c r="W900" s="361"/>
      <c r="X900" s="361"/>
      <c r="Y900" s="131"/>
      <c r="Z900" s="163"/>
      <c r="AA900" s="131"/>
      <c r="AB900" s="131"/>
      <c r="AC900" s="131"/>
      <c r="AD900" s="131"/>
      <c r="AE900" s="131"/>
      <c r="AF900" s="163"/>
      <c r="AG900" s="163"/>
      <c r="AH900" s="163"/>
      <c r="AI900" s="163"/>
      <c r="AJ900" s="163"/>
      <c r="AK900" s="163"/>
      <c r="AL900" s="163"/>
      <c r="AM900" s="130"/>
      <c r="AN900" s="163"/>
    </row>
    <row r="901" ht="15.75" customHeight="1">
      <c r="A901" s="362"/>
      <c r="B901" s="362"/>
      <c r="C901" s="362"/>
      <c r="D901" s="362"/>
      <c r="E901" s="132"/>
      <c r="F901" s="132"/>
      <c r="G901" s="361"/>
      <c r="H901" s="361"/>
      <c r="I901" s="361"/>
      <c r="J901" s="363"/>
      <c r="K901" s="364"/>
      <c r="L901" s="361"/>
      <c r="M901" s="361"/>
      <c r="N901" s="361"/>
      <c r="O901" s="361"/>
      <c r="P901" s="361"/>
      <c r="Q901" s="361"/>
      <c r="R901" s="361"/>
      <c r="S901" s="361"/>
      <c r="T901" s="361"/>
      <c r="U901" s="361"/>
      <c r="V901" s="361"/>
      <c r="W901" s="361"/>
      <c r="X901" s="361"/>
      <c r="Y901" s="131"/>
      <c r="Z901" s="163"/>
      <c r="AA901" s="131"/>
      <c r="AB901" s="131"/>
      <c r="AC901" s="131"/>
      <c r="AD901" s="131"/>
      <c r="AE901" s="131"/>
      <c r="AF901" s="163"/>
      <c r="AG901" s="163"/>
      <c r="AH901" s="163"/>
      <c r="AI901" s="163"/>
      <c r="AJ901" s="163"/>
      <c r="AK901" s="163"/>
      <c r="AL901" s="163"/>
      <c r="AM901" s="130"/>
      <c r="AN901" s="163"/>
    </row>
    <row r="902" ht="15.75" customHeight="1">
      <c r="A902" s="362"/>
      <c r="B902" s="362"/>
      <c r="C902" s="362"/>
      <c r="D902" s="362"/>
      <c r="E902" s="132"/>
      <c r="F902" s="132"/>
      <c r="G902" s="361"/>
      <c r="H902" s="361"/>
      <c r="I902" s="361"/>
      <c r="J902" s="363"/>
      <c r="K902" s="364"/>
      <c r="L902" s="361"/>
      <c r="M902" s="361"/>
      <c r="N902" s="361"/>
      <c r="O902" s="361"/>
      <c r="P902" s="361"/>
      <c r="Q902" s="361"/>
      <c r="R902" s="361"/>
      <c r="S902" s="361"/>
      <c r="T902" s="361"/>
      <c r="U902" s="361"/>
      <c r="V902" s="361"/>
      <c r="W902" s="361"/>
      <c r="X902" s="361"/>
      <c r="Y902" s="131"/>
      <c r="Z902" s="163"/>
      <c r="AA902" s="131"/>
      <c r="AB902" s="131"/>
      <c r="AC902" s="131"/>
      <c r="AD902" s="131"/>
      <c r="AE902" s="131"/>
      <c r="AF902" s="163"/>
      <c r="AG902" s="163"/>
      <c r="AH902" s="163"/>
      <c r="AI902" s="163"/>
      <c r="AJ902" s="163"/>
      <c r="AK902" s="163"/>
      <c r="AL902" s="163"/>
      <c r="AM902" s="130"/>
      <c r="AN902" s="163"/>
    </row>
    <row r="903" ht="15.75" customHeight="1">
      <c r="A903" s="362"/>
      <c r="B903" s="362"/>
      <c r="C903" s="362"/>
      <c r="D903" s="362"/>
      <c r="E903" s="132"/>
      <c r="F903" s="132"/>
      <c r="G903" s="361"/>
      <c r="H903" s="361"/>
      <c r="I903" s="361"/>
      <c r="J903" s="363"/>
      <c r="K903" s="364"/>
      <c r="L903" s="361"/>
      <c r="M903" s="361"/>
      <c r="N903" s="361"/>
      <c r="O903" s="361"/>
      <c r="P903" s="361"/>
      <c r="Q903" s="361"/>
      <c r="R903" s="361"/>
      <c r="S903" s="361"/>
      <c r="T903" s="361"/>
      <c r="U903" s="361"/>
      <c r="V903" s="361"/>
      <c r="W903" s="361"/>
      <c r="X903" s="361"/>
      <c r="Y903" s="131"/>
      <c r="Z903" s="163"/>
      <c r="AA903" s="131"/>
      <c r="AB903" s="131"/>
      <c r="AC903" s="131"/>
      <c r="AD903" s="131"/>
      <c r="AE903" s="131"/>
      <c r="AF903" s="163"/>
      <c r="AG903" s="163"/>
      <c r="AH903" s="163"/>
      <c r="AI903" s="163"/>
      <c r="AJ903" s="163"/>
      <c r="AK903" s="163"/>
      <c r="AL903" s="163"/>
      <c r="AM903" s="130"/>
      <c r="AN903" s="163"/>
    </row>
    <row r="904" ht="15.75" customHeight="1">
      <c r="A904" s="362"/>
      <c r="B904" s="362"/>
      <c r="C904" s="362"/>
      <c r="D904" s="362"/>
      <c r="E904" s="132"/>
      <c r="F904" s="132"/>
      <c r="G904" s="361"/>
      <c r="H904" s="361"/>
      <c r="I904" s="361"/>
      <c r="J904" s="363"/>
      <c r="K904" s="364"/>
      <c r="L904" s="361"/>
      <c r="M904" s="361"/>
      <c r="N904" s="361"/>
      <c r="O904" s="361"/>
      <c r="P904" s="361"/>
      <c r="Q904" s="361"/>
      <c r="R904" s="361"/>
      <c r="S904" s="361"/>
      <c r="T904" s="361"/>
      <c r="U904" s="361"/>
      <c r="V904" s="361"/>
      <c r="W904" s="361"/>
      <c r="X904" s="361"/>
      <c r="Y904" s="131"/>
      <c r="Z904" s="163"/>
      <c r="AA904" s="131"/>
      <c r="AB904" s="131"/>
      <c r="AC904" s="131"/>
      <c r="AD904" s="131"/>
      <c r="AE904" s="131"/>
      <c r="AF904" s="163"/>
      <c r="AG904" s="163"/>
      <c r="AH904" s="163"/>
      <c r="AI904" s="163"/>
      <c r="AJ904" s="163"/>
      <c r="AK904" s="163"/>
      <c r="AL904" s="163"/>
      <c r="AM904" s="130"/>
      <c r="AN904" s="163"/>
    </row>
    <row r="905" ht="15.75" customHeight="1">
      <c r="A905" s="362"/>
      <c r="B905" s="362"/>
      <c r="C905" s="362"/>
      <c r="D905" s="362"/>
      <c r="E905" s="132"/>
      <c r="F905" s="132"/>
      <c r="G905" s="361"/>
      <c r="H905" s="361"/>
      <c r="I905" s="361"/>
      <c r="J905" s="363"/>
      <c r="K905" s="364"/>
      <c r="L905" s="361"/>
      <c r="M905" s="361"/>
      <c r="N905" s="361"/>
      <c r="O905" s="361"/>
      <c r="P905" s="361"/>
      <c r="Q905" s="361"/>
      <c r="R905" s="361"/>
      <c r="S905" s="361"/>
      <c r="T905" s="361"/>
      <c r="U905" s="361"/>
      <c r="V905" s="361"/>
      <c r="W905" s="361"/>
      <c r="X905" s="361"/>
      <c r="Y905" s="131"/>
      <c r="Z905" s="163"/>
      <c r="AA905" s="131"/>
      <c r="AB905" s="131"/>
      <c r="AC905" s="131"/>
      <c r="AD905" s="131"/>
      <c r="AE905" s="131"/>
      <c r="AF905" s="163"/>
      <c r="AG905" s="163"/>
      <c r="AH905" s="163"/>
      <c r="AI905" s="163"/>
      <c r="AJ905" s="163"/>
      <c r="AK905" s="163"/>
      <c r="AL905" s="163"/>
      <c r="AM905" s="130"/>
      <c r="AN905" s="163"/>
    </row>
    <row r="906" ht="15.75" customHeight="1">
      <c r="A906" s="362"/>
      <c r="B906" s="362"/>
      <c r="C906" s="362"/>
      <c r="D906" s="362"/>
      <c r="E906" s="132"/>
      <c r="F906" s="132"/>
      <c r="G906" s="361"/>
      <c r="H906" s="361"/>
      <c r="I906" s="361"/>
      <c r="J906" s="363"/>
      <c r="K906" s="364"/>
      <c r="L906" s="361"/>
      <c r="M906" s="361"/>
      <c r="N906" s="361"/>
      <c r="O906" s="361"/>
      <c r="P906" s="361"/>
      <c r="Q906" s="361"/>
      <c r="R906" s="361"/>
      <c r="S906" s="361"/>
      <c r="T906" s="361"/>
      <c r="U906" s="361"/>
      <c r="V906" s="361"/>
      <c r="W906" s="361"/>
      <c r="X906" s="361"/>
      <c r="Y906" s="131"/>
      <c r="Z906" s="163"/>
      <c r="AA906" s="131"/>
      <c r="AB906" s="131"/>
      <c r="AC906" s="131"/>
      <c r="AD906" s="131"/>
      <c r="AE906" s="131"/>
      <c r="AF906" s="163"/>
      <c r="AG906" s="163"/>
      <c r="AH906" s="163"/>
      <c r="AI906" s="163"/>
      <c r="AJ906" s="163"/>
      <c r="AK906" s="163"/>
      <c r="AL906" s="163"/>
      <c r="AM906" s="130"/>
      <c r="AN906" s="163"/>
    </row>
    <row r="907" ht="15.75" customHeight="1">
      <c r="A907" s="362"/>
      <c r="B907" s="362"/>
      <c r="C907" s="362"/>
      <c r="D907" s="362"/>
      <c r="E907" s="132"/>
      <c r="F907" s="132"/>
      <c r="G907" s="361"/>
      <c r="H907" s="361"/>
      <c r="I907" s="361"/>
      <c r="J907" s="363"/>
      <c r="K907" s="364"/>
      <c r="L907" s="361"/>
      <c r="M907" s="361"/>
      <c r="N907" s="361"/>
      <c r="O907" s="361"/>
      <c r="P907" s="361"/>
      <c r="Q907" s="361"/>
      <c r="R907" s="361"/>
      <c r="S907" s="361"/>
      <c r="T907" s="361"/>
      <c r="U907" s="361"/>
      <c r="V907" s="361"/>
      <c r="W907" s="361"/>
      <c r="X907" s="361"/>
      <c r="Y907" s="131"/>
      <c r="Z907" s="163"/>
      <c r="AA907" s="131"/>
      <c r="AB907" s="131"/>
      <c r="AC907" s="131"/>
      <c r="AD907" s="131"/>
      <c r="AE907" s="131"/>
      <c r="AF907" s="163"/>
      <c r="AG907" s="163"/>
      <c r="AH907" s="163"/>
      <c r="AI907" s="163"/>
      <c r="AJ907" s="163"/>
      <c r="AK907" s="163"/>
      <c r="AL907" s="163"/>
      <c r="AM907" s="130"/>
      <c r="AN907" s="163"/>
    </row>
    <row r="908" ht="15.75" customHeight="1">
      <c r="A908" s="362"/>
      <c r="B908" s="362"/>
      <c r="C908" s="362"/>
      <c r="D908" s="362"/>
      <c r="E908" s="132"/>
      <c r="F908" s="132"/>
      <c r="G908" s="361"/>
      <c r="H908" s="361"/>
      <c r="I908" s="361"/>
      <c r="J908" s="363"/>
      <c r="K908" s="364"/>
      <c r="L908" s="361"/>
      <c r="M908" s="361"/>
      <c r="N908" s="361"/>
      <c r="O908" s="361"/>
      <c r="P908" s="361"/>
      <c r="Q908" s="361"/>
      <c r="R908" s="361"/>
      <c r="S908" s="361"/>
      <c r="T908" s="361"/>
      <c r="U908" s="361"/>
      <c r="V908" s="361"/>
      <c r="W908" s="361"/>
      <c r="X908" s="361"/>
      <c r="Y908" s="131"/>
      <c r="Z908" s="163"/>
      <c r="AA908" s="131"/>
      <c r="AB908" s="131"/>
      <c r="AC908" s="131"/>
      <c r="AD908" s="131"/>
      <c r="AE908" s="131"/>
      <c r="AF908" s="163"/>
      <c r="AG908" s="163"/>
      <c r="AH908" s="163"/>
      <c r="AI908" s="163"/>
      <c r="AJ908" s="163"/>
      <c r="AK908" s="163"/>
      <c r="AL908" s="163"/>
      <c r="AM908" s="130"/>
      <c r="AN908" s="163"/>
    </row>
    <row r="909" ht="15.75" customHeight="1">
      <c r="A909" s="362"/>
      <c r="B909" s="362"/>
      <c r="C909" s="362"/>
      <c r="D909" s="362"/>
      <c r="E909" s="132"/>
      <c r="F909" s="132"/>
      <c r="G909" s="361"/>
      <c r="H909" s="361"/>
      <c r="I909" s="361"/>
      <c r="J909" s="363"/>
      <c r="K909" s="364"/>
      <c r="L909" s="361"/>
      <c r="M909" s="361"/>
      <c r="N909" s="361"/>
      <c r="O909" s="361"/>
      <c r="P909" s="361"/>
      <c r="Q909" s="361"/>
      <c r="R909" s="361"/>
      <c r="S909" s="361"/>
      <c r="T909" s="361"/>
      <c r="U909" s="361"/>
      <c r="V909" s="361"/>
      <c r="W909" s="361"/>
      <c r="X909" s="361"/>
      <c r="Y909" s="131"/>
      <c r="Z909" s="163"/>
      <c r="AA909" s="131"/>
      <c r="AB909" s="131"/>
      <c r="AC909" s="131"/>
      <c r="AD909" s="131"/>
      <c r="AE909" s="131"/>
      <c r="AF909" s="163"/>
      <c r="AG909" s="163"/>
      <c r="AH909" s="163"/>
      <c r="AI909" s="163"/>
      <c r="AJ909" s="163"/>
      <c r="AK909" s="163"/>
      <c r="AL909" s="163"/>
      <c r="AM909" s="130"/>
      <c r="AN909" s="163"/>
    </row>
    <row r="910" ht="15.75" customHeight="1">
      <c r="A910" s="362"/>
      <c r="B910" s="362"/>
      <c r="C910" s="362"/>
      <c r="D910" s="362"/>
      <c r="E910" s="132"/>
      <c r="F910" s="132"/>
      <c r="G910" s="361"/>
      <c r="H910" s="361"/>
      <c r="I910" s="361"/>
      <c r="J910" s="363"/>
      <c r="K910" s="364"/>
      <c r="L910" s="361"/>
      <c r="M910" s="361"/>
      <c r="N910" s="361"/>
      <c r="O910" s="361"/>
      <c r="P910" s="361"/>
      <c r="Q910" s="361"/>
      <c r="R910" s="361"/>
      <c r="S910" s="361"/>
      <c r="T910" s="361"/>
      <c r="U910" s="361"/>
      <c r="V910" s="361"/>
      <c r="W910" s="361"/>
      <c r="X910" s="361"/>
      <c r="Y910" s="131"/>
      <c r="Z910" s="163"/>
      <c r="AA910" s="131"/>
      <c r="AB910" s="131"/>
      <c r="AC910" s="131"/>
      <c r="AD910" s="131"/>
      <c r="AE910" s="131"/>
      <c r="AF910" s="163"/>
      <c r="AG910" s="163"/>
      <c r="AH910" s="163"/>
      <c r="AI910" s="163"/>
      <c r="AJ910" s="163"/>
      <c r="AK910" s="163"/>
      <c r="AL910" s="163"/>
      <c r="AM910" s="130"/>
      <c r="AN910" s="163"/>
    </row>
    <row r="911" ht="15.75" customHeight="1">
      <c r="A911" s="362"/>
      <c r="B911" s="362"/>
      <c r="C911" s="362"/>
      <c r="D911" s="362"/>
      <c r="E911" s="132"/>
      <c r="F911" s="132"/>
      <c r="G911" s="361"/>
      <c r="H911" s="361"/>
      <c r="I911" s="361"/>
      <c r="J911" s="363"/>
      <c r="K911" s="364"/>
      <c r="L911" s="361"/>
      <c r="M911" s="361"/>
      <c r="N911" s="361"/>
      <c r="O911" s="361"/>
      <c r="P911" s="361"/>
      <c r="Q911" s="361"/>
      <c r="R911" s="361"/>
      <c r="S911" s="361"/>
      <c r="T911" s="361"/>
      <c r="U911" s="361"/>
      <c r="V911" s="361"/>
      <c r="W911" s="361"/>
      <c r="X911" s="361"/>
      <c r="Y911" s="131"/>
      <c r="Z911" s="163"/>
      <c r="AA911" s="131"/>
      <c r="AB911" s="131"/>
      <c r="AC911" s="131"/>
      <c r="AD911" s="131"/>
      <c r="AE911" s="131"/>
      <c r="AF911" s="163"/>
      <c r="AG911" s="163"/>
      <c r="AH911" s="163"/>
      <c r="AI911" s="163"/>
      <c r="AJ911" s="163"/>
      <c r="AK911" s="163"/>
      <c r="AL911" s="163"/>
      <c r="AM911" s="130"/>
      <c r="AN911" s="163"/>
    </row>
    <row r="912" ht="15.75" customHeight="1">
      <c r="A912" s="362"/>
      <c r="B912" s="362"/>
      <c r="C912" s="362"/>
      <c r="D912" s="362"/>
      <c r="E912" s="132"/>
      <c r="F912" s="132"/>
      <c r="G912" s="361"/>
      <c r="H912" s="361"/>
      <c r="I912" s="361"/>
      <c r="J912" s="363"/>
      <c r="K912" s="364"/>
      <c r="L912" s="361"/>
      <c r="M912" s="361"/>
      <c r="N912" s="361"/>
      <c r="O912" s="361"/>
      <c r="P912" s="361"/>
      <c r="Q912" s="361"/>
      <c r="R912" s="361"/>
      <c r="S912" s="361"/>
      <c r="T912" s="361"/>
      <c r="U912" s="361"/>
      <c r="V912" s="361"/>
      <c r="W912" s="361"/>
      <c r="X912" s="361"/>
      <c r="Y912" s="131"/>
      <c r="Z912" s="163"/>
      <c r="AA912" s="131"/>
      <c r="AB912" s="131"/>
      <c r="AC912" s="131"/>
      <c r="AD912" s="131"/>
      <c r="AE912" s="131"/>
      <c r="AF912" s="163"/>
      <c r="AG912" s="163"/>
      <c r="AH912" s="163"/>
      <c r="AI912" s="163"/>
      <c r="AJ912" s="163"/>
      <c r="AK912" s="163"/>
      <c r="AL912" s="163"/>
      <c r="AM912" s="130"/>
      <c r="AN912" s="163"/>
    </row>
    <row r="913" ht="15.75" customHeight="1">
      <c r="A913" s="362"/>
      <c r="B913" s="362"/>
      <c r="C913" s="362"/>
      <c r="D913" s="362"/>
      <c r="E913" s="132"/>
      <c r="F913" s="132"/>
      <c r="G913" s="361"/>
      <c r="H913" s="361"/>
      <c r="I913" s="361"/>
      <c r="J913" s="363"/>
      <c r="K913" s="364"/>
      <c r="L913" s="361"/>
      <c r="M913" s="361"/>
      <c r="N913" s="361"/>
      <c r="O913" s="361"/>
      <c r="P913" s="361"/>
      <c r="Q913" s="361"/>
      <c r="R913" s="361"/>
      <c r="S913" s="361"/>
      <c r="T913" s="361"/>
      <c r="U913" s="361"/>
      <c r="V913" s="361"/>
      <c r="W913" s="361"/>
      <c r="X913" s="361"/>
      <c r="Y913" s="131"/>
      <c r="Z913" s="163"/>
      <c r="AA913" s="131"/>
      <c r="AB913" s="131"/>
      <c r="AC913" s="131"/>
      <c r="AD913" s="131"/>
      <c r="AE913" s="131"/>
      <c r="AF913" s="163"/>
      <c r="AG913" s="163"/>
      <c r="AH913" s="163"/>
      <c r="AI913" s="163"/>
      <c r="AJ913" s="163"/>
      <c r="AK913" s="163"/>
      <c r="AL913" s="163"/>
      <c r="AM913" s="130"/>
      <c r="AN913" s="163"/>
    </row>
    <row r="914" ht="15.75" customHeight="1">
      <c r="A914" s="362"/>
      <c r="B914" s="362"/>
      <c r="C914" s="362"/>
      <c r="D914" s="362"/>
      <c r="E914" s="132"/>
      <c r="F914" s="132"/>
      <c r="G914" s="361"/>
      <c r="H914" s="361"/>
      <c r="I914" s="361"/>
      <c r="J914" s="363"/>
      <c r="K914" s="364"/>
      <c r="L914" s="361"/>
      <c r="M914" s="361"/>
      <c r="N914" s="361"/>
      <c r="O914" s="361"/>
      <c r="P914" s="361"/>
      <c r="Q914" s="361"/>
      <c r="R914" s="361"/>
      <c r="S914" s="361"/>
      <c r="T914" s="361"/>
      <c r="U914" s="361"/>
      <c r="V914" s="361"/>
      <c r="W914" s="361"/>
      <c r="X914" s="361"/>
      <c r="Y914" s="131"/>
      <c r="Z914" s="163"/>
      <c r="AA914" s="131"/>
      <c r="AB914" s="131"/>
      <c r="AC914" s="131"/>
      <c r="AD914" s="131"/>
      <c r="AE914" s="131"/>
      <c r="AF914" s="163"/>
      <c r="AG914" s="163"/>
      <c r="AH914" s="163"/>
      <c r="AI914" s="163"/>
      <c r="AJ914" s="163"/>
      <c r="AK914" s="163"/>
      <c r="AL914" s="163"/>
      <c r="AM914" s="130"/>
      <c r="AN914" s="163"/>
    </row>
    <row r="915" ht="15.75" customHeight="1">
      <c r="A915" s="362"/>
      <c r="B915" s="362"/>
      <c r="C915" s="362"/>
      <c r="D915" s="362"/>
      <c r="E915" s="132"/>
      <c r="F915" s="132"/>
      <c r="G915" s="361"/>
      <c r="H915" s="361"/>
      <c r="I915" s="361"/>
      <c r="J915" s="363"/>
      <c r="K915" s="364"/>
      <c r="L915" s="361"/>
      <c r="M915" s="361"/>
      <c r="N915" s="361"/>
      <c r="O915" s="361"/>
      <c r="P915" s="361"/>
      <c r="Q915" s="361"/>
      <c r="R915" s="361"/>
      <c r="S915" s="361"/>
      <c r="T915" s="361"/>
      <c r="U915" s="361"/>
      <c r="V915" s="361"/>
      <c r="W915" s="361"/>
      <c r="X915" s="361"/>
      <c r="Y915" s="131"/>
      <c r="Z915" s="163"/>
      <c r="AA915" s="131"/>
      <c r="AB915" s="131"/>
      <c r="AC915" s="131"/>
      <c r="AD915" s="131"/>
      <c r="AE915" s="131"/>
      <c r="AF915" s="163"/>
      <c r="AG915" s="163"/>
      <c r="AH915" s="163"/>
      <c r="AI915" s="163"/>
      <c r="AJ915" s="163"/>
      <c r="AK915" s="163"/>
      <c r="AL915" s="163"/>
      <c r="AM915" s="130"/>
      <c r="AN915" s="163"/>
    </row>
    <row r="916" ht="15.75" customHeight="1">
      <c r="A916" s="362"/>
      <c r="B916" s="362"/>
      <c r="C916" s="362"/>
      <c r="D916" s="362"/>
      <c r="E916" s="132"/>
      <c r="F916" s="132"/>
      <c r="G916" s="361"/>
      <c r="H916" s="361"/>
      <c r="I916" s="361"/>
      <c r="J916" s="363"/>
      <c r="K916" s="364"/>
      <c r="L916" s="361"/>
      <c r="M916" s="361"/>
      <c r="N916" s="361"/>
      <c r="O916" s="361"/>
      <c r="P916" s="361"/>
      <c r="Q916" s="361"/>
      <c r="R916" s="361"/>
      <c r="S916" s="361"/>
      <c r="T916" s="361"/>
      <c r="U916" s="361"/>
      <c r="V916" s="361"/>
      <c r="W916" s="361"/>
      <c r="X916" s="361"/>
      <c r="Y916" s="131"/>
      <c r="Z916" s="163"/>
      <c r="AA916" s="131"/>
      <c r="AB916" s="131"/>
      <c r="AC916" s="131"/>
      <c r="AD916" s="131"/>
      <c r="AE916" s="131"/>
      <c r="AF916" s="163"/>
      <c r="AG916" s="163"/>
      <c r="AH916" s="163"/>
      <c r="AI916" s="163"/>
      <c r="AJ916" s="163"/>
      <c r="AK916" s="163"/>
      <c r="AL916" s="163"/>
      <c r="AM916" s="130"/>
      <c r="AN916" s="163"/>
    </row>
    <row r="917" ht="15.75" customHeight="1">
      <c r="A917" s="362"/>
      <c r="B917" s="362"/>
      <c r="C917" s="362"/>
      <c r="D917" s="362"/>
      <c r="E917" s="132"/>
      <c r="F917" s="132"/>
      <c r="G917" s="361"/>
      <c r="H917" s="361"/>
      <c r="I917" s="361"/>
      <c r="J917" s="363"/>
      <c r="K917" s="364"/>
      <c r="L917" s="361"/>
      <c r="M917" s="361"/>
      <c r="N917" s="361"/>
      <c r="O917" s="361"/>
      <c r="P917" s="361"/>
      <c r="Q917" s="361"/>
      <c r="R917" s="361"/>
      <c r="S917" s="361"/>
      <c r="T917" s="361"/>
      <c r="U917" s="361"/>
      <c r="V917" s="361"/>
      <c r="W917" s="361"/>
      <c r="X917" s="361"/>
      <c r="Y917" s="131"/>
      <c r="Z917" s="163"/>
      <c r="AA917" s="131"/>
      <c r="AB917" s="131"/>
      <c r="AC917" s="131"/>
      <c r="AD917" s="131"/>
      <c r="AE917" s="131"/>
      <c r="AF917" s="163"/>
      <c r="AG917" s="163"/>
      <c r="AH917" s="163"/>
      <c r="AI917" s="163"/>
      <c r="AJ917" s="163"/>
      <c r="AK917" s="163"/>
      <c r="AL917" s="163"/>
      <c r="AM917" s="130"/>
      <c r="AN917" s="163"/>
    </row>
    <row r="918" ht="15.75" customHeight="1">
      <c r="A918" s="362"/>
      <c r="B918" s="362"/>
      <c r="C918" s="362"/>
      <c r="D918" s="362"/>
      <c r="E918" s="132"/>
      <c r="F918" s="132"/>
      <c r="G918" s="361"/>
      <c r="H918" s="361"/>
      <c r="I918" s="361"/>
      <c r="J918" s="363"/>
      <c r="K918" s="364"/>
      <c r="L918" s="361"/>
      <c r="M918" s="361"/>
      <c r="N918" s="361"/>
      <c r="O918" s="361"/>
      <c r="P918" s="361"/>
      <c r="Q918" s="361"/>
      <c r="R918" s="361"/>
      <c r="S918" s="361"/>
      <c r="T918" s="361"/>
      <c r="U918" s="361"/>
      <c r="V918" s="361"/>
      <c r="W918" s="361"/>
      <c r="X918" s="361"/>
      <c r="Y918" s="131"/>
      <c r="Z918" s="163"/>
      <c r="AA918" s="131"/>
      <c r="AB918" s="131"/>
      <c r="AC918" s="131"/>
      <c r="AD918" s="131"/>
      <c r="AE918" s="131"/>
      <c r="AF918" s="163"/>
      <c r="AG918" s="163"/>
      <c r="AH918" s="163"/>
      <c r="AI918" s="163"/>
      <c r="AJ918" s="163"/>
      <c r="AK918" s="163"/>
      <c r="AL918" s="163"/>
      <c r="AM918" s="130"/>
      <c r="AN918" s="163"/>
    </row>
    <row r="919" ht="15.75" customHeight="1">
      <c r="A919" s="362"/>
      <c r="B919" s="362"/>
      <c r="C919" s="362"/>
      <c r="D919" s="362"/>
      <c r="E919" s="132"/>
      <c r="F919" s="132"/>
      <c r="G919" s="361"/>
      <c r="H919" s="361"/>
      <c r="I919" s="361"/>
      <c r="J919" s="363"/>
      <c r="K919" s="364"/>
      <c r="L919" s="361"/>
      <c r="M919" s="361"/>
      <c r="N919" s="361"/>
      <c r="O919" s="361"/>
      <c r="P919" s="361"/>
      <c r="Q919" s="361"/>
      <c r="R919" s="361"/>
      <c r="S919" s="361"/>
      <c r="T919" s="361"/>
      <c r="U919" s="361"/>
      <c r="V919" s="361"/>
      <c r="W919" s="361"/>
      <c r="X919" s="361"/>
      <c r="Y919" s="131"/>
      <c r="Z919" s="163"/>
      <c r="AA919" s="131"/>
      <c r="AB919" s="131"/>
      <c r="AC919" s="131"/>
      <c r="AD919" s="131"/>
      <c r="AE919" s="131"/>
      <c r="AF919" s="163"/>
      <c r="AG919" s="163"/>
      <c r="AH919" s="163"/>
      <c r="AI919" s="163"/>
      <c r="AJ919" s="163"/>
      <c r="AK919" s="163"/>
      <c r="AL919" s="163"/>
      <c r="AM919" s="130"/>
      <c r="AN919" s="163"/>
    </row>
    <row r="920" ht="15.75" customHeight="1">
      <c r="A920" s="362"/>
      <c r="B920" s="362"/>
      <c r="C920" s="362"/>
      <c r="D920" s="362"/>
      <c r="E920" s="132"/>
      <c r="F920" s="132"/>
      <c r="G920" s="361"/>
      <c r="H920" s="361"/>
      <c r="I920" s="361"/>
      <c r="J920" s="363"/>
      <c r="K920" s="364"/>
      <c r="L920" s="361"/>
      <c r="M920" s="361"/>
      <c r="N920" s="361"/>
      <c r="O920" s="361"/>
      <c r="P920" s="361"/>
      <c r="Q920" s="361"/>
      <c r="R920" s="361"/>
      <c r="S920" s="361"/>
      <c r="T920" s="361"/>
      <c r="U920" s="361"/>
      <c r="V920" s="361"/>
      <c r="W920" s="361"/>
      <c r="X920" s="361"/>
      <c r="Y920" s="131"/>
      <c r="Z920" s="163"/>
      <c r="AA920" s="131"/>
      <c r="AB920" s="131"/>
      <c r="AC920" s="131"/>
      <c r="AD920" s="131"/>
      <c r="AE920" s="131"/>
      <c r="AF920" s="163"/>
      <c r="AG920" s="163"/>
      <c r="AH920" s="163"/>
      <c r="AI920" s="163"/>
      <c r="AJ920" s="163"/>
      <c r="AK920" s="163"/>
      <c r="AL920" s="163"/>
      <c r="AM920" s="130"/>
      <c r="AN920" s="163"/>
    </row>
    <row r="921" ht="15.75" customHeight="1">
      <c r="A921" s="362"/>
      <c r="B921" s="362"/>
      <c r="C921" s="362"/>
      <c r="D921" s="362"/>
      <c r="E921" s="132"/>
      <c r="F921" s="132"/>
      <c r="G921" s="361"/>
      <c r="H921" s="361"/>
      <c r="I921" s="361"/>
      <c r="J921" s="363"/>
      <c r="K921" s="364"/>
      <c r="L921" s="361"/>
      <c r="M921" s="361"/>
      <c r="N921" s="361"/>
      <c r="O921" s="361"/>
      <c r="P921" s="361"/>
      <c r="Q921" s="361"/>
      <c r="R921" s="361"/>
      <c r="S921" s="361"/>
      <c r="T921" s="361"/>
      <c r="U921" s="361"/>
      <c r="V921" s="361"/>
      <c r="W921" s="361"/>
      <c r="X921" s="361"/>
      <c r="Y921" s="131"/>
      <c r="Z921" s="163"/>
      <c r="AA921" s="131"/>
      <c r="AB921" s="131"/>
      <c r="AC921" s="131"/>
      <c r="AD921" s="131"/>
      <c r="AE921" s="131"/>
      <c r="AF921" s="163"/>
      <c r="AG921" s="163"/>
      <c r="AH921" s="163"/>
      <c r="AI921" s="163"/>
      <c r="AJ921" s="163"/>
      <c r="AK921" s="163"/>
      <c r="AL921" s="163"/>
      <c r="AM921" s="130"/>
      <c r="AN921" s="163"/>
    </row>
    <row r="922" ht="15.75" customHeight="1">
      <c r="A922" s="362"/>
      <c r="B922" s="362"/>
      <c r="C922" s="362"/>
      <c r="D922" s="362"/>
      <c r="E922" s="132"/>
      <c r="F922" s="132"/>
      <c r="G922" s="361"/>
      <c r="H922" s="361"/>
      <c r="I922" s="361"/>
      <c r="J922" s="363"/>
      <c r="K922" s="364"/>
      <c r="L922" s="361"/>
      <c r="M922" s="361"/>
      <c r="N922" s="361"/>
      <c r="O922" s="361"/>
      <c r="P922" s="361"/>
      <c r="Q922" s="361"/>
      <c r="R922" s="361"/>
      <c r="S922" s="361"/>
      <c r="T922" s="361"/>
      <c r="U922" s="361"/>
      <c r="V922" s="361"/>
      <c r="W922" s="361"/>
      <c r="X922" s="361"/>
      <c r="Y922" s="131"/>
      <c r="Z922" s="163"/>
      <c r="AA922" s="131"/>
      <c r="AB922" s="131"/>
      <c r="AC922" s="131"/>
      <c r="AD922" s="131"/>
      <c r="AE922" s="131"/>
      <c r="AF922" s="163"/>
      <c r="AG922" s="163"/>
      <c r="AH922" s="163"/>
      <c r="AI922" s="163"/>
      <c r="AJ922" s="163"/>
      <c r="AK922" s="163"/>
      <c r="AL922" s="163"/>
      <c r="AM922" s="130"/>
      <c r="AN922" s="163"/>
    </row>
    <row r="923" ht="15.75" customHeight="1">
      <c r="A923" s="362"/>
      <c r="B923" s="362"/>
      <c r="C923" s="362"/>
      <c r="D923" s="362"/>
      <c r="E923" s="132"/>
      <c r="F923" s="132"/>
      <c r="G923" s="361"/>
      <c r="H923" s="361"/>
      <c r="I923" s="361"/>
      <c r="J923" s="363"/>
      <c r="K923" s="364"/>
      <c r="L923" s="361"/>
      <c r="M923" s="361"/>
      <c r="N923" s="361"/>
      <c r="O923" s="361"/>
      <c r="P923" s="361"/>
      <c r="Q923" s="361"/>
      <c r="R923" s="361"/>
      <c r="S923" s="361"/>
      <c r="T923" s="361"/>
      <c r="U923" s="361"/>
      <c r="V923" s="361"/>
      <c r="W923" s="361"/>
      <c r="X923" s="361"/>
      <c r="Y923" s="131"/>
      <c r="Z923" s="163"/>
      <c r="AA923" s="131"/>
      <c r="AB923" s="131"/>
      <c r="AC923" s="131"/>
      <c r="AD923" s="131"/>
      <c r="AE923" s="131"/>
      <c r="AF923" s="163"/>
      <c r="AG923" s="163"/>
      <c r="AH923" s="163"/>
      <c r="AI923" s="163"/>
      <c r="AJ923" s="163"/>
      <c r="AK923" s="163"/>
      <c r="AL923" s="163"/>
      <c r="AM923" s="130"/>
      <c r="AN923" s="163"/>
    </row>
    <row r="924" ht="15.75" customHeight="1">
      <c r="A924" s="362"/>
      <c r="B924" s="362"/>
      <c r="C924" s="362"/>
      <c r="D924" s="362"/>
      <c r="E924" s="132"/>
      <c r="F924" s="132"/>
      <c r="G924" s="361"/>
      <c r="H924" s="361"/>
      <c r="I924" s="361"/>
      <c r="J924" s="363"/>
      <c r="K924" s="364"/>
      <c r="L924" s="361"/>
      <c r="M924" s="361"/>
      <c r="N924" s="361"/>
      <c r="O924" s="361"/>
      <c r="P924" s="361"/>
      <c r="Q924" s="361"/>
      <c r="R924" s="361"/>
      <c r="S924" s="361"/>
      <c r="T924" s="361"/>
      <c r="U924" s="361"/>
      <c r="V924" s="361"/>
      <c r="W924" s="361"/>
      <c r="X924" s="361"/>
      <c r="Y924" s="131"/>
      <c r="Z924" s="163"/>
      <c r="AA924" s="131"/>
      <c r="AB924" s="131"/>
      <c r="AC924" s="131"/>
      <c r="AD924" s="131"/>
      <c r="AE924" s="131"/>
      <c r="AF924" s="163"/>
      <c r="AG924" s="163"/>
      <c r="AH924" s="163"/>
      <c r="AI924" s="163"/>
      <c r="AJ924" s="163"/>
      <c r="AK924" s="163"/>
      <c r="AL924" s="163"/>
      <c r="AM924" s="130"/>
      <c r="AN924" s="163"/>
    </row>
    <row r="925" ht="15.75" customHeight="1">
      <c r="A925" s="362"/>
      <c r="B925" s="362"/>
      <c r="C925" s="362"/>
      <c r="D925" s="362"/>
      <c r="E925" s="132"/>
      <c r="F925" s="132"/>
      <c r="G925" s="361"/>
      <c r="H925" s="361"/>
      <c r="I925" s="361"/>
      <c r="J925" s="363"/>
      <c r="K925" s="364"/>
      <c r="L925" s="361"/>
      <c r="M925" s="361"/>
      <c r="N925" s="361"/>
      <c r="O925" s="361"/>
      <c r="P925" s="361"/>
      <c r="Q925" s="361"/>
      <c r="R925" s="361"/>
      <c r="S925" s="361"/>
      <c r="T925" s="361"/>
      <c r="U925" s="361"/>
      <c r="V925" s="361"/>
      <c r="W925" s="361"/>
      <c r="X925" s="361"/>
      <c r="Y925" s="131"/>
      <c r="Z925" s="163"/>
      <c r="AA925" s="131"/>
      <c r="AB925" s="131"/>
      <c r="AC925" s="131"/>
      <c r="AD925" s="131"/>
      <c r="AE925" s="131"/>
      <c r="AF925" s="163"/>
      <c r="AG925" s="163"/>
      <c r="AH925" s="163"/>
      <c r="AI925" s="163"/>
      <c r="AJ925" s="163"/>
      <c r="AK925" s="163"/>
      <c r="AL925" s="163"/>
      <c r="AM925" s="130"/>
      <c r="AN925" s="163"/>
    </row>
    <row r="926" ht="15.75" customHeight="1">
      <c r="A926" s="362"/>
      <c r="B926" s="362"/>
      <c r="C926" s="362"/>
      <c r="D926" s="362"/>
      <c r="E926" s="132"/>
      <c r="F926" s="132"/>
      <c r="G926" s="361"/>
      <c r="H926" s="361"/>
      <c r="I926" s="361"/>
      <c r="J926" s="363"/>
      <c r="K926" s="364"/>
      <c r="L926" s="361"/>
      <c r="M926" s="361"/>
      <c r="N926" s="361"/>
      <c r="O926" s="361"/>
      <c r="P926" s="361"/>
      <c r="Q926" s="361"/>
      <c r="R926" s="361"/>
      <c r="S926" s="361"/>
      <c r="T926" s="361"/>
      <c r="U926" s="361"/>
      <c r="V926" s="361"/>
      <c r="W926" s="361"/>
      <c r="X926" s="361"/>
      <c r="Y926" s="131"/>
      <c r="Z926" s="163"/>
      <c r="AA926" s="131"/>
      <c r="AB926" s="131"/>
      <c r="AC926" s="131"/>
      <c r="AD926" s="131"/>
      <c r="AE926" s="131"/>
      <c r="AF926" s="163"/>
      <c r="AG926" s="163"/>
      <c r="AH926" s="163"/>
      <c r="AI926" s="163"/>
      <c r="AJ926" s="163"/>
      <c r="AK926" s="163"/>
      <c r="AL926" s="163"/>
      <c r="AM926" s="130"/>
      <c r="AN926" s="163"/>
    </row>
    <row r="927" ht="15.75" customHeight="1">
      <c r="A927" s="362"/>
      <c r="B927" s="362"/>
      <c r="C927" s="362"/>
      <c r="D927" s="362"/>
      <c r="E927" s="132"/>
      <c r="F927" s="132"/>
      <c r="G927" s="361"/>
      <c r="H927" s="361"/>
      <c r="I927" s="361"/>
      <c r="J927" s="363"/>
      <c r="K927" s="364"/>
      <c r="L927" s="361"/>
      <c r="M927" s="361"/>
      <c r="N927" s="361"/>
      <c r="O927" s="361"/>
      <c r="P927" s="361"/>
      <c r="Q927" s="361"/>
      <c r="R927" s="361"/>
      <c r="S927" s="361"/>
      <c r="T927" s="361"/>
      <c r="U927" s="361"/>
      <c r="V927" s="361"/>
      <c r="W927" s="361"/>
      <c r="X927" s="361"/>
      <c r="Y927" s="131"/>
      <c r="Z927" s="163"/>
      <c r="AA927" s="131"/>
      <c r="AB927" s="131"/>
      <c r="AC927" s="131"/>
      <c r="AD927" s="131"/>
      <c r="AE927" s="131"/>
      <c r="AF927" s="163"/>
      <c r="AG927" s="163"/>
      <c r="AH927" s="163"/>
      <c r="AI927" s="163"/>
      <c r="AJ927" s="163"/>
      <c r="AK927" s="163"/>
      <c r="AL927" s="163"/>
      <c r="AM927" s="130"/>
      <c r="AN927" s="163"/>
    </row>
    <row r="928" ht="15.75" customHeight="1">
      <c r="A928" s="362"/>
      <c r="B928" s="362"/>
      <c r="C928" s="362"/>
      <c r="D928" s="362"/>
      <c r="E928" s="132"/>
      <c r="F928" s="132"/>
      <c r="G928" s="361"/>
      <c r="H928" s="361"/>
      <c r="I928" s="361"/>
      <c r="J928" s="363"/>
      <c r="K928" s="364"/>
      <c r="L928" s="361"/>
      <c r="M928" s="361"/>
      <c r="N928" s="361"/>
      <c r="O928" s="361"/>
      <c r="P928" s="361"/>
      <c r="Q928" s="361"/>
      <c r="R928" s="361"/>
      <c r="S928" s="361"/>
      <c r="T928" s="361"/>
      <c r="U928" s="361"/>
      <c r="V928" s="361"/>
      <c r="W928" s="361"/>
      <c r="X928" s="361"/>
      <c r="Y928" s="131"/>
      <c r="Z928" s="163"/>
      <c r="AA928" s="131"/>
      <c r="AB928" s="131"/>
      <c r="AC928" s="131"/>
      <c r="AD928" s="131"/>
      <c r="AE928" s="131"/>
      <c r="AF928" s="163"/>
      <c r="AG928" s="163"/>
      <c r="AH928" s="163"/>
      <c r="AI928" s="163"/>
      <c r="AJ928" s="163"/>
      <c r="AK928" s="163"/>
      <c r="AL928" s="163"/>
      <c r="AM928" s="130"/>
      <c r="AN928" s="163"/>
    </row>
    <row r="929" ht="15.75" customHeight="1">
      <c r="A929" s="362"/>
      <c r="B929" s="362"/>
      <c r="C929" s="362"/>
      <c r="D929" s="362"/>
      <c r="E929" s="132"/>
      <c r="F929" s="132"/>
      <c r="G929" s="361"/>
      <c r="H929" s="361"/>
      <c r="I929" s="361"/>
      <c r="J929" s="363"/>
      <c r="K929" s="364"/>
      <c r="L929" s="361"/>
      <c r="M929" s="361"/>
      <c r="N929" s="361"/>
      <c r="O929" s="361"/>
      <c r="P929" s="361"/>
      <c r="Q929" s="361"/>
      <c r="R929" s="361"/>
      <c r="S929" s="361"/>
      <c r="T929" s="361"/>
      <c r="U929" s="361"/>
      <c r="V929" s="361"/>
      <c r="W929" s="361"/>
      <c r="X929" s="361"/>
      <c r="Y929" s="131"/>
      <c r="Z929" s="163"/>
      <c r="AA929" s="131"/>
      <c r="AB929" s="131"/>
      <c r="AC929" s="131"/>
      <c r="AD929" s="131"/>
      <c r="AE929" s="131"/>
      <c r="AF929" s="163"/>
      <c r="AG929" s="163"/>
      <c r="AH929" s="163"/>
      <c r="AI929" s="163"/>
      <c r="AJ929" s="163"/>
      <c r="AK929" s="163"/>
      <c r="AL929" s="163"/>
      <c r="AM929" s="130"/>
      <c r="AN929" s="163"/>
    </row>
    <row r="930" ht="15.75" customHeight="1">
      <c r="A930" s="362"/>
      <c r="B930" s="362"/>
      <c r="C930" s="362"/>
      <c r="D930" s="362"/>
      <c r="E930" s="132"/>
      <c r="F930" s="132"/>
      <c r="G930" s="361"/>
      <c r="H930" s="361"/>
      <c r="I930" s="361"/>
      <c r="J930" s="363"/>
      <c r="K930" s="364"/>
      <c r="L930" s="361"/>
      <c r="M930" s="361"/>
      <c r="N930" s="361"/>
      <c r="O930" s="361"/>
      <c r="P930" s="361"/>
      <c r="Q930" s="361"/>
      <c r="R930" s="361"/>
      <c r="S930" s="361"/>
      <c r="T930" s="361"/>
      <c r="U930" s="361"/>
      <c r="V930" s="361"/>
      <c r="W930" s="361"/>
      <c r="X930" s="361"/>
      <c r="Y930" s="131"/>
      <c r="Z930" s="163"/>
      <c r="AA930" s="131"/>
      <c r="AB930" s="131"/>
      <c r="AC930" s="131"/>
      <c r="AD930" s="131"/>
      <c r="AE930" s="131"/>
      <c r="AF930" s="163"/>
      <c r="AG930" s="163"/>
      <c r="AH930" s="163"/>
      <c r="AI930" s="163"/>
      <c r="AJ930" s="163"/>
      <c r="AK930" s="163"/>
      <c r="AL930" s="163"/>
      <c r="AM930" s="130"/>
      <c r="AN930" s="163"/>
    </row>
    <row r="931" ht="15.75" customHeight="1">
      <c r="A931" s="362"/>
      <c r="B931" s="362"/>
      <c r="C931" s="362"/>
      <c r="D931" s="362"/>
      <c r="E931" s="132"/>
      <c r="F931" s="132"/>
      <c r="G931" s="361"/>
      <c r="H931" s="361"/>
      <c r="I931" s="361"/>
      <c r="J931" s="363"/>
      <c r="K931" s="364"/>
      <c r="L931" s="361"/>
      <c r="M931" s="361"/>
      <c r="N931" s="361"/>
      <c r="O931" s="361"/>
      <c r="P931" s="361"/>
      <c r="Q931" s="361"/>
      <c r="R931" s="361"/>
      <c r="S931" s="361"/>
      <c r="T931" s="361"/>
      <c r="U931" s="361"/>
      <c r="V931" s="361"/>
      <c r="W931" s="361"/>
      <c r="X931" s="361"/>
      <c r="Y931" s="131"/>
      <c r="Z931" s="163"/>
      <c r="AA931" s="131"/>
      <c r="AB931" s="131"/>
      <c r="AC931" s="131"/>
      <c r="AD931" s="131"/>
      <c r="AE931" s="131"/>
      <c r="AF931" s="163"/>
      <c r="AG931" s="163"/>
      <c r="AH931" s="163"/>
      <c r="AI931" s="163"/>
      <c r="AJ931" s="163"/>
      <c r="AK931" s="163"/>
      <c r="AL931" s="163"/>
      <c r="AM931" s="130"/>
      <c r="AN931" s="163"/>
    </row>
    <row r="932" ht="15.75" customHeight="1">
      <c r="A932" s="362"/>
      <c r="B932" s="362"/>
      <c r="C932" s="362"/>
      <c r="D932" s="362"/>
      <c r="E932" s="132"/>
      <c r="F932" s="132"/>
      <c r="G932" s="361"/>
      <c r="H932" s="361"/>
      <c r="I932" s="361"/>
      <c r="J932" s="363"/>
      <c r="K932" s="364"/>
      <c r="L932" s="361"/>
      <c r="M932" s="361"/>
      <c r="N932" s="361"/>
      <c r="O932" s="361"/>
      <c r="P932" s="361"/>
      <c r="Q932" s="361"/>
      <c r="R932" s="361"/>
      <c r="S932" s="361"/>
      <c r="T932" s="361"/>
      <c r="U932" s="361"/>
      <c r="V932" s="361"/>
      <c r="W932" s="361"/>
      <c r="X932" s="361"/>
      <c r="Y932" s="131"/>
      <c r="Z932" s="163"/>
      <c r="AA932" s="131"/>
      <c r="AB932" s="131"/>
      <c r="AC932" s="131"/>
      <c r="AD932" s="131"/>
      <c r="AE932" s="131"/>
      <c r="AF932" s="163"/>
      <c r="AG932" s="163"/>
      <c r="AH932" s="163"/>
      <c r="AI932" s="163"/>
      <c r="AJ932" s="163"/>
      <c r="AK932" s="163"/>
      <c r="AL932" s="163"/>
      <c r="AM932" s="130"/>
      <c r="AN932" s="163"/>
    </row>
    <row r="933" ht="15.75" customHeight="1">
      <c r="A933" s="362"/>
      <c r="B933" s="362"/>
      <c r="C933" s="362"/>
      <c r="D933" s="362"/>
      <c r="E933" s="132"/>
      <c r="F933" s="132"/>
      <c r="G933" s="361"/>
      <c r="H933" s="361"/>
      <c r="I933" s="361"/>
      <c r="J933" s="363"/>
      <c r="K933" s="364"/>
      <c r="L933" s="361"/>
      <c r="M933" s="361"/>
      <c r="N933" s="361"/>
      <c r="O933" s="361"/>
      <c r="P933" s="361"/>
      <c r="Q933" s="361"/>
      <c r="R933" s="361"/>
      <c r="S933" s="361"/>
      <c r="T933" s="361"/>
      <c r="U933" s="361"/>
      <c r="V933" s="361"/>
      <c r="W933" s="361"/>
      <c r="X933" s="361"/>
      <c r="Y933" s="131"/>
      <c r="Z933" s="163"/>
      <c r="AA933" s="131"/>
      <c r="AB933" s="131"/>
      <c r="AC933" s="131"/>
      <c r="AD933" s="131"/>
      <c r="AE933" s="131"/>
      <c r="AF933" s="163"/>
      <c r="AG933" s="163"/>
      <c r="AH933" s="163"/>
      <c r="AI933" s="163"/>
      <c r="AJ933" s="163"/>
      <c r="AK933" s="163"/>
      <c r="AL933" s="163"/>
      <c r="AM933" s="130"/>
      <c r="AN933" s="163"/>
    </row>
    <row r="934" ht="15.75" customHeight="1">
      <c r="A934" s="362"/>
      <c r="B934" s="362"/>
      <c r="C934" s="362"/>
      <c r="D934" s="362"/>
      <c r="E934" s="132"/>
      <c r="F934" s="132"/>
      <c r="G934" s="361"/>
      <c r="H934" s="361"/>
      <c r="I934" s="361"/>
      <c r="J934" s="363"/>
      <c r="K934" s="364"/>
      <c r="L934" s="361"/>
      <c r="M934" s="361"/>
      <c r="N934" s="361"/>
      <c r="O934" s="361"/>
      <c r="P934" s="361"/>
      <c r="Q934" s="361"/>
      <c r="R934" s="361"/>
      <c r="S934" s="361"/>
      <c r="T934" s="361"/>
      <c r="U934" s="361"/>
      <c r="V934" s="361"/>
      <c r="W934" s="361"/>
      <c r="X934" s="361"/>
      <c r="Y934" s="131"/>
      <c r="Z934" s="163"/>
      <c r="AA934" s="131"/>
      <c r="AB934" s="131"/>
      <c r="AC934" s="131"/>
      <c r="AD934" s="131"/>
      <c r="AE934" s="131"/>
      <c r="AF934" s="163"/>
      <c r="AG934" s="163"/>
      <c r="AH934" s="163"/>
      <c r="AI934" s="163"/>
      <c r="AJ934" s="163"/>
      <c r="AK934" s="163"/>
      <c r="AL934" s="163"/>
      <c r="AM934" s="130"/>
      <c r="AN934" s="163"/>
    </row>
    <row r="935" ht="15.75" customHeight="1">
      <c r="A935" s="362"/>
      <c r="B935" s="362"/>
      <c r="C935" s="362"/>
      <c r="D935" s="362"/>
      <c r="E935" s="132"/>
      <c r="F935" s="132"/>
      <c r="G935" s="361"/>
      <c r="H935" s="361"/>
      <c r="I935" s="361"/>
      <c r="J935" s="363"/>
      <c r="K935" s="364"/>
      <c r="L935" s="361"/>
      <c r="M935" s="361"/>
      <c r="N935" s="361"/>
      <c r="O935" s="361"/>
      <c r="P935" s="361"/>
      <c r="Q935" s="361"/>
      <c r="R935" s="361"/>
      <c r="S935" s="361"/>
      <c r="T935" s="361"/>
      <c r="U935" s="361"/>
      <c r="V935" s="361"/>
      <c r="W935" s="361"/>
      <c r="X935" s="361"/>
      <c r="Y935" s="131"/>
      <c r="Z935" s="163"/>
      <c r="AA935" s="131"/>
      <c r="AB935" s="131"/>
      <c r="AC935" s="131"/>
      <c r="AD935" s="131"/>
      <c r="AE935" s="131"/>
      <c r="AF935" s="163"/>
      <c r="AG935" s="163"/>
      <c r="AH935" s="163"/>
      <c r="AI935" s="163"/>
      <c r="AJ935" s="163"/>
      <c r="AK935" s="163"/>
      <c r="AL935" s="163"/>
      <c r="AM935" s="130"/>
      <c r="AN935" s="163"/>
    </row>
    <row r="936" ht="15.75" customHeight="1">
      <c r="A936" s="362"/>
      <c r="B936" s="362"/>
      <c r="C936" s="362"/>
      <c r="D936" s="362"/>
      <c r="E936" s="132"/>
      <c r="F936" s="132"/>
      <c r="G936" s="361"/>
      <c r="H936" s="361"/>
      <c r="I936" s="361"/>
      <c r="J936" s="363"/>
      <c r="K936" s="364"/>
      <c r="L936" s="361"/>
      <c r="M936" s="361"/>
      <c r="N936" s="361"/>
      <c r="O936" s="361"/>
      <c r="P936" s="361"/>
      <c r="Q936" s="361"/>
      <c r="R936" s="361"/>
      <c r="S936" s="361"/>
      <c r="T936" s="361"/>
      <c r="U936" s="361"/>
      <c r="V936" s="361"/>
      <c r="W936" s="361"/>
      <c r="X936" s="361"/>
      <c r="Y936" s="131"/>
      <c r="Z936" s="163"/>
      <c r="AA936" s="131"/>
      <c r="AB936" s="131"/>
      <c r="AC936" s="131"/>
      <c r="AD936" s="131"/>
      <c r="AE936" s="131"/>
      <c r="AF936" s="163"/>
      <c r="AG936" s="163"/>
      <c r="AH936" s="163"/>
      <c r="AI936" s="163"/>
      <c r="AJ936" s="163"/>
      <c r="AK936" s="163"/>
      <c r="AL936" s="163"/>
      <c r="AM936" s="130"/>
      <c r="AN936" s="163"/>
    </row>
    <row r="937" ht="15.75" customHeight="1">
      <c r="A937" s="362"/>
      <c r="B937" s="362"/>
      <c r="C937" s="362"/>
      <c r="D937" s="362"/>
      <c r="E937" s="132"/>
      <c r="F937" s="132"/>
      <c r="G937" s="361"/>
      <c r="H937" s="361"/>
      <c r="I937" s="361"/>
      <c r="J937" s="363"/>
      <c r="K937" s="364"/>
      <c r="L937" s="361"/>
      <c r="M937" s="361"/>
      <c r="N937" s="361"/>
      <c r="O937" s="361"/>
      <c r="P937" s="361"/>
      <c r="Q937" s="361"/>
      <c r="R937" s="361"/>
      <c r="S937" s="361"/>
      <c r="T937" s="361"/>
      <c r="U937" s="361"/>
      <c r="V937" s="361"/>
      <c r="W937" s="361"/>
      <c r="X937" s="361"/>
      <c r="Y937" s="131"/>
      <c r="Z937" s="163"/>
      <c r="AA937" s="131"/>
      <c r="AB937" s="131"/>
      <c r="AC937" s="131"/>
      <c r="AD937" s="131"/>
      <c r="AE937" s="131"/>
      <c r="AF937" s="163"/>
      <c r="AG937" s="163"/>
      <c r="AH937" s="163"/>
      <c r="AI937" s="163"/>
      <c r="AJ937" s="163"/>
      <c r="AK937" s="163"/>
      <c r="AL937" s="163"/>
      <c r="AM937" s="130"/>
      <c r="AN937" s="163"/>
    </row>
    <row r="938" ht="15.75" customHeight="1">
      <c r="A938" s="362"/>
      <c r="B938" s="362"/>
      <c r="C938" s="362"/>
      <c r="D938" s="362"/>
      <c r="E938" s="132"/>
      <c r="F938" s="132"/>
      <c r="G938" s="361"/>
      <c r="H938" s="361"/>
      <c r="I938" s="361"/>
      <c r="J938" s="363"/>
      <c r="K938" s="364"/>
      <c r="L938" s="361"/>
      <c r="M938" s="361"/>
      <c r="N938" s="361"/>
      <c r="O938" s="361"/>
      <c r="P938" s="361"/>
      <c r="Q938" s="361"/>
      <c r="R938" s="361"/>
      <c r="S938" s="361"/>
      <c r="T938" s="361"/>
      <c r="U938" s="361"/>
      <c r="V938" s="361"/>
      <c r="W938" s="361"/>
      <c r="X938" s="361"/>
      <c r="Y938" s="131"/>
      <c r="Z938" s="163"/>
      <c r="AA938" s="131"/>
      <c r="AB938" s="131"/>
      <c r="AC938" s="131"/>
      <c r="AD938" s="131"/>
      <c r="AE938" s="131"/>
      <c r="AF938" s="163"/>
      <c r="AG938" s="163"/>
      <c r="AH938" s="163"/>
      <c r="AI938" s="163"/>
      <c r="AJ938" s="163"/>
      <c r="AK938" s="163"/>
      <c r="AL938" s="163"/>
      <c r="AM938" s="130"/>
      <c r="AN938" s="163"/>
    </row>
    <row r="939" ht="15.75" customHeight="1">
      <c r="A939" s="362"/>
      <c r="B939" s="362"/>
      <c r="C939" s="362"/>
      <c r="D939" s="362"/>
      <c r="E939" s="132"/>
      <c r="F939" s="132"/>
      <c r="G939" s="361"/>
      <c r="H939" s="361"/>
      <c r="I939" s="361"/>
      <c r="J939" s="363"/>
      <c r="K939" s="364"/>
      <c r="L939" s="361"/>
      <c r="M939" s="361"/>
      <c r="N939" s="361"/>
      <c r="O939" s="361"/>
      <c r="P939" s="361"/>
      <c r="Q939" s="361"/>
      <c r="R939" s="361"/>
      <c r="S939" s="361"/>
      <c r="T939" s="361"/>
      <c r="U939" s="361"/>
      <c r="V939" s="361"/>
      <c r="W939" s="361"/>
      <c r="X939" s="361"/>
      <c r="Y939" s="131"/>
      <c r="Z939" s="163"/>
      <c r="AA939" s="131"/>
      <c r="AB939" s="131"/>
      <c r="AC939" s="131"/>
      <c r="AD939" s="131"/>
      <c r="AE939" s="131"/>
      <c r="AF939" s="163"/>
      <c r="AG939" s="163"/>
      <c r="AH939" s="163"/>
      <c r="AI939" s="163"/>
      <c r="AJ939" s="163"/>
      <c r="AK939" s="163"/>
      <c r="AL939" s="163"/>
      <c r="AM939" s="130"/>
      <c r="AN939" s="163"/>
    </row>
    <row r="940" ht="15.75" customHeight="1">
      <c r="A940" s="362"/>
      <c r="B940" s="362"/>
      <c r="C940" s="362"/>
      <c r="D940" s="362"/>
      <c r="E940" s="132"/>
      <c r="F940" s="132"/>
      <c r="G940" s="361"/>
      <c r="H940" s="361"/>
      <c r="I940" s="361"/>
      <c r="J940" s="363"/>
      <c r="K940" s="364"/>
      <c r="L940" s="361"/>
      <c r="M940" s="361"/>
      <c r="N940" s="361"/>
      <c r="O940" s="361"/>
      <c r="P940" s="361"/>
      <c r="Q940" s="361"/>
      <c r="R940" s="361"/>
      <c r="S940" s="361"/>
      <c r="T940" s="361"/>
      <c r="U940" s="361"/>
      <c r="V940" s="361"/>
      <c r="W940" s="361"/>
      <c r="X940" s="361"/>
      <c r="Y940" s="131"/>
      <c r="Z940" s="163"/>
      <c r="AA940" s="131"/>
      <c r="AB940" s="131"/>
      <c r="AC940" s="131"/>
      <c r="AD940" s="131"/>
      <c r="AE940" s="131"/>
      <c r="AF940" s="163"/>
      <c r="AG940" s="163"/>
      <c r="AH940" s="163"/>
      <c r="AI940" s="163"/>
      <c r="AJ940" s="163"/>
      <c r="AK940" s="163"/>
      <c r="AL940" s="163"/>
      <c r="AM940" s="130"/>
      <c r="AN940" s="163"/>
    </row>
    <row r="941" ht="15.75" customHeight="1">
      <c r="A941" s="362"/>
      <c r="B941" s="362"/>
      <c r="C941" s="362"/>
      <c r="D941" s="362"/>
      <c r="E941" s="132"/>
      <c r="F941" s="132"/>
      <c r="G941" s="361"/>
      <c r="H941" s="361"/>
      <c r="I941" s="361"/>
      <c r="J941" s="363"/>
      <c r="K941" s="364"/>
      <c r="L941" s="361"/>
      <c r="M941" s="361"/>
      <c r="N941" s="361"/>
      <c r="O941" s="361"/>
      <c r="P941" s="361"/>
      <c r="Q941" s="361"/>
      <c r="R941" s="361"/>
      <c r="S941" s="361"/>
      <c r="T941" s="361"/>
      <c r="U941" s="361"/>
      <c r="V941" s="361"/>
      <c r="W941" s="361"/>
      <c r="X941" s="361"/>
      <c r="Y941" s="131"/>
      <c r="Z941" s="163"/>
      <c r="AA941" s="131"/>
      <c r="AB941" s="131"/>
      <c r="AC941" s="131"/>
      <c r="AD941" s="131"/>
      <c r="AE941" s="131"/>
      <c r="AF941" s="163"/>
      <c r="AG941" s="163"/>
      <c r="AH941" s="163"/>
      <c r="AI941" s="163"/>
      <c r="AJ941" s="163"/>
      <c r="AK941" s="163"/>
      <c r="AL941" s="163"/>
      <c r="AM941" s="130"/>
      <c r="AN941" s="163"/>
    </row>
    <row r="942" ht="15.75" customHeight="1">
      <c r="A942" s="362"/>
      <c r="B942" s="362"/>
      <c r="C942" s="362"/>
      <c r="D942" s="362"/>
      <c r="E942" s="132"/>
      <c r="F942" s="132"/>
      <c r="G942" s="361"/>
      <c r="H942" s="361"/>
      <c r="I942" s="361"/>
      <c r="J942" s="363"/>
      <c r="K942" s="364"/>
      <c r="L942" s="361"/>
      <c r="M942" s="361"/>
      <c r="N942" s="361"/>
      <c r="O942" s="361"/>
      <c r="P942" s="361"/>
      <c r="Q942" s="361"/>
      <c r="R942" s="361"/>
      <c r="S942" s="361"/>
      <c r="T942" s="361"/>
      <c r="U942" s="361"/>
      <c r="V942" s="361"/>
      <c r="W942" s="361"/>
      <c r="X942" s="361"/>
      <c r="Y942" s="131"/>
      <c r="Z942" s="163"/>
      <c r="AA942" s="131"/>
      <c r="AB942" s="131"/>
      <c r="AC942" s="131"/>
      <c r="AD942" s="131"/>
      <c r="AE942" s="131"/>
      <c r="AF942" s="163"/>
      <c r="AG942" s="163"/>
      <c r="AH942" s="163"/>
      <c r="AI942" s="163"/>
      <c r="AJ942" s="163"/>
      <c r="AK942" s="163"/>
      <c r="AL942" s="163"/>
      <c r="AM942" s="130"/>
      <c r="AN942" s="163"/>
    </row>
    <row r="943" ht="15.75" customHeight="1">
      <c r="A943" s="362"/>
      <c r="B943" s="362"/>
      <c r="C943" s="362"/>
      <c r="D943" s="362"/>
      <c r="E943" s="132"/>
      <c r="F943" s="132"/>
      <c r="G943" s="361"/>
      <c r="H943" s="361"/>
      <c r="I943" s="361"/>
      <c r="J943" s="363"/>
      <c r="K943" s="364"/>
      <c r="L943" s="361"/>
      <c r="M943" s="361"/>
      <c r="N943" s="361"/>
      <c r="O943" s="361"/>
      <c r="P943" s="361"/>
      <c r="Q943" s="361"/>
      <c r="R943" s="361"/>
      <c r="S943" s="361"/>
      <c r="T943" s="361"/>
      <c r="U943" s="361"/>
      <c r="V943" s="361"/>
      <c r="W943" s="361"/>
      <c r="X943" s="361"/>
      <c r="Y943" s="131"/>
      <c r="Z943" s="163"/>
      <c r="AA943" s="131"/>
      <c r="AB943" s="131"/>
      <c r="AC943" s="131"/>
      <c r="AD943" s="131"/>
      <c r="AE943" s="131"/>
      <c r="AF943" s="163"/>
      <c r="AG943" s="163"/>
      <c r="AH943" s="163"/>
      <c r="AI943" s="163"/>
      <c r="AJ943" s="163"/>
      <c r="AK943" s="163"/>
      <c r="AL943" s="163"/>
      <c r="AM943" s="130"/>
      <c r="AN943" s="163"/>
    </row>
    <row r="944" ht="15.75" customHeight="1">
      <c r="A944" s="362"/>
      <c r="B944" s="362"/>
      <c r="C944" s="362"/>
      <c r="D944" s="362"/>
      <c r="E944" s="132"/>
      <c r="F944" s="132"/>
      <c r="G944" s="361"/>
      <c r="H944" s="361"/>
      <c r="I944" s="361"/>
      <c r="J944" s="363"/>
      <c r="K944" s="364"/>
      <c r="L944" s="361"/>
      <c r="M944" s="361"/>
      <c r="N944" s="361"/>
      <c r="O944" s="361"/>
      <c r="P944" s="361"/>
      <c r="Q944" s="361"/>
      <c r="R944" s="361"/>
      <c r="S944" s="361"/>
      <c r="T944" s="361"/>
      <c r="U944" s="361"/>
      <c r="V944" s="361"/>
      <c r="W944" s="361"/>
      <c r="X944" s="361"/>
      <c r="Y944" s="131"/>
      <c r="Z944" s="163"/>
      <c r="AA944" s="131"/>
      <c r="AB944" s="131"/>
      <c r="AC944" s="131"/>
      <c r="AD944" s="131"/>
      <c r="AE944" s="131"/>
      <c r="AF944" s="163"/>
      <c r="AG944" s="163"/>
      <c r="AH944" s="163"/>
      <c r="AI944" s="163"/>
      <c r="AJ944" s="163"/>
      <c r="AK944" s="163"/>
      <c r="AL944" s="163"/>
      <c r="AM944" s="130"/>
      <c r="AN944" s="163"/>
    </row>
    <row r="945" ht="15.75" customHeight="1">
      <c r="A945" s="362"/>
      <c r="B945" s="362"/>
      <c r="C945" s="362"/>
      <c r="D945" s="362"/>
      <c r="E945" s="132"/>
      <c r="F945" s="132"/>
      <c r="G945" s="361"/>
      <c r="H945" s="361"/>
      <c r="I945" s="361"/>
      <c r="J945" s="363"/>
      <c r="K945" s="364"/>
      <c r="L945" s="361"/>
      <c r="M945" s="361"/>
      <c r="N945" s="361"/>
      <c r="O945" s="361"/>
      <c r="P945" s="361"/>
      <c r="Q945" s="361"/>
      <c r="R945" s="361"/>
      <c r="S945" s="361"/>
      <c r="T945" s="361"/>
      <c r="U945" s="361"/>
      <c r="V945" s="361"/>
      <c r="W945" s="361"/>
      <c r="X945" s="361"/>
      <c r="Y945" s="131"/>
      <c r="Z945" s="163"/>
      <c r="AA945" s="131"/>
      <c r="AB945" s="131"/>
      <c r="AC945" s="131"/>
      <c r="AD945" s="131"/>
      <c r="AE945" s="131"/>
      <c r="AF945" s="163"/>
      <c r="AG945" s="163"/>
      <c r="AH945" s="163"/>
      <c r="AI945" s="163"/>
      <c r="AJ945" s="163"/>
      <c r="AK945" s="163"/>
      <c r="AL945" s="163"/>
      <c r="AM945" s="130"/>
      <c r="AN945" s="163"/>
    </row>
    <row r="946" ht="15.75" customHeight="1">
      <c r="A946" s="362"/>
      <c r="B946" s="362"/>
      <c r="C946" s="362"/>
      <c r="D946" s="362"/>
      <c r="E946" s="132"/>
      <c r="F946" s="132"/>
      <c r="G946" s="361"/>
      <c r="H946" s="361"/>
      <c r="I946" s="361"/>
      <c r="J946" s="363"/>
      <c r="K946" s="364"/>
      <c r="L946" s="361"/>
      <c r="M946" s="361"/>
      <c r="N946" s="361"/>
      <c r="O946" s="361"/>
      <c r="P946" s="361"/>
      <c r="Q946" s="361"/>
      <c r="R946" s="361"/>
      <c r="S946" s="361"/>
      <c r="T946" s="361"/>
      <c r="U946" s="361"/>
      <c r="V946" s="361"/>
      <c r="W946" s="361"/>
      <c r="X946" s="361"/>
      <c r="Y946" s="131"/>
      <c r="Z946" s="163"/>
      <c r="AA946" s="131"/>
      <c r="AB946" s="131"/>
      <c r="AC946" s="131"/>
      <c r="AD946" s="131"/>
      <c r="AE946" s="131"/>
      <c r="AF946" s="163"/>
      <c r="AG946" s="163"/>
      <c r="AH946" s="163"/>
      <c r="AI946" s="163"/>
      <c r="AJ946" s="163"/>
      <c r="AK946" s="163"/>
      <c r="AL946" s="163"/>
      <c r="AM946" s="130"/>
      <c r="AN946" s="163"/>
    </row>
    <row r="947" ht="15.75" customHeight="1">
      <c r="A947" s="362"/>
      <c r="B947" s="362"/>
      <c r="C947" s="362"/>
      <c r="D947" s="362"/>
      <c r="E947" s="132"/>
      <c r="F947" s="132"/>
      <c r="G947" s="361"/>
      <c r="H947" s="361"/>
      <c r="I947" s="361"/>
      <c r="J947" s="363"/>
      <c r="K947" s="364"/>
      <c r="L947" s="361"/>
      <c r="M947" s="361"/>
      <c r="N947" s="361"/>
      <c r="O947" s="361"/>
      <c r="P947" s="361"/>
      <c r="Q947" s="361"/>
      <c r="R947" s="361"/>
      <c r="S947" s="361"/>
      <c r="T947" s="361"/>
      <c r="U947" s="361"/>
      <c r="V947" s="361"/>
      <c r="W947" s="361"/>
      <c r="X947" s="361"/>
      <c r="Y947" s="131"/>
      <c r="Z947" s="163"/>
      <c r="AA947" s="131"/>
      <c r="AB947" s="131"/>
      <c r="AC947" s="131"/>
      <c r="AD947" s="131"/>
      <c r="AE947" s="131"/>
      <c r="AF947" s="163"/>
      <c r="AG947" s="163"/>
      <c r="AH947" s="163"/>
      <c r="AI947" s="163"/>
      <c r="AJ947" s="163"/>
      <c r="AK947" s="163"/>
      <c r="AL947" s="163"/>
      <c r="AM947" s="130"/>
      <c r="AN947" s="163"/>
    </row>
    <row r="948" ht="15.75" customHeight="1">
      <c r="A948" s="362"/>
      <c r="B948" s="362"/>
      <c r="C948" s="362"/>
      <c r="D948" s="362"/>
      <c r="E948" s="132"/>
      <c r="F948" s="132"/>
      <c r="G948" s="361"/>
      <c r="H948" s="361"/>
      <c r="I948" s="361"/>
      <c r="J948" s="363"/>
      <c r="K948" s="364"/>
      <c r="L948" s="361"/>
      <c r="M948" s="361"/>
      <c r="N948" s="361"/>
      <c r="O948" s="361"/>
      <c r="P948" s="361"/>
      <c r="Q948" s="361"/>
      <c r="R948" s="361"/>
      <c r="S948" s="361"/>
      <c r="T948" s="361"/>
      <c r="U948" s="361"/>
      <c r="V948" s="361"/>
      <c r="W948" s="361"/>
      <c r="X948" s="361"/>
      <c r="Y948" s="131"/>
      <c r="Z948" s="163"/>
      <c r="AA948" s="131"/>
      <c r="AB948" s="131"/>
      <c r="AC948" s="131"/>
      <c r="AD948" s="131"/>
      <c r="AE948" s="131"/>
      <c r="AF948" s="163"/>
      <c r="AG948" s="163"/>
      <c r="AH948" s="163"/>
      <c r="AI948" s="163"/>
      <c r="AJ948" s="163"/>
      <c r="AK948" s="163"/>
      <c r="AL948" s="163"/>
      <c r="AM948" s="130"/>
      <c r="AN948" s="163"/>
    </row>
    <row r="949" ht="15.75" customHeight="1">
      <c r="A949" s="362"/>
      <c r="B949" s="362"/>
      <c r="C949" s="362"/>
      <c r="D949" s="362"/>
      <c r="E949" s="132"/>
      <c r="F949" s="132"/>
      <c r="G949" s="361"/>
      <c r="H949" s="361"/>
      <c r="I949" s="361"/>
      <c r="J949" s="363"/>
      <c r="K949" s="364"/>
      <c r="L949" s="361"/>
      <c r="M949" s="361"/>
      <c r="N949" s="361"/>
      <c r="O949" s="361"/>
      <c r="P949" s="361"/>
      <c r="Q949" s="361"/>
      <c r="R949" s="361"/>
      <c r="S949" s="361"/>
      <c r="T949" s="361"/>
      <c r="U949" s="361"/>
      <c r="V949" s="361"/>
      <c r="W949" s="361"/>
      <c r="X949" s="361"/>
      <c r="Y949" s="131"/>
      <c r="Z949" s="163"/>
      <c r="AA949" s="131"/>
      <c r="AB949" s="131"/>
      <c r="AC949" s="131"/>
      <c r="AD949" s="131"/>
      <c r="AE949" s="131"/>
      <c r="AF949" s="163"/>
      <c r="AG949" s="163"/>
      <c r="AH949" s="163"/>
      <c r="AI949" s="163"/>
      <c r="AJ949" s="163"/>
      <c r="AK949" s="163"/>
      <c r="AL949" s="163"/>
      <c r="AM949" s="130"/>
      <c r="AN949" s="163"/>
    </row>
    <row r="950" ht="15.75" customHeight="1">
      <c r="A950" s="362"/>
      <c r="B950" s="362"/>
      <c r="C950" s="362"/>
      <c r="D950" s="362"/>
      <c r="E950" s="132"/>
      <c r="F950" s="132"/>
      <c r="G950" s="361"/>
      <c r="H950" s="361"/>
      <c r="I950" s="361"/>
      <c r="J950" s="363"/>
      <c r="K950" s="364"/>
      <c r="L950" s="361"/>
      <c r="M950" s="361"/>
      <c r="N950" s="361"/>
      <c r="O950" s="361"/>
      <c r="P950" s="361"/>
      <c r="Q950" s="361"/>
      <c r="R950" s="361"/>
      <c r="S950" s="361"/>
      <c r="T950" s="361"/>
      <c r="U950" s="361"/>
      <c r="V950" s="361"/>
      <c r="W950" s="361"/>
      <c r="X950" s="361"/>
      <c r="Y950" s="131"/>
      <c r="Z950" s="163"/>
      <c r="AA950" s="131"/>
      <c r="AB950" s="131"/>
      <c r="AC950" s="131"/>
      <c r="AD950" s="131"/>
      <c r="AE950" s="131"/>
      <c r="AF950" s="163"/>
      <c r="AG950" s="163"/>
      <c r="AH950" s="163"/>
      <c r="AI950" s="163"/>
      <c r="AJ950" s="163"/>
      <c r="AK950" s="163"/>
      <c r="AL950" s="163"/>
      <c r="AM950" s="130"/>
      <c r="AN950" s="163"/>
    </row>
    <row r="951" ht="15.75" customHeight="1">
      <c r="A951" s="362"/>
      <c r="B951" s="362"/>
      <c r="C951" s="362"/>
      <c r="D951" s="362"/>
      <c r="E951" s="132"/>
      <c r="F951" s="132"/>
      <c r="G951" s="361"/>
      <c r="H951" s="361"/>
      <c r="I951" s="361"/>
      <c r="J951" s="363"/>
      <c r="K951" s="364"/>
      <c r="L951" s="361"/>
      <c r="M951" s="361"/>
      <c r="N951" s="361"/>
      <c r="O951" s="361"/>
      <c r="P951" s="361"/>
      <c r="Q951" s="361"/>
      <c r="R951" s="361"/>
      <c r="S951" s="361"/>
      <c r="T951" s="361"/>
      <c r="U951" s="361"/>
      <c r="V951" s="361"/>
      <c r="W951" s="361"/>
      <c r="X951" s="361"/>
      <c r="Y951" s="131"/>
      <c r="Z951" s="163"/>
      <c r="AA951" s="131"/>
      <c r="AB951" s="131"/>
      <c r="AC951" s="131"/>
      <c r="AD951" s="131"/>
      <c r="AE951" s="131"/>
      <c r="AF951" s="163"/>
      <c r="AG951" s="163"/>
      <c r="AH951" s="163"/>
      <c r="AI951" s="163"/>
      <c r="AJ951" s="163"/>
      <c r="AK951" s="163"/>
      <c r="AL951" s="163"/>
      <c r="AM951" s="130"/>
      <c r="AN951" s="163"/>
    </row>
    <row r="952" ht="15.75" customHeight="1">
      <c r="A952" s="362"/>
      <c r="B952" s="362"/>
      <c r="C952" s="362"/>
      <c r="D952" s="362"/>
      <c r="E952" s="132"/>
      <c r="F952" s="132"/>
      <c r="G952" s="361"/>
      <c r="H952" s="361"/>
      <c r="I952" s="361"/>
      <c r="J952" s="363"/>
      <c r="K952" s="364"/>
      <c r="L952" s="361"/>
      <c r="M952" s="361"/>
      <c r="N952" s="361"/>
      <c r="O952" s="361"/>
      <c r="P952" s="361"/>
      <c r="Q952" s="361"/>
      <c r="R952" s="361"/>
      <c r="S952" s="361"/>
      <c r="T952" s="361"/>
      <c r="U952" s="361"/>
      <c r="V952" s="361"/>
      <c r="W952" s="361"/>
      <c r="X952" s="361"/>
      <c r="Y952" s="131"/>
      <c r="Z952" s="163"/>
      <c r="AA952" s="131"/>
      <c r="AB952" s="131"/>
      <c r="AC952" s="131"/>
      <c r="AD952" s="131"/>
      <c r="AE952" s="131"/>
      <c r="AF952" s="163"/>
      <c r="AG952" s="163"/>
      <c r="AH952" s="163"/>
      <c r="AI952" s="163"/>
      <c r="AJ952" s="163"/>
      <c r="AK952" s="163"/>
      <c r="AL952" s="163"/>
      <c r="AM952" s="130"/>
      <c r="AN952" s="163"/>
    </row>
    <row r="953" ht="15.75" customHeight="1">
      <c r="A953" s="362"/>
      <c r="B953" s="362"/>
      <c r="C953" s="362"/>
      <c r="D953" s="362"/>
      <c r="E953" s="132"/>
      <c r="F953" s="132"/>
      <c r="G953" s="361"/>
      <c r="H953" s="361"/>
      <c r="I953" s="361"/>
      <c r="J953" s="363"/>
      <c r="K953" s="364"/>
      <c r="L953" s="361"/>
      <c r="M953" s="361"/>
      <c r="N953" s="361"/>
      <c r="O953" s="361"/>
      <c r="P953" s="361"/>
      <c r="Q953" s="361"/>
      <c r="R953" s="361"/>
      <c r="S953" s="361"/>
      <c r="T953" s="361"/>
      <c r="U953" s="361"/>
      <c r="V953" s="361"/>
      <c r="W953" s="361"/>
      <c r="X953" s="361"/>
      <c r="Y953" s="131"/>
      <c r="Z953" s="163"/>
      <c r="AA953" s="131"/>
      <c r="AB953" s="131"/>
      <c r="AC953" s="131"/>
      <c r="AD953" s="131"/>
      <c r="AE953" s="131"/>
      <c r="AF953" s="163"/>
      <c r="AG953" s="163"/>
      <c r="AH953" s="163"/>
      <c r="AI953" s="163"/>
      <c r="AJ953" s="163"/>
      <c r="AK953" s="163"/>
      <c r="AL953" s="163"/>
      <c r="AM953" s="130"/>
      <c r="AN953" s="163"/>
    </row>
    <row r="954" ht="15.75" customHeight="1">
      <c r="A954" s="362"/>
      <c r="B954" s="362"/>
      <c r="C954" s="362"/>
      <c r="D954" s="362"/>
      <c r="E954" s="132"/>
      <c r="F954" s="132"/>
      <c r="G954" s="361"/>
      <c r="H954" s="361"/>
      <c r="I954" s="361"/>
      <c r="J954" s="363"/>
      <c r="K954" s="364"/>
      <c r="L954" s="361"/>
      <c r="M954" s="361"/>
      <c r="N954" s="361"/>
      <c r="O954" s="361"/>
      <c r="P954" s="361"/>
      <c r="Q954" s="361"/>
      <c r="R954" s="361"/>
      <c r="S954" s="361"/>
      <c r="T954" s="361"/>
      <c r="U954" s="361"/>
      <c r="V954" s="361"/>
      <c r="W954" s="361"/>
      <c r="X954" s="361"/>
      <c r="Y954" s="131"/>
      <c r="Z954" s="163"/>
      <c r="AA954" s="131"/>
      <c r="AB954" s="131"/>
      <c r="AC954" s="131"/>
      <c r="AD954" s="131"/>
      <c r="AE954" s="131"/>
      <c r="AF954" s="163"/>
      <c r="AG954" s="163"/>
      <c r="AH954" s="163"/>
      <c r="AI954" s="163"/>
      <c r="AJ954" s="163"/>
      <c r="AK954" s="163"/>
      <c r="AL954" s="163"/>
      <c r="AM954" s="130"/>
      <c r="AN954" s="163"/>
    </row>
    <row r="955" ht="15.75" customHeight="1">
      <c r="A955" s="362"/>
      <c r="B955" s="362"/>
      <c r="C955" s="362"/>
      <c r="D955" s="362"/>
      <c r="E955" s="132"/>
      <c r="F955" s="132"/>
      <c r="G955" s="361"/>
      <c r="H955" s="361"/>
      <c r="I955" s="361"/>
      <c r="J955" s="363"/>
      <c r="K955" s="364"/>
      <c r="L955" s="361"/>
      <c r="M955" s="361"/>
      <c r="N955" s="361"/>
      <c r="O955" s="361"/>
      <c r="P955" s="361"/>
      <c r="Q955" s="361"/>
      <c r="R955" s="361"/>
      <c r="S955" s="361"/>
      <c r="T955" s="361"/>
      <c r="U955" s="361"/>
      <c r="V955" s="361"/>
      <c r="W955" s="361"/>
      <c r="X955" s="361"/>
      <c r="Y955" s="131"/>
      <c r="Z955" s="163"/>
      <c r="AA955" s="131"/>
      <c r="AB955" s="131"/>
      <c r="AC955" s="131"/>
      <c r="AD955" s="131"/>
      <c r="AE955" s="131"/>
      <c r="AF955" s="163"/>
      <c r="AG955" s="163"/>
      <c r="AH955" s="163"/>
      <c r="AI955" s="163"/>
      <c r="AJ955" s="163"/>
      <c r="AK955" s="163"/>
      <c r="AL955" s="163"/>
      <c r="AM955" s="130"/>
      <c r="AN955" s="163"/>
    </row>
    <row r="956" ht="15.75" customHeight="1">
      <c r="A956" s="362"/>
      <c r="B956" s="362"/>
      <c r="C956" s="362"/>
      <c r="D956" s="362"/>
      <c r="E956" s="132"/>
      <c r="F956" s="132"/>
      <c r="G956" s="361"/>
      <c r="H956" s="361"/>
      <c r="I956" s="361"/>
      <c r="J956" s="363"/>
      <c r="K956" s="364"/>
      <c r="L956" s="361"/>
      <c r="M956" s="361"/>
      <c r="N956" s="361"/>
      <c r="O956" s="361"/>
      <c r="P956" s="361"/>
      <c r="Q956" s="361"/>
      <c r="R956" s="361"/>
      <c r="S956" s="361"/>
      <c r="T956" s="361"/>
      <c r="U956" s="361"/>
      <c r="V956" s="361"/>
      <c r="W956" s="361"/>
      <c r="X956" s="361"/>
      <c r="Y956" s="131"/>
      <c r="Z956" s="163"/>
      <c r="AA956" s="131"/>
      <c r="AB956" s="131"/>
      <c r="AC956" s="131"/>
      <c r="AD956" s="131"/>
      <c r="AE956" s="131"/>
      <c r="AF956" s="163"/>
      <c r="AG956" s="163"/>
      <c r="AH956" s="163"/>
      <c r="AI956" s="163"/>
      <c r="AJ956" s="163"/>
      <c r="AK956" s="163"/>
      <c r="AL956" s="163"/>
      <c r="AM956" s="130"/>
      <c r="AN956" s="163"/>
    </row>
    <row r="957" ht="15.75" customHeight="1">
      <c r="A957" s="362"/>
      <c r="B957" s="362"/>
      <c r="C957" s="362"/>
      <c r="D957" s="362"/>
      <c r="E957" s="132"/>
      <c r="F957" s="132"/>
      <c r="G957" s="361"/>
      <c r="H957" s="361"/>
      <c r="I957" s="361"/>
      <c r="J957" s="363"/>
      <c r="K957" s="364"/>
      <c r="L957" s="361"/>
      <c r="M957" s="361"/>
      <c r="N957" s="361"/>
      <c r="O957" s="361"/>
      <c r="P957" s="361"/>
      <c r="Q957" s="361"/>
      <c r="R957" s="361"/>
      <c r="S957" s="361"/>
      <c r="T957" s="361"/>
      <c r="U957" s="361"/>
      <c r="V957" s="361"/>
      <c r="W957" s="361"/>
      <c r="X957" s="361"/>
      <c r="Y957" s="131"/>
      <c r="Z957" s="163"/>
      <c r="AA957" s="131"/>
      <c r="AB957" s="131"/>
      <c r="AC957" s="131"/>
      <c r="AD957" s="131"/>
      <c r="AE957" s="131"/>
      <c r="AF957" s="163"/>
      <c r="AG957" s="163"/>
      <c r="AH957" s="163"/>
      <c r="AI957" s="163"/>
      <c r="AJ957" s="163"/>
      <c r="AK957" s="163"/>
      <c r="AL957" s="163"/>
      <c r="AM957" s="130"/>
      <c r="AN957" s="163"/>
    </row>
    <row r="958" ht="15.75" customHeight="1">
      <c r="A958" s="362"/>
      <c r="B958" s="362"/>
      <c r="C958" s="362"/>
      <c r="D958" s="362"/>
      <c r="E958" s="132"/>
      <c r="F958" s="132"/>
      <c r="G958" s="361"/>
      <c r="H958" s="361"/>
      <c r="I958" s="361"/>
      <c r="J958" s="363"/>
      <c r="K958" s="364"/>
      <c r="L958" s="361"/>
      <c r="M958" s="361"/>
      <c r="N958" s="361"/>
      <c r="O958" s="361"/>
      <c r="P958" s="361"/>
      <c r="Q958" s="361"/>
      <c r="R958" s="361"/>
      <c r="S958" s="361"/>
      <c r="T958" s="361"/>
      <c r="U958" s="361"/>
      <c r="V958" s="361"/>
      <c r="W958" s="361"/>
      <c r="X958" s="361"/>
      <c r="Y958" s="131"/>
      <c r="Z958" s="163"/>
      <c r="AA958" s="131"/>
      <c r="AB958" s="131"/>
      <c r="AC958" s="131"/>
      <c r="AD958" s="131"/>
      <c r="AE958" s="131"/>
      <c r="AF958" s="163"/>
      <c r="AG958" s="163"/>
      <c r="AH958" s="163"/>
      <c r="AI958" s="163"/>
      <c r="AJ958" s="163"/>
      <c r="AK958" s="163"/>
      <c r="AL958" s="163"/>
      <c r="AM958" s="130"/>
      <c r="AN958" s="163"/>
    </row>
    <row r="959" ht="15.75" customHeight="1">
      <c r="A959" s="362"/>
      <c r="B959" s="362"/>
      <c r="C959" s="362"/>
      <c r="D959" s="362"/>
      <c r="E959" s="132"/>
      <c r="F959" s="132"/>
      <c r="G959" s="361"/>
      <c r="H959" s="361"/>
      <c r="I959" s="361"/>
      <c r="J959" s="363"/>
      <c r="K959" s="364"/>
      <c r="L959" s="361"/>
      <c r="M959" s="361"/>
      <c r="N959" s="361"/>
      <c r="O959" s="361"/>
      <c r="P959" s="361"/>
      <c r="Q959" s="361"/>
      <c r="R959" s="361"/>
      <c r="S959" s="361"/>
      <c r="T959" s="361"/>
      <c r="U959" s="361"/>
      <c r="V959" s="361"/>
      <c r="W959" s="361"/>
      <c r="X959" s="361"/>
      <c r="Y959" s="131"/>
      <c r="Z959" s="163"/>
      <c r="AA959" s="131"/>
      <c r="AB959" s="131"/>
      <c r="AC959" s="131"/>
      <c r="AD959" s="131"/>
      <c r="AE959" s="131"/>
      <c r="AF959" s="163"/>
      <c r="AG959" s="163"/>
      <c r="AH959" s="163"/>
      <c r="AI959" s="163"/>
      <c r="AJ959" s="163"/>
      <c r="AK959" s="163"/>
      <c r="AL959" s="163"/>
      <c r="AM959" s="130"/>
      <c r="AN959" s="163"/>
    </row>
    <row r="960" ht="15.75" customHeight="1">
      <c r="A960" s="362"/>
      <c r="B960" s="362"/>
      <c r="C960" s="362"/>
      <c r="D960" s="362"/>
      <c r="E960" s="132"/>
      <c r="F960" s="132"/>
      <c r="G960" s="361"/>
      <c r="H960" s="361"/>
      <c r="I960" s="361"/>
      <c r="J960" s="363"/>
      <c r="K960" s="364"/>
      <c r="L960" s="361"/>
      <c r="M960" s="361"/>
      <c r="N960" s="361"/>
      <c r="O960" s="361"/>
      <c r="P960" s="361"/>
      <c r="Q960" s="361"/>
      <c r="R960" s="361"/>
      <c r="S960" s="361"/>
      <c r="T960" s="361"/>
      <c r="U960" s="361"/>
      <c r="V960" s="361"/>
      <c r="W960" s="361"/>
      <c r="X960" s="361"/>
      <c r="Y960" s="131"/>
      <c r="Z960" s="163"/>
      <c r="AA960" s="131"/>
      <c r="AB960" s="131"/>
      <c r="AC960" s="131"/>
      <c r="AD960" s="131"/>
      <c r="AE960" s="131"/>
      <c r="AF960" s="163"/>
      <c r="AG960" s="163"/>
      <c r="AH960" s="163"/>
      <c r="AI960" s="163"/>
      <c r="AJ960" s="163"/>
      <c r="AK960" s="163"/>
      <c r="AL960" s="163"/>
      <c r="AM960" s="130"/>
      <c r="AN960" s="163"/>
    </row>
    <row r="961" ht="15.75" customHeight="1">
      <c r="A961" s="362"/>
      <c r="B961" s="362"/>
      <c r="C961" s="362"/>
      <c r="D961" s="362"/>
      <c r="E961" s="132"/>
      <c r="F961" s="132"/>
      <c r="G961" s="361"/>
      <c r="H961" s="361"/>
      <c r="I961" s="361"/>
      <c r="J961" s="363"/>
      <c r="K961" s="364"/>
      <c r="L961" s="361"/>
      <c r="M961" s="361"/>
      <c r="N961" s="361"/>
      <c r="O961" s="361"/>
      <c r="P961" s="361"/>
      <c r="Q961" s="361"/>
      <c r="R961" s="361"/>
      <c r="S961" s="361"/>
      <c r="T961" s="361"/>
      <c r="U961" s="361"/>
      <c r="V961" s="361"/>
      <c r="W961" s="361"/>
      <c r="X961" s="361"/>
      <c r="Y961" s="131"/>
      <c r="Z961" s="163"/>
      <c r="AA961" s="131"/>
      <c r="AB961" s="131"/>
      <c r="AC961" s="131"/>
      <c r="AD961" s="131"/>
      <c r="AE961" s="131"/>
      <c r="AF961" s="163"/>
      <c r="AG961" s="163"/>
      <c r="AH961" s="163"/>
      <c r="AI961" s="163"/>
      <c r="AJ961" s="163"/>
      <c r="AK961" s="163"/>
      <c r="AL961" s="163"/>
      <c r="AM961" s="130"/>
      <c r="AN961" s="163"/>
    </row>
    <row r="962" ht="15.75" customHeight="1">
      <c r="A962" s="362"/>
      <c r="B962" s="362"/>
      <c r="C962" s="362"/>
      <c r="D962" s="362"/>
      <c r="E962" s="132"/>
      <c r="F962" s="132"/>
      <c r="G962" s="361"/>
      <c r="H962" s="361"/>
      <c r="I962" s="361"/>
      <c r="J962" s="363"/>
      <c r="K962" s="364"/>
      <c r="L962" s="361"/>
      <c r="M962" s="361"/>
      <c r="N962" s="361"/>
      <c r="O962" s="361"/>
      <c r="P962" s="361"/>
      <c r="Q962" s="361"/>
      <c r="R962" s="361"/>
      <c r="S962" s="361"/>
      <c r="T962" s="361"/>
      <c r="U962" s="361"/>
      <c r="V962" s="361"/>
      <c r="W962" s="361"/>
      <c r="X962" s="361"/>
      <c r="Y962" s="131"/>
      <c r="Z962" s="163"/>
      <c r="AA962" s="131"/>
      <c r="AB962" s="131"/>
      <c r="AC962" s="131"/>
      <c r="AD962" s="131"/>
      <c r="AE962" s="131"/>
      <c r="AF962" s="163"/>
      <c r="AG962" s="163"/>
      <c r="AH962" s="163"/>
      <c r="AI962" s="163"/>
      <c r="AJ962" s="163"/>
      <c r="AK962" s="163"/>
      <c r="AL962" s="163"/>
      <c r="AM962" s="130"/>
      <c r="AN962" s="163"/>
    </row>
    <row r="963" ht="15.75" customHeight="1">
      <c r="A963" s="362"/>
      <c r="B963" s="362"/>
      <c r="C963" s="362"/>
      <c r="D963" s="362"/>
      <c r="E963" s="132"/>
      <c r="F963" s="132"/>
      <c r="G963" s="361"/>
      <c r="H963" s="361"/>
      <c r="I963" s="361"/>
      <c r="J963" s="363"/>
      <c r="K963" s="364"/>
      <c r="L963" s="361"/>
      <c r="M963" s="361"/>
      <c r="N963" s="361"/>
      <c r="O963" s="361"/>
      <c r="P963" s="361"/>
      <c r="Q963" s="361"/>
      <c r="R963" s="361"/>
      <c r="S963" s="361"/>
      <c r="T963" s="361"/>
      <c r="U963" s="361"/>
      <c r="V963" s="361"/>
      <c r="W963" s="361"/>
      <c r="X963" s="361"/>
      <c r="Y963" s="131"/>
      <c r="Z963" s="163"/>
      <c r="AA963" s="131"/>
      <c r="AB963" s="131"/>
      <c r="AC963" s="131"/>
      <c r="AD963" s="131"/>
      <c r="AE963" s="131"/>
      <c r="AF963" s="163"/>
      <c r="AG963" s="163"/>
      <c r="AH963" s="163"/>
      <c r="AI963" s="163"/>
      <c r="AJ963" s="163"/>
      <c r="AK963" s="163"/>
      <c r="AL963" s="163"/>
      <c r="AM963" s="130"/>
      <c r="AN963" s="163"/>
    </row>
    <row r="964" ht="15.75" customHeight="1">
      <c r="A964" s="362"/>
      <c r="B964" s="362"/>
      <c r="C964" s="362"/>
      <c r="D964" s="362"/>
      <c r="E964" s="132"/>
      <c r="F964" s="132"/>
      <c r="G964" s="361"/>
      <c r="H964" s="361"/>
      <c r="I964" s="361"/>
      <c r="J964" s="363"/>
      <c r="K964" s="364"/>
      <c r="L964" s="361"/>
      <c r="M964" s="361"/>
      <c r="N964" s="361"/>
      <c r="O964" s="361"/>
      <c r="P964" s="361"/>
      <c r="Q964" s="361"/>
      <c r="R964" s="361"/>
      <c r="S964" s="361"/>
      <c r="T964" s="361"/>
      <c r="U964" s="361"/>
      <c r="V964" s="361"/>
      <c r="W964" s="361"/>
      <c r="X964" s="361"/>
      <c r="Y964" s="131"/>
      <c r="Z964" s="163"/>
      <c r="AA964" s="131"/>
      <c r="AB964" s="131"/>
      <c r="AC964" s="131"/>
      <c r="AD964" s="131"/>
      <c r="AE964" s="131"/>
      <c r="AF964" s="163"/>
      <c r="AG964" s="163"/>
      <c r="AH964" s="163"/>
      <c r="AI964" s="163"/>
      <c r="AJ964" s="163"/>
      <c r="AK964" s="163"/>
      <c r="AL964" s="163"/>
      <c r="AM964" s="130"/>
      <c r="AN964" s="163"/>
    </row>
    <row r="965" ht="15.75" customHeight="1">
      <c r="A965" s="362"/>
      <c r="B965" s="362"/>
      <c r="C965" s="362"/>
      <c r="D965" s="362"/>
      <c r="E965" s="132"/>
      <c r="F965" s="132"/>
      <c r="G965" s="361"/>
      <c r="H965" s="361"/>
      <c r="I965" s="361"/>
      <c r="J965" s="363"/>
      <c r="K965" s="364"/>
      <c r="L965" s="361"/>
      <c r="M965" s="361"/>
      <c r="N965" s="361"/>
      <c r="O965" s="361"/>
      <c r="P965" s="361"/>
      <c r="Q965" s="361"/>
      <c r="R965" s="361"/>
      <c r="S965" s="361"/>
      <c r="T965" s="361"/>
      <c r="U965" s="361"/>
      <c r="V965" s="361"/>
      <c r="W965" s="361"/>
      <c r="X965" s="361"/>
      <c r="Y965" s="131"/>
      <c r="Z965" s="163"/>
      <c r="AA965" s="131"/>
      <c r="AB965" s="131"/>
      <c r="AC965" s="131"/>
      <c r="AD965" s="131"/>
      <c r="AE965" s="131"/>
      <c r="AF965" s="163"/>
      <c r="AG965" s="163"/>
      <c r="AH965" s="163"/>
      <c r="AI965" s="163"/>
      <c r="AJ965" s="163"/>
      <c r="AK965" s="163"/>
      <c r="AL965" s="163"/>
      <c r="AM965" s="130"/>
      <c r="AN965" s="163"/>
    </row>
    <row r="966" ht="15.75" customHeight="1">
      <c r="A966" s="362"/>
      <c r="B966" s="362"/>
      <c r="C966" s="362"/>
      <c r="D966" s="362"/>
      <c r="E966" s="132"/>
      <c r="F966" s="132"/>
      <c r="G966" s="361"/>
      <c r="H966" s="361"/>
      <c r="I966" s="361"/>
      <c r="J966" s="363"/>
      <c r="K966" s="364"/>
      <c r="L966" s="361"/>
      <c r="M966" s="361"/>
      <c r="N966" s="361"/>
      <c r="O966" s="361"/>
      <c r="P966" s="361"/>
      <c r="Q966" s="361"/>
      <c r="R966" s="361"/>
      <c r="S966" s="361"/>
      <c r="T966" s="361"/>
      <c r="U966" s="361"/>
      <c r="V966" s="361"/>
      <c r="W966" s="361"/>
      <c r="X966" s="361"/>
      <c r="Y966" s="131"/>
      <c r="Z966" s="163"/>
      <c r="AA966" s="131"/>
      <c r="AB966" s="131"/>
      <c r="AC966" s="131"/>
      <c r="AD966" s="131"/>
      <c r="AE966" s="131"/>
      <c r="AF966" s="163"/>
      <c r="AG966" s="163"/>
      <c r="AH966" s="163"/>
      <c r="AI966" s="163"/>
      <c r="AJ966" s="163"/>
      <c r="AK966" s="163"/>
      <c r="AL966" s="163"/>
      <c r="AM966" s="130"/>
      <c r="AN966" s="163"/>
    </row>
    <row r="967" ht="15.75" customHeight="1">
      <c r="A967" s="362"/>
      <c r="B967" s="362"/>
      <c r="C967" s="362"/>
      <c r="D967" s="362"/>
      <c r="E967" s="132"/>
      <c r="F967" s="132"/>
      <c r="G967" s="361"/>
      <c r="H967" s="361"/>
      <c r="I967" s="361"/>
      <c r="J967" s="363"/>
      <c r="K967" s="364"/>
      <c r="L967" s="361"/>
      <c r="M967" s="361"/>
      <c r="N967" s="361"/>
      <c r="O967" s="361"/>
      <c r="P967" s="361"/>
      <c r="Q967" s="361"/>
      <c r="R967" s="361"/>
      <c r="S967" s="361"/>
      <c r="T967" s="361"/>
      <c r="U967" s="361"/>
      <c r="V967" s="361"/>
      <c r="W967" s="361"/>
      <c r="X967" s="361"/>
      <c r="Y967" s="131"/>
      <c r="Z967" s="163"/>
      <c r="AA967" s="131"/>
      <c r="AB967" s="131"/>
      <c r="AC967" s="131"/>
      <c r="AD967" s="131"/>
      <c r="AE967" s="131"/>
      <c r="AF967" s="163"/>
      <c r="AG967" s="163"/>
      <c r="AH967" s="163"/>
      <c r="AI967" s="163"/>
      <c r="AJ967" s="163"/>
      <c r="AK967" s="163"/>
      <c r="AL967" s="163"/>
      <c r="AM967" s="130"/>
      <c r="AN967" s="163"/>
    </row>
    <row r="968" ht="15.75" customHeight="1">
      <c r="A968" s="362"/>
      <c r="B968" s="362"/>
      <c r="C968" s="362"/>
      <c r="D968" s="362"/>
      <c r="E968" s="132"/>
      <c r="F968" s="132"/>
      <c r="G968" s="361"/>
      <c r="H968" s="361"/>
      <c r="I968" s="361"/>
      <c r="J968" s="363"/>
      <c r="K968" s="364"/>
      <c r="L968" s="361"/>
      <c r="M968" s="361"/>
      <c r="N968" s="361"/>
      <c r="O968" s="361"/>
      <c r="P968" s="361"/>
      <c r="Q968" s="361"/>
      <c r="R968" s="361"/>
      <c r="S968" s="361"/>
      <c r="T968" s="361"/>
      <c r="U968" s="361"/>
      <c r="V968" s="361"/>
      <c r="W968" s="361"/>
      <c r="X968" s="361"/>
      <c r="Y968" s="131"/>
      <c r="Z968" s="163"/>
      <c r="AA968" s="131"/>
      <c r="AB968" s="131"/>
      <c r="AC968" s="131"/>
      <c r="AD968" s="131"/>
      <c r="AE968" s="131"/>
      <c r="AF968" s="163"/>
      <c r="AG968" s="163"/>
      <c r="AH968" s="163"/>
      <c r="AI968" s="163"/>
      <c r="AJ968" s="163"/>
      <c r="AK968" s="163"/>
      <c r="AL968" s="163"/>
      <c r="AM968" s="130"/>
      <c r="AN968" s="163"/>
    </row>
    <row r="969" ht="15.75" customHeight="1">
      <c r="A969" s="362"/>
      <c r="B969" s="362"/>
      <c r="C969" s="362"/>
      <c r="D969" s="362"/>
      <c r="E969" s="132"/>
      <c r="F969" s="132"/>
      <c r="G969" s="361"/>
      <c r="H969" s="361"/>
      <c r="I969" s="361"/>
      <c r="J969" s="363"/>
      <c r="K969" s="364"/>
      <c r="L969" s="361"/>
      <c r="M969" s="361"/>
      <c r="N969" s="361"/>
      <c r="O969" s="361"/>
      <c r="P969" s="361"/>
      <c r="Q969" s="361"/>
      <c r="R969" s="361"/>
      <c r="S969" s="361"/>
      <c r="T969" s="361"/>
      <c r="U969" s="361"/>
      <c r="V969" s="361"/>
      <c r="W969" s="361"/>
      <c r="X969" s="361"/>
      <c r="Y969" s="131"/>
      <c r="Z969" s="163"/>
      <c r="AA969" s="131"/>
      <c r="AB969" s="131"/>
      <c r="AC969" s="131"/>
      <c r="AD969" s="131"/>
      <c r="AE969" s="131"/>
      <c r="AF969" s="163"/>
      <c r="AG969" s="163"/>
      <c r="AH969" s="163"/>
      <c r="AI969" s="163"/>
      <c r="AJ969" s="163"/>
      <c r="AK969" s="163"/>
      <c r="AL969" s="163"/>
      <c r="AM969" s="130"/>
      <c r="AN969" s="163"/>
    </row>
    <row r="970" ht="15.75" customHeight="1">
      <c r="A970" s="362"/>
      <c r="B970" s="362"/>
      <c r="C970" s="362"/>
      <c r="D970" s="362"/>
      <c r="E970" s="132"/>
      <c r="F970" s="132"/>
      <c r="G970" s="361"/>
      <c r="H970" s="361"/>
      <c r="I970" s="361"/>
      <c r="J970" s="363"/>
      <c r="K970" s="364"/>
      <c r="L970" s="361"/>
      <c r="M970" s="361"/>
      <c r="N970" s="361"/>
      <c r="O970" s="361"/>
      <c r="P970" s="361"/>
      <c r="Q970" s="361"/>
      <c r="R970" s="361"/>
      <c r="S970" s="361"/>
      <c r="T970" s="361"/>
      <c r="U970" s="361"/>
      <c r="V970" s="361"/>
      <c r="W970" s="361"/>
      <c r="X970" s="361"/>
      <c r="Y970" s="131"/>
      <c r="Z970" s="163"/>
      <c r="AA970" s="131"/>
      <c r="AB970" s="131"/>
      <c r="AC970" s="131"/>
      <c r="AD970" s="131"/>
      <c r="AE970" s="131"/>
      <c r="AF970" s="163"/>
      <c r="AG970" s="163"/>
      <c r="AH970" s="163"/>
      <c r="AI970" s="163"/>
      <c r="AJ970" s="163"/>
      <c r="AK970" s="163"/>
      <c r="AL970" s="163"/>
      <c r="AM970" s="130"/>
      <c r="AN970" s="163"/>
    </row>
    <row r="971" ht="15.75" customHeight="1">
      <c r="A971" s="362"/>
      <c r="B971" s="362"/>
      <c r="C971" s="362"/>
      <c r="D971" s="362"/>
      <c r="E971" s="132"/>
      <c r="F971" s="132"/>
      <c r="G971" s="361"/>
      <c r="H971" s="361"/>
      <c r="I971" s="361"/>
      <c r="J971" s="363"/>
      <c r="K971" s="364"/>
      <c r="L971" s="361"/>
      <c r="M971" s="361"/>
      <c r="N971" s="361"/>
      <c r="O971" s="361"/>
      <c r="P971" s="361"/>
      <c r="Q971" s="361"/>
      <c r="R971" s="361"/>
      <c r="S971" s="361"/>
      <c r="T971" s="361"/>
      <c r="U971" s="361"/>
      <c r="V971" s="361"/>
      <c r="W971" s="361"/>
      <c r="X971" s="361"/>
      <c r="Y971" s="131"/>
      <c r="Z971" s="163"/>
      <c r="AA971" s="131"/>
      <c r="AB971" s="131"/>
      <c r="AC971" s="131"/>
      <c r="AD971" s="131"/>
      <c r="AE971" s="131"/>
      <c r="AF971" s="163"/>
      <c r="AG971" s="163"/>
      <c r="AH971" s="163"/>
      <c r="AI971" s="163"/>
      <c r="AJ971" s="163"/>
      <c r="AK971" s="163"/>
      <c r="AL971" s="163"/>
      <c r="AM971" s="130"/>
      <c r="AN971" s="163"/>
    </row>
    <row r="972" ht="15.75" customHeight="1">
      <c r="A972" s="362"/>
      <c r="B972" s="362"/>
      <c r="C972" s="362"/>
      <c r="D972" s="362"/>
      <c r="E972" s="132"/>
      <c r="F972" s="132"/>
      <c r="G972" s="361"/>
      <c r="H972" s="361"/>
      <c r="I972" s="361"/>
      <c r="J972" s="363"/>
      <c r="K972" s="364"/>
      <c r="L972" s="361"/>
      <c r="M972" s="361"/>
      <c r="N972" s="361"/>
      <c r="O972" s="361"/>
      <c r="P972" s="361"/>
      <c r="Q972" s="361"/>
      <c r="R972" s="361"/>
      <c r="S972" s="361"/>
      <c r="T972" s="361"/>
      <c r="U972" s="361"/>
      <c r="V972" s="361"/>
      <c r="W972" s="361"/>
      <c r="X972" s="361"/>
      <c r="Y972" s="131"/>
      <c r="Z972" s="163"/>
      <c r="AA972" s="131"/>
      <c r="AB972" s="131"/>
      <c r="AC972" s="131"/>
      <c r="AD972" s="131"/>
      <c r="AE972" s="131"/>
      <c r="AF972" s="163"/>
      <c r="AG972" s="163"/>
      <c r="AH972" s="163"/>
      <c r="AI972" s="163"/>
      <c r="AJ972" s="163"/>
      <c r="AK972" s="163"/>
      <c r="AL972" s="163"/>
      <c r="AM972" s="130"/>
      <c r="AN972" s="163"/>
    </row>
    <row r="973" ht="15.75" customHeight="1">
      <c r="A973" s="362"/>
      <c r="B973" s="362"/>
      <c r="C973" s="362"/>
      <c r="D973" s="362"/>
      <c r="E973" s="132"/>
      <c r="F973" s="132"/>
      <c r="G973" s="361"/>
      <c r="H973" s="361"/>
      <c r="I973" s="361"/>
      <c r="J973" s="363"/>
      <c r="K973" s="364"/>
      <c r="L973" s="361"/>
      <c r="M973" s="361"/>
      <c r="N973" s="361"/>
      <c r="O973" s="361"/>
      <c r="P973" s="361"/>
      <c r="Q973" s="361"/>
      <c r="R973" s="361"/>
      <c r="S973" s="361"/>
      <c r="T973" s="361"/>
      <c r="U973" s="361"/>
      <c r="V973" s="361"/>
      <c r="W973" s="361"/>
      <c r="X973" s="361"/>
      <c r="Y973" s="131"/>
      <c r="Z973" s="163"/>
      <c r="AA973" s="131"/>
      <c r="AB973" s="131"/>
      <c r="AC973" s="131"/>
      <c r="AD973" s="131"/>
      <c r="AE973" s="131"/>
      <c r="AF973" s="163"/>
      <c r="AG973" s="163"/>
      <c r="AH973" s="163"/>
      <c r="AI973" s="163"/>
      <c r="AJ973" s="163"/>
      <c r="AK973" s="163"/>
      <c r="AL973" s="163"/>
      <c r="AM973" s="130"/>
      <c r="AN973" s="163"/>
    </row>
    <row r="974" ht="15.75" customHeight="1">
      <c r="A974" s="362"/>
      <c r="B974" s="362"/>
      <c r="C974" s="362"/>
      <c r="D974" s="362"/>
      <c r="E974" s="132"/>
      <c r="F974" s="132"/>
      <c r="G974" s="361"/>
      <c r="H974" s="361"/>
      <c r="I974" s="361"/>
      <c r="J974" s="363"/>
      <c r="K974" s="364"/>
      <c r="L974" s="361"/>
      <c r="M974" s="361"/>
      <c r="N974" s="361"/>
      <c r="O974" s="361"/>
      <c r="P974" s="361"/>
      <c r="Q974" s="361"/>
      <c r="R974" s="361"/>
      <c r="S974" s="361"/>
      <c r="T974" s="361"/>
      <c r="U974" s="361"/>
      <c r="V974" s="361"/>
      <c r="W974" s="361"/>
      <c r="X974" s="361"/>
      <c r="Y974" s="131"/>
      <c r="Z974" s="163"/>
      <c r="AA974" s="131"/>
      <c r="AB974" s="131"/>
      <c r="AC974" s="131"/>
      <c r="AD974" s="131"/>
      <c r="AE974" s="131"/>
      <c r="AF974" s="163"/>
      <c r="AG974" s="163"/>
      <c r="AH974" s="163"/>
      <c r="AI974" s="163"/>
      <c r="AJ974" s="163"/>
      <c r="AK974" s="163"/>
      <c r="AL974" s="163"/>
      <c r="AM974" s="130"/>
      <c r="AN974" s="163"/>
    </row>
    <row r="975" ht="15.75" customHeight="1">
      <c r="A975" s="362"/>
      <c r="B975" s="362"/>
      <c r="C975" s="362"/>
      <c r="D975" s="362"/>
      <c r="E975" s="132"/>
      <c r="F975" s="132"/>
      <c r="G975" s="361"/>
      <c r="H975" s="361"/>
      <c r="I975" s="361"/>
      <c r="J975" s="363"/>
      <c r="K975" s="364"/>
      <c r="L975" s="361"/>
      <c r="M975" s="361"/>
      <c r="N975" s="361"/>
      <c r="O975" s="361"/>
      <c r="P975" s="361"/>
      <c r="Q975" s="361"/>
      <c r="R975" s="361"/>
      <c r="S975" s="361"/>
      <c r="T975" s="361"/>
      <c r="U975" s="361"/>
      <c r="V975" s="361"/>
      <c r="W975" s="361"/>
      <c r="X975" s="361"/>
      <c r="Y975" s="131"/>
      <c r="Z975" s="163"/>
      <c r="AA975" s="131"/>
      <c r="AB975" s="131"/>
      <c r="AC975" s="131"/>
      <c r="AD975" s="131"/>
      <c r="AE975" s="131"/>
      <c r="AF975" s="163"/>
      <c r="AG975" s="163"/>
      <c r="AH975" s="163"/>
      <c r="AI975" s="163"/>
      <c r="AJ975" s="163"/>
      <c r="AK975" s="163"/>
      <c r="AL975" s="163"/>
      <c r="AM975" s="130"/>
      <c r="AN975" s="163"/>
    </row>
    <row r="976" ht="15.75" customHeight="1">
      <c r="A976" s="362"/>
      <c r="B976" s="362"/>
      <c r="C976" s="362"/>
      <c r="D976" s="362"/>
      <c r="E976" s="132"/>
      <c r="F976" s="132"/>
      <c r="G976" s="361"/>
      <c r="H976" s="361"/>
      <c r="I976" s="361"/>
      <c r="J976" s="363"/>
      <c r="K976" s="364"/>
      <c r="L976" s="361"/>
      <c r="M976" s="361"/>
      <c r="N976" s="361"/>
      <c r="O976" s="361"/>
      <c r="P976" s="361"/>
      <c r="Q976" s="361"/>
      <c r="R976" s="361"/>
      <c r="S976" s="361"/>
      <c r="T976" s="361"/>
      <c r="U976" s="361"/>
      <c r="V976" s="361"/>
      <c r="W976" s="361"/>
      <c r="X976" s="361"/>
      <c r="Y976" s="131"/>
      <c r="Z976" s="163"/>
      <c r="AA976" s="131"/>
      <c r="AB976" s="131"/>
      <c r="AC976" s="131"/>
      <c r="AD976" s="131"/>
      <c r="AE976" s="131"/>
      <c r="AF976" s="163"/>
      <c r="AG976" s="163"/>
      <c r="AH976" s="163"/>
      <c r="AI976" s="163"/>
      <c r="AJ976" s="163"/>
      <c r="AK976" s="163"/>
      <c r="AL976" s="163"/>
      <c r="AM976" s="130"/>
      <c r="AN976" s="163"/>
    </row>
    <row r="977" ht="15.75" customHeight="1">
      <c r="A977" s="362"/>
      <c r="B977" s="362"/>
      <c r="C977" s="362"/>
      <c r="D977" s="362"/>
      <c r="E977" s="132"/>
      <c r="F977" s="132"/>
      <c r="G977" s="361"/>
      <c r="H977" s="361"/>
      <c r="I977" s="361"/>
      <c r="J977" s="363"/>
      <c r="K977" s="364"/>
      <c r="L977" s="361"/>
      <c r="M977" s="361"/>
      <c r="N977" s="361"/>
      <c r="O977" s="361"/>
      <c r="P977" s="361"/>
      <c r="Q977" s="361"/>
      <c r="R977" s="361"/>
      <c r="S977" s="361"/>
      <c r="T977" s="361"/>
      <c r="U977" s="361"/>
      <c r="V977" s="361"/>
      <c r="W977" s="361"/>
      <c r="X977" s="361"/>
      <c r="Y977" s="131"/>
      <c r="Z977" s="163"/>
      <c r="AA977" s="131"/>
      <c r="AB977" s="131"/>
      <c r="AC977" s="131"/>
      <c r="AD977" s="131"/>
      <c r="AE977" s="131"/>
      <c r="AF977" s="163"/>
      <c r="AG977" s="163"/>
      <c r="AH977" s="163"/>
      <c r="AI977" s="163"/>
      <c r="AJ977" s="163"/>
      <c r="AK977" s="163"/>
      <c r="AL977" s="163"/>
      <c r="AM977" s="130"/>
      <c r="AN977" s="163"/>
    </row>
    <row r="978" ht="15.75" customHeight="1">
      <c r="A978" s="362"/>
      <c r="B978" s="362"/>
      <c r="C978" s="362"/>
      <c r="D978" s="362"/>
      <c r="E978" s="132"/>
      <c r="F978" s="132"/>
      <c r="G978" s="361"/>
      <c r="H978" s="361"/>
      <c r="I978" s="361"/>
      <c r="J978" s="363"/>
      <c r="K978" s="364"/>
      <c r="L978" s="361"/>
      <c r="M978" s="361"/>
      <c r="N978" s="361"/>
      <c r="O978" s="361"/>
      <c r="P978" s="361"/>
      <c r="Q978" s="361"/>
      <c r="R978" s="361"/>
      <c r="S978" s="361"/>
      <c r="T978" s="361"/>
      <c r="U978" s="361"/>
      <c r="V978" s="361"/>
      <c r="W978" s="361"/>
      <c r="X978" s="361"/>
      <c r="Y978" s="131"/>
      <c r="Z978" s="163"/>
      <c r="AA978" s="131"/>
      <c r="AB978" s="131"/>
      <c r="AC978" s="131"/>
      <c r="AD978" s="131"/>
      <c r="AE978" s="131"/>
      <c r="AF978" s="163"/>
      <c r="AG978" s="163"/>
      <c r="AH978" s="163"/>
      <c r="AI978" s="163"/>
      <c r="AJ978" s="163"/>
      <c r="AK978" s="163"/>
      <c r="AL978" s="163"/>
      <c r="AM978" s="130"/>
      <c r="AN978" s="163"/>
    </row>
    <row r="979" ht="15.75" customHeight="1">
      <c r="A979" s="362"/>
      <c r="B979" s="362"/>
      <c r="C979" s="362"/>
      <c r="D979" s="362"/>
      <c r="E979" s="132"/>
      <c r="F979" s="132"/>
      <c r="G979" s="361"/>
      <c r="H979" s="361"/>
      <c r="I979" s="361"/>
      <c r="J979" s="363"/>
      <c r="K979" s="364"/>
      <c r="L979" s="361"/>
      <c r="M979" s="361"/>
      <c r="N979" s="361"/>
      <c r="O979" s="361"/>
      <c r="P979" s="361"/>
      <c r="Q979" s="361"/>
      <c r="R979" s="361"/>
      <c r="S979" s="361"/>
      <c r="T979" s="361"/>
      <c r="U979" s="361"/>
      <c r="V979" s="361"/>
      <c r="W979" s="361"/>
      <c r="X979" s="361"/>
      <c r="Y979" s="131"/>
      <c r="Z979" s="163"/>
      <c r="AA979" s="131"/>
      <c r="AB979" s="131"/>
      <c r="AC979" s="131"/>
      <c r="AD979" s="131"/>
      <c r="AE979" s="131"/>
      <c r="AF979" s="163"/>
      <c r="AG979" s="163"/>
      <c r="AH979" s="163"/>
      <c r="AI979" s="163"/>
      <c r="AJ979" s="163"/>
      <c r="AK979" s="163"/>
      <c r="AL979" s="163"/>
      <c r="AM979" s="130"/>
      <c r="AN979" s="163"/>
    </row>
    <row r="980" ht="15.75" customHeight="1">
      <c r="A980" s="362"/>
      <c r="B980" s="362"/>
      <c r="C980" s="362"/>
      <c r="D980" s="362"/>
      <c r="E980" s="132"/>
      <c r="F980" s="132"/>
      <c r="G980" s="361"/>
      <c r="H980" s="361"/>
      <c r="I980" s="361"/>
      <c r="J980" s="363"/>
      <c r="K980" s="364"/>
      <c r="L980" s="361"/>
      <c r="M980" s="361"/>
      <c r="N980" s="361"/>
      <c r="O980" s="361"/>
      <c r="P980" s="361"/>
      <c r="Q980" s="361"/>
      <c r="R980" s="361"/>
      <c r="S980" s="361"/>
      <c r="T980" s="361"/>
      <c r="U980" s="361"/>
      <c r="V980" s="361"/>
      <c r="W980" s="361"/>
      <c r="X980" s="361"/>
      <c r="Y980" s="131"/>
      <c r="Z980" s="163"/>
      <c r="AA980" s="131"/>
      <c r="AB980" s="131"/>
      <c r="AC980" s="131"/>
      <c r="AD980" s="131"/>
      <c r="AE980" s="131"/>
      <c r="AF980" s="163"/>
      <c r="AG980" s="163"/>
      <c r="AH980" s="163"/>
      <c r="AI980" s="163"/>
      <c r="AJ980" s="163"/>
      <c r="AK980" s="163"/>
      <c r="AL980" s="163"/>
      <c r="AM980" s="130"/>
      <c r="AN980" s="163"/>
    </row>
    <row r="981" ht="15.75" customHeight="1">
      <c r="A981" s="362"/>
      <c r="B981" s="362"/>
      <c r="C981" s="362"/>
      <c r="D981" s="362"/>
      <c r="E981" s="132"/>
      <c r="F981" s="132"/>
      <c r="G981" s="361"/>
      <c r="H981" s="361"/>
      <c r="I981" s="361"/>
      <c r="J981" s="363"/>
      <c r="K981" s="364"/>
      <c r="L981" s="361"/>
      <c r="M981" s="361"/>
      <c r="N981" s="361"/>
      <c r="O981" s="361"/>
      <c r="P981" s="361"/>
      <c r="Q981" s="361"/>
      <c r="R981" s="361"/>
      <c r="S981" s="361"/>
      <c r="T981" s="361"/>
      <c r="U981" s="361"/>
      <c r="V981" s="361"/>
      <c r="W981" s="361"/>
      <c r="X981" s="361"/>
      <c r="Y981" s="131"/>
      <c r="Z981" s="163"/>
      <c r="AA981" s="131"/>
      <c r="AB981" s="131"/>
      <c r="AC981" s="131"/>
      <c r="AD981" s="131"/>
      <c r="AE981" s="131"/>
      <c r="AF981" s="163"/>
      <c r="AG981" s="163"/>
      <c r="AH981" s="163"/>
      <c r="AI981" s="163"/>
      <c r="AJ981" s="163"/>
      <c r="AK981" s="163"/>
      <c r="AL981" s="163"/>
      <c r="AM981" s="130"/>
      <c r="AN981" s="163"/>
    </row>
    <row r="982" ht="15.75" customHeight="1">
      <c r="A982" s="362"/>
      <c r="B982" s="362"/>
      <c r="C982" s="362"/>
      <c r="D982" s="362"/>
      <c r="E982" s="132"/>
      <c r="F982" s="132"/>
      <c r="G982" s="361"/>
      <c r="H982" s="361"/>
      <c r="I982" s="361"/>
      <c r="J982" s="363"/>
      <c r="K982" s="364"/>
      <c r="L982" s="361"/>
      <c r="M982" s="361"/>
      <c r="N982" s="361"/>
      <c r="O982" s="361"/>
      <c r="P982" s="361"/>
      <c r="Q982" s="361"/>
      <c r="R982" s="361"/>
      <c r="S982" s="361"/>
      <c r="T982" s="361"/>
      <c r="U982" s="361"/>
      <c r="V982" s="361"/>
      <c r="W982" s="361"/>
      <c r="X982" s="361"/>
      <c r="Y982" s="131"/>
      <c r="Z982" s="163"/>
      <c r="AA982" s="131"/>
      <c r="AB982" s="131"/>
      <c r="AC982" s="131"/>
      <c r="AD982" s="131"/>
      <c r="AE982" s="131"/>
      <c r="AF982" s="163"/>
      <c r="AG982" s="163"/>
      <c r="AH982" s="163"/>
      <c r="AI982" s="163"/>
      <c r="AJ982" s="163"/>
      <c r="AK982" s="163"/>
      <c r="AL982" s="163"/>
      <c r="AM982" s="130"/>
      <c r="AN982" s="163"/>
    </row>
    <row r="983" ht="15.75" customHeight="1">
      <c r="A983" s="362"/>
      <c r="B983" s="362"/>
      <c r="C983" s="362"/>
      <c r="D983" s="362"/>
      <c r="E983" s="132"/>
      <c r="F983" s="132"/>
      <c r="G983" s="361"/>
      <c r="H983" s="361"/>
      <c r="I983" s="361"/>
      <c r="J983" s="363"/>
      <c r="K983" s="364"/>
      <c r="L983" s="361"/>
      <c r="M983" s="361"/>
      <c r="N983" s="361"/>
      <c r="O983" s="361"/>
      <c r="P983" s="361"/>
      <c r="Q983" s="361"/>
      <c r="R983" s="361"/>
      <c r="S983" s="361"/>
      <c r="T983" s="361"/>
      <c r="U983" s="361"/>
      <c r="V983" s="361"/>
      <c r="W983" s="361"/>
      <c r="X983" s="361"/>
      <c r="Y983" s="131"/>
      <c r="Z983" s="163"/>
      <c r="AA983" s="131"/>
      <c r="AB983" s="131"/>
      <c r="AC983" s="131"/>
      <c r="AD983" s="131"/>
      <c r="AE983" s="131"/>
      <c r="AF983" s="163"/>
      <c r="AG983" s="163"/>
      <c r="AH983" s="163"/>
      <c r="AI983" s="163"/>
      <c r="AJ983" s="163"/>
      <c r="AK983" s="163"/>
      <c r="AL983" s="163"/>
      <c r="AM983" s="130"/>
      <c r="AN983" s="163"/>
    </row>
    <row r="984" ht="15.75" customHeight="1">
      <c r="A984" s="362"/>
      <c r="B984" s="362"/>
      <c r="C984" s="362"/>
      <c r="D984" s="362"/>
      <c r="E984" s="132"/>
      <c r="F984" s="132"/>
      <c r="G984" s="361"/>
      <c r="H984" s="361"/>
      <c r="I984" s="361"/>
      <c r="J984" s="363"/>
      <c r="K984" s="364"/>
      <c r="L984" s="361"/>
      <c r="M984" s="361"/>
      <c r="N984" s="361"/>
      <c r="O984" s="361"/>
      <c r="P984" s="361"/>
      <c r="Q984" s="361"/>
      <c r="R984" s="361"/>
      <c r="S984" s="361"/>
      <c r="T984" s="361"/>
      <c r="U984" s="361"/>
      <c r="V984" s="361"/>
      <c r="W984" s="361"/>
      <c r="X984" s="361"/>
      <c r="Y984" s="131"/>
      <c r="Z984" s="163"/>
      <c r="AA984" s="131"/>
      <c r="AB984" s="131"/>
      <c r="AC984" s="131"/>
      <c r="AD984" s="131"/>
      <c r="AE984" s="131"/>
      <c r="AF984" s="163"/>
      <c r="AG984" s="163"/>
      <c r="AH984" s="163"/>
      <c r="AI984" s="163"/>
      <c r="AJ984" s="163"/>
      <c r="AK984" s="163"/>
      <c r="AL984" s="163"/>
      <c r="AM984" s="130"/>
      <c r="AN984" s="163"/>
    </row>
    <row r="985" ht="15.75" customHeight="1">
      <c r="A985" s="362"/>
      <c r="B985" s="362"/>
      <c r="C985" s="362"/>
      <c r="D985" s="362"/>
      <c r="E985" s="132"/>
      <c r="F985" s="132"/>
      <c r="G985" s="361"/>
      <c r="H985" s="361"/>
      <c r="I985" s="361"/>
      <c r="J985" s="363"/>
      <c r="K985" s="364"/>
      <c r="L985" s="361"/>
      <c r="M985" s="361"/>
      <c r="N985" s="361"/>
      <c r="O985" s="361"/>
      <c r="P985" s="361"/>
      <c r="Q985" s="361"/>
      <c r="R985" s="361"/>
      <c r="S985" s="361"/>
      <c r="T985" s="361"/>
      <c r="U985" s="361"/>
      <c r="V985" s="361"/>
      <c r="W985" s="361"/>
      <c r="X985" s="361"/>
      <c r="Y985" s="131"/>
      <c r="Z985" s="163"/>
      <c r="AA985" s="131"/>
      <c r="AB985" s="131"/>
      <c r="AC985" s="131"/>
      <c r="AD985" s="131"/>
      <c r="AE985" s="131"/>
      <c r="AF985" s="163"/>
      <c r="AG985" s="163"/>
      <c r="AH985" s="163"/>
      <c r="AI985" s="163"/>
      <c r="AJ985" s="163"/>
      <c r="AK985" s="163"/>
      <c r="AL985" s="163"/>
      <c r="AM985" s="130"/>
      <c r="AN985" s="163"/>
    </row>
    <row r="986" ht="15.75" customHeight="1">
      <c r="A986" s="362"/>
      <c r="B986" s="362"/>
      <c r="C986" s="362"/>
      <c r="D986" s="362"/>
      <c r="E986" s="132"/>
      <c r="F986" s="132"/>
      <c r="G986" s="361"/>
      <c r="H986" s="361"/>
      <c r="I986" s="361"/>
      <c r="J986" s="363"/>
      <c r="K986" s="364"/>
      <c r="L986" s="361"/>
      <c r="M986" s="361"/>
      <c r="N986" s="361"/>
      <c r="O986" s="361"/>
      <c r="P986" s="361"/>
      <c r="Q986" s="361"/>
      <c r="R986" s="361"/>
      <c r="S986" s="361"/>
      <c r="T986" s="361"/>
      <c r="U986" s="361"/>
      <c r="V986" s="361"/>
      <c r="W986" s="361"/>
      <c r="X986" s="361"/>
      <c r="Y986" s="131"/>
      <c r="Z986" s="163"/>
      <c r="AA986" s="131"/>
      <c r="AB986" s="131"/>
      <c r="AC986" s="131"/>
      <c r="AD986" s="131"/>
      <c r="AE986" s="131"/>
      <c r="AF986" s="163"/>
      <c r="AG986" s="163"/>
      <c r="AH986" s="163"/>
      <c r="AI986" s="163"/>
      <c r="AJ986" s="163"/>
      <c r="AK986" s="163"/>
      <c r="AL986" s="163"/>
      <c r="AM986" s="130"/>
      <c r="AN986" s="163"/>
    </row>
    <row r="987" ht="15.75" customHeight="1">
      <c r="A987" s="362"/>
      <c r="B987" s="362"/>
      <c r="C987" s="362"/>
      <c r="D987" s="362"/>
      <c r="E987" s="132"/>
      <c r="F987" s="132"/>
      <c r="G987" s="361"/>
      <c r="H987" s="361"/>
      <c r="I987" s="361"/>
      <c r="J987" s="363"/>
      <c r="K987" s="364"/>
      <c r="L987" s="361"/>
      <c r="M987" s="361"/>
      <c r="N987" s="361"/>
      <c r="O987" s="361"/>
      <c r="P987" s="361"/>
      <c r="Q987" s="361"/>
      <c r="R987" s="361"/>
      <c r="S987" s="361"/>
      <c r="T987" s="361"/>
      <c r="U987" s="361"/>
      <c r="V987" s="361"/>
      <c r="W987" s="361"/>
      <c r="X987" s="361"/>
      <c r="Y987" s="131"/>
      <c r="Z987" s="163"/>
      <c r="AA987" s="131"/>
      <c r="AB987" s="131"/>
      <c r="AC987" s="131"/>
      <c r="AD987" s="131"/>
      <c r="AE987" s="131"/>
      <c r="AF987" s="163"/>
      <c r="AG987" s="163"/>
      <c r="AH987" s="163"/>
      <c r="AI987" s="163"/>
      <c r="AJ987" s="163"/>
      <c r="AK987" s="163"/>
      <c r="AL987" s="163"/>
      <c r="AM987" s="130"/>
      <c r="AN987" s="163"/>
    </row>
    <row r="988" ht="15.75" customHeight="1">
      <c r="A988" s="362"/>
      <c r="B988" s="362"/>
      <c r="C988" s="362"/>
      <c r="D988" s="362"/>
      <c r="E988" s="132"/>
      <c r="F988" s="132"/>
      <c r="G988" s="361"/>
      <c r="H988" s="361"/>
      <c r="I988" s="361"/>
      <c r="J988" s="363"/>
      <c r="K988" s="364"/>
      <c r="L988" s="361"/>
      <c r="M988" s="361"/>
      <c r="N988" s="361"/>
      <c r="O988" s="361"/>
      <c r="P988" s="361"/>
      <c r="Q988" s="361"/>
      <c r="R988" s="361"/>
      <c r="S988" s="361"/>
      <c r="T988" s="361"/>
      <c r="U988" s="361"/>
      <c r="V988" s="361"/>
      <c r="W988" s="361"/>
      <c r="X988" s="361"/>
      <c r="Y988" s="131"/>
      <c r="Z988" s="163"/>
      <c r="AA988" s="131"/>
      <c r="AB988" s="131"/>
      <c r="AC988" s="131"/>
      <c r="AD988" s="131"/>
      <c r="AE988" s="131"/>
      <c r="AF988" s="163"/>
      <c r="AG988" s="163"/>
      <c r="AH988" s="163"/>
      <c r="AI988" s="163"/>
      <c r="AJ988" s="163"/>
      <c r="AK988" s="163"/>
      <c r="AL988" s="163"/>
      <c r="AM988" s="130"/>
      <c r="AN988" s="163"/>
    </row>
    <row r="989" ht="15.75" customHeight="1">
      <c r="A989" s="362"/>
      <c r="B989" s="362"/>
      <c r="C989" s="362"/>
      <c r="D989" s="362"/>
      <c r="E989" s="132"/>
      <c r="F989" s="132"/>
      <c r="G989" s="361"/>
      <c r="H989" s="361"/>
      <c r="I989" s="361"/>
      <c r="J989" s="363"/>
      <c r="K989" s="364"/>
      <c r="L989" s="361"/>
      <c r="M989" s="361"/>
      <c r="N989" s="361"/>
      <c r="O989" s="361"/>
      <c r="P989" s="361"/>
      <c r="Q989" s="361"/>
      <c r="R989" s="361"/>
      <c r="S989" s="361"/>
      <c r="T989" s="361"/>
      <c r="U989" s="361"/>
      <c r="V989" s="361"/>
      <c r="W989" s="361"/>
      <c r="X989" s="361"/>
      <c r="Y989" s="131"/>
      <c r="Z989" s="163"/>
      <c r="AA989" s="131"/>
      <c r="AB989" s="131"/>
      <c r="AC989" s="131"/>
      <c r="AD989" s="131"/>
      <c r="AE989" s="131"/>
      <c r="AF989" s="163"/>
      <c r="AG989" s="163"/>
      <c r="AH989" s="163"/>
      <c r="AI989" s="163"/>
      <c r="AJ989" s="163"/>
      <c r="AK989" s="163"/>
      <c r="AL989" s="163"/>
      <c r="AM989" s="130"/>
      <c r="AN989" s="163"/>
    </row>
    <row r="990" ht="15.75" customHeight="1">
      <c r="A990" s="362"/>
      <c r="B990" s="362"/>
      <c r="C990" s="362"/>
      <c r="D990" s="362"/>
      <c r="E990" s="132"/>
      <c r="F990" s="132"/>
      <c r="G990" s="361"/>
      <c r="H990" s="361"/>
      <c r="I990" s="361"/>
      <c r="J990" s="363"/>
      <c r="K990" s="364"/>
      <c r="L990" s="361"/>
      <c r="M990" s="361"/>
      <c r="N990" s="361"/>
      <c r="O990" s="361"/>
      <c r="P990" s="361"/>
      <c r="Q990" s="361"/>
      <c r="R990" s="361"/>
      <c r="S990" s="361"/>
      <c r="T990" s="361"/>
      <c r="U990" s="361"/>
      <c r="V990" s="361"/>
      <c r="W990" s="361"/>
      <c r="X990" s="361"/>
      <c r="Y990" s="131"/>
      <c r="Z990" s="163"/>
      <c r="AA990" s="131"/>
      <c r="AB990" s="131"/>
      <c r="AC990" s="131"/>
      <c r="AD990" s="131"/>
      <c r="AE990" s="131"/>
      <c r="AF990" s="163"/>
      <c r="AG990" s="163"/>
      <c r="AH990" s="163"/>
      <c r="AI990" s="163"/>
      <c r="AJ990" s="163"/>
      <c r="AK990" s="163"/>
      <c r="AL990" s="163"/>
      <c r="AM990" s="130"/>
      <c r="AN990" s="163"/>
    </row>
    <row r="991" ht="15.75" customHeight="1">
      <c r="A991" s="362"/>
      <c r="B991" s="362"/>
      <c r="C991" s="362"/>
      <c r="D991" s="362"/>
      <c r="E991" s="132"/>
      <c r="F991" s="132"/>
      <c r="G991" s="361"/>
      <c r="H991" s="361"/>
      <c r="I991" s="361"/>
      <c r="J991" s="363"/>
      <c r="K991" s="364"/>
      <c r="L991" s="361"/>
      <c r="M991" s="361"/>
      <c r="N991" s="361"/>
      <c r="O991" s="361"/>
      <c r="P991" s="361"/>
      <c r="Q991" s="361"/>
      <c r="R991" s="361"/>
      <c r="S991" s="361"/>
      <c r="T991" s="361"/>
      <c r="U991" s="361"/>
      <c r="V991" s="361"/>
      <c r="W991" s="361"/>
      <c r="X991" s="361"/>
      <c r="Y991" s="131"/>
      <c r="Z991" s="163"/>
      <c r="AA991" s="131"/>
      <c r="AB991" s="131"/>
      <c r="AC991" s="131"/>
      <c r="AD991" s="131"/>
      <c r="AE991" s="131"/>
      <c r="AF991" s="163"/>
      <c r="AG991" s="163"/>
      <c r="AH991" s="163"/>
      <c r="AI991" s="163"/>
      <c r="AJ991" s="163"/>
      <c r="AK991" s="163"/>
      <c r="AL991" s="163"/>
      <c r="AM991" s="130"/>
      <c r="AN991" s="163"/>
    </row>
    <row r="992" ht="15.75" customHeight="1">
      <c r="A992" s="362"/>
      <c r="B992" s="362"/>
      <c r="C992" s="362"/>
      <c r="D992" s="362"/>
      <c r="E992" s="132"/>
      <c r="F992" s="132"/>
      <c r="G992" s="361"/>
      <c r="H992" s="361"/>
      <c r="I992" s="361"/>
      <c r="J992" s="363"/>
      <c r="K992" s="364"/>
      <c r="L992" s="361"/>
      <c r="M992" s="361"/>
      <c r="N992" s="361"/>
      <c r="O992" s="361"/>
      <c r="P992" s="361"/>
      <c r="Q992" s="361"/>
      <c r="R992" s="361"/>
      <c r="S992" s="361"/>
      <c r="T992" s="361"/>
      <c r="U992" s="361"/>
      <c r="V992" s="361"/>
      <c r="W992" s="361"/>
      <c r="X992" s="361"/>
      <c r="Y992" s="131"/>
      <c r="Z992" s="163"/>
      <c r="AA992" s="131"/>
      <c r="AB992" s="131"/>
      <c r="AC992" s="131"/>
      <c r="AD992" s="131"/>
      <c r="AE992" s="131"/>
      <c r="AF992" s="163"/>
      <c r="AG992" s="163"/>
      <c r="AH992" s="163"/>
      <c r="AI992" s="163"/>
      <c r="AJ992" s="163"/>
      <c r="AK992" s="163"/>
      <c r="AL992" s="163"/>
      <c r="AM992" s="130"/>
      <c r="AN992" s="163"/>
    </row>
    <row r="993" ht="15.75" customHeight="1">
      <c r="A993" s="362"/>
      <c r="B993" s="362"/>
      <c r="C993" s="362"/>
      <c r="D993" s="362"/>
      <c r="E993" s="132"/>
      <c r="F993" s="132"/>
      <c r="G993" s="361"/>
      <c r="H993" s="361"/>
      <c r="I993" s="361"/>
      <c r="J993" s="363"/>
      <c r="K993" s="364"/>
      <c r="L993" s="361"/>
      <c r="M993" s="361"/>
      <c r="N993" s="361"/>
      <c r="O993" s="361"/>
      <c r="P993" s="361"/>
      <c r="Q993" s="361"/>
      <c r="R993" s="361"/>
      <c r="S993" s="361"/>
      <c r="T993" s="361"/>
      <c r="U993" s="361"/>
      <c r="V993" s="361"/>
      <c r="W993" s="361"/>
      <c r="X993" s="361"/>
      <c r="Y993" s="131"/>
      <c r="Z993" s="163"/>
      <c r="AA993" s="131"/>
      <c r="AB993" s="131"/>
      <c r="AC993" s="131"/>
      <c r="AD993" s="131"/>
      <c r="AE993" s="131"/>
      <c r="AF993" s="163"/>
      <c r="AG993" s="163"/>
      <c r="AH993" s="163"/>
      <c r="AI993" s="163"/>
      <c r="AJ993" s="163"/>
      <c r="AK993" s="163"/>
      <c r="AL993" s="163"/>
      <c r="AM993" s="130"/>
      <c r="AN993" s="163"/>
    </row>
    <row r="994" ht="15.75" customHeight="1">
      <c r="A994" s="362"/>
      <c r="B994" s="362"/>
      <c r="C994" s="362"/>
      <c r="D994" s="362"/>
      <c r="E994" s="132"/>
      <c r="F994" s="132"/>
      <c r="G994" s="361"/>
      <c r="H994" s="361"/>
      <c r="I994" s="361"/>
      <c r="J994" s="363"/>
      <c r="K994" s="364"/>
      <c r="L994" s="361"/>
      <c r="M994" s="361"/>
      <c r="N994" s="361"/>
      <c r="O994" s="361"/>
      <c r="P994" s="361"/>
      <c r="Q994" s="361"/>
      <c r="R994" s="361"/>
      <c r="S994" s="361"/>
      <c r="T994" s="361"/>
      <c r="U994" s="361"/>
      <c r="V994" s="361"/>
      <c r="W994" s="361"/>
      <c r="X994" s="361"/>
      <c r="Y994" s="131"/>
      <c r="Z994" s="163"/>
      <c r="AA994" s="131"/>
      <c r="AB994" s="131"/>
      <c r="AC994" s="131"/>
      <c r="AD994" s="131"/>
      <c r="AE994" s="131"/>
      <c r="AF994" s="163"/>
      <c r="AG994" s="163"/>
      <c r="AH994" s="163"/>
      <c r="AI994" s="163"/>
      <c r="AJ994" s="163"/>
      <c r="AK994" s="163"/>
      <c r="AL994" s="163"/>
      <c r="AM994" s="130"/>
      <c r="AN994" s="163"/>
    </row>
    <row r="995" ht="15.75" customHeight="1">
      <c r="A995" s="362"/>
      <c r="B995" s="362"/>
      <c r="C995" s="362"/>
      <c r="D995" s="362"/>
      <c r="E995" s="132"/>
      <c r="F995" s="132"/>
      <c r="G995" s="361"/>
      <c r="H995" s="361"/>
      <c r="I995" s="361"/>
      <c r="J995" s="363"/>
      <c r="K995" s="364"/>
      <c r="L995" s="361"/>
      <c r="M995" s="361"/>
      <c r="N995" s="361"/>
      <c r="O995" s="361"/>
      <c r="P995" s="361"/>
      <c r="Q995" s="361"/>
      <c r="R995" s="361"/>
      <c r="S995" s="361"/>
      <c r="T995" s="361"/>
      <c r="U995" s="361"/>
      <c r="V995" s="361"/>
      <c r="W995" s="361"/>
      <c r="X995" s="361"/>
      <c r="Y995" s="131"/>
      <c r="Z995" s="163"/>
      <c r="AA995" s="131"/>
      <c r="AB995" s="131"/>
      <c r="AC995" s="131"/>
      <c r="AD995" s="131"/>
      <c r="AE995" s="131"/>
      <c r="AF995" s="163"/>
      <c r="AG995" s="163"/>
      <c r="AH995" s="163"/>
      <c r="AI995" s="163"/>
      <c r="AJ995" s="163"/>
      <c r="AK995" s="163"/>
      <c r="AL995" s="163"/>
      <c r="AM995" s="130"/>
      <c r="AN995" s="163"/>
    </row>
    <row r="996" ht="15.75" customHeight="1">
      <c r="A996" s="362"/>
      <c r="B996" s="362"/>
      <c r="C996" s="362"/>
      <c r="D996" s="362"/>
      <c r="E996" s="132"/>
      <c r="F996" s="132"/>
      <c r="G996" s="361"/>
      <c r="H996" s="361"/>
      <c r="I996" s="361"/>
      <c r="J996" s="363"/>
      <c r="K996" s="364"/>
      <c r="L996" s="361"/>
      <c r="M996" s="361"/>
      <c r="N996" s="361"/>
      <c r="O996" s="361"/>
      <c r="P996" s="361"/>
      <c r="Q996" s="361"/>
      <c r="R996" s="361"/>
      <c r="S996" s="361"/>
      <c r="T996" s="361"/>
      <c r="U996" s="361"/>
      <c r="V996" s="361"/>
      <c r="W996" s="361"/>
      <c r="X996" s="361"/>
      <c r="Y996" s="131"/>
      <c r="Z996" s="163"/>
      <c r="AA996" s="131"/>
      <c r="AB996" s="131"/>
      <c r="AC996" s="131"/>
      <c r="AD996" s="131"/>
      <c r="AE996" s="131"/>
      <c r="AF996" s="163"/>
      <c r="AG996" s="163"/>
      <c r="AH996" s="163"/>
      <c r="AI996" s="163"/>
      <c r="AJ996" s="163"/>
      <c r="AK996" s="163"/>
      <c r="AL996" s="163"/>
      <c r="AM996" s="130"/>
      <c r="AN996" s="163"/>
    </row>
    <row r="997" ht="15.75" customHeight="1">
      <c r="A997" s="362"/>
      <c r="B997" s="362"/>
      <c r="C997" s="362"/>
      <c r="D997" s="362"/>
      <c r="E997" s="132"/>
      <c r="F997" s="132"/>
      <c r="G997" s="361"/>
      <c r="H997" s="361"/>
      <c r="I997" s="361"/>
      <c r="J997" s="363"/>
      <c r="K997" s="364"/>
      <c r="L997" s="361"/>
      <c r="M997" s="361"/>
      <c r="N997" s="361"/>
      <c r="O997" s="361"/>
      <c r="P997" s="361"/>
      <c r="Q997" s="361"/>
      <c r="R997" s="361"/>
      <c r="S997" s="361"/>
      <c r="T997" s="361"/>
      <c r="U997" s="361"/>
      <c r="V997" s="361"/>
      <c r="W997" s="361"/>
      <c r="X997" s="361"/>
      <c r="Y997" s="131"/>
      <c r="Z997" s="163"/>
      <c r="AA997" s="131"/>
      <c r="AB997" s="131"/>
      <c r="AC997" s="131"/>
      <c r="AD997" s="131"/>
      <c r="AE997" s="131"/>
      <c r="AF997" s="163"/>
      <c r="AG997" s="163"/>
      <c r="AH997" s="163"/>
      <c r="AI997" s="163"/>
      <c r="AJ997" s="163"/>
      <c r="AK997" s="163"/>
      <c r="AL997" s="163"/>
      <c r="AM997" s="130"/>
      <c r="AN997" s="163"/>
    </row>
    <row r="998" ht="15.75" customHeight="1">
      <c r="A998" s="362"/>
      <c r="B998" s="362"/>
      <c r="C998" s="362"/>
      <c r="D998" s="362"/>
      <c r="E998" s="132"/>
      <c r="F998" s="132"/>
      <c r="G998" s="361"/>
      <c r="H998" s="361"/>
      <c r="I998" s="361"/>
      <c r="J998" s="363"/>
      <c r="K998" s="364"/>
      <c r="L998" s="361"/>
      <c r="M998" s="361"/>
      <c r="N998" s="361"/>
      <c r="O998" s="361"/>
      <c r="P998" s="361"/>
      <c r="Q998" s="361"/>
      <c r="R998" s="361"/>
      <c r="S998" s="361"/>
      <c r="T998" s="361"/>
      <c r="U998" s="361"/>
      <c r="V998" s="361"/>
      <c r="W998" s="361"/>
      <c r="X998" s="361"/>
      <c r="Y998" s="131"/>
      <c r="Z998" s="163"/>
      <c r="AA998" s="131"/>
      <c r="AB998" s="131"/>
      <c r="AC998" s="131"/>
      <c r="AD998" s="131"/>
      <c r="AE998" s="131"/>
      <c r="AF998" s="163"/>
      <c r="AG998" s="163"/>
      <c r="AH998" s="163"/>
      <c r="AI998" s="163"/>
      <c r="AJ998" s="163"/>
      <c r="AK998" s="163"/>
      <c r="AL998" s="163"/>
      <c r="AM998" s="130"/>
      <c r="AN998" s="163"/>
    </row>
    <row r="999" ht="15.75" customHeight="1">
      <c r="A999" s="362"/>
      <c r="B999" s="362"/>
      <c r="C999" s="362"/>
      <c r="D999" s="362"/>
      <c r="E999" s="132"/>
      <c r="F999" s="132"/>
      <c r="G999" s="361"/>
      <c r="H999" s="361"/>
      <c r="I999" s="361"/>
      <c r="J999" s="363"/>
      <c r="K999" s="364"/>
      <c r="L999" s="361"/>
      <c r="M999" s="361"/>
      <c r="N999" s="361"/>
      <c r="O999" s="361"/>
      <c r="P999" s="361"/>
      <c r="Q999" s="361"/>
      <c r="R999" s="361"/>
      <c r="S999" s="361"/>
      <c r="T999" s="361"/>
      <c r="U999" s="361"/>
      <c r="V999" s="361"/>
      <c r="W999" s="361"/>
      <c r="X999" s="361"/>
      <c r="Y999" s="131"/>
      <c r="Z999" s="163"/>
      <c r="AA999" s="131"/>
      <c r="AB999" s="131"/>
      <c r="AC999" s="131"/>
      <c r="AD999" s="131"/>
      <c r="AE999" s="131"/>
      <c r="AF999" s="163"/>
      <c r="AG999" s="163"/>
      <c r="AH999" s="163"/>
      <c r="AI999" s="163"/>
      <c r="AJ999" s="163"/>
      <c r="AK999" s="163"/>
      <c r="AL999" s="163"/>
      <c r="AM999" s="130"/>
      <c r="AN999" s="163"/>
    </row>
    <row r="1000" ht="15.75" customHeight="1">
      <c r="A1000" s="362"/>
      <c r="B1000" s="362"/>
      <c r="C1000" s="362"/>
      <c r="D1000" s="362"/>
      <c r="E1000" s="132"/>
      <c r="F1000" s="132"/>
      <c r="G1000" s="361"/>
      <c r="H1000" s="361"/>
      <c r="I1000" s="361"/>
      <c r="J1000" s="363"/>
      <c r="K1000" s="364"/>
      <c r="L1000" s="361"/>
      <c r="M1000" s="361"/>
      <c r="N1000" s="361"/>
      <c r="O1000" s="361"/>
      <c r="P1000" s="361"/>
      <c r="Q1000" s="361"/>
      <c r="R1000" s="361"/>
      <c r="S1000" s="361"/>
      <c r="T1000" s="361"/>
      <c r="U1000" s="361"/>
      <c r="V1000" s="361"/>
      <c r="W1000" s="361"/>
      <c r="X1000" s="361"/>
      <c r="Y1000" s="131"/>
      <c r="Z1000" s="163"/>
      <c r="AA1000" s="131"/>
      <c r="AB1000" s="131"/>
      <c r="AC1000" s="131"/>
      <c r="AD1000" s="131"/>
      <c r="AE1000" s="131"/>
      <c r="AF1000" s="163"/>
      <c r="AG1000" s="163"/>
      <c r="AH1000" s="163"/>
      <c r="AI1000" s="163"/>
      <c r="AJ1000" s="163"/>
      <c r="AK1000" s="163"/>
      <c r="AL1000" s="163"/>
      <c r="AM1000" s="130"/>
      <c r="AN1000" s="163"/>
    </row>
  </sheetData>
  <mergeCells count="4">
    <mergeCell ref="J1:K1"/>
    <mergeCell ref="Y2:Y46"/>
    <mergeCell ref="AF2:AF46"/>
    <mergeCell ref="N6:N8"/>
  </mergeCells>
  <conditionalFormatting sqref="J2:K46">
    <cfRule type="cellIs" dxfId="21" priority="1" operator="equal">
      <formula>"/"</formula>
    </cfRule>
  </conditionalFormatting>
  <conditionalFormatting sqref="J2:K46">
    <cfRule type="cellIs" dxfId="4" priority="2" operator="lessThan">
      <formula>0</formula>
    </cfRule>
  </conditionalFormatting>
  <conditionalFormatting sqref="J2:K46">
    <cfRule type="cellIs" dxfId="22" priority="3" operator="greaterThan">
      <formula>0</formula>
    </cfRule>
  </conditionalFormatting>
  <conditionalFormatting sqref="G20:G34">
    <cfRule type="expression" dxfId="23" priority="4">
      <formula>OR($J$1="差距(Median)",$J$1="差距(UQ)")</formula>
    </cfRule>
  </conditionalFormatting>
  <conditionalFormatting sqref="H6:H8 H20:H34">
    <cfRule type="expression" dxfId="23" priority="5">
      <formula>$J$1="差距(LQ)"</formula>
    </cfRule>
  </conditionalFormatting>
  <conditionalFormatting sqref="H30">
    <cfRule type="expression" dxfId="23" priority="6">
      <formula>$J$1="差距(LQ)"</formula>
    </cfRule>
  </conditionalFormatting>
  <conditionalFormatting sqref="F6:F8">
    <cfRule type="expression" dxfId="23" priority="7">
      <formula>OR($J$1="差距(UQ)",$J$1="差距(Median)")</formula>
    </cfRule>
  </conditionalFormatting>
  <conditionalFormatting sqref="Y2 AF2 AM2:AM46">
    <cfRule type="expression" dxfId="7" priority="8">
      <formula>TRUE</formula>
    </cfRule>
  </conditionalFormatting>
  <conditionalFormatting sqref="M2:M46 T2:X46">
    <cfRule type="cellIs" dxfId="24" priority="9" operator="equal">
      <formula>2</formula>
    </cfRule>
  </conditionalFormatting>
  <conditionalFormatting sqref="M2:M46 T2:X46">
    <cfRule type="cellIs" dxfId="26" priority="10" operator="equal">
      <formula>1</formula>
    </cfRule>
  </conditionalFormatting>
  <conditionalFormatting sqref="M2:M46 T2:X46">
    <cfRule type="cellIs" dxfId="25" priority="11" operator="equal">
      <formula>0</formula>
    </cfRule>
  </conditionalFormatting>
  <dataValidations>
    <dataValidation type="list" allowBlank="1" showErrorMessage="1" sqref="Y2">
      <formula1>'選單'!$I$1:$I$3</formula1>
    </dataValidation>
    <dataValidation type="list" allowBlank="1" showErrorMessage="1" sqref="J1">
      <formula1>'選單'!$J$1:$J$3</formula1>
    </dataValidation>
  </dataValidations>
  <hyperlinks>
    <hyperlink r:id="rId2" ref="B65"/>
    <hyperlink r:id="rId3" ref="B66"/>
    <hyperlink r:id="rId4" ref="B68"/>
    <hyperlink r:id="rId5" ref="B69"/>
    <hyperlink r:id="rId6" ref="B70"/>
    <hyperlink r:id="rId7" ref="B71"/>
    <hyperlink r:id="rId8" ref="B72"/>
    <hyperlink r:id="rId9" ref="B73"/>
    <hyperlink r:id="rId10" ref="B74"/>
    <hyperlink r:id="rId11" ref="B75"/>
  </hyperlinks>
  <printOptions/>
  <pageMargins bottom="0.75" footer="0.0" header="0.0" left="0.7" right="0.7" top="0.75"/>
  <pageSetup paperSize="9" orientation="portrait"/>
  <drawing r:id="rId12"/>
  <legacyDrawing r:id="rId1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9.0"/>
  </cols>
  <sheetData>
    <row r="1" ht="16.5" customHeight="1">
      <c r="A1" s="378" t="s">
        <v>174</v>
      </c>
      <c r="B1" s="378" t="s">
        <v>1074</v>
      </c>
      <c r="C1" s="378" t="s">
        <v>1776</v>
      </c>
      <c r="D1" s="378" t="s">
        <v>1076</v>
      </c>
      <c r="E1" s="378" t="s">
        <v>1777</v>
      </c>
      <c r="F1" s="378" t="s">
        <v>1075</v>
      </c>
      <c r="G1" s="378"/>
      <c r="H1" s="378"/>
      <c r="I1" s="378"/>
      <c r="J1" s="378"/>
      <c r="K1" s="378"/>
      <c r="L1" s="378"/>
      <c r="M1" s="378"/>
      <c r="N1" s="378"/>
      <c r="O1" s="378"/>
      <c r="P1" s="378"/>
      <c r="Q1" s="378"/>
      <c r="R1" s="378"/>
      <c r="S1" s="378"/>
      <c r="T1" s="378"/>
      <c r="U1" s="378"/>
      <c r="V1" s="378"/>
      <c r="W1" s="378"/>
      <c r="X1" s="378"/>
      <c r="Y1" s="378"/>
      <c r="Z1" s="378"/>
    </row>
    <row r="2" ht="16.5" customHeight="1">
      <c r="A2" s="378" t="s">
        <v>174</v>
      </c>
      <c r="B2" s="378" t="s">
        <v>1078</v>
      </c>
      <c r="C2" s="378" t="s">
        <v>1776</v>
      </c>
      <c r="D2" s="378" t="s">
        <v>1080</v>
      </c>
      <c r="E2" s="378" t="s">
        <v>1778</v>
      </c>
      <c r="F2" s="378" t="s">
        <v>1079</v>
      </c>
      <c r="G2" s="378"/>
      <c r="H2" s="378"/>
      <c r="I2" s="378"/>
      <c r="J2" s="378"/>
      <c r="K2" s="378"/>
      <c r="L2" s="378"/>
      <c r="M2" s="378"/>
      <c r="N2" s="378"/>
      <c r="O2" s="378"/>
      <c r="P2" s="378"/>
      <c r="Q2" s="378"/>
      <c r="R2" s="378"/>
      <c r="S2" s="378"/>
      <c r="T2" s="378"/>
      <c r="U2" s="378"/>
      <c r="V2" s="378"/>
      <c r="W2" s="378"/>
      <c r="X2" s="378"/>
      <c r="Y2" s="378"/>
      <c r="Z2" s="378"/>
    </row>
    <row r="3" ht="16.5" customHeight="1">
      <c r="A3" s="378" t="s">
        <v>174</v>
      </c>
      <c r="B3" s="378" t="s">
        <v>1081</v>
      </c>
      <c r="C3" s="378" t="s">
        <v>1776</v>
      </c>
      <c r="D3" s="378" t="s">
        <v>1083</v>
      </c>
      <c r="E3" s="378" t="s">
        <v>1779</v>
      </c>
      <c r="F3" s="378" t="s">
        <v>1082</v>
      </c>
      <c r="G3" s="378"/>
      <c r="H3" s="378"/>
      <c r="I3" s="378"/>
      <c r="J3" s="378"/>
      <c r="K3" s="378"/>
      <c r="L3" s="378"/>
      <c r="M3" s="378"/>
      <c r="N3" s="378"/>
      <c r="O3" s="378"/>
      <c r="P3" s="378"/>
      <c r="Q3" s="378"/>
      <c r="R3" s="378"/>
      <c r="S3" s="378"/>
      <c r="T3" s="378"/>
      <c r="U3" s="378"/>
      <c r="V3" s="378"/>
      <c r="W3" s="378"/>
      <c r="X3" s="378"/>
      <c r="Y3" s="378"/>
      <c r="Z3" s="378"/>
    </row>
    <row r="4" ht="16.5" customHeight="1">
      <c r="A4" s="378" t="s">
        <v>174</v>
      </c>
      <c r="B4" s="378" t="s">
        <v>1084</v>
      </c>
      <c r="C4" s="378" t="s">
        <v>1776</v>
      </c>
      <c r="D4" s="378" t="s">
        <v>1086</v>
      </c>
      <c r="E4" s="378" t="s">
        <v>1780</v>
      </c>
      <c r="F4" s="378" t="s">
        <v>1085</v>
      </c>
      <c r="G4" s="378"/>
      <c r="H4" s="378"/>
      <c r="I4" s="378"/>
      <c r="J4" s="378"/>
      <c r="K4" s="378"/>
      <c r="L4" s="378"/>
      <c r="M4" s="378"/>
      <c r="N4" s="378"/>
      <c r="O4" s="378"/>
      <c r="P4" s="378"/>
      <c r="Q4" s="378"/>
      <c r="R4" s="378"/>
      <c r="S4" s="378"/>
      <c r="T4" s="378"/>
      <c r="U4" s="378"/>
      <c r="V4" s="378"/>
      <c r="W4" s="378"/>
      <c r="X4" s="378"/>
      <c r="Y4" s="378"/>
      <c r="Z4" s="378"/>
    </row>
    <row r="5" ht="16.5" customHeight="1">
      <c r="A5" s="378" t="s">
        <v>174</v>
      </c>
      <c r="B5" s="378" t="s">
        <v>1087</v>
      </c>
      <c r="C5" s="378" t="s">
        <v>1776</v>
      </c>
      <c r="D5" s="378" t="s">
        <v>1089</v>
      </c>
      <c r="E5" s="378" t="s">
        <v>1781</v>
      </c>
      <c r="F5" s="378" t="s">
        <v>1088</v>
      </c>
      <c r="G5" s="378"/>
      <c r="H5" s="378"/>
      <c r="I5" s="378"/>
      <c r="J5" s="378"/>
      <c r="K5" s="378"/>
      <c r="L5" s="378"/>
      <c r="M5" s="378"/>
      <c r="N5" s="378"/>
      <c r="O5" s="378"/>
      <c r="P5" s="378"/>
      <c r="Q5" s="378"/>
      <c r="R5" s="378"/>
      <c r="S5" s="378"/>
      <c r="T5" s="378"/>
      <c r="U5" s="378"/>
      <c r="V5" s="378"/>
      <c r="W5" s="378"/>
      <c r="X5" s="378"/>
      <c r="Y5" s="378"/>
      <c r="Z5" s="378"/>
    </row>
    <row r="6" ht="16.5" customHeight="1">
      <c r="A6" s="378" t="s">
        <v>174</v>
      </c>
      <c r="B6" s="378" t="s">
        <v>1090</v>
      </c>
      <c r="C6" s="378" t="s">
        <v>1776</v>
      </c>
      <c r="D6" s="378" t="s">
        <v>1092</v>
      </c>
      <c r="E6" s="378" t="s">
        <v>1782</v>
      </c>
      <c r="F6" s="378" t="s">
        <v>1091</v>
      </c>
      <c r="G6" s="378"/>
      <c r="H6" s="378"/>
      <c r="I6" s="378"/>
      <c r="J6" s="378"/>
      <c r="K6" s="378"/>
      <c r="L6" s="378"/>
      <c r="M6" s="378"/>
      <c r="N6" s="378"/>
      <c r="O6" s="378"/>
      <c r="P6" s="378"/>
      <c r="Q6" s="378"/>
      <c r="R6" s="378"/>
      <c r="S6" s="378"/>
      <c r="T6" s="378"/>
      <c r="U6" s="378"/>
      <c r="V6" s="378"/>
      <c r="W6" s="378"/>
      <c r="X6" s="378"/>
      <c r="Y6" s="378"/>
      <c r="Z6" s="378"/>
    </row>
    <row r="7" ht="16.5" customHeight="1">
      <c r="A7" s="378" t="s">
        <v>174</v>
      </c>
      <c r="B7" s="378" t="s">
        <v>1093</v>
      </c>
      <c r="C7" s="378" t="s">
        <v>1776</v>
      </c>
      <c r="D7" s="378" t="s">
        <v>1095</v>
      </c>
      <c r="E7" s="378" t="s">
        <v>1783</v>
      </c>
      <c r="F7" s="378" t="s">
        <v>1094</v>
      </c>
      <c r="G7" s="378"/>
      <c r="H7" s="378"/>
      <c r="I7" s="378"/>
      <c r="J7" s="378"/>
      <c r="K7" s="378"/>
      <c r="L7" s="378"/>
      <c r="M7" s="378"/>
      <c r="N7" s="378"/>
      <c r="O7" s="378"/>
      <c r="P7" s="378"/>
      <c r="Q7" s="378"/>
      <c r="R7" s="378"/>
      <c r="S7" s="378"/>
      <c r="T7" s="378"/>
      <c r="U7" s="378"/>
      <c r="V7" s="378"/>
      <c r="W7" s="378"/>
      <c r="X7" s="378"/>
      <c r="Y7" s="378"/>
      <c r="Z7" s="378"/>
    </row>
    <row r="8" ht="16.5" customHeight="1">
      <c r="A8" s="378" t="s">
        <v>174</v>
      </c>
      <c r="B8" s="378" t="s">
        <v>1096</v>
      </c>
      <c r="C8" s="378" t="s">
        <v>1776</v>
      </c>
      <c r="D8" s="378" t="s">
        <v>1098</v>
      </c>
      <c r="E8" s="378" t="s">
        <v>1784</v>
      </c>
      <c r="F8" s="378" t="s">
        <v>1097</v>
      </c>
      <c r="G8" s="378"/>
      <c r="H8" s="378"/>
      <c r="I8" s="378"/>
      <c r="J8" s="378"/>
      <c r="K8" s="378"/>
      <c r="L8" s="378"/>
      <c r="M8" s="378"/>
      <c r="N8" s="378"/>
      <c r="O8" s="378"/>
      <c r="P8" s="378"/>
      <c r="Q8" s="378"/>
      <c r="R8" s="378"/>
      <c r="S8" s="378"/>
      <c r="T8" s="378"/>
      <c r="U8" s="378"/>
      <c r="V8" s="378"/>
      <c r="W8" s="378"/>
      <c r="X8" s="378"/>
      <c r="Y8" s="378"/>
      <c r="Z8" s="378"/>
    </row>
    <row r="9" ht="16.5" customHeight="1">
      <c r="A9" s="378" t="s">
        <v>174</v>
      </c>
      <c r="B9" s="378" t="s">
        <v>1099</v>
      </c>
      <c r="C9" s="378" t="s">
        <v>1776</v>
      </c>
      <c r="D9" s="378" t="s">
        <v>1101</v>
      </c>
      <c r="E9" s="378" t="s">
        <v>1785</v>
      </c>
      <c r="F9" s="378" t="s">
        <v>1100</v>
      </c>
      <c r="G9" s="378"/>
      <c r="H9" s="378"/>
      <c r="I9" s="378"/>
      <c r="J9" s="378"/>
      <c r="K9" s="378"/>
      <c r="L9" s="378"/>
      <c r="M9" s="378"/>
      <c r="N9" s="378"/>
      <c r="O9" s="378"/>
      <c r="P9" s="378"/>
      <c r="Q9" s="378"/>
      <c r="R9" s="378"/>
      <c r="S9" s="378"/>
      <c r="T9" s="378"/>
      <c r="U9" s="378"/>
      <c r="V9" s="378"/>
      <c r="W9" s="378"/>
      <c r="X9" s="378"/>
      <c r="Y9" s="378"/>
      <c r="Z9" s="378"/>
    </row>
    <row r="10" ht="16.5" customHeight="1">
      <c r="A10" s="378" t="s">
        <v>174</v>
      </c>
      <c r="B10" s="378" t="s">
        <v>1102</v>
      </c>
      <c r="C10" s="378" t="s">
        <v>1776</v>
      </c>
      <c r="D10" s="378" t="s">
        <v>1104</v>
      </c>
      <c r="E10" s="378" t="s">
        <v>1786</v>
      </c>
      <c r="F10" s="378" t="s">
        <v>1103</v>
      </c>
      <c r="G10" s="378"/>
      <c r="H10" s="378"/>
      <c r="I10" s="378"/>
      <c r="J10" s="378"/>
      <c r="K10" s="378"/>
      <c r="L10" s="378"/>
      <c r="M10" s="378"/>
      <c r="N10" s="378"/>
      <c r="O10" s="378"/>
      <c r="P10" s="378"/>
      <c r="Q10" s="378"/>
      <c r="R10" s="378"/>
      <c r="S10" s="378"/>
      <c r="T10" s="378"/>
      <c r="U10" s="378"/>
      <c r="V10" s="378"/>
      <c r="W10" s="378"/>
      <c r="X10" s="378"/>
      <c r="Y10" s="378"/>
      <c r="Z10" s="378"/>
    </row>
    <row r="11" ht="16.5" customHeight="1">
      <c r="A11" s="378" t="s">
        <v>174</v>
      </c>
      <c r="B11" s="378" t="s">
        <v>1105</v>
      </c>
      <c r="C11" s="378" t="s">
        <v>1776</v>
      </c>
      <c r="D11" s="378" t="s">
        <v>1107</v>
      </c>
      <c r="E11" s="378" t="s">
        <v>1787</v>
      </c>
      <c r="F11" s="378" t="s">
        <v>1106</v>
      </c>
      <c r="G11" s="378"/>
      <c r="H11" s="378"/>
      <c r="I11" s="378"/>
      <c r="J11" s="378"/>
      <c r="K11" s="378"/>
      <c r="L11" s="378"/>
      <c r="M11" s="378"/>
      <c r="N11" s="378"/>
      <c r="O11" s="378"/>
      <c r="P11" s="378"/>
      <c r="Q11" s="378"/>
      <c r="R11" s="378"/>
      <c r="S11" s="378"/>
      <c r="T11" s="378"/>
      <c r="U11" s="378"/>
      <c r="V11" s="378"/>
      <c r="W11" s="378"/>
      <c r="X11" s="378"/>
      <c r="Y11" s="378"/>
      <c r="Z11" s="378"/>
    </row>
    <row r="12" ht="16.5" customHeight="1">
      <c r="A12" s="378" t="s">
        <v>174</v>
      </c>
      <c r="B12" s="378" t="s">
        <v>1108</v>
      </c>
      <c r="C12" s="378" t="s">
        <v>1776</v>
      </c>
      <c r="D12" s="378" t="s">
        <v>1110</v>
      </c>
      <c r="E12" s="378" t="s">
        <v>1788</v>
      </c>
      <c r="F12" s="378" t="s">
        <v>1109</v>
      </c>
      <c r="G12" s="378"/>
      <c r="H12" s="378"/>
      <c r="I12" s="378"/>
      <c r="J12" s="378"/>
      <c r="K12" s="378"/>
      <c r="L12" s="378"/>
      <c r="M12" s="378"/>
      <c r="N12" s="378"/>
      <c r="O12" s="378"/>
      <c r="P12" s="378"/>
      <c r="Q12" s="378"/>
      <c r="R12" s="378"/>
      <c r="S12" s="378"/>
      <c r="T12" s="378"/>
      <c r="U12" s="378"/>
      <c r="V12" s="378"/>
      <c r="W12" s="378"/>
      <c r="X12" s="378"/>
      <c r="Y12" s="378"/>
      <c r="Z12" s="378"/>
    </row>
    <row r="13" ht="16.5" customHeight="1">
      <c r="A13" s="378" t="s">
        <v>174</v>
      </c>
      <c r="B13" s="378" t="s">
        <v>1111</v>
      </c>
      <c r="C13" s="378" t="s">
        <v>1776</v>
      </c>
      <c r="D13" s="378" t="s">
        <v>1113</v>
      </c>
      <c r="E13" s="378" t="s">
        <v>1789</v>
      </c>
      <c r="F13" s="378" t="s">
        <v>1112</v>
      </c>
      <c r="G13" s="378"/>
      <c r="H13" s="378"/>
      <c r="I13" s="378"/>
      <c r="J13" s="378"/>
      <c r="K13" s="378"/>
      <c r="L13" s="378"/>
      <c r="M13" s="378"/>
      <c r="N13" s="378"/>
      <c r="O13" s="378"/>
      <c r="P13" s="378"/>
      <c r="Q13" s="378"/>
      <c r="R13" s="378"/>
      <c r="S13" s="378"/>
      <c r="T13" s="378"/>
      <c r="U13" s="378"/>
      <c r="V13" s="378"/>
      <c r="W13" s="378"/>
      <c r="X13" s="378"/>
      <c r="Y13" s="378"/>
      <c r="Z13" s="378"/>
    </row>
    <row r="14" ht="16.5" customHeight="1">
      <c r="A14" s="378" t="s">
        <v>174</v>
      </c>
      <c r="B14" s="378" t="s">
        <v>1114</v>
      </c>
      <c r="C14" s="378" t="s">
        <v>1776</v>
      </c>
      <c r="D14" s="378" t="s">
        <v>1116</v>
      </c>
      <c r="E14" s="378" t="s">
        <v>1790</v>
      </c>
      <c r="F14" s="378" t="s">
        <v>1115</v>
      </c>
      <c r="G14" s="378"/>
      <c r="H14" s="378"/>
      <c r="I14" s="378"/>
      <c r="J14" s="378"/>
      <c r="K14" s="378"/>
      <c r="L14" s="378"/>
      <c r="M14" s="378"/>
      <c r="N14" s="378"/>
      <c r="O14" s="378"/>
      <c r="P14" s="378"/>
      <c r="Q14" s="378"/>
      <c r="R14" s="378"/>
      <c r="S14" s="378"/>
      <c r="T14" s="378"/>
      <c r="U14" s="378"/>
      <c r="V14" s="378"/>
      <c r="W14" s="378"/>
      <c r="X14" s="378"/>
      <c r="Y14" s="378"/>
      <c r="Z14" s="378"/>
    </row>
    <row r="15" ht="16.5" customHeight="1">
      <c r="A15" s="378" t="s">
        <v>174</v>
      </c>
      <c r="B15" s="378" t="s">
        <v>1117</v>
      </c>
      <c r="C15" s="378" t="s">
        <v>1776</v>
      </c>
      <c r="D15" s="378" t="s">
        <v>1120</v>
      </c>
      <c r="E15" s="378" t="s">
        <v>1791</v>
      </c>
      <c r="F15" s="378" t="s">
        <v>1119</v>
      </c>
      <c r="G15" s="378"/>
      <c r="H15" s="378"/>
      <c r="I15" s="378"/>
      <c r="J15" s="378"/>
      <c r="K15" s="378"/>
      <c r="L15" s="378"/>
      <c r="M15" s="378"/>
      <c r="N15" s="378"/>
      <c r="O15" s="378"/>
      <c r="P15" s="378"/>
      <c r="Q15" s="378"/>
      <c r="R15" s="378"/>
      <c r="S15" s="378"/>
      <c r="T15" s="378"/>
      <c r="U15" s="378"/>
      <c r="V15" s="378"/>
      <c r="W15" s="378"/>
      <c r="X15" s="378"/>
      <c r="Y15" s="378"/>
      <c r="Z15" s="378"/>
    </row>
    <row r="16" ht="16.5" customHeight="1">
      <c r="A16" s="378" t="s">
        <v>174</v>
      </c>
      <c r="B16" s="378" t="s">
        <v>1121</v>
      </c>
      <c r="C16" s="378" t="s">
        <v>1776</v>
      </c>
      <c r="D16" s="378" t="s">
        <v>1123</v>
      </c>
      <c r="E16" s="378" t="s">
        <v>1792</v>
      </c>
      <c r="F16" s="378" t="s">
        <v>1122</v>
      </c>
      <c r="G16" s="378"/>
      <c r="H16" s="378"/>
      <c r="I16" s="378"/>
      <c r="J16" s="378"/>
      <c r="K16" s="378"/>
      <c r="L16" s="378"/>
      <c r="M16" s="378"/>
      <c r="N16" s="378"/>
      <c r="O16" s="378"/>
      <c r="P16" s="378"/>
      <c r="Q16" s="378"/>
      <c r="R16" s="378"/>
      <c r="S16" s="378"/>
      <c r="T16" s="378"/>
      <c r="U16" s="378"/>
      <c r="V16" s="378"/>
      <c r="W16" s="378"/>
      <c r="X16" s="378"/>
      <c r="Y16" s="378"/>
      <c r="Z16" s="378"/>
    </row>
    <row r="17" ht="16.5" customHeight="1">
      <c r="A17" s="378" t="s">
        <v>174</v>
      </c>
      <c r="B17" s="378" t="s">
        <v>1124</v>
      </c>
      <c r="C17" s="378" t="s">
        <v>1776</v>
      </c>
      <c r="D17" s="378" t="s">
        <v>1126</v>
      </c>
      <c r="E17" s="378" t="s">
        <v>1793</v>
      </c>
      <c r="F17" s="378" t="s">
        <v>1125</v>
      </c>
      <c r="G17" s="378"/>
      <c r="H17" s="378"/>
      <c r="I17" s="378"/>
      <c r="J17" s="378"/>
      <c r="K17" s="378"/>
      <c r="L17" s="378"/>
      <c r="M17" s="378"/>
      <c r="N17" s="378"/>
      <c r="O17" s="378"/>
      <c r="P17" s="378"/>
      <c r="Q17" s="378"/>
      <c r="R17" s="378"/>
      <c r="S17" s="378"/>
      <c r="T17" s="378"/>
      <c r="U17" s="378"/>
      <c r="V17" s="378"/>
      <c r="W17" s="378"/>
      <c r="X17" s="378"/>
      <c r="Y17" s="378"/>
      <c r="Z17" s="378"/>
    </row>
    <row r="18" ht="16.5" customHeight="1">
      <c r="A18" s="378" t="s">
        <v>174</v>
      </c>
      <c r="B18" s="378" t="s">
        <v>1127</v>
      </c>
      <c r="C18" s="378" t="s">
        <v>1776</v>
      </c>
      <c r="D18" s="378" t="s">
        <v>1129</v>
      </c>
      <c r="E18" s="378" t="s">
        <v>1794</v>
      </c>
      <c r="F18" s="378" t="s">
        <v>1128</v>
      </c>
      <c r="G18" s="378"/>
      <c r="H18" s="378"/>
      <c r="I18" s="378"/>
      <c r="J18" s="378"/>
      <c r="K18" s="378"/>
      <c r="L18" s="378"/>
      <c r="M18" s="378"/>
      <c r="N18" s="378"/>
      <c r="O18" s="378"/>
      <c r="P18" s="378"/>
      <c r="Q18" s="378"/>
      <c r="R18" s="378"/>
      <c r="S18" s="378"/>
      <c r="T18" s="378"/>
      <c r="U18" s="378"/>
      <c r="V18" s="378"/>
      <c r="W18" s="378"/>
      <c r="X18" s="378"/>
      <c r="Y18" s="378"/>
      <c r="Z18" s="378"/>
    </row>
    <row r="19" ht="16.5" customHeight="1">
      <c r="A19" s="378" t="s">
        <v>174</v>
      </c>
      <c r="B19" s="378" t="s">
        <v>408</v>
      </c>
      <c r="C19" s="378" t="s">
        <v>1776</v>
      </c>
      <c r="D19" s="378" t="s">
        <v>1132</v>
      </c>
      <c r="E19" s="378" t="s">
        <v>1795</v>
      </c>
      <c r="F19" s="378" t="s">
        <v>1131</v>
      </c>
      <c r="G19" s="378"/>
      <c r="H19" s="378"/>
      <c r="I19" s="378"/>
      <c r="J19" s="378"/>
      <c r="K19" s="378"/>
      <c r="L19" s="378"/>
      <c r="M19" s="378"/>
      <c r="N19" s="378"/>
      <c r="O19" s="378"/>
      <c r="P19" s="378"/>
      <c r="Q19" s="378"/>
      <c r="R19" s="378"/>
      <c r="S19" s="378"/>
      <c r="T19" s="378"/>
      <c r="U19" s="378"/>
      <c r="V19" s="378"/>
      <c r="W19" s="378"/>
      <c r="X19" s="378"/>
      <c r="Y19" s="378"/>
      <c r="Z19" s="378"/>
    </row>
    <row r="20" ht="16.5" customHeight="1">
      <c r="A20" s="378" t="s">
        <v>174</v>
      </c>
      <c r="B20" s="378" t="s">
        <v>1133</v>
      </c>
      <c r="C20" s="378" t="s">
        <v>1776</v>
      </c>
      <c r="D20" s="378" t="s">
        <v>1135</v>
      </c>
      <c r="E20" s="378" t="s">
        <v>1796</v>
      </c>
      <c r="F20" s="378" t="s">
        <v>1134</v>
      </c>
      <c r="G20" s="378"/>
      <c r="H20" s="378"/>
      <c r="I20" s="378"/>
      <c r="J20" s="378"/>
      <c r="K20" s="378"/>
      <c r="L20" s="378"/>
      <c r="M20" s="378"/>
      <c r="N20" s="378"/>
      <c r="O20" s="378"/>
      <c r="P20" s="378"/>
      <c r="Q20" s="378"/>
      <c r="R20" s="378"/>
      <c r="S20" s="378"/>
      <c r="T20" s="378"/>
      <c r="U20" s="378"/>
      <c r="V20" s="378"/>
      <c r="W20" s="378"/>
      <c r="X20" s="378"/>
      <c r="Y20" s="378"/>
      <c r="Z20" s="378"/>
    </row>
    <row r="21" ht="16.5" customHeight="1">
      <c r="A21" s="378" t="s">
        <v>174</v>
      </c>
      <c r="B21" s="378" t="s">
        <v>1136</v>
      </c>
      <c r="C21" s="378" t="s">
        <v>1776</v>
      </c>
      <c r="D21" s="378" t="s">
        <v>1139</v>
      </c>
      <c r="E21" s="378" t="s">
        <v>1797</v>
      </c>
      <c r="F21" s="378" t="s">
        <v>1138</v>
      </c>
      <c r="G21" s="378"/>
      <c r="H21" s="378"/>
      <c r="I21" s="378"/>
      <c r="J21" s="378"/>
      <c r="K21" s="378"/>
      <c r="L21" s="378"/>
      <c r="M21" s="378"/>
      <c r="N21" s="378"/>
      <c r="O21" s="378"/>
      <c r="P21" s="378"/>
      <c r="Q21" s="378"/>
      <c r="R21" s="378"/>
      <c r="S21" s="378"/>
      <c r="T21" s="378"/>
      <c r="U21" s="378"/>
      <c r="V21" s="378"/>
      <c r="W21" s="378"/>
      <c r="X21" s="378"/>
      <c r="Y21" s="378"/>
      <c r="Z21" s="378"/>
    </row>
    <row r="22" ht="16.5" customHeight="1">
      <c r="A22" s="378" t="s">
        <v>174</v>
      </c>
      <c r="B22" s="378" t="s">
        <v>1140</v>
      </c>
      <c r="C22" s="378" t="s">
        <v>1776</v>
      </c>
      <c r="D22" s="378" t="s">
        <v>1142</v>
      </c>
      <c r="E22" s="378" t="s">
        <v>1798</v>
      </c>
      <c r="F22" s="378" t="s">
        <v>1141</v>
      </c>
      <c r="G22" s="378"/>
      <c r="H22" s="378"/>
      <c r="I22" s="378"/>
      <c r="J22" s="378"/>
      <c r="K22" s="378"/>
      <c r="L22" s="378"/>
      <c r="M22" s="378"/>
      <c r="N22" s="378"/>
      <c r="O22" s="378"/>
      <c r="P22" s="378"/>
      <c r="Q22" s="378"/>
      <c r="R22" s="378"/>
      <c r="S22" s="378"/>
      <c r="T22" s="378"/>
      <c r="U22" s="378"/>
      <c r="V22" s="378"/>
      <c r="W22" s="378"/>
      <c r="X22" s="378"/>
      <c r="Y22" s="378"/>
      <c r="Z22" s="378"/>
    </row>
    <row r="23" ht="16.5" customHeight="1">
      <c r="A23" s="378" t="s">
        <v>174</v>
      </c>
      <c r="B23" s="378" t="s">
        <v>1143</v>
      </c>
      <c r="C23" s="378" t="s">
        <v>1776</v>
      </c>
      <c r="D23" s="378" t="s">
        <v>1145</v>
      </c>
      <c r="E23" s="378" t="s">
        <v>1799</v>
      </c>
      <c r="F23" s="378" t="s">
        <v>1144</v>
      </c>
      <c r="G23" s="378"/>
      <c r="H23" s="378"/>
      <c r="I23" s="378"/>
      <c r="J23" s="378"/>
      <c r="K23" s="378"/>
      <c r="L23" s="378"/>
      <c r="M23" s="378"/>
      <c r="N23" s="378"/>
      <c r="O23" s="378"/>
      <c r="P23" s="378"/>
      <c r="Q23" s="378"/>
      <c r="R23" s="378"/>
      <c r="S23" s="378"/>
      <c r="T23" s="378"/>
      <c r="U23" s="378"/>
      <c r="V23" s="378"/>
      <c r="W23" s="378"/>
      <c r="X23" s="378"/>
      <c r="Y23" s="378"/>
      <c r="Z23" s="378"/>
    </row>
    <row r="24" ht="16.5" customHeight="1">
      <c r="A24" s="378" t="s">
        <v>174</v>
      </c>
      <c r="B24" s="378" t="s">
        <v>1146</v>
      </c>
      <c r="C24" s="378" t="s">
        <v>1776</v>
      </c>
      <c r="D24" s="378" t="s">
        <v>1149</v>
      </c>
      <c r="E24" s="378" t="s">
        <v>1800</v>
      </c>
      <c r="F24" s="378" t="s">
        <v>1148</v>
      </c>
      <c r="G24" s="378"/>
      <c r="H24" s="378"/>
      <c r="I24" s="378"/>
      <c r="J24" s="378"/>
      <c r="K24" s="378"/>
      <c r="L24" s="378"/>
      <c r="M24" s="378"/>
      <c r="N24" s="378"/>
      <c r="O24" s="378"/>
      <c r="P24" s="378"/>
      <c r="Q24" s="378"/>
      <c r="R24" s="378"/>
      <c r="S24" s="378"/>
      <c r="T24" s="378"/>
      <c r="U24" s="378"/>
      <c r="V24" s="378"/>
      <c r="W24" s="378"/>
      <c r="X24" s="378"/>
      <c r="Y24" s="378"/>
      <c r="Z24" s="378"/>
    </row>
    <row r="25" ht="16.5" customHeight="1">
      <c r="A25" s="378" t="s">
        <v>174</v>
      </c>
      <c r="B25" s="378" t="s">
        <v>1150</v>
      </c>
      <c r="C25" s="378" t="s">
        <v>1776</v>
      </c>
      <c r="D25" s="378" t="s">
        <v>1152</v>
      </c>
      <c r="E25" s="378" t="s">
        <v>1801</v>
      </c>
      <c r="F25" s="378" t="s">
        <v>1151</v>
      </c>
      <c r="G25" s="378"/>
      <c r="H25" s="378"/>
      <c r="I25" s="378"/>
      <c r="J25" s="378"/>
      <c r="K25" s="378"/>
      <c r="L25" s="378"/>
      <c r="M25" s="378"/>
      <c r="N25" s="378"/>
      <c r="O25" s="378"/>
      <c r="P25" s="378"/>
      <c r="Q25" s="378"/>
      <c r="R25" s="378"/>
      <c r="S25" s="378"/>
      <c r="T25" s="378"/>
      <c r="U25" s="378"/>
      <c r="V25" s="378"/>
      <c r="W25" s="378"/>
      <c r="X25" s="378"/>
      <c r="Y25" s="378"/>
      <c r="Z25" s="378"/>
    </row>
    <row r="26" ht="16.5" customHeight="1">
      <c r="A26" s="378" t="s">
        <v>174</v>
      </c>
      <c r="B26" s="378" t="s">
        <v>1153</v>
      </c>
      <c r="C26" s="378" t="s">
        <v>1776</v>
      </c>
      <c r="D26" s="378" t="s">
        <v>1156</v>
      </c>
      <c r="E26" s="378" t="s">
        <v>1802</v>
      </c>
      <c r="F26" s="378" t="s">
        <v>1155</v>
      </c>
      <c r="G26" s="378"/>
      <c r="H26" s="378"/>
      <c r="I26" s="378"/>
      <c r="J26" s="378"/>
      <c r="K26" s="378"/>
      <c r="L26" s="378"/>
      <c r="M26" s="378"/>
      <c r="N26" s="378"/>
      <c r="O26" s="378"/>
      <c r="P26" s="378"/>
      <c r="Q26" s="378"/>
      <c r="R26" s="378"/>
      <c r="S26" s="378"/>
      <c r="T26" s="378"/>
      <c r="U26" s="378"/>
      <c r="V26" s="378"/>
      <c r="W26" s="378"/>
      <c r="X26" s="378"/>
      <c r="Y26" s="378"/>
      <c r="Z26" s="378"/>
    </row>
    <row r="27" ht="16.5" customHeight="1">
      <c r="A27" s="378" t="s">
        <v>174</v>
      </c>
      <c r="B27" s="378" t="s">
        <v>1157</v>
      </c>
      <c r="C27" s="378" t="s">
        <v>1776</v>
      </c>
      <c r="D27" s="378" t="s">
        <v>1159</v>
      </c>
      <c r="E27" s="378" t="s">
        <v>1803</v>
      </c>
      <c r="F27" s="378" t="s">
        <v>1158</v>
      </c>
      <c r="G27" s="378"/>
      <c r="H27" s="378"/>
      <c r="I27" s="378"/>
      <c r="J27" s="378"/>
      <c r="K27" s="378"/>
      <c r="L27" s="378"/>
      <c r="M27" s="378"/>
      <c r="N27" s="378"/>
      <c r="O27" s="378"/>
      <c r="P27" s="378"/>
      <c r="Q27" s="378"/>
      <c r="R27" s="378"/>
      <c r="S27" s="378"/>
      <c r="T27" s="378"/>
      <c r="U27" s="378"/>
      <c r="V27" s="378"/>
      <c r="W27" s="378"/>
      <c r="X27" s="378"/>
      <c r="Y27" s="378"/>
      <c r="Z27" s="378"/>
    </row>
    <row r="28" ht="16.5" customHeight="1">
      <c r="A28" s="378" t="s">
        <v>174</v>
      </c>
      <c r="B28" s="378" t="s">
        <v>1160</v>
      </c>
      <c r="C28" s="378" t="s">
        <v>1776</v>
      </c>
      <c r="D28" s="378" t="s">
        <v>1162</v>
      </c>
      <c r="E28" s="378" t="s">
        <v>1804</v>
      </c>
      <c r="F28" s="378" t="s">
        <v>1161</v>
      </c>
      <c r="G28" s="378"/>
      <c r="H28" s="378"/>
      <c r="I28" s="378"/>
      <c r="J28" s="378"/>
      <c r="K28" s="378"/>
      <c r="L28" s="378"/>
      <c r="M28" s="378"/>
      <c r="N28" s="378"/>
      <c r="O28" s="378"/>
      <c r="P28" s="378"/>
      <c r="Q28" s="378"/>
      <c r="R28" s="378"/>
      <c r="S28" s="378"/>
      <c r="T28" s="378"/>
      <c r="U28" s="378"/>
      <c r="V28" s="378"/>
      <c r="W28" s="378"/>
      <c r="X28" s="378"/>
      <c r="Y28" s="378"/>
      <c r="Z28" s="378"/>
    </row>
    <row r="29" ht="16.5" customHeight="1">
      <c r="A29" s="378" t="s">
        <v>174</v>
      </c>
      <c r="B29" s="378" t="s">
        <v>1163</v>
      </c>
      <c r="C29" s="378" t="s">
        <v>1776</v>
      </c>
      <c r="D29" s="378" t="s">
        <v>1165</v>
      </c>
      <c r="E29" s="378" t="s">
        <v>1805</v>
      </c>
      <c r="F29" s="378" t="s">
        <v>1164</v>
      </c>
      <c r="G29" s="378"/>
      <c r="H29" s="378"/>
      <c r="I29" s="378"/>
      <c r="J29" s="378"/>
      <c r="K29" s="378"/>
      <c r="L29" s="378"/>
      <c r="M29" s="378"/>
      <c r="N29" s="378"/>
      <c r="O29" s="378"/>
      <c r="P29" s="378"/>
      <c r="Q29" s="378"/>
      <c r="R29" s="378"/>
      <c r="S29" s="378"/>
      <c r="T29" s="378"/>
      <c r="U29" s="378"/>
      <c r="V29" s="378"/>
      <c r="W29" s="378"/>
      <c r="X29" s="378"/>
      <c r="Y29" s="378"/>
      <c r="Z29" s="378"/>
    </row>
    <row r="30" ht="16.5" customHeight="1">
      <c r="A30" s="378" t="s">
        <v>174</v>
      </c>
      <c r="B30" s="378" t="s">
        <v>1167</v>
      </c>
      <c r="C30" s="378" t="s">
        <v>1776</v>
      </c>
      <c r="D30" s="378" t="s">
        <v>1169</v>
      </c>
      <c r="E30" s="378" t="s">
        <v>1806</v>
      </c>
      <c r="F30" s="378" t="s">
        <v>1168</v>
      </c>
      <c r="G30" s="378"/>
      <c r="H30" s="378"/>
      <c r="I30" s="378"/>
      <c r="J30" s="378"/>
      <c r="K30" s="378"/>
      <c r="L30" s="378"/>
      <c r="M30" s="378"/>
      <c r="N30" s="378"/>
      <c r="O30" s="378"/>
      <c r="P30" s="378"/>
      <c r="Q30" s="378"/>
      <c r="R30" s="378"/>
      <c r="S30" s="378"/>
      <c r="T30" s="378"/>
      <c r="U30" s="378"/>
      <c r="V30" s="378"/>
      <c r="W30" s="378"/>
      <c r="X30" s="378"/>
      <c r="Y30" s="378"/>
      <c r="Z30" s="378"/>
    </row>
    <row r="31" ht="16.5" customHeight="1">
      <c r="A31" s="378" t="s">
        <v>174</v>
      </c>
      <c r="B31" s="378" t="s">
        <v>1170</v>
      </c>
      <c r="C31" s="378" t="s">
        <v>1776</v>
      </c>
      <c r="D31" s="378" t="s">
        <v>1172</v>
      </c>
      <c r="E31" s="378" t="s">
        <v>1807</v>
      </c>
      <c r="F31" s="378" t="s">
        <v>1171</v>
      </c>
      <c r="G31" s="378"/>
      <c r="H31" s="378"/>
      <c r="I31" s="378"/>
      <c r="J31" s="378"/>
      <c r="K31" s="378"/>
      <c r="L31" s="378"/>
      <c r="M31" s="378"/>
      <c r="N31" s="378"/>
      <c r="O31" s="378"/>
      <c r="P31" s="378"/>
      <c r="Q31" s="378"/>
      <c r="R31" s="378"/>
      <c r="S31" s="378"/>
      <c r="T31" s="378"/>
      <c r="U31" s="378"/>
      <c r="V31" s="378"/>
      <c r="W31" s="378"/>
      <c r="X31" s="378"/>
      <c r="Y31" s="378"/>
      <c r="Z31" s="378"/>
    </row>
    <row r="32" ht="16.5" customHeight="1">
      <c r="A32" s="378" t="s">
        <v>174</v>
      </c>
      <c r="B32" s="378" t="s">
        <v>1173</v>
      </c>
      <c r="C32" s="378" t="s">
        <v>1776</v>
      </c>
      <c r="D32" s="378" t="s">
        <v>1175</v>
      </c>
      <c r="E32" s="378" t="s">
        <v>1808</v>
      </c>
      <c r="F32" s="378" t="s">
        <v>1174</v>
      </c>
      <c r="G32" s="378"/>
      <c r="H32" s="378"/>
      <c r="I32" s="378"/>
      <c r="J32" s="378"/>
      <c r="K32" s="378"/>
      <c r="L32" s="378"/>
      <c r="M32" s="378"/>
      <c r="N32" s="378"/>
      <c r="O32" s="378"/>
      <c r="P32" s="378"/>
      <c r="Q32" s="378"/>
      <c r="R32" s="378"/>
      <c r="S32" s="378"/>
      <c r="T32" s="378"/>
      <c r="U32" s="378"/>
      <c r="V32" s="378"/>
      <c r="W32" s="378"/>
      <c r="X32" s="378"/>
      <c r="Y32" s="378"/>
      <c r="Z32" s="378"/>
    </row>
    <row r="33" ht="16.5" customHeight="1">
      <c r="A33" s="378" t="s">
        <v>174</v>
      </c>
      <c r="B33" s="378" t="s">
        <v>1176</v>
      </c>
      <c r="C33" s="378" t="s">
        <v>1776</v>
      </c>
      <c r="D33" s="378" t="s">
        <v>1178</v>
      </c>
      <c r="E33" s="378" t="s">
        <v>1809</v>
      </c>
      <c r="F33" s="378" t="s">
        <v>1177</v>
      </c>
      <c r="G33" s="378"/>
      <c r="H33" s="378"/>
      <c r="I33" s="378"/>
      <c r="J33" s="378"/>
      <c r="K33" s="378"/>
      <c r="L33" s="378"/>
      <c r="M33" s="378"/>
      <c r="N33" s="378"/>
      <c r="O33" s="378"/>
      <c r="P33" s="378"/>
      <c r="Q33" s="378"/>
      <c r="R33" s="378"/>
      <c r="S33" s="378"/>
      <c r="T33" s="378"/>
      <c r="U33" s="378"/>
      <c r="V33" s="378"/>
      <c r="W33" s="378"/>
      <c r="X33" s="378"/>
      <c r="Y33" s="378"/>
      <c r="Z33" s="378"/>
    </row>
    <row r="34" ht="16.5" customHeight="1">
      <c r="A34" s="378" t="s">
        <v>174</v>
      </c>
      <c r="B34" s="378" t="s">
        <v>1179</v>
      </c>
      <c r="C34" s="378" t="s">
        <v>1776</v>
      </c>
      <c r="D34" s="378" t="s">
        <v>1181</v>
      </c>
      <c r="E34" s="378" t="s">
        <v>1810</v>
      </c>
      <c r="F34" s="378" t="s">
        <v>1180</v>
      </c>
      <c r="G34" s="378"/>
      <c r="H34" s="378"/>
      <c r="I34" s="378"/>
      <c r="J34" s="378"/>
      <c r="K34" s="378"/>
      <c r="L34" s="378"/>
      <c r="M34" s="378"/>
      <c r="N34" s="378"/>
      <c r="O34" s="378"/>
      <c r="P34" s="378"/>
      <c r="Q34" s="378"/>
      <c r="R34" s="378"/>
      <c r="S34" s="378"/>
      <c r="T34" s="378"/>
      <c r="U34" s="378"/>
      <c r="V34" s="378"/>
      <c r="W34" s="378"/>
      <c r="X34" s="378"/>
      <c r="Y34" s="378"/>
      <c r="Z34" s="378"/>
    </row>
    <row r="35" ht="16.5" customHeight="1">
      <c r="A35" s="378" t="s">
        <v>174</v>
      </c>
      <c r="B35" s="378" t="s">
        <v>1182</v>
      </c>
      <c r="C35" s="378" t="s">
        <v>1776</v>
      </c>
      <c r="D35" s="378" t="s">
        <v>1184</v>
      </c>
      <c r="E35" s="378" t="s">
        <v>1811</v>
      </c>
      <c r="F35" s="378" t="s">
        <v>1183</v>
      </c>
      <c r="G35" s="378"/>
      <c r="H35" s="378"/>
      <c r="I35" s="378"/>
      <c r="J35" s="378"/>
      <c r="K35" s="378"/>
      <c r="L35" s="378"/>
      <c r="M35" s="378"/>
      <c r="N35" s="378"/>
      <c r="O35" s="378"/>
      <c r="P35" s="378"/>
      <c r="Q35" s="378"/>
      <c r="R35" s="378"/>
      <c r="S35" s="378"/>
      <c r="T35" s="378"/>
      <c r="U35" s="378"/>
      <c r="V35" s="378"/>
      <c r="W35" s="378"/>
      <c r="X35" s="378"/>
      <c r="Y35" s="378"/>
      <c r="Z35" s="378"/>
    </row>
    <row r="36" ht="16.5" customHeight="1">
      <c r="A36" s="378" t="s">
        <v>174</v>
      </c>
      <c r="B36" s="378" t="s">
        <v>1185</v>
      </c>
      <c r="C36" s="378" t="s">
        <v>1776</v>
      </c>
      <c r="D36" s="378" t="s">
        <v>1187</v>
      </c>
      <c r="E36" s="378" t="s">
        <v>1812</v>
      </c>
      <c r="F36" s="378" t="s">
        <v>1186</v>
      </c>
      <c r="G36" s="378"/>
      <c r="H36" s="378"/>
      <c r="I36" s="378"/>
      <c r="J36" s="378"/>
      <c r="K36" s="378"/>
      <c r="L36" s="378"/>
      <c r="M36" s="378"/>
      <c r="N36" s="378"/>
      <c r="O36" s="378"/>
      <c r="P36" s="378"/>
      <c r="Q36" s="378"/>
      <c r="R36" s="378"/>
      <c r="S36" s="378"/>
      <c r="T36" s="378"/>
      <c r="U36" s="378"/>
      <c r="V36" s="378"/>
      <c r="W36" s="378"/>
      <c r="X36" s="378"/>
      <c r="Y36" s="378"/>
      <c r="Z36" s="378"/>
    </row>
    <row r="37" ht="16.5" customHeight="1">
      <c r="A37" s="378" t="s">
        <v>174</v>
      </c>
      <c r="B37" s="378" t="s">
        <v>1189</v>
      </c>
      <c r="C37" s="378" t="s">
        <v>1776</v>
      </c>
      <c r="D37" s="378" t="s">
        <v>1191</v>
      </c>
      <c r="E37" s="378" t="s">
        <v>1813</v>
      </c>
      <c r="F37" s="378" t="s">
        <v>1190</v>
      </c>
      <c r="G37" s="378"/>
      <c r="H37" s="378"/>
      <c r="I37" s="378"/>
      <c r="J37" s="378"/>
      <c r="K37" s="378"/>
      <c r="L37" s="378"/>
      <c r="M37" s="378"/>
      <c r="N37" s="378"/>
      <c r="O37" s="378"/>
      <c r="P37" s="378"/>
      <c r="Q37" s="378"/>
      <c r="R37" s="378"/>
      <c r="S37" s="378"/>
      <c r="T37" s="378"/>
      <c r="U37" s="378"/>
      <c r="V37" s="378"/>
      <c r="W37" s="378"/>
      <c r="X37" s="378"/>
      <c r="Y37" s="378"/>
      <c r="Z37" s="378"/>
    </row>
    <row r="38" ht="16.5" customHeight="1">
      <c r="A38" s="378" t="s">
        <v>174</v>
      </c>
      <c r="B38" s="378" t="s">
        <v>203</v>
      </c>
      <c r="C38" s="378" t="s">
        <v>1776</v>
      </c>
      <c r="D38" s="378" t="s">
        <v>1193</v>
      </c>
      <c r="E38" s="378" t="s">
        <v>1814</v>
      </c>
      <c r="F38" s="378" t="s">
        <v>1192</v>
      </c>
      <c r="G38" s="378"/>
      <c r="H38" s="378"/>
      <c r="I38" s="378"/>
      <c r="J38" s="378"/>
      <c r="K38" s="378"/>
      <c r="L38" s="378"/>
      <c r="M38" s="378"/>
      <c r="N38" s="378"/>
      <c r="O38" s="378"/>
      <c r="P38" s="378"/>
      <c r="Q38" s="378"/>
      <c r="R38" s="378"/>
      <c r="S38" s="378"/>
      <c r="T38" s="378"/>
      <c r="U38" s="378"/>
      <c r="V38" s="378"/>
      <c r="W38" s="378"/>
      <c r="X38" s="378"/>
      <c r="Y38" s="378"/>
      <c r="Z38" s="378"/>
    </row>
    <row r="39" ht="16.5" customHeight="1">
      <c r="A39" s="378" t="s">
        <v>174</v>
      </c>
      <c r="B39" s="378" t="s">
        <v>1194</v>
      </c>
      <c r="C39" s="378" t="s">
        <v>1776</v>
      </c>
      <c r="D39" s="378" t="s">
        <v>1196</v>
      </c>
      <c r="E39" s="378" t="s">
        <v>1815</v>
      </c>
      <c r="F39" s="378" t="s">
        <v>1195</v>
      </c>
      <c r="G39" s="378"/>
      <c r="H39" s="378"/>
      <c r="I39" s="378"/>
      <c r="J39" s="378"/>
      <c r="K39" s="378"/>
      <c r="L39" s="378"/>
      <c r="M39" s="378"/>
      <c r="N39" s="378"/>
      <c r="O39" s="378"/>
      <c r="P39" s="378"/>
      <c r="Q39" s="378"/>
      <c r="R39" s="378"/>
      <c r="S39" s="378"/>
      <c r="T39" s="378"/>
      <c r="U39" s="378"/>
      <c r="V39" s="378"/>
      <c r="W39" s="378"/>
      <c r="X39" s="378"/>
      <c r="Y39" s="378"/>
      <c r="Z39" s="378"/>
    </row>
    <row r="40" ht="16.5" customHeight="1">
      <c r="A40" s="378" t="s">
        <v>174</v>
      </c>
      <c r="B40" s="378" t="s">
        <v>1197</v>
      </c>
      <c r="C40" s="378" t="s">
        <v>1776</v>
      </c>
      <c r="D40" s="378" t="s">
        <v>1199</v>
      </c>
      <c r="E40" s="378" t="s">
        <v>1816</v>
      </c>
      <c r="F40" s="378" t="s">
        <v>1198</v>
      </c>
      <c r="G40" s="378"/>
      <c r="H40" s="378"/>
      <c r="I40" s="378"/>
      <c r="J40" s="378"/>
      <c r="K40" s="378"/>
      <c r="L40" s="378"/>
      <c r="M40" s="378"/>
      <c r="N40" s="378"/>
      <c r="O40" s="378"/>
      <c r="P40" s="378"/>
      <c r="Q40" s="378"/>
      <c r="R40" s="378"/>
      <c r="S40" s="378"/>
      <c r="T40" s="378"/>
      <c r="U40" s="378"/>
      <c r="V40" s="378"/>
      <c r="W40" s="378"/>
      <c r="X40" s="378"/>
      <c r="Y40" s="378"/>
      <c r="Z40" s="378"/>
    </row>
    <row r="41" ht="16.5" customHeight="1">
      <c r="A41" s="378" t="s">
        <v>174</v>
      </c>
      <c r="B41" s="378" t="s">
        <v>201</v>
      </c>
      <c r="C41" s="378" t="s">
        <v>1776</v>
      </c>
      <c r="D41" s="378" t="s">
        <v>1126</v>
      </c>
      <c r="E41" s="378" t="s">
        <v>1817</v>
      </c>
      <c r="F41" s="378" t="s">
        <v>1200</v>
      </c>
      <c r="G41" s="378"/>
      <c r="H41" s="378"/>
      <c r="I41" s="378"/>
      <c r="J41" s="378"/>
      <c r="K41" s="378"/>
      <c r="L41" s="378"/>
      <c r="M41" s="378"/>
      <c r="N41" s="378"/>
      <c r="O41" s="378"/>
      <c r="P41" s="378"/>
      <c r="Q41" s="378"/>
      <c r="R41" s="378"/>
      <c r="S41" s="378"/>
      <c r="T41" s="378"/>
      <c r="U41" s="378"/>
      <c r="V41" s="378"/>
      <c r="W41" s="378"/>
      <c r="X41" s="378"/>
      <c r="Y41" s="378"/>
      <c r="Z41" s="378"/>
    </row>
    <row r="42" ht="16.5" customHeight="1">
      <c r="A42" s="378" t="s">
        <v>174</v>
      </c>
      <c r="B42" s="378" t="s">
        <v>1201</v>
      </c>
      <c r="C42" s="378" t="s">
        <v>1776</v>
      </c>
      <c r="D42" s="378" t="s">
        <v>1203</v>
      </c>
      <c r="E42" s="378" t="s">
        <v>1818</v>
      </c>
      <c r="F42" s="378" t="s">
        <v>1202</v>
      </c>
      <c r="G42" s="378"/>
      <c r="H42" s="378"/>
      <c r="I42" s="378"/>
      <c r="J42" s="378"/>
      <c r="K42" s="378"/>
      <c r="L42" s="378"/>
      <c r="M42" s="378"/>
      <c r="N42" s="378"/>
      <c r="O42" s="378"/>
      <c r="P42" s="378"/>
      <c r="Q42" s="378"/>
      <c r="R42" s="378"/>
      <c r="S42" s="378"/>
      <c r="T42" s="378"/>
      <c r="U42" s="378"/>
      <c r="V42" s="378"/>
      <c r="W42" s="378"/>
      <c r="X42" s="378"/>
      <c r="Y42" s="378"/>
      <c r="Z42" s="378"/>
    </row>
    <row r="43" ht="16.5" customHeight="1">
      <c r="A43" s="378" t="s">
        <v>174</v>
      </c>
      <c r="B43" s="378" t="s">
        <v>1204</v>
      </c>
      <c r="C43" s="378" t="s">
        <v>1776</v>
      </c>
      <c r="D43" s="378" t="s">
        <v>1206</v>
      </c>
      <c r="E43" s="378" t="s">
        <v>1819</v>
      </c>
      <c r="F43" s="378" t="s">
        <v>1205</v>
      </c>
      <c r="G43" s="378"/>
      <c r="H43" s="378"/>
      <c r="I43" s="378"/>
      <c r="J43" s="378"/>
      <c r="K43" s="378"/>
      <c r="L43" s="378"/>
      <c r="M43" s="378"/>
      <c r="N43" s="378"/>
      <c r="O43" s="378"/>
      <c r="P43" s="378"/>
      <c r="Q43" s="378"/>
      <c r="R43" s="378"/>
      <c r="S43" s="378"/>
      <c r="T43" s="378"/>
      <c r="U43" s="378"/>
      <c r="V43" s="378"/>
      <c r="W43" s="378"/>
      <c r="X43" s="378"/>
      <c r="Y43" s="378"/>
      <c r="Z43" s="378"/>
    </row>
    <row r="44" ht="16.5" customHeight="1">
      <c r="A44" s="378" t="s">
        <v>174</v>
      </c>
      <c r="B44" s="378" t="s">
        <v>198</v>
      </c>
      <c r="C44" s="378" t="s">
        <v>1776</v>
      </c>
      <c r="D44" s="378" t="s">
        <v>1208</v>
      </c>
      <c r="E44" s="378" t="s">
        <v>1820</v>
      </c>
      <c r="F44" s="378" t="s">
        <v>1207</v>
      </c>
      <c r="G44" s="378"/>
      <c r="H44" s="378"/>
      <c r="I44" s="378"/>
      <c r="J44" s="378"/>
      <c r="K44" s="378"/>
      <c r="L44" s="378"/>
      <c r="M44" s="378"/>
      <c r="N44" s="378"/>
      <c r="O44" s="378"/>
      <c r="P44" s="378"/>
      <c r="Q44" s="378"/>
      <c r="R44" s="378"/>
      <c r="S44" s="378"/>
      <c r="T44" s="378"/>
      <c r="U44" s="378"/>
      <c r="V44" s="378"/>
      <c r="W44" s="378"/>
      <c r="X44" s="378"/>
      <c r="Y44" s="378"/>
      <c r="Z44" s="378"/>
    </row>
    <row r="45" ht="16.5" customHeight="1">
      <c r="A45" s="378" t="s">
        <v>174</v>
      </c>
      <c r="B45" s="378" t="s">
        <v>1209</v>
      </c>
      <c r="C45" s="378" t="s">
        <v>1776</v>
      </c>
      <c r="D45" s="378" t="s">
        <v>1211</v>
      </c>
      <c r="E45" s="378" t="s">
        <v>1821</v>
      </c>
      <c r="F45" s="378" t="s">
        <v>1210</v>
      </c>
      <c r="G45" s="378"/>
      <c r="H45" s="378"/>
      <c r="I45" s="378"/>
      <c r="J45" s="378"/>
      <c r="K45" s="378"/>
      <c r="L45" s="378"/>
      <c r="M45" s="378"/>
      <c r="N45" s="378"/>
      <c r="O45" s="378"/>
      <c r="P45" s="378"/>
      <c r="Q45" s="378"/>
      <c r="R45" s="378"/>
      <c r="S45" s="378"/>
      <c r="T45" s="378"/>
      <c r="U45" s="378"/>
      <c r="V45" s="378"/>
      <c r="W45" s="378"/>
      <c r="X45" s="378"/>
      <c r="Y45" s="378"/>
      <c r="Z45" s="378"/>
    </row>
    <row r="46" ht="16.5" customHeight="1">
      <c r="A46" s="378" t="s">
        <v>174</v>
      </c>
      <c r="B46" s="378" t="s">
        <v>1214</v>
      </c>
      <c r="C46" s="378" t="s">
        <v>1776</v>
      </c>
      <c r="D46" s="378" t="s">
        <v>1217</v>
      </c>
      <c r="E46" s="378" t="s">
        <v>1822</v>
      </c>
      <c r="F46" s="378" t="s">
        <v>1216</v>
      </c>
      <c r="G46" s="378"/>
      <c r="H46" s="378"/>
      <c r="I46" s="378"/>
      <c r="J46" s="378"/>
      <c r="K46" s="378"/>
      <c r="L46" s="378"/>
      <c r="M46" s="378"/>
      <c r="N46" s="378"/>
      <c r="O46" s="378"/>
      <c r="P46" s="378"/>
      <c r="Q46" s="378"/>
      <c r="R46" s="378"/>
      <c r="S46" s="378"/>
      <c r="T46" s="378"/>
      <c r="U46" s="378"/>
      <c r="V46" s="378"/>
      <c r="W46" s="378"/>
      <c r="X46" s="378"/>
      <c r="Y46" s="378"/>
      <c r="Z46" s="378"/>
    </row>
    <row r="47" ht="16.5" customHeight="1">
      <c r="A47" s="378" t="s">
        <v>174</v>
      </c>
      <c r="B47" s="378" t="s">
        <v>1218</v>
      </c>
      <c r="C47" s="378" t="s">
        <v>1776</v>
      </c>
      <c r="D47" s="378" t="s">
        <v>1220</v>
      </c>
      <c r="E47" s="378" t="s">
        <v>1823</v>
      </c>
      <c r="F47" s="378" t="s">
        <v>1219</v>
      </c>
      <c r="G47" s="378"/>
      <c r="H47" s="378"/>
      <c r="I47" s="378"/>
      <c r="J47" s="378"/>
      <c r="K47" s="378"/>
      <c r="L47" s="378"/>
      <c r="M47" s="378"/>
      <c r="N47" s="378"/>
      <c r="O47" s="378"/>
      <c r="P47" s="378"/>
      <c r="Q47" s="378"/>
      <c r="R47" s="378"/>
      <c r="S47" s="378"/>
      <c r="T47" s="378"/>
      <c r="U47" s="378"/>
      <c r="V47" s="378"/>
      <c r="W47" s="378"/>
      <c r="X47" s="378"/>
      <c r="Y47" s="378"/>
      <c r="Z47" s="378"/>
    </row>
    <row r="48" ht="16.5" customHeight="1">
      <c r="A48" s="378" t="s">
        <v>174</v>
      </c>
      <c r="B48" s="378" t="s">
        <v>1221</v>
      </c>
      <c r="C48" s="378" t="s">
        <v>1776</v>
      </c>
      <c r="D48" s="378" t="s">
        <v>1223</v>
      </c>
      <c r="E48" s="378" t="s">
        <v>1824</v>
      </c>
      <c r="F48" s="378" t="s">
        <v>1222</v>
      </c>
      <c r="G48" s="378"/>
      <c r="H48" s="378"/>
      <c r="I48" s="378"/>
      <c r="J48" s="378"/>
      <c r="K48" s="378"/>
      <c r="L48" s="378"/>
      <c r="M48" s="378"/>
      <c r="N48" s="378"/>
      <c r="O48" s="378"/>
      <c r="P48" s="378"/>
      <c r="Q48" s="378"/>
      <c r="R48" s="378"/>
      <c r="S48" s="378"/>
      <c r="T48" s="378"/>
      <c r="U48" s="378"/>
      <c r="V48" s="378"/>
      <c r="W48" s="378"/>
      <c r="X48" s="378"/>
      <c r="Y48" s="378"/>
      <c r="Z48" s="378"/>
    </row>
    <row r="49" ht="16.5" customHeight="1">
      <c r="A49" s="378" t="s">
        <v>174</v>
      </c>
      <c r="B49" s="378" t="s">
        <v>1224</v>
      </c>
      <c r="C49" s="378" t="s">
        <v>1776</v>
      </c>
      <c r="D49" s="378" t="s">
        <v>1226</v>
      </c>
      <c r="E49" s="378" t="s">
        <v>1825</v>
      </c>
      <c r="F49" s="378" t="s">
        <v>1225</v>
      </c>
      <c r="G49" s="378"/>
      <c r="H49" s="378"/>
      <c r="I49" s="378"/>
      <c r="J49" s="378"/>
      <c r="K49" s="378"/>
      <c r="L49" s="378"/>
      <c r="M49" s="378"/>
      <c r="N49" s="378"/>
      <c r="O49" s="378"/>
      <c r="P49" s="378"/>
      <c r="Q49" s="378"/>
      <c r="R49" s="378"/>
      <c r="S49" s="378"/>
      <c r="T49" s="378"/>
      <c r="U49" s="378"/>
      <c r="V49" s="378"/>
      <c r="W49" s="378"/>
      <c r="X49" s="378"/>
      <c r="Y49" s="378"/>
      <c r="Z49" s="378"/>
    </row>
    <row r="50" ht="16.5" customHeight="1">
      <c r="A50" s="378"/>
      <c r="B50" s="378"/>
      <c r="C50" s="378"/>
      <c r="D50" s="378"/>
      <c r="E50" s="378"/>
      <c r="F50" s="378"/>
      <c r="G50" s="378"/>
      <c r="H50" s="378"/>
      <c r="I50" s="378"/>
      <c r="J50" s="378"/>
      <c r="K50" s="378"/>
      <c r="L50" s="378"/>
      <c r="M50" s="378"/>
      <c r="N50" s="378"/>
      <c r="O50" s="378"/>
      <c r="P50" s="378"/>
      <c r="Q50" s="378"/>
      <c r="R50" s="378"/>
      <c r="S50" s="378"/>
      <c r="T50" s="378"/>
      <c r="U50" s="378"/>
      <c r="V50" s="378"/>
      <c r="W50" s="378"/>
      <c r="X50" s="378"/>
      <c r="Y50" s="378"/>
      <c r="Z50" s="378"/>
    </row>
    <row r="51" ht="16.5" customHeight="1">
      <c r="A51" s="378" t="s">
        <v>227</v>
      </c>
      <c r="B51" s="378" t="s">
        <v>228</v>
      </c>
      <c r="C51" s="378" t="s">
        <v>1776</v>
      </c>
      <c r="D51" s="378" t="s">
        <v>1238</v>
      </c>
      <c r="E51" s="378" t="s">
        <v>1826</v>
      </c>
      <c r="F51" s="378" t="s">
        <v>229</v>
      </c>
      <c r="G51" s="378"/>
      <c r="H51" s="378"/>
      <c r="I51" s="378"/>
      <c r="J51" s="378"/>
      <c r="K51" s="378"/>
      <c r="L51" s="378"/>
      <c r="M51" s="378"/>
      <c r="N51" s="378"/>
      <c r="O51" s="378"/>
      <c r="P51" s="378"/>
      <c r="Q51" s="378"/>
      <c r="R51" s="378"/>
      <c r="S51" s="378"/>
      <c r="T51" s="378"/>
      <c r="U51" s="378"/>
      <c r="V51" s="378"/>
      <c r="W51" s="378"/>
      <c r="X51" s="378"/>
      <c r="Y51" s="378"/>
      <c r="Z51" s="378"/>
    </row>
    <row r="52" ht="16.5" customHeight="1">
      <c r="A52" s="378" t="s">
        <v>227</v>
      </c>
      <c r="B52" s="378" t="s">
        <v>230</v>
      </c>
      <c r="C52" s="378" t="s">
        <v>1776</v>
      </c>
      <c r="D52" s="378" t="s">
        <v>1239</v>
      </c>
      <c r="E52" s="378" t="s">
        <v>1827</v>
      </c>
      <c r="F52" s="378" t="s">
        <v>231</v>
      </c>
      <c r="G52" s="378"/>
      <c r="H52" s="378"/>
      <c r="I52" s="378"/>
      <c r="J52" s="378"/>
      <c r="K52" s="378"/>
      <c r="L52" s="378"/>
      <c r="M52" s="378"/>
      <c r="N52" s="378"/>
      <c r="O52" s="378"/>
      <c r="P52" s="378"/>
      <c r="Q52" s="378"/>
      <c r="R52" s="378"/>
      <c r="S52" s="378"/>
      <c r="T52" s="378"/>
      <c r="U52" s="378"/>
      <c r="V52" s="378"/>
      <c r="W52" s="378"/>
      <c r="X52" s="378"/>
      <c r="Y52" s="378"/>
      <c r="Z52" s="378"/>
    </row>
    <row r="53" ht="16.5" customHeight="1">
      <c r="A53" s="378" t="s">
        <v>227</v>
      </c>
      <c r="B53" s="378" t="s">
        <v>232</v>
      </c>
      <c r="C53" s="378" t="s">
        <v>1776</v>
      </c>
      <c r="D53" s="378" t="s">
        <v>1240</v>
      </c>
      <c r="E53" s="378" t="s">
        <v>1828</v>
      </c>
      <c r="F53" s="378" t="s">
        <v>233</v>
      </c>
      <c r="G53" s="378"/>
      <c r="H53" s="378"/>
      <c r="I53" s="378"/>
      <c r="J53" s="378"/>
      <c r="K53" s="378"/>
      <c r="L53" s="378"/>
      <c r="M53" s="378"/>
      <c r="N53" s="378"/>
      <c r="O53" s="378"/>
      <c r="P53" s="378"/>
      <c r="Q53" s="378"/>
      <c r="R53" s="378"/>
      <c r="S53" s="378"/>
      <c r="T53" s="378"/>
      <c r="U53" s="378"/>
      <c r="V53" s="378"/>
      <c r="W53" s="378"/>
      <c r="X53" s="378"/>
      <c r="Y53" s="378"/>
      <c r="Z53" s="378"/>
    </row>
    <row r="54" ht="16.5" customHeight="1">
      <c r="A54" s="378" t="s">
        <v>227</v>
      </c>
      <c r="B54" s="378" t="s">
        <v>234</v>
      </c>
      <c r="C54" s="378" t="s">
        <v>1776</v>
      </c>
      <c r="D54" s="378" t="s">
        <v>1241</v>
      </c>
      <c r="E54" s="378" t="s">
        <v>1829</v>
      </c>
      <c r="F54" s="378" t="s">
        <v>235</v>
      </c>
      <c r="G54" s="378"/>
      <c r="H54" s="378"/>
      <c r="I54" s="378"/>
      <c r="J54" s="378"/>
      <c r="K54" s="378"/>
      <c r="L54" s="378"/>
      <c r="M54" s="378"/>
      <c r="N54" s="378"/>
      <c r="O54" s="378"/>
      <c r="P54" s="378"/>
      <c r="Q54" s="378"/>
      <c r="R54" s="378"/>
      <c r="S54" s="378"/>
      <c r="T54" s="378"/>
      <c r="U54" s="378"/>
      <c r="V54" s="378"/>
      <c r="W54" s="378"/>
      <c r="X54" s="378"/>
      <c r="Y54" s="378"/>
      <c r="Z54" s="378"/>
    </row>
    <row r="55" ht="16.5" customHeight="1">
      <c r="A55" s="378" t="s">
        <v>227</v>
      </c>
      <c r="B55" s="378" t="s">
        <v>236</v>
      </c>
      <c r="C55" s="378" t="s">
        <v>1776</v>
      </c>
      <c r="D55" s="378" t="s">
        <v>1242</v>
      </c>
      <c r="E55" s="378" t="s">
        <v>1830</v>
      </c>
      <c r="F55" s="378" t="s">
        <v>237</v>
      </c>
      <c r="G55" s="378"/>
      <c r="H55" s="378"/>
      <c r="I55" s="378"/>
      <c r="J55" s="378"/>
      <c r="K55" s="378"/>
      <c r="L55" s="378"/>
      <c r="M55" s="378"/>
      <c r="N55" s="378"/>
      <c r="O55" s="378"/>
      <c r="P55" s="378"/>
      <c r="Q55" s="378"/>
      <c r="R55" s="378"/>
      <c r="S55" s="378"/>
      <c r="T55" s="378"/>
      <c r="U55" s="378"/>
      <c r="V55" s="378"/>
      <c r="W55" s="378"/>
      <c r="X55" s="378"/>
      <c r="Y55" s="378"/>
      <c r="Z55" s="378"/>
    </row>
    <row r="56" ht="16.5" customHeight="1">
      <c r="A56" s="378" t="s">
        <v>227</v>
      </c>
      <c r="B56" s="378" t="s">
        <v>238</v>
      </c>
      <c r="C56" s="378" t="s">
        <v>1776</v>
      </c>
      <c r="D56" s="378" t="s">
        <v>1243</v>
      </c>
      <c r="E56" s="378" t="s">
        <v>1831</v>
      </c>
      <c r="F56" s="378" t="s">
        <v>239</v>
      </c>
      <c r="G56" s="378"/>
      <c r="H56" s="378"/>
      <c r="I56" s="378"/>
      <c r="J56" s="378"/>
      <c r="K56" s="378"/>
      <c r="L56" s="378"/>
      <c r="M56" s="378"/>
      <c r="N56" s="378"/>
      <c r="O56" s="378"/>
      <c r="P56" s="378"/>
      <c r="Q56" s="378"/>
      <c r="R56" s="378"/>
      <c r="S56" s="378"/>
      <c r="T56" s="378"/>
      <c r="U56" s="378"/>
      <c r="V56" s="378"/>
      <c r="W56" s="378"/>
      <c r="X56" s="378"/>
      <c r="Y56" s="378"/>
      <c r="Z56" s="378"/>
    </row>
    <row r="57" ht="16.5" customHeight="1">
      <c r="A57" s="378" t="s">
        <v>227</v>
      </c>
      <c r="B57" s="378" t="s">
        <v>240</v>
      </c>
      <c r="C57" s="378" t="s">
        <v>1776</v>
      </c>
      <c r="D57" s="378" t="s">
        <v>1244</v>
      </c>
      <c r="E57" s="378" t="s">
        <v>1832</v>
      </c>
      <c r="F57" s="378" t="s">
        <v>241</v>
      </c>
      <c r="G57" s="378"/>
      <c r="H57" s="378"/>
      <c r="I57" s="378"/>
      <c r="J57" s="378"/>
      <c r="K57" s="378"/>
      <c r="L57" s="378"/>
      <c r="M57" s="378"/>
      <c r="N57" s="378"/>
      <c r="O57" s="378"/>
      <c r="P57" s="378"/>
      <c r="Q57" s="378"/>
      <c r="R57" s="378"/>
      <c r="S57" s="378"/>
      <c r="T57" s="378"/>
      <c r="U57" s="378"/>
      <c r="V57" s="378"/>
      <c r="W57" s="378"/>
      <c r="X57" s="378"/>
      <c r="Y57" s="378"/>
      <c r="Z57" s="378"/>
    </row>
    <row r="58" ht="16.5" customHeight="1">
      <c r="A58" s="378" t="s">
        <v>227</v>
      </c>
      <c r="B58" s="378" t="s">
        <v>242</v>
      </c>
      <c r="C58" s="378" t="s">
        <v>1776</v>
      </c>
      <c r="D58" s="378" t="s">
        <v>1245</v>
      </c>
      <c r="E58" s="378" t="s">
        <v>1833</v>
      </c>
      <c r="F58" s="378" t="s">
        <v>243</v>
      </c>
      <c r="G58" s="378"/>
      <c r="H58" s="378"/>
      <c r="I58" s="378"/>
      <c r="J58" s="378"/>
      <c r="K58" s="378"/>
      <c r="L58" s="378"/>
      <c r="M58" s="378"/>
      <c r="N58" s="378"/>
      <c r="O58" s="378"/>
      <c r="P58" s="378"/>
      <c r="Q58" s="378"/>
      <c r="R58" s="378"/>
      <c r="S58" s="378"/>
      <c r="T58" s="378"/>
      <c r="U58" s="378"/>
      <c r="V58" s="378"/>
      <c r="W58" s="378"/>
      <c r="X58" s="378"/>
      <c r="Y58" s="378"/>
      <c r="Z58" s="378"/>
    </row>
    <row r="59" ht="16.5" customHeight="1">
      <c r="A59" s="378" t="s">
        <v>227</v>
      </c>
      <c r="B59" s="378" t="s">
        <v>244</v>
      </c>
      <c r="C59" s="378" t="s">
        <v>1776</v>
      </c>
      <c r="D59" s="378" t="s">
        <v>1248</v>
      </c>
      <c r="E59" s="378" t="s">
        <v>1834</v>
      </c>
      <c r="F59" s="378" t="s">
        <v>245</v>
      </c>
      <c r="G59" s="378"/>
      <c r="H59" s="378"/>
      <c r="I59" s="378"/>
      <c r="J59" s="378"/>
      <c r="K59" s="378"/>
      <c r="L59" s="378"/>
      <c r="M59" s="378"/>
      <c r="N59" s="378"/>
      <c r="O59" s="378"/>
      <c r="P59" s="378"/>
      <c r="Q59" s="378"/>
      <c r="R59" s="378"/>
      <c r="S59" s="378"/>
      <c r="T59" s="378"/>
      <c r="U59" s="378"/>
      <c r="V59" s="378"/>
      <c r="W59" s="378"/>
      <c r="X59" s="378"/>
      <c r="Y59" s="378"/>
      <c r="Z59" s="378"/>
    </row>
    <row r="60" ht="16.5" customHeight="1">
      <c r="A60" s="378" t="s">
        <v>227</v>
      </c>
      <c r="B60" s="378" t="s">
        <v>246</v>
      </c>
      <c r="C60" s="378" t="s">
        <v>1776</v>
      </c>
      <c r="D60" s="378" t="s">
        <v>1250</v>
      </c>
      <c r="E60" s="378" t="s">
        <v>1835</v>
      </c>
      <c r="F60" s="378" t="s">
        <v>247</v>
      </c>
      <c r="G60" s="378"/>
      <c r="H60" s="378"/>
      <c r="I60" s="378"/>
      <c r="J60" s="378"/>
      <c r="K60" s="378"/>
      <c r="L60" s="378"/>
      <c r="M60" s="378"/>
      <c r="N60" s="378"/>
      <c r="O60" s="378"/>
      <c r="P60" s="378"/>
      <c r="Q60" s="378"/>
      <c r="R60" s="378"/>
      <c r="S60" s="378"/>
      <c r="T60" s="378"/>
      <c r="U60" s="378"/>
      <c r="V60" s="378"/>
      <c r="W60" s="378"/>
      <c r="X60" s="378"/>
      <c r="Y60" s="378"/>
      <c r="Z60" s="378"/>
    </row>
    <row r="61" ht="16.5" customHeight="1">
      <c r="A61" s="378" t="s">
        <v>227</v>
      </c>
      <c r="B61" s="378" t="s">
        <v>248</v>
      </c>
      <c r="C61" s="378" t="s">
        <v>1776</v>
      </c>
      <c r="D61" s="378" t="s">
        <v>1251</v>
      </c>
      <c r="E61" s="378" t="s">
        <v>1836</v>
      </c>
      <c r="F61" s="378" t="s">
        <v>249</v>
      </c>
      <c r="G61" s="378"/>
      <c r="H61" s="378"/>
      <c r="I61" s="378"/>
      <c r="J61" s="378"/>
      <c r="K61" s="378"/>
      <c r="L61" s="378"/>
      <c r="M61" s="378"/>
      <c r="N61" s="378"/>
      <c r="O61" s="378"/>
      <c r="P61" s="378"/>
      <c r="Q61" s="378"/>
      <c r="R61" s="378"/>
      <c r="S61" s="378"/>
      <c r="T61" s="378"/>
      <c r="U61" s="378"/>
      <c r="V61" s="378"/>
      <c r="W61" s="378"/>
      <c r="X61" s="378"/>
      <c r="Y61" s="378"/>
      <c r="Z61" s="378"/>
    </row>
    <row r="62" ht="16.5" customHeight="1">
      <c r="A62" s="378" t="s">
        <v>227</v>
      </c>
      <c r="B62" s="378" t="s">
        <v>250</v>
      </c>
      <c r="C62" s="378" t="s">
        <v>1776</v>
      </c>
      <c r="D62" s="378" t="s">
        <v>1252</v>
      </c>
      <c r="E62" s="378" t="s">
        <v>1837</v>
      </c>
      <c r="F62" s="378" t="s">
        <v>251</v>
      </c>
      <c r="G62" s="378"/>
      <c r="H62" s="378"/>
      <c r="I62" s="378"/>
      <c r="J62" s="378"/>
      <c r="K62" s="378"/>
      <c r="L62" s="378"/>
      <c r="M62" s="378"/>
      <c r="N62" s="378"/>
      <c r="O62" s="378"/>
      <c r="P62" s="378"/>
      <c r="Q62" s="378"/>
      <c r="R62" s="378"/>
      <c r="S62" s="378"/>
      <c r="T62" s="378"/>
      <c r="U62" s="378"/>
      <c r="V62" s="378"/>
      <c r="W62" s="378"/>
      <c r="X62" s="378"/>
      <c r="Y62" s="378"/>
      <c r="Z62" s="378"/>
    </row>
    <row r="63" ht="16.5" customHeight="1">
      <c r="A63" s="378" t="s">
        <v>227</v>
      </c>
      <c r="B63" s="378" t="s">
        <v>252</v>
      </c>
      <c r="C63" s="378" t="s">
        <v>1776</v>
      </c>
      <c r="D63" s="378" t="s">
        <v>1254</v>
      </c>
      <c r="E63" s="378" t="s">
        <v>1838</v>
      </c>
      <c r="F63" s="378" t="s">
        <v>253</v>
      </c>
      <c r="G63" s="378"/>
      <c r="H63" s="378"/>
      <c r="I63" s="378"/>
      <c r="J63" s="378"/>
      <c r="K63" s="378"/>
      <c r="L63" s="378"/>
      <c r="M63" s="378"/>
      <c r="N63" s="378"/>
      <c r="O63" s="378"/>
      <c r="P63" s="378"/>
      <c r="Q63" s="378"/>
      <c r="R63" s="378"/>
      <c r="S63" s="378"/>
      <c r="T63" s="378"/>
      <c r="U63" s="378"/>
      <c r="V63" s="378"/>
      <c r="W63" s="378"/>
      <c r="X63" s="378"/>
      <c r="Y63" s="378"/>
      <c r="Z63" s="378"/>
    </row>
    <row r="64" ht="16.5" customHeight="1">
      <c r="A64" s="378" t="s">
        <v>227</v>
      </c>
      <c r="B64" s="378" t="s">
        <v>254</v>
      </c>
      <c r="C64" s="378" t="s">
        <v>1776</v>
      </c>
      <c r="D64" s="378" t="s">
        <v>1255</v>
      </c>
      <c r="E64" s="378" t="s">
        <v>1839</v>
      </c>
      <c r="F64" s="378" t="s">
        <v>255</v>
      </c>
      <c r="G64" s="378"/>
      <c r="H64" s="378"/>
      <c r="I64" s="378"/>
      <c r="J64" s="378"/>
      <c r="K64" s="378"/>
      <c r="L64" s="378"/>
      <c r="M64" s="378"/>
      <c r="N64" s="378"/>
      <c r="O64" s="378"/>
      <c r="P64" s="378"/>
      <c r="Q64" s="378"/>
      <c r="R64" s="378"/>
      <c r="S64" s="378"/>
      <c r="T64" s="378"/>
      <c r="U64" s="378"/>
      <c r="V64" s="378"/>
      <c r="W64" s="378"/>
      <c r="X64" s="378"/>
      <c r="Y64" s="378"/>
      <c r="Z64" s="378"/>
    </row>
    <row r="65" ht="16.5" customHeight="1">
      <c r="A65" s="378" t="s">
        <v>227</v>
      </c>
      <c r="B65" s="378" t="s">
        <v>256</v>
      </c>
      <c r="C65" s="378" t="s">
        <v>1776</v>
      </c>
      <c r="D65" s="378" t="s">
        <v>1256</v>
      </c>
      <c r="E65" s="378" t="s">
        <v>1840</v>
      </c>
      <c r="F65" s="378" t="s">
        <v>257</v>
      </c>
      <c r="G65" s="378"/>
      <c r="H65" s="378"/>
      <c r="I65" s="378"/>
      <c r="J65" s="378"/>
      <c r="K65" s="378"/>
      <c r="L65" s="378"/>
      <c r="M65" s="378"/>
      <c r="N65" s="378"/>
      <c r="O65" s="378"/>
      <c r="P65" s="378"/>
      <c r="Q65" s="378"/>
      <c r="R65" s="378"/>
      <c r="S65" s="378"/>
      <c r="T65" s="378"/>
      <c r="U65" s="378"/>
      <c r="V65" s="378"/>
      <c r="W65" s="378"/>
      <c r="X65" s="378"/>
      <c r="Y65" s="378"/>
      <c r="Z65" s="378"/>
    </row>
    <row r="66" ht="16.5" customHeight="1">
      <c r="A66" s="378" t="s">
        <v>227</v>
      </c>
      <c r="B66" s="378" t="s">
        <v>258</v>
      </c>
      <c r="C66" s="378" t="s">
        <v>1776</v>
      </c>
      <c r="D66" s="378" t="s">
        <v>1258</v>
      </c>
      <c r="E66" s="378" t="s">
        <v>1841</v>
      </c>
      <c r="F66" s="378" t="s">
        <v>259</v>
      </c>
      <c r="G66" s="378"/>
      <c r="H66" s="378"/>
      <c r="I66" s="378"/>
      <c r="J66" s="378"/>
      <c r="K66" s="378"/>
      <c r="L66" s="378"/>
      <c r="M66" s="378"/>
      <c r="N66" s="378"/>
      <c r="O66" s="378"/>
      <c r="P66" s="378"/>
      <c r="Q66" s="378"/>
      <c r="R66" s="378"/>
      <c r="S66" s="378"/>
      <c r="T66" s="378"/>
      <c r="U66" s="378"/>
      <c r="V66" s="378"/>
      <c r="W66" s="378"/>
      <c r="X66" s="378"/>
      <c r="Y66" s="378"/>
      <c r="Z66" s="378"/>
    </row>
    <row r="67" ht="16.5" customHeight="1">
      <c r="A67" s="378" t="s">
        <v>227</v>
      </c>
      <c r="B67" s="378" t="s">
        <v>260</v>
      </c>
      <c r="C67" s="378" t="s">
        <v>1776</v>
      </c>
      <c r="D67" s="378" t="s">
        <v>1259</v>
      </c>
      <c r="E67" s="378" t="s">
        <v>1842</v>
      </c>
      <c r="F67" s="378" t="s">
        <v>261</v>
      </c>
      <c r="G67" s="378"/>
      <c r="H67" s="378"/>
      <c r="I67" s="378"/>
      <c r="J67" s="378"/>
      <c r="K67" s="378"/>
      <c r="L67" s="378"/>
      <c r="M67" s="378"/>
      <c r="N67" s="378"/>
      <c r="O67" s="378"/>
      <c r="P67" s="378"/>
      <c r="Q67" s="378"/>
      <c r="R67" s="378"/>
      <c r="S67" s="378"/>
      <c r="T67" s="378"/>
      <c r="U67" s="378"/>
      <c r="V67" s="378"/>
      <c r="W67" s="378"/>
      <c r="X67" s="378"/>
      <c r="Y67" s="378"/>
      <c r="Z67" s="378"/>
    </row>
    <row r="68" ht="16.5" customHeight="1">
      <c r="A68" s="378" t="s">
        <v>227</v>
      </c>
      <c r="B68" s="378" t="s">
        <v>262</v>
      </c>
      <c r="C68" s="378" t="s">
        <v>1776</v>
      </c>
      <c r="D68" s="378" t="s">
        <v>1261</v>
      </c>
      <c r="E68" s="378" t="s">
        <v>1843</v>
      </c>
      <c r="F68" s="378" t="s">
        <v>263</v>
      </c>
      <c r="G68" s="378"/>
      <c r="H68" s="378"/>
      <c r="I68" s="378"/>
      <c r="J68" s="378"/>
      <c r="K68" s="378"/>
      <c r="L68" s="378"/>
      <c r="M68" s="378"/>
      <c r="N68" s="378"/>
      <c r="O68" s="378"/>
      <c r="P68" s="378"/>
      <c r="Q68" s="378"/>
      <c r="R68" s="378"/>
      <c r="S68" s="378"/>
      <c r="T68" s="378"/>
      <c r="U68" s="378"/>
      <c r="V68" s="378"/>
      <c r="W68" s="378"/>
      <c r="X68" s="378"/>
      <c r="Y68" s="378"/>
      <c r="Z68" s="378"/>
    </row>
    <row r="69" ht="16.5" customHeight="1">
      <c r="A69" s="378" t="s">
        <v>227</v>
      </c>
      <c r="B69" s="378" t="s">
        <v>264</v>
      </c>
      <c r="C69" s="378" t="s">
        <v>1776</v>
      </c>
      <c r="D69" s="378" t="s">
        <v>1262</v>
      </c>
      <c r="E69" s="378" t="s">
        <v>1844</v>
      </c>
      <c r="F69" s="378" t="s">
        <v>265</v>
      </c>
      <c r="G69" s="378"/>
      <c r="H69" s="378"/>
      <c r="I69" s="378"/>
      <c r="J69" s="378"/>
      <c r="K69" s="378"/>
      <c r="L69" s="378"/>
      <c r="M69" s="378"/>
      <c r="N69" s="378"/>
      <c r="O69" s="378"/>
      <c r="P69" s="378"/>
      <c r="Q69" s="378"/>
      <c r="R69" s="378"/>
      <c r="S69" s="378"/>
      <c r="T69" s="378"/>
      <c r="U69" s="378"/>
      <c r="V69" s="378"/>
      <c r="W69" s="378"/>
      <c r="X69" s="378"/>
      <c r="Y69" s="378"/>
      <c r="Z69" s="378"/>
    </row>
    <row r="70" ht="16.5" customHeight="1">
      <c r="A70" s="378" t="s">
        <v>227</v>
      </c>
      <c r="B70" s="378" t="s">
        <v>266</v>
      </c>
      <c r="C70" s="378" t="s">
        <v>1776</v>
      </c>
      <c r="D70" s="378" t="s">
        <v>1263</v>
      </c>
      <c r="E70" s="378" t="s">
        <v>1845</v>
      </c>
      <c r="F70" s="378" t="s">
        <v>267</v>
      </c>
      <c r="G70" s="378"/>
      <c r="H70" s="378"/>
      <c r="I70" s="378"/>
      <c r="J70" s="378"/>
      <c r="K70" s="378"/>
      <c r="L70" s="378"/>
      <c r="M70" s="378"/>
      <c r="N70" s="378"/>
      <c r="O70" s="378"/>
      <c r="P70" s="378"/>
      <c r="Q70" s="378"/>
      <c r="R70" s="378"/>
      <c r="S70" s="378"/>
      <c r="T70" s="378"/>
      <c r="U70" s="378"/>
      <c r="V70" s="378"/>
      <c r="W70" s="378"/>
      <c r="X70" s="378"/>
      <c r="Y70" s="378"/>
      <c r="Z70" s="378"/>
    </row>
    <row r="71" ht="16.5" customHeight="1">
      <c r="A71" s="378" t="s">
        <v>227</v>
      </c>
      <c r="B71" s="378" t="s">
        <v>268</v>
      </c>
      <c r="C71" s="378" t="s">
        <v>1776</v>
      </c>
      <c r="D71" s="378" t="s">
        <v>1264</v>
      </c>
      <c r="E71" s="378" t="s">
        <v>1846</v>
      </c>
      <c r="F71" s="378" t="s">
        <v>269</v>
      </c>
      <c r="G71" s="378"/>
      <c r="H71" s="378"/>
      <c r="I71" s="378"/>
      <c r="J71" s="378"/>
      <c r="K71" s="378"/>
      <c r="L71" s="378"/>
      <c r="M71" s="378"/>
      <c r="N71" s="378"/>
      <c r="O71" s="378"/>
      <c r="P71" s="378"/>
      <c r="Q71" s="378"/>
      <c r="R71" s="378"/>
      <c r="S71" s="378"/>
      <c r="T71" s="378"/>
      <c r="U71" s="378"/>
      <c r="V71" s="378"/>
      <c r="W71" s="378"/>
      <c r="X71" s="378"/>
      <c r="Y71" s="378"/>
      <c r="Z71" s="378"/>
    </row>
    <row r="72" ht="16.5" customHeight="1">
      <c r="A72" s="378" t="s">
        <v>227</v>
      </c>
      <c r="B72" s="378" t="s">
        <v>270</v>
      </c>
      <c r="C72" s="378" t="s">
        <v>1776</v>
      </c>
      <c r="D72" s="378" t="s">
        <v>1265</v>
      </c>
      <c r="E72" s="378" t="s">
        <v>1847</v>
      </c>
      <c r="F72" s="378" t="s">
        <v>271</v>
      </c>
      <c r="G72" s="378"/>
      <c r="H72" s="378"/>
      <c r="I72" s="378"/>
      <c r="J72" s="378"/>
      <c r="K72" s="378"/>
      <c r="L72" s="378"/>
      <c r="M72" s="378"/>
      <c r="N72" s="378"/>
      <c r="O72" s="378"/>
      <c r="P72" s="378"/>
      <c r="Q72" s="378"/>
      <c r="R72" s="378"/>
      <c r="S72" s="378"/>
      <c r="T72" s="378"/>
      <c r="U72" s="378"/>
      <c r="V72" s="378"/>
      <c r="W72" s="378"/>
      <c r="X72" s="378"/>
      <c r="Y72" s="378"/>
      <c r="Z72" s="378"/>
    </row>
    <row r="73" ht="16.5" customHeight="1">
      <c r="A73" s="378" t="s">
        <v>227</v>
      </c>
      <c r="B73" s="378" t="s">
        <v>272</v>
      </c>
      <c r="C73" s="378" t="s">
        <v>1776</v>
      </c>
      <c r="D73" s="378" t="s">
        <v>1266</v>
      </c>
      <c r="E73" s="378" t="s">
        <v>1848</v>
      </c>
      <c r="F73" s="378" t="s">
        <v>273</v>
      </c>
      <c r="G73" s="378"/>
      <c r="H73" s="378"/>
      <c r="I73" s="378"/>
      <c r="J73" s="378"/>
      <c r="K73" s="378"/>
      <c r="L73" s="378"/>
      <c r="M73" s="378"/>
      <c r="N73" s="378"/>
      <c r="O73" s="378"/>
      <c r="P73" s="378"/>
      <c r="Q73" s="378"/>
      <c r="R73" s="378"/>
      <c r="S73" s="378"/>
      <c r="T73" s="378"/>
      <c r="U73" s="378"/>
      <c r="V73" s="378"/>
      <c r="W73" s="378"/>
      <c r="X73" s="378"/>
      <c r="Y73" s="378"/>
      <c r="Z73" s="378"/>
    </row>
    <row r="74" ht="16.5" customHeight="1">
      <c r="A74" s="378" t="s">
        <v>227</v>
      </c>
      <c r="B74" s="378" t="s">
        <v>274</v>
      </c>
      <c r="C74" s="378" t="s">
        <v>1776</v>
      </c>
      <c r="D74" s="378" t="s">
        <v>1267</v>
      </c>
      <c r="E74" s="378" t="s">
        <v>1849</v>
      </c>
      <c r="F74" s="378" t="s">
        <v>275</v>
      </c>
      <c r="G74" s="378"/>
      <c r="H74" s="378"/>
      <c r="I74" s="378"/>
      <c r="J74" s="378"/>
      <c r="K74" s="378"/>
      <c r="L74" s="378"/>
      <c r="M74" s="378"/>
      <c r="N74" s="378"/>
      <c r="O74" s="378"/>
      <c r="P74" s="378"/>
      <c r="Q74" s="378"/>
      <c r="R74" s="378"/>
      <c r="S74" s="378"/>
      <c r="T74" s="378"/>
      <c r="U74" s="378"/>
      <c r="V74" s="378"/>
      <c r="W74" s="378"/>
      <c r="X74" s="378"/>
      <c r="Y74" s="378"/>
      <c r="Z74" s="378"/>
    </row>
    <row r="75" ht="16.5" customHeight="1">
      <c r="A75" s="378" t="s">
        <v>227</v>
      </c>
      <c r="B75" s="378" t="s">
        <v>276</v>
      </c>
      <c r="C75" s="378" t="s">
        <v>1776</v>
      </c>
      <c r="D75" s="378" t="s">
        <v>1268</v>
      </c>
      <c r="E75" s="378" t="s">
        <v>1850</v>
      </c>
      <c r="F75" s="378" t="s">
        <v>277</v>
      </c>
      <c r="G75" s="378"/>
      <c r="H75" s="378"/>
      <c r="I75" s="378"/>
      <c r="J75" s="378"/>
      <c r="K75" s="378"/>
      <c r="L75" s="378"/>
      <c r="M75" s="378"/>
      <c r="N75" s="378"/>
      <c r="O75" s="378"/>
      <c r="P75" s="378"/>
      <c r="Q75" s="378"/>
      <c r="R75" s="378"/>
      <c r="S75" s="378"/>
      <c r="T75" s="378"/>
      <c r="U75" s="378"/>
      <c r="V75" s="378"/>
      <c r="W75" s="378"/>
      <c r="X75" s="378"/>
      <c r="Y75" s="378"/>
      <c r="Z75" s="378"/>
    </row>
    <row r="76" ht="16.5" customHeight="1">
      <c r="A76" s="378" t="s">
        <v>227</v>
      </c>
      <c r="B76" s="378" t="s">
        <v>278</v>
      </c>
      <c r="C76" s="378" t="s">
        <v>1776</v>
      </c>
      <c r="D76" s="378" t="s">
        <v>1269</v>
      </c>
      <c r="E76" s="378" t="s">
        <v>1851</v>
      </c>
      <c r="F76" s="378" t="s">
        <v>279</v>
      </c>
      <c r="G76" s="378"/>
      <c r="H76" s="378"/>
      <c r="I76" s="378"/>
      <c r="J76" s="378"/>
      <c r="K76" s="378"/>
      <c r="L76" s="378"/>
      <c r="M76" s="378"/>
      <c r="N76" s="378"/>
      <c r="O76" s="378"/>
      <c r="P76" s="378"/>
      <c r="Q76" s="378"/>
      <c r="R76" s="378"/>
      <c r="S76" s="378"/>
      <c r="T76" s="378"/>
      <c r="U76" s="378"/>
      <c r="V76" s="378"/>
      <c r="W76" s="378"/>
      <c r="X76" s="378"/>
      <c r="Y76" s="378"/>
      <c r="Z76" s="378"/>
    </row>
    <row r="77" ht="16.5" customHeight="1">
      <c r="A77" s="378" t="s">
        <v>227</v>
      </c>
      <c r="B77" s="378" t="s">
        <v>280</v>
      </c>
      <c r="C77" s="378" t="s">
        <v>1776</v>
      </c>
      <c r="D77" s="378" t="s">
        <v>1271</v>
      </c>
      <c r="E77" s="378" t="s">
        <v>1852</v>
      </c>
      <c r="F77" s="378" t="s">
        <v>281</v>
      </c>
      <c r="G77" s="378"/>
      <c r="H77" s="378"/>
      <c r="I77" s="378"/>
      <c r="J77" s="378"/>
      <c r="K77" s="378"/>
      <c r="L77" s="378"/>
      <c r="M77" s="378"/>
      <c r="N77" s="378"/>
      <c r="O77" s="378"/>
      <c r="P77" s="378"/>
      <c r="Q77" s="378"/>
      <c r="R77" s="378"/>
      <c r="S77" s="378"/>
      <c r="T77" s="378"/>
      <c r="U77" s="378"/>
      <c r="V77" s="378"/>
      <c r="W77" s="378"/>
      <c r="X77" s="378"/>
      <c r="Y77" s="378"/>
      <c r="Z77" s="378"/>
    </row>
    <row r="78" ht="16.5" customHeight="1">
      <c r="A78" s="378" t="s">
        <v>227</v>
      </c>
      <c r="B78" s="378" t="s">
        <v>282</v>
      </c>
      <c r="C78" s="378" t="s">
        <v>1776</v>
      </c>
      <c r="D78" s="378" t="s">
        <v>1273</v>
      </c>
      <c r="E78" s="378" t="s">
        <v>1853</v>
      </c>
      <c r="F78" s="378" t="s">
        <v>283</v>
      </c>
      <c r="G78" s="378"/>
      <c r="H78" s="378"/>
      <c r="I78" s="378"/>
      <c r="J78" s="378"/>
      <c r="K78" s="378"/>
      <c r="L78" s="378"/>
      <c r="M78" s="378"/>
      <c r="N78" s="378"/>
      <c r="O78" s="378"/>
      <c r="P78" s="378"/>
      <c r="Q78" s="378"/>
      <c r="R78" s="378"/>
      <c r="S78" s="378"/>
      <c r="T78" s="378"/>
      <c r="U78" s="378"/>
      <c r="V78" s="378"/>
      <c r="W78" s="378"/>
      <c r="X78" s="378"/>
      <c r="Y78" s="378"/>
      <c r="Z78" s="378"/>
    </row>
    <row r="79" ht="16.5" customHeight="1">
      <c r="A79" s="378" t="s">
        <v>227</v>
      </c>
      <c r="B79" s="378" t="s">
        <v>284</v>
      </c>
      <c r="C79" s="378" t="s">
        <v>1776</v>
      </c>
      <c r="D79" s="378" t="s">
        <v>1275</v>
      </c>
      <c r="E79" s="378" t="s">
        <v>1854</v>
      </c>
      <c r="F79" s="378" t="s">
        <v>285</v>
      </c>
      <c r="G79" s="378"/>
      <c r="H79" s="378"/>
      <c r="I79" s="378"/>
      <c r="J79" s="378"/>
      <c r="K79" s="378"/>
      <c r="L79" s="378"/>
      <c r="M79" s="378"/>
      <c r="N79" s="378"/>
      <c r="O79" s="378"/>
      <c r="P79" s="378"/>
      <c r="Q79" s="378"/>
      <c r="R79" s="378"/>
      <c r="S79" s="378"/>
      <c r="T79" s="378"/>
      <c r="U79" s="378"/>
      <c r="V79" s="378"/>
      <c r="W79" s="378"/>
      <c r="X79" s="378"/>
      <c r="Y79" s="378"/>
      <c r="Z79" s="378"/>
    </row>
    <row r="80" ht="16.5" customHeight="1">
      <c r="A80" s="378"/>
      <c r="B80" s="378"/>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row>
    <row r="81" ht="16.5" customHeight="1">
      <c r="A81" s="378" t="s">
        <v>176</v>
      </c>
      <c r="B81" s="378" t="s">
        <v>388</v>
      </c>
      <c r="C81" s="378" t="s">
        <v>1776</v>
      </c>
      <c r="D81" s="378" t="s">
        <v>1345</v>
      </c>
      <c r="E81" s="378" t="s">
        <v>1855</v>
      </c>
      <c r="F81" s="378" t="s">
        <v>389</v>
      </c>
      <c r="G81" s="378"/>
      <c r="H81" s="378"/>
      <c r="I81" s="378"/>
      <c r="J81" s="378"/>
      <c r="K81" s="378"/>
      <c r="L81" s="378"/>
      <c r="M81" s="378"/>
      <c r="N81" s="378"/>
      <c r="O81" s="378"/>
      <c r="P81" s="378"/>
      <c r="Q81" s="378"/>
      <c r="R81" s="378"/>
      <c r="S81" s="378"/>
      <c r="T81" s="378"/>
      <c r="U81" s="378"/>
      <c r="V81" s="378"/>
      <c r="W81" s="378"/>
      <c r="X81" s="378"/>
      <c r="Y81" s="378"/>
      <c r="Z81" s="378"/>
    </row>
    <row r="82" ht="16.5" customHeight="1">
      <c r="A82" s="378" t="s">
        <v>176</v>
      </c>
      <c r="B82" s="378" t="s">
        <v>391</v>
      </c>
      <c r="C82" s="378" t="s">
        <v>1776</v>
      </c>
      <c r="D82" s="378" t="s">
        <v>1856</v>
      </c>
      <c r="E82" s="378" t="s">
        <v>1857</v>
      </c>
      <c r="F82" s="378" t="s">
        <v>392</v>
      </c>
      <c r="G82" s="378"/>
      <c r="H82" s="378"/>
      <c r="I82" s="378"/>
      <c r="J82" s="378"/>
      <c r="K82" s="378"/>
      <c r="L82" s="378"/>
      <c r="M82" s="378"/>
      <c r="N82" s="378"/>
      <c r="O82" s="378"/>
      <c r="P82" s="378"/>
      <c r="Q82" s="378"/>
      <c r="R82" s="378"/>
      <c r="S82" s="378"/>
      <c r="T82" s="378"/>
      <c r="U82" s="378"/>
      <c r="V82" s="378"/>
      <c r="W82" s="378"/>
      <c r="X82" s="378"/>
      <c r="Y82" s="378"/>
      <c r="Z82" s="378"/>
    </row>
    <row r="83" ht="16.5" customHeight="1">
      <c r="A83" s="378" t="s">
        <v>176</v>
      </c>
      <c r="B83" s="378" t="s">
        <v>394</v>
      </c>
      <c r="C83" s="378" t="s">
        <v>1776</v>
      </c>
      <c r="D83" s="378" t="s">
        <v>1858</v>
      </c>
      <c r="E83" s="378" t="s">
        <v>1859</v>
      </c>
      <c r="F83" s="378" t="s">
        <v>395</v>
      </c>
      <c r="G83" s="378"/>
      <c r="H83" s="378"/>
      <c r="I83" s="378"/>
      <c r="J83" s="378"/>
      <c r="K83" s="378"/>
      <c r="L83" s="378"/>
      <c r="M83" s="378"/>
      <c r="N83" s="378"/>
      <c r="O83" s="378"/>
      <c r="P83" s="378"/>
      <c r="Q83" s="378"/>
      <c r="R83" s="378"/>
      <c r="S83" s="378"/>
      <c r="T83" s="378"/>
      <c r="U83" s="378"/>
      <c r="V83" s="378"/>
      <c r="W83" s="378"/>
      <c r="X83" s="378"/>
      <c r="Y83" s="378"/>
      <c r="Z83" s="378"/>
    </row>
    <row r="84" ht="16.5" customHeight="1">
      <c r="A84" s="378" t="s">
        <v>176</v>
      </c>
      <c r="B84" s="378" t="s">
        <v>396</v>
      </c>
      <c r="C84" s="378" t="s">
        <v>1776</v>
      </c>
      <c r="D84" s="378" t="s">
        <v>1860</v>
      </c>
      <c r="E84" s="378" t="s">
        <v>1861</v>
      </c>
      <c r="F84" s="378" t="s">
        <v>397</v>
      </c>
      <c r="G84" s="378"/>
      <c r="H84" s="378"/>
      <c r="I84" s="378"/>
      <c r="J84" s="378"/>
      <c r="K84" s="378"/>
      <c r="L84" s="378"/>
      <c r="M84" s="378"/>
      <c r="N84" s="378"/>
      <c r="O84" s="378"/>
      <c r="P84" s="378"/>
      <c r="Q84" s="378"/>
      <c r="R84" s="378"/>
      <c r="S84" s="378"/>
      <c r="T84" s="378"/>
      <c r="U84" s="378"/>
      <c r="V84" s="378"/>
      <c r="W84" s="378"/>
      <c r="X84" s="378"/>
      <c r="Y84" s="378"/>
      <c r="Z84" s="378"/>
    </row>
    <row r="85" ht="16.5" customHeight="1">
      <c r="A85" s="378" t="s">
        <v>176</v>
      </c>
      <c r="B85" s="378" t="s">
        <v>398</v>
      </c>
      <c r="C85" s="378" t="s">
        <v>1776</v>
      </c>
      <c r="D85" s="378" t="s">
        <v>1862</v>
      </c>
      <c r="E85" s="378" t="s">
        <v>1863</v>
      </c>
      <c r="F85" s="378" t="s">
        <v>399</v>
      </c>
      <c r="G85" s="378"/>
      <c r="H85" s="378"/>
      <c r="I85" s="378"/>
      <c r="J85" s="378"/>
      <c r="K85" s="378"/>
      <c r="L85" s="378"/>
      <c r="M85" s="378"/>
      <c r="N85" s="378"/>
      <c r="O85" s="378"/>
      <c r="P85" s="378"/>
      <c r="Q85" s="378"/>
      <c r="R85" s="378"/>
      <c r="S85" s="378"/>
      <c r="T85" s="378"/>
      <c r="U85" s="378"/>
      <c r="V85" s="378"/>
      <c r="W85" s="378"/>
      <c r="X85" s="378"/>
      <c r="Y85" s="378"/>
      <c r="Z85" s="378"/>
    </row>
    <row r="86" ht="16.5" customHeight="1">
      <c r="A86" s="378" t="s">
        <v>176</v>
      </c>
      <c r="B86" s="378" t="s">
        <v>400</v>
      </c>
      <c r="C86" s="378" t="s">
        <v>1776</v>
      </c>
      <c r="D86" s="378" t="s">
        <v>1864</v>
      </c>
      <c r="E86" s="378" t="s">
        <v>1865</v>
      </c>
      <c r="F86" s="378" t="s">
        <v>401</v>
      </c>
      <c r="G86" s="378"/>
      <c r="H86" s="378"/>
      <c r="I86" s="378"/>
      <c r="J86" s="378"/>
      <c r="K86" s="378"/>
      <c r="L86" s="378"/>
      <c r="M86" s="378"/>
      <c r="N86" s="378"/>
      <c r="O86" s="378"/>
      <c r="P86" s="378"/>
      <c r="Q86" s="378"/>
      <c r="R86" s="378"/>
      <c r="S86" s="378"/>
      <c r="T86" s="378"/>
      <c r="U86" s="378"/>
      <c r="V86" s="378"/>
      <c r="W86" s="378"/>
      <c r="X86" s="378"/>
      <c r="Y86" s="378"/>
      <c r="Z86" s="378"/>
    </row>
    <row r="87" ht="16.5" customHeight="1">
      <c r="A87" s="378" t="s">
        <v>176</v>
      </c>
      <c r="B87" s="378" t="s">
        <v>402</v>
      </c>
      <c r="C87" s="378" t="s">
        <v>1776</v>
      </c>
      <c r="D87" s="378" t="s">
        <v>1866</v>
      </c>
      <c r="E87" s="378" t="s">
        <v>1867</v>
      </c>
      <c r="F87" s="378" t="s">
        <v>403</v>
      </c>
      <c r="G87" s="378"/>
      <c r="H87" s="378"/>
      <c r="I87" s="378"/>
      <c r="J87" s="378"/>
      <c r="K87" s="378"/>
      <c r="L87" s="378"/>
      <c r="M87" s="378"/>
      <c r="N87" s="378"/>
      <c r="O87" s="378"/>
      <c r="P87" s="378"/>
      <c r="Q87" s="378"/>
      <c r="R87" s="378"/>
      <c r="S87" s="378"/>
      <c r="T87" s="378"/>
      <c r="U87" s="378"/>
      <c r="V87" s="378"/>
      <c r="W87" s="378"/>
      <c r="X87" s="378"/>
      <c r="Y87" s="378"/>
      <c r="Z87" s="378"/>
    </row>
    <row r="88" ht="16.5" customHeight="1">
      <c r="A88" s="378" t="s">
        <v>176</v>
      </c>
      <c r="B88" s="378" t="s">
        <v>404</v>
      </c>
      <c r="C88" s="378" t="s">
        <v>1776</v>
      </c>
      <c r="D88" s="378" t="s">
        <v>1868</v>
      </c>
      <c r="E88" s="378" t="s">
        <v>1869</v>
      </c>
      <c r="F88" s="378" t="s">
        <v>405</v>
      </c>
      <c r="G88" s="378"/>
      <c r="H88" s="378"/>
      <c r="I88" s="378"/>
      <c r="J88" s="378"/>
      <c r="K88" s="378"/>
      <c r="L88" s="378"/>
      <c r="M88" s="378"/>
      <c r="N88" s="378"/>
      <c r="O88" s="378"/>
      <c r="P88" s="378"/>
      <c r="Q88" s="378"/>
      <c r="R88" s="378"/>
      <c r="S88" s="378"/>
      <c r="T88" s="378"/>
      <c r="U88" s="378"/>
      <c r="V88" s="378"/>
      <c r="W88" s="378"/>
      <c r="X88" s="378"/>
      <c r="Y88" s="378"/>
      <c r="Z88" s="378"/>
    </row>
    <row r="89" ht="16.5" customHeight="1">
      <c r="A89" s="378" t="s">
        <v>176</v>
      </c>
      <c r="B89" s="378" t="s">
        <v>406</v>
      </c>
      <c r="C89" s="378" t="s">
        <v>1776</v>
      </c>
      <c r="D89" s="378" t="s">
        <v>1870</v>
      </c>
      <c r="E89" s="378" t="s">
        <v>1871</v>
      </c>
      <c r="F89" s="378" t="s">
        <v>407</v>
      </c>
      <c r="G89" s="378"/>
      <c r="H89" s="378"/>
      <c r="I89" s="378"/>
      <c r="J89" s="378"/>
      <c r="K89" s="378"/>
      <c r="L89" s="378"/>
      <c r="M89" s="378"/>
      <c r="N89" s="378"/>
      <c r="O89" s="378"/>
      <c r="P89" s="378"/>
      <c r="Q89" s="378"/>
      <c r="R89" s="378"/>
      <c r="S89" s="378"/>
      <c r="T89" s="378"/>
      <c r="U89" s="378"/>
      <c r="V89" s="378"/>
      <c r="W89" s="378"/>
      <c r="X89" s="378"/>
      <c r="Y89" s="378"/>
      <c r="Z89" s="378"/>
    </row>
    <row r="90" ht="16.5" customHeight="1">
      <c r="A90" s="378" t="s">
        <v>176</v>
      </c>
      <c r="B90" s="378" t="s">
        <v>410</v>
      </c>
      <c r="C90" s="378" t="s">
        <v>1776</v>
      </c>
      <c r="D90" s="378" t="s">
        <v>1355</v>
      </c>
      <c r="E90" s="378" t="s">
        <v>1356</v>
      </c>
      <c r="F90" s="378" t="s">
        <v>411</v>
      </c>
      <c r="G90" s="378"/>
      <c r="H90" s="378"/>
      <c r="I90" s="378"/>
      <c r="J90" s="378"/>
      <c r="K90" s="378"/>
      <c r="L90" s="378"/>
      <c r="M90" s="378"/>
      <c r="N90" s="378"/>
      <c r="O90" s="378"/>
      <c r="P90" s="378"/>
      <c r="Q90" s="378"/>
      <c r="R90" s="378"/>
      <c r="S90" s="378"/>
      <c r="T90" s="378"/>
      <c r="U90" s="378"/>
      <c r="V90" s="378"/>
      <c r="W90" s="378"/>
      <c r="X90" s="378"/>
      <c r="Y90" s="378"/>
      <c r="Z90" s="378"/>
    </row>
    <row r="91" ht="16.5" customHeight="1">
      <c r="A91" s="378" t="s">
        <v>176</v>
      </c>
      <c r="B91" s="378" t="s">
        <v>286</v>
      </c>
      <c r="C91" s="378" t="s">
        <v>1776</v>
      </c>
      <c r="D91" s="378" t="s">
        <v>1293</v>
      </c>
      <c r="E91" s="378" t="s">
        <v>1872</v>
      </c>
      <c r="F91" s="378" t="s">
        <v>287</v>
      </c>
      <c r="G91" s="378"/>
      <c r="H91" s="378"/>
      <c r="I91" s="378"/>
      <c r="J91" s="378"/>
      <c r="K91" s="378"/>
      <c r="L91" s="378"/>
      <c r="M91" s="378"/>
      <c r="N91" s="378"/>
      <c r="O91" s="378"/>
      <c r="P91" s="378"/>
      <c r="Q91" s="378"/>
      <c r="R91" s="378"/>
      <c r="S91" s="378"/>
      <c r="T91" s="378"/>
      <c r="U91" s="378"/>
      <c r="V91" s="378"/>
      <c r="W91" s="378"/>
      <c r="X91" s="378"/>
      <c r="Y91" s="378"/>
      <c r="Z91" s="378"/>
    </row>
    <row r="92" ht="16.5" customHeight="1">
      <c r="A92" s="378" t="s">
        <v>176</v>
      </c>
      <c r="B92" s="378" t="s">
        <v>288</v>
      </c>
      <c r="C92" s="378" t="s">
        <v>1776</v>
      </c>
      <c r="D92" s="378" t="s">
        <v>1873</v>
      </c>
      <c r="E92" s="378" t="s">
        <v>1874</v>
      </c>
      <c r="F92" s="378" t="s">
        <v>289</v>
      </c>
      <c r="G92" s="378"/>
      <c r="H92" s="378"/>
      <c r="I92" s="378"/>
      <c r="J92" s="378"/>
      <c r="K92" s="378"/>
      <c r="L92" s="378"/>
      <c r="M92" s="378"/>
      <c r="N92" s="378"/>
      <c r="O92" s="378"/>
      <c r="P92" s="378"/>
      <c r="Q92" s="378"/>
      <c r="R92" s="378"/>
      <c r="S92" s="378"/>
      <c r="T92" s="378"/>
      <c r="U92" s="378"/>
      <c r="V92" s="378"/>
      <c r="W92" s="378"/>
      <c r="X92" s="378"/>
      <c r="Y92" s="378"/>
      <c r="Z92" s="378"/>
    </row>
    <row r="93" ht="16.5" customHeight="1">
      <c r="A93" s="378" t="s">
        <v>176</v>
      </c>
      <c r="B93" s="378" t="s">
        <v>290</v>
      </c>
      <c r="C93" s="378" t="s">
        <v>1776</v>
      </c>
      <c r="D93" s="378" t="s">
        <v>1875</v>
      </c>
      <c r="E93" s="378" t="s">
        <v>1876</v>
      </c>
      <c r="F93" s="378" t="s">
        <v>291</v>
      </c>
      <c r="G93" s="378"/>
      <c r="H93" s="378"/>
      <c r="I93" s="378"/>
      <c r="J93" s="378"/>
      <c r="K93" s="378"/>
      <c r="L93" s="378"/>
      <c r="M93" s="378"/>
      <c r="N93" s="378"/>
      <c r="O93" s="378"/>
      <c r="P93" s="378"/>
      <c r="Q93" s="378"/>
      <c r="R93" s="378"/>
      <c r="S93" s="378"/>
      <c r="T93" s="378"/>
      <c r="U93" s="378"/>
      <c r="V93" s="378"/>
      <c r="W93" s="378"/>
      <c r="X93" s="378"/>
      <c r="Y93" s="378"/>
      <c r="Z93" s="378"/>
    </row>
    <row r="94" ht="16.5" customHeight="1">
      <c r="A94" s="378" t="s">
        <v>176</v>
      </c>
      <c r="B94" s="378" t="s">
        <v>292</v>
      </c>
      <c r="C94" s="378" t="s">
        <v>1776</v>
      </c>
      <c r="D94" s="378" t="s">
        <v>1877</v>
      </c>
      <c r="E94" s="378" t="s">
        <v>1878</v>
      </c>
      <c r="F94" s="378" t="s">
        <v>293</v>
      </c>
      <c r="G94" s="378"/>
      <c r="H94" s="378"/>
      <c r="I94" s="378"/>
      <c r="J94" s="378"/>
      <c r="K94" s="378"/>
      <c r="L94" s="378"/>
      <c r="M94" s="378"/>
      <c r="N94" s="378"/>
      <c r="O94" s="378"/>
      <c r="P94" s="378"/>
      <c r="Q94" s="378"/>
      <c r="R94" s="378"/>
      <c r="S94" s="378"/>
      <c r="T94" s="378"/>
      <c r="U94" s="378"/>
      <c r="V94" s="378"/>
      <c r="W94" s="378"/>
      <c r="X94" s="378"/>
      <c r="Y94" s="378"/>
      <c r="Z94" s="378"/>
    </row>
    <row r="95" ht="16.5" customHeight="1">
      <c r="A95" s="378" t="s">
        <v>176</v>
      </c>
      <c r="B95" s="378" t="s">
        <v>294</v>
      </c>
      <c r="C95" s="378" t="s">
        <v>1776</v>
      </c>
      <c r="D95" s="378" t="s">
        <v>1299</v>
      </c>
      <c r="E95" s="378" t="s">
        <v>1879</v>
      </c>
      <c r="F95" s="378" t="s">
        <v>295</v>
      </c>
      <c r="G95" s="378"/>
      <c r="H95" s="378"/>
      <c r="I95" s="378"/>
      <c r="J95" s="378"/>
      <c r="K95" s="378"/>
      <c r="L95" s="378"/>
      <c r="M95" s="378"/>
      <c r="N95" s="378"/>
      <c r="O95" s="378"/>
      <c r="P95" s="378"/>
      <c r="Q95" s="378"/>
      <c r="R95" s="378"/>
      <c r="S95" s="378"/>
      <c r="T95" s="378"/>
      <c r="U95" s="378"/>
      <c r="V95" s="378"/>
      <c r="W95" s="378"/>
      <c r="X95" s="378"/>
      <c r="Y95" s="378"/>
      <c r="Z95" s="378"/>
    </row>
    <row r="96" ht="16.5" customHeight="1">
      <c r="A96" s="378" t="s">
        <v>176</v>
      </c>
      <c r="B96" s="378" t="s">
        <v>296</v>
      </c>
      <c r="C96" s="378" t="s">
        <v>1776</v>
      </c>
      <c r="D96" s="378" t="s">
        <v>1880</v>
      </c>
      <c r="E96" s="378" t="s">
        <v>1881</v>
      </c>
      <c r="F96" s="378" t="s">
        <v>297</v>
      </c>
      <c r="G96" s="378"/>
      <c r="H96" s="378"/>
      <c r="I96" s="378"/>
      <c r="J96" s="378"/>
      <c r="K96" s="378"/>
      <c r="L96" s="378"/>
      <c r="M96" s="378"/>
      <c r="N96" s="378"/>
      <c r="O96" s="378"/>
      <c r="P96" s="378"/>
      <c r="Q96" s="378"/>
      <c r="R96" s="378"/>
      <c r="S96" s="378"/>
      <c r="T96" s="378"/>
      <c r="U96" s="378"/>
      <c r="V96" s="378"/>
      <c r="W96" s="378"/>
      <c r="X96" s="378"/>
      <c r="Y96" s="378"/>
      <c r="Z96" s="378"/>
    </row>
    <row r="97" ht="16.5" customHeight="1">
      <c r="A97" s="378" t="s">
        <v>176</v>
      </c>
      <c r="B97" s="378" t="s">
        <v>298</v>
      </c>
      <c r="C97" s="378" t="s">
        <v>1776</v>
      </c>
      <c r="D97" s="378" t="s">
        <v>1882</v>
      </c>
      <c r="E97" s="378" t="s">
        <v>1883</v>
      </c>
      <c r="F97" s="378" t="s">
        <v>299</v>
      </c>
      <c r="G97" s="378"/>
      <c r="H97" s="378"/>
      <c r="I97" s="378"/>
      <c r="J97" s="378"/>
      <c r="K97" s="378"/>
      <c r="L97" s="378"/>
      <c r="M97" s="378"/>
      <c r="N97" s="378"/>
      <c r="O97" s="378"/>
      <c r="P97" s="378"/>
      <c r="Q97" s="378"/>
      <c r="R97" s="378"/>
      <c r="S97" s="378"/>
      <c r="T97" s="378"/>
      <c r="U97" s="378"/>
      <c r="V97" s="378"/>
      <c r="W97" s="378"/>
      <c r="X97" s="378"/>
      <c r="Y97" s="378"/>
      <c r="Z97" s="378"/>
    </row>
    <row r="98" ht="16.5" customHeight="1">
      <c r="A98" s="378" t="s">
        <v>176</v>
      </c>
      <c r="B98" s="378" t="s">
        <v>300</v>
      </c>
      <c r="C98" s="378" t="s">
        <v>1776</v>
      </c>
      <c r="D98" s="378" t="s">
        <v>1884</v>
      </c>
      <c r="E98" s="378" t="s">
        <v>1885</v>
      </c>
      <c r="F98" s="378" t="s">
        <v>301</v>
      </c>
      <c r="G98" s="378"/>
      <c r="H98" s="378"/>
      <c r="I98" s="378"/>
      <c r="J98" s="378"/>
      <c r="K98" s="378"/>
      <c r="L98" s="378"/>
      <c r="M98" s="378"/>
      <c r="N98" s="378"/>
      <c r="O98" s="378"/>
      <c r="P98" s="378"/>
      <c r="Q98" s="378"/>
      <c r="R98" s="378"/>
      <c r="S98" s="378"/>
      <c r="T98" s="378"/>
      <c r="U98" s="378"/>
      <c r="V98" s="378"/>
      <c r="W98" s="378"/>
      <c r="X98" s="378"/>
      <c r="Y98" s="378"/>
      <c r="Z98" s="378"/>
    </row>
    <row r="99" ht="16.5" customHeight="1">
      <c r="A99" s="378" t="s">
        <v>176</v>
      </c>
      <c r="B99" s="378" t="s">
        <v>302</v>
      </c>
      <c r="C99" s="378" t="s">
        <v>1776</v>
      </c>
      <c r="D99" s="378" t="s">
        <v>1886</v>
      </c>
      <c r="E99" s="378" t="s">
        <v>1887</v>
      </c>
      <c r="F99" s="378" t="s">
        <v>303</v>
      </c>
      <c r="G99" s="378"/>
      <c r="H99" s="378"/>
      <c r="I99" s="378"/>
      <c r="J99" s="378"/>
      <c r="K99" s="378"/>
      <c r="L99" s="378"/>
      <c r="M99" s="378"/>
      <c r="N99" s="378"/>
      <c r="O99" s="378"/>
      <c r="P99" s="378"/>
      <c r="Q99" s="378"/>
      <c r="R99" s="378"/>
      <c r="S99" s="378"/>
      <c r="T99" s="378"/>
      <c r="U99" s="378"/>
      <c r="V99" s="378"/>
      <c r="W99" s="378"/>
      <c r="X99" s="378"/>
      <c r="Y99" s="378"/>
      <c r="Z99" s="378"/>
    </row>
    <row r="100" ht="16.5" customHeight="1">
      <c r="A100" s="378" t="s">
        <v>176</v>
      </c>
      <c r="B100" s="378" t="s">
        <v>304</v>
      </c>
      <c r="C100" s="378" t="s">
        <v>1776</v>
      </c>
      <c r="D100" s="378" t="s">
        <v>1888</v>
      </c>
      <c r="E100" s="378" t="s">
        <v>1889</v>
      </c>
      <c r="F100" s="378" t="s">
        <v>305</v>
      </c>
      <c r="G100" s="378"/>
      <c r="H100" s="378"/>
      <c r="I100" s="378"/>
      <c r="J100" s="378"/>
      <c r="K100" s="378"/>
      <c r="L100" s="378"/>
      <c r="M100" s="378"/>
      <c r="N100" s="378"/>
      <c r="O100" s="378"/>
      <c r="P100" s="378"/>
      <c r="Q100" s="378"/>
      <c r="R100" s="378"/>
      <c r="S100" s="378"/>
      <c r="T100" s="378"/>
      <c r="U100" s="378"/>
      <c r="V100" s="378"/>
      <c r="W100" s="378"/>
      <c r="X100" s="378"/>
      <c r="Y100" s="378"/>
      <c r="Z100" s="378"/>
    </row>
    <row r="101" ht="16.5" customHeight="1">
      <c r="A101" s="378" t="s">
        <v>176</v>
      </c>
      <c r="B101" s="378" t="s">
        <v>306</v>
      </c>
      <c r="C101" s="378" t="s">
        <v>1776</v>
      </c>
      <c r="D101" s="378" t="s">
        <v>1890</v>
      </c>
      <c r="E101" s="378" t="s">
        <v>1891</v>
      </c>
      <c r="F101" s="378" t="s">
        <v>307</v>
      </c>
      <c r="G101" s="378"/>
      <c r="H101" s="378"/>
      <c r="I101" s="378"/>
      <c r="J101" s="378"/>
      <c r="K101" s="378"/>
      <c r="L101" s="378"/>
      <c r="M101" s="378"/>
      <c r="N101" s="378"/>
      <c r="O101" s="378"/>
      <c r="P101" s="378"/>
      <c r="Q101" s="378"/>
      <c r="R101" s="378"/>
      <c r="S101" s="378"/>
      <c r="T101" s="378"/>
      <c r="U101" s="378"/>
      <c r="V101" s="378"/>
      <c r="W101" s="378"/>
      <c r="X101" s="378"/>
      <c r="Y101" s="378"/>
      <c r="Z101" s="378"/>
    </row>
    <row r="102" ht="16.5" customHeight="1">
      <c r="A102" s="378" t="s">
        <v>176</v>
      </c>
      <c r="B102" s="378" t="s">
        <v>308</v>
      </c>
      <c r="C102" s="378" t="s">
        <v>1776</v>
      </c>
      <c r="D102" s="378" t="s">
        <v>1892</v>
      </c>
      <c r="E102" s="378" t="s">
        <v>1893</v>
      </c>
      <c r="F102" s="378" t="s">
        <v>309</v>
      </c>
      <c r="G102" s="378"/>
      <c r="H102" s="378"/>
      <c r="I102" s="378"/>
      <c r="J102" s="378"/>
      <c r="K102" s="378"/>
      <c r="L102" s="378"/>
      <c r="M102" s="378"/>
      <c r="N102" s="378"/>
      <c r="O102" s="378"/>
      <c r="P102" s="378"/>
      <c r="Q102" s="378"/>
      <c r="R102" s="378"/>
      <c r="S102" s="378"/>
      <c r="T102" s="378"/>
      <c r="U102" s="378"/>
      <c r="V102" s="378"/>
      <c r="W102" s="378"/>
      <c r="X102" s="378"/>
      <c r="Y102" s="378"/>
      <c r="Z102" s="378"/>
    </row>
    <row r="103" ht="16.5" customHeight="1">
      <c r="A103" s="378" t="s">
        <v>176</v>
      </c>
      <c r="B103" s="378" t="s">
        <v>310</v>
      </c>
      <c r="C103" s="378" t="s">
        <v>1776</v>
      </c>
      <c r="D103" s="378" t="s">
        <v>1894</v>
      </c>
      <c r="E103" s="378" t="s">
        <v>1895</v>
      </c>
      <c r="F103" s="378" t="s">
        <v>311</v>
      </c>
      <c r="G103" s="378"/>
      <c r="H103" s="378"/>
      <c r="I103" s="378"/>
      <c r="J103" s="378"/>
      <c r="K103" s="378"/>
      <c r="L103" s="378"/>
      <c r="M103" s="378"/>
      <c r="N103" s="378"/>
      <c r="O103" s="378"/>
      <c r="P103" s="378"/>
      <c r="Q103" s="378"/>
      <c r="R103" s="378"/>
      <c r="S103" s="378"/>
      <c r="T103" s="378"/>
      <c r="U103" s="378"/>
      <c r="V103" s="378"/>
      <c r="W103" s="378"/>
      <c r="X103" s="378"/>
      <c r="Y103" s="378"/>
      <c r="Z103" s="378"/>
    </row>
    <row r="104" ht="16.5" customHeight="1">
      <c r="A104" s="378" t="s">
        <v>176</v>
      </c>
      <c r="B104" s="378" t="s">
        <v>312</v>
      </c>
      <c r="C104" s="378" t="s">
        <v>1776</v>
      </c>
      <c r="D104" s="378" t="s">
        <v>1896</v>
      </c>
      <c r="E104" s="378" t="s">
        <v>1897</v>
      </c>
      <c r="F104" s="378" t="s">
        <v>313</v>
      </c>
      <c r="G104" s="378"/>
      <c r="H104" s="378"/>
      <c r="I104" s="378"/>
      <c r="J104" s="378"/>
      <c r="K104" s="378"/>
      <c r="L104" s="378"/>
      <c r="M104" s="378"/>
      <c r="N104" s="378"/>
      <c r="O104" s="378"/>
      <c r="P104" s="378"/>
      <c r="Q104" s="378"/>
      <c r="R104" s="378"/>
      <c r="S104" s="378"/>
      <c r="T104" s="378"/>
      <c r="U104" s="378"/>
      <c r="V104" s="378"/>
      <c r="W104" s="378"/>
      <c r="X104" s="378"/>
      <c r="Y104" s="378"/>
      <c r="Z104" s="378"/>
    </row>
    <row r="105" ht="16.5" customHeight="1">
      <c r="A105" s="378" t="s">
        <v>176</v>
      </c>
      <c r="B105" s="378" t="s">
        <v>314</v>
      </c>
      <c r="C105" s="378" t="s">
        <v>1776</v>
      </c>
      <c r="D105" s="378" t="s">
        <v>1898</v>
      </c>
      <c r="E105" s="378" t="s">
        <v>1899</v>
      </c>
      <c r="F105" s="378" t="s">
        <v>315</v>
      </c>
      <c r="G105" s="378"/>
      <c r="H105" s="378"/>
      <c r="I105" s="378"/>
      <c r="J105" s="378"/>
      <c r="K105" s="378"/>
      <c r="L105" s="378"/>
      <c r="M105" s="378"/>
      <c r="N105" s="378"/>
      <c r="O105" s="378"/>
      <c r="P105" s="378"/>
      <c r="Q105" s="378"/>
      <c r="R105" s="378"/>
      <c r="S105" s="378"/>
      <c r="T105" s="378"/>
      <c r="U105" s="378"/>
      <c r="V105" s="378"/>
      <c r="W105" s="378"/>
      <c r="X105" s="378"/>
      <c r="Y105" s="378"/>
      <c r="Z105" s="378"/>
    </row>
    <row r="106" ht="16.5" customHeight="1">
      <c r="A106" s="378" t="s">
        <v>176</v>
      </c>
      <c r="B106" s="378" t="s">
        <v>316</v>
      </c>
      <c r="C106" s="378" t="s">
        <v>1776</v>
      </c>
      <c r="D106" s="378" t="s">
        <v>1312</v>
      </c>
      <c r="E106" s="378" t="s">
        <v>1900</v>
      </c>
      <c r="F106" s="378" t="s">
        <v>317</v>
      </c>
      <c r="G106" s="378"/>
      <c r="H106" s="378"/>
      <c r="I106" s="378"/>
      <c r="J106" s="378"/>
      <c r="K106" s="378"/>
      <c r="L106" s="378"/>
      <c r="M106" s="378"/>
      <c r="N106" s="378"/>
      <c r="O106" s="378"/>
      <c r="P106" s="378"/>
      <c r="Q106" s="378"/>
      <c r="R106" s="378"/>
      <c r="S106" s="378"/>
      <c r="T106" s="378"/>
      <c r="U106" s="378"/>
      <c r="V106" s="378"/>
      <c r="W106" s="378"/>
      <c r="X106" s="378"/>
      <c r="Y106" s="378"/>
      <c r="Z106" s="378"/>
    </row>
    <row r="107" ht="16.5" customHeight="1">
      <c r="A107" s="378" t="s">
        <v>176</v>
      </c>
      <c r="B107" s="378" t="s">
        <v>318</v>
      </c>
      <c r="C107" s="378" t="s">
        <v>1776</v>
      </c>
      <c r="D107" s="378" t="s">
        <v>1901</v>
      </c>
      <c r="E107" s="378" t="s">
        <v>1902</v>
      </c>
      <c r="F107" s="378" t="s">
        <v>319</v>
      </c>
      <c r="G107" s="378"/>
      <c r="H107" s="378"/>
      <c r="I107" s="378"/>
      <c r="J107" s="378"/>
      <c r="K107" s="378"/>
      <c r="L107" s="378"/>
      <c r="M107" s="378"/>
      <c r="N107" s="378"/>
      <c r="O107" s="378"/>
      <c r="P107" s="378"/>
      <c r="Q107" s="378"/>
      <c r="R107" s="378"/>
      <c r="S107" s="378"/>
      <c r="T107" s="378"/>
      <c r="U107" s="378"/>
      <c r="V107" s="378"/>
      <c r="W107" s="378"/>
      <c r="X107" s="378"/>
      <c r="Y107" s="378"/>
      <c r="Z107" s="378"/>
    </row>
    <row r="108" ht="16.5" customHeight="1">
      <c r="A108" s="378" t="s">
        <v>176</v>
      </c>
      <c r="B108" s="378" t="s">
        <v>320</v>
      </c>
      <c r="C108" s="378" t="s">
        <v>1776</v>
      </c>
      <c r="D108" s="378" t="s">
        <v>1903</v>
      </c>
      <c r="E108" s="378" t="s">
        <v>1904</v>
      </c>
      <c r="F108" s="378" t="s">
        <v>321</v>
      </c>
      <c r="G108" s="378"/>
      <c r="H108" s="378"/>
      <c r="I108" s="378"/>
      <c r="J108" s="378"/>
      <c r="K108" s="378"/>
      <c r="L108" s="378"/>
      <c r="M108" s="378"/>
      <c r="N108" s="378"/>
      <c r="O108" s="378"/>
      <c r="P108" s="378"/>
      <c r="Q108" s="378"/>
      <c r="R108" s="378"/>
      <c r="S108" s="378"/>
      <c r="T108" s="378"/>
      <c r="U108" s="378"/>
      <c r="V108" s="378"/>
      <c r="W108" s="378"/>
      <c r="X108" s="378"/>
      <c r="Y108" s="378"/>
      <c r="Z108" s="378"/>
    </row>
    <row r="109" ht="16.5" customHeight="1">
      <c r="A109" s="378" t="s">
        <v>176</v>
      </c>
      <c r="B109" s="378" t="s">
        <v>322</v>
      </c>
      <c r="C109" s="378" t="s">
        <v>1776</v>
      </c>
      <c r="D109" s="378" t="s">
        <v>1905</v>
      </c>
      <c r="E109" s="378" t="s">
        <v>1906</v>
      </c>
      <c r="F109" s="378" t="s">
        <v>323</v>
      </c>
      <c r="G109" s="378"/>
      <c r="H109" s="378"/>
      <c r="I109" s="378"/>
      <c r="J109" s="378"/>
      <c r="K109" s="378"/>
      <c r="L109" s="378"/>
      <c r="M109" s="378"/>
      <c r="N109" s="378"/>
      <c r="O109" s="378"/>
      <c r="P109" s="378"/>
      <c r="Q109" s="378"/>
      <c r="R109" s="378"/>
      <c r="S109" s="378"/>
      <c r="T109" s="378"/>
      <c r="U109" s="378"/>
      <c r="V109" s="378"/>
      <c r="W109" s="378"/>
      <c r="X109" s="378"/>
      <c r="Y109" s="378"/>
      <c r="Z109" s="378"/>
    </row>
    <row r="110" ht="16.5" customHeight="1">
      <c r="A110" s="378" t="s">
        <v>176</v>
      </c>
      <c r="B110" s="378" t="s">
        <v>324</v>
      </c>
      <c r="C110" s="378" t="s">
        <v>1776</v>
      </c>
      <c r="D110" s="378" t="s">
        <v>1907</v>
      </c>
      <c r="E110" s="378" t="s">
        <v>1908</v>
      </c>
      <c r="F110" s="378" t="s">
        <v>325</v>
      </c>
      <c r="G110" s="378"/>
      <c r="H110" s="378"/>
      <c r="I110" s="378"/>
      <c r="J110" s="378"/>
      <c r="K110" s="378"/>
      <c r="L110" s="378"/>
      <c r="M110" s="378"/>
      <c r="N110" s="378"/>
      <c r="O110" s="378"/>
      <c r="P110" s="378"/>
      <c r="Q110" s="378"/>
      <c r="R110" s="378"/>
      <c r="S110" s="378"/>
      <c r="T110" s="378"/>
      <c r="U110" s="378"/>
      <c r="V110" s="378"/>
      <c r="W110" s="378"/>
      <c r="X110" s="378"/>
      <c r="Y110" s="378"/>
      <c r="Z110" s="378"/>
    </row>
    <row r="111" ht="16.5" customHeight="1">
      <c r="A111" s="378" t="s">
        <v>176</v>
      </c>
      <c r="B111" s="378" t="s">
        <v>326</v>
      </c>
      <c r="C111" s="378" t="s">
        <v>1776</v>
      </c>
      <c r="D111" s="378" t="s">
        <v>1909</v>
      </c>
      <c r="E111" s="378" t="s">
        <v>1910</v>
      </c>
      <c r="F111" s="378" t="s">
        <v>327</v>
      </c>
      <c r="G111" s="378"/>
      <c r="H111" s="378"/>
      <c r="I111" s="378"/>
      <c r="J111" s="378"/>
      <c r="K111" s="378"/>
      <c r="L111" s="378"/>
      <c r="M111" s="378"/>
      <c r="N111" s="378"/>
      <c r="O111" s="378"/>
      <c r="P111" s="378"/>
      <c r="Q111" s="378"/>
      <c r="R111" s="378"/>
      <c r="S111" s="378"/>
      <c r="T111" s="378"/>
      <c r="U111" s="378"/>
      <c r="V111" s="378"/>
      <c r="W111" s="378"/>
      <c r="X111" s="378"/>
      <c r="Y111" s="378"/>
      <c r="Z111" s="378"/>
    </row>
    <row r="112" ht="16.5" customHeight="1">
      <c r="A112" s="378" t="s">
        <v>176</v>
      </c>
      <c r="B112" s="378" t="s">
        <v>328</v>
      </c>
      <c r="C112" s="378" t="s">
        <v>1776</v>
      </c>
      <c r="D112" s="378" t="s">
        <v>1911</v>
      </c>
      <c r="E112" s="378" t="s">
        <v>1912</v>
      </c>
      <c r="F112" s="378" t="s">
        <v>329</v>
      </c>
      <c r="G112" s="378"/>
      <c r="H112" s="378"/>
      <c r="I112" s="378"/>
      <c r="J112" s="378"/>
      <c r="K112" s="378"/>
      <c r="L112" s="378"/>
      <c r="M112" s="378"/>
      <c r="N112" s="378"/>
      <c r="O112" s="378"/>
      <c r="P112" s="378"/>
      <c r="Q112" s="378"/>
      <c r="R112" s="378"/>
      <c r="S112" s="378"/>
      <c r="T112" s="378"/>
      <c r="U112" s="378"/>
      <c r="V112" s="378"/>
      <c r="W112" s="378"/>
      <c r="X112" s="378"/>
      <c r="Y112" s="378"/>
      <c r="Z112" s="378"/>
    </row>
    <row r="113" ht="16.5" customHeight="1">
      <c r="A113" s="378" t="s">
        <v>176</v>
      </c>
      <c r="B113" s="378" t="s">
        <v>330</v>
      </c>
      <c r="C113" s="378" t="s">
        <v>1776</v>
      </c>
      <c r="D113" s="378" t="s">
        <v>1913</v>
      </c>
      <c r="E113" s="378" t="s">
        <v>1914</v>
      </c>
      <c r="F113" s="378" t="s">
        <v>331</v>
      </c>
      <c r="G113" s="378"/>
      <c r="H113" s="378"/>
      <c r="I113" s="378"/>
      <c r="J113" s="378"/>
      <c r="K113" s="378"/>
      <c r="L113" s="378"/>
      <c r="M113" s="378"/>
      <c r="N113" s="378"/>
      <c r="O113" s="378"/>
      <c r="P113" s="378"/>
      <c r="Q113" s="378"/>
      <c r="R113" s="378"/>
      <c r="S113" s="378"/>
      <c r="T113" s="378"/>
      <c r="U113" s="378"/>
      <c r="V113" s="378"/>
      <c r="W113" s="378"/>
      <c r="X113" s="378"/>
      <c r="Y113" s="378"/>
      <c r="Z113" s="378"/>
    </row>
    <row r="114" ht="16.5" customHeight="1">
      <c r="A114" s="378" t="s">
        <v>176</v>
      </c>
      <c r="B114" s="378" t="s">
        <v>332</v>
      </c>
      <c r="C114" s="378" t="s">
        <v>1776</v>
      </c>
      <c r="D114" s="378" t="s">
        <v>1915</v>
      </c>
      <c r="E114" s="378" t="s">
        <v>1916</v>
      </c>
      <c r="F114" s="378" t="s">
        <v>333</v>
      </c>
      <c r="G114" s="378"/>
      <c r="H114" s="378"/>
      <c r="I114" s="378"/>
      <c r="J114" s="378"/>
      <c r="K114" s="378"/>
      <c r="L114" s="378"/>
      <c r="M114" s="378"/>
      <c r="N114" s="378"/>
      <c r="O114" s="378"/>
      <c r="P114" s="378"/>
      <c r="Q114" s="378"/>
      <c r="R114" s="378"/>
      <c r="S114" s="378"/>
      <c r="T114" s="378"/>
      <c r="U114" s="378"/>
      <c r="V114" s="378"/>
      <c r="W114" s="378"/>
      <c r="X114" s="378"/>
      <c r="Y114" s="378"/>
      <c r="Z114" s="378"/>
    </row>
    <row r="115" ht="16.5" customHeight="1">
      <c r="A115" s="378" t="s">
        <v>176</v>
      </c>
      <c r="B115" s="378" t="s">
        <v>334</v>
      </c>
      <c r="C115" s="378" t="s">
        <v>1776</v>
      </c>
      <c r="D115" s="378" t="s">
        <v>1917</v>
      </c>
      <c r="E115" s="378" t="s">
        <v>1918</v>
      </c>
      <c r="F115" s="378" t="s">
        <v>335</v>
      </c>
      <c r="G115" s="378"/>
      <c r="H115" s="378"/>
      <c r="I115" s="378"/>
      <c r="J115" s="378"/>
      <c r="K115" s="378"/>
      <c r="L115" s="378"/>
      <c r="M115" s="378"/>
      <c r="N115" s="378"/>
      <c r="O115" s="378"/>
      <c r="P115" s="378"/>
      <c r="Q115" s="378"/>
      <c r="R115" s="378"/>
      <c r="S115" s="378"/>
      <c r="T115" s="378"/>
      <c r="U115" s="378"/>
      <c r="V115" s="378"/>
      <c r="W115" s="378"/>
      <c r="X115" s="378"/>
      <c r="Y115" s="378"/>
      <c r="Z115" s="378"/>
    </row>
    <row r="116" ht="16.5" customHeight="1">
      <c r="A116" s="378" t="s">
        <v>176</v>
      </c>
      <c r="B116" s="378" t="s">
        <v>336</v>
      </c>
      <c r="C116" s="378" t="s">
        <v>1776</v>
      </c>
      <c r="D116" s="378" t="s">
        <v>1919</v>
      </c>
      <c r="E116" s="378" t="s">
        <v>1920</v>
      </c>
      <c r="F116" s="378" t="s">
        <v>337</v>
      </c>
      <c r="G116" s="378"/>
      <c r="H116" s="378"/>
      <c r="I116" s="378"/>
      <c r="J116" s="378"/>
      <c r="K116" s="378"/>
      <c r="L116" s="378"/>
      <c r="M116" s="378"/>
      <c r="N116" s="378"/>
      <c r="O116" s="378"/>
      <c r="P116" s="378"/>
      <c r="Q116" s="378"/>
      <c r="R116" s="378"/>
      <c r="S116" s="378"/>
      <c r="T116" s="378"/>
      <c r="U116" s="378"/>
      <c r="V116" s="378"/>
      <c r="W116" s="378"/>
      <c r="X116" s="378"/>
      <c r="Y116" s="378"/>
      <c r="Z116" s="378"/>
    </row>
    <row r="117" ht="16.5" customHeight="1">
      <c r="A117" s="378" t="s">
        <v>176</v>
      </c>
      <c r="B117" s="378" t="s">
        <v>338</v>
      </c>
      <c r="C117" s="378" t="s">
        <v>1776</v>
      </c>
      <c r="D117" s="378" t="s">
        <v>1921</v>
      </c>
      <c r="E117" s="378" t="s">
        <v>1922</v>
      </c>
      <c r="F117" s="378" t="s">
        <v>339</v>
      </c>
      <c r="G117" s="378"/>
      <c r="H117" s="378"/>
      <c r="I117" s="378"/>
      <c r="J117" s="378"/>
      <c r="K117" s="378"/>
      <c r="L117" s="378"/>
      <c r="M117" s="378"/>
      <c r="N117" s="378"/>
      <c r="O117" s="378"/>
      <c r="P117" s="378"/>
      <c r="Q117" s="378"/>
      <c r="R117" s="378"/>
      <c r="S117" s="378"/>
      <c r="T117" s="378"/>
      <c r="U117" s="378"/>
      <c r="V117" s="378"/>
      <c r="W117" s="378"/>
      <c r="X117" s="378"/>
      <c r="Y117" s="378"/>
      <c r="Z117" s="378"/>
    </row>
    <row r="118" ht="16.5" customHeight="1">
      <c r="A118" s="378" t="s">
        <v>176</v>
      </c>
      <c r="B118" s="378" t="s">
        <v>340</v>
      </c>
      <c r="C118" s="378" t="s">
        <v>1776</v>
      </c>
      <c r="D118" s="378" t="s">
        <v>1923</v>
      </c>
      <c r="E118" s="378" t="s">
        <v>1924</v>
      </c>
      <c r="F118" s="378" t="s">
        <v>341</v>
      </c>
      <c r="G118" s="378"/>
      <c r="H118" s="378"/>
      <c r="I118" s="378"/>
      <c r="J118" s="378"/>
      <c r="K118" s="378"/>
      <c r="L118" s="378"/>
      <c r="M118" s="378"/>
      <c r="N118" s="378"/>
      <c r="O118" s="378"/>
      <c r="P118" s="378"/>
      <c r="Q118" s="378"/>
      <c r="R118" s="378"/>
      <c r="S118" s="378"/>
      <c r="T118" s="378"/>
      <c r="U118" s="378"/>
      <c r="V118" s="378"/>
      <c r="W118" s="378"/>
      <c r="X118" s="378"/>
      <c r="Y118" s="378"/>
      <c r="Z118" s="378"/>
    </row>
    <row r="119" ht="16.5" customHeight="1">
      <c r="A119" s="378" t="s">
        <v>176</v>
      </c>
      <c r="B119" s="378" t="s">
        <v>342</v>
      </c>
      <c r="C119" s="378" t="s">
        <v>1776</v>
      </c>
      <c r="D119" s="378" t="s">
        <v>1925</v>
      </c>
      <c r="E119" s="378" t="s">
        <v>1926</v>
      </c>
      <c r="F119" s="378" t="s">
        <v>343</v>
      </c>
      <c r="G119" s="378"/>
      <c r="H119" s="378"/>
      <c r="I119" s="378"/>
      <c r="J119" s="378"/>
      <c r="K119" s="378"/>
      <c r="L119" s="378"/>
      <c r="M119" s="378"/>
      <c r="N119" s="378"/>
      <c r="O119" s="378"/>
      <c r="P119" s="378"/>
      <c r="Q119" s="378"/>
      <c r="R119" s="378"/>
      <c r="S119" s="378"/>
      <c r="T119" s="378"/>
      <c r="U119" s="378"/>
      <c r="V119" s="378"/>
      <c r="W119" s="378"/>
      <c r="X119" s="378"/>
      <c r="Y119" s="378"/>
      <c r="Z119" s="378"/>
    </row>
    <row r="120" ht="16.5" customHeight="1">
      <c r="A120" s="378" t="s">
        <v>176</v>
      </c>
      <c r="B120" s="378" t="s">
        <v>344</v>
      </c>
      <c r="C120" s="378" t="s">
        <v>1776</v>
      </c>
      <c r="D120" s="378" t="s">
        <v>1927</v>
      </c>
      <c r="E120" s="378" t="s">
        <v>1928</v>
      </c>
      <c r="F120" s="378" t="s">
        <v>345</v>
      </c>
      <c r="G120" s="378"/>
      <c r="H120" s="378"/>
      <c r="I120" s="378"/>
      <c r="J120" s="378"/>
      <c r="K120" s="378"/>
      <c r="L120" s="378"/>
      <c r="M120" s="378"/>
      <c r="N120" s="378"/>
      <c r="O120" s="378"/>
      <c r="P120" s="378"/>
      <c r="Q120" s="378"/>
      <c r="R120" s="378"/>
      <c r="S120" s="378"/>
      <c r="T120" s="378"/>
      <c r="U120" s="378"/>
      <c r="V120" s="378"/>
      <c r="W120" s="378"/>
      <c r="X120" s="378"/>
      <c r="Y120" s="378"/>
      <c r="Z120" s="378"/>
    </row>
    <row r="121" ht="16.5" customHeight="1">
      <c r="A121" s="378" t="s">
        <v>176</v>
      </c>
      <c r="B121" s="378" t="s">
        <v>346</v>
      </c>
      <c r="C121" s="378" t="s">
        <v>1776</v>
      </c>
      <c r="D121" s="378" t="s">
        <v>1327</v>
      </c>
      <c r="E121" s="378" t="s">
        <v>1929</v>
      </c>
      <c r="F121" s="378" t="s">
        <v>347</v>
      </c>
      <c r="G121" s="378"/>
      <c r="H121" s="378"/>
      <c r="I121" s="378"/>
      <c r="J121" s="378"/>
      <c r="K121" s="378"/>
      <c r="L121" s="378"/>
      <c r="M121" s="378"/>
      <c r="N121" s="378"/>
      <c r="O121" s="378"/>
      <c r="P121" s="378"/>
      <c r="Q121" s="378"/>
      <c r="R121" s="378"/>
      <c r="S121" s="378"/>
      <c r="T121" s="378"/>
      <c r="U121" s="378"/>
      <c r="V121" s="378"/>
      <c r="W121" s="378"/>
      <c r="X121" s="378"/>
      <c r="Y121" s="378"/>
      <c r="Z121" s="378"/>
    </row>
    <row r="122" ht="16.5" customHeight="1">
      <c r="A122" s="378" t="s">
        <v>176</v>
      </c>
      <c r="B122" s="378" t="s">
        <v>348</v>
      </c>
      <c r="C122" s="378" t="s">
        <v>1776</v>
      </c>
      <c r="D122" s="378" t="s">
        <v>1930</v>
      </c>
      <c r="E122" s="378" t="s">
        <v>1931</v>
      </c>
      <c r="F122" s="378" t="s">
        <v>349</v>
      </c>
      <c r="G122" s="378"/>
      <c r="H122" s="378"/>
      <c r="I122" s="378"/>
      <c r="J122" s="378"/>
      <c r="K122" s="378"/>
      <c r="L122" s="378"/>
      <c r="M122" s="378"/>
      <c r="N122" s="378"/>
      <c r="O122" s="378"/>
      <c r="P122" s="378"/>
      <c r="Q122" s="378"/>
      <c r="R122" s="378"/>
      <c r="S122" s="378"/>
      <c r="T122" s="378"/>
      <c r="U122" s="378"/>
      <c r="V122" s="378"/>
      <c r="W122" s="378"/>
      <c r="X122" s="378"/>
      <c r="Y122" s="378"/>
      <c r="Z122" s="378"/>
    </row>
    <row r="123" ht="16.5" customHeight="1">
      <c r="A123" s="378" t="s">
        <v>176</v>
      </c>
      <c r="B123" s="378" t="s">
        <v>350</v>
      </c>
      <c r="C123" s="378" t="s">
        <v>1776</v>
      </c>
      <c r="D123" s="378" t="s">
        <v>1329</v>
      </c>
      <c r="E123" s="378" t="s">
        <v>1932</v>
      </c>
      <c r="F123" s="378" t="s">
        <v>351</v>
      </c>
      <c r="G123" s="378"/>
      <c r="H123" s="378"/>
      <c r="I123" s="378"/>
      <c r="J123" s="378"/>
      <c r="K123" s="378"/>
      <c r="L123" s="378"/>
      <c r="M123" s="378"/>
      <c r="N123" s="378"/>
      <c r="O123" s="378"/>
      <c r="P123" s="378"/>
      <c r="Q123" s="378"/>
      <c r="R123" s="378"/>
      <c r="S123" s="378"/>
      <c r="T123" s="378"/>
      <c r="U123" s="378"/>
      <c r="V123" s="378"/>
      <c r="W123" s="378"/>
      <c r="X123" s="378"/>
      <c r="Y123" s="378"/>
      <c r="Z123" s="378"/>
    </row>
    <row r="124" ht="16.5" customHeight="1">
      <c r="A124" s="378" t="s">
        <v>176</v>
      </c>
      <c r="B124" s="378" t="s">
        <v>352</v>
      </c>
      <c r="C124" s="378" t="s">
        <v>1776</v>
      </c>
      <c r="D124" s="378" t="s">
        <v>1330</v>
      </c>
      <c r="E124" s="378" t="s">
        <v>1933</v>
      </c>
      <c r="F124" s="378" t="s">
        <v>353</v>
      </c>
      <c r="G124" s="378"/>
      <c r="H124" s="378"/>
      <c r="I124" s="378"/>
      <c r="J124" s="378"/>
      <c r="K124" s="378"/>
      <c r="L124" s="378"/>
      <c r="M124" s="378"/>
      <c r="N124" s="378"/>
      <c r="O124" s="378"/>
      <c r="P124" s="378"/>
      <c r="Q124" s="378"/>
      <c r="R124" s="378"/>
      <c r="S124" s="378"/>
      <c r="T124" s="378"/>
      <c r="U124" s="378"/>
      <c r="V124" s="378"/>
      <c r="W124" s="378"/>
      <c r="X124" s="378"/>
      <c r="Y124" s="378"/>
      <c r="Z124" s="378"/>
    </row>
    <row r="125" ht="16.5" customHeight="1">
      <c r="A125" s="378" t="s">
        <v>176</v>
      </c>
      <c r="B125" s="378" t="s">
        <v>356</v>
      </c>
      <c r="C125" s="378" t="s">
        <v>1776</v>
      </c>
      <c r="D125" s="378" t="s">
        <v>1934</v>
      </c>
      <c r="E125" s="378" t="s">
        <v>1935</v>
      </c>
      <c r="F125" s="378" t="s">
        <v>357</v>
      </c>
      <c r="G125" s="378"/>
      <c r="H125" s="378"/>
      <c r="I125" s="378"/>
      <c r="J125" s="378"/>
      <c r="K125" s="378"/>
      <c r="L125" s="378"/>
      <c r="M125" s="378"/>
      <c r="N125" s="378"/>
      <c r="O125" s="378"/>
      <c r="P125" s="378"/>
      <c r="Q125" s="378"/>
      <c r="R125" s="378"/>
      <c r="S125" s="378"/>
      <c r="T125" s="378"/>
      <c r="U125" s="378"/>
      <c r="V125" s="378"/>
      <c r="W125" s="378"/>
      <c r="X125" s="378"/>
      <c r="Y125" s="378"/>
      <c r="Z125" s="378"/>
    </row>
    <row r="126" ht="16.5" customHeight="1">
      <c r="A126" s="378" t="s">
        <v>176</v>
      </c>
      <c r="B126" s="378" t="s">
        <v>361</v>
      </c>
      <c r="C126" s="378" t="s">
        <v>1776</v>
      </c>
      <c r="D126" s="378" t="s">
        <v>1936</v>
      </c>
      <c r="E126" s="378" t="s">
        <v>1937</v>
      </c>
      <c r="F126" s="378" t="s">
        <v>362</v>
      </c>
      <c r="G126" s="378"/>
      <c r="H126" s="378"/>
      <c r="I126" s="378"/>
      <c r="J126" s="378"/>
      <c r="K126" s="378"/>
      <c r="L126" s="378"/>
      <c r="M126" s="378"/>
      <c r="N126" s="378"/>
      <c r="O126" s="378"/>
      <c r="P126" s="378"/>
      <c r="Q126" s="378"/>
      <c r="R126" s="378"/>
      <c r="S126" s="378"/>
      <c r="T126" s="378"/>
      <c r="U126" s="378"/>
      <c r="V126" s="378"/>
      <c r="W126" s="378"/>
      <c r="X126" s="378"/>
      <c r="Y126" s="378"/>
      <c r="Z126" s="378"/>
    </row>
    <row r="127" ht="16.5" customHeight="1">
      <c r="A127" s="378" t="s">
        <v>176</v>
      </c>
      <c r="B127" s="378" t="s">
        <v>365</v>
      </c>
      <c r="C127" s="378" t="s">
        <v>1776</v>
      </c>
      <c r="D127" s="378" t="s">
        <v>1938</v>
      </c>
      <c r="E127" s="378" t="s">
        <v>1939</v>
      </c>
      <c r="F127" s="378" t="s">
        <v>1335</v>
      </c>
      <c r="G127" s="378"/>
      <c r="H127" s="378"/>
      <c r="I127" s="378"/>
      <c r="J127" s="378"/>
      <c r="K127" s="378"/>
      <c r="L127" s="378"/>
      <c r="M127" s="378"/>
      <c r="N127" s="378"/>
      <c r="O127" s="378"/>
      <c r="P127" s="378"/>
      <c r="Q127" s="378"/>
      <c r="R127" s="378"/>
      <c r="S127" s="378"/>
      <c r="T127" s="378"/>
      <c r="U127" s="378"/>
      <c r="V127" s="378"/>
      <c r="W127" s="378"/>
      <c r="X127" s="378"/>
      <c r="Y127" s="378"/>
      <c r="Z127" s="378"/>
    </row>
    <row r="128" ht="16.5" customHeight="1">
      <c r="A128" s="378" t="s">
        <v>176</v>
      </c>
      <c r="B128" s="378" t="s">
        <v>368</v>
      </c>
      <c r="C128" s="378" t="s">
        <v>1776</v>
      </c>
      <c r="D128" s="378" t="s">
        <v>1337</v>
      </c>
      <c r="E128" s="378" t="s">
        <v>1940</v>
      </c>
      <c r="F128" s="378" t="s">
        <v>369</v>
      </c>
      <c r="G128" s="378"/>
      <c r="H128" s="378"/>
      <c r="I128" s="378"/>
      <c r="J128" s="378"/>
      <c r="K128" s="378"/>
      <c r="L128" s="378"/>
      <c r="M128" s="378"/>
      <c r="N128" s="378"/>
      <c r="O128" s="378"/>
      <c r="P128" s="378"/>
      <c r="Q128" s="378"/>
      <c r="R128" s="378"/>
      <c r="S128" s="378"/>
      <c r="T128" s="378"/>
      <c r="U128" s="378"/>
      <c r="V128" s="378"/>
      <c r="W128" s="378"/>
      <c r="X128" s="378"/>
      <c r="Y128" s="378"/>
      <c r="Z128" s="378"/>
    </row>
    <row r="129" ht="16.5" customHeight="1">
      <c r="A129" s="378" t="s">
        <v>176</v>
      </c>
      <c r="B129" s="378" t="s">
        <v>370</v>
      </c>
      <c r="C129" s="378" t="s">
        <v>1776</v>
      </c>
      <c r="D129" s="378" t="s">
        <v>1941</v>
      </c>
      <c r="E129" s="378" t="s">
        <v>1942</v>
      </c>
      <c r="F129" s="378" t="s">
        <v>371</v>
      </c>
      <c r="G129" s="378"/>
      <c r="H129" s="378"/>
      <c r="I129" s="378"/>
      <c r="J129" s="378"/>
      <c r="K129" s="378"/>
      <c r="L129" s="378"/>
      <c r="M129" s="378"/>
      <c r="N129" s="378"/>
      <c r="O129" s="378"/>
      <c r="P129" s="378"/>
      <c r="Q129" s="378"/>
      <c r="R129" s="378"/>
      <c r="S129" s="378"/>
      <c r="T129" s="378"/>
      <c r="U129" s="378"/>
      <c r="V129" s="378"/>
      <c r="W129" s="378"/>
      <c r="X129" s="378"/>
      <c r="Y129" s="378"/>
      <c r="Z129" s="378"/>
    </row>
    <row r="130" ht="16.5" customHeight="1">
      <c r="A130" s="378" t="s">
        <v>176</v>
      </c>
      <c r="B130" s="378" t="s">
        <v>373</v>
      </c>
      <c r="C130" s="378" t="s">
        <v>1776</v>
      </c>
      <c r="D130" s="378" t="s">
        <v>1943</v>
      </c>
      <c r="E130" s="378" t="s">
        <v>1944</v>
      </c>
      <c r="F130" s="378" t="s">
        <v>374</v>
      </c>
      <c r="G130" s="378"/>
      <c r="H130" s="378"/>
      <c r="I130" s="378"/>
      <c r="J130" s="378"/>
      <c r="K130" s="378"/>
      <c r="L130" s="378"/>
      <c r="M130" s="378"/>
      <c r="N130" s="378"/>
      <c r="O130" s="378"/>
      <c r="P130" s="378"/>
      <c r="Q130" s="378"/>
      <c r="R130" s="378"/>
      <c r="S130" s="378"/>
      <c r="T130" s="378"/>
      <c r="U130" s="378"/>
      <c r="V130" s="378"/>
      <c r="W130" s="378"/>
      <c r="X130" s="378"/>
      <c r="Y130" s="378"/>
      <c r="Z130" s="378"/>
    </row>
    <row r="131" ht="16.5" customHeight="1">
      <c r="A131" s="378" t="s">
        <v>176</v>
      </c>
      <c r="B131" s="378" t="s">
        <v>376</v>
      </c>
      <c r="C131" s="378" t="s">
        <v>1776</v>
      </c>
      <c r="D131" s="378" t="s">
        <v>1945</v>
      </c>
      <c r="E131" s="378" t="s">
        <v>1946</v>
      </c>
      <c r="F131" s="378" t="s">
        <v>377</v>
      </c>
      <c r="G131" s="378"/>
      <c r="H131" s="378"/>
      <c r="I131" s="378"/>
      <c r="J131" s="378"/>
      <c r="K131" s="378"/>
      <c r="L131" s="378"/>
      <c r="M131" s="378"/>
      <c r="N131" s="378"/>
      <c r="O131" s="378"/>
      <c r="P131" s="378"/>
      <c r="Q131" s="378"/>
      <c r="R131" s="378"/>
      <c r="S131" s="378"/>
      <c r="T131" s="378"/>
      <c r="U131" s="378"/>
      <c r="V131" s="378"/>
      <c r="W131" s="378"/>
      <c r="X131" s="378"/>
      <c r="Y131" s="378"/>
      <c r="Z131" s="378"/>
    </row>
    <row r="132" ht="16.5" customHeight="1">
      <c r="A132" s="378" t="s">
        <v>176</v>
      </c>
      <c r="B132" s="378" t="s">
        <v>379</v>
      </c>
      <c r="C132" s="378" t="s">
        <v>1776</v>
      </c>
      <c r="D132" s="378" t="s">
        <v>1947</v>
      </c>
      <c r="E132" s="378" t="s">
        <v>1948</v>
      </c>
      <c r="F132" s="378" t="s">
        <v>380</v>
      </c>
      <c r="G132" s="378"/>
      <c r="H132" s="378"/>
      <c r="I132" s="378"/>
      <c r="J132" s="378"/>
      <c r="K132" s="378"/>
      <c r="L132" s="378"/>
      <c r="M132" s="378"/>
      <c r="N132" s="378"/>
      <c r="O132" s="378"/>
      <c r="P132" s="378"/>
      <c r="Q132" s="378"/>
      <c r="R132" s="378"/>
      <c r="S132" s="378"/>
      <c r="T132" s="378"/>
      <c r="U132" s="378"/>
      <c r="V132" s="378"/>
      <c r="W132" s="378"/>
      <c r="X132" s="378"/>
      <c r="Y132" s="378"/>
      <c r="Z132" s="378"/>
    </row>
    <row r="133" ht="16.5" customHeight="1">
      <c r="A133" s="378" t="s">
        <v>176</v>
      </c>
      <c r="B133" s="378" t="s">
        <v>382</v>
      </c>
      <c r="C133" s="378" t="s">
        <v>1776</v>
      </c>
      <c r="D133" s="378" t="s">
        <v>1949</v>
      </c>
      <c r="E133" s="378" t="s">
        <v>1950</v>
      </c>
      <c r="F133" s="378" t="s">
        <v>383</v>
      </c>
      <c r="G133" s="378"/>
      <c r="H133" s="378"/>
      <c r="I133" s="378"/>
      <c r="J133" s="378"/>
      <c r="K133" s="378"/>
      <c r="L133" s="378"/>
      <c r="M133" s="378"/>
      <c r="N133" s="378"/>
      <c r="O133" s="378"/>
      <c r="P133" s="378"/>
      <c r="Q133" s="378"/>
      <c r="R133" s="378"/>
      <c r="S133" s="378"/>
      <c r="T133" s="378"/>
      <c r="U133" s="378"/>
      <c r="V133" s="378"/>
      <c r="W133" s="378"/>
      <c r="X133" s="378"/>
      <c r="Y133" s="378"/>
      <c r="Z133" s="378"/>
    </row>
    <row r="134" ht="16.5" customHeight="1">
      <c r="A134" s="378" t="s">
        <v>176</v>
      </c>
      <c r="B134" s="378" t="s">
        <v>384</v>
      </c>
      <c r="C134" s="378" t="s">
        <v>1776</v>
      </c>
      <c r="D134" s="378" t="s">
        <v>1951</v>
      </c>
      <c r="E134" s="378" t="s">
        <v>1952</v>
      </c>
      <c r="F134" s="378" t="s">
        <v>385</v>
      </c>
      <c r="G134" s="378"/>
      <c r="H134" s="378"/>
      <c r="I134" s="378"/>
      <c r="J134" s="378"/>
      <c r="K134" s="378"/>
      <c r="L134" s="378"/>
      <c r="M134" s="378"/>
      <c r="N134" s="378"/>
      <c r="O134" s="378"/>
      <c r="P134" s="378"/>
      <c r="Q134" s="378"/>
      <c r="R134" s="378"/>
      <c r="S134" s="378"/>
      <c r="T134" s="378"/>
      <c r="U134" s="378"/>
      <c r="V134" s="378"/>
      <c r="W134" s="378"/>
      <c r="X134" s="378"/>
      <c r="Y134" s="378"/>
      <c r="Z134" s="378"/>
    </row>
    <row r="135" ht="16.5" customHeight="1">
      <c r="A135" s="378" t="s">
        <v>176</v>
      </c>
      <c r="B135" s="378" t="s">
        <v>386</v>
      </c>
      <c r="C135" s="378" t="s">
        <v>1776</v>
      </c>
      <c r="D135" s="378" t="s">
        <v>1953</v>
      </c>
      <c r="E135" s="378" t="s">
        <v>1954</v>
      </c>
      <c r="F135" s="378" t="s">
        <v>387</v>
      </c>
      <c r="G135" s="378"/>
      <c r="H135" s="378"/>
      <c r="I135" s="378"/>
      <c r="J135" s="378"/>
      <c r="K135" s="378"/>
      <c r="L135" s="378"/>
      <c r="M135" s="378"/>
      <c r="N135" s="378"/>
      <c r="O135" s="378"/>
      <c r="P135" s="378"/>
      <c r="Q135" s="378"/>
      <c r="R135" s="378"/>
      <c r="S135" s="378"/>
      <c r="T135" s="378"/>
      <c r="U135" s="378"/>
      <c r="V135" s="378"/>
      <c r="W135" s="378"/>
      <c r="X135" s="378"/>
      <c r="Y135" s="378"/>
      <c r="Z135" s="378"/>
    </row>
    <row r="136" ht="16.5" customHeight="1">
      <c r="A136" s="378"/>
      <c r="B136" s="378"/>
      <c r="C136" s="378"/>
      <c r="D136" s="378"/>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row>
    <row r="137" ht="16.5" customHeight="1">
      <c r="A137" s="378" t="s">
        <v>177</v>
      </c>
      <c r="B137" s="378" t="s">
        <v>413</v>
      </c>
      <c r="C137" s="378" t="s">
        <v>1776</v>
      </c>
      <c r="D137" s="378" t="s">
        <v>1390</v>
      </c>
      <c r="E137" s="378" t="s">
        <v>1955</v>
      </c>
      <c r="F137" s="378" t="s">
        <v>414</v>
      </c>
      <c r="G137" s="378"/>
      <c r="H137" s="378"/>
      <c r="I137" s="378"/>
      <c r="J137" s="378"/>
      <c r="K137" s="378"/>
      <c r="L137" s="378"/>
      <c r="M137" s="378"/>
      <c r="N137" s="378"/>
      <c r="O137" s="378"/>
      <c r="P137" s="378"/>
      <c r="Q137" s="378"/>
      <c r="R137" s="378"/>
      <c r="S137" s="378"/>
      <c r="T137" s="378"/>
      <c r="U137" s="378"/>
      <c r="V137" s="378"/>
      <c r="W137" s="378"/>
      <c r="X137" s="378"/>
      <c r="Y137" s="378"/>
      <c r="Z137" s="378"/>
    </row>
    <row r="138" ht="16.5" customHeight="1">
      <c r="A138" s="378" t="s">
        <v>177</v>
      </c>
      <c r="B138" s="378" t="s">
        <v>415</v>
      </c>
      <c r="C138" s="378" t="s">
        <v>1776</v>
      </c>
      <c r="D138" s="378" t="s">
        <v>1956</v>
      </c>
      <c r="E138" s="378" t="s">
        <v>1957</v>
      </c>
      <c r="F138" s="378" t="s">
        <v>416</v>
      </c>
      <c r="G138" s="378"/>
      <c r="H138" s="378"/>
      <c r="I138" s="378"/>
      <c r="J138" s="378"/>
      <c r="K138" s="378"/>
      <c r="L138" s="378"/>
      <c r="M138" s="378"/>
      <c r="N138" s="378"/>
      <c r="O138" s="378"/>
      <c r="P138" s="378"/>
      <c r="Q138" s="378"/>
      <c r="R138" s="378"/>
      <c r="S138" s="378"/>
      <c r="T138" s="378"/>
      <c r="U138" s="378"/>
      <c r="V138" s="378"/>
      <c r="W138" s="378"/>
      <c r="X138" s="378"/>
      <c r="Y138" s="378"/>
      <c r="Z138" s="378"/>
    </row>
    <row r="139" ht="16.5" customHeight="1">
      <c r="A139" s="378" t="s">
        <v>177</v>
      </c>
      <c r="B139" s="378" t="s">
        <v>421</v>
      </c>
      <c r="C139" s="378" t="s">
        <v>1776</v>
      </c>
      <c r="D139" s="378" t="s">
        <v>1958</v>
      </c>
      <c r="E139" s="378" t="s">
        <v>1959</v>
      </c>
      <c r="F139" s="378" t="s">
        <v>422</v>
      </c>
      <c r="G139" s="378"/>
      <c r="H139" s="378"/>
      <c r="I139" s="378"/>
      <c r="J139" s="378"/>
      <c r="K139" s="378"/>
      <c r="L139" s="378"/>
      <c r="M139" s="378"/>
      <c r="N139" s="378"/>
      <c r="O139" s="378"/>
      <c r="P139" s="378"/>
      <c r="Q139" s="378"/>
      <c r="R139" s="378"/>
      <c r="S139" s="378"/>
      <c r="T139" s="378"/>
      <c r="U139" s="378"/>
      <c r="V139" s="378"/>
      <c r="W139" s="378"/>
      <c r="X139" s="378"/>
      <c r="Y139" s="378"/>
      <c r="Z139" s="378"/>
    </row>
    <row r="140" ht="16.5" customHeight="1">
      <c r="A140" s="378" t="s">
        <v>177</v>
      </c>
      <c r="B140" s="378" t="s">
        <v>426</v>
      </c>
      <c r="C140" s="378" t="s">
        <v>1776</v>
      </c>
      <c r="D140" s="378" t="s">
        <v>1960</v>
      </c>
      <c r="E140" s="378" t="s">
        <v>1961</v>
      </c>
      <c r="F140" s="378" t="s">
        <v>427</v>
      </c>
      <c r="G140" s="378"/>
      <c r="H140" s="378"/>
      <c r="I140" s="378"/>
      <c r="J140" s="378"/>
      <c r="K140" s="378"/>
      <c r="L140" s="378"/>
      <c r="M140" s="378"/>
      <c r="N140" s="378"/>
      <c r="O140" s="378"/>
      <c r="P140" s="378"/>
      <c r="Q140" s="378"/>
      <c r="R140" s="378"/>
      <c r="S140" s="378"/>
      <c r="T140" s="378"/>
      <c r="U140" s="378"/>
      <c r="V140" s="378"/>
      <c r="W140" s="378"/>
      <c r="X140" s="378"/>
      <c r="Y140" s="378"/>
      <c r="Z140" s="378"/>
    </row>
    <row r="141" ht="16.5" customHeight="1">
      <c r="A141" s="378" t="s">
        <v>177</v>
      </c>
      <c r="B141" s="378" t="s">
        <v>431</v>
      </c>
      <c r="C141" s="378" t="s">
        <v>1776</v>
      </c>
      <c r="D141" s="378" t="s">
        <v>1962</v>
      </c>
      <c r="E141" s="378" t="s">
        <v>1963</v>
      </c>
      <c r="F141" s="378" t="s">
        <v>432</v>
      </c>
      <c r="G141" s="378"/>
      <c r="H141" s="378"/>
      <c r="I141" s="378"/>
      <c r="J141" s="378"/>
      <c r="K141" s="378"/>
      <c r="L141" s="378"/>
      <c r="M141" s="378"/>
      <c r="N141" s="378"/>
      <c r="O141" s="378"/>
      <c r="P141" s="378"/>
      <c r="Q141" s="378"/>
      <c r="R141" s="378"/>
      <c r="S141" s="378"/>
      <c r="T141" s="378"/>
      <c r="U141" s="378"/>
      <c r="V141" s="378"/>
      <c r="W141" s="378"/>
      <c r="X141" s="378"/>
      <c r="Y141" s="378"/>
      <c r="Z141" s="378"/>
    </row>
    <row r="142" ht="16.5" customHeight="1">
      <c r="A142" s="378" t="s">
        <v>177</v>
      </c>
      <c r="B142" s="378" t="s">
        <v>437</v>
      </c>
      <c r="C142" s="378" t="s">
        <v>1776</v>
      </c>
      <c r="D142" s="378" t="s">
        <v>1395</v>
      </c>
      <c r="E142" s="378" t="s">
        <v>1964</v>
      </c>
      <c r="F142" s="378" t="s">
        <v>438</v>
      </c>
      <c r="G142" s="378"/>
      <c r="H142" s="378"/>
      <c r="I142" s="378"/>
      <c r="J142" s="378"/>
      <c r="K142" s="378"/>
      <c r="L142" s="378"/>
      <c r="M142" s="378"/>
      <c r="N142" s="378"/>
      <c r="O142" s="378"/>
      <c r="P142" s="378"/>
      <c r="Q142" s="378"/>
      <c r="R142" s="378"/>
      <c r="S142" s="378"/>
      <c r="T142" s="378"/>
      <c r="U142" s="378"/>
      <c r="V142" s="378"/>
      <c r="W142" s="378"/>
      <c r="X142" s="378"/>
      <c r="Y142" s="378"/>
      <c r="Z142" s="378"/>
    </row>
    <row r="143" ht="16.5" customHeight="1">
      <c r="A143" s="378" t="s">
        <v>177</v>
      </c>
      <c r="B143" s="378" t="s">
        <v>443</v>
      </c>
      <c r="C143" s="378" t="s">
        <v>1776</v>
      </c>
      <c r="D143" s="378" t="s">
        <v>1396</v>
      </c>
      <c r="E143" s="378" t="s">
        <v>1965</v>
      </c>
      <c r="F143" s="378" t="s">
        <v>101</v>
      </c>
      <c r="G143" s="378"/>
      <c r="H143" s="378"/>
      <c r="I143" s="378"/>
      <c r="J143" s="378"/>
      <c r="K143" s="378"/>
      <c r="L143" s="378"/>
      <c r="M143" s="378"/>
      <c r="N143" s="378"/>
      <c r="O143" s="378"/>
      <c r="P143" s="378"/>
      <c r="Q143" s="378"/>
      <c r="R143" s="378"/>
      <c r="S143" s="378"/>
      <c r="T143" s="378"/>
      <c r="U143" s="378"/>
      <c r="V143" s="378"/>
      <c r="W143" s="378"/>
      <c r="X143" s="378"/>
      <c r="Y143" s="378"/>
      <c r="Z143" s="378"/>
    </row>
    <row r="144" ht="16.5" customHeight="1">
      <c r="A144" s="378" t="s">
        <v>177</v>
      </c>
      <c r="B144" s="378" t="s">
        <v>447</v>
      </c>
      <c r="C144" s="378" t="s">
        <v>1776</v>
      </c>
      <c r="D144" s="378" t="s">
        <v>1397</v>
      </c>
      <c r="E144" s="378" t="s">
        <v>1966</v>
      </c>
      <c r="F144" s="378" t="s">
        <v>448</v>
      </c>
      <c r="G144" s="378"/>
      <c r="H144" s="378"/>
      <c r="I144" s="378"/>
      <c r="J144" s="378"/>
      <c r="K144" s="378"/>
      <c r="L144" s="378"/>
      <c r="M144" s="378"/>
      <c r="N144" s="378"/>
      <c r="O144" s="378"/>
      <c r="P144" s="378"/>
      <c r="Q144" s="378"/>
      <c r="R144" s="378"/>
      <c r="S144" s="378"/>
      <c r="T144" s="378"/>
      <c r="U144" s="378"/>
      <c r="V144" s="378"/>
      <c r="W144" s="378"/>
      <c r="X144" s="378"/>
      <c r="Y144" s="378"/>
      <c r="Z144" s="378"/>
    </row>
    <row r="145" ht="16.5" customHeight="1">
      <c r="A145" s="378" t="s">
        <v>177</v>
      </c>
      <c r="B145" s="378" t="s">
        <v>452</v>
      </c>
      <c r="C145" s="378" t="s">
        <v>1776</v>
      </c>
      <c r="D145" s="378" t="s">
        <v>1967</v>
      </c>
      <c r="E145" s="378" t="s">
        <v>1968</v>
      </c>
      <c r="F145" s="378" t="s">
        <v>453</v>
      </c>
      <c r="G145" s="378"/>
      <c r="H145" s="378"/>
      <c r="I145" s="378"/>
      <c r="J145" s="378"/>
      <c r="K145" s="378"/>
      <c r="L145" s="378"/>
      <c r="M145" s="378"/>
      <c r="N145" s="378"/>
      <c r="O145" s="378"/>
      <c r="P145" s="378"/>
      <c r="Q145" s="378"/>
      <c r="R145" s="378"/>
      <c r="S145" s="378"/>
      <c r="T145" s="378"/>
      <c r="U145" s="378"/>
      <c r="V145" s="378"/>
      <c r="W145" s="378"/>
      <c r="X145" s="378"/>
      <c r="Y145" s="378"/>
      <c r="Z145" s="378"/>
    </row>
    <row r="146" ht="16.5" customHeight="1">
      <c r="A146" s="378" t="s">
        <v>177</v>
      </c>
      <c r="B146" s="378" t="s">
        <v>457</v>
      </c>
      <c r="C146" s="378" t="s">
        <v>1776</v>
      </c>
      <c r="D146" s="378" t="s">
        <v>1969</v>
      </c>
      <c r="E146" s="378" t="s">
        <v>1970</v>
      </c>
      <c r="F146" s="378" t="s">
        <v>95</v>
      </c>
      <c r="G146" s="378"/>
      <c r="H146" s="378"/>
      <c r="I146" s="378"/>
      <c r="J146" s="378"/>
      <c r="K146" s="378"/>
      <c r="L146" s="378"/>
      <c r="M146" s="378"/>
      <c r="N146" s="378"/>
      <c r="O146" s="378"/>
      <c r="P146" s="378"/>
      <c r="Q146" s="378"/>
      <c r="R146" s="378"/>
      <c r="S146" s="378"/>
      <c r="T146" s="378"/>
      <c r="U146" s="378"/>
      <c r="V146" s="378"/>
      <c r="W146" s="378"/>
      <c r="X146" s="378"/>
      <c r="Y146" s="378"/>
      <c r="Z146" s="378"/>
    </row>
    <row r="147" ht="16.5" customHeight="1">
      <c r="A147" s="378" t="s">
        <v>177</v>
      </c>
      <c r="B147" s="378" t="s">
        <v>461</v>
      </c>
      <c r="C147" s="378" t="s">
        <v>1776</v>
      </c>
      <c r="D147" s="378" t="s">
        <v>1971</v>
      </c>
      <c r="E147" s="378" t="s">
        <v>1972</v>
      </c>
      <c r="F147" s="378" t="s">
        <v>462</v>
      </c>
      <c r="G147" s="378"/>
      <c r="H147" s="378"/>
      <c r="I147" s="378"/>
      <c r="J147" s="378"/>
      <c r="K147" s="378"/>
      <c r="L147" s="378"/>
      <c r="M147" s="378"/>
      <c r="N147" s="378"/>
      <c r="O147" s="378"/>
      <c r="P147" s="378"/>
      <c r="Q147" s="378"/>
      <c r="R147" s="378"/>
      <c r="S147" s="378"/>
      <c r="T147" s="378"/>
      <c r="U147" s="378"/>
      <c r="V147" s="378"/>
      <c r="W147" s="378"/>
      <c r="X147" s="378"/>
      <c r="Y147" s="378"/>
      <c r="Z147" s="378"/>
    </row>
    <row r="148" ht="16.5" customHeight="1">
      <c r="A148" s="378" t="s">
        <v>177</v>
      </c>
      <c r="B148" s="378" t="s">
        <v>466</v>
      </c>
      <c r="C148" s="378" t="s">
        <v>1776</v>
      </c>
      <c r="D148" s="378" t="s">
        <v>1973</v>
      </c>
      <c r="E148" s="378" t="s">
        <v>1974</v>
      </c>
      <c r="F148" s="378" t="s">
        <v>467</v>
      </c>
      <c r="G148" s="378"/>
      <c r="H148" s="378"/>
      <c r="I148" s="378"/>
      <c r="J148" s="378"/>
      <c r="K148" s="378"/>
      <c r="L148" s="378"/>
      <c r="M148" s="378"/>
      <c r="N148" s="378"/>
      <c r="O148" s="378"/>
      <c r="P148" s="378"/>
      <c r="Q148" s="378"/>
      <c r="R148" s="378"/>
      <c r="S148" s="378"/>
      <c r="T148" s="378"/>
      <c r="U148" s="378"/>
      <c r="V148" s="378"/>
      <c r="W148" s="378"/>
      <c r="X148" s="378"/>
      <c r="Y148" s="378"/>
      <c r="Z148" s="378"/>
    </row>
    <row r="149" ht="16.5" customHeight="1">
      <c r="A149" s="378" t="s">
        <v>177</v>
      </c>
      <c r="B149" s="378" t="s">
        <v>471</v>
      </c>
      <c r="C149" s="378" t="s">
        <v>1776</v>
      </c>
      <c r="D149" s="378" t="s">
        <v>1403</v>
      </c>
      <c r="E149" s="378" t="s">
        <v>1975</v>
      </c>
      <c r="F149" s="378" t="s">
        <v>472</v>
      </c>
      <c r="G149" s="378"/>
      <c r="H149" s="378"/>
      <c r="I149" s="378"/>
      <c r="J149" s="378"/>
      <c r="K149" s="378"/>
      <c r="L149" s="378"/>
      <c r="M149" s="378"/>
      <c r="N149" s="378"/>
      <c r="O149" s="378"/>
      <c r="P149" s="378"/>
      <c r="Q149" s="378"/>
      <c r="R149" s="378"/>
      <c r="S149" s="378"/>
      <c r="T149" s="378"/>
      <c r="U149" s="378"/>
      <c r="V149" s="378"/>
      <c r="W149" s="378"/>
      <c r="X149" s="378"/>
      <c r="Y149" s="378"/>
      <c r="Z149" s="378"/>
    </row>
    <row r="150" ht="16.5" customHeight="1">
      <c r="A150" s="378" t="s">
        <v>177</v>
      </c>
      <c r="B150" s="378" t="s">
        <v>476</v>
      </c>
      <c r="C150" s="378" t="s">
        <v>1776</v>
      </c>
      <c r="D150" s="378" t="s">
        <v>1404</v>
      </c>
      <c r="E150" s="378" t="s">
        <v>1976</v>
      </c>
      <c r="F150" s="378" t="s">
        <v>477</v>
      </c>
      <c r="G150" s="378"/>
      <c r="H150" s="378"/>
      <c r="I150" s="378"/>
      <c r="J150" s="378"/>
      <c r="K150" s="378"/>
      <c r="L150" s="378"/>
      <c r="M150" s="378"/>
      <c r="N150" s="378"/>
      <c r="O150" s="378"/>
      <c r="P150" s="378"/>
      <c r="Q150" s="378"/>
      <c r="R150" s="378"/>
      <c r="S150" s="378"/>
      <c r="T150" s="378"/>
      <c r="U150" s="378"/>
      <c r="V150" s="378"/>
      <c r="W150" s="378"/>
      <c r="X150" s="378"/>
      <c r="Y150" s="378"/>
      <c r="Z150" s="378"/>
    </row>
    <row r="151" ht="16.5" customHeight="1">
      <c r="A151" s="378" t="s">
        <v>177</v>
      </c>
      <c r="B151" s="378" t="s">
        <v>482</v>
      </c>
      <c r="C151" s="378" t="s">
        <v>1776</v>
      </c>
      <c r="D151" s="378" t="s">
        <v>1977</v>
      </c>
      <c r="E151" s="378" t="s">
        <v>1978</v>
      </c>
      <c r="F151" s="378" t="s">
        <v>483</v>
      </c>
      <c r="G151" s="378"/>
      <c r="H151" s="378"/>
      <c r="I151" s="378"/>
      <c r="J151" s="378"/>
      <c r="K151" s="378"/>
      <c r="L151" s="378"/>
      <c r="M151" s="378"/>
      <c r="N151" s="378"/>
      <c r="O151" s="378"/>
      <c r="P151" s="378"/>
      <c r="Q151" s="378"/>
      <c r="R151" s="378"/>
      <c r="S151" s="378"/>
      <c r="T151" s="378"/>
      <c r="U151" s="378"/>
      <c r="V151" s="378"/>
      <c r="W151" s="378"/>
      <c r="X151" s="378"/>
      <c r="Y151" s="378"/>
      <c r="Z151" s="378"/>
    </row>
    <row r="152" ht="16.5" customHeight="1">
      <c r="A152" s="378" t="s">
        <v>177</v>
      </c>
      <c r="B152" s="378" t="s">
        <v>487</v>
      </c>
      <c r="C152" s="378" t="s">
        <v>1776</v>
      </c>
      <c r="D152" s="378" t="s">
        <v>1979</v>
      </c>
      <c r="E152" s="378" t="s">
        <v>1980</v>
      </c>
      <c r="F152" s="378" t="s">
        <v>488</v>
      </c>
      <c r="G152" s="378"/>
      <c r="H152" s="378"/>
      <c r="I152" s="378"/>
      <c r="J152" s="378"/>
      <c r="K152" s="378"/>
      <c r="L152" s="378"/>
      <c r="M152" s="378"/>
      <c r="N152" s="378"/>
      <c r="O152" s="378"/>
      <c r="P152" s="378"/>
      <c r="Q152" s="378"/>
      <c r="R152" s="378"/>
      <c r="S152" s="378"/>
      <c r="T152" s="378"/>
      <c r="U152" s="378"/>
      <c r="V152" s="378"/>
      <c r="W152" s="378"/>
      <c r="X152" s="378"/>
      <c r="Y152" s="378"/>
      <c r="Z152" s="378"/>
    </row>
    <row r="153" ht="16.5" customHeight="1">
      <c r="A153" s="378" t="s">
        <v>177</v>
      </c>
      <c r="B153" s="378" t="s">
        <v>492</v>
      </c>
      <c r="C153" s="378" t="s">
        <v>1776</v>
      </c>
      <c r="D153" s="378" t="s">
        <v>1407</v>
      </c>
      <c r="E153" s="378" t="s">
        <v>1981</v>
      </c>
      <c r="F153" s="378" t="s">
        <v>493</v>
      </c>
      <c r="G153" s="378"/>
      <c r="H153" s="378"/>
      <c r="I153" s="378"/>
      <c r="J153" s="378"/>
      <c r="K153" s="378"/>
      <c r="L153" s="378"/>
      <c r="M153" s="378"/>
      <c r="N153" s="378"/>
      <c r="O153" s="378"/>
      <c r="P153" s="378"/>
      <c r="Q153" s="378"/>
      <c r="R153" s="378"/>
      <c r="S153" s="378"/>
      <c r="T153" s="378"/>
      <c r="U153" s="378"/>
      <c r="V153" s="378"/>
      <c r="W153" s="378"/>
      <c r="X153" s="378"/>
      <c r="Y153" s="378"/>
      <c r="Z153" s="378"/>
    </row>
    <row r="154" ht="16.5" customHeight="1">
      <c r="A154" s="378" t="s">
        <v>177</v>
      </c>
      <c r="B154" s="378" t="s">
        <v>497</v>
      </c>
      <c r="C154" s="378" t="s">
        <v>1776</v>
      </c>
      <c r="D154" s="378" t="s">
        <v>1408</v>
      </c>
      <c r="E154" s="378" t="s">
        <v>1982</v>
      </c>
      <c r="F154" s="378" t="s">
        <v>498</v>
      </c>
      <c r="G154" s="378"/>
      <c r="H154" s="378"/>
      <c r="I154" s="378"/>
      <c r="J154" s="378"/>
      <c r="K154" s="378"/>
      <c r="L154" s="378"/>
      <c r="M154" s="378"/>
      <c r="N154" s="378"/>
      <c r="O154" s="378"/>
      <c r="P154" s="378"/>
      <c r="Q154" s="378"/>
      <c r="R154" s="378"/>
      <c r="S154" s="378"/>
      <c r="T154" s="378"/>
      <c r="U154" s="378"/>
      <c r="V154" s="378"/>
      <c r="W154" s="378"/>
      <c r="X154" s="378"/>
      <c r="Y154" s="378"/>
      <c r="Z154" s="378"/>
    </row>
    <row r="155" ht="16.5" customHeight="1">
      <c r="A155" s="378" t="s">
        <v>177</v>
      </c>
      <c r="B155" s="378" t="s">
        <v>502</v>
      </c>
      <c r="C155" s="378" t="s">
        <v>1776</v>
      </c>
      <c r="D155" s="378" t="s">
        <v>1983</v>
      </c>
      <c r="E155" s="378" t="s">
        <v>1984</v>
      </c>
      <c r="F155" s="378" t="s">
        <v>503</v>
      </c>
      <c r="G155" s="378"/>
      <c r="H155" s="378"/>
      <c r="I155" s="378"/>
      <c r="J155" s="378"/>
      <c r="K155" s="378"/>
      <c r="L155" s="378"/>
      <c r="M155" s="378"/>
      <c r="N155" s="378"/>
      <c r="O155" s="378"/>
      <c r="P155" s="378"/>
      <c r="Q155" s="378"/>
      <c r="R155" s="378"/>
      <c r="S155" s="378"/>
      <c r="T155" s="378"/>
      <c r="U155" s="378"/>
      <c r="V155" s="378"/>
      <c r="W155" s="378"/>
      <c r="X155" s="378"/>
      <c r="Y155" s="378"/>
      <c r="Z155" s="378"/>
    </row>
    <row r="156" ht="16.5" customHeight="1">
      <c r="A156" s="378" t="s">
        <v>177</v>
      </c>
      <c r="B156" s="378" t="s">
        <v>504</v>
      </c>
      <c r="C156" s="378" t="s">
        <v>1776</v>
      </c>
      <c r="D156" s="378" t="s">
        <v>1985</v>
      </c>
      <c r="E156" s="378" t="s">
        <v>1986</v>
      </c>
      <c r="F156" s="378" t="s">
        <v>505</v>
      </c>
      <c r="G156" s="378"/>
      <c r="H156" s="378"/>
      <c r="I156" s="378"/>
      <c r="J156" s="378"/>
      <c r="K156" s="378"/>
      <c r="L156" s="378"/>
      <c r="M156" s="378"/>
      <c r="N156" s="378"/>
      <c r="O156" s="378"/>
      <c r="P156" s="378"/>
      <c r="Q156" s="378"/>
      <c r="R156" s="378"/>
      <c r="S156" s="378"/>
      <c r="T156" s="378"/>
      <c r="U156" s="378"/>
      <c r="V156" s="378"/>
      <c r="W156" s="378"/>
      <c r="X156" s="378"/>
      <c r="Y156" s="378"/>
      <c r="Z156" s="378"/>
    </row>
    <row r="157" ht="16.5" customHeight="1">
      <c r="A157" s="378" t="s">
        <v>177</v>
      </c>
      <c r="B157" s="378" t="s">
        <v>506</v>
      </c>
      <c r="C157" s="378" t="s">
        <v>1776</v>
      </c>
      <c r="D157" s="378" t="s">
        <v>1487</v>
      </c>
      <c r="E157" s="378" t="s">
        <v>1987</v>
      </c>
      <c r="F157" s="378" t="s">
        <v>507</v>
      </c>
      <c r="G157" s="378"/>
      <c r="H157" s="378"/>
      <c r="I157" s="378"/>
      <c r="J157" s="378"/>
      <c r="K157" s="378"/>
      <c r="L157" s="378"/>
      <c r="M157" s="378"/>
      <c r="N157" s="378"/>
      <c r="O157" s="378"/>
      <c r="P157" s="378"/>
      <c r="Q157" s="378"/>
      <c r="R157" s="378"/>
      <c r="S157" s="378"/>
      <c r="T157" s="378"/>
      <c r="U157" s="378"/>
      <c r="V157" s="378"/>
      <c r="W157" s="378"/>
      <c r="X157" s="378"/>
      <c r="Y157" s="378"/>
      <c r="Z157" s="378"/>
    </row>
    <row r="158" ht="16.5" customHeight="1">
      <c r="A158" s="378" t="s">
        <v>177</v>
      </c>
      <c r="B158" s="378" t="s">
        <v>508</v>
      </c>
      <c r="C158" s="378" t="s">
        <v>1776</v>
      </c>
      <c r="D158" s="378" t="s">
        <v>1412</v>
      </c>
      <c r="E158" s="378" t="s">
        <v>1988</v>
      </c>
      <c r="F158" s="378" t="s">
        <v>509</v>
      </c>
      <c r="G158" s="378"/>
      <c r="H158" s="378"/>
      <c r="I158" s="378"/>
      <c r="J158" s="378"/>
      <c r="K158" s="378"/>
      <c r="L158" s="378"/>
      <c r="M158" s="378"/>
      <c r="N158" s="378"/>
      <c r="O158" s="378"/>
      <c r="P158" s="378"/>
      <c r="Q158" s="378"/>
      <c r="R158" s="378"/>
      <c r="S158" s="378"/>
      <c r="T158" s="378"/>
      <c r="U158" s="378"/>
      <c r="V158" s="378"/>
      <c r="W158" s="378"/>
      <c r="X158" s="378"/>
      <c r="Y158" s="378"/>
      <c r="Z158" s="378"/>
    </row>
    <row r="159" ht="16.5" customHeight="1">
      <c r="A159" s="378" t="s">
        <v>177</v>
      </c>
      <c r="B159" s="378" t="s">
        <v>510</v>
      </c>
      <c r="C159" s="378" t="s">
        <v>1776</v>
      </c>
      <c r="D159" s="378" t="s">
        <v>1989</v>
      </c>
      <c r="E159" s="378" t="s">
        <v>1990</v>
      </c>
      <c r="F159" s="378" t="s">
        <v>1991</v>
      </c>
      <c r="G159" s="378"/>
      <c r="H159" s="378"/>
      <c r="I159" s="378"/>
      <c r="J159" s="378"/>
      <c r="K159" s="378"/>
      <c r="L159" s="378"/>
      <c r="M159" s="378"/>
      <c r="N159" s="378"/>
      <c r="O159" s="378"/>
      <c r="P159" s="378"/>
      <c r="Q159" s="378"/>
      <c r="R159" s="378"/>
      <c r="S159" s="378"/>
      <c r="T159" s="378"/>
      <c r="U159" s="378"/>
      <c r="V159" s="378"/>
      <c r="W159" s="378"/>
      <c r="X159" s="378"/>
      <c r="Y159" s="378"/>
      <c r="Z159" s="378"/>
    </row>
    <row r="160" ht="16.5" customHeight="1">
      <c r="A160" s="378" t="s">
        <v>177</v>
      </c>
      <c r="B160" s="378" t="s">
        <v>512</v>
      </c>
      <c r="C160" s="378" t="s">
        <v>1776</v>
      </c>
      <c r="D160" s="378" t="s">
        <v>1992</v>
      </c>
      <c r="E160" s="378" t="s">
        <v>1993</v>
      </c>
      <c r="F160" s="378" t="s">
        <v>513</v>
      </c>
      <c r="G160" s="378"/>
      <c r="H160" s="378"/>
      <c r="I160" s="378"/>
      <c r="J160" s="378"/>
      <c r="K160" s="378"/>
      <c r="L160" s="378"/>
      <c r="M160" s="378"/>
      <c r="N160" s="378"/>
      <c r="O160" s="378"/>
      <c r="P160" s="378"/>
      <c r="Q160" s="378"/>
      <c r="R160" s="378"/>
      <c r="S160" s="378"/>
      <c r="T160" s="378"/>
      <c r="U160" s="378"/>
      <c r="V160" s="378"/>
      <c r="W160" s="378"/>
      <c r="X160" s="378"/>
      <c r="Y160" s="378"/>
      <c r="Z160" s="378"/>
    </row>
    <row r="161" ht="16.5" customHeight="1">
      <c r="A161" s="378" t="s">
        <v>177</v>
      </c>
      <c r="B161" s="378" t="s">
        <v>514</v>
      </c>
      <c r="C161" s="378" t="s">
        <v>1776</v>
      </c>
      <c r="D161" s="378" t="s">
        <v>1994</v>
      </c>
      <c r="E161" s="378" t="s">
        <v>1995</v>
      </c>
      <c r="F161" s="378" t="s">
        <v>515</v>
      </c>
      <c r="G161" s="378"/>
      <c r="H161" s="378"/>
      <c r="I161" s="378"/>
      <c r="J161" s="378"/>
      <c r="K161" s="378"/>
      <c r="L161" s="378"/>
      <c r="M161" s="378"/>
      <c r="N161" s="378"/>
      <c r="O161" s="378"/>
      <c r="P161" s="378"/>
      <c r="Q161" s="378"/>
      <c r="R161" s="378"/>
      <c r="S161" s="378"/>
      <c r="T161" s="378"/>
      <c r="U161" s="378"/>
      <c r="V161" s="378"/>
      <c r="W161" s="378"/>
      <c r="X161" s="378"/>
      <c r="Y161" s="378"/>
      <c r="Z161" s="378"/>
    </row>
    <row r="162" ht="16.5" customHeight="1">
      <c r="A162" s="378" t="s">
        <v>177</v>
      </c>
      <c r="B162" s="378" t="s">
        <v>516</v>
      </c>
      <c r="C162" s="378" t="s">
        <v>1776</v>
      </c>
      <c r="D162" s="378" t="s">
        <v>1996</v>
      </c>
      <c r="E162" s="378" t="s">
        <v>1997</v>
      </c>
      <c r="F162" s="378" t="s">
        <v>1998</v>
      </c>
      <c r="G162" s="378"/>
      <c r="H162" s="378"/>
      <c r="I162" s="378"/>
      <c r="J162" s="378"/>
      <c r="K162" s="378"/>
      <c r="L162" s="378"/>
      <c r="M162" s="378"/>
      <c r="N162" s="378"/>
      <c r="O162" s="378"/>
      <c r="P162" s="378"/>
      <c r="Q162" s="378"/>
      <c r="R162" s="378"/>
      <c r="S162" s="378"/>
      <c r="T162" s="378"/>
      <c r="U162" s="378"/>
      <c r="V162" s="378"/>
      <c r="W162" s="378"/>
      <c r="X162" s="378"/>
      <c r="Y162" s="378"/>
      <c r="Z162" s="378"/>
    </row>
    <row r="163" ht="16.5" customHeight="1">
      <c r="A163" s="378" t="s">
        <v>177</v>
      </c>
      <c r="B163" s="378" t="s">
        <v>518</v>
      </c>
      <c r="C163" s="378" t="s">
        <v>1776</v>
      </c>
      <c r="D163" s="378" t="s">
        <v>1999</v>
      </c>
      <c r="E163" s="378" t="s">
        <v>2000</v>
      </c>
      <c r="F163" s="378" t="s">
        <v>519</v>
      </c>
      <c r="G163" s="378"/>
      <c r="H163" s="378"/>
      <c r="I163" s="378"/>
      <c r="J163" s="378"/>
      <c r="K163" s="378"/>
      <c r="L163" s="378"/>
      <c r="M163" s="378"/>
      <c r="N163" s="378"/>
      <c r="O163" s="378"/>
      <c r="P163" s="378"/>
      <c r="Q163" s="378"/>
      <c r="R163" s="378"/>
      <c r="S163" s="378"/>
      <c r="T163" s="378"/>
      <c r="U163" s="378"/>
      <c r="V163" s="378"/>
      <c r="W163" s="378"/>
      <c r="X163" s="378"/>
      <c r="Y163" s="378"/>
      <c r="Z163" s="378"/>
    </row>
    <row r="164" ht="16.5" customHeight="1">
      <c r="A164" s="378" t="s">
        <v>177</v>
      </c>
      <c r="B164" s="378" t="s">
        <v>521</v>
      </c>
      <c r="C164" s="378" t="s">
        <v>1776</v>
      </c>
      <c r="D164" s="378" t="s">
        <v>1418</v>
      </c>
      <c r="E164" s="378" t="s">
        <v>2001</v>
      </c>
      <c r="F164" s="378" t="s">
        <v>522</v>
      </c>
      <c r="G164" s="378"/>
      <c r="H164" s="378"/>
      <c r="I164" s="378"/>
      <c r="J164" s="378"/>
      <c r="K164" s="378"/>
      <c r="L164" s="378"/>
      <c r="M164" s="378"/>
      <c r="N164" s="378"/>
      <c r="O164" s="378"/>
      <c r="P164" s="378"/>
      <c r="Q164" s="378"/>
      <c r="R164" s="378"/>
      <c r="S164" s="378"/>
      <c r="T164" s="378"/>
      <c r="U164" s="378"/>
      <c r="V164" s="378"/>
      <c r="W164" s="378"/>
      <c r="X164" s="378"/>
      <c r="Y164" s="378"/>
      <c r="Z164" s="378"/>
    </row>
    <row r="165" ht="16.5" customHeight="1">
      <c r="A165" s="378" t="s">
        <v>177</v>
      </c>
      <c r="B165" s="378" t="s">
        <v>523</v>
      </c>
      <c r="C165" s="378" t="s">
        <v>1776</v>
      </c>
      <c r="D165" s="378" t="s">
        <v>2002</v>
      </c>
      <c r="E165" s="378" t="s">
        <v>2003</v>
      </c>
      <c r="F165" s="378" t="s">
        <v>524</v>
      </c>
      <c r="G165" s="378"/>
      <c r="H165" s="378"/>
      <c r="I165" s="378"/>
      <c r="J165" s="378"/>
      <c r="K165" s="378"/>
      <c r="L165" s="378"/>
      <c r="M165" s="378"/>
      <c r="N165" s="378"/>
      <c r="O165" s="378"/>
      <c r="P165" s="378"/>
      <c r="Q165" s="378"/>
      <c r="R165" s="378"/>
      <c r="S165" s="378"/>
      <c r="T165" s="378"/>
      <c r="U165" s="378"/>
      <c r="V165" s="378"/>
      <c r="W165" s="378"/>
      <c r="X165" s="378"/>
      <c r="Y165" s="378"/>
      <c r="Z165" s="378"/>
    </row>
    <row r="166" ht="16.5" customHeight="1">
      <c r="A166" s="378" t="s">
        <v>177</v>
      </c>
      <c r="B166" s="378" t="s">
        <v>526</v>
      </c>
      <c r="C166" s="378" t="s">
        <v>1776</v>
      </c>
      <c r="D166" s="378" t="s">
        <v>2004</v>
      </c>
      <c r="E166" s="378" t="s">
        <v>2005</v>
      </c>
      <c r="F166" s="378" t="s">
        <v>606</v>
      </c>
      <c r="G166" s="378"/>
      <c r="H166" s="378"/>
      <c r="I166" s="378"/>
      <c r="J166" s="378"/>
      <c r="K166" s="378"/>
      <c r="L166" s="378"/>
      <c r="M166" s="378"/>
      <c r="N166" s="378"/>
      <c r="O166" s="378"/>
      <c r="P166" s="378"/>
      <c r="Q166" s="378"/>
      <c r="R166" s="378"/>
      <c r="S166" s="378"/>
      <c r="T166" s="378"/>
      <c r="U166" s="378"/>
      <c r="V166" s="378"/>
      <c r="W166" s="378"/>
      <c r="X166" s="378"/>
      <c r="Y166" s="378"/>
      <c r="Z166" s="378"/>
    </row>
    <row r="167" ht="16.5" customHeight="1">
      <c r="A167" s="378" t="s">
        <v>177</v>
      </c>
      <c r="B167" s="378" t="s">
        <v>528</v>
      </c>
      <c r="C167" s="378" t="s">
        <v>1776</v>
      </c>
      <c r="D167" s="378" t="s">
        <v>2006</v>
      </c>
      <c r="E167" s="378" t="s">
        <v>2007</v>
      </c>
      <c r="F167" s="378" t="s">
        <v>529</v>
      </c>
      <c r="G167" s="378"/>
      <c r="H167" s="378"/>
      <c r="I167" s="378"/>
      <c r="J167" s="378"/>
      <c r="K167" s="378"/>
      <c r="L167" s="378"/>
      <c r="M167" s="378"/>
      <c r="N167" s="378"/>
      <c r="O167" s="378"/>
      <c r="P167" s="378"/>
      <c r="Q167" s="378"/>
      <c r="R167" s="378"/>
      <c r="S167" s="378"/>
      <c r="T167" s="378"/>
      <c r="U167" s="378"/>
      <c r="V167" s="378"/>
      <c r="W167" s="378"/>
      <c r="X167" s="378"/>
      <c r="Y167" s="378"/>
      <c r="Z167" s="378"/>
    </row>
    <row r="168" ht="16.5" customHeight="1">
      <c r="A168" s="378" t="s">
        <v>177</v>
      </c>
      <c r="B168" s="378" t="s">
        <v>530</v>
      </c>
      <c r="C168" s="378" t="s">
        <v>1776</v>
      </c>
      <c r="D168" s="378" t="s">
        <v>1422</v>
      </c>
      <c r="E168" s="378" t="s">
        <v>2008</v>
      </c>
      <c r="F168" s="378" t="s">
        <v>531</v>
      </c>
      <c r="G168" s="378"/>
      <c r="H168" s="378"/>
      <c r="I168" s="378"/>
      <c r="J168" s="378"/>
      <c r="K168" s="378"/>
      <c r="L168" s="378"/>
      <c r="M168" s="378"/>
      <c r="N168" s="378"/>
      <c r="O168" s="378"/>
      <c r="P168" s="378"/>
      <c r="Q168" s="378"/>
      <c r="R168" s="378"/>
      <c r="S168" s="378"/>
      <c r="T168" s="378"/>
      <c r="U168" s="378"/>
      <c r="V168" s="378"/>
      <c r="W168" s="378"/>
      <c r="X168" s="378"/>
      <c r="Y168" s="378"/>
      <c r="Z168" s="378"/>
    </row>
    <row r="169" ht="16.5" customHeight="1">
      <c r="A169" s="378" t="s">
        <v>177</v>
      </c>
      <c r="B169" s="378" t="s">
        <v>533</v>
      </c>
      <c r="C169" s="378" t="s">
        <v>1776</v>
      </c>
      <c r="D169" s="378" t="s">
        <v>2009</v>
      </c>
      <c r="E169" s="378" t="s">
        <v>2010</v>
      </c>
      <c r="F169" s="378" t="s">
        <v>534</v>
      </c>
      <c r="G169" s="378"/>
      <c r="H169" s="378"/>
      <c r="I169" s="378"/>
      <c r="J169" s="378"/>
      <c r="K169" s="378"/>
      <c r="L169" s="378"/>
      <c r="M169" s="378"/>
      <c r="N169" s="378"/>
      <c r="O169" s="378"/>
      <c r="P169" s="378"/>
      <c r="Q169" s="378"/>
      <c r="R169" s="378"/>
      <c r="S169" s="378"/>
      <c r="T169" s="378"/>
      <c r="U169" s="378"/>
      <c r="V169" s="378"/>
      <c r="W169" s="378"/>
      <c r="X169" s="378"/>
      <c r="Y169" s="378"/>
      <c r="Z169" s="378"/>
    </row>
    <row r="170" ht="16.5" customHeight="1">
      <c r="A170" s="378" t="s">
        <v>177</v>
      </c>
      <c r="B170" s="378" t="s">
        <v>535</v>
      </c>
      <c r="C170" s="378" t="s">
        <v>1776</v>
      </c>
      <c r="D170" s="378" t="s">
        <v>1424</v>
      </c>
      <c r="E170" s="378" t="s">
        <v>2011</v>
      </c>
      <c r="F170" s="378" t="s">
        <v>536</v>
      </c>
      <c r="G170" s="378"/>
      <c r="H170" s="378"/>
      <c r="I170" s="378"/>
      <c r="J170" s="378"/>
      <c r="K170" s="378"/>
      <c r="L170" s="378"/>
      <c r="M170" s="378"/>
      <c r="N170" s="378"/>
      <c r="O170" s="378"/>
      <c r="P170" s="378"/>
      <c r="Q170" s="378"/>
      <c r="R170" s="378"/>
      <c r="S170" s="378"/>
      <c r="T170" s="378"/>
      <c r="U170" s="378"/>
      <c r="V170" s="378"/>
      <c r="W170" s="378"/>
      <c r="X170" s="378"/>
      <c r="Y170" s="378"/>
      <c r="Z170" s="378"/>
    </row>
    <row r="171" ht="16.5" customHeight="1">
      <c r="A171" s="378" t="s">
        <v>177</v>
      </c>
      <c r="B171" s="378" t="s">
        <v>537</v>
      </c>
      <c r="C171" s="378" t="s">
        <v>1776</v>
      </c>
      <c r="D171" s="378" t="s">
        <v>2012</v>
      </c>
      <c r="E171" s="378" t="s">
        <v>2013</v>
      </c>
      <c r="F171" s="378" t="s">
        <v>2014</v>
      </c>
      <c r="G171" s="378"/>
      <c r="H171" s="378"/>
      <c r="I171" s="378"/>
      <c r="J171" s="378"/>
      <c r="K171" s="378"/>
      <c r="L171" s="378"/>
      <c r="M171" s="378"/>
      <c r="N171" s="378"/>
      <c r="O171" s="378"/>
      <c r="P171" s="378"/>
      <c r="Q171" s="378"/>
      <c r="R171" s="378"/>
      <c r="S171" s="378"/>
      <c r="T171" s="378"/>
      <c r="U171" s="378"/>
      <c r="V171" s="378"/>
      <c r="W171" s="378"/>
      <c r="X171" s="378"/>
      <c r="Y171" s="378"/>
      <c r="Z171" s="378"/>
    </row>
    <row r="172" ht="16.5" customHeight="1">
      <c r="A172" s="378" t="s">
        <v>177</v>
      </c>
      <c r="B172" s="378" t="s">
        <v>539</v>
      </c>
      <c r="C172" s="378" t="s">
        <v>1776</v>
      </c>
      <c r="D172" s="378" t="s">
        <v>1426</v>
      </c>
      <c r="E172" s="378" t="s">
        <v>2015</v>
      </c>
      <c r="F172" s="378" t="s">
        <v>540</v>
      </c>
      <c r="G172" s="378"/>
      <c r="H172" s="378"/>
      <c r="I172" s="378"/>
      <c r="J172" s="378"/>
      <c r="K172" s="378"/>
      <c r="L172" s="378"/>
      <c r="M172" s="378"/>
      <c r="N172" s="378"/>
      <c r="O172" s="378"/>
      <c r="P172" s="378"/>
      <c r="Q172" s="378"/>
      <c r="R172" s="378"/>
      <c r="S172" s="378"/>
      <c r="T172" s="378"/>
      <c r="U172" s="378"/>
      <c r="V172" s="378"/>
      <c r="W172" s="378"/>
      <c r="X172" s="378"/>
      <c r="Y172" s="378"/>
      <c r="Z172" s="378"/>
    </row>
    <row r="173" ht="16.5" customHeight="1">
      <c r="A173" s="378" t="s">
        <v>177</v>
      </c>
      <c r="B173" s="378" t="s">
        <v>542</v>
      </c>
      <c r="C173" s="378" t="s">
        <v>1776</v>
      </c>
      <c r="D173" s="378" t="s">
        <v>1428</v>
      </c>
      <c r="E173" s="378" t="s">
        <v>2016</v>
      </c>
      <c r="F173" s="378" t="s">
        <v>543</v>
      </c>
      <c r="G173" s="378"/>
      <c r="H173" s="378"/>
      <c r="I173" s="378"/>
      <c r="J173" s="378"/>
      <c r="K173" s="378"/>
      <c r="L173" s="378"/>
      <c r="M173" s="378"/>
      <c r="N173" s="378"/>
      <c r="O173" s="378"/>
      <c r="P173" s="378"/>
      <c r="Q173" s="378"/>
      <c r="R173" s="378"/>
      <c r="S173" s="378"/>
      <c r="T173" s="378"/>
      <c r="U173" s="378"/>
      <c r="V173" s="378"/>
      <c r="W173" s="378"/>
      <c r="X173" s="378"/>
      <c r="Y173" s="378"/>
      <c r="Z173" s="378"/>
    </row>
    <row r="174" ht="16.5" customHeight="1">
      <c r="A174" s="378" t="s">
        <v>177</v>
      </c>
      <c r="B174" s="378" t="s">
        <v>544</v>
      </c>
      <c r="C174" s="378" t="s">
        <v>1776</v>
      </c>
      <c r="D174" s="378" t="s">
        <v>1909</v>
      </c>
      <c r="E174" s="378" t="s">
        <v>2017</v>
      </c>
      <c r="F174" s="378" t="s">
        <v>545</v>
      </c>
      <c r="G174" s="378"/>
      <c r="H174" s="378"/>
      <c r="I174" s="378"/>
      <c r="J174" s="378"/>
      <c r="K174" s="378"/>
      <c r="L174" s="378"/>
      <c r="M174" s="378"/>
      <c r="N174" s="378"/>
      <c r="O174" s="378"/>
      <c r="P174" s="378"/>
      <c r="Q174" s="378"/>
      <c r="R174" s="378"/>
      <c r="S174" s="378"/>
      <c r="T174" s="378"/>
      <c r="U174" s="378"/>
      <c r="V174" s="378"/>
      <c r="W174" s="378"/>
      <c r="X174" s="378"/>
      <c r="Y174" s="378"/>
      <c r="Z174" s="378"/>
    </row>
    <row r="175" ht="16.5" customHeight="1">
      <c r="A175" s="378" t="s">
        <v>177</v>
      </c>
      <c r="B175" s="378" t="s">
        <v>546</v>
      </c>
      <c r="C175" s="378" t="s">
        <v>1776</v>
      </c>
      <c r="D175" s="378" t="s">
        <v>1429</v>
      </c>
      <c r="E175" s="378" t="s">
        <v>2018</v>
      </c>
      <c r="F175" s="378" t="s">
        <v>547</v>
      </c>
      <c r="G175" s="378"/>
      <c r="H175" s="378"/>
      <c r="I175" s="378"/>
      <c r="J175" s="378"/>
      <c r="K175" s="378"/>
      <c r="L175" s="378"/>
      <c r="M175" s="378"/>
      <c r="N175" s="378"/>
      <c r="O175" s="378"/>
      <c r="P175" s="378"/>
      <c r="Q175" s="378"/>
      <c r="R175" s="378"/>
      <c r="S175" s="378"/>
      <c r="T175" s="378"/>
      <c r="U175" s="378"/>
      <c r="V175" s="378"/>
      <c r="W175" s="378"/>
      <c r="X175" s="378"/>
      <c r="Y175" s="378"/>
      <c r="Z175" s="378"/>
    </row>
    <row r="176" ht="16.5" customHeight="1">
      <c r="A176" s="378" t="s">
        <v>177</v>
      </c>
      <c r="B176" s="378" t="s">
        <v>549</v>
      </c>
      <c r="C176" s="378" t="s">
        <v>1776</v>
      </c>
      <c r="D176" s="378" t="s">
        <v>2019</v>
      </c>
      <c r="E176" s="378" t="s">
        <v>2020</v>
      </c>
      <c r="F176" s="378" t="s">
        <v>550</v>
      </c>
      <c r="G176" s="378"/>
      <c r="H176" s="378"/>
      <c r="I176" s="378"/>
      <c r="J176" s="378"/>
      <c r="K176" s="378"/>
      <c r="L176" s="378"/>
      <c r="M176" s="378"/>
      <c r="N176" s="378"/>
      <c r="O176" s="378"/>
      <c r="P176" s="378"/>
      <c r="Q176" s="378"/>
      <c r="R176" s="378"/>
      <c r="S176" s="378"/>
      <c r="T176" s="378"/>
      <c r="U176" s="378"/>
      <c r="V176" s="378"/>
      <c r="W176" s="378"/>
      <c r="X176" s="378"/>
      <c r="Y176" s="378"/>
      <c r="Z176" s="378"/>
    </row>
    <row r="177" ht="16.5" customHeight="1">
      <c r="A177" s="378" t="s">
        <v>177</v>
      </c>
      <c r="B177" s="378" t="s">
        <v>555</v>
      </c>
      <c r="C177" s="378" t="s">
        <v>1776</v>
      </c>
      <c r="D177" s="378" t="s">
        <v>1431</v>
      </c>
      <c r="E177" s="378" t="s">
        <v>2021</v>
      </c>
      <c r="F177" s="378" t="s">
        <v>556</v>
      </c>
      <c r="G177" s="378"/>
      <c r="H177" s="378"/>
      <c r="I177" s="378"/>
      <c r="J177" s="378"/>
      <c r="K177" s="378"/>
      <c r="L177" s="378"/>
      <c r="M177" s="378"/>
      <c r="N177" s="378"/>
      <c r="O177" s="378"/>
      <c r="P177" s="378"/>
      <c r="Q177" s="378"/>
      <c r="R177" s="378"/>
      <c r="S177" s="378"/>
      <c r="T177" s="378"/>
      <c r="U177" s="378"/>
      <c r="V177" s="378"/>
      <c r="W177" s="378"/>
      <c r="X177" s="378"/>
      <c r="Y177" s="378"/>
      <c r="Z177" s="378"/>
    </row>
    <row r="178" ht="16.5" customHeight="1">
      <c r="A178" s="378" t="s">
        <v>177</v>
      </c>
      <c r="B178" s="378" t="s">
        <v>557</v>
      </c>
      <c r="C178" s="378" t="s">
        <v>1776</v>
      </c>
      <c r="D178" s="378" t="s">
        <v>2022</v>
      </c>
      <c r="E178" s="378" t="s">
        <v>2023</v>
      </c>
      <c r="F178" s="378" t="s">
        <v>558</v>
      </c>
      <c r="G178" s="378"/>
      <c r="H178" s="378"/>
      <c r="I178" s="378"/>
      <c r="J178" s="378"/>
      <c r="K178" s="378"/>
      <c r="L178" s="378"/>
      <c r="M178" s="378"/>
      <c r="N178" s="378"/>
      <c r="O178" s="378"/>
      <c r="P178" s="378"/>
      <c r="Q178" s="378"/>
      <c r="R178" s="378"/>
      <c r="S178" s="378"/>
      <c r="T178" s="378"/>
      <c r="U178" s="378"/>
      <c r="V178" s="378"/>
      <c r="W178" s="378"/>
      <c r="X178" s="378"/>
      <c r="Y178" s="378"/>
      <c r="Z178" s="378"/>
    </row>
    <row r="179" ht="16.5" customHeight="1">
      <c r="A179" s="378" t="s">
        <v>177</v>
      </c>
      <c r="B179" s="378" t="s">
        <v>548</v>
      </c>
      <c r="C179" s="378" t="s">
        <v>1776</v>
      </c>
      <c r="D179" s="378" t="s">
        <v>2024</v>
      </c>
      <c r="E179" s="378" t="s">
        <v>2025</v>
      </c>
      <c r="F179" s="378" t="s">
        <v>355</v>
      </c>
      <c r="G179" s="378"/>
      <c r="H179" s="378"/>
      <c r="I179" s="378"/>
      <c r="J179" s="378"/>
      <c r="K179" s="378"/>
      <c r="L179" s="378"/>
      <c r="M179" s="378"/>
      <c r="N179" s="378"/>
      <c r="O179" s="378"/>
      <c r="P179" s="378"/>
      <c r="Q179" s="378"/>
      <c r="R179" s="378"/>
      <c r="S179" s="378"/>
      <c r="T179" s="378"/>
      <c r="U179" s="378"/>
      <c r="V179" s="378"/>
      <c r="W179" s="378"/>
      <c r="X179" s="378"/>
      <c r="Y179" s="378"/>
      <c r="Z179" s="378"/>
    </row>
    <row r="180" ht="16.5" customHeight="1">
      <c r="A180" s="378" t="s">
        <v>177</v>
      </c>
      <c r="B180" s="378" t="s">
        <v>559</v>
      </c>
      <c r="C180" s="378" t="s">
        <v>1776</v>
      </c>
      <c r="D180" s="378" t="s">
        <v>2026</v>
      </c>
      <c r="E180" s="378" t="s">
        <v>2027</v>
      </c>
      <c r="F180" s="378" t="s">
        <v>560</v>
      </c>
      <c r="G180" s="378"/>
      <c r="H180" s="378"/>
      <c r="I180" s="378"/>
      <c r="J180" s="378"/>
      <c r="K180" s="378"/>
      <c r="L180" s="378"/>
      <c r="M180" s="378"/>
      <c r="N180" s="378"/>
      <c r="O180" s="378"/>
      <c r="P180" s="378"/>
      <c r="Q180" s="378"/>
      <c r="R180" s="378"/>
      <c r="S180" s="378"/>
      <c r="T180" s="378"/>
      <c r="U180" s="378"/>
      <c r="V180" s="378"/>
      <c r="W180" s="378"/>
      <c r="X180" s="378"/>
      <c r="Y180" s="378"/>
      <c r="Z180" s="378"/>
    </row>
    <row r="181" ht="16.5" customHeight="1">
      <c r="A181" s="378" t="s">
        <v>177</v>
      </c>
      <c r="B181" s="378" t="s">
        <v>561</v>
      </c>
      <c r="C181" s="378" t="s">
        <v>1776</v>
      </c>
      <c r="D181" s="378" t="s">
        <v>2028</v>
      </c>
      <c r="E181" s="378" t="s">
        <v>2029</v>
      </c>
      <c r="F181" s="378" t="s">
        <v>562</v>
      </c>
      <c r="G181" s="378"/>
      <c r="H181" s="378"/>
      <c r="I181" s="378"/>
      <c r="J181" s="378"/>
      <c r="K181" s="378"/>
      <c r="L181" s="378"/>
      <c r="M181" s="378"/>
      <c r="N181" s="378"/>
      <c r="O181" s="378"/>
      <c r="P181" s="378"/>
      <c r="Q181" s="378"/>
      <c r="R181" s="378"/>
      <c r="S181" s="378"/>
      <c r="T181" s="378"/>
      <c r="U181" s="378"/>
      <c r="V181" s="378"/>
      <c r="W181" s="378"/>
      <c r="X181" s="378"/>
      <c r="Y181" s="378"/>
      <c r="Z181" s="378"/>
    </row>
    <row r="182" ht="16.5" customHeight="1">
      <c r="A182" s="378" t="s">
        <v>177</v>
      </c>
      <c r="B182" s="378" t="s">
        <v>563</v>
      </c>
      <c r="C182" s="378" t="s">
        <v>1776</v>
      </c>
      <c r="D182" s="378" t="s">
        <v>2030</v>
      </c>
      <c r="E182" s="378" t="s">
        <v>2031</v>
      </c>
      <c r="F182" s="378" t="s">
        <v>564</v>
      </c>
      <c r="G182" s="378"/>
      <c r="H182" s="378"/>
      <c r="I182" s="378"/>
      <c r="J182" s="378"/>
      <c r="K182" s="378"/>
      <c r="L182" s="378"/>
      <c r="M182" s="378"/>
      <c r="N182" s="378"/>
      <c r="O182" s="378"/>
      <c r="P182" s="378"/>
      <c r="Q182" s="378"/>
      <c r="R182" s="378"/>
      <c r="S182" s="378"/>
      <c r="T182" s="378"/>
      <c r="U182" s="378"/>
      <c r="V182" s="378"/>
      <c r="W182" s="378"/>
      <c r="X182" s="378"/>
      <c r="Y182" s="378"/>
      <c r="Z182" s="378"/>
    </row>
    <row r="183" ht="16.5" customHeight="1">
      <c r="A183" s="378" t="s">
        <v>177</v>
      </c>
      <c r="B183" s="378" t="s">
        <v>565</v>
      </c>
      <c r="C183" s="378" t="s">
        <v>1776</v>
      </c>
      <c r="D183" s="378" t="s">
        <v>2032</v>
      </c>
      <c r="E183" s="378" t="s">
        <v>2033</v>
      </c>
      <c r="F183" s="378" t="s">
        <v>566</v>
      </c>
      <c r="G183" s="378"/>
      <c r="H183" s="378"/>
      <c r="I183" s="378"/>
      <c r="J183" s="378"/>
      <c r="K183" s="378"/>
      <c r="L183" s="378"/>
      <c r="M183" s="378"/>
      <c r="N183" s="378"/>
      <c r="O183" s="378"/>
      <c r="P183" s="378"/>
      <c r="Q183" s="378"/>
      <c r="R183" s="378"/>
      <c r="S183" s="378"/>
      <c r="T183" s="378"/>
      <c r="U183" s="378"/>
      <c r="V183" s="378"/>
      <c r="W183" s="378"/>
      <c r="X183" s="378"/>
      <c r="Y183" s="378"/>
      <c r="Z183" s="378"/>
    </row>
    <row r="184" ht="16.5" customHeight="1">
      <c r="A184" s="378" t="s">
        <v>177</v>
      </c>
      <c r="B184" s="378" t="s">
        <v>567</v>
      </c>
      <c r="C184" s="378" t="s">
        <v>1776</v>
      </c>
      <c r="D184" s="378" t="s">
        <v>1438</v>
      </c>
      <c r="E184" s="378" t="s">
        <v>2034</v>
      </c>
      <c r="F184" s="378" t="s">
        <v>568</v>
      </c>
      <c r="G184" s="378"/>
      <c r="H184" s="378"/>
      <c r="I184" s="378"/>
      <c r="J184" s="378"/>
      <c r="K184" s="378"/>
      <c r="L184" s="378"/>
      <c r="M184" s="378"/>
      <c r="N184" s="378"/>
      <c r="O184" s="378"/>
      <c r="P184" s="378"/>
      <c r="Q184" s="378"/>
      <c r="R184" s="378"/>
      <c r="S184" s="378"/>
      <c r="T184" s="378"/>
      <c r="U184" s="378"/>
      <c r="V184" s="378"/>
      <c r="W184" s="378"/>
      <c r="X184" s="378"/>
      <c r="Y184" s="378"/>
      <c r="Z184" s="378"/>
    </row>
    <row r="185" ht="16.5" customHeight="1">
      <c r="A185" s="378" t="s">
        <v>177</v>
      </c>
      <c r="B185" s="378" t="s">
        <v>569</v>
      </c>
      <c r="C185" s="378" t="s">
        <v>1776</v>
      </c>
      <c r="D185" s="378" t="s">
        <v>2035</v>
      </c>
      <c r="E185" s="378" t="s">
        <v>2036</v>
      </c>
      <c r="F185" s="378" t="s">
        <v>570</v>
      </c>
      <c r="G185" s="378"/>
      <c r="H185" s="378"/>
      <c r="I185" s="378"/>
      <c r="J185" s="378"/>
      <c r="K185" s="378"/>
      <c r="L185" s="378"/>
      <c r="M185" s="378"/>
      <c r="N185" s="378"/>
      <c r="O185" s="378"/>
      <c r="P185" s="378"/>
      <c r="Q185" s="378"/>
      <c r="R185" s="378"/>
      <c r="S185" s="378"/>
      <c r="T185" s="378"/>
      <c r="U185" s="378"/>
      <c r="V185" s="378"/>
      <c r="W185" s="378"/>
      <c r="X185" s="378"/>
      <c r="Y185" s="378"/>
      <c r="Z185" s="378"/>
    </row>
    <row r="186" ht="16.5" customHeight="1">
      <c r="A186" s="378" t="s">
        <v>177</v>
      </c>
      <c r="B186" s="378" t="s">
        <v>571</v>
      </c>
      <c r="C186" s="378" t="s">
        <v>1776</v>
      </c>
      <c r="D186" s="378" t="s">
        <v>2037</v>
      </c>
      <c r="E186" s="378" t="s">
        <v>2038</v>
      </c>
      <c r="F186" s="378" t="s">
        <v>572</v>
      </c>
      <c r="G186" s="378"/>
      <c r="H186" s="378"/>
      <c r="I186" s="378"/>
      <c r="J186" s="378"/>
      <c r="K186" s="378"/>
      <c r="L186" s="378"/>
      <c r="M186" s="378"/>
      <c r="N186" s="378"/>
      <c r="O186" s="378"/>
      <c r="P186" s="378"/>
      <c r="Q186" s="378"/>
      <c r="R186" s="378"/>
      <c r="S186" s="378"/>
      <c r="T186" s="378"/>
      <c r="U186" s="378"/>
      <c r="V186" s="378"/>
      <c r="W186" s="378"/>
      <c r="X186" s="378"/>
      <c r="Y186" s="378"/>
      <c r="Z186" s="378"/>
    </row>
    <row r="187" ht="16.5" customHeight="1">
      <c r="A187" s="378" t="s">
        <v>177</v>
      </c>
      <c r="B187" s="378" t="s">
        <v>573</v>
      </c>
      <c r="C187" s="378" t="s">
        <v>1776</v>
      </c>
      <c r="D187" s="378" t="s">
        <v>1441</v>
      </c>
      <c r="E187" s="378" t="s">
        <v>2039</v>
      </c>
      <c r="F187" s="378" t="s">
        <v>574</v>
      </c>
      <c r="G187" s="378"/>
      <c r="H187" s="378"/>
      <c r="I187" s="378"/>
      <c r="J187" s="378"/>
      <c r="K187" s="378"/>
      <c r="L187" s="378"/>
      <c r="M187" s="378"/>
      <c r="N187" s="378"/>
      <c r="O187" s="378"/>
      <c r="P187" s="378"/>
      <c r="Q187" s="378"/>
      <c r="R187" s="378"/>
      <c r="S187" s="378"/>
      <c r="T187" s="378"/>
      <c r="U187" s="378"/>
      <c r="V187" s="378"/>
      <c r="W187" s="378"/>
      <c r="X187" s="378"/>
      <c r="Y187" s="378"/>
      <c r="Z187" s="378"/>
    </row>
    <row r="188" ht="16.5" customHeight="1">
      <c r="A188" s="378" t="s">
        <v>177</v>
      </c>
      <c r="B188" s="378" t="s">
        <v>575</v>
      </c>
      <c r="C188" s="378" t="s">
        <v>1776</v>
      </c>
      <c r="D188" s="378" t="s">
        <v>2040</v>
      </c>
      <c r="E188" s="378" t="s">
        <v>2041</v>
      </c>
      <c r="F188" s="378" t="s">
        <v>576</v>
      </c>
      <c r="G188" s="378"/>
      <c r="H188" s="378"/>
      <c r="I188" s="378"/>
      <c r="J188" s="378"/>
      <c r="K188" s="378"/>
      <c r="L188" s="378"/>
      <c r="M188" s="378"/>
      <c r="N188" s="378"/>
      <c r="O188" s="378"/>
      <c r="P188" s="378"/>
      <c r="Q188" s="378"/>
      <c r="R188" s="378"/>
      <c r="S188" s="378"/>
      <c r="T188" s="378"/>
      <c r="U188" s="378"/>
      <c r="V188" s="378"/>
      <c r="W188" s="378"/>
      <c r="X188" s="378"/>
      <c r="Y188" s="378"/>
      <c r="Z188" s="378"/>
    </row>
    <row r="189" ht="16.5" customHeight="1">
      <c r="A189" s="378" t="s">
        <v>177</v>
      </c>
      <c r="B189" s="378" t="s">
        <v>577</v>
      </c>
      <c r="C189" s="378" t="s">
        <v>1776</v>
      </c>
      <c r="D189" s="378" t="s">
        <v>2042</v>
      </c>
      <c r="E189" s="378" t="s">
        <v>2043</v>
      </c>
      <c r="F189" s="378" t="s">
        <v>578</v>
      </c>
      <c r="G189" s="378"/>
      <c r="H189" s="378"/>
      <c r="I189" s="378"/>
      <c r="J189" s="378"/>
      <c r="K189" s="378"/>
      <c r="L189" s="378"/>
      <c r="M189" s="378"/>
      <c r="N189" s="378"/>
      <c r="O189" s="378"/>
      <c r="P189" s="378"/>
      <c r="Q189" s="378"/>
      <c r="R189" s="378"/>
      <c r="S189" s="378"/>
      <c r="T189" s="378"/>
      <c r="U189" s="378"/>
      <c r="V189" s="378"/>
      <c r="W189" s="378"/>
      <c r="X189" s="378"/>
      <c r="Y189" s="378"/>
      <c r="Z189" s="378"/>
    </row>
    <row r="190" ht="16.5" customHeight="1">
      <c r="A190" s="378" t="s">
        <v>177</v>
      </c>
      <c r="B190" s="378" t="s">
        <v>579</v>
      </c>
      <c r="C190" s="378" t="s">
        <v>1776</v>
      </c>
      <c r="D190" s="378" t="s">
        <v>1444</v>
      </c>
      <c r="E190" s="378" t="s">
        <v>2044</v>
      </c>
      <c r="F190" s="378" t="s">
        <v>580</v>
      </c>
      <c r="G190" s="378"/>
      <c r="H190" s="378"/>
      <c r="I190" s="378"/>
      <c r="J190" s="378"/>
      <c r="K190" s="378"/>
      <c r="L190" s="378"/>
      <c r="M190" s="378"/>
      <c r="N190" s="378"/>
      <c r="O190" s="378"/>
      <c r="P190" s="378"/>
      <c r="Q190" s="378"/>
      <c r="R190" s="378"/>
      <c r="S190" s="378"/>
      <c r="T190" s="378"/>
      <c r="U190" s="378"/>
      <c r="V190" s="378"/>
      <c r="W190" s="378"/>
      <c r="X190" s="378"/>
      <c r="Y190" s="378"/>
      <c r="Z190" s="378"/>
    </row>
    <row r="191" ht="16.5" customHeight="1">
      <c r="A191" s="378" t="s">
        <v>177</v>
      </c>
      <c r="B191" s="378" t="s">
        <v>581</v>
      </c>
      <c r="C191" s="378" t="s">
        <v>1776</v>
      </c>
      <c r="D191" s="378" t="s">
        <v>2045</v>
      </c>
      <c r="E191" s="378" t="s">
        <v>2046</v>
      </c>
      <c r="F191" s="378" t="s">
        <v>582</v>
      </c>
      <c r="G191" s="378"/>
      <c r="H191" s="378"/>
      <c r="I191" s="378"/>
      <c r="J191" s="378"/>
      <c r="K191" s="378"/>
      <c r="L191" s="378"/>
      <c r="M191" s="378"/>
      <c r="N191" s="378"/>
      <c r="O191" s="378"/>
      <c r="P191" s="378"/>
      <c r="Q191" s="378"/>
      <c r="R191" s="378"/>
      <c r="S191" s="378"/>
      <c r="T191" s="378"/>
      <c r="U191" s="378"/>
      <c r="V191" s="378"/>
      <c r="W191" s="378"/>
      <c r="X191" s="378"/>
      <c r="Y191" s="378"/>
      <c r="Z191" s="378"/>
    </row>
    <row r="192" ht="16.5" customHeight="1">
      <c r="A192" s="378" t="s">
        <v>177</v>
      </c>
      <c r="B192" s="378" t="s">
        <v>55</v>
      </c>
      <c r="C192" s="378" t="s">
        <v>1776</v>
      </c>
      <c r="D192" s="378" t="s">
        <v>1446</v>
      </c>
      <c r="E192" s="378" t="s">
        <v>2047</v>
      </c>
      <c r="F192" s="378" t="s">
        <v>583</v>
      </c>
      <c r="G192" s="378"/>
      <c r="H192" s="378"/>
      <c r="I192" s="378"/>
      <c r="J192" s="378"/>
      <c r="K192" s="378"/>
      <c r="L192" s="378"/>
      <c r="M192" s="378"/>
      <c r="N192" s="378"/>
      <c r="O192" s="378"/>
      <c r="P192" s="378"/>
      <c r="Q192" s="378"/>
      <c r="R192" s="378"/>
      <c r="S192" s="378"/>
      <c r="T192" s="378"/>
      <c r="U192" s="378"/>
      <c r="V192" s="378"/>
      <c r="W192" s="378"/>
      <c r="X192" s="378"/>
      <c r="Y192" s="378"/>
      <c r="Z192" s="378"/>
    </row>
    <row r="193" ht="16.5" customHeight="1">
      <c r="A193" s="378" t="s">
        <v>177</v>
      </c>
      <c r="B193" s="378" t="s">
        <v>584</v>
      </c>
      <c r="C193" s="378" t="s">
        <v>1776</v>
      </c>
      <c r="D193" s="378" t="s">
        <v>1913</v>
      </c>
      <c r="E193" s="378" t="s">
        <v>2048</v>
      </c>
      <c r="F193" s="378" t="s">
        <v>2049</v>
      </c>
      <c r="G193" s="378"/>
      <c r="H193" s="378"/>
      <c r="I193" s="378"/>
      <c r="J193" s="378"/>
      <c r="K193" s="378"/>
      <c r="L193" s="378"/>
      <c r="M193" s="378"/>
      <c r="N193" s="378"/>
      <c r="O193" s="378"/>
      <c r="P193" s="378"/>
      <c r="Q193" s="378"/>
      <c r="R193" s="378"/>
      <c r="S193" s="378"/>
      <c r="T193" s="378"/>
      <c r="U193" s="378"/>
      <c r="V193" s="378"/>
      <c r="W193" s="378"/>
      <c r="X193" s="378"/>
      <c r="Y193" s="378"/>
      <c r="Z193" s="378"/>
    </row>
    <row r="194" ht="16.5" customHeight="1">
      <c r="A194" s="378" t="s">
        <v>177</v>
      </c>
      <c r="B194" s="378" t="s">
        <v>586</v>
      </c>
      <c r="C194" s="378" t="s">
        <v>1776</v>
      </c>
      <c r="D194" s="378" t="s">
        <v>2050</v>
      </c>
      <c r="E194" s="378" t="s">
        <v>2051</v>
      </c>
      <c r="F194" s="378" t="s">
        <v>587</v>
      </c>
      <c r="G194" s="378"/>
      <c r="H194" s="378"/>
      <c r="I194" s="378"/>
      <c r="J194" s="378"/>
      <c r="K194" s="378"/>
      <c r="L194" s="378"/>
      <c r="M194" s="378"/>
      <c r="N194" s="378"/>
      <c r="O194" s="378"/>
      <c r="P194" s="378"/>
      <c r="Q194" s="378"/>
      <c r="R194" s="378"/>
      <c r="S194" s="378"/>
      <c r="T194" s="378"/>
      <c r="U194" s="378"/>
      <c r="V194" s="378"/>
      <c r="W194" s="378"/>
      <c r="X194" s="378"/>
      <c r="Y194" s="378"/>
      <c r="Z194" s="378"/>
    </row>
    <row r="195" ht="16.5" customHeight="1">
      <c r="A195" s="378" t="s">
        <v>177</v>
      </c>
      <c r="B195" s="378" t="s">
        <v>588</v>
      </c>
      <c r="C195" s="378" t="s">
        <v>1776</v>
      </c>
      <c r="D195" s="378" t="s">
        <v>1448</v>
      </c>
      <c r="E195" s="378" t="s">
        <v>2052</v>
      </c>
      <c r="F195" s="378" t="s">
        <v>589</v>
      </c>
      <c r="G195" s="378"/>
      <c r="H195" s="378"/>
      <c r="I195" s="378"/>
      <c r="J195" s="378"/>
      <c r="K195" s="378"/>
      <c r="L195" s="378"/>
      <c r="M195" s="378"/>
      <c r="N195" s="378"/>
      <c r="O195" s="378"/>
      <c r="P195" s="378"/>
      <c r="Q195" s="378"/>
      <c r="R195" s="378"/>
      <c r="S195" s="378"/>
      <c r="T195" s="378"/>
      <c r="U195" s="378"/>
      <c r="V195" s="378"/>
      <c r="W195" s="378"/>
      <c r="X195" s="378"/>
      <c r="Y195" s="378"/>
      <c r="Z195" s="378"/>
    </row>
    <row r="196" ht="16.5" customHeight="1">
      <c r="A196" s="378" t="s">
        <v>177</v>
      </c>
      <c r="B196" s="378" t="s">
        <v>590</v>
      </c>
      <c r="C196" s="378" t="s">
        <v>1776</v>
      </c>
      <c r="D196" s="378" t="s">
        <v>2053</v>
      </c>
      <c r="E196" s="378" t="s">
        <v>2054</v>
      </c>
      <c r="F196" s="378" t="s">
        <v>591</v>
      </c>
      <c r="G196" s="378"/>
      <c r="H196" s="378"/>
      <c r="I196" s="378"/>
      <c r="J196" s="378"/>
      <c r="K196" s="378"/>
      <c r="L196" s="378"/>
      <c r="M196" s="378"/>
      <c r="N196" s="378"/>
      <c r="O196" s="378"/>
      <c r="P196" s="378"/>
      <c r="Q196" s="378"/>
      <c r="R196" s="378"/>
      <c r="S196" s="378"/>
      <c r="T196" s="378"/>
      <c r="U196" s="378"/>
      <c r="V196" s="378"/>
      <c r="W196" s="378"/>
      <c r="X196" s="378"/>
      <c r="Y196" s="378"/>
      <c r="Z196" s="378"/>
    </row>
    <row r="197" ht="16.5" customHeight="1">
      <c r="A197" s="378" t="s">
        <v>177</v>
      </c>
      <c r="B197" s="378" t="s">
        <v>592</v>
      </c>
      <c r="C197" s="378" t="s">
        <v>1776</v>
      </c>
      <c r="D197" s="378" t="s">
        <v>1135</v>
      </c>
      <c r="E197" s="378" t="s">
        <v>1796</v>
      </c>
      <c r="F197" s="378" t="s">
        <v>593</v>
      </c>
      <c r="G197" s="378"/>
      <c r="H197" s="378"/>
      <c r="I197" s="378"/>
      <c r="J197" s="378"/>
      <c r="K197" s="378"/>
      <c r="L197" s="378"/>
      <c r="M197" s="378"/>
      <c r="N197" s="378"/>
      <c r="O197" s="378"/>
      <c r="P197" s="378"/>
      <c r="Q197" s="378"/>
      <c r="R197" s="378"/>
      <c r="S197" s="378"/>
      <c r="T197" s="378"/>
      <c r="U197" s="378"/>
      <c r="V197" s="378"/>
      <c r="W197" s="378"/>
      <c r="X197" s="378"/>
      <c r="Y197" s="378"/>
      <c r="Z197" s="378"/>
    </row>
    <row r="198" ht="16.5" customHeight="1">
      <c r="A198" s="378"/>
      <c r="B198" s="378"/>
      <c r="C198" s="378"/>
      <c r="D198" s="378"/>
      <c r="E198" s="378"/>
      <c r="F198" s="378"/>
      <c r="G198" s="378"/>
      <c r="H198" s="378"/>
      <c r="I198" s="378"/>
      <c r="J198" s="378"/>
      <c r="K198" s="378"/>
      <c r="L198" s="378"/>
      <c r="M198" s="378"/>
      <c r="N198" s="378"/>
      <c r="O198" s="378"/>
      <c r="P198" s="378"/>
      <c r="Q198" s="378"/>
      <c r="R198" s="378"/>
      <c r="S198" s="378"/>
      <c r="T198" s="378"/>
      <c r="U198" s="378"/>
      <c r="V198" s="378"/>
      <c r="W198" s="378"/>
      <c r="X198" s="378"/>
      <c r="Y198" s="378"/>
      <c r="Z198" s="378"/>
    </row>
    <row r="199" ht="16.5" customHeight="1">
      <c r="A199" s="378" t="s">
        <v>2055</v>
      </c>
      <c r="B199" s="378" t="s">
        <v>354</v>
      </c>
      <c r="C199" s="378" t="s">
        <v>1776</v>
      </c>
      <c r="D199" s="378" t="s">
        <v>1469</v>
      </c>
      <c r="E199" s="378" t="s">
        <v>2056</v>
      </c>
      <c r="F199" s="378" t="s">
        <v>594</v>
      </c>
      <c r="G199" s="378"/>
      <c r="H199" s="378"/>
      <c r="I199" s="378"/>
      <c r="J199" s="378"/>
      <c r="K199" s="378"/>
      <c r="L199" s="378"/>
      <c r="M199" s="378"/>
      <c r="N199" s="378"/>
      <c r="O199" s="378"/>
      <c r="P199" s="378"/>
      <c r="Q199" s="378"/>
      <c r="R199" s="378"/>
      <c r="S199" s="378"/>
      <c r="T199" s="378"/>
      <c r="U199" s="378"/>
      <c r="V199" s="378"/>
      <c r="W199" s="378"/>
      <c r="X199" s="378"/>
      <c r="Y199" s="378"/>
      <c r="Z199" s="378"/>
    </row>
    <row r="200" ht="16.5" customHeight="1">
      <c r="A200" s="378" t="s">
        <v>2055</v>
      </c>
      <c r="B200" s="378" t="s">
        <v>599</v>
      </c>
      <c r="C200" s="378" t="s">
        <v>1776</v>
      </c>
      <c r="D200" s="378" t="s">
        <v>1470</v>
      </c>
      <c r="E200" s="378" t="s">
        <v>2057</v>
      </c>
      <c r="F200" s="378" t="s">
        <v>600</v>
      </c>
      <c r="G200" s="378"/>
      <c r="H200" s="378"/>
      <c r="I200" s="378"/>
      <c r="J200" s="378"/>
      <c r="K200" s="378"/>
      <c r="L200" s="378"/>
      <c r="M200" s="378"/>
      <c r="N200" s="378"/>
      <c r="O200" s="378"/>
      <c r="P200" s="378"/>
      <c r="Q200" s="378"/>
      <c r="R200" s="378"/>
      <c r="S200" s="378"/>
      <c r="T200" s="378"/>
      <c r="U200" s="378"/>
      <c r="V200" s="378"/>
      <c r="W200" s="378"/>
      <c r="X200" s="378"/>
      <c r="Y200" s="378"/>
      <c r="Z200" s="378"/>
    </row>
    <row r="201" ht="16.5" customHeight="1">
      <c r="A201" s="378" t="s">
        <v>2055</v>
      </c>
      <c r="B201" s="378" t="s">
        <v>602</v>
      </c>
      <c r="C201" s="378" t="s">
        <v>1776</v>
      </c>
      <c r="D201" s="378" t="s">
        <v>1472</v>
      </c>
      <c r="E201" s="378" t="s">
        <v>2058</v>
      </c>
      <c r="F201" s="378" t="s">
        <v>603</v>
      </c>
      <c r="G201" s="378"/>
      <c r="H201" s="378"/>
      <c r="I201" s="378"/>
      <c r="J201" s="378"/>
      <c r="K201" s="378"/>
      <c r="L201" s="378"/>
      <c r="M201" s="378"/>
      <c r="N201" s="378"/>
      <c r="O201" s="378"/>
      <c r="P201" s="378"/>
      <c r="Q201" s="378"/>
      <c r="R201" s="378"/>
      <c r="S201" s="378"/>
      <c r="T201" s="378"/>
      <c r="U201" s="378"/>
      <c r="V201" s="378"/>
      <c r="W201" s="378"/>
      <c r="X201" s="378"/>
      <c r="Y201" s="378"/>
      <c r="Z201" s="378"/>
    </row>
    <row r="202" ht="16.5" customHeight="1">
      <c r="A202" s="378" t="s">
        <v>2055</v>
      </c>
      <c r="B202" s="378" t="s">
        <v>604</v>
      </c>
      <c r="C202" s="378" t="s">
        <v>1776</v>
      </c>
      <c r="D202" s="378" t="s">
        <v>1473</v>
      </c>
      <c r="E202" s="378" t="s">
        <v>2059</v>
      </c>
      <c r="F202" s="378" t="s">
        <v>605</v>
      </c>
      <c r="G202" s="378"/>
      <c r="H202" s="378"/>
      <c r="I202" s="378"/>
      <c r="J202" s="378"/>
      <c r="K202" s="378"/>
      <c r="L202" s="378"/>
      <c r="M202" s="378"/>
      <c r="N202" s="378"/>
      <c r="O202" s="378"/>
      <c r="P202" s="378"/>
      <c r="Q202" s="378"/>
      <c r="R202" s="378"/>
      <c r="S202" s="378"/>
      <c r="T202" s="378"/>
      <c r="U202" s="378"/>
      <c r="V202" s="378"/>
      <c r="W202" s="378"/>
      <c r="X202" s="378"/>
      <c r="Y202" s="378"/>
      <c r="Z202" s="378"/>
    </row>
    <row r="203" ht="16.5" customHeight="1">
      <c r="A203" s="378" t="s">
        <v>2055</v>
      </c>
      <c r="B203" s="378" t="s">
        <v>359</v>
      </c>
      <c r="C203" s="378" t="s">
        <v>1776</v>
      </c>
      <c r="D203" s="378" t="s">
        <v>1474</v>
      </c>
      <c r="E203" s="378" t="s">
        <v>2060</v>
      </c>
      <c r="F203" s="378" t="s">
        <v>606</v>
      </c>
      <c r="G203" s="378"/>
      <c r="H203" s="378"/>
      <c r="I203" s="378"/>
      <c r="J203" s="378"/>
      <c r="K203" s="378"/>
      <c r="L203" s="378"/>
      <c r="M203" s="378"/>
      <c r="N203" s="378"/>
      <c r="O203" s="378"/>
      <c r="P203" s="378"/>
      <c r="Q203" s="378"/>
      <c r="R203" s="378"/>
      <c r="S203" s="378"/>
      <c r="T203" s="378"/>
      <c r="U203" s="378"/>
      <c r="V203" s="378"/>
      <c r="W203" s="378"/>
      <c r="X203" s="378"/>
      <c r="Y203" s="378"/>
      <c r="Z203" s="378"/>
    </row>
    <row r="204" ht="16.5" customHeight="1">
      <c r="A204" s="378" t="s">
        <v>2055</v>
      </c>
      <c r="B204" s="378" t="s">
        <v>363</v>
      </c>
      <c r="C204" s="378" t="s">
        <v>1776</v>
      </c>
      <c r="D204" s="378" t="s">
        <v>1475</v>
      </c>
      <c r="E204" s="378" t="s">
        <v>2061</v>
      </c>
      <c r="F204" s="378" t="s">
        <v>610</v>
      </c>
      <c r="G204" s="378"/>
      <c r="H204" s="378"/>
      <c r="I204" s="378"/>
      <c r="J204" s="378"/>
      <c r="K204" s="378"/>
      <c r="L204" s="378"/>
      <c r="M204" s="378"/>
      <c r="N204" s="378"/>
      <c r="O204" s="378"/>
      <c r="P204" s="378"/>
      <c r="Q204" s="378"/>
      <c r="R204" s="378"/>
      <c r="S204" s="378"/>
      <c r="T204" s="378"/>
      <c r="U204" s="378"/>
      <c r="V204" s="378"/>
      <c r="W204" s="378"/>
      <c r="X204" s="378"/>
      <c r="Y204" s="378"/>
      <c r="Z204" s="378"/>
    </row>
    <row r="205" ht="16.5" customHeight="1">
      <c r="A205" s="378" t="s">
        <v>2055</v>
      </c>
      <c r="B205" s="378" t="s">
        <v>612</v>
      </c>
      <c r="C205" s="378" t="s">
        <v>1776</v>
      </c>
      <c r="D205" s="378" t="s">
        <v>1476</v>
      </c>
      <c r="E205" s="378" t="s">
        <v>2062</v>
      </c>
      <c r="F205" s="378" t="s">
        <v>613</v>
      </c>
      <c r="G205" s="378"/>
      <c r="H205" s="378"/>
      <c r="I205" s="378"/>
      <c r="J205" s="378"/>
      <c r="K205" s="378"/>
      <c r="L205" s="378"/>
      <c r="M205" s="378"/>
      <c r="N205" s="378"/>
      <c r="O205" s="378"/>
      <c r="P205" s="378"/>
      <c r="Q205" s="378"/>
      <c r="R205" s="378"/>
      <c r="S205" s="378"/>
      <c r="T205" s="378"/>
      <c r="U205" s="378"/>
      <c r="V205" s="378"/>
      <c r="W205" s="378"/>
      <c r="X205" s="378"/>
      <c r="Y205" s="378"/>
      <c r="Z205" s="378"/>
    </row>
    <row r="206" ht="16.5" customHeight="1">
      <c r="A206" s="378" t="s">
        <v>2055</v>
      </c>
      <c r="B206" s="378" t="s">
        <v>615</v>
      </c>
      <c r="C206" s="378" t="s">
        <v>1776</v>
      </c>
      <c r="D206" s="378" t="s">
        <v>1477</v>
      </c>
      <c r="E206" s="378" t="s">
        <v>2063</v>
      </c>
      <c r="F206" s="378" t="s">
        <v>616</v>
      </c>
      <c r="G206" s="378"/>
      <c r="H206" s="378"/>
      <c r="I206" s="378"/>
      <c r="J206" s="378"/>
      <c r="K206" s="378"/>
      <c r="L206" s="378"/>
      <c r="M206" s="378"/>
      <c r="N206" s="378"/>
      <c r="O206" s="378"/>
      <c r="P206" s="378"/>
      <c r="Q206" s="378"/>
      <c r="R206" s="378"/>
      <c r="S206" s="378"/>
      <c r="T206" s="378"/>
      <c r="U206" s="378"/>
      <c r="V206" s="378"/>
      <c r="W206" s="378"/>
      <c r="X206" s="378"/>
      <c r="Y206" s="378"/>
      <c r="Z206" s="378"/>
    </row>
    <row r="207" ht="16.5" customHeight="1">
      <c r="A207" s="378" t="s">
        <v>2055</v>
      </c>
      <c r="B207" s="378" t="s">
        <v>620</v>
      </c>
      <c r="C207" s="378" t="s">
        <v>1776</v>
      </c>
      <c r="D207" s="378" t="s">
        <v>1478</v>
      </c>
      <c r="E207" s="378" t="s">
        <v>2064</v>
      </c>
      <c r="F207" s="378" t="s">
        <v>621</v>
      </c>
      <c r="G207" s="378"/>
      <c r="H207" s="378"/>
      <c r="I207" s="378"/>
      <c r="J207" s="378"/>
      <c r="K207" s="378"/>
      <c r="L207" s="378"/>
      <c r="M207" s="378"/>
      <c r="N207" s="378"/>
      <c r="O207" s="378"/>
      <c r="P207" s="378"/>
      <c r="Q207" s="378"/>
      <c r="R207" s="378"/>
      <c r="S207" s="378"/>
      <c r="T207" s="378"/>
      <c r="U207" s="378"/>
      <c r="V207" s="378"/>
      <c r="W207" s="378"/>
      <c r="X207" s="378"/>
      <c r="Y207" s="378"/>
      <c r="Z207" s="378"/>
    </row>
    <row r="208" ht="16.5" customHeight="1">
      <c r="A208" s="378" t="s">
        <v>2055</v>
      </c>
      <c r="B208" s="378" t="s">
        <v>623</v>
      </c>
      <c r="C208" s="378" t="s">
        <v>1776</v>
      </c>
      <c r="D208" s="378" t="s">
        <v>1479</v>
      </c>
      <c r="E208" s="378" t="s">
        <v>2065</v>
      </c>
      <c r="F208" s="378" t="s">
        <v>624</v>
      </c>
      <c r="G208" s="378"/>
      <c r="H208" s="378"/>
      <c r="I208" s="378"/>
      <c r="J208" s="378"/>
      <c r="K208" s="378"/>
      <c r="L208" s="378"/>
      <c r="M208" s="378"/>
      <c r="N208" s="378"/>
      <c r="O208" s="378"/>
      <c r="P208" s="378"/>
      <c r="Q208" s="378"/>
      <c r="R208" s="378"/>
      <c r="S208" s="378"/>
      <c r="T208" s="378"/>
      <c r="U208" s="378"/>
      <c r="V208" s="378"/>
      <c r="W208" s="378"/>
      <c r="X208" s="378"/>
      <c r="Y208" s="378"/>
      <c r="Z208" s="378"/>
    </row>
    <row r="209" ht="16.5" customHeight="1">
      <c r="A209" s="378" t="s">
        <v>2055</v>
      </c>
      <c r="B209" s="378" t="s">
        <v>625</v>
      </c>
      <c r="C209" s="378" t="s">
        <v>1776</v>
      </c>
      <c r="D209" s="378" t="s">
        <v>1480</v>
      </c>
      <c r="E209" s="378" t="s">
        <v>2066</v>
      </c>
      <c r="F209" s="378" t="s">
        <v>626</v>
      </c>
      <c r="G209" s="378"/>
      <c r="H209" s="378"/>
      <c r="I209" s="378"/>
      <c r="J209" s="378"/>
      <c r="K209" s="378"/>
      <c r="L209" s="378"/>
      <c r="M209" s="378"/>
      <c r="N209" s="378"/>
      <c r="O209" s="378"/>
      <c r="P209" s="378"/>
      <c r="Q209" s="378"/>
      <c r="R209" s="378"/>
      <c r="S209" s="378"/>
      <c r="T209" s="378"/>
      <c r="U209" s="378"/>
      <c r="V209" s="378"/>
      <c r="W209" s="378"/>
      <c r="X209" s="378"/>
      <c r="Y209" s="378"/>
      <c r="Z209" s="378"/>
    </row>
    <row r="210" ht="16.5" customHeight="1">
      <c r="A210" s="378" t="s">
        <v>2055</v>
      </c>
      <c r="B210" s="378" t="s">
        <v>627</v>
      </c>
      <c r="C210" s="378" t="s">
        <v>1776</v>
      </c>
      <c r="D210" s="378" t="s">
        <v>1101</v>
      </c>
      <c r="E210" s="378" t="s">
        <v>2067</v>
      </c>
      <c r="F210" s="378" t="s">
        <v>628</v>
      </c>
      <c r="G210" s="378"/>
      <c r="H210" s="378"/>
      <c r="I210" s="378"/>
      <c r="J210" s="378"/>
      <c r="K210" s="378"/>
      <c r="L210" s="378"/>
      <c r="M210" s="378"/>
      <c r="N210" s="378"/>
      <c r="O210" s="378"/>
      <c r="P210" s="378"/>
      <c r="Q210" s="378"/>
      <c r="R210" s="378"/>
      <c r="S210" s="378"/>
      <c r="T210" s="378"/>
      <c r="U210" s="378"/>
      <c r="V210" s="378"/>
      <c r="W210" s="378"/>
      <c r="X210" s="378"/>
      <c r="Y210" s="378"/>
      <c r="Z210" s="378"/>
    </row>
    <row r="211" ht="16.5" customHeight="1">
      <c r="A211" s="378" t="s">
        <v>2055</v>
      </c>
      <c r="B211" s="378" t="s">
        <v>629</v>
      </c>
      <c r="C211" s="378" t="s">
        <v>1776</v>
      </c>
      <c r="D211" s="378" t="s">
        <v>1482</v>
      </c>
      <c r="E211" s="378" t="s">
        <v>2068</v>
      </c>
      <c r="F211" s="378" t="s">
        <v>630</v>
      </c>
      <c r="G211" s="378"/>
      <c r="H211" s="378"/>
      <c r="I211" s="378"/>
      <c r="J211" s="378"/>
      <c r="K211" s="378"/>
      <c r="L211" s="378"/>
      <c r="M211" s="378"/>
      <c r="N211" s="378"/>
      <c r="O211" s="378"/>
      <c r="P211" s="378"/>
      <c r="Q211" s="378"/>
      <c r="R211" s="378"/>
      <c r="S211" s="378"/>
      <c r="T211" s="378"/>
      <c r="U211" s="378"/>
      <c r="V211" s="378"/>
      <c r="W211" s="378"/>
      <c r="X211" s="378"/>
      <c r="Y211" s="378"/>
      <c r="Z211" s="378"/>
    </row>
    <row r="212" ht="16.5" customHeight="1">
      <c r="A212" s="378" t="s">
        <v>2055</v>
      </c>
      <c r="B212" s="378" t="s">
        <v>631</v>
      </c>
      <c r="C212" s="378" t="s">
        <v>1776</v>
      </c>
      <c r="D212" s="378" t="s">
        <v>1483</v>
      </c>
      <c r="E212" s="378" t="s">
        <v>2069</v>
      </c>
      <c r="F212" s="378" t="s">
        <v>632</v>
      </c>
      <c r="G212" s="378"/>
      <c r="H212" s="378"/>
      <c r="I212" s="378"/>
      <c r="J212" s="378"/>
      <c r="K212" s="378"/>
      <c r="L212" s="378"/>
      <c r="M212" s="378"/>
      <c r="N212" s="378"/>
      <c r="O212" s="378"/>
      <c r="P212" s="378"/>
      <c r="Q212" s="378"/>
      <c r="R212" s="378"/>
      <c r="S212" s="378"/>
      <c r="T212" s="378"/>
      <c r="U212" s="378"/>
      <c r="V212" s="378"/>
      <c r="W212" s="378"/>
      <c r="X212" s="378"/>
      <c r="Y212" s="378"/>
      <c r="Z212" s="378"/>
    </row>
    <row r="213" ht="16.5" customHeight="1">
      <c r="A213" s="378" t="s">
        <v>2055</v>
      </c>
      <c r="B213" s="378" t="s">
        <v>633</v>
      </c>
      <c r="C213" s="378" t="s">
        <v>1776</v>
      </c>
      <c r="D213" s="378" t="s">
        <v>1484</v>
      </c>
      <c r="E213" s="378" t="s">
        <v>2070</v>
      </c>
      <c r="F213" s="378" t="s">
        <v>634</v>
      </c>
      <c r="G213" s="378"/>
      <c r="H213" s="378"/>
      <c r="I213" s="378"/>
      <c r="J213" s="378"/>
      <c r="K213" s="378"/>
      <c r="L213" s="378"/>
      <c r="M213" s="378"/>
      <c r="N213" s="378"/>
      <c r="O213" s="378"/>
      <c r="P213" s="378"/>
      <c r="Q213" s="378"/>
      <c r="R213" s="378"/>
      <c r="S213" s="378"/>
      <c r="T213" s="378"/>
      <c r="U213" s="378"/>
      <c r="V213" s="378"/>
      <c r="W213" s="378"/>
      <c r="X213" s="378"/>
      <c r="Y213" s="378"/>
      <c r="Z213" s="378"/>
    </row>
    <row r="214" ht="16.5" customHeight="1">
      <c r="A214" s="378" t="s">
        <v>2055</v>
      </c>
      <c r="B214" s="378" t="s">
        <v>635</v>
      </c>
      <c r="C214" s="378" t="s">
        <v>1776</v>
      </c>
      <c r="D214" s="378" t="s">
        <v>1485</v>
      </c>
      <c r="E214" s="378" t="s">
        <v>2071</v>
      </c>
      <c r="F214" s="378" t="s">
        <v>636</v>
      </c>
      <c r="G214" s="378"/>
      <c r="H214" s="378"/>
      <c r="I214" s="378"/>
      <c r="J214" s="378"/>
      <c r="K214" s="378"/>
      <c r="L214" s="378"/>
      <c r="M214" s="378"/>
      <c r="N214" s="378"/>
      <c r="O214" s="378"/>
      <c r="P214" s="378"/>
      <c r="Q214" s="378"/>
      <c r="R214" s="378"/>
      <c r="S214" s="378"/>
      <c r="T214" s="378"/>
      <c r="U214" s="378"/>
      <c r="V214" s="378"/>
      <c r="W214" s="378"/>
      <c r="X214" s="378"/>
      <c r="Y214" s="378"/>
      <c r="Z214" s="378"/>
    </row>
    <row r="215" ht="16.5" customHeight="1">
      <c r="A215" s="378" t="s">
        <v>2055</v>
      </c>
      <c r="B215" s="378" t="s">
        <v>638</v>
      </c>
      <c r="C215" s="378" t="s">
        <v>1776</v>
      </c>
      <c r="D215" s="378" t="s">
        <v>1486</v>
      </c>
      <c r="E215" s="378" t="s">
        <v>2072</v>
      </c>
      <c r="F215" s="378" t="s">
        <v>639</v>
      </c>
      <c r="G215" s="378"/>
      <c r="H215" s="378"/>
      <c r="I215" s="378"/>
      <c r="J215" s="378"/>
      <c r="K215" s="378"/>
      <c r="L215" s="378"/>
      <c r="M215" s="378"/>
      <c r="N215" s="378"/>
      <c r="O215" s="378"/>
      <c r="P215" s="378"/>
      <c r="Q215" s="378"/>
      <c r="R215" s="378"/>
      <c r="S215" s="378"/>
      <c r="T215" s="378"/>
      <c r="U215" s="378"/>
      <c r="V215" s="378"/>
      <c r="W215" s="378"/>
      <c r="X215" s="378"/>
      <c r="Y215" s="378"/>
      <c r="Z215" s="378"/>
    </row>
    <row r="216" ht="16.5" customHeight="1">
      <c r="A216" s="378" t="s">
        <v>2055</v>
      </c>
      <c r="B216" s="378" t="s">
        <v>641</v>
      </c>
      <c r="C216" s="378" t="s">
        <v>1776</v>
      </c>
      <c r="D216" s="378" t="s">
        <v>1487</v>
      </c>
      <c r="E216" s="378" t="s">
        <v>2073</v>
      </c>
      <c r="F216" s="378" t="s">
        <v>642</v>
      </c>
      <c r="G216" s="378"/>
      <c r="H216" s="378"/>
      <c r="I216" s="378"/>
      <c r="J216" s="378"/>
      <c r="K216" s="378"/>
      <c r="L216" s="378"/>
      <c r="M216" s="378"/>
      <c r="N216" s="378"/>
      <c r="O216" s="378"/>
      <c r="P216" s="378"/>
      <c r="Q216" s="378"/>
      <c r="R216" s="378"/>
      <c r="S216" s="378"/>
      <c r="T216" s="378"/>
      <c r="U216" s="378"/>
      <c r="V216" s="378"/>
      <c r="W216" s="378"/>
      <c r="X216" s="378"/>
      <c r="Y216" s="378"/>
      <c r="Z216" s="378"/>
    </row>
    <row r="217" ht="16.5" customHeight="1">
      <c r="A217" s="378" t="s">
        <v>2055</v>
      </c>
      <c r="B217" s="378" t="s">
        <v>644</v>
      </c>
      <c r="C217" s="378" t="s">
        <v>1776</v>
      </c>
      <c r="D217" s="378" t="s">
        <v>1489</v>
      </c>
      <c r="E217" s="378" t="s">
        <v>2074</v>
      </c>
      <c r="F217" s="378" t="s">
        <v>645</v>
      </c>
      <c r="G217" s="378"/>
      <c r="H217" s="378"/>
      <c r="I217" s="378"/>
      <c r="J217" s="378"/>
      <c r="K217" s="378"/>
      <c r="L217" s="378"/>
      <c r="M217" s="378"/>
      <c r="N217" s="378"/>
      <c r="O217" s="378"/>
      <c r="P217" s="378"/>
      <c r="Q217" s="378"/>
      <c r="R217" s="378"/>
      <c r="S217" s="378"/>
      <c r="T217" s="378"/>
      <c r="U217" s="378"/>
      <c r="V217" s="378"/>
      <c r="W217" s="378"/>
      <c r="X217" s="378"/>
      <c r="Y217" s="378"/>
      <c r="Z217" s="378"/>
    </row>
    <row r="218" ht="16.5" customHeight="1">
      <c r="A218" s="378" t="s">
        <v>2055</v>
      </c>
      <c r="B218" s="378" t="s">
        <v>647</v>
      </c>
      <c r="C218" s="378" t="s">
        <v>1776</v>
      </c>
      <c r="D218" s="378" t="s">
        <v>1490</v>
      </c>
      <c r="E218" s="378" t="s">
        <v>2075</v>
      </c>
      <c r="F218" s="378" t="s">
        <v>648</v>
      </c>
      <c r="G218" s="378"/>
      <c r="H218" s="378"/>
      <c r="I218" s="378"/>
      <c r="J218" s="378"/>
      <c r="K218" s="378"/>
      <c r="L218" s="378"/>
      <c r="M218" s="378"/>
      <c r="N218" s="378"/>
      <c r="O218" s="378"/>
      <c r="P218" s="378"/>
      <c r="Q218" s="378"/>
      <c r="R218" s="378"/>
      <c r="S218" s="378"/>
      <c r="T218" s="378"/>
      <c r="U218" s="378"/>
      <c r="V218" s="378"/>
      <c r="W218" s="378"/>
      <c r="X218" s="378"/>
      <c r="Y218" s="378"/>
      <c r="Z218" s="378"/>
    </row>
    <row r="219" ht="16.5" customHeight="1">
      <c r="A219" s="378" t="s">
        <v>2055</v>
      </c>
      <c r="B219" s="378" t="s">
        <v>650</v>
      </c>
      <c r="C219" s="378" t="s">
        <v>1776</v>
      </c>
      <c r="D219" s="378" t="s">
        <v>1492</v>
      </c>
      <c r="E219" s="378" t="s">
        <v>2076</v>
      </c>
      <c r="F219" s="378" t="s">
        <v>651</v>
      </c>
      <c r="G219" s="378"/>
      <c r="H219" s="378"/>
      <c r="I219" s="378"/>
      <c r="J219" s="378"/>
      <c r="K219" s="378"/>
      <c r="L219" s="378"/>
      <c r="M219" s="378"/>
      <c r="N219" s="378"/>
      <c r="O219" s="378"/>
      <c r="P219" s="378"/>
      <c r="Q219" s="378"/>
      <c r="R219" s="378"/>
      <c r="S219" s="378"/>
      <c r="T219" s="378"/>
      <c r="U219" s="378"/>
      <c r="V219" s="378"/>
      <c r="W219" s="378"/>
      <c r="X219" s="378"/>
      <c r="Y219" s="378"/>
      <c r="Z219" s="378"/>
    </row>
    <row r="220" ht="16.5" customHeight="1">
      <c r="A220" s="378" t="s">
        <v>2055</v>
      </c>
      <c r="B220" s="378" t="s">
        <v>653</v>
      </c>
      <c r="C220" s="378" t="s">
        <v>1776</v>
      </c>
      <c r="D220" s="378" t="s">
        <v>1493</v>
      </c>
      <c r="E220" s="378" t="s">
        <v>2077</v>
      </c>
      <c r="F220" s="378" t="s">
        <v>654</v>
      </c>
      <c r="G220" s="378"/>
      <c r="H220" s="378"/>
      <c r="I220" s="378"/>
      <c r="J220" s="378"/>
      <c r="K220" s="378"/>
      <c r="L220" s="378"/>
      <c r="M220" s="378"/>
      <c r="N220" s="378"/>
      <c r="O220" s="378"/>
      <c r="P220" s="378"/>
      <c r="Q220" s="378"/>
      <c r="R220" s="378"/>
      <c r="S220" s="378"/>
      <c r="T220" s="378"/>
      <c r="U220" s="378"/>
      <c r="V220" s="378"/>
      <c r="W220" s="378"/>
      <c r="X220" s="378"/>
      <c r="Y220" s="378"/>
      <c r="Z220" s="378"/>
    </row>
    <row r="221" ht="16.5" customHeight="1">
      <c r="A221" s="378" t="s">
        <v>2055</v>
      </c>
      <c r="B221" s="378" t="s">
        <v>656</v>
      </c>
      <c r="C221" s="378" t="s">
        <v>1776</v>
      </c>
      <c r="D221" s="378" t="s">
        <v>1494</v>
      </c>
      <c r="E221" s="378" t="s">
        <v>2078</v>
      </c>
      <c r="F221" s="378" t="s">
        <v>657</v>
      </c>
      <c r="G221" s="378"/>
      <c r="H221" s="378"/>
      <c r="I221" s="378"/>
      <c r="J221" s="378"/>
      <c r="K221" s="378"/>
      <c r="L221" s="378"/>
      <c r="M221" s="378"/>
      <c r="N221" s="378"/>
      <c r="O221" s="378"/>
      <c r="P221" s="378"/>
      <c r="Q221" s="378"/>
      <c r="R221" s="378"/>
      <c r="S221" s="378"/>
      <c r="T221" s="378"/>
      <c r="U221" s="378"/>
      <c r="V221" s="378"/>
      <c r="W221" s="378"/>
      <c r="X221" s="378"/>
      <c r="Y221" s="378"/>
      <c r="Z221" s="378"/>
    </row>
    <row r="222" ht="16.5" customHeight="1">
      <c r="A222" s="378" t="s">
        <v>2055</v>
      </c>
      <c r="B222" s="378" t="s">
        <v>658</v>
      </c>
      <c r="C222" s="378" t="s">
        <v>1776</v>
      </c>
      <c r="D222" s="378" t="s">
        <v>1495</v>
      </c>
      <c r="E222" s="378" t="s">
        <v>2079</v>
      </c>
      <c r="F222" s="378" t="s">
        <v>659</v>
      </c>
      <c r="G222" s="378"/>
      <c r="H222" s="378"/>
      <c r="I222" s="378"/>
      <c r="J222" s="378"/>
      <c r="K222" s="378"/>
      <c r="L222" s="378"/>
      <c r="M222" s="378"/>
      <c r="N222" s="378"/>
      <c r="O222" s="378"/>
      <c r="P222" s="378"/>
      <c r="Q222" s="378"/>
      <c r="R222" s="378"/>
      <c r="S222" s="378"/>
      <c r="T222" s="378"/>
      <c r="U222" s="378"/>
      <c r="V222" s="378"/>
      <c r="W222" s="378"/>
      <c r="X222" s="378"/>
      <c r="Y222" s="378"/>
      <c r="Z222" s="378"/>
    </row>
    <row r="223" ht="16.5" customHeight="1">
      <c r="A223" s="378" t="s">
        <v>2055</v>
      </c>
      <c r="B223" s="378" t="s">
        <v>661</v>
      </c>
      <c r="C223" s="378" t="s">
        <v>1776</v>
      </c>
      <c r="D223" s="378" t="s">
        <v>1496</v>
      </c>
      <c r="E223" s="378" t="s">
        <v>2080</v>
      </c>
      <c r="F223" s="378" t="s">
        <v>662</v>
      </c>
      <c r="G223" s="378"/>
      <c r="H223" s="378"/>
      <c r="I223" s="378"/>
      <c r="J223" s="378"/>
      <c r="K223" s="378"/>
      <c r="L223" s="378"/>
      <c r="M223" s="378"/>
      <c r="N223" s="378"/>
      <c r="O223" s="378"/>
      <c r="P223" s="378"/>
      <c r="Q223" s="378"/>
      <c r="R223" s="378"/>
      <c r="S223" s="378"/>
      <c r="T223" s="378"/>
      <c r="U223" s="378"/>
      <c r="V223" s="378"/>
      <c r="W223" s="378"/>
      <c r="X223" s="378"/>
      <c r="Y223" s="378"/>
      <c r="Z223" s="378"/>
    </row>
    <row r="224" ht="16.5" customHeight="1">
      <c r="A224" s="378"/>
      <c r="B224" s="378"/>
      <c r="C224" s="378"/>
      <c r="D224" s="378"/>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row>
    <row r="225" ht="16.5" customHeight="1">
      <c r="A225" s="378" t="s">
        <v>179</v>
      </c>
      <c r="B225" s="378" t="s">
        <v>958</v>
      </c>
      <c r="C225" s="378" t="s">
        <v>1776</v>
      </c>
      <c r="D225" s="378" t="s">
        <v>1503</v>
      </c>
      <c r="E225" s="378" t="s">
        <v>2081</v>
      </c>
      <c r="F225" s="378" t="s">
        <v>960</v>
      </c>
      <c r="G225" s="378"/>
      <c r="H225" s="378"/>
      <c r="I225" s="378"/>
      <c r="J225" s="378"/>
      <c r="K225" s="378"/>
      <c r="L225" s="378"/>
      <c r="M225" s="378"/>
      <c r="N225" s="378"/>
      <c r="O225" s="378"/>
      <c r="P225" s="378"/>
      <c r="Q225" s="378"/>
      <c r="R225" s="378"/>
      <c r="S225" s="378"/>
      <c r="T225" s="378"/>
      <c r="U225" s="378"/>
      <c r="V225" s="378"/>
      <c r="W225" s="378"/>
      <c r="X225" s="378"/>
      <c r="Y225" s="378"/>
      <c r="Z225" s="378"/>
    </row>
    <row r="226" ht="16.5" customHeight="1">
      <c r="A226" s="378" t="s">
        <v>179</v>
      </c>
      <c r="B226" s="378" t="s">
        <v>962</v>
      </c>
      <c r="C226" s="378" t="s">
        <v>1776</v>
      </c>
      <c r="D226" s="378" t="s">
        <v>2082</v>
      </c>
      <c r="E226" s="378" t="s">
        <v>2083</v>
      </c>
      <c r="F226" s="378" t="s">
        <v>963</v>
      </c>
      <c r="G226" s="378"/>
      <c r="H226" s="378"/>
      <c r="I226" s="378"/>
      <c r="J226" s="378"/>
      <c r="K226" s="378"/>
      <c r="L226" s="378"/>
      <c r="M226" s="378"/>
      <c r="N226" s="378"/>
      <c r="O226" s="378"/>
      <c r="P226" s="378"/>
      <c r="Q226" s="378"/>
      <c r="R226" s="378"/>
      <c r="S226" s="378"/>
      <c r="T226" s="378"/>
      <c r="U226" s="378"/>
      <c r="V226" s="378"/>
      <c r="W226" s="378"/>
      <c r="X226" s="378"/>
      <c r="Y226" s="378"/>
      <c r="Z226" s="378"/>
    </row>
    <row r="227" ht="16.5" customHeight="1">
      <c r="A227" s="378" t="s">
        <v>179</v>
      </c>
      <c r="B227" s="378" t="s">
        <v>965</v>
      </c>
      <c r="C227" s="378" t="s">
        <v>1776</v>
      </c>
      <c r="D227" s="378" t="s">
        <v>2084</v>
      </c>
      <c r="E227" s="378" t="s">
        <v>2085</v>
      </c>
      <c r="F227" s="378" t="s">
        <v>966</v>
      </c>
      <c r="G227" s="378"/>
      <c r="H227" s="378"/>
      <c r="I227" s="378"/>
      <c r="J227" s="378"/>
      <c r="K227" s="378"/>
      <c r="L227" s="378"/>
      <c r="M227" s="378"/>
      <c r="N227" s="378"/>
      <c r="O227" s="378"/>
      <c r="P227" s="378"/>
      <c r="Q227" s="378"/>
      <c r="R227" s="378"/>
      <c r="S227" s="378"/>
      <c r="T227" s="378"/>
      <c r="U227" s="378"/>
      <c r="V227" s="378"/>
      <c r="W227" s="378"/>
      <c r="X227" s="378"/>
      <c r="Y227" s="378"/>
      <c r="Z227" s="378"/>
    </row>
    <row r="228" ht="16.5" customHeight="1">
      <c r="A228" s="378" t="s">
        <v>179</v>
      </c>
      <c r="B228" s="378" t="s">
        <v>967</v>
      </c>
      <c r="C228" s="378" t="s">
        <v>1776</v>
      </c>
      <c r="D228" s="378" t="s">
        <v>2086</v>
      </c>
      <c r="E228" s="378" t="s">
        <v>2087</v>
      </c>
      <c r="F228" s="378" t="s">
        <v>968</v>
      </c>
      <c r="G228" s="378"/>
      <c r="H228" s="378"/>
      <c r="I228" s="378"/>
      <c r="J228" s="378"/>
      <c r="K228" s="378"/>
      <c r="L228" s="378"/>
      <c r="M228" s="378"/>
      <c r="N228" s="378"/>
      <c r="O228" s="378"/>
      <c r="P228" s="378"/>
      <c r="Q228" s="378"/>
      <c r="R228" s="378"/>
      <c r="S228" s="378"/>
      <c r="T228" s="378"/>
      <c r="U228" s="378"/>
      <c r="V228" s="378"/>
      <c r="W228" s="378"/>
      <c r="X228" s="378"/>
      <c r="Y228" s="378"/>
      <c r="Z228" s="378"/>
    </row>
    <row r="229" ht="16.5" customHeight="1">
      <c r="A229" s="378" t="s">
        <v>179</v>
      </c>
      <c r="B229" s="378" t="s">
        <v>970</v>
      </c>
      <c r="C229" s="378" t="s">
        <v>1776</v>
      </c>
      <c r="D229" s="378" t="s">
        <v>1238</v>
      </c>
      <c r="E229" s="378" t="s">
        <v>1826</v>
      </c>
      <c r="F229" s="378" t="s">
        <v>229</v>
      </c>
      <c r="G229" s="378"/>
      <c r="H229" s="378"/>
      <c r="I229" s="378"/>
      <c r="J229" s="378"/>
      <c r="K229" s="378"/>
      <c r="L229" s="378"/>
      <c r="M229" s="378"/>
      <c r="N229" s="378"/>
      <c r="O229" s="378"/>
      <c r="P229" s="378"/>
      <c r="Q229" s="378"/>
      <c r="R229" s="378"/>
      <c r="S229" s="378"/>
      <c r="T229" s="378"/>
      <c r="U229" s="378"/>
      <c r="V229" s="378"/>
      <c r="W229" s="378"/>
      <c r="X229" s="378"/>
      <c r="Y229" s="378"/>
      <c r="Z229" s="378"/>
    </row>
    <row r="230" ht="16.5" customHeight="1">
      <c r="A230" s="378" t="s">
        <v>179</v>
      </c>
      <c r="B230" s="378" t="s">
        <v>989</v>
      </c>
      <c r="C230" s="378" t="s">
        <v>1776</v>
      </c>
      <c r="D230" s="378" t="s">
        <v>1517</v>
      </c>
      <c r="E230" s="378" t="s">
        <v>2088</v>
      </c>
      <c r="F230" s="378" t="s">
        <v>991</v>
      </c>
      <c r="G230" s="378"/>
      <c r="H230" s="378"/>
      <c r="I230" s="378"/>
      <c r="J230" s="378"/>
      <c r="K230" s="378"/>
      <c r="L230" s="378"/>
      <c r="M230" s="378"/>
      <c r="N230" s="378"/>
      <c r="O230" s="378"/>
      <c r="P230" s="378"/>
      <c r="Q230" s="378"/>
      <c r="R230" s="378"/>
      <c r="S230" s="378"/>
      <c r="T230" s="378"/>
      <c r="U230" s="378"/>
      <c r="V230" s="378"/>
      <c r="W230" s="378"/>
      <c r="X230" s="378"/>
      <c r="Y230" s="378"/>
      <c r="Z230" s="378"/>
    </row>
    <row r="231" ht="16.5" customHeight="1">
      <c r="A231" s="378" t="s">
        <v>179</v>
      </c>
      <c r="B231" s="378" t="s">
        <v>1011</v>
      </c>
      <c r="C231" s="378" t="s">
        <v>1776</v>
      </c>
      <c r="D231" s="378" t="s">
        <v>2089</v>
      </c>
      <c r="E231" s="378" t="s">
        <v>2090</v>
      </c>
      <c r="F231" s="378" t="s">
        <v>1013</v>
      </c>
      <c r="G231" s="378"/>
      <c r="H231" s="378"/>
      <c r="I231" s="378"/>
      <c r="J231" s="378"/>
      <c r="K231" s="378"/>
      <c r="L231" s="378"/>
      <c r="M231" s="378"/>
      <c r="N231" s="378"/>
      <c r="O231" s="378"/>
      <c r="P231" s="378"/>
      <c r="Q231" s="378"/>
      <c r="R231" s="378"/>
      <c r="S231" s="378"/>
      <c r="T231" s="378"/>
      <c r="U231" s="378"/>
      <c r="V231" s="378"/>
      <c r="W231" s="378"/>
      <c r="X231" s="378"/>
      <c r="Y231" s="378"/>
      <c r="Z231" s="378"/>
    </row>
    <row r="232" ht="16.5" customHeight="1">
      <c r="A232" s="378" t="s">
        <v>179</v>
      </c>
      <c r="B232" s="378" t="s">
        <v>992</v>
      </c>
      <c r="C232" s="378" t="s">
        <v>1776</v>
      </c>
      <c r="D232" s="378" t="s">
        <v>2091</v>
      </c>
      <c r="E232" s="378" t="s">
        <v>2092</v>
      </c>
      <c r="F232" s="378" t="s">
        <v>993</v>
      </c>
      <c r="G232" s="378"/>
      <c r="H232" s="378"/>
      <c r="I232" s="378"/>
      <c r="J232" s="378"/>
      <c r="K232" s="378"/>
      <c r="L232" s="378"/>
      <c r="M232" s="378"/>
      <c r="N232" s="378"/>
      <c r="O232" s="378"/>
      <c r="P232" s="378"/>
      <c r="Q232" s="378"/>
      <c r="R232" s="378"/>
      <c r="S232" s="378"/>
      <c r="T232" s="378"/>
      <c r="U232" s="378"/>
      <c r="V232" s="378"/>
      <c r="W232" s="378"/>
      <c r="X232" s="378"/>
      <c r="Y232" s="378"/>
      <c r="Z232" s="378"/>
    </row>
    <row r="233" ht="16.5" customHeight="1">
      <c r="A233" s="378" t="s">
        <v>179</v>
      </c>
      <c r="B233" s="378" t="s">
        <v>994</v>
      </c>
      <c r="C233" s="378" t="s">
        <v>1776</v>
      </c>
      <c r="D233" s="378" t="s">
        <v>2093</v>
      </c>
      <c r="E233" s="378" t="s">
        <v>2094</v>
      </c>
      <c r="F233" s="378" t="s">
        <v>995</v>
      </c>
      <c r="G233" s="378"/>
      <c r="H233" s="378"/>
      <c r="I233" s="378"/>
      <c r="J233" s="378"/>
      <c r="K233" s="378"/>
      <c r="L233" s="378"/>
      <c r="M233" s="378"/>
      <c r="N233" s="378"/>
      <c r="O233" s="378"/>
      <c r="P233" s="378"/>
      <c r="Q233" s="378"/>
      <c r="R233" s="378"/>
      <c r="S233" s="378"/>
      <c r="T233" s="378"/>
      <c r="U233" s="378"/>
      <c r="V233" s="378"/>
      <c r="W233" s="378"/>
      <c r="X233" s="378"/>
      <c r="Y233" s="378"/>
      <c r="Z233" s="378"/>
    </row>
    <row r="234" ht="16.5" customHeight="1">
      <c r="A234" s="378" t="s">
        <v>179</v>
      </c>
      <c r="B234" s="378" t="s">
        <v>698</v>
      </c>
      <c r="C234" s="378" t="s">
        <v>1776</v>
      </c>
      <c r="D234" s="378" t="s">
        <v>1516</v>
      </c>
      <c r="E234" s="378" t="s">
        <v>2095</v>
      </c>
      <c r="F234" s="378" t="s">
        <v>988</v>
      </c>
      <c r="G234" s="378"/>
      <c r="H234" s="378"/>
      <c r="I234" s="378"/>
      <c r="J234" s="378"/>
      <c r="K234" s="378"/>
      <c r="L234" s="378"/>
      <c r="M234" s="378"/>
      <c r="N234" s="378"/>
      <c r="O234" s="378"/>
      <c r="P234" s="378"/>
      <c r="Q234" s="378"/>
      <c r="R234" s="378"/>
      <c r="S234" s="378"/>
      <c r="T234" s="378"/>
      <c r="U234" s="378"/>
      <c r="V234" s="378"/>
      <c r="W234" s="378"/>
      <c r="X234" s="378"/>
      <c r="Y234" s="378"/>
      <c r="Z234" s="378"/>
    </row>
    <row r="235" ht="16.5" customHeight="1">
      <c r="A235" s="378" t="s">
        <v>179</v>
      </c>
      <c r="B235" s="378" t="s">
        <v>996</v>
      </c>
      <c r="C235" s="378" t="s">
        <v>1776</v>
      </c>
      <c r="D235" s="378" t="s">
        <v>2096</v>
      </c>
      <c r="E235" s="378" t="s">
        <v>2097</v>
      </c>
      <c r="F235" s="378" t="s">
        <v>997</v>
      </c>
      <c r="G235" s="378"/>
      <c r="H235" s="378"/>
      <c r="I235" s="378"/>
      <c r="J235" s="378"/>
      <c r="K235" s="378"/>
      <c r="L235" s="378"/>
      <c r="M235" s="378"/>
      <c r="N235" s="378"/>
      <c r="O235" s="378"/>
      <c r="P235" s="378"/>
      <c r="Q235" s="378"/>
      <c r="R235" s="378"/>
      <c r="S235" s="378"/>
      <c r="T235" s="378"/>
      <c r="U235" s="378"/>
      <c r="V235" s="378"/>
      <c r="W235" s="378"/>
      <c r="X235" s="378"/>
      <c r="Y235" s="378"/>
      <c r="Z235" s="378"/>
    </row>
    <row r="236" ht="16.5" customHeight="1">
      <c r="A236" s="378" t="s">
        <v>179</v>
      </c>
      <c r="B236" s="378" t="s">
        <v>689</v>
      </c>
      <c r="C236" s="378" t="s">
        <v>1776</v>
      </c>
      <c r="D236" s="378" t="s">
        <v>2098</v>
      </c>
      <c r="E236" s="378" t="s">
        <v>2099</v>
      </c>
      <c r="F236" s="378" t="s">
        <v>998</v>
      </c>
      <c r="G236" s="378"/>
      <c r="H236" s="378"/>
      <c r="I236" s="378"/>
      <c r="J236" s="378"/>
      <c r="K236" s="378"/>
      <c r="L236" s="378"/>
      <c r="M236" s="378"/>
      <c r="N236" s="378"/>
      <c r="O236" s="378"/>
      <c r="P236" s="378"/>
      <c r="Q236" s="378"/>
      <c r="R236" s="378"/>
      <c r="S236" s="378"/>
      <c r="T236" s="378"/>
      <c r="U236" s="378"/>
      <c r="V236" s="378"/>
      <c r="W236" s="378"/>
      <c r="X236" s="378"/>
      <c r="Y236" s="378"/>
      <c r="Z236" s="378"/>
    </row>
    <row r="237" ht="16.5" customHeight="1">
      <c r="A237" s="378" t="s">
        <v>179</v>
      </c>
      <c r="B237" s="378" t="s">
        <v>999</v>
      </c>
      <c r="C237" s="378" t="s">
        <v>1776</v>
      </c>
      <c r="D237" s="378" t="s">
        <v>1522</v>
      </c>
      <c r="E237" s="378" t="s">
        <v>2100</v>
      </c>
      <c r="F237" s="378" t="s">
        <v>1000</v>
      </c>
      <c r="G237" s="378"/>
      <c r="H237" s="378"/>
      <c r="I237" s="378"/>
      <c r="J237" s="378"/>
      <c r="K237" s="378"/>
      <c r="L237" s="378"/>
      <c r="M237" s="378"/>
      <c r="N237" s="378"/>
      <c r="O237" s="378"/>
      <c r="P237" s="378"/>
      <c r="Q237" s="378"/>
      <c r="R237" s="378"/>
      <c r="S237" s="378"/>
      <c r="T237" s="378"/>
      <c r="U237" s="378"/>
      <c r="V237" s="378"/>
      <c r="W237" s="378"/>
      <c r="X237" s="378"/>
      <c r="Y237" s="378"/>
      <c r="Z237" s="378"/>
    </row>
    <row r="238" ht="16.5" customHeight="1">
      <c r="A238" s="378" t="s">
        <v>179</v>
      </c>
      <c r="B238" s="378" t="s">
        <v>1041</v>
      </c>
      <c r="C238" s="378" t="s">
        <v>1776</v>
      </c>
      <c r="D238" s="378" t="s">
        <v>2101</v>
      </c>
      <c r="E238" s="378" t="s">
        <v>2102</v>
      </c>
      <c r="F238" s="378" t="s">
        <v>1043</v>
      </c>
      <c r="G238" s="378"/>
      <c r="H238" s="378"/>
      <c r="I238" s="378"/>
      <c r="J238" s="378"/>
      <c r="K238" s="378"/>
      <c r="L238" s="378"/>
      <c r="M238" s="378"/>
      <c r="N238" s="378"/>
      <c r="O238" s="378"/>
      <c r="P238" s="378"/>
      <c r="Q238" s="378"/>
      <c r="R238" s="378"/>
      <c r="S238" s="378"/>
      <c r="T238" s="378"/>
      <c r="U238" s="378"/>
      <c r="V238" s="378"/>
      <c r="W238" s="378"/>
      <c r="X238" s="378"/>
      <c r="Y238" s="378"/>
      <c r="Z238" s="378"/>
    </row>
    <row r="239" ht="16.5" customHeight="1">
      <c r="A239" s="378" t="s">
        <v>179</v>
      </c>
      <c r="B239" s="378" t="s">
        <v>700</v>
      </c>
      <c r="C239" s="378" t="s">
        <v>1776</v>
      </c>
      <c r="D239" s="378" t="s">
        <v>1543</v>
      </c>
      <c r="E239" s="378" t="s">
        <v>2103</v>
      </c>
      <c r="F239" s="378" t="s">
        <v>1044</v>
      </c>
      <c r="G239" s="378"/>
      <c r="H239" s="378"/>
      <c r="I239" s="378"/>
      <c r="J239" s="378"/>
      <c r="K239" s="378"/>
      <c r="L239" s="378"/>
      <c r="M239" s="378"/>
      <c r="N239" s="378"/>
      <c r="O239" s="378"/>
      <c r="P239" s="378"/>
      <c r="Q239" s="378"/>
      <c r="R239" s="378"/>
      <c r="S239" s="378"/>
      <c r="T239" s="378"/>
      <c r="U239" s="378"/>
      <c r="V239" s="378"/>
      <c r="W239" s="378"/>
      <c r="X239" s="378"/>
      <c r="Y239" s="378"/>
      <c r="Z239" s="378"/>
    </row>
    <row r="240" ht="16.5" customHeight="1">
      <c r="A240" s="378" t="s">
        <v>179</v>
      </c>
      <c r="B240" s="378" t="s">
        <v>1045</v>
      </c>
      <c r="C240" s="378" t="s">
        <v>1776</v>
      </c>
      <c r="D240" s="378" t="s">
        <v>2104</v>
      </c>
      <c r="E240" s="378" t="s">
        <v>2105</v>
      </c>
      <c r="F240" s="378" t="s">
        <v>1046</v>
      </c>
      <c r="G240" s="378"/>
      <c r="H240" s="378"/>
      <c r="I240" s="378"/>
      <c r="J240" s="378"/>
      <c r="K240" s="378"/>
      <c r="L240" s="378"/>
      <c r="M240" s="378"/>
      <c r="N240" s="378"/>
      <c r="O240" s="378"/>
      <c r="P240" s="378"/>
      <c r="Q240" s="378"/>
      <c r="R240" s="378"/>
      <c r="S240" s="378"/>
      <c r="T240" s="378"/>
      <c r="U240" s="378"/>
      <c r="V240" s="378"/>
      <c r="W240" s="378"/>
      <c r="X240" s="378"/>
      <c r="Y240" s="378"/>
      <c r="Z240" s="378"/>
    </row>
    <row r="241" ht="16.5" customHeight="1">
      <c r="A241" s="378" t="s">
        <v>179</v>
      </c>
      <c r="B241" s="378" t="s">
        <v>1047</v>
      </c>
      <c r="C241" s="378" t="s">
        <v>1776</v>
      </c>
      <c r="D241" s="378" t="s">
        <v>2106</v>
      </c>
      <c r="E241" s="378" t="s">
        <v>2107</v>
      </c>
      <c r="F241" s="378" t="s">
        <v>1048</v>
      </c>
      <c r="G241" s="378"/>
      <c r="H241" s="378"/>
      <c r="I241" s="378"/>
      <c r="J241" s="378"/>
      <c r="K241" s="378"/>
      <c r="L241" s="378"/>
      <c r="M241" s="378"/>
      <c r="N241" s="378"/>
      <c r="O241" s="378"/>
      <c r="P241" s="378"/>
      <c r="Q241" s="378"/>
      <c r="R241" s="378"/>
      <c r="S241" s="378"/>
      <c r="T241" s="378"/>
      <c r="U241" s="378"/>
      <c r="V241" s="378"/>
      <c r="W241" s="378"/>
      <c r="X241" s="378"/>
      <c r="Y241" s="378"/>
      <c r="Z241" s="378"/>
    </row>
    <row r="242" ht="16.5" customHeight="1">
      <c r="A242" s="378" t="s">
        <v>179</v>
      </c>
      <c r="B242" s="378" t="s">
        <v>1049</v>
      </c>
      <c r="C242" s="378" t="s">
        <v>1776</v>
      </c>
      <c r="D242" s="378" t="s">
        <v>2108</v>
      </c>
      <c r="E242" s="378" t="s">
        <v>2109</v>
      </c>
      <c r="F242" s="378" t="s">
        <v>1050</v>
      </c>
      <c r="G242" s="378"/>
      <c r="H242" s="378"/>
      <c r="I242" s="378"/>
      <c r="J242" s="378"/>
      <c r="K242" s="378"/>
      <c r="L242" s="378"/>
      <c r="M242" s="378"/>
      <c r="N242" s="378"/>
      <c r="O242" s="378"/>
      <c r="P242" s="378"/>
      <c r="Q242" s="378"/>
      <c r="R242" s="378"/>
      <c r="S242" s="378"/>
      <c r="T242" s="378"/>
      <c r="U242" s="378"/>
      <c r="V242" s="378"/>
      <c r="W242" s="378"/>
      <c r="X242" s="378"/>
      <c r="Y242" s="378"/>
      <c r="Z242" s="378"/>
    </row>
    <row r="243" ht="16.5" customHeight="1">
      <c r="A243" s="378" t="s">
        <v>179</v>
      </c>
      <c r="B243" s="378" t="s">
        <v>1014</v>
      </c>
      <c r="C243" s="378" t="s">
        <v>1776</v>
      </c>
      <c r="D243" s="378" t="s">
        <v>1135</v>
      </c>
      <c r="E243" s="378" t="s">
        <v>1796</v>
      </c>
      <c r="F243" s="378" t="s">
        <v>593</v>
      </c>
      <c r="G243" s="378"/>
      <c r="H243" s="378"/>
      <c r="I243" s="378"/>
      <c r="J243" s="378"/>
      <c r="K243" s="378"/>
      <c r="L243" s="378"/>
      <c r="M243" s="378"/>
      <c r="N243" s="378"/>
      <c r="O243" s="378"/>
      <c r="P243" s="378"/>
      <c r="Q243" s="378"/>
      <c r="R243" s="378"/>
      <c r="S243" s="378"/>
      <c r="T243" s="378"/>
      <c r="U243" s="378"/>
      <c r="V243" s="378"/>
      <c r="W243" s="378"/>
      <c r="X243" s="378"/>
      <c r="Y243" s="378"/>
      <c r="Z243" s="378"/>
    </row>
    <row r="244" ht="16.5" customHeight="1">
      <c r="A244" s="378" t="s">
        <v>179</v>
      </c>
      <c r="B244" s="378" t="s">
        <v>1015</v>
      </c>
      <c r="C244" s="378" t="s">
        <v>1776</v>
      </c>
      <c r="D244" s="378" t="s">
        <v>2110</v>
      </c>
      <c r="E244" s="378" t="s">
        <v>2111</v>
      </c>
      <c r="F244" s="378" t="s">
        <v>1017</v>
      </c>
      <c r="G244" s="378"/>
      <c r="H244" s="378"/>
      <c r="I244" s="378"/>
      <c r="J244" s="378"/>
      <c r="K244" s="378"/>
      <c r="L244" s="378"/>
      <c r="M244" s="378"/>
      <c r="N244" s="378"/>
      <c r="O244" s="378"/>
      <c r="P244" s="378"/>
      <c r="Q244" s="378"/>
      <c r="R244" s="378"/>
      <c r="S244" s="378"/>
      <c r="T244" s="378"/>
      <c r="U244" s="378"/>
      <c r="V244" s="378"/>
      <c r="W244" s="378"/>
      <c r="X244" s="378"/>
      <c r="Y244" s="378"/>
      <c r="Z244" s="378"/>
    </row>
    <row r="245" ht="16.5" customHeight="1">
      <c r="A245" s="378" t="s">
        <v>179</v>
      </c>
      <c r="B245" s="378" t="s">
        <v>1019</v>
      </c>
      <c r="C245" s="378" t="s">
        <v>1776</v>
      </c>
      <c r="D245" s="378" t="s">
        <v>2112</v>
      </c>
      <c r="E245" s="378" t="s">
        <v>2113</v>
      </c>
      <c r="F245" s="378" t="s">
        <v>1020</v>
      </c>
      <c r="G245" s="378"/>
      <c r="H245" s="378"/>
      <c r="I245" s="378"/>
      <c r="J245" s="378"/>
      <c r="K245" s="378"/>
      <c r="L245" s="378"/>
      <c r="M245" s="378"/>
      <c r="N245" s="378"/>
      <c r="O245" s="378"/>
      <c r="P245" s="378"/>
      <c r="Q245" s="378"/>
      <c r="R245" s="378"/>
      <c r="S245" s="378"/>
      <c r="T245" s="378"/>
      <c r="U245" s="378"/>
      <c r="V245" s="378"/>
      <c r="W245" s="378"/>
      <c r="X245" s="378"/>
      <c r="Y245" s="378"/>
      <c r="Z245" s="378"/>
    </row>
    <row r="246" ht="16.5" customHeight="1">
      <c r="A246" s="378" t="s">
        <v>179</v>
      </c>
      <c r="B246" s="378" t="s">
        <v>1021</v>
      </c>
      <c r="C246" s="378" t="s">
        <v>1776</v>
      </c>
      <c r="D246" s="378" t="s">
        <v>1533</v>
      </c>
      <c r="E246" s="378" t="s">
        <v>2114</v>
      </c>
      <c r="F246" s="378" t="s">
        <v>1022</v>
      </c>
      <c r="G246" s="378"/>
      <c r="H246" s="378"/>
      <c r="I246" s="378"/>
      <c r="J246" s="378"/>
      <c r="K246" s="378"/>
      <c r="L246" s="378"/>
      <c r="M246" s="378"/>
      <c r="N246" s="378"/>
      <c r="O246" s="378"/>
      <c r="P246" s="378"/>
      <c r="Q246" s="378"/>
      <c r="R246" s="378"/>
      <c r="S246" s="378"/>
      <c r="T246" s="378"/>
      <c r="U246" s="378"/>
      <c r="V246" s="378"/>
      <c r="W246" s="378"/>
      <c r="X246" s="378"/>
      <c r="Y246" s="378"/>
      <c r="Z246" s="378"/>
    </row>
    <row r="247" ht="16.5" customHeight="1">
      <c r="A247" s="378" t="s">
        <v>179</v>
      </c>
      <c r="B247" s="378" t="s">
        <v>1023</v>
      </c>
      <c r="C247" s="378" t="s">
        <v>1776</v>
      </c>
      <c r="D247" s="378" t="s">
        <v>1262</v>
      </c>
      <c r="E247" s="378" t="s">
        <v>2115</v>
      </c>
      <c r="F247" s="378" t="s">
        <v>1024</v>
      </c>
      <c r="G247" s="378"/>
      <c r="H247" s="378"/>
      <c r="I247" s="378"/>
      <c r="J247" s="378"/>
      <c r="K247" s="378"/>
      <c r="L247" s="378"/>
      <c r="M247" s="378"/>
      <c r="N247" s="378"/>
      <c r="O247" s="378"/>
      <c r="P247" s="378"/>
      <c r="Q247" s="378"/>
      <c r="R247" s="378"/>
      <c r="S247" s="378"/>
      <c r="T247" s="378"/>
      <c r="U247" s="378"/>
      <c r="V247" s="378"/>
      <c r="W247" s="378"/>
      <c r="X247" s="378"/>
      <c r="Y247" s="378"/>
      <c r="Z247" s="378"/>
    </row>
    <row r="248" ht="16.5" customHeight="1">
      <c r="A248" s="378" t="s">
        <v>179</v>
      </c>
      <c r="B248" s="378" t="s">
        <v>680</v>
      </c>
      <c r="C248" s="378" t="s">
        <v>1776</v>
      </c>
      <c r="D248" s="378" t="s">
        <v>1536</v>
      </c>
      <c r="E248" s="378" t="s">
        <v>2116</v>
      </c>
      <c r="F248" s="378" t="s">
        <v>1027</v>
      </c>
      <c r="G248" s="378"/>
      <c r="H248" s="378"/>
      <c r="I248" s="378"/>
      <c r="J248" s="378"/>
      <c r="K248" s="378"/>
      <c r="L248" s="378"/>
      <c r="M248" s="378"/>
      <c r="N248" s="378"/>
      <c r="O248" s="378"/>
      <c r="P248" s="378"/>
      <c r="Q248" s="378"/>
      <c r="R248" s="378"/>
      <c r="S248" s="378"/>
      <c r="T248" s="378"/>
      <c r="U248" s="378"/>
      <c r="V248" s="378"/>
      <c r="W248" s="378"/>
      <c r="X248" s="378"/>
      <c r="Y248" s="378"/>
      <c r="Z248" s="378"/>
    </row>
    <row r="249" ht="16.5" customHeight="1">
      <c r="A249" s="378" t="s">
        <v>179</v>
      </c>
      <c r="B249" s="378" t="s">
        <v>1032</v>
      </c>
      <c r="C249" s="378" t="s">
        <v>1776</v>
      </c>
      <c r="D249" s="378" t="s">
        <v>2117</v>
      </c>
      <c r="E249" s="378" t="s">
        <v>2118</v>
      </c>
      <c r="F249" s="378" t="s">
        <v>1034</v>
      </c>
      <c r="G249" s="378"/>
      <c r="H249" s="378"/>
      <c r="I249" s="378"/>
      <c r="J249" s="378"/>
      <c r="K249" s="378"/>
      <c r="L249" s="378"/>
      <c r="M249" s="378"/>
      <c r="N249" s="378"/>
      <c r="O249" s="378"/>
      <c r="P249" s="378"/>
      <c r="Q249" s="378"/>
      <c r="R249" s="378"/>
      <c r="S249" s="378"/>
      <c r="T249" s="378"/>
      <c r="U249" s="378"/>
      <c r="V249" s="378"/>
      <c r="W249" s="378"/>
      <c r="X249" s="378"/>
      <c r="Y249" s="378"/>
      <c r="Z249" s="378"/>
    </row>
    <row r="250" ht="16.5" customHeight="1">
      <c r="A250" s="378" t="s">
        <v>179</v>
      </c>
      <c r="B250" s="378" t="s">
        <v>1028</v>
      </c>
      <c r="C250" s="378" t="s">
        <v>1776</v>
      </c>
      <c r="D250" s="378" t="s">
        <v>2119</v>
      </c>
      <c r="E250" s="378" t="s">
        <v>2120</v>
      </c>
      <c r="F250" s="378" t="s">
        <v>1029</v>
      </c>
      <c r="G250" s="378"/>
      <c r="H250" s="378"/>
      <c r="I250" s="378"/>
      <c r="J250" s="378"/>
      <c r="K250" s="378"/>
      <c r="L250" s="378"/>
      <c r="M250" s="378"/>
      <c r="N250" s="378"/>
      <c r="O250" s="378"/>
      <c r="P250" s="378"/>
      <c r="Q250" s="378"/>
      <c r="R250" s="378"/>
      <c r="S250" s="378"/>
      <c r="T250" s="378"/>
      <c r="U250" s="378"/>
      <c r="V250" s="378"/>
      <c r="W250" s="378"/>
      <c r="X250" s="378"/>
      <c r="Y250" s="378"/>
      <c r="Z250" s="378"/>
    </row>
    <row r="251" ht="16.5" customHeight="1">
      <c r="A251" s="378" t="s">
        <v>179</v>
      </c>
      <c r="B251" s="378" t="s">
        <v>1035</v>
      </c>
      <c r="C251" s="378" t="s">
        <v>1776</v>
      </c>
      <c r="D251" s="378" t="s">
        <v>1268</v>
      </c>
      <c r="E251" s="378" t="s">
        <v>2121</v>
      </c>
      <c r="F251" s="378" t="s">
        <v>1036</v>
      </c>
      <c r="G251" s="378"/>
      <c r="H251" s="378"/>
      <c r="I251" s="378"/>
      <c r="J251" s="378"/>
      <c r="K251" s="378"/>
      <c r="L251" s="378"/>
      <c r="M251" s="378"/>
      <c r="N251" s="378"/>
      <c r="O251" s="378"/>
      <c r="P251" s="378"/>
      <c r="Q251" s="378"/>
      <c r="R251" s="378"/>
      <c r="S251" s="378"/>
      <c r="T251" s="378"/>
      <c r="U251" s="378"/>
      <c r="V251" s="378"/>
      <c r="W251" s="378"/>
      <c r="X251" s="378"/>
      <c r="Y251" s="378"/>
      <c r="Z251" s="378"/>
    </row>
    <row r="252" ht="16.5" customHeight="1">
      <c r="A252" s="378" t="s">
        <v>179</v>
      </c>
      <c r="B252" s="378" t="s">
        <v>972</v>
      </c>
      <c r="C252" s="378" t="s">
        <v>1776</v>
      </c>
      <c r="D252" s="378" t="s">
        <v>2122</v>
      </c>
      <c r="E252" s="378" t="s">
        <v>2123</v>
      </c>
      <c r="F252" s="378" t="s">
        <v>974</v>
      </c>
      <c r="G252" s="378"/>
      <c r="H252" s="378"/>
      <c r="I252" s="378"/>
      <c r="J252" s="378"/>
      <c r="K252" s="378"/>
      <c r="L252" s="378"/>
      <c r="M252" s="378"/>
      <c r="N252" s="378"/>
      <c r="O252" s="378"/>
      <c r="P252" s="378"/>
      <c r="Q252" s="378"/>
      <c r="R252" s="378"/>
      <c r="S252" s="378"/>
      <c r="T252" s="378"/>
      <c r="U252" s="378"/>
      <c r="V252" s="378"/>
      <c r="W252" s="378"/>
      <c r="X252" s="378"/>
      <c r="Y252" s="378"/>
      <c r="Z252" s="378"/>
    </row>
    <row r="253" ht="16.5" customHeight="1">
      <c r="A253" s="378" t="s">
        <v>179</v>
      </c>
      <c r="B253" s="378" t="s">
        <v>976</v>
      </c>
      <c r="C253" s="378" t="s">
        <v>1776</v>
      </c>
      <c r="D253" s="378" t="s">
        <v>2124</v>
      </c>
      <c r="E253" s="378" t="s">
        <v>2125</v>
      </c>
      <c r="F253" s="378" t="s">
        <v>977</v>
      </c>
      <c r="G253" s="378"/>
      <c r="H253" s="378"/>
      <c r="I253" s="378"/>
      <c r="J253" s="378"/>
      <c r="K253" s="378"/>
      <c r="L253" s="378"/>
      <c r="M253" s="378"/>
      <c r="N253" s="378"/>
      <c r="O253" s="378"/>
      <c r="P253" s="378"/>
      <c r="Q253" s="378"/>
      <c r="R253" s="378"/>
      <c r="S253" s="378"/>
      <c r="T253" s="378"/>
      <c r="U253" s="378"/>
      <c r="V253" s="378"/>
      <c r="W253" s="378"/>
      <c r="X253" s="378"/>
      <c r="Y253" s="378"/>
      <c r="Z253" s="378"/>
    </row>
    <row r="254" ht="16.5" customHeight="1">
      <c r="A254" s="378" t="s">
        <v>179</v>
      </c>
      <c r="B254" s="378" t="s">
        <v>683</v>
      </c>
      <c r="C254" s="378" t="s">
        <v>1776</v>
      </c>
      <c r="D254" s="378" t="s">
        <v>2126</v>
      </c>
      <c r="E254" s="378" t="s">
        <v>2127</v>
      </c>
      <c r="F254" s="378" t="s">
        <v>980</v>
      </c>
      <c r="G254" s="378"/>
      <c r="H254" s="378"/>
      <c r="I254" s="378"/>
      <c r="J254" s="378"/>
      <c r="K254" s="378"/>
      <c r="L254" s="378"/>
      <c r="M254" s="378"/>
      <c r="N254" s="378"/>
      <c r="O254" s="378"/>
      <c r="P254" s="378"/>
      <c r="Q254" s="378"/>
      <c r="R254" s="378"/>
      <c r="S254" s="378"/>
      <c r="T254" s="378"/>
      <c r="U254" s="378"/>
      <c r="V254" s="378"/>
      <c r="W254" s="378"/>
      <c r="X254" s="378"/>
      <c r="Y254" s="378"/>
      <c r="Z254" s="378"/>
    </row>
    <row r="255" ht="16.5" customHeight="1">
      <c r="A255" s="378" t="s">
        <v>179</v>
      </c>
      <c r="B255" s="378" t="s">
        <v>981</v>
      </c>
      <c r="C255" s="378" t="s">
        <v>1776</v>
      </c>
      <c r="D255" s="378" t="s">
        <v>2128</v>
      </c>
      <c r="E255" s="378" t="s">
        <v>2129</v>
      </c>
      <c r="F255" s="378" t="s">
        <v>982</v>
      </c>
      <c r="G255" s="378"/>
      <c r="H255" s="378"/>
      <c r="I255" s="378"/>
      <c r="J255" s="378"/>
      <c r="K255" s="378"/>
      <c r="L255" s="378"/>
      <c r="M255" s="378"/>
      <c r="N255" s="378"/>
      <c r="O255" s="378"/>
      <c r="P255" s="378"/>
      <c r="Q255" s="378"/>
      <c r="R255" s="378"/>
      <c r="S255" s="378"/>
      <c r="T255" s="378"/>
      <c r="U255" s="378"/>
      <c r="V255" s="378"/>
      <c r="W255" s="378"/>
      <c r="X255" s="378"/>
      <c r="Y255" s="378"/>
      <c r="Z255" s="378"/>
    </row>
    <row r="256" ht="16.5" customHeight="1">
      <c r="A256" s="378" t="s">
        <v>179</v>
      </c>
      <c r="B256" s="378" t="s">
        <v>1037</v>
      </c>
      <c r="C256" s="378" t="s">
        <v>1776</v>
      </c>
      <c r="D256" s="378" t="s">
        <v>2130</v>
      </c>
      <c r="E256" s="378" t="s">
        <v>2131</v>
      </c>
      <c r="F256" s="378" t="s">
        <v>1038</v>
      </c>
      <c r="G256" s="378"/>
      <c r="H256" s="378"/>
      <c r="I256" s="378"/>
      <c r="J256" s="378"/>
      <c r="K256" s="378"/>
      <c r="L256" s="378"/>
      <c r="M256" s="378"/>
      <c r="N256" s="378"/>
      <c r="O256" s="378"/>
      <c r="P256" s="378"/>
      <c r="Q256" s="378"/>
      <c r="R256" s="378"/>
      <c r="S256" s="378"/>
      <c r="T256" s="378"/>
      <c r="U256" s="378"/>
      <c r="V256" s="378"/>
      <c r="W256" s="378"/>
      <c r="X256" s="378"/>
      <c r="Y256" s="378"/>
      <c r="Z256" s="378"/>
    </row>
    <row r="257" ht="16.5" customHeight="1">
      <c r="A257" s="378" t="s">
        <v>179</v>
      </c>
      <c r="B257" s="378" t="s">
        <v>1039</v>
      </c>
      <c r="C257" s="378" t="s">
        <v>1776</v>
      </c>
      <c r="D257" s="378" t="s">
        <v>2132</v>
      </c>
      <c r="E257" s="378" t="s">
        <v>2133</v>
      </c>
      <c r="F257" s="378" t="s">
        <v>1040</v>
      </c>
      <c r="G257" s="378"/>
      <c r="H257" s="378"/>
      <c r="I257" s="378"/>
      <c r="J257" s="378"/>
      <c r="K257" s="378"/>
      <c r="L257" s="378"/>
      <c r="M257" s="378"/>
      <c r="N257" s="378"/>
      <c r="O257" s="378"/>
      <c r="P257" s="378"/>
      <c r="Q257" s="378"/>
      <c r="R257" s="378"/>
      <c r="S257" s="378"/>
      <c r="T257" s="378"/>
      <c r="U257" s="378"/>
      <c r="V257" s="378"/>
      <c r="W257" s="378"/>
      <c r="X257" s="378"/>
      <c r="Y257" s="378"/>
      <c r="Z257" s="378"/>
    </row>
    <row r="258" ht="16.5" customHeight="1">
      <c r="A258" s="378" t="s">
        <v>179</v>
      </c>
      <c r="B258" s="378" t="s">
        <v>978</v>
      </c>
      <c r="C258" s="378" t="s">
        <v>1776</v>
      </c>
      <c r="D258" s="378" t="s">
        <v>2134</v>
      </c>
      <c r="E258" s="378" t="s">
        <v>2135</v>
      </c>
      <c r="F258" s="378" t="s">
        <v>979</v>
      </c>
      <c r="G258" s="378"/>
      <c r="H258" s="378"/>
      <c r="I258" s="378"/>
      <c r="J258" s="378"/>
      <c r="K258" s="378"/>
      <c r="L258" s="378"/>
      <c r="M258" s="378"/>
      <c r="N258" s="378"/>
      <c r="O258" s="378"/>
      <c r="P258" s="378"/>
      <c r="Q258" s="378"/>
      <c r="R258" s="378"/>
      <c r="S258" s="378"/>
      <c r="T258" s="378"/>
      <c r="U258" s="378"/>
      <c r="V258" s="378"/>
      <c r="W258" s="378"/>
      <c r="X258" s="378"/>
      <c r="Y258" s="378"/>
      <c r="Z258" s="378"/>
    </row>
    <row r="259" ht="16.5" customHeight="1">
      <c r="A259" s="378" t="s">
        <v>179</v>
      </c>
      <c r="B259" s="378" t="s">
        <v>983</v>
      </c>
      <c r="C259" s="378" t="s">
        <v>1776</v>
      </c>
      <c r="D259" s="378" t="s">
        <v>2136</v>
      </c>
      <c r="E259" s="378" t="s">
        <v>2137</v>
      </c>
      <c r="F259" s="378" t="s">
        <v>984</v>
      </c>
      <c r="G259" s="378"/>
      <c r="H259" s="378"/>
      <c r="I259" s="378"/>
      <c r="J259" s="378"/>
      <c r="K259" s="378"/>
      <c r="L259" s="378"/>
      <c r="M259" s="378"/>
      <c r="N259" s="378"/>
      <c r="O259" s="378"/>
      <c r="P259" s="378"/>
      <c r="Q259" s="378"/>
      <c r="R259" s="378"/>
      <c r="S259" s="378"/>
      <c r="T259" s="378"/>
      <c r="U259" s="378"/>
      <c r="V259" s="378"/>
      <c r="W259" s="378"/>
      <c r="X259" s="378"/>
      <c r="Y259" s="378"/>
      <c r="Z259" s="378"/>
    </row>
    <row r="260" ht="16.5" customHeight="1">
      <c r="A260" s="378" t="s">
        <v>179</v>
      </c>
      <c r="B260" s="378" t="s">
        <v>985</v>
      </c>
      <c r="C260" s="378" t="s">
        <v>1776</v>
      </c>
      <c r="D260" s="378" t="s">
        <v>1515</v>
      </c>
      <c r="E260" s="378" t="s">
        <v>2138</v>
      </c>
      <c r="F260" s="378" t="s">
        <v>986</v>
      </c>
      <c r="G260" s="378"/>
      <c r="H260" s="378"/>
      <c r="I260" s="378"/>
      <c r="J260" s="378"/>
      <c r="K260" s="378"/>
      <c r="L260" s="378"/>
      <c r="M260" s="378"/>
      <c r="N260" s="378"/>
      <c r="O260" s="378"/>
      <c r="P260" s="378"/>
      <c r="Q260" s="378"/>
      <c r="R260" s="378"/>
      <c r="S260" s="378"/>
      <c r="T260" s="378"/>
      <c r="U260" s="378"/>
      <c r="V260" s="378"/>
      <c r="W260" s="378"/>
      <c r="X260" s="378"/>
      <c r="Y260" s="378"/>
      <c r="Z260" s="378"/>
    </row>
    <row r="261" ht="16.5" customHeight="1">
      <c r="A261" s="378" t="s">
        <v>179</v>
      </c>
      <c r="B261" s="378" t="s">
        <v>1031</v>
      </c>
      <c r="C261" s="378" t="s">
        <v>1776</v>
      </c>
      <c r="D261" s="378" t="s">
        <v>2139</v>
      </c>
      <c r="E261" s="378" t="s">
        <v>2140</v>
      </c>
      <c r="F261" s="378" t="s">
        <v>267</v>
      </c>
      <c r="G261" s="378"/>
      <c r="H261" s="378"/>
      <c r="I261" s="378"/>
      <c r="J261" s="378"/>
      <c r="K261" s="378"/>
      <c r="L261" s="378"/>
      <c r="M261" s="378"/>
      <c r="N261" s="378"/>
      <c r="O261" s="378"/>
      <c r="P261" s="378"/>
      <c r="Q261" s="378"/>
      <c r="R261" s="378"/>
      <c r="S261" s="378"/>
      <c r="T261" s="378"/>
      <c r="U261" s="378"/>
      <c r="V261" s="378"/>
      <c r="W261" s="378"/>
      <c r="X261" s="378"/>
      <c r="Y261" s="378"/>
      <c r="Z261" s="378"/>
    </row>
    <row r="262" ht="16.5" customHeight="1">
      <c r="A262" s="378" t="s">
        <v>179</v>
      </c>
      <c r="B262" s="378" t="s">
        <v>1001</v>
      </c>
      <c r="C262" s="378" t="s">
        <v>1776</v>
      </c>
      <c r="D262" s="378" t="s">
        <v>2141</v>
      </c>
      <c r="E262" s="378" t="s">
        <v>2142</v>
      </c>
      <c r="F262" s="378" t="s">
        <v>1003</v>
      </c>
      <c r="G262" s="378"/>
      <c r="H262" s="378"/>
      <c r="I262" s="378"/>
      <c r="J262" s="378"/>
      <c r="K262" s="378"/>
      <c r="L262" s="378"/>
      <c r="M262" s="378"/>
      <c r="N262" s="378"/>
      <c r="O262" s="378"/>
      <c r="P262" s="378"/>
      <c r="Q262" s="378"/>
      <c r="R262" s="378"/>
      <c r="S262" s="378"/>
      <c r="T262" s="378"/>
      <c r="U262" s="378"/>
      <c r="V262" s="378"/>
      <c r="W262" s="378"/>
      <c r="X262" s="378"/>
      <c r="Y262" s="378"/>
      <c r="Z262" s="378"/>
    </row>
    <row r="263" ht="16.5" customHeight="1">
      <c r="A263" s="378" t="s">
        <v>179</v>
      </c>
      <c r="B263" s="378" t="s">
        <v>1005</v>
      </c>
      <c r="C263" s="378" t="s">
        <v>1776</v>
      </c>
      <c r="D263" s="378" t="s">
        <v>1524</v>
      </c>
      <c r="E263" s="378" t="s">
        <v>2143</v>
      </c>
      <c r="F263" s="378" t="s">
        <v>1006</v>
      </c>
      <c r="G263" s="378"/>
      <c r="H263" s="378"/>
      <c r="I263" s="378"/>
      <c r="J263" s="378"/>
      <c r="K263" s="378"/>
      <c r="L263" s="378"/>
      <c r="M263" s="378"/>
      <c r="N263" s="378"/>
      <c r="O263" s="378"/>
      <c r="P263" s="378"/>
      <c r="Q263" s="378"/>
      <c r="R263" s="378"/>
      <c r="S263" s="378"/>
      <c r="T263" s="378"/>
      <c r="U263" s="378"/>
      <c r="V263" s="378"/>
      <c r="W263" s="378"/>
      <c r="X263" s="378"/>
      <c r="Y263" s="378"/>
      <c r="Z263" s="378"/>
    </row>
    <row r="264" ht="16.5" customHeight="1">
      <c r="A264" s="378" t="s">
        <v>179</v>
      </c>
      <c r="B264" s="378" t="s">
        <v>691</v>
      </c>
      <c r="C264" s="378" t="s">
        <v>1776</v>
      </c>
      <c r="D264" s="378" t="s">
        <v>2144</v>
      </c>
      <c r="E264" s="378" t="s">
        <v>2145</v>
      </c>
      <c r="F264" s="378" t="s">
        <v>1025</v>
      </c>
      <c r="G264" s="378"/>
      <c r="H264" s="378"/>
      <c r="I264" s="378"/>
      <c r="J264" s="378"/>
      <c r="K264" s="378"/>
      <c r="L264" s="378"/>
      <c r="M264" s="378"/>
      <c r="N264" s="378"/>
      <c r="O264" s="378"/>
      <c r="P264" s="378"/>
      <c r="Q264" s="378"/>
      <c r="R264" s="378"/>
      <c r="S264" s="378"/>
      <c r="T264" s="378"/>
      <c r="U264" s="378"/>
      <c r="V264" s="378"/>
      <c r="W264" s="378"/>
      <c r="X264" s="378"/>
      <c r="Y264" s="378"/>
      <c r="Z264" s="378"/>
    </row>
    <row r="265" ht="16.5" customHeight="1">
      <c r="A265" s="378" t="s">
        <v>179</v>
      </c>
      <c r="B265" s="378" t="s">
        <v>1007</v>
      </c>
      <c r="C265" s="378" t="s">
        <v>1776</v>
      </c>
      <c r="D265" s="378" t="s">
        <v>2146</v>
      </c>
      <c r="E265" s="378" t="s">
        <v>2147</v>
      </c>
      <c r="F265" s="378" t="s">
        <v>1008</v>
      </c>
      <c r="G265" s="378"/>
      <c r="H265" s="378"/>
      <c r="I265" s="378"/>
      <c r="J265" s="378"/>
      <c r="K265" s="378"/>
      <c r="L265" s="378"/>
      <c r="M265" s="378"/>
      <c r="N265" s="378"/>
      <c r="O265" s="378"/>
      <c r="P265" s="378"/>
      <c r="Q265" s="378"/>
      <c r="R265" s="378"/>
      <c r="S265" s="378"/>
      <c r="T265" s="378"/>
      <c r="U265" s="378"/>
      <c r="V265" s="378"/>
      <c r="W265" s="378"/>
      <c r="X265" s="378"/>
      <c r="Y265" s="378"/>
      <c r="Z265" s="378"/>
    </row>
    <row r="266" ht="16.5" customHeight="1">
      <c r="A266" s="378" t="s">
        <v>179</v>
      </c>
      <c r="B266" s="378" t="s">
        <v>1009</v>
      </c>
      <c r="C266" s="378" t="s">
        <v>1776</v>
      </c>
      <c r="D266" s="378" t="s">
        <v>2148</v>
      </c>
      <c r="E266" s="378" t="s">
        <v>2149</v>
      </c>
      <c r="F266" s="378" t="s">
        <v>1010</v>
      </c>
      <c r="G266" s="378"/>
      <c r="H266" s="378"/>
      <c r="I266" s="378"/>
      <c r="J266" s="378"/>
      <c r="K266" s="378"/>
      <c r="L266" s="378"/>
      <c r="M266" s="378"/>
      <c r="N266" s="378"/>
      <c r="O266" s="378"/>
      <c r="P266" s="378"/>
      <c r="Q266" s="378"/>
      <c r="R266" s="378"/>
      <c r="S266" s="378"/>
      <c r="T266" s="378"/>
      <c r="U266" s="378"/>
      <c r="V266" s="378"/>
      <c r="W266" s="378"/>
      <c r="X266" s="378"/>
      <c r="Y266" s="378"/>
      <c r="Z266" s="378"/>
    </row>
    <row r="267" ht="16.5" customHeight="1">
      <c r="A267" s="378"/>
      <c r="B267" s="378"/>
      <c r="C267" s="378"/>
      <c r="D267" s="378"/>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row>
    <row r="268" ht="16.5" customHeight="1">
      <c r="A268" s="378" t="s">
        <v>2150</v>
      </c>
      <c r="B268" s="378" t="s">
        <v>1567</v>
      </c>
      <c r="C268" s="378" t="s">
        <v>1776</v>
      </c>
      <c r="D268" s="378" t="s">
        <v>1568</v>
      </c>
      <c r="E268" s="378" t="s">
        <v>2151</v>
      </c>
      <c r="F268" s="378" t="s">
        <v>702</v>
      </c>
      <c r="G268" s="378"/>
      <c r="H268" s="378"/>
      <c r="I268" s="378"/>
      <c r="J268" s="378"/>
      <c r="K268" s="378"/>
      <c r="L268" s="378"/>
      <c r="M268" s="378"/>
      <c r="N268" s="378"/>
      <c r="O268" s="378"/>
      <c r="P268" s="378"/>
      <c r="Q268" s="378"/>
      <c r="R268" s="378"/>
      <c r="S268" s="378"/>
      <c r="T268" s="378"/>
      <c r="U268" s="378"/>
      <c r="V268" s="378"/>
      <c r="W268" s="378"/>
      <c r="X268" s="378"/>
      <c r="Y268" s="378"/>
      <c r="Z268" s="378"/>
    </row>
    <row r="269" ht="16.5" customHeight="1">
      <c r="A269" s="378" t="s">
        <v>2150</v>
      </c>
      <c r="B269" s="378" t="s">
        <v>1569</v>
      </c>
      <c r="C269" s="378" t="s">
        <v>1776</v>
      </c>
      <c r="D269" s="378" t="s">
        <v>1571</v>
      </c>
      <c r="E269" s="378" t="s">
        <v>2152</v>
      </c>
      <c r="F269" s="378" t="s">
        <v>704</v>
      </c>
      <c r="G269" s="378"/>
      <c r="H269" s="378"/>
      <c r="I269" s="378"/>
      <c r="J269" s="378"/>
      <c r="K269" s="378"/>
      <c r="L269" s="378"/>
      <c r="M269" s="378"/>
      <c r="N269" s="378"/>
      <c r="O269" s="378"/>
      <c r="P269" s="378"/>
      <c r="Q269" s="378"/>
      <c r="R269" s="378"/>
      <c r="S269" s="378"/>
      <c r="T269" s="378"/>
      <c r="U269" s="378"/>
      <c r="V269" s="378"/>
      <c r="W269" s="378"/>
      <c r="X269" s="378"/>
      <c r="Y269" s="378"/>
      <c r="Z269" s="378"/>
    </row>
    <row r="270" ht="16.5" customHeight="1">
      <c r="A270" s="378" t="s">
        <v>2150</v>
      </c>
      <c r="B270" s="378" t="s">
        <v>1572</v>
      </c>
      <c r="C270" s="378" t="s">
        <v>1776</v>
      </c>
      <c r="D270" s="378" t="s">
        <v>1573</v>
      </c>
      <c r="E270" s="378" t="s">
        <v>2153</v>
      </c>
      <c r="F270" s="378" t="s">
        <v>707</v>
      </c>
      <c r="G270" s="378"/>
      <c r="H270" s="378"/>
      <c r="I270" s="378"/>
      <c r="J270" s="378"/>
      <c r="K270" s="378"/>
      <c r="L270" s="378"/>
      <c r="M270" s="378"/>
      <c r="N270" s="378"/>
      <c r="O270" s="378"/>
      <c r="P270" s="378"/>
      <c r="Q270" s="378"/>
      <c r="R270" s="378"/>
      <c r="S270" s="378"/>
      <c r="T270" s="378"/>
      <c r="U270" s="378"/>
      <c r="V270" s="378"/>
      <c r="W270" s="378"/>
      <c r="X270" s="378"/>
      <c r="Y270" s="378"/>
      <c r="Z270" s="378"/>
    </row>
    <row r="271" ht="16.5" customHeight="1">
      <c r="A271" s="378" t="s">
        <v>2150</v>
      </c>
      <c r="B271" s="378" t="s">
        <v>1574</v>
      </c>
      <c r="C271" s="378" t="s">
        <v>1776</v>
      </c>
      <c r="D271" s="378" t="s">
        <v>1575</v>
      </c>
      <c r="E271" s="378" t="s">
        <v>2154</v>
      </c>
      <c r="F271" s="378" t="s">
        <v>709</v>
      </c>
      <c r="G271" s="378"/>
      <c r="H271" s="378"/>
      <c r="I271" s="378"/>
      <c r="J271" s="378"/>
      <c r="K271" s="378"/>
      <c r="L271" s="378"/>
      <c r="M271" s="378"/>
      <c r="N271" s="378"/>
      <c r="O271" s="378"/>
      <c r="P271" s="378"/>
      <c r="Q271" s="378"/>
      <c r="R271" s="378"/>
      <c r="S271" s="378"/>
      <c r="T271" s="378"/>
      <c r="U271" s="378"/>
      <c r="V271" s="378"/>
      <c r="W271" s="378"/>
      <c r="X271" s="378"/>
      <c r="Y271" s="378"/>
      <c r="Z271" s="378"/>
    </row>
    <row r="272" ht="16.5" customHeight="1">
      <c r="A272" s="378" t="s">
        <v>2150</v>
      </c>
      <c r="B272" s="378" t="s">
        <v>1576</v>
      </c>
      <c r="C272" s="378" t="s">
        <v>1776</v>
      </c>
      <c r="D272" s="378" t="s">
        <v>1577</v>
      </c>
      <c r="E272" s="378" t="s">
        <v>2155</v>
      </c>
      <c r="F272" s="378" t="s">
        <v>2156</v>
      </c>
      <c r="G272" s="378"/>
      <c r="H272" s="378"/>
      <c r="I272" s="378"/>
      <c r="J272" s="378"/>
      <c r="K272" s="378"/>
      <c r="L272" s="378"/>
      <c r="M272" s="378"/>
      <c r="N272" s="378"/>
      <c r="O272" s="378"/>
      <c r="P272" s="378"/>
      <c r="Q272" s="378"/>
      <c r="R272" s="378"/>
      <c r="S272" s="378"/>
      <c r="T272" s="378"/>
      <c r="U272" s="378"/>
      <c r="V272" s="378"/>
      <c r="W272" s="378"/>
      <c r="X272" s="378"/>
      <c r="Y272" s="378"/>
      <c r="Z272" s="378"/>
    </row>
    <row r="273" ht="16.5" customHeight="1">
      <c r="A273" s="378" t="s">
        <v>2150</v>
      </c>
      <c r="B273" s="378" t="s">
        <v>712</v>
      </c>
      <c r="C273" s="378" t="s">
        <v>1776</v>
      </c>
      <c r="D273" s="378" t="s">
        <v>1578</v>
      </c>
      <c r="E273" s="378" t="s">
        <v>2157</v>
      </c>
      <c r="F273" s="378" t="s">
        <v>713</v>
      </c>
      <c r="G273" s="378"/>
      <c r="H273" s="378"/>
      <c r="I273" s="378"/>
      <c r="J273" s="378"/>
      <c r="K273" s="378"/>
      <c r="L273" s="378"/>
      <c r="M273" s="378"/>
      <c r="N273" s="378"/>
      <c r="O273" s="378"/>
      <c r="P273" s="378"/>
      <c r="Q273" s="378"/>
      <c r="R273" s="378"/>
      <c r="S273" s="378"/>
      <c r="T273" s="378"/>
      <c r="U273" s="378"/>
      <c r="V273" s="378"/>
      <c r="W273" s="378"/>
      <c r="X273" s="378"/>
      <c r="Y273" s="378"/>
      <c r="Z273" s="378"/>
    </row>
    <row r="274" ht="16.5" customHeight="1">
      <c r="A274" s="378" t="s">
        <v>2150</v>
      </c>
      <c r="B274" s="378" t="s">
        <v>714</v>
      </c>
      <c r="C274" s="378" t="s">
        <v>1776</v>
      </c>
      <c r="D274" s="378" t="s">
        <v>1579</v>
      </c>
      <c r="E274" s="378" t="s">
        <v>2158</v>
      </c>
      <c r="F274" s="378" t="s">
        <v>715</v>
      </c>
      <c r="G274" s="378"/>
      <c r="H274" s="378"/>
      <c r="I274" s="378"/>
      <c r="J274" s="378"/>
      <c r="K274" s="378"/>
      <c r="L274" s="378"/>
      <c r="M274" s="378"/>
      <c r="N274" s="378"/>
      <c r="O274" s="378"/>
      <c r="P274" s="378"/>
      <c r="Q274" s="378"/>
      <c r="R274" s="378"/>
      <c r="S274" s="378"/>
      <c r="T274" s="378"/>
      <c r="U274" s="378"/>
      <c r="V274" s="378"/>
      <c r="W274" s="378"/>
      <c r="X274" s="378"/>
      <c r="Y274" s="378"/>
      <c r="Z274" s="378"/>
    </row>
    <row r="275" ht="16.5" customHeight="1">
      <c r="A275" s="378" t="s">
        <v>2150</v>
      </c>
      <c r="B275" s="378" t="s">
        <v>1580</v>
      </c>
      <c r="C275" s="378" t="s">
        <v>1776</v>
      </c>
      <c r="D275" s="378" t="s">
        <v>1581</v>
      </c>
      <c r="E275" s="378" t="s">
        <v>2159</v>
      </c>
      <c r="F275" s="378" t="s">
        <v>2160</v>
      </c>
      <c r="G275" s="378"/>
      <c r="H275" s="378"/>
      <c r="I275" s="378"/>
      <c r="J275" s="378"/>
      <c r="K275" s="378"/>
      <c r="L275" s="378"/>
      <c r="M275" s="378"/>
      <c r="N275" s="378"/>
      <c r="O275" s="378"/>
      <c r="P275" s="378"/>
      <c r="Q275" s="378"/>
      <c r="R275" s="378"/>
      <c r="S275" s="378"/>
      <c r="T275" s="378"/>
      <c r="U275" s="378"/>
      <c r="V275" s="378"/>
      <c r="W275" s="378"/>
      <c r="X275" s="378"/>
      <c r="Y275" s="378"/>
      <c r="Z275" s="378"/>
    </row>
    <row r="276" ht="16.5" customHeight="1">
      <c r="A276" s="378" t="s">
        <v>2150</v>
      </c>
      <c r="B276" s="378" t="s">
        <v>60</v>
      </c>
      <c r="C276" s="378" t="s">
        <v>1776</v>
      </c>
      <c r="D276" s="378" t="s">
        <v>1582</v>
      </c>
      <c r="E276" s="378" t="s">
        <v>2161</v>
      </c>
      <c r="F276" s="378" t="s">
        <v>719</v>
      </c>
      <c r="G276" s="378"/>
      <c r="H276" s="378"/>
      <c r="I276" s="378"/>
      <c r="J276" s="378"/>
      <c r="K276" s="378"/>
      <c r="L276" s="378"/>
      <c r="M276" s="378"/>
      <c r="N276" s="378"/>
      <c r="O276" s="378"/>
      <c r="P276" s="378"/>
      <c r="Q276" s="378"/>
      <c r="R276" s="378"/>
      <c r="S276" s="378"/>
      <c r="T276" s="378"/>
      <c r="U276" s="378"/>
      <c r="V276" s="378"/>
      <c r="W276" s="378"/>
      <c r="X276" s="378"/>
      <c r="Y276" s="378"/>
      <c r="Z276" s="378"/>
    </row>
    <row r="277" ht="16.5" customHeight="1">
      <c r="A277" s="378" t="s">
        <v>2150</v>
      </c>
      <c r="B277" s="378" t="s">
        <v>1583</v>
      </c>
      <c r="C277" s="378" t="s">
        <v>1776</v>
      </c>
      <c r="D277" s="378" t="s">
        <v>1584</v>
      </c>
      <c r="E277" s="378" t="s">
        <v>2162</v>
      </c>
      <c r="F277" s="378" t="s">
        <v>721</v>
      </c>
      <c r="G277" s="378"/>
      <c r="H277" s="378"/>
      <c r="I277" s="378"/>
      <c r="J277" s="378"/>
      <c r="K277" s="378"/>
      <c r="L277" s="378"/>
      <c r="M277" s="378"/>
      <c r="N277" s="378"/>
      <c r="O277" s="378"/>
      <c r="P277" s="378"/>
      <c r="Q277" s="378"/>
      <c r="R277" s="378"/>
      <c r="S277" s="378"/>
      <c r="T277" s="378"/>
      <c r="U277" s="378"/>
      <c r="V277" s="378"/>
      <c r="W277" s="378"/>
      <c r="X277" s="378"/>
      <c r="Y277" s="378"/>
      <c r="Z277" s="378"/>
    </row>
    <row r="278" ht="16.5" customHeight="1">
      <c r="A278" s="378" t="s">
        <v>2150</v>
      </c>
      <c r="B278" s="378" t="s">
        <v>1585</v>
      </c>
      <c r="C278" s="378" t="s">
        <v>1776</v>
      </c>
      <c r="D278" s="378" t="s">
        <v>1586</v>
      </c>
      <c r="E278" s="378" t="s">
        <v>2163</v>
      </c>
      <c r="F278" s="378" t="s">
        <v>723</v>
      </c>
      <c r="G278" s="378"/>
      <c r="H278" s="378"/>
      <c r="I278" s="378"/>
      <c r="J278" s="378"/>
      <c r="K278" s="378"/>
      <c r="L278" s="378"/>
      <c r="M278" s="378"/>
      <c r="N278" s="378"/>
      <c r="O278" s="378"/>
      <c r="P278" s="378"/>
      <c r="Q278" s="378"/>
      <c r="R278" s="378"/>
      <c r="S278" s="378"/>
      <c r="T278" s="378"/>
      <c r="U278" s="378"/>
      <c r="V278" s="378"/>
      <c r="W278" s="378"/>
      <c r="X278" s="378"/>
      <c r="Y278" s="378"/>
      <c r="Z278" s="378"/>
    </row>
    <row r="279" ht="16.5" customHeight="1">
      <c r="A279" s="378" t="s">
        <v>2150</v>
      </c>
      <c r="B279" s="378" t="s">
        <v>1587</v>
      </c>
      <c r="C279" s="378" t="s">
        <v>1776</v>
      </c>
      <c r="D279" s="378" t="s">
        <v>1588</v>
      </c>
      <c r="E279" s="378" t="s">
        <v>2164</v>
      </c>
      <c r="F279" s="378" t="s">
        <v>725</v>
      </c>
      <c r="G279" s="378"/>
      <c r="H279" s="378"/>
      <c r="I279" s="378"/>
      <c r="J279" s="378"/>
      <c r="K279" s="378"/>
      <c r="L279" s="378"/>
      <c r="M279" s="378"/>
      <c r="N279" s="378"/>
      <c r="O279" s="378"/>
      <c r="P279" s="378"/>
      <c r="Q279" s="378"/>
      <c r="R279" s="378"/>
      <c r="S279" s="378"/>
      <c r="T279" s="378"/>
      <c r="U279" s="378"/>
      <c r="V279" s="378"/>
      <c r="W279" s="378"/>
      <c r="X279" s="378"/>
      <c r="Y279" s="378"/>
      <c r="Z279" s="378"/>
    </row>
    <row r="280" ht="16.5" customHeight="1">
      <c r="A280" s="378"/>
      <c r="B280" s="378"/>
      <c r="C280" s="378"/>
      <c r="D280" s="378"/>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row>
    <row r="281" ht="16.5" customHeight="1">
      <c r="A281" s="378" t="s">
        <v>952</v>
      </c>
      <c r="B281" s="378" t="s">
        <v>1597</v>
      </c>
      <c r="C281" s="378" t="s">
        <v>1776</v>
      </c>
      <c r="D281" s="378" t="s">
        <v>1598</v>
      </c>
      <c r="E281" s="378" t="s">
        <v>2165</v>
      </c>
      <c r="F281" s="378" t="s">
        <v>727</v>
      </c>
      <c r="G281" s="378"/>
      <c r="H281" s="378"/>
      <c r="I281" s="378"/>
      <c r="J281" s="378"/>
      <c r="K281" s="378"/>
      <c r="L281" s="378"/>
      <c r="M281" s="378"/>
      <c r="N281" s="378"/>
      <c r="O281" s="378"/>
      <c r="P281" s="378"/>
      <c r="Q281" s="378"/>
      <c r="R281" s="378"/>
      <c r="S281" s="378"/>
      <c r="T281" s="378"/>
      <c r="U281" s="378"/>
      <c r="V281" s="378"/>
      <c r="W281" s="378"/>
      <c r="X281" s="378"/>
      <c r="Y281" s="378"/>
      <c r="Z281" s="378"/>
    </row>
    <row r="282" ht="16.5" customHeight="1">
      <c r="A282" s="378" t="s">
        <v>952</v>
      </c>
      <c r="B282" s="378" t="s">
        <v>1599</v>
      </c>
      <c r="C282" s="378" t="s">
        <v>1776</v>
      </c>
      <c r="D282" s="378" t="s">
        <v>1600</v>
      </c>
      <c r="E282" s="378" t="s">
        <v>2166</v>
      </c>
      <c r="F282" s="378" t="s">
        <v>729</v>
      </c>
      <c r="G282" s="378"/>
      <c r="H282" s="378"/>
      <c r="I282" s="378"/>
      <c r="J282" s="378"/>
      <c r="K282" s="378"/>
      <c r="L282" s="378"/>
      <c r="M282" s="378"/>
      <c r="N282" s="378"/>
      <c r="O282" s="378"/>
      <c r="P282" s="378"/>
      <c r="Q282" s="378"/>
      <c r="R282" s="378"/>
      <c r="S282" s="378"/>
      <c r="T282" s="378"/>
      <c r="U282" s="378"/>
      <c r="V282" s="378"/>
      <c r="W282" s="378"/>
      <c r="X282" s="378"/>
      <c r="Y282" s="378"/>
      <c r="Z282" s="378"/>
    </row>
    <row r="283" ht="16.5" customHeight="1">
      <c r="A283" s="378" t="s">
        <v>952</v>
      </c>
      <c r="B283" s="378" t="s">
        <v>1601</v>
      </c>
      <c r="C283" s="378" t="s">
        <v>1776</v>
      </c>
      <c r="D283" s="378" t="s">
        <v>1603</v>
      </c>
      <c r="E283" s="378" t="s">
        <v>2167</v>
      </c>
      <c r="F283" s="378" t="s">
        <v>731</v>
      </c>
      <c r="G283" s="378"/>
      <c r="H283" s="378"/>
      <c r="I283" s="378"/>
      <c r="J283" s="378"/>
      <c r="K283" s="378"/>
      <c r="L283" s="378"/>
      <c r="M283" s="378"/>
      <c r="N283" s="378"/>
      <c r="O283" s="378"/>
      <c r="P283" s="378"/>
      <c r="Q283" s="378"/>
      <c r="R283" s="378"/>
      <c r="S283" s="378"/>
      <c r="T283" s="378"/>
      <c r="U283" s="378"/>
      <c r="V283" s="378"/>
      <c r="W283" s="378"/>
      <c r="X283" s="378"/>
      <c r="Y283" s="378"/>
      <c r="Z283" s="378"/>
    </row>
    <row r="284" ht="16.5" customHeight="1">
      <c r="A284" s="378" t="s">
        <v>952</v>
      </c>
      <c r="B284" s="378" t="s">
        <v>1604</v>
      </c>
      <c r="C284" s="378" t="s">
        <v>1776</v>
      </c>
      <c r="D284" s="378" t="s">
        <v>1605</v>
      </c>
      <c r="E284" s="378" t="s">
        <v>2168</v>
      </c>
      <c r="F284" s="378" t="s">
        <v>733</v>
      </c>
      <c r="G284" s="378"/>
      <c r="H284" s="378"/>
      <c r="I284" s="378"/>
      <c r="J284" s="378"/>
      <c r="K284" s="378"/>
      <c r="L284" s="378"/>
      <c r="M284" s="378"/>
      <c r="N284" s="378"/>
      <c r="O284" s="378"/>
      <c r="P284" s="378"/>
      <c r="Q284" s="378"/>
      <c r="R284" s="378"/>
      <c r="S284" s="378"/>
      <c r="T284" s="378"/>
      <c r="U284" s="378"/>
      <c r="V284" s="378"/>
      <c r="W284" s="378"/>
      <c r="X284" s="378"/>
      <c r="Y284" s="378"/>
      <c r="Z284" s="378"/>
    </row>
    <row r="285" ht="16.5" customHeight="1">
      <c r="A285" s="378" t="s">
        <v>952</v>
      </c>
      <c r="B285" s="378" t="s">
        <v>1606</v>
      </c>
      <c r="C285" s="378" t="s">
        <v>1776</v>
      </c>
      <c r="D285" s="378" t="s">
        <v>1607</v>
      </c>
      <c r="E285" s="378" t="s">
        <v>2169</v>
      </c>
      <c r="F285" s="378" t="s">
        <v>735</v>
      </c>
      <c r="G285" s="378"/>
      <c r="H285" s="378"/>
      <c r="I285" s="378"/>
      <c r="J285" s="378"/>
      <c r="K285" s="378"/>
      <c r="L285" s="378"/>
      <c r="M285" s="378"/>
      <c r="N285" s="378"/>
      <c r="O285" s="378"/>
      <c r="P285" s="378"/>
      <c r="Q285" s="378"/>
      <c r="R285" s="378"/>
      <c r="S285" s="378"/>
      <c r="T285" s="378"/>
      <c r="U285" s="378"/>
      <c r="V285" s="378"/>
      <c r="W285" s="378"/>
      <c r="X285" s="378"/>
      <c r="Y285" s="378"/>
      <c r="Z285" s="378"/>
    </row>
    <row r="286" ht="16.5" customHeight="1">
      <c r="A286" s="378" t="s">
        <v>952</v>
      </c>
      <c r="B286" s="378" t="s">
        <v>1608</v>
      </c>
      <c r="C286" s="378" t="s">
        <v>1776</v>
      </c>
      <c r="D286" s="378" t="s">
        <v>1609</v>
      </c>
      <c r="E286" s="378" t="s">
        <v>2170</v>
      </c>
      <c r="F286" s="378" t="s">
        <v>737</v>
      </c>
      <c r="G286" s="378"/>
      <c r="H286" s="378"/>
      <c r="I286" s="378"/>
      <c r="J286" s="378"/>
      <c r="K286" s="378"/>
      <c r="L286" s="378"/>
      <c r="M286" s="378"/>
      <c r="N286" s="378"/>
      <c r="O286" s="378"/>
      <c r="P286" s="378"/>
      <c r="Q286" s="378"/>
      <c r="R286" s="378"/>
      <c r="S286" s="378"/>
      <c r="T286" s="378"/>
      <c r="U286" s="378"/>
      <c r="V286" s="378"/>
      <c r="W286" s="378"/>
      <c r="X286" s="378"/>
      <c r="Y286" s="378"/>
      <c r="Z286" s="378"/>
    </row>
    <row r="287" ht="16.5" customHeight="1">
      <c r="A287" s="378" t="s">
        <v>952</v>
      </c>
      <c r="B287" s="378" t="s">
        <v>1610</v>
      </c>
      <c r="C287" s="378" t="s">
        <v>1776</v>
      </c>
      <c r="D287" s="378" t="s">
        <v>1611</v>
      </c>
      <c r="E287" s="378" t="s">
        <v>2171</v>
      </c>
      <c r="F287" s="378" t="s">
        <v>739</v>
      </c>
      <c r="G287" s="378"/>
      <c r="H287" s="378"/>
      <c r="I287" s="378"/>
      <c r="J287" s="378"/>
      <c r="K287" s="378"/>
      <c r="L287" s="378"/>
      <c r="M287" s="378"/>
      <c r="N287" s="378"/>
      <c r="O287" s="378"/>
      <c r="P287" s="378"/>
      <c r="Q287" s="378"/>
      <c r="R287" s="378"/>
      <c r="S287" s="378"/>
      <c r="T287" s="378"/>
      <c r="U287" s="378"/>
      <c r="V287" s="378"/>
      <c r="W287" s="378"/>
      <c r="X287" s="378"/>
      <c r="Y287" s="378"/>
      <c r="Z287" s="378"/>
    </row>
    <row r="288" ht="16.5" customHeight="1">
      <c r="A288" s="378" t="s">
        <v>952</v>
      </c>
      <c r="B288" s="378" t="s">
        <v>1612</v>
      </c>
      <c r="C288" s="378" t="s">
        <v>1776</v>
      </c>
      <c r="D288" s="378" t="s">
        <v>1613</v>
      </c>
      <c r="E288" s="378" t="s">
        <v>2172</v>
      </c>
      <c r="F288" s="378" t="s">
        <v>742</v>
      </c>
      <c r="G288" s="378"/>
      <c r="H288" s="378"/>
      <c r="I288" s="378"/>
      <c r="J288" s="378"/>
      <c r="K288" s="378"/>
      <c r="L288" s="378"/>
      <c r="M288" s="378"/>
      <c r="N288" s="378"/>
      <c r="O288" s="378"/>
      <c r="P288" s="378"/>
      <c r="Q288" s="378"/>
      <c r="R288" s="378"/>
      <c r="S288" s="378"/>
      <c r="T288" s="378"/>
      <c r="U288" s="378"/>
      <c r="V288" s="378"/>
      <c r="W288" s="378"/>
      <c r="X288" s="378"/>
      <c r="Y288" s="378"/>
      <c r="Z288" s="378"/>
    </row>
    <row r="289" ht="16.5" customHeight="1">
      <c r="A289" s="378" t="s">
        <v>952</v>
      </c>
      <c r="B289" s="378" t="s">
        <v>1614</v>
      </c>
      <c r="C289" s="378" t="s">
        <v>1776</v>
      </c>
      <c r="D289" s="378" t="s">
        <v>1616</v>
      </c>
      <c r="E289" s="378" t="s">
        <v>2173</v>
      </c>
      <c r="F289" s="378" t="s">
        <v>744</v>
      </c>
      <c r="G289" s="378"/>
      <c r="H289" s="378"/>
      <c r="I289" s="378"/>
      <c r="J289" s="378"/>
      <c r="K289" s="378"/>
      <c r="L289" s="378"/>
      <c r="M289" s="378"/>
      <c r="N289" s="378"/>
      <c r="O289" s="378"/>
      <c r="P289" s="378"/>
      <c r="Q289" s="378"/>
      <c r="R289" s="378"/>
      <c r="S289" s="378"/>
      <c r="T289" s="378"/>
      <c r="U289" s="378"/>
      <c r="V289" s="378"/>
      <c r="W289" s="378"/>
      <c r="X289" s="378"/>
      <c r="Y289" s="378"/>
      <c r="Z289" s="378"/>
    </row>
    <row r="290" ht="16.5" customHeight="1">
      <c r="A290" s="378" t="s">
        <v>952</v>
      </c>
      <c r="B290" s="378" t="s">
        <v>745</v>
      </c>
      <c r="C290" s="378" t="s">
        <v>1776</v>
      </c>
      <c r="D290" s="378" t="s">
        <v>1617</v>
      </c>
      <c r="E290" s="378" t="s">
        <v>2174</v>
      </c>
      <c r="F290" s="378" t="s">
        <v>746</v>
      </c>
      <c r="G290" s="378"/>
      <c r="H290" s="378"/>
      <c r="I290" s="378"/>
      <c r="J290" s="378"/>
      <c r="K290" s="378"/>
      <c r="L290" s="378"/>
      <c r="M290" s="378"/>
      <c r="N290" s="378"/>
      <c r="O290" s="378"/>
      <c r="P290" s="378"/>
      <c r="Q290" s="378"/>
      <c r="R290" s="378"/>
      <c r="S290" s="378"/>
      <c r="T290" s="378"/>
      <c r="U290" s="378"/>
      <c r="V290" s="378"/>
      <c r="W290" s="378"/>
      <c r="X290" s="378"/>
      <c r="Y290" s="378"/>
      <c r="Z290" s="378"/>
    </row>
    <row r="291" ht="16.5" customHeight="1">
      <c r="A291" s="378" t="s">
        <v>952</v>
      </c>
      <c r="B291" s="378" t="s">
        <v>1618</v>
      </c>
      <c r="C291" s="378" t="s">
        <v>1776</v>
      </c>
      <c r="D291" s="378" t="s">
        <v>1619</v>
      </c>
      <c r="E291" s="378" t="s">
        <v>2175</v>
      </c>
      <c r="F291" s="378" t="s">
        <v>748</v>
      </c>
      <c r="G291" s="378"/>
      <c r="H291" s="378"/>
      <c r="I291" s="378"/>
      <c r="J291" s="378"/>
      <c r="K291" s="378"/>
      <c r="L291" s="378"/>
      <c r="M291" s="378"/>
      <c r="N291" s="378"/>
      <c r="O291" s="378"/>
      <c r="P291" s="378"/>
      <c r="Q291" s="378"/>
      <c r="R291" s="378"/>
      <c r="S291" s="378"/>
      <c r="T291" s="378"/>
      <c r="U291" s="378"/>
      <c r="V291" s="378"/>
      <c r="W291" s="378"/>
      <c r="X291" s="378"/>
      <c r="Y291" s="378"/>
      <c r="Z291" s="378"/>
    </row>
    <row r="292" ht="16.5" customHeight="1">
      <c r="A292" s="378" t="s">
        <v>952</v>
      </c>
      <c r="B292" s="378" t="s">
        <v>1620</v>
      </c>
      <c r="C292" s="378" t="s">
        <v>1776</v>
      </c>
      <c r="D292" s="378" t="s">
        <v>1621</v>
      </c>
      <c r="E292" s="378" t="s">
        <v>2176</v>
      </c>
      <c r="F292" s="378" t="s">
        <v>750</v>
      </c>
      <c r="G292" s="378"/>
      <c r="H292" s="378"/>
      <c r="I292" s="378"/>
      <c r="J292" s="378"/>
      <c r="K292" s="378"/>
      <c r="L292" s="378"/>
      <c r="M292" s="378"/>
      <c r="N292" s="378"/>
      <c r="O292" s="378"/>
      <c r="P292" s="378"/>
      <c r="Q292" s="378"/>
      <c r="R292" s="378"/>
      <c r="S292" s="378"/>
      <c r="T292" s="378"/>
      <c r="U292" s="378"/>
      <c r="V292" s="378"/>
      <c r="W292" s="378"/>
      <c r="X292" s="378"/>
      <c r="Y292" s="378"/>
      <c r="Z292" s="378"/>
    </row>
    <row r="293" ht="16.5" customHeight="1">
      <c r="A293" s="378" t="s">
        <v>952</v>
      </c>
      <c r="B293" s="378" t="s">
        <v>1642</v>
      </c>
      <c r="C293" s="378" t="s">
        <v>1776</v>
      </c>
      <c r="D293" s="378" t="s">
        <v>1623</v>
      </c>
      <c r="E293" s="378" t="s">
        <v>2177</v>
      </c>
      <c r="F293" s="378" t="s">
        <v>773</v>
      </c>
      <c r="G293" s="378"/>
      <c r="H293" s="378"/>
      <c r="I293" s="378"/>
      <c r="J293" s="378"/>
      <c r="K293" s="378"/>
      <c r="L293" s="378"/>
      <c r="M293" s="378"/>
      <c r="N293" s="378"/>
      <c r="O293" s="378"/>
      <c r="P293" s="378"/>
      <c r="Q293" s="378"/>
      <c r="R293" s="378"/>
      <c r="S293" s="378"/>
      <c r="T293" s="378"/>
      <c r="U293" s="378"/>
      <c r="V293" s="378"/>
      <c r="W293" s="378"/>
      <c r="X293" s="378"/>
      <c r="Y293" s="378"/>
      <c r="Z293" s="378"/>
    </row>
    <row r="294" ht="16.5" customHeight="1">
      <c r="A294" s="378" t="s">
        <v>952</v>
      </c>
      <c r="B294" s="378" t="s">
        <v>1622</v>
      </c>
      <c r="C294" s="378" t="s">
        <v>1776</v>
      </c>
      <c r="D294" s="378" t="s">
        <v>1625</v>
      </c>
      <c r="E294" s="378" t="s">
        <v>2178</v>
      </c>
      <c r="F294" s="378" t="s">
        <v>753</v>
      </c>
      <c r="G294" s="378"/>
      <c r="H294" s="378"/>
      <c r="I294" s="378"/>
      <c r="J294" s="378"/>
      <c r="K294" s="378"/>
      <c r="L294" s="378"/>
      <c r="M294" s="378"/>
      <c r="N294" s="378"/>
      <c r="O294" s="378"/>
      <c r="P294" s="378"/>
      <c r="Q294" s="378"/>
      <c r="R294" s="378"/>
      <c r="S294" s="378"/>
      <c r="T294" s="378"/>
      <c r="U294" s="378"/>
      <c r="V294" s="378"/>
      <c r="W294" s="378"/>
      <c r="X294" s="378"/>
      <c r="Y294" s="378"/>
      <c r="Z294" s="378"/>
    </row>
    <row r="295" ht="16.5" customHeight="1">
      <c r="A295" s="378" t="s">
        <v>952</v>
      </c>
      <c r="B295" s="378" t="s">
        <v>1624</v>
      </c>
      <c r="C295" s="378" t="s">
        <v>1776</v>
      </c>
      <c r="D295" s="378" t="s">
        <v>1627</v>
      </c>
      <c r="E295" s="378" t="s">
        <v>2179</v>
      </c>
      <c r="F295" s="378" t="s">
        <v>755</v>
      </c>
      <c r="G295" s="378"/>
      <c r="H295" s="378"/>
      <c r="I295" s="378"/>
      <c r="J295" s="378"/>
      <c r="K295" s="378"/>
      <c r="L295" s="378"/>
      <c r="M295" s="378"/>
      <c r="N295" s="378"/>
      <c r="O295" s="378"/>
      <c r="P295" s="378"/>
      <c r="Q295" s="378"/>
      <c r="R295" s="378"/>
      <c r="S295" s="378"/>
      <c r="T295" s="378"/>
      <c r="U295" s="378"/>
      <c r="V295" s="378"/>
      <c r="W295" s="378"/>
      <c r="X295" s="378"/>
      <c r="Y295" s="378"/>
      <c r="Z295" s="378"/>
    </row>
    <row r="296" ht="16.5" customHeight="1">
      <c r="A296" s="378" t="s">
        <v>952</v>
      </c>
      <c r="B296" s="378" t="s">
        <v>1626</v>
      </c>
      <c r="C296" s="378" t="s">
        <v>1776</v>
      </c>
      <c r="D296" s="378" t="s">
        <v>1629</v>
      </c>
      <c r="E296" s="378" t="s">
        <v>2180</v>
      </c>
      <c r="F296" s="378" t="s">
        <v>757</v>
      </c>
      <c r="G296" s="378"/>
      <c r="H296" s="378"/>
      <c r="I296" s="378"/>
      <c r="J296" s="378"/>
      <c r="K296" s="378"/>
      <c r="L296" s="378"/>
      <c r="M296" s="378"/>
      <c r="N296" s="378"/>
      <c r="O296" s="378"/>
      <c r="P296" s="378"/>
      <c r="Q296" s="378"/>
      <c r="R296" s="378"/>
      <c r="S296" s="378"/>
      <c r="T296" s="378"/>
      <c r="U296" s="378"/>
      <c r="V296" s="378"/>
      <c r="W296" s="378"/>
      <c r="X296" s="378"/>
      <c r="Y296" s="378"/>
      <c r="Z296" s="378"/>
    </row>
    <row r="297" ht="16.5" customHeight="1">
      <c r="A297" s="378" t="s">
        <v>952</v>
      </c>
      <c r="B297" s="378" t="s">
        <v>1628</v>
      </c>
      <c r="C297" s="378" t="s">
        <v>1776</v>
      </c>
      <c r="D297" s="378" t="s">
        <v>1631</v>
      </c>
      <c r="E297" s="378" t="s">
        <v>2181</v>
      </c>
      <c r="F297" s="378" t="s">
        <v>759</v>
      </c>
      <c r="G297" s="378"/>
      <c r="H297" s="378"/>
      <c r="I297" s="378"/>
      <c r="J297" s="378"/>
      <c r="K297" s="378"/>
      <c r="L297" s="378"/>
      <c r="M297" s="378"/>
      <c r="N297" s="378"/>
      <c r="O297" s="378"/>
      <c r="P297" s="378"/>
      <c r="Q297" s="378"/>
      <c r="R297" s="378"/>
      <c r="S297" s="378"/>
      <c r="T297" s="378"/>
      <c r="U297" s="378"/>
      <c r="V297" s="378"/>
      <c r="W297" s="378"/>
      <c r="X297" s="378"/>
      <c r="Y297" s="378"/>
      <c r="Z297" s="378"/>
    </row>
    <row r="298" ht="16.5" customHeight="1">
      <c r="A298" s="378" t="s">
        <v>952</v>
      </c>
      <c r="B298" s="378" t="s">
        <v>1630</v>
      </c>
      <c r="C298" s="378" t="s">
        <v>1776</v>
      </c>
      <c r="D298" s="378" t="s">
        <v>1633</v>
      </c>
      <c r="E298" s="378" t="s">
        <v>2182</v>
      </c>
      <c r="F298" s="378" t="s">
        <v>761</v>
      </c>
      <c r="G298" s="378"/>
      <c r="H298" s="378"/>
      <c r="I298" s="378"/>
      <c r="J298" s="378"/>
      <c r="K298" s="378"/>
      <c r="L298" s="378"/>
      <c r="M298" s="378"/>
      <c r="N298" s="378"/>
      <c r="O298" s="378"/>
      <c r="P298" s="378"/>
      <c r="Q298" s="378"/>
      <c r="R298" s="378"/>
      <c r="S298" s="378"/>
      <c r="T298" s="378"/>
      <c r="U298" s="378"/>
      <c r="V298" s="378"/>
      <c r="W298" s="378"/>
      <c r="X298" s="378"/>
      <c r="Y298" s="378"/>
      <c r="Z298" s="378"/>
    </row>
    <row r="299" ht="16.5" customHeight="1">
      <c r="A299" s="378" t="s">
        <v>952</v>
      </c>
      <c r="B299" s="378" t="s">
        <v>1632</v>
      </c>
      <c r="C299" s="378" t="s">
        <v>1776</v>
      </c>
      <c r="D299" s="378" t="s">
        <v>1635</v>
      </c>
      <c r="E299" s="378" t="s">
        <v>2183</v>
      </c>
      <c r="F299" s="378" t="s">
        <v>763</v>
      </c>
      <c r="G299" s="378"/>
      <c r="H299" s="378"/>
      <c r="I299" s="378"/>
      <c r="J299" s="378"/>
      <c r="K299" s="378"/>
      <c r="L299" s="378"/>
      <c r="M299" s="378"/>
      <c r="N299" s="378"/>
      <c r="O299" s="378"/>
      <c r="P299" s="378"/>
      <c r="Q299" s="378"/>
      <c r="R299" s="378"/>
      <c r="S299" s="378"/>
      <c r="T299" s="378"/>
      <c r="U299" s="378"/>
      <c r="V299" s="378"/>
      <c r="W299" s="378"/>
      <c r="X299" s="378"/>
      <c r="Y299" s="378"/>
      <c r="Z299" s="378"/>
    </row>
    <row r="300" ht="16.5" customHeight="1">
      <c r="A300" s="378" t="s">
        <v>952</v>
      </c>
      <c r="B300" s="378" t="s">
        <v>1634</v>
      </c>
      <c r="C300" s="378" t="s">
        <v>1776</v>
      </c>
      <c r="D300" s="378" t="s">
        <v>1637</v>
      </c>
      <c r="E300" s="378" t="s">
        <v>2184</v>
      </c>
      <c r="F300" s="378" t="s">
        <v>765</v>
      </c>
      <c r="G300" s="378"/>
      <c r="H300" s="378"/>
      <c r="I300" s="378"/>
      <c r="J300" s="378"/>
      <c r="K300" s="378"/>
      <c r="L300" s="378"/>
      <c r="M300" s="378"/>
      <c r="N300" s="378"/>
      <c r="O300" s="378"/>
      <c r="P300" s="378"/>
      <c r="Q300" s="378"/>
      <c r="R300" s="378"/>
      <c r="S300" s="378"/>
      <c r="T300" s="378"/>
      <c r="U300" s="378"/>
      <c r="V300" s="378"/>
      <c r="W300" s="378"/>
      <c r="X300" s="378"/>
      <c r="Y300" s="378"/>
      <c r="Z300" s="378"/>
    </row>
    <row r="301" ht="16.5" customHeight="1">
      <c r="A301" s="378" t="s">
        <v>952</v>
      </c>
      <c r="B301" s="378" t="s">
        <v>1636</v>
      </c>
      <c r="C301" s="378" t="s">
        <v>1776</v>
      </c>
      <c r="D301" s="378" t="s">
        <v>1639</v>
      </c>
      <c r="E301" s="378" t="s">
        <v>2185</v>
      </c>
      <c r="F301" s="378" t="s">
        <v>2186</v>
      </c>
      <c r="G301" s="378"/>
      <c r="H301" s="378"/>
      <c r="I301" s="378"/>
      <c r="J301" s="378"/>
      <c r="K301" s="378"/>
      <c r="L301" s="378"/>
      <c r="M301" s="378"/>
      <c r="N301" s="378"/>
      <c r="O301" s="378"/>
      <c r="P301" s="378"/>
      <c r="Q301" s="378"/>
      <c r="R301" s="378"/>
      <c r="S301" s="378"/>
      <c r="T301" s="378"/>
      <c r="U301" s="378"/>
      <c r="V301" s="378"/>
      <c r="W301" s="378"/>
      <c r="X301" s="378"/>
      <c r="Y301" s="378"/>
      <c r="Z301" s="378"/>
    </row>
    <row r="302" ht="16.5" customHeight="1">
      <c r="A302" s="378" t="s">
        <v>952</v>
      </c>
      <c r="B302" s="378" t="s">
        <v>1638</v>
      </c>
      <c r="C302" s="378" t="s">
        <v>1776</v>
      </c>
      <c r="D302" s="378" t="s">
        <v>1641</v>
      </c>
      <c r="E302" s="378" t="s">
        <v>2187</v>
      </c>
      <c r="F302" s="378" t="s">
        <v>769</v>
      </c>
      <c r="G302" s="378"/>
      <c r="H302" s="378"/>
      <c r="I302" s="378"/>
      <c r="J302" s="378"/>
      <c r="K302" s="378"/>
      <c r="L302" s="378"/>
      <c r="M302" s="378"/>
      <c r="N302" s="378"/>
      <c r="O302" s="378"/>
      <c r="P302" s="378"/>
      <c r="Q302" s="378"/>
      <c r="R302" s="378"/>
      <c r="S302" s="378"/>
      <c r="T302" s="378"/>
      <c r="U302" s="378"/>
      <c r="V302" s="378"/>
      <c r="W302" s="378"/>
      <c r="X302" s="378"/>
      <c r="Y302" s="378"/>
      <c r="Z302" s="378"/>
    </row>
    <row r="303" ht="16.5" customHeight="1">
      <c r="A303" s="378" t="s">
        <v>952</v>
      </c>
      <c r="B303" s="378" t="s">
        <v>1640</v>
      </c>
      <c r="C303" s="378" t="s">
        <v>1776</v>
      </c>
      <c r="D303" s="378" t="s">
        <v>1643</v>
      </c>
      <c r="E303" s="378" t="s">
        <v>2188</v>
      </c>
      <c r="F303" s="378" t="s">
        <v>2189</v>
      </c>
      <c r="G303" s="378"/>
      <c r="H303" s="378"/>
      <c r="I303" s="378"/>
      <c r="J303" s="378"/>
      <c r="K303" s="378"/>
      <c r="L303" s="378"/>
      <c r="M303" s="378"/>
      <c r="N303" s="378"/>
      <c r="O303" s="378"/>
      <c r="P303" s="378"/>
      <c r="Q303" s="378"/>
      <c r="R303" s="378"/>
      <c r="S303" s="378"/>
      <c r="T303" s="378"/>
      <c r="U303" s="378"/>
      <c r="V303" s="378"/>
      <c r="W303" s="378"/>
      <c r="X303" s="378"/>
      <c r="Y303" s="378"/>
      <c r="Z303" s="378"/>
    </row>
    <row r="304" ht="16.5" customHeight="1">
      <c r="A304" s="378"/>
      <c r="B304" s="378"/>
      <c r="C304" s="378"/>
      <c r="D304" s="378"/>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row>
    <row r="305" ht="16.5" customHeight="1">
      <c r="A305" s="378" t="s">
        <v>184</v>
      </c>
      <c r="B305" s="378" t="s">
        <v>774</v>
      </c>
      <c r="C305" s="378" t="s">
        <v>2190</v>
      </c>
      <c r="D305" s="378" t="s">
        <v>1649</v>
      </c>
      <c r="E305" s="378" t="s">
        <v>2191</v>
      </c>
      <c r="F305" s="378" t="s">
        <v>763</v>
      </c>
      <c r="G305" s="378"/>
      <c r="H305" s="378"/>
      <c r="I305" s="378"/>
      <c r="J305" s="378"/>
      <c r="K305" s="378"/>
      <c r="L305" s="378"/>
      <c r="M305" s="378"/>
      <c r="N305" s="378"/>
      <c r="O305" s="378"/>
      <c r="P305" s="378"/>
      <c r="Q305" s="378"/>
      <c r="R305" s="378"/>
      <c r="S305" s="378"/>
      <c r="T305" s="378"/>
      <c r="U305" s="378"/>
      <c r="V305" s="378"/>
      <c r="W305" s="378"/>
      <c r="X305" s="378"/>
      <c r="Y305" s="378"/>
      <c r="Z305" s="378"/>
    </row>
    <row r="306" ht="16.5" customHeight="1">
      <c r="A306" s="378" t="s">
        <v>184</v>
      </c>
      <c r="B306" s="378" t="s">
        <v>776</v>
      </c>
      <c r="C306" s="378" t="s">
        <v>2190</v>
      </c>
      <c r="D306" s="378" t="s">
        <v>1650</v>
      </c>
      <c r="E306" s="378" t="s">
        <v>2192</v>
      </c>
      <c r="F306" s="378" t="s">
        <v>777</v>
      </c>
      <c r="G306" s="378"/>
      <c r="H306" s="378"/>
      <c r="I306" s="378"/>
      <c r="J306" s="378"/>
      <c r="K306" s="378"/>
      <c r="L306" s="378"/>
      <c r="M306" s="378"/>
      <c r="N306" s="378"/>
      <c r="O306" s="378"/>
      <c r="P306" s="378"/>
      <c r="Q306" s="378"/>
      <c r="R306" s="378"/>
      <c r="S306" s="378"/>
      <c r="T306" s="378"/>
      <c r="U306" s="378"/>
      <c r="V306" s="378"/>
      <c r="W306" s="378"/>
      <c r="X306" s="378"/>
      <c r="Y306" s="378"/>
      <c r="Z306" s="378"/>
    </row>
    <row r="307" ht="16.5" customHeight="1">
      <c r="A307" s="378" t="s">
        <v>184</v>
      </c>
      <c r="B307" s="378" t="s">
        <v>778</v>
      </c>
      <c r="C307" s="378" t="s">
        <v>2190</v>
      </c>
      <c r="D307" s="378" t="s">
        <v>1651</v>
      </c>
      <c r="E307" s="378" t="s">
        <v>2193</v>
      </c>
      <c r="F307" s="378" t="s">
        <v>779</v>
      </c>
      <c r="G307" s="378"/>
      <c r="H307" s="378"/>
      <c r="I307" s="378"/>
      <c r="J307" s="378"/>
      <c r="K307" s="378"/>
      <c r="L307" s="378"/>
      <c r="M307" s="378"/>
      <c r="N307" s="378"/>
      <c r="O307" s="378"/>
      <c r="P307" s="378"/>
      <c r="Q307" s="378"/>
      <c r="R307" s="378"/>
      <c r="S307" s="378"/>
      <c r="T307" s="378"/>
      <c r="U307" s="378"/>
      <c r="V307" s="378"/>
      <c r="W307" s="378"/>
      <c r="X307" s="378"/>
      <c r="Y307" s="378"/>
      <c r="Z307" s="378"/>
    </row>
    <row r="308" ht="16.5" customHeight="1">
      <c r="A308" s="378" t="s">
        <v>184</v>
      </c>
      <c r="B308" s="378" t="s">
        <v>780</v>
      </c>
      <c r="C308" s="378" t="s">
        <v>2190</v>
      </c>
      <c r="D308" s="378" t="s">
        <v>1652</v>
      </c>
      <c r="E308" s="378" t="s">
        <v>2194</v>
      </c>
      <c r="F308" s="378" t="s">
        <v>781</v>
      </c>
      <c r="G308" s="378"/>
      <c r="H308" s="378"/>
      <c r="I308" s="378"/>
      <c r="J308" s="378"/>
      <c r="K308" s="378"/>
      <c r="L308" s="378"/>
      <c r="M308" s="378"/>
      <c r="N308" s="378"/>
      <c r="O308" s="378"/>
      <c r="P308" s="378"/>
      <c r="Q308" s="378"/>
      <c r="R308" s="378"/>
      <c r="S308" s="378"/>
      <c r="T308" s="378"/>
      <c r="U308" s="378"/>
      <c r="V308" s="378"/>
      <c r="W308" s="378"/>
      <c r="X308" s="378"/>
      <c r="Y308" s="378"/>
      <c r="Z308" s="378"/>
    </row>
    <row r="309" ht="16.5" customHeight="1">
      <c r="A309" s="378" t="s">
        <v>184</v>
      </c>
      <c r="B309" s="378" t="s">
        <v>782</v>
      </c>
      <c r="C309" s="378" t="s">
        <v>2190</v>
      </c>
      <c r="D309" s="378" t="s">
        <v>1653</v>
      </c>
      <c r="E309" s="378" t="s">
        <v>2195</v>
      </c>
      <c r="F309" s="378" t="s">
        <v>783</v>
      </c>
      <c r="G309" s="378"/>
      <c r="H309" s="378"/>
      <c r="I309" s="378"/>
      <c r="J309" s="378"/>
      <c r="K309" s="378"/>
      <c r="L309" s="378"/>
      <c r="M309" s="378"/>
      <c r="N309" s="378"/>
      <c r="O309" s="378"/>
      <c r="P309" s="378"/>
      <c r="Q309" s="378"/>
      <c r="R309" s="378"/>
      <c r="S309" s="378"/>
      <c r="T309" s="378"/>
      <c r="U309" s="378"/>
      <c r="V309" s="378"/>
      <c r="W309" s="378"/>
      <c r="X309" s="378"/>
      <c r="Y309" s="378"/>
      <c r="Z309" s="378"/>
    </row>
    <row r="310" ht="16.5" customHeight="1">
      <c r="A310" s="378" t="s">
        <v>184</v>
      </c>
      <c r="B310" s="378" t="s">
        <v>784</v>
      </c>
      <c r="C310" s="378" t="s">
        <v>2190</v>
      </c>
      <c r="D310" s="378" t="s">
        <v>1654</v>
      </c>
      <c r="E310" s="378" t="s">
        <v>2196</v>
      </c>
      <c r="F310" s="378" t="s">
        <v>785</v>
      </c>
      <c r="G310" s="378"/>
      <c r="H310" s="378"/>
      <c r="I310" s="378"/>
      <c r="J310" s="378"/>
      <c r="K310" s="378"/>
      <c r="L310" s="378"/>
      <c r="M310" s="378"/>
      <c r="N310" s="378"/>
      <c r="O310" s="378"/>
      <c r="P310" s="378"/>
      <c r="Q310" s="378"/>
      <c r="R310" s="378"/>
      <c r="S310" s="378"/>
      <c r="T310" s="378"/>
      <c r="U310" s="378"/>
      <c r="V310" s="378"/>
      <c r="W310" s="378"/>
      <c r="X310" s="378"/>
      <c r="Y310" s="378"/>
      <c r="Z310" s="378"/>
    </row>
    <row r="311" ht="16.5" customHeight="1">
      <c r="A311" s="378" t="s">
        <v>184</v>
      </c>
      <c r="B311" s="378" t="s">
        <v>786</v>
      </c>
      <c r="C311" s="378" t="s">
        <v>2190</v>
      </c>
      <c r="D311" s="378" t="s">
        <v>1655</v>
      </c>
      <c r="E311" s="378" t="s">
        <v>2197</v>
      </c>
      <c r="F311" s="378" t="s">
        <v>787</v>
      </c>
      <c r="G311" s="378"/>
      <c r="H311" s="378"/>
      <c r="I311" s="378"/>
      <c r="J311" s="378"/>
      <c r="K311" s="378"/>
      <c r="L311" s="378"/>
      <c r="M311" s="378"/>
      <c r="N311" s="378"/>
      <c r="O311" s="378"/>
      <c r="P311" s="378"/>
      <c r="Q311" s="378"/>
      <c r="R311" s="378"/>
      <c r="S311" s="378"/>
      <c r="T311" s="378"/>
      <c r="U311" s="378"/>
      <c r="V311" s="378"/>
      <c r="W311" s="378"/>
      <c r="X311" s="378"/>
      <c r="Y311" s="378"/>
      <c r="Z311" s="378"/>
    </row>
    <row r="312" ht="16.5" customHeight="1">
      <c r="A312" s="378" t="s">
        <v>184</v>
      </c>
      <c r="B312" s="378" t="s">
        <v>788</v>
      </c>
      <c r="C312" s="378" t="s">
        <v>2190</v>
      </c>
      <c r="D312" s="378" t="s">
        <v>1656</v>
      </c>
      <c r="E312" s="378" t="s">
        <v>2198</v>
      </c>
      <c r="F312" s="378" t="s">
        <v>789</v>
      </c>
      <c r="G312" s="378"/>
      <c r="H312" s="378"/>
      <c r="I312" s="378"/>
      <c r="J312" s="378"/>
      <c r="K312" s="378"/>
      <c r="L312" s="378"/>
      <c r="M312" s="378"/>
      <c r="N312" s="378"/>
      <c r="O312" s="378"/>
      <c r="P312" s="378"/>
      <c r="Q312" s="378"/>
      <c r="R312" s="378"/>
      <c r="S312" s="378"/>
      <c r="T312" s="378"/>
      <c r="U312" s="378"/>
      <c r="V312" s="378"/>
      <c r="W312" s="378"/>
      <c r="X312" s="378"/>
      <c r="Y312" s="378"/>
      <c r="Z312" s="378"/>
    </row>
    <row r="313" ht="16.5" customHeight="1">
      <c r="A313" s="378" t="s">
        <v>184</v>
      </c>
      <c r="B313" s="378" t="s">
        <v>790</v>
      </c>
      <c r="C313" s="378" t="s">
        <v>2190</v>
      </c>
      <c r="D313" s="378" t="s">
        <v>1657</v>
      </c>
      <c r="E313" s="378" t="s">
        <v>2199</v>
      </c>
      <c r="F313" s="378" t="s">
        <v>791</v>
      </c>
      <c r="G313" s="378"/>
      <c r="H313" s="378"/>
      <c r="I313" s="378"/>
      <c r="J313" s="378"/>
      <c r="K313" s="378"/>
      <c r="L313" s="378"/>
      <c r="M313" s="378"/>
      <c r="N313" s="378"/>
      <c r="O313" s="378"/>
      <c r="P313" s="378"/>
      <c r="Q313" s="378"/>
      <c r="R313" s="378"/>
      <c r="S313" s="378"/>
      <c r="T313" s="378"/>
      <c r="U313" s="378"/>
      <c r="V313" s="378"/>
      <c r="W313" s="378"/>
      <c r="X313" s="378"/>
      <c r="Y313" s="378"/>
      <c r="Z313" s="378"/>
    </row>
    <row r="314" ht="16.5" customHeight="1">
      <c r="A314" s="378" t="s">
        <v>184</v>
      </c>
      <c r="B314" s="378" t="s">
        <v>792</v>
      </c>
      <c r="C314" s="378" t="s">
        <v>2190</v>
      </c>
      <c r="D314" s="378" t="s">
        <v>1658</v>
      </c>
      <c r="E314" s="378" t="s">
        <v>2200</v>
      </c>
      <c r="F314" s="378" t="s">
        <v>793</v>
      </c>
      <c r="G314" s="378"/>
      <c r="H314" s="378"/>
      <c r="I314" s="378"/>
      <c r="J314" s="378"/>
      <c r="K314" s="378"/>
      <c r="L314" s="378"/>
      <c r="M314" s="378"/>
      <c r="N314" s="378"/>
      <c r="O314" s="378"/>
      <c r="P314" s="378"/>
      <c r="Q314" s="378"/>
      <c r="R314" s="378"/>
      <c r="S314" s="378"/>
      <c r="T314" s="378"/>
      <c r="U314" s="378"/>
      <c r="V314" s="378"/>
      <c r="W314" s="378"/>
      <c r="X314" s="378"/>
      <c r="Y314" s="378"/>
      <c r="Z314" s="378"/>
    </row>
    <row r="315" ht="16.5" customHeight="1">
      <c r="A315" s="378" t="s">
        <v>184</v>
      </c>
      <c r="B315" s="378" t="s">
        <v>794</v>
      </c>
      <c r="C315" s="378" t="s">
        <v>2190</v>
      </c>
      <c r="D315" s="378" t="s">
        <v>1659</v>
      </c>
      <c r="E315" s="378" t="s">
        <v>2201</v>
      </c>
      <c r="F315" s="378" t="s">
        <v>795</v>
      </c>
      <c r="G315" s="378"/>
      <c r="H315" s="378"/>
      <c r="I315" s="378"/>
      <c r="J315" s="378"/>
      <c r="K315" s="378"/>
      <c r="L315" s="378"/>
      <c r="M315" s="378"/>
      <c r="N315" s="378"/>
      <c r="O315" s="378"/>
      <c r="P315" s="378"/>
      <c r="Q315" s="378"/>
      <c r="R315" s="378"/>
      <c r="S315" s="378"/>
      <c r="T315" s="378"/>
      <c r="U315" s="378"/>
      <c r="V315" s="378"/>
      <c r="W315" s="378"/>
      <c r="X315" s="378"/>
      <c r="Y315" s="378"/>
      <c r="Z315" s="378"/>
    </row>
    <row r="316" ht="16.5" customHeight="1">
      <c r="A316" s="378" t="s">
        <v>184</v>
      </c>
      <c r="B316" s="378" t="s">
        <v>796</v>
      </c>
      <c r="C316" s="378" t="s">
        <v>2190</v>
      </c>
      <c r="D316" s="378" t="s">
        <v>1661</v>
      </c>
      <c r="E316" s="378" t="s">
        <v>2202</v>
      </c>
      <c r="F316" s="378" t="s">
        <v>797</v>
      </c>
      <c r="G316" s="378"/>
      <c r="H316" s="378"/>
      <c r="I316" s="378"/>
      <c r="J316" s="378"/>
      <c r="K316" s="378"/>
      <c r="L316" s="378"/>
      <c r="M316" s="378"/>
      <c r="N316" s="378"/>
      <c r="O316" s="378"/>
      <c r="P316" s="378"/>
      <c r="Q316" s="378"/>
      <c r="R316" s="378"/>
      <c r="S316" s="378"/>
      <c r="T316" s="378"/>
      <c r="U316" s="378"/>
      <c r="V316" s="378"/>
      <c r="W316" s="378"/>
      <c r="X316" s="378"/>
      <c r="Y316" s="378"/>
      <c r="Z316" s="378"/>
    </row>
    <row r="317" ht="16.5" customHeight="1">
      <c r="A317" s="378" t="s">
        <v>184</v>
      </c>
      <c r="B317" s="378" t="s">
        <v>798</v>
      </c>
      <c r="C317" s="378" t="s">
        <v>2190</v>
      </c>
      <c r="D317" s="378" t="s">
        <v>1662</v>
      </c>
      <c r="E317" s="378" t="s">
        <v>2203</v>
      </c>
      <c r="F317" s="378" t="s">
        <v>799</v>
      </c>
      <c r="G317" s="378"/>
      <c r="H317" s="378"/>
      <c r="I317" s="378"/>
      <c r="J317" s="378"/>
      <c r="K317" s="378"/>
      <c r="L317" s="378"/>
      <c r="M317" s="378"/>
      <c r="N317" s="378"/>
      <c r="O317" s="378"/>
      <c r="P317" s="378"/>
      <c r="Q317" s="378"/>
      <c r="R317" s="378"/>
      <c r="S317" s="378"/>
      <c r="T317" s="378"/>
      <c r="U317" s="378"/>
      <c r="V317" s="378"/>
      <c r="W317" s="378"/>
      <c r="X317" s="378"/>
      <c r="Y317" s="378"/>
      <c r="Z317" s="378"/>
    </row>
    <row r="318" ht="16.5" customHeight="1">
      <c r="A318" s="378" t="s">
        <v>184</v>
      </c>
      <c r="B318" s="378" t="s">
        <v>800</v>
      </c>
      <c r="C318" s="378" t="s">
        <v>2190</v>
      </c>
      <c r="D318" s="378" t="s">
        <v>1663</v>
      </c>
      <c r="E318" s="378" t="s">
        <v>2204</v>
      </c>
      <c r="F318" s="378" t="s">
        <v>801</v>
      </c>
      <c r="G318" s="378"/>
      <c r="H318" s="378"/>
      <c r="I318" s="378"/>
      <c r="J318" s="378"/>
      <c r="K318" s="378"/>
      <c r="L318" s="378"/>
      <c r="M318" s="378"/>
      <c r="N318" s="378"/>
      <c r="O318" s="378"/>
      <c r="P318" s="378"/>
      <c r="Q318" s="378"/>
      <c r="R318" s="378"/>
      <c r="S318" s="378"/>
      <c r="T318" s="378"/>
      <c r="U318" s="378"/>
      <c r="V318" s="378"/>
      <c r="W318" s="378"/>
      <c r="X318" s="378"/>
      <c r="Y318" s="378"/>
      <c r="Z318" s="378"/>
    </row>
    <row r="319" ht="16.5" customHeight="1">
      <c r="A319" s="378" t="s">
        <v>184</v>
      </c>
      <c r="B319" s="378" t="s">
        <v>802</v>
      </c>
      <c r="C319" s="378" t="s">
        <v>2190</v>
      </c>
      <c r="D319" s="378" t="s">
        <v>1664</v>
      </c>
      <c r="E319" s="378" t="s">
        <v>2205</v>
      </c>
      <c r="F319" s="378" t="s">
        <v>803</v>
      </c>
      <c r="G319" s="378"/>
      <c r="H319" s="378"/>
      <c r="I319" s="378"/>
      <c r="J319" s="378"/>
      <c r="K319" s="378"/>
      <c r="L319" s="378"/>
      <c r="M319" s="378"/>
      <c r="N319" s="378"/>
      <c r="O319" s="378"/>
      <c r="P319" s="378"/>
      <c r="Q319" s="378"/>
      <c r="R319" s="378"/>
      <c r="S319" s="378"/>
      <c r="T319" s="378"/>
      <c r="U319" s="378"/>
      <c r="V319" s="378"/>
      <c r="W319" s="378"/>
      <c r="X319" s="378"/>
      <c r="Y319" s="378"/>
      <c r="Z319" s="378"/>
    </row>
    <row r="320" ht="16.5" customHeight="1">
      <c r="A320" s="378" t="s">
        <v>184</v>
      </c>
      <c r="B320" s="378" t="s">
        <v>804</v>
      </c>
      <c r="C320" s="378" t="s">
        <v>2190</v>
      </c>
      <c r="D320" s="378" t="s">
        <v>1665</v>
      </c>
      <c r="E320" s="378" t="s">
        <v>2206</v>
      </c>
      <c r="F320" s="378" t="s">
        <v>805</v>
      </c>
      <c r="G320" s="378"/>
      <c r="H320" s="378"/>
      <c r="I320" s="378"/>
      <c r="J320" s="378"/>
      <c r="K320" s="378"/>
      <c r="L320" s="378"/>
      <c r="M320" s="378"/>
      <c r="N320" s="378"/>
      <c r="O320" s="378"/>
      <c r="P320" s="378"/>
      <c r="Q320" s="378"/>
      <c r="R320" s="378"/>
      <c r="S320" s="378"/>
      <c r="T320" s="378"/>
      <c r="U320" s="378"/>
      <c r="V320" s="378"/>
      <c r="W320" s="378"/>
      <c r="X320" s="378"/>
      <c r="Y320" s="378"/>
      <c r="Z320" s="378"/>
    </row>
    <row r="321" ht="16.5" customHeight="1">
      <c r="A321" s="378" t="s">
        <v>184</v>
      </c>
      <c r="B321" s="378" t="s">
        <v>806</v>
      </c>
      <c r="C321" s="378" t="s">
        <v>2190</v>
      </c>
      <c r="D321" s="378" t="s">
        <v>1666</v>
      </c>
      <c r="E321" s="378" t="s">
        <v>2207</v>
      </c>
      <c r="F321" s="378" t="s">
        <v>807</v>
      </c>
      <c r="G321" s="378"/>
      <c r="H321" s="378"/>
      <c r="I321" s="378"/>
      <c r="J321" s="378"/>
      <c r="K321" s="378"/>
      <c r="L321" s="378"/>
      <c r="M321" s="378"/>
      <c r="N321" s="378"/>
      <c r="O321" s="378"/>
      <c r="P321" s="378"/>
      <c r="Q321" s="378"/>
      <c r="R321" s="378"/>
      <c r="S321" s="378"/>
      <c r="T321" s="378"/>
      <c r="U321" s="378"/>
      <c r="V321" s="378"/>
      <c r="W321" s="378"/>
      <c r="X321" s="378"/>
      <c r="Y321" s="378"/>
      <c r="Z321" s="378"/>
    </row>
    <row r="322" ht="16.5" customHeight="1">
      <c r="A322" s="378" t="s">
        <v>184</v>
      </c>
      <c r="B322" s="378" t="s">
        <v>808</v>
      </c>
      <c r="C322" s="378" t="s">
        <v>2190</v>
      </c>
      <c r="D322" s="378" t="s">
        <v>1667</v>
      </c>
      <c r="E322" s="378" t="s">
        <v>2208</v>
      </c>
      <c r="F322" s="378" t="s">
        <v>809</v>
      </c>
      <c r="G322" s="378"/>
      <c r="H322" s="378"/>
      <c r="I322" s="378"/>
      <c r="J322" s="378"/>
      <c r="K322" s="378"/>
      <c r="L322" s="378"/>
      <c r="M322" s="378"/>
      <c r="N322" s="378"/>
      <c r="O322" s="378"/>
      <c r="P322" s="378"/>
      <c r="Q322" s="378"/>
      <c r="R322" s="378"/>
      <c r="S322" s="378"/>
      <c r="T322" s="378"/>
      <c r="U322" s="378"/>
      <c r="V322" s="378"/>
      <c r="W322" s="378"/>
      <c r="X322" s="378"/>
      <c r="Y322" s="378"/>
      <c r="Z322" s="378"/>
    </row>
    <row r="323" ht="16.5" customHeight="1">
      <c r="A323" s="378" t="s">
        <v>184</v>
      </c>
      <c r="B323" s="378" t="s">
        <v>810</v>
      </c>
      <c r="C323" s="378" t="s">
        <v>2190</v>
      </c>
      <c r="D323" s="378" t="s">
        <v>1668</v>
      </c>
      <c r="E323" s="378" t="s">
        <v>2209</v>
      </c>
      <c r="F323" s="378" t="s">
        <v>811</v>
      </c>
      <c r="G323" s="378"/>
      <c r="H323" s="378"/>
      <c r="I323" s="378"/>
      <c r="J323" s="378"/>
      <c r="K323" s="378"/>
      <c r="L323" s="378"/>
      <c r="M323" s="378"/>
      <c r="N323" s="378"/>
      <c r="O323" s="378"/>
      <c r="P323" s="378"/>
      <c r="Q323" s="378"/>
      <c r="R323" s="378"/>
      <c r="S323" s="378"/>
      <c r="T323" s="378"/>
      <c r="U323" s="378"/>
      <c r="V323" s="378"/>
      <c r="W323" s="378"/>
      <c r="X323" s="378"/>
      <c r="Y323" s="378"/>
      <c r="Z323" s="378"/>
    </row>
    <row r="324" ht="16.5" customHeight="1">
      <c r="A324" s="378" t="s">
        <v>184</v>
      </c>
      <c r="B324" s="378" t="s">
        <v>812</v>
      </c>
      <c r="C324" s="378" t="s">
        <v>2190</v>
      </c>
      <c r="D324" s="378" t="s">
        <v>1669</v>
      </c>
      <c r="E324" s="378" t="s">
        <v>2210</v>
      </c>
      <c r="F324" s="378" t="s">
        <v>813</v>
      </c>
      <c r="G324" s="378"/>
      <c r="H324" s="378"/>
      <c r="I324" s="378"/>
      <c r="J324" s="378"/>
      <c r="K324" s="378"/>
      <c r="L324" s="378"/>
      <c r="M324" s="378"/>
      <c r="N324" s="378"/>
      <c r="O324" s="378"/>
      <c r="P324" s="378"/>
      <c r="Q324" s="378"/>
      <c r="R324" s="378"/>
      <c r="S324" s="378"/>
      <c r="T324" s="378"/>
      <c r="U324" s="378"/>
      <c r="V324" s="378"/>
      <c r="W324" s="378"/>
      <c r="X324" s="378"/>
      <c r="Y324" s="378"/>
      <c r="Z324" s="378"/>
    </row>
    <row r="325" ht="16.5" customHeight="1">
      <c r="A325" s="378" t="s">
        <v>184</v>
      </c>
      <c r="B325" s="378" t="s">
        <v>814</v>
      </c>
      <c r="C325" s="378" t="s">
        <v>2190</v>
      </c>
      <c r="D325" s="378" t="s">
        <v>1670</v>
      </c>
      <c r="E325" s="378" t="s">
        <v>2211</v>
      </c>
      <c r="F325" s="378" t="s">
        <v>815</v>
      </c>
      <c r="G325" s="378"/>
      <c r="H325" s="378"/>
      <c r="I325" s="378"/>
      <c r="J325" s="378"/>
      <c r="K325" s="378"/>
      <c r="L325" s="378"/>
      <c r="M325" s="378"/>
      <c r="N325" s="378"/>
      <c r="O325" s="378"/>
      <c r="P325" s="378"/>
      <c r="Q325" s="378"/>
      <c r="R325" s="378"/>
      <c r="S325" s="378"/>
      <c r="T325" s="378"/>
      <c r="U325" s="378"/>
      <c r="V325" s="378"/>
      <c r="W325" s="378"/>
      <c r="X325" s="378"/>
      <c r="Y325" s="378"/>
      <c r="Z325" s="378"/>
    </row>
    <row r="326" ht="16.5" customHeight="1">
      <c r="A326" s="378" t="s">
        <v>184</v>
      </c>
      <c r="B326" s="378" t="s">
        <v>816</v>
      </c>
      <c r="C326" s="378" t="s">
        <v>2190</v>
      </c>
      <c r="D326" s="378" t="s">
        <v>1671</v>
      </c>
      <c r="E326" s="378" t="s">
        <v>2212</v>
      </c>
      <c r="F326" s="378" t="s">
        <v>817</v>
      </c>
      <c r="G326" s="378"/>
      <c r="H326" s="378"/>
      <c r="I326" s="378"/>
      <c r="J326" s="378"/>
      <c r="K326" s="378"/>
      <c r="L326" s="378"/>
      <c r="M326" s="378"/>
      <c r="N326" s="378"/>
      <c r="O326" s="378"/>
      <c r="P326" s="378"/>
      <c r="Q326" s="378"/>
      <c r="R326" s="378"/>
      <c r="S326" s="378"/>
      <c r="T326" s="378"/>
      <c r="U326" s="378"/>
      <c r="V326" s="378"/>
      <c r="W326" s="378"/>
      <c r="X326" s="378"/>
      <c r="Y326" s="378"/>
      <c r="Z326" s="378"/>
    </row>
    <row r="327" ht="16.5" customHeight="1">
      <c r="A327" s="378" t="s">
        <v>184</v>
      </c>
      <c r="B327" s="378" t="s">
        <v>818</v>
      </c>
      <c r="C327" s="378" t="s">
        <v>2190</v>
      </c>
      <c r="D327" s="378" t="s">
        <v>1673</v>
      </c>
      <c r="E327" s="378" t="s">
        <v>2213</v>
      </c>
      <c r="F327" s="378" t="s">
        <v>819</v>
      </c>
      <c r="G327" s="378"/>
      <c r="H327" s="378"/>
      <c r="I327" s="378"/>
      <c r="J327" s="378"/>
      <c r="K327" s="378"/>
      <c r="L327" s="378"/>
      <c r="M327" s="378"/>
      <c r="N327" s="378"/>
      <c r="O327" s="378"/>
      <c r="P327" s="378"/>
      <c r="Q327" s="378"/>
      <c r="R327" s="378"/>
      <c r="S327" s="378"/>
      <c r="T327" s="378"/>
      <c r="U327" s="378"/>
      <c r="V327" s="378"/>
      <c r="W327" s="378"/>
      <c r="X327" s="378"/>
      <c r="Y327" s="378"/>
      <c r="Z327" s="378"/>
    </row>
    <row r="328" ht="16.5" customHeight="1">
      <c r="A328" s="378" t="s">
        <v>184</v>
      </c>
      <c r="B328" s="378" t="s">
        <v>820</v>
      </c>
      <c r="C328" s="378" t="s">
        <v>2190</v>
      </c>
      <c r="D328" s="378" t="s">
        <v>1674</v>
      </c>
      <c r="E328" s="378" t="s">
        <v>2214</v>
      </c>
      <c r="F328" s="378" t="s">
        <v>821</v>
      </c>
      <c r="G328" s="378"/>
      <c r="H328" s="378"/>
      <c r="I328" s="378"/>
      <c r="J328" s="378"/>
      <c r="K328" s="378"/>
      <c r="L328" s="378"/>
      <c r="M328" s="378"/>
      <c r="N328" s="378"/>
      <c r="O328" s="378"/>
      <c r="P328" s="378"/>
      <c r="Q328" s="378"/>
      <c r="R328" s="378"/>
      <c r="S328" s="378"/>
      <c r="T328" s="378"/>
      <c r="U328" s="378"/>
      <c r="V328" s="378"/>
      <c r="W328" s="378"/>
      <c r="X328" s="378"/>
      <c r="Y328" s="378"/>
      <c r="Z328" s="378"/>
    </row>
    <row r="329" ht="16.5" customHeight="1">
      <c r="A329" s="378" t="s">
        <v>184</v>
      </c>
      <c r="B329" s="378" t="s">
        <v>822</v>
      </c>
      <c r="C329" s="378" t="s">
        <v>2190</v>
      </c>
      <c r="D329" s="378" t="s">
        <v>1675</v>
      </c>
      <c r="E329" s="378" t="s">
        <v>2215</v>
      </c>
      <c r="F329" s="378" t="s">
        <v>2216</v>
      </c>
      <c r="G329" s="378"/>
      <c r="H329" s="378"/>
      <c r="I329" s="378"/>
      <c r="J329" s="378"/>
      <c r="K329" s="378"/>
      <c r="L329" s="378"/>
      <c r="M329" s="378"/>
      <c r="N329" s="378"/>
      <c r="O329" s="378"/>
      <c r="P329" s="378"/>
      <c r="Q329" s="378"/>
      <c r="R329" s="378"/>
      <c r="S329" s="378"/>
      <c r="T329" s="378"/>
      <c r="U329" s="378"/>
      <c r="V329" s="378"/>
      <c r="W329" s="378"/>
      <c r="X329" s="378"/>
      <c r="Y329" s="378"/>
      <c r="Z329" s="378"/>
    </row>
    <row r="330" ht="16.5" customHeight="1">
      <c r="A330" s="378" t="s">
        <v>184</v>
      </c>
      <c r="B330" s="378" t="s">
        <v>824</v>
      </c>
      <c r="C330" s="378" t="s">
        <v>2190</v>
      </c>
      <c r="D330" s="378" t="s">
        <v>1676</v>
      </c>
      <c r="E330" s="378" t="s">
        <v>2217</v>
      </c>
      <c r="F330" s="378" t="s">
        <v>825</v>
      </c>
      <c r="G330" s="378"/>
      <c r="H330" s="378"/>
      <c r="I330" s="378"/>
      <c r="J330" s="378"/>
      <c r="K330" s="378"/>
      <c r="L330" s="378"/>
      <c r="M330" s="378"/>
      <c r="N330" s="378"/>
      <c r="O330" s="378"/>
      <c r="P330" s="378"/>
      <c r="Q330" s="378"/>
      <c r="R330" s="378"/>
      <c r="S330" s="378"/>
      <c r="T330" s="378"/>
      <c r="U330" s="378"/>
      <c r="V330" s="378"/>
      <c r="W330" s="378"/>
      <c r="X330" s="378"/>
      <c r="Y330" s="378"/>
      <c r="Z330" s="378"/>
    </row>
    <row r="331" ht="16.5" customHeight="1">
      <c r="A331" s="378" t="s">
        <v>184</v>
      </c>
      <c r="B331" s="378" t="s">
        <v>826</v>
      </c>
      <c r="C331" s="378" t="s">
        <v>2190</v>
      </c>
      <c r="D331" s="378" t="s">
        <v>1678</v>
      </c>
      <c r="E331" s="378" t="s">
        <v>2218</v>
      </c>
      <c r="F331" s="378" t="s">
        <v>2219</v>
      </c>
      <c r="G331" s="378"/>
      <c r="H331" s="378"/>
      <c r="I331" s="378"/>
      <c r="J331" s="378"/>
      <c r="K331" s="378"/>
      <c r="L331" s="378"/>
      <c r="M331" s="378"/>
      <c r="N331" s="378"/>
      <c r="O331" s="378"/>
      <c r="P331" s="378"/>
      <c r="Q331" s="378"/>
      <c r="R331" s="378"/>
      <c r="S331" s="378"/>
      <c r="T331" s="378"/>
      <c r="U331" s="378"/>
      <c r="V331" s="378"/>
      <c r="W331" s="378"/>
      <c r="X331" s="378"/>
      <c r="Y331" s="378"/>
      <c r="Z331" s="378"/>
    </row>
    <row r="332" ht="16.5" customHeight="1">
      <c r="A332" s="378" t="s">
        <v>184</v>
      </c>
      <c r="B332" s="378" t="s">
        <v>828</v>
      </c>
      <c r="C332" s="378" t="s">
        <v>2190</v>
      </c>
      <c r="D332" s="378" t="s">
        <v>1679</v>
      </c>
      <c r="E332" s="378" t="s">
        <v>2220</v>
      </c>
      <c r="F332" s="378" t="s">
        <v>2221</v>
      </c>
      <c r="G332" s="378"/>
      <c r="H332" s="378"/>
      <c r="I332" s="378"/>
      <c r="J332" s="378"/>
      <c r="K332" s="378"/>
      <c r="L332" s="378"/>
      <c r="M332" s="378"/>
      <c r="N332" s="378"/>
      <c r="O332" s="378"/>
      <c r="P332" s="378"/>
      <c r="Q332" s="378"/>
      <c r="R332" s="378"/>
      <c r="S332" s="378"/>
      <c r="T332" s="378"/>
      <c r="U332" s="378"/>
      <c r="V332" s="378"/>
      <c r="W332" s="378"/>
      <c r="X332" s="378"/>
      <c r="Y332" s="378"/>
      <c r="Z332" s="378"/>
    </row>
    <row r="333" ht="16.5" customHeight="1">
      <c r="A333" s="378" t="s">
        <v>184</v>
      </c>
      <c r="B333" s="378" t="s">
        <v>830</v>
      </c>
      <c r="C333" s="378" t="s">
        <v>2190</v>
      </c>
      <c r="D333" s="378" t="s">
        <v>1681</v>
      </c>
      <c r="E333" s="378" t="s">
        <v>2222</v>
      </c>
      <c r="F333" s="378" t="s">
        <v>831</v>
      </c>
      <c r="G333" s="378"/>
      <c r="H333" s="378"/>
      <c r="I333" s="378"/>
      <c r="J333" s="378"/>
      <c r="K333" s="378"/>
      <c r="L333" s="378"/>
      <c r="M333" s="378"/>
      <c r="N333" s="378"/>
      <c r="O333" s="378"/>
      <c r="P333" s="378"/>
      <c r="Q333" s="378"/>
      <c r="R333" s="378"/>
      <c r="S333" s="378"/>
      <c r="T333" s="378"/>
      <c r="U333" s="378"/>
      <c r="V333" s="378"/>
      <c r="W333" s="378"/>
      <c r="X333" s="378"/>
      <c r="Y333" s="378"/>
      <c r="Z333" s="378"/>
    </row>
    <row r="334" ht="16.5" customHeight="1">
      <c r="A334" s="378" t="s">
        <v>184</v>
      </c>
      <c r="B334" s="378" t="s">
        <v>832</v>
      </c>
      <c r="C334" s="378" t="s">
        <v>2190</v>
      </c>
      <c r="D334" s="378" t="s">
        <v>1682</v>
      </c>
      <c r="E334" s="378" t="s">
        <v>2223</v>
      </c>
      <c r="F334" s="378" t="s">
        <v>833</v>
      </c>
      <c r="G334" s="378"/>
      <c r="H334" s="378"/>
      <c r="I334" s="378"/>
      <c r="J334" s="378"/>
      <c r="K334" s="378"/>
      <c r="L334" s="378"/>
      <c r="M334" s="378"/>
      <c r="N334" s="378"/>
      <c r="O334" s="378"/>
      <c r="P334" s="378"/>
      <c r="Q334" s="378"/>
      <c r="R334" s="378"/>
      <c r="S334" s="378"/>
      <c r="T334" s="378"/>
      <c r="U334" s="378"/>
      <c r="V334" s="378"/>
      <c r="W334" s="378"/>
      <c r="X334" s="378"/>
      <c r="Y334" s="378"/>
      <c r="Z334" s="378"/>
    </row>
    <row r="335" ht="16.5" customHeight="1">
      <c r="A335" s="378" t="s">
        <v>184</v>
      </c>
      <c r="B335" s="378" t="s">
        <v>834</v>
      </c>
      <c r="C335" s="378" t="s">
        <v>2190</v>
      </c>
      <c r="D335" s="378" t="s">
        <v>1683</v>
      </c>
      <c r="E335" s="378" t="s">
        <v>2224</v>
      </c>
      <c r="F335" s="378" t="s">
        <v>835</v>
      </c>
      <c r="G335" s="378"/>
      <c r="H335" s="378"/>
      <c r="I335" s="378"/>
      <c r="J335" s="378"/>
      <c r="K335" s="378"/>
      <c r="L335" s="378"/>
      <c r="M335" s="378"/>
      <c r="N335" s="378"/>
      <c r="O335" s="378"/>
      <c r="P335" s="378"/>
      <c r="Q335" s="378"/>
      <c r="R335" s="378"/>
      <c r="S335" s="378"/>
      <c r="T335" s="378"/>
      <c r="U335" s="378"/>
      <c r="V335" s="378"/>
      <c r="W335" s="378"/>
      <c r="X335" s="378"/>
      <c r="Y335" s="378"/>
      <c r="Z335" s="378"/>
    </row>
    <row r="336" ht="16.5" customHeight="1">
      <c r="A336" s="378" t="s">
        <v>184</v>
      </c>
      <c r="B336" s="378" t="s">
        <v>836</v>
      </c>
      <c r="C336" s="378" t="s">
        <v>2190</v>
      </c>
      <c r="D336" s="378" t="s">
        <v>1684</v>
      </c>
      <c r="E336" s="378" t="s">
        <v>2225</v>
      </c>
      <c r="F336" s="378" t="s">
        <v>837</v>
      </c>
      <c r="G336" s="378"/>
      <c r="H336" s="378"/>
      <c r="I336" s="378"/>
      <c r="J336" s="378"/>
      <c r="K336" s="378"/>
      <c r="L336" s="378"/>
      <c r="M336" s="378"/>
      <c r="N336" s="378"/>
      <c r="O336" s="378"/>
      <c r="P336" s="378"/>
      <c r="Q336" s="378"/>
      <c r="R336" s="378"/>
      <c r="S336" s="378"/>
      <c r="T336" s="378"/>
      <c r="U336" s="378"/>
      <c r="V336" s="378"/>
      <c r="W336" s="378"/>
      <c r="X336" s="378"/>
      <c r="Y336" s="378"/>
      <c r="Z336" s="378"/>
    </row>
    <row r="337" ht="16.5" customHeight="1">
      <c r="A337" s="378" t="s">
        <v>184</v>
      </c>
      <c r="B337" s="378" t="s">
        <v>839</v>
      </c>
      <c r="C337" s="378" t="s">
        <v>2190</v>
      </c>
      <c r="D337" s="378" t="s">
        <v>1685</v>
      </c>
      <c r="E337" s="378" t="s">
        <v>2226</v>
      </c>
      <c r="F337" s="378" t="s">
        <v>840</v>
      </c>
      <c r="G337" s="378"/>
      <c r="H337" s="378"/>
      <c r="I337" s="378"/>
      <c r="J337" s="378"/>
      <c r="K337" s="378"/>
      <c r="L337" s="378"/>
      <c r="M337" s="378"/>
      <c r="N337" s="378"/>
      <c r="O337" s="378"/>
      <c r="P337" s="378"/>
      <c r="Q337" s="378"/>
      <c r="R337" s="378"/>
      <c r="S337" s="378"/>
      <c r="T337" s="378"/>
      <c r="U337" s="378"/>
      <c r="V337" s="378"/>
      <c r="W337" s="378"/>
      <c r="X337" s="378"/>
      <c r="Y337" s="378"/>
      <c r="Z337" s="378"/>
    </row>
    <row r="338" ht="16.5" customHeight="1">
      <c r="A338" s="378" t="s">
        <v>184</v>
      </c>
      <c r="B338" s="378" t="s">
        <v>841</v>
      </c>
      <c r="C338" s="378" t="s">
        <v>2190</v>
      </c>
      <c r="D338" s="378" t="s">
        <v>1686</v>
      </c>
      <c r="E338" s="378" t="s">
        <v>2227</v>
      </c>
      <c r="F338" s="378" t="s">
        <v>842</v>
      </c>
      <c r="G338" s="378"/>
      <c r="H338" s="378"/>
      <c r="I338" s="378"/>
      <c r="J338" s="378"/>
      <c r="K338" s="378"/>
      <c r="L338" s="378"/>
      <c r="M338" s="378"/>
      <c r="N338" s="378"/>
      <c r="O338" s="378"/>
      <c r="P338" s="378"/>
      <c r="Q338" s="378"/>
      <c r="R338" s="378"/>
      <c r="S338" s="378"/>
      <c r="T338" s="378"/>
      <c r="U338" s="378"/>
      <c r="V338" s="378"/>
      <c r="W338" s="378"/>
      <c r="X338" s="378"/>
      <c r="Y338" s="378"/>
      <c r="Z338" s="378"/>
    </row>
    <row r="339" ht="16.5" customHeight="1">
      <c r="A339" s="378" t="s">
        <v>184</v>
      </c>
      <c r="B339" s="378" t="s">
        <v>843</v>
      </c>
      <c r="C339" s="378" t="s">
        <v>2190</v>
      </c>
      <c r="D339" s="378" t="s">
        <v>1687</v>
      </c>
      <c r="E339" s="378" t="s">
        <v>2228</v>
      </c>
      <c r="F339" s="378" t="s">
        <v>844</v>
      </c>
      <c r="G339" s="378"/>
      <c r="H339" s="378"/>
      <c r="I339" s="378"/>
      <c r="J339" s="378"/>
      <c r="K339" s="378"/>
      <c r="L339" s="378"/>
      <c r="M339" s="378"/>
      <c r="N339" s="378"/>
      <c r="O339" s="378"/>
      <c r="P339" s="378"/>
      <c r="Q339" s="378"/>
      <c r="R339" s="378"/>
      <c r="S339" s="378"/>
      <c r="T339" s="378"/>
      <c r="U339" s="378"/>
      <c r="V339" s="378"/>
      <c r="W339" s="378"/>
      <c r="X339" s="378"/>
      <c r="Y339" s="378"/>
      <c r="Z339" s="378"/>
    </row>
    <row r="340" ht="16.5" customHeight="1">
      <c r="A340" s="378"/>
      <c r="B340" s="378"/>
      <c r="C340" s="378"/>
      <c r="D340" s="378"/>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row>
    <row r="341" ht="16.5" customHeight="1">
      <c r="A341" s="378" t="s">
        <v>845</v>
      </c>
      <c r="B341" s="378" t="s">
        <v>846</v>
      </c>
      <c r="C341" s="378" t="s">
        <v>845</v>
      </c>
      <c r="D341" s="378" t="s">
        <v>1694</v>
      </c>
      <c r="E341" s="378" t="s">
        <v>2229</v>
      </c>
      <c r="F341" s="378" t="s">
        <v>2230</v>
      </c>
      <c r="G341" s="378"/>
      <c r="H341" s="378"/>
      <c r="I341" s="378"/>
      <c r="J341" s="378"/>
      <c r="K341" s="378"/>
      <c r="L341" s="378" t="s">
        <v>846</v>
      </c>
      <c r="M341" s="378"/>
      <c r="N341" s="378"/>
      <c r="O341" s="378"/>
      <c r="P341" s="378"/>
      <c r="Q341" s="378"/>
      <c r="R341" s="378"/>
      <c r="S341" s="378"/>
      <c r="T341" s="378"/>
      <c r="U341" s="378"/>
      <c r="V341" s="378"/>
      <c r="W341" s="378"/>
      <c r="X341" s="378"/>
      <c r="Y341" s="378"/>
      <c r="Z341" s="378"/>
    </row>
    <row r="342" ht="16.5" customHeight="1">
      <c r="A342" s="378" t="s">
        <v>845</v>
      </c>
      <c r="B342" s="378" t="s">
        <v>849</v>
      </c>
      <c r="C342" s="378" t="s">
        <v>845</v>
      </c>
      <c r="D342" s="378" t="s">
        <v>1696</v>
      </c>
      <c r="E342" s="378" t="s">
        <v>2231</v>
      </c>
      <c r="F342" s="378" t="s">
        <v>2232</v>
      </c>
      <c r="G342" s="378"/>
      <c r="H342" s="378"/>
      <c r="I342" s="378"/>
      <c r="J342" s="378"/>
      <c r="K342" s="378"/>
      <c r="L342" s="378" t="s">
        <v>849</v>
      </c>
      <c r="M342" s="378"/>
      <c r="N342" s="378"/>
      <c r="O342" s="378"/>
      <c r="P342" s="378"/>
      <c r="Q342" s="378"/>
      <c r="R342" s="378"/>
      <c r="S342" s="378"/>
      <c r="T342" s="378"/>
      <c r="U342" s="378"/>
      <c r="V342" s="378"/>
      <c r="W342" s="378"/>
      <c r="X342" s="378"/>
      <c r="Y342" s="378"/>
      <c r="Z342" s="378"/>
    </row>
    <row r="343" ht="16.5" customHeight="1">
      <c r="A343" s="378" t="s">
        <v>845</v>
      </c>
      <c r="B343" s="378" t="s">
        <v>851</v>
      </c>
      <c r="C343" s="378" t="s">
        <v>845</v>
      </c>
      <c r="D343" s="378" t="s">
        <v>1697</v>
      </c>
      <c r="E343" s="378" t="s">
        <v>2233</v>
      </c>
      <c r="F343" s="378" t="s">
        <v>2234</v>
      </c>
      <c r="G343" s="378"/>
      <c r="H343" s="378"/>
      <c r="I343" s="378"/>
      <c r="J343" s="378"/>
      <c r="K343" s="378"/>
      <c r="L343" s="378" t="s">
        <v>851</v>
      </c>
      <c r="M343" s="378"/>
      <c r="N343" s="378"/>
      <c r="O343" s="378"/>
      <c r="P343" s="378"/>
      <c r="Q343" s="378"/>
      <c r="R343" s="378"/>
      <c r="S343" s="378"/>
      <c r="T343" s="378"/>
      <c r="U343" s="378"/>
      <c r="V343" s="378"/>
      <c r="W343" s="378"/>
      <c r="X343" s="378"/>
      <c r="Y343" s="378"/>
      <c r="Z343" s="378"/>
    </row>
    <row r="344" ht="16.5" customHeight="1">
      <c r="A344" s="378" t="s">
        <v>845</v>
      </c>
      <c r="B344" s="378" t="s">
        <v>854</v>
      </c>
      <c r="C344" s="378" t="s">
        <v>845</v>
      </c>
      <c r="D344" s="378" t="s">
        <v>1698</v>
      </c>
      <c r="E344" s="378" t="s">
        <v>2235</v>
      </c>
      <c r="F344" s="378" t="s">
        <v>2236</v>
      </c>
      <c r="G344" s="378"/>
      <c r="H344" s="378"/>
      <c r="I344" s="378"/>
      <c r="J344" s="378"/>
      <c r="K344" s="378"/>
      <c r="L344" s="378" t="s">
        <v>854</v>
      </c>
      <c r="M344" s="378"/>
      <c r="N344" s="378"/>
      <c r="O344" s="378"/>
      <c r="P344" s="378"/>
      <c r="Q344" s="378"/>
      <c r="R344" s="378"/>
      <c r="S344" s="378"/>
      <c r="T344" s="378"/>
      <c r="U344" s="378"/>
      <c r="V344" s="378"/>
      <c r="W344" s="378"/>
      <c r="X344" s="378"/>
      <c r="Y344" s="378"/>
      <c r="Z344" s="378"/>
    </row>
    <row r="345" ht="16.5" customHeight="1">
      <c r="A345" s="378" t="s">
        <v>845</v>
      </c>
      <c r="B345" s="378" t="s">
        <v>856</v>
      </c>
      <c r="C345" s="378" t="s">
        <v>845</v>
      </c>
      <c r="D345" s="378" t="s">
        <v>1700</v>
      </c>
      <c r="E345" s="378" t="s">
        <v>2237</v>
      </c>
      <c r="F345" s="378" t="s">
        <v>2238</v>
      </c>
      <c r="G345" s="378"/>
      <c r="H345" s="378"/>
      <c r="I345" s="378"/>
      <c r="J345" s="378"/>
      <c r="K345" s="378"/>
      <c r="L345" s="378" t="s">
        <v>856</v>
      </c>
      <c r="M345" s="378"/>
      <c r="N345" s="378"/>
      <c r="O345" s="378"/>
      <c r="P345" s="378"/>
      <c r="Q345" s="378"/>
      <c r="R345" s="378"/>
      <c r="S345" s="378"/>
      <c r="T345" s="378"/>
      <c r="U345" s="378"/>
      <c r="V345" s="378"/>
      <c r="W345" s="378"/>
      <c r="X345" s="378"/>
      <c r="Y345" s="378"/>
      <c r="Z345" s="378"/>
    </row>
    <row r="346" ht="16.5" customHeight="1">
      <c r="A346" s="378" t="s">
        <v>845</v>
      </c>
      <c r="B346" s="378" t="s">
        <v>858</v>
      </c>
      <c r="C346" s="378" t="s">
        <v>845</v>
      </c>
      <c r="D346" s="378" t="s">
        <v>1701</v>
      </c>
      <c r="E346" s="378" t="s">
        <v>2239</v>
      </c>
      <c r="F346" s="378" t="s">
        <v>2240</v>
      </c>
      <c r="G346" s="378"/>
      <c r="H346" s="378"/>
      <c r="I346" s="378"/>
      <c r="J346" s="378"/>
      <c r="K346" s="378"/>
      <c r="L346" s="378" t="s">
        <v>858</v>
      </c>
      <c r="M346" s="378"/>
      <c r="N346" s="378"/>
      <c r="O346" s="378"/>
      <c r="P346" s="378"/>
      <c r="Q346" s="378"/>
      <c r="R346" s="378"/>
      <c r="S346" s="378"/>
      <c r="T346" s="378"/>
      <c r="U346" s="378"/>
      <c r="V346" s="378"/>
      <c r="W346" s="378"/>
      <c r="X346" s="378"/>
      <c r="Y346" s="378"/>
      <c r="Z346" s="378"/>
    </row>
    <row r="347" ht="16.5" customHeight="1">
      <c r="A347" s="378" t="s">
        <v>845</v>
      </c>
      <c r="B347" s="378" t="s">
        <v>860</v>
      </c>
      <c r="C347" s="378" t="s">
        <v>845</v>
      </c>
      <c r="D347" s="378" t="s">
        <v>1702</v>
      </c>
      <c r="E347" s="378" t="s">
        <v>2241</v>
      </c>
      <c r="F347" s="378" t="s">
        <v>2242</v>
      </c>
      <c r="G347" s="378"/>
      <c r="H347" s="378"/>
      <c r="I347" s="378"/>
      <c r="J347" s="378"/>
      <c r="K347" s="378"/>
      <c r="L347" s="378" t="s">
        <v>860</v>
      </c>
      <c r="M347" s="378"/>
      <c r="N347" s="378"/>
      <c r="O347" s="378"/>
      <c r="P347" s="378"/>
      <c r="Q347" s="378"/>
      <c r="R347" s="378"/>
      <c r="S347" s="378"/>
      <c r="T347" s="378"/>
      <c r="U347" s="378"/>
      <c r="V347" s="378"/>
      <c r="W347" s="378"/>
      <c r="X347" s="378"/>
      <c r="Y347" s="378"/>
      <c r="Z347" s="378"/>
    </row>
    <row r="348" ht="16.5" customHeight="1">
      <c r="A348" s="378" t="s">
        <v>845</v>
      </c>
      <c r="B348" s="378" t="s">
        <v>862</v>
      </c>
      <c r="C348" s="378" t="s">
        <v>845</v>
      </c>
      <c r="D348" s="378" t="s">
        <v>1704</v>
      </c>
      <c r="E348" s="378" t="s">
        <v>2243</v>
      </c>
      <c r="F348" s="378" t="s">
        <v>2244</v>
      </c>
      <c r="G348" s="378"/>
      <c r="H348" s="378"/>
      <c r="I348" s="378"/>
      <c r="J348" s="378"/>
      <c r="K348" s="378"/>
      <c r="L348" s="378" t="s">
        <v>862</v>
      </c>
      <c r="M348" s="378"/>
      <c r="N348" s="378"/>
      <c r="O348" s="378"/>
      <c r="P348" s="378"/>
      <c r="Q348" s="378"/>
      <c r="R348" s="378"/>
      <c r="S348" s="378"/>
      <c r="T348" s="378"/>
      <c r="U348" s="378"/>
      <c r="V348" s="378"/>
      <c r="W348" s="378"/>
      <c r="X348" s="378"/>
      <c r="Y348" s="378"/>
      <c r="Z348" s="378"/>
    </row>
    <row r="349" ht="16.5" customHeight="1">
      <c r="A349" s="378" t="s">
        <v>845</v>
      </c>
      <c r="B349" s="378" t="s">
        <v>864</v>
      </c>
      <c r="C349" s="378" t="s">
        <v>845</v>
      </c>
      <c r="D349" s="378" t="s">
        <v>1705</v>
      </c>
      <c r="E349" s="378" t="s">
        <v>2245</v>
      </c>
      <c r="F349" s="378" t="s">
        <v>2246</v>
      </c>
      <c r="G349" s="378"/>
      <c r="H349" s="378"/>
      <c r="I349" s="378"/>
      <c r="J349" s="378"/>
      <c r="K349" s="378"/>
      <c r="L349" s="378" t="s">
        <v>864</v>
      </c>
      <c r="M349" s="378"/>
      <c r="N349" s="378"/>
      <c r="O349" s="378"/>
      <c r="P349" s="378"/>
      <c r="Q349" s="378"/>
      <c r="R349" s="378"/>
      <c r="S349" s="378"/>
      <c r="T349" s="378"/>
      <c r="U349" s="378"/>
      <c r="V349" s="378"/>
      <c r="W349" s="378"/>
      <c r="X349" s="378"/>
      <c r="Y349" s="378"/>
      <c r="Z349" s="378"/>
    </row>
    <row r="350" ht="16.5" customHeight="1">
      <c r="A350" s="378" t="s">
        <v>845</v>
      </c>
      <c r="B350" s="378" t="s">
        <v>866</v>
      </c>
      <c r="C350" s="378" t="s">
        <v>845</v>
      </c>
      <c r="D350" s="378" t="s">
        <v>1706</v>
      </c>
      <c r="E350" s="378" t="s">
        <v>2247</v>
      </c>
      <c r="F350" s="378" t="s">
        <v>2248</v>
      </c>
      <c r="G350" s="378"/>
      <c r="H350" s="378"/>
      <c r="I350" s="378"/>
      <c r="J350" s="378"/>
      <c r="K350" s="378"/>
      <c r="L350" s="378" t="s">
        <v>866</v>
      </c>
      <c r="M350" s="378"/>
      <c r="N350" s="378"/>
      <c r="O350" s="378"/>
      <c r="P350" s="378"/>
      <c r="Q350" s="378"/>
      <c r="R350" s="378"/>
      <c r="S350" s="378"/>
      <c r="T350" s="378"/>
      <c r="U350" s="378"/>
      <c r="V350" s="378"/>
      <c r="W350" s="378"/>
      <c r="X350" s="378"/>
      <c r="Y350" s="378"/>
      <c r="Z350" s="378"/>
    </row>
    <row r="351" ht="16.5" customHeight="1">
      <c r="A351" s="378" t="s">
        <v>845</v>
      </c>
      <c r="B351" s="378" t="s">
        <v>868</v>
      </c>
      <c r="C351" s="378" t="s">
        <v>845</v>
      </c>
      <c r="D351" s="378" t="s">
        <v>1707</v>
      </c>
      <c r="E351" s="378" t="s">
        <v>2249</v>
      </c>
      <c r="F351" s="378" t="s">
        <v>2250</v>
      </c>
      <c r="G351" s="378"/>
      <c r="H351" s="378"/>
      <c r="I351" s="378"/>
      <c r="J351" s="378"/>
      <c r="K351" s="378"/>
      <c r="L351" s="378" t="s">
        <v>868</v>
      </c>
      <c r="M351" s="378"/>
      <c r="N351" s="378"/>
      <c r="O351" s="378"/>
      <c r="P351" s="378"/>
      <c r="Q351" s="378"/>
      <c r="R351" s="378"/>
      <c r="S351" s="378"/>
      <c r="T351" s="378"/>
      <c r="U351" s="378"/>
      <c r="V351" s="378"/>
      <c r="W351" s="378"/>
      <c r="X351" s="378"/>
      <c r="Y351" s="378"/>
      <c r="Z351" s="378"/>
    </row>
    <row r="352" ht="16.5" customHeight="1">
      <c r="A352" s="378" t="s">
        <v>845</v>
      </c>
      <c r="B352" s="378" t="s">
        <v>870</v>
      </c>
      <c r="C352" s="378" t="s">
        <v>845</v>
      </c>
      <c r="D352" s="378" t="s">
        <v>1708</v>
      </c>
      <c r="E352" s="378" t="s">
        <v>2251</v>
      </c>
      <c r="F352" s="378" t="s">
        <v>2252</v>
      </c>
      <c r="G352" s="378"/>
      <c r="H352" s="378"/>
      <c r="I352" s="378"/>
      <c r="J352" s="378"/>
      <c r="K352" s="378"/>
      <c r="L352" s="378" t="s">
        <v>870</v>
      </c>
      <c r="M352" s="378"/>
      <c r="N352" s="378"/>
      <c r="O352" s="378"/>
      <c r="P352" s="378"/>
      <c r="Q352" s="378"/>
      <c r="R352" s="378"/>
      <c r="S352" s="378"/>
      <c r="T352" s="378"/>
      <c r="U352" s="378"/>
      <c r="V352" s="378"/>
      <c r="W352" s="378"/>
      <c r="X352" s="378"/>
      <c r="Y352" s="378"/>
      <c r="Z352" s="378"/>
    </row>
    <row r="353" ht="16.5" customHeight="1">
      <c r="A353" s="378" t="s">
        <v>845</v>
      </c>
      <c r="B353" s="378" t="s">
        <v>872</v>
      </c>
      <c r="C353" s="378" t="s">
        <v>845</v>
      </c>
      <c r="D353" s="378" t="s">
        <v>1709</v>
      </c>
      <c r="E353" s="378" t="s">
        <v>2253</v>
      </c>
      <c r="F353" s="378" t="s">
        <v>2254</v>
      </c>
      <c r="G353" s="378"/>
      <c r="H353" s="378"/>
      <c r="I353" s="378"/>
      <c r="J353" s="378"/>
      <c r="K353" s="378"/>
      <c r="L353" s="378"/>
      <c r="M353" s="378"/>
      <c r="N353" s="378"/>
      <c r="O353" s="378"/>
      <c r="P353" s="378"/>
      <c r="Q353" s="378"/>
      <c r="R353" s="378"/>
      <c r="S353" s="378"/>
      <c r="T353" s="378"/>
      <c r="U353" s="378"/>
      <c r="V353" s="378"/>
      <c r="W353" s="378"/>
      <c r="X353" s="378"/>
      <c r="Y353" s="378"/>
      <c r="Z353" s="378"/>
    </row>
    <row r="354" ht="16.5" customHeight="1">
      <c r="A354" s="378" t="s">
        <v>845</v>
      </c>
      <c r="B354" s="378" t="s">
        <v>874</v>
      </c>
      <c r="C354" s="378" t="s">
        <v>845</v>
      </c>
      <c r="D354" s="378" t="s">
        <v>1711</v>
      </c>
      <c r="E354" s="378" t="s">
        <v>2255</v>
      </c>
      <c r="F354" s="378" t="s">
        <v>2256</v>
      </c>
      <c r="G354" s="378"/>
      <c r="H354" s="378"/>
      <c r="I354" s="378"/>
      <c r="J354" s="378"/>
      <c r="K354" s="378"/>
      <c r="L354" s="378" t="s">
        <v>874</v>
      </c>
      <c r="M354" s="378"/>
      <c r="N354" s="378"/>
      <c r="O354" s="378"/>
      <c r="P354" s="378"/>
      <c r="Q354" s="378"/>
      <c r="R354" s="378"/>
      <c r="S354" s="378"/>
      <c r="T354" s="378"/>
      <c r="U354" s="378"/>
      <c r="V354" s="378"/>
      <c r="W354" s="378"/>
      <c r="X354" s="378"/>
      <c r="Y354" s="378"/>
      <c r="Z354" s="378"/>
    </row>
    <row r="355" ht="16.5" customHeight="1">
      <c r="A355" s="378" t="s">
        <v>845</v>
      </c>
      <c r="B355" s="378" t="s">
        <v>876</v>
      </c>
      <c r="C355" s="378" t="s">
        <v>845</v>
      </c>
      <c r="D355" s="378" t="s">
        <v>1712</v>
      </c>
      <c r="E355" s="378" t="s">
        <v>2257</v>
      </c>
      <c r="F355" s="378" t="s">
        <v>2258</v>
      </c>
      <c r="G355" s="378"/>
      <c r="H355" s="378"/>
      <c r="I355" s="378"/>
      <c r="J355" s="378"/>
      <c r="K355" s="378"/>
      <c r="L355" s="378" t="s">
        <v>876</v>
      </c>
      <c r="M355" s="378"/>
      <c r="N355" s="378"/>
      <c r="O355" s="378"/>
      <c r="P355" s="378"/>
      <c r="Q355" s="378"/>
      <c r="R355" s="378"/>
      <c r="S355" s="378"/>
      <c r="T355" s="378"/>
      <c r="U355" s="378"/>
      <c r="V355" s="378"/>
      <c r="W355" s="378"/>
      <c r="X355" s="378"/>
      <c r="Y355" s="378"/>
      <c r="Z355" s="378"/>
    </row>
    <row r="356" ht="16.5" customHeight="1">
      <c r="A356" s="378" t="s">
        <v>845</v>
      </c>
      <c r="B356" s="378" t="s">
        <v>879</v>
      </c>
      <c r="C356" s="378" t="s">
        <v>845</v>
      </c>
      <c r="D356" s="378" t="s">
        <v>1713</v>
      </c>
      <c r="E356" s="378" t="s">
        <v>2259</v>
      </c>
      <c r="F356" s="378" t="s">
        <v>2260</v>
      </c>
      <c r="G356" s="378"/>
      <c r="H356" s="378"/>
      <c r="I356" s="378"/>
      <c r="J356" s="378"/>
      <c r="K356" s="378"/>
      <c r="L356" s="378" t="s">
        <v>879</v>
      </c>
      <c r="M356" s="378"/>
      <c r="N356" s="378"/>
      <c r="O356" s="378"/>
      <c r="P356" s="378"/>
      <c r="Q356" s="378"/>
      <c r="R356" s="378"/>
      <c r="S356" s="378"/>
      <c r="T356" s="378"/>
      <c r="U356" s="378"/>
      <c r="V356" s="378"/>
      <c r="W356" s="378"/>
      <c r="X356" s="378"/>
      <c r="Y356" s="378"/>
      <c r="Z356" s="378"/>
    </row>
    <row r="357" ht="16.5" customHeight="1">
      <c r="A357" s="378" t="s">
        <v>845</v>
      </c>
      <c r="B357" s="378" t="s">
        <v>881</v>
      </c>
      <c r="C357" s="378" t="s">
        <v>845</v>
      </c>
      <c r="D357" s="378" t="s">
        <v>1714</v>
      </c>
      <c r="E357" s="378" t="s">
        <v>2261</v>
      </c>
      <c r="F357" s="378" t="s">
        <v>2262</v>
      </c>
      <c r="G357" s="378"/>
      <c r="H357" s="378"/>
      <c r="I357" s="378"/>
      <c r="J357" s="378"/>
      <c r="K357" s="378"/>
      <c r="L357" s="378" t="s">
        <v>881</v>
      </c>
      <c r="M357" s="378"/>
      <c r="N357" s="378"/>
      <c r="O357" s="378"/>
      <c r="P357" s="378"/>
      <c r="Q357" s="378"/>
      <c r="R357" s="378"/>
      <c r="S357" s="378"/>
      <c r="T357" s="378"/>
      <c r="U357" s="378"/>
      <c r="V357" s="378"/>
      <c r="W357" s="378"/>
      <c r="X357" s="378"/>
      <c r="Y357" s="378"/>
      <c r="Z357" s="378"/>
    </row>
    <row r="358" ht="16.5" customHeight="1">
      <c r="A358" s="378" t="s">
        <v>845</v>
      </c>
      <c r="B358" s="378" t="s">
        <v>883</v>
      </c>
      <c r="C358" s="378" t="s">
        <v>845</v>
      </c>
      <c r="D358" s="378" t="s">
        <v>1715</v>
      </c>
      <c r="E358" s="378" t="s">
        <v>2263</v>
      </c>
      <c r="F358" s="378" t="s">
        <v>2264</v>
      </c>
      <c r="G358" s="378"/>
      <c r="H358" s="378"/>
      <c r="I358" s="378"/>
      <c r="J358" s="378"/>
      <c r="K358" s="378"/>
      <c r="L358" s="378" t="s">
        <v>883</v>
      </c>
      <c r="M358" s="378"/>
      <c r="N358" s="378"/>
      <c r="O358" s="378"/>
      <c r="P358" s="378"/>
      <c r="Q358" s="378"/>
      <c r="R358" s="378"/>
      <c r="S358" s="378"/>
      <c r="T358" s="378"/>
      <c r="U358" s="378"/>
      <c r="V358" s="378"/>
      <c r="W358" s="378"/>
      <c r="X358" s="378"/>
      <c r="Y358" s="378"/>
      <c r="Z358" s="378"/>
    </row>
    <row r="359" ht="16.5" customHeight="1">
      <c r="A359" s="378" t="s">
        <v>845</v>
      </c>
      <c r="B359" s="378" t="s">
        <v>886</v>
      </c>
      <c r="C359" s="378" t="s">
        <v>845</v>
      </c>
      <c r="D359" s="378" t="s">
        <v>1717</v>
      </c>
      <c r="E359" s="378" t="s">
        <v>2265</v>
      </c>
      <c r="F359" s="378" t="s">
        <v>2266</v>
      </c>
      <c r="G359" s="378"/>
      <c r="H359" s="378"/>
      <c r="I359" s="378"/>
      <c r="J359" s="378"/>
      <c r="K359" s="378"/>
      <c r="L359" s="378" t="s">
        <v>886</v>
      </c>
      <c r="M359" s="378"/>
      <c r="N359" s="378"/>
      <c r="O359" s="378"/>
      <c r="P359" s="378"/>
      <c r="Q359" s="378"/>
      <c r="R359" s="378"/>
      <c r="S359" s="378"/>
      <c r="T359" s="378"/>
      <c r="U359" s="378"/>
      <c r="V359" s="378"/>
      <c r="W359" s="378"/>
      <c r="X359" s="378"/>
      <c r="Y359" s="378"/>
      <c r="Z359" s="378"/>
    </row>
    <row r="360" ht="16.5" customHeight="1">
      <c r="A360" s="378" t="s">
        <v>845</v>
      </c>
      <c r="B360" s="378" t="s">
        <v>889</v>
      </c>
      <c r="C360" s="378" t="s">
        <v>845</v>
      </c>
      <c r="D360" s="378" t="s">
        <v>1718</v>
      </c>
      <c r="E360" s="378" t="s">
        <v>2267</v>
      </c>
      <c r="F360" s="378" t="s">
        <v>2268</v>
      </c>
      <c r="G360" s="378"/>
      <c r="H360" s="378"/>
      <c r="I360" s="378"/>
      <c r="J360" s="378"/>
      <c r="K360" s="378"/>
      <c r="L360" s="378" t="s">
        <v>889</v>
      </c>
      <c r="M360" s="378"/>
      <c r="N360" s="378"/>
      <c r="O360" s="378"/>
      <c r="P360" s="378"/>
      <c r="Q360" s="378"/>
      <c r="R360" s="378"/>
      <c r="S360" s="378"/>
      <c r="T360" s="378"/>
      <c r="U360" s="378"/>
      <c r="V360" s="378"/>
      <c r="W360" s="378"/>
      <c r="X360" s="378"/>
      <c r="Y360" s="378"/>
      <c r="Z360" s="378"/>
    </row>
    <row r="361" ht="16.5" customHeight="1">
      <c r="A361" s="378" t="s">
        <v>845</v>
      </c>
      <c r="B361" s="378" t="s">
        <v>891</v>
      </c>
      <c r="C361" s="378" t="s">
        <v>845</v>
      </c>
      <c r="D361" s="378" t="s">
        <v>1719</v>
      </c>
      <c r="E361" s="378" t="s">
        <v>2269</v>
      </c>
      <c r="F361" s="378" t="s">
        <v>2270</v>
      </c>
      <c r="G361" s="378"/>
      <c r="H361" s="378"/>
      <c r="I361" s="378"/>
      <c r="J361" s="378"/>
      <c r="K361" s="378"/>
      <c r="L361" s="378" t="s">
        <v>891</v>
      </c>
      <c r="M361" s="378"/>
      <c r="N361" s="378"/>
      <c r="O361" s="378"/>
      <c r="P361" s="378"/>
      <c r="Q361" s="378"/>
      <c r="R361" s="378"/>
      <c r="S361" s="378"/>
      <c r="T361" s="378"/>
      <c r="U361" s="378"/>
      <c r="V361" s="378"/>
      <c r="W361" s="378"/>
      <c r="X361" s="378"/>
      <c r="Y361" s="378"/>
      <c r="Z361" s="378"/>
    </row>
    <row r="362" ht="16.5" customHeight="1">
      <c r="A362" s="378" t="s">
        <v>845</v>
      </c>
      <c r="B362" s="378" t="s">
        <v>893</v>
      </c>
      <c r="C362" s="378" t="s">
        <v>845</v>
      </c>
      <c r="D362" s="378" t="s">
        <v>1720</v>
      </c>
      <c r="E362" s="378" t="s">
        <v>2271</v>
      </c>
      <c r="F362" s="378" t="s">
        <v>2272</v>
      </c>
      <c r="G362" s="378"/>
      <c r="H362" s="378"/>
      <c r="I362" s="378"/>
      <c r="J362" s="378"/>
      <c r="K362" s="378"/>
      <c r="L362" s="378" t="s">
        <v>893</v>
      </c>
      <c r="M362" s="378"/>
      <c r="N362" s="378"/>
      <c r="O362" s="378"/>
      <c r="P362" s="378"/>
      <c r="Q362" s="378"/>
      <c r="R362" s="378"/>
      <c r="S362" s="378"/>
      <c r="T362" s="378"/>
      <c r="U362" s="378"/>
      <c r="V362" s="378"/>
      <c r="W362" s="378"/>
      <c r="X362" s="378"/>
      <c r="Y362" s="378"/>
      <c r="Z362" s="378"/>
    </row>
    <row r="363" ht="16.5" customHeight="1">
      <c r="A363" s="378" t="s">
        <v>845</v>
      </c>
      <c r="B363" s="378" t="s">
        <v>896</v>
      </c>
      <c r="C363" s="378" t="s">
        <v>845</v>
      </c>
      <c r="D363" s="378" t="s">
        <v>1721</v>
      </c>
      <c r="E363" s="378" t="s">
        <v>2273</v>
      </c>
      <c r="F363" s="378" t="s">
        <v>2274</v>
      </c>
      <c r="G363" s="378"/>
      <c r="H363" s="378"/>
      <c r="I363" s="378"/>
      <c r="J363" s="378"/>
      <c r="K363" s="378"/>
      <c r="L363" s="378" t="s">
        <v>896</v>
      </c>
      <c r="M363" s="378"/>
      <c r="N363" s="378"/>
      <c r="O363" s="378"/>
      <c r="P363" s="378"/>
      <c r="Q363" s="378"/>
      <c r="R363" s="378"/>
      <c r="S363" s="378"/>
      <c r="T363" s="378"/>
      <c r="U363" s="378"/>
      <c r="V363" s="378"/>
      <c r="W363" s="378"/>
      <c r="X363" s="378"/>
      <c r="Y363" s="378"/>
      <c r="Z363" s="378"/>
    </row>
    <row r="364" ht="16.5" customHeight="1">
      <c r="A364" s="378" t="s">
        <v>845</v>
      </c>
      <c r="B364" s="378" t="s">
        <v>898</v>
      </c>
      <c r="C364" s="378" t="s">
        <v>845</v>
      </c>
      <c r="D364" s="378" t="s">
        <v>1722</v>
      </c>
      <c r="E364" s="378" t="s">
        <v>2275</v>
      </c>
      <c r="F364" s="378" t="s">
        <v>2276</v>
      </c>
      <c r="G364" s="378"/>
      <c r="H364" s="378"/>
      <c r="I364" s="378"/>
      <c r="J364" s="378"/>
      <c r="K364" s="378"/>
      <c r="L364" s="378"/>
      <c r="M364" s="378"/>
      <c r="N364" s="378"/>
      <c r="O364" s="378"/>
      <c r="P364" s="378"/>
      <c r="Q364" s="378"/>
      <c r="R364" s="378"/>
      <c r="S364" s="378"/>
      <c r="T364" s="378"/>
      <c r="U364" s="378"/>
      <c r="V364" s="378"/>
      <c r="W364" s="378"/>
      <c r="X364" s="378"/>
      <c r="Y364" s="378"/>
      <c r="Z364" s="378"/>
    </row>
    <row r="365" ht="16.5" customHeight="1">
      <c r="A365" s="378" t="s">
        <v>845</v>
      </c>
      <c r="B365" s="378" t="s">
        <v>900</v>
      </c>
      <c r="C365" s="378" t="s">
        <v>845</v>
      </c>
      <c r="D365" s="378" t="s">
        <v>1723</v>
      </c>
      <c r="E365" s="378" t="s">
        <v>2277</v>
      </c>
      <c r="F365" s="378" t="s">
        <v>2278</v>
      </c>
      <c r="G365" s="378"/>
      <c r="H365" s="378"/>
      <c r="I365" s="378"/>
      <c r="J365" s="378"/>
      <c r="K365" s="378"/>
      <c r="L365" s="378" t="s">
        <v>900</v>
      </c>
      <c r="M365" s="378"/>
      <c r="N365" s="378"/>
      <c r="O365" s="378"/>
      <c r="P365" s="378"/>
      <c r="Q365" s="378"/>
      <c r="R365" s="378"/>
      <c r="S365" s="378"/>
      <c r="T365" s="378"/>
      <c r="U365" s="378"/>
      <c r="V365" s="378"/>
      <c r="W365" s="378"/>
      <c r="X365" s="378"/>
      <c r="Y365" s="378"/>
      <c r="Z365" s="378"/>
    </row>
    <row r="366" ht="16.5" customHeight="1">
      <c r="A366" s="378" t="s">
        <v>845</v>
      </c>
      <c r="B366" s="378" t="s">
        <v>902</v>
      </c>
      <c r="C366" s="378" t="s">
        <v>845</v>
      </c>
      <c r="D366" s="378" t="s">
        <v>1724</v>
      </c>
      <c r="E366" s="378" t="s">
        <v>2279</v>
      </c>
      <c r="F366" s="378" t="s">
        <v>2280</v>
      </c>
      <c r="G366" s="378"/>
      <c r="H366" s="378"/>
      <c r="I366" s="378"/>
      <c r="J366" s="378"/>
      <c r="K366" s="378"/>
      <c r="L366" s="378" t="s">
        <v>902</v>
      </c>
      <c r="M366" s="378"/>
      <c r="N366" s="378"/>
      <c r="O366" s="378"/>
      <c r="P366" s="378"/>
      <c r="Q366" s="378"/>
      <c r="R366" s="378"/>
      <c r="S366" s="378"/>
      <c r="T366" s="378"/>
      <c r="U366" s="378"/>
      <c r="V366" s="378"/>
      <c r="W366" s="378"/>
      <c r="X366" s="378"/>
      <c r="Y366" s="378"/>
      <c r="Z366" s="378"/>
    </row>
    <row r="367" ht="16.5" customHeight="1">
      <c r="A367" s="378" t="s">
        <v>845</v>
      </c>
      <c r="B367" s="378" t="s">
        <v>904</v>
      </c>
      <c r="C367" s="378" t="s">
        <v>845</v>
      </c>
      <c r="D367" s="378" t="s">
        <v>1725</v>
      </c>
      <c r="E367" s="378" t="s">
        <v>2281</v>
      </c>
      <c r="F367" s="378" t="s">
        <v>2282</v>
      </c>
      <c r="G367" s="378"/>
      <c r="H367" s="378"/>
      <c r="I367" s="378"/>
      <c r="J367" s="378"/>
      <c r="K367" s="378"/>
      <c r="L367" s="378"/>
      <c r="M367" s="378"/>
      <c r="N367" s="378"/>
      <c r="O367" s="378"/>
      <c r="P367" s="378"/>
      <c r="Q367" s="378"/>
      <c r="R367" s="378"/>
      <c r="S367" s="378"/>
      <c r="T367" s="378"/>
      <c r="U367" s="378"/>
      <c r="V367" s="378"/>
      <c r="W367" s="378"/>
      <c r="X367" s="378"/>
      <c r="Y367" s="378"/>
      <c r="Z367" s="378"/>
    </row>
    <row r="368" ht="16.5" customHeight="1">
      <c r="A368" s="378" t="s">
        <v>845</v>
      </c>
      <c r="B368" s="378" t="s">
        <v>906</v>
      </c>
      <c r="C368" s="378" t="s">
        <v>845</v>
      </c>
      <c r="D368" s="378" t="s">
        <v>1726</v>
      </c>
      <c r="E368" s="378" t="s">
        <v>2283</v>
      </c>
      <c r="F368" s="378" t="s">
        <v>2284</v>
      </c>
      <c r="G368" s="378"/>
      <c r="H368" s="378"/>
      <c r="I368" s="378"/>
      <c r="J368" s="378"/>
      <c r="K368" s="378"/>
      <c r="L368" s="378"/>
      <c r="M368" s="378"/>
      <c r="N368" s="378"/>
      <c r="O368" s="378"/>
      <c r="P368" s="378"/>
      <c r="Q368" s="378"/>
      <c r="R368" s="378"/>
      <c r="S368" s="378"/>
      <c r="T368" s="378"/>
      <c r="U368" s="378"/>
      <c r="V368" s="378"/>
      <c r="W368" s="378"/>
      <c r="X368" s="378"/>
      <c r="Y368" s="378"/>
      <c r="Z368" s="378"/>
    </row>
    <row r="369" ht="16.5" customHeight="1">
      <c r="A369" s="378" t="s">
        <v>845</v>
      </c>
      <c r="B369" s="378" t="s">
        <v>908</v>
      </c>
      <c r="C369" s="378" t="s">
        <v>845</v>
      </c>
      <c r="D369" s="378" t="s">
        <v>1727</v>
      </c>
      <c r="E369" s="378" t="s">
        <v>2285</v>
      </c>
      <c r="F369" s="378" t="s">
        <v>2286</v>
      </c>
      <c r="G369" s="378"/>
      <c r="H369" s="378"/>
      <c r="I369" s="378"/>
      <c r="J369" s="378"/>
      <c r="K369" s="378"/>
      <c r="L369" s="378" t="s">
        <v>908</v>
      </c>
      <c r="M369" s="378"/>
      <c r="N369" s="378"/>
      <c r="O369" s="378"/>
      <c r="P369" s="378"/>
      <c r="Q369" s="378"/>
      <c r="R369" s="378"/>
      <c r="S369" s="378"/>
      <c r="T369" s="378"/>
      <c r="U369" s="378"/>
      <c r="V369" s="378"/>
      <c r="W369" s="378"/>
      <c r="X369" s="378"/>
      <c r="Y369" s="378"/>
      <c r="Z369" s="378"/>
    </row>
    <row r="370" ht="16.5" customHeight="1">
      <c r="A370" s="378" t="s">
        <v>845</v>
      </c>
      <c r="B370" s="378" t="s">
        <v>910</v>
      </c>
      <c r="C370" s="378" t="s">
        <v>845</v>
      </c>
      <c r="D370" s="378" t="s">
        <v>1728</v>
      </c>
      <c r="E370" s="378" t="s">
        <v>2287</v>
      </c>
      <c r="F370" s="378" t="s">
        <v>2288</v>
      </c>
      <c r="G370" s="378"/>
      <c r="H370" s="378"/>
      <c r="I370" s="378"/>
      <c r="J370" s="378"/>
      <c r="K370" s="378"/>
      <c r="L370" s="378" t="s">
        <v>910</v>
      </c>
      <c r="M370" s="378"/>
      <c r="N370" s="378"/>
      <c r="O370" s="378"/>
      <c r="P370" s="378"/>
      <c r="Q370" s="378"/>
      <c r="R370" s="378"/>
      <c r="S370" s="378"/>
      <c r="T370" s="378"/>
      <c r="U370" s="378"/>
      <c r="V370" s="378"/>
      <c r="W370" s="378"/>
      <c r="X370" s="378"/>
      <c r="Y370" s="378"/>
      <c r="Z370" s="378"/>
    </row>
    <row r="371" ht="16.5" customHeight="1">
      <c r="A371" s="378" t="s">
        <v>845</v>
      </c>
      <c r="B371" s="378" t="s">
        <v>912</v>
      </c>
      <c r="C371" s="378" t="s">
        <v>845</v>
      </c>
      <c r="D371" s="378" t="s">
        <v>1729</v>
      </c>
      <c r="E371" s="378" t="s">
        <v>2289</v>
      </c>
      <c r="F371" s="378" t="s">
        <v>2290</v>
      </c>
      <c r="G371" s="378"/>
      <c r="H371" s="378"/>
      <c r="I371" s="378"/>
      <c r="J371" s="378"/>
      <c r="K371" s="378"/>
      <c r="L371" s="378" t="s">
        <v>912</v>
      </c>
      <c r="M371" s="378"/>
      <c r="N371" s="378"/>
      <c r="O371" s="378"/>
      <c r="P371" s="378"/>
      <c r="Q371" s="378"/>
      <c r="R371" s="378"/>
      <c r="S371" s="378"/>
      <c r="T371" s="378"/>
      <c r="U371" s="378"/>
      <c r="V371" s="378"/>
      <c r="W371" s="378"/>
      <c r="X371" s="378"/>
      <c r="Y371" s="378"/>
      <c r="Z371" s="378"/>
    </row>
    <row r="372" ht="16.5" customHeight="1">
      <c r="A372" s="378" t="s">
        <v>845</v>
      </c>
      <c r="B372" s="378" t="s">
        <v>914</v>
      </c>
      <c r="C372" s="378" t="s">
        <v>845</v>
      </c>
      <c r="D372" s="378" t="s">
        <v>1730</v>
      </c>
      <c r="E372" s="378" t="s">
        <v>2291</v>
      </c>
      <c r="F372" s="378" t="s">
        <v>2292</v>
      </c>
      <c r="G372" s="378"/>
      <c r="H372" s="378"/>
      <c r="I372" s="378"/>
      <c r="J372" s="378"/>
      <c r="K372" s="378"/>
      <c r="L372" s="378" t="s">
        <v>914</v>
      </c>
      <c r="M372" s="378"/>
      <c r="N372" s="378"/>
      <c r="O372" s="378"/>
      <c r="P372" s="378"/>
      <c r="Q372" s="378"/>
      <c r="R372" s="378"/>
      <c r="S372" s="378"/>
      <c r="T372" s="378"/>
      <c r="U372" s="378"/>
      <c r="V372" s="378"/>
      <c r="W372" s="378"/>
      <c r="X372" s="378"/>
      <c r="Y372" s="378"/>
      <c r="Z372" s="378"/>
    </row>
    <row r="373" ht="16.5" customHeight="1">
      <c r="A373" s="378" t="s">
        <v>845</v>
      </c>
      <c r="B373" s="378" t="s">
        <v>916</v>
      </c>
      <c r="C373" s="378" t="s">
        <v>845</v>
      </c>
      <c r="D373" s="378" t="s">
        <v>1731</v>
      </c>
      <c r="E373" s="378" t="s">
        <v>2293</v>
      </c>
      <c r="F373" s="378" t="s">
        <v>2294</v>
      </c>
      <c r="G373" s="378"/>
      <c r="H373" s="378"/>
      <c r="I373" s="378"/>
      <c r="J373" s="378"/>
      <c r="K373" s="378"/>
      <c r="L373" s="378" t="s">
        <v>916</v>
      </c>
      <c r="M373" s="378"/>
      <c r="N373" s="378"/>
      <c r="O373" s="378"/>
      <c r="P373" s="378"/>
      <c r="Q373" s="378"/>
      <c r="R373" s="378"/>
      <c r="S373" s="378"/>
      <c r="T373" s="378"/>
      <c r="U373" s="378"/>
      <c r="V373" s="378"/>
      <c r="W373" s="378"/>
      <c r="X373" s="378"/>
      <c r="Y373" s="378"/>
      <c r="Z373" s="378"/>
    </row>
    <row r="374" ht="16.5" customHeight="1">
      <c r="A374" s="378" t="s">
        <v>845</v>
      </c>
      <c r="B374" s="378" t="s">
        <v>918</v>
      </c>
      <c r="C374" s="378" t="s">
        <v>845</v>
      </c>
      <c r="D374" s="378" t="s">
        <v>1733</v>
      </c>
      <c r="E374" s="378" t="s">
        <v>2295</v>
      </c>
      <c r="F374" s="378" t="s">
        <v>2296</v>
      </c>
      <c r="G374" s="378"/>
      <c r="H374" s="378"/>
      <c r="I374" s="378"/>
      <c r="J374" s="378"/>
      <c r="K374" s="378"/>
      <c r="L374" s="378" t="s">
        <v>918</v>
      </c>
      <c r="M374" s="378"/>
      <c r="N374" s="378"/>
      <c r="O374" s="378"/>
      <c r="P374" s="378"/>
      <c r="Q374" s="378"/>
      <c r="R374" s="378"/>
      <c r="S374" s="378"/>
      <c r="T374" s="378"/>
      <c r="U374" s="378"/>
      <c r="V374" s="378"/>
      <c r="W374" s="378"/>
      <c r="X374" s="378"/>
      <c r="Y374" s="378"/>
      <c r="Z374" s="378"/>
    </row>
    <row r="375" ht="16.5" customHeight="1">
      <c r="A375" s="378" t="s">
        <v>845</v>
      </c>
      <c r="B375" s="378" t="s">
        <v>920</v>
      </c>
      <c r="C375" s="378" t="s">
        <v>845</v>
      </c>
      <c r="D375" s="378" t="s">
        <v>1735</v>
      </c>
      <c r="E375" s="378" t="s">
        <v>2297</v>
      </c>
      <c r="F375" s="378" t="s">
        <v>2298</v>
      </c>
      <c r="G375" s="378"/>
      <c r="H375" s="378"/>
      <c r="I375" s="378"/>
      <c r="J375" s="378"/>
      <c r="K375" s="378"/>
      <c r="L375" s="378" t="s">
        <v>920</v>
      </c>
      <c r="M375" s="378"/>
      <c r="N375" s="378"/>
      <c r="O375" s="378"/>
      <c r="P375" s="378"/>
      <c r="Q375" s="378"/>
      <c r="R375" s="378"/>
      <c r="S375" s="378"/>
      <c r="T375" s="378"/>
      <c r="U375" s="378"/>
      <c r="V375" s="378"/>
      <c r="W375" s="378"/>
      <c r="X375" s="378"/>
      <c r="Y375" s="378"/>
      <c r="Z375" s="378"/>
    </row>
    <row r="376" ht="16.5" customHeight="1">
      <c r="A376" s="378" t="s">
        <v>845</v>
      </c>
      <c r="B376" s="378" t="s">
        <v>922</v>
      </c>
      <c r="C376" s="378" t="s">
        <v>845</v>
      </c>
      <c r="D376" s="378" t="s">
        <v>1736</v>
      </c>
      <c r="E376" s="378" t="s">
        <v>2299</v>
      </c>
      <c r="F376" s="378" t="s">
        <v>2300</v>
      </c>
      <c r="G376" s="378"/>
      <c r="H376" s="378"/>
      <c r="I376" s="378"/>
      <c r="J376" s="378"/>
      <c r="K376" s="378"/>
      <c r="L376" s="378" t="s">
        <v>922</v>
      </c>
      <c r="M376" s="378"/>
      <c r="N376" s="378"/>
      <c r="O376" s="378"/>
      <c r="P376" s="378"/>
      <c r="Q376" s="378"/>
      <c r="R376" s="378"/>
      <c r="S376" s="378"/>
      <c r="T376" s="378"/>
      <c r="U376" s="378"/>
      <c r="V376" s="378"/>
      <c r="W376" s="378"/>
      <c r="X376" s="378"/>
      <c r="Y376" s="378"/>
      <c r="Z376" s="378"/>
    </row>
    <row r="377" ht="16.5" customHeight="1">
      <c r="A377" s="378" t="s">
        <v>845</v>
      </c>
      <c r="B377" s="378" t="s">
        <v>924</v>
      </c>
      <c r="C377" s="378" t="s">
        <v>845</v>
      </c>
      <c r="D377" s="378" t="s">
        <v>1737</v>
      </c>
      <c r="E377" s="378" t="s">
        <v>2301</v>
      </c>
      <c r="F377" s="378" t="s">
        <v>2302</v>
      </c>
      <c r="G377" s="378"/>
      <c r="H377" s="378"/>
      <c r="I377" s="378"/>
      <c r="J377" s="378"/>
      <c r="K377" s="378"/>
      <c r="L377" s="378" t="s">
        <v>924</v>
      </c>
      <c r="M377" s="378"/>
      <c r="N377" s="378"/>
      <c r="O377" s="378"/>
      <c r="P377" s="378"/>
      <c r="Q377" s="378"/>
      <c r="R377" s="378"/>
      <c r="S377" s="378"/>
      <c r="T377" s="378"/>
      <c r="U377" s="378"/>
      <c r="V377" s="378"/>
      <c r="W377" s="378"/>
      <c r="X377" s="378"/>
      <c r="Y377" s="378"/>
      <c r="Z377" s="378"/>
    </row>
    <row r="378" ht="16.5" customHeight="1">
      <c r="A378" s="378" t="s">
        <v>845</v>
      </c>
      <c r="B378" s="378" t="s">
        <v>926</v>
      </c>
      <c r="C378" s="378" t="s">
        <v>845</v>
      </c>
      <c r="D378" s="378" t="s">
        <v>1738</v>
      </c>
      <c r="E378" s="378" t="s">
        <v>2303</v>
      </c>
      <c r="F378" s="378" t="s">
        <v>2304</v>
      </c>
      <c r="G378" s="378"/>
      <c r="H378" s="378"/>
      <c r="I378" s="378"/>
      <c r="J378" s="378"/>
      <c r="K378" s="378"/>
      <c r="L378" s="378" t="s">
        <v>926</v>
      </c>
      <c r="M378" s="378"/>
      <c r="N378" s="378"/>
      <c r="O378" s="378"/>
      <c r="P378" s="378"/>
      <c r="Q378" s="378"/>
      <c r="R378" s="378"/>
      <c r="S378" s="378"/>
      <c r="T378" s="378"/>
      <c r="U378" s="378"/>
      <c r="V378" s="378"/>
      <c r="W378" s="378"/>
      <c r="X378" s="378"/>
      <c r="Y378" s="378"/>
      <c r="Z378" s="378"/>
    </row>
    <row r="379" ht="16.5" customHeight="1">
      <c r="A379" s="378" t="s">
        <v>845</v>
      </c>
      <c r="B379" s="378" t="s">
        <v>929</v>
      </c>
      <c r="C379" s="378" t="s">
        <v>845</v>
      </c>
      <c r="D379" s="378" t="s">
        <v>1739</v>
      </c>
      <c r="E379" s="378" t="s">
        <v>2305</v>
      </c>
      <c r="F379" s="378" t="s">
        <v>2306</v>
      </c>
      <c r="G379" s="378"/>
      <c r="H379" s="378"/>
      <c r="I379" s="378"/>
      <c r="J379" s="378"/>
      <c r="K379" s="378"/>
      <c r="L379" s="378" t="s">
        <v>929</v>
      </c>
      <c r="M379" s="378"/>
      <c r="N379" s="378"/>
      <c r="O379" s="378"/>
      <c r="P379" s="378"/>
      <c r="Q379" s="378"/>
      <c r="R379" s="378"/>
      <c r="S379" s="378"/>
      <c r="T379" s="378"/>
      <c r="U379" s="378"/>
      <c r="V379" s="378"/>
      <c r="W379" s="378"/>
      <c r="X379" s="378"/>
      <c r="Y379" s="378"/>
      <c r="Z379" s="378"/>
    </row>
    <row r="380" ht="16.5" customHeight="1">
      <c r="A380" s="378" t="s">
        <v>845</v>
      </c>
      <c r="B380" s="378" t="s">
        <v>931</v>
      </c>
      <c r="C380" s="378" t="s">
        <v>845</v>
      </c>
      <c r="D380" s="378" t="s">
        <v>1740</v>
      </c>
      <c r="E380" s="378" t="s">
        <v>2307</v>
      </c>
      <c r="F380" s="378" t="s">
        <v>2308</v>
      </c>
      <c r="G380" s="378"/>
      <c r="H380" s="378"/>
      <c r="I380" s="378"/>
      <c r="J380" s="378"/>
      <c r="K380" s="378"/>
      <c r="L380" s="378" t="s">
        <v>931</v>
      </c>
      <c r="M380" s="378"/>
      <c r="N380" s="378"/>
      <c r="O380" s="378"/>
      <c r="P380" s="378"/>
      <c r="Q380" s="378"/>
      <c r="R380" s="378"/>
      <c r="S380" s="378"/>
      <c r="T380" s="378"/>
      <c r="U380" s="378"/>
      <c r="V380" s="378"/>
      <c r="W380" s="378"/>
      <c r="X380" s="378"/>
      <c r="Y380" s="378"/>
      <c r="Z380" s="378"/>
    </row>
    <row r="381" ht="16.5" customHeight="1">
      <c r="A381" s="378" t="s">
        <v>845</v>
      </c>
      <c r="B381" s="378" t="s">
        <v>933</v>
      </c>
      <c r="C381" s="378" t="s">
        <v>845</v>
      </c>
      <c r="D381" s="378" t="s">
        <v>1741</v>
      </c>
      <c r="E381" s="378" t="s">
        <v>2309</v>
      </c>
      <c r="F381" s="378" t="s">
        <v>2310</v>
      </c>
      <c r="G381" s="378"/>
      <c r="H381" s="378"/>
      <c r="I381" s="378"/>
      <c r="J381" s="378"/>
      <c r="K381" s="378"/>
      <c r="L381" s="378" t="s">
        <v>933</v>
      </c>
      <c r="M381" s="378"/>
      <c r="N381" s="378"/>
      <c r="O381" s="378"/>
      <c r="P381" s="378"/>
      <c r="Q381" s="378"/>
      <c r="R381" s="378"/>
      <c r="S381" s="378"/>
      <c r="T381" s="378"/>
      <c r="U381" s="378"/>
      <c r="V381" s="378"/>
      <c r="W381" s="378"/>
      <c r="X381" s="378"/>
      <c r="Y381" s="378"/>
      <c r="Z381" s="378"/>
    </row>
    <row r="382" ht="16.5" customHeight="1">
      <c r="A382" s="378" t="s">
        <v>845</v>
      </c>
      <c r="B382" s="378" t="s">
        <v>935</v>
      </c>
      <c r="C382" s="378" t="s">
        <v>845</v>
      </c>
      <c r="D382" s="378" t="s">
        <v>1742</v>
      </c>
      <c r="E382" s="378" t="s">
        <v>2311</v>
      </c>
      <c r="F382" s="378" t="s">
        <v>2312</v>
      </c>
      <c r="G382" s="378"/>
      <c r="H382" s="378"/>
      <c r="I382" s="378"/>
      <c r="J382" s="378"/>
      <c r="K382" s="378"/>
      <c r="L382" s="378" t="s">
        <v>935</v>
      </c>
      <c r="M382" s="378"/>
      <c r="N382" s="378"/>
      <c r="O382" s="378"/>
      <c r="P382" s="378"/>
      <c r="Q382" s="378"/>
      <c r="R382" s="378"/>
      <c r="S382" s="378"/>
      <c r="T382" s="378"/>
      <c r="U382" s="378"/>
      <c r="V382" s="378"/>
      <c r="W382" s="378"/>
      <c r="X382" s="378"/>
      <c r="Y382" s="378"/>
      <c r="Z382" s="378"/>
    </row>
    <row r="383" ht="16.5" customHeight="1">
      <c r="A383" s="378" t="s">
        <v>845</v>
      </c>
      <c r="B383" s="378" t="s">
        <v>937</v>
      </c>
      <c r="C383" s="378" t="s">
        <v>845</v>
      </c>
      <c r="D383" s="378" t="s">
        <v>1743</v>
      </c>
      <c r="E383" s="378" t="s">
        <v>2313</v>
      </c>
      <c r="F383" s="378" t="s">
        <v>2314</v>
      </c>
      <c r="G383" s="378"/>
      <c r="H383" s="378"/>
      <c r="I383" s="378"/>
      <c r="J383" s="378"/>
      <c r="K383" s="378"/>
      <c r="L383" s="378" t="s">
        <v>937</v>
      </c>
      <c r="M383" s="378"/>
      <c r="N383" s="378"/>
      <c r="O383" s="378"/>
      <c r="P383" s="378"/>
      <c r="Q383" s="378"/>
      <c r="R383" s="378"/>
      <c r="S383" s="378"/>
      <c r="T383" s="378"/>
      <c r="U383" s="378"/>
      <c r="V383" s="378"/>
      <c r="W383" s="378"/>
      <c r="X383" s="378"/>
      <c r="Y383" s="378"/>
      <c r="Z383" s="378"/>
    </row>
    <row r="384" ht="16.5" customHeight="1">
      <c r="A384" s="378" t="s">
        <v>845</v>
      </c>
      <c r="B384" s="378" t="s">
        <v>939</v>
      </c>
      <c r="C384" s="378" t="s">
        <v>845</v>
      </c>
      <c r="D384" s="378" t="s">
        <v>1745</v>
      </c>
      <c r="E384" s="378" t="s">
        <v>2315</v>
      </c>
      <c r="F384" s="378" t="s">
        <v>2316</v>
      </c>
      <c r="G384" s="378"/>
      <c r="H384" s="378"/>
      <c r="I384" s="378"/>
      <c r="J384" s="378"/>
      <c r="K384" s="378"/>
      <c r="L384" s="378"/>
      <c r="M384" s="378"/>
      <c r="N384" s="378"/>
      <c r="O384" s="378"/>
      <c r="P384" s="378"/>
      <c r="Q384" s="378"/>
      <c r="R384" s="378"/>
      <c r="S384" s="378"/>
      <c r="T384" s="378"/>
      <c r="U384" s="378"/>
      <c r="V384" s="378"/>
      <c r="W384" s="378"/>
      <c r="X384" s="378"/>
      <c r="Y384" s="378"/>
      <c r="Z384" s="378"/>
    </row>
    <row r="385" ht="16.5" customHeight="1">
      <c r="A385" s="378" t="s">
        <v>845</v>
      </c>
      <c r="B385" s="378" t="s">
        <v>941</v>
      </c>
      <c r="C385" s="378" t="s">
        <v>845</v>
      </c>
      <c r="D385" s="378" t="s">
        <v>1748</v>
      </c>
      <c r="E385" s="378" t="s">
        <v>2317</v>
      </c>
      <c r="F385" s="378" t="s">
        <v>2318</v>
      </c>
      <c r="G385" s="378"/>
      <c r="H385" s="378"/>
      <c r="I385" s="378"/>
      <c r="J385" s="378"/>
      <c r="K385" s="378"/>
      <c r="L385" s="378"/>
      <c r="M385" s="378"/>
      <c r="N385" s="378"/>
      <c r="O385" s="378"/>
      <c r="P385" s="378"/>
      <c r="Q385" s="378"/>
      <c r="R385" s="378"/>
      <c r="S385" s="378"/>
      <c r="T385" s="378"/>
      <c r="U385" s="378"/>
      <c r="V385" s="378"/>
      <c r="W385" s="378"/>
      <c r="X385" s="378"/>
      <c r="Y385" s="378"/>
      <c r="Z385" s="378"/>
    </row>
    <row r="386" ht="16.5" customHeight="1">
      <c r="A386" s="378"/>
      <c r="B386" s="378"/>
      <c r="C386" s="378"/>
      <c r="D386" s="378"/>
      <c r="E386" s="378"/>
      <c r="F386" s="378"/>
      <c r="G386" s="378"/>
      <c r="H386" s="378"/>
      <c r="I386" s="378"/>
      <c r="J386" s="378"/>
      <c r="K386" s="378"/>
      <c r="L386" s="378"/>
      <c r="M386" s="378"/>
      <c r="N386" s="378"/>
      <c r="O386" s="378"/>
      <c r="P386" s="378"/>
      <c r="Q386" s="378"/>
      <c r="R386" s="378"/>
      <c r="S386" s="378"/>
      <c r="T386" s="378"/>
      <c r="U386" s="378"/>
      <c r="V386" s="378"/>
      <c r="W386" s="378"/>
      <c r="X386" s="378"/>
      <c r="Y386" s="378"/>
      <c r="Z386" s="378"/>
    </row>
    <row r="387" ht="16.5" customHeight="1">
      <c r="A387" s="378"/>
      <c r="B387" s="378"/>
      <c r="C387" s="378"/>
      <c r="D387" s="378"/>
      <c r="E387" s="378"/>
      <c r="F387" s="378"/>
      <c r="G387" s="378"/>
      <c r="H387" s="378"/>
      <c r="I387" s="378"/>
      <c r="J387" s="378"/>
      <c r="K387" s="378"/>
      <c r="L387" s="378"/>
      <c r="M387" s="378"/>
      <c r="N387" s="378"/>
      <c r="O387" s="378"/>
      <c r="P387" s="378"/>
      <c r="Q387" s="378"/>
      <c r="R387" s="378"/>
      <c r="S387" s="378"/>
      <c r="T387" s="378"/>
      <c r="U387" s="378"/>
      <c r="V387" s="378"/>
      <c r="W387" s="378"/>
      <c r="X387" s="378"/>
      <c r="Y387" s="378"/>
      <c r="Z387" s="378"/>
    </row>
    <row r="388" ht="16.5" customHeight="1">
      <c r="A388" s="378"/>
      <c r="B388" s="378"/>
      <c r="C388" s="378"/>
      <c r="D388" s="378"/>
      <c r="E388" s="378"/>
      <c r="F388" s="378"/>
      <c r="G388" s="378"/>
      <c r="H388" s="378"/>
      <c r="I388" s="378"/>
      <c r="J388" s="378"/>
      <c r="K388" s="378"/>
      <c r="L388" s="378"/>
      <c r="M388" s="378"/>
      <c r="N388" s="378"/>
      <c r="O388" s="378"/>
      <c r="P388" s="378"/>
      <c r="Q388" s="378"/>
      <c r="R388" s="378"/>
      <c r="S388" s="378"/>
      <c r="T388" s="378"/>
      <c r="U388" s="378"/>
      <c r="V388" s="378"/>
      <c r="W388" s="378"/>
      <c r="X388" s="378"/>
      <c r="Y388" s="378"/>
      <c r="Z388" s="378"/>
    </row>
    <row r="389" ht="16.5" customHeight="1">
      <c r="A389" s="378"/>
      <c r="B389" s="378"/>
      <c r="C389" s="378"/>
      <c r="D389" s="378"/>
      <c r="E389" s="378"/>
      <c r="F389" s="378"/>
      <c r="G389" s="378"/>
      <c r="H389" s="378"/>
      <c r="I389" s="378"/>
      <c r="J389" s="378"/>
      <c r="K389" s="378"/>
      <c r="L389" s="378"/>
      <c r="M389" s="378"/>
      <c r="N389" s="378"/>
      <c r="O389" s="378"/>
      <c r="P389" s="378"/>
      <c r="Q389" s="378"/>
      <c r="R389" s="378"/>
      <c r="S389" s="378"/>
      <c r="T389" s="378"/>
      <c r="U389" s="378"/>
      <c r="V389" s="378"/>
      <c r="W389" s="378"/>
      <c r="X389" s="378"/>
      <c r="Y389" s="378"/>
      <c r="Z389" s="378"/>
    </row>
    <row r="390" ht="16.5" customHeight="1">
      <c r="A390" s="378"/>
      <c r="B390" s="378"/>
      <c r="C390" s="378"/>
      <c r="D390" s="378"/>
      <c r="E390" s="378"/>
      <c r="F390" s="378"/>
      <c r="G390" s="378"/>
      <c r="H390" s="378"/>
      <c r="I390" s="378"/>
      <c r="J390" s="378"/>
      <c r="K390" s="378"/>
      <c r="L390" s="378"/>
      <c r="M390" s="378"/>
      <c r="N390" s="378"/>
      <c r="O390" s="378"/>
      <c r="P390" s="378"/>
      <c r="Q390" s="378"/>
      <c r="R390" s="378"/>
      <c r="S390" s="378"/>
      <c r="T390" s="378"/>
      <c r="U390" s="378"/>
      <c r="V390" s="378"/>
      <c r="W390" s="378"/>
      <c r="X390" s="378"/>
      <c r="Y390" s="378"/>
      <c r="Z390" s="378"/>
    </row>
    <row r="391" ht="16.5" customHeight="1">
      <c r="A391" s="378"/>
      <c r="B391" s="378"/>
      <c r="C391" s="378"/>
      <c r="D391" s="378"/>
      <c r="E391" s="378"/>
      <c r="F391" s="378"/>
      <c r="G391" s="378"/>
      <c r="H391" s="378"/>
      <c r="I391" s="378"/>
      <c r="J391" s="378"/>
      <c r="K391" s="378"/>
      <c r="L391" s="378"/>
      <c r="M391" s="378"/>
      <c r="N391" s="378"/>
      <c r="O391" s="378"/>
      <c r="P391" s="378"/>
      <c r="Q391" s="378"/>
      <c r="R391" s="378"/>
      <c r="S391" s="378"/>
      <c r="T391" s="378"/>
      <c r="U391" s="378"/>
      <c r="V391" s="378"/>
      <c r="W391" s="378"/>
      <c r="X391" s="378"/>
      <c r="Y391" s="378"/>
      <c r="Z391" s="378"/>
    </row>
    <row r="392" ht="16.5" customHeight="1">
      <c r="A392" s="378"/>
      <c r="B392" s="378"/>
      <c r="C392" s="378"/>
      <c r="D392" s="378"/>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row>
    <row r="393" ht="16.5" customHeight="1">
      <c r="A393" s="378"/>
      <c r="B393" s="378"/>
      <c r="C393" s="378"/>
      <c r="D393" s="378"/>
      <c r="E393" s="378"/>
      <c r="F393" s="378"/>
      <c r="G393" s="378"/>
      <c r="H393" s="378"/>
      <c r="I393" s="378"/>
      <c r="J393" s="378"/>
      <c r="K393" s="378"/>
      <c r="L393" s="378"/>
      <c r="M393" s="378"/>
      <c r="N393" s="378"/>
      <c r="O393" s="378"/>
      <c r="P393" s="378"/>
      <c r="Q393" s="378"/>
      <c r="R393" s="378"/>
      <c r="S393" s="378"/>
      <c r="T393" s="378"/>
      <c r="U393" s="378"/>
      <c r="V393" s="378"/>
      <c r="W393" s="378"/>
      <c r="X393" s="378"/>
      <c r="Y393" s="378"/>
      <c r="Z393" s="378"/>
    </row>
    <row r="394" ht="16.5" customHeight="1">
      <c r="A394" s="378"/>
      <c r="B394" s="378"/>
      <c r="C394" s="378"/>
      <c r="D394" s="378"/>
      <c r="E394" s="378"/>
      <c r="F394" s="378"/>
      <c r="G394" s="378"/>
      <c r="H394" s="378"/>
      <c r="I394" s="378"/>
      <c r="J394" s="378"/>
      <c r="K394" s="378"/>
      <c r="L394" s="378"/>
      <c r="M394" s="378"/>
      <c r="N394" s="378"/>
      <c r="O394" s="378"/>
      <c r="P394" s="378"/>
      <c r="Q394" s="378"/>
      <c r="R394" s="378"/>
      <c r="S394" s="378"/>
      <c r="T394" s="378"/>
      <c r="U394" s="378"/>
      <c r="V394" s="378"/>
      <c r="W394" s="378"/>
      <c r="X394" s="378"/>
      <c r="Y394" s="378"/>
      <c r="Z394" s="378"/>
    </row>
    <row r="395" ht="16.5" customHeight="1">
      <c r="A395" s="378"/>
      <c r="B395" s="378"/>
      <c r="C395" s="378"/>
      <c r="D395" s="378"/>
      <c r="E395" s="378"/>
      <c r="F395" s="378"/>
      <c r="G395" s="378"/>
      <c r="H395" s="378"/>
      <c r="I395" s="378"/>
      <c r="J395" s="378"/>
      <c r="K395" s="378"/>
      <c r="L395" s="378"/>
      <c r="M395" s="378"/>
      <c r="N395" s="378"/>
      <c r="O395" s="378"/>
      <c r="P395" s="378"/>
      <c r="Q395" s="378"/>
      <c r="R395" s="378"/>
      <c r="S395" s="378"/>
      <c r="T395" s="378"/>
      <c r="U395" s="378"/>
      <c r="V395" s="378"/>
      <c r="W395" s="378"/>
      <c r="X395" s="378"/>
      <c r="Y395" s="378"/>
      <c r="Z395" s="378"/>
    </row>
    <row r="396" ht="16.5" customHeight="1">
      <c r="A396" s="378"/>
      <c r="B396" s="378"/>
      <c r="C396" s="378"/>
      <c r="D396" s="378"/>
      <c r="E396" s="378"/>
      <c r="F396" s="378"/>
      <c r="G396" s="378"/>
      <c r="H396" s="378"/>
      <c r="I396" s="378"/>
      <c r="J396" s="378"/>
      <c r="K396" s="378"/>
      <c r="L396" s="378"/>
      <c r="M396" s="378"/>
      <c r="N396" s="378"/>
      <c r="O396" s="378"/>
      <c r="P396" s="378"/>
      <c r="Q396" s="378"/>
      <c r="R396" s="378"/>
      <c r="S396" s="378"/>
      <c r="T396" s="378"/>
      <c r="U396" s="378"/>
      <c r="V396" s="378"/>
      <c r="W396" s="378"/>
      <c r="X396" s="378"/>
      <c r="Y396" s="378"/>
      <c r="Z396" s="378"/>
    </row>
    <row r="397" ht="16.5" customHeight="1">
      <c r="A397" s="378"/>
      <c r="B397" s="378"/>
      <c r="C397" s="378"/>
      <c r="D397" s="378"/>
      <c r="E397" s="378"/>
      <c r="F397" s="378"/>
      <c r="G397" s="378"/>
      <c r="H397" s="378"/>
      <c r="I397" s="378"/>
      <c r="J397" s="378"/>
      <c r="K397" s="378"/>
      <c r="L397" s="378"/>
      <c r="M397" s="378"/>
      <c r="N397" s="378"/>
      <c r="O397" s="378"/>
      <c r="P397" s="378"/>
      <c r="Q397" s="378"/>
      <c r="R397" s="378"/>
      <c r="S397" s="378"/>
      <c r="T397" s="378"/>
      <c r="U397" s="378"/>
      <c r="V397" s="378"/>
      <c r="W397" s="378"/>
      <c r="X397" s="378"/>
      <c r="Y397" s="378"/>
      <c r="Z397" s="378"/>
    </row>
    <row r="398" ht="16.5" customHeight="1">
      <c r="A398" s="378"/>
      <c r="B398" s="378"/>
      <c r="C398" s="378"/>
      <c r="D398" s="378"/>
      <c r="E398" s="378"/>
      <c r="F398" s="378"/>
      <c r="G398" s="378"/>
      <c r="H398" s="378"/>
      <c r="I398" s="378"/>
      <c r="J398" s="378"/>
      <c r="K398" s="378"/>
      <c r="L398" s="378"/>
      <c r="M398" s="378"/>
      <c r="N398" s="378"/>
      <c r="O398" s="378"/>
      <c r="P398" s="378"/>
      <c r="Q398" s="378"/>
      <c r="R398" s="378"/>
      <c r="S398" s="378"/>
      <c r="T398" s="378"/>
      <c r="U398" s="378"/>
      <c r="V398" s="378"/>
      <c r="W398" s="378"/>
      <c r="X398" s="378"/>
      <c r="Y398" s="378"/>
      <c r="Z398" s="378"/>
    </row>
    <row r="399" ht="16.5" customHeight="1">
      <c r="A399" s="378"/>
      <c r="B399" s="378"/>
      <c r="C399" s="378"/>
      <c r="D399" s="378"/>
      <c r="E399" s="378"/>
      <c r="F399" s="378"/>
      <c r="G399" s="378"/>
      <c r="H399" s="378"/>
      <c r="I399" s="378"/>
      <c r="J399" s="378"/>
      <c r="K399" s="378"/>
      <c r="L399" s="378"/>
      <c r="M399" s="378"/>
      <c r="N399" s="378"/>
      <c r="O399" s="378"/>
      <c r="P399" s="378"/>
      <c r="Q399" s="378"/>
      <c r="R399" s="378"/>
      <c r="S399" s="378"/>
      <c r="T399" s="378"/>
      <c r="U399" s="378"/>
      <c r="V399" s="378"/>
      <c r="W399" s="378"/>
      <c r="X399" s="378"/>
      <c r="Y399" s="378"/>
      <c r="Z399" s="378"/>
    </row>
    <row r="400" ht="16.5" customHeight="1">
      <c r="A400" s="378"/>
      <c r="B400" s="378"/>
      <c r="C400" s="378"/>
      <c r="D400" s="378"/>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row>
    <row r="401" ht="16.5" customHeight="1">
      <c r="A401" s="378"/>
      <c r="B401" s="378"/>
      <c r="C401" s="378"/>
      <c r="D401" s="378"/>
      <c r="E401" s="378"/>
      <c r="F401" s="378"/>
      <c r="G401" s="378"/>
      <c r="H401" s="378"/>
      <c r="I401" s="378"/>
      <c r="J401" s="378"/>
      <c r="K401" s="378"/>
      <c r="L401" s="378"/>
      <c r="M401" s="378"/>
      <c r="N401" s="378"/>
      <c r="O401" s="378"/>
      <c r="P401" s="378"/>
      <c r="Q401" s="378"/>
      <c r="R401" s="378"/>
      <c r="S401" s="378"/>
      <c r="T401" s="378"/>
      <c r="U401" s="378"/>
      <c r="V401" s="378"/>
      <c r="W401" s="378"/>
      <c r="X401" s="378"/>
      <c r="Y401" s="378"/>
      <c r="Z401" s="378"/>
    </row>
    <row r="402" ht="16.5" customHeight="1">
      <c r="A402" s="378"/>
      <c r="B402" s="378"/>
      <c r="C402" s="378"/>
      <c r="D402" s="378"/>
      <c r="E402" s="378"/>
      <c r="F402" s="378"/>
      <c r="G402" s="378"/>
      <c r="H402" s="378"/>
      <c r="I402" s="378"/>
      <c r="J402" s="378"/>
      <c r="K402" s="378"/>
      <c r="L402" s="378"/>
      <c r="M402" s="378"/>
      <c r="N402" s="378"/>
      <c r="O402" s="378"/>
      <c r="P402" s="378"/>
      <c r="Q402" s="378"/>
      <c r="R402" s="378"/>
      <c r="S402" s="378"/>
      <c r="T402" s="378"/>
      <c r="U402" s="378"/>
      <c r="V402" s="378"/>
      <c r="W402" s="378"/>
      <c r="X402" s="378"/>
      <c r="Y402" s="378"/>
      <c r="Z402" s="378"/>
    </row>
    <row r="403" ht="16.5" customHeight="1">
      <c r="A403" s="378"/>
      <c r="B403" s="378"/>
      <c r="C403" s="378"/>
      <c r="D403" s="378"/>
      <c r="E403" s="378"/>
      <c r="F403" s="378"/>
      <c r="G403" s="378"/>
      <c r="H403" s="378"/>
      <c r="I403" s="378"/>
      <c r="J403" s="378"/>
      <c r="K403" s="378"/>
      <c r="L403" s="378"/>
      <c r="M403" s="378"/>
      <c r="N403" s="378"/>
      <c r="O403" s="378"/>
      <c r="P403" s="378"/>
      <c r="Q403" s="378"/>
      <c r="R403" s="378"/>
      <c r="S403" s="378"/>
      <c r="T403" s="378"/>
      <c r="U403" s="378"/>
      <c r="V403" s="378"/>
      <c r="W403" s="378"/>
      <c r="X403" s="378"/>
      <c r="Y403" s="378"/>
      <c r="Z403" s="378"/>
    </row>
    <row r="404" ht="16.5" customHeight="1">
      <c r="A404" s="378"/>
      <c r="B404" s="378"/>
      <c r="C404" s="378"/>
      <c r="D404" s="378"/>
      <c r="E404" s="378"/>
      <c r="F404" s="378"/>
      <c r="G404" s="378"/>
      <c r="H404" s="378"/>
      <c r="I404" s="378"/>
      <c r="J404" s="378"/>
      <c r="K404" s="378"/>
      <c r="L404" s="378"/>
      <c r="M404" s="378"/>
      <c r="N404" s="378"/>
      <c r="O404" s="378"/>
      <c r="P404" s="378"/>
      <c r="Q404" s="378"/>
      <c r="R404" s="378"/>
      <c r="S404" s="378"/>
      <c r="T404" s="378"/>
      <c r="U404" s="378"/>
      <c r="V404" s="378"/>
      <c r="W404" s="378"/>
      <c r="X404" s="378"/>
      <c r="Y404" s="378"/>
      <c r="Z404" s="378"/>
    </row>
    <row r="405" ht="16.5" customHeight="1">
      <c r="A405" s="378"/>
      <c r="B405" s="378"/>
      <c r="C405" s="378"/>
      <c r="D405" s="378"/>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row>
    <row r="406" ht="16.5" customHeight="1">
      <c r="A406" s="378"/>
      <c r="B406" s="378"/>
      <c r="C406" s="378"/>
      <c r="D406" s="378"/>
      <c r="E406" s="378"/>
      <c r="F406" s="378"/>
      <c r="G406" s="378"/>
      <c r="H406" s="378"/>
      <c r="I406" s="378"/>
      <c r="J406" s="378"/>
      <c r="K406" s="378"/>
      <c r="L406" s="378"/>
      <c r="M406" s="378"/>
      <c r="N406" s="378"/>
      <c r="O406" s="378"/>
      <c r="P406" s="378"/>
      <c r="Q406" s="378"/>
      <c r="R406" s="378"/>
      <c r="S406" s="378"/>
      <c r="T406" s="378"/>
      <c r="U406" s="378"/>
      <c r="V406" s="378"/>
      <c r="W406" s="378"/>
      <c r="X406" s="378"/>
      <c r="Y406" s="378"/>
      <c r="Z406" s="378"/>
    </row>
    <row r="407" ht="16.5" customHeight="1">
      <c r="A407" s="378"/>
      <c r="B407" s="378"/>
      <c r="C407" s="378"/>
      <c r="D407" s="378"/>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row>
    <row r="408" ht="16.5" customHeight="1">
      <c r="A408" s="170"/>
      <c r="B408" s="378"/>
      <c r="C408" s="378"/>
      <c r="D408" s="378"/>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row>
    <row r="409" ht="16.5" customHeight="1">
      <c r="A409" s="170"/>
      <c r="B409" s="378"/>
      <c r="C409" s="378"/>
      <c r="D409" s="378"/>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row>
    <row r="410" ht="16.5" customHeight="1">
      <c r="A410" s="170"/>
      <c r="B410" s="378"/>
      <c r="C410" s="378"/>
      <c r="D410" s="378"/>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row>
    <row r="411" ht="16.5" customHeight="1">
      <c r="A411" s="170"/>
      <c r="B411" s="378"/>
      <c r="C411" s="378"/>
      <c r="D411" s="378"/>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row>
    <row r="412" ht="16.5" customHeight="1">
      <c r="A412" s="170"/>
      <c r="B412" s="378"/>
      <c r="C412" s="378"/>
      <c r="D412" s="378"/>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row>
    <row r="413" ht="16.5" customHeight="1">
      <c r="A413" s="170"/>
      <c r="B413" s="378"/>
      <c r="C413" s="378"/>
      <c r="D413" s="378"/>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row>
    <row r="414" ht="16.5" customHeight="1">
      <c r="A414" s="170"/>
      <c r="B414" s="378"/>
      <c r="C414" s="378"/>
      <c r="D414" s="378"/>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row>
    <row r="415" ht="16.5" customHeight="1">
      <c r="A415" s="170"/>
      <c r="B415" s="378"/>
      <c r="C415" s="378"/>
      <c r="D415" s="378"/>
      <c r="E415" s="378"/>
      <c r="F415" s="378"/>
      <c r="G415" s="378"/>
      <c r="H415" s="378"/>
      <c r="I415" s="378"/>
      <c r="J415" s="378"/>
      <c r="K415" s="378"/>
      <c r="L415" s="378"/>
      <c r="M415" s="378"/>
      <c r="N415" s="378"/>
      <c r="O415" s="378"/>
      <c r="P415" s="378"/>
      <c r="Q415" s="378"/>
      <c r="R415" s="378"/>
      <c r="S415" s="378"/>
      <c r="T415" s="378"/>
      <c r="U415" s="378"/>
      <c r="V415" s="378"/>
      <c r="W415" s="378"/>
      <c r="X415" s="378"/>
      <c r="Y415" s="378"/>
      <c r="Z415" s="378"/>
    </row>
    <row r="416" ht="16.5" customHeight="1">
      <c r="A416" s="170"/>
      <c r="B416" s="378"/>
      <c r="C416" s="378"/>
      <c r="D416" s="378"/>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row>
    <row r="417" ht="16.5" customHeight="1">
      <c r="A417" s="170"/>
      <c r="B417" s="378"/>
      <c r="C417" s="378"/>
      <c r="D417" s="378"/>
      <c r="E417" s="378"/>
      <c r="F417" s="378"/>
      <c r="G417" s="378"/>
      <c r="H417" s="378"/>
      <c r="I417" s="378"/>
      <c r="J417" s="378"/>
      <c r="K417" s="378"/>
      <c r="L417" s="378"/>
      <c r="M417" s="378"/>
      <c r="N417" s="378"/>
      <c r="O417" s="378"/>
      <c r="P417" s="378"/>
      <c r="Q417" s="378"/>
      <c r="R417" s="378"/>
      <c r="S417" s="378"/>
      <c r="T417" s="378"/>
      <c r="U417" s="378"/>
      <c r="V417" s="378"/>
      <c r="W417" s="378"/>
      <c r="X417" s="378"/>
      <c r="Y417" s="378"/>
      <c r="Z417" s="378"/>
    </row>
    <row r="418" ht="16.5" customHeight="1">
      <c r="A418" s="170"/>
      <c r="B418" s="378"/>
      <c r="C418" s="378"/>
      <c r="D418" s="378"/>
      <c r="E418" s="378"/>
      <c r="F418" s="378"/>
      <c r="G418" s="378"/>
      <c r="H418" s="378"/>
      <c r="I418" s="378"/>
      <c r="J418" s="378"/>
      <c r="K418" s="378"/>
      <c r="L418" s="378"/>
      <c r="M418" s="378"/>
      <c r="N418" s="378"/>
      <c r="O418" s="378"/>
      <c r="P418" s="378"/>
      <c r="Q418" s="378"/>
      <c r="R418" s="378"/>
      <c r="S418" s="378"/>
      <c r="T418" s="378"/>
      <c r="U418" s="378"/>
      <c r="V418" s="378"/>
      <c r="W418" s="378"/>
      <c r="X418" s="378"/>
      <c r="Y418" s="378"/>
      <c r="Z418" s="378"/>
    </row>
    <row r="419" ht="16.5" customHeight="1">
      <c r="A419" s="170"/>
      <c r="B419" s="378"/>
      <c r="C419" s="378"/>
      <c r="D419" s="378"/>
      <c r="E419" s="378"/>
      <c r="F419" s="378"/>
      <c r="G419" s="378"/>
      <c r="H419" s="378"/>
      <c r="I419" s="378"/>
      <c r="J419" s="378"/>
      <c r="K419" s="378"/>
      <c r="L419" s="378"/>
      <c r="M419" s="378"/>
      <c r="N419" s="378"/>
      <c r="O419" s="378"/>
      <c r="P419" s="378"/>
      <c r="Q419" s="378"/>
      <c r="R419" s="378"/>
      <c r="S419" s="378"/>
      <c r="T419" s="378"/>
      <c r="U419" s="378"/>
      <c r="V419" s="378"/>
      <c r="W419" s="378"/>
      <c r="X419" s="378"/>
      <c r="Y419" s="378"/>
      <c r="Z419" s="378"/>
    </row>
    <row r="420" ht="16.5" customHeight="1">
      <c r="A420" s="170"/>
      <c r="B420" s="378"/>
      <c r="C420" s="378"/>
      <c r="D420" s="378"/>
      <c r="E420" s="378"/>
      <c r="F420" s="378"/>
      <c r="G420" s="378"/>
      <c r="H420" s="378"/>
      <c r="I420" s="378"/>
      <c r="J420" s="378"/>
      <c r="K420" s="378"/>
      <c r="L420" s="378"/>
      <c r="M420" s="378"/>
      <c r="N420" s="378"/>
      <c r="O420" s="378"/>
      <c r="P420" s="378"/>
      <c r="Q420" s="378"/>
      <c r="R420" s="378"/>
      <c r="S420" s="378"/>
      <c r="T420" s="378"/>
      <c r="U420" s="378"/>
      <c r="V420" s="378"/>
      <c r="W420" s="378"/>
      <c r="X420" s="378"/>
      <c r="Y420" s="378"/>
      <c r="Z420" s="378"/>
    </row>
    <row r="421" ht="16.5" customHeight="1">
      <c r="A421" s="170"/>
      <c r="B421" s="378"/>
      <c r="C421" s="378"/>
      <c r="D421" s="378"/>
      <c r="E421" s="378"/>
      <c r="F421" s="378"/>
      <c r="G421" s="378"/>
      <c r="H421" s="378"/>
      <c r="I421" s="378"/>
      <c r="J421" s="378"/>
      <c r="K421" s="378"/>
      <c r="L421" s="378"/>
      <c r="M421" s="378"/>
      <c r="N421" s="378"/>
      <c r="O421" s="378"/>
      <c r="P421" s="378"/>
      <c r="Q421" s="378"/>
      <c r="R421" s="378"/>
      <c r="S421" s="378"/>
      <c r="T421" s="378"/>
      <c r="U421" s="378"/>
      <c r="V421" s="378"/>
      <c r="W421" s="378"/>
      <c r="X421" s="378"/>
      <c r="Y421" s="378"/>
      <c r="Z421" s="378"/>
    </row>
    <row r="422" ht="16.5" customHeight="1">
      <c r="A422" s="170"/>
      <c r="B422" s="378"/>
      <c r="C422" s="378"/>
      <c r="D422" s="378"/>
      <c r="E422" s="378"/>
      <c r="F422" s="378"/>
      <c r="G422" s="378"/>
      <c r="H422" s="378"/>
      <c r="I422" s="378"/>
      <c r="J422" s="378"/>
      <c r="K422" s="378"/>
      <c r="L422" s="378"/>
      <c r="M422" s="378"/>
      <c r="N422" s="378"/>
      <c r="O422" s="378"/>
      <c r="P422" s="378"/>
      <c r="Q422" s="378"/>
      <c r="R422" s="378"/>
      <c r="S422" s="378"/>
      <c r="T422" s="378"/>
      <c r="U422" s="378"/>
      <c r="V422" s="378"/>
      <c r="W422" s="378"/>
      <c r="X422" s="378"/>
      <c r="Y422" s="378"/>
      <c r="Z422" s="378"/>
    </row>
    <row r="423" ht="16.5" customHeight="1">
      <c r="A423" s="170"/>
      <c r="B423" s="378"/>
      <c r="C423" s="378"/>
      <c r="D423" s="378"/>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row>
    <row r="424" ht="16.5" customHeight="1">
      <c r="A424" s="170"/>
      <c r="B424" s="378"/>
      <c r="C424" s="378"/>
      <c r="D424" s="378"/>
      <c r="E424" s="378"/>
      <c r="F424" s="378"/>
      <c r="G424" s="378"/>
      <c r="H424" s="378"/>
      <c r="I424" s="378"/>
      <c r="J424" s="378"/>
      <c r="K424" s="378"/>
      <c r="L424" s="378"/>
      <c r="M424" s="378"/>
      <c r="N424" s="378"/>
      <c r="O424" s="378"/>
      <c r="P424" s="378"/>
      <c r="Q424" s="378"/>
      <c r="R424" s="378"/>
      <c r="S424" s="378"/>
      <c r="T424" s="378"/>
      <c r="U424" s="378"/>
      <c r="V424" s="378"/>
      <c r="W424" s="378"/>
      <c r="X424" s="378"/>
      <c r="Y424" s="378"/>
      <c r="Z424" s="378"/>
    </row>
    <row r="425" ht="16.5" customHeight="1">
      <c r="A425" s="170"/>
      <c r="B425" s="378"/>
      <c r="C425" s="378"/>
      <c r="D425" s="378"/>
      <c r="E425" s="378"/>
      <c r="F425" s="378"/>
      <c r="G425" s="378"/>
      <c r="H425" s="378"/>
      <c r="I425" s="378"/>
      <c r="J425" s="378"/>
      <c r="K425" s="378"/>
      <c r="L425" s="378"/>
      <c r="M425" s="378"/>
      <c r="N425" s="378"/>
      <c r="O425" s="378"/>
      <c r="P425" s="378"/>
      <c r="Q425" s="378"/>
      <c r="R425" s="378"/>
      <c r="S425" s="378"/>
      <c r="T425" s="378"/>
      <c r="U425" s="378"/>
      <c r="V425" s="378"/>
      <c r="W425" s="378"/>
      <c r="X425" s="378"/>
      <c r="Y425" s="378"/>
      <c r="Z425" s="378"/>
    </row>
    <row r="426" ht="16.5" customHeight="1">
      <c r="A426" s="170"/>
      <c r="B426" s="378"/>
      <c r="C426" s="378"/>
      <c r="D426" s="378"/>
      <c r="E426" s="378"/>
      <c r="F426" s="378"/>
      <c r="G426" s="378"/>
      <c r="H426" s="378"/>
      <c r="I426" s="378"/>
      <c r="J426" s="378"/>
      <c r="K426" s="378"/>
      <c r="L426" s="378"/>
      <c r="M426" s="378"/>
      <c r="N426" s="378"/>
      <c r="O426" s="378"/>
      <c r="P426" s="378"/>
      <c r="Q426" s="378"/>
      <c r="R426" s="378"/>
      <c r="S426" s="378"/>
      <c r="T426" s="378"/>
      <c r="U426" s="378"/>
      <c r="V426" s="378"/>
      <c r="W426" s="378"/>
      <c r="X426" s="378"/>
      <c r="Y426" s="378"/>
      <c r="Z426" s="378"/>
    </row>
    <row r="427" ht="16.5" customHeight="1">
      <c r="A427" s="170"/>
      <c r="B427" s="378"/>
      <c r="C427" s="378"/>
      <c r="D427" s="378"/>
      <c r="E427" s="378"/>
      <c r="F427" s="378"/>
      <c r="G427" s="378"/>
      <c r="H427" s="378"/>
      <c r="I427" s="378"/>
      <c r="J427" s="378"/>
      <c r="K427" s="378"/>
      <c r="L427" s="378"/>
      <c r="M427" s="378"/>
      <c r="N427" s="378"/>
      <c r="O427" s="378"/>
      <c r="P427" s="378"/>
      <c r="Q427" s="378"/>
      <c r="R427" s="378"/>
      <c r="S427" s="378"/>
      <c r="T427" s="378"/>
      <c r="U427" s="378"/>
      <c r="V427" s="378"/>
      <c r="W427" s="378"/>
      <c r="X427" s="378"/>
      <c r="Y427" s="378"/>
      <c r="Z427" s="378"/>
    </row>
    <row r="428" ht="16.5" customHeight="1">
      <c r="A428" s="170"/>
      <c r="B428" s="378"/>
      <c r="C428" s="378"/>
      <c r="D428" s="378"/>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row>
    <row r="429" ht="16.5" customHeight="1">
      <c r="A429" s="170"/>
      <c r="B429" s="378"/>
      <c r="C429" s="378"/>
      <c r="D429" s="378"/>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row>
    <row r="430" ht="16.5" customHeight="1">
      <c r="A430" s="170"/>
      <c r="B430" s="378"/>
      <c r="C430" s="378"/>
      <c r="D430" s="378"/>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row>
    <row r="431" ht="16.5" customHeight="1">
      <c r="A431" s="170"/>
      <c r="B431" s="378"/>
      <c r="C431" s="378"/>
      <c r="D431" s="378"/>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row>
    <row r="432" ht="16.5" customHeight="1">
      <c r="A432" s="170"/>
      <c r="B432" s="378"/>
      <c r="C432" s="378"/>
      <c r="D432" s="378"/>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row>
    <row r="433" ht="16.5" customHeight="1">
      <c r="A433" s="378"/>
      <c r="B433" s="378"/>
      <c r="C433" s="378"/>
      <c r="D433" s="378"/>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row>
    <row r="434" ht="16.5" customHeight="1">
      <c r="A434" s="378"/>
      <c r="B434" s="378"/>
      <c r="C434" s="378"/>
      <c r="D434" s="378"/>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row>
    <row r="435" ht="16.5" customHeight="1">
      <c r="A435" s="378"/>
      <c r="B435" s="378"/>
      <c r="C435" s="378"/>
      <c r="D435" s="378"/>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row>
    <row r="436" ht="16.5" customHeight="1">
      <c r="A436" s="378"/>
      <c r="B436" s="378"/>
      <c r="C436" s="378"/>
      <c r="D436" s="378"/>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row>
    <row r="437" ht="16.5" customHeight="1">
      <c r="A437" s="378"/>
      <c r="B437" s="378"/>
      <c r="C437" s="378"/>
      <c r="D437" s="378"/>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row>
    <row r="438" ht="16.5" customHeight="1">
      <c r="A438" s="378"/>
      <c r="B438" s="378"/>
      <c r="C438" s="378"/>
      <c r="D438" s="378"/>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row>
    <row r="439" ht="16.5" customHeight="1">
      <c r="A439" s="378"/>
      <c r="B439" s="378"/>
      <c r="C439" s="378"/>
      <c r="D439" s="378"/>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row>
    <row r="440" ht="16.5" customHeight="1">
      <c r="A440" s="378"/>
      <c r="B440" s="378"/>
      <c r="C440" s="378"/>
      <c r="D440" s="378"/>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row>
    <row r="441" ht="16.5" customHeight="1">
      <c r="A441" s="378"/>
      <c r="B441" s="378"/>
      <c r="C441" s="378"/>
      <c r="D441" s="378"/>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row>
    <row r="442" ht="16.5" customHeight="1">
      <c r="A442" s="378"/>
      <c r="B442" s="378"/>
      <c r="C442" s="378"/>
      <c r="D442" s="378"/>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row>
    <row r="443" ht="16.5" customHeight="1">
      <c r="A443" s="378"/>
      <c r="B443" s="378"/>
      <c r="C443" s="378"/>
      <c r="D443" s="378"/>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row>
    <row r="444" ht="16.5" customHeight="1">
      <c r="A444" s="378"/>
      <c r="B444" s="378"/>
      <c r="C444" s="378"/>
      <c r="D444" s="378"/>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row>
    <row r="445" ht="16.5" customHeight="1">
      <c r="A445" s="378"/>
      <c r="B445" s="378"/>
      <c r="C445" s="378"/>
      <c r="D445" s="378"/>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row>
    <row r="446" ht="16.5" customHeight="1">
      <c r="A446" s="378"/>
      <c r="B446" s="378"/>
      <c r="C446" s="378"/>
      <c r="D446" s="378"/>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row>
    <row r="447" ht="16.5" customHeight="1">
      <c r="A447" s="378"/>
      <c r="B447" s="378"/>
      <c r="C447" s="378"/>
      <c r="D447" s="378"/>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row>
    <row r="448" ht="16.5" customHeight="1">
      <c r="A448" s="378"/>
      <c r="B448" s="378"/>
      <c r="C448" s="378"/>
      <c r="D448" s="378"/>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row>
    <row r="449" ht="16.5" customHeight="1">
      <c r="A449" s="378"/>
      <c r="B449" s="378"/>
      <c r="C449" s="378"/>
      <c r="D449" s="378"/>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row>
    <row r="450" ht="16.5" customHeight="1">
      <c r="A450" s="378"/>
      <c r="B450" s="378"/>
      <c r="C450" s="378"/>
      <c r="D450" s="378"/>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row>
    <row r="451" ht="16.5" customHeight="1">
      <c r="A451" s="378"/>
      <c r="B451" s="378"/>
      <c r="C451" s="378"/>
      <c r="D451" s="378"/>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row>
    <row r="452" ht="16.5" customHeight="1">
      <c r="A452" s="378"/>
      <c r="B452" s="378"/>
      <c r="C452" s="378"/>
      <c r="D452" s="378"/>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row>
    <row r="453" ht="16.5" customHeight="1">
      <c r="A453" s="378"/>
      <c r="B453" s="378"/>
      <c r="C453" s="378"/>
      <c r="D453" s="378"/>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row>
    <row r="454" ht="16.5" customHeight="1">
      <c r="A454" s="378"/>
      <c r="B454" s="378"/>
      <c r="C454" s="378"/>
      <c r="D454" s="378"/>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row>
    <row r="455" ht="16.5" customHeight="1">
      <c r="A455" s="378"/>
      <c r="B455" s="378"/>
      <c r="C455" s="378"/>
      <c r="D455" s="378"/>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row>
    <row r="456" ht="16.5" customHeight="1">
      <c r="A456" s="378"/>
      <c r="B456" s="378"/>
      <c r="C456" s="378"/>
      <c r="D456" s="378"/>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row>
    <row r="457" ht="16.5" customHeight="1">
      <c r="A457" s="378"/>
      <c r="B457" s="378"/>
      <c r="C457" s="378"/>
      <c r="D457" s="378"/>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row>
    <row r="458" ht="16.5" customHeight="1">
      <c r="A458" s="378"/>
      <c r="B458" s="378"/>
      <c r="C458" s="378"/>
      <c r="D458" s="378"/>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row>
    <row r="459" ht="16.5" customHeight="1">
      <c r="A459" s="378"/>
      <c r="B459" s="378"/>
      <c r="C459" s="378"/>
      <c r="D459" s="378"/>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row>
    <row r="460" ht="16.5" customHeight="1">
      <c r="A460" s="378"/>
      <c r="B460" s="378"/>
      <c r="C460" s="378"/>
      <c r="D460" s="378"/>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row>
    <row r="461" ht="16.5" customHeight="1">
      <c r="A461" s="378"/>
      <c r="B461" s="378"/>
      <c r="C461" s="378"/>
      <c r="D461" s="378"/>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row>
    <row r="462" ht="16.5" customHeight="1">
      <c r="A462" s="378"/>
      <c r="B462" s="378"/>
      <c r="C462" s="378"/>
      <c r="D462" s="378"/>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row>
    <row r="463" ht="16.5" customHeight="1">
      <c r="A463" s="378"/>
      <c r="B463" s="378"/>
      <c r="C463" s="378"/>
      <c r="D463" s="378"/>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row>
    <row r="464" ht="16.5" customHeight="1">
      <c r="A464" s="378"/>
      <c r="B464" s="378"/>
      <c r="C464" s="378"/>
      <c r="D464" s="378"/>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row>
    <row r="465" ht="16.5" customHeight="1">
      <c r="A465" s="378"/>
      <c r="B465" s="378"/>
      <c r="C465" s="378"/>
      <c r="D465" s="378"/>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row>
    <row r="466" ht="16.5" customHeight="1">
      <c r="A466" s="378"/>
      <c r="B466" s="378"/>
      <c r="C466" s="378"/>
      <c r="D466" s="378"/>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row>
    <row r="467" ht="16.5" customHeight="1">
      <c r="A467" s="378"/>
      <c r="B467" s="378"/>
      <c r="C467" s="378"/>
      <c r="D467" s="378"/>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row>
    <row r="468" ht="16.5" customHeight="1">
      <c r="A468" s="378"/>
      <c r="B468" s="378"/>
      <c r="C468" s="378"/>
      <c r="D468" s="378"/>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row>
    <row r="469" ht="16.5" customHeight="1">
      <c r="A469" s="378"/>
      <c r="B469" s="378"/>
      <c r="C469" s="378"/>
      <c r="D469" s="378"/>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row>
    <row r="470" ht="16.5" customHeight="1">
      <c r="A470" s="378"/>
      <c r="B470" s="378"/>
      <c r="C470" s="378"/>
      <c r="D470" s="378"/>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row>
    <row r="471" ht="16.5" customHeight="1">
      <c r="A471" s="378"/>
      <c r="B471" s="378"/>
      <c r="C471" s="378"/>
      <c r="D471" s="378"/>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row>
    <row r="472" ht="16.5" customHeight="1">
      <c r="A472" s="378"/>
      <c r="B472" s="378"/>
      <c r="C472" s="378"/>
      <c r="D472" s="378"/>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row>
    <row r="473" ht="16.5" customHeight="1">
      <c r="A473" s="378"/>
      <c r="B473" s="378"/>
      <c r="C473" s="378"/>
      <c r="D473" s="378"/>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row>
    <row r="474" ht="16.5" customHeight="1">
      <c r="A474" s="378"/>
      <c r="B474" s="378"/>
      <c r="C474" s="378"/>
      <c r="D474" s="378"/>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row>
    <row r="475" ht="16.5" customHeight="1">
      <c r="A475" s="378"/>
      <c r="B475" s="378"/>
      <c r="C475" s="378"/>
      <c r="D475" s="378"/>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row>
    <row r="476" ht="16.5" customHeight="1">
      <c r="A476" s="378"/>
      <c r="B476" s="378"/>
      <c r="C476" s="378"/>
      <c r="D476" s="378"/>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row>
    <row r="477" ht="16.5" customHeight="1">
      <c r="A477" s="378"/>
      <c r="B477" s="378"/>
      <c r="C477" s="378"/>
      <c r="D477" s="378"/>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row>
    <row r="478" ht="16.5" customHeight="1">
      <c r="A478" s="378"/>
      <c r="B478" s="378"/>
      <c r="C478" s="378"/>
      <c r="D478" s="378"/>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row>
    <row r="479" ht="16.5" customHeight="1">
      <c r="A479" s="378"/>
      <c r="B479" s="378"/>
      <c r="C479" s="378"/>
      <c r="D479" s="378"/>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row>
    <row r="480" ht="16.5" customHeight="1">
      <c r="A480" s="378"/>
      <c r="B480" s="378"/>
      <c r="C480" s="378"/>
      <c r="D480" s="378"/>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row>
    <row r="481" ht="16.5" customHeight="1">
      <c r="A481" s="378"/>
      <c r="B481" s="378"/>
      <c r="C481" s="378"/>
      <c r="D481" s="378"/>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row>
    <row r="482" ht="16.5" customHeight="1">
      <c r="A482" s="378"/>
      <c r="B482" s="378"/>
      <c r="C482" s="378"/>
      <c r="D482" s="378"/>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row>
    <row r="483" ht="16.5" customHeight="1">
      <c r="A483" s="378"/>
      <c r="B483" s="378"/>
      <c r="C483" s="378"/>
      <c r="D483" s="378"/>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row>
    <row r="484" ht="16.5" customHeight="1">
      <c r="A484" s="378"/>
      <c r="B484" s="378"/>
      <c r="C484" s="378"/>
      <c r="D484" s="378"/>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row>
    <row r="485" ht="16.5" customHeight="1">
      <c r="A485" s="378"/>
      <c r="B485" s="378"/>
      <c r="C485" s="378"/>
      <c r="D485" s="378"/>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row>
    <row r="486" ht="16.5" customHeight="1">
      <c r="A486" s="378"/>
      <c r="B486" s="378"/>
      <c r="C486" s="378"/>
      <c r="D486" s="378"/>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row>
    <row r="487" ht="16.5" customHeight="1">
      <c r="A487" s="378"/>
      <c r="B487" s="378"/>
      <c r="C487" s="378"/>
      <c r="D487" s="378"/>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row>
    <row r="488" ht="16.5" customHeight="1">
      <c r="A488" s="378"/>
      <c r="B488" s="378"/>
      <c r="C488" s="378"/>
      <c r="D488" s="378"/>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row>
    <row r="489" ht="16.5" customHeight="1">
      <c r="A489" s="378"/>
      <c r="B489" s="378"/>
      <c r="C489" s="378"/>
      <c r="D489" s="378"/>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row>
    <row r="490" ht="16.5" customHeight="1">
      <c r="A490" s="378"/>
      <c r="B490" s="378"/>
      <c r="C490" s="378"/>
      <c r="D490" s="378"/>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row>
    <row r="491" ht="16.5" customHeight="1">
      <c r="A491" s="378"/>
      <c r="B491" s="378"/>
      <c r="C491" s="378"/>
      <c r="D491" s="378"/>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row>
    <row r="492" ht="16.5" customHeight="1">
      <c r="A492" s="378"/>
      <c r="B492" s="378"/>
      <c r="C492" s="378"/>
      <c r="D492" s="378"/>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row>
    <row r="493" ht="16.5" customHeight="1">
      <c r="A493" s="378"/>
      <c r="B493" s="378"/>
      <c r="C493" s="378"/>
      <c r="D493" s="378"/>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row>
    <row r="494" ht="16.5" customHeight="1">
      <c r="A494" s="378"/>
      <c r="B494" s="378"/>
      <c r="C494" s="378"/>
      <c r="D494" s="378"/>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row>
    <row r="495" ht="16.5" customHeight="1">
      <c r="A495" s="378"/>
      <c r="B495" s="378"/>
      <c r="C495" s="378"/>
      <c r="D495" s="378"/>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row>
    <row r="496" ht="16.5" customHeight="1">
      <c r="A496" s="378"/>
      <c r="B496" s="378"/>
      <c r="C496" s="378"/>
      <c r="D496" s="378"/>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row>
    <row r="497" ht="16.5" customHeight="1">
      <c r="A497" s="378"/>
      <c r="B497" s="378"/>
      <c r="C497" s="378"/>
      <c r="D497" s="378"/>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row>
    <row r="498" ht="16.5" customHeight="1">
      <c r="A498" s="378"/>
      <c r="B498" s="378"/>
      <c r="C498" s="378"/>
      <c r="D498" s="378"/>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row>
    <row r="499" ht="16.5" customHeight="1">
      <c r="A499" s="378"/>
      <c r="B499" s="378"/>
      <c r="C499" s="378"/>
      <c r="D499" s="378"/>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row>
    <row r="500" ht="16.5" customHeight="1">
      <c r="A500" s="378"/>
      <c r="B500" s="378"/>
      <c r="C500" s="378"/>
      <c r="D500" s="378"/>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row>
    <row r="501" ht="16.5" customHeight="1">
      <c r="A501" s="378"/>
      <c r="B501" s="378"/>
      <c r="C501" s="378"/>
      <c r="D501" s="378"/>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row>
    <row r="502" ht="16.5" customHeight="1">
      <c r="A502" s="378"/>
      <c r="B502" s="378"/>
      <c r="C502" s="378"/>
      <c r="D502" s="378"/>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row>
    <row r="503" ht="16.5" customHeight="1">
      <c r="A503" s="378"/>
      <c r="B503" s="378"/>
      <c r="C503" s="378"/>
      <c r="D503" s="378"/>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row>
    <row r="504" ht="16.5" customHeight="1">
      <c r="A504" s="378"/>
      <c r="B504" s="378"/>
      <c r="C504" s="378"/>
      <c r="D504" s="378"/>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row>
    <row r="505" ht="16.5" customHeight="1">
      <c r="A505" s="378"/>
      <c r="B505" s="378"/>
      <c r="C505" s="378"/>
      <c r="D505" s="378"/>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row>
    <row r="506" ht="16.5" customHeight="1">
      <c r="A506" s="378"/>
      <c r="B506" s="378"/>
      <c r="C506" s="378"/>
      <c r="D506" s="378"/>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row>
    <row r="507" ht="16.5" customHeight="1">
      <c r="A507" s="378"/>
      <c r="B507" s="378"/>
      <c r="C507" s="378"/>
      <c r="D507" s="378"/>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row>
    <row r="508" ht="16.5" customHeight="1">
      <c r="A508" s="378"/>
      <c r="B508" s="378"/>
      <c r="C508" s="378"/>
      <c r="D508" s="378"/>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row>
    <row r="509" ht="16.5" customHeight="1">
      <c r="A509" s="378"/>
      <c r="B509" s="378"/>
      <c r="C509" s="378"/>
      <c r="D509" s="378"/>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row>
    <row r="510" ht="16.5" customHeight="1">
      <c r="A510" s="378"/>
      <c r="B510" s="378"/>
      <c r="C510" s="378"/>
      <c r="D510" s="378"/>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row>
    <row r="511" ht="16.5" customHeight="1">
      <c r="A511" s="378"/>
      <c r="B511" s="378"/>
      <c r="C511" s="378"/>
      <c r="D511" s="378"/>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row>
    <row r="512" ht="16.5" customHeight="1">
      <c r="A512" s="378"/>
      <c r="B512" s="378"/>
      <c r="C512" s="378"/>
      <c r="D512" s="378"/>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row>
    <row r="513" ht="16.5" customHeight="1">
      <c r="A513" s="378"/>
      <c r="B513" s="378"/>
      <c r="C513" s="378"/>
      <c r="D513" s="378"/>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row>
    <row r="514" ht="16.5" customHeight="1">
      <c r="A514" s="378"/>
      <c r="B514" s="378"/>
      <c r="C514" s="378"/>
      <c r="D514" s="378"/>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row>
    <row r="515" ht="16.5" customHeight="1">
      <c r="A515" s="378"/>
      <c r="B515" s="378"/>
      <c r="C515" s="378"/>
      <c r="D515" s="378"/>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row>
    <row r="516" ht="16.5" customHeight="1">
      <c r="A516" s="378"/>
      <c r="B516" s="378"/>
      <c r="C516" s="378"/>
      <c r="D516" s="378"/>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row>
    <row r="517" ht="16.5" customHeight="1">
      <c r="A517" s="378"/>
      <c r="B517" s="378"/>
      <c r="C517" s="378"/>
      <c r="D517" s="378"/>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row>
    <row r="518" ht="16.5" customHeight="1">
      <c r="A518" s="378"/>
      <c r="B518" s="378"/>
      <c r="C518" s="378"/>
      <c r="D518" s="378"/>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row>
    <row r="519" ht="16.5" customHeight="1">
      <c r="A519" s="378"/>
      <c r="B519" s="378"/>
      <c r="C519" s="378"/>
      <c r="D519" s="378"/>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row>
    <row r="520" ht="16.5" customHeight="1">
      <c r="A520" s="378"/>
      <c r="B520" s="378"/>
      <c r="C520" s="378"/>
      <c r="D520" s="378"/>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row>
    <row r="521" ht="16.5" customHeight="1">
      <c r="A521" s="378"/>
      <c r="B521" s="378"/>
      <c r="C521" s="378"/>
      <c r="D521" s="378"/>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row>
    <row r="522" ht="16.5" customHeight="1">
      <c r="A522" s="378"/>
      <c r="B522" s="378"/>
      <c r="C522" s="378"/>
      <c r="D522" s="378"/>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row>
    <row r="523" ht="16.5" customHeight="1">
      <c r="A523" s="378"/>
      <c r="B523" s="378"/>
      <c r="C523" s="378"/>
      <c r="D523" s="378"/>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row>
    <row r="524" ht="16.5" customHeight="1">
      <c r="A524" s="378"/>
      <c r="B524" s="378"/>
      <c r="C524" s="378"/>
      <c r="D524" s="378"/>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row>
    <row r="525" ht="16.5" customHeight="1">
      <c r="A525" s="378"/>
      <c r="B525" s="378"/>
      <c r="C525" s="378"/>
      <c r="D525" s="378"/>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row>
    <row r="526" ht="16.5" customHeight="1">
      <c r="A526" s="378"/>
      <c r="B526" s="378"/>
      <c r="C526" s="378"/>
      <c r="D526" s="378"/>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row>
    <row r="527" ht="16.5" customHeight="1">
      <c r="A527" s="378"/>
      <c r="B527" s="378"/>
      <c r="C527" s="378"/>
      <c r="D527" s="378"/>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row>
    <row r="528" ht="16.5" customHeight="1">
      <c r="A528" s="378"/>
      <c r="B528" s="378"/>
      <c r="C528" s="378"/>
      <c r="D528" s="378"/>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row>
    <row r="529" ht="16.5" customHeight="1">
      <c r="A529" s="378"/>
      <c r="B529" s="378"/>
      <c r="C529" s="378"/>
      <c r="D529" s="378"/>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row>
    <row r="530" ht="16.5" customHeight="1">
      <c r="A530" s="378"/>
      <c r="B530" s="378"/>
      <c r="C530" s="378"/>
      <c r="D530" s="378"/>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row>
    <row r="531" ht="16.5" customHeight="1">
      <c r="A531" s="378"/>
      <c r="B531" s="378"/>
      <c r="C531" s="378"/>
      <c r="D531" s="378"/>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row>
    <row r="532" ht="16.5" customHeight="1">
      <c r="A532" s="378"/>
      <c r="B532" s="378"/>
      <c r="C532" s="378"/>
      <c r="D532" s="378"/>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row>
    <row r="533" ht="16.5" customHeight="1">
      <c r="A533" s="378"/>
      <c r="B533" s="378"/>
      <c r="C533" s="378"/>
      <c r="D533" s="378"/>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row>
    <row r="534" ht="16.5" customHeight="1">
      <c r="A534" s="378"/>
      <c r="B534" s="378"/>
      <c r="C534" s="378"/>
      <c r="D534" s="378"/>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row>
    <row r="535" ht="16.5" customHeight="1">
      <c r="A535" s="378"/>
      <c r="B535" s="378"/>
      <c r="C535" s="378"/>
      <c r="D535" s="378"/>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row>
    <row r="536" ht="16.5" customHeight="1">
      <c r="A536" s="378"/>
      <c r="B536" s="378"/>
      <c r="C536" s="378"/>
      <c r="D536" s="378"/>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row>
    <row r="537" ht="16.5" customHeight="1">
      <c r="A537" s="378"/>
      <c r="B537" s="378"/>
      <c r="C537" s="378"/>
      <c r="D537" s="378"/>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row>
    <row r="538" ht="16.5" customHeight="1">
      <c r="A538" s="378"/>
      <c r="B538" s="378"/>
      <c r="C538" s="378"/>
      <c r="D538" s="378"/>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row>
    <row r="539" ht="16.5" customHeight="1">
      <c r="A539" s="378"/>
      <c r="B539" s="378"/>
      <c r="C539" s="378"/>
      <c r="D539" s="378"/>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row>
    <row r="540" ht="16.5" customHeight="1">
      <c r="A540" s="378"/>
      <c r="B540" s="378"/>
      <c r="C540" s="378"/>
      <c r="D540" s="378"/>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row>
    <row r="541" ht="16.5" customHeight="1">
      <c r="A541" s="378"/>
      <c r="B541" s="378"/>
      <c r="C541" s="378"/>
      <c r="D541" s="378"/>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row>
    <row r="542" ht="16.5" customHeight="1">
      <c r="A542" s="378"/>
      <c r="B542" s="378"/>
      <c r="C542" s="378"/>
      <c r="D542" s="378"/>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row>
    <row r="543" ht="16.5" customHeight="1">
      <c r="A543" s="378"/>
      <c r="B543" s="378"/>
      <c r="C543" s="378"/>
      <c r="D543" s="378"/>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row>
    <row r="544" ht="16.5" customHeight="1">
      <c r="A544" s="378"/>
      <c r="B544" s="378"/>
      <c r="C544" s="378"/>
      <c r="D544" s="378"/>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row>
    <row r="545" ht="16.5" customHeight="1">
      <c r="A545" s="378"/>
      <c r="B545" s="378"/>
      <c r="C545" s="378"/>
      <c r="D545" s="378"/>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row>
    <row r="546" ht="16.5" customHeight="1">
      <c r="A546" s="378"/>
      <c r="B546" s="378"/>
      <c r="C546" s="378"/>
      <c r="D546" s="378"/>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row>
    <row r="547" ht="16.5" customHeight="1">
      <c r="A547" s="378"/>
      <c r="B547" s="378"/>
      <c r="C547" s="378"/>
      <c r="D547" s="378"/>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row>
    <row r="548" ht="16.5" customHeight="1">
      <c r="A548" s="378"/>
      <c r="B548" s="378"/>
      <c r="C548" s="378"/>
      <c r="D548" s="378"/>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row>
    <row r="549" ht="16.5" customHeight="1">
      <c r="A549" s="378"/>
      <c r="B549" s="378"/>
      <c r="C549" s="378"/>
      <c r="D549" s="378"/>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row>
    <row r="550" ht="16.5" customHeight="1">
      <c r="A550" s="378"/>
      <c r="B550" s="378"/>
      <c r="C550" s="378"/>
      <c r="D550" s="378"/>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row>
    <row r="551" ht="16.5" customHeight="1">
      <c r="A551" s="378"/>
      <c r="B551" s="378"/>
      <c r="C551" s="378"/>
      <c r="D551" s="378"/>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row>
    <row r="552" ht="16.5" customHeight="1">
      <c r="A552" s="378"/>
      <c r="B552" s="378"/>
      <c r="C552" s="378"/>
      <c r="D552" s="378"/>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row>
    <row r="553" ht="16.5" customHeight="1">
      <c r="A553" s="378"/>
      <c r="B553" s="378"/>
      <c r="C553" s="378"/>
      <c r="D553" s="378"/>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row>
    <row r="554" ht="16.5" customHeight="1">
      <c r="A554" s="378"/>
      <c r="B554" s="378"/>
      <c r="C554" s="378"/>
      <c r="D554" s="378"/>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row>
    <row r="555" ht="16.5" customHeight="1">
      <c r="A555" s="378"/>
      <c r="B555" s="378"/>
      <c r="C555" s="378"/>
      <c r="D555" s="378"/>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row>
    <row r="556" ht="16.5" customHeight="1">
      <c r="A556" s="378"/>
      <c r="B556" s="378"/>
      <c r="C556" s="378"/>
      <c r="D556" s="378"/>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row>
    <row r="557" ht="16.5" customHeight="1">
      <c r="A557" s="378"/>
      <c r="B557" s="378"/>
      <c r="C557" s="378"/>
      <c r="D557" s="378"/>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row>
    <row r="558" ht="16.5" customHeight="1">
      <c r="A558" s="378"/>
      <c r="B558" s="378"/>
      <c r="C558" s="378"/>
      <c r="D558" s="378"/>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row>
    <row r="559" ht="16.5" customHeight="1">
      <c r="A559" s="378"/>
      <c r="B559" s="378"/>
      <c r="C559" s="378"/>
      <c r="D559" s="378"/>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row>
    <row r="560" ht="16.5" customHeight="1">
      <c r="A560" s="378"/>
      <c r="B560" s="378"/>
      <c r="C560" s="378"/>
      <c r="D560" s="378"/>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row>
    <row r="561" ht="16.5" customHeight="1">
      <c r="A561" s="378"/>
      <c r="B561" s="378"/>
      <c r="C561" s="378"/>
      <c r="D561" s="378"/>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row>
    <row r="562" ht="16.5" customHeight="1">
      <c r="A562" s="378"/>
      <c r="B562" s="378"/>
      <c r="C562" s="378"/>
      <c r="D562" s="378"/>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row>
    <row r="563" ht="16.5" customHeight="1">
      <c r="A563" s="378"/>
      <c r="B563" s="378"/>
      <c r="C563" s="378"/>
      <c r="D563" s="378"/>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row>
    <row r="564" ht="16.5" customHeight="1">
      <c r="A564" s="378"/>
      <c r="B564" s="378"/>
      <c r="C564" s="378"/>
      <c r="D564" s="378"/>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row>
    <row r="565" ht="16.5" customHeight="1">
      <c r="A565" s="378"/>
      <c r="B565" s="378"/>
      <c r="C565" s="378"/>
      <c r="D565" s="378"/>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row>
    <row r="566" ht="16.5" customHeight="1">
      <c r="A566" s="378"/>
      <c r="B566" s="378"/>
      <c r="C566" s="378"/>
      <c r="D566" s="378"/>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row>
    <row r="567" ht="16.5" customHeight="1">
      <c r="A567" s="378"/>
      <c r="B567" s="378"/>
      <c r="C567" s="378"/>
      <c r="D567" s="378"/>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row>
    <row r="568" ht="16.5" customHeight="1">
      <c r="A568" s="378"/>
      <c r="B568" s="378"/>
      <c r="C568" s="378"/>
      <c r="D568" s="378"/>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row>
    <row r="569" ht="16.5" customHeight="1">
      <c r="A569" s="378"/>
      <c r="B569" s="378"/>
      <c r="C569" s="378"/>
      <c r="D569" s="378"/>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row>
    <row r="570" ht="16.5" customHeight="1">
      <c r="A570" s="378"/>
      <c r="B570" s="378"/>
      <c r="C570" s="378"/>
      <c r="D570" s="378"/>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row>
    <row r="571" ht="16.5" customHeight="1">
      <c r="A571" s="378"/>
      <c r="B571" s="378"/>
      <c r="C571" s="378"/>
      <c r="D571" s="378"/>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row>
    <row r="572" ht="16.5" customHeight="1">
      <c r="A572" s="378"/>
      <c r="B572" s="378"/>
      <c r="C572" s="378"/>
      <c r="D572" s="378"/>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row>
    <row r="573" ht="16.5" customHeight="1">
      <c r="A573" s="378"/>
      <c r="B573" s="378"/>
      <c r="C573" s="378"/>
      <c r="D573" s="378"/>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row>
    <row r="574" ht="16.5" customHeight="1">
      <c r="A574" s="378"/>
      <c r="B574" s="378"/>
      <c r="C574" s="378"/>
      <c r="D574" s="378"/>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row>
    <row r="575" ht="16.5" customHeight="1">
      <c r="A575" s="378"/>
      <c r="B575" s="378"/>
      <c r="C575" s="378"/>
      <c r="D575" s="378"/>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row>
    <row r="576" ht="16.5" customHeight="1">
      <c r="A576" s="378"/>
      <c r="B576" s="378"/>
      <c r="C576" s="378"/>
      <c r="D576" s="378"/>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row>
    <row r="577" ht="16.5" customHeight="1">
      <c r="A577" s="378"/>
      <c r="B577" s="378"/>
      <c r="C577" s="378"/>
      <c r="D577" s="378"/>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row>
    <row r="578" ht="16.5" customHeight="1">
      <c r="A578" s="378"/>
      <c r="B578" s="378"/>
      <c r="C578" s="378"/>
      <c r="D578" s="378"/>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row>
    <row r="579" ht="16.5" customHeight="1">
      <c r="A579" s="378"/>
      <c r="B579" s="378"/>
      <c r="C579" s="378"/>
      <c r="D579" s="378"/>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row>
    <row r="580" ht="16.5" customHeight="1">
      <c r="A580" s="378"/>
      <c r="B580" s="378"/>
      <c r="C580" s="378"/>
      <c r="D580" s="378"/>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row>
    <row r="581" ht="16.5" customHeight="1">
      <c r="A581" s="378"/>
      <c r="B581" s="378"/>
      <c r="C581" s="378"/>
      <c r="D581" s="378"/>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row>
    <row r="582" ht="16.5" customHeight="1">
      <c r="A582" s="378"/>
      <c r="B582" s="378"/>
      <c r="C582" s="378"/>
      <c r="D582" s="378"/>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row>
    <row r="583" ht="16.5" customHeight="1">
      <c r="A583" s="378"/>
      <c r="B583" s="378"/>
      <c r="C583" s="378"/>
      <c r="D583" s="378"/>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row>
    <row r="584" ht="16.5" customHeight="1">
      <c r="A584" s="378"/>
      <c r="B584" s="378"/>
      <c r="C584" s="378"/>
      <c r="D584" s="378"/>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row>
    <row r="585" ht="16.5" customHeight="1">
      <c r="A585" s="378"/>
      <c r="B585" s="378"/>
      <c r="C585" s="378"/>
      <c r="D585" s="378"/>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row>
    <row r="586" ht="16.5" customHeight="1">
      <c r="A586" s="378"/>
      <c r="B586" s="378"/>
      <c r="C586" s="378"/>
      <c r="D586" s="378"/>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row>
    <row r="587" ht="16.5" customHeight="1">
      <c r="A587" s="378"/>
      <c r="B587" s="378"/>
      <c r="C587" s="378"/>
      <c r="D587" s="378"/>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row>
    <row r="588" ht="16.5" customHeight="1">
      <c r="A588" s="378"/>
      <c r="B588" s="378"/>
      <c r="C588" s="378"/>
      <c r="D588" s="378"/>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row>
    <row r="589" ht="16.5" customHeight="1">
      <c r="A589" s="378"/>
      <c r="B589" s="378"/>
      <c r="C589" s="378"/>
      <c r="D589" s="378"/>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row>
    <row r="590" ht="16.5" customHeight="1">
      <c r="A590" s="378"/>
      <c r="B590" s="378"/>
      <c r="C590" s="378"/>
      <c r="D590" s="378"/>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row>
    <row r="591" ht="16.5" customHeight="1">
      <c r="A591" s="378"/>
      <c r="B591" s="378"/>
      <c r="C591" s="378"/>
      <c r="D591" s="378"/>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row>
    <row r="592" ht="16.5" customHeight="1">
      <c r="A592" s="378"/>
      <c r="B592" s="378"/>
      <c r="C592" s="378"/>
      <c r="D592" s="378"/>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row>
    <row r="593" ht="16.5" customHeight="1">
      <c r="A593" s="378"/>
      <c r="B593" s="378"/>
      <c r="C593" s="378"/>
      <c r="D593" s="378"/>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row>
    <row r="594" ht="16.5" customHeight="1">
      <c r="A594" s="378"/>
      <c r="B594" s="378"/>
      <c r="C594" s="378"/>
      <c r="D594" s="378"/>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row>
    <row r="595" ht="16.5" customHeight="1">
      <c r="A595" s="378"/>
      <c r="B595" s="378"/>
      <c r="C595" s="378"/>
      <c r="D595" s="378"/>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row>
    <row r="596" ht="16.5" customHeight="1">
      <c r="A596" s="378"/>
      <c r="B596" s="378"/>
      <c r="C596" s="378"/>
      <c r="D596" s="378"/>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row>
    <row r="597" ht="16.5" customHeight="1">
      <c r="A597" s="378"/>
      <c r="B597" s="378"/>
      <c r="C597" s="378"/>
      <c r="D597" s="378"/>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row>
    <row r="598" ht="16.5" customHeight="1">
      <c r="A598" s="378"/>
      <c r="B598" s="378"/>
      <c r="C598" s="378"/>
      <c r="D598" s="378"/>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row>
    <row r="599" ht="16.5" customHeight="1">
      <c r="A599" s="378"/>
      <c r="B599" s="378"/>
      <c r="C599" s="378"/>
      <c r="D599" s="378"/>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row>
    <row r="600" ht="16.5" customHeight="1">
      <c r="A600" s="378"/>
      <c r="B600" s="378"/>
      <c r="C600" s="378"/>
      <c r="D600" s="378"/>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row>
    <row r="601" ht="16.5" customHeight="1">
      <c r="A601" s="378"/>
      <c r="B601" s="378"/>
      <c r="C601" s="378"/>
      <c r="D601" s="378"/>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row>
    <row r="602" ht="16.5" customHeight="1">
      <c r="A602" s="378"/>
      <c r="B602" s="378"/>
      <c r="C602" s="378"/>
      <c r="D602" s="378"/>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row>
    <row r="603" ht="16.5" customHeight="1">
      <c r="A603" s="378"/>
      <c r="B603" s="378"/>
      <c r="C603" s="378"/>
      <c r="D603" s="378"/>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row>
    <row r="604" ht="16.5" customHeight="1">
      <c r="A604" s="378"/>
      <c r="B604" s="378"/>
      <c r="C604" s="378"/>
      <c r="D604" s="378"/>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row>
    <row r="605" ht="16.5" customHeight="1">
      <c r="A605" s="378"/>
      <c r="B605" s="378"/>
      <c r="C605" s="378"/>
      <c r="D605" s="378"/>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row>
    <row r="606" ht="16.5" customHeight="1">
      <c r="A606" s="378"/>
      <c r="B606" s="378"/>
      <c r="C606" s="378"/>
      <c r="D606" s="378"/>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row>
    <row r="607" ht="16.5" customHeight="1">
      <c r="A607" s="378"/>
      <c r="B607" s="378"/>
      <c r="C607" s="378"/>
      <c r="D607" s="378"/>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row>
    <row r="608" ht="16.5" customHeight="1">
      <c r="A608" s="378"/>
      <c r="B608" s="378"/>
      <c r="C608" s="378"/>
      <c r="D608" s="378"/>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row>
    <row r="609" ht="16.5" customHeight="1">
      <c r="A609" s="378"/>
      <c r="B609" s="378"/>
      <c r="C609" s="378"/>
      <c r="D609" s="378"/>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row>
    <row r="610" ht="16.5" customHeight="1">
      <c r="A610" s="378"/>
      <c r="B610" s="378"/>
      <c r="C610" s="378"/>
      <c r="D610" s="378"/>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row>
    <row r="611" ht="16.5" customHeight="1">
      <c r="A611" s="378"/>
      <c r="B611" s="378"/>
      <c r="C611" s="378"/>
      <c r="D611" s="378"/>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row>
    <row r="612" ht="16.5" customHeight="1">
      <c r="A612" s="378"/>
      <c r="B612" s="378"/>
      <c r="C612" s="378"/>
      <c r="D612" s="378"/>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row>
    <row r="613" ht="16.5" customHeight="1">
      <c r="A613" s="378"/>
      <c r="B613" s="378"/>
      <c r="C613" s="378"/>
      <c r="D613" s="378"/>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row>
    <row r="614" ht="16.5" customHeight="1">
      <c r="A614" s="378"/>
      <c r="B614" s="378"/>
      <c r="C614" s="378"/>
      <c r="D614" s="378"/>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row>
    <row r="615" ht="16.5" customHeight="1">
      <c r="A615" s="378"/>
      <c r="B615" s="378"/>
      <c r="C615" s="378"/>
      <c r="D615" s="378"/>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row>
    <row r="616" ht="16.5" customHeight="1">
      <c r="A616" s="378"/>
      <c r="B616" s="378"/>
      <c r="C616" s="378"/>
      <c r="D616" s="378"/>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row>
    <row r="617" ht="16.5" customHeight="1">
      <c r="A617" s="378"/>
      <c r="B617" s="378"/>
      <c r="C617" s="378"/>
      <c r="D617" s="378"/>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row>
    <row r="618" ht="16.5" customHeight="1">
      <c r="A618" s="378"/>
      <c r="B618" s="378"/>
      <c r="C618" s="378"/>
      <c r="D618" s="378"/>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row>
    <row r="619" ht="16.5" customHeight="1">
      <c r="A619" s="378"/>
      <c r="B619" s="378"/>
      <c r="C619" s="378"/>
      <c r="D619" s="378"/>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row>
    <row r="620" ht="16.5" customHeight="1">
      <c r="A620" s="378"/>
      <c r="B620" s="378"/>
      <c r="C620" s="378"/>
      <c r="D620" s="378"/>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row>
    <row r="621" ht="16.5" customHeight="1">
      <c r="A621" s="378"/>
      <c r="B621" s="378"/>
      <c r="C621" s="378"/>
      <c r="D621" s="378"/>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row>
    <row r="622" ht="16.5" customHeight="1">
      <c r="A622" s="378"/>
      <c r="B622" s="378"/>
      <c r="C622" s="378"/>
      <c r="D622" s="378"/>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row>
    <row r="623" ht="16.5" customHeight="1">
      <c r="A623" s="378"/>
      <c r="B623" s="378"/>
      <c r="C623" s="378"/>
      <c r="D623" s="378"/>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row>
    <row r="624" ht="16.5" customHeight="1">
      <c r="A624" s="378"/>
      <c r="B624" s="378"/>
      <c r="C624" s="378"/>
      <c r="D624" s="378"/>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row>
    <row r="625" ht="16.5" customHeight="1">
      <c r="A625" s="378"/>
      <c r="B625" s="378"/>
      <c r="C625" s="378"/>
      <c r="D625" s="378"/>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row>
    <row r="626" ht="16.5" customHeight="1">
      <c r="A626" s="378"/>
      <c r="B626" s="378"/>
      <c r="C626" s="378"/>
      <c r="D626" s="378"/>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row>
    <row r="627" ht="16.5" customHeight="1">
      <c r="A627" s="378"/>
      <c r="B627" s="378"/>
      <c r="C627" s="378"/>
      <c r="D627" s="378"/>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row>
    <row r="628" ht="16.5" customHeight="1">
      <c r="A628" s="378"/>
      <c r="B628" s="378"/>
      <c r="C628" s="378"/>
      <c r="D628" s="378"/>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row>
    <row r="629" ht="16.5" customHeight="1">
      <c r="A629" s="378"/>
      <c r="B629" s="378"/>
      <c r="C629" s="378"/>
      <c r="D629" s="378"/>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row>
    <row r="630" ht="16.5" customHeight="1">
      <c r="A630" s="378"/>
      <c r="B630" s="378"/>
      <c r="C630" s="378"/>
      <c r="D630" s="378"/>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row>
    <row r="631" ht="16.5" customHeight="1">
      <c r="A631" s="378"/>
      <c r="B631" s="378"/>
      <c r="C631" s="378"/>
      <c r="D631" s="378"/>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row>
    <row r="632" ht="16.5" customHeight="1">
      <c r="A632" s="378"/>
      <c r="B632" s="378"/>
      <c r="C632" s="378"/>
      <c r="D632" s="378"/>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row>
    <row r="633" ht="16.5" customHeight="1">
      <c r="A633" s="378"/>
      <c r="B633" s="378"/>
      <c r="C633" s="378"/>
      <c r="D633" s="378"/>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row>
    <row r="634" ht="16.5" customHeight="1">
      <c r="A634" s="378"/>
      <c r="B634" s="378"/>
      <c r="C634" s="378"/>
      <c r="D634" s="378"/>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row>
    <row r="635" ht="16.5" customHeight="1">
      <c r="A635" s="378"/>
      <c r="B635" s="378"/>
      <c r="C635" s="378"/>
      <c r="D635" s="378"/>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row>
    <row r="636" ht="16.5" customHeight="1">
      <c r="A636" s="378"/>
      <c r="B636" s="378"/>
      <c r="C636" s="378"/>
      <c r="D636" s="378"/>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row>
    <row r="637" ht="16.5" customHeight="1">
      <c r="A637" s="378"/>
      <c r="B637" s="378"/>
      <c r="C637" s="378"/>
      <c r="D637" s="378"/>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row>
    <row r="638" ht="16.5" customHeight="1">
      <c r="A638" s="378"/>
      <c r="B638" s="378"/>
      <c r="C638" s="378"/>
      <c r="D638" s="378"/>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row>
    <row r="639" ht="16.5" customHeight="1">
      <c r="A639" s="378"/>
      <c r="B639" s="378"/>
      <c r="C639" s="378"/>
      <c r="D639" s="378"/>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row>
    <row r="640" ht="16.5" customHeight="1">
      <c r="A640" s="378"/>
      <c r="B640" s="378"/>
      <c r="C640" s="378"/>
      <c r="D640" s="378"/>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row>
    <row r="641" ht="16.5" customHeight="1">
      <c r="A641" s="378"/>
      <c r="B641" s="378"/>
      <c r="C641" s="378"/>
      <c r="D641" s="378"/>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row>
    <row r="642" ht="16.5" customHeight="1">
      <c r="A642" s="378"/>
      <c r="B642" s="378"/>
      <c r="C642" s="378"/>
      <c r="D642" s="378"/>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row>
    <row r="643" ht="16.5" customHeight="1">
      <c r="A643" s="378"/>
      <c r="B643" s="378"/>
      <c r="C643" s="378"/>
      <c r="D643" s="378"/>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row>
    <row r="644" ht="16.5" customHeight="1">
      <c r="A644" s="378"/>
      <c r="B644" s="378"/>
      <c r="C644" s="378"/>
      <c r="D644" s="378"/>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row>
    <row r="645" ht="16.5" customHeight="1">
      <c r="A645" s="378"/>
      <c r="B645" s="378"/>
      <c r="C645" s="378"/>
      <c r="D645" s="378"/>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row>
    <row r="646" ht="16.5" customHeight="1">
      <c r="A646" s="378"/>
      <c r="B646" s="378"/>
      <c r="C646" s="378"/>
      <c r="D646" s="378"/>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row>
    <row r="647" ht="16.5" customHeight="1">
      <c r="A647" s="378"/>
      <c r="B647" s="378"/>
      <c r="C647" s="378"/>
      <c r="D647" s="378"/>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row>
    <row r="648" ht="16.5" customHeight="1">
      <c r="A648" s="378"/>
      <c r="B648" s="378"/>
      <c r="C648" s="378"/>
      <c r="D648" s="378"/>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row>
    <row r="649" ht="16.5" customHeight="1">
      <c r="A649" s="378"/>
      <c r="B649" s="378"/>
      <c r="C649" s="378"/>
      <c r="D649" s="378"/>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row>
    <row r="650" ht="16.5" customHeight="1">
      <c r="A650" s="378"/>
      <c r="B650" s="378"/>
      <c r="C650" s="378"/>
      <c r="D650" s="378"/>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row>
    <row r="651" ht="16.5" customHeight="1">
      <c r="A651" s="378"/>
      <c r="B651" s="378"/>
      <c r="C651" s="378"/>
      <c r="D651" s="378"/>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row>
    <row r="652" ht="16.5" customHeight="1">
      <c r="A652" s="378"/>
      <c r="B652" s="378"/>
      <c r="C652" s="378"/>
      <c r="D652" s="378"/>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row>
    <row r="653" ht="16.5" customHeight="1">
      <c r="A653" s="378"/>
      <c r="B653" s="378"/>
      <c r="C653" s="378"/>
      <c r="D653" s="378"/>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row>
    <row r="654" ht="16.5" customHeight="1">
      <c r="A654" s="378"/>
      <c r="B654" s="378"/>
      <c r="C654" s="378"/>
      <c r="D654" s="378"/>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row>
    <row r="655" ht="16.5" customHeight="1">
      <c r="A655" s="378"/>
      <c r="B655" s="378"/>
      <c r="C655" s="378"/>
      <c r="D655" s="378"/>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row>
    <row r="656" ht="16.5" customHeight="1">
      <c r="A656" s="378"/>
      <c r="B656" s="378"/>
      <c r="C656" s="378"/>
      <c r="D656" s="378"/>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row>
    <row r="657" ht="16.5" customHeight="1">
      <c r="A657" s="378"/>
      <c r="B657" s="378"/>
      <c r="C657" s="378"/>
      <c r="D657" s="378"/>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row>
    <row r="658" ht="16.5" customHeight="1">
      <c r="A658" s="378"/>
      <c r="B658" s="378"/>
      <c r="C658" s="378"/>
      <c r="D658" s="378"/>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row>
    <row r="659" ht="16.5" customHeight="1">
      <c r="A659" s="378"/>
      <c r="B659" s="378"/>
      <c r="C659" s="378"/>
      <c r="D659" s="378"/>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row>
    <row r="660" ht="16.5" customHeight="1">
      <c r="A660" s="378"/>
      <c r="B660" s="378"/>
      <c r="C660" s="378"/>
      <c r="D660" s="378"/>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row>
    <row r="661" ht="16.5" customHeight="1">
      <c r="A661" s="378"/>
      <c r="B661" s="378"/>
      <c r="C661" s="378"/>
      <c r="D661" s="378"/>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row>
    <row r="662" ht="16.5" customHeight="1">
      <c r="A662" s="378"/>
      <c r="B662" s="378"/>
      <c r="C662" s="378"/>
      <c r="D662" s="378"/>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row>
    <row r="663" ht="16.5" customHeight="1">
      <c r="A663" s="378"/>
      <c r="B663" s="378"/>
      <c r="C663" s="378"/>
      <c r="D663" s="378"/>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row>
    <row r="664" ht="16.5" customHeight="1">
      <c r="A664" s="378"/>
      <c r="B664" s="378"/>
      <c r="C664" s="378"/>
      <c r="D664" s="378"/>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row>
    <row r="665" ht="16.5" customHeight="1">
      <c r="A665" s="378"/>
      <c r="B665" s="378"/>
      <c r="C665" s="378"/>
      <c r="D665" s="378"/>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row>
    <row r="666" ht="16.5" customHeight="1">
      <c r="A666" s="378"/>
      <c r="B666" s="378"/>
      <c r="C666" s="378"/>
      <c r="D666" s="378"/>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row>
    <row r="667" ht="16.5" customHeight="1">
      <c r="A667" s="378"/>
      <c r="B667" s="378"/>
      <c r="C667" s="378"/>
      <c r="D667" s="378"/>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row>
    <row r="668" ht="16.5" customHeight="1">
      <c r="A668" s="378"/>
      <c r="B668" s="378"/>
      <c r="C668" s="378"/>
      <c r="D668" s="378"/>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row>
    <row r="669" ht="16.5" customHeight="1">
      <c r="A669" s="378"/>
      <c r="B669" s="378"/>
      <c r="C669" s="378"/>
      <c r="D669" s="378"/>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row>
    <row r="670" ht="16.5" customHeight="1">
      <c r="A670" s="378"/>
      <c r="B670" s="378"/>
      <c r="C670" s="378"/>
      <c r="D670" s="378"/>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row>
    <row r="671" ht="16.5" customHeight="1">
      <c r="A671" s="378"/>
      <c r="B671" s="378"/>
      <c r="C671" s="378"/>
      <c r="D671" s="378"/>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row>
    <row r="672" ht="16.5" customHeight="1">
      <c r="A672" s="378"/>
      <c r="B672" s="378"/>
      <c r="C672" s="378"/>
      <c r="D672" s="378"/>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row>
    <row r="673" ht="16.5" customHeight="1">
      <c r="A673" s="378"/>
      <c r="B673" s="378"/>
      <c r="C673" s="378"/>
      <c r="D673" s="378"/>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row>
    <row r="674" ht="16.5" customHeight="1">
      <c r="A674" s="378"/>
      <c r="B674" s="378"/>
      <c r="C674" s="378"/>
      <c r="D674" s="378"/>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row>
    <row r="675" ht="16.5" customHeight="1">
      <c r="A675" s="378"/>
      <c r="B675" s="378"/>
      <c r="C675" s="378"/>
      <c r="D675" s="378"/>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row>
    <row r="676" ht="16.5" customHeight="1">
      <c r="A676" s="378"/>
      <c r="B676" s="378"/>
      <c r="C676" s="378"/>
      <c r="D676" s="378"/>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row>
    <row r="677" ht="16.5" customHeight="1">
      <c r="A677" s="378"/>
      <c r="B677" s="378"/>
      <c r="C677" s="378"/>
      <c r="D677" s="378"/>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row>
    <row r="678" ht="16.5" customHeight="1">
      <c r="A678" s="378"/>
      <c r="B678" s="378"/>
      <c r="C678" s="378"/>
      <c r="D678" s="378"/>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row>
    <row r="679" ht="16.5" customHeight="1">
      <c r="A679" s="378"/>
      <c r="B679" s="378"/>
      <c r="C679" s="378"/>
      <c r="D679" s="378"/>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row>
    <row r="680" ht="16.5" customHeight="1">
      <c r="A680" s="378"/>
      <c r="B680" s="378"/>
      <c r="C680" s="378"/>
      <c r="D680" s="378"/>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row>
    <row r="681" ht="16.5" customHeight="1">
      <c r="A681" s="378"/>
      <c r="B681" s="378"/>
      <c r="C681" s="378"/>
      <c r="D681" s="378"/>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row>
    <row r="682" ht="16.5" customHeight="1">
      <c r="A682" s="378"/>
      <c r="B682" s="378"/>
      <c r="C682" s="378"/>
      <c r="D682" s="378"/>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row>
    <row r="683" ht="16.5" customHeight="1">
      <c r="A683" s="378"/>
      <c r="B683" s="378"/>
      <c r="C683" s="378"/>
      <c r="D683" s="378"/>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row>
    <row r="684" ht="16.5" customHeight="1">
      <c r="A684" s="378"/>
      <c r="B684" s="378"/>
      <c r="C684" s="378"/>
      <c r="D684" s="378"/>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row>
    <row r="685" ht="16.5" customHeight="1">
      <c r="A685" s="378"/>
      <c r="B685" s="378"/>
      <c r="C685" s="378"/>
      <c r="D685" s="378"/>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row>
    <row r="686" ht="16.5" customHeight="1">
      <c r="A686" s="378"/>
      <c r="B686" s="378"/>
      <c r="C686" s="378"/>
      <c r="D686" s="378"/>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row>
    <row r="687" ht="16.5" customHeight="1">
      <c r="A687" s="378"/>
      <c r="B687" s="378"/>
      <c r="C687" s="378"/>
      <c r="D687" s="378"/>
      <c r="E687" s="378"/>
      <c r="F687" s="378"/>
      <c r="G687" s="378"/>
      <c r="H687" s="378"/>
      <c r="I687" s="378"/>
      <c r="J687" s="378"/>
      <c r="K687" s="378"/>
      <c r="L687" s="378"/>
      <c r="M687" s="378"/>
      <c r="N687" s="378"/>
      <c r="O687" s="378"/>
      <c r="P687" s="378"/>
      <c r="Q687" s="378"/>
      <c r="R687" s="378"/>
      <c r="S687" s="378"/>
      <c r="T687" s="378"/>
      <c r="U687" s="378"/>
      <c r="V687" s="378"/>
      <c r="W687" s="378"/>
      <c r="X687" s="378"/>
      <c r="Y687" s="378"/>
      <c r="Z687" s="378"/>
    </row>
    <row r="688" ht="16.5" customHeight="1">
      <c r="A688" s="378"/>
      <c r="B688" s="378"/>
      <c r="C688" s="378"/>
      <c r="D688" s="378"/>
      <c r="E688" s="378"/>
      <c r="F688" s="378"/>
      <c r="G688" s="378"/>
      <c r="H688" s="378"/>
      <c r="I688" s="378"/>
      <c r="J688" s="378"/>
      <c r="K688" s="378"/>
      <c r="L688" s="378"/>
      <c r="M688" s="378"/>
      <c r="N688" s="378"/>
      <c r="O688" s="378"/>
      <c r="P688" s="378"/>
      <c r="Q688" s="378"/>
      <c r="R688" s="378"/>
      <c r="S688" s="378"/>
      <c r="T688" s="378"/>
      <c r="U688" s="378"/>
      <c r="V688" s="378"/>
      <c r="W688" s="378"/>
      <c r="X688" s="378"/>
      <c r="Y688" s="378"/>
      <c r="Z688" s="378"/>
    </row>
    <row r="689" ht="16.5" customHeight="1">
      <c r="A689" s="378"/>
      <c r="B689" s="378"/>
      <c r="C689" s="378"/>
      <c r="D689" s="378"/>
      <c r="E689" s="378"/>
      <c r="F689" s="378"/>
      <c r="G689" s="378"/>
      <c r="H689" s="378"/>
      <c r="I689" s="378"/>
      <c r="J689" s="378"/>
      <c r="K689" s="378"/>
      <c r="L689" s="378"/>
      <c r="M689" s="378"/>
      <c r="N689" s="378"/>
      <c r="O689" s="378"/>
      <c r="P689" s="378"/>
      <c r="Q689" s="378"/>
      <c r="R689" s="378"/>
      <c r="S689" s="378"/>
      <c r="T689" s="378"/>
      <c r="U689" s="378"/>
      <c r="V689" s="378"/>
      <c r="W689" s="378"/>
      <c r="X689" s="378"/>
      <c r="Y689" s="378"/>
      <c r="Z689" s="378"/>
    </row>
    <row r="690" ht="16.5" customHeight="1">
      <c r="A690" s="378"/>
      <c r="B690" s="378"/>
      <c r="C690" s="378"/>
      <c r="D690" s="378"/>
      <c r="E690" s="378"/>
      <c r="F690" s="378"/>
      <c r="G690" s="378"/>
      <c r="H690" s="378"/>
      <c r="I690" s="378"/>
      <c r="J690" s="378"/>
      <c r="K690" s="378"/>
      <c r="L690" s="378"/>
      <c r="M690" s="378"/>
      <c r="N690" s="378"/>
      <c r="O690" s="378"/>
      <c r="P690" s="378"/>
      <c r="Q690" s="378"/>
      <c r="R690" s="378"/>
      <c r="S690" s="378"/>
      <c r="T690" s="378"/>
      <c r="U690" s="378"/>
      <c r="V690" s="378"/>
      <c r="W690" s="378"/>
      <c r="X690" s="378"/>
      <c r="Y690" s="378"/>
      <c r="Z690" s="378"/>
    </row>
    <row r="691" ht="16.5" customHeight="1">
      <c r="A691" s="378"/>
      <c r="B691" s="378"/>
      <c r="C691" s="378"/>
      <c r="D691" s="378"/>
      <c r="E691" s="378"/>
      <c r="F691" s="378"/>
      <c r="G691" s="378"/>
      <c r="H691" s="378"/>
      <c r="I691" s="378"/>
      <c r="J691" s="378"/>
      <c r="K691" s="378"/>
      <c r="L691" s="378"/>
      <c r="M691" s="378"/>
      <c r="N691" s="378"/>
      <c r="O691" s="378"/>
      <c r="P691" s="378"/>
      <c r="Q691" s="378"/>
      <c r="R691" s="378"/>
      <c r="S691" s="378"/>
      <c r="T691" s="378"/>
      <c r="U691" s="378"/>
      <c r="V691" s="378"/>
      <c r="W691" s="378"/>
      <c r="X691" s="378"/>
      <c r="Y691" s="378"/>
      <c r="Z691" s="378"/>
    </row>
    <row r="692" ht="16.5" customHeight="1">
      <c r="A692" s="378"/>
      <c r="B692" s="378"/>
      <c r="C692" s="378"/>
      <c r="D692" s="378"/>
      <c r="E692" s="378"/>
      <c r="F692" s="378"/>
      <c r="G692" s="378"/>
      <c r="H692" s="378"/>
      <c r="I692" s="378"/>
      <c r="J692" s="378"/>
      <c r="K692" s="378"/>
      <c r="L692" s="378"/>
      <c r="M692" s="378"/>
      <c r="N692" s="378"/>
      <c r="O692" s="378"/>
      <c r="P692" s="378"/>
      <c r="Q692" s="378"/>
      <c r="R692" s="378"/>
      <c r="S692" s="378"/>
      <c r="T692" s="378"/>
      <c r="U692" s="378"/>
      <c r="V692" s="378"/>
      <c r="W692" s="378"/>
      <c r="X692" s="378"/>
      <c r="Y692" s="378"/>
      <c r="Z692" s="378"/>
    </row>
    <row r="693" ht="16.5" customHeight="1">
      <c r="A693" s="378"/>
      <c r="B693" s="378"/>
      <c r="C693" s="378"/>
      <c r="D693" s="378"/>
      <c r="E693" s="378"/>
      <c r="F693" s="378"/>
      <c r="G693" s="378"/>
      <c r="H693" s="378"/>
      <c r="I693" s="378"/>
      <c r="J693" s="378"/>
      <c r="K693" s="378"/>
      <c r="L693" s="378"/>
      <c r="M693" s="378"/>
      <c r="N693" s="378"/>
      <c r="O693" s="378"/>
      <c r="P693" s="378"/>
      <c r="Q693" s="378"/>
      <c r="R693" s="378"/>
      <c r="S693" s="378"/>
      <c r="T693" s="378"/>
      <c r="U693" s="378"/>
      <c r="V693" s="378"/>
      <c r="W693" s="378"/>
      <c r="X693" s="378"/>
      <c r="Y693" s="378"/>
      <c r="Z693" s="378"/>
    </row>
    <row r="694" ht="16.5" customHeight="1">
      <c r="A694" s="378"/>
      <c r="B694" s="378"/>
      <c r="C694" s="378"/>
      <c r="D694" s="378"/>
      <c r="E694" s="378"/>
      <c r="F694" s="378"/>
      <c r="G694" s="378"/>
      <c r="H694" s="378"/>
      <c r="I694" s="378"/>
      <c r="J694" s="378"/>
      <c r="K694" s="378"/>
      <c r="L694" s="378"/>
      <c r="M694" s="378"/>
      <c r="N694" s="378"/>
      <c r="O694" s="378"/>
      <c r="P694" s="378"/>
      <c r="Q694" s="378"/>
      <c r="R694" s="378"/>
      <c r="S694" s="378"/>
      <c r="T694" s="378"/>
      <c r="U694" s="378"/>
      <c r="V694" s="378"/>
      <c r="W694" s="378"/>
      <c r="X694" s="378"/>
      <c r="Y694" s="378"/>
      <c r="Z694" s="378"/>
    </row>
    <row r="695" ht="16.5" customHeight="1">
      <c r="A695" s="378"/>
      <c r="B695" s="378"/>
      <c r="C695" s="378"/>
      <c r="D695" s="378"/>
      <c r="E695" s="378"/>
      <c r="F695" s="378"/>
      <c r="G695" s="378"/>
      <c r="H695" s="378"/>
      <c r="I695" s="378"/>
      <c r="J695" s="378"/>
      <c r="K695" s="378"/>
      <c r="L695" s="378"/>
      <c r="M695" s="378"/>
      <c r="N695" s="378"/>
      <c r="O695" s="378"/>
      <c r="P695" s="378"/>
      <c r="Q695" s="378"/>
      <c r="R695" s="378"/>
      <c r="S695" s="378"/>
      <c r="T695" s="378"/>
      <c r="U695" s="378"/>
      <c r="V695" s="378"/>
      <c r="W695" s="378"/>
      <c r="X695" s="378"/>
      <c r="Y695" s="378"/>
      <c r="Z695" s="378"/>
    </row>
    <row r="696" ht="16.5" customHeight="1">
      <c r="A696" s="378"/>
      <c r="B696" s="378"/>
      <c r="C696" s="378"/>
      <c r="D696" s="378"/>
      <c r="E696" s="378"/>
      <c r="F696" s="378"/>
      <c r="G696" s="378"/>
      <c r="H696" s="378"/>
      <c r="I696" s="378"/>
      <c r="J696" s="378"/>
      <c r="K696" s="378"/>
      <c r="L696" s="378"/>
      <c r="M696" s="378"/>
      <c r="N696" s="378"/>
      <c r="O696" s="378"/>
      <c r="P696" s="378"/>
      <c r="Q696" s="378"/>
      <c r="R696" s="378"/>
      <c r="S696" s="378"/>
      <c r="T696" s="378"/>
      <c r="U696" s="378"/>
      <c r="V696" s="378"/>
      <c r="W696" s="378"/>
      <c r="X696" s="378"/>
      <c r="Y696" s="378"/>
      <c r="Z696" s="378"/>
    </row>
    <row r="697" ht="16.5" customHeight="1">
      <c r="A697" s="378"/>
      <c r="B697" s="378"/>
      <c r="C697" s="378"/>
      <c r="D697" s="378"/>
      <c r="E697" s="378"/>
      <c r="F697" s="378"/>
      <c r="G697" s="378"/>
      <c r="H697" s="378"/>
      <c r="I697" s="378"/>
      <c r="J697" s="378"/>
      <c r="K697" s="378"/>
      <c r="L697" s="378"/>
      <c r="M697" s="378"/>
      <c r="N697" s="378"/>
      <c r="O697" s="378"/>
      <c r="P697" s="378"/>
      <c r="Q697" s="378"/>
      <c r="R697" s="378"/>
      <c r="S697" s="378"/>
      <c r="T697" s="378"/>
      <c r="U697" s="378"/>
      <c r="V697" s="378"/>
      <c r="W697" s="378"/>
      <c r="X697" s="378"/>
      <c r="Y697" s="378"/>
      <c r="Z697" s="378"/>
    </row>
    <row r="698" ht="16.5" customHeight="1">
      <c r="A698" s="378"/>
      <c r="B698" s="378"/>
      <c r="C698" s="378"/>
      <c r="D698" s="378"/>
      <c r="E698" s="378"/>
      <c r="F698" s="378"/>
      <c r="G698" s="378"/>
      <c r="H698" s="378"/>
      <c r="I698" s="378"/>
      <c r="J698" s="378"/>
      <c r="K698" s="378"/>
      <c r="L698" s="378"/>
      <c r="M698" s="378"/>
      <c r="N698" s="378"/>
      <c r="O698" s="378"/>
      <c r="P698" s="378"/>
      <c r="Q698" s="378"/>
      <c r="R698" s="378"/>
      <c r="S698" s="378"/>
      <c r="T698" s="378"/>
      <c r="U698" s="378"/>
      <c r="V698" s="378"/>
      <c r="W698" s="378"/>
      <c r="X698" s="378"/>
      <c r="Y698" s="378"/>
      <c r="Z698" s="378"/>
    </row>
    <row r="699" ht="16.5" customHeight="1">
      <c r="A699" s="378"/>
      <c r="B699" s="378"/>
      <c r="C699" s="378"/>
      <c r="D699" s="378"/>
      <c r="E699" s="378"/>
      <c r="F699" s="378"/>
      <c r="G699" s="378"/>
      <c r="H699" s="378"/>
      <c r="I699" s="378"/>
      <c r="J699" s="378"/>
      <c r="K699" s="378"/>
      <c r="L699" s="378"/>
      <c r="M699" s="378"/>
      <c r="N699" s="378"/>
      <c r="O699" s="378"/>
      <c r="P699" s="378"/>
      <c r="Q699" s="378"/>
      <c r="R699" s="378"/>
      <c r="S699" s="378"/>
      <c r="T699" s="378"/>
      <c r="U699" s="378"/>
      <c r="V699" s="378"/>
      <c r="W699" s="378"/>
      <c r="X699" s="378"/>
      <c r="Y699" s="378"/>
      <c r="Z699" s="378"/>
    </row>
    <row r="700" ht="16.5" customHeight="1">
      <c r="A700" s="378"/>
      <c r="B700" s="378"/>
      <c r="C700" s="378"/>
      <c r="D700" s="378"/>
      <c r="E700" s="378"/>
      <c r="F700" s="378"/>
      <c r="G700" s="378"/>
      <c r="H700" s="378"/>
      <c r="I700" s="378"/>
      <c r="J700" s="378"/>
      <c r="K700" s="378"/>
      <c r="L700" s="378"/>
      <c r="M700" s="378"/>
      <c r="N700" s="378"/>
      <c r="O700" s="378"/>
      <c r="P700" s="378"/>
      <c r="Q700" s="378"/>
      <c r="R700" s="378"/>
      <c r="S700" s="378"/>
      <c r="T700" s="378"/>
      <c r="U700" s="378"/>
      <c r="V700" s="378"/>
      <c r="W700" s="378"/>
      <c r="X700" s="378"/>
      <c r="Y700" s="378"/>
      <c r="Z700" s="378"/>
    </row>
    <row r="701" ht="16.5" customHeight="1">
      <c r="A701" s="378"/>
      <c r="B701" s="378"/>
      <c r="C701" s="378"/>
      <c r="D701" s="378"/>
      <c r="E701" s="378"/>
      <c r="F701" s="378"/>
      <c r="G701" s="378"/>
      <c r="H701" s="378"/>
      <c r="I701" s="378"/>
      <c r="J701" s="378"/>
      <c r="K701" s="378"/>
      <c r="L701" s="378"/>
      <c r="M701" s="378"/>
      <c r="N701" s="378"/>
      <c r="O701" s="378"/>
      <c r="P701" s="378"/>
      <c r="Q701" s="378"/>
      <c r="R701" s="378"/>
      <c r="S701" s="378"/>
      <c r="T701" s="378"/>
      <c r="U701" s="378"/>
      <c r="V701" s="378"/>
      <c r="W701" s="378"/>
      <c r="X701" s="378"/>
      <c r="Y701" s="378"/>
      <c r="Z701" s="378"/>
    </row>
    <row r="702" ht="16.5" customHeight="1">
      <c r="A702" s="378"/>
      <c r="B702" s="378"/>
      <c r="C702" s="378"/>
      <c r="D702" s="378"/>
      <c r="E702" s="378"/>
      <c r="F702" s="378"/>
      <c r="G702" s="378"/>
      <c r="H702" s="378"/>
      <c r="I702" s="378"/>
      <c r="J702" s="378"/>
      <c r="K702" s="378"/>
      <c r="L702" s="378"/>
      <c r="M702" s="378"/>
      <c r="N702" s="378"/>
      <c r="O702" s="378"/>
      <c r="P702" s="378"/>
      <c r="Q702" s="378"/>
      <c r="R702" s="378"/>
      <c r="S702" s="378"/>
      <c r="T702" s="378"/>
      <c r="U702" s="378"/>
      <c r="V702" s="378"/>
      <c r="W702" s="378"/>
      <c r="X702" s="378"/>
      <c r="Y702" s="378"/>
      <c r="Z702" s="378"/>
    </row>
    <row r="703" ht="16.5" customHeight="1">
      <c r="A703" s="378"/>
      <c r="B703" s="378"/>
      <c r="C703" s="378"/>
      <c r="D703" s="378"/>
      <c r="E703" s="378"/>
      <c r="F703" s="378"/>
      <c r="G703" s="378"/>
      <c r="H703" s="378"/>
      <c r="I703" s="378"/>
      <c r="J703" s="378"/>
      <c r="K703" s="378"/>
      <c r="L703" s="378"/>
      <c r="M703" s="378"/>
      <c r="N703" s="378"/>
      <c r="O703" s="378"/>
      <c r="P703" s="378"/>
      <c r="Q703" s="378"/>
      <c r="R703" s="378"/>
      <c r="S703" s="378"/>
      <c r="T703" s="378"/>
      <c r="U703" s="378"/>
      <c r="V703" s="378"/>
      <c r="W703" s="378"/>
      <c r="X703" s="378"/>
      <c r="Y703" s="378"/>
      <c r="Z703" s="378"/>
    </row>
    <row r="704" ht="16.5" customHeight="1">
      <c r="A704" s="378"/>
      <c r="B704" s="378"/>
      <c r="C704" s="378"/>
      <c r="D704" s="378"/>
      <c r="E704" s="378"/>
      <c r="F704" s="378"/>
      <c r="G704" s="378"/>
      <c r="H704" s="378"/>
      <c r="I704" s="378"/>
      <c r="J704" s="378"/>
      <c r="K704" s="378"/>
      <c r="L704" s="378"/>
      <c r="M704" s="378"/>
      <c r="N704" s="378"/>
      <c r="O704" s="378"/>
      <c r="P704" s="378"/>
      <c r="Q704" s="378"/>
      <c r="R704" s="378"/>
      <c r="S704" s="378"/>
      <c r="T704" s="378"/>
      <c r="U704" s="378"/>
      <c r="V704" s="378"/>
      <c r="W704" s="378"/>
      <c r="X704" s="378"/>
      <c r="Y704" s="378"/>
      <c r="Z704" s="378"/>
    </row>
    <row r="705" ht="16.5" customHeight="1">
      <c r="A705" s="378"/>
      <c r="B705" s="378"/>
      <c r="C705" s="378"/>
      <c r="D705" s="378"/>
      <c r="E705" s="378"/>
      <c r="F705" s="378"/>
      <c r="G705" s="378"/>
      <c r="H705" s="378"/>
      <c r="I705" s="378"/>
      <c r="J705" s="378"/>
      <c r="K705" s="378"/>
      <c r="L705" s="378"/>
      <c r="M705" s="378"/>
      <c r="N705" s="378"/>
      <c r="O705" s="378"/>
      <c r="P705" s="378"/>
      <c r="Q705" s="378"/>
      <c r="R705" s="378"/>
      <c r="S705" s="378"/>
      <c r="T705" s="378"/>
      <c r="U705" s="378"/>
      <c r="V705" s="378"/>
      <c r="W705" s="378"/>
      <c r="X705" s="378"/>
      <c r="Y705" s="378"/>
      <c r="Z705" s="378"/>
    </row>
    <row r="706" ht="16.5" customHeight="1">
      <c r="A706" s="378"/>
      <c r="B706" s="378"/>
      <c r="C706" s="378"/>
      <c r="D706" s="378"/>
      <c r="E706" s="378"/>
      <c r="F706" s="378"/>
      <c r="G706" s="378"/>
      <c r="H706" s="378"/>
      <c r="I706" s="378"/>
      <c r="J706" s="378"/>
      <c r="K706" s="378"/>
      <c r="L706" s="378"/>
      <c r="M706" s="378"/>
      <c r="N706" s="378"/>
      <c r="O706" s="378"/>
      <c r="P706" s="378"/>
      <c r="Q706" s="378"/>
      <c r="R706" s="378"/>
      <c r="S706" s="378"/>
      <c r="T706" s="378"/>
      <c r="U706" s="378"/>
      <c r="V706" s="378"/>
      <c r="W706" s="378"/>
      <c r="X706" s="378"/>
      <c r="Y706" s="378"/>
      <c r="Z706" s="378"/>
    </row>
    <row r="707" ht="16.5" customHeight="1">
      <c r="A707" s="378"/>
      <c r="B707" s="378"/>
      <c r="C707" s="378"/>
      <c r="D707" s="378"/>
      <c r="E707" s="378"/>
      <c r="F707" s="378"/>
      <c r="G707" s="378"/>
      <c r="H707" s="378"/>
      <c r="I707" s="378"/>
      <c r="J707" s="378"/>
      <c r="K707" s="378"/>
      <c r="L707" s="378"/>
      <c r="M707" s="378"/>
      <c r="N707" s="378"/>
      <c r="O707" s="378"/>
      <c r="P707" s="378"/>
      <c r="Q707" s="378"/>
      <c r="R707" s="378"/>
      <c r="S707" s="378"/>
      <c r="T707" s="378"/>
      <c r="U707" s="378"/>
      <c r="V707" s="378"/>
      <c r="W707" s="378"/>
      <c r="X707" s="378"/>
      <c r="Y707" s="378"/>
      <c r="Z707" s="378"/>
    </row>
    <row r="708" ht="16.5" customHeight="1">
      <c r="A708" s="378"/>
      <c r="B708" s="378"/>
      <c r="C708" s="378"/>
      <c r="D708" s="378"/>
      <c r="E708" s="378"/>
      <c r="F708" s="378"/>
      <c r="G708" s="378"/>
      <c r="H708" s="378"/>
      <c r="I708" s="378"/>
      <c r="J708" s="378"/>
      <c r="K708" s="378"/>
      <c r="L708" s="378"/>
      <c r="M708" s="378"/>
      <c r="N708" s="378"/>
      <c r="O708" s="378"/>
      <c r="P708" s="378"/>
      <c r="Q708" s="378"/>
      <c r="R708" s="378"/>
      <c r="S708" s="378"/>
      <c r="T708" s="378"/>
      <c r="U708" s="378"/>
      <c r="V708" s="378"/>
      <c r="W708" s="378"/>
      <c r="X708" s="378"/>
      <c r="Y708" s="378"/>
      <c r="Z708" s="378"/>
    </row>
    <row r="709" ht="16.5" customHeight="1">
      <c r="A709" s="378"/>
      <c r="B709" s="378"/>
      <c r="C709" s="378"/>
      <c r="D709" s="378"/>
      <c r="E709" s="378"/>
      <c r="F709" s="378"/>
      <c r="G709" s="378"/>
      <c r="H709" s="378"/>
      <c r="I709" s="378"/>
      <c r="J709" s="378"/>
      <c r="K709" s="378"/>
      <c r="L709" s="378"/>
      <c r="M709" s="378"/>
      <c r="N709" s="378"/>
      <c r="O709" s="378"/>
      <c r="P709" s="378"/>
      <c r="Q709" s="378"/>
      <c r="R709" s="378"/>
      <c r="S709" s="378"/>
      <c r="T709" s="378"/>
      <c r="U709" s="378"/>
      <c r="V709" s="378"/>
      <c r="W709" s="378"/>
      <c r="X709" s="378"/>
      <c r="Y709" s="378"/>
      <c r="Z709" s="378"/>
    </row>
    <row r="710" ht="16.5" customHeight="1">
      <c r="A710" s="378"/>
      <c r="B710" s="378"/>
      <c r="C710" s="378"/>
      <c r="D710" s="378"/>
      <c r="E710" s="378"/>
      <c r="F710" s="378"/>
      <c r="G710" s="378"/>
      <c r="H710" s="378"/>
      <c r="I710" s="378"/>
      <c r="J710" s="378"/>
      <c r="K710" s="378"/>
      <c r="L710" s="378"/>
      <c r="M710" s="378"/>
      <c r="N710" s="378"/>
      <c r="O710" s="378"/>
      <c r="P710" s="378"/>
      <c r="Q710" s="378"/>
      <c r="R710" s="378"/>
      <c r="S710" s="378"/>
      <c r="T710" s="378"/>
      <c r="U710" s="378"/>
      <c r="V710" s="378"/>
      <c r="W710" s="378"/>
      <c r="X710" s="378"/>
      <c r="Y710" s="378"/>
      <c r="Z710" s="378"/>
    </row>
    <row r="711" ht="16.5" customHeight="1">
      <c r="A711" s="378"/>
      <c r="B711" s="378"/>
      <c r="C711" s="378"/>
      <c r="D711" s="378"/>
      <c r="E711" s="378"/>
      <c r="F711" s="378"/>
      <c r="G711" s="378"/>
      <c r="H711" s="378"/>
      <c r="I711" s="378"/>
      <c r="J711" s="378"/>
      <c r="K711" s="378"/>
      <c r="L711" s="378"/>
      <c r="M711" s="378"/>
      <c r="N711" s="378"/>
      <c r="O711" s="378"/>
      <c r="P711" s="378"/>
      <c r="Q711" s="378"/>
      <c r="R711" s="378"/>
      <c r="S711" s="378"/>
      <c r="T711" s="378"/>
      <c r="U711" s="378"/>
      <c r="V711" s="378"/>
      <c r="W711" s="378"/>
      <c r="X711" s="378"/>
      <c r="Y711" s="378"/>
      <c r="Z711" s="378"/>
    </row>
    <row r="712" ht="16.5" customHeight="1">
      <c r="A712" s="378"/>
      <c r="B712" s="378"/>
      <c r="C712" s="378"/>
      <c r="D712" s="378"/>
      <c r="E712" s="378"/>
      <c r="F712" s="378"/>
      <c r="G712" s="378"/>
      <c r="H712" s="378"/>
      <c r="I712" s="378"/>
      <c r="J712" s="378"/>
      <c r="K712" s="378"/>
      <c r="L712" s="378"/>
      <c r="M712" s="378"/>
      <c r="N712" s="378"/>
      <c r="O712" s="378"/>
      <c r="P712" s="378"/>
      <c r="Q712" s="378"/>
      <c r="R712" s="378"/>
      <c r="S712" s="378"/>
      <c r="T712" s="378"/>
      <c r="U712" s="378"/>
      <c r="V712" s="378"/>
      <c r="W712" s="378"/>
      <c r="X712" s="378"/>
      <c r="Y712" s="378"/>
      <c r="Z712" s="378"/>
    </row>
    <row r="713" ht="16.5" customHeight="1">
      <c r="A713" s="378"/>
      <c r="B713" s="378"/>
      <c r="C713" s="378"/>
      <c r="D713" s="378"/>
      <c r="E713" s="378"/>
      <c r="F713" s="378"/>
      <c r="G713" s="378"/>
      <c r="H713" s="378"/>
      <c r="I713" s="378"/>
      <c r="J713" s="378"/>
      <c r="K713" s="378"/>
      <c r="L713" s="378"/>
      <c r="M713" s="378"/>
      <c r="N713" s="378"/>
      <c r="O713" s="378"/>
      <c r="P713" s="378"/>
      <c r="Q713" s="378"/>
      <c r="R713" s="378"/>
      <c r="S713" s="378"/>
      <c r="T713" s="378"/>
      <c r="U713" s="378"/>
      <c r="V713" s="378"/>
      <c r="W713" s="378"/>
      <c r="X713" s="378"/>
      <c r="Y713" s="378"/>
      <c r="Z713" s="378"/>
    </row>
    <row r="714" ht="16.5" customHeight="1">
      <c r="A714" s="378"/>
      <c r="B714" s="378"/>
      <c r="C714" s="378"/>
      <c r="D714" s="378"/>
      <c r="E714" s="378"/>
      <c r="F714" s="378"/>
      <c r="G714" s="378"/>
      <c r="H714" s="378"/>
      <c r="I714" s="378"/>
      <c r="J714" s="378"/>
      <c r="K714" s="378"/>
      <c r="L714" s="378"/>
      <c r="M714" s="378"/>
      <c r="N714" s="378"/>
      <c r="O714" s="378"/>
      <c r="P714" s="378"/>
      <c r="Q714" s="378"/>
      <c r="R714" s="378"/>
      <c r="S714" s="378"/>
      <c r="T714" s="378"/>
      <c r="U714" s="378"/>
      <c r="V714" s="378"/>
      <c r="W714" s="378"/>
      <c r="X714" s="378"/>
      <c r="Y714" s="378"/>
      <c r="Z714" s="378"/>
    </row>
    <row r="715" ht="16.5" customHeight="1">
      <c r="A715" s="378"/>
      <c r="B715" s="378"/>
      <c r="C715" s="378"/>
      <c r="D715" s="378"/>
      <c r="E715" s="378"/>
      <c r="F715" s="378"/>
      <c r="G715" s="378"/>
      <c r="H715" s="378"/>
      <c r="I715" s="378"/>
      <c r="J715" s="378"/>
      <c r="K715" s="378"/>
      <c r="L715" s="378"/>
      <c r="M715" s="378"/>
      <c r="N715" s="378"/>
      <c r="O715" s="378"/>
      <c r="P715" s="378"/>
      <c r="Q715" s="378"/>
      <c r="R715" s="378"/>
      <c r="S715" s="378"/>
      <c r="T715" s="378"/>
      <c r="U715" s="378"/>
      <c r="V715" s="378"/>
      <c r="W715" s="378"/>
      <c r="X715" s="378"/>
      <c r="Y715" s="378"/>
      <c r="Z715" s="378"/>
    </row>
    <row r="716" ht="16.5" customHeight="1">
      <c r="A716" s="378"/>
      <c r="B716" s="378"/>
      <c r="C716" s="378"/>
      <c r="D716" s="378"/>
      <c r="E716" s="378"/>
      <c r="F716" s="378"/>
      <c r="G716" s="378"/>
      <c r="H716" s="378"/>
      <c r="I716" s="378"/>
      <c r="J716" s="378"/>
      <c r="K716" s="378"/>
      <c r="L716" s="378"/>
      <c r="M716" s="378"/>
      <c r="N716" s="378"/>
      <c r="O716" s="378"/>
      <c r="P716" s="378"/>
      <c r="Q716" s="378"/>
      <c r="R716" s="378"/>
      <c r="S716" s="378"/>
      <c r="T716" s="378"/>
      <c r="U716" s="378"/>
      <c r="V716" s="378"/>
      <c r="W716" s="378"/>
      <c r="X716" s="378"/>
      <c r="Y716" s="378"/>
      <c r="Z716" s="378"/>
    </row>
    <row r="717" ht="16.5" customHeight="1">
      <c r="A717" s="378"/>
      <c r="B717" s="378"/>
      <c r="C717" s="378"/>
      <c r="D717" s="378"/>
      <c r="E717" s="378"/>
      <c r="F717" s="378"/>
      <c r="G717" s="378"/>
      <c r="H717" s="378"/>
      <c r="I717" s="378"/>
      <c r="J717" s="378"/>
      <c r="K717" s="378"/>
      <c r="L717" s="378"/>
      <c r="M717" s="378"/>
      <c r="N717" s="378"/>
      <c r="O717" s="378"/>
      <c r="P717" s="378"/>
      <c r="Q717" s="378"/>
      <c r="R717" s="378"/>
      <c r="S717" s="378"/>
      <c r="T717" s="378"/>
      <c r="U717" s="378"/>
      <c r="V717" s="378"/>
      <c r="W717" s="378"/>
      <c r="X717" s="378"/>
      <c r="Y717" s="378"/>
      <c r="Z717" s="378"/>
    </row>
    <row r="718" ht="16.5" customHeight="1">
      <c r="A718" s="378"/>
      <c r="B718" s="378"/>
      <c r="C718" s="378"/>
      <c r="D718" s="378"/>
      <c r="E718" s="378"/>
      <c r="F718" s="378"/>
      <c r="G718" s="378"/>
      <c r="H718" s="378"/>
      <c r="I718" s="378"/>
      <c r="J718" s="378"/>
      <c r="K718" s="378"/>
      <c r="L718" s="378"/>
      <c r="M718" s="378"/>
      <c r="N718" s="378"/>
      <c r="O718" s="378"/>
      <c r="P718" s="378"/>
      <c r="Q718" s="378"/>
      <c r="R718" s="378"/>
      <c r="S718" s="378"/>
      <c r="T718" s="378"/>
      <c r="U718" s="378"/>
      <c r="V718" s="378"/>
      <c r="W718" s="378"/>
      <c r="X718" s="378"/>
      <c r="Y718" s="378"/>
      <c r="Z718" s="378"/>
    </row>
    <row r="719" ht="16.5" customHeight="1">
      <c r="A719" s="378"/>
      <c r="B719" s="378"/>
      <c r="C719" s="378"/>
      <c r="D719" s="378"/>
      <c r="E719" s="378"/>
      <c r="F719" s="378"/>
      <c r="G719" s="378"/>
      <c r="H719" s="378"/>
      <c r="I719" s="378"/>
      <c r="J719" s="378"/>
      <c r="K719" s="378"/>
      <c r="L719" s="378"/>
      <c r="M719" s="378"/>
      <c r="N719" s="378"/>
      <c r="O719" s="378"/>
      <c r="P719" s="378"/>
      <c r="Q719" s="378"/>
      <c r="R719" s="378"/>
      <c r="S719" s="378"/>
      <c r="T719" s="378"/>
      <c r="U719" s="378"/>
      <c r="V719" s="378"/>
      <c r="W719" s="378"/>
      <c r="X719" s="378"/>
      <c r="Y719" s="378"/>
      <c r="Z719" s="378"/>
    </row>
    <row r="720" ht="16.5" customHeight="1">
      <c r="A720" s="378"/>
      <c r="B720" s="378"/>
      <c r="C720" s="378"/>
      <c r="D720" s="378"/>
      <c r="E720" s="378"/>
      <c r="F720" s="378"/>
      <c r="G720" s="378"/>
      <c r="H720" s="378"/>
      <c r="I720" s="378"/>
      <c r="J720" s="378"/>
      <c r="K720" s="378"/>
      <c r="L720" s="378"/>
      <c r="M720" s="378"/>
      <c r="N720" s="378"/>
      <c r="O720" s="378"/>
      <c r="P720" s="378"/>
      <c r="Q720" s="378"/>
      <c r="R720" s="378"/>
      <c r="S720" s="378"/>
      <c r="T720" s="378"/>
      <c r="U720" s="378"/>
      <c r="V720" s="378"/>
      <c r="W720" s="378"/>
      <c r="X720" s="378"/>
      <c r="Y720" s="378"/>
      <c r="Z720" s="378"/>
    </row>
    <row r="721" ht="16.5" customHeight="1">
      <c r="A721" s="378"/>
      <c r="B721" s="378"/>
      <c r="C721" s="378"/>
      <c r="D721" s="378"/>
      <c r="E721" s="378"/>
      <c r="F721" s="378"/>
      <c r="G721" s="378"/>
      <c r="H721" s="378"/>
      <c r="I721" s="378"/>
      <c r="J721" s="378"/>
      <c r="K721" s="378"/>
      <c r="L721" s="378"/>
      <c r="M721" s="378"/>
      <c r="N721" s="378"/>
      <c r="O721" s="378"/>
      <c r="P721" s="378"/>
      <c r="Q721" s="378"/>
      <c r="R721" s="378"/>
      <c r="S721" s="378"/>
      <c r="T721" s="378"/>
      <c r="U721" s="378"/>
      <c r="V721" s="378"/>
      <c r="W721" s="378"/>
      <c r="X721" s="378"/>
      <c r="Y721" s="378"/>
      <c r="Z721" s="378"/>
    </row>
    <row r="722" ht="16.5" customHeight="1">
      <c r="A722" s="378"/>
      <c r="B722" s="378"/>
      <c r="C722" s="378"/>
      <c r="D722" s="378"/>
      <c r="E722" s="378"/>
      <c r="F722" s="378"/>
      <c r="G722" s="378"/>
      <c r="H722" s="378"/>
      <c r="I722" s="378"/>
      <c r="J722" s="378"/>
      <c r="K722" s="378"/>
      <c r="L722" s="378"/>
      <c r="M722" s="378"/>
      <c r="N722" s="378"/>
      <c r="O722" s="378"/>
      <c r="P722" s="378"/>
      <c r="Q722" s="378"/>
      <c r="R722" s="378"/>
      <c r="S722" s="378"/>
      <c r="T722" s="378"/>
      <c r="U722" s="378"/>
      <c r="V722" s="378"/>
      <c r="W722" s="378"/>
      <c r="X722" s="378"/>
      <c r="Y722" s="378"/>
      <c r="Z722" s="378"/>
    </row>
    <row r="723" ht="16.5" customHeight="1">
      <c r="A723" s="378"/>
      <c r="B723" s="378"/>
      <c r="C723" s="378"/>
      <c r="D723" s="378"/>
      <c r="E723" s="378"/>
      <c r="F723" s="378"/>
      <c r="G723" s="378"/>
      <c r="H723" s="378"/>
      <c r="I723" s="378"/>
      <c r="J723" s="378"/>
      <c r="K723" s="378"/>
      <c r="L723" s="378"/>
      <c r="M723" s="378"/>
      <c r="N723" s="378"/>
      <c r="O723" s="378"/>
      <c r="P723" s="378"/>
      <c r="Q723" s="378"/>
      <c r="R723" s="378"/>
      <c r="S723" s="378"/>
      <c r="T723" s="378"/>
      <c r="U723" s="378"/>
      <c r="V723" s="378"/>
      <c r="W723" s="378"/>
      <c r="X723" s="378"/>
      <c r="Y723" s="378"/>
      <c r="Z723" s="378"/>
    </row>
    <row r="724" ht="16.5" customHeight="1">
      <c r="A724" s="378"/>
      <c r="B724" s="378"/>
      <c r="C724" s="378"/>
      <c r="D724" s="378"/>
      <c r="E724" s="378"/>
      <c r="F724" s="378"/>
      <c r="G724" s="378"/>
      <c r="H724" s="378"/>
      <c r="I724" s="378"/>
      <c r="J724" s="378"/>
      <c r="K724" s="378"/>
      <c r="L724" s="378"/>
      <c r="M724" s="378"/>
      <c r="N724" s="378"/>
      <c r="O724" s="378"/>
      <c r="P724" s="378"/>
      <c r="Q724" s="378"/>
      <c r="R724" s="378"/>
      <c r="S724" s="378"/>
      <c r="T724" s="378"/>
      <c r="U724" s="378"/>
      <c r="V724" s="378"/>
      <c r="W724" s="378"/>
      <c r="X724" s="378"/>
      <c r="Y724" s="378"/>
      <c r="Z724" s="378"/>
    </row>
    <row r="725" ht="16.5" customHeight="1">
      <c r="A725" s="378"/>
      <c r="B725" s="378"/>
      <c r="C725" s="378"/>
      <c r="D725" s="378"/>
      <c r="E725" s="378"/>
      <c r="F725" s="378"/>
      <c r="G725" s="378"/>
      <c r="H725" s="378"/>
      <c r="I725" s="378"/>
      <c r="J725" s="378"/>
      <c r="K725" s="378"/>
      <c r="L725" s="378"/>
      <c r="M725" s="378"/>
      <c r="N725" s="378"/>
      <c r="O725" s="378"/>
      <c r="P725" s="378"/>
      <c r="Q725" s="378"/>
      <c r="R725" s="378"/>
      <c r="S725" s="378"/>
      <c r="T725" s="378"/>
      <c r="U725" s="378"/>
      <c r="V725" s="378"/>
      <c r="W725" s="378"/>
      <c r="X725" s="378"/>
      <c r="Y725" s="378"/>
      <c r="Z725" s="378"/>
    </row>
    <row r="726" ht="16.5" customHeight="1">
      <c r="A726" s="378"/>
      <c r="B726" s="378"/>
      <c r="C726" s="378"/>
      <c r="D726" s="378"/>
      <c r="E726" s="378"/>
      <c r="F726" s="378"/>
      <c r="G726" s="378"/>
      <c r="H726" s="378"/>
      <c r="I726" s="378"/>
      <c r="J726" s="378"/>
      <c r="K726" s="378"/>
      <c r="L726" s="378"/>
      <c r="M726" s="378"/>
      <c r="N726" s="378"/>
      <c r="O726" s="378"/>
      <c r="P726" s="378"/>
      <c r="Q726" s="378"/>
      <c r="R726" s="378"/>
      <c r="S726" s="378"/>
      <c r="T726" s="378"/>
      <c r="U726" s="378"/>
      <c r="V726" s="378"/>
      <c r="W726" s="378"/>
      <c r="X726" s="378"/>
      <c r="Y726" s="378"/>
      <c r="Z726" s="378"/>
    </row>
    <row r="727" ht="16.5" customHeight="1">
      <c r="A727" s="378"/>
      <c r="B727" s="378"/>
      <c r="C727" s="378"/>
      <c r="D727" s="378"/>
      <c r="E727" s="378"/>
      <c r="F727" s="378"/>
      <c r="G727" s="378"/>
      <c r="H727" s="378"/>
      <c r="I727" s="378"/>
      <c r="J727" s="378"/>
      <c r="K727" s="378"/>
      <c r="L727" s="378"/>
      <c r="M727" s="378"/>
      <c r="N727" s="378"/>
      <c r="O727" s="378"/>
      <c r="P727" s="378"/>
      <c r="Q727" s="378"/>
      <c r="R727" s="378"/>
      <c r="S727" s="378"/>
      <c r="T727" s="378"/>
      <c r="U727" s="378"/>
      <c r="V727" s="378"/>
      <c r="W727" s="378"/>
      <c r="X727" s="378"/>
      <c r="Y727" s="378"/>
      <c r="Z727" s="378"/>
    </row>
    <row r="728" ht="16.5" customHeight="1">
      <c r="A728" s="378"/>
      <c r="B728" s="378"/>
      <c r="C728" s="378"/>
      <c r="D728" s="378"/>
      <c r="E728" s="378"/>
      <c r="F728" s="378"/>
      <c r="G728" s="378"/>
      <c r="H728" s="378"/>
      <c r="I728" s="378"/>
      <c r="J728" s="378"/>
      <c r="K728" s="378"/>
      <c r="L728" s="378"/>
      <c r="M728" s="378"/>
      <c r="N728" s="378"/>
      <c r="O728" s="378"/>
      <c r="P728" s="378"/>
      <c r="Q728" s="378"/>
      <c r="R728" s="378"/>
      <c r="S728" s="378"/>
      <c r="T728" s="378"/>
      <c r="U728" s="378"/>
      <c r="V728" s="378"/>
      <c r="W728" s="378"/>
      <c r="X728" s="378"/>
      <c r="Y728" s="378"/>
      <c r="Z728" s="378"/>
    </row>
    <row r="729" ht="16.5" customHeight="1">
      <c r="A729" s="378"/>
      <c r="B729" s="378"/>
      <c r="C729" s="378"/>
      <c r="D729" s="378"/>
      <c r="E729" s="378"/>
      <c r="F729" s="378"/>
      <c r="G729" s="378"/>
      <c r="H729" s="378"/>
      <c r="I729" s="378"/>
      <c r="J729" s="378"/>
      <c r="K729" s="378"/>
      <c r="L729" s="378"/>
      <c r="M729" s="378"/>
      <c r="N729" s="378"/>
      <c r="O729" s="378"/>
      <c r="P729" s="378"/>
      <c r="Q729" s="378"/>
      <c r="R729" s="378"/>
      <c r="S729" s="378"/>
      <c r="T729" s="378"/>
      <c r="U729" s="378"/>
      <c r="V729" s="378"/>
      <c r="W729" s="378"/>
      <c r="X729" s="378"/>
      <c r="Y729" s="378"/>
      <c r="Z729" s="378"/>
    </row>
    <row r="730" ht="16.5" customHeight="1">
      <c r="A730" s="378"/>
      <c r="B730" s="378"/>
      <c r="C730" s="378"/>
      <c r="D730" s="378"/>
      <c r="E730" s="378"/>
      <c r="F730" s="378"/>
      <c r="G730" s="378"/>
      <c r="H730" s="378"/>
      <c r="I730" s="378"/>
      <c r="J730" s="378"/>
      <c r="K730" s="378"/>
      <c r="L730" s="378"/>
      <c r="M730" s="378"/>
      <c r="N730" s="378"/>
      <c r="O730" s="378"/>
      <c r="P730" s="378"/>
      <c r="Q730" s="378"/>
      <c r="R730" s="378"/>
      <c r="S730" s="378"/>
      <c r="T730" s="378"/>
      <c r="U730" s="378"/>
      <c r="V730" s="378"/>
      <c r="W730" s="378"/>
      <c r="X730" s="378"/>
      <c r="Y730" s="378"/>
      <c r="Z730" s="378"/>
    </row>
    <row r="731" ht="16.5" customHeight="1">
      <c r="A731" s="378"/>
      <c r="B731" s="378"/>
      <c r="C731" s="378"/>
      <c r="D731" s="378"/>
      <c r="E731" s="378"/>
      <c r="F731" s="378"/>
      <c r="G731" s="378"/>
      <c r="H731" s="378"/>
      <c r="I731" s="378"/>
      <c r="J731" s="378"/>
      <c r="K731" s="378"/>
      <c r="L731" s="378"/>
      <c r="M731" s="378"/>
      <c r="N731" s="378"/>
      <c r="O731" s="378"/>
      <c r="P731" s="378"/>
      <c r="Q731" s="378"/>
      <c r="R731" s="378"/>
      <c r="S731" s="378"/>
      <c r="T731" s="378"/>
      <c r="U731" s="378"/>
      <c r="V731" s="378"/>
      <c r="W731" s="378"/>
      <c r="X731" s="378"/>
      <c r="Y731" s="378"/>
      <c r="Z731" s="378"/>
    </row>
    <row r="732" ht="16.5" customHeight="1">
      <c r="A732" s="378"/>
      <c r="B732" s="378"/>
      <c r="C732" s="378"/>
      <c r="D732" s="378"/>
      <c r="E732" s="378"/>
      <c r="F732" s="378"/>
      <c r="G732" s="378"/>
      <c r="H732" s="378"/>
      <c r="I732" s="378"/>
      <c r="J732" s="378"/>
      <c r="K732" s="378"/>
      <c r="L732" s="378"/>
      <c r="M732" s="378"/>
      <c r="N732" s="378"/>
      <c r="O732" s="378"/>
      <c r="P732" s="378"/>
      <c r="Q732" s="378"/>
      <c r="R732" s="378"/>
      <c r="S732" s="378"/>
      <c r="T732" s="378"/>
      <c r="U732" s="378"/>
      <c r="V732" s="378"/>
      <c r="W732" s="378"/>
      <c r="X732" s="378"/>
      <c r="Y732" s="378"/>
      <c r="Z732" s="378"/>
    </row>
    <row r="733" ht="16.5" customHeight="1">
      <c r="A733" s="378"/>
      <c r="B733" s="378"/>
      <c r="C733" s="378"/>
      <c r="D733" s="378"/>
      <c r="E733" s="378"/>
      <c r="F733" s="378"/>
      <c r="G733" s="378"/>
      <c r="H733" s="378"/>
      <c r="I733" s="378"/>
      <c r="J733" s="378"/>
      <c r="K733" s="378"/>
      <c r="L733" s="378"/>
      <c r="M733" s="378"/>
      <c r="N733" s="378"/>
      <c r="O733" s="378"/>
      <c r="P733" s="378"/>
      <c r="Q733" s="378"/>
      <c r="R733" s="378"/>
      <c r="S733" s="378"/>
      <c r="T733" s="378"/>
      <c r="U733" s="378"/>
      <c r="V733" s="378"/>
      <c r="W733" s="378"/>
      <c r="X733" s="378"/>
      <c r="Y733" s="378"/>
      <c r="Z733" s="378"/>
    </row>
    <row r="734" ht="16.5" customHeight="1">
      <c r="A734" s="378"/>
      <c r="B734" s="378"/>
      <c r="C734" s="378"/>
      <c r="D734" s="378"/>
      <c r="E734" s="378"/>
      <c r="F734" s="378"/>
      <c r="G734" s="378"/>
      <c r="H734" s="378"/>
      <c r="I734" s="378"/>
      <c r="J734" s="378"/>
      <c r="K734" s="378"/>
      <c r="L734" s="378"/>
      <c r="M734" s="378"/>
      <c r="N734" s="378"/>
      <c r="O734" s="378"/>
      <c r="P734" s="378"/>
      <c r="Q734" s="378"/>
      <c r="R734" s="378"/>
      <c r="S734" s="378"/>
      <c r="T734" s="378"/>
      <c r="U734" s="378"/>
      <c r="V734" s="378"/>
      <c r="W734" s="378"/>
      <c r="X734" s="378"/>
      <c r="Y734" s="378"/>
      <c r="Z734" s="378"/>
    </row>
    <row r="735" ht="16.5" customHeight="1">
      <c r="A735" s="378"/>
      <c r="B735" s="378"/>
      <c r="C735" s="378"/>
      <c r="D735" s="378"/>
      <c r="E735" s="378"/>
      <c r="F735" s="378"/>
      <c r="G735" s="378"/>
      <c r="H735" s="378"/>
      <c r="I735" s="378"/>
      <c r="J735" s="378"/>
      <c r="K735" s="378"/>
      <c r="L735" s="378"/>
      <c r="M735" s="378"/>
      <c r="N735" s="378"/>
      <c r="O735" s="378"/>
      <c r="P735" s="378"/>
      <c r="Q735" s="378"/>
      <c r="R735" s="378"/>
      <c r="S735" s="378"/>
      <c r="T735" s="378"/>
      <c r="U735" s="378"/>
      <c r="V735" s="378"/>
      <c r="W735" s="378"/>
      <c r="X735" s="378"/>
      <c r="Y735" s="378"/>
      <c r="Z735" s="378"/>
    </row>
    <row r="736" ht="16.5" customHeight="1">
      <c r="A736" s="378"/>
      <c r="B736" s="378"/>
      <c r="C736" s="378"/>
      <c r="D736" s="378"/>
      <c r="E736" s="378"/>
      <c r="F736" s="378"/>
      <c r="G736" s="378"/>
      <c r="H736" s="378"/>
      <c r="I736" s="378"/>
      <c r="J736" s="378"/>
      <c r="K736" s="378"/>
      <c r="L736" s="378"/>
      <c r="M736" s="378"/>
      <c r="N736" s="378"/>
      <c r="O736" s="378"/>
      <c r="P736" s="378"/>
      <c r="Q736" s="378"/>
      <c r="R736" s="378"/>
      <c r="S736" s="378"/>
      <c r="T736" s="378"/>
      <c r="U736" s="378"/>
      <c r="V736" s="378"/>
      <c r="W736" s="378"/>
      <c r="X736" s="378"/>
      <c r="Y736" s="378"/>
      <c r="Z736" s="378"/>
    </row>
    <row r="737" ht="16.5" customHeight="1">
      <c r="A737" s="378"/>
      <c r="B737" s="378"/>
      <c r="C737" s="378"/>
      <c r="D737" s="378"/>
      <c r="E737" s="378"/>
      <c r="F737" s="378"/>
      <c r="G737" s="378"/>
      <c r="H737" s="378"/>
      <c r="I737" s="378"/>
      <c r="J737" s="378"/>
      <c r="K737" s="378"/>
      <c r="L737" s="378"/>
      <c r="M737" s="378"/>
      <c r="N737" s="378"/>
      <c r="O737" s="378"/>
      <c r="P737" s="378"/>
      <c r="Q737" s="378"/>
      <c r="R737" s="378"/>
      <c r="S737" s="378"/>
      <c r="T737" s="378"/>
      <c r="U737" s="378"/>
      <c r="V737" s="378"/>
      <c r="W737" s="378"/>
      <c r="X737" s="378"/>
      <c r="Y737" s="378"/>
      <c r="Z737" s="378"/>
    </row>
    <row r="738" ht="16.5" customHeight="1">
      <c r="A738" s="378"/>
      <c r="B738" s="378"/>
      <c r="C738" s="378"/>
      <c r="D738" s="378"/>
      <c r="E738" s="378"/>
      <c r="F738" s="378"/>
      <c r="G738" s="378"/>
      <c r="H738" s="378"/>
      <c r="I738" s="378"/>
      <c r="J738" s="378"/>
      <c r="K738" s="378"/>
      <c r="L738" s="378"/>
      <c r="M738" s="378"/>
      <c r="N738" s="378"/>
      <c r="O738" s="378"/>
      <c r="P738" s="378"/>
      <c r="Q738" s="378"/>
      <c r="R738" s="378"/>
      <c r="S738" s="378"/>
      <c r="T738" s="378"/>
      <c r="U738" s="378"/>
      <c r="V738" s="378"/>
      <c r="W738" s="378"/>
      <c r="X738" s="378"/>
      <c r="Y738" s="378"/>
      <c r="Z738" s="378"/>
    </row>
    <row r="739" ht="16.5" customHeight="1">
      <c r="A739" s="378"/>
      <c r="B739" s="378"/>
      <c r="C739" s="378"/>
      <c r="D739" s="378"/>
      <c r="E739" s="378"/>
      <c r="F739" s="378"/>
      <c r="G739" s="378"/>
      <c r="H739" s="378"/>
      <c r="I739" s="378"/>
      <c r="J739" s="378"/>
      <c r="K739" s="378"/>
      <c r="L739" s="378"/>
      <c r="M739" s="378"/>
      <c r="N739" s="378"/>
      <c r="O739" s="378"/>
      <c r="P739" s="378"/>
      <c r="Q739" s="378"/>
      <c r="R739" s="378"/>
      <c r="S739" s="378"/>
      <c r="T739" s="378"/>
      <c r="U739" s="378"/>
      <c r="V739" s="378"/>
      <c r="W739" s="378"/>
      <c r="X739" s="378"/>
      <c r="Y739" s="378"/>
      <c r="Z739" s="378"/>
    </row>
    <row r="740" ht="16.5" customHeight="1">
      <c r="A740" s="378"/>
      <c r="B740" s="378"/>
      <c r="C740" s="378"/>
      <c r="D740" s="378"/>
      <c r="E740" s="378"/>
      <c r="F740" s="378"/>
      <c r="G740" s="378"/>
      <c r="H740" s="378"/>
      <c r="I740" s="378"/>
      <c r="J740" s="378"/>
      <c r="K740" s="378"/>
      <c r="L740" s="378"/>
      <c r="M740" s="378"/>
      <c r="N740" s="378"/>
      <c r="O740" s="378"/>
      <c r="P740" s="378"/>
      <c r="Q740" s="378"/>
      <c r="R740" s="378"/>
      <c r="S740" s="378"/>
      <c r="T740" s="378"/>
      <c r="U740" s="378"/>
      <c r="V740" s="378"/>
      <c r="W740" s="378"/>
      <c r="X740" s="378"/>
      <c r="Y740" s="378"/>
      <c r="Z740" s="378"/>
    </row>
    <row r="741" ht="16.5" customHeight="1">
      <c r="A741" s="378"/>
      <c r="B741" s="378"/>
      <c r="C741" s="378"/>
      <c r="D741" s="378"/>
      <c r="E741" s="378"/>
      <c r="F741" s="378"/>
      <c r="G741" s="378"/>
      <c r="H741" s="378"/>
      <c r="I741" s="378"/>
      <c r="J741" s="378"/>
      <c r="K741" s="378"/>
      <c r="L741" s="378"/>
      <c r="M741" s="378"/>
      <c r="N741" s="378"/>
      <c r="O741" s="378"/>
      <c r="P741" s="378"/>
      <c r="Q741" s="378"/>
      <c r="R741" s="378"/>
      <c r="S741" s="378"/>
      <c r="T741" s="378"/>
      <c r="U741" s="378"/>
      <c r="V741" s="378"/>
      <c r="W741" s="378"/>
      <c r="X741" s="378"/>
      <c r="Y741" s="378"/>
      <c r="Z741" s="378"/>
    </row>
    <row r="742" ht="16.5" customHeight="1">
      <c r="A742" s="378"/>
      <c r="B742" s="378"/>
      <c r="C742" s="378"/>
      <c r="D742" s="378"/>
      <c r="E742" s="378"/>
      <c r="F742" s="378"/>
      <c r="G742" s="378"/>
      <c r="H742" s="378"/>
      <c r="I742" s="378"/>
      <c r="J742" s="378"/>
      <c r="K742" s="378"/>
      <c r="L742" s="378"/>
      <c r="M742" s="378"/>
      <c r="N742" s="378"/>
      <c r="O742" s="378"/>
      <c r="P742" s="378"/>
      <c r="Q742" s="378"/>
      <c r="R742" s="378"/>
      <c r="S742" s="378"/>
      <c r="T742" s="378"/>
      <c r="U742" s="378"/>
      <c r="V742" s="378"/>
      <c r="W742" s="378"/>
      <c r="X742" s="378"/>
      <c r="Y742" s="378"/>
      <c r="Z742" s="378"/>
    </row>
    <row r="743" ht="16.5" customHeight="1">
      <c r="A743" s="378"/>
      <c r="B743" s="378"/>
      <c r="C743" s="378"/>
      <c r="D743" s="378"/>
      <c r="E743" s="378"/>
      <c r="F743" s="378"/>
      <c r="G743" s="378"/>
      <c r="H743" s="378"/>
      <c r="I743" s="378"/>
      <c r="J743" s="378"/>
      <c r="K743" s="378"/>
      <c r="L743" s="378"/>
      <c r="M743" s="378"/>
      <c r="N743" s="378"/>
      <c r="O743" s="378"/>
      <c r="P743" s="378"/>
      <c r="Q743" s="378"/>
      <c r="R743" s="378"/>
      <c r="S743" s="378"/>
      <c r="T743" s="378"/>
      <c r="U743" s="378"/>
      <c r="V743" s="378"/>
      <c r="W743" s="378"/>
      <c r="X743" s="378"/>
      <c r="Y743" s="378"/>
      <c r="Z743" s="378"/>
    </row>
    <row r="744" ht="16.5" customHeight="1">
      <c r="A744" s="378"/>
      <c r="B744" s="378"/>
      <c r="C744" s="378"/>
      <c r="D744" s="378"/>
      <c r="E744" s="378"/>
      <c r="F744" s="378"/>
      <c r="G744" s="378"/>
      <c r="H744" s="378"/>
      <c r="I744" s="378"/>
      <c r="J744" s="378"/>
      <c r="K744" s="378"/>
      <c r="L744" s="378"/>
      <c r="M744" s="378"/>
      <c r="N744" s="378"/>
      <c r="O744" s="378"/>
      <c r="P744" s="378"/>
      <c r="Q744" s="378"/>
      <c r="R744" s="378"/>
      <c r="S744" s="378"/>
      <c r="T744" s="378"/>
      <c r="U744" s="378"/>
      <c r="V744" s="378"/>
      <c r="W744" s="378"/>
      <c r="X744" s="378"/>
      <c r="Y744" s="378"/>
      <c r="Z744" s="378"/>
    </row>
    <row r="745" ht="16.5" customHeight="1">
      <c r="A745" s="378"/>
      <c r="B745" s="378"/>
      <c r="C745" s="378"/>
      <c r="D745" s="378"/>
      <c r="E745" s="378"/>
      <c r="F745" s="378"/>
      <c r="G745" s="378"/>
      <c r="H745" s="378"/>
      <c r="I745" s="378"/>
      <c r="J745" s="378"/>
      <c r="K745" s="378"/>
      <c r="L745" s="378"/>
      <c r="M745" s="378"/>
      <c r="N745" s="378"/>
      <c r="O745" s="378"/>
      <c r="P745" s="378"/>
      <c r="Q745" s="378"/>
      <c r="R745" s="378"/>
      <c r="S745" s="378"/>
      <c r="T745" s="378"/>
      <c r="U745" s="378"/>
      <c r="V745" s="378"/>
      <c r="W745" s="378"/>
      <c r="X745" s="378"/>
      <c r="Y745" s="378"/>
      <c r="Z745" s="378"/>
    </row>
    <row r="746" ht="16.5" customHeight="1">
      <c r="A746" s="378"/>
      <c r="B746" s="378"/>
      <c r="C746" s="378"/>
      <c r="D746" s="378"/>
      <c r="E746" s="378"/>
      <c r="F746" s="378"/>
      <c r="G746" s="378"/>
      <c r="H746" s="378"/>
      <c r="I746" s="378"/>
      <c r="J746" s="378"/>
      <c r="K746" s="378"/>
      <c r="L746" s="378"/>
      <c r="M746" s="378"/>
      <c r="N746" s="378"/>
      <c r="O746" s="378"/>
      <c r="P746" s="378"/>
      <c r="Q746" s="378"/>
      <c r="R746" s="378"/>
      <c r="S746" s="378"/>
      <c r="T746" s="378"/>
      <c r="U746" s="378"/>
      <c r="V746" s="378"/>
      <c r="W746" s="378"/>
      <c r="X746" s="378"/>
      <c r="Y746" s="378"/>
      <c r="Z746" s="378"/>
    </row>
    <row r="747" ht="16.5" customHeight="1">
      <c r="A747" s="378"/>
      <c r="B747" s="378"/>
      <c r="C747" s="378"/>
      <c r="D747" s="378"/>
      <c r="E747" s="378"/>
      <c r="F747" s="378"/>
      <c r="G747" s="378"/>
      <c r="H747" s="378"/>
      <c r="I747" s="378"/>
      <c r="J747" s="378"/>
      <c r="K747" s="378"/>
      <c r="L747" s="378"/>
      <c r="M747" s="378"/>
      <c r="N747" s="378"/>
      <c r="O747" s="378"/>
      <c r="P747" s="378"/>
      <c r="Q747" s="378"/>
      <c r="R747" s="378"/>
      <c r="S747" s="378"/>
      <c r="T747" s="378"/>
      <c r="U747" s="378"/>
      <c r="V747" s="378"/>
      <c r="W747" s="378"/>
      <c r="X747" s="378"/>
      <c r="Y747" s="378"/>
      <c r="Z747" s="378"/>
    </row>
    <row r="748" ht="16.5" customHeight="1">
      <c r="A748" s="378"/>
      <c r="B748" s="378"/>
      <c r="C748" s="378"/>
      <c r="D748" s="378"/>
      <c r="E748" s="378"/>
      <c r="F748" s="378"/>
      <c r="G748" s="378"/>
      <c r="H748" s="378"/>
      <c r="I748" s="378"/>
      <c r="J748" s="378"/>
      <c r="K748" s="378"/>
      <c r="L748" s="378"/>
      <c r="M748" s="378"/>
      <c r="N748" s="378"/>
      <c r="O748" s="378"/>
      <c r="P748" s="378"/>
      <c r="Q748" s="378"/>
      <c r="R748" s="378"/>
      <c r="S748" s="378"/>
      <c r="T748" s="378"/>
      <c r="U748" s="378"/>
      <c r="V748" s="378"/>
      <c r="W748" s="378"/>
      <c r="X748" s="378"/>
      <c r="Y748" s="378"/>
      <c r="Z748" s="378"/>
    </row>
    <row r="749" ht="16.5" customHeight="1">
      <c r="A749" s="378"/>
      <c r="B749" s="378"/>
      <c r="C749" s="378"/>
      <c r="D749" s="378"/>
      <c r="E749" s="378"/>
      <c r="F749" s="378"/>
      <c r="G749" s="378"/>
      <c r="H749" s="378"/>
      <c r="I749" s="378"/>
      <c r="J749" s="378"/>
      <c r="K749" s="378"/>
      <c r="L749" s="378"/>
      <c r="M749" s="378"/>
      <c r="N749" s="378"/>
      <c r="O749" s="378"/>
      <c r="P749" s="378"/>
      <c r="Q749" s="378"/>
      <c r="R749" s="378"/>
      <c r="S749" s="378"/>
      <c r="T749" s="378"/>
      <c r="U749" s="378"/>
      <c r="V749" s="378"/>
      <c r="W749" s="378"/>
      <c r="X749" s="378"/>
      <c r="Y749" s="378"/>
      <c r="Z749" s="378"/>
    </row>
    <row r="750" ht="16.5" customHeight="1">
      <c r="A750" s="378"/>
      <c r="B750" s="378"/>
      <c r="C750" s="378"/>
      <c r="D750" s="378"/>
      <c r="E750" s="378"/>
      <c r="F750" s="378"/>
      <c r="G750" s="378"/>
      <c r="H750" s="378"/>
      <c r="I750" s="378"/>
      <c r="J750" s="378"/>
      <c r="K750" s="378"/>
      <c r="L750" s="378"/>
      <c r="M750" s="378"/>
      <c r="N750" s="378"/>
      <c r="O750" s="378"/>
      <c r="P750" s="378"/>
      <c r="Q750" s="378"/>
      <c r="R750" s="378"/>
      <c r="S750" s="378"/>
      <c r="T750" s="378"/>
      <c r="U750" s="378"/>
      <c r="V750" s="378"/>
      <c r="W750" s="378"/>
      <c r="X750" s="378"/>
      <c r="Y750" s="378"/>
      <c r="Z750" s="378"/>
    </row>
    <row r="751" ht="16.5" customHeight="1">
      <c r="A751" s="378"/>
      <c r="B751" s="378"/>
      <c r="C751" s="378"/>
      <c r="D751" s="378"/>
      <c r="E751" s="378"/>
      <c r="F751" s="378"/>
      <c r="G751" s="378"/>
      <c r="H751" s="378"/>
      <c r="I751" s="378"/>
      <c r="J751" s="378"/>
      <c r="K751" s="378"/>
      <c r="L751" s="378"/>
      <c r="M751" s="378"/>
      <c r="N751" s="378"/>
      <c r="O751" s="378"/>
      <c r="P751" s="378"/>
      <c r="Q751" s="378"/>
      <c r="R751" s="378"/>
      <c r="S751" s="378"/>
      <c r="T751" s="378"/>
      <c r="U751" s="378"/>
      <c r="V751" s="378"/>
      <c r="W751" s="378"/>
      <c r="X751" s="378"/>
      <c r="Y751" s="378"/>
      <c r="Z751" s="378"/>
    </row>
    <row r="752" ht="16.5" customHeight="1">
      <c r="A752" s="378"/>
      <c r="B752" s="378"/>
      <c r="C752" s="378"/>
      <c r="D752" s="378"/>
      <c r="E752" s="378"/>
      <c r="F752" s="378"/>
      <c r="G752" s="378"/>
      <c r="H752" s="378"/>
      <c r="I752" s="378"/>
      <c r="J752" s="378"/>
      <c r="K752" s="378"/>
      <c r="L752" s="378"/>
      <c r="M752" s="378"/>
      <c r="N752" s="378"/>
      <c r="O752" s="378"/>
      <c r="P752" s="378"/>
      <c r="Q752" s="378"/>
      <c r="R752" s="378"/>
      <c r="S752" s="378"/>
      <c r="T752" s="378"/>
      <c r="U752" s="378"/>
      <c r="V752" s="378"/>
      <c r="W752" s="378"/>
      <c r="X752" s="378"/>
      <c r="Y752" s="378"/>
      <c r="Z752" s="378"/>
    </row>
    <row r="753" ht="16.5" customHeight="1">
      <c r="A753" s="378"/>
      <c r="B753" s="378"/>
      <c r="C753" s="378"/>
      <c r="D753" s="378"/>
      <c r="E753" s="378"/>
      <c r="F753" s="378"/>
      <c r="G753" s="378"/>
      <c r="H753" s="378"/>
      <c r="I753" s="378"/>
      <c r="J753" s="378"/>
      <c r="K753" s="378"/>
      <c r="L753" s="378"/>
      <c r="M753" s="378"/>
      <c r="N753" s="378"/>
      <c r="O753" s="378"/>
      <c r="P753" s="378"/>
      <c r="Q753" s="378"/>
      <c r="R753" s="378"/>
      <c r="S753" s="378"/>
      <c r="T753" s="378"/>
      <c r="U753" s="378"/>
      <c r="V753" s="378"/>
      <c r="W753" s="378"/>
      <c r="X753" s="378"/>
      <c r="Y753" s="378"/>
      <c r="Z753" s="378"/>
    </row>
    <row r="754" ht="16.5" customHeight="1">
      <c r="A754" s="378"/>
      <c r="B754" s="378"/>
      <c r="C754" s="378"/>
      <c r="D754" s="378"/>
      <c r="E754" s="378"/>
      <c r="F754" s="378"/>
      <c r="G754" s="378"/>
      <c r="H754" s="378"/>
      <c r="I754" s="378"/>
      <c r="J754" s="378"/>
      <c r="K754" s="378"/>
      <c r="L754" s="378"/>
      <c r="M754" s="378"/>
      <c r="N754" s="378"/>
      <c r="O754" s="378"/>
      <c r="P754" s="378"/>
      <c r="Q754" s="378"/>
      <c r="R754" s="378"/>
      <c r="S754" s="378"/>
      <c r="T754" s="378"/>
      <c r="U754" s="378"/>
      <c r="V754" s="378"/>
      <c r="W754" s="378"/>
      <c r="X754" s="378"/>
      <c r="Y754" s="378"/>
      <c r="Z754" s="378"/>
    </row>
    <row r="755" ht="16.5" customHeight="1">
      <c r="A755" s="378"/>
      <c r="B755" s="378"/>
      <c r="C755" s="378"/>
      <c r="D755" s="378"/>
      <c r="E755" s="378"/>
      <c r="F755" s="378"/>
      <c r="G755" s="378"/>
      <c r="H755" s="378"/>
      <c r="I755" s="378"/>
      <c r="J755" s="378"/>
      <c r="K755" s="378"/>
      <c r="L755" s="378"/>
      <c r="M755" s="378"/>
      <c r="N755" s="378"/>
      <c r="O755" s="378"/>
      <c r="P755" s="378"/>
      <c r="Q755" s="378"/>
      <c r="R755" s="378"/>
      <c r="S755" s="378"/>
      <c r="T755" s="378"/>
      <c r="U755" s="378"/>
      <c r="V755" s="378"/>
      <c r="W755" s="378"/>
      <c r="X755" s="378"/>
      <c r="Y755" s="378"/>
      <c r="Z755" s="378"/>
    </row>
    <row r="756" ht="16.5" customHeight="1">
      <c r="A756" s="378"/>
      <c r="B756" s="378"/>
      <c r="C756" s="378"/>
      <c r="D756" s="378"/>
      <c r="E756" s="378"/>
      <c r="F756" s="378"/>
      <c r="G756" s="378"/>
      <c r="H756" s="378"/>
      <c r="I756" s="378"/>
      <c r="J756" s="378"/>
      <c r="K756" s="378"/>
      <c r="L756" s="378"/>
      <c r="M756" s="378"/>
      <c r="N756" s="378"/>
      <c r="O756" s="378"/>
      <c r="P756" s="378"/>
      <c r="Q756" s="378"/>
      <c r="R756" s="378"/>
      <c r="S756" s="378"/>
      <c r="T756" s="378"/>
      <c r="U756" s="378"/>
      <c r="V756" s="378"/>
      <c r="W756" s="378"/>
      <c r="X756" s="378"/>
      <c r="Y756" s="378"/>
      <c r="Z756" s="378"/>
    </row>
    <row r="757" ht="16.5" customHeight="1">
      <c r="A757" s="378"/>
      <c r="B757" s="378"/>
      <c r="C757" s="378"/>
      <c r="D757" s="378"/>
      <c r="E757" s="378"/>
      <c r="F757" s="378"/>
      <c r="G757" s="378"/>
      <c r="H757" s="378"/>
      <c r="I757" s="378"/>
      <c r="J757" s="378"/>
      <c r="K757" s="378"/>
      <c r="L757" s="378"/>
      <c r="M757" s="378"/>
      <c r="N757" s="378"/>
      <c r="O757" s="378"/>
      <c r="P757" s="378"/>
      <c r="Q757" s="378"/>
      <c r="R757" s="378"/>
      <c r="S757" s="378"/>
      <c r="T757" s="378"/>
      <c r="U757" s="378"/>
      <c r="V757" s="378"/>
      <c r="W757" s="378"/>
      <c r="X757" s="378"/>
      <c r="Y757" s="378"/>
      <c r="Z757" s="378"/>
    </row>
    <row r="758" ht="16.5" customHeight="1">
      <c r="A758" s="378"/>
      <c r="B758" s="378"/>
      <c r="C758" s="378"/>
      <c r="D758" s="378"/>
      <c r="E758" s="378"/>
      <c r="F758" s="378"/>
      <c r="G758" s="378"/>
      <c r="H758" s="378"/>
      <c r="I758" s="378"/>
      <c r="J758" s="378"/>
      <c r="K758" s="378"/>
      <c r="L758" s="378"/>
      <c r="M758" s="378"/>
      <c r="N758" s="378"/>
      <c r="O758" s="378"/>
      <c r="P758" s="378"/>
      <c r="Q758" s="378"/>
      <c r="R758" s="378"/>
      <c r="S758" s="378"/>
      <c r="T758" s="378"/>
      <c r="U758" s="378"/>
      <c r="V758" s="378"/>
      <c r="W758" s="378"/>
      <c r="X758" s="378"/>
      <c r="Y758" s="378"/>
      <c r="Z758" s="378"/>
    </row>
    <row r="759" ht="16.5" customHeight="1">
      <c r="A759" s="378"/>
      <c r="B759" s="378"/>
      <c r="C759" s="378"/>
      <c r="D759" s="378"/>
      <c r="E759" s="378"/>
      <c r="F759" s="378"/>
      <c r="G759" s="378"/>
      <c r="H759" s="378"/>
      <c r="I759" s="378"/>
      <c r="J759" s="378"/>
      <c r="K759" s="378"/>
      <c r="L759" s="378"/>
      <c r="M759" s="378"/>
      <c r="N759" s="378"/>
      <c r="O759" s="378"/>
      <c r="P759" s="378"/>
      <c r="Q759" s="378"/>
      <c r="R759" s="378"/>
      <c r="S759" s="378"/>
      <c r="T759" s="378"/>
      <c r="U759" s="378"/>
      <c r="V759" s="378"/>
      <c r="W759" s="378"/>
      <c r="X759" s="378"/>
      <c r="Y759" s="378"/>
      <c r="Z759" s="378"/>
    </row>
    <row r="760" ht="16.5" customHeight="1">
      <c r="A760" s="378"/>
      <c r="B760" s="378"/>
      <c r="C760" s="378"/>
      <c r="D760" s="378"/>
      <c r="E760" s="378"/>
      <c r="F760" s="378"/>
      <c r="G760" s="378"/>
      <c r="H760" s="378"/>
      <c r="I760" s="378"/>
      <c r="J760" s="378"/>
      <c r="K760" s="378"/>
      <c r="L760" s="378"/>
      <c r="M760" s="378"/>
      <c r="N760" s="378"/>
      <c r="O760" s="378"/>
      <c r="P760" s="378"/>
      <c r="Q760" s="378"/>
      <c r="R760" s="378"/>
      <c r="S760" s="378"/>
      <c r="T760" s="378"/>
      <c r="U760" s="378"/>
      <c r="V760" s="378"/>
      <c r="W760" s="378"/>
      <c r="X760" s="378"/>
      <c r="Y760" s="378"/>
      <c r="Z760" s="378"/>
    </row>
    <row r="761" ht="16.5" customHeight="1">
      <c r="A761" s="378"/>
      <c r="B761" s="378"/>
      <c r="C761" s="378"/>
      <c r="D761" s="378"/>
      <c r="E761" s="378"/>
      <c r="F761" s="378"/>
      <c r="G761" s="378"/>
      <c r="H761" s="378"/>
      <c r="I761" s="378"/>
      <c r="J761" s="378"/>
      <c r="K761" s="378"/>
      <c r="L761" s="378"/>
      <c r="M761" s="378"/>
      <c r="N761" s="378"/>
      <c r="O761" s="378"/>
      <c r="P761" s="378"/>
      <c r="Q761" s="378"/>
      <c r="R761" s="378"/>
      <c r="S761" s="378"/>
      <c r="T761" s="378"/>
      <c r="U761" s="378"/>
      <c r="V761" s="378"/>
      <c r="W761" s="378"/>
      <c r="X761" s="378"/>
      <c r="Y761" s="378"/>
      <c r="Z761" s="378"/>
    </row>
    <row r="762" ht="16.5" customHeight="1">
      <c r="A762" s="378"/>
      <c r="B762" s="378"/>
      <c r="C762" s="378"/>
      <c r="D762" s="378"/>
      <c r="E762" s="378"/>
      <c r="F762" s="378"/>
      <c r="G762" s="378"/>
      <c r="H762" s="378"/>
      <c r="I762" s="378"/>
      <c r="J762" s="378"/>
      <c r="K762" s="378"/>
      <c r="L762" s="378"/>
      <c r="M762" s="378"/>
      <c r="N762" s="378"/>
      <c r="O762" s="378"/>
      <c r="P762" s="378"/>
      <c r="Q762" s="378"/>
      <c r="R762" s="378"/>
      <c r="S762" s="378"/>
      <c r="T762" s="378"/>
      <c r="U762" s="378"/>
      <c r="V762" s="378"/>
      <c r="W762" s="378"/>
      <c r="X762" s="378"/>
      <c r="Y762" s="378"/>
      <c r="Z762" s="378"/>
    </row>
    <row r="763" ht="16.5" customHeight="1">
      <c r="A763" s="378"/>
      <c r="B763" s="378"/>
      <c r="C763" s="378"/>
      <c r="D763" s="378"/>
      <c r="E763" s="378"/>
      <c r="F763" s="378"/>
      <c r="G763" s="378"/>
      <c r="H763" s="378"/>
      <c r="I763" s="378"/>
      <c r="J763" s="378"/>
      <c r="K763" s="378"/>
      <c r="L763" s="378"/>
      <c r="M763" s="378"/>
      <c r="N763" s="378"/>
      <c r="O763" s="378"/>
      <c r="P763" s="378"/>
      <c r="Q763" s="378"/>
      <c r="R763" s="378"/>
      <c r="S763" s="378"/>
      <c r="T763" s="378"/>
      <c r="U763" s="378"/>
      <c r="V763" s="378"/>
      <c r="W763" s="378"/>
      <c r="X763" s="378"/>
      <c r="Y763" s="378"/>
      <c r="Z763" s="378"/>
    </row>
    <row r="764" ht="16.5" customHeight="1">
      <c r="A764" s="378"/>
      <c r="B764" s="378"/>
      <c r="C764" s="378"/>
      <c r="D764" s="378"/>
      <c r="E764" s="378"/>
      <c r="F764" s="378"/>
      <c r="G764" s="378"/>
      <c r="H764" s="378"/>
      <c r="I764" s="378"/>
      <c r="J764" s="378"/>
      <c r="K764" s="378"/>
      <c r="L764" s="378"/>
      <c r="M764" s="378"/>
      <c r="N764" s="378"/>
      <c r="O764" s="378"/>
      <c r="P764" s="378"/>
      <c r="Q764" s="378"/>
      <c r="R764" s="378"/>
      <c r="S764" s="378"/>
      <c r="T764" s="378"/>
      <c r="U764" s="378"/>
      <c r="V764" s="378"/>
      <c r="W764" s="378"/>
      <c r="X764" s="378"/>
      <c r="Y764" s="378"/>
      <c r="Z764" s="378"/>
    </row>
    <row r="765" ht="16.5" customHeight="1">
      <c r="A765" s="378"/>
      <c r="B765" s="378"/>
      <c r="C765" s="378"/>
      <c r="D765" s="378"/>
      <c r="E765" s="378"/>
      <c r="F765" s="378"/>
      <c r="G765" s="378"/>
      <c r="H765" s="378"/>
      <c r="I765" s="378"/>
      <c r="J765" s="378"/>
      <c r="K765" s="378"/>
      <c r="L765" s="378"/>
      <c r="M765" s="378"/>
      <c r="N765" s="378"/>
      <c r="O765" s="378"/>
      <c r="P765" s="378"/>
      <c r="Q765" s="378"/>
      <c r="R765" s="378"/>
      <c r="S765" s="378"/>
      <c r="T765" s="378"/>
      <c r="U765" s="378"/>
      <c r="V765" s="378"/>
      <c r="W765" s="378"/>
      <c r="X765" s="378"/>
      <c r="Y765" s="378"/>
      <c r="Z765" s="378"/>
    </row>
    <row r="766" ht="16.5" customHeight="1">
      <c r="A766" s="378"/>
      <c r="B766" s="378"/>
      <c r="C766" s="378"/>
      <c r="D766" s="378"/>
      <c r="E766" s="378"/>
      <c r="F766" s="378"/>
      <c r="G766" s="378"/>
      <c r="H766" s="378"/>
      <c r="I766" s="378"/>
      <c r="J766" s="378"/>
      <c r="K766" s="378"/>
      <c r="L766" s="378"/>
      <c r="M766" s="378"/>
      <c r="N766" s="378"/>
      <c r="O766" s="378"/>
      <c r="P766" s="378"/>
      <c r="Q766" s="378"/>
      <c r="R766" s="378"/>
      <c r="S766" s="378"/>
      <c r="T766" s="378"/>
      <c r="U766" s="378"/>
      <c r="V766" s="378"/>
      <c r="W766" s="378"/>
      <c r="X766" s="378"/>
      <c r="Y766" s="378"/>
      <c r="Z766" s="378"/>
    </row>
    <row r="767" ht="16.5" customHeight="1">
      <c r="A767" s="378"/>
      <c r="B767" s="378"/>
      <c r="C767" s="378"/>
      <c r="D767" s="378"/>
      <c r="E767" s="378"/>
      <c r="F767" s="378"/>
      <c r="G767" s="378"/>
      <c r="H767" s="378"/>
      <c r="I767" s="378"/>
      <c r="J767" s="378"/>
      <c r="K767" s="378"/>
      <c r="L767" s="378"/>
      <c r="M767" s="378"/>
      <c r="N767" s="378"/>
      <c r="O767" s="378"/>
      <c r="P767" s="378"/>
      <c r="Q767" s="378"/>
      <c r="R767" s="378"/>
      <c r="S767" s="378"/>
      <c r="T767" s="378"/>
      <c r="U767" s="378"/>
      <c r="V767" s="378"/>
      <c r="W767" s="378"/>
      <c r="X767" s="378"/>
      <c r="Y767" s="378"/>
      <c r="Z767" s="378"/>
    </row>
    <row r="768" ht="16.5" customHeight="1">
      <c r="A768" s="378"/>
      <c r="B768" s="378"/>
      <c r="C768" s="378"/>
      <c r="D768" s="378"/>
      <c r="E768" s="378"/>
      <c r="F768" s="378"/>
      <c r="G768" s="378"/>
      <c r="H768" s="378"/>
      <c r="I768" s="378"/>
      <c r="J768" s="378"/>
      <c r="K768" s="378"/>
      <c r="L768" s="378"/>
      <c r="M768" s="378"/>
      <c r="N768" s="378"/>
      <c r="O768" s="378"/>
      <c r="P768" s="378"/>
      <c r="Q768" s="378"/>
      <c r="R768" s="378"/>
      <c r="S768" s="378"/>
      <c r="T768" s="378"/>
      <c r="U768" s="378"/>
      <c r="V768" s="378"/>
      <c r="W768" s="378"/>
      <c r="X768" s="378"/>
      <c r="Y768" s="378"/>
      <c r="Z768" s="378"/>
    </row>
    <row r="769" ht="16.5" customHeight="1">
      <c r="A769" s="378"/>
      <c r="B769" s="378"/>
      <c r="C769" s="378"/>
      <c r="D769" s="378"/>
      <c r="E769" s="378"/>
      <c r="F769" s="378"/>
      <c r="G769" s="378"/>
      <c r="H769" s="378"/>
      <c r="I769" s="378"/>
      <c r="J769" s="378"/>
      <c r="K769" s="378"/>
      <c r="L769" s="378"/>
      <c r="M769" s="378"/>
      <c r="N769" s="378"/>
      <c r="O769" s="378"/>
      <c r="P769" s="378"/>
      <c r="Q769" s="378"/>
      <c r="R769" s="378"/>
      <c r="S769" s="378"/>
      <c r="T769" s="378"/>
      <c r="U769" s="378"/>
      <c r="V769" s="378"/>
      <c r="W769" s="378"/>
      <c r="X769" s="378"/>
      <c r="Y769" s="378"/>
      <c r="Z769" s="378"/>
    </row>
    <row r="770" ht="16.5" customHeight="1">
      <c r="A770" s="378"/>
      <c r="B770" s="378"/>
      <c r="C770" s="378"/>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row>
    <row r="771" ht="16.5" customHeight="1">
      <c r="A771" s="378"/>
      <c r="B771" s="378"/>
      <c r="C771" s="378"/>
      <c r="D771" s="378"/>
      <c r="E771" s="378"/>
      <c r="F771" s="378"/>
      <c r="G771" s="378"/>
      <c r="H771" s="378"/>
      <c r="I771" s="378"/>
      <c r="J771" s="378"/>
      <c r="K771" s="378"/>
      <c r="L771" s="378"/>
      <c r="M771" s="378"/>
      <c r="N771" s="378"/>
      <c r="O771" s="378"/>
      <c r="P771" s="378"/>
      <c r="Q771" s="378"/>
      <c r="R771" s="378"/>
      <c r="S771" s="378"/>
      <c r="T771" s="378"/>
      <c r="U771" s="378"/>
      <c r="V771" s="378"/>
      <c r="W771" s="378"/>
      <c r="X771" s="378"/>
      <c r="Y771" s="378"/>
      <c r="Z771" s="378"/>
    </row>
    <row r="772" ht="16.5" customHeight="1">
      <c r="A772" s="378"/>
      <c r="B772" s="378"/>
      <c r="C772" s="378"/>
      <c r="D772" s="378"/>
      <c r="E772" s="378"/>
      <c r="F772" s="378"/>
      <c r="G772" s="378"/>
      <c r="H772" s="378"/>
      <c r="I772" s="378"/>
      <c r="J772" s="378"/>
      <c r="K772" s="378"/>
      <c r="L772" s="378"/>
      <c r="M772" s="378"/>
      <c r="N772" s="378"/>
      <c r="O772" s="378"/>
      <c r="P772" s="378"/>
      <c r="Q772" s="378"/>
      <c r="R772" s="378"/>
      <c r="S772" s="378"/>
      <c r="T772" s="378"/>
      <c r="U772" s="378"/>
      <c r="V772" s="378"/>
      <c r="W772" s="378"/>
      <c r="X772" s="378"/>
      <c r="Y772" s="378"/>
      <c r="Z772" s="378"/>
    </row>
    <row r="773" ht="16.5" customHeight="1">
      <c r="A773" s="378"/>
      <c r="B773" s="378"/>
      <c r="C773" s="378"/>
      <c r="D773" s="378"/>
      <c r="E773" s="378"/>
      <c r="F773" s="378"/>
      <c r="G773" s="378"/>
      <c r="H773" s="378"/>
      <c r="I773" s="378"/>
      <c r="J773" s="378"/>
      <c r="K773" s="378"/>
      <c r="L773" s="378"/>
      <c r="M773" s="378"/>
      <c r="N773" s="378"/>
      <c r="O773" s="378"/>
      <c r="P773" s="378"/>
      <c r="Q773" s="378"/>
      <c r="R773" s="378"/>
      <c r="S773" s="378"/>
      <c r="T773" s="378"/>
      <c r="U773" s="378"/>
      <c r="V773" s="378"/>
      <c r="W773" s="378"/>
      <c r="X773" s="378"/>
      <c r="Y773" s="378"/>
      <c r="Z773" s="378"/>
    </row>
    <row r="774" ht="16.5" customHeight="1">
      <c r="A774" s="378"/>
      <c r="B774" s="378"/>
      <c r="C774" s="378"/>
      <c r="D774" s="378"/>
      <c r="E774" s="378"/>
      <c r="F774" s="378"/>
      <c r="G774" s="378"/>
      <c r="H774" s="378"/>
      <c r="I774" s="378"/>
      <c r="J774" s="378"/>
      <c r="K774" s="378"/>
      <c r="L774" s="378"/>
      <c r="M774" s="378"/>
      <c r="N774" s="378"/>
      <c r="O774" s="378"/>
      <c r="P774" s="378"/>
      <c r="Q774" s="378"/>
      <c r="R774" s="378"/>
      <c r="S774" s="378"/>
      <c r="T774" s="378"/>
      <c r="U774" s="378"/>
      <c r="V774" s="378"/>
      <c r="W774" s="378"/>
      <c r="X774" s="378"/>
      <c r="Y774" s="378"/>
      <c r="Z774" s="378"/>
    </row>
    <row r="775" ht="16.5" customHeight="1">
      <c r="A775" s="378"/>
      <c r="B775" s="378"/>
      <c r="C775" s="378"/>
      <c r="D775" s="378"/>
      <c r="E775" s="378"/>
      <c r="F775" s="378"/>
      <c r="G775" s="378"/>
      <c r="H775" s="378"/>
      <c r="I775" s="378"/>
      <c r="J775" s="378"/>
      <c r="K775" s="378"/>
      <c r="L775" s="378"/>
      <c r="M775" s="378"/>
      <c r="N775" s="378"/>
      <c r="O775" s="378"/>
      <c r="P775" s="378"/>
      <c r="Q775" s="378"/>
      <c r="R775" s="378"/>
      <c r="S775" s="378"/>
      <c r="T775" s="378"/>
      <c r="U775" s="378"/>
      <c r="V775" s="378"/>
      <c r="W775" s="378"/>
      <c r="X775" s="378"/>
      <c r="Y775" s="378"/>
      <c r="Z775" s="378"/>
    </row>
    <row r="776" ht="16.5" customHeight="1">
      <c r="A776" s="378"/>
      <c r="B776" s="378"/>
      <c r="C776" s="378"/>
      <c r="D776" s="378"/>
      <c r="E776" s="378"/>
      <c r="F776" s="378"/>
      <c r="G776" s="378"/>
      <c r="H776" s="378"/>
      <c r="I776" s="378"/>
      <c r="J776" s="378"/>
      <c r="K776" s="378"/>
      <c r="L776" s="378"/>
      <c r="M776" s="378"/>
      <c r="N776" s="378"/>
      <c r="O776" s="378"/>
      <c r="P776" s="378"/>
      <c r="Q776" s="378"/>
      <c r="R776" s="378"/>
      <c r="S776" s="378"/>
      <c r="T776" s="378"/>
      <c r="U776" s="378"/>
      <c r="V776" s="378"/>
      <c r="W776" s="378"/>
      <c r="X776" s="378"/>
      <c r="Y776" s="378"/>
      <c r="Z776" s="378"/>
    </row>
    <row r="777" ht="16.5" customHeight="1">
      <c r="A777" s="378"/>
      <c r="B777" s="378"/>
      <c r="C777" s="378"/>
      <c r="D777" s="378"/>
      <c r="E777" s="378"/>
      <c r="F777" s="378"/>
      <c r="G777" s="378"/>
      <c r="H777" s="378"/>
      <c r="I777" s="378"/>
      <c r="J777" s="378"/>
      <c r="K777" s="378"/>
      <c r="L777" s="378"/>
      <c r="M777" s="378"/>
      <c r="N777" s="378"/>
      <c r="O777" s="378"/>
      <c r="P777" s="378"/>
      <c r="Q777" s="378"/>
      <c r="R777" s="378"/>
      <c r="S777" s="378"/>
      <c r="T777" s="378"/>
      <c r="U777" s="378"/>
      <c r="V777" s="378"/>
      <c r="W777" s="378"/>
      <c r="X777" s="378"/>
      <c r="Y777" s="378"/>
      <c r="Z777" s="378"/>
    </row>
    <row r="778" ht="16.5" customHeight="1">
      <c r="A778" s="378"/>
      <c r="B778" s="378"/>
      <c r="C778" s="378"/>
      <c r="D778" s="378"/>
      <c r="E778" s="378"/>
      <c r="F778" s="378"/>
      <c r="G778" s="378"/>
      <c r="H778" s="378"/>
      <c r="I778" s="378"/>
      <c r="J778" s="378"/>
      <c r="K778" s="378"/>
      <c r="L778" s="378"/>
      <c r="M778" s="378"/>
      <c r="N778" s="378"/>
      <c r="O778" s="378"/>
      <c r="P778" s="378"/>
      <c r="Q778" s="378"/>
      <c r="R778" s="378"/>
      <c r="S778" s="378"/>
      <c r="T778" s="378"/>
      <c r="U778" s="378"/>
      <c r="V778" s="378"/>
      <c r="W778" s="378"/>
      <c r="X778" s="378"/>
      <c r="Y778" s="378"/>
      <c r="Z778" s="378"/>
    </row>
    <row r="779" ht="16.5" customHeight="1">
      <c r="A779" s="378"/>
      <c r="B779" s="378"/>
      <c r="C779" s="378"/>
      <c r="D779" s="378"/>
      <c r="E779" s="378"/>
      <c r="F779" s="378"/>
      <c r="G779" s="378"/>
      <c r="H779" s="378"/>
      <c r="I779" s="378"/>
      <c r="J779" s="378"/>
      <c r="K779" s="378"/>
      <c r="L779" s="378"/>
      <c r="M779" s="378"/>
      <c r="N779" s="378"/>
      <c r="O779" s="378"/>
      <c r="P779" s="378"/>
      <c r="Q779" s="378"/>
      <c r="R779" s="378"/>
      <c r="S779" s="378"/>
      <c r="T779" s="378"/>
      <c r="U779" s="378"/>
      <c r="V779" s="378"/>
      <c r="W779" s="378"/>
      <c r="X779" s="378"/>
      <c r="Y779" s="378"/>
      <c r="Z779" s="378"/>
    </row>
    <row r="780" ht="16.5" customHeight="1">
      <c r="A780" s="378"/>
      <c r="B780" s="378"/>
      <c r="C780" s="378"/>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row>
    <row r="781" ht="16.5" customHeight="1">
      <c r="A781" s="378"/>
      <c r="B781" s="378"/>
      <c r="C781" s="378"/>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row>
    <row r="782" ht="16.5" customHeight="1">
      <c r="A782" s="378"/>
      <c r="B782" s="378"/>
      <c r="C782" s="378"/>
      <c r="D782" s="378"/>
      <c r="E782" s="378"/>
      <c r="F782" s="378"/>
      <c r="G782" s="378"/>
      <c r="H782" s="378"/>
      <c r="I782" s="378"/>
      <c r="J782" s="378"/>
      <c r="K782" s="378"/>
      <c r="L782" s="378"/>
      <c r="M782" s="378"/>
      <c r="N782" s="378"/>
      <c r="O782" s="378"/>
      <c r="P782" s="378"/>
      <c r="Q782" s="378"/>
      <c r="R782" s="378"/>
      <c r="S782" s="378"/>
      <c r="T782" s="378"/>
      <c r="U782" s="378"/>
      <c r="V782" s="378"/>
      <c r="W782" s="378"/>
      <c r="X782" s="378"/>
      <c r="Y782" s="378"/>
      <c r="Z782" s="378"/>
    </row>
    <row r="783" ht="16.5" customHeight="1">
      <c r="A783" s="378"/>
      <c r="B783" s="378"/>
      <c r="C783" s="378"/>
      <c r="D783" s="378"/>
      <c r="E783" s="378"/>
      <c r="F783" s="378"/>
      <c r="G783" s="378"/>
      <c r="H783" s="378"/>
      <c r="I783" s="378"/>
      <c r="J783" s="378"/>
      <c r="K783" s="378"/>
      <c r="L783" s="378"/>
      <c r="M783" s="378"/>
      <c r="N783" s="378"/>
      <c r="O783" s="378"/>
      <c r="P783" s="378"/>
      <c r="Q783" s="378"/>
      <c r="R783" s="378"/>
      <c r="S783" s="378"/>
      <c r="T783" s="378"/>
      <c r="U783" s="378"/>
      <c r="V783" s="378"/>
      <c r="W783" s="378"/>
      <c r="X783" s="378"/>
      <c r="Y783" s="378"/>
      <c r="Z783" s="378"/>
    </row>
    <row r="784" ht="16.5" customHeight="1">
      <c r="A784" s="378"/>
      <c r="B784" s="378"/>
      <c r="C784" s="378"/>
      <c r="D784" s="378"/>
      <c r="E784" s="378"/>
      <c r="F784" s="378"/>
      <c r="G784" s="378"/>
      <c r="H784" s="378"/>
      <c r="I784" s="378"/>
      <c r="J784" s="378"/>
      <c r="K784" s="378"/>
      <c r="L784" s="378"/>
      <c r="M784" s="378"/>
      <c r="N784" s="378"/>
      <c r="O784" s="378"/>
      <c r="P784" s="378"/>
      <c r="Q784" s="378"/>
      <c r="R784" s="378"/>
      <c r="S784" s="378"/>
      <c r="T784" s="378"/>
      <c r="U784" s="378"/>
      <c r="V784" s="378"/>
      <c r="W784" s="378"/>
      <c r="X784" s="378"/>
      <c r="Y784" s="378"/>
      <c r="Z784" s="378"/>
    </row>
    <row r="785" ht="16.5" customHeight="1">
      <c r="A785" s="378"/>
      <c r="B785" s="378"/>
      <c r="C785" s="378"/>
      <c r="D785" s="378"/>
      <c r="E785" s="378"/>
      <c r="F785" s="378"/>
      <c r="G785" s="378"/>
      <c r="H785" s="378"/>
      <c r="I785" s="378"/>
      <c r="J785" s="378"/>
      <c r="K785" s="378"/>
      <c r="L785" s="378"/>
      <c r="M785" s="378"/>
      <c r="N785" s="378"/>
      <c r="O785" s="378"/>
      <c r="P785" s="378"/>
      <c r="Q785" s="378"/>
      <c r="R785" s="378"/>
      <c r="S785" s="378"/>
      <c r="T785" s="378"/>
      <c r="U785" s="378"/>
      <c r="V785" s="378"/>
      <c r="W785" s="378"/>
      <c r="X785" s="378"/>
      <c r="Y785" s="378"/>
      <c r="Z785" s="378"/>
    </row>
    <row r="786" ht="16.5" customHeight="1">
      <c r="A786" s="378"/>
      <c r="B786" s="378"/>
      <c r="C786" s="378"/>
      <c r="D786" s="378"/>
      <c r="E786" s="378"/>
      <c r="F786" s="378"/>
      <c r="G786" s="378"/>
      <c r="H786" s="378"/>
      <c r="I786" s="378"/>
      <c r="J786" s="378"/>
      <c r="K786" s="378"/>
      <c r="L786" s="378"/>
      <c r="M786" s="378"/>
      <c r="N786" s="378"/>
      <c r="O786" s="378"/>
      <c r="P786" s="378"/>
      <c r="Q786" s="378"/>
      <c r="R786" s="378"/>
      <c r="S786" s="378"/>
      <c r="T786" s="378"/>
      <c r="U786" s="378"/>
      <c r="V786" s="378"/>
      <c r="W786" s="378"/>
      <c r="X786" s="378"/>
      <c r="Y786" s="378"/>
      <c r="Z786" s="378"/>
    </row>
    <row r="787" ht="16.5" customHeight="1">
      <c r="A787" s="378"/>
      <c r="B787" s="378"/>
      <c r="C787" s="378"/>
      <c r="D787" s="378"/>
      <c r="E787" s="378"/>
      <c r="F787" s="378"/>
      <c r="G787" s="378"/>
      <c r="H787" s="378"/>
      <c r="I787" s="378"/>
      <c r="J787" s="378"/>
      <c r="K787" s="378"/>
      <c r="L787" s="378"/>
      <c r="M787" s="378"/>
      <c r="N787" s="378"/>
      <c r="O787" s="378"/>
      <c r="P787" s="378"/>
      <c r="Q787" s="378"/>
      <c r="R787" s="378"/>
      <c r="S787" s="378"/>
      <c r="T787" s="378"/>
      <c r="U787" s="378"/>
      <c r="V787" s="378"/>
      <c r="W787" s="378"/>
      <c r="X787" s="378"/>
      <c r="Y787" s="378"/>
      <c r="Z787" s="378"/>
    </row>
    <row r="788" ht="16.5" customHeight="1">
      <c r="A788" s="378"/>
      <c r="B788" s="378"/>
      <c r="C788" s="378"/>
      <c r="D788" s="378"/>
      <c r="E788" s="378"/>
      <c r="F788" s="378"/>
      <c r="G788" s="378"/>
      <c r="H788" s="378"/>
      <c r="I788" s="378"/>
      <c r="J788" s="378"/>
      <c r="K788" s="378"/>
      <c r="L788" s="378"/>
      <c r="M788" s="378"/>
      <c r="N788" s="378"/>
      <c r="O788" s="378"/>
      <c r="P788" s="378"/>
      <c r="Q788" s="378"/>
      <c r="R788" s="378"/>
      <c r="S788" s="378"/>
      <c r="T788" s="378"/>
      <c r="U788" s="378"/>
      <c r="V788" s="378"/>
      <c r="W788" s="378"/>
      <c r="X788" s="378"/>
      <c r="Y788" s="378"/>
      <c r="Z788" s="378"/>
    </row>
    <row r="789" ht="16.5" customHeight="1">
      <c r="A789" s="378"/>
      <c r="B789" s="378"/>
      <c r="C789" s="378"/>
      <c r="D789" s="378"/>
      <c r="E789" s="378"/>
      <c r="F789" s="378"/>
      <c r="G789" s="378"/>
      <c r="H789" s="378"/>
      <c r="I789" s="378"/>
      <c r="J789" s="378"/>
      <c r="K789" s="378"/>
      <c r="L789" s="378"/>
      <c r="M789" s="378"/>
      <c r="N789" s="378"/>
      <c r="O789" s="378"/>
      <c r="P789" s="378"/>
      <c r="Q789" s="378"/>
      <c r="R789" s="378"/>
      <c r="S789" s="378"/>
      <c r="T789" s="378"/>
      <c r="U789" s="378"/>
      <c r="V789" s="378"/>
      <c r="W789" s="378"/>
      <c r="X789" s="378"/>
      <c r="Y789" s="378"/>
      <c r="Z789" s="378"/>
    </row>
    <row r="790" ht="16.5" customHeight="1">
      <c r="A790" s="378"/>
      <c r="B790" s="378"/>
      <c r="C790" s="378"/>
      <c r="D790" s="378"/>
      <c r="E790" s="378"/>
      <c r="F790" s="378"/>
      <c r="G790" s="378"/>
      <c r="H790" s="378"/>
      <c r="I790" s="378"/>
      <c r="J790" s="378"/>
      <c r="K790" s="378"/>
      <c r="L790" s="378"/>
      <c r="M790" s="378"/>
      <c r="N790" s="378"/>
      <c r="O790" s="378"/>
      <c r="P790" s="378"/>
      <c r="Q790" s="378"/>
      <c r="R790" s="378"/>
      <c r="S790" s="378"/>
      <c r="T790" s="378"/>
      <c r="U790" s="378"/>
      <c r="V790" s="378"/>
      <c r="W790" s="378"/>
      <c r="X790" s="378"/>
      <c r="Y790" s="378"/>
      <c r="Z790" s="378"/>
    </row>
    <row r="791" ht="16.5" customHeight="1">
      <c r="A791" s="378"/>
      <c r="B791" s="378"/>
      <c r="C791" s="378"/>
      <c r="D791" s="378"/>
      <c r="E791" s="378"/>
      <c r="F791" s="378"/>
      <c r="G791" s="378"/>
      <c r="H791" s="378"/>
      <c r="I791" s="378"/>
      <c r="J791" s="378"/>
      <c r="K791" s="378"/>
      <c r="L791" s="378"/>
      <c r="M791" s="378"/>
      <c r="N791" s="378"/>
      <c r="O791" s="378"/>
      <c r="P791" s="378"/>
      <c r="Q791" s="378"/>
      <c r="R791" s="378"/>
      <c r="S791" s="378"/>
      <c r="T791" s="378"/>
      <c r="U791" s="378"/>
      <c r="V791" s="378"/>
      <c r="W791" s="378"/>
      <c r="X791" s="378"/>
      <c r="Y791" s="378"/>
      <c r="Z791" s="378"/>
    </row>
    <row r="792" ht="16.5" customHeight="1">
      <c r="A792" s="378"/>
      <c r="B792" s="378"/>
      <c r="C792" s="378"/>
      <c r="D792" s="378"/>
      <c r="E792" s="378"/>
      <c r="F792" s="378"/>
      <c r="G792" s="378"/>
      <c r="H792" s="378"/>
      <c r="I792" s="378"/>
      <c r="J792" s="378"/>
      <c r="K792" s="378"/>
      <c r="L792" s="378"/>
      <c r="M792" s="378"/>
      <c r="N792" s="378"/>
      <c r="O792" s="378"/>
      <c r="P792" s="378"/>
      <c r="Q792" s="378"/>
      <c r="R792" s="378"/>
      <c r="S792" s="378"/>
      <c r="T792" s="378"/>
      <c r="U792" s="378"/>
      <c r="V792" s="378"/>
      <c r="W792" s="378"/>
      <c r="X792" s="378"/>
      <c r="Y792" s="378"/>
      <c r="Z792" s="378"/>
    </row>
    <row r="793" ht="16.5" customHeight="1">
      <c r="A793" s="378"/>
      <c r="B793" s="378"/>
      <c r="C793" s="378"/>
      <c r="D793" s="378"/>
      <c r="E793" s="378"/>
      <c r="F793" s="378"/>
      <c r="G793" s="378"/>
      <c r="H793" s="378"/>
      <c r="I793" s="378"/>
      <c r="J793" s="378"/>
      <c r="K793" s="378"/>
      <c r="L793" s="378"/>
      <c r="M793" s="378"/>
      <c r="N793" s="378"/>
      <c r="O793" s="378"/>
      <c r="P793" s="378"/>
      <c r="Q793" s="378"/>
      <c r="R793" s="378"/>
      <c r="S793" s="378"/>
      <c r="T793" s="378"/>
      <c r="U793" s="378"/>
      <c r="V793" s="378"/>
      <c r="W793" s="378"/>
      <c r="X793" s="378"/>
      <c r="Y793" s="378"/>
      <c r="Z793" s="378"/>
    </row>
    <row r="794" ht="16.5" customHeight="1">
      <c r="A794" s="378"/>
      <c r="B794" s="378"/>
      <c r="C794" s="378"/>
      <c r="D794" s="378"/>
      <c r="E794" s="378"/>
      <c r="F794" s="378"/>
      <c r="G794" s="378"/>
      <c r="H794" s="378"/>
      <c r="I794" s="378"/>
      <c r="J794" s="378"/>
      <c r="K794" s="378"/>
      <c r="L794" s="378"/>
      <c r="M794" s="378"/>
      <c r="N794" s="378"/>
      <c r="O794" s="378"/>
      <c r="P794" s="378"/>
      <c r="Q794" s="378"/>
      <c r="R794" s="378"/>
      <c r="S794" s="378"/>
      <c r="T794" s="378"/>
      <c r="U794" s="378"/>
      <c r="V794" s="378"/>
      <c r="W794" s="378"/>
      <c r="X794" s="378"/>
      <c r="Y794" s="378"/>
      <c r="Z794" s="378"/>
    </row>
    <row r="795" ht="16.5" customHeight="1">
      <c r="A795" s="378"/>
      <c r="B795" s="378"/>
      <c r="C795" s="378"/>
      <c r="D795" s="378"/>
      <c r="E795" s="378"/>
      <c r="F795" s="378"/>
      <c r="G795" s="378"/>
      <c r="H795" s="378"/>
      <c r="I795" s="378"/>
      <c r="J795" s="378"/>
      <c r="K795" s="378"/>
      <c r="L795" s="378"/>
      <c r="M795" s="378"/>
      <c r="N795" s="378"/>
      <c r="O795" s="378"/>
      <c r="P795" s="378"/>
      <c r="Q795" s="378"/>
      <c r="R795" s="378"/>
      <c r="S795" s="378"/>
      <c r="T795" s="378"/>
      <c r="U795" s="378"/>
      <c r="V795" s="378"/>
      <c r="W795" s="378"/>
      <c r="X795" s="378"/>
      <c r="Y795" s="378"/>
      <c r="Z795" s="378"/>
    </row>
    <row r="796" ht="16.5" customHeight="1">
      <c r="A796" s="378"/>
      <c r="B796" s="378"/>
      <c r="C796" s="378"/>
      <c r="D796" s="378"/>
      <c r="E796" s="378"/>
      <c r="F796" s="378"/>
      <c r="G796" s="378"/>
      <c r="H796" s="378"/>
      <c r="I796" s="378"/>
      <c r="J796" s="378"/>
      <c r="K796" s="378"/>
      <c r="L796" s="378"/>
      <c r="M796" s="378"/>
      <c r="N796" s="378"/>
      <c r="O796" s="378"/>
      <c r="P796" s="378"/>
      <c r="Q796" s="378"/>
      <c r="R796" s="378"/>
      <c r="S796" s="378"/>
      <c r="T796" s="378"/>
      <c r="U796" s="378"/>
      <c r="V796" s="378"/>
      <c r="W796" s="378"/>
      <c r="X796" s="378"/>
      <c r="Y796" s="378"/>
      <c r="Z796" s="378"/>
    </row>
    <row r="797" ht="16.5" customHeight="1">
      <c r="A797" s="378"/>
      <c r="B797" s="378"/>
      <c r="C797" s="378"/>
      <c r="D797" s="378"/>
      <c r="E797" s="378"/>
      <c r="F797" s="378"/>
      <c r="G797" s="378"/>
      <c r="H797" s="378"/>
      <c r="I797" s="378"/>
      <c r="J797" s="378"/>
      <c r="K797" s="378"/>
      <c r="L797" s="378"/>
      <c r="M797" s="378"/>
      <c r="N797" s="378"/>
      <c r="O797" s="378"/>
      <c r="P797" s="378"/>
      <c r="Q797" s="378"/>
      <c r="R797" s="378"/>
      <c r="S797" s="378"/>
      <c r="T797" s="378"/>
      <c r="U797" s="378"/>
      <c r="V797" s="378"/>
      <c r="W797" s="378"/>
      <c r="X797" s="378"/>
      <c r="Y797" s="378"/>
      <c r="Z797" s="378"/>
    </row>
    <row r="798" ht="16.5" customHeight="1">
      <c r="A798" s="378"/>
      <c r="B798" s="378"/>
      <c r="C798" s="378"/>
      <c r="D798" s="378"/>
      <c r="E798" s="378"/>
      <c r="F798" s="378"/>
      <c r="G798" s="378"/>
      <c r="H798" s="378"/>
      <c r="I798" s="378"/>
      <c r="J798" s="378"/>
      <c r="K798" s="378"/>
      <c r="L798" s="378"/>
      <c r="M798" s="378"/>
      <c r="N798" s="378"/>
      <c r="O798" s="378"/>
      <c r="P798" s="378"/>
      <c r="Q798" s="378"/>
      <c r="R798" s="378"/>
      <c r="S798" s="378"/>
      <c r="T798" s="378"/>
      <c r="U798" s="378"/>
      <c r="V798" s="378"/>
      <c r="W798" s="378"/>
      <c r="X798" s="378"/>
      <c r="Y798" s="378"/>
      <c r="Z798" s="378"/>
    </row>
    <row r="799" ht="16.5" customHeight="1">
      <c r="A799" s="378"/>
      <c r="B799" s="378"/>
      <c r="C799" s="378"/>
      <c r="D799" s="378"/>
      <c r="E799" s="378"/>
      <c r="F799" s="378"/>
      <c r="G799" s="378"/>
      <c r="H799" s="378"/>
      <c r="I799" s="378"/>
      <c r="J799" s="378"/>
      <c r="K799" s="378"/>
      <c r="L799" s="378"/>
      <c r="M799" s="378"/>
      <c r="N799" s="378"/>
      <c r="O799" s="378"/>
      <c r="P799" s="378"/>
      <c r="Q799" s="378"/>
      <c r="R799" s="378"/>
      <c r="S799" s="378"/>
      <c r="T799" s="378"/>
      <c r="U799" s="378"/>
      <c r="V799" s="378"/>
      <c r="W799" s="378"/>
      <c r="X799" s="378"/>
      <c r="Y799" s="378"/>
      <c r="Z799" s="378"/>
    </row>
    <row r="800" ht="16.5" customHeight="1">
      <c r="A800" s="378"/>
      <c r="B800" s="378"/>
      <c r="C800" s="378"/>
      <c r="D800" s="378"/>
      <c r="E800" s="378"/>
      <c r="F800" s="378"/>
      <c r="G800" s="378"/>
      <c r="H800" s="378"/>
      <c r="I800" s="378"/>
      <c r="J800" s="378"/>
      <c r="K800" s="378"/>
      <c r="L800" s="378"/>
      <c r="M800" s="378"/>
      <c r="N800" s="378"/>
      <c r="O800" s="378"/>
      <c r="P800" s="378"/>
      <c r="Q800" s="378"/>
      <c r="R800" s="378"/>
      <c r="S800" s="378"/>
      <c r="T800" s="378"/>
      <c r="U800" s="378"/>
      <c r="V800" s="378"/>
      <c r="W800" s="378"/>
      <c r="X800" s="378"/>
      <c r="Y800" s="378"/>
      <c r="Z800" s="378"/>
    </row>
    <row r="801" ht="16.5" customHeight="1">
      <c r="A801" s="378"/>
      <c r="B801" s="378"/>
      <c r="C801" s="378"/>
      <c r="D801" s="378"/>
      <c r="E801" s="378"/>
      <c r="F801" s="378"/>
      <c r="G801" s="378"/>
      <c r="H801" s="378"/>
      <c r="I801" s="378"/>
      <c r="J801" s="378"/>
      <c r="K801" s="378"/>
      <c r="L801" s="378"/>
      <c r="M801" s="378"/>
      <c r="N801" s="378"/>
      <c r="O801" s="378"/>
      <c r="P801" s="378"/>
      <c r="Q801" s="378"/>
      <c r="R801" s="378"/>
      <c r="S801" s="378"/>
      <c r="T801" s="378"/>
      <c r="U801" s="378"/>
      <c r="V801" s="378"/>
      <c r="W801" s="378"/>
      <c r="X801" s="378"/>
      <c r="Y801" s="378"/>
      <c r="Z801" s="378"/>
    </row>
    <row r="802" ht="16.5" customHeight="1">
      <c r="A802" s="378"/>
      <c r="B802" s="378"/>
      <c r="C802" s="378"/>
      <c r="D802" s="378"/>
      <c r="E802" s="378"/>
      <c r="F802" s="378"/>
      <c r="G802" s="378"/>
      <c r="H802" s="378"/>
      <c r="I802" s="378"/>
      <c r="J802" s="378"/>
      <c r="K802" s="378"/>
      <c r="L802" s="378"/>
      <c r="M802" s="378"/>
      <c r="N802" s="378"/>
      <c r="O802" s="378"/>
      <c r="P802" s="378"/>
      <c r="Q802" s="378"/>
      <c r="R802" s="378"/>
      <c r="S802" s="378"/>
      <c r="T802" s="378"/>
      <c r="U802" s="378"/>
      <c r="V802" s="378"/>
      <c r="W802" s="378"/>
      <c r="X802" s="378"/>
      <c r="Y802" s="378"/>
      <c r="Z802" s="378"/>
    </row>
    <row r="803" ht="16.5" customHeight="1">
      <c r="A803" s="378"/>
      <c r="B803" s="378"/>
      <c r="C803" s="378"/>
      <c r="D803" s="378"/>
      <c r="E803" s="378"/>
      <c r="F803" s="378"/>
      <c r="G803" s="378"/>
      <c r="H803" s="378"/>
      <c r="I803" s="378"/>
      <c r="J803" s="378"/>
      <c r="K803" s="378"/>
      <c r="L803" s="378"/>
      <c r="M803" s="378"/>
      <c r="N803" s="378"/>
      <c r="O803" s="378"/>
      <c r="P803" s="378"/>
      <c r="Q803" s="378"/>
      <c r="R803" s="378"/>
      <c r="S803" s="378"/>
      <c r="T803" s="378"/>
      <c r="U803" s="378"/>
      <c r="V803" s="378"/>
      <c r="W803" s="378"/>
      <c r="X803" s="378"/>
      <c r="Y803" s="378"/>
      <c r="Z803" s="378"/>
    </row>
    <row r="804" ht="16.5" customHeight="1">
      <c r="A804" s="378"/>
      <c r="B804" s="378"/>
      <c r="C804" s="378"/>
      <c r="D804" s="378"/>
      <c r="E804" s="378"/>
      <c r="F804" s="378"/>
      <c r="G804" s="378"/>
      <c r="H804" s="378"/>
      <c r="I804" s="378"/>
      <c r="J804" s="378"/>
      <c r="K804" s="378"/>
      <c r="L804" s="378"/>
      <c r="M804" s="378"/>
      <c r="N804" s="378"/>
      <c r="O804" s="378"/>
      <c r="P804" s="378"/>
      <c r="Q804" s="378"/>
      <c r="R804" s="378"/>
      <c r="S804" s="378"/>
      <c r="T804" s="378"/>
      <c r="U804" s="378"/>
      <c r="V804" s="378"/>
      <c r="W804" s="378"/>
      <c r="X804" s="378"/>
      <c r="Y804" s="378"/>
      <c r="Z804" s="378"/>
    </row>
    <row r="805" ht="16.5" customHeight="1">
      <c r="A805" s="378"/>
      <c r="B805" s="378"/>
      <c r="C805" s="378"/>
      <c r="D805" s="378"/>
      <c r="E805" s="378"/>
      <c r="F805" s="378"/>
      <c r="G805" s="378"/>
      <c r="H805" s="378"/>
      <c r="I805" s="378"/>
      <c r="J805" s="378"/>
      <c r="K805" s="378"/>
      <c r="L805" s="378"/>
      <c r="M805" s="378"/>
      <c r="N805" s="378"/>
      <c r="O805" s="378"/>
      <c r="P805" s="378"/>
      <c r="Q805" s="378"/>
      <c r="R805" s="378"/>
      <c r="S805" s="378"/>
      <c r="T805" s="378"/>
      <c r="U805" s="378"/>
      <c r="V805" s="378"/>
      <c r="W805" s="378"/>
      <c r="X805" s="378"/>
      <c r="Y805" s="378"/>
      <c r="Z805" s="378"/>
    </row>
    <row r="806" ht="16.5" customHeight="1">
      <c r="A806" s="378"/>
      <c r="B806" s="378"/>
      <c r="C806" s="378"/>
      <c r="D806" s="378"/>
      <c r="E806" s="378"/>
      <c r="F806" s="378"/>
      <c r="G806" s="378"/>
      <c r="H806" s="378"/>
      <c r="I806" s="378"/>
      <c r="J806" s="378"/>
      <c r="K806" s="378"/>
      <c r="L806" s="378"/>
      <c r="M806" s="378"/>
      <c r="N806" s="378"/>
      <c r="O806" s="378"/>
      <c r="P806" s="378"/>
      <c r="Q806" s="378"/>
      <c r="R806" s="378"/>
      <c r="S806" s="378"/>
      <c r="T806" s="378"/>
      <c r="U806" s="378"/>
      <c r="V806" s="378"/>
      <c r="W806" s="378"/>
      <c r="X806" s="378"/>
      <c r="Y806" s="378"/>
      <c r="Z806" s="378"/>
    </row>
    <row r="807" ht="16.5" customHeight="1">
      <c r="A807" s="378"/>
      <c r="B807" s="378"/>
      <c r="C807" s="378"/>
      <c r="D807" s="378"/>
      <c r="E807" s="378"/>
      <c r="F807" s="378"/>
      <c r="G807" s="378"/>
      <c r="H807" s="378"/>
      <c r="I807" s="378"/>
      <c r="J807" s="378"/>
      <c r="K807" s="378"/>
      <c r="L807" s="378"/>
      <c r="M807" s="378"/>
      <c r="N807" s="378"/>
      <c r="O807" s="378"/>
      <c r="P807" s="378"/>
      <c r="Q807" s="378"/>
      <c r="R807" s="378"/>
      <c r="S807" s="378"/>
      <c r="T807" s="378"/>
      <c r="U807" s="378"/>
      <c r="V807" s="378"/>
      <c r="W807" s="378"/>
      <c r="X807" s="378"/>
      <c r="Y807" s="378"/>
      <c r="Z807" s="378"/>
    </row>
    <row r="808" ht="16.5" customHeight="1">
      <c r="A808" s="378"/>
      <c r="B808" s="378"/>
      <c r="C808" s="378"/>
      <c r="D808" s="378"/>
      <c r="E808" s="378"/>
      <c r="F808" s="378"/>
      <c r="G808" s="378"/>
      <c r="H808" s="378"/>
      <c r="I808" s="378"/>
      <c r="J808" s="378"/>
      <c r="K808" s="378"/>
      <c r="L808" s="378"/>
      <c r="M808" s="378"/>
      <c r="N808" s="378"/>
      <c r="O808" s="378"/>
      <c r="P808" s="378"/>
      <c r="Q808" s="378"/>
      <c r="R808" s="378"/>
      <c r="S808" s="378"/>
      <c r="T808" s="378"/>
      <c r="U808" s="378"/>
      <c r="V808" s="378"/>
      <c r="W808" s="378"/>
      <c r="X808" s="378"/>
      <c r="Y808" s="378"/>
      <c r="Z808" s="378"/>
    </row>
    <row r="809" ht="16.5" customHeight="1">
      <c r="A809" s="378"/>
      <c r="B809" s="378"/>
      <c r="C809" s="378"/>
      <c r="D809" s="378"/>
      <c r="E809" s="378"/>
      <c r="F809" s="378"/>
      <c r="G809" s="378"/>
      <c r="H809" s="378"/>
      <c r="I809" s="378"/>
      <c r="J809" s="378"/>
      <c r="K809" s="378"/>
      <c r="L809" s="378"/>
      <c r="M809" s="378"/>
      <c r="N809" s="378"/>
      <c r="O809" s="378"/>
      <c r="P809" s="378"/>
      <c r="Q809" s="378"/>
      <c r="R809" s="378"/>
      <c r="S809" s="378"/>
      <c r="T809" s="378"/>
      <c r="U809" s="378"/>
      <c r="V809" s="378"/>
      <c r="W809" s="378"/>
      <c r="X809" s="378"/>
      <c r="Y809" s="378"/>
      <c r="Z809" s="378"/>
    </row>
    <row r="810" ht="16.5" customHeight="1">
      <c r="A810" s="378"/>
      <c r="B810" s="378"/>
      <c r="C810" s="378"/>
      <c r="D810" s="378"/>
      <c r="E810" s="378"/>
      <c r="F810" s="378"/>
      <c r="G810" s="378"/>
      <c r="H810" s="378"/>
      <c r="I810" s="378"/>
      <c r="J810" s="378"/>
      <c r="K810" s="378"/>
      <c r="L810" s="378"/>
      <c r="M810" s="378"/>
      <c r="N810" s="378"/>
      <c r="O810" s="378"/>
      <c r="P810" s="378"/>
      <c r="Q810" s="378"/>
      <c r="R810" s="378"/>
      <c r="S810" s="378"/>
      <c r="T810" s="378"/>
      <c r="U810" s="378"/>
      <c r="V810" s="378"/>
      <c r="W810" s="378"/>
      <c r="X810" s="378"/>
      <c r="Y810" s="378"/>
      <c r="Z810" s="378"/>
    </row>
    <row r="811" ht="16.5" customHeight="1">
      <c r="A811" s="378"/>
      <c r="B811" s="378"/>
      <c r="C811" s="378"/>
      <c r="D811" s="378"/>
      <c r="E811" s="378"/>
      <c r="F811" s="378"/>
      <c r="G811" s="378"/>
      <c r="H811" s="378"/>
      <c r="I811" s="378"/>
      <c r="J811" s="378"/>
      <c r="K811" s="378"/>
      <c r="L811" s="378"/>
      <c r="M811" s="378"/>
      <c r="N811" s="378"/>
      <c r="O811" s="378"/>
      <c r="P811" s="378"/>
      <c r="Q811" s="378"/>
      <c r="R811" s="378"/>
      <c r="S811" s="378"/>
      <c r="T811" s="378"/>
      <c r="U811" s="378"/>
      <c r="V811" s="378"/>
      <c r="W811" s="378"/>
      <c r="X811" s="378"/>
      <c r="Y811" s="378"/>
      <c r="Z811" s="378"/>
    </row>
    <row r="812" ht="16.5" customHeight="1">
      <c r="A812" s="378"/>
      <c r="B812" s="378"/>
      <c r="C812" s="378"/>
      <c r="D812" s="378"/>
      <c r="E812" s="378"/>
      <c r="F812" s="378"/>
      <c r="G812" s="378"/>
      <c r="H812" s="378"/>
      <c r="I812" s="378"/>
      <c r="J812" s="378"/>
      <c r="K812" s="378"/>
      <c r="L812" s="378"/>
      <c r="M812" s="378"/>
      <c r="N812" s="378"/>
      <c r="O812" s="378"/>
      <c r="P812" s="378"/>
      <c r="Q812" s="378"/>
      <c r="R812" s="378"/>
      <c r="S812" s="378"/>
      <c r="T812" s="378"/>
      <c r="U812" s="378"/>
      <c r="V812" s="378"/>
      <c r="W812" s="378"/>
      <c r="X812" s="378"/>
      <c r="Y812" s="378"/>
      <c r="Z812" s="378"/>
    </row>
    <row r="813" ht="16.5" customHeight="1">
      <c r="A813" s="378"/>
      <c r="B813" s="378"/>
      <c r="C813" s="378"/>
      <c r="D813" s="378"/>
      <c r="E813" s="378"/>
      <c r="F813" s="378"/>
      <c r="G813" s="378"/>
      <c r="H813" s="378"/>
      <c r="I813" s="378"/>
      <c r="J813" s="378"/>
      <c r="K813" s="378"/>
      <c r="L813" s="378"/>
      <c r="M813" s="378"/>
      <c r="N813" s="378"/>
      <c r="O813" s="378"/>
      <c r="P813" s="378"/>
      <c r="Q813" s="378"/>
      <c r="R813" s="378"/>
      <c r="S813" s="378"/>
      <c r="T813" s="378"/>
      <c r="U813" s="378"/>
      <c r="V813" s="378"/>
      <c r="W813" s="378"/>
      <c r="X813" s="378"/>
      <c r="Y813" s="378"/>
      <c r="Z813" s="378"/>
    </row>
    <row r="814" ht="16.5" customHeight="1">
      <c r="A814" s="378"/>
      <c r="B814" s="378"/>
      <c r="C814" s="378"/>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row>
    <row r="815" ht="16.5" customHeight="1">
      <c r="A815" s="378"/>
      <c r="B815" s="378"/>
      <c r="C815" s="378"/>
      <c r="D815" s="378"/>
      <c r="E815" s="378"/>
      <c r="F815" s="378"/>
      <c r="G815" s="378"/>
      <c r="H815" s="378"/>
      <c r="I815" s="378"/>
      <c r="J815" s="378"/>
      <c r="K815" s="378"/>
      <c r="L815" s="378"/>
      <c r="M815" s="378"/>
      <c r="N815" s="378"/>
      <c r="O815" s="378"/>
      <c r="P815" s="378"/>
      <c r="Q815" s="378"/>
      <c r="R815" s="378"/>
      <c r="S815" s="378"/>
      <c r="T815" s="378"/>
      <c r="U815" s="378"/>
      <c r="V815" s="378"/>
      <c r="W815" s="378"/>
      <c r="X815" s="378"/>
      <c r="Y815" s="378"/>
      <c r="Z815" s="378"/>
    </row>
    <row r="816" ht="16.5" customHeight="1">
      <c r="A816" s="378"/>
      <c r="B816" s="378"/>
      <c r="C816" s="378"/>
      <c r="D816" s="378"/>
      <c r="E816" s="378"/>
      <c r="F816" s="378"/>
      <c r="G816" s="378"/>
      <c r="H816" s="378"/>
      <c r="I816" s="378"/>
      <c r="J816" s="378"/>
      <c r="K816" s="378"/>
      <c r="L816" s="378"/>
      <c r="M816" s="378"/>
      <c r="N816" s="378"/>
      <c r="O816" s="378"/>
      <c r="P816" s="378"/>
      <c r="Q816" s="378"/>
      <c r="R816" s="378"/>
      <c r="S816" s="378"/>
      <c r="T816" s="378"/>
      <c r="U816" s="378"/>
      <c r="V816" s="378"/>
      <c r="W816" s="378"/>
      <c r="X816" s="378"/>
      <c r="Y816" s="378"/>
      <c r="Z816" s="378"/>
    </row>
    <row r="817" ht="16.5" customHeight="1">
      <c r="A817" s="378"/>
      <c r="B817" s="378"/>
      <c r="C817" s="378"/>
      <c r="D817" s="378"/>
      <c r="E817" s="378"/>
      <c r="F817" s="378"/>
      <c r="G817" s="378"/>
      <c r="H817" s="378"/>
      <c r="I817" s="378"/>
      <c r="J817" s="378"/>
      <c r="K817" s="378"/>
      <c r="L817" s="378"/>
      <c r="M817" s="378"/>
      <c r="N817" s="378"/>
      <c r="O817" s="378"/>
      <c r="P817" s="378"/>
      <c r="Q817" s="378"/>
      <c r="R817" s="378"/>
      <c r="S817" s="378"/>
      <c r="T817" s="378"/>
      <c r="U817" s="378"/>
      <c r="V817" s="378"/>
      <c r="W817" s="378"/>
      <c r="X817" s="378"/>
      <c r="Y817" s="378"/>
      <c r="Z817" s="378"/>
    </row>
    <row r="818" ht="16.5" customHeight="1">
      <c r="A818" s="378"/>
      <c r="B818" s="378"/>
      <c r="C818" s="378"/>
      <c r="D818" s="378"/>
      <c r="E818" s="378"/>
      <c r="F818" s="378"/>
      <c r="G818" s="378"/>
      <c r="H818" s="378"/>
      <c r="I818" s="378"/>
      <c r="J818" s="378"/>
      <c r="K818" s="378"/>
      <c r="L818" s="378"/>
      <c r="M818" s="378"/>
      <c r="N818" s="378"/>
      <c r="O818" s="378"/>
      <c r="P818" s="378"/>
      <c r="Q818" s="378"/>
      <c r="R818" s="378"/>
      <c r="S818" s="378"/>
      <c r="T818" s="378"/>
      <c r="U818" s="378"/>
      <c r="V818" s="378"/>
      <c r="W818" s="378"/>
      <c r="X818" s="378"/>
      <c r="Y818" s="378"/>
      <c r="Z818" s="378"/>
    </row>
    <row r="819" ht="16.5" customHeight="1">
      <c r="A819" s="378"/>
      <c r="B819" s="378"/>
      <c r="C819" s="378"/>
      <c r="D819" s="378"/>
      <c r="E819" s="378"/>
      <c r="F819" s="378"/>
      <c r="G819" s="378"/>
      <c r="H819" s="378"/>
      <c r="I819" s="378"/>
      <c r="J819" s="378"/>
      <c r="K819" s="378"/>
      <c r="L819" s="378"/>
      <c r="M819" s="378"/>
      <c r="N819" s="378"/>
      <c r="O819" s="378"/>
      <c r="P819" s="378"/>
      <c r="Q819" s="378"/>
      <c r="R819" s="378"/>
      <c r="S819" s="378"/>
      <c r="T819" s="378"/>
      <c r="U819" s="378"/>
      <c r="V819" s="378"/>
      <c r="W819" s="378"/>
      <c r="X819" s="378"/>
      <c r="Y819" s="378"/>
      <c r="Z819" s="378"/>
    </row>
    <row r="820" ht="16.5" customHeight="1">
      <c r="A820" s="378"/>
      <c r="B820" s="378"/>
      <c r="C820" s="378"/>
      <c r="D820" s="378"/>
      <c r="E820" s="378"/>
      <c r="F820" s="378"/>
      <c r="G820" s="378"/>
      <c r="H820" s="378"/>
      <c r="I820" s="378"/>
      <c r="J820" s="378"/>
      <c r="K820" s="378"/>
      <c r="L820" s="378"/>
      <c r="M820" s="378"/>
      <c r="N820" s="378"/>
      <c r="O820" s="378"/>
      <c r="P820" s="378"/>
      <c r="Q820" s="378"/>
      <c r="R820" s="378"/>
      <c r="S820" s="378"/>
      <c r="T820" s="378"/>
      <c r="U820" s="378"/>
      <c r="V820" s="378"/>
      <c r="W820" s="378"/>
      <c r="X820" s="378"/>
      <c r="Y820" s="378"/>
      <c r="Z820" s="378"/>
    </row>
    <row r="821" ht="16.5" customHeight="1">
      <c r="A821" s="378"/>
      <c r="B821" s="378"/>
      <c r="C821" s="378"/>
      <c r="D821" s="378"/>
      <c r="E821" s="378"/>
      <c r="F821" s="378"/>
      <c r="G821" s="378"/>
      <c r="H821" s="378"/>
      <c r="I821" s="378"/>
      <c r="J821" s="378"/>
      <c r="K821" s="378"/>
      <c r="L821" s="378"/>
      <c r="M821" s="378"/>
      <c r="N821" s="378"/>
      <c r="O821" s="378"/>
      <c r="P821" s="378"/>
      <c r="Q821" s="378"/>
      <c r="R821" s="378"/>
      <c r="S821" s="378"/>
      <c r="T821" s="378"/>
      <c r="U821" s="378"/>
      <c r="V821" s="378"/>
      <c r="W821" s="378"/>
      <c r="X821" s="378"/>
      <c r="Y821" s="378"/>
      <c r="Z821" s="378"/>
    </row>
    <row r="822" ht="16.5" customHeight="1">
      <c r="A822" s="378"/>
      <c r="B822" s="378"/>
      <c r="C822" s="378"/>
      <c r="D822" s="378"/>
      <c r="E822" s="378"/>
      <c r="F822" s="378"/>
      <c r="G822" s="378"/>
      <c r="H822" s="378"/>
      <c r="I822" s="378"/>
      <c r="J822" s="378"/>
      <c r="K822" s="378"/>
      <c r="L822" s="378"/>
      <c r="M822" s="378"/>
      <c r="N822" s="378"/>
      <c r="O822" s="378"/>
      <c r="P822" s="378"/>
      <c r="Q822" s="378"/>
      <c r="R822" s="378"/>
      <c r="S822" s="378"/>
      <c r="T822" s="378"/>
      <c r="U822" s="378"/>
      <c r="V822" s="378"/>
      <c r="W822" s="378"/>
      <c r="X822" s="378"/>
      <c r="Y822" s="378"/>
      <c r="Z822" s="378"/>
    </row>
    <row r="823" ht="16.5" customHeight="1">
      <c r="A823" s="378"/>
      <c r="B823" s="378"/>
      <c r="C823" s="378"/>
      <c r="D823" s="378"/>
      <c r="E823" s="378"/>
      <c r="F823" s="378"/>
      <c r="G823" s="378"/>
      <c r="H823" s="378"/>
      <c r="I823" s="378"/>
      <c r="J823" s="378"/>
      <c r="K823" s="378"/>
      <c r="L823" s="378"/>
      <c r="M823" s="378"/>
      <c r="N823" s="378"/>
      <c r="O823" s="378"/>
      <c r="P823" s="378"/>
      <c r="Q823" s="378"/>
      <c r="R823" s="378"/>
      <c r="S823" s="378"/>
      <c r="T823" s="378"/>
      <c r="U823" s="378"/>
      <c r="V823" s="378"/>
      <c r="W823" s="378"/>
      <c r="X823" s="378"/>
      <c r="Y823" s="378"/>
      <c r="Z823" s="378"/>
    </row>
    <row r="824" ht="16.5" customHeight="1">
      <c r="A824" s="378"/>
      <c r="B824" s="378"/>
      <c r="C824" s="378"/>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row>
    <row r="825" ht="16.5" customHeight="1">
      <c r="A825" s="378"/>
      <c r="B825" s="378"/>
      <c r="C825" s="378"/>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row>
    <row r="826" ht="16.5" customHeight="1">
      <c r="A826" s="378"/>
      <c r="B826" s="378"/>
      <c r="C826" s="378"/>
      <c r="D826" s="378"/>
      <c r="E826" s="378"/>
      <c r="F826" s="378"/>
      <c r="G826" s="378"/>
      <c r="H826" s="378"/>
      <c r="I826" s="378"/>
      <c r="J826" s="378"/>
      <c r="K826" s="378"/>
      <c r="L826" s="378"/>
      <c r="M826" s="378"/>
      <c r="N826" s="378"/>
      <c r="O826" s="378"/>
      <c r="P826" s="378"/>
      <c r="Q826" s="378"/>
      <c r="R826" s="378"/>
      <c r="S826" s="378"/>
      <c r="T826" s="378"/>
      <c r="U826" s="378"/>
      <c r="V826" s="378"/>
      <c r="W826" s="378"/>
      <c r="X826" s="378"/>
      <c r="Y826" s="378"/>
      <c r="Z826" s="378"/>
    </row>
    <row r="827" ht="16.5" customHeight="1">
      <c r="A827" s="378"/>
      <c r="B827" s="378"/>
      <c r="C827" s="378"/>
      <c r="D827" s="378"/>
      <c r="E827" s="378"/>
      <c r="F827" s="378"/>
      <c r="G827" s="378"/>
      <c r="H827" s="378"/>
      <c r="I827" s="378"/>
      <c r="J827" s="378"/>
      <c r="K827" s="378"/>
      <c r="L827" s="378"/>
      <c r="M827" s="378"/>
      <c r="N827" s="378"/>
      <c r="O827" s="378"/>
      <c r="P827" s="378"/>
      <c r="Q827" s="378"/>
      <c r="R827" s="378"/>
      <c r="S827" s="378"/>
      <c r="T827" s="378"/>
      <c r="U827" s="378"/>
      <c r="V827" s="378"/>
      <c r="W827" s="378"/>
      <c r="X827" s="378"/>
      <c r="Y827" s="378"/>
      <c r="Z827" s="378"/>
    </row>
    <row r="828" ht="16.5" customHeight="1">
      <c r="A828" s="378"/>
      <c r="B828" s="378"/>
      <c r="C828" s="378"/>
      <c r="D828" s="378"/>
      <c r="E828" s="378"/>
      <c r="F828" s="378"/>
      <c r="G828" s="378"/>
      <c r="H828" s="378"/>
      <c r="I828" s="378"/>
      <c r="J828" s="378"/>
      <c r="K828" s="378"/>
      <c r="L828" s="378"/>
      <c r="M828" s="378"/>
      <c r="N828" s="378"/>
      <c r="O828" s="378"/>
      <c r="P828" s="378"/>
      <c r="Q828" s="378"/>
      <c r="R828" s="378"/>
      <c r="S828" s="378"/>
      <c r="T828" s="378"/>
      <c r="U828" s="378"/>
      <c r="V828" s="378"/>
      <c r="W828" s="378"/>
      <c r="X828" s="378"/>
      <c r="Y828" s="378"/>
      <c r="Z828" s="378"/>
    </row>
    <row r="829" ht="16.5" customHeight="1">
      <c r="A829" s="378"/>
      <c r="B829" s="378"/>
      <c r="C829" s="378"/>
      <c r="D829" s="378"/>
      <c r="E829" s="378"/>
      <c r="F829" s="378"/>
      <c r="G829" s="378"/>
      <c r="H829" s="378"/>
      <c r="I829" s="378"/>
      <c r="J829" s="378"/>
      <c r="K829" s="378"/>
      <c r="L829" s="378"/>
      <c r="M829" s="378"/>
      <c r="N829" s="378"/>
      <c r="O829" s="378"/>
      <c r="P829" s="378"/>
      <c r="Q829" s="378"/>
      <c r="R829" s="378"/>
      <c r="S829" s="378"/>
      <c r="T829" s="378"/>
      <c r="U829" s="378"/>
      <c r="V829" s="378"/>
      <c r="W829" s="378"/>
      <c r="X829" s="378"/>
      <c r="Y829" s="378"/>
      <c r="Z829" s="378"/>
    </row>
    <row r="830" ht="16.5" customHeight="1">
      <c r="A830" s="378"/>
      <c r="B830" s="378"/>
      <c r="C830" s="378"/>
      <c r="D830" s="378"/>
      <c r="E830" s="378"/>
      <c r="F830" s="378"/>
      <c r="G830" s="378"/>
      <c r="H830" s="378"/>
      <c r="I830" s="378"/>
      <c r="J830" s="378"/>
      <c r="K830" s="378"/>
      <c r="L830" s="378"/>
      <c r="M830" s="378"/>
      <c r="N830" s="378"/>
      <c r="O830" s="378"/>
      <c r="P830" s="378"/>
      <c r="Q830" s="378"/>
      <c r="R830" s="378"/>
      <c r="S830" s="378"/>
      <c r="T830" s="378"/>
      <c r="U830" s="378"/>
      <c r="V830" s="378"/>
      <c r="W830" s="378"/>
      <c r="X830" s="378"/>
      <c r="Y830" s="378"/>
      <c r="Z830" s="378"/>
    </row>
    <row r="831" ht="16.5" customHeight="1">
      <c r="A831" s="378"/>
      <c r="B831" s="378"/>
      <c r="C831" s="378"/>
      <c r="D831" s="378"/>
      <c r="E831" s="378"/>
      <c r="F831" s="378"/>
      <c r="G831" s="378"/>
      <c r="H831" s="378"/>
      <c r="I831" s="378"/>
      <c r="J831" s="378"/>
      <c r="K831" s="378"/>
      <c r="L831" s="378"/>
      <c r="M831" s="378"/>
      <c r="N831" s="378"/>
      <c r="O831" s="378"/>
      <c r="P831" s="378"/>
      <c r="Q831" s="378"/>
      <c r="R831" s="378"/>
      <c r="S831" s="378"/>
      <c r="T831" s="378"/>
      <c r="U831" s="378"/>
      <c r="V831" s="378"/>
      <c r="W831" s="378"/>
      <c r="X831" s="378"/>
      <c r="Y831" s="378"/>
      <c r="Z831" s="378"/>
    </row>
    <row r="832" ht="16.5" customHeight="1">
      <c r="A832" s="378"/>
      <c r="B832" s="378"/>
      <c r="C832" s="378"/>
      <c r="D832" s="378"/>
      <c r="E832" s="378"/>
      <c r="F832" s="378"/>
      <c r="G832" s="378"/>
      <c r="H832" s="378"/>
      <c r="I832" s="378"/>
      <c r="J832" s="378"/>
      <c r="K832" s="378"/>
      <c r="L832" s="378"/>
      <c r="M832" s="378"/>
      <c r="N832" s="378"/>
      <c r="O832" s="378"/>
      <c r="P832" s="378"/>
      <c r="Q832" s="378"/>
      <c r="R832" s="378"/>
      <c r="S832" s="378"/>
      <c r="T832" s="378"/>
      <c r="U832" s="378"/>
      <c r="V832" s="378"/>
      <c r="W832" s="378"/>
      <c r="X832" s="378"/>
      <c r="Y832" s="378"/>
      <c r="Z832" s="378"/>
    </row>
    <row r="833" ht="16.5" customHeight="1">
      <c r="A833" s="378"/>
      <c r="B833" s="378"/>
      <c r="C833" s="378"/>
      <c r="D833" s="378"/>
      <c r="E833" s="378"/>
      <c r="F833" s="378"/>
      <c r="G833" s="378"/>
      <c r="H833" s="378"/>
      <c r="I833" s="378"/>
      <c r="J833" s="378"/>
      <c r="K833" s="378"/>
      <c r="L833" s="378"/>
      <c r="M833" s="378"/>
      <c r="N833" s="378"/>
      <c r="O833" s="378"/>
      <c r="P833" s="378"/>
      <c r="Q833" s="378"/>
      <c r="R833" s="378"/>
      <c r="S833" s="378"/>
      <c r="T833" s="378"/>
      <c r="U833" s="378"/>
      <c r="V833" s="378"/>
      <c r="W833" s="378"/>
      <c r="X833" s="378"/>
      <c r="Y833" s="378"/>
      <c r="Z833" s="378"/>
    </row>
    <row r="834" ht="16.5" customHeight="1">
      <c r="A834" s="378"/>
      <c r="B834" s="378"/>
      <c r="C834" s="378"/>
      <c r="D834" s="378"/>
      <c r="E834" s="378"/>
      <c r="F834" s="378"/>
      <c r="G834" s="378"/>
      <c r="H834" s="378"/>
      <c r="I834" s="378"/>
      <c r="J834" s="378"/>
      <c r="K834" s="378"/>
      <c r="L834" s="378"/>
      <c r="M834" s="378"/>
      <c r="N834" s="378"/>
      <c r="O834" s="378"/>
      <c r="P834" s="378"/>
      <c r="Q834" s="378"/>
      <c r="R834" s="378"/>
      <c r="S834" s="378"/>
      <c r="T834" s="378"/>
      <c r="U834" s="378"/>
      <c r="V834" s="378"/>
      <c r="W834" s="378"/>
      <c r="X834" s="378"/>
      <c r="Y834" s="378"/>
      <c r="Z834" s="378"/>
    </row>
    <row r="835" ht="16.5" customHeight="1">
      <c r="A835" s="378"/>
      <c r="B835" s="378"/>
      <c r="C835" s="378"/>
      <c r="D835" s="378"/>
      <c r="E835" s="378"/>
      <c r="F835" s="378"/>
      <c r="G835" s="378"/>
      <c r="H835" s="378"/>
      <c r="I835" s="378"/>
      <c r="J835" s="378"/>
      <c r="K835" s="378"/>
      <c r="L835" s="378"/>
      <c r="M835" s="378"/>
      <c r="N835" s="378"/>
      <c r="O835" s="378"/>
      <c r="P835" s="378"/>
      <c r="Q835" s="378"/>
      <c r="R835" s="378"/>
      <c r="S835" s="378"/>
      <c r="T835" s="378"/>
      <c r="U835" s="378"/>
      <c r="V835" s="378"/>
      <c r="W835" s="378"/>
      <c r="X835" s="378"/>
      <c r="Y835" s="378"/>
      <c r="Z835" s="378"/>
    </row>
    <row r="836" ht="16.5" customHeight="1">
      <c r="A836" s="378"/>
      <c r="B836" s="378"/>
      <c r="C836" s="378"/>
      <c r="D836" s="378"/>
      <c r="E836" s="378"/>
      <c r="F836" s="378"/>
      <c r="G836" s="378"/>
      <c r="H836" s="378"/>
      <c r="I836" s="378"/>
      <c r="J836" s="378"/>
      <c r="K836" s="378"/>
      <c r="L836" s="378"/>
      <c r="M836" s="378"/>
      <c r="N836" s="378"/>
      <c r="O836" s="378"/>
      <c r="P836" s="378"/>
      <c r="Q836" s="378"/>
      <c r="R836" s="378"/>
      <c r="S836" s="378"/>
      <c r="T836" s="378"/>
      <c r="U836" s="378"/>
      <c r="V836" s="378"/>
      <c r="W836" s="378"/>
      <c r="X836" s="378"/>
      <c r="Y836" s="378"/>
      <c r="Z836" s="378"/>
    </row>
    <row r="837" ht="16.5" customHeight="1">
      <c r="A837" s="378"/>
      <c r="B837" s="378"/>
      <c r="C837" s="378"/>
      <c r="D837" s="378"/>
      <c r="E837" s="378"/>
      <c r="F837" s="378"/>
      <c r="G837" s="378"/>
      <c r="H837" s="378"/>
      <c r="I837" s="378"/>
      <c r="J837" s="378"/>
      <c r="K837" s="378"/>
      <c r="L837" s="378"/>
      <c r="M837" s="378"/>
      <c r="N837" s="378"/>
      <c r="O837" s="378"/>
      <c r="P837" s="378"/>
      <c r="Q837" s="378"/>
      <c r="R837" s="378"/>
      <c r="S837" s="378"/>
      <c r="T837" s="378"/>
      <c r="U837" s="378"/>
      <c r="V837" s="378"/>
      <c r="W837" s="378"/>
      <c r="X837" s="378"/>
      <c r="Y837" s="378"/>
      <c r="Z837" s="378"/>
    </row>
    <row r="838" ht="16.5" customHeight="1">
      <c r="A838" s="378"/>
      <c r="B838" s="378"/>
      <c r="C838" s="378"/>
      <c r="D838" s="378"/>
      <c r="E838" s="378"/>
      <c r="F838" s="378"/>
      <c r="G838" s="378"/>
      <c r="H838" s="378"/>
      <c r="I838" s="378"/>
      <c r="J838" s="378"/>
      <c r="K838" s="378"/>
      <c r="L838" s="378"/>
      <c r="M838" s="378"/>
      <c r="N838" s="378"/>
      <c r="O838" s="378"/>
      <c r="P838" s="378"/>
      <c r="Q838" s="378"/>
      <c r="R838" s="378"/>
      <c r="S838" s="378"/>
      <c r="T838" s="378"/>
      <c r="U838" s="378"/>
      <c r="V838" s="378"/>
      <c r="W838" s="378"/>
      <c r="X838" s="378"/>
      <c r="Y838" s="378"/>
      <c r="Z838" s="378"/>
    </row>
    <row r="839" ht="16.5" customHeight="1">
      <c r="A839" s="378"/>
      <c r="B839" s="378"/>
      <c r="C839" s="378"/>
      <c r="D839" s="378"/>
      <c r="E839" s="378"/>
      <c r="F839" s="378"/>
      <c r="G839" s="378"/>
      <c r="H839" s="378"/>
      <c r="I839" s="378"/>
      <c r="J839" s="378"/>
      <c r="K839" s="378"/>
      <c r="L839" s="378"/>
      <c r="M839" s="378"/>
      <c r="N839" s="378"/>
      <c r="O839" s="378"/>
      <c r="P839" s="378"/>
      <c r="Q839" s="378"/>
      <c r="R839" s="378"/>
      <c r="S839" s="378"/>
      <c r="T839" s="378"/>
      <c r="U839" s="378"/>
      <c r="V839" s="378"/>
      <c r="W839" s="378"/>
      <c r="X839" s="378"/>
      <c r="Y839" s="378"/>
      <c r="Z839" s="378"/>
    </row>
    <row r="840" ht="16.5" customHeight="1">
      <c r="A840" s="378"/>
      <c r="B840" s="378"/>
      <c r="C840" s="378"/>
      <c r="D840" s="378"/>
      <c r="E840" s="378"/>
      <c r="F840" s="378"/>
      <c r="G840" s="378"/>
      <c r="H840" s="378"/>
      <c r="I840" s="378"/>
      <c r="J840" s="378"/>
      <c r="K840" s="378"/>
      <c r="L840" s="378"/>
      <c r="M840" s="378"/>
      <c r="N840" s="378"/>
      <c r="O840" s="378"/>
      <c r="P840" s="378"/>
      <c r="Q840" s="378"/>
      <c r="R840" s="378"/>
      <c r="S840" s="378"/>
      <c r="T840" s="378"/>
      <c r="U840" s="378"/>
      <c r="V840" s="378"/>
      <c r="W840" s="378"/>
      <c r="X840" s="378"/>
      <c r="Y840" s="378"/>
      <c r="Z840" s="378"/>
    </row>
    <row r="841" ht="16.5" customHeight="1">
      <c r="A841" s="378"/>
      <c r="B841" s="378"/>
      <c r="C841" s="378"/>
      <c r="D841" s="378"/>
      <c r="E841" s="378"/>
      <c r="F841" s="378"/>
      <c r="G841" s="378"/>
      <c r="H841" s="378"/>
      <c r="I841" s="378"/>
      <c r="J841" s="378"/>
      <c r="K841" s="378"/>
      <c r="L841" s="378"/>
      <c r="M841" s="378"/>
      <c r="N841" s="378"/>
      <c r="O841" s="378"/>
      <c r="P841" s="378"/>
      <c r="Q841" s="378"/>
      <c r="R841" s="378"/>
      <c r="S841" s="378"/>
      <c r="T841" s="378"/>
      <c r="U841" s="378"/>
      <c r="V841" s="378"/>
      <c r="W841" s="378"/>
      <c r="X841" s="378"/>
      <c r="Y841" s="378"/>
      <c r="Z841" s="378"/>
    </row>
    <row r="842" ht="16.5" customHeight="1">
      <c r="A842" s="378"/>
      <c r="B842" s="378"/>
      <c r="C842" s="378"/>
      <c r="D842" s="378"/>
      <c r="E842" s="378"/>
      <c r="F842" s="378"/>
      <c r="G842" s="378"/>
      <c r="H842" s="378"/>
      <c r="I842" s="378"/>
      <c r="J842" s="378"/>
      <c r="K842" s="378"/>
      <c r="L842" s="378"/>
      <c r="M842" s="378"/>
      <c r="N842" s="378"/>
      <c r="O842" s="378"/>
      <c r="P842" s="378"/>
      <c r="Q842" s="378"/>
      <c r="R842" s="378"/>
      <c r="S842" s="378"/>
      <c r="T842" s="378"/>
      <c r="U842" s="378"/>
      <c r="V842" s="378"/>
      <c r="W842" s="378"/>
      <c r="X842" s="378"/>
      <c r="Y842" s="378"/>
      <c r="Z842" s="378"/>
    </row>
    <row r="843" ht="16.5" customHeight="1">
      <c r="A843" s="378"/>
      <c r="B843" s="378"/>
      <c r="C843" s="378"/>
      <c r="D843" s="378"/>
      <c r="E843" s="378"/>
      <c r="F843" s="378"/>
      <c r="G843" s="378"/>
      <c r="H843" s="378"/>
      <c r="I843" s="378"/>
      <c r="J843" s="378"/>
      <c r="K843" s="378"/>
      <c r="L843" s="378"/>
      <c r="M843" s="378"/>
      <c r="N843" s="378"/>
      <c r="O843" s="378"/>
      <c r="P843" s="378"/>
      <c r="Q843" s="378"/>
      <c r="R843" s="378"/>
      <c r="S843" s="378"/>
      <c r="T843" s="378"/>
      <c r="U843" s="378"/>
      <c r="V843" s="378"/>
      <c r="W843" s="378"/>
      <c r="X843" s="378"/>
      <c r="Y843" s="378"/>
      <c r="Z843" s="378"/>
    </row>
    <row r="844" ht="16.5" customHeight="1">
      <c r="A844" s="378"/>
      <c r="B844" s="378"/>
      <c r="C844" s="378"/>
      <c r="D844" s="378"/>
      <c r="E844" s="378"/>
      <c r="F844" s="378"/>
      <c r="G844" s="378"/>
      <c r="H844" s="378"/>
      <c r="I844" s="378"/>
      <c r="J844" s="378"/>
      <c r="K844" s="378"/>
      <c r="L844" s="378"/>
      <c r="M844" s="378"/>
      <c r="N844" s="378"/>
      <c r="O844" s="378"/>
      <c r="P844" s="378"/>
      <c r="Q844" s="378"/>
      <c r="R844" s="378"/>
      <c r="S844" s="378"/>
      <c r="T844" s="378"/>
      <c r="U844" s="378"/>
      <c r="V844" s="378"/>
      <c r="W844" s="378"/>
      <c r="X844" s="378"/>
      <c r="Y844" s="378"/>
      <c r="Z844" s="378"/>
    </row>
    <row r="845" ht="16.5" customHeight="1">
      <c r="A845" s="378"/>
      <c r="B845" s="378"/>
      <c r="C845" s="378"/>
      <c r="D845" s="378"/>
      <c r="E845" s="378"/>
      <c r="F845" s="378"/>
      <c r="G845" s="378"/>
      <c r="H845" s="378"/>
      <c r="I845" s="378"/>
      <c r="J845" s="378"/>
      <c r="K845" s="378"/>
      <c r="L845" s="378"/>
      <c r="M845" s="378"/>
      <c r="N845" s="378"/>
      <c r="O845" s="378"/>
      <c r="P845" s="378"/>
      <c r="Q845" s="378"/>
      <c r="R845" s="378"/>
      <c r="S845" s="378"/>
      <c r="T845" s="378"/>
      <c r="U845" s="378"/>
      <c r="V845" s="378"/>
      <c r="W845" s="378"/>
      <c r="X845" s="378"/>
      <c r="Y845" s="378"/>
      <c r="Z845" s="378"/>
    </row>
    <row r="846" ht="16.5" customHeight="1">
      <c r="A846" s="378"/>
      <c r="B846" s="378"/>
      <c r="C846" s="378"/>
      <c r="D846" s="378"/>
      <c r="E846" s="378"/>
      <c r="F846" s="378"/>
      <c r="G846" s="378"/>
      <c r="H846" s="378"/>
      <c r="I846" s="378"/>
      <c r="J846" s="378"/>
      <c r="K846" s="378"/>
      <c r="L846" s="378"/>
      <c r="M846" s="378"/>
      <c r="N846" s="378"/>
      <c r="O846" s="378"/>
      <c r="P846" s="378"/>
      <c r="Q846" s="378"/>
      <c r="R846" s="378"/>
      <c r="S846" s="378"/>
      <c r="T846" s="378"/>
      <c r="U846" s="378"/>
      <c r="V846" s="378"/>
      <c r="W846" s="378"/>
      <c r="X846" s="378"/>
      <c r="Y846" s="378"/>
      <c r="Z846" s="378"/>
    </row>
    <row r="847" ht="16.5" customHeight="1">
      <c r="A847" s="378"/>
      <c r="B847" s="378"/>
      <c r="C847" s="378"/>
      <c r="D847" s="378"/>
      <c r="E847" s="378"/>
      <c r="F847" s="378"/>
      <c r="G847" s="378"/>
      <c r="H847" s="378"/>
      <c r="I847" s="378"/>
      <c r="J847" s="378"/>
      <c r="K847" s="378"/>
      <c r="L847" s="378"/>
      <c r="M847" s="378"/>
      <c r="N847" s="378"/>
      <c r="O847" s="378"/>
      <c r="P847" s="378"/>
      <c r="Q847" s="378"/>
      <c r="R847" s="378"/>
      <c r="S847" s="378"/>
      <c r="T847" s="378"/>
      <c r="U847" s="378"/>
      <c r="V847" s="378"/>
      <c r="W847" s="378"/>
      <c r="X847" s="378"/>
      <c r="Y847" s="378"/>
      <c r="Z847" s="378"/>
    </row>
    <row r="848" ht="16.5" customHeight="1">
      <c r="A848" s="378"/>
      <c r="B848" s="378"/>
      <c r="C848" s="378"/>
      <c r="D848" s="378"/>
      <c r="E848" s="378"/>
      <c r="F848" s="378"/>
      <c r="G848" s="378"/>
      <c r="H848" s="378"/>
      <c r="I848" s="378"/>
      <c r="J848" s="378"/>
      <c r="K848" s="378"/>
      <c r="L848" s="378"/>
      <c r="M848" s="378"/>
      <c r="N848" s="378"/>
      <c r="O848" s="378"/>
      <c r="P848" s="378"/>
      <c r="Q848" s="378"/>
      <c r="R848" s="378"/>
      <c r="S848" s="378"/>
      <c r="T848" s="378"/>
      <c r="U848" s="378"/>
      <c r="V848" s="378"/>
      <c r="W848" s="378"/>
      <c r="X848" s="378"/>
      <c r="Y848" s="378"/>
      <c r="Z848" s="378"/>
    </row>
    <row r="849" ht="16.5" customHeight="1">
      <c r="A849" s="378"/>
      <c r="B849" s="378"/>
      <c r="C849" s="378"/>
      <c r="D849" s="378"/>
      <c r="E849" s="378"/>
      <c r="F849" s="378"/>
      <c r="G849" s="378"/>
      <c r="H849" s="378"/>
      <c r="I849" s="378"/>
      <c r="J849" s="378"/>
      <c r="K849" s="378"/>
      <c r="L849" s="378"/>
      <c r="M849" s="378"/>
      <c r="N849" s="378"/>
      <c r="O849" s="378"/>
      <c r="P849" s="378"/>
      <c r="Q849" s="378"/>
      <c r="R849" s="378"/>
      <c r="S849" s="378"/>
      <c r="T849" s="378"/>
      <c r="U849" s="378"/>
      <c r="V849" s="378"/>
      <c r="W849" s="378"/>
      <c r="X849" s="378"/>
      <c r="Y849" s="378"/>
      <c r="Z849" s="378"/>
    </row>
    <row r="850" ht="16.5" customHeight="1">
      <c r="A850" s="378"/>
      <c r="B850" s="378"/>
      <c r="C850" s="378"/>
      <c r="D850" s="378"/>
      <c r="E850" s="378"/>
      <c r="F850" s="378"/>
      <c r="G850" s="378"/>
      <c r="H850" s="378"/>
      <c r="I850" s="378"/>
      <c r="J850" s="378"/>
      <c r="K850" s="378"/>
      <c r="L850" s="378"/>
      <c r="M850" s="378"/>
      <c r="N850" s="378"/>
      <c r="O850" s="378"/>
      <c r="P850" s="378"/>
      <c r="Q850" s="378"/>
      <c r="R850" s="378"/>
      <c r="S850" s="378"/>
      <c r="T850" s="378"/>
      <c r="U850" s="378"/>
      <c r="V850" s="378"/>
      <c r="W850" s="378"/>
      <c r="X850" s="378"/>
      <c r="Y850" s="378"/>
      <c r="Z850" s="378"/>
    </row>
    <row r="851" ht="16.5" customHeight="1">
      <c r="A851" s="378"/>
      <c r="B851" s="378"/>
      <c r="C851" s="378"/>
      <c r="D851" s="378"/>
      <c r="E851" s="378"/>
      <c r="F851" s="378"/>
      <c r="G851" s="378"/>
      <c r="H851" s="378"/>
      <c r="I851" s="378"/>
      <c r="J851" s="378"/>
      <c r="K851" s="378"/>
      <c r="L851" s="378"/>
      <c r="M851" s="378"/>
      <c r="N851" s="378"/>
      <c r="O851" s="378"/>
      <c r="P851" s="378"/>
      <c r="Q851" s="378"/>
      <c r="R851" s="378"/>
      <c r="S851" s="378"/>
      <c r="T851" s="378"/>
      <c r="U851" s="378"/>
      <c r="V851" s="378"/>
      <c r="W851" s="378"/>
      <c r="X851" s="378"/>
      <c r="Y851" s="378"/>
      <c r="Z851" s="378"/>
    </row>
    <row r="852" ht="16.5" customHeight="1">
      <c r="A852" s="378"/>
      <c r="B852" s="378"/>
      <c r="C852" s="378"/>
      <c r="D852" s="378"/>
      <c r="E852" s="378"/>
      <c r="F852" s="378"/>
      <c r="G852" s="378"/>
      <c r="H852" s="378"/>
      <c r="I852" s="378"/>
      <c r="J852" s="378"/>
      <c r="K852" s="378"/>
      <c r="L852" s="378"/>
      <c r="M852" s="378"/>
      <c r="N852" s="378"/>
      <c r="O852" s="378"/>
      <c r="P852" s="378"/>
      <c r="Q852" s="378"/>
      <c r="R852" s="378"/>
      <c r="S852" s="378"/>
      <c r="T852" s="378"/>
      <c r="U852" s="378"/>
      <c r="V852" s="378"/>
      <c r="W852" s="378"/>
      <c r="X852" s="378"/>
      <c r="Y852" s="378"/>
      <c r="Z852" s="378"/>
    </row>
    <row r="853" ht="16.5" customHeight="1">
      <c r="A853" s="378"/>
      <c r="B853" s="378"/>
      <c r="C853" s="378"/>
      <c r="D853" s="378"/>
      <c r="E853" s="378"/>
      <c r="F853" s="378"/>
      <c r="G853" s="378"/>
      <c r="H853" s="378"/>
      <c r="I853" s="378"/>
      <c r="J853" s="378"/>
      <c r="K853" s="378"/>
      <c r="L853" s="378"/>
      <c r="M853" s="378"/>
      <c r="N853" s="378"/>
      <c r="O853" s="378"/>
      <c r="P853" s="378"/>
      <c r="Q853" s="378"/>
      <c r="R853" s="378"/>
      <c r="S853" s="378"/>
      <c r="T853" s="378"/>
      <c r="U853" s="378"/>
      <c r="V853" s="378"/>
      <c r="W853" s="378"/>
      <c r="X853" s="378"/>
      <c r="Y853" s="378"/>
      <c r="Z853" s="378"/>
    </row>
    <row r="854" ht="16.5" customHeight="1">
      <c r="A854" s="378"/>
      <c r="B854" s="378"/>
      <c r="C854" s="378"/>
      <c r="D854" s="378"/>
      <c r="E854" s="378"/>
      <c r="F854" s="378"/>
      <c r="G854" s="378"/>
      <c r="H854" s="378"/>
      <c r="I854" s="378"/>
      <c r="J854" s="378"/>
      <c r="K854" s="378"/>
      <c r="L854" s="378"/>
      <c r="M854" s="378"/>
      <c r="N854" s="378"/>
      <c r="O854" s="378"/>
      <c r="P854" s="378"/>
      <c r="Q854" s="378"/>
      <c r="R854" s="378"/>
      <c r="S854" s="378"/>
      <c r="T854" s="378"/>
      <c r="U854" s="378"/>
      <c r="V854" s="378"/>
      <c r="W854" s="378"/>
      <c r="X854" s="378"/>
      <c r="Y854" s="378"/>
      <c r="Z854" s="378"/>
    </row>
    <row r="855" ht="16.5" customHeight="1">
      <c r="A855" s="378"/>
      <c r="B855" s="378"/>
      <c r="C855" s="378"/>
      <c r="D855" s="378"/>
      <c r="E855" s="378"/>
      <c r="F855" s="378"/>
      <c r="G855" s="378"/>
      <c r="H855" s="378"/>
      <c r="I855" s="378"/>
      <c r="J855" s="378"/>
      <c r="K855" s="378"/>
      <c r="L855" s="378"/>
      <c r="M855" s="378"/>
      <c r="N855" s="378"/>
      <c r="O855" s="378"/>
      <c r="P855" s="378"/>
      <c r="Q855" s="378"/>
      <c r="R855" s="378"/>
      <c r="S855" s="378"/>
      <c r="T855" s="378"/>
      <c r="U855" s="378"/>
      <c r="V855" s="378"/>
      <c r="W855" s="378"/>
      <c r="X855" s="378"/>
      <c r="Y855" s="378"/>
      <c r="Z855" s="378"/>
    </row>
    <row r="856" ht="16.5" customHeight="1">
      <c r="A856" s="378"/>
      <c r="B856" s="378"/>
      <c r="C856" s="378"/>
      <c r="D856" s="378"/>
      <c r="E856" s="378"/>
      <c r="F856" s="378"/>
      <c r="G856" s="378"/>
      <c r="H856" s="378"/>
      <c r="I856" s="378"/>
      <c r="J856" s="378"/>
      <c r="K856" s="378"/>
      <c r="L856" s="378"/>
      <c r="M856" s="378"/>
      <c r="N856" s="378"/>
      <c r="O856" s="378"/>
      <c r="P856" s="378"/>
      <c r="Q856" s="378"/>
      <c r="R856" s="378"/>
      <c r="S856" s="378"/>
      <c r="T856" s="378"/>
      <c r="U856" s="378"/>
      <c r="V856" s="378"/>
      <c r="W856" s="378"/>
      <c r="X856" s="378"/>
      <c r="Y856" s="378"/>
      <c r="Z856" s="378"/>
    </row>
    <row r="857" ht="16.5" customHeight="1">
      <c r="A857" s="378"/>
      <c r="B857" s="378"/>
      <c r="C857" s="378"/>
      <c r="D857" s="378"/>
      <c r="E857" s="378"/>
      <c r="F857" s="378"/>
      <c r="G857" s="378"/>
      <c r="H857" s="378"/>
      <c r="I857" s="378"/>
      <c r="J857" s="378"/>
      <c r="K857" s="378"/>
      <c r="L857" s="378"/>
      <c r="M857" s="378"/>
      <c r="N857" s="378"/>
      <c r="O857" s="378"/>
      <c r="P857" s="378"/>
      <c r="Q857" s="378"/>
      <c r="R857" s="378"/>
      <c r="S857" s="378"/>
      <c r="T857" s="378"/>
      <c r="U857" s="378"/>
      <c r="V857" s="378"/>
      <c r="W857" s="378"/>
      <c r="X857" s="378"/>
      <c r="Y857" s="378"/>
      <c r="Z857" s="378"/>
    </row>
    <row r="858" ht="16.5" customHeight="1">
      <c r="A858" s="378"/>
      <c r="B858" s="378"/>
      <c r="C858" s="378"/>
      <c r="D858" s="378"/>
      <c r="E858" s="378"/>
      <c r="F858" s="378"/>
      <c r="G858" s="378"/>
      <c r="H858" s="378"/>
      <c r="I858" s="378"/>
      <c r="J858" s="378"/>
      <c r="K858" s="378"/>
      <c r="L858" s="378"/>
      <c r="M858" s="378"/>
      <c r="N858" s="378"/>
      <c r="O858" s="378"/>
      <c r="P858" s="378"/>
      <c r="Q858" s="378"/>
      <c r="R858" s="378"/>
      <c r="S858" s="378"/>
      <c r="T858" s="378"/>
      <c r="U858" s="378"/>
      <c r="V858" s="378"/>
      <c r="W858" s="378"/>
      <c r="X858" s="378"/>
      <c r="Y858" s="378"/>
      <c r="Z858" s="378"/>
    </row>
    <row r="859" ht="16.5" customHeight="1">
      <c r="A859" s="378"/>
      <c r="B859" s="378"/>
      <c r="C859" s="378"/>
      <c r="D859" s="378"/>
      <c r="E859" s="378"/>
      <c r="F859" s="378"/>
      <c r="G859" s="378"/>
      <c r="H859" s="378"/>
      <c r="I859" s="378"/>
      <c r="J859" s="378"/>
      <c r="K859" s="378"/>
      <c r="L859" s="378"/>
      <c r="M859" s="378"/>
      <c r="N859" s="378"/>
      <c r="O859" s="378"/>
      <c r="P859" s="378"/>
      <c r="Q859" s="378"/>
      <c r="R859" s="378"/>
      <c r="S859" s="378"/>
      <c r="T859" s="378"/>
      <c r="U859" s="378"/>
      <c r="V859" s="378"/>
      <c r="W859" s="378"/>
      <c r="X859" s="378"/>
      <c r="Y859" s="378"/>
      <c r="Z859" s="378"/>
    </row>
    <row r="860" ht="16.5" customHeight="1">
      <c r="A860" s="378"/>
      <c r="B860" s="378"/>
      <c r="C860" s="378"/>
      <c r="D860" s="378"/>
      <c r="E860" s="378"/>
      <c r="F860" s="378"/>
      <c r="G860" s="378"/>
      <c r="H860" s="378"/>
      <c r="I860" s="378"/>
      <c r="J860" s="378"/>
      <c r="K860" s="378"/>
      <c r="L860" s="378"/>
      <c r="M860" s="378"/>
      <c r="N860" s="378"/>
      <c r="O860" s="378"/>
      <c r="P860" s="378"/>
      <c r="Q860" s="378"/>
      <c r="R860" s="378"/>
      <c r="S860" s="378"/>
      <c r="T860" s="378"/>
      <c r="U860" s="378"/>
      <c r="V860" s="378"/>
      <c r="W860" s="378"/>
      <c r="X860" s="378"/>
      <c r="Y860" s="378"/>
      <c r="Z860" s="378"/>
    </row>
    <row r="861" ht="16.5" customHeight="1">
      <c r="A861" s="378"/>
      <c r="B861" s="378"/>
      <c r="C861" s="378"/>
      <c r="D861" s="378"/>
      <c r="E861" s="378"/>
      <c r="F861" s="378"/>
      <c r="G861" s="378"/>
      <c r="H861" s="378"/>
      <c r="I861" s="378"/>
      <c r="J861" s="378"/>
      <c r="K861" s="378"/>
      <c r="L861" s="378"/>
      <c r="M861" s="378"/>
      <c r="N861" s="378"/>
      <c r="O861" s="378"/>
      <c r="P861" s="378"/>
      <c r="Q861" s="378"/>
      <c r="R861" s="378"/>
      <c r="S861" s="378"/>
      <c r="T861" s="378"/>
      <c r="U861" s="378"/>
      <c r="V861" s="378"/>
      <c r="W861" s="378"/>
      <c r="X861" s="378"/>
      <c r="Y861" s="378"/>
      <c r="Z861" s="378"/>
    </row>
    <row r="862" ht="16.5" customHeight="1">
      <c r="A862" s="378"/>
      <c r="B862" s="378"/>
      <c r="C862" s="378"/>
      <c r="D862" s="378"/>
      <c r="E862" s="378"/>
      <c r="F862" s="378"/>
      <c r="G862" s="378"/>
      <c r="H862" s="378"/>
      <c r="I862" s="378"/>
      <c r="J862" s="378"/>
      <c r="K862" s="378"/>
      <c r="L862" s="378"/>
      <c r="M862" s="378"/>
      <c r="N862" s="378"/>
      <c r="O862" s="378"/>
      <c r="P862" s="378"/>
      <c r="Q862" s="378"/>
      <c r="R862" s="378"/>
      <c r="S862" s="378"/>
      <c r="T862" s="378"/>
      <c r="U862" s="378"/>
      <c r="V862" s="378"/>
      <c r="W862" s="378"/>
      <c r="X862" s="378"/>
      <c r="Y862" s="378"/>
      <c r="Z862" s="378"/>
    </row>
    <row r="863" ht="16.5" customHeight="1">
      <c r="A863" s="378"/>
      <c r="B863" s="378"/>
      <c r="C863" s="378"/>
      <c r="D863" s="378"/>
      <c r="E863" s="378"/>
      <c r="F863" s="378"/>
      <c r="G863" s="378"/>
      <c r="H863" s="378"/>
      <c r="I863" s="378"/>
      <c r="J863" s="378"/>
      <c r="K863" s="378"/>
      <c r="L863" s="378"/>
      <c r="M863" s="378"/>
      <c r="N863" s="378"/>
      <c r="O863" s="378"/>
      <c r="P863" s="378"/>
      <c r="Q863" s="378"/>
      <c r="R863" s="378"/>
      <c r="S863" s="378"/>
      <c r="T863" s="378"/>
      <c r="U863" s="378"/>
      <c r="V863" s="378"/>
      <c r="W863" s="378"/>
      <c r="X863" s="378"/>
      <c r="Y863" s="378"/>
      <c r="Z863" s="378"/>
    </row>
    <row r="864" ht="16.5" customHeight="1">
      <c r="A864" s="378"/>
      <c r="B864" s="378"/>
      <c r="C864" s="378"/>
      <c r="D864" s="378"/>
      <c r="E864" s="378"/>
      <c r="F864" s="378"/>
      <c r="G864" s="378"/>
      <c r="H864" s="378"/>
      <c r="I864" s="378"/>
      <c r="J864" s="378"/>
      <c r="K864" s="378"/>
      <c r="L864" s="378"/>
      <c r="M864" s="378"/>
      <c r="N864" s="378"/>
      <c r="O864" s="378"/>
      <c r="P864" s="378"/>
      <c r="Q864" s="378"/>
      <c r="R864" s="378"/>
      <c r="S864" s="378"/>
      <c r="T864" s="378"/>
      <c r="U864" s="378"/>
      <c r="V864" s="378"/>
      <c r="W864" s="378"/>
      <c r="X864" s="378"/>
      <c r="Y864" s="378"/>
      <c r="Z864" s="378"/>
    </row>
    <row r="865" ht="16.5" customHeight="1">
      <c r="A865" s="378"/>
      <c r="B865" s="378"/>
      <c r="C865" s="378"/>
      <c r="D865" s="378"/>
      <c r="E865" s="378"/>
      <c r="F865" s="378"/>
      <c r="G865" s="378"/>
      <c r="H865" s="378"/>
      <c r="I865" s="378"/>
      <c r="J865" s="378"/>
      <c r="K865" s="378"/>
      <c r="L865" s="378"/>
      <c r="M865" s="378"/>
      <c r="N865" s="378"/>
      <c r="O865" s="378"/>
      <c r="P865" s="378"/>
      <c r="Q865" s="378"/>
      <c r="R865" s="378"/>
      <c r="S865" s="378"/>
      <c r="T865" s="378"/>
      <c r="U865" s="378"/>
      <c r="V865" s="378"/>
      <c r="W865" s="378"/>
      <c r="X865" s="378"/>
      <c r="Y865" s="378"/>
      <c r="Z865" s="378"/>
    </row>
    <row r="866" ht="16.5" customHeight="1">
      <c r="A866" s="378"/>
      <c r="B866" s="378"/>
      <c r="C866" s="378"/>
      <c r="D866" s="378"/>
      <c r="E866" s="378"/>
      <c r="F866" s="378"/>
      <c r="G866" s="378"/>
      <c r="H866" s="378"/>
      <c r="I866" s="378"/>
      <c r="J866" s="378"/>
      <c r="K866" s="378"/>
      <c r="L866" s="378"/>
      <c r="M866" s="378"/>
      <c r="N866" s="378"/>
      <c r="O866" s="378"/>
      <c r="P866" s="378"/>
      <c r="Q866" s="378"/>
      <c r="R866" s="378"/>
      <c r="S866" s="378"/>
      <c r="T866" s="378"/>
      <c r="U866" s="378"/>
      <c r="V866" s="378"/>
      <c r="W866" s="378"/>
      <c r="X866" s="378"/>
      <c r="Y866" s="378"/>
      <c r="Z866" s="378"/>
    </row>
    <row r="867" ht="16.5" customHeight="1">
      <c r="A867" s="378"/>
      <c r="B867" s="378"/>
      <c r="C867" s="378"/>
      <c r="D867" s="378"/>
      <c r="E867" s="378"/>
      <c r="F867" s="378"/>
      <c r="G867" s="378"/>
      <c r="H867" s="378"/>
      <c r="I867" s="378"/>
      <c r="J867" s="378"/>
      <c r="K867" s="378"/>
      <c r="L867" s="378"/>
      <c r="M867" s="378"/>
      <c r="N867" s="378"/>
      <c r="O867" s="378"/>
      <c r="P867" s="378"/>
      <c r="Q867" s="378"/>
      <c r="R867" s="378"/>
      <c r="S867" s="378"/>
      <c r="T867" s="378"/>
      <c r="U867" s="378"/>
      <c r="V867" s="378"/>
      <c r="W867" s="378"/>
      <c r="X867" s="378"/>
      <c r="Y867" s="378"/>
      <c r="Z867" s="378"/>
    </row>
    <row r="868" ht="16.5" customHeight="1">
      <c r="A868" s="378"/>
      <c r="B868" s="378"/>
      <c r="C868" s="378"/>
      <c r="D868" s="378"/>
      <c r="E868" s="378"/>
      <c r="F868" s="378"/>
      <c r="G868" s="378"/>
      <c r="H868" s="378"/>
      <c r="I868" s="378"/>
      <c r="J868" s="378"/>
      <c r="K868" s="378"/>
      <c r="L868" s="378"/>
      <c r="M868" s="378"/>
      <c r="N868" s="378"/>
      <c r="O868" s="378"/>
      <c r="P868" s="378"/>
      <c r="Q868" s="378"/>
      <c r="R868" s="378"/>
      <c r="S868" s="378"/>
      <c r="T868" s="378"/>
      <c r="U868" s="378"/>
      <c r="V868" s="378"/>
      <c r="W868" s="378"/>
      <c r="X868" s="378"/>
      <c r="Y868" s="378"/>
      <c r="Z868" s="378"/>
    </row>
    <row r="869" ht="16.5" customHeight="1">
      <c r="A869" s="378"/>
      <c r="B869" s="378"/>
      <c r="C869" s="378"/>
      <c r="D869" s="378"/>
      <c r="E869" s="378"/>
      <c r="F869" s="378"/>
      <c r="G869" s="378"/>
      <c r="H869" s="378"/>
      <c r="I869" s="378"/>
      <c r="J869" s="378"/>
      <c r="K869" s="378"/>
      <c r="L869" s="378"/>
      <c r="M869" s="378"/>
      <c r="N869" s="378"/>
      <c r="O869" s="378"/>
      <c r="P869" s="378"/>
      <c r="Q869" s="378"/>
      <c r="R869" s="378"/>
      <c r="S869" s="378"/>
      <c r="T869" s="378"/>
      <c r="U869" s="378"/>
      <c r="V869" s="378"/>
      <c r="W869" s="378"/>
      <c r="X869" s="378"/>
      <c r="Y869" s="378"/>
      <c r="Z869" s="378"/>
    </row>
    <row r="870" ht="16.5" customHeight="1">
      <c r="A870" s="378"/>
      <c r="B870" s="378"/>
      <c r="C870" s="378"/>
      <c r="D870" s="378"/>
      <c r="E870" s="378"/>
      <c r="F870" s="378"/>
      <c r="G870" s="378"/>
      <c r="H870" s="378"/>
      <c r="I870" s="378"/>
      <c r="J870" s="378"/>
      <c r="K870" s="378"/>
      <c r="L870" s="378"/>
      <c r="M870" s="378"/>
      <c r="N870" s="378"/>
      <c r="O870" s="378"/>
      <c r="P870" s="378"/>
      <c r="Q870" s="378"/>
      <c r="R870" s="378"/>
      <c r="S870" s="378"/>
      <c r="T870" s="378"/>
      <c r="U870" s="378"/>
      <c r="V870" s="378"/>
      <c r="W870" s="378"/>
      <c r="X870" s="378"/>
      <c r="Y870" s="378"/>
      <c r="Z870" s="378"/>
    </row>
    <row r="871" ht="16.5" customHeight="1">
      <c r="A871" s="378"/>
      <c r="B871" s="378"/>
      <c r="C871" s="378"/>
      <c r="D871" s="378"/>
      <c r="E871" s="378"/>
      <c r="F871" s="378"/>
      <c r="G871" s="378"/>
      <c r="H871" s="378"/>
      <c r="I871" s="378"/>
      <c r="J871" s="378"/>
      <c r="K871" s="378"/>
      <c r="L871" s="378"/>
      <c r="M871" s="378"/>
      <c r="N871" s="378"/>
      <c r="O871" s="378"/>
      <c r="P871" s="378"/>
      <c r="Q871" s="378"/>
      <c r="R871" s="378"/>
      <c r="S871" s="378"/>
      <c r="T871" s="378"/>
      <c r="U871" s="378"/>
      <c r="V871" s="378"/>
      <c r="W871" s="378"/>
      <c r="X871" s="378"/>
      <c r="Y871" s="378"/>
      <c r="Z871" s="378"/>
    </row>
    <row r="872" ht="16.5" customHeight="1">
      <c r="A872" s="378"/>
      <c r="B872" s="378"/>
      <c r="C872" s="378"/>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row>
    <row r="873" ht="16.5" customHeight="1">
      <c r="A873" s="378"/>
      <c r="B873" s="378"/>
      <c r="C873" s="378"/>
      <c r="D873" s="378"/>
      <c r="E873" s="378"/>
      <c r="F873" s="378"/>
      <c r="G873" s="378"/>
      <c r="H873" s="378"/>
      <c r="I873" s="378"/>
      <c r="J873" s="378"/>
      <c r="K873" s="378"/>
      <c r="L873" s="378"/>
      <c r="M873" s="378"/>
      <c r="N873" s="378"/>
      <c r="O873" s="378"/>
      <c r="P873" s="378"/>
      <c r="Q873" s="378"/>
      <c r="R873" s="378"/>
      <c r="S873" s="378"/>
      <c r="T873" s="378"/>
      <c r="U873" s="378"/>
      <c r="V873" s="378"/>
      <c r="W873" s="378"/>
      <c r="X873" s="378"/>
      <c r="Y873" s="378"/>
      <c r="Z873" s="378"/>
    </row>
    <row r="874" ht="16.5" customHeight="1">
      <c r="A874" s="378"/>
      <c r="B874" s="378"/>
      <c r="C874" s="378"/>
      <c r="D874" s="378"/>
      <c r="E874" s="378"/>
      <c r="F874" s="378"/>
      <c r="G874" s="378"/>
      <c r="H874" s="378"/>
      <c r="I874" s="378"/>
      <c r="J874" s="378"/>
      <c r="K874" s="378"/>
      <c r="L874" s="378"/>
      <c r="M874" s="378"/>
      <c r="N874" s="378"/>
      <c r="O874" s="378"/>
      <c r="P874" s="378"/>
      <c r="Q874" s="378"/>
      <c r="R874" s="378"/>
      <c r="S874" s="378"/>
      <c r="T874" s="378"/>
      <c r="U874" s="378"/>
      <c r="V874" s="378"/>
      <c r="W874" s="378"/>
      <c r="X874" s="378"/>
      <c r="Y874" s="378"/>
      <c r="Z874" s="378"/>
    </row>
    <row r="875" ht="16.5" customHeight="1">
      <c r="A875" s="378"/>
      <c r="B875" s="378"/>
      <c r="C875" s="378"/>
      <c r="D875" s="378"/>
      <c r="E875" s="378"/>
      <c r="F875" s="378"/>
      <c r="G875" s="378"/>
      <c r="H875" s="378"/>
      <c r="I875" s="378"/>
      <c r="J875" s="378"/>
      <c r="K875" s="378"/>
      <c r="L875" s="378"/>
      <c r="M875" s="378"/>
      <c r="N875" s="378"/>
      <c r="O875" s="378"/>
      <c r="P875" s="378"/>
      <c r="Q875" s="378"/>
      <c r="R875" s="378"/>
      <c r="S875" s="378"/>
      <c r="T875" s="378"/>
      <c r="U875" s="378"/>
      <c r="V875" s="378"/>
      <c r="W875" s="378"/>
      <c r="X875" s="378"/>
      <c r="Y875" s="378"/>
      <c r="Z875" s="378"/>
    </row>
    <row r="876" ht="16.5" customHeight="1">
      <c r="A876" s="378"/>
      <c r="B876" s="378"/>
      <c r="C876" s="378"/>
      <c r="D876" s="378"/>
      <c r="E876" s="378"/>
      <c r="F876" s="378"/>
      <c r="G876" s="378"/>
      <c r="H876" s="378"/>
      <c r="I876" s="378"/>
      <c r="J876" s="378"/>
      <c r="K876" s="378"/>
      <c r="L876" s="378"/>
      <c r="M876" s="378"/>
      <c r="N876" s="378"/>
      <c r="O876" s="378"/>
      <c r="P876" s="378"/>
      <c r="Q876" s="378"/>
      <c r="R876" s="378"/>
      <c r="S876" s="378"/>
      <c r="T876" s="378"/>
      <c r="U876" s="378"/>
      <c r="V876" s="378"/>
      <c r="W876" s="378"/>
      <c r="X876" s="378"/>
      <c r="Y876" s="378"/>
      <c r="Z876" s="378"/>
    </row>
    <row r="877" ht="16.5" customHeight="1">
      <c r="A877" s="378"/>
      <c r="B877" s="378"/>
      <c r="C877" s="378"/>
      <c r="D877" s="378"/>
      <c r="E877" s="378"/>
      <c r="F877" s="378"/>
      <c r="G877" s="378"/>
      <c r="H877" s="378"/>
      <c r="I877" s="378"/>
      <c r="J877" s="378"/>
      <c r="K877" s="378"/>
      <c r="L877" s="378"/>
      <c r="M877" s="378"/>
      <c r="N877" s="378"/>
      <c r="O877" s="378"/>
      <c r="P877" s="378"/>
      <c r="Q877" s="378"/>
      <c r="R877" s="378"/>
      <c r="S877" s="378"/>
      <c r="T877" s="378"/>
      <c r="U877" s="378"/>
      <c r="V877" s="378"/>
      <c r="W877" s="378"/>
      <c r="X877" s="378"/>
      <c r="Y877" s="378"/>
      <c r="Z877" s="378"/>
    </row>
    <row r="878" ht="16.5" customHeight="1">
      <c r="A878" s="378"/>
      <c r="B878" s="378"/>
      <c r="C878" s="378"/>
      <c r="D878" s="378"/>
      <c r="E878" s="378"/>
      <c r="F878" s="378"/>
      <c r="G878" s="378"/>
      <c r="H878" s="378"/>
      <c r="I878" s="378"/>
      <c r="J878" s="378"/>
      <c r="K878" s="378"/>
      <c r="L878" s="378"/>
      <c r="M878" s="378"/>
      <c r="N878" s="378"/>
      <c r="O878" s="378"/>
      <c r="P878" s="378"/>
      <c r="Q878" s="378"/>
      <c r="R878" s="378"/>
      <c r="S878" s="378"/>
      <c r="T878" s="378"/>
      <c r="U878" s="378"/>
      <c r="V878" s="378"/>
      <c r="W878" s="378"/>
      <c r="X878" s="378"/>
      <c r="Y878" s="378"/>
      <c r="Z878" s="378"/>
    </row>
    <row r="879" ht="16.5" customHeight="1">
      <c r="A879" s="378"/>
      <c r="B879" s="378"/>
      <c r="C879" s="378"/>
      <c r="D879" s="378"/>
      <c r="E879" s="378"/>
      <c r="F879" s="378"/>
      <c r="G879" s="378"/>
      <c r="H879" s="378"/>
      <c r="I879" s="378"/>
      <c r="J879" s="378"/>
      <c r="K879" s="378"/>
      <c r="L879" s="378"/>
      <c r="M879" s="378"/>
      <c r="N879" s="378"/>
      <c r="O879" s="378"/>
      <c r="P879" s="378"/>
      <c r="Q879" s="378"/>
      <c r="R879" s="378"/>
      <c r="S879" s="378"/>
      <c r="T879" s="378"/>
      <c r="U879" s="378"/>
      <c r="V879" s="378"/>
      <c r="W879" s="378"/>
      <c r="X879" s="378"/>
      <c r="Y879" s="378"/>
      <c r="Z879" s="378"/>
    </row>
    <row r="880" ht="16.5" customHeight="1">
      <c r="A880" s="378"/>
      <c r="B880" s="378"/>
      <c r="C880" s="378"/>
      <c r="D880" s="378"/>
      <c r="E880" s="378"/>
      <c r="F880" s="378"/>
      <c r="G880" s="378"/>
      <c r="H880" s="378"/>
      <c r="I880" s="378"/>
      <c r="J880" s="378"/>
      <c r="K880" s="378"/>
      <c r="L880" s="378"/>
      <c r="M880" s="378"/>
      <c r="N880" s="378"/>
      <c r="O880" s="378"/>
      <c r="P880" s="378"/>
      <c r="Q880" s="378"/>
      <c r="R880" s="378"/>
      <c r="S880" s="378"/>
      <c r="T880" s="378"/>
      <c r="U880" s="378"/>
      <c r="V880" s="378"/>
      <c r="W880" s="378"/>
      <c r="X880" s="378"/>
      <c r="Y880" s="378"/>
      <c r="Z880" s="378"/>
    </row>
    <row r="881" ht="16.5" customHeight="1">
      <c r="A881" s="378"/>
      <c r="B881" s="378"/>
      <c r="C881" s="378"/>
      <c r="D881" s="378"/>
      <c r="E881" s="378"/>
      <c r="F881" s="378"/>
      <c r="G881" s="378"/>
      <c r="H881" s="378"/>
      <c r="I881" s="378"/>
      <c r="J881" s="378"/>
      <c r="K881" s="378"/>
      <c r="L881" s="378"/>
      <c r="M881" s="378"/>
      <c r="N881" s="378"/>
      <c r="O881" s="378"/>
      <c r="P881" s="378"/>
      <c r="Q881" s="378"/>
      <c r="R881" s="378"/>
      <c r="S881" s="378"/>
      <c r="T881" s="378"/>
      <c r="U881" s="378"/>
      <c r="V881" s="378"/>
      <c r="W881" s="378"/>
      <c r="X881" s="378"/>
      <c r="Y881" s="378"/>
      <c r="Z881" s="378"/>
    </row>
    <row r="882" ht="16.5" customHeight="1">
      <c r="A882" s="378"/>
      <c r="B882" s="378"/>
      <c r="C882" s="378"/>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row>
    <row r="883" ht="16.5" customHeight="1">
      <c r="A883" s="378"/>
      <c r="B883" s="378"/>
      <c r="C883" s="378"/>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row>
    <row r="884" ht="16.5" customHeight="1">
      <c r="A884" s="378"/>
      <c r="B884" s="378"/>
      <c r="C884" s="378"/>
      <c r="D884" s="378"/>
      <c r="E884" s="378"/>
      <c r="F884" s="378"/>
      <c r="G884" s="378"/>
      <c r="H884" s="378"/>
      <c r="I884" s="378"/>
      <c r="J884" s="378"/>
      <c r="K884" s="378"/>
      <c r="L884" s="378"/>
      <c r="M884" s="378"/>
      <c r="N884" s="378"/>
      <c r="O884" s="378"/>
      <c r="P884" s="378"/>
      <c r="Q884" s="378"/>
      <c r="R884" s="378"/>
      <c r="S884" s="378"/>
      <c r="T884" s="378"/>
      <c r="U884" s="378"/>
      <c r="V884" s="378"/>
      <c r="W884" s="378"/>
      <c r="X884" s="378"/>
      <c r="Y884" s="378"/>
      <c r="Z884" s="378"/>
    </row>
    <row r="885" ht="16.5" customHeight="1">
      <c r="A885" s="378"/>
      <c r="B885" s="378"/>
      <c r="C885" s="378"/>
      <c r="D885" s="378"/>
      <c r="E885" s="378"/>
      <c r="F885" s="378"/>
      <c r="G885" s="378"/>
      <c r="H885" s="378"/>
      <c r="I885" s="378"/>
      <c r="J885" s="378"/>
      <c r="K885" s="378"/>
      <c r="L885" s="378"/>
      <c r="M885" s="378"/>
      <c r="N885" s="378"/>
      <c r="O885" s="378"/>
      <c r="P885" s="378"/>
      <c r="Q885" s="378"/>
      <c r="R885" s="378"/>
      <c r="S885" s="378"/>
      <c r="T885" s="378"/>
      <c r="U885" s="378"/>
      <c r="V885" s="378"/>
      <c r="W885" s="378"/>
      <c r="X885" s="378"/>
      <c r="Y885" s="378"/>
      <c r="Z885" s="378"/>
    </row>
    <row r="886" ht="16.5" customHeight="1">
      <c r="A886" s="378"/>
      <c r="B886" s="378"/>
      <c r="C886" s="378"/>
      <c r="D886" s="378"/>
      <c r="E886" s="378"/>
      <c r="F886" s="378"/>
      <c r="G886" s="378"/>
      <c r="H886" s="378"/>
      <c r="I886" s="378"/>
      <c r="J886" s="378"/>
      <c r="K886" s="378"/>
      <c r="L886" s="378"/>
      <c r="M886" s="378"/>
      <c r="N886" s="378"/>
      <c r="O886" s="378"/>
      <c r="P886" s="378"/>
      <c r="Q886" s="378"/>
      <c r="R886" s="378"/>
      <c r="S886" s="378"/>
      <c r="T886" s="378"/>
      <c r="U886" s="378"/>
      <c r="V886" s="378"/>
      <c r="W886" s="378"/>
      <c r="X886" s="378"/>
      <c r="Y886" s="378"/>
      <c r="Z886" s="378"/>
    </row>
    <row r="887" ht="16.5" customHeight="1">
      <c r="A887" s="378"/>
      <c r="B887" s="378"/>
      <c r="C887" s="378"/>
      <c r="D887" s="378"/>
      <c r="E887" s="378"/>
      <c r="F887" s="378"/>
      <c r="G887" s="378"/>
      <c r="H887" s="378"/>
      <c r="I887" s="378"/>
      <c r="J887" s="378"/>
      <c r="K887" s="378"/>
      <c r="L887" s="378"/>
      <c r="M887" s="378"/>
      <c r="N887" s="378"/>
      <c r="O887" s="378"/>
      <c r="P887" s="378"/>
      <c r="Q887" s="378"/>
      <c r="R887" s="378"/>
      <c r="S887" s="378"/>
      <c r="T887" s="378"/>
      <c r="U887" s="378"/>
      <c r="V887" s="378"/>
      <c r="W887" s="378"/>
      <c r="X887" s="378"/>
      <c r="Y887" s="378"/>
      <c r="Z887" s="378"/>
    </row>
    <row r="888" ht="16.5" customHeight="1">
      <c r="A888" s="378"/>
      <c r="B888" s="378"/>
      <c r="C888" s="378"/>
      <c r="D888" s="378"/>
      <c r="E888" s="378"/>
      <c r="F888" s="378"/>
      <c r="G888" s="378"/>
      <c r="H888" s="378"/>
      <c r="I888" s="378"/>
      <c r="J888" s="378"/>
      <c r="K888" s="378"/>
      <c r="L888" s="378"/>
      <c r="M888" s="378"/>
      <c r="N888" s="378"/>
      <c r="O888" s="378"/>
      <c r="P888" s="378"/>
      <c r="Q888" s="378"/>
      <c r="R888" s="378"/>
      <c r="S888" s="378"/>
      <c r="T888" s="378"/>
      <c r="U888" s="378"/>
      <c r="V888" s="378"/>
      <c r="W888" s="378"/>
      <c r="X888" s="378"/>
      <c r="Y888" s="378"/>
      <c r="Z888" s="378"/>
    </row>
    <row r="889" ht="16.5" customHeight="1">
      <c r="A889" s="378"/>
      <c r="B889" s="378"/>
      <c r="C889" s="378"/>
      <c r="D889" s="378"/>
      <c r="E889" s="378"/>
      <c r="F889" s="378"/>
      <c r="G889" s="378"/>
      <c r="H889" s="378"/>
      <c r="I889" s="378"/>
      <c r="J889" s="378"/>
      <c r="K889" s="378"/>
      <c r="L889" s="378"/>
      <c r="M889" s="378"/>
      <c r="N889" s="378"/>
      <c r="O889" s="378"/>
      <c r="P889" s="378"/>
      <c r="Q889" s="378"/>
      <c r="R889" s="378"/>
      <c r="S889" s="378"/>
      <c r="T889" s="378"/>
      <c r="U889" s="378"/>
      <c r="V889" s="378"/>
      <c r="W889" s="378"/>
      <c r="X889" s="378"/>
      <c r="Y889" s="378"/>
      <c r="Z889" s="378"/>
    </row>
    <row r="890" ht="16.5" customHeight="1">
      <c r="A890" s="378"/>
      <c r="B890" s="378"/>
      <c r="C890" s="378"/>
      <c r="D890" s="378"/>
      <c r="E890" s="378"/>
      <c r="F890" s="378"/>
      <c r="G890" s="378"/>
      <c r="H890" s="378"/>
      <c r="I890" s="378"/>
      <c r="J890" s="378"/>
      <c r="K890" s="378"/>
      <c r="L890" s="378"/>
      <c r="M890" s="378"/>
      <c r="N890" s="378"/>
      <c r="O890" s="378"/>
      <c r="P890" s="378"/>
      <c r="Q890" s="378"/>
      <c r="R890" s="378"/>
      <c r="S890" s="378"/>
      <c r="T890" s="378"/>
      <c r="U890" s="378"/>
      <c r="V890" s="378"/>
      <c r="W890" s="378"/>
      <c r="X890" s="378"/>
      <c r="Y890" s="378"/>
      <c r="Z890" s="378"/>
    </row>
    <row r="891" ht="16.5" customHeight="1">
      <c r="A891" s="378"/>
      <c r="B891" s="378"/>
      <c r="C891" s="378"/>
      <c r="D891" s="378"/>
      <c r="E891" s="378"/>
      <c r="F891" s="378"/>
      <c r="G891" s="378"/>
      <c r="H891" s="378"/>
      <c r="I891" s="378"/>
      <c r="J891" s="378"/>
      <c r="K891" s="378"/>
      <c r="L891" s="378"/>
      <c r="M891" s="378"/>
      <c r="N891" s="378"/>
      <c r="O891" s="378"/>
      <c r="P891" s="378"/>
      <c r="Q891" s="378"/>
      <c r="R891" s="378"/>
      <c r="S891" s="378"/>
      <c r="T891" s="378"/>
      <c r="U891" s="378"/>
      <c r="V891" s="378"/>
      <c r="W891" s="378"/>
      <c r="X891" s="378"/>
      <c r="Y891" s="378"/>
      <c r="Z891" s="378"/>
    </row>
    <row r="892" ht="16.5" customHeight="1">
      <c r="A892" s="378"/>
      <c r="B892" s="378"/>
      <c r="C892" s="378"/>
      <c r="D892" s="378"/>
      <c r="E892" s="378"/>
      <c r="F892" s="378"/>
      <c r="G892" s="378"/>
      <c r="H892" s="378"/>
      <c r="I892" s="378"/>
      <c r="J892" s="378"/>
      <c r="K892" s="378"/>
      <c r="L892" s="378"/>
      <c r="M892" s="378"/>
      <c r="N892" s="378"/>
      <c r="O892" s="378"/>
      <c r="P892" s="378"/>
      <c r="Q892" s="378"/>
      <c r="R892" s="378"/>
      <c r="S892" s="378"/>
      <c r="T892" s="378"/>
      <c r="U892" s="378"/>
      <c r="V892" s="378"/>
      <c r="W892" s="378"/>
      <c r="X892" s="378"/>
      <c r="Y892" s="378"/>
      <c r="Z892" s="378"/>
    </row>
    <row r="893" ht="16.5" customHeight="1">
      <c r="A893" s="378"/>
      <c r="B893" s="378"/>
      <c r="C893" s="378"/>
      <c r="D893" s="378"/>
      <c r="E893" s="378"/>
      <c r="F893" s="378"/>
      <c r="G893" s="378"/>
      <c r="H893" s="378"/>
      <c r="I893" s="378"/>
      <c r="J893" s="378"/>
      <c r="K893" s="378"/>
      <c r="L893" s="378"/>
      <c r="M893" s="378"/>
      <c r="N893" s="378"/>
      <c r="O893" s="378"/>
      <c r="P893" s="378"/>
      <c r="Q893" s="378"/>
      <c r="R893" s="378"/>
      <c r="S893" s="378"/>
      <c r="T893" s="378"/>
      <c r="U893" s="378"/>
      <c r="V893" s="378"/>
      <c r="W893" s="378"/>
      <c r="X893" s="378"/>
      <c r="Y893" s="378"/>
      <c r="Z893" s="378"/>
    </row>
    <row r="894" ht="16.5" customHeight="1">
      <c r="A894" s="378"/>
      <c r="B894" s="378"/>
      <c r="C894" s="378"/>
      <c r="D894" s="378"/>
      <c r="E894" s="378"/>
      <c r="F894" s="378"/>
      <c r="G894" s="378"/>
      <c r="H894" s="378"/>
      <c r="I894" s="378"/>
      <c r="J894" s="378"/>
      <c r="K894" s="378"/>
      <c r="L894" s="378"/>
      <c r="M894" s="378"/>
      <c r="N894" s="378"/>
      <c r="O894" s="378"/>
      <c r="P894" s="378"/>
      <c r="Q894" s="378"/>
      <c r="R894" s="378"/>
      <c r="S894" s="378"/>
      <c r="T894" s="378"/>
      <c r="U894" s="378"/>
      <c r="V894" s="378"/>
      <c r="W894" s="378"/>
      <c r="X894" s="378"/>
      <c r="Y894" s="378"/>
      <c r="Z894" s="378"/>
    </row>
    <row r="895" ht="16.5" customHeight="1">
      <c r="A895" s="378"/>
      <c r="B895" s="378"/>
      <c r="C895" s="378"/>
      <c r="D895" s="378"/>
      <c r="E895" s="378"/>
      <c r="F895" s="378"/>
      <c r="G895" s="378"/>
      <c r="H895" s="378"/>
      <c r="I895" s="378"/>
      <c r="J895" s="378"/>
      <c r="K895" s="378"/>
      <c r="L895" s="378"/>
      <c r="M895" s="378"/>
      <c r="N895" s="378"/>
      <c r="O895" s="378"/>
      <c r="P895" s="378"/>
      <c r="Q895" s="378"/>
      <c r="R895" s="378"/>
      <c r="S895" s="378"/>
      <c r="T895" s="378"/>
      <c r="U895" s="378"/>
      <c r="V895" s="378"/>
      <c r="W895" s="378"/>
      <c r="X895" s="378"/>
      <c r="Y895" s="378"/>
      <c r="Z895" s="378"/>
    </row>
    <row r="896" ht="16.5" customHeight="1">
      <c r="A896" s="378"/>
      <c r="B896" s="378"/>
      <c r="C896" s="378"/>
      <c r="D896" s="378"/>
      <c r="E896" s="378"/>
      <c r="F896" s="378"/>
      <c r="G896" s="378"/>
      <c r="H896" s="378"/>
      <c r="I896" s="378"/>
      <c r="J896" s="378"/>
      <c r="K896" s="378"/>
      <c r="L896" s="378"/>
      <c r="M896" s="378"/>
      <c r="N896" s="378"/>
      <c r="O896" s="378"/>
      <c r="P896" s="378"/>
      <c r="Q896" s="378"/>
      <c r="R896" s="378"/>
      <c r="S896" s="378"/>
      <c r="T896" s="378"/>
      <c r="U896" s="378"/>
      <c r="V896" s="378"/>
      <c r="W896" s="378"/>
      <c r="X896" s="378"/>
      <c r="Y896" s="378"/>
      <c r="Z896" s="378"/>
    </row>
    <row r="897" ht="16.5" customHeight="1">
      <c r="A897" s="378"/>
      <c r="B897" s="378"/>
      <c r="C897" s="378"/>
      <c r="D897" s="378"/>
      <c r="E897" s="378"/>
      <c r="F897" s="378"/>
      <c r="G897" s="378"/>
      <c r="H897" s="378"/>
      <c r="I897" s="378"/>
      <c r="J897" s="378"/>
      <c r="K897" s="378"/>
      <c r="L897" s="378"/>
      <c r="M897" s="378"/>
      <c r="N897" s="378"/>
      <c r="O897" s="378"/>
      <c r="P897" s="378"/>
      <c r="Q897" s="378"/>
      <c r="R897" s="378"/>
      <c r="S897" s="378"/>
      <c r="T897" s="378"/>
      <c r="U897" s="378"/>
      <c r="V897" s="378"/>
      <c r="W897" s="378"/>
      <c r="X897" s="378"/>
      <c r="Y897" s="378"/>
      <c r="Z897" s="378"/>
    </row>
    <row r="898" ht="16.5" customHeight="1">
      <c r="A898" s="378"/>
      <c r="B898" s="378"/>
      <c r="C898" s="378"/>
      <c r="D898" s="378"/>
      <c r="E898" s="378"/>
      <c r="F898" s="378"/>
      <c r="G898" s="378"/>
      <c r="H898" s="378"/>
      <c r="I898" s="378"/>
      <c r="J898" s="378"/>
      <c r="K898" s="378"/>
      <c r="L898" s="378"/>
      <c r="M898" s="378"/>
      <c r="N898" s="378"/>
      <c r="O898" s="378"/>
      <c r="P898" s="378"/>
      <c r="Q898" s="378"/>
      <c r="R898" s="378"/>
      <c r="S898" s="378"/>
      <c r="T898" s="378"/>
      <c r="U898" s="378"/>
      <c r="V898" s="378"/>
      <c r="W898" s="378"/>
      <c r="X898" s="378"/>
      <c r="Y898" s="378"/>
      <c r="Z898" s="378"/>
    </row>
    <row r="899" ht="16.5" customHeight="1">
      <c r="A899" s="378"/>
      <c r="B899" s="378"/>
      <c r="C899" s="378"/>
      <c r="D899" s="378"/>
      <c r="E899" s="378"/>
      <c r="F899" s="378"/>
      <c r="G899" s="378"/>
      <c r="H899" s="378"/>
      <c r="I899" s="378"/>
      <c r="J899" s="378"/>
      <c r="K899" s="378"/>
      <c r="L899" s="378"/>
      <c r="M899" s="378"/>
      <c r="N899" s="378"/>
      <c r="O899" s="378"/>
      <c r="P899" s="378"/>
      <c r="Q899" s="378"/>
      <c r="R899" s="378"/>
      <c r="S899" s="378"/>
      <c r="T899" s="378"/>
      <c r="U899" s="378"/>
      <c r="V899" s="378"/>
      <c r="W899" s="378"/>
      <c r="X899" s="378"/>
      <c r="Y899" s="378"/>
      <c r="Z899" s="378"/>
    </row>
    <row r="900" ht="16.5" customHeight="1">
      <c r="A900" s="378"/>
      <c r="B900" s="378"/>
      <c r="C900" s="378"/>
      <c r="D900" s="378"/>
      <c r="E900" s="378"/>
      <c r="F900" s="378"/>
      <c r="G900" s="378"/>
      <c r="H900" s="378"/>
      <c r="I900" s="378"/>
      <c r="J900" s="378"/>
      <c r="K900" s="378"/>
      <c r="L900" s="378"/>
      <c r="M900" s="378"/>
      <c r="N900" s="378"/>
      <c r="O900" s="378"/>
      <c r="P900" s="378"/>
      <c r="Q900" s="378"/>
      <c r="R900" s="378"/>
      <c r="S900" s="378"/>
      <c r="T900" s="378"/>
      <c r="U900" s="378"/>
      <c r="V900" s="378"/>
      <c r="W900" s="378"/>
      <c r="X900" s="378"/>
      <c r="Y900" s="378"/>
      <c r="Z900" s="378"/>
    </row>
    <row r="901" ht="16.5" customHeight="1">
      <c r="A901" s="378"/>
      <c r="B901" s="378"/>
      <c r="C901" s="378"/>
      <c r="D901" s="378"/>
      <c r="E901" s="378"/>
      <c r="F901" s="378"/>
      <c r="G901" s="378"/>
      <c r="H901" s="378"/>
      <c r="I901" s="378"/>
      <c r="J901" s="378"/>
      <c r="K901" s="378"/>
      <c r="L901" s="378"/>
      <c r="M901" s="378"/>
      <c r="N901" s="378"/>
      <c r="O901" s="378"/>
      <c r="P901" s="378"/>
      <c r="Q901" s="378"/>
      <c r="R901" s="378"/>
      <c r="S901" s="378"/>
      <c r="T901" s="378"/>
      <c r="U901" s="378"/>
      <c r="V901" s="378"/>
      <c r="W901" s="378"/>
      <c r="X901" s="378"/>
      <c r="Y901" s="378"/>
      <c r="Z901" s="378"/>
    </row>
    <row r="902" ht="16.5" customHeight="1">
      <c r="A902" s="378"/>
      <c r="B902" s="378"/>
      <c r="C902" s="378"/>
      <c r="D902" s="378"/>
      <c r="E902" s="378"/>
      <c r="F902" s="378"/>
      <c r="G902" s="378"/>
      <c r="H902" s="378"/>
      <c r="I902" s="378"/>
      <c r="J902" s="378"/>
      <c r="K902" s="378"/>
      <c r="L902" s="378"/>
      <c r="M902" s="378"/>
      <c r="N902" s="378"/>
      <c r="O902" s="378"/>
      <c r="P902" s="378"/>
      <c r="Q902" s="378"/>
      <c r="R902" s="378"/>
      <c r="S902" s="378"/>
      <c r="T902" s="378"/>
      <c r="U902" s="378"/>
      <c r="V902" s="378"/>
      <c r="W902" s="378"/>
      <c r="X902" s="378"/>
      <c r="Y902" s="378"/>
      <c r="Z902" s="378"/>
    </row>
    <row r="903" ht="16.5" customHeight="1">
      <c r="A903" s="378"/>
      <c r="B903" s="378"/>
      <c r="C903" s="378"/>
      <c r="D903" s="378"/>
      <c r="E903" s="378"/>
      <c r="F903" s="378"/>
      <c r="G903" s="378"/>
      <c r="H903" s="378"/>
      <c r="I903" s="378"/>
      <c r="J903" s="378"/>
      <c r="K903" s="378"/>
      <c r="L903" s="378"/>
      <c r="M903" s="378"/>
      <c r="N903" s="378"/>
      <c r="O903" s="378"/>
      <c r="P903" s="378"/>
      <c r="Q903" s="378"/>
      <c r="R903" s="378"/>
      <c r="S903" s="378"/>
      <c r="T903" s="378"/>
      <c r="U903" s="378"/>
      <c r="V903" s="378"/>
      <c r="W903" s="378"/>
      <c r="X903" s="378"/>
      <c r="Y903" s="378"/>
      <c r="Z903" s="378"/>
    </row>
    <row r="904" ht="16.5" customHeight="1">
      <c r="A904" s="378"/>
      <c r="B904" s="378"/>
      <c r="C904" s="378"/>
      <c r="D904" s="378"/>
      <c r="E904" s="378"/>
      <c r="F904" s="378"/>
      <c r="G904" s="378"/>
      <c r="H904" s="378"/>
      <c r="I904" s="378"/>
      <c r="J904" s="378"/>
      <c r="K904" s="378"/>
      <c r="L904" s="378"/>
      <c r="M904" s="378"/>
      <c r="N904" s="378"/>
      <c r="O904" s="378"/>
      <c r="P904" s="378"/>
      <c r="Q904" s="378"/>
      <c r="R904" s="378"/>
      <c r="S904" s="378"/>
      <c r="T904" s="378"/>
      <c r="U904" s="378"/>
      <c r="V904" s="378"/>
      <c r="W904" s="378"/>
      <c r="X904" s="378"/>
      <c r="Y904" s="378"/>
      <c r="Z904" s="378"/>
    </row>
    <row r="905" ht="16.5" customHeight="1">
      <c r="A905" s="378"/>
      <c r="B905" s="378"/>
      <c r="C905" s="378"/>
      <c r="D905" s="378"/>
      <c r="E905" s="378"/>
      <c r="F905" s="378"/>
      <c r="G905" s="378"/>
      <c r="H905" s="378"/>
      <c r="I905" s="378"/>
      <c r="J905" s="378"/>
      <c r="K905" s="378"/>
      <c r="L905" s="378"/>
      <c r="M905" s="378"/>
      <c r="N905" s="378"/>
      <c r="O905" s="378"/>
      <c r="P905" s="378"/>
      <c r="Q905" s="378"/>
      <c r="R905" s="378"/>
      <c r="S905" s="378"/>
      <c r="T905" s="378"/>
      <c r="U905" s="378"/>
      <c r="V905" s="378"/>
      <c r="W905" s="378"/>
      <c r="X905" s="378"/>
      <c r="Y905" s="378"/>
      <c r="Z905" s="378"/>
    </row>
    <row r="906" ht="16.5" customHeight="1">
      <c r="A906" s="378"/>
      <c r="B906" s="378"/>
      <c r="C906" s="378"/>
      <c r="D906" s="378"/>
      <c r="E906" s="378"/>
      <c r="F906" s="378"/>
      <c r="G906" s="378"/>
      <c r="H906" s="378"/>
      <c r="I906" s="378"/>
      <c r="J906" s="378"/>
      <c r="K906" s="378"/>
      <c r="L906" s="378"/>
      <c r="M906" s="378"/>
      <c r="N906" s="378"/>
      <c r="O906" s="378"/>
      <c r="P906" s="378"/>
      <c r="Q906" s="378"/>
      <c r="R906" s="378"/>
      <c r="S906" s="378"/>
      <c r="T906" s="378"/>
      <c r="U906" s="378"/>
      <c r="V906" s="378"/>
      <c r="W906" s="378"/>
      <c r="X906" s="378"/>
      <c r="Y906" s="378"/>
      <c r="Z906" s="378"/>
    </row>
    <row r="907" ht="16.5" customHeight="1">
      <c r="A907" s="378"/>
      <c r="B907" s="378"/>
      <c r="C907" s="378"/>
      <c r="D907" s="378"/>
      <c r="E907" s="378"/>
      <c r="F907" s="378"/>
      <c r="G907" s="378"/>
      <c r="H907" s="378"/>
      <c r="I907" s="378"/>
      <c r="J907" s="378"/>
      <c r="K907" s="378"/>
      <c r="L907" s="378"/>
      <c r="M907" s="378"/>
      <c r="N907" s="378"/>
      <c r="O907" s="378"/>
      <c r="P907" s="378"/>
      <c r="Q907" s="378"/>
      <c r="R907" s="378"/>
      <c r="S907" s="378"/>
      <c r="T907" s="378"/>
      <c r="U907" s="378"/>
      <c r="V907" s="378"/>
      <c r="W907" s="378"/>
      <c r="X907" s="378"/>
      <c r="Y907" s="378"/>
      <c r="Z907" s="378"/>
    </row>
    <row r="908" ht="16.5" customHeight="1">
      <c r="A908" s="378"/>
      <c r="B908" s="378"/>
      <c r="C908" s="378"/>
      <c r="D908" s="378"/>
      <c r="E908" s="378"/>
      <c r="F908" s="378"/>
      <c r="G908" s="378"/>
      <c r="H908" s="378"/>
      <c r="I908" s="378"/>
      <c r="J908" s="378"/>
      <c r="K908" s="378"/>
      <c r="L908" s="378"/>
      <c r="M908" s="378"/>
      <c r="N908" s="378"/>
      <c r="O908" s="378"/>
      <c r="P908" s="378"/>
      <c r="Q908" s="378"/>
      <c r="R908" s="378"/>
      <c r="S908" s="378"/>
      <c r="T908" s="378"/>
      <c r="U908" s="378"/>
      <c r="V908" s="378"/>
      <c r="W908" s="378"/>
      <c r="X908" s="378"/>
      <c r="Y908" s="378"/>
      <c r="Z908" s="378"/>
    </row>
    <row r="909" ht="16.5" customHeight="1">
      <c r="A909" s="378"/>
      <c r="B909" s="378"/>
      <c r="C909" s="378"/>
      <c r="D909" s="378"/>
      <c r="E909" s="378"/>
      <c r="F909" s="378"/>
      <c r="G909" s="378"/>
      <c r="H909" s="378"/>
      <c r="I909" s="378"/>
      <c r="J909" s="378"/>
      <c r="K909" s="378"/>
      <c r="L909" s="378"/>
      <c r="M909" s="378"/>
      <c r="N909" s="378"/>
      <c r="O909" s="378"/>
      <c r="P909" s="378"/>
      <c r="Q909" s="378"/>
      <c r="R909" s="378"/>
      <c r="S909" s="378"/>
      <c r="T909" s="378"/>
      <c r="U909" s="378"/>
      <c r="V909" s="378"/>
      <c r="W909" s="378"/>
      <c r="X909" s="378"/>
      <c r="Y909" s="378"/>
      <c r="Z909" s="378"/>
    </row>
    <row r="910" ht="16.5" customHeight="1">
      <c r="A910" s="378"/>
      <c r="B910" s="378"/>
      <c r="C910" s="378"/>
      <c r="D910" s="378"/>
      <c r="E910" s="378"/>
      <c r="F910" s="378"/>
      <c r="G910" s="378"/>
      <c r="H910" s="378"/>
      <c r="I910" s="378"/>
      <c r="J910" s="378"/>
      <c r="K910" s="378"/>
      <c r="L910" s="378"/>
      <c r="M910" s="378"/>
      <c r="N910" s="378"/>
      <c r="O910" s="378"/>
      <c r="P910" s="378"/>
      <c r="Q910" s="378"/>
      <c r="R910" s="378"/>
      <c r="S910" s="378"/>
      <c r="T910" s="378"/>
      <c r="U910" s="378"/>
      <c r="V910" s="378"/>
      <c r="W910" s="378"/>
      <c r="X910" s="378"/>
      <c r="Y910" s="378"/>
      <c r="Z910" s="378"/>
    </row>
    <row r="911" ht="16.5" customHeight="1">
      <c r="A911" s="378"/>
      <c r="B911" s="378"/>
      <c r="C911" s="378"/>
      <c r="D911" s="378"/>
      <c r="E911" s="378"/>
      <c r="F911" s="378"/>
      <c r="G911" s="378"/>
      <c r="H911" s="378"/>
      <c r="I911" s="378"/>
      <c r="J911" s="378"/>
      <c r="K911" s="378"/>
      <c r="L911" s="378"/>
      <c r="M911" s="378"/>
      <c r="N911" s="378"/>
      <c r="O911" s="378"/>
      <c r="P911" s="378"/>
      <c r="Q911" s="378"/>
      <c r="R911" s="378"/>
      <c r="S911" s="378"/>
      <c r="T911" s="378"/>
      <c r="U911" s="378"/>
      <c r="V911" s="378"/>
      <c r="W911" s="378"/>
      <c r="X911" s="378"/>
      <c r="Y911" s="378"/>
      <c r="Z911" s="378"/>
    </row>
    <row r="912" ht="16.5" customHeight="1">
      <c r="A912" s="378"/>
      <c r="B912" s="378"/>
      <c r="C912" s="378"/>
      <c r="D912" s="378"/>
      <c r="E912" s="378"/>
      <c r="F912" s="378"/>
      <c r="G912" s="378"/>
      <c r="H912" s="378"/>
      <c r="I912" s="378"/>
      <c r="J912" s="378"/>
      <c r="K912" s="378"/>
      <c r="L912" s="378"/>
      <c r="M912" s="378"/>
      <c r="N912" s="378"/>
      <c r="O912" s="378"/>
      <c r="P912" s="378"/>
      <c r="Q912" s="378"/>
      <c r="R912" s="378"/>
      <c r="S912" s="378"/>
      <c r="T912" s="378"/>
      <c r="U912" s="378"/>
      <c r="V912" s="378"/>
      <c r="W912" s="378"/>
      <c r="X912" s="378"/>
      <c r="Y912" s="378"/>
      <c r="Z912" s="378"/>
    </row>
    <row r="913" ht="16.5" customHeight="1">
      <c r="A913" s="378"/>
      <c r="B913" s="378"/>
      <c r="C913" s="378"/>
      <c r="D913" s="378"/>
      <c r="E913" s="378"/>
      <c r="F913" s="378"/>
      <c r="G913" s="378"/>
      <c r="H913" s="378"/>
      <c r="I913" s="378"/>
      <c r="J913" s="378"/>
      <c r="K913" s="378"/>
      <c r="L913" s="378"/>
      <c r="M913" s="378"/>
      <c r="N913" s="378"/>
      <c r="O913" s="378"/>
      <c r="P913" s="378"/>
      <c r="Q913" s="378"/>
      <c r="R913" s="378"/>
      <c r="S913" s="378"/>
      <c r="T913" s="378"/>
      <c r="U913" s="378"/>
      <c r="V913" s="378"/>
      <c r="W913" s="378"/>
      <c r="X913" s="378"/>
      <c r="Y913" s="378"/>
      <c r="Z913" s="378"/>
    </row>
    <row r="914" ht="16.5" customHeight="1">
      <c r="A914" s="378"/>
      <c r="B914" s="378"/>
      <c r="C914" s="378"/>
      <c r="D914" s="378"/>
      <c r="E914" s="378"/>
      <c r="F914" s="378"/>
      <c r="G914" s="378"/>
      <c r="H914" s="378"/>
      <c r="I914" s="378"/>
      <c r="J914" s="378"/>
      <c r="K914" s="378"/>
      <c r="L914" s="378"/>
      <c r="M914" s="378"/>
      <c r="N914" s="378"/>
      <c r="O914" s="378"/>
      <c r="P914" s="378"/>
      <c r="Q914" s="378"/>
      <c r="R914" s="378"/>
      <c r="S914" s="378"/>
      <c r="T914" s="378"/>
      <c r="U914" s="378"/>
      <c r="V914" s="378"/>
      <c r="W914" s="378"/>
      <c r="X914" s="378"/>
      <c r="Y914" s="378"/>
      <c r="Z914" s="378"/>
    </row>
    <row r="915" ht="16.5" customHeight="1">
      <c r="A915" s="378"/>
      <c r="B915" s="378"/>
      <c r="C915" s="378"/>
      <c r="D915" s="378"/>
      <c r="E915" s="378"/>
      <c r="F915" s="378"/>
      <c r="G915" s="378"/>
      <c r="H915" s="378"/>
      <c r="I915" s="378"/>
      <c r="J915" s="378"/>
      <c r="K915" s="378"/>
      <c r="L915" s="378"/>
      <c r="M915" s="378"/>
      <c r="N915" s="378"/>
      <c r="O915" s="378"/>
      <c r="P915" s="378"/>
      <c r="Q915" s="378"/>
      <c r="R915" s="378"/>
      <c r="S915" s="378"/>
      <c r="T915" s="378"/>
      <c r="U915" s="378"/>
      <c r="V915" s="378"/>
      <c r="W915" s="378"/>
      <c r="X915" s="378"/>
      <c r="Y915" s="378"/>
      <c r="Z915" s="378"/>
    </row>
    <row r="916" ht="16.5" customHeight="1">
      <c r="A916" s="378"/>
      <c r="B916" s="378"/>
      <c r="C916" s="378"/>
      <c r="D916" s="378"/>
      <c r="E916" s="378"/>
      <c r="F916" s="378"/>
      <c r="G916" s="378"/>
      <c r="H916" s="378"/>
      <c r="I916" s="378"/>
      <c r="J916" s="378"/>
      <c r="K916" s="378"/>
      <c r="L916" s="378"/>
      <c r="M916" s="378"/>
      <c r="N916" s="378"/>
      <c r="O916" s="378"/>
      <c r="P916" s="378"/>
      <c r="Q916" s="378"/>
      <c r="R916" s="378"/>
      <c r="S916" s="378"/>
      <c r="T916" s="378"/>
      <c r="U916" s="378"/>
      <c r="V916" s="378"/>
      <c r="W916" s="378"/>
      <c r="X916" s="378"/>
      <c r="Y916" s="378"/>
      <c r="Z916" s="378"/>
    </row>
    <row r="917" ht="16.5" customHeight="1">
      <c r="A917" s="378"/>
      <c r="B917" s="378"/>
      <c r="C917" s="378"/>
      <c r="D917" s="378"/>
      <c r="E917" s="378"/>
      <c r="F917" s="378"/>
      <c r="G917" s="378"/>
      <c r="H917" s="378"/>
      <c r="I917" s="378"/>
      <c r="J917" s="378"/>
      <c r="K917" s="378"/>
      <c r="L917" s="378"/>
      <c r="M917" s="378"/>
      <c r="N917" s="378"/>
      <c r="O917" s="378"/>
      <c r="P917" s="378"/>
      <c r="Q917" s="378"/>
      <c r="R917" s="378"/>
      <c r="S917" s="378"/>
      <c r="T917" s="378"/>
      <c r="U917" s="378"/>
      <c r="V917" s="378"/>
      <c r="W917" s="378"/>
      <c r="X917" s="378"/>
      <c r="Y917" s="378"/>
      <c r="Z917" s="378"/>
    </row>
    <row r="918" ht="16.5" customHeight="1">
      <c r="A918" s="378"/>
      <c r="B918" s="378"/>
      <c r="C918" s="378"/>
      <c r="D918" s="378"/>
      <c r="E918" s="378"/>
      <c r="F918" s="378"/>
      <c r="G918" s="378"/>
      <c r="H918" s="378"/>
      <c r="I918" s="378"/>
      <c r="J918" s="378"/>
      <c r="K918" s="378"/>
      <c r="L918" s="378"/>
      <c r="M918" s="378"/>
      <c r="N918" s="378"/>
      <c r="O918" s="378"/>
      <c r="P918" s="378"/>
      <c r="Q918" s="378"/>
      <c r="R918" s="378"/>
      <c r="S918" s="378"/>
      <c r="T918" s="378"/>
      <c r="U918" s="378"/>
      <c r="V918" s="378"/>
      <c r="W918" s="378"/>
      <c r="X918" s="378"/>
      <c r="Y918" s="378"/>
      <c r="Z918" s="378"/>
    </row>
    <row r="919" ht="16.5" customHeight="1">
      <c r="A919" s="378"/>
      <c r="B919" s="378"/>
      <c r="C919" s="378"/>
      <c r="D919" s="378"/>
      <c r="E919" s="378"/>
      <c r="F919" s="378"/>
      <c r="G919" s="378"/>
      <c r="H919" s="378"/>
      <c r="I919" s="378"/>
      <c r="J919" s="378"/>
      <c r="K919" s="378"/>
      <c r="L919" s="378"/>
      <c r="M919" s="378"/>
      <c r="N919" s="378"/>
      <c r="O919" s="378"/>
      <c r="P919" s="378"/>
      <c r="Q919" s="378"/>
      <c r="R919" s="378"/>
      <c r="S919" s="378"/>
      <c r="T919" s="378"/>
      <c r="U919" s="378"/>
      <c r="V919" s="378"/>
      <c r="W919" s="378"/>
      <c r="X919" s="378"/>
      <c r="Y919" s="378"/>
      <c r="Z919" s="378"/>
    </row>
    <row r="920" ht="16.5" customHeight="1">
      <c r="A920" s="378"/>
      <c r="B920" s="378"/>
      <c r="C920" s="378"/>
      <c r="D920" s="378"/>
      <c r="E920" s="378"/>
      <c r="F920" s="378"/>
      <c r="G920" s="378"/>
      <c r="H920" s="378"/>
      <c r="I920" s="378"/>
      <c r="J920" s="378"/>
      <c r="K920" s="378"/>
      <c r="L920" s="378"/>
      <c r="M920" s="378"/>
      <c r="N920" s="378"/>
      <c r="O920" s="378"/>
      <c r="P920" s="378"/>
      <c r="Q920" s="378"/>
      <c r="R920" s="378"/>
      <c r="S920" s="378"/>
      <c r="T920" s="378"/>
      <c r="U920" s="378"/>
      <c r="V920" s="378"/>
      <c r="W920" s="378"/>
      <c r="X920" s="378"/>
      <c r="Y920" s="378"/>
      <c r="Z920" s="378"/>
    </row>
    <row r="921" ht="16.5" customHeight="1">
      <c r="A921" s="378"/>
      <c r="B921" s="378"/>
      <c r="C921" s="378"/>
      <c r="D921" s="378"/>
      <c r="E921" s="378"/>
      <c r="F921" s="378"/>
      <c r="G921" s="378"/>
      <c r="H921" s="378"/>
      <c r="I921" s="378"/>
      <c r="J921" s="378"/>
      <c r="K921" s="378"/>
      <c r="L921" s="378"/>
      <c r="M921" s="378"/>
      <c r="N921" s="378"/>
      <c r="O921" s="378"/>
      <c r="P921" s="378"/>
      <c r="Q921" s="378"/>
      <c r="R921" s="378"/>
      <c r="S921" s="378"/>
      <c r="T921" s="378"/>
      <c r="U921" s="378"/>
      <c r="V921" s="378"/>
      <c r="W921" s="378"/>
      <c r="X921" s="378"/>
      <c r="Y921" s="378"/>
      <c r="Z921" s="378"/>
    </row>
    <row r="922" ht="16.5" customHeight="1">
      <c r="A922" s="378"/>
      <c r="B922" s="378"/>
      <c r="C922" s="378"/>
      <c r="D922" s="378"/>
      <c r="E922" s="378"/>
      <c r="F922" s="378"/>
      <c r="G922" s="378"/>
      <c r="H922" s="378"/>
      <c r="I922" s="378"/>
      <c r="J922" s="378"/>
      <c r="K922" s="378"/>
      <c r="L922" s="378"/>
      <c r="M922" s="378"/>
      <c r="N922" s="378"/>
      <c r="O922" s="378"/>
      <c r="P922" s="378"/>
      <c r="Q922" s="378"/>
      <c r="R922" s="378"/>
      <c r="S922" s="378"/>
      <c r="T922" s="378"/>
      <c r="U922" s="378"/>
      <c r="V922" s="378"/>
      <c r="W922" s="378"/>
      <c r="X922" s="378"/>
      <c r="Y922" s="378"/>
      <c r="Z922" s="378"/>
    </row>
    <row r="923" ht="16.5" customHeight="1">
      <c r="A923" s="378"/>
      <c r="B923" s="378"/>
      <c r="C923" s="378"/>
      <c r="D923" s="378"/>
      <c r="E923" s="378"/>
      <c r="F923" s="378"/>
      <c r="G923" s="378"/>
      <c r="H923" s="378"/>
      <c r="I923" s="378"/>
      <c r="J923" s="378"/>
      <c r="K923" s="378"/>
      <c r="L923" s="378"/>
      <c r="M923" s="378"/>
      <c r="N923" s="378"/>
      <c r="O923" s="378"/>
      <c r="P923" s="378"/>
      <c r="Q923" s="378"/>
      <c r="R923" s="378"/>
      <c r="S923" s="378"/>
      <c r="T923" s="378"/>
      <c r="U923" s="378"/>
      <c r="V923" s="378"/>
      <c r="W923" s="378"/>
      <c r="X923" s="378"/>
      <c r="Y923" s="378"/>
      <c r="Z923" s="378"/>
    </row>
    <row r="924" ht="16.5" customHeight="1">
      <c r="A924" s="378"/>
      <c r="B924" s="378"/>
      <c r="C924" s="378"/>
      <c r="D924" s="378"/>
      <c r="E924" s="378"/>
      <c r="F924" s="378"/>
      <c r="G924" s="378"/>
      <c r="H924" s="378"/>
      <c r="I924" s="378"/>
      <c r="J924" s="378"/>
      <c r="K924" s="378"/>
      <c r="L924" s="378"/>
      <c r="M924" s="378"/>
      <c r="N924" s="378"/>
      <c r="O924" s="378"/>
      <c r="P924" s="378"/>
      <c r="Q924" s="378"/>
      <c r="R924" s="378"/>
      <c r="S924" s="378"/>
      <c r="T924" s="378"/>
      <c r="U924" s="378"/>
      <c r="V924" s="378"/>
      <c r="W924" s="378"/>
      <c r="X924" s="378"/>
      <c r="Y924" s="378"/>
      <c r="Z924" s="378"/>
    </row>
    <row r="925" ht="16.5" customHeight="1">
      <c r="A925" s="378"/>
      <c r="B925" s="378"/>
      <c r="C925" s="378"/>
      <c r="D925" s="378"/>
      <c r="E925" s="378"/>
      <c r="F925" s="378"/>
      <c r="G925" s="378"/>
      <c r="H925" s="378"/>
      <c r="I925" s="378"/>
      <c r="J925" s="378"/>
      <c r="K925" s="378"/>
      <c r="L925" s="378"/>
      <c r="M925" s="378"/>
      <c r="N925" s="378"/>
      <c r="O925" s="378"/>
      <c r="P925" s="378"/>
      <c r="Q925" s="378"/>
      <c r="R925" s="378"/>
      <c r="S925" s="378"/>
      <c r="T925" s="378"/>
      <c r="U925" s="378"/>
      <c r="V925" s="378"/>
      <c r="W925" s="378"/>
      <c r="X925" s="378"/>
      <c r="Y925" s="378"/>
      <c r="Z925" s="378"/>
    </row>
    <row r="926" ht="16.5" customHeight="1">
      <c r="A926" s="378"/>
      <c r="B926" s="378"/>
      <c r="C926" s="378"/>
      <c r="D926" s="378"/>
      <c r="E926" s="378"/>
      <c r="F926" s="378"/>
      <c r="G926" s="378"/>
      <c r="H926" s="378"/>
      <c r="I926" s="378"/>
      <c r="J926" s="378"/>
      <c r="K926" s="378"/>
      <c r="L926" s="378"/>
      <c r="M926" s="378"/>
      <c r="N926" s="378"/>
      <c r="O926" s="378"/>
      <c r="P926" s="378"/>
      <c r="Q926" s="378"/>
      <c r="R926" s="378"/>
      <c r="S926" s="378"/>
      <c r="T926" s="378"/>
      <c r="U926" s="378"/>
      <c r="V926" s="378"/>
      <c r="W926" s="378"/>
      <c r="X926" s="378"/>
      <c r="Y926" s="378"/>
      <c r="Z926" s="378"/>
    </row>
    <row r="927" ht="16.5" customHeight="1">
      <c r="A927" s="378"/>
      <c r="B927" s="378"/>
      <c r="C927" s="378"/>
      <c r="D927" s="378"/>
      <c r="E927" s="378"/>
      <c r="F927" s="378"/>
      <c r="G927" s="378"/>
      <c r="H927" s="378"/>
      <c r="I927" s="378"/>
      <c r="J927" s="378"/>
      <c r="K927" s="378"/>
      <c r="L927" s="378"/>
      <c r="M927" s="378"/>
      <c r="N927" s="378"/>
      <c r="O927" s="378"/>
      <c r="P927" s="378"/>
      <c r="Q927" s="378"/>
      <c r="R927" s="378"/>
      <c r="S927" s="378"/>
      <c r="T927" s="378"/>
      <c r="U927" s="378"/>
      <c r="V927" s="378"/>
      <c r="W927" s="378"/>
      <c r="X927" s="378"/>
      <c r="Y927" s="378"/>
      <c r="Z927" s="378"/>
    </row>
    <row r="928" ht="16.5" customHeight="1">
      <c r="A928" s="378"/>
      <c r="B928" s="378"/>
      <c r="C928" s="378"/>
      <c r="D928" s="378"/>
      <c r="E928" s="378"/>
      <c r="F928" s="378"/>
      <c r="G928" s="378"/>
      <c r="H928" s="378"/>
      <c r="I928" s="378"/>
      <c r="J928" s="378"/>
      <c r="K928" s="378"/>
      <c r="L928" s="378"/>
      <c r="M928" s="378"/>
      <c r="N928" s="378"/>
      <c r="O928" s="378"/>
      <c r="P928" s="378"/>
      <c r="Q928" s="378"/>
      <c r="R928" s="378"/>
      <c r="S928" s="378"/>
      <c r="T928" s="378"/>
      <c r="U928" s="378"/>
      <c r="V928" s="378"/>
      <c r="W928" s="378"/>
      <c r="X928" s="378"/>
      <c r="Y928" s="378"/>
      <c r="Z928" s="378"/>
    </row>
    <row r="929" ht="16.5" customHeight="1">
      <c r="A929" s="378"/>
      <c r="B929" s="378"/>
      <c r="C929" s="378"/>
      <c r="D929" s="378"/>
      <c r="E929" s="378"/>
      <c r="F929" s="378"/>
      <c r="G929" s="378"/>
      <c r="H929" s="378"/>
      <c r="I929" s="378"/>
      <c r="J929" s="378"/>
      <c r="K929" s="378"/>
      <c r="L929" s="378"/>
      <c r="M929" s="378"/>
      <c r="N929" s="378"/>
      <c r="O929" s="378"/>
      <c r="P929" s="378"/>
      <c r="Q929" s="378"/>
      <c r="R929" s="378"/>
      <c r="S929" s="378"/>
      <c r="T929" s="378"/>
      <c r="U929" s="378"/>
      <c r="V929" s="378"/>
      <c r="W929" s="378"/>
      <c r="X929" s="378"/>
      <c r="Y929" s="378"/>
      <c r="Z929" s="378"/>
    </row>
    <row r="930" ht="16.5" customHeight="1">
      <c r="A930" s="378"/>
      <c r="B930" s="378"/>
      <c r="C930" s="378"/>
      <c r="D930" s="378"/>
      <c r="E930" s="378"/>
      <c r="F930" s="378"/>
      <c r="G930" s="378"/>
      <c r="H930" s="378"/>
      <c r="I930" s="378"/>
      <c r="J930" s="378"/>
      <c r="K930" s="378"/>
      <c r="L930" s="378"/>
      <c r="M930" s="378"/>
      <c r="N930" s="378"/>
      <c r="O930" s="378"/>
      <c r="P930" s="378"/>
      <c r="Q930" s="378"/>
      <c r="R930" s="378"/>
      <c r="S930" s="378"/>
      <c r="T930" s="378"/>
      <c r="U930" s="378"/>
      <c r="V930" s="378"/>
      <c r="W930" s="378"/>
      <c r="X930" s="378"/>
      <c r="Y930" s="378"/>
      <c r="Z930" s="378"/>
    </row>
    <row r="931" ht="16.5" customHeight="1">
      <c r="A931" s="378"/>
      <c r="B931" s="378"/>
      <c r="C931" s="378"/>
      <c r="D931" s="378"/>
      <c r="E931" s="378"/>
      <c r="F931" s="378"/>
      <c r="G931" s="378"/>
      <c r="H931" s="378"/>
      <c r="I931" s="378"/>
      <c r="J931" s="378"/>
      <c r="K931" s="378"/>
      <c r="L931" s="378"/>
      <c r="M931" s="378"/>
      <c r="N931" s="378"/>
      <c r="O931" s="378"/>
      <c r="P931" s="378"/>
      <c r="Q931" s="378"/>
      <c r="R931" s="378"/>
      <c r="S931" s="378"/>
      <c r="T931" s="378"/>
      <c r="U931" s="378"/>
      <c r="V931" s="378"/>
      <c r="W931" s="378"/>
      <c r="X931" s="378"/>
      <c r="Y931" s="378"/>
      <c r="Z931" s="378"/>
    </row>
    <row r="932" ht="16.5" customHeight="1">
      <c r="A932" s="378"/>
      <c r="B932" s="378"/>
      <c r="C932" s="378"/>
      <c r="D932" s="378"/>
      <c r="E932" s="378"/>
      <c r="F932" s="378"/>
      <c r="G932" s="378"/>
      <c r="H932" s="378"/>
      <c r="I932" s="378"/>
      <c r="J932" s="378"/>
      <c r="K932" s="378"/>
      <c r="L932" s="378"/>
      <c r="M932" s="378"/>
      <c r="N932" s="378"/>
      <c r="O932" s="378"/>
      <c r="P932" s="378"/>
      <c r="Q932" s="378"/>
      <c r="R932" s="378"/>
      <c r="S932" s="378"/>
      <c r="T932" s="378"/>
      <c r="U932" s="378"/>
      <c r="V932" s="378"/>
      <c r="W932" s="378"/>
      <c r="X932" s="378"/>
      <c r="Y932" s="378"/>
      <c r="Z932" s="378"/>
    </row>
    <row r="933" ht="16.5" customHeight="1">
      <c r="A933" s="378"/>
      <c r="B933" s="378"/>
      <c r="C933" s="378"/>
      <c r="D933" s="378"/>
      <c r="E933" s="378"/>
      <c r="F933" s="378"/>
      <c r="G933" s="378"/>
      <c r="H933" s="378"/>
      <c r="I933" s="378"/>
      <c r="J933" s="378"/>
      <c r="K933" s="378"/>
      <c r="L933" s="378"/>
      <c r="M933" s="378"/>
      <c r="N933" s="378"/>
      <c r="O933" s="378"/>
      <c r="P933" s="378"/>
      <c r="Q933" s="378"/>
      <c r="R933" s="378"/>
      <c r="S933" s="378"/>
      <c r="T933" s="378"/>
      <c r="U933" s="378"/>
      <c r="V933" s="378"/>
      <c r="W933" s="378"/>
      <c r="X933" s="378"/>
      <c r="Y933" s="378"/>
      <c r="Z933" s="378"/>
    </row>
    <row r="934" ht="16.5" customHeight="1">
      <c r="A934" s="378"/>
      <c r="B934" s="378"/>
      <c r="C934" s="378"/>
      <c r="D934" s="378"/>
      <c r="E934" s="378"/>
      <c r="F934" s="378"/>
      <c r="G934" s="378"/>
      <c r="H934" s="378"/>
      <c r="I934" s="378"/>
      <c r="J934" s="378"/>
      <c r="K934" s="378"/>
      <c r="L934" s="378"/>
      <c r="M934" s="378"/>
      <c r="N934" s="378"/>
      <c r="O934" s="378"/>
      <c r="P934" s="378"/>
      <c r="Q934" s="378"/>
      <c r="R934" s="378"/>
      <c r="S934" s="378"/>
      <c r="T934" s="378"/>
      <c r="U934" s="378"/>
      <c r="V934" s="378"/>
      <c r="W934" s="378"/>
      <c r="X934" s="378"/>
      <c r="Y934" s="378"/>
      <c r="Z934" s="378"/>
    </row>
    <row r="935" ht="16.5" customHeight="1">
      <c r="A935" s="378"/>
      <c r="B935" s="378"/>
      <c r="C935" s="378"/>
      <c r="D935" s="378"/>
      <c r="E935" s="378"/>
      <c r="F935" s="378"/>
      <c r="G935" s="378"/>
      <c r="H935" s="378"/>
      <c r="I935" s="378"/>
      <c r="J935" s="378"/>
      <c r="K935" s="378"/>
      <c r="L935" s="378"/>
      <c r="M935" s="378"/>
      <c r="N935" s="378"/>
      <c r="O935" s="378"/>
      <c r="P935" s="378"/>
      <c r="Q935" s="378"/>
      <c r="R935" s="378"/>
      <c r="S935" s="378"/>
      <c r="T935" s="378"/>
      <c r="U935" s="378"/>
      <c r="V935" s="378"/>
      <c r="W935" s="378"/>
      <c r="X935" s="378"/>
      <c r="Y935" s="378"/>
      <c r="Z935" s="378"/>
    </row>
    <row r="936" ht="16.5" customHeight="1">
      <c r="A936" s="378"/>
      <c r="B936" s="378"/>
      <c r="C936" s="378"/>
      <c r="D936" s="378"/>
      <c r="E936" s="378"/>
      <c r="F936" s="378"/>
      <c r="G936" s="378"/>
      <c r="H936" s="378"/>
      <c r="I936" s="378"/>
      <c r="J936" s="378"/>
      <c r="K936" s="378"/>
      <c r="L936" s="378"/>
      <c r="M936" s="378"/>
      <c r="N936" s="378"/>
      <c r="O936" s="378"/>
      <c r="P936" s="378"/>
      <c r="Q936" s="378"/>
      <c r="R936" s="378"/>
      <c r="S936" s="378"/>
      <c r="T936" s="378"/>
      <c r="U936" s="378"/>
      <c r="V936" s="378"/>
      <c r="W936" s="378"/>
      <c r="X936" s="378"/>
      <c r="Y936" s="378"/>
      <c r="Z936" s="378"/>
    </row>
    <row r="937" ht="16.5" customHeight="1">
      <c r="A937" s="378"/>
      <c r="B937" s="378"/>
      <c r="C937" s="378"/>
      <c r="D937" s="378"/>
      <c r="E937" s="378"/>
      <c r="F937" s="378"/>
      <c r="G937" s="378"/>
      <c r="H937" s="378"/>
      <c r="I937" s="378"/>
      <c r="J937" s="378"/>
      <c r="K937" s="378"/>
      <c r="L937" s="378"/>
      <c r="M937" s="378"/>
      <c r="N937" s="378"/>
      <c r="O937" s="378"/>
      <c r="P937" s="378"/>
      <c r="Q937" s="378"/>
      <c r="R937" s="378"/>
      <c r="S937" s="378"/>
      <c r="T937" s="378"/>
      <c r="U937" s="378"/>
      <c r="V937" s="378"/>
      <c r="W937" s="378"/>
      <c r="X937" s="378"/>
      <c r="Y937" s="378"/>
      <c r="Z937" s="378"/>
    </row>
    <row r="938" ht="16.5" customHeight="1">
      <c r="A938" s="378"/>
      <c r="B938" s="378"/>
      <c r="C938" s="378"/>
      <c r="D938" s="378"/>
      <c r="E938" s="378"/>
      <c r="F938" s="378"/>
      <c r="G938" s="378"/>
      <c r="H938" s="378"/>
      <c r="I938" s="378"/>
      <c r="J938" s="378"/>
      <c r="K938" s="378"/>
      <c r="L938" s="378"/>
      <c r="M938" s="378"/>
      <c r="N938" s="378"/>
      <c r="O938" s="378"/>
      <c r="P938" s="378"/>
      <c r="Q938" s="378"/>
      <c r="R938" s="378"/>
      <c r="S938" s="378"/>
      <c r="T938" s="378"/>
      <c r="U938" s="378"/>
      <c r="V938" s="378"/>
      <c r="W938" s="378"/>
      <c r="X938" s="378"/>
      <c r="Y938" s="378"/>
      <c r="Z938" s="378"/>
    </row>
    <row r="939" ht="16.5" customHeight="1">
      <c r="A939" s="378"/>
      <c r="B939" s="378"/>
      <c r="C939" s="378"/>
      <c r="D939" s="378"/>
      <c r="E939" s="378"/>
      <c r="F939" s="378"/>
      <c r="G939" s="378"/>
      <c r="H939" s="378"/>
      <c r="I939" s="378"/>
      <c r="J939" s="378"/>
      <c r="K939" s="378"/>
      <c r="L939" s="378"/>
      <c r="M939" s="378"/>
      <c r="N939" s="378"/>
      <c r="O939" s="378"/>
      <c r="P939" s="378"/>
      <c r="Q939" s="378"/>
      <c r="R939" s="378"/>
      <c r="S939" s="378"/>
      <c r="T939" s="378"/>
      <c r="U939" s="378"/>
      <c r="V939" s="378"/>
      <c r="W939" s="378"/>
      <c r="X939" s="378"/>
      <c r="Y939" s="378"/>
      <c r="Z939" s="378"/>
    </row>
    <row r="940" ht="16.5" customHeight="1">
      <c r="A940" s="378"/>
      <c r="B940" s="378"/>
      <c r="C940" s="378"/>
      <c r="D940" s="378"/>
      <c r="E940" s="378"/>
      <c r="F940" s="378"/>
      <c r="G940" s="378"/>
      <c r="H940" s="378"/>
      <c r="I940" s="378"/>
      <c r="J940" s="378"/>
      <c r="K940" s="378"/>
      <c r="L940" s="378"/>
      <c r="M940" s="378"/>
      <c r="N940" s="378"/>
      <c r="O940" s="378"/>
      <c r="P940" s="378"/>
      <c r="Q940" s="378"/>
      <c r="R940" s="378"/>
      <c r="S940" s="378"/>
      <c r="T940" s="378"/>
      <c r="U940" s="378"/>
      <c r="V940" s="378"/>
      <c r="W940" s="378"/>
      <c r="X940" s="378"/>
      <c r="Y940" s="378"/>
      <c r="Z940" s="378"/>
    </row>
    <row r="941" ht="16.5" customHeight="1">
      <c r="A941" s="378"/>
      <c r="B941" s="378"/>
      <c r="C941" s="378"/>
      <c r="D941" s="378"/>
      <c r="E941" s="378"/>
      <c r="F941" s="378"/>
      <c r="G941" s="378"/>
      <c r="H941" s="378"/>
      <c r="I941" s="378"/>
      <c r="J941" s="378"/>
      <c r="K941" s="378"/>
      <c r="L941" s="378"/>
      <c r="M941" s="378"/>
      <c r="N941" s="378"/>
      <c r="O941" s="378"/>
      <c r="P941" s="378"/>
      <c r="Q941" s="378"/>
      <c r="R941" s="378"/>
      <c r="S941" s="378"/>
      <c r="T941" s="378"/>
      <c r="U941" s="378"/>
      <c r="V941" s="378"/>
      <c r="W941" s="378"/>
      <c r="X941" s="378"/>
      <c r="Y941" s="378"/>
      <c r="Z941" s="378"/>
    </row>
    <row r="942" ht="16.5" customHeight="1">
      <c r="A942" s="378"/>
      <c r="B942" s="378"/>
      <c r="C942" s="378"/>
      <c r="D942" s="378"/>
      <c r="E942" s="378"/>
      <c r="F942" s="378"/>
      <c r="G942" s="378"/>
      <c r="H942" s="378"/>
      <c r="I942" s="378"/>
      <c r="J942" s="378"/>
      <c r="K942" s="378"/>
      <c r="L942" s="378"/>
      <c r="M942" s="378"/>
      <c r="N942" s="378"/>
      <c r="O942" s="378"/>
      <c r="P942" s="378"/>
      <c r="Q942" s="378"/>
      <c r="R942" s="378"/>
      <c r="S942" s="378"/>
      <c r="T942" s="378"/>
      <c r="U942" s="378"/>
      <c r="V942" s="378"/>
      <c r="W942" s="378"/>
      <c r="X942" s="378"/>
      <c r="Y942" s="378"/>
      <c r="Z942" s="378"/>
    </row>
    <row r="943" ht="16.5" customHeight="1">
      <c r="A943" s="378"/>
      <c r="B943" s="378"/>
      <c r="C943" s="378"/>
      <c r="D943" s="378"/>
      <c r="E943" s="378"/>
      <c r="F943" s="378"/>
      <c r="G943" s="378"/>
      <c r="H943" s="378"/>
      <c r="I943" s="378"/>
      <c r="J943" s="378"/>
      <c r="K943" s="378"/>
      <c r="L943" s="378"/>
      <c r="M943" s="378"/>
      <c r="N943" s="378"/>
      <c r="O943" s="378"/>
      <c r="P943" s="378"/>
      <c r="Q943" s="378"/>
      <c r="R943" s="378"/>
      <c r="S943" s="378"/>
      <c r="T943" s="378"/>
      <c r="U943" s="378"/>
      <c r="V943" s="378"/>
      <c r="W943" s="378"/>
      <c r="X943" s="378"/>
      <c r="Y943" s="378"/>
      <c r="Z943" s="378"/>
    </row>
    <row r="944" ht="16.5" customHeight="1">
      <c r="A944" s="378"/>
      <c r="B944" s="378"/>
      <c r="C944" s="378"/>
      <c r="D944" s="378"/>
      <c r="E944" s="378"/>
      <c r="F944" s="378"/>
      <c r="G944" s="378"/>
      <c r="H944" s="378"/>
      <c r="I944" s="378"/>
      <c r="J944" s="378"/>
      <c r="K944" s="378"/>
      <c r="L944" s="378"/>
      <c r="M944" s="378"/>
      <c r="N944" s="378"/>
      <c r="O944" s="378"/>
      <c r="P944" s="378"/>
      <c r="Q944" s="378"/>
      <c r="R944" s="378"/>
      <c r="S944" s="378"/>
      <c r="T944" s="378"/>
      <c r="U944" s="378"/>
      <c r="V944" s="378"/>
      <c r="W944" s="378"/>
      <c r="X944" s="378"/>
      <c r="Y944" s="378"/>
      <c r="Z944" s="378"/>
    </row>
    <row r="945" ht="16.5" customHeight="1">
      <c r="A945" s="378"/>
      <c r="B945" s="378"/>
      <c r="C945" s="378"/>
      <c r="D945" s="378"/>
      <c r="E945" s="378"/>
      <c r="F945" s="378"/>
      <c r="G945" s="378"/>
      <c r="H945" s="378"/>
      <c r="I945" s="378"/>
      <c r="J945" s="378"/>
      <c r="K945" s="378"/>
      <c r="L945" s="378"/>
      <c r="M945" s="378"/>
      <c r="N945" s="378"/>
      <c r="O945" s="378"/>
      <c r="P945" s="378"/>
      <c r="Q945" s="378"/>
      <c r="R945" s="378"/>
      <c r="S945" s="378"/>
      <c r="T945" s="378"/>
      <c r="U945" s="378"/>
      <c r="V945" s="378"/>
      <c r="W945" s="378"/>
      <c r="X945" s="378"/>
      <c r="Y945" s="378"/>
      <c r="Z945" s="378"/>
    </row>
    <row r="946" ht="16.5" customHeight="1">
      <c r="A946" s="378"/>
      <c r="B946" s="378"/>
      <c r="C946" s="378"/>
      <c r="D946" s="378"/>
      <c r="E946" s="378"/>
      <c r="F946" s="378"/>
      <c r="G946" s="378"/>
      <c r="H946" s="378"/>
      <c r="I946" s="378"/>
      <c r="J946" s="378"/>
      <c r="K946" s="378"/>
      <c r="L946" s="378"/>
      <c r="M946" s="378"/>
      <c r="N946" s="378"/>
      <c r="O946" s="378"/>
      <c r="P946" s="378"/>
      <c r="Q946" s="378"/>
      <c r="R946" s="378"/>
      <c r="S946" s="378"/>
      <c r="T946" s="378"/>
      <c r="U946" s="378"/>
      <c r="V946" s="378"/>
      <c r="W946" s="378"/>
      <c r="X946" s="378"/>
      <c r="Y946" s="378"/>
      <c r="Z946" s="378"/>
    </row>
    <row r="947" ht="16.5" customHeight="1">
      <c r="A947" s="378"/>
      <c r="B947" s="378"/>
      <c r="C947" s="378"/>
      <c r="D947" s="378"/>
      <c r="E947" s="378"/>
      <c r="F947" s="378"/>
      <c r="G947" s="378"/>
      <c r="H947" s="378"/>
      <c r="I947" s="378"/>
      <c r="J947" s="378"/>
      <c r="K947" s="378"/>
      <c r="L947" s="378"/>
      <c r="M947" s="378"/>
      <c r="N947" s="378"/>
      <c r="O947" s="378"/>
      <c r="P947" s="378"/>
      <c r="Q947" s="378"/>
      <c r="R947" s="378"/>
      <c r="S947" s="378"/>
      <c r="T947" s="378"/>
      <c r="U947" s="378"/>
      <c r="V947" s="378"/>
      <c r="W947" s="378"/>
      <c r="X947" s="378"/>
      <c r="Y947" s="378"/>
      <c r="Z947" s="378"/>
    </row>
    <row r="948" ht="16.5" customHeight="1">
      <c r="A948" s="378"/>
      <c r="B948" s="378"/>
      <c r="C948" s="378"/>
      <c r="D948" s="378"/>
      <c r="E948" s="378"/>
      <c r="F948" s="378"/>
      <c r="G948" s="378"/>
      <c r="H948" s="378"/>
      <c r="I948" s="378"/>
      <c r="J948" s="378"/>
      <c r="K948" s="378"/>
      <c r="L948" s="378"/>
      <c r="M948" s="378"/>
      <c r="N948" s="378"/>
      <c r="O948" s="378"/>
      <c r="P948" s="378"/>
      <c r="Q948" s="378"/>
      <c r="R948" s="378"/>
      <c r="S948" s="378"/>
      <c r="T948" s="378"/>
      <c r="U948" s="378"/>
      <c r="V948" s="378"/>
      <c r="W948" s="378"/>
      <c r="X948" s="378"/>
      <c r="Y948" s="378"/>
      <c r="Z948" s="378"/>
    </row>
    <row r="949" ht="16.5" customHeight="1">
      <c r="A949" s="378"/>
      <c r="B949" s="378"/>
      <c r="C949" s="378"/>
      <c r="D949" s="378"/>
      <c r="E949" s="378"/>
      <c r="F949" s="378"/>
      <c r="G949" s="378"/>
      <c r="H949" s="378"/>
      <c r="I949" s="378"/>
      <c r="J949" s="378"/>
      <c r="K949" s="378"/>
      <c r="L949" s="378"/>
      <c r="M949" s="378"/>
      <c r="N949" s="378"/>
      <c r="O949" s="378"/>
      <c r="P949" s="378"/>
      <c r="Q949" s="378"/>
      <c r="R949" s="378"/>
      <c r="S949" s="378"/>
      <c r="T949" s="378"/>
      <c r="U949" s="378"/>
      <c r="V949" s="378"/>
      <c r="W949" s="378"/>
      <c r="X949" s="378"/>
      <c r="Y949" s="378"/>
      <c r="Z949" s="378"/>
    </row>
    <row r="950" ht="16.5" customHeight="1">
      <c r="A950" s="378"/>
      <c r="B950" s="378"/>
      <c r="C950" s="378"/>
      <c r="D950" s="378"/>
      <c r="E950" s="378"/>
      <c r="F950" s="378"/>
      <c r="G950" s="378"/>
      <c r="H950" s="378"/>
      <c r="I950" s="378"/>
      <c r="J950" s="378"/>
      <c r="K950" s="378"/>
      <c r="L950" s="378"/>
      <c r="M950" s="378"/>
      <c r="N950" s="378"/>
      <c r="O950" s="378"/>
      <c r="P950" s="378"/>
      <c r="Q950" s="378"/>
      <c r="R950" s="378"/>
      <c r="S950" s="378"/>
      <c r="T950" s="378"/>
      <c r="U950" s="378"/>
      <c r="V950" s="378"/>
      <c r="W950" s="378"/>
      <c r="X950" s="378"/>
      <c r="Y950" s="378"/>
      <c r="Z950" s="378"/>
    </row>
    <row r="951" ht="16.5" customHeight="1">
      <c r="A951" s="378"/>
      <c r="B951" s="378"/>
      <c r="C951" s="378"/>
      <c r="D951" s="378"/>
      <c r="E951" s="378"/>
      <c r="F951" s="378"/>
      <c r="G951" s="378"/>
      <c r="H951" s="378"/>
      <c r="I951" s="378"/>
      <c r="J951" s="378"/>
      <c r="K951" s="378"/>
      <c r="L951" s="378"/>
      <c r="M951" s="378"/>
      <c r="N951" s="378"/>
      <c r="O951" s="378"/>
      <c r="P951" s="378"/>
      <c r="Q951" s="378"/>
      <c r="R951" s="378"/>
      <c r="S951" s="378"/>
      <c r="T951" s="378"/>
      <c r="U951" s="378"/>
      <c r="V951" s="378"/>
      <c r="W951" s="378"/>
      <c r="X951" s="378"/>
      <c r="Y951" s="378"/>
      <c r="Z951" s="378"/>
    </row>
    <row r="952" ht="16.5" customHeight="1">
      <c r="A952" s="378"/>
      <c r="B952" s="378"/>
      <c r="C952" s="378"/>
      <c r="D952" s="378"/>
      <c r="E952" s="378"/>
      <c r="F952" s="378"/>
      <c r="G952" s="378"/>
      <c r="H952" s="378"/>
      <c r="I952" s="378"/>
      <c r="J952" s="378"/>
      <c r="K952" s="378"/>
      <c r="L952" s="378"/>
      <c r="M952" s="378"/>
      <c r="N952" s="378"/>
      <c r="O952" s="378"/>
      <c r="P952" s="378"/>
      <c r="Q952" s="378"/>
      <c r="R952" s="378"/>
      <c r="S952" s="378"/>
      <c r="T952" s="378"/>
      <c r="U952" s="378"/>
      <c r="V952" s="378"/>
      <c r="W952" s="378"/>
      <c r="X952" s="378"/>
      <c r="Y952" s="378"/>
      <c r="Z952" s="378"/>
    </row>
    <row r="953" ht="16.5" customHeight="1">
      <c r="A953" s="378"/>
      <c r="B953" s="378"/>
      <c r="C953" s="378"/>
      <c r="D953" s="378"/>
      <c r="E953" s="378"/>
      <c r="F953" s="378"/>
      <c r="G953" s="378"/>
      <c r="H953" s="378"/>
      <c r="I953" s="378"/>
      <c r="J953" s="378"/>
      <c r="K953" s="378"/>
      <c r="L953" s="378"/>
      <c r="M953" s="378"/>
      <c r="N953" s="378"/>
      <c r="O953" s="378"/>
      <c r="P953" s="378"/>
      <c r="Q953" s="378"/>
      <c r="R953" s="378"/>
      <c r="S953" s="378"/>
      <c r="T953" s="378"/>
      <c r="U953" s="378"/>
      <c r="V953" s="378"/>
      <c r="W953" s="378"/>
      <c r="X953" s="378"/>
      <c r="Y953" s="378"/>
      <c r="Z953" s="378"/>
    </row>
    <row r="954" ht="16.5" customHeight="1">
      <c r="A954" s="378"/>
      <c r="B954" s="378"/>
      <c r="C954" s="378"/>
      <c r="D954" s="378"/>
      <c r="E954" s="378"/>
      <c r="F954" s="378"/>
      <c r="G954" s="378"/>
      <c r="H954" s="378"/>
      <c r="I954" s="378"/>
      <c r="J954" s="378"/>
      <c r="K954" s="378"/>
      <c r="L954" s="378"/>
      <c r="M954" s="378"/>
      <c r="N954" s="378"/>
      <c r="O954" s="378"/>
      <c r="P954" s="378"/>
      <c r="Q954" s="378"/>
      <c r="R954" s="378"/>
      <c r="S954" s="378"/>
      <c r="T954" s="378"/>
      <c r="U954" s="378"/>
      <c r="V954" s="378"/>
      <c r="W954" s="378"/>
      <c r="X954" s="378"/>
      <c r="Y954" s="378"/>
      <c r="Z954" s="378"/>
    </row>
    <row r="955" ht="16.5" customHeight="1">
      <c r="A955" s="378"/>
      <c r="B955" s="378"/>
      <c r="C955" s="378"/>
      <c r="D955" s="378"/>
      <c r="E955" s="378"/>
      <c r="F955" s="378"/>
      <c r="G955" s="378"/>
      <c r="H955" s="378"/>
      <c r="I955" s="378"/>
      <c r="J955" s="378"/>
      <c r="K955" s="378"/>
      <c r="L955" s="378"/>
      <c r="M955" s="378"/>
      <c r="N955" s="378"/>
      <c r="O955" s="378"/>
      <c r="P955" s="378"/>
      <c r="Q955" s="378"/>
      <c r="R955" s="378"/>
      <c r="S955" s="378"/>
      <c r="T955" s="378"/>
      <c r="U955" s="378"/>
      <c r="V955" s="378"/>
      <c r="W955" s="378"/>
      <c r="X955" s="378"/>
      <c r="Y955" s="378"/>
      <c r="Z955" s="378"/>
    </row>
    <row r="956" ht="16.5" customHeight="1">
      <c r="A956" s="378"/>
      <c r="B956" s="378"/>
      <c r="C956" s="378"/>
      <c r="D956" s="378"/>
      <c r="E956" s="378"/>
      <c r="F956" s="378"/>
      <c r="G956" s="378"/>
      <c r="H956" s="378"/>
      <c r="I956" s="378"/>
      <c r="J956" s="378"/>
      <c r="K956" s="378"/>
      <c r="L956" s="378"/>
      <c r="M956" s="378"/>
      <c r="N956" s="378"/>
      <c r="O956" s="378"/>
      <c r="P956" s="378"/>
      <c r="Q956" s="378"/>
      <c r="R956" s="378"/>
      <c r="S956" s="378"/>
      <c r="T956" s="378"/>
      <c r="U956" s="378"/>
      <c r="V956" s="378"/>
      <c r="W956" s="378"/>
      <c r="X956" s="378"/>
      <c r="Y956" s="378"/>
      <c r="Z956" s="378"/>
    </row>
    <row r="957" ht="16.5" customHeight="1">
      <c r="A957" s="378"/>
      <c r="B957" s="378"/>
      <c r="C957" s="378"/>
      <c r="D957" s="378"/>
      <c r="E957" s="378"/>
      <c r="F957" s="378"/>
      <c r="G957" s="378"/>
      <c r="H957" s="378"/>
      <c r="I957" s="378"/>
      <c r="J957" s="378"/>
      <c r="K957" s="378"/>
      <c r="L957" s="378"/>
      <c r="M957" s="378"/>
      <c r="N957" s="378"/>
      <c r="O957" s="378"/>
      <c r="P957" s="378"/>
      <c r="Q957" s="378"/>
      <c r="R957" s="378"/>
      <c r="S957" s="378"/>
      <c r="T957" s="378"/>
      <c r="U957" s="378"/>
      <c r="V957" s="378"/>
      <c r="W957" s="378"/>
      <c r="X957" s="378"/>
      <c r="Y957" s="378"/>
      <c r="Z957" s="378"/>
    </row>
    <row r="958" ht="16.5" customHeight="1">
      <c r="A958" s="378"/>
      <c r="B958" s="378"/>
      <c r="C958" s="378"/>
      <c r="D958" s="378"/>
      <c r="E958" s="378"/>
      <c r="F958" s="378"/>
      <c r="G958" s="378"/>
      <c r="H958" s="378"/>
      <c r="I958" s="378"/>
      <c r="J958" s="378"/>
      <c r="K958" s="378"/>
      <c r="L958" s="378"/>
      <c r="M958" s="378"/>
      <c r="N958" s="378"/>
      <c r="O958" s="378"/>
      <c r="P958" s="378"/>
      <c r="Q958" s="378"/>
      <c r="R958" s="378"/>
      <c r="S958" s="378"/>
      <c r="T958" s="378"/>
      <c r="U958" s="378"/>
      <c r="V958" s="378"/>
      <c r="W958" s="378"/>
      <c r="X958" s="378"/>
      <c r="Y958" s="378"/>
      <c r="Z958" s="378"/>
    </row>
    <row r="959" ht="16.5" customHeight="1">
      <c r="A959" s="378"/>
      <c r="B959" s="378"/>
      <c r="C959" s="378"/>
      <c r="D959" s="378"/>
      <c r="E959" s="378"/>
      <c r="F959" s="378"/>
      <c r="G959" s="378"/>
      <c r="H959" s="378"/>
      <c r="I959" s="378"/>
      <c r="J959" s="378"/>
      <c r="K959" s="378"/>
      <c r="L959" s="378"/>
      <c r="M959" s="378"/>
      <c r="N959" s="378"/>
      <c r="O959" s="378"/>
      <c r="P959" s="378"/>
      <c r="Q959" s="378"/>
      <c r="R959" s="378"/>
      <c r="S959" s="378"/>
      <c r="T959" s="378"/>
      <c r="U959" s="378"/>
      <c r="V959" s="378"/>
      <c r="W959" s="378"/>
      <c r="X959" s="378"/>
      <c r="Y959" s="378"/>
      <c r="Z959" s="378"/>
    </row>
    <row r="960" ht="16.5" customHeight="1">
      <c r="A960" s="378"/>
      <c r="B960" s="378"/>
      <c r="C960" s="378"/>
      <c r="D960" s="378"/>
      <c r="E960" s="378"/>
      <c r="F960" s="378"/>
      <c r="G960" s="378"/>
      <c r="H960" s="378"/>
      <c r="I960" s="378"/>
      <c r="J960" s="378"/>
      <c r="K960" s="378"/>
      <c r="L960" s="378"/>
      <c r="M960" s="378"/>
      <c r="N960" s="378"/>
      <c r="O960" s="378"/>
      <c r="P960" s="378"/>
      <c r="Q960" s="378"/>
      <c r="R960" s="378"/>
      <c r="S960" s="378"/>
      <c r="T960" s="378"/>
      <c r="U960" s="378"/>
      <c r="V960" s="378"/>
      <c r="W960" s="378"/>
      <c r="X960" s="378"/>
      <c r="Y960" s="378"/>
      <c r="Z960" s="378"/>
    </row>
    <row r="961" ht="16.5" customHeight="1">
      <c r="A961" s="378"/>
      <c r="B961" s="378"/>
      <c r="C961" s="378"/>
      <c r="D961" s="378"/>
      <c r="E961" s="378"/>
      <c r="F961" s="378"/>
      <c r="G961" s="378"/>
      <c r="H961" s="378"/>
      <c r="I961" s="378"/>
      <c r="J961" s="378"/>
      <c r="K961" s="378"/>
      <c r="L961" s="378"/>
      <c r="M961" s="378"/>
      <c r="N961" s="378"/>
      <c r="O961" s="378"/>
      <c r="P961" s="378"/>
      <c r="Q961" s="378"/>
      <c r="R961" s="378"/>
      <c r="S961" s="378"/>
      <c r="T961" s="378"/>
      <c r="U961" s="378"/>
      <c r="V961" s="378"/>
      <c r="W961" s="378"/>
      <c r="X961" s="378"/>
      <c r="Y961" s="378"/>
      <c r="Z961" s="378"/>
    </row>
    <row r="962" ht="16.5" customHeight="1">
      <c r="A962" s="378"/>
      <c r="B962" s="378"/>
      <c r="C962" s="378"/>
      <c r="D962" s="378"/>
      <c r="E962" s="378"/>
      <c r="F962" s="378"/>
      <c r="G962" s="378"/>
      <c r="H962" s="378"/>
      <c r="I962" s="378"/>
      <c r="J962" s="378"/>
      <c r="K962" s="378"/>
      <c r="L962" s="378"/>
      <c r="M962" s="378"/>
      <c r="N962" s="378"/>
      <c r="O962" s="378"/>
      <c r="P962" s="378"/>
      <c r="Q962" s="378"/>
      <c r="R962" s="378"/>
      <c r="S962" s="378"/>
      <c r="T962" s="378"/>
      <c r="U962" s="378"/>
      <c r="V962" s="378"/>
      <c r="W962" s="378"/>
      <c r="X962" s="378"/>
      <c r="Y962" s="378"/>
      <c r="Z962" s="378"/>
    </row>
    <row r="963" ht="16.5" customHeight="1">
      <c r="A963" s="378"/>
      <c r="B963" s="378"/>
      <c r="C963" s="378"/>
      <c r="D963" s="378"/>
      <c r="E963" s="378"/>
      <c r="F963" s="378"/>
      <c r="G963" s="378"/>
      <c r="H963" s="378"/>
      <c r="I963" s="378"/>
      <c r="J963" s="378"/>
      <c r="K963" s="378"/>
      <c r="L963" s="378"/>
      <c r="M963" s="378"/>
      <c r="N963" s="378"/>
      <c r="O963" s="378"/>
      <c r="P963" s="378"/>
      <c r="Q963" s="378"/>
      <c r="R963" s="378"/>
      <c r="S963" s="378"/>
      <c r="T963" s="378"/>
      <c r="U963" s="378"/>
      <c r="V963" s="378"/>
      <c r="W963" s="378"/>
      <c r="X963" s="378"/>
      <c r="Y963" s="378"/>
      <c r="Z963" s="378"/>
    </row>
    <row r="964" ht="16.5" customHeight="1">
      <c r="A964" s="378"/>
      <c r="B964" s="378"/>
      <c r="C964" s="378"/>
      <c r="D964" s="378"/>
      <c r="E964" s="378"/>
      <c r="F964" s="378"/>
      <c r="G964" s="378"/>
      <c r="H964" s="378"/>
      <c r="I964" s="378"/>
      <c r="J964" s="378"/>
      <c r="K964" s="378"/>
      <c r="L964" s="378"/>
      <c r="M964" s="378"/>
      <c r="N964" s="378"/>
      <c r="O964" s="378"/>
      <c r="P964" s="378"/>
      <c r="Q964" s="378"/>
      <c r="R964" s="378"/>
      <c r="S964" s="378"/>
      <c r="T964" s="378"/>
      <c r="U964" s="378"/>
      <c r="V964" s="378"/>
      <c r="W964" s="378"/>
      <c r="X964" s="378"/>
      <c r="Y964" s="378"/>
      <c r="Z964" s="378"/>
    </row>
    <row r="965" ht="16.5" customHeight="1">
      <c r="A965" s="378"/>
      <c r="B965" s="378"/>
      <c r="C965" s="378"/>
      <c r="D965" s="378"/>
      <c r="E965" s="378"/>
      <c r="F965" s="378"/>
      <c r="G965" s="378"/>
      <c r="H965" s="378"/>
      <c r="I965" s="378"/>
      <c r="J965" s="378"/>
      <c r="K965" s="378"/>
      <c r="L965" s="378"/>
      <c r="M965" s="378"/>
      <c r="N965" s="378"/>
      <c r="O965" s="378"/>
      <c r="P965" s="378"/>
      <c r="Q965" s="378"/>
      <c r="R965" s="378"/>
      <c r="S965" s="378"/>
      <c r="T965" s="378"/>
      <c r="U965" s="378"/>
      <c r="V965" s="378"/>
      <c r="W965" s="378"/>
      <c r="X965" s="378"/>
      <c r="Y965" s="378"/>
      <c r="Z965" s="378"/>
    </row>
    <row r="966" ht="16.5" customHeight="1">
      <c r="A966" s="378"/>
      <c r="B966" s="378"/>
      <c r="C966" s="378"/>
      <c r="D966" s="378"/>
      <c r="E966" s="378"/>
      <c r="F966" s="378"/>
      <c r="G966" s="378"/>
      <c r="H966" s="378"/>
      <c r="I966" s="378"/>
      <c r="J966" s="378"/>
      <c r="K966" s="378"/>
      <c r="L966" s="378"/>
      <c r="M966" s="378"/>
      <c r="N966" s="378"/>
      <c r="O966" s="378"/>
      <c r="P966" s="378"/>
      <c r="Q966" s="378"/>
      <c r="R966" s="378"/>
      <c r="S966" s="378"/>
      <c r="T966" s="378"/>
      <c r="U966" s="378"/>
      <c r="V966" s="378"/>
      <c r="W966" s="378"/>
      <c r="X966" s="378"/>
      <c r="Y966" s="378"/>
      <c r="Z966" s="378"/>
    </row>
    <row r="967" ht="16.5" customHeight="1">
      <c r="A967" s="378"/>
      <c r="B967" s="378"/>
      <c r="C967" s="378"/>
      <c r="D967" s="378"/>
      <c r="E967" s="378"/>
      <c r="F967" s="378"/>
      <c r="G967" s="378"/>
      <c r="H967" s="378"/>
      <c r="I967" s="378"/>
      <c r="J967" s="378"/>
      <c r="K967" s="378"/>
      <c r="L967" s="378"/>
      <c r="M967" s="378"/>
      <c r="N967" s="378"/>
      <c r="O967" s="378"/>
      <c r="P967" s="378"/>
      <c r="Q967" s="378"/>
      <c r="R967" s="378"/>
      <c r="S967" s="378"/>
      <c r="T967" s="378"/>
      <c r="U967" s="378"/>
      <c r="V967" s="378"/>
      <c r="W967" s="378"/>
      <c r="X967" s="378"/>
      <c r="Y967" s="378"/>
      <c r="Z967" s="378"/>
    </row>
    <row r="968" ht="16.5" customHeight="1">
      <c r="A968" s="378"/>
      <c r="B968" s="378"/>
      <c r="C968" s="378"/>
      <c r="D968" s="378"/>
      <c r="E968" s="378"/>
      <c r="F968" s="378"/>
      <c r="G968" s="378"/>
      <c r="H968" s="378"/>
      <c r="I968" s="378"/>
      <c r="J968" s="378"/>
      <c r="K968" s="378"/>
      <c r="L968" s="378"/>
      <c r="M968" s="378"/>
      <c r="N968" s="378"/>
      <c r="O968" s="378"/>
      <c r="P968" s="378"/>
      <c r="Q968" s="378"/>
      <c r="R968" s="378"/>
      <c r="S968" s="378"/>
      <c r="T968" s="378"/>
      <c r="U968" s="378"/>
      <c r="V968" s="378"/>
      <c r="W968" s="378"/>
      <c r="X968" s="378"/>
      <c r="Y968" s="378"/>
      <c r="Z968" s="378"/>
    </row>
    <row r="969" ht="16.5" customHeight="1">
      <c r="A969" s="378"/>
      <c r="B969" s="378"/>
      <c r="C969" s="378"/>
      <c r="D969" s="378"/>
      <c r="E969" s="378"/>
      <c r="F969" s="378"/>
      <c r="G969" s="378"/>
      <c r="H969" s="378"/>
      <c r="I969" s="378"/>
      <c r="J969" s="378"/>
      <c r="K969" s="378"/>
      <c r="L969" s="378"/>
      <c r="M969" s="378"/>
      <c r="N969" s="378"/>
      <c r="O969" s="378"/>
      <c r="P969" s="378"/>
      <c r="Q969" s="378"/>
      <c r="R969" s="378"/>
      <c r="S969" s="378"/>
      <c r="T969" s="378"/>
      <c r="U969" s="378"/>
      <c r="V969" s="378"/>
      <c r="W969" s="378"/>
      <c r="X969" s="378"/>
      <c r="Y969" s="378"/>
      <c r="Z969" s="378"/>
    </row>
    <row r="970" ht="16.5" customHeight="1">
      <c r="A970" s="378"/>
      <c r="B970" s="378"/>
      <c r="C970" s="378"/>
      <c r="D970" s="378"/>
      <c r="E970" s="378"/>
      <c r="F970" s="378"/>
      <c r="G970" s="378"/>
      <c r="H970" s="378"/>
      <c r="I970" s="378"/>
      <c r="J970" s="378"/>
      <c r="K970" s="378"/>
      <c r="L970" s="378"/>
      <c r="M970" s="378"/>
      <c r="N970" s="378"/>
      <c r="O970" s="378"/>
      <c r="P970" s="378"/>
      <c r="Q970" s="378"/>
      <c r="R970" s="378"/>
      <c r="S970" s="378"/>
      <c r="T970" s="378"/>
      <c r="U970" s="378"/>
      <c r="V970" s="378"/>
      <c r="W970" s="378"/>
      <c r="X970" s="378"/>
      <c r="Y970" s="378"/>
      <c r="Z970" s="378"/>
    </row>
    <row r="971" ht="16.5" customHeight="1">
      <c r="A971" s="378"/>
      <c r="B971" s="378"/>
      <c r="C971" s="378"/>
      <c r="D971" s="378"/>
      <c r="E971" s="378"/>
      <c r="F971" s="378"/>
      <c r="G971" s="378"/>
      <c r="H971" s="378"/>
      <c r="I971" s="378"/>
      <c r="J971" s="378"/>
      <c r="K971" s="378"/>
      <c r="L971" s="378"/>
      <c r="M971" s="378"/>
      <c r="N971" s="378"/>
      <c r="O971" s="378"/>
      <c r="P971" s="378"/>
      <c r="Q971" s="378"/>
      <c r="R971" s="378"/>
      <c r="S971" s="378"/>
      <c r="T971" s="378"/>
      <c r="U971" s="378"/>
      <c r="V971" s="378"/>
      <c r="W971" s="378"/>
      <c r="X971" s="378"/>
      <c r="Y971" s="378"/>
      <c r="Z971" s="378"/>
    </row>
    <row r="972" ht="16.5" customHeight="1">
      <c r="A972" s="378"/>
      <c r="B972" s="378"/>
      <c r="C972" s="378"/>
      <c r="D972" s="378"/>
      <c r="E972" s="378"/>
      <c r="F972" s="378"/>
      <c r="G972" s="378"/>
      <c r="H972" s="378"/>
      <c r="I972" s="378"/>
      <c r="J972" s="378"/>
      <c r="K972" s="378"/>
      <c r="L972" s="378"/>
      <c r="M972" s="378"/>
      <c r="N972" s="378"/>
      <c r="O972" s="378"/>
      <c r="P972" s="378"/>
      <c r="Q972" s="378"/>
      <c r="R972" s="378"/>
      <c r="S972" s="378"/>
      <c r="T972" s="378"/>
      <c r="U972" s="378"/>
      <c r="V972" s="378"/>
      <c r="W972" s="378"/>
      <c r="X972" s="378"/>
      <c r="Y972" s="378"/>
      <c r="Z972" s="378"/>
    </row>
    <row r="973" ht="16.5" customHeight="1">
      <c r="A973" s="378"/>
      <c r="B973" s="378"/>
      <c r="C973" s="378"/>
      <c r="D973" s="378"/>
      <c r="E973" s="378"/>
      <c r="F973" s="378"/>
      <c r="G973" s="378"/>
      <c r="H973" s="378"/>
      <c r="I973" s="378"/>
      <c r="J973" s="378"/>
      <c r="K973" s="378"/>
      <c r="L973" s="378"/>
      <c r="M973" s="378"/>
      <c r="N973" s="378"/>
      <c r="O973" s="378"/>
      <c r="P973" s="378"/>
      <c r="Q973" s="378"/>
      <c r="R973" s="378"/>
      <c r="S973" s="378"/>
      <c r="T973" s="378"/>
      <c r="U973" s="378"/>
      <c r="V973" s="378"/>
      <c r="W973" s="378"/>
      <c r="X973" s="378"/>
      <c r="Y973" s="378"/>
      <c r="Z973" s="378"/>
    </row>
    <row r="974" ht="16.5" customHeight="1">
      <c r="A974" s="378"/>
      <c r="B974" s="378"/>
      <c r="C974" s="378"/>
      <c r="D974" s="378"/>
      <c r="E974" s="378"/>
      <c r="F974" s="378"/>
      <c r="G974" s="378"/>
      <c r="H974" s="378"/>
      <c r="I974" s="378"/>
      <c r="J974" s="378"/>
      <c r="K974" s="378"/>
      <c r="L974" s="378"/>
      <c r="M974" s="378"/>
      <c r="N974" s="378"/>
      <c r="O974" s="378"/>
      <c r="P974" s="378"/>
      <c r="Q974" s="378"/>
      <c r="R974" s="378"/>
      <c r="S974" s="378"/>
      <c r="T974" s="378"/>
      <c r="U974" s="378"/>
      <c r="V974" s="378"/>
      <c r="W974" s="378"/>
      <c r="X974" s="378"/>
      <c r="Y974" s="378"/>
      <c r="Z974" s="378"/>
    </row>
    <row r="975" ht="16.5" customHeight="1">
      <c r="A975" s="378"/>
      <c r="B975" s="378"/>
      <c r="C975" s="378"/>
      <c r="D975" s="378"/>
      <c r="E975" s="378"/>
      <c r="F975" s="378"/>
      <c r="G975" s="378"/>
      <c r="H975" s="378"/>
      <c r="I975" s="378"/>
      <c r="J975" s="378"/>
      <c r="K975" s="378"/>
      <c r="L975" s="378"/>
      <c r="M975" s="378"/>
      <c r="N975" s="378"/>
      <c r="O975" s="378"/>
      <c r="P975" s="378"/>
      <c r="Q975" s="378"/>
      <c r="R975" s="378"/>
      <c r="S975" s="378"/>
      <c r="T975" s="378"/>
      <c r="U975" s="378"/>
      <c r="V975" s="378"/>
      <c r="W975" s="378"/>
      <c r="X975" s="378"/>
      <c r="Y975" s="378"/>
      <c r="Z975" s="378"/>
    </row>
    <row r="976" ht="16.5" customHeight="1">
      <c r="A976" s="378"/>
      <c r="B976" s="378"/>
      <c r="C976" s="378"/>
      <c r="D976" s="378"/>
      <c r="E976" s="378"/>
      <c r="F976" s="378"/>
      <c r="G976" s="378"/>
      <c r="H976" s="378"/>
      <c r="I976" s="378"/>
      <c r="J976" s="378"/>
      <c r="K976" s="378"/>
      <c r="L976" s="378"/>
      <c r="M976" s="378"/>
      <c r="N976" s="378"/>
      <c r="O976" s="378"/>
      <c r="P976" s="378"/>
      <c r="Q976" s="378"/>
      <c r="R976" s="378"/>
      <c r="S976" s="378"/>
      <c r="T976" s="378"/>
      <c r="U976" s="378"/>
      <c r="V976" s="378"/>
      <c r="W976" s="378"/>
      <c r="X976" s="378"/>
      <c r="Y976" s="378"/>
      <c r="Z976" s="378"/>
    </row>
    <row r="977" ht="16.5" customHeight="1">
      <c r="A977" s="378"/>
      <c r="B977" s="378"/>
      <c r="C977" s="378"/>
      <c r="D977" s="378"/>
      <c r="E977" s="378"/>
      <c r="F977" s="378"/>
      <c r="G977" s="378"/>
      <c r="H977" s="378"/>
      <c r="I977" s="378"/>
      <c r="J977" s="378"/>
      <c r="K977" s="378"/>
      <c r="L977" s="378"/>
      <c r="M977" s="378"/>
      <c r="N977" s="378"/>
      <c r="O977" s="378"/>
      <c r="P977" s="378"/>
      <c r="Q977" s="378"/>
      <c r="R977" s="378"/>
      <c r="S977" s="378"/>
      <c r="T977" s="378"/>
      <c r="U977" s="378"/>
      <c r="V977" s="378"/>
      <c r="W977" s="378"/>
      <c r="X977" s="378"/>
      <c r="Y977" s="378"/>
      <c r="Z977" s="378"/>
    </row>
    <row r="978" ht="16.5" customHeight="1">
      <c r="A978" s="378"/>
      <c r="B978" s="378"/>
      <c r="C978" s="378"/>
      <c r="D978" s="378"/>
      <c r="E978" s="378"/>
      <c r="F978" s="378"/>
      <c r="G978" s="378"/>
      <c r="H978" s="378"/>
      <c r="I978" s="378"/>
      <c r="J978" s="378"/>
      <c r="K978" s="378"/>
      <c r="L978" s="378"/>
      <c r="M978" s="378"/>
      <c r="N978" s="378"/>
      <c r="O978" s="378"/>
      <c r="P978" s="378"/>
      <c r="Q978" s="378"/>
      <c r="R978" s="378"/>
      <c r="S978" s="378"/>
      <c r="T978" s="378"/>
      <c r="U978" s="378"/>
      <c r="V978" s="378"/>
      <c r="W978" s="378"/>
      <c r="X978" s="378"/>
      <c r="Y978" s="378"/>
      <c r="Z978" s="378"/>
    </row>
    <row r="979" ht="16.5" customHeight="1">
      <c r="A979" s="378"/>
      <c r="B979" s="378"/>
      <c r="C979" s="378"/>
      <c r="D979" s="378"/>
      <c r="E979" s="378"/>
      <c r="F979" s="378"/>
      <c r="G979" s="378"/>
      <c r="H979" s="378"/>
      <c r="I979" s="378"/>
      <c r="J979" s="378"/>
      <c r="K979" s="378"/>
      <c r="L979" s="378"/>
      <c r="M979" s="378"/>
      <c r="N979" s="378"/>
      <c r="O979" s="378"/>
      <c r="P979" s="378"/>
      <c r="Q979" s="378"/>
      <c r="R979" s="378"/>
      <c r="S979" s="378"/>
      <c r="T979" s="378"/>
      <c r="U979" s="378"/>
      <c r="V979" s="378"/>
      <c r="W979" s="378"/>
      <c r="X979" s="378"/>
      <c r="Y979" s="378"/>
      <c r="Z979" s="378"/>
    </row>
    <row r="980" ht="16.5" customHeight="1">
      <c r="A980" s="378"/>
      <c r="B980" s="378"/>
      <c r="C980" s="378"/>
      <c r="D980" s="378"/>
      <c r="E980" s="378"/>
      <c r="F980" s="378"/>
      <c r="G980" s="378"/>
      <c r="H980" s="378"/>
      <c r="I980" s="378"/>
      <c r="J980" s="378"/>
      <c r="K980" s="378"/>
      <c r="L980" s="378"/>
      <c r="M980" s="378"/>
      <c r="N980" s="378"/>
      <c r="O980" s="378"/>
      <c r="P980" s="378"/>
      <c r="Q980" s="378"/>
      <c r="R980" s="378"/>
      <c r="S980" s="378"/>
      <c r="T980" s="378"/>
      <c r="U980" s="378"/>
      <c r="V980" s="378"/>
      <c r="W980" s="378"/>
      <c r="X980" s="378"/>
      <c r="Y980" s="378"/>
      <c r="Z980" s="378"/>
    </row>
    <row r="981" ht="16.5" customHeight="1">
      <c r="A981" s="378"/>
      <c r="B981" s="378"/>
      <c r="C981" s="378"/>
      <c r="D981" s="378"/>
      <c r="E981" s="378"/>
      <c r="F981" s="378"/>
      <c r="G981" s="378"/>
      <c r="H981" s="378"/>
      <c r="I981" s="378"/>
      <c r="J981" s="378"/>
      <c r="K981" s="378"/>
      <c r="L981" s="378"/>
      <c r="M981" s="378"/>
      <c r="N981" s="378"/>
      <c r="O981" s="378"/>
      <c r="P981" s="378"/>
      <c r="Q981" s="378"/>
      <c r="R981" s="378"/>
      <c r="S981" s="378"/>
      <c r="T981" s="378"/>
      <c r="U981" s="378"/>
      <c r="V981" s="378"/>
      <c r="W981" s="378"/>
      <c r="X981" s="378"/>
      <c r="Y981" s="378"/>
      <c r="Z981" s="378"/>
    </row>
    <row r="982" ht="16.5" customHeight="1">
      <c r="A982" s="378"/>
      <c r="B982" s="378"/>
      <c r="C982" s="378"/>
      <c r="D982" s="378"/>
      <c r="E982" s="378"/>
      <c r="F982" s="378"/>
      <c r="G982" s="378"/>
      <c r="H982" s="378"/>
      <c r="I982" s="378"/>
      <c r="J982" s="378"/>
      <c r="K982" s="378"/>
      <c r="L982" s="378"/>
      <c r="M982" s="378"/>
      <c r="N982" s="378"/>
      <c r="O982" s="378"/>
      <c r="P982" s="378"/>
      <c r="Q982" s="378"/>
      <c r="R982" s="378"/>
      <c r="S982" s="378"/>
      <c r="T982" s="378"/>
      <c r="U982" s="378"/>
      <c r="V982" s="378"/>
      <c r="W982" s="378"/>
      <c r="X982" s="378"/>
      <c r="Y982" s="378"/>
      <c r="Z982" s="378"/>
    </row>
    <row r="983" ht="16.5" customHeight="1">
      <c r="A983" s="378"/>
      <c r="B983" s="378"/>
      <c r="C983" s="378"/>
      <c r="D983" s="378"/>
      <c r="E983" s="378"/>
      <c r="F983" s="378"/>
      <c r="G983" s="378"/>
      <c r="H983" s="378"/>
      <c r="I983" s="378"/>
      <c r="J983" s="378"/>
      <c r="K983" s="378"/>
      <c r="L983" s="378"/>
      <c r="M983" s="378"/>
      <c r="N983" s="378"/>
      <c r="O983" s="378"/>
      <c r="P983" s="378"/>
      <c r="Q983" s="378"/>
      <c r="R983" s="378"/>
      <c r="S983" s="378"/>
      <c r="T983" s="378"/>
      <c r="U983" s="378"/>
      <c r="V983" s="378"/>
      <c r="W983" s="378"/>
      <c r="X983" s="378"/>
      <c r="Y983" s="378"/>
      <c r="Z983" s="378"/>
    </row>
    <row r="984" ht="16.5" customHeight="1">
      <c r="A984" s="378"/>
      <c r="B984" s="378"/>
      <c r="C984" s="378"/>
      <c r="D984" s="378"/>
      <c r="E984" s="378"/>
      <c r="F984" s="378"/>
      <c r="G984" s="378"/>
      <c r="H984" s="378"/>
      <c r="I984" s="378"/>
      <c r="J984" s="378"/>
      <c r="K984" s="378"/>
      <c r="L984" s="378"/>
      <c r="M984" s="378"/>
      <c r="N984" s="378"/>
      <c r="O984" s="378"/>
      <c r="P984" s="378"/>
      <c r="Q984" s="378"/>
      <c r="R984" s="378"/>
      <c r="S984" s="378"/>
      <c r="T984" s="378"/>
      <c r="U984" s="378"/>
      <c r="V984" s="378"/>
      <c r="W984" s="378"/>
      <c r="X984" s="378"/>
      <c r="Y984" s="378"/>
      <c r="Z984" s="378"/>
    </row>
    <row r="985" ht="16.5" customHeight="1">
      <c r="A985" s="378"/>
      <c r="B985" s="378"/>
      <c r="C985" s="378"/>
      <c r="D985" s="378"/>
      <c r="E985" s="378"/>
      <c r="F985" s="378"/>
      <c r="G985" s="378"/>
      <c r="H985" s="378"/>
      <c r="I985" s="378"/>
      <c r="J985" s="378"/>
      <c r="K985" s="378"/>
      <c r="L985" s="378"/>
      <c r="M985" s="378"/>
      <c r="N985" s="378"/>
      <c r="O985" s="378"/>
      <c r="P985" s="378"/>
      <c r="Q985" s="378"/>
      <c r="R985" s="378"/>
      <c r="S985" s="378"/>
      <c r="T985" s="378"/>
      <c r="U985" s="378"/>
      <c r="V985" s="378"/>
      <c r="W985" s="378"/>
      <c r="X985" s="378"/>
      <c r="Y985" s="378"/>
      <c r="Z985" s="378"/>
    </row>
    <row r="986" ht="16.5" customHeight="1">
      <c r="A986" s="378"/>
      <c r="B986" s="378"/>
      <c r="C986" s="378"/>
      <c r="D986" s="378"/>
      <c r="E986" s="378"/>
      <c r="F986" s="378"/>
      <c r="G986" s="378"/>
      <c r="H986" s="378"/>
      <c r="I986" s="378"/>
      <c r="J986" s="378"/>
      <c r="K986" s="378"/>
      <c r="L986" s="378"/>
      <c r="M986" s="378"/>
      <c r="N986" s="378"/>
      <c r="O986" s="378"/>
      <c r="P986" s="378"/>
      <c r="Q986" s="378"/>
      <c r="R986" s="378"/>
      <c r="S986" s="378"/>
      <c r="T986" s="378"/>
      <c r="U986" s="378"/>
      <c r="V986" s="378"/>
      <c r="W986" s="378"/>
      <c r="X986" s="378"/>
      <c r="Y986" s="378"/>
      <c r="Z986" s="378"/>
    </row>
    <row r="987" ht="16.5" customHeight="1">
      <c r="A987" s="378"/>
      <c r="B987" s="378"/>
      <c r="C987" s="378"/>
      <c r="D987" s="378"/>
      <c r="E987" s="378"/>
      <c r="F987" s="378"/>
      <c r="G987" s="378"/>
      <c r="H987" s="378"/>
      <c r="I987" s="378"/>
      <c r="J987" s="378"/>
      <c r="K987" s="378"/>
      <c r="L987" s="378"/>
      <c r="M987" s="378"/>
      <c r="N987" s="378"/>
      <c r="O987" s="378"/>
      <c r="P987" s="378"/>
      <c r="Q987" s="378"/>
      <c r="R987" s="378"/>
      <c r="S987" s="378"/>
      <c r="T987" s="378"/>
      <c r="U987" s="378"/>
      <c r="V987" s="378"/>
      <c r="W987" s="378"/>
      <c r="X987" s="378"/>
      <c r="Y987" s="378"/>
      <c r="Z987" s="378"/>
    </row>
    <row r="988" ht="16.5" customHeight="1">
      <c r="A988" s="378"/>
      <c r="B988" s="378"/>
      <c r="C988" s="378"/>
      <c r="D988" s="378"/>
      <c r="E988" s="378"/>
      <c r="F988" s="378"/>
      <c r="G988" s="378"/>
      <c r="H988" s="378"/>
      <c r="I988" s="378"/>
      <c r="J988" s="378"/>
      <c r="K988" s="378"/>
      <c r="L988" s="378"/>
      <c r="M988" s="378"/>
      <c r="N988" s="378"/>
      <c r="O988" s="378"/>
      <c r="P988" s="378"/>
      <c r="Q988" s="378"/>
      <c r="R988" s="378"/>
      <c r="S988" s="378"/>
      <c r="T988" s="378"/>
      <c r="U988" s="378"/>
      <c r="V988" s="378"/>
      <c r="W988" s="378"/>
      <c r="X988" s="378"/>
      <c r="Y988" s="378"/>
      <c r="Z988" s="378"/>
    </row>
    <row r="989" ht="16.5" customHeight="1">
      <c r="A989" s="378"/>
      <c r="B989" s="378"/>
      <c r="C989" s="378"/>
      <c r="D989" s="378"/>
      <c r="E989" s="378"/>
      <c r="F989" s="378"/>
      <c r="G989" s="378"/>
      <c r="H989" s="378"/>
      <c r="I989" s="378"/>
      <c r="J989" s="378"/>
      <c r="K989" s="378"/>
      <c r="L989" s="378"/>
      <c r="M989" s="378"/>
      <c r="N989" s="378"/>
      <c r="O989" s="378"/>
      <c r="P989" s="378"/>
      <c r="Q989" s="378"/>
      <c r="R989" s="378"/>
      <c r="S989" s="378"/>
      <c r="T989" s="378"/>
      <c r="U989" s="378"/>
      <c r="V989" s="378"/>
      <c r="W989" s="378"/>
      <c r="X989" s="378"/>
      <c r="Y989" s="378"/>
      <c r="Z989" s="378"/>
    </row>
    <row r="990" ht="16.5" customHeight="1">
      <c r="A990" s="378"/>
      <c r="B990" s="378"/>
      <c r="C990" s="378"/>
      <c r="D990" s="378"/>
      <c r="E990" s="378"/>
      <c r="F990" s="378"/>
      <c r="G990" s="378"/>
      <c r="H990" s="378"/>
      <c r="I990" s="378"/>
      <c r="J990" s="378"/>
      <c r="K990" s="378"/>
      <c r="L990" s="378"/>
      <c r="M990" s="378"/>
      <c r="N990" s="378"/>
      <c r="O990" s="378"/>
      <c r="P990" s="378"/>
      <c r="Q990" s="378"/>
      <c r="R990" s="378"/>
      <c r="S990" s="378"/>
      <c r="T990" s="378"/>
      <c r="U990" s="378"/>
      <c r="V990" s="378"/>
      <c r="W990" s="378"/>
      <c r="X990" s="378"/>
      <c r="Y990" s="378"/>
      <c r="Z990" s="378"/>
    </row>
    <row r="991" ht="16.5" customHeight="1">
      <c r="A991" s="378"/>
      <c r="B991" s="378"/>
      <c r="C991" s="378"/>
      <c r="D991" s="378"/>
      <c r="E991" s="378"/>
      <c r="F991" s="378"/>
      <c r="G991" s="378"/>
      <c r="H991" s="378"/>
      <c r="I991" s="378"/>
      <c r="J991" s="378"/>
      <c r="K991" s="378"/>
      <c r="L991" s="378"/>
      <c r="M991" s="378"/>
      <c r="N991" s="378"/>
      <c r="O991" s="378"/>
      <c r="P991" s="378"/>
      <c r="Q991" s="378"/>
      <c r="R991" s="378"/>
      <c r="S991" s="378"/>
      <c r="T991" s="378"/>
      <c r="U991" s="378"/>
      <c r="V991" s="378"/>
      <c r="W991" s="378"/>
      <c r="X991" s="378"/>
      <c r="Y991" s="378"/>
      <c r="Z991" s="378"/>
    </row>
    <row r="992" ht="16.5" customHeight="1">
      <c r="A992" s="378"/>
      <c r="B992" s="378"/>
      <c r="C992" s="378"/>
      <c r="D992" s="378"/>
      <c r="E992" s="378"/>
      <c r="F992" s="378"/>
      <c r="G992" s="378"/>
      <c r="H992" s="378"/>
      <c r="I992" s="378"/>
      <c r="J992" s="378"/>
      <c r="K992" s="378"/>
      <c r="L992" s="378"/>
      <c r="M992" s="378"/>
      <c r="N992" s="378"/>
      <c r="O992" s="378"/>
      <c r="P992" s="378"/>
      <c r="Q992" s="378"/>
      <c r="R992" s="378"/>
      <c r="S992" s="378"/>
      <c r="T992" s="378"/>
      <c r="U992" s="378"/>
      <c r="V992" s="378"/>
      <c r="W992" s="378"/>
      <c r="X992" s="378"/>
      <c r="Y992" s="378"/>
      <c r="Z992" s="378"/>
    </row>
    <row r="993" ht="16.5" customHeight="1">
      <c r="A993" s="378"/>
      <c r="B993" s="378"/>
      <c r="C993" s="378"/>
      <c r="D993" s="378"/>
      <c r="E993" s="378"/>
      <c r="F993" s="378"/>
      <c r="G993" s="378"/>
      <c r="H993" s="378"/>
      <c r="I993" s="378"/>
      <c r="J993" s="378"/>
      <c r="K993" s="378"/>
      <c r="L993" s="378"/>
      <c r="M993" s="378"/>
      <c r="N993" s="378"/>
      <c r="O993" s="378"/>
      <c r="P993" s="378"/>
      <c r="Q993" s="378"/>
      <c r="R993" s="378"/>
      <c r="S993" s="378"/>
      <c r="T993" s="378"/>
      <c r="U993" s="378"/>
      <c r="V993" s="378"/>
      <c r="W993" s="378"/>
      <c r="X993" s="378"/>
      <c r="Y993" s="378"/>
      <c r="Z993" s="378"/>
    </row>
    <row r="994" ht="16.5" customHeight="1">
      <c r="A994" s="378"/>
      <c r="B994" s="378"/>
      <c r="C994" s="378"/>
      <c r="D994" s="378"/>
      <c r="E994" s="378"/>
      <c r="F994" s="378"/>
      <c r="G994" s="378"/>
      <c r="H994" s="378"/>
      <c r="I994" s="378"/>
      <c r="J994" s="378"/>
      <c r="K994" s="378"/>
      <c r="L994" s="378"/>
      <c r="M994" s="378"/>
      <c r="N994" s="378"/>
      <c r="O994" s="378"/>
      <c r="P994" s="378"/>
      <c r="Q994" s="378"/>
      <c r="R994" s="378"/>
      <c r="S994" s="378"/>
      <c r="T994" s="378"/>
      <c r="U994" s="378"/>
      <c r="V994" s="378"/>
      <c r="W994" s="378"/>
      <c r="X994" s="378"/>
      <c r="Y994" s="378"/>
      <c r="Z994" s="378"/>
    </row>
    <row r="995" ht="16.5" customHeight="1">
      <c r="A995" s="378"/>
      <c r="B995" s="378"/>
      <c r="C995" s="378"/>
      <c r="D995" s="378"/>
      <c r="E995" s="378"/>
      <c r="F995" s="378"/>
      <c r="G995" s="378"/>
      <c r="H995" s="378"/>
      <c r="I995" s="378"/>
      <c r="J995" s="378"/>
      <c r="K995" s="378"/>
      <c r="L995" s="378"/>
      <c r="M995" s="378"/>
      <c r="N995" s="378"/>
      <c r="O995" s="378"/>
      <c r="P995" s="378"/>
      <c r="Q995" s="378"/>
      <c r="R995" s="378"/>
      <c r="S995" s="378"/>
      <c r="T995" s="378"/>
      <c r="U995" s="378"/>
      <c r="V995" s="378"/>
      <c r="W995" s="378"/>
      <c r="X995" s="378"/>
      <c r="Y995" s="378"/>
      <c r="Z995" s="378"/>
    </row>
    <row r="996" ht="16.5" customHeight="1">
      <c r="A996" s="378"/>
      <c r="B996" s="378"/>
      <c r="C996" s="378"/>
      <c r="D996" s="378"/>
      <c r="E996" s="378"/>
      <c r="F996" s="378"/>
      <c r="G996" s="378"/>
      <c r="H996" s="378"/>
      <c r="I996" s="378"/>
      <c r="J996" s="378"/>
      <c r="K996" s="378"/>
      <c r="L996" s="378"/>
      <c r="M996" s="378"/>
      <c r="N996" s="378"/>
      <c r="O996" s="378"/>
      <c r="P996" s="378"/>
      <c r="Q996" s="378"/>
      <c r="R996" s="378"/>
      <c r="S996" s="378"/>
      <c r="T996" s="378"/>
      <c r="U996" s="378"/>
      <c r="V996" s="378"/>
      <c r="W996" s="378"/>
      <c r="X996" s="378"/>
      <c r="Y996" s="378"/>
      <c r="Z996" s="378"/>
    </row>
    <row r="997" ht="16.5" customHeight="1">
      <c r="A997" s="378"/>
      <c r="B997" s="378"/>
      <c r="C997" s="378"/>
      <c r="D997" s="378"/>
      <c r="E997" s="378"/>
      <c r="F997" s="378"/>
      <c r="G997" s="378"/>
      <c r="H997" s="378"/>
      <c r="I997" s="378"/>
      <c r="J997" s="378"/>
      <c r="K997" s="378"/>
      <c r="L997" s="378"/>
      <c r="M997" s="378"/>
      <c r="N997" s="378"/>
      <c r="O997" s="378"/>
      <c r="P997" s="378"/>
      <c r="Q997" s="378"/>
      <c r="R997" s="378"/>
      <c r="S997" s="378"/>
      <c r="T997" s="378"/>
      <c r="U997" s="378"/>
      <c r="V997" s="378"/>
      <c r="W997" s="378"/>
      <c r="X997" s="378"/>
      <c r="Y997" s="378"/>
      <c r="Z997" s="378"/>
    </row>
    <row r="998" ht="16.5" customHeight="1">
      <c r="A998" s="378"/>
      <c r="B998" s="378"/>
      <c r="C998" s="378"/>
      <c r="D998" s="378"/>
      <c r="E998" s="378"/>
      <c r="F998" s="378"/>
      <c r="G998" s="378"/>
      <c r="H998" s="378"/>
      <c r="I998" s="378"/>
      <c r="J998" s="378"/>
      <c r="K998" s="378"/>
      <c r="L998" s="378"/>
      <c r="M998" s="378"/>
      <c r="N998" s="378"/>
      <c r="O998" s="378"/>
      <c r="P998" s="378"/>
      <c r="Q998" s="378"/>
      <c r="R998" s="378"/>
      <c r="S998" s="378"/>
      <c r="T998" s="378"/>
      <c r="U998" s="378"/>
      <c r="V998" s="378"/>
      <c r="W998" s="378"/>
      <c r="X998" s="378"/>
      <c r="Y998" s="378"/>
      <c r="Z998" s="378"/>
    </row>
    <row r="999" ht="16.5" customHeight="1">
      <c r="A999" s="378"/>
      <c r="B999" s="378"/>
      <c r="C999" s="378"/>
      <c r="D999" s="378"/>
      <c r="E999" s="378"/>
      <c r="F999" s="378"/>
      <c r="G999" s="378"/>
      <c r="H999" s="378"/>
      <c r="I999" s="378"/>
      <c r="J999" s="378"/>
      <c r="K999" s="378"/>
      <c r="L999" s="378"/>
      <c r="M999" s="378"/>
      <c r="N999" s="378"/>
      <c r="O999" s="378"/>
      <c r="P999" s="378"/>
      <c r="Q999" s="378"/>
      <c r="R999" s="378"/>
      <c r="S999" s="378"/>
      <c r="T999" s="378"/>
      <c r="U999" s="378"/>
      <c r="V999" s="378"/>
      <c r="W999" s="378"/>
      <c r="X999" s="378"/>
      <c r="Y999" s="378"/>
      <c r="Z999" s="378"/>
    </row>
    <row r="1000" ht="16.5" customHeight="1">
      <c r="A1000" s="378"/>
      <c r="B1000" s="378"/>
      <c r="C1000" s="378"/>
      <c r="D1000" s="378"/>
      <c r="E1000" s="378"/>
      <c r="F1000" s="378"/>
      <c r="G1000" s="378"/>
      <c r="H1000" s="378"/>
      <c r="I1000" s="378"/>
      <c r="J1000" s="378"/>
      <c r="K1000" s="378"/>
      <c r="L1000" s="378"/>
      <c r="M1000" s="378"/>
      <c r="N1000" s="378"/>
      <c r="O1000" s="378"/>
      <c r="P1000" s="378"/>
      <c r="Q1000" s="378"/>
      <c r="R1000" s="378"/>
      <c r="S1000" s="378"/>
      <c r="T1000" s="378"/>
      <c r="U1000" s="378"/>
      <c r="V1000" s="378"/>
      <c r="W1000" s="378"/>
      <c r="X1000" s="378"/>
      <c r="Y1000" s="378"/>
      <c r="Z1000" s="378"/>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0"/>
    <col customWidth="1" min="2" max="2" width="14.0"/>
    <col customWidth="1" min="3" max="4" width="9.0"/>
    <col customWidth="1" min="5" max="21" width="4.67"/>
    <col customWidth="1" min="22" max="22" width="2.67"/>
    <col customWidth="1" min="23" max="30" width="4.67"/>
    <col customWidth="1" min="31" max="37" width="9.0"/>
  </cols>
  <sheetData>
    <row r="1" ht="13.5" customHeight="1">
      <c r="A1" s="379" t="s">
        <v>2319</v>
      </c>
      <c r="B1" s="198"/>
      <c r="C1" s="131"/>
      <c r="D1" s="131"/>
      <c r="E1" s="131"/>
      <c r="F1" s="131"/>
      <c r="G1" s="131"/>
      <c r="H1" s="131"/>
      <c r="I1" s="131"/>
      <c r="J1" s="131"/>
      <c r="K1" s="131"/>
      <c r="L1" s="131"/>
      <c r="M1" s="131"/>
      <c r="N1" s="131"/>
      <c r="O1" s="131"/>
      <c r="P1" s="131"/>
      <c r="Q1" s="131"/>
      <c r="R1" s="131"/>
      <c r="S1" s="131"/>
      <c r="T1" s="131"/>
      <c r="U1" s="131"/>
      <c r="V1" s="131"/>
      <c r="W1" s="131"/>
      <c r="X1" s="131"/>
      <c r="Y1" s="131"/>
      <c r="Z1" s="131"/>
      <c r="AA1" s="131"/>
      <c r="AB1" s="131"/>
      <c r="AC1" s="131"/>
      <c r="AD1" s="131"/>
      <c r="AE1" s="131"/>
      <c r="AF1" s="131"/>
      <c r="AG1" s="198"/>
      <c r="AH1" s="131"/>
      <c r="AI1" s="131"/>
      <c r="AJ1" s="131"/>
      <c r="AK1" s="131"/>
    </row>
    <row r="2" ht="13.5" customHeight="1">
      <c r="A2" s="259" t="s">
        <v>1056</v>
      </c>
      <c r="B2" s="258" t="s">
        <v>1057</v>
      </c>
      <c r="C2" s="259" t="s">
        <v>44</v>
      </c>
      <c r="D2" s="380" t="s">
        <v>46</v>
      </c>
      <c r="E2" s="259" t="s">
        <v>1058</v>
      </c>
      <c r="F2" s="259" t="s">
        <v>1059</v>
      </c>
      <c r="G2" s="259" t="s">
        <v>1060</v>
      </c>
      <c r="H2" s="259" t="s">
        <v>1061</v>
      </c>
      <c r="I2" s="259" t="s">
        <v>2320</v>
      </c>
      <c r="J2" s="259" t="s">
        <v>2321</v>
      </c>
      <c r="K2" s="259" t="s">
        <v>2322</v>
      </c>
      <c r="L2" s="259" t="s">
        <v>34</v>
      </c>
      <c r="M2" s="259" t="s">
        <v>2323</v>
      </c>
      <c r="N2" s="259" t="s">
        <v>1058</v>
      </c>
      <c r="O2" s="259" t="s">
        <v>1059</v>
      </c>
      <c r="P2" s="259" t="s">
        <v>1060</v>
      </c>
      <c r="Q2" s="259" t="s">
        <v>1061</v>
      </c>
      <c r="R2" s="259" t="s">
        <v>2320</v>
      </c>
      <c r="S2" s="259" t="s">
        <v>2321</v>
      </c>
      <c r="T2" s="259" t="s">
        <v>2322</v>
      </c>
      <c r="U2" s="259" t="s">
        <v>34</v>
      </c>
      <c r="V2" s="259"/>
      <c r="W2" s="259" t="s">
        <v>1058</v>
      </c>
      <c r="X2" s="259" t="s">
        <v>1059</v>
      </c>
      <c r="Y2" s="259" t="s">
        <v>1060</v>
      </c>
      <c r="Z2" s="259" t="s">
        <v>1061</v>
      </c>
      <c r="AA2" s="259" t="s">
        <v>2320</v>
      </c>
      <c r="AB2" s="259" t="s">
        <v>2321</v>
      </c>
      <c r="AC2" s="259" t="s">
        <v>2322</v>
      </c>
      <c r="AD2" s="259" t="s">
        <v>34</v>
      </c>
      <c r="AE2" s="259" t="s">
        <v>46</v>
      </c>
      <c r="AF2" s="259" t="s">
        <v>47</v>
      </c>
      <c r="AG2" s="381" t="s">
        <v>2324</v>
      </c>
      <c r="AH2" s="259"/>
      <c r="AI2" s="259"/>
      <c r="AJ2" s="259"/>
      <c r="AK2" s="259"/>
    </row>
    <row r="3" ht="13.5" customHeight="1">
      <c r="A3" s="131" t="s">
        <v>286</v>
      </c>
      <c r="B3" s="198" t="s">
        <v>287</v>
      </c>
      <c r="C3" s="131" t="s">
        <v>191</v>
      </c>
      <c r="D3" s="131" t="s">
        <v>286</v>
      </c>
      <c r="E3" s="131">
        <v>7.0</v>
      </c>
      <c r="F3" s="131">
        <v>4.0</v>
      </c>
      <c r="G3" s="131">
        <v>4.0</v>
      </c>
      <c r="H3" s="131">
        <v>4.0</v>
      </c>
      <c r="I3" s="131">
        <v>4.0</v>
      </c>
      <c r="J3" s="131">
        <v>4.0</v>
      </c>
      <c r="K3" s="131">
        <v>3.0</v>
      </c>
      <c r="L3" s="131">
        <v>0.0</v>
      </c>
      <c r="M3" s="131"/>
      <c r="N3" s="131">
        <v>10.0</v>
      </c>
      <c r="O3" s="131">
        <v>10.0</v>
      </c>
      <c r="P3" s="131">
        <v>10.0</v>
      </c>
      <c r="Q3" s="131">
        <v>10.0</v>
      </c>
      <c r="R3" s="131">
        <v>10.0</v>
      </c>
      <c r="S3" s="131">
        <v>5.0</v>
      </c>
      <c r="T3" s="131">
        <v>5.0</v>
      </c>
      <c r="U3" s="131">
        <v>5.0</v>
      </c>
      <c r="V3" s="131"/>
      <c r="W3" s="382">
        <f t="shared" ref="W3:W47" si="1">(E3+1E-13)*N3</f>
        <v>70</v>
      </c>
      <c r="X3" s="382">
        <f t="shared" ref="X3:X47" si="2">(F3+2E-13)*O3</f>
        <v>40</v>
      </c>
      <c r="Y3" s="382">
        <f t="shared" ref="Y3:Y47" si="3">(G3+3E-13)*P3</f>
        <v>40</v>
      </c>
      <c r="Z3" s="382">
        <f t="shared" ref="Z3:Z47" si="4">(H3+4E-13)*Q3</f>
        <v>40</v>
      </c>
      <c r="AA3" s="382">
        <f t="shared" ref="AA3:AA47" si="5">(I3+5E-13)*R3</f>
        <v>40</v>
      </c>
      <c r="AB3" s="382">
        <f t="shared" ref="AB3:AB47" si="6">(J3+6E-13)*S3</f>
        <v>20</v>
      </c>
      <c r="AC3" s="383">
        <f t="shared" ref="AC3:AC47" si="7">(K3+7E-13)*T3</f>
        <v>15</v>
      </c>
      <c r="AD3" s="383">
        <f t="shared" ref="AD3:AD47" si="8">(L3+8E-13)*U3</f>
        <v>0</v>
      </c>
      <c r="AE3" s="131">
        <f>SUM(W3:Z3)+LARGE(AA3:AD3,1)+LARGE(AA3:AD3,2)</f>
        <v>250</v>
      </c>
      <c r="AF3" s="131">
        <f t="shared" ref="AF3:AF47" si="9">AF50</f>
        <v>242.5</v>
      </c>
      <c r="AG3" s="198"/>
      <c r="AH3" s="131"/>
      <c r="AI3" s="131"/>
      <c r="AJ3" s="131"/>
      <c r="AK3" s="131"/>
    </row>
    <row r="4" ht="13.5" customHeight="1">
      <c r="A4" s="131" t="s">
        <v>288</v>
      </c>
      <c r="B4" s="198" t="s">
        <v>289</v>
      </c>
      <c r="C4" s="131" t="s">
        <v>21</v>
      </c>
      <c r="D4" s="131" t="s">
        <v>288</v>
      </c>
      <c r="E4" s="131">
        <v>4.0</v>
      </c>
      <c r="F4" s="131">
        <v>4.0</v>
      </c>
      <c r="G4" s="131">
        <v>5.5</v>
      </c>
      <c r="H4" s="131">
        <v>4.0</v>
      </c>
      <c r="I4" s="131">
        <v>4.0</v>
      </c>
      <c r="J4" s="131">
        <v>4.0</v>
      </c>
      <c r="K4" s="131">
        <v>0.0</v>
      </c>
      <c r="L4" s="131">
        <v>0.0</v>
      </c>
      <c r="M4" s="131"/>
      <c r="N4" s="131">
        <v>7.0</v>
      </c>
      <c r="O4" s="131">
        <v>10.0</v>
      </c>
      <c r="P4" s="131">
        <v>10.0</v>
      </c>
      <c r="Q4" s="131">
        <v>7.0</v>
      </c>
      <c r="R4" s="131">
        <v>10.0</v>
      </c>
      <c r="S4" s="131">
        <v>10.0</v>
      </c>
      <c r="T4" s="131">
        <v>10.0</v>
      </c>
      <c r="U4" s="131">
        <v>10.0</v>
      </c>
      <c r="V4" s="131"/>
      <c r="W4" s="383">
        <f t="shared" si="1"/>
        <v>28</v>
      </c>
      <c r="X4" s="382">
        <f t="shared" si="2"/>
        <v>40</v>
      </c>
      <c r="Y4" s="382">
        <f t="shared" si="3"/>
        <v>55</v>
      </c>
      <c r="Z4" s="382">
        <f t="shared" si="4"/>
        <v>28</v>
      </c>
      <c r="AA4" s="382">
        <f t="shared" si="5"/>
        <v>40</v>
      </c>
      <c r="AB4" s="382">
        <f t="shared" si="6"/>
        <v>40</v>
      </c>
      <c r="AC4" s="383">
        <f t="shared" si="7"/>
        <v>0</v>
      </c>
      <c r="AD4" s="383">
        <f t="shared" si="8"/>
        <v>0</v>
      </c>
      <c r="AE4" s="131">
        <f t="shared" ref="AE4:AE9" si="10">LARGE(W4:AD4,1)+LARGE(W4:AD4,2)+LARGE(W4:AD4,3)+LARGE(W4:AD4,4)+LARGE(W4:AD4,5)</f>
        <v>203</v>
      </c>
      <c r="AF4" s="131">
        <f t="shared" si="9"/>
        <v>188</v>
      </c>
      <c r="AG4" s="198"/>
      <c r="AH4" s="131"/>
      <c r="AI4" s="131"/>
      <c r="AJ4" s="131"/>
      <c r="AK4" s="131"/>
    </row>
    <row r="5" ht="13.5" customHeight="1">
      <c r="A5" s="131" t="s">
        <v>290</v>
      </c>
      <c r="B5" s="198" t="s">
        <v>291</v>
      </c>
      <c r="C5" s="131" t="s">
        <v>21</v>
      </c>
      <c r="D5" s="131" t="s">
        <v>290</v>
      </c>
      <c r="E5" s="131">
        <v>3.0</v>
      </c>
      <c r="F5" s="131">
        <v>3.0</v>
      </c>
      <c r="G5" s="131">
        <v>5.5</v>
      </c>
      <c r="H5" s="131">
        <v>3.0</v>
      </c>
      <c r="I5" s="131">
        <v>4.0</v>
      </c>
      <c r="J5" s="131">
        <v>4.0</v>
      </c>
      <c r="K5" s="131">
        <v>0.0</v>
      </c>
      <c r="L5" s="131">
        <v>2.0</v>
      </c>
      <c r="M5" s="131"/>
      <c r="N5" s="131">
        <v>7.0</v>
      </c>
      <c r="O5" s="131">
        <v>10.0</v>
      </c>
      <c r="P5" s="131">
        <v>10.0</v>
      </c>
      <c r="Q5" s="131">
        <v>7.0</v>
      </c>
      <c r="R5" s="131">
        <v>10.0</v>
      </c>
      <c r="S5" s="131">
        <v>10.0</v>
      </c>
      <c r="T5" s="131">
        <v>10.0</v>
      </c>
      <c r="U5" s="131">
        <v>10.0</v>
      </c>
      <c r="V5" s="131"/>
      <c r="W5" s="383">
        <f t="shared" si="1"/>
        <v>21</v>
      </c>
      <c r="X5" s="382">
        <f t="shared" si="2"/>
        <v>30</v>
      </c>
      <c r="Y5" s="382">
        <f t="shared" si="3"/>
        <v>55</v>
      </c>
      <c r="Z5" s="382">
        <f t="shared" si="4"/>
        <v>21</v>
      </c>
      <c r="AA5" s="382">
        <f t="shared" si="5"/>
        <v>40</v>
      </c>
      <c r="AB5" s="382">
        <f t="shared" si="6"/>
        <v>40</v>
      </c>
      <c r="AC5" s="383">
        <f t="shared" si="7"/>
        <v>0</v>
      </c>
      <c r="AD5" s="383">
        <f t="shared" si="8"/>
        <v>20</v>
      </c>
      <c r="AE5" s="131">
        <f t="shared" si="10"/>
        <v>186</v>
      </c>
      <c r="AF5" s="131">
        <f t="shared" si="9"/>
        <v>170</v>
      </c>
      <c r="AG5" s="198"/>
      <c r="AH5" s="131"/>
      <c r="AI5" s="131"/>
      <c r="AJ5" s="131"/>
      <c r="AK5" s="131"/>
    </row>
    <row r="6" ht="13.5" customHeight="1">
      <c r="A6" s="131" t="s">
        <v>292</v>
      </c>
      <c r="B6" s="198" t="s">
        <v>293</v>
      </c>
      <c r="C6" s="134" t="s">
        <v>21</v>
      </c>
      <c r="D6" s="131" t="s">
        <v>292</v>
      </c>
      <c r="E6" s="131">
        <v>4.0</v>
      </c>
      <c r="F6" s="131">
        <v>4.0</v>
      </c>
      <c r="G6" s="131">
        <v>4.0</v>
      </c>
      <c r="H6" s="131">
        <v>3.0</v>
      </c>
      <c r="I6" s="131">
        <v>4.0</v>
      </c>
      <c r="J6" s="131">
        <v>3.0</v>
      </c>
      <c r="K6" s="131">
        <v>0.0</v>
      </c>
      <c r="L6" s="131">
        <v>0.0</v>
      </c>
      <c r="M6" s="131"/>
      <c r="N6" s="131">
        <v>7.0</v>
      </c>
      <c r="O6" s="131">
        <v>10.0</v>
      </c>
      <c r="P6" s="131">
        <v>10.0</v>
      </c>
      <c r="Q6" s="131">
        <v>7.0</v>
      </c>
      <c r="R6" s="131">
        <v>10.0</v>
      </c>
      <c r="S6" s="131">
        <v>10.0</v>
      </c>
      <c r="T6" s="131">
        <v>10.0</v>
      </c>
      <c r="U6" s="131">
        <v>10.0</v>
      </c>
      <c r="V6" s="131"/>
      <c r="W6" s="382">
        <f t="shared" si="1"/>
        <v>28</v>
      </c>
      <c r="X6" s="382">
        <f t="shared" si="2"/>
        <v>40</v>
      </c>
      <c r="Y6" s="382">
        <f t="shared" si="3"/>
        <v>40</v>
      </c>
      <c r="Z6" s="383">
        <f t="shared" si="4"/>
        <v>21</v>
      </c>
      <c r="AA6" s="382">
        <f t="shared" si="5"/>
        <v>40</v>
      </c>
      <c r="AB6" s="382">
        <f t="shared" si="6"/>
        <v>30</v>
      </c>
      <c r="AC6" s="383">
        <f t="shared" si="7"/>
        <v>0</v>
      </c>
      <c r="AD6" s="383">
        <f t="shared" si="8"/>
        <v>0</v>
      </c>
      <c r="AE6" s="132">
        <f t="shared" si="10"/>
        <v>178</v>
      </c>
      <c r="AF6" s="131">
        <f t="shared" si="9"/>
        <v>171</v>
      </c>
      <c r="AG6" s="170" t="s">
        <v>1377</v>
      </c>
      <c r="AH6" s="131"/>
      <c r="AI6" s="131"/>
      <c r="AJ6" s="131"/>
      <c r="AK6" s="131"/>
    </row>
    <row r="7" ht="13.5" customHeight="1">
      <c r="A7" s="131" t="s">
        <v>294</v>
      </c>
      <c r="B7" s="198" t="s">
        <v>295</v>
      </c>
      <c r="C7" s="134" t="s">
        <v>21</v>
      </c>
      <c r="D7" s="131" t="s">
        <v>294</v>
      </c>
      <c r="E7" s="131">
        <v>4.0</v>
      </c>
      <c r="F7" s="131">
        <v>3.0</v>
      </c>
      <c r="G7" s="131">
        <v>4.0</v>
      </c>
      <c r="H7" s="131">
        <v>4.0</v>
      </c>
      <c r="I7" s="131">
        <v>5.5</v>
      </c>
      <c r="J7" s="131">
        <v>4.0</v>
      </c>
      <c r="K7" s="131">
        <v>0.0</v>
      </c>
      <c r="L7" s="131">
        <v>5.5</v>
      </c>
      <c r="M7" s="131"/>
      <c r="N7" s="131">
        <v>7.0</v>
      </c>
      <c r="O7" s="131">
        <v>10.0</v>
      </c>
      <c r="P7" s="131">
        <v>10.0</v>
      </c>
      <c r="Q7" s="131">
        <v>7.0</v>
      </c>
      <c r="R7" s="132">
        <v>7.0</v>
      </c>
      <c r="S7" s="131">
        <v>5.0</v>
      </c>
      <c r="T7" s="131">
        <v>5.0</v>
      </c>
      <c r="U7" s="131">
        <v>5.0</v>
      </c>
      <c r="V7" s="131"/>
      <c r="W7" s="382">
        <f t="shared" si="1"/>
        <v>28</v>
      </c>
      <c r="X7" s="382">
        <f t="shared" si="2"/>
        <v>30</v>
      </c>
      <c r="Y7" s="382">
        <f t="shared" si="3"/>
        <v>40</v>
      </c>
      <c r="Z7" s="382">
        <f t="shared" si="4"/>
        <v>28</v>
      </c>
      <c r="AA7" s="382">
        <f t="shared" si="5"/>
        <v>38.5</v>
      </c>
      <c r="AB7" s="383">
        <f t="shared" si="6"/>
        <v>20</v>
      </c>
      <c r="AC7" s="383">
        <f t="shared" si="7"/>
        <v>0</v>
      </c>
      <c r="AD7" s="383">
        <f t="shared" si="8"/>
        <v>27.5</v>
      </c>
      <c r="AE7" s="132">
        <f t="shared" si="10"/>
        <v>164.5</v>
      </c>
      <c r="AF7" s="131">
        <f t="shared" si="9"/>
        <v>163.5</v>
      </c>
      <c r="AG7" s="198" t="s">
        <v>1378</v>
      </c>
      <c r="AH7" s="131"/>
      <c r="AI7" s="131"/>
      <c r="AJ7" s="131"/>
      <c r="AK7" s="131"/>
    </row>
    <row r="8" ht="13.5" customHeight="1">
      <c r="A8" s="131" t="s">
        <v>296</v>
      </c>
      <c r="B8" s="198" t="s">
        <v>297</v>
      </c>
      <c r="C8" s="131" t="s">
        <v>21</v>
      </c>
      <c r="D8" s="131" t="s">
        <v>296</v>
      </c>
      <c r="E8" s="131">
        <v>4.0</v>
      </c>
      <c r="F8" s="131">
        <v>4.0</v>
      </c>
      <c r="G8" s="131">
        <v>4.0</v>
      </c>
      <c r="H8" s="131">
        <v>3.0</v>
      </c>
      <c r="I8" s="131">
        <v>5.5</v>
      </c>
      <c r="J8" s="131">
        <v>3.0</v>
      </c>
      <c r="K8" s="131">
        <v>3.0</v>
      </c>
      <c r="L8" s="131">
        <v>0.0</v>
      </c>
      <c r="M8" s="131"/>
      <c r="N8" s="131">
        <v>7.0</v>
      </c>
      <c r="O8" s="131">
        <v>10.0</v>
      </c>
      <c r="P8" s="131">
        <v>7.0</v>
      </c>
      <c r="Q8" s="131">
        <v>7.0</v>
      </c>
      <c r="R8" s="131">
        <v>5.0</v>
      </c>
      <c r="S8" s="131">
        <v>5.0</v>
      </c>
      <c r="T8" s="131">
        <v>5.0</v>
      </c>
      <c r="U8" s="131">
        <v>5.0</v>
      </c>
      <c r="V8" s="131"/>
      <c r="W8" s="382">
        <f t="shared" si="1"/>
        <v>28</v>
      </c>
      <c r="X8" s="382">
        <f t="shared" si="2"/>
        <v>40</v>
      </c>
      <c r="Y8" s="382">
        <f t="shared" si="3"/>
        <v>28</v>
      </c>
      <c r="Z8" s="382">
        <f t="shared" si="4"/>
        <v>21</v>
      </c>
      <c r="AA8" s="382">
        <f t="shared" si="5"/>
        <v>27.5</v>
      </c>
      <c r="AB8" s="383">
        <f t="shared" si="6"/>
        <v>15</v>
      </c>
      <c r="AC8" s="383">
        <f t="shared" si="7"/>
        <v>15</v>
      </c>
      <c r="AD8" s="383">
        <f t="shared" si="8"/>
        <v>0</v>
      </c>
      <c r="AE8" s="131">
        <f t="shared" si="10"/>
        <v>144.5</v>
      </c>
      <c r="AF8" s="131">
        <f t="shared" si="9"/>
        <v>137</v>
      </c>
      <c r="AG8" s="198"/>
      <c r="AH8" s="131"/>
      <c r="AI8" s="131"/>
      <c r="AJ8" s="131"/>
      <c r="AK8" s="131"/>
    </row>
    <row r="9" ht="13.5" customHeight="1">
      <c r="A9" s="131" t="s">
        <v>298</v>
      </c>
      <c r="B9" s="198" t="s">
        <v>299</v>
      </c>
      <c r="C9" s="131" t="s">
        <v>21</v>
      </c>
      <c r="D9" s="131" t="s">
        <v>298</v>
      </c>
      <c r="E9" s="131">
        <v>3.0</v>
      </c>
      <c r="F9" s="131">
        <v>3.0</v>
      </c>
      <c r="G9" s="131">
        <v>5.5</v>
      </c>
      <c r="H9" s="131">
        <v>4.0</v>
      </c>
      <c r="I9" s="131">
        <v>5.5</v>
      </c>
      <c r="J9" s="131">
        <v>4.0</v>
      </c>
      <c r="K9" s="131">
        <v>0.0</v>
      </c>
      <c r="L9" s="131">
        <v>4.0</v>
      </c>
      <c r="M9" s="131"/>
      <c r="N9" s="131">
        <v>7.0</v>
      </c>
      <c r="O9" s="131">
        <v>10.0</v>
      </c>
      <c r="P9" s="131">
        <v>10.0</v>
      </c>
      <c r="Q9" s="131">
        <v>7.0</v>
      </c>
      <c r="R9" s="132">
        <v>7.0</v>
      </c>
      <c r="S9" s="131">
        <v>5.0</v>
      </c>
      <c r="T9" s="131">
        <v>5.0</v>
      </c>
      <c r="U9" s="131">
        <v>5.0</v>
      </c>
      <c r="V9" s="131"/>
      <c r="W9" s="382">
        <f t="shared" si="1"/>
        <v>21</v>
      </c>
      <c r="X9" s="382">
        <f t="shared" si="2"/>
        <v>30</v>
      </c>
      <c r="Y9" s="382">
        <f t="shared" si="3"/>
        <v>55</v>
      </c>
      <c r="Z9" s="382">
        <f t="shared" si="4"/>
        <v>28</v>
      </c>
      <c r="AA9" s="382">
        <f t="shared" si="5"/>
        <v>38.5</v>
      </c>
      <c r="AB9" s="383">
        <f t="shared" si="6"/>
        <v>20</v>
      </c>
      <c r="AC9" s="383">
        <f t="shared" si="7"/>
        <v>0</v>
      </c>
      <c r="AD9" s="383">
        <f t="shared" si="8"/>
        <v>20</v>
      </c>
      <c r="AE9" s="132">
        <f t="shared" si="10"/>
        <v>172.5</v>
      </c>
      <c r="AF9" s="131">
        <f t="shared" si="9"/>
        <v>163.5</v>
      </c>
      <c r="AG9" s="198" t="s">
        <v>1379</v>
      </c>
      <c r="AH9" s="131"/>
      <c r="AI9" s="131"/>
      <c r="AJ9" s="131"/>
      <c r="AK9" s="131"/>
    </row>
    <row r="10" ht="13.5" customHeight="1">
      <c r="A10" s="131" t="s">
        <v>300</v>
      </c>
      <c r="B10" s="198" t="s">
        <v>301</v>
      </c>
      <c r="C10" s="131" t="s">
        <v>24</v>
      </c>
      <c r="D10" s="131" t="s">
        <v>300</v>
      </c>
      <c r="E10" s="131">
        <v>5.5</v>
      </c>
      <c r="F10" s="131">
        <v>5.5</v>
      </c>
      <c r="G10" s="131">
        <v>5.5</v>
      </c>
      <c r="H10" s="131">
        <v>4.0</v>
      </c>
      <c r="I10" s="131">
        <v>7.0</v>
      </c>
      <c r="J10" s="131">
        <v>7.0</v>
      </c>
      <c r="K10" s="131">
        <v>7.0</v>
      </c>
      <c r="L10" s="131">
        <v>0.0</v>
      </c>
      <c r="M10" s="131"/>
      <c r="N10" s="131">
        <v>7.0</v>
      </c>
      <c r="O10" s="131">
        <v>10.0</v>
      </c>
      <c r="P10" s="131">
        <v>10.0</v>
      </c>
      <c r="Q10" s="131">
        <v>7.0</v>
      </c>
      <c r="R10" s="131">
        <v>10.0</v>
      </c>
      <c r="S10" s="131">
        <v>10.0</v>
      </c>
      <c r="T10" s="131">
        <v>5.0</v>
      </c>
      <c r="U10" s="131">
        <v>10.0</v>
      </c>
      <c r="V10" s="131"/>
      <c r="W10" s="382">
        <f t="shared" si="1"/>
        <v>38.5</v>
      </c>
      <c r="X10" s="382">
        <f t="shared" si="2"/>
        <v>55</v>
      </c>
      <c r="Y10" s="382">
        <f t="shared" si="3"/>
        <v>55</v>
      </c>
      <c r="Z10" s="383">
        <f t="shared" si="4"/>
        <v>28</v>
      </c>
      <c r="AA10" s="382">
        <f t="shared" si="5"/>
        <v>70</v>
      </c>
      <c r="AB10" s="382">
        <f t="shared" si="6"/>
        <v>70</v>
      </c>
      <c r="AC10" s="382">
        <f t="shared" si="7"/>
        <v>35</v>
      </c>
      <c r="AD10" s="383">
        <f t="shared" si="8"/>
        <v>0</v>
      </c>
      <c r="AE10" s="132">
        <f>LARGE(W10:AD10,1)+LARGE(W10:AD10,2)+LARGE(W10:AD10,3)+LARGE(W10:AD10,4)+LARGE(W10:AD10,5)+LARGE(W10:AD10,6)</f>
        <v>323.5</v>
      </c>
      <c r="AF10" s="131">
        <f t="shared" si="9"/>
        <v>316.5</v>
      </c>
      <c r="AG10" s="198" t="s">
        <v>1380</v>
      </c>
      <c r="AH10" s="131"/>
      <c r="AI10" s="131"/>
      <c r="AJ10" s="131"/>
      <c r="AK10" s="131"/>
    </row>
    <row r="11" ht="13.5" customHeight="1">
      <c r="A11" s="131" t="s">
        <v>302</v>
      </c>
      <c r="B11" s="198" t="s">
        <v>303</v>
      </c>
      <c r="C11" s="131" t="s">
        <v>21</v>
      </c>
      <c r="D11" s="131" t="s">
        <v>302</v>
      </c>
      <c r="E11" s="131">
        <v>4.0</v>
      </c>
      <c r="F11" s="131">
        <v>4.0</v>
      </c>
      <c r="G11" s="131">
        <v>4.0</v>
      </c>
      <c r="H11" s="131">
        <v>4.0</v>
      </c>
      <c r="I11" s="131">
        <v>4.0</v>
      </c>
      <c r="J11" s="131">
        <v>4.0</v>
      </c>
      <c r="K11" s="131">
        <v>0.0</v>
      </c>
      <c r="L11" s="131">
        <v>0.0</v>
      </c>
      <c r="M11" s="131"/>
      <c r="N11" s="131">
        <v>7.0</v>
      </c>
      <c r="O11" s="131">
        <v>10.0</v>
      </c>
      <c r="P11" s="131">
        <v>7.0</v>
      </c>
      <c r="Q11" s="131">
        <v>7.0</v>
      </c>
      <c r="R11" s="131">
        <v>10.0</v>
      </c>
      <c r="S11" s="131">
        <v>10.0</v>
      </c>
      <c r="T11" s="131">
        <v>10.0</v>
      </c>
      <c r="U11" s="131">
        <v>5.0</v>
      </c>
      <c r="V11" s="131"/>
      <c r="W11" s="383">
        <f t="shared" si="1"/>
        <v>28</v>
      </c>
      <c r="X11" s="382">
        <f t="shared" si="2"/>
        <v>40</v>
      </c>
      <c r="Y11" s="382">
        <f t="shared" si="3"/>
        <v>28</v>
      </c>
      <c r="Z11" s="382">
        <f t="shared" si="4"/>
        <v>28</v>
      </c>
      <c r="AA11" s="382">
        <f t="shared" si="5"/>
        <v>40</v>
      </c>
      <c r="AB11" s="382">
        <f t="shared" si="6"/>
        <v>40</v>
      </c>
      <c r="AC11" s="383">
        <f t="shared" si="7"/>
        <v>0</v>
      </c>
      <c r="AD11" s="383">
        <f t="shared" si="8"/>
        <v>0</v>
      </c>
      <c r="AE11" s="131">
        <f t="shared" ref="AE11:AE19" si="11">LARGE(W11:AD11,1)+LARGE(W11:AD11,2)+LARGE(W11:AD11,3)+LARGE(W11:AD11,4)+LARGE(W11:AD11,5)</f>
        <v>176</v>
      </c>
      <c r="AF11" s="131">
        <f t="shared" si="9"/>
        <v>166</v>
      </c>
      <c r="AG11" s="198"/>
      <c r="AH11" s="131"/>
      <c r="AI11" s="131"/>
      <c r="AJ11" s="131"/>
      <c r="AK11" s="131"/>
    </row>
    <row r="12" ht="13.5" customHeight="1">
      <c r="A12" s="131" t="s">
        <v>304</v>
      </c>
      <c r="B12" s="198" t="s">
        <v>305</v>
      </c>
      <c r="C12" s="131" t="s">
        <v>21</v>
      </c>
      <c r="D12" s="131" t="s">
        <v>304</v>
      </c>
      <c r="E12" s="131">
        <v>3.0</v>
      </c>
      <c r="F12" s="131">
        <v>3.0</v>
      </c>
      <c r="G12" s="131">
        <v>5.5</v>
      </c>
      <c r="H12" s="131">
        <v>3.0</v>
      </c>
      <c r="I12" s="131">
        <v>4.0</v>
      </c>
      <c r="J12" s="131">
        <v>3.0</v>
      </c>
      <c r="K12" s="131">
        <v>3.0</v>
      </c>
      <c r="L12" s="131">
        <v>3.0</v>
      </c>
      <c r="M12" s="131"/>
      <c r="N12" s="131">
        <v>7.0</v>
      </c>
      <c r="O12" s="131">
        <v>10.0</v>
      </c>
      <c r="P12" s="131">
        <v>10.0</v>
      </c>
      <c r="Q12" s="131">
        <v>7.0</v>
      </c>
      <c r="R12" s="131">
        <v>10.0</v>
      </c>
      <c r="S12" s="131">
        <v>10.0</v>
      </c>
      <c r="T12" s="131">
        <v>10.0</v>
      </c>
      <c r="U12" s="131">
        <v>10.0</v>
      </c>
      <c r="V12" s="131"/>
      <c r="W12" s="383">
        <f t="shared" si="1"/>
        <v>21</v>
      </c>
      <c r="X12" s="383">
        <f t="shared" si="2"/>
        <v>30</v>
      </c>
      <c r="Y12" s="382">
        <f t="shared" si="3"/>
        <v>55</v>
      </c>
      <c r="Z12" s="383">
        <f t="shared" si="4"/>
        <v>21</v>
      </c>
      <c r="AA12" s="382">
        <f t="shared" si="5"/>
        <v>40</v>
      </c>
      <c r="AB12" s="382">
        <f t="shared" si="6"/>
        <v>30</v>
      </c>
      <c r="AC12" s="382">
        <f t="shared" si="7"/>
        <v>30</v>
      </c>
      <c r="AD12" s="382">
        <f t="shared" si="8"/>
        <v>30</v>
      </c>
      <c r="AE12" s="131">
        <f t="shared" si="11"/>
        <v>185</v>
      </c>
      <c r="AF12" s="131">
        <f t="shared" si="9"/>
        <v>171</v>
      </c>
      <c r="AG12" s="198"/>
      <c r="AH12" s="131"/>
      <c r="AI12" s="131"/>
      <c r="AJ12" s="131"/>
      <c r="AK12" s="131"/>
    </row>
    <row r="13" ht="13.5" customHeight="1">
      <c r="A13" s="131" t="s">
        <v>306</v>
      </c>
      <c r="B13" s="198" t="s">
        <v>307</v>
      </c>
      <c r="C13" s="131" t="s">
        <v>21</v>
      </c>
      <c r="D13" s="131" t="s">
        <v>306</v>
      </c>
      <c r="E13" s="131">
        <v>4.0</v>
      </c>
      <c r="F13" s="131">
        <v>4.0</v>
      </c>
      <c r="G13" s="131">
        <v>4.0</v>
      </c>
      <c r="H13" s="131">
        <v>3.0</v>
      </c>
      <c r="I13" s="131">
        <v>4.0</v>
      </c>
      <c r="J13" s="131">
        <v>3.0</v>
      </c>
      <c r="K13" s="131">
        <v>3.0</v>
      </c>
      <c r="L13" s="131">
        <v>4.0</v>
      </c>
      <c r="M13" s="131"/>
      <c r="N13" s="131">
        <v>7.0</v>
      </c>
      <c r="O13" s="131">
        <v>10.0</v>
      </c>
      <c r="P13" s="131">
        <v>10.0</v>
      </c>
      <c r="Q13" s="131">
        <v>7.0</v>
      </c>
      <c r="R13" s="131">
        <v>10.0</v>
      </c>
      <c r="S13" s="131">
        <v>10.0</v>
      </c>
      <c r="T13" s="131">
        <v>10.0</v>
      </c>
      <c r="U13" s="131">
        <v>10.0</v>
      </c>
      <c r="V13" s="131"/>
      <c r="W13" s="383">
        <f t="shared" si="1"/>
        <v>28</v>
      </c>
      <c r="X13" s="382">
        <f t="shared" si="2"/>
        <v>40</v>
      </c>
      <c r="Y13" s="382">
        <f t="shared" si="3"/>
        <v>40</v>
      </c>
      <c r="Z13" s="383">
        <f t="shared" si="4"/>
        <v>21</v>
      </c>
      <c r="AA13" s="382">
        <f t="shared" si="5"/>
        <v>40</v>
      </c>
      <c r="AB13" s="383">
        <f t="shared" si="6"/>
        <v>30</v>
      </c>
      <c r="AC13" s="382">
        <f t="shared" si="7"/>
        <v>30</v>
      </c>
      <c r="AD13" s="382">
        <f t="shared" si="8"/>
        <v>40</v>
      </c>
      <c r="AE13" s="131">
        <f t="shared" si="11"/>
        <v>190</v>
      </c>
      <c r="AF13" s="131">
        <f t="shared" si="9"/>
        <v>175</v>
      </c>
      <c r="AG13" s="198"/>
      <c r="AH13" s="131"/>
      <c r="AI13" s="131"/>
      <c r="AJ13" s="131"/>
      <c r="AK13" s="131"/>
    </row>
    <row r="14" ht="13.5" customHeight="1">
      <c r="A14" s="131" t="s">
        <v>308</v>
      </c>
      <c r="B14" s="198" t="s">
        <v>309</v>
      </c>
      <c r="C14" s="131" t="s">
        <v>21</v>
      </c>
      <c r="D14" s="131" t="s">
        <v>308</v>
      </c>
      <c r="E14" s="131">
        <v>3.0</v>
      </c>
      <c r="F14" s="131">
        <v>3.0</v>
      </c>
      <c r="G14" s="131">
        <v>4.0</v>
      </c>
      <c r="H14" s="131">
        <v>2.0</v>
      </c>
      <c r="I14" s="131">
        <v>5.5</v>
      </c>
      <c r="J14" s="131">
        <v>4.0</v>
      </c>
      <c r="K14" s="131">
        <v>0.0</v>
      </c>
      <c r="L14" s="131">
        <v>0.0</v>
      </c>
      <c r="M14" s="131"/>
      <c r="N14" s="131">
        <v>7.0</v>
      </c>
      <c r="O14" s="131">
        <v>10.0</v>
      </c>
      <c r="P14" s="131">
        <v>10.0</v>
      </c>
      <c r="Q14" s="131">
        <v>7.0</v>
      </c>
      <c r="R14" s="132">
        <v>7.0</v>
      </c>
      <c r="S14" s="131">
        <v>5.0</v>
      </c>
      <c r="T14" s="131">
        <v>5.0</v>
      </c>
      <c r="U14" s="131">
        <v>5.0</v>
      </c>
      <c r="V14" s="131"/>
      <c r="W14" s="382">
        <f t="shared" si="1"/>
        <v>21</v>
      </c>
      <c r="X14" s="382">
        <f t="shared" si="2"/>
        <v>30</v>
      </c>
      <c r="Y14" s="382">
        <f t="shared" si="3"/>
        <v>40</v>
      </c>
      <c r="Z14" s="383">
        <f t="shared" si="4"/>
        <v>14</v>
      </c>
      <c r="AA14" s="382">
        <f t="shared" si="5"/>
        <v>38.5</v>
      </c>
      <c r="AB14" s="382">
        <f t="shared" si="6"/>
        <v>20</v>
      </c>
      <c r="AC14" s="383">
        <f t="shared" si="7"/>
        <v>0</v>
      </c>
      <c r="AD14" s="383">
        <f t="shared" si="8"/>
        <v>0</v>
      </c>
      <c r="AE14" s="132">
        <f t="shared" si="11"/>
        <v>149.5</v>
      </c>
      <c r="AF14" s="131">
        <f t="shared" si="9"/>
        <v>149</v>
      </c>
      <c r="AG14" s="198" t="s">
        <v>1381</v>
      </c>
      <c r="AH14" s="131"/>
      <c r="AI14" s="131"/>
      <c r="AJ14" s="131"/>
      <c r="AK14" s="131"/>
    </row>
    <row r="15" ht="13.5" customHeight="1">
      <c r="A15" s="131" t="s">
        <v>310</v>
      </c>
      <c r="B15" s="198" t="s">
        <v>311</v>
      </c>
      <c r="C15" s="131" t="s">
        <v>21</v>
      </c>
      <c r="D15" s="131" t="s">
        <v>310</v>
      </c>
      <c r="E15" s="131">
        <v>3.0</v>
      </c>
      <c r="F15" s="131">
        <v>4.0</v>
      </c>
      <c r="G15" s="131">
        <v>4.0</v>
      </c>
      <c r="H15" s="131">
        <v>4.0</v>
      </c>
      <c r="I15" s="131">
        <v>4.0</v>
      </c>
      <c r="J15" s="131">
        <v>4.0</v>
      </c>
      <c r="K15" s="131">
        <v>4.0</v>
      </c>
      <c r="L15" s="131">
        <v>0.0</v>
      </c>
      <c r="M15" s="131"/>
      <c r="N15" s="131">
        <v>10.0</v>
      </c>
      <c r="O15" s="131">
        <v>10.0</v>
      </c>
      <c r="P15" s="131">
        <v>10.0</v>
      </c>
      <c r="Q15" s="131">
        <v>10.0</v>
      </c>
      <c r="R15" s="131">
        <v>10.0</v>
      </c>
      <c r="S15" s="131">
        <v>10.0</v>
      </c>
      <c r="T15" s="131">
        <v>5.0</v>
      </c>
      <c r="U15" s="131">
        <v>5.0</v>
      </c>
      <c r="V15" s="131"/>
      <c r="W15" s="383">
        <f t="shared" si="1"/>
        <v>30</v>
      </c>
      <c r="X15" s="382">
        <f t="shared" si="2"/>
        <v>40</v>
      </c>
      <c r="Y15" s="382">
        <f t="shared" si="3"/>
        <v>40</v>
      </c>
      <c r="Z15" s="382">
        <f t="shared" si="4"/>
        <v>40</v>
      </c>
      <c r="AA15" s="382">
        <f t="shared" si="5"/>
        <v>40</v>
      </c>
      <c r="AB15" s="382">
        <f t="shared" si="6"/>
        <v>40</v>
      </c>
      <c r="AC15" s="383">
        <f t="shared" si="7"/>
        <v>20</v>
      </c>
      <c r="AD15" s="383">
        <f t="shared" si="8"/>
        <v>0</v>
      </c>
      <c r="AE15" s="131">
        <f t="shared" si="11"/>
        <v>200</v>
      </c>
      <c r="AF15" s="131">
        <f t="shared" si="9"/>
        <v>180</v>
      </c>
      <c r="AG15" s="198"/>
      <c r="AH15" s="131"/>
      <c r="AI15" s="131"/>
      <c r="AJ15" s="131"/>
      <c r="AK15" s="131"/>
    </row>
    <row r="16" ht="13.5" customHeight="1">
      <c r="A16" s="131" t="s">
        <v>312</v>
      </c>
      <c r="B16" s="198" t="s">
        <v>313</v>
      </c>
      <c r="C16" s="131" t="s">
        <v>21</v>
      </c>
      <c r="D16" s="131" t="s">
        <v>312</v>
      </c>
      <c r="E16" s="131">
        <v>3.0</v>
      </c>
      <c r="F16" s="131">
        <v>3.0</v>
      </c>
      <c r="G16" s="131">
        <v>4.0</v>
      </c>
      <c r="H16" s="131">
        <v>5.5</v>
      </c>
      <c r="I16" s="131">
        <v>4.0</v>
      </c>
      <c r="J16" s="131">
        <v>3.0</v>
      </c>
      <c r="K16" s="131">
        <v>0.0</v>
      </c>
      <c r="L16" s="131">
        <v>0.0</v>
      </c>
      <c r="M16" s="131"/>
      <c r="N16" s="131">
        <v>7.0</v>
      </c>
      <c r="O16" s="131">
        <v>10.0</v>
      </c>
      <c r="P16" s="131">
        <v>10.0</v>
      </c>
      <c r="Q16" s="131">
        <v>7.0</v>
      </c>
      <c r="R16" s="131">
        <v>5.0</v>
      </c>
      <c r="S16" s="131">
        <v>5.0</v>
      </c>
      <c r="T16" s="131">
        <v>5.0</v>
      </c>
      <c r="U16" s="131">
        <v>5.0</v>
      </c>
      <c r="V16" s="131"/>
      <c r="W16" s="382">
        <f t="shared" si="1"/>
        <v>21</v>
      </c>
      <c r="X16" s="382">
        <f t="shared" si="2"/>
        <v>30</v>
      </c>
      <c r="Y16" s="382">
        <f t="shared" si="3"/>
        <v>40</v>
      </c>
      <c r="Z16" s="382">
        <f t="shared" si="4"/>
        <v>38.5</v>
      </c>
      <c r="AA16" s="382">
        <f t="shared" si="5"/>
        <v>20</v>
      </c>
      <c r="AB16" s="383">
        <f t="shared" si="6"/>
        <v>15</v>
      </c>
      <c r="AC16" s="383">
        <f t="shared" si="7"/>
        <v>0</v>
      </c>
      <c r="AD16" s="383">
        <f t="shared" si="8"/>
        <v>0</v>
      </c>
      <c r="AE16" s="131">
        <f t="shared" si="11"/>
        <v>149.5</v>
      </c>
      <c r="AF16" s="131">
        <f t="shared" si="9"/>
        <v>146</v>
      </c>
      <c r="AG16" s="198"/>
      <c r="AH16" s="131"/>
      <c r="AI16" s="131"/>
      <c r="AJ16" s="131"/>
      <c r="AK16" s="131"/>
    </row>
    <row r="17" ht="13.5" customHeight="1">
      <c r="A17" s="131" t="s">
        <v>314</v>
      </c>
      <c r="B17" s="198" t="s">
        <v>315</v>
      </c>
      <c r="C17" s="131" t="s">
        <v>21</v>
      </c>
      <c r="D17" s="131" t="s">
        <v>314</v>
      </c>
      <c r="E17" s="131">
        <v>4.0</v>
      </c>
      <c r="F17" s="131">
        <v>3.0</v>
      </c>
      <c r="G17" s="131">
        <v>5.5</v>
      </c>
      <c r="H17" s="131">
        <v>4.0</v>
      </c>
      <c r="I17" s="131">
        <v>4.0</v>
      </c>
      <c r="J17" s="131">
        <v>4.0</v>
      </c>
      <c r="K17" s="131">
        <v>4.0</v>
      </c>
      <c r="L17" s="131">
        <v>0.0</v>
      </c>
      <c r="M17" s="131"/>
      <c r="N17" s="131">
        <v>7.0</v>
      </c>
      <c r="O17" s="131">
        <v>10.0</v>
      </c>
      <c r="P17" s="131">
        <v>10.0</v>
      </c>
      <c r="Q17" s="131">
        <v>7.0</v>
      </c>
      <c r="R17" s="131">
        <v>5.0</v>
      </c>
      <c r="S17" s="131">
        <v>5.0</v>
      </c>
      <c r="T17" s="131">
        <v>5.0</v>
      </c>
      <c r="U17" s="131">
        <v>5.0</v>
      </c>
      <c r="V17" s="131"/>
      <c r="W17" s="382">
        <f t="shared" si="1"/>
        <v>28</v>
      </c>
      <c r="X17" s="382">
        <f t="shared" si="2"/>
        <v>30</v>
      </c>
      <c r="Y17" s="382">
        <f t="shared" si="3"/>
        <v>55</v>
      </c>
      <c r="Z17" s="382">
        <f t="shared" si="4"/>
        <v>28</v>
      </c>
      <c r="AA17" s="383">
        <f t="shared" si="5"/>
        <v>20</v>
      </c>
      <c r="AB17" s="383">
        <f t="shared" si="6"/>
        <v>20</v>
      </c>
      <c r="AC17" s="382">
        <f t="shared" si="7"/>
        <v>20</v>
      </c>
      <c r="AD17" s="383">
        <f t="shared" si="8"/>
        <v>0</v>
      </c>
      <c r="AE17" s="131">
        <f t="shared" si="11"/>
        <v>161</v>
      </c>
      <c r="AF17" s="131">
        <f t="shared" si="9"/>
        <v>156.5</v>
      </c>
      <c r="AG17" s="198"/>
      <c r="AH17" s="131"/>
      <c r="AI17" s="131"/>
      <c r="AJ17" s="131"/>
      <c r="AK17" s="131"/>
    </row>
    <row r="18" ht="13.5" customHeight="1">
      <c r="A18" s="131" t="s">
        <v>316</v>
      </c>
      <c r="B18" s="198" t="s">
        <v>317</v>
      </c>
      <c r="C18" s="131" t="s">
        <v>21</v>
      </c>
      <c r="D18" s="131" t="s">
        <v>316</v>
      </c>
      <c r="E18" s="131">
        <v>4.0</v>
      </c>
      <c r="F18" s="131">
        <v>3.0</v>
      </c>
      <c r="G18" s="131">
        <v>4.0</v>
      </c>
      <c r="H18" s="131">
        <v>4.0</v>
      </c>
      <c r="I18" s="131">
        <v>4.0</v>
      </c>
      <c r="J18" s="131">
        <v>4.0</v>
      </c>
      <c r="K18" s="131">
        <v>0.0</v>
      </c>
      <c r="L18" s="131">
        <v>5.5</v>
      </c>
      <c r="M18" s="131"/>
      <c r="N18" s="131">
        <v>7.0</v>
      </c>
      <c r="O18" s="131">
        <v>10.0</v>
      </c>
      <c r="P18" s="131">
        <v>10.0</v>
      </c>
      <c r="Q18" s="131">
        <v>7.0</v>
      </c>
      <c r="R18" s="131">
        <v>5.0</v>
      </c>
      <c r="S18" s="131">
        <v>5.0</v>
      </c>
      <c r="T18" s="131">
        <v>5.0</v>
      </c>
      <c r="U18" s="131">
        <v>5.0</v>
      </c>
      <c r="V18" s="131"/>
      <c r="W18" s="382">
        <f t="shared" si="1"/>
        <v>28</v>
      </c>
      <c r="X18" s="382">
        <f t="shared" si="2"/>
        <v>30</v>
      </c>
      <c r="Y18" s="382">
        <f t="shared" si="3"/>
        <v>40</v>
      </c>
      <c r="Z18" s="382">
        <f t="shared" si="4"/>
        <v>28</v>
      </c>
      <c r="AA18" s="383">
        <f t="shared" si="5"/>
        <v>20</v>
      </c>
      <c r="AB18" s="383">
        <f t="shared" si="6"/>
        <v>20</v>
      </c>
      <c r="AC18" s="383">
        <f t="shared" si="7"/>
        <v>0</v>
      </c>
      <c r="AD18" s="382">
        <f t="shared" si="8"/>
        <v>27.5</v>
      </c>
      <c r="AE18" s="131">
        <f t="shared" si="11"/>
        <v>153.5</v>
      </c>
      <c r="AF18" s="131">
        <f t="shared" si="9"/>
        <v>149</v>
      </c>
      <c r="AG18" s="198"/>
      <c r="AH18" s="131"/>
      <c r="AI18" s="131"/>
      <c r="AJ18" s="131"/>
      <c r="AK18" s="131"/>
    </row>
    <row r="19" ht="13.5" customHeight="1">
      <c r="A19" s="131" t="s">
        <v>318</v>
      </c>
      <c r="B19" s="198" t="s">
        <v>319</v>
      </c>
      <c r="C19" s="131" t="s">
        <v>21</v>
      </c>
      <c r="D19" s="131" t="s">
        <v>318</v>
      </c>
      <c r="E19" s="131">
        <v>4.0</v>
      </c>
      <c r="F19" s="131">
        <v>5.5</v>
      </c>
      <c r="G19" s="131">
        <v>5.5</v>
      </c>
      <c r="H19" s="131">
        <v>4.0</v>
      </c>
      <c r="I19" s="131">
        <v>5.5</v>
      </c>
      <c r="J19" s="131">
        <v>4.0</v>
      </c>
      <c r="K19" s="131">
        <v>3.0</v>
      </c>
      <c r="L19" s="131">
        <v>3.0</v>
      </c>
      <c r="M19" s="131"/>
      <c r="N19" s="131">
        <v>7.0</v>
      </c>
      <c r="O19" s="131">
        <v>7.0</v>
      </c>
      <c r="P19" s="131">
        <v>10.0</v>
      </c>
      <c r="Q19" s="131">
        <v>7.0</v>
      </c>
      <c r="R19" s="131">
        <v>10.0</v>
      </c>
      <c r="S19" s="131">
        <v>10.0</v>
      </c>
      <c r="T19" s="131">
        <v>10.0</v>
      </c>
      <c r="U19" s="131">
        <v>10.0</v>
      </c>
      <c r="V19" s="131"/>
      <c r="W19" s="383">
        <f t="shared" si="1"/>
        <v>28</v>
      </c>
      <c r="X19" s="382">
        <f t="shared" si="2"/>
        <v>38.5</v>
      </c>
      <c r="Y19" s="382">
        <f t="shared" si="3"/>
        <v>55</v>
      </c>
      <c r="Z19" s="383">
        <f t="shared" si="4"/>
        <v>28</v>
      </c>
      <c r="AA19" s="382">
        <f t="shared" si="5"/>
        <v>55</v>
      </c>
      <c r="AB19" s="382">
        <f t="shared" si="6"/>
        <v>40</v>
      </c>
      <c r="AC19" s="383">
        <f t="shared" si="7"/>
        <v>30</v>
      </c>
      <c r="AD19" s="382">
        <f t="shared" si="8"/>
        <v>30</v>
      </c>
      <c r="AE19" s="131">
        <f t="shared" si="11"/>
        <v>218.5</v>
      </c>
      <c r="AF19" s="131">
        <f t="shared" si="9"/>
        <v>206</v>
      </c>
      <c r="AG19" s="198"/>
      <c r="AH19" s="131"/>
      <c r="AI19" s="131"/>
      <c r="AJ19" s="131"/>
      <c r="AK19" s="131"/>
    </row>
    <row r="20" ht="13.5" customHeight="1">
      <c r="A20" s="131" t="s">
        <v>320</v>
      </c>
      <c r="B20" s="198" t="s">
        <v>321</v>
      </c>
      <c r="C20" s="131" t="s">
        <v>24</v>
      </c>
      <c r="D20" s="131" t="s">
        <v>320</v>
      </c>
      <c r="E20" s="131">
        <v>4.0</v>
      </c>
      <c r="F20" s="131">
        <v>5.5</v>
      </c>
      <c r="G20" s="131">
        <v>5.5</v>
      </c>
      <c r="H20" s="131">
        <v>4.0</v>
      </c>
      <c r="I20" s="131">
        <v>8.5</v>
      </c>
      <c r="J20" s="131">
        <v>7.0</v>
      </c>
      <c r="K20" s="131">
        <v>4.0</v>
      </c>
      <c r="L20" s="131">
        <v>0.0</v>
      </c>
      <c r="M20" s="131"/>
      <c r="N20" s="131">
        <v>10.0</v>
      </c>
      <c r="O20" s="131">
        <v>10.0</v>
      </c>
      <c r="P20" s="131">
        <v>10.0</v>
      </c>
      <c r="Q20" s="131">
        <v>7.0</v>
      </c>
      <c r="R20" s="131">
        <v>10.0</v>
      </c>
      <c r="S20" s="131">
        <v>10.0</v>
      </c>
      <c r="T20" s="131">
        <v>10.0</v>
      </c>
      <c r="U20" s="131">
        <v>5.0</v>
      </c>
      <c r="V20" s="131"/>
      <c r="W20" s="382">
        <f t="shared" si="1"/>
        <v>40</v>
      </c>
      <c r="X20" s="382">
        <f t="shared" si="2"/>
        <v>55</v>
      </c>
      <c r="Y20" s="382">
        <f t="shared" si="3"/>
        <v>55</v>
      </c>
      <c r="Z20" s="383">
        <f t="shared" si="4"/>
        <v>28</v>
      </c>
      <c r="AA20" s="382">
        <f t="shared" si="5"/>
        <v>85</v>
      </c>
      <c r="AB20" s="382">
        <f t="shared" si="6"/>
        <v>70</v>
      </c>
      <c r="AC20" s="382">
        <f t="shared" si="7"/>
        <v>40</v>
      </c>
      <c r="AD20" s="383">
        <f t="shared" si="8"/>
        <v>0</v>
      </c>
      <c r="AE20" s="131">
        <f t="shared" ref="AE20:AE22" si="12">LARGE(W20:AD20,1)+LARGE(W20:AD20,2)+LARGE(W20:AD20,3)+LARGE(W20:AD20,4)+LARGE(W20:AD20,5)+LARGE(W20:AD20,6)</f>
        <v>345</v>
      </c>
      <c r="AF20" s="131">
        <f t="shared" si="9"/>
        <v>335</v>
      </c>
      <c r="AG20" s="198"/>
      <c r="AH20" s="131"/>
      <c r="AI20" s="131"/>
      <c r="AJ20" s="131"/>
      <c r="AK20" s="131"/>
    </row>
    <row r="21" ht="13.5" customHeight="1">
      <c r="A21" s="131" t="s">
        <v>322</v>
      </c>
      <c r="B21" s="198" t="s">
        <v>323</v>
      </c>
      <c r="C21" s="131" t="s">
        <v>24</v>
      </c>
      <c r="D21" s="131" t="s">
        <v>322</v>
      </c>
      <c r="E21" s="131">
        <v>4.0</v>
      </c>
      <c r="F21" s="131">
        <v>7.0</v>
      </c>
      <c r="G21" s="131">
        <v>7.0</v>
      </c>
      <c r="H21" s="131">
        <v>4.0</v>
      </c>
      <c r="I21" s="131">
        <v>7.0</v>
      </c>
      <c r="J21" s="131">
        <v>7.0</v>
      </c>
      <c r="K21" s="131">
        <v>5.5</v>
      </c>
      <c r="L21" s="131">
        <v>5.5</v>
      </c>
      <c r="M21" s="131"/>
      <c r="N21" s="131">
        <v>10.0</v>
      </c>
      <c r="O21" s="131">
        <v>10.0</v>
      </c>
      <c r="P21" s="131">
        <v>7.0</v>
      </c>
      <c r="Q21" s="131">
        <v>7.0</v>
      </c>
      <c r="R21" s="131">
        <v>10.0</v>
      </c>
      <c r="S21" s="131">
        <v>10.0</v>
      </c>
      <c r="T21" s="131">
        <v>5.0</v>
      </c>
      <c r="U21" s="131">
        <v>5.0</v>
      </c>
      <c r="V21" s="131"/>
      <c r="W21" s="382">
        <f t="shared" si="1"/>
        <v>40</v>
      </c>
      <c r="X21" s="382">
        <f t="shared" si="2"/>
        <v>70</v>
      </c>
      <c r="Y21" s="382">
        <f t="shared" si="3"/>
        <v>49</v>
      </c>
      <c r="Z21" s="382">
        <f t="shared" si="4"/>
        <v>28</v>
      </c>
      <c r="AA21" s="382">
        <f t="shared" si="5"/>
        <v>70</v>
      </c>
      <c r="AB21" s="382">
        <f t="shared" si="6"/>
        <v>70</v>
      </c>
      <c r="AC21" s="383">
        <f t="shared" si="7"/>
        <v>27.5</v>
      </c>
      <c r="AD21" s="383">
        <f t="shared" si="8"/>
        <v>27.5</v>
      </c>
      <c r="AE21" s="131">
        <f t="shared" si="12"/>
        <v>327</v>
      </c>
      <c r="AF21" s="131">
        <f t="shared" si="9"/>
        <v>327</v>
      </c>
      <c r="AG21" s="198"/>
      <c r="AH21" s="131"/>
      <c r="AI21" s="131"/>
      <c r="AJ21" s="131"/>
      <c r="AK21" s="131"/>
    </row>
    <row r="22" ht="13.5" customHeight="1">
      <c r="A22" s="131" t="s">
        <v>324</v>
      </c>
      <c r="B22" s="198" t="s">
        <v>325</v>
      </c>
      <c r="C22" s="131" t="s">
        <v>24</v>
      </c>
      <c r="D22" s="131" t="s">
        <v>324</v>
      </c>
      <c r="E22" s="131">
        <v>4.0</v>
      </c>
      <c r="F22" s="131">
        <v>5.5</v>
      </c>
      <c r="G22" s="131">
        <v>7.0</v>
      </c>
      <c r="H22" s="131">
        <v>5.5</v>
      </c>
      <c r="I22" s="131">
        <v>7.0</v>
      </c>
      <c r="J22" s="131">
        <v>7.0</v>
      </c>
      <c r="K22" s="131">
        <v>7.0</v>
      </c>
      <c r="L22" s="131">
        <v>5.5</v>
      </c>
      <c r="M22" s="131"/>
      <c r="N22" s="131">
        <v>10.0</v>
      </c>
      <c r="O22" s="131">
        <v>10.0</v>
      </c>
      <c r="P22" s="131">
        <v>7.0</v>
      </c>
      <c r="Q22" s="131">
        <v>7.0</v>
      </c>
      <c r="R22" s="131">
        <v>10.0</v>
      </c>
      <c r="S22" s="131">
        <v>10.0</v>
      </c>
      <c r="T22" s="131">
        <v>5.0</v>
      </c>
      <c r="U22" s="131">
        <v>5.0</v>
      </c>
      <c r="V22" s="131"/>
      <c r="W22" s="382">
        <f t="shared" si="1"/>
        <v>40</v>
      </c>
      <c r="X22" s="382">
        <f t="shared" si="2"/>
        <v>55</v>
      </c>
      <c r="Y22" s="382">
        <f t="shared" si="3"/>
        <v>49</v>
      </c>
      <c r="Z22" s="382">
        <f t="shared" si="4"/>
        <v>38.5</v>
      </c>
      <c r="AA22" s="382">
        <f t="shared" si="5"/>
        <v>70</v>
      </c>
      <c r="AB22" s="382">
        <f t="shared" si="6"/>
        <v>70</v>
      </c>
      <c r="AC22" s="383">
        <f t="shared" si="7"/>
        <v>35</v>
      </c>
      <c r="AD22" s="383">
        <f t="shared" si="8"/>
        <v>27.5</v>
      </c>
      <c r="AE22" s="131">
        <f t="shared" si="12"/>
        <v>322.5</v>
      </c>
      <c r="AF22" s="132">
        <f t="shared" si="9"/>
        <v>306</v>
      </c>
      <c r="AG22" s="198" t="s">
        <v>1382</v>
      </c>
      <c r="AH22" s="131"/>
      <c r="AI22" s="131"/>
      <c r="AJ22" s="131"/>
      <c r="AK22" s="131"/>
    </row>
    <row r="23" ht="13.5" customHeight="1">
      <c r="A23" s="131" t="s">
        <v>326</v>
      </c>
      <c r="B23" s="198" t="s">
        <v>327</v>
      </c>
      <c r="C23" s="131" t="s">
        <v>191</v>
      </c>
      <c r="D23" s="131" t="s">
        <v>326</v>
      </c>
      <c r="E23" s="131">
        <v>5.5</v>
      </c>
      <c r="F23" s="131">
        <v>4.0</v>
      </c>
      <c r="G23" s="131">
        <v>5.5</v>
      </c>
      <c r="H23" s="131">
        <v>5.5</v>
      </c>
      <c r="I23" s="131">
        <v>4.0</v>
      </c>
      <c r="J23" s="131">
        <v>4.0</v>
      </c>
      <c r="K23" s="131">
        <v>4.0</v>
      </c>
      <c r="L23" s="131">
        <v>0.0</v>
      </c>
      <c r="M23" s="131"/>
      <c r="N23" s="131">
        <v>10.0</v>
      </c>
      <c r="O23" s="131">
        <v>10.0</v>
      </c>
      <c r="P23" s="131">
        <v>10.0</v>
      </c>
      <c r="Q23" s="131">
        <v>10.0</v>
      </c>
      <c r="R23" s="131">
        <v>10.0</v>
      </c>
      <c r="S23" s="131">
        <v>5.0</v>
      </c>
      <c r="T23" s="131">
        <v>5.0</v>
      </c>
      <c r="U23" s="131">
        <v>5.0</v>
      </c>
      <c r="V23" s="131"/>
      <c r="W23" s="382">
        <f t="shared" si="1"/>
        <v>55</v>
      </c>
      <c r="X23" s="382">
        <f t="shared" si="2"/>
        <v>40</v>
      </c>
      <c r="Y23" s="382">
        <f t="shared" si="3"/>
        <v>55</v>
      </c>
      <c r="Z23" s="382">
        <f t="shared" si="4"/>
        <v>55</v>
      </c>
      <c r="AA23" s="382">
        <f t="shared" si="5"/>
        <v>40</v>
      </c>
      <c r="AB23" s="383">
        <f t="shared" si="6"/>
        <v>20</v>
      </c>
      <c r="AC23" s="382">
        <f t="shared" si="7"/>
        <v>20</v>
      </c>
      <c r="AD23" s="383">
        <f t="shared" si="8"/>
        <v>0</v>
      </c>
      <c r="AE23" s="131">
        <f>SUM(W23:Z23)+LARGE(AA23:AD23,1)+LARGE(AA23:AD23,2)</f>
        <v>265</v>
      </c>
      <c r="AF23" s="131">
        <f t="shared" si="9"/>
        <v>257.5</v>
      </c>
      <c r="AG23" s="198"/>
      <c r="AH23" s="131"/>
      <c r="AI23" s="131"/>
      <c r="AJ23" s="131"/>
      <c r="AK23" s="131"/>
    </row>
    <row r="24" ht="13.5" customHeight="1">
      <c r="A24" s="131" t="s">
        <v>328</v>
      </c>
      <c r="B24" s="198" t="s">
        <v>329</v>
      </c>
      <c r="C24" s="131" t="s">
        <v>24</v>
      </c>
      <c r="D24" s="131" t="s">
        <v>328</v>
      </c>
      <c r="E24" s="131">
        <v>4.0</v>
      </c>
      <c r="F24" s="131">
        <v>5.5</v>
      </c>
      <c r="G24" s="131">
        <v>7.0</v>
      </c>
      <c r="H24" s="131">
        <v>4.0</v>
      </c>
      <c r="I24" s="131">
        <v>7.0</v>
      </c>
      <c r="J24" s="131">
        <v>5.5</v>
      </c>
      <c r="K24" s="131">
        <v>5.5</v>
      </c>
      <c r="L24" s="131">
        <v>5.5</v>
      </c>
      <c r="M24" s="131"/>
      <c r="N24" s="131">
        <v>7.0</v>
      </c>
      <c r="O24" s="131">
        <v>10.0</v>
      </c>
      <c r="P24" s="131">
        <v>10.0</v>
      </c>
      <c r="Q24" s="131">
        <v>7.0</v>
      </c>
      <c r="R24" s="131">
        <v>10.0</v>
      </c>
      <c r="S24" s="131">
        <v>10.0</v>
      </c>
      <c r="T24" s="131">
        <v>10.0</v>
      </c>
      <c r="U24" s="131">
        <v>10.0</v>
      </c>
      <c r="V24" s="131"/>
      <c r="W24" s="383">
        <f t="shared" si="1"/>
        <v>28</v>
      </c>
      <c r="X24" s="382">
        <f t="shared" si="2"/>
        <v>55</v>
      </c>
      <c r="Y24" s="382">
        <f t="shared" si="3"/>
        <v>70</v>
      </c>
      <c r="Z24" s="383">
        <f t="shared" si="4"/>
        <v>28</v>
      </c>
      <c r="AA24" s="382">
        <f t="shared" si="5"/>
        <v>70</v>
      </c>
      <c r="AB24" s="382">
        <f t="shared" si="6"/>
        <v>55</v>
      </c>
      <c r="AC24" s="382">
        <f t="shared" si="7"/>
        <v>55</v>
      </c>
      <c r="AD24" s="382">
        <f t="shared" si="8"/>
        <v>55</v>
      </c>
      <c r="AE24" s="131">
        <f>LARGE(W24:AD24,1)+LARGE(W24:AD24,2)+LARGE(W24:AD24,3)+LARGE(W24:AD24,4)+LARGE(W24:AD24,5)+LARGE(W24:AD24,6)</f>
        <v>360</v>
      </c>
      <c r="AF24" s="131">
        <f t="shared" si="9"/>
        <v>318</v>
      </c>
      <c r="AG24" s="198"/>
      <c r="AH24" s="131"/>
      <c r="AI24" s="131"/>
      <c r="AJ24" s="131"/>
      <c r="AK24" s="131"/>
    </row>
    <row r="25" ht="13.5" customHeight="1">
      <c r="A25" s="131" t="s">
        <v>330</v>
      </c>
      <c r="B25" s="198" t="s">
        <v>331</v>
      </c>
      <c r="C25" s="131" t="s">
        <v>191</v>
      </c>
      <c r="D25" s="131" t="s">
        <v>330</v>
      </c>
      <c r="E25" s="131">
        <v>4.0</v>
      </c>
      <c r="F25" s="131">
        <v>3.0</v>
      </c>
      <c r="G25" s="131">
        <v>5.5</v>
      </c>
      <c r="H25" s="131">
        <v>7.0</v>
      </c>
      <c r="I25" s="131">
        <v>5.5</v>
      </c>
      <c r="J25" s="131">
        <v>4.0</v>
      </c>
      <c r="K25" s="131">
        <v>0.0</v>
      </c>
      <c r="L25" s="131">
        <v>0.0</v>
      </c>
      <c r="M25" s="131"/>
      <c r="N25" s="131">
        <v>7.0</v>
      </c>
      <c r="O25" s="131">
        <v>7.0</v>
      </c>
      <c r="P25" s="131">
        <v>7.0</v>
      </c>
      <c r="Q25" s="131">
        <v>7.0</v>
      </c>
      <c r="R25" s="131">
        <v>5.0</v>
      </c>
      <c r="S25" s="131">
        <v>5.0</v>
      </c>
      <c r="T25" s="131">
        <v>5.0</v>
      </c>
      <c r="U25" s="131">
        <v>5.0</v>
      </c>
      <c r="V25" s="131"/>
      <c r="W25" s="382">
        <f t="shared" si="1"/>
        <v>28</v>
      </c>
      <c r="X25" s="382">
        <f t="shared" si="2"/>
        <v>21</v>
      </c>
      <c r="Y25" s="382">
        <f t="shared" si="3"/>
        <v>38.5</v>
      </c>
      <c r="Z25" s="382">
        <f t="shared" si="4"/>
        <v>49</v>
      </c>
      <c r="AA25" s="382">
        <f t="shared" si="5"/>
        <v>27.5</v>
      </c>
      <c r="AB25" s="382">
        <f t="shared" si="6"/>
        <v>20</v>
      </c>
      <c r="AC25" s="383">
        <f t="shared" si="7"/>
        <v>0</v>
      </c>
      <c r="AD25" s="383">
        <f t="shared" si="8"/>
        <v>0</v>
      </c>
      <c r="AE25" s="131">
        <f>SUM(W25:Z25)+LARGE(AA25:AD25,1)+LARGE(AA25:AD25,2)</f>
        <v>184</v>
      </c>
      <c r="AF25" s="131">
        <f t="shared" si="9"/>
        <v>183.5</v>
      </c>
      <c r="AG25" s="198"/>
      <c r="AH25" s="131"/>
      <c r="AI25" s="131"/>
      <c r="AJ25" s="131"/>
      <c r="AK25" s="131"/>
    </row>
    <row r="26" ht="13.5" customHeight="1">
      <c r="A26" s="131" t="s">
        <v>332</v>
      </c>
      <c r="B26" s="198" t="s">
        <v>333</v>
      </c>
      <c r="C26" s="131" t="s">
        <v>21</v>
      </c>
      <c r="D26" s="131" t="s">
        <v>332</v>
      </c>
      <c r="E26" s="131">
        <v>4.0</v>
      </c>
      <c r="F26" s="131">
        <v>4.0</v>
      </c>
      <c r="G26" s="131">
        <v>4.0</v>
      </c>
      <c r="H26" s="131">
        <v>2.0</v>
      </c>
      <c r="I26" s="131">
        <v>4.0</v>
      </c>
      <c r="J26" s="131">
        <v>3.0</v>
      </c>
      <c r="K26" s="131">
        <v>3.0</v>
      </c>
      <c r="L26" s="131">
        <v>0.0</v>
      </c>
      <c r="M26" s="131"/>
      <c r="N26" s="131">
        <v>7.0</v>
      </c>
      <c r="O26" s="131">
        <v>10.0</v>
      </c>
      <c r="P26" s="131">
        <v>10.0</v>
      </c>
      <c r="Q26" s="131">
        <v>7.0</v>
      </c>
      <c r="R26" s="132">
        <v>7.0</v>
      </c>
      <c r="S26" s="131">
        <v>5.0</v>
      </c>
      <c r="T26" s="131">
        <v>5.0</v>
      </c>
      <c r="U26" s="131">
        <v>5.0</v>
      </c>
      <c r="V26" s="131"/>
      <c r="W26" s="382">
        <f t="shared" si="1"/>
        <v>28</v>
      </c>
      <c r="X26" s="382">
        <f t="shared" si="2"/>
        <v>40</v>
      </c>
      <c r="Y26" s="382">
        <f t="shared" si="3"/>
        <v>40</v>
      </c>
      <c r="Z26" s="383">
        <f t="shared" si="4"/>
        <v>14</v>
      </c>
      <c r="AA26" s="382">
        <f t="shared" si="5"/>
        <v>28</v>
      </c>
      <c r="AB26" s="383">
        <f t="shared" si="6"/>
        <v>15</v>
      </c>
      <c r="AC26" s="382">
        <f t="shared" si="7"/>
        <v>15</v>
      </c>
      <c r="AD26" s="383">
        <f t="shared" si="8"/>
        <v>0</v>
      </c>
      <c r="AE26" s="132">
        <f t="shared" ref="AE26:AE31" si="13">LARGE(W26:AD26,1)+LARGE(W26:AD26,2)+LARGE(W26:AD26,3)+LARGE(W26:AD26,4)+LARGE(W26:AD26,5)</f>
        <v>151</v>
      </c>
      <c r="AF26" s="131">
        <f t="shared" si="9"/>
        <v>146</v>
      </c>
      <c r="AG26" s="198" t="s">
        <v>1383</v>
      </c>
      <c r="AH26" s="131"/>
      <c r="AI26" s="131"/>
      <c r="AJ26" s="131"/>
      <c r="AK26" s="131"/>
    </row>
    <row r="27" ht="13.5" customHeight="1">
      <c r="A27" s="131" t="s">
        <v>334</v>
      </c>
      <c r="B27" s="198" t="s">
        <v>335</v>
      </c>
      <c r="C27" s="131" t="s">
        <v>21</v>
      </c>
      <c r="D27" s="131" t="s">
        <v>334</v>
      </c>
      <c r="E27" s="131">
        <v>3.0</v>
      </c>
      <c r="F27" s="131">
        <v>3.0</v>
      </c>
      <c r="G27" s="131">
        <v>4.0</v>
      </c>
      <c r="H27" s="131">
        <v>3.0</v>
      </c>
      <c r="I27" s="131">
        <v>4.0</v>
      </c>
      <c r="J27" s="131">
        <v>4.0</v>
      </c>
      <c r="K27" s="131">
        <v>3.0</v>
      </c>
      <c r="L27" s="131">
        <v>0.0</v>
      </c>
      <c r="M27" s="131"/>
      <c r="N27" s="131">
        <v>7.0</v>
      </c>
      <c r="O27" s="131">
        <v>10.0</v>
      </c>
      <c r="P27" s="131">
        <v>10.0</v>
      </c>
      <c r="Q27" s="131">
        <v>7.0</v>
      </c>
      <c r="R27" s="131">
        <v>10.0</v>
      </c>
      <c r="S27" s="131">
        <v>10.0</v>
      </c>
      <c r="T27" s="131">
        <v>10.0</v>
      </c>
      <c r="U27" s="131">
        <v>10.0</v>
      </c>
      <c r="V27" s="131"/>
      <c r="W27" s="383">
        <f t="shared" si="1"/>
        <v>21</v>
      </c>
      <c r="X27" s="382">
        <f t="shared" si="2"/>
        <v>30</v>
      </c>
      <c r="Y27" s="382">
        <f t="shared" si="3"/>
        <v>40</v>
      </c>
      <c r="Z27" s="383">
        <f t="shared" si="4"/>
        <v>21</v>
      </c>
      <c r="AA27" s="382">
        <f t="shared" si="5"/>
        <v>40</v>
      </c>
      <c r="AB27" s="382">
        <f t="shared" si="6"/>
        <v>40</v>
      </c>
      <c r="AC27" s="382">
        <f t="shared" si="7"/>
        <v>30</v>
      </c>
      <c r="AD27" s="383">
        <f t="shared" si="8"/>
        <v>0</v>
      </c>
      <c r="AE27" s="131">
        <f t="shared" si="13"/>
        <v>180</v>
      </c>
      <c r="AF27" s="131">
        <f t="shared" si="9"/>
        <v>170</v>
      </c>
      <c r="AG27" s="198"/>
      <c r="AH27" s="131"/>
      <c r="AI27" s="131"/>
      <c r="AJ27" s="131"/>
      <c r="AK27" s="131"/>
    </row>
    <row r="28" ht="13.5" customHeight="1">
      <c r="A28" s="131" t="s">
        <v>336</v>
      </c>
      <c r="B28" s="198" t="s">
        <v>337</v>
      </c>
      <c r="C28" s="131" t="s">
        <v>21</v>
      </c>
      <c r="D28" s="131" t="s">
        <v>336</v>
      </c>
      <c r="E28" s="131">
        <v>4.0</v>
      </c>
      <c r="F28" s="131">
        <v>3.0</v>
      </c>
      <c r="G28" s="131">
        <v>4.0</v>
      </c>
      <c r="H28" s="131">
        <v>4.0</v>
      </c>
      <c r="I28" s="131">
        <v>5.5</v>
      </c>
      <c r="J28" s="131">
        <v>4.0</v>
      </c>
      <c r="K28" s="131">
        <v>0.0</v>
      </c>
      <c r="L28" s="131">
        <v>5.5</v>
      </c>
      <c r="M28" s="131"/>
      <c r="N28" s="131">
        <v>7.0</v>
      </c>
      <c r="O28" s="131">
        <v>10.0</v>
      </c>
      <c r="P28" s="131">
        <v>10.0</v>
      </c>
      <c r="Q28" s="131">
        <v>7.0</v>
      </c>
      <c r="R28" s="131">
        <v>10.0</v>
      </c>
      <c r="S28" s="131">
        <v>10.0</v>
      </c>
      <c r="T28" s="131">
        <v>10.0</v>
      </c>
      <c r="U28" s="131">
        <v>10.0</v>
      </c>
      <c r="V28" s="131"/>
      <c r="W28" s="383">
        <f t="shared" si="1"/>
        <v>28</v>
      </c>
      <c r="X28" s="382">
        <f t="shared" si="2"/>
        <v>30</v>
      </c>
      <c r="Y28" s="382">
        <f t="shared" si="3"/>
        <v>40</v>
      </c>
      <c r="Z28" s="383">
        <f t="shared" si="4"/>
        <v>28</v>
      </c>
      <c r="AA28" s="382">
        <f t="shared" si="5"/>
        <v>55</v>
      </c>
      <c r="AB28" s="382">
        <f t="shared" si="6"/>
        <v>40</v>
      </c>
      <c r="AC28" s="383">
        <f t="shared" si="7"/>
        <v>0</v>
      </c>
      <c r="AD28" s="382">
        <f t="shared" si="8"/>
        <v>55</v>
      </c>
      <c r="AE28" s="131">
        <f t="shared" si="13"/>
        <v>220</v>
      </c>
      <c r="AF28" s="131">
        <f t="shared" si="9"/>
        <v>186</v>
      </c>
      <c r="AG28" s="198"/>
      <c r="AH28" s="131"/>
      <c r="AI28" s="131"/>
      <c r="AJ28" s="131"/>
      <c r="AK28" s="131"/>
    </row>
    <row r="29" ht="13.5" customHeight="1">
      <c r="A29" s="131" t="s">
        <v>338</v>
      </c>
      <c r="B29" s="198" t="s">
        <v>339</v>
      </c>
      <c r="C29" s="131" t="s">
        <v>21</v>
      </c>
      <c r="D29" s="131" t="s">
        <v>338</v>
      </c>
      <c r="E29" s="131">
        <v>4.0</v>
      </c>
      <c r="F29" s="131">
        <v>4.0</v>
      </c>
      <c r="G29" s="131">
        <v>4.0</v>
      </c>
      <c r="H29" s="131">
        <v>4.0</v>
      </c>
      <c r="I29" s="131">
        <v>5.5</v>
      </c>
      <c r="J29" s="131">
        <v>4.0</v>
      </c>
      <c r="K29" s="131">
        <v>0.0</v>
      </c>
      <c r="L29" s="131">
        <v>0.0</v>
      </c>
      <c r="M29" s="131"/>
      <c r="N29" s="131">
        <v>7.0</v>
      </c>
      <c r="O29" s="131">
        <v>10.0</v>
      </c>
      <c r="P29" s="131">
        <v>10.0</v>
      </c>
      <c r="Q29" s="131">
        <v>7.0</v>
      </c>
      <c r="R29" s="131">
        <v>10.0</v>
      </c>
      <c r="S29" s="131">
        <v>5.0</v>
      </c>
      <c r="T29" s="131">
        <v>5.0</v>
      </c>
      <c r="U29" s="131">
        <v>10.0</v>
      </c>
      <c r="V29" s="131"/>
      <c r="W29" s="382">
        <f t="shared" si="1"/>
        <v>28</v>
      </c>
      <c r="X29" s="382">
        <f t="shared" si="2"/>
        <v>40</v>
      </c>
      <c r="Y29" s="382">
        <f t="shared" si="3"/>
        <v>40</v>
      </c>
      <c r="Z29" s="382">
        <f t="shared" si="4"/>
        <v>28</v>
      </c>
      <c r="AA29" s="382">
        <f t="shared" si="5"/>
        <v>55</v>
      </c>
      <c r="AB29" s="383">
        <f t="shared" si="6"/>
        <v>20</v>
      </c>
      <c r="AC29" s="383">
        <f t="shared" si="7"/>
        <v>0</v>
      </c>
      <c r="AD29" s="383">
        <f t="shared" si="8"/>
        <v>0</v>
      </c>
      <c r="AE29" s="131">
        <f t="shared" si="13"/>
        <v>191</v>
      </c>
      <c r="AF29" s="131">
        <f t="shared" si="9"/>
        <v>184</v>
      </c>
      <c r="AG29" s="198"/>
      <c r="AH29" s="131"/>
      <c r="AI29" s="131"/>
      <c r="AJ29" s="131"/>
      <c r="AK29" s="131"/>
    </row>
    <row r="30" ht="13.5" customHeight="1">
      <c r="A30" s="131" t="s">
        <v>340</v>
      </c>
      <c r="B30" s="198" t="s">
        <v>341</v>
      </c>
      <c r="C30" s="131" t="s">
        <v>21</v>
      </c>
      <c r="D30" s="131" t="s">
        <v>340</v>
      </c>
      <c r="E30" s="131">
        <v>3.0</v>
      </c>
      <c r="F30" s="131">
        <v>3.0</v>
      </c>
      <c r="G30" s="131">
        <v>4.0</v>
      </c>
      <c r="H30" s="131">
        <v>3.0</v>
      </c>
      <c r="I30" s="131">
        <v>4.0</v>
      </c>
      <c r="J30" s="131">
        <v>4.0</v>
      </c>
      <c r="K30" s="131">
        <v>0.0</v>
      </c>
      <c r="L30" s="131">
        <v>3.0</v>
      </c>
      <c r="M30" s="131"/>
      <c r="N30" s="131">
        <v>7.0</v>
      </c>
      <c r="O30" s="131">
        <v>10.0</v>
      </c>
      <c r="P30" s="131">
        <v>10.0</v>
      </c>
      <c r="Q30" s="131">
        <v>7.0</v>
      </c>
      <c r="R30" s="131">
        <v>10.0</v>
      </c>
      <c r="S30" s="131">
        <v>10.0</v>
      </c>
      <c r="T30" s="131">
        <v>10.0</v>
      </c>
      <c r="U30" s="131">
        <v>10.0</v>
      </c>
      <c r="V30" s="131"/>
      <c r="W30" s="383">
        <f t="shared" si="1"/>
        <v>21</v>
      </c>
      <c r="X30" s="382">
        <f t="shared" si="2"/>
        <v>30</v>
      </c>
      <c r="Y30" s="382">
        <f t="shared" si="3"/>
        <v>40</v>
      </c>
      <c r="Z30" s="383">
        <f t="shared" si="4"/>
        <v>21</v>
      </c>
      <c r="AA30" s="382">
        <f t="shared" si="5"/>
        <v>40</v>
      </c>
      <c r="AB30" s="382">
        <f t="shared" si="6"/>
        <v>40</v>
      </c>
      <c r="AC30" s="383">
        <f t="shared" si="7"/>
        <v>0</v>
      </c>
      <c r="AD30" s="382">
        <f t="shared" si="8"/>
        <v>30</v>
      </c>
      <c r="AE30" s="131">
        <f t="shared" si="13"/>
        <v>180</v>
      </c>
      <c r="AF30" s="131">
        <f t="shared" si="9"/>
        <v>176</v>
      </c>
      <c r="AG30" s="198"/>
      <c r="AH30" s="131"/>
      <c r="AI30" s="131"/>
      <c r="AJ30" s="131"/>
      <c r="AK30" s="131"/>
    </row>
    <row r="31" ht="13.5" customHeight="1">
      <c r="A31" s="131" t="s">
        <v>342</v>
      </c>
      <c r="B31" s="198" t="s">
        <v>343</v>
      </c>
      <c r="C31" s="131" t="s">
        <v>21</v>
      </c>
      <c r="D31" s="131" t="s">
        <v>342</v>
      </c>
      <c r="E31" s="131">
        <v>4.0</v>
      </c>
      <c r="F31" s="131">
        <v>4.0</v>
      </c>
      <c r="G31" s="131">
        <v>4.0</v>
      </c>
      <c r="H31" s="131">
        <v>4.0</v>
      </c>
      <c r="I31" s="131">
        <v>4.0</v>
      </c>
      <c r="J31" s="131">
        <v>3.0</v>
      </c>
      <c r="K31" s="131">
        <v>0.0</v>
      </c>
      <c r="L31" s="131">
        <v>0.0</v>
      </c>
      <c r="M31" s="131"/>
      <c r="N31" s="131">
        <v>7.0</v>
      </c>
      <c r="O31" s="131">
        <v>10.0</v>
      </c>
      <c r="P31" s="131">
        <v>10.0</v>
      </c>
      <c r="Q31" s="131">
        <v>7.0</v>
      </c>
      <c r="R31" s="131">
        <v>10.0</v>
      </c>
      <c r="S31" s="131">
        <v>5.0</v>
      </c>
      <c r="T31" s="131">
        <v>5.0</v>
      </c>
      <c r="U31" s="131">
        <v>5.0</v>
      </c>
      <c r="V31" s="131"/>
      <c r="W31" s="382">
        <f t="shared" si="1"/>
        <v>28</v>
      </c>
      <c r="X31" s="382">
        <f t="shared" si="2"/>
        <v>40</v>
      </c>
      <c r="Y31" s="382">
        <f t="shared" si="3"/>
        <v>40</v>
      </c>
      <c r="Z31" s="382">
        <f t="shared" si="4"/>
        <v>28</v>
      </c>
      <c r="AA31" s="382">
        <f t="shared" si="5"/>
        <v>40</v>
      </c>
      <c r="AB31" s="383">
        <f t="shared" si="6"/>
        <v>15</v>
      </c>
      <c r="AC31" s="383">
        <f t="shared" si="7"/>
        <v>0</v>
      </c>
      <c r="AD31" s="383">
        <f t="shared" si="8"/>
        <v>0</v>
      </c>
      <c r="AE31" s="131">
        <f t="shared" si="13"/>
        <v>176</v>
      </c>
      <c r="AF31" s="131">
        <f t="shared" si="9"/>
        <v>159</v>
      </c>
      <c r="AG31" s="198"/>
      <c r="AH31" s="131"/>
      <c r="AI31" s="131"/>
      <c r="AJ31" s="131"/>
      <c r="AK31" s="131"/>
    </row>
    <row r="32" ht="13.5" customHeight="1">
      <c r="A32" s="131" t="s">
        <v>344</v>
      </c>
      <c r="B32" s="198" t="s">
        <v>345</v>
      </c>
      <c r="C32" s="131" t="s">
        <v>191</v>
      </c>
      <c r="D32" s="131" t="s">
        <v>344</v>
      </c>
      <c r="E32" s="131">
        <v>3.0</v>
      </c>
      <c r="F32" s="131">
        <v>3.0</v>
      </c>
      <c r="G32" s="131">
        <v>4.0</v>
      </c>
      <c r="H32" s="131">
        <v>4.0</v>
      </c>
      <c r="I32" s="131">
        <v>7.0</v>
      </c>
      <c r="J32" s="131">
        <v>4.0</v>
      </c>
      <c r="K32" s="131">
        <v>0.0</v>
      </c>
      <c r="L32" s="131">
        <v>0.0</v>
      </c>
      <c r="M32" s="131"/>
      <c r="N32" s="131">
        <v>7.0</v>
      </c>
      <c r="O32" s="131">
        <v>7.0</v>
      </c>
      <c r="P32" s="131">
        <v>7.0</v>
      </c>
      <c r="Q32" s="131">
        <v>7.0</v>
      </c>
      <c r="R32" s="131">
        <v>5.0</v>
      </c>
      <c r="S32" s="131">
        <v>5.0</v>
      </c>
      <c r="T32" s="131">
        <v>5.0</v>
      </c>
      <c r="U32" s="131">
        <v>5.0</v>
      </c>
      <c r="V32" s="131"/>
      <c r="W32" s="382">
        <f t="shared" si="1"/>
        <v>21</v>
      </c>
      <c r="X32" s="382">
        <f t="shared" si="2"/>
        <v>21</v>
      </c>
      <c r="Y32" s="382">
        <f t="shared" si="3"/>
        <v>28</v>
      </c>
      <c r="Z32" s="382">
        <f t="shared" si="4"/>
        <v>28</v>
      </c>
      <c r="AA32" s="382">
        <f t="shared" si="5"/>
        <v>35</v>
      </c>
      <c r="AB32" s="382">
        <f t="shared" si="6"/>
        <v>20</v>
      </c>
      <c r="AC32" s="383">
        <f t="shared" si="7"/>
        <v>0</v>
      </c>
      <c r="AD32" s="383">
        <f t="shared" si="8"/>
        <v>0</v>
      </c>
      <c r="AE32" s="132">
        <f>SUM(W32:Z32)+LARGE(AA32:AD32,1)+LARGE(AA32:AD32,2)</f>
        <v>153</v>
      </c>
      <c r="AF32" s="131">
        <f t="shared" si="9"/>
        <v>154</v>
      </c>
      <c r="AG32" s="198" t="s">
        <v>2325</v>
      </c>
      <c r="AH32" s="131"/>
      <c r="AI32" s="131"/>
      <c r="AJ32" s="131"/>
      <c r="AK32" s="131"/>
    </row>
    <row r="33" ht="13.5" customHeight="1">
      <c r="A33" s="131" t="s">
        <v>346</v>
      </c>
      <c r="B33" s="198" t="s">
        <v>347</v>
      </c>
      <c r="C33" s="131" t="s">
        <v>21</v>
      </c>
      <c r="D33" s="131" t="s">
        <v>346</v>
      </c>
      <c r="E33" s="131">
        <v>3.0</v>
      </c>
      <c r="F33" s="131">
        <v>4.0</v>
      </c>
      <c r="G33" s="131">
        <v>4.0</v>
      </c>
      <c r="H33" s="131">
        <v>3.0</v>
      </c>
      <c r="I33" s="131">
        <v>4.0</v>
      </c>
      <c r="J33" s="131">
        <v>4.0</v>
      </c>
      <c r="K33" s="131">
        <v>3.0</v>
      </c>
      <c r="L33" s="131">
        <v>2.0</v>
      </c>
      <c r="M33" s="131"/>
      <c r="N33" s="131">
        <v>7.0</v>
      </c>
      <c r="O33" s="131">
        <v>10.0</v>
      </c>
      <c r="P33" s="131">
        <v>10.0</v>
      </c>
      <c r="Q33" s="131">
        <v>7.0</v>
      </c>
      <c r="R33" s="131">
        <v>10.0</v>
      </c>
      <c r="S33" s="131">
        <v>5.0</v>
      </c>
      <c r="T33" s="131">
        <v>5.0</v>
      </c>
      <c r="U33" s="131">
        <v>10.0</v>
      </c>
      <c r="V33" s="131"/>
      <c r="W33" s="382">
        <f t="shared" si="1"/>
        <v>21</v>
      </c>
      <c r="X33" s="382">
        <f t="shared" si="2"/>
        <v>40</v>
      </c>
      <c r="Y33" s="382">
        <f t="shared" si="3"/>
        <v>40</v>
      </c>
      <c r="Z33" s="382">
        <f t="shared" si="4"/>
        <v>21</v>
      </c>
      <c r="AA33" s="382">
        <f t="shared" si="5"/>
        <v>40</v>
      </c>
      <c r="AB33" s="383">
        <f t="shared" si="6"/>
        <v>20</v>
      </c>
      <c r="AC33" s="383">
        <f t="shared" si="7"/>
        <v>15</v>
      </c>
      <c r="AD33" s="383">
        <f t="shared" si="8"/>
        <v>20</v>
      </c>
      <c r="AE33" s="131">
        <f t="shared" ref="AE33:AE36" si="14">LARGE(W33:AD33,1)+LARGE(W33:AD33,2)+LARGE(W33:AD33,3)+LARGE(W33:AD33,4)+LARGE(W33:AD33,5)</f>
        <v>162</v>
      </c>
      <c r="AF33" s="131">
        <f t="shared" si="9"/>
        <v>159</v>
      </c>
      <c r="AG33" s="198" t="s">
        <v>2326</v>
      </c>
      <c r="AH33" s="131"/>
      <c r="AI33" s="131"/>
      <c r="AJ33" s="131"/>
      <c r="AK33" s="131"/>
    </row>
    <row r="34" ht="13.5" customHeight="1">
      <c r="A34" s="131" t="s">
        <v>348</v>
      </c>
      <c r="B34" s="198" t="s">
        <v>349</v>
      </c>
      <c r="C34" s="131" t="s">
        <v>21</v>
      </c>
      <c r="D34" s="131" t="s">
        <v>348</v>
      </c>
      <c r="E34" s="131">
        <v>5.5</v>
      </c>
      <c r="F34" s="131">
        <v>3.0</v>
      </c>
      <c r="G34" s="131">
        <v>7.0</v>
      </c>
      <c r="H34" s="131">
        <v>4.0</v>
      </c>
      <c r="I34" s="131">
        <v>5.5</v>
      </c>
      <c r="J34" s="131">
        <v>5.5</v>
      </c>
      <c r="K34" s="131">
        <v>0.0</v>
      </c>
      <c r="L34" s="131">
        <v>4.0</v>
      </c>
      <c r="M34" s="131"/>
      <c r="N34" s="131">
        <v>7.0</v>
      </c>
      <c r="O34" s="131">
        <v>10.0</v>
      </c>
      <c r="P34" s="131">
        <v>7.0</v>
      </c>
      <c r="Q34" s="131">
        <v>7.0</v>
      </c>
      <c r="R34" s="131">
        <v>5.0</v>
      </c>
      <c r="S34" s="131">
        <v>5.0</v>
      </c>
      <c r="T34" s="131">
        <v>5.0</v>
      </c>
      <c r="U34" s="131">
        <v>5.0</v>
      </c>
      <c r="V34" s="131"/>
      <c r="W34" s="382">
        <f t="shared" si="1"/>
        <v>38.5</v>
      </c>
      <c r="X34" s="382">
        <f t="shared" si="2"/>
        <v>30</v>
      </c>
      <c r="Y34" s="382">
        <f t="shared" si="3"/>
        <v>49</v>
      </c>
      <c r="Z34" s="382">
        <f t="shared" si="4"/>
        <v>28</v>
      </c>
      <c r="AA34" s="383">
        <f t="shared" si="5"/>
        <v>27.5</v>
      </c>
      <c r="AB34" s="382">
        <f t="shared" si="6"/>
        <v>27.5</v>
      </c>
      <c r="AC34" s="383">
        <f t="shared" si="7"/>
        <v>0</v>
      </c>
      <c r="AD34" s="383">
        <f t="shared" si="8"/>
        <v>20</v>
      </c>
      <c r="AE34" s="131">
        <f t="shared" si="14"/>
        <v>173</v>
      </c>
      <c r="AF34" s="131">
        <f t="shared" si="9"/>
        <v>172.5</v>
      </c>
      <c r="AG34" s="198"/>
      <c r="AH34" s="131"/>
      <c r="AI34" s="131"/>
      <c r="AJ34" s="131"/>
      <c r="AK34" s="131"/>
    </row>
    <row r="35" ht="13.5" customHeight="1">
      <c r="A35" s="131" t="s">
        <v>350</v>
      </c>
      <c r="B35" s="198" t="s">
        <v>351</v>
      </c>
      <c r="C35" s="131" t="s">
        <v>21</v>
      </c>
      <c r="D35" s="131" t="s">
        <v>350</v>
      </c>
      <c r="E35" s="131">
        <v>4.0</v>
      </c>
      <c r="F35" s="131">
        <v>3.0</v>
      </c>
      <c r="G35" s="131">
        <v>4.0</v>
      </c>
      <c r="H35" s="131">
        <v>3.0</v>
      </c>
      <c r="I35" s="131">
        <v>5.5</v>
      </c>
      <c r="J35" s="131">
        <v>4.0</v>
      </c>
      <c r="K35" s="131">
        <v>0.0</v>
      </c>
      <c r="L35" s="131">
        <v>0.0</v>
      </c>
      <c r="M35" s="131"/>
      <c r="N35" s="131">
        <v>7.0</v>
      </c>
      <c r="O35" s="131">
        <v>10.0</v>
      </c>
      <c r="P35" s="131">
        <v>10.0</v>
      </c>
      <c r="Q35" s="131">
        <v>7.0</v>
      </c>
      <c r="R35" s="131">
        <v>10.0</v>
      </c>
      <c r="S35" s="131">
        <v>5.0</v>
      </c>
      <c r="T35" s="131">
        <v>5.0</v>
      </c>
      <c r="U35" s="131">
        <v>10.0</v>
      </c>
      <c r="V35" s="131"/>
      <c r="W35" s="382">
        <f t="shared" si="1"/>
        <v>28</v>
      </c>
      <c r="X35" s="382">
        <f t="shared" si="2"/>
        <v>30</v>
      </c>
      <c r="Y35" s="382">
        <f t="shared" si="3"/>
        <v>40</v>
      </c>
      <c r="Z35" s="382">
        <f t="shared" si="4"/>
        <v>21</v>
      </c>
      <c r="AA35" s="382">
        <f t="shared" si="5"/>
        <v>55</v>
      </c>
      <c r="AB35" s="383">
        <f t="shared" si="6"/>
        <v>20</v>
      </c>
      <c r="AC35" s="383">
        <f t="shared" si="7"/>
        <v>0</v>
      </c>
      <c r="AD35" s="383">
        <f t="shared" si="8"/>
        <v>0</v>
      </c>
      <c r="AE35" s="131">
        <f t="shared" si="14"/>
        <v>174</v>
      </c>
      <c r="AF35" s="131">
        <f t="shared" si="9"/>
        <v>152</v>
      </c>
      <c r="AG35" s="198"/>
      <c r="AH35" s="131"/>
      <c r="AI35" s="131"/>
      <c r="AJ35" s="131"/>
      <c r="AK35" s="131"/>
    </row>
    <row r="36" ht="13.5" customHeight="1">
      <c r="A36" s="131" t="s">
        <v>352</v>
      </c>
      <c r="B36" s="198" t="s">
        <v>353</v>
      </c>
      <c r="C36" s="131" t="s">
        <v>21</v>
      </c>
      <c r="D36" s="131" t="s">
        <v>352</v>
      </c>
      <c r="E36" s="131">
        <v>5.5</v>
      </c>
      <c r="F36" s="131">
        <v>4.0</v>
      </c>
      <c r="G36" s="131">
        <v>4.0</v>
      </c>
      <c r="H36" s="131">
        <v>4.0</v>
      </c>
      <c r="I36" s="131">
        <v>4.0</v>
      </c>
      <c r="J36" s="131">
        <v>4.0</v>
      </c>
      <c r="K36" s="131">
        <v>0.0</v>
      </c>
      <c r="L36" s="131">
        <v>0.0</v>
      </c>
      <c r="M36" s="131"/>
      <c r="N36" s="131">
        <v>7.0</v>
      </c>
      <c r="O36" s="131">
        <v>10.0</v>
      </c>
      <c r="P36" s="131">
        <v>10.0</v>
      </c>
      <c r="Q36" s="131">
        <v>7.0</v>
      </c>
      <c r="R36" s="131">
        <v>5.0</v>
      </c>
      <c r="S36" s="131">
        <v>5.0</v>
      </c>
      <c r="T36" s="131">
        <v>5.0</v>
      </c>
      <c r="U36" s="131">
        <v>5.0</v>
      </c>
      <c r="V36" s="131"/>
      <c r="W36" s="382">
        <f t="shared" si="1"/>
        <v>38.5</v>
      </c>
      <c r="X36" s="382">
        <f t="shared" si="2"/>
        <v>40</v>
      </c>
      <c r="Y36" s="382">
        <f t="shared" si="3"/>
        <v>40</v>
      </c>
      <c r="Z36" s="382">
        <f t="shared" si="4"/>
        <v>28</v>
      </c>
      <c r="AA36" s="383">
        <f t="shared" si="5"/>
        <v>20</v>
      </c>
      <c r="AB36" s="382">
        <f t="shared" si="6"/>
        <v>20</v>
      </c>
      <c r="AC36" s="383">
        <f t="shared" si="7"/>
        <v>0</v>
      </c>
      <c r="AD36" s="383">
        <f t="shared" si="8"/>
        <v>0</v>
      </c>
      <c r="AE36" s="131">
        <f t="shared" si="14"/>
        <v>166.5</v>
      </c>
      <c r="AF36" s="131">
        <f t="shared" si="9"/>
        <v>156.5</v>
      </c>
      <c r="AG36" s="198"/>
      <c r="AH36" s="131"/>
      <c r="AI36" s="131"/>
      <c r="AJ36" s="131"/>
      <c r="AK36" s="131"/>
    </row>
    <row r="37" ht="13.5" customHeight="1">
      <c r="A37" s="131" t="s">
        <v>356</v>
      </c>
      <c r="B37" s="198" t="s">
        <v>357</v>
      </c>
      <c r="C37" s="131" t="s">
        <v>358</v>
      </c>
      <c r="D37" s="131" t="s">
        <v>356</v>
      </c>
      <c r="E37" s="131">
        <v>5.5</v>
      </c>
      <c r="F37" s="131">
        <v>4.0</v>
      </c>
      <c r="G37" s="131">
        <v>4.0</v>
      </c>
      <c r="H37" s="131">
        <v>4.0</v>
      </c>
      <c r="I37" s="131">
        <v>4.0</v>
      </c>
      <c r="J37" s="131">
        <v>4.0</v>
      </c>
      <c r="K37" s="131">
        <v>0.0</v>
      </c>
      <c r="L37" s="131">
        <v>0.0</v>
      </c>
      <c r="M37" s="131"/>
      <c r="N37" s="131">
        <v>10.0</v>
      </c>
      <c r="O37" s="131">
        <v>10.0</v>
      </c>
      <c r="P37" s="131">
        <v>7.0</v>
      </c>
      <c r="Q37" s="131">
        <v>7.0</v>
      </c>
      <c r="R37" s="131">
        <v>5.0</v>
      </c>
      <c r="S37" s="131">
        <v>5.0</v>
      </c>
      <c r="T37" s="131">
        <v>5.0</v>
      </c>
      <c r="U37" s="131">
        <v>5.0</v>
      </c>
      <c r="V37" s="131"/>
      <c r="W37" s="382">
        <f t="shared" si="1"/>
        <v>55</v>
      </c>
      <c r="X37" s="382">
        <f t="shared" si="2"/>
        <v>40</v>
      </c>
      <c r="Y37" s="382">
        <f t="shared" si="3"/>
        <v>28</v>
      </c>
      <c r="Z37" s="382">
        <f t="shared" si="4"/>
        <v>28</v>
      </c>
      <c r="AA37" s="383">
        <f t="shared" si="5"/>
        <v>20</v>
      </c>
      <c r="AB37" s="382">
        <f t="shared" si="6"/>
        <v>20</v>
      </c>
      <c r="AC37" s="383">
        <f t="shared" si="7"/>
        <v>0</v>
      </c>
      <c r="AD37" s="383">
        <f t="shared" si="8"/>
        <v>0</v>
      </c>
      <c r="AE37" s="131">
        <f>W37+X37+LARGE(Y37:AD37,1)+LARGE(Y37:AD37,2)+LARGE(Y37:AD37,3)</f>
        <v>171</v>
      </c>
      <c r="AF37" s="131">
        <f t="shared" si="9"/>
        <v>163.5</v>
      </c>
      <c r="AG37" s="198"/>
      <c r="AH37" s="131"/>
      <c r="AI37" s="131"/>
      <c r="AJ37" s="131"/>
      <c r="AK37" s="131"/>
    </row>
    <row r="38" ht="13.5" customHeight="1">
      <c r="A38" s="131" t="s">
        <v>361</v>
      </c>
      <c r="B38" s="198" t="s">
        <v>362</v>
      </c>
      <c r="C38" s="131" t="s">
        <v>21</v>
      </c>
      <c r="D38" s="131" t="s">
        <v>361</v>
      </c>
      <c r="E38" s="131">
        <v>4.0</v>
      </c>
      <c r="F38" s="131">
        <v>4.0</v>
      </c>
      <c r="G38" s="131">
        <v>5.5</v>
      </c>
      <c r="H38" s="131">
        <v>4.0</v>
      </c>
      <c r="I38" s="131">
        <v>4.0</v>
      </c>
      <c r="J38" s="131">
        <v>4.0</v>
      </c>
      <c r="K38" s="131">
        <v>0.0</v>
      </c>
      <c r="L38" s="131">
        <v>0.0</v>
      </c>
      <c r="M38" s="131"/>
      <c r="N38" s="131">
        <v>7.0</v>
      </c>
      <c r="O38" s="131">
        <v>10.0</v>
      </c>
      <c r="P38" s="131">
        <v>7.0</v>
      </c>
      <c r="Q38" s="131">
        <v>7.0</v>
      </c>
      <c r="R38" s="131">
        <v>5.0</v>
      </c>
      <c r="S38" s="131">
        <v>5.0</v>
      </c>
      <c r="T38" s="131">
        <v>5.0</v>
      </c>
      <c r="U38" s="131">
        <v>5.0</v>
      </c>
      <c r="V38" s="131"/>
      <c r="W38" s="382">
        <f t="shared" si="1"/>
        <v>28</v>
      </c>
      <c r="X38" s="382">
        <f t="shared" si="2"/>
        <v>40</v>
      </c>
      <c r="Y38" s="382">
        <f t="shared" si="3"/>
        <v>38.5</v>
      </c>
      <c r="Z38" s="382">
        <f t="shared" si="4"/>
        <v>28</v>
      </c>
      <c r="AA38" s="383">
        <f t="shared" si="5"/>
        <v>20</v>
      </c>
      <c r="AB38" s="382">
        <f t="shared" si="6"/>
        <v>20</v>
      </c>
      <c r="AC38" s="383">
        <f t="shared" si="7"/>
        <v>0</v>
      </c>
      <c r="AD38" s="383">
        <f t="shared" si="8"/>
        <v>0</v>
      </c>
      <c r="AE38" s="131">
        <f>LARGE(W38:AD38,1)+LARGE(W38:AD38,2)+LARGE(W38:AD38,3)+LARGE(W38:AD38,4)+LARGE(W38:AD38,5)</f>
        <v>154.5</v>
      </c>
      <c r="AF38" s="131">
        <f t="shared" si="9"/>
        <v>137</v>
      </c>
      <c r="AG38" s="198"/>
      <c r="AH38" s="131"/>
      <c r="AI38" s="131"/>
      <c r="AJ38" s="131"/>
      <c r="AK38" s="131"/>
    </row>
    <row r="39" ht="13.5" customHeight="1">
      <c r="A39" s="131" t="s">
        <v>2327</v>
      </c>
      <c r="B39" s="198" t="s">
        <v>366</v>
      </c>
      <c r="C39" s="131" t="s">
        <v>358</v>
      </c>
      <c r="D39" s="131" t="s">
        <v>2327</v>
      </c>
      <c r="E39" s="131">
        <v>4.0</v>
      </c>
      <c r="F39" s="131">
        <v>5.5</v>
      </c>
      <c r="G39" s="131">
        <v>4.0</v>
      </c>
      <c r="H39" s="131">
        <v>3.0</v>
      </c>
      <c r="I39" s="131">
        <v>4.0</v>
      </c>
      <c r="J39" s="131">
        <v>4.0</v>
      </c>
      <c r="K39" s="131">
        <v>0.0</v>
      </c>
      <c r="L39" s="131">
        <v>4.0</v>
      </c>
      <c r="M39" s="131"/>
      <c r="N39" s="131">
        <v>10.0</v>
      </c>
      <c r="O39" s="131">
        <v>10.0</v>
      </c>
      <c r="P39" s="131">
        <v>7.0</v>
      </c>
      <c r="Q39" s="131">
        <v>7.0</v>
      </c>
      <c r="R39" s="131">
        <v>5.0</v>
      </c>
      <c r="S39" s="131">
        <v>5.0</v>
      </c>
      <c r="T39" s="131">
        <v>5.0</v>
      </c>
      <c r="U39" s="131">
        <v>5.0</v>
      </c>
      <c r="V39" s="131"/>
      <c r="W39" s="382">
        <f t="shared" si="1"/>
        <v>40</v>
      </c>
      <c r="X39" s="382">
        <f t="shared" si="2"/>
        <v>55</v>
      </c>
      <c r="Y39" s="382">
        <f t="shared" si="3"/>
        <v>28</v>
      </c>
      <c r="Z39" s="382">
        <f t="shared" si="4"/>
        <v>21</v>
      </c>
      <c r="AA39" s="383">
        <f t="shared" si="5"/>
        <v>20</v>
      </c>
      <c r="AB39" s="383">
        <f t="shared" si="6"/>
        <v>20</v>
      </c>
      <c r="AC39" s="383">
        <f t="shared" si="7"/>
        <v>0</v>
      </c>
      <c r="AD39" s="382">
        <f t="shared" si="8"/>
        <v>20</v>
      </c>
      <c r="AE39" s="131">
        <f>W39+X39+LARGE(Y39:AD39,1)+LARGE(Y39:AD39,2)+LARGE(Y39:AD39,3)</f>
        <v>164</v>
      </c>
      <c r="AF39" s="131">
        <f t="shared" si="9"/>
        <v>159</v>
      </c>
      <c r="AG39" s="198"/>
      <c r="AH39" s="131"/>
      <c r="AI39" s="131"/>
      <c r="AJ39" s="131"/>
      <c r="AK39" s="131"/>
    </row>
    <row r="40" ht="13.5" customHeight="1">
      <c r="A40" s="131" t="s">
        <v>2328</v>
      </c>
      <c r="B40" s="198" t="s">
        <v>369</v>
      </c>
      <c r="C40" s="131" t="s">
        <v>21</v>
      </c>
      <c r="D40" s="131" t="s">
        <v>2328</v>
      </c>
      <c r="E40" s="131">
        <v>4.0</v>
      </c>
      <c r="F40" s="131">
        <v>4.0</v>
      </c>
      <c r="G40" s="131">
        <v>4.0</v>
      </c>
      <c r="H40" s="131">
        <v>3.0</v>
      </c>
      <c r="I40" s="131">
        <v>5.5</v>
      </c>
      <c r="J40" s="131">
        <v>3.0</v>
      </c>
      <c r="K40" s="131">
        <v>0.0</v>
      </c>
      <c r="L40" s="131">
        <v>0.0</v>
      </c>
      <c r="M40" s="131"/>
      <c r="N40" s="131">
        <v>7.0</v>
      </c>
      <c r="O40" s="131">
        <v>10.0</v>
      </c>
      <c r="P40" s="131">
        <v>10.0</v>
      </c>
      <c r="Q40" s="131">
        <v>7.0</v>
      </c>
      <c r="R40" s="131">
        <v>5.0</v>
      </c>
      <c r="S40" s="131">
        <v>5.0</v>
      </c>
      <c r="T40" s="131">
        <v>5.0</v>
      </c>
      <c r="U40" s="131">
        <v>5.0</v>
      </c>
      <c r="V40" s="131"/>
      <c r="W40" s="382">
        <f t="shared" si="1"/>
        <v>28</v>
      </c>
      <c r="X40" s="382">
        <f t="shared" si="2"/>
        <v>40</v>
      </c>
      <c r="Y40" s="382">
        <f t="shared" si="3"/>
        <v>40</v>
      </c>
      <c r="Z40" s="382">
        <f t="shared" si="4"/>
        <v>21</v>
      </c>
      <c r="AA40" s="382">
        <f t="shared" si="5"/>
        <v>27.5</v>
      </c>
      <c r="AB40" s="383">
        <f t="shared" si="6"/>
        <v>15</v>
      </c>
      <c r="AC40" s="383">
        <f t="shared" si="7"/>
        <v>0</v>
      </c>
      <c r="AD40" s="383">
        <f t="shared" si="8"/>
        <v>0</v>
      </c>
      <c r="AE40" s="131">
        <f t="shared" ref="AE40:AE47" si="15">LARGE(W40:AD40,1)+LARGE(W40:AD40,2)+LARGE(W40:AD40,3)+LARGE(W40:AD40,4)+LARGE(W40:AD40,5)</f>
        <v>156.5</v>
      </c>
      <c r="AF40" s="131">
        <f t="shared" si="9"/>
        <v>146.5</v>
      </c>
      <c r="AG40" s="198"/>
      <c r="AH40" s="131"/>
      <c r="AI40" s="131"/>
      <c r="AJ40" s="131"/>
      <c r="AK40" s="131"/>
    </row>
    <row r="41" ht="13.5" customHeight="1">
      <c r="A41" s="131" t="s">
        <v>370</v>
      </c>
      <c r="B41" s="198" t="s">
        <v>371</v>
      </c>
      <c r="C41" s="131" t="s">
        <v>21</v>
      </c>
      <c r="D41" s="131" t="s">
        <v>370</v>
      </c>
      <c r="E41" s="131">
        <v>3.0</v>
      </c>
      <c r="F41" s="131">
        <v>4.0</v>
      </c>
      <c r="G41" s="131">
        <v>4.0</v>
      </c>
      <c r="H41" s="131">
        <v>4.0</v>
      </c>
      <c r="I41" s="131">
        <v>4.0</v>
      </c>
      <c r="J41" s="131">
        <v>4.0</v>
      </c>
      <c r="K41" s="131">
        <v>0.0</v>
      </c>
      <c r="L41" s="131">
        <v>0.0</v>
      </c>
      <c r="M41" s="131"/>
      <c r="N41" s="131">
        <v>7.0</v>
      </c>
      <c r="O41" s="131">
        <v>10.0</v>
      </c>
      <c r="P41" s="131">
        <v>10.0</v>
      </c>
      <c r="Q41" s="131">
        <v>7.0</v>
      </c>
      <c r="R41" s="131">
        <v>10.0</v>
      </c>
      <c r="S41" s="131">
        <v>10.0</v>
      </c>
      <c r="T41" s="131">
        <v>10.0</v>
      </c>
      <c r="U41" s="131">
        <v>10.0</v>
      </c>
      <c r="V41" s="131"/>
      <c r="W41" s="383">
        <f t="shared" si="1"/>
        <v>21</v>
      </c>
      <c r="X41" s="382">
        <f t="shared" si="2"/>
        <v>40</v>
      </c>
      <c r="Y41" s="382">
        <f t="shared" si="3"/>
        <v>40</v>
      </c>
      <c r="Z41" s="382">
        <f t="shared" si="4"/>
        <v>28</v>
      </c>
      <c r="AA41" s="382">
        <f t="shared" si="5"/>
        <v>40</v>
      </c>
      <c r="AB41" s="382">
        <f t="shared" si="6"/>
        <v>40</v>
      </c>
      <c r="AC41" s="383">
        <f t="shared" si="7"/>
        <v>0</v>
      </c>
      <c r="AD41" s="383">
        <f t="shared" si="8"/>
        <v>0</v>
      </c>
      <c r="AE41" s="131">
        <f t="shared" si="15"/>
        <v>188</v>
      </c>
      <c r="AF41" s="131">
        <f t="shared" si="9"/>
        <v>181</v>
      </c>
      <c r="AG41" s="198"/>
      <c r="AH41" s="131"/>
      <c r="AI41" s="131"/>
      <c r="AJ41" s="131"/>
      <c r="AK41" s="131"/>
    </row>
    <row r="42" ht="13.5" customHeight="1">
      <c r="A42" s="131" t="s">
        <v>373</v>
      </c>
      <c r="B42" s="198" t="s">
        <v>374</v>
      </c>
      <c r="C42" s="131" t="s">
        <v>21</v>
      </c>
      <c r="D42" s="131" t="s">
        <v>373</v>
      </c>
      <c r="E42" s="131">
        <v>5.5</v>
      </c>
      <c r="F42" s="131">
        <v>4.0</v>
      </c>
      <c r="G42" s="131">
        <v>4.0</v>
      </c>
      <c r="H42" s="131">
        <v>4.0</v>
      </c>
      <c r="I42" s="131">
        <v>4.0</v>
      </c>
      <c r="J42" s="131">
        <v>4.0</v>
      </c>
      <c r="K42" s="131">
        <v>0.0</v>
      </c>
      <c r="L42" s="131">
        <v>0.0</v>
      </c>
      <c r="M42" s="131"/>
      <c r="N42" s="131">
        <v>7.0</v>
      </c>
      <c r="O42" s="131">
        <v>10.0</v>
      </c>
      <c r="P42" s="131">
        <v>7.0</v>
      </c>
      <c r="Q42" s="131">
        <v>7.0</v>
      </c>
      <c r="R42" s="131">
        <v>5.0</v>
      </c>
      <c r="S42" s="131">
        <v>5.0</v>
      </c>
      <c r="T42" s="131">
        <v>5.0</v>
      </c>
      <c r="U42" s="131">
        <v>5.0</v>
      </c>
      <c r="V42" s="131"/>
      <c r="W42" s="382">
        <f t="shared" si="1"/>
        <v>38.5</v>
      </c>
      <c r="X42" s="382">
        <f t="shared" si="2"/>
        <v>40</v>
      </c>
      <c r="Y42" s="382">
        <f t="shared" si="3"/>
        <v>28</v>
      </c>
      <c r="Z42" s="382">
        <f t="shared" si="4"/>
        <v>28</v>
      </c>
      <c r="AA42" s="383">
        <f t="shared" si="5"/>
        <v>20</v>
      </c>
      <c r="AB42" s="382">
        <f t="shared" si="6"/>
        <v>20</v>
      </c>
      <c r="AC42" s="383">
        <f t="shared" si="7"/>
        <v>0</v>
      </c>
      <c r="AD42" s="383">
        <f t="shared" si="8"/>
        <v>0</v>
      </c>
      <c r="AE42" s="131">
        <f t="shared" si="15"/>
        <v>154.5</v>
      </c>
      <c r="AF42" s="131">
        <f t="shared" si="9"/>
        <v>134.5</v>
      </c>
      <c r="AG42" s="198"/>
      <c r="AH42" s="131"/>
      <c r="AI42" s="131"/>
      <c r="AJ42" s="131"/>
      <c r="AK42" s="131"/>
    </row>
    <row r="43" ht="13.5" customHeight="1">
      <c r="A43" s="131" t="s">
        <v>376</v>
      </c>
      <c r="B43" s="198" t="s">
        <v>377</v>
      </c>
      <c r="C43" s="131" t="s">
        <v>21</v>
      </c>
      <c r="D43" s="131" t="s">
        <v>376</v>
      </c>
      <c r="E43" s="131">
        <v>4.0</v>
      </c>
      <c r="F43" s="131">
        <v>4.0</v>
      </c>
      <c r="G43" s="131">
        <v>4.0</v>
      </c>
      <c r="H43" s="131">
        <v>4.0</v>
      </c>
      <c r="I43" s="131">
        <v>5.5</v>
      </c>
      <c r="J43" s="131">
        <v>4.0</v>
      </c>
      <c r="K43" s="131">
        <v>0.0</v>
      </c>
      <c r="L43" s="131">
        <v>0.0</v>
      </c>
      <c r="M43" s="131"/>
      <c r="N43" s="131">
        <v>7.0</v>
      </c>
      <c r="O43" s="131">
        <v>10.0</v>
      </c>
      <c r="P43" s="131">
        <v>10.0</v>
      </c>
      <c r="Q43" s="131">
        <v>7.0</v>
      </c>
      <c r="R43" s="131">
        <v>5.0</v>
      </c>
      <c r="S43" s="131">
        <v>5.0</v>
      </c>
      <c r="T43" s="131">
        <v>5.0</v>
      </c>
      <c r="U43" s="131">
        <v>5.0</v>
      </c>
      <c r="V43" s="131"/>
      <c r="W43" s="382">
        <f t="shared" si="1"/>
        <v>28</v>
      </c>
      <c r="X43" s="382">
        <f t="shared" si="2"/>
        <v>40</v>
      </c>
      <c r="Y43" s="382">
        <f t="shared" si="3"/>
        <v>40</v>
      </c>
      <c r="Z43" s="382">
        <f t="shared" si="4"/>
        <v>28</v>
      </c>
      <c r="AA43" s="382">
        <f t="shared" si="5"/>
        <v>27.5</v>
      </c>
      <c r="AB43" s="383">
        <f t="shared" si="6"/>
        <v>20</v>
      </c>
      <c r="AC43" s="383">
        <f t="shared" si="7"/>
        <v>0</v>
      </c>
      <c r="AD43" s="383">
        <f t="shared" si="8"/>
        <v>0</v>
      </c>
      <c r="AE43" s="131">
        <f t="shared" si="15"/>
        <v>163.5</v>
      </c>
      <c r="AF43" s="131">
        <f t="shared" si="9"/>
        <v>146</v>
      </c>
      <c r="AG43" s="198"/>
      <c r="AH43" s="131"/>
      <c r="AI43" s="131"/>
      <c r="AJ43" s="131"/>
      <c r="AK43" s="131"/>
    </row>
    <row r="44" ht="13.5" customHeight="1">
      <c r="A44" s="131" t="s">
        <v>379</v>
      </c>
      <c r="B44" s="198" t="s">
        <v>380</v>
      </c>
      <c r="C44" s="131" t="s">
        <v>21</v>
      </c>
      <c r="D44" s="131" t="s">
        <v>379</v>
      </c>
      <c r="E44" s="131">
        <v>4.0</v>
      </c>
      <c r="F44" s="131">
        <v>4.0</v>
      </c>
      <c r="G44" s="131">
        <v>5.5</v>
      </c>
      <c r="H44" s="131">
        <v>4.0</v>
      </c>
      <c r="I44" s="131">
        <v>4.0</v>
      </c>
      <c r="J44" s="131">
        <v>4.0</v>
      </c>
      <c r="K44" s="131">
        <v>0.0</v>
      </c>
      <c r="L44" s="131">
        <v>0.0</v>
      </c>
      <c r="M44" s="131"/>
      <c r="N44" s="131">
        <v>7.0</v>
      </c>
      <c r="O44" s="131">
        <v>10.0</v>
      </c>
      <c r="P44" s="131">
        <v>10.0</v>
      </c>
      <c r="Q44" s="131">
        <v>7.0</v>
      </c>
      <c r="R44" s="131">
        <v>5.0</v>
      </c>
      <c r="S44" s="131">
        <v>5.0</v>
      </c>
      <c r="T44" s="131">
        <v>5.0</v>
      </c>
      <c r="U44" s="131">
        <v>5.0</v>
      </c>
      <c r="V44" s="131"/>
      <c r="W44" s="382">
        <f t="shared" si="1"/>
        <v>28</v>
      </c>
      <c r="X44" s="382">
        <f t="shared" si="2"/>
        <v>40</v>
      </c>
      <c r="Y44" s="382">
        <f t="shared" si="3"/>
        <v>55</v>
      </c>
      <c r="Z44" s="382">
        <f t="shared" si="4"/>
        <v>28</v>
      </c>
      <c r="AA44" s="383">
        <f t="shared" si="5"/>
        <v>20</v>
      </c>
      <c r="AB44" s="382">
        <f t="shared" si="6"/>
        <v>20</v>
      </c>
      <c r="AC44" s="383">
        <f t="shared" si="7"/>
        <v>0</v>
      </c>
      <c r="AD44" s="383">
        <f t="shared" si="8"/>
        <v>0</v>
      </c>
      <c r="AE44" s="131">
        <f t="shared" si="15"/>
        <v>171</v>
      </c>
      <c r="AF44" s="131">
        <f t="shared" si="9"/>
        <v>166.5</v>
      </c>
      <c r="AG44" s="198"/>
      <c r="AH44" s="131"/>
      <c r="AI44" s="131"/>
      <c r="AJ44" s="131"/>
      <c r="AK44" s="131"/>
    </row>
    <row r="45" ht="13.5" customHeight="1">
      <c r="A45" s="131" t="s">
        <v>382</v>
      </c>
      <c r="B45" s="198" t="s">
        <v>383</v>
      </c>
      <c r="C45" s="131" t="s">
        <v>21</v>
      </c>
      <c r="D45" s="131" t="s">
        <v>382</v>
      </c>
      <c r="E45" s="131">
        <v>5.5</v>
      </c>
      <c r="F45" s="131">
        <v>4.0</v>
      </c>
      <c r="G45" s="131">
        <v>4.0</v>
      </c>
      <c r="H45" s="131">
        <v>4.0</v>
      </c>
      <c r="I45" s="131">
        <v>4.0</v>
      </c>
      <c r="J45" s="131">
        <v>4.0</v>
      </c>
      <c r="K45" s="131">
        <v>4.0</v>
      </c>
      <c r="L45" s="131">
        <v>0.0</v>
      </c>
      <c r="M45" s="131"/>
      <c r="N45" s="131">
        <v>7.0</v>
      </c>
      <c r="O45" s="131">
        <v>10.0</v>
      </c>
      <c r="P45" s="131">
        <v>10.0</v>
      </c>
      <c r="Q45" s="131">
        <v>7.0</v>
      </c>
      <c r="R45" s="131">
        <v>10.0</v>
      </c>
      <c r="S45" s="131">
        <v>5.0</v>
      </c>
      <c r="T45" s="131">
        <v>5.0</v>
      </c>
      <c r="U45" s="131">
        <v>5.0</v>
      </c>
      <c r="V45" s="131"/>
      <c r="W45" s="382">
        <f t="shared" si="1"/>
        <v>38.5</v>
      </c>
      <c r="X45" s="382">
        <f t="shared" si="2"/>
        <v>40</v>
      </c>
      <c r="Y45" s="382">
        <f t="shared" si="3"/>
        <v>40</v>
      </c>
      <c r="Z45" s="382">
        <f t="shared" si="4"/>
        <v>28</v>
      </c>
      <c r="AA45" s="382">
        <f t="shared" si="5"/>
        <v>40</v>
      </c>
      <c r="AB45" s="383">
        <f t="shared" si="6"/>
        <v>20</v>
      </c>
      <c r="AC45" s="383">
        <f t="shared" si="7"/>
        <v>20</v>
      </c>
      <c r="AD45" s="383">
        <f t="shared" si="8"/>
        <v>0</v>
      </c>
      <c r="AE45" s="131">
        <f t="shared" si="15"/>
        <v>186.5</v>
      </c>
      <c r="AF45" s="131">
        <f t="shared" si="9"/>
        <v>184</v>
      </c>
      <c r="AG45" s="198"/>
      <c r="AH45" s="131"/>
      <c r="AI45" s="131"/>
      <c r="AJ45" s="131"/>
      <c r="AK45" s="131"/>
    </row>
    <row r="46" ht="13.5" customHeight="1">
      <c r="A46" s="131" t="s">
        <v>384</v>
      </c>
      <c r="B46" s="198" t="s">
        <v>385</v>
      </c>
      <c r="C46" s="131" t="s">
        <v>21</v>
      </c>
      <c r="D46" s="131" t="s">
        <v>384</v>
      </c>
      <c r="E46" s="131">
        <v>4.0</v>
      </c>
      <c r="F46" s="131">
        <v>3.0</v>
      </c>
      <c r="G46" s="131">
        <v>4.0</v>
      </c>
      <c r="H46" s="131">
        <v>3.0</v>
      </c>
      <c r="I46" s="131">
        <v>4.0</v>
      </c>
      <c r="J46" s="131">
        <v>3.0</v>
      </c>
      <c r="K46" s="131">
        <v>3.0</v>
      </c>
      <c r="L46" s="131">
        <v>0.0</v>
      </c>
      <c r="M46" s="131"/>
      <c r="N46" s="131">
        <v>7.0</v>
      </c>
      <c r="O46" s="131">
        <v>10.0</v>
      </c>
      <c r="P46" s="131">
        <v>10.0</v>
      </c>
      <c r="Q46" s="131">
        <v>7.0</v>
      </c>
      <c r="R46" s="131">
        <v>10.0</v>
      </c>
      <c r="S46" s="131">
        <v>5.0</v>
      </c>
      <c r="T46" s="131">
        <v>5.0</v>
      </c>
      <c r="U46" s="131">
        <v>10.0</v>
      </c>
      <c r="V46" s="131"/>
      <c r="W46" s="382">
        <f t="shared" si="1"/>
        <v>28</v>
      </c>
      <c r="X46" s="382">
        <f t="shared" si="2"/>
        <v>30</v>
      </c>
      <c r="Y46" s="382">
        <f t="shared" si="3"/>
        <v>40</v>
      </c>
      <c r="Z46" s="382">
        <f t="shared" si="4"/>
        <v>21</v>
      </c>
      <c r="AA46" s="382">
        <f t="shared" si="5"/>
        <v>40</v>
      </c>
      <c r="AB46" s="383">
        <f t="shared" si="6"/>
        <v>15</v>
      </c>
      <c r="AC46" s="383">
        <f t="shared" si="7"/>
        <v>15</v>
      </c>
      <c r="AD46" s="383">
        <f t="shared" si="8"/>
        <v>0</v>
      </c>
      <c r="AE46" s="131">
        <f t="shared" si="15"/>
        <v>159</v>
      </c>
      <c r="AF46" s="131">
        <f t="shared" si="9"/>
        <v>158</v>
      </c>
      <c r="AG46" s="198"/>
      <c r="AH46" s="131"/>
      <c r="AI46" s="131"/>
      <c r="AJ46" s="131"/>
      <c r="AK46" s="131"/>
    </row>
    <row r="47" ht="13.5" customHeight="1">
      <c r="A47" s="131" t="s">
        <v>386</v>
      </c>
      <c r="B47" s="198" t="s">
        <v>387</v>
      </c>
      <c r="C47" s="131" t="s">
        <v>21</v>
      </c>
      <c r="D47" s="131" t="s">
        <v>386</v>
      </c>
      <c r="E47" s="131">
        <v>4.0</v>
      </c>
      <c r="F47" s="131">
        <v>4.0</v>
      </c>
      <c r="G47" s="131">
        <v>4.0</v>
      </c>
      <c r="H47" s="131">
        <v>4.0</v>
      </c>
      <c r="I47" s="131">
        <v>4.0</v>
      </c>
      <c r="J47" s="131">
        <v>4.0</v>
      </c>
      <c r="K47" s="131">
        <v>0.0</v>
      </c>
      <c r="L47" s="131">
        <v>0.0</v>
      </c>
      <c r="M47" s="131"/>
      <c r="N47" s="131">
        <v>7.0</v>
      </c>
      <c r="O47" s="131">
        <v>10.0</v>
      </c>
      <c r="P47" s="131">
        <v>10.0</v>
      </c>
      <c r="Q47" s="131">
        <v>7.0</v>
      </c>
      <c r="R47" s="131">
        <v>10.0</v>
      </c>
      <c r="S47" s="131">
        <v>5.0</v>
      </c>
      <c r="T47" s="131">
        <v>5.0</v>
      </c>
      <c r="U47" s="131">
        <v>5.0</v>
      </c>
      <c r="V47" s="131"/>
      <c r="W47" s="382">
        <f t="shared" si="1"/>
        <v>28</v>
      </c>
      <c r="X47" s="382">
        <f t="shared" si="2"/>
        <v>40</v>
      </c>
      <c r="Y47" s="382">
        <f t="shared" si="3"/>
        <v>40</v>
      </c>
      <c r="Z47" s="382">
        <f t="shared" si="4"/>
        <v>28</v>
      </c>
      <c r="AA47" s="382">
        <f t="shared" si="5"/>
        <v>40</v>
      </c>
      <c r="AB47" s="383">
        <f t="shared" si="6"/>
        <v>20</v>
      </c>
      <c r="AC47" s="383">
        <f t="shared" si="7"/>
        <v>0</v>
      </c>
      <c r="AD47" s="383">
        <f t="shared" si="8"/>
        <v>0</v>
      </c>
      <c r="AE47" s="131">
        <f t="shared" si="15"/>
        <v>176</v>
      </c>
      <c r="AF47" s="131">
        <f t="shared" si="9"/>
        <v>171</v>
      </c>
      <c r="AG47" s="198"/>
      <c r="AH47" s="131"/>
      <c r="AI47" s="131"/>
      <c r="AJ47" s="131"/>
      <c r="AK47" s="131"/>
    </row>
    <row r="48" ht="13.5" customHeight="1">
      <c r="A48" s="131"/>
      <c r="B48" s="198"/>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98"/>
      <c r="AH48" s="131"/>
      <c r="AI48" s="131"/>
      <c r="AJ48" s="131"/>
      <c r="AK48" s="131"/>
    </row>
    <row r="49" ht="13.5" customHeight="1">
      <c r="A49" s="259" t="s">
        <v>1056</v>
      </c>
      <c r="B49" s="258" t="s">
        <v>1057</v>
      </c>
      <c r="C49" s="259" t="s">
        <v>44</v>
      </c>
      <c r="D49" s="380" t="s">
        <v>47</v>
      </c>
      <c r="E49" s="259" t="s">
        <v>1058</v>
      </c>
      <c r="F49" s="259" t="s">
        <v>1059</v>
      </c>
      <c r="G49" s="259" t="s">
        <v>1060</v>
      </c>
      <c r="H49" s="259" t="s">
        <v>1061</v>
      </c>
      <c r="I49" s="259" t="s">
        <v>2320</v>
      </c>
      <c r="J49" s="259" t="s">
        <v>2321</v>
      </c>
      <c r="K49" s="259" t="s">
        <v>2322</v>
      </c>
      <c r="L49" s="259" t="s">
        <v>34</v>
      </c>
      <c r="M49" s="259" t="s">
        <v>2323</v>
      </c>
      <c r="N49" s="259" t="s">
        <v>1058</v>
      </c>
      <c r="O49" s="259" t="s">
        <v>1059</v>
      </c>
      <c r="P49" s="259" t="s">
        <v>1060</v>
      </c>
      <c r="Q49" s="259" t="s">
        <v>1061</v>
      </c>
      <c r="R49" s="259" t="s">
        <v>2320</v>
      </c>
      <c r="S49" s="259" t="s">
        <v>2321</v>
      </c>
      <c r="T49" s="259" t="s">
        <v>2322</v>
      </c>
      <c r="U49" s="259" t="s">
        <v>34</v>
      </c>
      <c r="V49" s="259"/>
      <c r="W49" s="259" t="s">
        <v>1058</v>
      </c>
      <c r="X49" s="259" t="s">
        <v>1059</v>
      </c>
      <c r="Y49" s="259" t="s">
        <v>1060</v>
      </c>
      <c r="Z49" s="259" t="s">
        <v>1061</v>
      </c>
      <c r="AA49" s="259" t="s">
        <v>2320</v>
      </c>
      <c r="AB49" s="259" t="s">
        <v>2321</v>
      </c>
      <c r="AC49" s="259" t="s">
        <v>2322</v>
      </c>
      <c r="AD49" s="259" t="s">
        <v>34</v>
      </c>
      <c r="AE49" s="259" t="s">
        <v>46</v>
      </c>
      <c r="AF49" s="259" t="s">
        <v>47</v>
      </c>
      <c r="AG49" s="381" t="s">
        <v>2324</v>
      </c>
      <c r="AH49" s="259"/>
      <c r="AI49" s="259"/>
      <c r="AJ49" s="259"/>
      <c r="AK49" s="259"/>
    </row>
    <row r="50" ht="13.5" customHeight="1">
      <c r="A50" s="131" t="s">
        <v>286</v>
      </c>
      <c r="B50" s="198" t="s">
        <v>287</v>
      </c>
      <c r="C50" s="131" t="s">
        <v>191</v>
      </c>
      <c r="D50" s="131" t="s">
        <v>286</v>
      </c>
      <c r="E50" s="131">
        <v>4.0</v>
      </c>
      <c r="F50" s="131">
        <v>4.0</v>
      </c>
      <c r="G50" s="131">
        <v>4.0</v>
      </c>
      <c r="H50" s="131">
        <v>4.0</v>
      </c>
      <c r="I50" s="131">
        <v>5.5</v>
      </c>
      <c r="J50" s="131">
        <v>5.5</v>
      </c>
      <c r="K50" s="131">
        <v>0.0</v>
      </c>
      <c r="L50" s="131">
        <v>0.0</v>
      </c>
      <c r="M50" s="131"/>
      <c r="N50" s="131">
        <v>10.0</v>
      </c>
      <c r="O50" s="131">
        <v>10.0</v>
      </c>
      <c r="P50" s="131">
        <v>10.0</v>
      </c>
      <c r="Q50" s="131">
        <v>10.0</v>
      </c>
      <c r="R50" s="131">
        <v>10.0</v>
      </c>
      <c r="S50" s="131">
        <v>5.0</v>
      </c>
      <c r="T50" s="131">
        <v>5.0</v>
      </c>
      <c r="U50" s="131">
        <v>5.0</v>
      </c>
      <c r="V50" s="131"/>
      <c r="W50" s="382">
        <f t="shared" ref="W50:W94" si="16">(E50+1E-13)*N50</f>
        <v>40</v>
      </c>
      <c r="X50" s="382">
        <f t="shared" ref="X50:X94" si="17">(F50+2E-13)*O50</f>
        <v>40</v>
      </c>
      <c r="Y50" s="382">
        <f t="shared" ref="Y50:Y94" si="18">(G50+3E-13)*P50</f>
        <v>40</v>
      </c>
      <c r="Z50" s="382">
        <f t="shared" ref="Z50:Z94" si="19">(H50+4E-13)*Q50</f>
        <v>40</v>
      </c>
      <c r="AA50" s="382">
        <f t="shared" ref="AA50:AA94" si="20">(I50+5E-13)*R50</f>
        <v>55</v>
      </c>
      <c r="AB50" s="382">
        <f t="shared" ref="AB50:AB94" si="21">(J50+6E-13)*S50</f>
        <v>27.5</v>
      </c>
      <c r="AC50" s="383">
        <f t="shared" ref="AC50:AC94" si="22">(K50+7E-13)*T50</f>
        <v>0</v>
      </c>
      <c r="AD50" s="383">
        <f t="shared" ref="AD50:AD94" si="23">(L50+8E-13)*U50</f>
        <v>0</v>
      </c>
      <c r="AE50" s="131">
        <f t="shared" ref="AE50:AE94" si="24">AE3</f>
        <v>250</v>
      </c>
      <c r="AF50" s="131">
        <f>SUM(W50:Z50)+LARGE(AA50:AD50,1)+LARGE(AA50:AD50,2)</f>
        <v>242.5</v>
      </c>
      <c r="AG50" s="198"/>
      <c r="AH50" s="131"/>
      <c r="AI50" s="131"/>
      <c r="AJ50" s="131"/>
      <c r="AK50" s="131"/>
    </row>
    <row r="51" ht="13.5" customHeight="1">
      <c r="A51" s="131" t="s">
        <v>288</v>
      </c>
      <c r="B51" s="198" t="s">
        <v>289</v>
      </c>
      <c r="C51" s="131" t="s">
        <v>21</v>
      </c>
      <c r="D51" s="131" t="s">
        <v>288</v>
      </c>
      <c r="E51" s="131">
        <v>4.0</v>
      </c>
      <c r="F51" s="131">
        <v>4.0</v>
      </c>
      <c r="G51" s="131">
        <v>4.0</v>
      </c>
      <c r="H51" s="131">
        <v>3.0</v>
      </c>
      <c r="I51" s="131">
        <v>4.0</v>
      </c>
      <c r="J51" s="131">
        <v>4.0</v>
      </c>
      <c r="K51" s="131">
        <v>0.0</v>
      </c>
      <c r="L51" s="131">
        <v>0.0</v>
      </c>
      <c r="M51" s="131"/>
      <c r="N51" s="131">
        <v>7.0</v>
      </c>
      <c r="O51" s="131">
        <v>10.0</v>
      </c>
      <c r="P51" s="131">
        <v>10.0</v>
      </c>
      <c r="Q51" s="131">
        <v>7.0</v>
      </c>
      <c r="R51" s="131">
        <v>10.0</v>
      </c>
      <c r="S51" s="131">
        <v>10.0</v>
      </c>
      <c r="T51" s="131">
        <v>10.0</v>
      </c>
      <c r="U51" s="131">
        <v>10.0</v>
      </c>
      <c r="V51" s="131"/>
      <c r="W51" s="382">
        <f t="shared" si="16"/>
        <v>28</v>
      </c>
      <c r="X51" s="382">
        <f t="shared" si="17"/>
        <v>40</v>
      </c>
      <c r="Y51" s="382">
        <f t="shared" si="18"/>
        <v>40</v>
      </c>
      <c r="Z51" s="383">
        <f t="shared" si="19"/>
        <v>21</v>
      </c>
      <c r="AA51" s="382">
        <f t="shared" si="20"/>
        <v>40</v>
      </c>
      <c r="AB51" s="382">
        <f t="shared" si="21"/>
        <v>40</v>
      </c>
      <c r="AC51" s="383">
        <f t="shared" si="22"/>
        <v>0</v>
      </c>
      <c r="AD51" s="383">
        <f t="shared" si="23"/>
        <v>0</v>
      </c>
      <c r="AE51" s="131">
        <f t="shared" si="24"/>
        <v>203</v>
      </c>
      <c r="AF51" s="131">
        <f t="shared" ref="AF51:AF56" si="25">LARGE(W51:AD51,1)+LARGE(W51:AD51,2)+LARGE(W51:AD51,3)+LARGE(W51:AD51,4)+LARGE(W51:AD51,5)</f>
        <v>188</v>
      </c>
      <c r="AG51" s="198"/>
      <c r="AH51" s="131"/>
      <c r="AI51" s="131"/>
      <c r="AJ51" s="131"/>
      <c r="AK51" s="131"/>
    </row>
    <row r="52" ht="13.5" customHeight="1">
      <c r="A52" s="131" t="s">
        <v>290</v>
      </c>
      <c r="B52" s="198" t="s">
        <v>291</v>
      </c>
      <c r="C52" s="131" t="s">
        <v>21</v>
      </c>
      <c r="D52" s="131" t="s">
        <v>290</v>
      </c>
      <c r="E52" s="131">
        <v>3.0</v>
      </c>
      <c r="F52" s="131">
        <v>3.0</v>
      </c>
      <c r="G52" s="131">
        <v>3.0</v>
      </c>
      <c r="H52" s="131">
        <v>3.0</v>
      </c>
      <c r="I52" s="131">
        <v>4.0</v>
      </c>
      <c r="J52" s="131">
        <v>4.0</v>
      </c>
      <c r="K52" s="131">
        <v>3.0</v>
      </c>
      <c r="L52" s="131">
        <v>0.0</v>
      </c>
      <c r="M52" s="131"/>
      <c r="N52" s="131">
        <v>7.0</v>
      </c>
      <c r="O52" s="131">
        <v>10.0</v>
      </c>
      <c r="P52" s="131">
        <v>10.0</v>
      </c>
      <c r="Q52" s="131">
        <v>7.0</v>
      </c>
      <c r="R52" s="131">
        <v>10.0</v>
      </c>
      <c r="S52" s="131">
        <v>10.0</v>
      </c>
      <c r="T52" s="131">
        <v>10.0</v>
      </c>
      <c r="U52" s="131">
        <v>10.0</v>
      </c>
      <c r="V52" s="131"/>
      <c r="W52" s="383">
        <f t="shared" si="16"/>
        <v>21</v>
      </c>
      <c r="X52" s="382">
        <f t="shared" si="17"/>
        <v>30</v>
      </c>
      <c r="Y52" s="382">
        <f t="shared" si="18"/>
        <v>30</v>
      </c>
      <c r="Z52" s="383">
        <f t="shared" si="19"/>
        <v>21</v>
      </c>
      <c r="AA52" s="382">
        <f t="shared" si="20"/>
        <v>40</v>
      </c>
      <c r="AB52" s="382">
        <f t="shared" si="21"/>
        <v>40</v>
      </c>
      <c r="AC52" s="382">
        <f t="shared" si="22"/>
        <v>30</v>
      </c>
      <c r="AD52" s="383">
        <f t="shared" si="23"/>
        <v>0</v>
      </c>
      <c r="AE52" s="131">
        <f t="shared" si="24"/>
        <v>186</v>
      </c>
      <c r="AF52" s="131">
        <f t="shared" si="25"/>
        <v>170</v>
      </c>
      <c r="AG52" s="198"/>
      <c r="AH52" s="131"/>
      <c r="AI52" s="131"/>
      <c r="AJ52" s="131"/>
      <c r="AK52" s="131"/>
    </row>
    <row r="53" ht="13.5" customHeight="1">
      <c r="A53" s="131" t="s">
        <v>292</v>
      </c>
      <c r="B53" s="198" t="s">
        <v>293</v>
      </c>
      <c r="C53" s="134" t="s">
        <v>21</v>
      </c>
      <c r="D53" s="131" t="s">
        <v>292</v>
      </c>
      <c r="E53" s="131">
        <v>3.0</v>
      </c>
      <c r="F53" s="131">
        <v>4.0</v>
      </c>
      <c r="G53" s="131">
        <v>4.0</v>
      </c>
      <c r="H53" s="131">
        <v>3.0</v>
      </c>
      <c r="I53" s="131">
        <v>4.0</v>
      </c>
      <c r="J53" s="131">
        <v>3.0</v>
      </c>
      <c r="K53" s="131">
        <v>3.0</v>
      </c>
      <c r="L53" s="131">
        <v>0.0</v>
      </c>
      <c r="M53" s="131"/>
      <c r="N53" s="131">
        <v>7.0</v>
      </c>
      <c r="O53" s="131">
        <v>10.0</v>
      </c>
      <c r="P53" s="131">
        <v>10.0</v>
      </c>
      <c r="Q53" s="131">
        <v>7.0</v>
      </c>
      <c r="R53" s="131">
        <v>10.0</v>
      </c>
      <c r="S53" s="131">
        <v>10.0</v>
      </c>
      <c r="T53" s="132">
        <v>5.0</v>
      </c>
      <c r="U53" s="131">
        <v>10.0</v>
      </c>
      <c r="V53" s="131"/>
      <c r="W53" s="383">
        <f t="shared" si="16"/>
        <v>21</v>
      </c>
      <c r="X53" s="382">
        <f t="shared" si="17"/>
        <v>40</v>
      </c>
      <c r="Y53" s="382">
        <f t="shared" si="18"/>
        <v>40</v>
      </c>
      <c r="Z53" s="382">
        <f t="shared" si="19"/>
        <v>21</v>
      </c>
      <c r="AA53" s="382">
        <f t="shared" si="20"/>
        <v>40</v>
      </c>
      <c r="AB53" s="382">
        <f t="shared" si="21"/>
        <v>30</v>
      </c>
      <c r="AC53" s="383">
        <f t="shared" si="22"/>
        <v>15</v>
      </c>
      <c r="AD53" s="383">
        <f t="shared" si="23"/>
        <v>0</v>
      </c>
      <c r="AE53" s="132">
        <f t="shared" si="24"/>
        <v>178</v>
      </c>
      <c r="AF53" s="131">
        <f t="shared" si="25"/>
        <v>171</v>
      </c>
      <c r="AG53" s="198" t="s">
        <v>1377</v>
      </c>
      <c r="AH53" s="131"/>
      <c r="AI53" s="131"/>
      <c r="AJ53" s="131"/>
      <c r="AK53" s="131"/>
    </row>
    <row r="54" ht="13.5" customHeight="1">
      <c r="A54" s="131" t="s">
        <v>294</v>
      </c>
      <c r="B54" s="198" t="s">
        <v>295</v>
      </c>
      <c r="C54" s="134" t="s">
        <v>21</v>
      </c>
      <c r="D54" s="131" t="s">
        <v>294</v>
      </c>
      <c r="E54" s="131">
        <v>4.0</v>
      </c>
      <c r="F54" s="131">
        <v>4.0</v>
      </c>
      <c r="G54" s="131">
        <v>4.0</v>
      </c>
      <c r="H54" s="131">
        <v>4.0</v>
      </c>
      <c r="I54" s="131">
        <v>5.5</v>
      </c>
      <c r="J54" s="131">
        <v>4.0</v>
      </c>
      <c r="K54" s="131">
        <v>0.0</v>
      </c>
      <c r="L54" s="131">
        <v>0.0</v>
      </c>
      <c r="M54" s="131"/>
      <c r="N54" s="131">
        <v>7.0</v>
      </c>
      <c r="O54" s="131">
        <v>10.0</v>
      </c>
      <c r="P54" s="131">
        <v>10.0</v>
      </c>
      <c r="Q54" s="131">
        <v>7.0</v>
      </c>
      <c r="R54" s="131">
        <v>5.0</v>
      </c>
      <c r="S54" s="131">
        <v>5.0</v>
      </c>
      <c r="T54" s="131">
        <v>5.0</v>
      </c>
      <c r="U54" s="131">
        <v>5.0</v>
      </c>
      <c r="V54" s="131"/>
      <c r="W54" s="382">
        <f t="shared" si="16"/>
        <v>28</v>
      </c>
      <c r="X54" s="382">
        <f t="shared" si="17"/>
        <v>40</v>
      </c>
      <c r="Y54" s="382">
        <f t="shared" si="18"/>
        <v>40</v>
      </c>
      <c r="Z54" s="382">
        <f t="shared" si="19"/>
        <v>28</v>
      </c>
      <c r="AA54" s="382">
        <f t="shared" si="20"/>
        <v>27.5</v>
      </c>
      <c r="AB54" s="383">
        <f t="shared" si="21"/>
        <v>20</v>
      </c>
      <c r="AC54" s="383">
        <f t="shared" si="22"/>
        <v>0</v>
      </c>
      <c r="AD54" s="383">
        <f t="shared" si="23"/>
        <v>0</v>
      </c>
      <c r="AE54" s="132">
        <f t="shared" si="24"/>
        <v>164.5</v>
      </c>
      <c r="AF54" s="131">
        <f t="shared" si="25"/>
        <v>163.5</v>
      </c>
      <c r="AG54" s="198" t="s">
        <v>1378</v>
      </c>
      <c r="AH54" s="131"/>
      <c r="AI54" s="131"/>
      <c r="AJ54" s="131"/>
      <c r="AK54" s="131"/>
    </row>
    <row r="55" ht="13.5" customHeight="1">
      <c r="A55" s="131" t="s">
        <v>296</v>
      </c>
      <c r="B55" s="198" t="s">
        <v>297</v>
      </c>
      <c r="C55" s="131" t="s">
        <v>21</v>
      </c>
      <c r="D55" s="131" t="s">
        <v>296</v>
      </c>
      <c r="E55" s="131">
        <v>4.0</v>
      </c>
      <c r="F55" s="131">
        <v>4.0</v>
      </c>
      <c r="G55" s="131">
        <v>4.0</v>
      </c>
      <c r="H55" s="131">
        <v>3.0</v>
      </c>
      <c r="I55" s="131">
        <v>4.0</v>
      </c>
      <c r="J55" s="131">
        <v>4.0</v>
      </c>
      <c r="K55" s="131">
        <v>3.0</v>
      </c>
      <c r="L55" s="131">
        <v>0.0</v>
      </c>
      <c r="M55" s="131"/>
      <c r="N55" s="131">
        <v>7.0</v>
      </c>
      <c r="O55" s="131">
        <v>10.0</v>
      </c>
      <c r="P55" s="131">
        <v>7.0</v>
      </c>
      <c r="Q55" s="131">
        <v>7.0</v>
      </c>
      <c r="R55" s="131">
        <v>5.0</v>
      </c>
      <c r="S55" s="131">
        <v>5.0</v>
      </c>
      <c r="T55" s="131">
        <v>5.0</v>
      </c>
      <c r="U55" s="131">
        <v>5.0</v>
      </c>
      <c r="V55" s="131"/>
      <c r="W55" s="382">
        <f t="shared" si="16"/>
        <v>28</v>
      </c>
      <c r="X55" s="382">
        <f t="shared" si="17"/>
        <v>40</v>
      </c>
      <c r="Y55" s="382">
        <f t="shared" si="18"/>
        <v>28</v>
      </c>
      <c r="Z55" s="382">
        <f t="shared" si="19"/>
        <v>21</v>
      </c>
      <c r="AA55" s="383">
        <f t="shared" si="20"/>
        <v>20</v>
      </c>
      <c r="AB55" s="382">
        <f t="shared" si="21"/>
        <v>20</v>
      </c>
      <c r="AC55" s="383">
        <f t="shared" si="22"/>
        <v>15</v>
      </c>
      <c r="AD55" s="383">
        <f t="shared" si="23"/>
        <v>0</v>
      </c>
      <c r="AE55" s="131">
        <f t="shared" si="24"/>
        <v>144.5</v>
      </c>
      <c r="AF55" s="131">
        <f t="shared" si="25"/>
        <v>137</v>
      </c>
      <c r="AG55" s="198"/>
      <c r="AH55" s="131"/>
      <c r="AI55" s="131"/>
      <c r="AJ55" s="131"/>
      <c r="AK55" s="131"/>
    </row>
    <row r="56" ht="13.5" customHeight="1">
      <c r="A56" s="131" t="s">
        <v>298</v>
      </c>
      <c r="B56" s="198" t="s">
        <v>299</v>
      </c>
      <c r="C56" s="131" t="s">
        <v>21</v>
      </c>
      <c r="D56" s="131" t="s">
        <v>298</v>
      </c>
      <c r="E56" s="131">
        <v>4.0</v>
      </c>
      <c r="F56" s="131">
        <v>4.0</v>
      </c>
      <c r="G56" s="131">
        <v>4.0</v>
      </c>
      <c r="H56" s="131">
        <v>4.0</v>
      </c>
      <c r="I56" s="131">
        <v>5.5</v>
      </c>
      <c r="J56" s="131">
        <v>4.0</v>
      </c>
      <c r="K56" s="131">
        <v>0.0</v>
      </c>
      <c r="L56" s="131">
        <v>0.0</v>
      </c>
      <c r="M56" s="131"/>
      <c r="N56" s="131">
        <v>7.0</v>
      </c>
      <c r="O56" s="131">
        <v>10.0</v>
      </c>
      <c r="P56" s="131">
        <v>10.0</v>
      </c>
      <c r="Q56" s="131">
        <v>7.0</v>
      </c>
      <c r="R56" s="131">
        <v>5.0</v>
      </c>
      <c r="S56" s="131">
        <v>5.0</v>
      </c>
      <c r="T56" s="131">
        <v>5.0</v>
      </c>
      <c r="U56" s="131">
        <v>5.0</v>
      </c>
      <c r="V56" s="131"/>
      <c r="W56" s="382">
        <f t="shared" si="16"/>
        <v>28</v>
      </c>
      <c r="X56" s="382">
        <f t="shared" si="17"/>
        <v>40</v>
      </c>
      <c r="Y56" s="382">
        <f t="shared" si="18"/>
        <v>40</v>
      </c>
      <c r="Z56" s="382">
        <f t="shared" si="19"/>
        <v>28</v>
      </c>
      <c r="AA56" s="382">
        <f t="shared" si="20"/>
        <v>27.5</v>
      </c>
      <c r="AB56" s="383">
        <f t="shared" si="21"/>
        <v>20</v>
      </c>
      <c r="AC56" s="383">
        <f t="shared" si="22"/>
        <v>0</v>
      </c>
      <c r="AD56" s="383">
        <f t="shared" si="23"/>
        <v>0</v>
      </c>
      <c r="AE56" s="132">
        <f t="shared" si="24"/>
        <v>172.5</v>
      </c>
      <c r="AF56" s="131">
        <f t="shared" si="25"/>
        <v>163.5</v>
      </c>
      <c r="AG56" s="198" t="s">
        <v>1379</v>
      </c>
      <c r="AH56" s="131"/>
      <c r="AI56" s="131"/>
      <c r="AJ56" s="131"/>
      <c r="AK56" s="131"/>
    </row>
    <row r="57" ht="13.5" customHeight="1">
      <c r="A57" s="131" t="s">
        <v>300</v>
      </c>
      <c r="B57" s="198" t="s">
        <v>301</v>
      </c>
      <c r="C57" s="131" t="s">
        <v>24</v>
      </c>
      <c r="D57" s="131" t="s">
        <v>300</v>
      </c>
      <c r="E57" s="131">
        <v>4.0</v>
      </c>
      <c r="F57" s="131">
        <v>4.0</v>
      </c>
      <c r="G57" s="131">
        <v>7.0</v>
      </c>
      <c r="H57" s="131">
        <v>5.5</v>
      </c>
      <c r="I57" s="131">
        <v>7.0</v>
      </c>
      <c r="J57" s="131">
        <v>5.5</v>
      </c>
      <c r="K57" s="131">
        <v>5.5</v>
      </c>
      <c r="L57" s="131">
        <v>7.0</v>
      </c>
      <c r="M57" s="131"/>
      <c r="N57" s="131">
        <v>7.0</v>
      </c>
      <c r="O57" s="131">
        <v>10.0</v>
      </c>
      <c r="P57" s="131">
        <v>10.0</v>
      </c>
      <c r="Q57" s="131">
        <v>7.0</v>
      </c>
      <c r="R57" s="131">
        <v>10.0</v>
      </c>
      <c r="S57" s="132">
        <v>5.0</v>
      </c>
      <c r="T57" s="131">
        <v>5.0</v>
      </c>
      <c r="U57" s="131">
        <v>10.0</v>
      </c>
      <c r="V57" s="131"/>
      <c r="W57" s="382">
        <f t="shared" si="16"/>
        <v>28</v>
      </c>
      <c r="X57" s="382">
        <f t="shared" si="17"/>
        <v>40</v>
      </c>
      <c r="Y57" s="382">
        <f t="shared" si="18"/>
        <v>70</v>
      </c>
      <c r="Z57" s="382">
        <f t="shared" si="19"/>
        <v>38.5</v>
      </c>
      <c r="AA57" s="382">
        <f t="shared" si="20"/>
        <v>70</v>
      </c>
      <c r="AB57" s="383">
        <f t="shared" si="21"/>
        <v>27.5</v>
      </c>
      <c r="AC57" s="383">
        <f t="shared" si="22"/>
        <v>27.5</v>
      </c>
      <c r="AD57" s="382">
        <f t="shared" si="23"/>
        <v>70</v>
      </c>
      <c r="AE57" s="132">
        <f t="shared" si="24"/>
        <v>323.5</v>
      </c>
      <c r="AF57" s="131">
        <f>LARGE(W57:AD57,1)+LARGE(W57:AD57,2)+LARGE(W57:AD57,3)+LARGE(W57:AD57,4)+LARGE(W57:AD57,5)+LARGE(W57:AD57,6)</f>
        <v>316.5</v>
      </c>
      <c r="AG57" s="198" t="s">
        <v>1380</v>
      </c>
      <c r="AH57" s="131"/>
      <c r="AI57" s="131"/>
      <c r="AJ57" s="131"/>
      <c r="AK57" s="131"/>
    </row>
    <row r="58" ht="13.5" customHeight="1">
      <c r="A58" s="131" t="s">
        <v>302</v>
      </c>
      <c r="B58" s="198" t="s">
        <v>303</v>
      </c>
      <c r="C58" s="131" t="s">
        <v>21</v>
      </c>
      <c r="D58" s="131" t="s">
        <v>302</v>
      </c>
      <c r="E58" s="131">
        <v>4.0</v>
      </c>
      <c r="F58" s="131">
        <v>4.0</v>
      </c>
      <c r="G58" s="131">
        <v>4.0</v>
      </c>
      <c r="H58" s="131">
        <v>4.0</v>
      </c>
      <c r="I58" s="131">
        <v>4.0</v>
      </c>
      <c r="J58" s="131">
        <v>3.0</v>
      </c>
      <c r="K58" s="131">
        <v>0.0</v>
      </c>
      <c r="L58" s="131">
        <v>0.0</v>
      </c>
      <c r="M58" s="131"/>
      <c r="N58" s="131">
        <v>7.0</v>
      </c>
      <c r="O58" s="131">
        <v>10.0</v>
      </c>
      <c r="P58" s="131">
        <v>7.0</v>
      </c>
      <c r="Q58" s="131">
        <v>7.0</v>
      </c>
      <c r="R58" s="131">
        <v>10.0</v>
      </c>
      <c r="S58" s="131">
        <v>10.0</v>
      </c>
      <c r="T58" s="131">
        <v>10.0</v>
      </c>
      <c r="U58" s="131">
        <v>5.0</v>
      </c>
      <c r="V58" s="131"/>
      <c r="W58" s="383">
        <f t="shared" si="16"/>
        <v>28</v>
      </c>
      <c r="X58" s="382">
        <f t="shared" si="17"/>
        <v>40</v>
      </c>
      <c r="Y58" s="382">
        <f t="shared" si="18"/>
        <v>28</v>
      </c>
      <c r="Z58" s="382">
        <f t="shared" si="19"/>
        <v>28</v>
      </c>
      <c r="AA58" s="382">
        <f t="shared" si="20"/>
        <v>40</v>
      </c>
      <c r="AB58" s="382">
        <f t="shared" si="21"/>
        <v>30</v>
      </c>
      <c r="AC58" s="383">
        <f t="shared" si="22"/>
        <v>0</v>
      </c>
      <c r="AD58" s="383">
        <f t="shared" si="23"/>
        <v>0</v>
      </c>
      <c r="AE58" s="131">
        <f t="shared" si="24"/>
        <v>176</v>
      </c>
      <c r="AF58" s="131">
        <f t="shared" ref="AF58:AF66" si="26">LARGE(W58:AD58,1)+LARGE(W58:AD58,2)+LARGE(W58:AD58,3)+LARGE(W58:AD58,4)+LARGE(W58:AD58,5)</f>
        <v>166</v>
      </c>
      <c r="AG58" s="198"/>
      <c r="AH58" s="131"/>
      <c r="AI58" s="131"/>
      <c r="AJ58" s="131"/>
      <c r="AK58" s="131"/>
    </row>
    <row r="59" ht="13.5" customHeight="1">
      <c r="A59" s="131" t="s">
        <v>304</v>
      </c>
      <c r="B59" s="198" t="s">
        <v>305</v>
      </c>
      <c r="C59" s="131" t="s">
        <v>21</v>
      </c>
      <c r="D59" s="131" t="s">
        <v>304</v>
      </c>
      <c r="E59" s="131">
        <v>3.0</v>
      </c>
      <c r="F59" s="131">
        <v>4.0</v>
      </c>
      <c r="G59" s="131">
        <v>4.0</v>
      </c>
      <c r="H59" s="131">
        <v>3.0</v>
      </c>
      <c r="I59" s="131">
        <v>4.0</v>
      </c>
      <c r="J59" s="131">
        <v>3.0</v>
      </c>
      <c r="K59" s="131">
        <v>0.0</v>
      </c>
      <c r="L59" s="131">
        <v>0.0</v>
      </c>
      <c r="M59" s="131"/>
      <c r="N59" s="131">
        <v>7.0</v>
      </c>
      <c r="O59" s="131">
        <v>10.0</v>
      </c>
      <c r="P59" s="131">
        <v>10.0</v>
      </c>
      <c r="Q59" s="131">
        <v>7.0</v>
      </c>
      <c r="R59" s="131">
        <v>10.0</v>
      </c>
      <c r="S59" s="131">
        <v>10.0</v>
      </c>
      <c r="T59" s="131">
        <v>10.0</v>
      </c>
      <c r="U59" s="131">
        <v>10.0</v>
      </c>
      <c r="V59" s="131"/>
      <c r="W59" s="383">
        <f t="shared" si="16"/>
        <v>21</v>
      </c>
      <c r="X59" s="382">
        <f t="shared" si="17"/>
        <v>40</v>
      </c>
      <c r="Y59" s="382">
        <f t="shared" si="18"/>
        <v>40</v>
      </c>
      <c r="Z59" s="382">
        <f t="shared" si="19"/>
        <v>21</v>
      </c>
      <c r="AA59" s="382">
        <f t="shared" si="20"/>
        <v>40</v>
      </c>
      <c r="AB59" s="382">
        <f t="shared" si="21"/>
        <v>30</v>
      </c>
      <c r="AC59" s="383">
        <f t="shared" si="22"/>
        <v>0</v>
      </c>
      <c r="AD59" s="383">
        <f t="shared" si="23"/>
        <v>0</v>
      </c>
      <c r="AE59" s="131">
        <f t="shared" si="24"/>
        <v>185</v>
      </c>
      <c r="AF59" s="131">
        <f t="shared" si="26"/>
        <v>171</v>
      </c>
      <c r="AG59" s="198"/>
      <c r="AH59" s="131"/>
      <c r="AI59" s="131"/>
      <c r="AJ59" s="131"/>
      <c r="AK59" s="131"/>
    </row>
    <row r="60" ht="13.5" customHeight="1">
      <c r="A60" s="131" t="s">
        <v>306</v>
      </c>
      <c r="B60" s="198" t="s">
        <v>307</v>
      </c>
      <c r="C60" s="131" t="s">
        <v>21</v>
      </c>
      <c r="D60" s="131" t="s">
        <v>306</v>
      </c>
      <c r="E60" s="131">
        <v>3.0</v>
      </c>
      <c r="F60" s="131">
        <v>5.5</v>
      </c>
      <c r="G60" s="131">
        <v>3.0</v>
      </c>
      <c r="H60" s="131">
        <v>3.0</v>
      </c>
      <c r="I60" s="131">
        <v>3.0</v>
      </c>
      <c r="J60" s="131">
        <v>3.0</v>
      </c>
      <c r="K60" s="131">
        <v>0.0</v>
      </c>
      <c r="L60" s="131">
        <v>3.0</v>
      </c>
      <c r="M60" s="131"/>
      <c r="N60" s="131">
        <v>7.0</v>
      </c>
      <c r="O60" s="131">
        <v>10.0</v>
      </c>
      <c r="P60" s="131">
        <v>10.0</v>
      </c>
      <c r="Q60" s="131">
        <v>7.0</v>
      </c>
      <c r="R60" s="131">
        <v>10.0</v>
      </c>
      <c r="S60" s="131">
        <v>10.0</v>
      </c>
      <c r="T60" s="131">
        <v>10.0</v>
      </c>
      <c r="U60" s="131">
        <v>10.0</v>
      </c>
      <c r="V60" s="131"/>
      <c r="W60" s="383">
        <f t="shared" si="16"/>
        <v>21</v>
      </c>
      <c r="X60" s="382">
        <f t="shared" si="17"/>
        <v>55</v>
      </c>
      <c r="Y60" s="382">
        <f t="shared" si="18"/>
        <v>30</v>
      </c>
      <c r="Z60" s="383">
        <f t="shared" si="19"/>
        <v>21</v>
      </c>
      <c r="AA60" s="382">
        <f t="shared" si="20"/>
        <v>30</v>
      </c>
      <c r="AB60" s="382">
        <f t="shared" si="21"/>
        <v>30</v>
      </c>
      <c r="AC60" s="383">
        <f t="shared" si="22"/>
        <v>0</v>
      </c>
      <c r="AD60" s="382">
        <f t="shared" si="23"/>
        <v>30</v>
      </c>
      <c r="AE60" s="131">
        <f t="shared" si="24"/>
        <v>190</v>
      </c>
      <c r="AF60" s="131">
        <f t="shared" si="26"/>
        <v>175</v>
      </c>
      <c r="AG60" s="198"/>
      <c r="AH60" s="131"/>
      <c r="AI60" s="131"/>
      <c r="AJ60" s="131"/>
      <c r="AK60" s="131"/>
    </row>
    <row r="61" ht="13.5" customHeight="1">
      <c r="A61" s="131" t="s">
        <v>308</v>
      </c>
      <c r="B61" s="198" t="s">
        <v>309</v>
      </c>
      <c r="C61" s="131" t="s">
        <v>21</v>
      </c>
      <c r="D61" s="131" t="s">
        <v>308</v>
      </c>
      <c r="E61" s="131">
        <v>3.0</v>
      </c>
      <c r="F61" s="131">
        <v>3.0</v>
      </c>
      <c r="G61" s="131">
        <v>5.5</v>
      </c>
      <c r="H61" s="131">
        <v>4.0</v>
      </c>
      <c r="I61" s="131">
        <v>3.0</v>
      </c>
      <c r="J61" s="131">
        <v>3.0</v>
      </c>
      <c r="K61" s="131">
        <v>0.0</v>
      </c>
      <c r="L61" s="131">
        <v>0.0</v>
      </c>
      <c r="M61" s="131"/>
      <c r="N61" s="131">
        <v>7.0</v>
      </c>
      <c r="O61" s="131">
        <v>10.0</v>
      </c>
      <c r="P61" s="131">
        <v>10.0</v>
      </c>
      <c r="Q61" s="131">
        <v>7.0</v>
      </c>
      <c r="R61" s="131">
        <v>5.0</v>
      </c>
      <c r="S61" s="131">
        <v>5.0</v>
      </c>
      <c r="T61" s="131">
        <v>5.0</v>
      </c>
      <c r="U61" s="131">
        <v>5.0</v>
      </c>
      <c r="V61" s="131"/>
      <c r="W61" s="382">
        <f t="shared" si="16"/>
        <v>21</v>
      </c>
      <c r="X61" s="382">
        <f t="shared" si="17"/>
        <v>30</v>
      </c>
      <c r="Y61" s="382">
        <f t="shared" si="18"/>
        <v>55</v>
      </c>
      <c r="Z61" s="382">
        <f t="shared" si="19"/>
        <v>28</v>
      </c>
      <c r="AA61" s="383">
        <f t="shared" si="20"/>
        <v>15</v>
      </c>
      <c r="AB61" s="382">
        <f t="shared" si="21"/>
        <v>15</v>
      </c>
      <c r="AC61" s="383">
        <f t="shared" si="22"/>
        <v>0</v>
      </c>
      <c r="AD61" s="383">
        <f t="shared" si="23"/>
        <v>0</v>
      </c>
      <c r="AE61" s="132">
        <f t="shared" si="24"/>
        <v>149.5</v>
      </c>
      <c r="AF61" s="131">
        <f t="shared" si="26"/>
        <v>149</v>
      </c>
      <c r="AG61" s="198" t="s">
        <v>1381</v>
      </c>
      <c r="AH61" s="131"/>
      <c r="AI61" s="131"/>
      <c r="AJ61" s="131"/>
      <c r="AK61" s="131"/>
    </row>
    <row r="62" ht="13.5" customHeight="1">
      <c r="A62" s="131" t="s">
        <v>310</v>
      </c>
      <c r="B62" s="198" t="s">
        <v>311</v>
      </c>
      <c r="C62" s="131" t="s">
        <v>21</v>
      </c>
      <c r="D62" s="131" t="s">
        <v>310</v>
      </c>
      <c r="E62" s="131">
        <v>4.0</v>
      </c>
      <c r="F62" s="131">
        <v>3.0</v>
      </c>
      <c r="G62" s="131">
        <v>3.0</v>
      </c>
      <c r="H62" s="131">
        <v>2.0</v>
      </c>
      <c r="I62" s="131">
        <v>4.0</v>
      </c>
      <c r="J62" s="131">
        <v>4.0</v>
      </c>
      <c r="K62" s="131">
        <v>0.0</v>
      </c>
      <c r="L62" s="131">
        <v>0.0</v>
      </c>
      <c r="M62" s="131"/>
      <c r="N62" s="131">
        <v>10.0</v>
      </c>
      <c r="O62" s="131">
        <v>10.0</v>
      </c>
      <c r="P62" s="131">
        <v>10.0</v>
      </c>
      <c r="Q62" s="131">
        <v>10.0</v>
      </c>
      <c r="R62" s="131">
        <v>10.0</v>
      </c>
      <c r="S62" s="131">
        <v>10.0</v>
      </c>
      <c r="T62" s="131">
        <v>5.0</v>
      </c>
      <c r="U62" s="131">
        <v>5.0</v>
      </c>
      <c r="V62" s="131"/>
      <c r="W62" s="382">
        <f t="shared" si="16"/>
        <v>40</v>
      </c>
      <c r="X62" s="382">
        <f t="shared" si="17"/>
        <v>30</v>
      </c>
      <c r="Y62" s="382">
        <f t="shared" si="18"/>
        <v>30</v>
      </c>
      <c r="Z62" s="383">
        <f t="shared" si="19"/>
        <v>20</v>
      </c>
      <c r="AA62" s="382">
        <f t="shared" si="20"/>
        <v>40</v>
      </c>
      <c r="AB62" s="382">
        <f t="shared" si="21"/>
        <v>40</v>
      </c>
      <c r="AC62" s="383">
        <f t="shared" si="22"/>
        <v>0</v>
      </c>
      <c r="AD62" s="383">
        <f t="shared" si="23"/>
        <v>0</v>
      </c>
      <c r="AE62" s="131">
        <f t="shared" si="24"/>
        <v>200</v>
      </c>
      <c r="AF62" s="131">
        <f t="shared" si="26"/>
        <v>180</v>
      </c>
      <c r="AG62" s="198"/>
      <c r="AH62" s="131"/>
      <c r="AI62" s="131"/>
      <c r="AJ62" s="131"/>
      <c r="AK62" s="131"/>
    </row>
    <row r="63" ht="13.5" customHeight="1">
      <c r="A63" s="131" t="s">
        <v>312</v>
      </c>
      <c r="B63" s="198" t="s">
        <v>313</v>
      </c>
      <c r="C63" s="131" t="s">
        <v>21</v>
      </c>
      <c r="D63" s="131" t="s">
        <v>312</v>
      </c>
      <c r="E63" s="131">
        <v>4.0</v>
      </c>
      <c r="F63" s="131">
        <v>3.0</v>
      </c>
      <c r="G63" s="131">
        <v>4.0</v>
      </c>
      <c r="H63" s="131">
        <v>4.0</v>
      </c>
      <c r="I63" s="131">
        <v>4.0</v>
      </c>
      <c r="J63" s="131">
        <v>3.0</v>
      </c>
      <c r="K63" s="131">
        <v>0.0</v>
      </c>
      <c r="L63" s="131">
        <v>0.0</v>
      </c>
      <c r="M63" s="131"/>
      <c r="N63" s="131">
        <v>7.0</v>
      </c>
      <c r="O63" s="131">
        <v>10.0</v>
      </c>
      <c r="P63" s="131">
        <v>10.0</v>
      </c>
      <c r="Q63" s="131">
        <v>7.0</v>
      </c>
      <c r="R63" s="131">
        <v>5.0</v>
      </c>
      <c r="S63" s="131">
        <v>5.0</v>
      </c>
      <c r="T63" s="131">
        <v>5.0</v>
      </c>
      <c r="U63" s="131">
        <v>5.0</v>
      </c>
      <c r="V63" s="131"/>
      <c r="W63" s="382">
        <f t="shared" si="16"/>
        <v>28</v>
      </c>
      <c r="X63" s="382">
        <f t="shared" si="17"/>
        <v>30</v>
      </c>
      <c r="Y63" s="382">
        <f t="shared" si="18"/>
        <v>40</v>
      </c>
      <c r="Z63" s="382">
        <f t="shared" si="19"/>
        <v>28</v>
      </c>
      <c r="AA63" s="382">
        <f t="shared" si="20"/>
        <v>20</v>
      </c>
      <c r="AB63" s="383">
        <f t="shared" si="21"/>
        <v>15</v>
      </c>
      <c r="AC63" s="383">
        <f t="shared" si="22"/>
        <v>0</v>
      </c>
      <c r="AD63" s="383">
        <f t="shared" si="23"/>
        <v>0</v>
      </c>
      <c r="AE63" s="131">
        <f t="shared" si="24"/>
        <v>149.5</v>
      </c>
      <c r="AF63" s="131">
        <f t="shared" si="26"/>
        <v>146</v>
      </c>
      <c r="AG63" s="198"/>
      <c r="AH63" s="131"/>
      <c r="AI63" s="131"/>
      <c r="AJ63" s="131"/>
      <c r="AK63" s="131"/>
    </row>
    <row r="64" ht="13.5" customHeight="1">
      <c r="A64" s="131" t="s">
        <v>314</v>
      </c>
      <c r="B64" s="198" t="s">
        <v>315</v>
      </c>
      <c r="C64" s="131" t="s">
        <v>21</v>
      </c>
      <c r="D64" s="131" t="s">
        <v>314</v>
      </c>
      <c r="E64" s="131">
        <v>5.5</v>
      </c>
      <c r="F64" s="131">
        <v>3.0</v>
      </c>
      <c r="G64" s="131">
        <v>4.0</v>
      </c>
      <c r="H64" s="131">
        <v>4.0</v>
      </c>
      <c r="I64" s="131">
        <v>4.0</v>
      </c>
      <c r="J64" s="131">
        <v>4.0</v>
      </c>
      <c r="K64" s="131">
        <v>0.0</v>
      </c>
      <c r="L64" s="131">
        <v>2.0</v>
      </c>
      <c r="M64" s="131"/>
      <c r="N64" s="131">
        <v>7.0</v>
      </c>
      <c r="O64" s="131">
        <v>10.0</v>
      </c>
      <c r="P64" s="131">
        <v>10.0</v>
      </c>
      <c r="Q64" s="131">
        <v>7.0</v>
      </c>
      <c r="R64" s="131">
        <v>5.0</v>
      </c>
      <c r="S64" s="131">
        <v>5.0</v>
      </c>
      <c r="T64" s="131">
        <v>5.0</v>
      </c>
      <c r="U64" s="131">
        <v>5.0</v>
      </c>
      <c r="V64" s="131"/>
      <c r="W64" s="382">
        <f t="shared" si="16"/>
        <v>38.5</v>
      </c>
      <c r="X64" s="382">
        <f t="shared" si="17"/>
        <v>30</v>
      </c>
      <c r="Y64" s="382">
        <f t="shared" si="18"/>
        <v>40</v>
      </c>
      <c r="Z64" s="382">
        <f t="shared" si="19"/>
        <v>28</v>
      </c>
      <c r="AA64" s="383">
        <f t="shared" si="20"/>
        <v>20</v>
      </c>
      <c r="AB64" s="382">
        <f t="shared" si="21"/>
        <v>20</v>
      </c>
      <c r="AC64" s="383">
        <f t="shared" si="22"/>
        <v>0</v>
      </c>
      <c r="AD64" s="383">
        <f t="shared" si="23"/>
        <v>10</v>
      </c>
      <c r="AE64" s="131">
        <f t="shared" si="24"/>
        <v>161</v>
      </c>
      <c r="AF64" s="131">
        <f t="shared" si="26"/>
        <v>156.5</v>
      </c>
      <c r="AG64" s="198"/>
      <c r="AH64" s="131"/>
      <c r="AI64" s="131"/>
      <c r="AJ64" s="131"/>
      <c r="AK64" s="131"/>
    </row>
    <row r="65" ht="13.5" customHeight="1">
      <c r="A65" s="131" t="s">
        <v>316</v>
      </c>
      <c r="B65" s="198" t="s">
        <v>317</v>
      </c>
      <c r="C65" s="131" t="s">
        <v>21</v>
      </c>
      <c r="D65" s="131" t="s">
        <v>316</v>
      </c>
      <c r="E65" s="131">
        <v>4.0</v>
      </c>
      <c r="F65" s="131">
        <v>4.0</v>
      </c>
      <c r="G65" s="131">
        <v>4.0</v>
      </c>
      <c r="H65" s="131">
        <v>3.0</v>
      </c>
      <c r="I65" s="131">
        <v>4.0</v>
      </c>
      <c r="J65" s="131">
        <v>4.0</v>
      </c>
      <c r="K65" s="131">
        <v>4.0</v>
      </c>
      <c r="L65" s="131">
        <v>0.0</v>
      </c>
      <c r="M65" s="131"/>
      <c r="N65" s="131">
        <v>7.0</v>
      </c>
      <c r="O65" s="131">
        <v>10.0</v>
      </c>
      <c r="P65" s="131">
        <v>10.0</v>
      </c>
      <c r="Q65" s="131">
        <v>7.0</v>
      </c>
      <c r="R65" s="131">
        <v>5.0</v>
      </c>
      <c r="S65" s="131">
        <v>5.0</v>
      </c>
      <c r="T65" s="131">
        <v>5.0</v>
      </c>
      <c r="U65" s="131">
        <v>5.0</v>
      </c>
      <c r="V65" s="131"/>
      <c r="W65" s="382">
        <f t="shared" si="16"/>
        <v>28</v>
      </c>
      <c r="X65" s="382">
        <f t="shared" si="17"/>
        <v>40</v>
      </c>
      <c r="Y65" s="382">
        <f t="shared" si="18"/>
        <v>40</v>
      </c>
      <c r="Z65" s="382">
        <f t="shared" si="19"/>
        <v>21</v>
      </c>
      <c r="AA65" s="383">
        <f t="shared" si="20"/>
        <v>20</v>
      </c>
      <c r="AB65" s="383">
        <f t="shared" si="21"/>
        <v>20</v>
      </c>
      <c r="AC65" s="382">
        <f t="shared" si="22"/>
        <v>20</v>
      </c>
      <c r="AD65" s="383">
        <f t="shared" si="23"/>
        <v>0</v>
      </c>
      <c r="AE65" s="131">
        <f t="shared" si="24"/>
        <v>153.5</v>
      </c>
      <c r="AF65" s="131">
        <f t="shared" si="26"/>
        <v>149</v>
      </c>
      <c r="AG65" s="198"/>
      <c r="AH65" s="131"/>
      <c r="AI65" s="131"/>
      <c r="AJ65" s="131"/>
      <c r="AK65" s="131"/>
    </row>
    <row r="66" ht="13.5" customHeight="1">
      <c r="A66" s="131" t="s">
        <v>318</v>
      </c>
      <c r="B66" s="198" t="s">
        <v>319</v>
      </c>
      <c r="C66" s="131" t="s">
        <v>21</v>
      </c>
      <c r="D66" s="131" t="s">
        <v>318</v>
      </c>
      <c r="E66" s="131">
        <v>3.0</v>
      </c>
      <c r="F66" s="131">
        <v>4.0</v>
      </c>
      <c r="G66" s="131">
        <v>5.5</v>
      </c>
      <c r="H66" s="131">
        <v>4.0</v>
      </c>
      <c r="I66" s="131">
        <v>5.5</v>
      </c>
      <c r="J66" s="131">
        <v>4.0</v>
      </c>
      <c r="K66" s="131">
        <v>0.0</v>
      </c>
      <c r="L66" s="131">
        <v>0.0</v>
      </c>
      <c r="M66" s="131"/>
      <c r="N66" s="131">
        <v>7.0</v>
      </c>
      <c r="O66" s="131">
        <v>7.0</v>
      </c>
      <c r="P66" s="131">
        <v>10.0</v>
      </c>
      <c r="Q66" s="131">
        <v>7.0</v>
      </c>
      <c r="R66" s="131">
        <v>10.0</v>
      </c>
      <c r="S66" s="131">
        <v>10.0</v>
      </c>
      <c r="T66" s="131">
        <v>10.0</v>
      </c>
      <c r="U66" s="131">
        <v>10.0</v>
      </c>
      <c r="V66" s="131"/>
      <c r="W66" s="383">
        <f t="shared" si="16"/>
        <v>21</v>
      </c>
      <c r="X66" s="382">
        <f t="shared" si="17"/>
        <v>28</v>
      </c>
      <c r="Y66" s="382">
        <f t="shared" si="18"/>
        <v>55</v>
      </c>
      <c r="Z66" s="382">
        <f t="shared" si="19"/>
        <v>28</v>
      </c>
      <c r="AA66" s="382">
        <f t="shared" si="20"/>
        <v>55</v>
      </c>
      <c r="AB66" s="382">
        <f t="shared" si="21"/>
        <v>40</v>
      </c>
      <c r="AC66" s="383">
        <f t="shared" si="22"/>
        <v>0</v>
      </c>
      <c r="AD66" s="383">
        <f t="shared" si="23"/>
        <v>0</v>
      </c>
      <c r="AE66" s="131">
        <f t="shared" si="24"/>
        <v>218.5</v>
      </c>
      <c r="AF66" s="131">
        <f t="shared" si="26"/>
        <v>206</v>
      </c>
      <c r="AG66" s="198"/>
      <c r="AH66" s="131"/>
      <c r="AI66" s="131"/>
      <c r="AJ66" s="131"/>
      <c r="AK66" s="131"/>
    </row>
    <row r="67" ht="13.5" customHeight="1">
      <c r="A67" s="131" t="s">
        <v>320</v>
      </c>
      <c r="B67" s="198" t="s">
        <v>321</v>
      </c>
      <c r="C67" s="131" t="s">
        <v>24</v>
      </c>
      <c r="D67" s="131" t="s">
        <v>320</v>
      </c>
      <c r="E67" s="131">
        <v>3.0</v>
      </c>
      <c r="F67" s="131">
        <v>5.5</v>
      </c>
      <c r="G67" s="131">
        <v>7.0</v>
      </c>
      <c r="H67" s="131">
        <v>4.0</v>
      </c>
      <c r="I67" s="131">
        <v>8.5</v>
      </c>
      <c r="J67" s="131">
        <v>5.5</v>
      </c>
      <c r="K67" s="131">
        <v>4.0</v>
      </c>
      <c r="L67" s="131">
        <v>0.0</v>
      </c>
      <c r="M67" s="131"/>
      <c r="N67" s="131">
        <v>10.0</v>
      </c>
      <c r="O67" s="131">
        <v>10.0</v>
      </c>
      <c r="P67" s="131">
        <v>10.0</v>
      </c>
      <c r="Q67" s="131">
        <v>7.0</v>
      </c>
      <c r="R67" s="131">
        <v>10.0</v>
      </c>
      <c r="S67" s="131">
        <v>10.0</v>
      </c>
      <c r="T67" s="131">
        <v>10.0</v>
      </c>
      <c r="U67" s="131">
        <v>5.0</v>
      </c>
      <c r="V67" s="131"/>
      <c r="W67" s="382">
        <f t="shared" si="16"/>
        <v>30</v>
      </c>
      <c r="X67" s="382">
        <f t="shared" si="17"/>
        <v>55</v>
      </c>
      <c r="Y67" s="382">
        <f t="shared" si="18"/>
        <v>70</v>
      </c>
      <c r="Z67" s="383">
        <f t="shared" si="19"/>
        <v>28</v>
      </c>
      <c r="AA67" s="382">
        <f t="shared" si="20"/>
        <v>85</v>
      </c>
      <c r="AB67" s="382">
        <f t="shared" si="21"/>
        <v>55</v>
      </c>
      <c r="AC67" s="382">
        <f t="shared" si="22"/>
        <v>40</v>
      </c>
      <c r="AD67" s="383">
        <f t="shared" si="23"/>
        <v>0</v>
      </c>
      <c r="AE67" s="131">
        <f t="shared" si="24"/>
        <v>345</v>
      </c>
      <c r="AF67" s="131">
        <f t="shared" ref="AF67:AF69" si="27">LARGE(W67:AD67,1)+LARGE(W67:AD67,2)+LARGE(W67:AD67,3)+LARGE(W67:AD67,4)+LARGE(W67:AD67,5)+LARGE(W67:AD67,6)</f>
        <v>335</v>
      </c>
      <c r="AG67" s="198"/>
      <c r="AH67" s="131"/>
      <c r="AI67" s="131"/>
      <c r="AJ67" s="131"/>
      <c r="AK67" s="131"/>
    </row>
    <row r="68" ht="13.5" customHeight="1">
      <c r="A68" s="131" t="s">
        <v>322</v>
      </c>
      <c r="B68" s="198" t="s">
        <v>323</v>
      </c>
      <c r="C68" s="131" t="s">
        <v>24</v>
      </c>
      <c r="D68" s="131" t="s">
        <v>322</v>
      </c>
      <c r="E68" s="131">
        <v>5.5</v>
      </c>
      <c r="F68" s="131">
        <v>8.5</v>
      </c>
      <c r="G68" s="131">
        <v>5.5</v>
      </c>
      <c r="H68" s="131">
        <v>5.5</v>
      </c>
      <c r="I68" s="131">
        <v>5.5</v>
      </c>
      <c r="J68" s="131">
        <v>5.5</v>
      </c>
      <c r="K68" s="131">
        <v>5.5</v>
      </c>
      <c r="L68" s="131">
        <v>0.0</v>
      </c>
      <c r="M68" s="131"/>
      <c r="N68" s="131">
        <v>10.0</v>
      </c>
      <c r="O68" s="131">
        <v>10.0</v>
      </c>
      <c r="P68" s="131">
        <v>7.0</v>
      </c>
      <c r="Q68" s="131">
        <v>7.0</v>
      </c>
      <c r="R68" s="131">
        <v>10.0</v>
      </c>
      <c r="S68" s="131">
        <v>10.0</v>
      </c>
      <c r="T68" s="131">
        <v>5.0</v>
      </c>
      <c r="U68" s="131">
        <v>5.0</v>
      </c>
      <c r="V68" s="131"/>
      <c r="W68" s="382">
        <f t="shared" si="16"/>
        <v>55</v>
      </c>
      <c r="X68" s="382">
        <f t="shared" si="17"/>
        <v>85</v>
      </c>
      <c r="Y68" s="382">
        <f t="shared" si="18"/>
        <v>38.5</v>
      </c>
      <c r="Z68" s="382">
        <f t="shared" si="19"/>
        <v>38.5</v>
      </c>
      <c r="AA68" s="382">
        <f t="shared" si="20"/>
        <v>55</v>
      </c>
      <c r="AB68" s="382">
        <f t="shared" si="21"/>
        <v>55</v>
      </c>
      <c r="AC68" s="383">
        <f t="shared" si="22"/>
        <v>27.5</v>
      </c>
      <c r="AD68" s="383">
        <f t="shared" si="23"/>
        <v>0</v>
      </c>
      <c r="AE68" s="131">
        <f t="shared" si="24"/>
        <v>327</v>
      </c>
      <c r="AF68" s="131">
        <f t="shared" si="27"/>
        <v>327</v>
      </c>
      <c r="AG68" s="198"/>
      <c r="AH68" s="131"/>
      <c r="AI68" s="131"/>
      <c r="AJ68" s="131"/>
      <c r="AK68" s="131"/>
    </row>
    <row r="69" ht="13.5" customHeight="1">
      <c r="A69" s="131" t="s">
        <v>324</v>
      </c>
      <c r="B69" s="198" t="s">
        <v>325</v>
      </c>
      <c r="C69" s="131" t="s">
        <v>24</v>
      </c>
      <c r="D69" s="131" t="s">
        <v>324</v>
      </c>
      <c r="E69" s="131">
        <v>5.5</v>
      </c>
      <c r="F69" s="131">
        <v>5.5</v>
      </c>
      <c r="G69" s="131">
        <v>5.5</v>
      </c>
      <c r="H69" s="131">
        <v>5.5</v>
      </c>
      <c r="I69" s="131">
        <v>7.0</v>
      </c>
      <c r="J69" s="131">
        <v>7.0</v>
      </c>
      <c r="K69" s="131">
        <v>5.5</v>
      </c>
      <c r="L69" s="131">
        <v>7.0</v>
      </c>
      <c r="M69" s="131"/>
      <c r="N69" s="131">
        <v>10.0</v>
      </c>
      <c r="O69" s="131">
        <v>10.0</v>
      </c>
      <c r="P69" s="131">
        <v>7.0</v>
      </c>
      <c r="Q69" s="131">
        <v>7.0</v>
      </c>
      <c r="R69" s="131">
        <v>10.0</v>
      </c>
      <c r="S69" s="132">
        <v>7.0</v>
      </c>
      <c r="T69" s="131">
        <v>5.0</v>
      </c>
      <c r="U69" s="131">
        <v>5.0</v>
      </c>
      <c r="V69" s="131"/>
      <c r="W69" s="382">
        <f t="shared" si="16"/>
        <v>55</v>
      </c>
      <c r="X69" s="382">
        <f t="shared" si="17"/>
        <v>55</v>
      </c>
      <c r="Y69" s="382">
        <f t="shared" si="18"/>
        <v>38.5</v>
      </c>
      <c r="Z69" s="382">
        <f t="shared" si="19"/>
        <v>38.5</v>
      </c>
      <c r="AA69" s="382">
        <f t="shared" si="20"/>
        <v>70</v>
      </c>
      <c r="AB69" s="382">
        <f t="shared" si="21"/>
        <v>49</v>
      </c>
      <c r="AC69" s="383">
        <f t="shared" si="22"/>
        <v>27.5</v>
      </c>
      <c r="AD69" s="383">
        <f t="shared" si="23"/>
        <v>35</v>
      </c>
      <c r="AE69" s="131">
        <f t="shared" si="24"/>
        <v>322.5</v>
      </c>
      <c r="AF69" s="132">
        <f t="shared" si="27"/>
        <v>306</v>
      </c>
      <c r="AG69" s="198" t="s">
        <v>1382</v>
      </c>
      <c r="AH69" s="131"/>
      <c r="AI69" s="131"/>
      <c r="AJ69" s="131"/>
      <c r="AK69" s="131"/>
    </row>
    <row r="70" ht="13.5" customHeight="1">
      <c r="A70" s="131" t="s">
        <v>326</v>
      </c>
      <c r="B70" s="198" t="s">
        <v>327</v>
      </c>
      <c r="C70" s="131" t="s">
        <v>191</v>
      </c>
      <c r="D70" s="131" t="s">
        <v>326</v>
      </c>
      <c r="E70" s="131">
        <v>5.5</v>
      </c>
      <c r="F70" s="131">
        <v>4.0</v>
      </c>
      <c r="G70" s="131">
        <v>4.0</v>
      </c>
      <c r="H70" s="131">
        <v>4.0</v>
      </c>
      <c r="I70" s="131">
        <v>5.5</v>
      </c>
      <c r="J70" s="131">
        <v>5.5</v>
      </c>
      <c r="K70" s="131">
        <v>0.0</v>
      </c>
      <c r="L70" s="131">
        <v>3.0</v>
      </c>
      <c r="M70" s="131"/>
      <c r="N70" s="131">
        <v>10.0</v>
      </c>
      <c r="O70" s="131">
        <v>10.0</v>
      </c>
      <c r="P70" s="131">
        <v>10.0</v>
      </c>
      <c r="Q70" s="131">
        <v>10.0</v>
      </c>
      <c r="R70" s="131">
        <v>10.0</v>
      </c>
      <c r="S70" s="131">
        <v>5.0</v>
      </c>
      <c r="T70" s="131">
        <v>5.0</v>
      </c>
      <c r="U70" s="131">
        <v>5.0</v>
      </c>
      <c r="V70" s="131"/>
      <c r="W70" s="382">
        <f t="shared" si="16"/>
        <v>55</v>
      </c>
      <c r="X70" s="382">
        <f t="shared" si="17"/>
        <v>40</v>
      </c>
      <c r="Y70" s="382">
        <f t="shared" si="18"/>
        <v>40</v>
      </c>
      <c r="Z70" s="382">
        <f t="shared" si="19"/>
        <v>40</v>
      </c>
      <c r="AA70" s="382">
        <f t="shared" si="20"/>
        <v>55</v>
      </c>
      <c r="AB70" s="382">
        <f t="shared" si="21"/>
        <v>27.5</v>
      </c>
      <c r="AC70" s="383">
        <f t="shared" si="22"/>
        <v>0</v>
      </c>
      <c r="AD70" s="383">
        <f t="shared" si="23"/>
        <v>15</v>
      </c>
      <c r="AE70" s="131">
        <f t="shared" si="24"/>
        <v>265</v>
      </c>
      <c r="AF70" s="131">
        <f>SUM(W70:Z70)+LARGE(AA70:AD70,1)+LARGE(AA70:AD70,2)</f>
        <v>257.5</v>
      </c>
      <c r="AG70" s="198"/>
      <c r="AH70" s="131"/>
      <c r="AI70" s="131"/>
      <c r="AJ70" s="131"/>
      <c r="AK70" s="131"/>
    </row>
    <row r="71" ht="13.5" customHeight="1">
      <c r="A71" s="131" t="s">
        <v>328</v>
      </c>
      <c r="B71" s="198" t="s">
        <v>329</v>
      </c>
      <c r="C71" s="131" t="s">
        <v>24</v>
      </c>
      <c r="D71" s="131" t="s">
        <v>328</v>
      </c>
      <c r="E71" s="131">
        <v>4.0</v>
      </c>
      <c r="F71" s="131">
        <v>4.0</v>
      </c>
      <c r="G71" s="131">
        <v>7.0</v>
      </c>
      <c r="H71" s="131">
        <v>3.0</v>
      </c>
      <c r="I71" s="131">
        <v>7.0</v>
      </c>
      <c r="J71" s="131">
        <v>5.5</v>
      </c>
      <c r="K71" s="131">
        <v>5.5</v>
      </c>
      <c r="L71" s="131">
        <v>0.0</v>
      </c>
      <c r="M71" s="131"/>
      <c r="N71" s="131">
        <v>7.0</v>
      </c>
      <c r="O71" s="131">
        <v>10.0</v>
      </c>
      <c r="P71" s="131">
        <v>10.0</v>
      </c>
      <c r="Q71" s="131">
        <v>7.0</v>
      </c>
      <c r="R71" s="131">
        <v>10.0</v>
      </c>
      <c r="S71" s="131">
        <v>10.0</v>
      </c>
      <c r="T71" s="131">
        <v>10.0</v>
      </c>
      <c r="U71" s="131">
        <v>10.0</v>
      </c>
      <c r="V71" s="131"/>
      <c r="W71" s="382">
        <f t="shared" si="16"/>
        <v>28</v>
      </c>
      <c r="X71" s="382">
        <f t="shared" si="17"/>
        <v>40</v>
      </c>
      <c r="Y71" s="382">
        <f t="shared" si="18"/>
        <v>70</v>
      </c>
      <c r="Z71" s="383">
        <f t="shared" si="19"/>
        <v>21</v>
      </c>
      <c r="AA71" s="382">
        <f t="shared" si="20"/>
        <v>70</v>
      </c>
      <c r="AB71" s="382">
        <f t="shared" si="21"/>
        <v>55</v>
      </c>
      <c r="AC71" s="382">
        <f t="shared" si="22"/>
        <v>55</v>
      </c>
      <c r="AD71" s="383">
        <f t="shared" si="23"/>
        <v>0</v>
      </c>
      <c r="AE71" s="131">
        <f t="shared" si="24"/>
        <v>360</v>
      </c>
      <c r="AF71" s="131">
        <f>LARGE(W71:AD71,1)+LARGE(W71:AD71,2)+LARGE(W71:AD71,3)+LARGE(W71:AD71,4)+LARGE(W71:AD71,5)+LARGE(W71:AD71,6)</f>
        <v>318</v>
      </c>
      <c r="AG71" s="198"/>
      <c r="AH71" s="131"/>
      <c r="AI71" s="131"/>
      <c r="AJ71" s="131"/>
      <c r="AK71" s="131"/>
    </row>
    <row r="72" ht="13.5" customHeight="1">
      <c r="A72" s="131" t="s">
        <v>330</v>
      </c>
      <c r="B72" s="198" t="s">
        <v>331</v>
      </c>
      <c r="C72" s="131" t="s">
        <v>191</v>
      </c>
      <c r="D72" s="131" t="s">
        <v>330</v>
      </c>
      <c r="E72" s="131">
        <v>4.0</v>
      </c>
      <c r="F72" s="131">
        <v>4.0</v>
      </c>
      <c r="G72" s="131">
        <v>5.5</v>
      </c>
      <c r="H72" s="131">
        <v>7.0</v>
      </c>
      <c r="I72" s="131">
        <v>4.0</v>
      </c>
      <c r="J72" s="131">
        <v>4.0</v>
      </c>
      <c r="K72" s="131">
        <v>0.0</v>
      </c>
      <c r="L72" s="131">
        <v>0.0</v>
      </c>
      <c r="M72" s="131"/>
      <c r="N72" s="131">
        <v>7.0</v>
      </c>
      <c r="O72" s="131">
        <v>7.0</v>
      </c>
      <c r="P72" s="131">
        <v>7.0</v>
      </c>
      <c r="Q72" s="131">
        <v>7.0</v>
      </c>
      <c r="R72" s="131">
        <v>5.0</v>
      </c>
      <c r="S72" s="131">
        <v>5.0</v>
      </c>
      <c r="T72" s="131">
        <v>5.0</v>
      </c>
      <c r="U72" s="131">
        <v>5.0</v>
      </c>
      <c r="V72" s="131"/>
      <c r="W72" s="382">
        <f t="shared" si="16"/>
        <v>28</v>
      </c>
      <c r="X72" s="382">
        <f t="shared" si="17"/>
        <v>28</v>
      </c>
      <c r="Y72" s="382">
        <f t="shared" si="18"/>
        <v>38.5</v>
      </c>
      <c r="Z72" s="382">
        <f t="shared" si="19"/>
        <v>49</v>
      </c>
      <c r="AA72" s="382">
        <f t="shared" si="20"/>
        <v>20</v>
      </c>
      <c r="AB72" s="382">
        <f t="shared" si="21"/>
        <v>20</v>
      </c>
      <c r="AC72" s="383">
        <f t="shared" si="22"/>
        <v>0</v>
      </c>
      <c r="AD72" s="383">
        <f t="shared" si="23"/>
        <v>0</v>
      </c>
      <c r="AE72" s="131">
        <f t="shared" si="24"/>
        <v>184</v>
      </c>
      <c r="AF72" s="131">
        <f>SUM(W72:Z72)+LARGE(AA72:AD72,1)+LARGE(AA72:AD72,2)</f>
        <v>183.5</v>
      </c>
      <c r="AG72" s="198"/>
      <c r="AH72" s="131"/>
      <c r="AI72" s="131"/>
      <c r="AJ72" s="131"/>
      <c r="AK72" s="131"/>
    </row>
    <row r="73" ht="13.5" customHeight="1">
      <c r="A73" s="131" t="s">
        <v>332</v>
      </c>
      <c r="B73" s="198" t="s">
        <v>333</v>
      </c>
      <c r="C73" s="131" t="s">
        <v>21</v>
      </c>
      <c r="D73" s="131" t="s">
        <v>332</v>
      </c>
      <c r="E73" s="131">
        <v>4.0</v>
      </c>
      <c r="F73" s="131">
        <v>3.0</v>
      </c>
      <c r="G73" s="131">
        <v>4.0</v>
      </c>
      <c r="H73" s="131">
        <v>4.0</v>
      </c>
      <c r="I73" s="131">
        <v>4.0</v>
      </c>
      <c r="J73" s="131">
        <v>3.0</v>
      </c>
      <c r="K73" s="131">
        <v>0.0</v>
      </c>
      <c r="L73" s="131">
        <v>0.0</v>
      </c>
      <c r="M73" s="131"/>
      <c r="N73" s="131">
        <v>7.0</v>
      </c>
      <c r="O73" s="131">
        <v>10.0</v>
      </c>
      <c r="P73" s="131">
        <v>10.0</v>
      </c>
      <c r="Q73" s="131">
        <v>7.0</v>
      </c>
      <c r="R73" s="131">
        <v>5.0</v>
      </c>
      <c r="S73" s="131">
        <v>5.0</v>
      </c>
      <c r="T73" s="131">
        <v>5.0</v>
      </c>
      <c r="U73" s="131">
        <v>5.0</v>
      </c>
      <c r="V73" s="131"/>
      <c r="W73" s="382">
        <f t="shared" si="16"/>
        <v>28</v>
      </c>
      <c r="X73" s="382">
        <f t="shared" si="17"/>
        <v>30</v>
      </c>
      <c r="Y73" s="382">
        <f t="shared" si="18"/>
        <v>40</v>
      </c>
      <c r="Z73" s="382">
        <f t="shared" si="19"/>
        <v>28</v>
      </c>
      <c r="AA73" s="382">
        <f t="shared" si="20"/>
        <v>20</v>
      </c>
      <c r="AB73" s="383">
        <f t="shared" si="21"/>
        <v>15</v>
      </c>
      <c r="AC73" s="383">
        <f t="shared" si="22"/>
        <v>0</v>
      </c>
      <c r="AD73" s="383">
        <f t="shared" si="23"/>
        <v>0</v>
      </c>
      <c r="AE73" s="132">
        <f t="shared" si="24"/>
        <v>151</v>
      </c>
      <c r="AF73" s="131">
        <f t="shared" ref="AF73:AF78" si="28">LARGE(W73:AD73,1)+LARGE(W73:AD73,2)+LARGE(W73:AD73,3)+LARGE(W73:AD73,4)+LARGE(W73:AD73,5)</f>
        <v>146</v>
      </c>
      <c r="AG73" s="198" t="s">
        <v>1383</v>
      </c>
      <c r="AH73" s="131"/>
      <c r="AI73" s="131"/>
      <c r="AJ73" s="131"/>
      <c r="AK73" s="131"/>
    </row>
    <row r="74" ht="13.5" customHeight="1">
      <c r="A74" s="131" t="s">
        <v>334</v>
      </c>
      <c r="B74" s="198" t="s">
        <v>335</v>
      </c>
      <c r="C74" s="131" t="s">
        <v>21</v>
      </c>
      <c r="D74" s="131" t="s">
        <v>334</v>
      </c>
      <c r="E74" s="131">
        <v>3.0</v>
      </c>
      <c r="F74" s="131">
        <v>4.0</v>
      </c>
      <c r="G74" s="131">
        <v>4.0</v>
      </c>
      <c r="H74" s="131">
        <v>3.0</v>
      </c>
      <c r="I74" s="131">
        <v>3.0</v>
      </c>
      <c r="J74" s="131">
        <v>3.0</v>
      </c>
      <c r="K74" s="131">
        <v>0.0</v>
      </c>
      <c r="L74" s="131">
        <v>3.0</v>
      </c>
      <c r="M74" s="131"/>
      <c r="N74" s="131">
        <v>7.0</v>
      </c>
      <c r="O74" s="131">
        <v>10.0</v>
      </c>
      <c r="P74" s="131">
        <v>10.0</v>
      </c>
      <c r="Q74" s="131">
        <v>7.0</v>
      </c>
      <c r="R74" s="131">
        <v>10.0</v>
      </c>
      <c r="S74" s="131">
        <v>10.0</v>
      </c>
      <c r="T74" s="131">
        <v>10.0</v>
      </c>
      <c r="U74" s="131">
        <v>10.0</v>
      </c>
      <c r="V74" s="131"/>
      <c r="W74" s="383">
        <f t="shared" si="16"/>
        <v>21</v>
      </c>
      <c r="X74" s="382">
        <f t="shared" si="17"/>
        <v>40</v>
      </c>
      <c r="Y74" s="382">
        <f t="shared" si="18"/>
        <v>40</v>
      </c>
      <c r="Z74" s="383">
        <f t="shared" si="19"/>
        <v>21</v>
      </c>
      <c r="AA74" s="382">
        <f t="shared" si="20"/>
        <v>30</v>
      </c>
      <c r="AB74" s="382">
        <f t="shared" si="21"/>
        <v>30</v>
      </c>
      <c r="AC74" s="383">
        <f t="shared" si="22"/>
        <v>0</v>
      </c>
      <c r="AD74" s="382">
        <f t="shared" si="23"/>
        <v>30</v>
      </c>
      <c r="AE74" s="131">
        <f t="shared" si="24"/>
        <v>180</v>
      </c>
      <c r="AF74" s="131">
        <f t="shared" si="28"/>
        <v>170</v>
      </c>
      <c r="AG74" s="198"/>
      <c r="AH74" s="131"/>
      <c r="AI74" s="131"/>
      <c r="AJ74" s="131"/>
      <c r="AK74" s="131"/>
    </row>
    <row r="75" ht="13.5" customHeight="1">
      <c r="A75" s="131" t="s">
        <v>336</v>
      </c>
      <c r="B75" s="198" t="s">
        <v>337</v>
      </c>
      <c r="C75" s="131" t="s">
        <v>21</v>
      </c>
      <c r="D75" s="131" t="s">
        <v>336</v>
      </c>
      <c r="E75" s="131">
        <v>3.0</v>
      </c>
      <c r="F75" s="131">
        <v>3.0</v>
      </c>
      <c r="G75" s="131">
        <v>4.0</v>
      </c>
      <c r="H75" s="131">
        <v>3.0</v>
      </c>
      <c r="I75" s="131">
        <v>5.5</v>
      </c>
      <c r="J75" s="131">
        <v>4.0</v>
      </c>
      <c r="K75" s="131">
        <v>0.0</v>
      </c>
      <c r="L75" s="131">
        <v>0.0</v>
      </c>
      <c r="M75" s="131"/>
      <c r="N75" s="131">
        <v>7.0</v>
      </c>
      <c r="O75" s="131">
        <v>10.0</v>
      </c>
      <c r="P75" s="131">
        <v>10.0</v>
      </c>
      <c r="Q75" s="131">
        <v>7.0</v>
      </c>
      <c r="R75" s="131">
        <v>10.0</v>
      </c>
      <c r="S75" s="131">
        <v>10.0</v>
      </c>
      <c r="T75" s="131">
        <v>10.0</v>
      </c>
      <c r="U75" s="131">
        <v>10.0</v>
      </c>
      <c r="V75" s="131"/>
      <c r="W75" s="383">
        <f t="shared" si="16"/>
        <v>21</v>
      </c>
      <c r="X75" s="382">
        <f t="shared" si="17"/>
        <v>30</v>
      </c>
      <c r="Y75" s="382">
        <f t="shared" si="18"/>
        <v>40</v>
      </c>
      <c r="Z75" s="382">
        <f t="shared" si="19"/>
        <v>21</v>
      </c>
      <c r="AA75" s="382">
        <f t="shared" si="20"/>
        <v>55</v>
      </c>
      <c r="AB75" s="382">
        <f t="shared" si="21"/>
        <v>40</v>
      </c>
      <c r="AC75" s="383">
        <f t="shared" si="22"/>
        <v>0</v>
      </c>
      <c r="AD75" s="383">
        <f t="shared" si="23"/>
        <v>0</v>
      </c>
      <c r="AE75" s="131">
        <f t="shared" si="24"/>
        <v>220</v>
      </c>
      <c r="AF75" s="131">
        <f t="shared" si="28"/>
        <v>186</v>
      </c>
      <c r="AG75" s="198"/>
      <c r="AH75" s="131"/>
      <c r="AI75" s="131"/>
      <c r="AJ75" s="131"/>
      <c r="AK75" s="131"/>
    </row>
    <row r="76" ht="13.5" customHeight="1">
      <c r="A76" s="131" t="s">
        <v>338</v>
      </c>
      <c r="B76" s="198" t="s">
        <v>339</v>
      </c>
      <c r="C76" s="131" t="s">
        <v>21</v>
      </c>
      <c r="D76" s="131" t="s">
        <v>338</v>
      </c>
      <c r="E76" s="131">
        <v>3.0</v>
      </c>
      <c r="F76" s="131">
        <v>4.0</v>
      </c>
      <c r="G76" s="131">
        <v>4.0</v>
      </c>
      <c r="H76" s="131">
        <v>4.0</v>
      </c>
      <c r="I76" s="131">
        <v>5.5</v>
      </c>
      <c r="J76" s="131">
        <v>4.0</v>
      </c>
      <c r="K76" s="131">
        <v>0.0</v>
      </c>
      <c r="L76" s="131">
        <v>0.0</v>
      </c>
      <c r="M76" s="131"/>
      <c r="N76" s="131">
        <v>7.0</v>
      </c>
      <c r="O76" s="131">
        <v>10.0</v>
      </c>
      <c r="P76" s="131">
        <v>10.0</v>
      </c>
      <c r="Q76" s="131">
        <v>7.0</v>
      </c>
      <c r="R76" s="131">
        <v>10.0</v>
      </c>
      <c r="S76" s="131">
        <v>5.0</v>
      </c>
      <c r="T76" s="131">
        <v>5.0</v>
      </c>
      <c r="U76" s="131">
        <v>10.0</v>
      </c>
      <c r="V76" s="131"/>
      <c r="W76" s="382">
        <f t="shared" si="16"/>
        <v>21</v>
      </c>
      <c r="X76" s="382">
        <f t="shared" si="17"/>
        <v>40</v>
      </c>
      <c r="Y76" s="382">
        <f t="shared" si="18"/>
        <v>40</v>
      </c>
      <c r="Z76" s="382">
        <f t="shared" si="19"/>
        <v>28</v>
      </c>
      <c r="AA76" s="382">
        <f t="shared" si="20"/>
        <v>55</v>
      </c>
      <c r="AB76" s="383">
        <f t="shared" si="21"/>
        <v>20</v>
      </c>
      <c r="AC76" s="383">
        <f t="shared" si="22"/>
        <v>0</v>
      </c>
      <c r="AD76" s="383">
        <f t="shared" si="23"/>
        <v>0</v>
      </c>
      <c r="AE76" s="131">
        <f t="shared" si="24"/>
        <v>191</v>
      </c>
      <c r="AF76" s="131">
        <f t="shared" si="28"/>
        <v>184</v>
      </c>
      <c r="AG76" s="198"/>
      <c r="AH76" s="131"/>
      <c r="AI76" s="131"/>
      <c r="AJ76" s="131"/>
      <c r="AK76" s="131"/>
    </row>
    <row r="77" ht="13.5" customHeight="1">
      <c r="A77" s="131" t="s">
        <v>340</v>
      </c>
      <c r="B77" s="198" t="s">
        <v>341</v>
      </c>
      <c r="C77" s="131" t="s">
        <v>21</v>
      </c>
      <c r="D77" s="131" t="s">
        <v>340</v>
      </c>
      <c r="E77" s="131">
        <v>3.0</v>
      </c>
      <c r="F77" s="131">
        <v>3.0</v>
      </c>
      <c r="G77" s="131">
        <v>4.0</v>
      </c>
      <c r="H77" s="131">
        <v>3.0</v>
      </c>
      <c r="I77" s="131">
        <v>5.5</v>
      </c>
      <c r="J77" s="131">
        <v>3.0</v>
      </c>
      <c r="K77" s="131">
        <v>0.0</v>
      </c>
      <c r="L77" s="131">
        <v>1.0</v>
      </c>
      <c r="M77" s="131"/>
      <c r="N77" s="131">
        <v>7.0</v>
      </c>
      <c r="O77" s="131">
        <v>10.0</v>
      </c>
      <c r="P77" s="131">
        <v>10.0</v>
      </c>
      <c r="Q77" s="131">
        <v>7.0</v>
      </c>
      <c r="R77" s="131">
        <v>10.0</v>
      </c>
      <c r="S77" s="131">
        <v>10.0</v>
      </c>
      <c r="T77" s="131">
        <v>10.0</v>
      </c>
      <c r="U77" s="131">
        <v>10.0</v>
      </c>
      <c r="V77" s="131"/>
      <c r="W77" s="383">
        <f t="shared" si="16"/>
        <v>21</v>
      </c>
      <c r="X77" s="382">
        <f t="shared" si="17"/>
        <v>30</v>
      </c>
      <c r="Y77" s="382">
        <f t="shared" si="18"/>
        <v>40</v>
      </c>
      <c r="Z77" s="382">
        <f t="shared" si="19"/>
        <v>21</v>
      </c>
      <c r="AA77" s="382">
        <f t="shared" si="20"/>
        <v>55</v>
      </c>
      <c r="AB77" s="382">
        <f t="shared" si="21"/>
        <v>30</v>
      </c>
      <c r="AC77" s="383">
        <f t="shared" si="22"/>
        <v>0</v>
      </c>
      <c r="AD77" s="383">
        <f t="shared" si="23"/>
        <v>10</v>
      </c>
      <c r="AE77" s="131">
        <f t="shared" si="24"/>
        <v>180</v>
      </c>
      <c r="AF77" s="131">
        <f t="shared" si="28"/>
        <v>176</v>
      </c>
      <c r="AG77" s="198"/>
      <c r="AH77" s="131"/>
      <c r="AI77" s="131"/>
      <c r="AJ77" s="131"/>
      <c r="AK77" s="131"/>
    </row>
    <row r="78" ht="13.5" customHeight="1">
      <c r="A78" s="131" t="s">
        <v>342</v>
      </c>
      <c r="B78" s="198" t="s">
        <v>343</v>
      </c>
      <c r="C78" s="131" t="s">
        <v>21</v>
      </c>
      <c r="D78" s="131" t="s">
        <v>342</v>
      </c>
      <c r="E78" s="131">
        <v>4.0</v>
      </c>
      <c r="F78" s="131">
        <v>3.0</v>
      </c>
      <c r="G78" s="131">
        <v>4.0</v>
      </c>
      <c r="H78" s="131">
        <v>3.0</v>
      </c>
      <c r="I78" s="131">
        <v>4.0</v>
      </c>
      <c r="J78" s="131">
        <v>4.0</v>
      </c>
      <c r="K78" s="131">
        <v>0.0</v>
      </c>
      <c r="L78" s="131">
        <v>0.0</v>
      </c>
      <c r="M78" s="131"/>
      <c r="N78" s="131">
        <v>7.0</v>
      </c>
      <c r="O78" s="131">
        <v>10.0</v>
      </c>
      <c r="P78" s="131">
        <v>10.0</v>
      </c>
      <c r="Q78" s="131">
        <v>7.0</v>
      </c>
      <c r="R78" s="131">
        <v>10.0</v>
      </c>
      <c r="S78" s="131">
        <v>5.0</v>
      </c>
      <c r="T78" s="131">
        <v>5.0</v>
      </c>
      <c r="U78" s="131">
        <v>5.0</v>
      </c>
      <c r="V78" s="131"/>
      <c r="W78" s="382">
        <f t="shared" si="16"/>
        <v>28</v>
      </c>
      <c r="X78" s="382">
        <f t="shared" si="17"/>
        <v>30</v>
      </c>
      <c r="Y78" s="382">
        <f t="shared" si="18"/>
        <v>40</v>
      </c>
      <c r="Z78" s="382">
        <f t="shared" si="19"/>
        <v>21</v>
      </c>
      <c r="AA78" s="382">
        <f t="shared" si="20"/>
        <v>40</v>
      </c>
      <c r="AB78" s="383">
        <f t="shared" si="21"/>
        <v>20</v>
      </c>
      <c r="AC78" s="383">
        <f t="shared" si="22"/>
        <v>0</v>
      </c>
      <c r="AD78" s="383">
        <f t="shared" si="23"/>
        <v>0</v>
      </c>
      <c r="AE78" s="131">
        <f t="shared" si="24"/>
        <v>176</v>
      </c>
      <c r="AF78" s="131">
        <f t="shared" si="28"/>
        <v>159</v>
      </c>
      <c r="AG78" s="198"/>
      <c r="AH78" s="131"/>
      <c r="AI78" s="131"/>
      <c r="AJ78" s="131"/>
      <c r="AK78" s="131"/>
    </row>
    <row r="79" ht="13.5" customHeight="1">
      <c r="A79" s="131" t="s">
        <v>344</v>
      </c>
      <c r="B79" s="198" t="s">
        <v>345</v>
      </c>
      <c r="C79" s="131" t="s">
        <v>191</v>
      </c>
      <c r="D79" s="131" t="s">
        <v>344</v>
      </c>
      <c r="E79" s="131">
        <v>5.5</v>
      </c>
      <c r="F79" s="131">
        <v>3.0</v>
      </c>
      <c r="G79" s="131">
        <v>3.0</v>
      </c>
      <c r="H79" s="131">
        <v>5.5</v>
      </c>
      <c r="I79" s="131">
        <v>4.0</v>
      </c>
      <c r="J79" s="131">
        <v>3.0</v>
      </c>
      <c r="K79" s="131">
        <v>3.0</v>
      </c>
      <c r="L79" s="131">
        <v>0.0</v>
      </c>
      <c r="M79" s="131"/>
      <c r="N79" s="131">
        <v>7.0</v>
      </c>
      <c r="O79" s="131">
        <v>7.0</v>
      </c>
      <c r="P79" s="131">
        <v>7.0</v>
      </c>
      <c r="Q79" s="131">
        <v>7.0</v>
      </c>
      <c r="R79" s="131">
        <v>5.0</v>
      </c>
      <c r="S79" s="131">
        <v>5.0</v>
      </c>
      <c r="T79" s="131">
        <v>5.0</v>
      </c>
      <c r="U79" s="131">
        <v>5.0</v>
      </c>
      <c r="V79" s="131"/>
      <c r="W79" s="382">
        <f t="shared" si="16"/>
        <v>38.5</v>
      </c>
      <c r="X79" s="382">
        <f t="shared" si="17"/>
        <v>21</v>
      </c>
      <c r="Y79" s="382">
        <f t="shared" si="18"/>
        <v>21</v>
      </c>
      <c r="Z79" s="382">
        <f t="shared" si="19"/>
        <v>38.5</v>
      </c>
      <c r="AA79" s="382">
        <f t="shared" si="20"/>
        <v>20</v>
      </c>
      <c r="AB79" s="383">
        <f t="shared" si="21"/>
        <v>15</v>
      </c>
      <c r="AC79" s="382">
        <f t="shared" si="22"/>
        <v>15</v>
      </c>
      <c r="AD79" s="383">
        <f t="shared" si="23"/>
        <v>0</v>
      </c>
      <c r="AE79" s="132">
        <f t="shared" si="24"/>
        <v>153</v>
      </c>
      <c r="AF79" s="131">
        <f>SUM(W79:Z79)+LARGE(AA79:AD79,1)+LARGE(AA79:AD79,2)</f>
        <v>154</v>
      </c>
      <c r="AG79" s="198" t="s">
        <v>2325</v>
      </c>
      <c r="AH79" s="131"/>
      <c r="AI79" s="131"/>
      <c r="AJ79" s="131"/>
      <c r="AK79" s="131"/>
    </row>
    <row r="80" ht="13.5" customHeight="1">
      <c r="A80" s="131" t="s">
        <v>346</v>
      </c>
      <c r="B80" s="198" t="s">
        <v>347</v>
      </c>
      <c r="C80" s="131" t="s">
        <v>21</v>
      </c>
      <c r="D80" s="131" t="s">
        <v>346</v>
      </c>
      <c r="E80" s="131">
        <v>3.0</v>
      </c>
      <c r="F80" s="131">
        <v>4.0</v>
      </c>
      <c r="G80" s="131">
        <v>4.0</v>
      </c>
      <c r="H80" s="131">
        <v>4.0</v>
      </c>
      <c r="I80" s="131">
        <v>3.0</v>
      </c>
      <c r="J80" s="131">
        <v>3.0</v>
      </c>
      <c r="K80" s="131">
        <v>0.0</v>
      </c>
      <c r="L80" s="131">
        <v>2.0</v>
      </c>
      <c r="M80" s="131"/>
      <c r="N80" s="131">
        <v>7.0</v>
      </c>
      <c r="O80" s="131">
        <v>10.0</v>
      </c>
      <c r="P80" s="131">
        <v>10.0</v>
      </c>
      <c r="Q80" s="131">
        <v>7.0</v>
      </c>
      <c r="R80" s="131">
        <v>10.0</v>
      </c>
      <c r="S80" s="131">
        <v>5.0</v>
      </c>
      <c r="T80" s="131">
        <v>5.0</v>
      </c>
      <c r="U80" s="131">
        <v>10.0</v>
      </c>
      <c r="V80" s="131"/>
      <c r="W80" s="382">
        <f t="shared" si="16"/>
        <v>21</v>
      </c>
      <c r="X80" s="382">
        <f t="shared" si="17"/>
        <v>40</v>
      </c>
      <c r="Y80" s="382">
        <f t="shared" si="18"/>
        <v>40</v>
      </c>
      <c r="Z80" s="382">
        <f t="shared" si="19"/>
        <v>28</v>
      </c>
      <c r="AA80" s="382">
        <f t="shared" si="20"/>
        <v>30</v>
      </c>
      <c r="AB80" s="383">
        <f t="shared" si="21"/>
        <v>15</v>
      </c>
      <c r="AC80" s="383">
        <f t="shared" si="22"/>
        <v>0</v>
      </c>
      <c r="AD80" s="383">
        <f t="shared" si="23"/>
        <v>20</v>
      </c>
      <c r="AE80" s="131">
        <f t="shared" si="24"/>
        <v>162</v>
      </c>
      <c r="AF80" s="131">
        <f t="shared" ref="AF80:AF83" si="29">LARGE(W80:AD80,1)+LARGE(W80:AD80,2)+LARGE(W80:AD80,3)+LARGE(W80:AD80,4)+LARGE(W80:AD80,5)</f>
        <v>159</v>
      </c>
      <c r="AG80" s="198" t="s">
        <v>2326</v>
      </c>
      <c r="AH80" s="131"/>
      <c r="AI80" s="131"/>
      <c r="AJ80" s="131"/>
      <c r="AK80" s="131"/>
    </row>
    <row r="81" ht="13.5" customHeight="1">
      <c r="A81" s="131" t="s">
        <v>348</v>
      </c>
      <c r="B81" s="198" t="s">
        <v>349</v>
      </c>
      <c r="C81" s="131" t="s">
        <v>21</v>
      </c>
      <c r="D81" s="131" t="s">
        <v>348</v>
      </c>
      <c r="E81" s="131">
        <v>4.0</v>
      </c>
      <c r="F81" s="131">
        <v>4.0</v>
      </c>
      <c r="G81" s="131">
        <v>7.0</v>
      </c>
      <c r="H81" s="131">
        <v>4.0</v>
      </c>
      <c r="I81" s="131">
        <v>4.0</v>
      </c>
      <c r="J81" s="131">
        <v>4.0</v>
      </c>
      <c r="K81" s="131">
        <v>0.0</v>
      </c>
      <c r="L81" s="131">
        <v>5.5</v>
      </c>
      <c r="M81" s="131"/>
      <c r="N81" s="131">
        <v>7.0</v>
      </c>
      <c r="O81" s="131">
        <v>10.0</v>
      </c>
      <c r="P81" s="131">
        <v>7.0</v>
      </c>
      <c r="Q81" s="131">
        <v>7.0</v>
      </c>
      <c r="R81" s="131">
        <v>5.0</v>
      </c>
      <c r="S81" s="131">
        <v>5.0</v>
      </c>
      <c r="T81" s="131">
        <v>5.0</v>
      </c>
      <c r="U81" s="131">
        <v>5.0</v>
      </c>
      <c r="V81" s="131"/>
      <c r="W81" s="382">
        <f t="shared" si="16"/>
        <v>28</v>
      </c>
      <c r="X81" s="382">
        <f t="shared" si="17"/>
        <v>40</v>
      </c>
      <c r="Y81" s="382">
        <f t="shared" si="18"/>
        <v>49</v>
      </c>
      <c r="Z81" s="382">
        <f t="shared" si="19"/>
        <v>28</v>
      </c>
      <c r="AA81" s="383">
        <f t="shared" si="20"/>
        <v>20</v>
      </c>
      <c r="AB81" s="383">
        <f t="shared" si="21"/>
        <v>20</v>
      </c>
      <c r="AC81" s="383">
        <f t="shared" si="22"/>
        <v>0</v>
      </c>
      <c r="AD81" s="382">
        <f t="shared" si="23"/>
        <v>27.5</v>
      </c>
      <c r="AE81" s="131">
        <f t="shared" si="24"/>
        <v>173</v>
      </c>
      <c r="AF81" s="131">
        <f t="shared" si="29"/>
        <v>172.5</v>
      </c>
      <c r="AG81" s="198"/>
      <c r="AH81" s="131"/>
      <c r="AI81" s="131"/>
      <c r="AJ81" s="131"/>
      <c r="AK81" s="131"/>
    </row>
    <row r="82" ht="13.5" customHeight="1">
      <c r="A82" s="131" t="s">
        <v>350</v>
      </c>
      <c r="B82" s="198" t="s">
        <v>351</v>
      </c>
      <c r="C82" s="131" t="s">
        <v>21</v>
      </c>
      <c r="D82" s="131" t="s">
        <v>350</v>
      </c>
      <c r="E82" s="131">
        <v>3.0</v>
      </c>
      <c r="F82" s="131">
        <v>3.0</v>
      </c>
      <c r="G82" s="131">
        <v>4.0</v>
      </c>
      <c r="H82" s="131">
        <v>3.0</v>
      </c>
      <c r="I82" s="131">
        <v>4.0</v>
      </c>
      <c r="J82" s="131">
        <v>4.0</v>
      </c>
      <c r="K82" s="131">
        <v>0.0</v>
      </c>
      <c r="L82" s="131">
        <v>0.0</v>
      </c>
      <c r="M82" s="131"/>
      <c r="N82" s="131">
        <v>7.0</v>
      </c>
      <c r="O82" s="131">
        <v>10.0</v>
      </c>
      <c r="P82" s="131">
        <v>10.0</v>
      </c>
      <c r="Q82" s="131">
        <v>7.0</v>
      </c>
      <c r="R82" s="131">
        <v>10.0</v>
      </c>
      <c r="S82" s="131">
        <v>5.0</v>
      </c>
      <c r="T82" s="131">
        <v>5.0</v>
      </c>
      <c r="U82" s="131">
        <v>10.0</v>
      </c>
      <c r="V82" s="131"/>
      <c r="W82" s="382">
        <f t="shared" si="16"/>
        <v>21</v>
      </c>
      <c r="X82" s="382">
        <f t="shared" si="17"/>
        <v>30</v>
      </c>
      <c r="Y82" s="382">
        <f t="shared" si="18"/>
        <v>40</v>
      </c>
      <c r="Z82" s="382">
        <f t="shared" si="19"/>
        <v>21</v>
      </c>
      <c r="AA82" s="382">
        <f t="shared" si="20"/>
        <v>40</v>
      </c>
      <c r="AB82" s="383">
        <f t="shared" si="21"/>
        <v>20</v>
      </c>
      <c r="AC82" s="383">
        <f t="shared" si="22"/>
        <v>0</v>
      </c>
      <c r="AD82" s="383">
        <f t="shared" si="23"/>
        <v>0</v>
      </c>
      <c r="AE82" s="131">
        <f t="shared" si="24"/>
        <v>174</v>
      </c>
      <c r="AF82" s="131">
        <f t="shared" si="29"/>
        <v>152</v>
      </c>
      <c r="AG82" s="198"/>
      <c r="AH82" s="131"/>
      <c r="AI82" s="131"/>
      <c r="AJ82" s="131"/>
      <c r="AK82" s="131"/>
    </row>
    <row r="83" ht="13.5" customHeight="1">
      <c r="A83" s="131" t="s">
        <v>352</v>
      </c>
      <c r="B83" s="198" t="s">
        <v>353</v>
      </c>
      <c r="C83" s="131" t="s">
        <v>21</v>
      </c>
      <c r="D83" s="131" t="s">
        <v>352</v>
      </c>
      <c r="E83" s="131">
        <v>5.5</v>
      </c>
      <c r="F83" s="131">
        <v>3.0</v>
      </c>
      <c r="G83" s="131">
        <v>4.0</v>
      </c>
      <c r="H83" s="131">
        <v>4.0</v>
      </c>
      <c r="I83" s="131">
        <v>4.0</v>
      </c>
      <c r="J83" s="131">
        <v>3.0</v>
      </c>
      <c r="K83" s="131">
        <v>0.0</v>
      </c>
      <c r="L83" s="131">
        <v>0.0</v>
      </c>
      <c r="M83" s="131"/>
      <c r="N83" s="131">
        <v>7.0</v>
      </c>
      <c r="O83" s="131">
        <v>10.0</v>
      </c>
      <c r="P83" s="131">
        <v>10.0</v>
      </c>
      <c r="Q83" s="131">
        <v>7.0</v>
      </c>
      <c r="R83" s="131">
        <v>5.0</v>
      </c>
      <c r="S83" s="131">
        <v>5.0</v>
      </c>
      <c r="T83" s="131">
        <v>5.0</v>
      </c>
      <c r="U83" s="131">
        <v>5.0</v>
      </c>
      <c r="V83" s="131"/>
      <c r="W83" s="382">
        <f t="shared" si="16"/>
        <v>38.5</v>
      </c>
      <c r="X83" s="382">
        <f t="shared" si="17"/>
        <v>30</v>
      </c>
      <c r="Y83" s="382">
        <f t="shared" si="18"/>
        <v>40</v>
      </c>
      <c r="Z83" s="382">
        <f t="shared" si="19"/>
        <v>28</v>
      </c>
      <c r="AA83" s="382">
        <f t="shared" si="20"/>
        <v>20</v>
      </c>
      <c r="AB83" s="383">
        <f t="shared" si="21"/>
        <v>15</v>
      </c>
      <c r="AC83" s="383">
        <f t="shared" si="22"/>
        <v>0</v>
      </c>
      <c r="AD83" s="383">
        <f t="shared" si="23"/>
        <v>0</v>
      </c>
      <c r="AE83" s="131">
        <f t="shared" si="24"/>
        <v>166.5</v>
      </c>
      <c r="AF83" s="131">
        <f t="shared" si="29"/>
        <v>156.5</v>
      </c>
      <c r="AG83" s="198"/>
      <c r="AH83" s="131"/>
      <c r="AI83" s="131"/>
      <c r="AJ83" s="131"/>
      <c r="AK83" s="131"/>
    </row>
    <row r="84" ht="13.5" customHeight="1">
      <c r="A84" s="131" t="s">
        <v>356</v>
      </c>
      <c r="B84" s="198" t="s">
        <v>357</v>
      </c>
      <c r="C84" s="131" t="s">
        <v>358</v>
      </c>
      <c r="D84" s="131" t="s">
        <v>356</v>
      </c>
      <c r="E84" s="131">
        <v>4.0</v>
      </c>
      <c r="F84" s="131">
        <v>4.0</v>
      </c>
      <c r="G84" s="131">
        <v>4.0</v>
      </c>
      <c r="H84" s="131">
        <v>4.0</v>
      </c>
      <c r="I84" s="131">
        <v>5.5</v>
      </c>
      <c r="J84" s="131">
        <v>4.0</v>
      </c>
      <c r="K84" s="131">
        <v>0.0</v>
      </c>
      <c r="L84" s="131">
        <v>3.0</v>
      </c>
      <c r="M84" s="131"/>
      <c r="N84" s="131">
        <v>10.0</v>
      </c>
      <c r="O84" s="131">
        <v>10.0</v>
      </c>
      <c r="P84" s="131">
        <v>7.0</v>
      </c>
      <c r="Q84" s="131">
        <v>7.0</v>
      </c>
      <c r="R84" s="131">
        <v>5.0</v>
      </c>
      <c r="S84" s="131">
        <v>5.0</v>
      </c>
      <c r="T84" s="131">
        <v>5.0</v>
      </c>
      <c r="U84" s="131">
        <v>5.0</v>
      </c>
      <c r="V84" s="131"/>
      <c r="W84" s="382">
        <f t="shared" si="16"/>
        <v>40</v>
      </c>
      <c r="X84" s="382">
        <f t="shared" si="17"/>
        <v>40</v>
      </c>
      <c r="Y84" s="382">
        <f t="shared" si="18"/>
        <v>28</v>
      </c>
      <c r="Z84" s="382">
        <f t="shared" si="19"/>
        <v>28</v>
      </c>
      <c r="AA84" s="382">
        <f t="shared" si="20"/>
        <v>27.5</v>
      </c>
      <c r="AB84" s="383">
        <f t="shared" si="21"/>
        <v>20</v>
      </c>
      <c r="AC84" s="383">
        <f t="shared" si="22"/>
        <v>0</v>
      </c>
      <c r="AD84" s="383">
        <f t="shared" si="23"/>
        <v>15</v>
      </c>
      <c r="AE84" s="131">
        <f t="shared" si="24"/>
        <v>171</v>
      </c>
      <c r="AF84" s="131">
        <f>W84+X84+LARGE(Y84:AD84,1)+LARGE(Y84:AD84,2)+LARGE(Y84:AD84,3)</f>
        <v>163.5</v>
      </c>
      <c r="AG84" s="198"/>
      <c r="AH84" s="131"/>
      <c r="AI84" s="131"/>
      <c r="AJ84" s="131"/>
      <c r="AK84" s="131"/>
    </row>
    <row r="85" ht="13.5" customHeight="1">
      <c r="A85" s="131" t="s">
        <v>361</v>
      </c>
      <c r="B85" s="198" t="s">
        <v>362</v>
      </c>
      <c r="C85" s="131" t="s">
        <v>21</v>
      </c>
      <c r="D85" s="131" t="s">
        <v>361</v>
      </c>
      <c r="E85" s="131">
        <v>5.5</v>
      </c>
      <c r="F85" s="131">
        <v>3.0</v>
      </c>
      <c r="G85" s="131">
        <v>2.0</v>
      </c>
      <c r="H85" s="131">
        <v>3.0</v>
      </c>
      <c r="I85" s="131">
        <v>5.5</v>
      </c>
      <c r="J85" s="131">
        <v>4.0</v>
      </c>
      <c r="K85" s="131">
        <v>0.0</v>
      </c>
      <c r="L85" s="131">
        <v>0.0</v>
      </c>
      <c r="M85" s="131"/>
      <c r="N85" s="131">
        <v>7.0</v>
      </c>
      <c r="O85" s="131">
        <v>10.0</v>
      </c>
      <c r="P85" s="131">
        <v>7.0</v>
      </c>
      <c r="Q85" s="131">
        <v>7.0</v>
      </c>
      <c r="R85" s="131">
        <v>5.0</v>
      </c>
      <c r="S85" s="131">
        <v>5.0</v>
      </c>
      <c r="T85" s="131">
        <v>5.0</v>
      </c>
      <c r="U85" s="131">
        <v>5.0</v>
      </c>
      <c r="V85" s="131"/>
      <c r="W85" s="382">
        <f t="shared" si="16"/>
        <v>38.5</v>
      </c>
      <c r="X85" s="382">
        <f t="shared" si="17"/>
        <v>30</v>
      </c>
      <c r="Y85" s="383">
        <f t="shared" si="18"/>
        <v>14</v>
      </c>
      <c r="Z85" s="382">
        <f t="shared" si="19"/>
        <v>21</v>
      </c>
      <c r="AA85" s="382">
        <f t="shared" si="20"/>
        <v>27.5</v>
      </c>
      <c r="AB85" s="382">
        <f t="shared" si="21"/>
        <v>20</v>
      </c>
      <c r="AC85" s="383">
        <f t="shared" si="22"/>
        <v>0</v>
      </c>
      <c r="AD85" s="383">
        <f t="shared" si="23"/>
        <v>0</v>
      </c>
      <c r="AE85" s="131">
        <f t="shared" si="24"/>
        <v>154.5</v>
      </c>
      <c r="AF85" s="131">
        <f>LARGE(W85:AD85,1)+LARGE(W85:AD85,2)+LARGE(W85:AD85,3)+LARGE(W85:AD85,4)+LARGE(W85:AD85,5)</f>
        <v>137</v>
      </c>
      <c r="AG85" s="198"/>
      <c r="AH85" s="131"/>
      <c r="AI85" s="131"/>
      <c r="AJ85" s="131"/>
      <c r="AK85" s="131"/>
    </row>
    <row r="86" ht="13.5" customHeight="1">
      <c r="A86" s="131" t="s">
        <v>2327</v>
      </c>
      <c r="B86" s="198" t="s">
        <v>366</v>
      </c>
      <c r="C86" s="131" t="s">
        <v>358</v>
      </c>
      <c r="D86" s="131" t="s">
        <v>2327</v>
      </c>
      <c r="E86" s="131">
        <v>4.0</v>
      </c>
      <c r="F86" s="131">
        <v>5.5</v>
      </c>
      <c r="G86" s="131">
        <v>3.0</v>
      </c>
      <c r="H86" s="131">
        <v>4.0</v>
      </c>
      <c r="I86" s="131">
        <v>3.0</v>
      </c>
      <c r="J86" s="131">
        <v>3.0</v>
      </c>
      <c r="K86" s="131">
        <v>2.0</v>
      </c>
      <c r="L86" s="131">
        <v>0.0</v>
      </c>
      <c r="M86" s="131"/>
      <c r="N86" s="131">
        <v>10.0</v>
      </c>
      <c r="O86" s="131">
        <v>10.0</v>
      </c>
      <c r="P86" s="131">
        <v>7.0</v>
      </c>
      <c r="Q86" s="131">
        <v>7.0</v>
      </c>
      <c r="R86" s="131">
        <v>5.0</v>
      </c>
      <c r="S86" s="131">
        <v>5.0</v>
      </c>
      <c r="T86" s="131">
        <v>5.0</v>
      </c>
      <c r="U86" s="131">
        <v>5.0</v>
      </c>
      <c r="V86" s="131"/>
      <c r="W86" s="382">
        <f t="shared" si="16"/>
        <v>40</v>
      </c>
      <c r="X86" s="382">
        <f t="shared" si="17"/>
        <v>55</v>
      </c>
      <c r="Y86" s="382">
        <f t="shared" si="18"/>
        <v>21</v>
      </c>
      <c r="Z86" s="382">
        <f t="shared" si="19"/>
        <v>28</v>
      </c>
      <c r="AA86" s="383">
        <f t="shared" si="20"/>
        <v>15</v>
      </c>
      <c r="AB86" s="382">
        <f t="shared" si="21"/>
        <v>15</v>
      </c>
      <c r="AC86" s="383">
        <f t="shared" si="22"/>
        <v>10</v>
      </c>
      <c r="AD86" s="383">
        <f t="shared" si="23"/>
        <v>0</v>
      </c>
      <c r="AE86" s="131">
        <f t="shared" si="24"/>
        <v>164</v>
      </c>
      <c r="AF86" s="131">
        <f>W86+X86+LARGE(Y86:AD86,1)+LARGE(Y86:AD86,2)+LARGE(Y86:AD86,3)</f>
        <v>159</v>
      </c>
      <c r="AG86" s="198"/>
      <c r="AH86" s="131"/>
      <c r="AI86" s="131"/>
      <c r="AJ86" s="131"/>
      <c r="AK86" s="131"/>
    </row>
    <row r="87" ht="13.5" customHeight="1">
      <c r="A87" s="131" t="s">
        <v>2328</v>
      </c>
      <c r="B87" s="198" t="s">
        <v>369</v>
      </c>
      <c r="C87" s="131" t="s">
        <v>21</v>
      </c>
      <c r="D87" s="131" t="s">
        <v>2328</v>
      </c>
      <c r="E87" s="131">
        <v>3.0</v>
      </c>
      <c r="F87" s="131">
        <v>3.0</v>
      </c>
      <c r="G87" s="131">
        <v>4.0</v>
      </c>
      <c r="H87" s="131">
        <v>4.0</v>
      </c>
      <c r="I87" s="131">
        <v>5.5</v>
      </c>
      <c r="J87" s="131">
        <v>4.0</v>
      </c>
      <c r="K87" s="131">
        <v>0.0</v>
      </c>
      <c r="L87" s="131">
        <v>0.0</v>
      </c>
      <c r="M87" s="131"/>
      <c r="N87" s="131">
        <v>7.0</v>
      </c>
      <c r="O87" s="131">
        <v>10.0</v>
      </c>
      <c r="P87" s="131">
        <v>10.0</v>
      </c>
      <c r="Q87" s="131">
        <v>7.0</v>
      </c>
      <c r="R87" s="131">
        <v>5.0</v>
      </c>
      <c r="S87" s="131">
        <v>5.0</v>
      </c>
      <c r="T87" s="131">
        <v>5.0</v>
      </c>
      <c r="U87" s="131">
        <v>5.0</v>
      </c>
      <c r="V87" s="131"/>
      <c r="W87" s="382">
        <f t="shared" si="16"/>
        <v>21</v>
      </c>
      <c r="X87" s="382">
        <f t="shared" si="17"/>
        <v>30</v>
      </c>
      <c r="Y87" s="382">
        <f t="shared" si="18"/>
        <v>40</v>
      </c>
      <c r="Z87" s="382">
        <f t="shared" si="19"/>
        <v>28</v>
      </c>
      <c r="AA87" s="382">
        <f t="shared" si="20"/>
        <v>27.5</v>
      </c>
      <c r="AB87" s="383">
        <f t="shared" si="21"/>
        <v>20</v>
      </c>
      <c r="AC87" s="383">
        <f t="shared" si="22"/>
        <v>0</v>
      </c>
      <c r="AD87" s="383">
        <f t="shared" si="23"/>
        <v>0</v>
      </c>
      <c r="AE87" s="131">
        <f t="shared" si="24"/>
        <v>156.5</v>
      </c>
      <c r="AF87" s="131">
        <f t="shared" ref="AF87:AF94" si="30">LARGE(W87:AD87,1)+LARGE(W87:AD87,2)+LARGE(W87:AD87,3)+LARGE(W87:AD87,4)+LARGE(W87:AD87,5)</f>
        <v>146.5</v>
      </c>
      <c r="AG87" s="198"/>
      <c r="AH87" s="131"/>
      <c r="AI87" s="131"/>
      <c r="AJ87" s="131"/>
      <c r="AK87" s="131"/>
    </row>
    <row r="88" ht="13.5" customHeight="1">
      <c r="A88" s="131" t="s">
        <v>370</v>
      </c>
      <c r="B88" s="198" t="s">
        <v>371</v>
      </c>
      <c r="C88" s="131" t="s">
        <v>21</v>
      </c>
      <c r="D88" s="131" t="s">
        <v>370</v>
      </c>
      <c r="E88" s="131">
        <v>3.0</v>
      </c>
      <c r="F88" s="131">
        <v>4.0</v>
      </c>
      <c r="G88" s="131">
        <v>4.0</v>
      </c>
      <c r="H88" s="131">
        <v>3.0</v>
      </c>
      <c r="I88" s="131">
        <v>4.0</v>
      </c>
      <c r="J88" s="131">
        <v>4.0</v>
      </c>
      <c r="K88" s="131">
        <v>0.0</v>
      </c>
      <c r="L88" s="131">
        <v>0.0</v>
      </c>
      <c r="M88" s="131"/>
      <c r="N88" s="131">
        <v>7.0</v>
      </c>
      <c r="O88" s="131">
        <v>10.0</v>
      </c>
      <c r="P88" s="131">
        <v>10.0</v>
      </c>
      <c r="Q88" s="131">
        <v>7.0</v>
      </c>
      <c r="R88" s="131">
        <v>10.0</v>
      </c>
      <c r="S88" s="131">
        <v>10.0</v>
      </c>
      <c r="T88" s="131">
        <v>10.0</v>
      </c>
      <c r="U88" s="131">
        <v>10.0</v>
      </c>
      <c r="V88" s="131"/>
      <c r="W88" s="383">
        <f t="shared" si="16"/>
        <v>21</v>
      </c>
      <c r="X88" s="382">
        <f t="shared" si="17"/>
        <v>40</v>
      </c>
      <c r="Y88" s="382">
        <f t="shared" si="18"/>
        <v>40</v>
      </c>
      <c r="Z88" s="382">
        <f t="shared" si="19"/>
        <v>21</v>
      </c>
      <c r="AA88" s="382">
        <f t="shared" si="20"/>
        <v>40</v>
      </c>
      <c r="AB88" s="382">
        <f t="shared" si="21"/>
        <v>40</v>
      </c>
      <c r="AC88" s="383">
        <f t="shared" si="22"/>
        <v>0</v>
      </c>
      <c r="AD88" s="383">
        <f t="shared" si="23"/>
        <v>0</v>
      </c>
      <c r="AE88" s="131">
        <f t="shared" si="24"/>
        <v>188</v>
      </c>
      <c r="AF88" s="131">
        <f t="shared" si="30"/>
        <v>181</v>
      </c>
      <c r="AG88" s="198"/>
      <c r="AH88" s="131"/>
      <c r="AI88" s="131"/>
      <c r="AJ88" s="131"/>
      <c r="AK88" s="131"/>
    </row>
    <row r="89" ht="13.5" customHeight="1">
      <c r="A89" s="131" t="s">
        <v>373</v>
      </c>
      <c r="B89" s="198" t="s">
        <v>374</v>
      </c>
      <c r="C89" s="131" t="s">
        <v>21</v>
      </c>
      <c r="D89" s="131" t="s">
        <v>373</v>
      </c>
      <c r="E89" s="131">
        <v>4.0</v>
      </c>
      <c r="F89" s="131">
        <v>3.0</v>
      </c>
      <c r="G89" s="131">
        <v>3.0</v>
      </c>
      <c r="H89" s="131">
        <v>4.0</v>
      </c>
      <c r="I89" s="131">
        <v>5.5</v>
      </c>
      <c r="J89" s="131">
        <v>4.0</v>
      </c>
      <c r="K89" s="131">
        <v>3.0</v>
      </c>
      <c r="L89" s="131">
        <v>0.0</v>
      </c>
      <c r="M89" s="131"/>
      <c r="N89" s="131">
        <v>7.0</v>
      </c>
      <c r="O89" s="131">
        <v>10.0</v>
      </c>
      <c r="P89" s="131">
        <v>7.0</v>
      </c>
      <c r="Q89" s="131">
        <v>7.0</v>
      </c>
      <c r="R89" s="131">
        <v>5.0</v>
      </c>
      <c r="S89" s="131">
        <v>5.0</v>
      </c>
      <c r="T89" s="131">
        <v>5.0</v>
      </c>
      <c r="U89" s="131">
        <v>5.0</v>
      </c>
      <c r="V89" s="131"/>
      <c r="W89" s="382">
        <f t="shared" si="16"/>
        <v>28</v>
      </c>
      <c r="X89" s="382">
        <f t="shared" si="17"/>
        <v>30</v>
      </c>
      <c r="Y89" s="382">
        <f t="shared" si="18"/>
        <v>21</v>
      </c>
      <c r="Z89" s="382">
        <f t="shared" si="19"/>
        <v>28</v>
      </c>
      <c r="AA89" s="382">
        <f t="shared" si="20"/>
        <v>27.5</v>
      </c>
      <c r="AB89" s="383">
        <f t="shared" si="21"/>
        <v>20</v>
      </c>
      <c r="AC89" s="383">
        <f t="shared" si="22"/>
        <v>15</v>
      </c>
      <c r="AD89" s="383">
        <f t="shared" si="23"/>
        <v>0</v>
      </c>
      <c r="AE89" s="131">
        <f t="shared" si="24"/>
        <v>154.5</v>
      </c>
      <c r="AF89" s="131">
        <f t="shared" si="30"/>
        <v>134.5</v>
      </c>
      <c r="AG89" s="198"/>
      <c r="AH89" s="131"/>
      <c r="AI89" s="131"/>
      <c r="AJ89" s="131"/>
      <c r="AK89" s="131"/>
    </row>
    <row r="90" ht="13.5" customHeight="1">
      <c r="A90" s="131" t="s">
        <v>376</v>
      </c>
      <c r="B90" s="198" t="s">
        <v>377</v>
      </c>
      <c r="C90" s="131" t="s">
        <v>21</v>
      </c>
      <c r="D90" s="131" t="s">
        <v>376</v>
      </c>
      <c r="E90" s="131">
        <v>3.0</v>
      </c>
      <c r="F90" s="131">
        <v>3.0</v>
      </c>
      <c r="G90" s="131">
        <v>4.0</v>
      </c>
      <c r="H90" s="131">
        <v>3.0</v>
      </c>
      <c r="I90" s="131">
        <v>5.5</v>
      </c>
      <c r="J90" s="131">
        <v>5.5</v>
      </c>
      <c r="K90" s="131">
        <v>0.0</v>
      </c>
      <c r="L90" s="131">
        <v>0.0</v>
      </c>
      <c r="M90" s="131"/>
      <c r="N90" s="131">
        <v>7.0</v>
      </c>
      <c r="O90" s="131">
        <v>10.0</v>
      </c>
      <c r="P90" s="131">
        <v>10.0</v>
      </c>
      <c r="Q90" s="131">
        <v>7.0</v>
      </c>
      <c r="R90" s="131">
        <v>5.0</v>
      </c>
      <c r="S90" s="131">
        <v>5.0</v>
      </c>
      <c r="T90" s="131">
        <v>5.0</v>
      </c>
      <c r="U90" s="131">
        <v>5.0</v>
      </c>
      <c r="V90" s="131"/>
      <c r="W90" s="383">
        <f t="shared" si="16"/>
        <v>21</v>
      </c>
      <c r="X90" s="382">
        <f t="shared" si="17"/>
        <v>30</v>
      </c>
      <c r="Y90" s="382">
        <f t="shared" si="18"/>
        <v>40</v>
      </c>
      <c r="Z90" s="382">
        <f t="shared" si="19"/>
        <v>21</v>
      </c>
      <c r="AA90" s="382">
        <f t="shared" si="20"/>
        <v>27.5</v>
      </c>
      <c r="AB90" s="382">
        <f t="shared" si="21"/>
        <v>27.5</v>
      </c>
      <c r="AC90" s="383">
        <f t="shared" si="22"/>
        <v>0</v>
      </c>
      <c r="AD90" s="383">
        <f t="shared" si="23"/>
        <v>0</v>
      </c>
      <c r="AE90" s="131">
        <f t="shared" si="24"/>
        <v>163.5</v>
      </c>
      <c r="AF90" s="131">
        <f t="shared" si="30"/>
        <v>146</v>
      </c>
      <c r="AG90" s="198"/>
      <c r="AH90" s="131"/>
      <c r="AI90" s="131"/>
      <c r="AJ90" s="131"/>
      <c r="AK90" s="131"/>
    </row>
    <row r="91" ht="13.5" customHeight="1">
      <c r="A91" s="131" t="s">
        <v>379</v>
      </c>
      <c r="B91" s="198" t="s">
        <v>380</v>
      </c>
      <c r="C91" s="131" t="s">
        <v>21</v>
      </c>
      <c r="D91" s="131" t="s">
        <v>379</v>
      </c>
      <c r="E91" s="131">
        <v>5.5</v>
      </c>
      <c r="F91" s="131">
        <v>4.0</v>
      </c>
      <c r="G91" s="131">
        <v>4.0</v>
      </c>
      <c r="H91" s="131">
        <v>4.0</v>
      </c>
      <c r="I91" s="131">
        <v>4.0</v>
      </c>
      <c r="J91" s="131">
        <v>4.0</v>
      </c>
      <c r="K91" s="131">
        <v>0.0</v>
      </c>
      <c r="L91" s="131">
        <v>0.0</v>
      </c>
      <c r="M91" s="131"/>
      <c r="N91" s="131">
        <v>7.0</v>
      </c>
      <c r="O91" s="131">
        <v>10.0</v>
      </c>
      <c r="P91" s="131">
        <v>10.0</v>
      </c>
      <c r="Q91" s="131">
        <v>7.0</v>
      </c>
      <c r="R91" s="131">
        <v>5.0</v>
      </c>
      <c r="S91" s="131">
        <v>5.0</v>
      </c>
      <c r="T91" s="131">
        <v>5.0</v>
      </c>
      <c r="U91" s="131">
        <v>5.0</v>
      </c>
      <c r="V91" s="131"/>
      <c r="W91" s="382">
        <f t="shared" si="16"/>
        <v>38.5</v>
      </c>
      <c r="X91" s="382">
        <f t="shared" si="17"/>
        <v>40</v>
      </c>
      <c r="Y91" s="382">
        <f t="shared" si="18"/>
        <v>40</v>
      </c>
      <c r="Z91" s="382">
        <f t="shared" si="19"/>
        <v>28</v>
      </c>
      <c r="AA91" s="383">
        <f t="shared" si="20"/>
        <v>20</v>
      </c>
      <c r="AB91" s="382">
        <f t="shared" si="21"/>
        <v>20</v>
      </c>
      <c r="AC91" s="383">
        <f t="shared" si="22"/>
        <v>0</v>
      </c>
      <c r="AD91" s="383">
        <f t="shared" si="23"/>
        <v>0</v>
      </c>
      <c r="AE91" s="131">
        <f t="shared" si="24"/>
        <v>171</v>
      </c>
      <c r="AF91" s="131">
        <f t="shared" si="30"/>
        <v>166.5</v>
      </c>
      <c r="AG91" s="198"/>
      <c r="AH91" s="131"/>
      <c r="AI91" s="131"/>
      <c r="AJ91" s="131"/>
      <c r="AK91" s="131"/>
    </row>
    <row r="92" ht="13.5" customHeight="1">
      <c r="A92" s="131" t="s">
        <v>382</v>
      </c>
      <c r="B92" s="198" t="s">
        <v>383</v>
      </c>
      <c r="C92" s="131" t="s">
        <v>21</v>
      </c>
      <c r="D92" s="131" t="s">
        <v>382</v>
      </c>
      <c r="E92" s="131">
        <v>4.0</v>
      </c>
      <c r="F92" s="131">
        <v>5.5</v>
      </c>
      <c r="G92" s="131">
        <v>4.0</v>
      </c>
      <c r="H92" s="131">
        <v>3.0</v>
      </c>
      <c r="I92" s="131">
        <v>4.0</v>
      </c>
      <c r="J92" s="131">
        <v>3.0</v>
      </c>
      <c r="K92" s="131">
        <v>0.0</v>
      </c>
      <c r="L92" s="131">
        <v>0.0</v>
      </c>
      <c r="M92" s="131"/>
      <c r="N92" s="131">
        <v>7.0</v>
      </c>
      <c r="O92" s="131">
        <v>10.0</v>
      </c>
      <c r="P92" s="131">
        <v>10.0</v>
      </c>
      <c r="Q92" s="131">
        <v>7.0</v>
      </c>
      <c r="R92" s="131">
        <v>10.0</v>
      </c>
      <c r="S92" s="131">
        <v>5.0</v>
      </c>
      <c r="T92" s="131">
        <v>5.0</v>
      </c>
      <c r="U92" s="131">
        <v>5.0</v>
      </c>
      <c r="V92" s="131"/>
      <c r="W92" s="382">
        <f t="shared" si="16"/>
        <v>28</v>
      </c>
      <c r="X92" s="382">
        <f t="shared" si="17"/>
        <v>55</v>
      </c>
      <c r="Y92" s="382">
        <f t="shared" si="18"/>
        <v>40</v>
      </c>
      <c r="Z92" s="382">
        <f t="shared" si="19"/>
        <v>21</v>
      </c>
      <c r="AA92" s="382">
        <f t="shared" si="20"/>
        <v>40</v>
      </c>
      <c r="AB92" s="383">
        <f t="shared" si="21"/>
        <v>15</v>
      </c>
      <c r="AC92" s="383">
        <f t="shared" si="22"/>
        <v>0</v>
      </c>
      <c r="AD92" s="383">
        <f t="shared" si="23"/>
        <v>0</v>
      </c>
      <c r="AE92" s="131">
        <f t="shared" si="24"/>
        <v>186.5</v>
      </c>
      <c r="AF92" s="131">
        <f t="shared" si="30"/>
        <v>184</v>
      </c>
      <c r="AG92" s="198"/>
      <c r="AH92" s="131"/>
      <c r="AI92" s="131"/>
      <c r="AJ92" s="131"/>
      <c r="AK92" s="131"/>
    </row>
    <row r="93" ht="13.5" customHeight="1">
      <c r="A93" s="131" t="s">
        <v>384</v>
      </c>
      <c r="B93" s="198" t="s">
        <v>385</v>
      </c>
      <c r="C93" s="131" t="s">
        <v>21</v>
      </c>
      <c r="D93" s="131" t="s">
        <v>384</v>
      </c>
      <c r="E93" s="131">
        <v>3.0</v>
      </c>
      <c r="F93" s="131">
        <v>3.0</v>
      </c>
      <c r="G93" s="131">
        <v>4.0</v>
      </c>
      <c r="H93" s="131">
        <v>4.0</v>
      </c>
      <c r="I93" s="131">
        <v>3.0</v>
      </c>
      <c r="J93" s="131">
        <v>3.0</v>
      </c>
      <c r="K93" s="131">
        <v>0.0</v>
      </c>
      <c r="L93" s="131">
        <v>3.0</v>
      </c>
      <c r="M93" s="131"/>
      <c r="N93" s="131">
        <v>7.0</v>
      </c>
      <c r="O93" s="131">
        <v>10.0</v>
      </c>
      <c r="P93" s="131">
        <v>10.0</v>
      </c>
      <c r="Q93" s="131">
        <v>7.0</v>
      </c>
      <c r="R93" s="131">
        <v>10.0</v>
      </c>
      <c r="S93" s="131">
        <v>5.0</v>
      </c>
      <c r="T93" s="131">
        <v>5.0</v>
      </c>
      <c r="U93" s="131">
        <v>10.0</v>
      </c>
      <c r="V93" s="131"/>
      <c r="W93" s="383">
        <f t="shared" si="16"/>
        <v>21</v>
      </c>
      <c r="X93" s="382">
        <f t="shared" si="17"/>
        <v>30</v>
      </c>
      <c r="Y93" s="382">
        <f t="shared" si="18"/>
        <v>40</v>
      </c>
      <c r="Z93" s="382">
        <f t="shared" si="19"/>
        <v>28</v>
      </c>
      <c r="AA93" s="382">
        <f t="shared" si="20"/>
        <v>30</v>
      </c>
      <c r="AB93" s="383">
        <f t="shared" si="21"/>
        <v>15</v>
      </c>
      <c r="AC93" s="383">
        <f t="shared" si="22"/>
        <v>0</v>
      </c>
      <c r="AD93" s="382">
        <f t="shared" si="23"/>
        <v>30</v>
      </c>
      <c r="AE93" s="131">
        <f t="shared" si="24"/>
        <v>159</v>
      </c>
      <c r="AF93" s="131">
        <f t="shared" si="30"/>
        <v>158</v>
      </c>
      <c r="AG93" s="198"/>
      <c r="AH93" s="131"/>
      <c r="AI93" s="131"/>
      <c r="AJ93" s="131"/>
      <c r="AK93" s="131"/>
    </row>
    <row r="94" ht="13.5" customHeight="1">
      <c r="A94" s="131" t="s">
        <v>386</v>
      </c>
      <c r="B94" s="198" t="s">
        <v>387</v>
      </c>
      <c r="C94" s="131" t="s">
        <v>21</v>
      </c>
      <c r="D94" s="131" t="s">
        <v>386</v>
      </c>
      <c r="E94" s="131">
        <v>4.0</v>
      </c>
      <c r="F94" s="131">
        <v>3.0</v>
      </c>
      <c r="G94" s="131">
        <v>5.5</v>
      </c>
      <c r="H94" s="131">
        <v>4.0</v>
      </c>
      <c r="I94" s="131">
        <v>3.0</v>
      </c>
      <c r="J94" s="131">
        <v>3.0</v>
      </c>
      <c r="K94" s="131">
        <v>0.0</v>
      </c>
      <c r="L94" s="131">
        <v>2.0</v>
      </c>
      <c r="M94" s="131"/>
      <c r="N94" s="131">
        <v>7.0</v>
      </c>
      <c r="O94" s="131">
        <v>10.0</v>
      </c>
      <c r="P94" s="131">
        <v>10.0</v>
      </c>
      <c r="Q94" s="131">
        <v>7.0</v>
      </c>
      <c r="R94" s="131">
        <v>10.0</v>
      </c>
      <c r="S94" s="131">
        <v>5.0</v>
      </c>
      <c r="T94" s="131">
        <v>5.0</v>
      </c>
      <c r="U94" s="131">
        <v>5.0</v>
      </c>
      <c r="V94" s="131"/>
      <c r="W94" s="382">
        <f t="shared" si="16"/>
        <v>28</v>
      </c>
      <c r="X94" s="382">
        <f t="shared" si="17"/>
        <v>30</v>
      </c>
      <c r="Y94" s="382">
        <f t="shared" si="18"/>
        <v>55</v>
      </c>
      <c r="Z94" s="382">
        <f t="shared" si="19"/>
        <v>28</v>
      </c>
      <c r="AA94" s="382">
        <f t="shared" si="20"/>
        <v>30</v>
      </c>
      <c r="AB94" s="383">
        <f t="shared" si="21"/>
        <v>15</v>
      </c>
      <c r="AC94" s="383">
        <f t="shared" si="22"/>
        <v>0</v>
      </c>
      <c r="AD94" s="383">
        <f t="shared" si="23"/>
        <v>10</v>
      </c>
      <c r="AE94" s="131">
        <f t="shared" si="24"/>
        <v>176</v>
      </c>
      <c r="AF94" s="131">
        <f t="shared" si="30"/>
        <v>171</v>
      </c>
      <c r="AG94" s="198"/>
      <c r="AH94" s="131"/>
      <c r="AI94" s="131"/>
      <c r="AJ94" s="131"/>
      <c r="AK94" s="131"/>
    </row>
    <row r="95" ht="13.5" customHeight="1">
      <c r="A95" s="131"/>
      <c r="B95" s="198"/>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98"/>
      <c r="AH95" s="131"/>
      <c r="AI95" s="131"/>
      <c r="AJ95" s="131"/>
      <c r="AK95" s="131"/>
    </row>
    <row r="96" ht="13.5" customHeight="1">
      <c r="A96" s="131"/>
      <c r="B96" s="198"/>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98"/>
      <c r="AH96" s="131"/>
      <c r="AI96" s="131"/>
      <c r="AJ96" s="131"/>
      <c r="AK96" s="131"/>
    </row>
    <row r="97" ht="13.5" customHeight="1">
      <c r="A97" s="131"/>
      <c r="B97" s="198"/>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98"/>
      <c r="AH97" s="131"/>
      <c r="AI97" s="131"/>
      <c r="AJ97" s="131"/>
      <c r="AK97" s="131"/>
    </row>
    <row r="98" ht="13.5" customHeight="1">
      <c r="A98" s="131"/>
      <c r="B98" s="198"/>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98"/>
      <c r="AH98" s="131"/>
      <c r="AI98" s="131"/>
      <c r="AJ98" s="131"/>
      <c r="AK98" s="131"/>
    </row>
    <row r="99" ht="13.5" customHeight="1">
      <c r="A99" s="131"/>
      <c r="B99" s="198"/>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98"/>
      <c r="AH99" s="131"/>
      <c r="AI99" s="131"/>
      <c r="AJ99" s="131"/>
      <c r="AK99" s="131"/>
    </row>
    <row r="100" ht="13.5" customHeight="1">
      <c r="A100" s="131"/>
      <c r="B100" s="198"/>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98"/>
      <c r="AH100" s="131"/>
      <c r="AI100" s="131"/>
      <c r="AJ100" s="131"/>
      <c r="AK100" s="131"/>
    </row>
    <row r="101" ht="13.5" customHeight="1">
      <c r="A101" s="131"/>
      <c r="B101" s="198"/>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98"/>
      <c r="AH101" s="131"/>
      <c r="AI101" s="131"/>
      <c r="AJ101" s="131"/>
      <c r="AK101" s="131"/>
    </row>
    <row r="102" ht="13.5" customHeight="1">
      <c r="A102" s="131"/>
      <c r="B102" s="198"/>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98"/>
      <c r="AH102" s="131"/>
      <c r="AI102" s="131"/>
      <c r="AJ102" s="131"/>
      <c r="AK102" s="131"/>
    </row>
    <row r="103" ht="13.5" customHeight="1">
      <c r="A103" s="131"/>
      <c r="B103" s="198"/>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98"/>
      <c r="AH103" s="131"/>
      <c r="AI103" s="131"/>
      <c r="AJ103" s="131"/>
      <c r="AK103" s="131"/>
    </row>
    <row r="104" ht="13.5" customHeight="1">
      <c r="A104" s="131"/>
      <c r="B104" s="198"/>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98"/>
      <c r="AH104" s="131"/>
      <c r="AI104" s="131"/>
      <c r="AJ104" s="131"/>
      <c r="AK104" s="131"/>
    </row>
    <row r="105" ht="13.5" customHeight="1">
      <c r="A105" s="131"/>
      <c r="B105" s="198"/>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98"/>
      <c r="AH105" s="131"/>
      <c r="AI105" s="131"/>
      <c r="AJ105" s="131"/>
      <c r="AK105" s="131"/>
    </row>
    <row r="106" ht="13.5" customHeight="1">
      <c r="A106" s="131"/>
      <c r="B106" s="198"/>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98"/>
      <c r="AH106" s="131"/>
      <c r="AI106" s="131"/>
      <c r="AJ106" s="131"/>
      <c r="AK106" s="131"/>
    </row>
    <row r="107" ht="13.5" customHeight="1">
      <c r="A107" s="163"/>
      <c r="B107" s="170"/>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70"/>
      <c r="AH107" s="163"/>
      <c r="AI107" s="163"/>
      <c r="AJ107" s="163"/>
      <c r="AK107" s="163"/>
    </row>
    <row r="108" ht="13.5" customHeight="1">
      <c r="A108" s="163"/>
      <c r="B108" s="170"/>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70"/>
      <c r="AH108" s="163"/>
      <c r="AI108" s="163"/>
      <c r="AJ108" s="163"/>
      <c r="AK108" s="163"/>
    </row>
    <row r="109" ht="13.5" customHeight="1">
      <c r="A109" s="163"/>
      <c r="B109" s="170"/>
      <c r="C109" s="163"/>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70"/>
      <c r="AH109" s="163"/>
      <c r="AI109" s="163"/>
      <c r="AJ109" s="163"/>
      <c r="AK109" s="163"/>
    </row>
    <row r="110" ht="13.5" customHeight="1">
      <c r="A110" s="163"/>
      <c r="B110" s="170"/>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70"/>
      <c r="AH110" s="163"/>
      <c r="AI110" s="163"/>
      <c r="AJ110" s="163"/>
      <c r="AK110" s="163"/>
    </row>
    <row r="111" ht="13.5" customHeight="1">
      <c r="A111" s="163"/>
      <c r="B111" s="170"/>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70"/>
      <c r="AH111" s="163"/>
      <c r="AI111" s="163"/>
      <c r="AJ111" s="163"/>
      <c r="AK111" s="163"/>
    </row>
    <row r="112" ht="13.5" customHeight="1">
      <c r="A112" s="163"/>
      <c r="B112" s="170"/>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70"/>
      <c r="AH112" s="163"/>
      <c r="AI112" s="163"/>
      <c r="AJ112" s="163"/>
      <c r="AK112" s="163"/>
    </row>
    <row r="113" ht="13.5" customHeight="1">
      <c r="A113" s="163"/>
      <c r="B113" s="170"/>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c r="AB113" s="163"/>
      <c r="AC113" s="163"/>
      <c r="AD113" s="163"/>
      <c r="AE113" s="163"/>
      <c r="AF113" s="163"/>
      <c r="AG113" s="170"/>
      <c r="AH113" s="163"/>
      <c r="AI113" s="163"/>
      <c r="AJ113" s="163"/>
      <c r="AK113" s="163"/>
    </row>
    <row r="114" ht="13.5" customHeight="1">
      <c r="A114" s="163"/>
      <c r="B114" s="170"/>
      <c r="C114" s="163"/>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70"/>
      <c r="AH114" s="163"/>
      <c r="AI114" s="163"/>
      <c r="AJ114" s="163"/>
      <c r="AK114" s="163"/>
    </row>
    <row r="115" ht="13.5" customHeight="1">
      <c r="A115" s="163"/>
      <c r="B115" s="170"/>
      <c r="C115" s="163"/>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70"/>
      <c r="AH115" s="163"/>
      <c r="AI115" s="163"/>
      <c r="AJ115" s="163"/>
      <c r="AK115" s="163"/>
    </row>
    <row r="116" ht="13.5" customHeight="1">
      <c r="A116" s="163"/>
      <c r="B116" s="170"/>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170"/>
      <c r="AH116" s="163"/>
      <c r="AI116" s="163"/>
      <c r="AJ116" s="163"/>
      <c r="AK116" s="163"/>
    </row>
    <row r="117" ht="13.5" customHeight="1">
      <c r="A117" s="163"/>
      <c r="B117" s="170"/>
      <c r="C117" s="163"/>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70"/>
      <c r="AH117" s="163"/>
      <c r="AI117" s="163"/>
      <c r="AJ117" s="163"/>
      <c r="AK117" s="163"/>
    </row>
    <row r="118" ht="13.5" customHeight="1">
      <c r="A118" s="163"/>
      <c r="B118" s="170"/>
      <c r="C118" s="163"/>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70"/>
      <c r="AH118" s="163"/>
      <c r="AI118" s="163"/>
      <c r="AJ118" s="163"/>
      <c r="AK118" s="163"/>
    </row>
    <row r="119" ht="13.5" customHeight="1">
      <c r="A119" s="163"/>
      <c r="B119" s="170"/>
      <c r="C119" s="163"/>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63"/>
      <c r="AG119" s="170"/>
      <c r="AH119" s="163"/>
      <c r="AI119" s="163"/>
      <c r="AJ119" s="163"/>
      <c r="AK119" s="163"/>
    </row>
    <row r="120" ht="13.5" customHeight="1">
      <c r="A120" s="163"/>
      <c r="B120" s="170"/>
      <c r="C120" s="163"/>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63"/>
      <c r="AG120" s="170"/>
      <c r="AH120" s="163"/>
      <c r="AI120" s="163"/>
      <c r="AJ120" s="163"/>
      <c r="AK120" s="163"/>
    </row>
    <row r="121" ht="13.5" customHeight="1">
      <c r="A121" s="163"/>
      <c r="B121" s="170"/>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70"/>
      <c r="AH121" s="163"/>
      <c r="AI121" s="163"/>
      <c r="AJ121" s="163"/>
      <c r="AK121" s="163"/>
    </row>
    <row r="122" ht="13.5" customHeight="1">
      <c r="A122" s="163"/>
      <c r="B122" s="170"/>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70"/>
      <c r="AH122" s="163"/>
      <c r="AI122" s="163"/>
      <c r="AJ122" s="163"/>
      <c r="AK122" s="163"/>
    </row>
    <row r="123" ht="13.5" customHeight="1">
      <c r="A123" s="163"/>
      <c r="B123" s="170"/>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c r="AB123" s="163"/>
      <c r="AC123" s="163"/>
      <c r="AD123" s="163"/>
      <c r="AE123" s="163"/>
      <c r="AF123" s="163"/>
      <c r="AG123" s="170"/>
      <c r="AH123" s="163"/>
      <c r="AI123" s="163"/>
      <c r="AJ123" s="163"/>
      <c r="AK123" s="163"/>
    </row>
    <row r="124" ht="13.5" customHeight="1">
      <c r="A124" s="163"/>
      <c r="B124" s="170"/>
      <c r="C124" s="163"/>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63"/>
      <c r="AG124" s="170"/>
      <c r="AH124" s="163"/>
      <c r="AI124" s="163"/>
      <c r="AJ124" s="163"/>
      <c r="AK124" s="163"/>
    </row>
    <row r="125" ht="13.5" customHeight="1">
      <c r="A125" s="163"/>
      <c r="B125" s="170"/>
      <c r="C125" s="163"/>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70"/>
      <c r="AH125" s="163"/>
      <c r="AI125" s="163"/>
      <c r="AJ125" s="163"/>
      <c r="AK125" s="163"/>
    </row>
    <row r="126" ht="13.5" customHeight="1">
      <c r="A126" s="163"/>
      <c r="B126" s="170"/>
      <c r="C126" s="163"/>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70"/>
      <c r="AH126" s="163"/>
      <c r="AI126" s="163"/>
      <c r="AJ126" s="163"/>
      <c r="AK126" s="163"/>
    </row>
    <row r="127" ht="13.5" customHeight="1">
      <c r="A127" s="163"/>
      <c r="B127" s="170"/>
      <c r="C127" s="163"/>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70"/>
      <c r="AH127" s="163"/>
      <c r="AI127" s="163"/>
      <c r="AJ127" s="163"/>
      <c r="AK127" s="163"/>
    </row>
    <row r="128" ht="13.5" customHeight="1">
      <c r="A128" s="163"/>
      <c r="B128" s="170"/>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70"/>
      <c r="AH128" s="163"/>
      <c r="AI128" s="163"/>
      <c r="AJ128" s="163"/>
      <c r="AK128" s="163"/>
    </row>
    <row r="129" ht="13.5" customHeight="1">
      <c r="A129" s="163"/>
      <c r="B129" s="170"/>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70"/>
      <c r="AH129" s="163"/>
      <c r="AI129" s="163"/>
      <c r="AJ129" s="163"/>
      <c r="AK129" s="163"/>
    </row>
    <row r="130" ht="13.5" customHeight="1">
      <c r="A130" s="163"/>
      <c r="B130" s="170"/>
      <c r="C130" s="163"/>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70"/>
      <c r="AH130" s="163"/>
      <c r="AI130" s="163"/>
      <c r="AJ130" s="163"/>
      <c r="AK130" s="163"/>
    </row>
    <row r="131" ht="13.5" customHeight="1">
      <c r="A131" s="163"/>
      <c r="B131" s="170"/>
      <c r="C131" s="163"/>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70"/>
      <c r="AH131" s="163"/>
      <c r="AI131" s="163"/>
      <c r="AJ131" s="163"/>
      <c r="AK131" s="163"/>
    </row>
    <row r="132" ht="13.5" customHeight="1">
      <c r="A132" s="163"/>
      <c r="B132" s="170"/>
      <c r="C132" s="163"/>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70"/>
      <c r="AH132" s="163"/>
      <c r="AI132" s="163"/>
      <c r="AJ132" s="163"/>
      <c r="AK132" s="163"/>
    </row>
    <row r="133" ht="13.5" customHeight="1">
      <c r="A133" s="163"/>
      <c r="B133" s="170"/>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70"/>
      <c r="AH133" s="163"/>
      <c r="AI133" s="163"/>
      <c r="AJ133" s="163"/>
      <c r="AK133" s="163"/>
    </row>
    <row r="134" ht="13.5" customHeight="1">
      <c r="A134" s="163"/>
      <c r="B134" s="170"/>
      <c r="C134" s="163"/>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70"/>
      <c r="AH134" s="163"/>
      <c r="AI134" s="163"/>
      <c r="AJ134" s="163"/>
      <c r="AK134" s="163"/>
    </row>
    <row r="135" ht="13.5" customHeight="1">
      <c r="A135" s="163"/>
      <c r="B135" s="170"/>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70"/>
      <c r="AH135" s="163"/>
      <c r="AI135" s="163"/>
      <c r="AJ135" s="163"/>
      <c r="AK135" s="163"/>
    </row>
    <row r="136" ht="13.5" customHeight="1">
      <c r="A136" s="163"/>
      <c r="B136" s="170"/>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70"/>
      <c r="AH136" s="163"/>
      <c r="AI136" s="163"/>
      <c r="AJ136" s="163"/>
      <c r="AK136" s="163"/>
    </row>
    <row r="137" ht="13.5" customHeight="1">
      <c r="A137" s="163"/>
      <c r="B137" s="170"/>
      <c r="C137" s="163"/>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70"/>
      <c r="AH137" s="163"/>
      <c r="AI137" s="163"/>
      <c r="AJ137" s="163"/>
      <c r="AK137" s="163"/>
    </row>
    <row r="138" ht="13.5" customHeight="1">
      <c r="A138" s="163"/>
      <c r="B138" s="170"/>
      <c r="C138" s="163"/>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170"/>
      <c r="AH138" s="163"/>
      <c r="AI138" s="163"/>
      <c r="AJ138" s="163"/>
      <c r="AK138" s="163"/>
    </row>
    <row r="139" ht="13.5" customHeight="1">
      <c r="A139" s="163"/>
      <c r="B139" s="170"/>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63"/>
      <c r="AG139" s="170"/>
      <c r="AH139" s="163"/>
      <c r="AI139" s="163"/>
      <c r="AJ139" s="163"/>
      <c r="AK139" s="163"/>
    </row>
    <row r="140" ht="13.5" customHeight="1">
      <c r="A140" s="163"/>
      <c r="B140" s="170"/>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170"/>
      <c r="AH140" s="163"/>
      <c r="AI140" s="163"/>
      <c r="AJ140" s="163"/>
      <c r="AK140" s="163"/>
    </row>
    <row r="141" ht="13.5" customHeight="1">
      <c r="A141" s="163"/>
      <c r="B141" s="170"/>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70"/>
      <c r="AH141" s="163"/>
      <c r="AI141" s="163"/>
      <c r="AJ141" s="163"/>
      <c r="AK141" s="163"/>
    </row>
    <row r="142" ht="13.5" customHeight="1">
      <c r="A142" s="163"/>
      <c r="B142" s="170"/>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63"/>
      <c r="AG142" s="170"/>
      <c r="AH142" s="163"/>
      <c r="AI142" s="163"/>
      <c r="AJ142" s="163"/>
      <c r="AK142" s="163"/>
    </row>
    <row r="143" ht="13.5" customHeight="1">
      <c r="A143" s="163"/>
      <c r="B143" s="170"/>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63"/>
      <c r="AG143" s="170"/>
      <c r="AH143" s="163"/>
      <c r="AI143" s="163"/>
      <c r="AJ143" s="163"/>
      <c r="AK143" s="163"/>
    </row>
    <row r="144" ht="13.5" customHeight="1">
      <c r="A144" s="163"/>
      <c r="B144" s="170"/>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63"/>
      <c r="AG144" s="170"/>
      <c r="AH144" s="163"/>
      <c r="AI144" s="163"/>
      <c r="AJ144" s="163"/>
      <c r="AK144" s="163"/>
    </row>
    <row r="145" ht="13.5" customHeight="1">
      <c r="A145" s="163"/>
      <c r="B145" s="170"/>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70"/>
      <c r="AH145" s="163"/>
      <c r="AI145" s="163"/>
      <c r="AJ145" s="163"/>
      <c r="AK145" s="163"/>
    </row>
    <row r="146" ht="13.5" customHeight="1">
      <c r="A146" s="163"/>
      <c r="B146" s="170"/>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70"/>
      <c r="AH146" s="163"/>
      <c r="AI146" s="163"/>
      <c r="AJ146" s="163"/>
      <c r="AK146" s="163"/>
    </row>
    <row r="147" ht="13.5" customHeight="1">
      <c r="A147" s="163"/>
      <c r="B147" s="170"/>
      <c r="C147" s="163"/>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70"/>
      <c r="AH147" s="163"/>
      <c r="AI147" s="163"/>
      <c r="AJ147" s="163"/>
      <c r="AK147" s="163"/>
    </row>
    <row r="148" ht="13.5" customHeight="1">
      <c r="A148" s="163"/>
      <c r="B148" s="170"/>
      <c r="C148" s="163"/>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70"/>
      <c r="AH148" s="163"/>
      <c r="AI148" s="163"/>
      <c r="AJ148" s="163"/>
      <c r="AK148" s="163"/>
    </row>
    <row r="149" ht="13.5" customHeight="1">
      <c r="A149" s="163"/>
      <c r="B149" s="170"/>
      <c r="C149" s="163"/>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170"/>
      <c r="AH149" s="163"/>
      <c r="AI149" s="163"/>
      <c r="AJ149" s="163"/>
      <c r="AK149" s="163"/>
    </row>
    <row r="150" ht="13.5" customHeight="1">
      <c r="A150" s="163"/>
      <c r="B150" s="170"/>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170"/>
      <c r="AH150" s="163"/>
      <c r="AI150" s="163"/>
      <c r="AJ150" s="163"/>
      <c r="AK150" s="163"/>
    </row>
    <row r="151" ht="13.5" customHeight="1">
      <c r="A151" s="163"/>
      <c r="B151" s="170"/>
      <c r="C151" s="163"/>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170"/>
      <c r="AH151" s="163"/>
      <c r="AI151" s="163"/>
      <c r="AJ151" s="163"/>
      <c r="AK151" s="163"/>
    </row>
    <row r="152" ht="13.5" customHeight="1">
      <c r="A152" s="163"/>
      <c r="B152" s="170"/>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70"/>
      <c r="AH152" s="163"/>
      <c r="AI152" s="163"/>
      <c r="AJ152" s="163"/>
      <c r="AK152" s="163"/>
    </row>
    <row r="153" ht="13.5" customHeight="1">
      <c r="A153" s="163"/>
      <c r="B153" s="170"/>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170"/>
      <c r="AH153" s="163"/>
      <c r="AI153" s="163"/>
      <c r="AJ153" s="163"/>
      <c r="AK153" s="163"/>
    </row>
    <row r="154" ht="13.5" customHeight="1">
      <c r="A154" s="163"/>
      <c r="B154" s="170"/>
      <c r="C154" s="163"/>
      <c r="D154" s="163"/>
      <c r="E154" s="163"/>
      <c r="F154" s="163"/>
      <c r="G154" s="163"/>
      <c r="H154" s="163"/>
      <c r="I154" s="163"/>
      <c r="J154" s="163"/>
      <c r="K154" s="163"/>
      <c r="L154" s="163"/>
      <c r="M154" s="163"/>
      <c r="N154" s="163"/>
      <c r="O154" s="163"/>
      <c r="P154" s="163"/>
      <c r="Q154" s="163"/>
      <c r="R154" s="163"/>
      <c r="S154" s="163"/>
      <c r="T154" s="163"/>
      <c r="U154" s="163"/>
      <c r="V154" s="163"/>
      <c r="W154" s="163"/>
      <c r="X154" s="163"/>
      <c r="Y154" s="163"/>
      <c r="Z154" s="163"/>
      <c r="AA154" s="163"/>
      <c r="AB154" s="163"/>
      <c r="AC154" s="163"/>
      <c r="AD154" s="163"/>
      <c r="AE154" s="163"/>
      <c r="AF154" s="163"/>
      <c r="AG154" s="170"/>
      <c r="AH154" s="163"/>
      <c r="AI154" s="163"/>
      <c r="AJ154" s="163"/>
      <c r="AK154" s="163"/>
    </row>
    <row r="155" ht="13.5" customHeight="1">
      <c r="A155" s="163"/>
      <c r="B155" s="170"/>
      <c r="C155" s="163"/>
      <c r="D155" s="163"/>
      <c r="E155" s="163"/>
      <c r="F155" s="163"/>
      <c r="G155" s="163"/>
      <c r="H155" s="163"/>
      <c r="I155" s="163"/>
      <c r="J155" s="163"/>
      <c r="K155" s="163"/>
      <c r="L155" s="163"/>
      <c r="M155" s="163"/>
      <c r="N155" s="163"/>
      <c r="O155" s="163"/>
      <c r="P155" s="163"/>
      <c r="Q155" s="163"/>
      <c r="R155" s="163"/>
      <c r="S155" s="163"/>
      <c r="T155" s="163"/>
      <c r="U155" s="163"/>
      <c r="V155" s="163"/>
      <c r="W155" s="163"/>
      <c r="X155" s="163"/>
      <c r="Y155" s="163"/>
      <c r="Z155" s="163"/>
      <c r="AA155" s="163"/>
      <c r="AB155" s="163"/>
      <c r="AC155" s="163"/>
      <c r="AD155" s="163"/>
      <c r="AE155" s="163"/>
      <c r="AF155" s="163"/>
      <c r="AG155" s="170"/>
      <c r="AH155" s="163"/>
      <c r="AI155" s="163"/>
      <c r="AJ155" s="163"/>
      <c r="AK155" s="163"/>
    </row>
    <row r="156" ht="13.5" customHeight="1">
      <c r="A156" s="163"/>
      <c r="B156" s="170"/>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c r="AA156" s="163"/>
      <c r="AB156" s="163"/>
      <c r="AC156" s="163"/>
      <c r="AD156" s="163"/>
      <c r="AE156" s="163"/>
      <c r="AF156" s="163"/>
      <c r="AG156" s="170"/>
      <c r="AH156" s="163"/>
      <c r="AI156" s="163"/>
      <c r="AJ156" s="163"/>
      <c r="AK156" s="163"/>
    </row>
    <row r="157" ht="13.5" customHeight="1">
      <c r="A157" s="163"/>
      <c r="B157" s="170"/>
      <c r="C157" s="163"/>
      <c r="D157" s="163"/>
      <c r="E157" s="163"/>
      <c r="F157" s="163"/>
      <c r="G157" s="163"/>
      <c r="H157" s="163"/>
      <c r="I157" s="163"/>
      <c r="J157" s="163"/>
      <c r="K157" s="163"/>
      <c r="L157" s="163"/>
      <c r="M157" s="163"/>
      <c r="N157" s="163"/>
      <c r="O157" s="163"/>
      <c r="P157" s="163"/>
      <c r="Q157" s="163"/>
      <c r="R157" s="163"/>
      <c r="S157" s="163"/>
      <c r="T157" s="163"/>
      <c r="U157" s="163"/>
      <c r="V157" s="163"/>
      <c r="W157" s="163"/>
      <c r="X157" s="163"/>
      <c r="Y157" s="163"/>
      <c r="Z157" s="163"/>
      <c r="AA157" s="163"/>
      <c r="AB157" s="163"/>
      <c r="AC157" s="163"/>
      <c r="AD157" s="163"/>
      <c r="AE157" s="163"/>
      <c r="AF157" s="163"/>
      <c r="AG157" s="170"/>
      <c r="AH157" s="163"/>
      <c r="AI157" s="163"/>
      <c r="AJ157" s="163"/>
      <c r="AK157" s="163"/>
    </row>
    <row r="158" ht="13.5" customHeight="1">
      <c r="A158" s="163"/>
      <c r="B158" s="170"/>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c r="AA158" s="163"/>
      <c r="AB158" s="163"/>
      <c r="AC158" s="163"/>
      <c r="AD158" s="163"/>
      <c r="AE158" s="163"/>
      <c r="AF158" s="163"/>
      <c r="AG158" s="170"/>
      <c r="AH158" s="163"/>
      <c r="AI158" s="163"/>
      <c r="AJ158" s="163"/>
      <c r="AK158" s="163"/>
    </row>
    <row r="159" ht="13.5" customHeight="1">
      <c r="A159" s="163"/>
      <c r="B159" s="170"/>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c r="AD159" s="163"/>
      <c r="AE159" s="163"/>
      <c r="AF159" s="163"/>
      <c r="AG159" s="170"/>
      <c r="AH159" s="163"/>
      <c r="AI159" s="163"/>
      <c r="AJ159" s="163"/>
      <c r="AK159" s="163"/>
    </row>
    <row r="160" ht="13.5" customHeight="1">
      <c r="A160" s="163"/>
      <c r="B160" s="170"/>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c r="AB160" s="163"/>
      <c r="AC160" s="163"/>
      <c r="AD160" s="163"/>
      <c r="AE160" s="163"/>
      <c r="AF160" s="163"/>
      <c r="AG160" s="170"/>
      <c r="AH160" s="163"/>
      <c r="AI160" s="163"/>
      <c r="AJ160" s="163"/>
      <c r="AK160" s="163"/>
    </row>
    <row r="161" ht="13.5" customHeight="1">
      <c r="A161" s="163"/>
      <c r="B161" s="170"/>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c r="AA161" s="163"/>
      <c r="AB161" s="163"/>
      <c r="AC161" s="163"/>
      <c r="AD161" s="163"/>
      <c r="AE161" s="163"/>
      <c r="AF161" s="163"/>
      <c r="AG161" s="170"/>
      <c r="AH161" s="163"/>
      <c r="AI161" s="163"/>
      <c r="AJ161" s="163"/>
      <c r="AK161" s="163"/>
    </row>
    <row r="162" ht="13.5" customHeight="1">
      <c r="A162" s="163"/>
      <c r="B162" s="170"/>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c r="AA162" s="163"/>
      <c r="AB162" s="163"/>
      <c r="AC162" s="163"/>
      <c r="AD162" s="163"/>
      <c r="AE162" s="163"/>
      <c r="AF162" s="163"/>
      <c r="AG162" s="170"/>
      <c r="AH162" s="163"/>
      <c r="AI162" s="163"/>
      <c r="AJ162" s="163"/>
      <c r="AK162" s="163"/>
    </row>
    <row r="163" ht="13.5" customHeight="1">
      <c r="A163" s="163"/>
      <c r="B163" s="170"/>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c r="AA163" s="163"/>
      <c r="AB163" s="163"/>
      <c r="AC163" s="163"/>
      <c r="AD163" s="163"/>
      <c r="AE163" s="163"/>
      <c r="AF163" s="163"/>
      <c r="AG163" s="170"/>
      <c r="AH163" s="163"/>
      <c r="AI163" s="163"/>
      <c r="AJ163" s="163"/>
      <c r="AK163" s="163"/>
    </row>
    <row r="164" ht="13.5" customHeight="1">
      <c r="A164" s="163"/>
      <c r="B164" s="170"/>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c r="AF164" s="163"/>
      <c r="AG164" s="170"/>
      <c r="AH164" s="163"/>
      <c r="AI164" s="163"/>
      <c r="AJ164" s="163"/>
      <c r="AK164" s="163"/>
    </row>
    <row r="165" ht="13.5" customHeight="1">
      <c r="A165" s="163"/>
      <c r="B165" s="170"/>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70"/>
      <c r="AH165" s="163"/>
      <c r="AI165" s="163"/>
      <c r="AJ165" s="163"/>
      <c r="AK165" s="163"/>
    </row>
    <row r="166" ht="13.5" customHeight="1">
      <c r="A166" s="163"/>
      <c r="B166" s="170"/>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70"/>
      <c r="AH166" s="163"/>
      <c r="AI166" s="163"/>
      <c r="AJ166" s="163"/>
      <c r="AK166" s="163"/>
    </row>
    <row r="167" ht="13.5" customHeight="1">
      <c r="A167" s="163"/>
      <c r="B167" s="170"/>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70"/>
      <c r="AH167" s="163"/>
      <c r="AI167" s="163"/>
      <c r="AJ167" s="163"/>
      <c r="AK167" s="163"/>
    </row>
    <row r="168" ht="13.5" customHeight="1">
      <c r="A168" s="163"/>
      <c r="B168" s="170"/>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70"/>
      <c r="AH168" s="163"/>
      <c r="AI168" s="163"/>
      <c r="AJ168" s="163"/>
      <c r="AK168" s="163"/>
    </row>
    <row r="169" ht="13.5" customHeight="1">
      <c r="A169" s="163"/>
      <c r="B169" s="170"/>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c r="AF169" s="163"/>
      <c r="AG169" s="170"/>
      <c r="AH169" s="163"/>
      <c r="AI169" s="163"/>
      <c r="AJ169" s="163"/>
      <c r="AK169" s="163"/>
    </row>
    <row r="170" ht="13.5" customHeight="1">
      <c r="A170" s="163"/>
      <c r="B170" s="170"/>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c r="AB170" s="163"/>
      <c r="AC170" s="163"/>
      <c r="AD170" s="163"/>
      <c r="AE170" s="163"/>
      <c r="AF170" s="163"/>
      <c r="AG170" s="170"/>
      <c r="AH170" s="163"/>
      <c r="AI170" s="163"/>
      <c r="AJ170" s="163"/>
      <c r="AK170" s="163"/>
    </row>
    <row r="171" ht="13.5" customHeight="1">
      <c r="A171" s="163"/>
      <c r="B171" s="170"/>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c r="AB171" s="163"/>
      <c r="AC171" s="163"/>
      <c r="AD171" s="163"/>
      <c r="AE171" s="163"/>
      <c r="AF171" s="163"/>
      <c r="AG171" s="170"/>
      <c r="AH171" s="163"/>
      <c r="AI171" s="163"/>
      <c r="AJ171" s="163"/>
      <c r="AK171" s="163"/>
    </row>
    <row r="172" ht="13.5" customHeight="1">
      <c r="A172" s="163"/>
      <c r="B172" s="170"/>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c r="AB172" s="163"/>
      <c r="AC172" s="163"/>
      <c r="AD172" s="163"/>
      <c r="AE172" s="163"/>
      <c r="AF172" s="163"/>
      <c r="AG172" s="170"/>
      <c r="AH172" s="163"/>
      <c r="AI172" s="163"/>
      <c r="AJ172" s="163"/>
      <c r="AK172" s="163"/>
    </row>
    <row r="173" ht="13.5" customHeight="1">
      <c r="A173" s="163"/>
      <c r="B173" s="170"/>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c r="AB173" s="163"/>
      <c r="AC173" s="163"/>
      <c r="AD173" s="163"/>
      <c r="AE173" s="163"/>
      <c r="AF173" s="163"/>
      <c r="AG173" s="170"/>
      <c r="AH173" s="163"/>
      <c r="AI173" s="163"/>
      <c r="AJ173" s="163"/>
      <c r="AK173" s="163"/>
    </row>
    <row r="174" ht="13.5" customHeight="1">
      <c r="A174" s="163"/>
      <c r="B174" s="170"/>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c r="AA174" s="163"/>
      <c r="AB174" s="163"/>
      <c r="AC174" s="163"/>
      <c r="AD174" s="163"/>
      <c r="AE174" s="163"/>
      <c r="AF174" s="163"/>
      <c r="AG174" s="170"/>
      <c r="AH174" s="163"/>
      <c r="AI174" s="163"/>
      <c r="AJ174" s="163"/>
      <c r="AK174" s="163"/>
    </row>
    <row r="175" ht="13.5" customHeight="1">
      <c r="A175" s="163"/>
      <c r="B175" s="170"/>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c r="AA175" s="163"/>
      <c r="AB175" s="163"/>
      <c r="AC175" s="163"/>
      <c r="AD175" s="163"/>
      <c r="AE175" s="163"/>
      <c r="AF175" s="163"/>
      <c r="AG175" s="170"/>
      <c r="AH175" s="163"/>
      <c r="AI175" s="163"/>
      <c r="AJ175" s="163"/>
      <c r="AK175" s="163"/>
    </row>
    <row r="176" ht="13.5" customHeight="1">
      <c r="A176" s="163"/>
      <c r="B176" s="170"/>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3"/>
      <c r="AC176" s="163"/>
      <c r="AD176" s="163"/>
      <c r="AE176" s="163"/>
      <c r="AF176" s="163"/>
      <c r="AG176" s="170"/>
      <c r="AH176" s="163"/>
      <c r="AI176" s="163"/>
      <c r="AJ176" s="163"/>
      <c r="AK176" s="163"/>
    </row>
    <row r="177" ht="13.5" customHeight="1">
      <c r="A177" s="163"/>
      <c r="B177" s="170"/>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c r="AB177" s="163"/>
      <c r="AC177" s="163"/>
      <c r="AD177" s="163"/>
      <c r="AE177" s="163"/>
      <c r="AF177" s="163"/>
      <c r="AG177" s="170"/>
      <c r="AH177" s="163"/>
      <c r="AI177" s="163"/>
      <c r="AJ177" s="163"/>
      <c r="AK177" s="163"/>
    </row>
    <row r="178" ht="13.5" customHeight="1">
      <c r="A178" s="163"/>
      <c r="B178" s="170"/>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c r="AA178" s="163"/>
      <c r="AB178" s="163"/>
      <c r="AC178" s="163"/>
      <c r="AD178" s="163"/>
      <c r="AE178" s="163"/>
      <c r="AF178" s="163"/>
      <c r="AG178" s="170"/>
      <c r="AH178" s="163"/>
      <c r="AI178" s="163"/>
      <c r="AJ178" s="163"/>
      <c r="AK178" s="163"/>
    </row>
    <row r="179" ht="13.5" customHeight="1">
      <c r="A179" s="163"/>
      <c r="B179" s="170"/>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c r="AF179" s="163"/>
      <c r="AG179" s="170"/>
      <c r="AH179" s="163"/>
      <c r="AI179" s="163"/>
      <c r="AJ179" s="163"/>
      <c r="AK179" s="163"/>
    </row>
    <row r="180" ht="13.5" customHeight="1">
      <c r="A180" s="163"/>
      <c r="B180" s="170"/>
      <c r="C180" s="163"/>
      <c r="D180" s="163"/>
      <c r="E180" s="163"/>
      <c r="F180" s="163"/>
      <c r="G180" s="163"/>
      <c r="H180" s="163"/>
      <c r="I180" s="163"/>
      <c r="J180" s="163"/>
      <c r="K180" s="163"/>
      <c r="L180" s="163"/>
      <c r="M180" s="163"/>
      <c r="N180" s="163"/>
      <c r="O180" s="163"/>
      <c r="P180" s="163"/>
      <c r="Q180" s="163"/>
      <c r="R180" s="163"/>
      <c r="S180" s="163"/>
      <c r="T180" s="163"/>
      <c r="U180" s="163"/>
      <c r="V180" s="163"/>
      <c r="W180" s="163"/>
      <c r="X180" s="163"/>
      <c r="Y180" s="163"/>
      <c r="Z180" s="163"/>
      <c r="AA180" s="163"/>
      <c r="AB180" s="163"/>
      <c r="AC180" s="163"/>
      <c r="AD180" s="163"/>
      <c r="AE180" s="163"/>
      <c r="AF180" s="163"/>
      <c r="AG180" s="170"/>
      <c r="AH180" s="163"/>
      <c r="AI180" s="163"/>
      <c r="AJ180" s="163"/>
      <c r="AK180" s="163"/>
    </row>
    <row r="181" ht="13.5" customHeight="1">
      <c r="A181" s="163"/>
      <c r="B181" s="170"/>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c r="AF181" s="163"/>
      <c r="AG181" s="170"/>
      <c r="AH181" s="163"/>
      <c r="AI181" s="163"/>
      <c r="AJ181" s="163"/>
      <c r="AK181" s="163"/>
    </row>
    <row r="182" ht="13.5" customHeight="1">
      <c r="A182" s="163"/>
      <c r="B182" s="170"/>
      <c r="C182" s="163"/>
      <c r="D182" s="163"/>
      <c r="E182" s="163"/>
      <c r="F182" s="163"/>
      <c r="G182" s="163"/>
      <c r="H182" s="163"/>
      <c r="I182" s="163"/>
      <c r="J182" s="163"/>
      <c r="K182" s="163"/>
      <c r="L182" s="163"/>
      <c r="M182" s="163"/>
      <c r="N182" s="163"/>
      <c r="O182" s="163"/>
      <c r="P182" s="163"/>
      <c r="Q182" s="163"/>
      <c r="R182" s="163"/>
      <c r="S182" s="163"/>
      <c r="T182" s="163"/>
      <c r="U182" s="163"/>
      <c r="V182" s="163"/>
      <c r="W182" s="163"/>
      <c r="X182" s="163"/>
      <c r="Y182" s="163"/>
      <c r="Z182" s="163"/>
      <c r="AA182" s="163"/>
      <c r="AB182" s="163"/>
      <c r="AC182" s="163"/>
      <c r="AD182" s="163"/>
      <c r="AE182" s="163"/>
      <c r="AF182" s="163"/>
      <c r="AG182" s="170"/>
      <c r="AH182" s="163"/>
      <c r="AI182" s="163"/>
      <c r="AJ182" s="163"/>
      <c r="AK182" s="163"/>
    </row>
    <row r="183" ht="13.5" customHeight="1">
      <c r="A183" s="163"/>
      <c r="B183" s="170"/>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c r="AA183" s="163"/>
      <c r="AB183" s="163"/>
      <c r="AC183" s="163"/>
      <c r="AD183" s="163"/>
      <c r="AE183" s="163"/>
      <c r="AF183" s="163"/>
      <c r="AG183" s="170"/>
      <c r="AH183" s="163"/>
      <c r="AI183" s="163"/>
      <c r="AJ183" s="163"/>
      <c r="AK183" s="163"/>
    </row>
    <row r="184" ht="13.5" customHeight="1">
      <c r="A184" s="163"/>
      <c r="B184" s="170"/>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c r="AA184" s="163"/>
      <c r="AB184" s="163"/>
      <c r="AC184" s="163"/>
      <c r="AD184" s="163"/>
      <c r="AE184" s="163"/>
      <c r="AF184" s="163"/>
      <c r="AG184" s="170"/>
      <c r="AH184" s="163"/>
      <c r="AI184" s="163"/>
      <c r="AJ184" s="163"/>
      <c r="AK184" s="163"/>
    </row>
    <row r="185" ht="13.5" customHeight="1">
      <c r="A185" s="163"/>
      <c r="B185" s="170"/>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70"/>
      <c r="AH185" s="163"/>
      <c r="AI185" s="163"/>
      <c r="AJ185" s="163"/>
      <c r="AK185" s="163"/>
    </row>
    <row r="186" ht="13.5" customHeight="1">
      <c r="A186" s="163"/>
      <c r="B186" s="170"/>
      <c r="C186" s="163"/>
      <c r="D186" s="163"/>
      <c r="E186" s="163"/>
      <c r="F186" s="163"/>
      <c r="G186" s="163"/>
      <c r="H186" s="163"/>
      <c r="I186" s="163"/>
      <c r="J186" s="163"/>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70"/>
      <c r="AH186" s="163"/>
      <c r="AI186" s="163"/>
      <c r="AJ186" s="163"/>
      <c r="AK186" s="163"/>
    </row>
    <row r="187" ht="13.5" customHeight="1">
      <c r="A187" s="163"/>
      <c r="B187" s="170"/>
      <c r="C187" s="163"/>
      <c r="D187" s="163"/>
      <c r="E187" s="163"/>
      <c r="F187" s="163"/>
      <c r="G187" s="163"/>
      <c r="H187" s="163"/>
      <c r="I187" s="163"/>
      <c r="J187" s="163"/>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70"/>
      <c r="AH187" s="163"/>
      <c r="AI187" s="163"/>
      <c r="AJ187" s="163"/>
      <c r="AK187" s="163"/>
    </row>
    <row r="188" ht="13.5" customHeight="1">
      <c r="A188" s="163"/>
      <c r="B188" s="170"/>
      <c r="C188" s="163"/>
      <c r="D188" s="163"/>
      <c r="E188" s="163"/>
      <c r="F188" s="163"/>
      <c r="G188" s="163"/>
      <c r="H188" s="163"/>
      <c r="I188" s="163"/>
      <c r="J188" s="163"/>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70"/>
      <c r="AH188" s="163"/>
      <c r="AI188" s="163"/>
      <c r="AJ188" s="163"/>
      <c r="AK188" s="163"/>
    </row>
    <row r="189" ht="13.5" customHeight="1">
      <c r="A189" s="163"/>
      <c r="B189" s="170"/>
      <c r="C189" s="163"/>
      <c r="D189" s="163"/>
      <c r="E189" s="163"/>
      <c r="F189" s="163"/>
      <c r="G189" s="163"/>
      <c r="H189" s="163"/>
      <c r="I189" s="163"/>
      <c r="J189" s="163"/>
      <c r="K189" s="163"/>
      <c r="L189" s="163"/>
      <c r="M189" s="163"/>
      <c r="N189" s="163"/>
      <c r="O189" s="163"/>
      <c r="P189" s="163"/>
      <c r="Q189" s="163"/>
      <c r="R189" s="163"/>
      <c r="S189" s="163"/>
      <c r="T189" s="163"/>
      <c r="U189" s="163"/>
      <c r="V189" s="163"/>
      <c r="W189" s="163"/>
      <c r="X189" s="163"/>
      <c r="Y189" s="163"/>
      <c r="Z189" s="163"/>
      <c r="AA189" s="163"/>
      <c r="AB189" s="163"/>
      <c r="AC189" s="163"/>
      <c r="AD189" s="163"/>
      <c r="AE189" s="163"/>
      <c r="AF189" s="163"/>
      <c r="AG189" s="170"/>
      <c r="AH189" s="163"/>
      <c r="AI189" s="163"/>
      <c r="AJ189" s="163"/>
      <c r="AK189" s="163"/>
    </row>
    <row r="190" ht="13.5" customHeight="1">
      <c r="A190" s="163"/>
      <c r="B190" s="170"/>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c r="AA190" s="163"/>
      <c r="AB190" s="163"/>
      <c r="AC190" s="163"/>
      <c r="AD190" s="163"/>
      <c r="AE190" s="163"/>
      <c r="AF190" s="163"/>
      <c r="AG190" s="170"/>
      <c r="AH190" s="163"/>
      <c r="AI190" s="163"/>
      <c r="AJ190" s="163"/>
      <c r="AK190" s="163"/>
    </row>
    <row r="191" ht="13.5" customHeight="1">
      <c r="A191" s="163"/>
      <c r="B191" s="170"/>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c r="AA191" s="163"/>
      <c r="AB191" s="163"/>
      <c r="AC191" s="163"/>
      <c r="AD191" s="163"/>
      <c r="AE191" s="163"/>
      <c r="AF191" s="163"/>
      <c r="AG191" s="170"/>
      <c r="AH191" s="163"/>
      <c r="AI191" s="163"/>
      <c r="AJ191" s="163"/>
      <c r="AK191" s="163"/>
    </row>
    <row r="192" ht="13.5" customHeight="1">
      <c r="A192" s="163"/>
      <c r="B192" s="170"/>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c r="AB192" s="163"/>
      <c r="AC192" s="163"/>
      <c r="AD192" s="163"/>
      <c r="AE192" s="163"/>
      <c r="AF192" s="163"/>
      <c r="AG192" s="170"/>
      <c r="AH192" s="163"/>
      <c r="AI192" s="163"/>
      <c r="AJ192" s="163"/>
      <c r="AK192" s="163"/>
    </row>
    <row r="193" ht="13.5" customHeight="1">
      <c r="A193" s="163"/>
      <c r="B193" s="170"/>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c r="AB193" s="163"/>
      <c r="AC193" s="163"/>
      <c r="AD193" s="163"/>
      <c r="AE193" s="163"/>
      <c r="AF193" s="163"/>
      <c r="AG193" s="170"/>
      <c r="AH193" s="163"/>
      <c r="AI193" s="163"/>
      <c r="AJ193" s="163"/>
      <c r="AK193" s="163"/>
    </row>
    <row r="194" ht="13.5" customHeight="1">
      <c r="A194" s="163"/>
      <c r="B194" s="170"/>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c r="AA194" s="163"/>
      <c r="AB194" s="163"/>
      <c r="AC194" s="163"/>
      <c r="AD194" s="163"/>
      <c r="AE194" s="163"/>
      <c r="AF194" s="163"/>
      <c r="AG194" s="170"/>
      <c r="AH194" s="163"/>
      <c r="AI194" s="163"/>
      <c r="AJ194" s="163"/>
      <c r="AK194" s="163"/>
    </row>
    <row r="195" ht="13.5" customHeight="1">
      <c r="A195" s="163"/>
      <c r="B195" s="170"/>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c r="AA195" s="163"/>
      <c r="AB195" s="163"/>
      <c r="AC195" s="163"/>
      <c r="AD195" s="163"/>
      <c r="AE195" s="163"/>
      <c r="AF195" s="163"/>
      <c r="AG195" s="170"/>
      <c r="AH195" s="163"/>
      <c r="AI195" s="163"/>
      <c r="AJ195" s="163"/>
      <c r="AK195" s="163"/>
    </row>
    <row r="196" ht="13.5" customHeight="1">
      <c r="A196" s="163"/>
      <c r="B196" s="170"/>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c r="AA196" s="163"/>
      <c r="AB196" s="163"/>
      <c r="AC196" s="163"/>
      <c r="AD196" s="163"/>
      <c r="AE196" s="163"/>
      <c r="AF196" s="163"/>
      <c r="AG196" s="170"/>
      <c r="AH196" s="163"/>
      <c r="AI196" s="163"/>
      <c r="AJ196" s="163"/>
      <c r="AK196" s="163"/>
    </row>
    <row r="197" ht="13.5" customHeight="1">
      <c r="A197" s="163"/>
      <c r="B197" s="170"/>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c r="AA197" s="163"/>
      <c r="AB197" s="163"/>
      <c r="AC197" s="163"/>
      <c r="AD197" s="163"/>
      <c r="AE197" s="163"/>
      <c r="AF197" s="163"/>
      <c r="AG197" s="170"/>
      <c r="AH197" s="163"/>
      <c r="AI197" s="163"/>
      <c r="AJ197" s="163"/>
      <c r="AK197" s="163"/>
    </row>
    <row r="198" ht="13.5" customHeight="1">
      <c r="A198" s="163"/>
      <c r="B198" s="170"/>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63"/>
      <c r="AE198" s="163"/>
      <c r="AF198" s="163"/>
      <c r="AG198" s="170"/>
      <c r="AH198" s="163"/>
      <c r="AI198" s="163"/>
      <c r="AJ198" s="163"/>
      <c r="AK198" s="163"/>
    </row>
    <row r="199" ht="13.5" customHeight="1">
      <c r="A199" s="163"/>
      <c r="B199" s="170"/>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c r="AB199" s="163"/>
      <c r="AC199" s="163"/>
      <c r="AD199" s="163"/>
      <c r="AE199" s="163"/>
      <c r="AF199" s="163"/>
      <c r="AG199" s="170"/>
      <c r="AH199" s="163"/>
      <c r="AI199" s="163"/>
      <c r="AJ199" s="163"/>
      <c r="AK199" s="163"/>
    </row>
    <row r="200" ht="13.5" customHeight="1">
      <c r="A200" s="163"/>
      <c r="B200" s="170"/>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c r="AB200" s="163"/>
      <c r="AC200" s="163"/>
      <c r="AD200" s="163"/>
      <c r="AE200" s="163"/>
      <c r="AF200" s="163"/>
      <c r="AG200" s="170"/>
      <c r="AH200" s="163"/>
      <c r="AI200" s="163"/>
      <c r="AJ200" s="163"/>
      <c r="AK200" s="163"/>
    </row>
    <row r="201" ht="13.5" customHeight="1">
      <c r="A201" s="163"/>
      <c r="B201" s="170"/>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c r="AA201" s="163"/>
      <c r="AB201" s="163"/>
      <c r="AC201" s="163"/>
      <c r="AD201" s="163"/>
      <c r="AE201" s="163"/>
      <c r="AF201" s="163"/>
      <c r="AG201" s="170"/>
      <c r="AH201" s="163"/>
      <c r="AI201" s="163"/>
      <c r="AJ201" s="163"/>
      <c r="AK201" s="163"/>
    </row>
    <row r="202" ht="13.5" customHeight="1">
      <c r="A202" s="163"/>
      <c r="B202" s="170"/>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c r="AA202" s="163"/>
      <c r="AB202" s="163"/>
      <c r="AC202" s="163"/>
      <c r="AD202" s="163"/>
      <c r="AE202" s="163"/>
      <c r="AF202" s="163"/>
      <c r="AG202" s="170"/>
      <c r="AH202" s="163"/>
      <c r="AI202" s="163"/>
      <c r="AJ202" s="163"/>
      <c r="AK202" s="163"/>
    </row>
    <row r="203" ht="13.5" customHeight="1">
      <c r="A203" s="163"/>
      <c r="B203" s="170"/>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c r="AA203" s="163"/>
      <c r="AB203" s="163"/>
      <c r="AC203" s="163"/>
      <c r="AD203" s="163"/>
      <c r="AE203" s="163"/>
      <c r="AF203" s="163"/>
      <c r="AG203" s="170"/>
      <c r="AH203" s="163"/>
      <c r="AI203" s="163"/>
      <c r="AJ203" s="163"/>
      <c r="AK203" s="163"/>
    </row>
    <row r="204" ht="13.5" customHeight="1">
      <c r="A204" s="163"/>
      <c r="B204" s="170"/>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163"/>
      <c r="AG204" s="170"/>
      <c r="AH204" s="163"/>
      <c r="AI204" s="163"/>
      <c r="AJ204" s="163"/>
      <c r="AK204" s="163"/>
    </row>
    <row r="205" ht="13.5" customHeight="1">
      <c r="A205" s="163"/>
      <c r="B205" s="170"/>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c r="AA205" s="163"/>
      <c r="AB205" s="163"/>
      <c r="AC205" s="163"/>
      <c r="AD205" s="163"/>
      <c r="AE205" s="163"/>
      <c r="AF205" s="163"/>
      <c r="AG205" s="170"/>
      <c r="AH205" s="163"/>
      <c r="AI205" s="163"/>
      <c r="AJ205" s="163"/>
      <c r="AK205" s="163"/>
    </row>
    <row r="206" ht="13.5" customHeight="1">
      <c r="A206" s="163"/>
      <c r="B206" s="170"/>
      <c r="C206" s="163"/>
      <c r="D206" s="163"/>
      <c r="E206" s="163"/>
      <c r="F206" s="163"/>
      <c r="G206" s="163"/>
      <c r="H206" s="163"/>
      <c r="I206" s="163"/>
      <c r="J206" s="163"/>
      <c r="K206" s="163"/>
      <c r="L206" s="163"/>
      <c r="M206" s="163"/>
      <c r="N206" s="163"/>
      <c r="O206" s="163"/>
      <c r="P206" s="163"/>
      <c r="Q206" s="163"/>
      <c r="R206" s="163"/>
      <c r="S206" s="163"/>
      <c r="T206" s="163"/>
      <c r="U206" s="163"/>
      <c r="V206" s="163"/>
      <c r="W206" s="163"/>
      <c r="X206" s="163"/>
      <c r="Y206" s="163"/>
      <c r="Z206" s="163"/>
      <c r="AA206" s="163"/>
      <c r="AB206" s="163"/>
      <c r="AC206" s="163"/>
      <c r="AD206" s="163"/>
      <c r="AE206" s="163"/>
      <c r="AF206" s="163"/>
      <c r="AG206" s="170"/>
      <c r="AH206" s="163"/>
      <c r="AI206" s="163"/>
      <c r="AJ206" s="163"/>
      <c r="AK206" s="163"/>
    </row>
    <row r="207" ht="13.5" customHeight="1">
      <c r="A207" s="163"/>
      <c r="B207" s="170"/>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c r="AA207" s="163"/>
      <c r="AB207" s="163"/>
      <c r="AC207" s="163"/>
      <c r="AD207" s="163"/>
      <c r="AE207" s="163"/>
      <c r="AF207" s="163"/>
      <c r="AG207" s="170"/>
      <c r="AH207" s="163"/>
      <c r="AI207" s="163"/>
      <c r="AJ207" s="163"/>
      <c r="AK207" s="163"/>
    </row>
    <row r="208" ht="13.5" customHeight="1">
      <c r="A208" s="163"/>
      <c r="B208" s="170"/>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c r="AA208" s="163"/>
      <c r="AB208" s="163"/>
      <c r="AC208" s="163"/>
      <c r="AD208" s="163"/>
      <c r="AE208" s="163"/>
      <c r="AF208" s="163"/>
      <c r="AG208" s="170"/>
      <c r="AH208" s="163"/>
      <c r="AI208" s="163"/>
      <c r="AJ208" s="163"/>
      <c r="AK208" s="163"/>
    </row>
    <row r="209" ht="13.5" customHeight="1">
      <c r="A209" s="163"/>
      <c r="B209" s="170"/>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c r="AB209" s="163"/>
      <c r="AC209" s="163"/>
      <c r="AD209" s="163"/>
      <c r="AE209" s="163"/>
      <c r="AF209" s="163"/>
      <c r="AG209" s="170"/>
      <c r="AH209" s="163"/>
      <c r="AI209" s="163"/>
      <c r="AJ209" s="163"/>
      <c r="AK209" s="163"/>
    </row>
    <row r="210" ht="13.5" customHeight="1">
      <c r="A210" s="163"/>
      <c r="B210" s="170"/>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c r="AB210" s="163"/>
      <c r="AC210" s="163"/>
      <c r="AD210" s="163"/>
      <c r="AE210" s="163"/>
      <c r="AF210" s="163"/>
      <c r="AG210" s="170"/>
      <c r="AH210" s="163"/>
      <c r="AI210" s="163"/>
      <c r="AJ210" s="163"/>
      <c r="AK210" s="163"/>
    </row>
    <row r="211" ht="13.5" customHeight="1">
      <c r="A211" s="163"/>
      <c r="B211" s="170"/>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70"/>
      <c r="AH211" s="163"/>
      <c r="AI211" s="163"/>
      <c r="AJ211" s="163"/>
      <c r="AK211" s="163"/>
    </row>
    <row r="212" ht="13.5" customHeight="1">
      <c r="A212" s="163"/>
      <c r="B212" s="170"/>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70"/>
      <c r="AH212" s="163"/>
      <c r="AI212" s="163"/>
      <c r="AJ212" s="163"/>
      <c r="AK212" s="163"/>
    </row>
    <row r="213" ht="13.5" customHeight="1">
      <c r="A213" s="163"/>
      <c r="B213" s="170"/>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c r="AB213" s="163"/>
      <c r="AC213" s="163"/>
      <c r="AD213" s="163"/>
      <c r="AE213" s="163"/>
      <c r="AF213" s="163"/>
      <c r="AG213" s="170"/>
      <c r="AH213" s="163"/>
      <c r="AI213" s="163"/>
      <c r="AJ213" s="163"/>
      <c r="AK213" s="163"/>
    </row>
    <row r="214" ht="13.5" customHeight="1">
      <c r="A214" s="163"/>
      <c r="B214" s="170"/>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c r="AB214" s="163"/>
      <c r="AC214" s="163"/>
      <c r="AD214" s="163"/>
      <c r="AE214" s="163"/>
      <c r="AF214" s="163"/>
      <c r="AG214" s="170"/>
      <c r="AH214" s="163"/>
      <c r="AI214" s="163"/>
      <c r="AJ214" s="163"/>
      <c r="AK214" s="163"/>
    </row>
    <row r="215" ht="13.5" customHeight="1">
      <c r="A215" s="163"/>
      <c r="B215" s="170"/>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c r="AB215" s="163"/>
      <c r="AC215" s="163"/>
      <c r="AD215" s="163"/>
      <c r="AE215" s="163"/>
      <c r="AF215" s="163"/>
      <c r="AG215" s="170"/>
      <c r="AH215" s="163"/>
      <c r="AI215" s="163"/>
      <c r="AJ215" s="163"/>
      <c r="AK215" s="163"/>
    </row>
    <row r="216" ht="13.5" customHeight="1">
      <c r="A216" s="163"/>
      <c r="B216" s="170"/>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c r="AD216" s="163"/>
      <c r="AE216" s="163"/>
      <c r="AF216" s="163"/>
      <c r="AG216" s="170"/>
      <c r="AH216" s="163"/>
      <c r="AI216" s="163"/>
      <c r="AJ216" s="163"/>
      <c r="AK216" s="163"/>
    </row>
    <row r="217" ht="13.5" customHeight="1">
      <c r="A217" s="163"/>
      <c r="B217" s="170"/>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c r="AB217" s="163"/>
      <c r="AC217" s="163"/>
      <c r="AD217" s="163"/>
      <c r="AE217" s="163"/>
      <c r="AF217" s="163"/>
      <c r="AG217" s="170"/>
      <c r="AH217" s="163"/>
      <c r="AI217" s="163"/>
      <c r="AJ217" s="163"/>
      <c r="AK217" s="163"/>
    </row>
    <row r="218" ht="13.5" customHeight="1">
      <c r="A218" s="163"/>
      <c r="B218" s="170"/>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70"/>
      <c r="AH218" s="163"/>
      <c r="AI218" s="163"/>
      <c r="AJ218" s="163"/>
      <c r="AK218" s="163"/>
    </row>
    <row r="219" ht="13.5" customHeight="1">
      <c r="A219" s="163"/>
      <c r="B219" s="170"/>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70"/>
      <c r="AH219" s="163"/>
      <c r="AI219" s="163"/>
      <c r="AJ219" s="163"/>
      <c r="AK219" s="163"/>
    </row>
    <row r="220" ht="13.5" customHeight="1">
      <c r="A220" s="163"/>
      <c r="B220" s="170"/>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c r="AD220" s="163"/>
      <c r="AE220" s="163"/>
      <c r="AF220" s="163"/>
      <c r="AG220" s="170"/>
      <c r="AH220" s="163"/>
      <c r="AI220" s="163"/>
      <c r="AJ220" s="163"/>
      <c r="AK220" s="163"/>
    </row>
    <row r="221" ht="13.5" customHeight="1">
      <c r="A221" s="163"/>
      <c r="B221" s="170"/>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c r="AD221" s="163"/>
      <c r="AE221" s="163"/>
      <c r="AF221" s="163"/>
      <c r="AG221" s="170"/>
      <c r="AH221" s="163"/>
      <c r="AI221" s="163"/>
      <c r="AJ221" s="163"/>
      <c r="AK221" s="163"/>
    </row>
    <row r="222" ht="13.5" customHeight="1">
      <c r="A222" s="163"/>
      <c r="B222" s="170"/>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c r="AB222" s="163"/>
      <c r="AC222" s="163"/>
      <c r="AD222" s="163"/>
      <c r="AE222" s="163"/>
      <c r="AF222" s="163"/>
      <c r="AG222" s="170"/>
      <c r="AH222" s="163"/>
      <c r="AI222" s="163"/>
      <c r="AJ222" s="163"/>
      <c r="AK222" s="163"/>
    </row>
    <row r="223" ht="13.5" customHeight="1">
      <c r="A223" s="163"/>
      <c r="B223" s="170"/>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c r="AB223" s="163"/>
      <c r="AC223" s="163"/>
      <c r="AD223" s="163"/>
      <c r="AE223" s="163"/>
      <c r="AF223" s="163"/>
      <c r="AG223" s="170"/>
      <c r="AH223" s="163"/>
      <c r="AI223" s="163"/>
      <c r="AJ223" s="163"/>
      <c r="AK223" s="163"/>
    </row>
    <row r="224" ht="13.5" customHeight="1">
      <c r="A224" s="163"/>
      <c r="B224" s="170"/>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c r="AB224" s="163"/>
      <c r="AC224" s="163"/>
      <c r="AD224" s="163"/>
      <c r="AE224" s="163"/>
      <c r="AF224" s="163"/>
      <c r="AG224" s="170"/>
      <c r="AH224" s="163"/>
      <c r="AI224" s="163"/>
      <c r="AJ224" s="163"/>
      <c r="AK224" s="163"/>
    </row>
    <row r="225" ht="13.5" customHeight="1">
      <c r="A225" s="163"/>
      <c r="B225" s="170"/>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c r="AB225" s="163"/>
      <c r="AC225" s="163"/>
      <c r="AD225" s="163"/>
      <c r="AE225" s="163"/>
      <c r="AF225" s="163"/>
      <c r="AG225" s="170"/>
      <c r="AH225" s="163"/>
      <c r="AI225" s="163"/>
      <c r="AJ225" s="163"/>
      <c r="AK225" s="163"/>
    </row>
    <row r="226" ht="13.5" customHeight="1">
      <c r="A226" s="163"/>
      <c r="B226" s="170"/>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c r="AB226" s="163"/>
      <c r="AC226" s="163"/>
      <c r="AD226" s="163"/>
      <c r="AE226" s="163"/>
      <c r="AF226" s="163"/>
      <c r="AG226" s="170"/>
      <c r="AH226" s="163"/>
      <c r="AI226" s="163"/>
      <c r="AJ226" s="163"/>
      <c r="AK226" s="163"/>
    </row>
    <row r="227" ht="13.5" customHeight="1">
      <c r="A227" s="163"/>
      <c r="B227" s="170"/>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c r="AD227" s="163"/>
      <c r="AE227" s="163"/>
      <c r="AF227" s="163"/>
      <c r="AG227" s="170"/>
      <c r="AH227" s="163"/>
      <c r="AI227" s="163"/>
      <c r="AJ227" s="163"/>
      <c r="AK227" s="163"/>
    </row>
    <row r="228" ht="13.5" customHeight="1">
      <c r="A228" s="163"/>
      <c r="B228" s="170"/>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63"/>
      <c r="AE228" s="163"/>
      <c r="AF228" s="163"/>
      <c r="AG228" s="170"/>
      <c r="AH228" s="163"/>
      <c r="AI228" s="163"/>
      <c r="AJ228" s="163"/>
      <c r="AK228" s="163"/>
    </row>
    <row r="229" ht="13.5" customHeight="1">
      <c r="A229" s="163"/>
      <c r="B229" s="170"/>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c r="AB229" s="163"/>
      <c r="AC229" s="163"/>
      <c r="AD229" s="163"/>
      <c r="AE229" s="163"/>
      <c r="AF229" s="163"/>
      <c r="AG229" s="170"/>
      <c r="AH229" s="163"/>
      <c r="AI229" s="163"/>
      <c r="AJ229" s="163"/>
      <c r="AK229" s="163"/>
    </row>
    <row r="230" ht="13.5" customHeight="1">
      <c r="A230" s="163"/>
      <c r="B230" s="170"/>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c r="AA230" s="163"/>
      <c r="AB230" s="163"/>
      <c r="AC230" s="163"/>
      <c r="AD230" s="163"/>
      <c r="AE230" s="163"/>
      <c r="AF230" s="163"/>
      <c r="AG230" s="170"/>
      <c r="AH230" s="163"/>
      <c r="AI230" s="163"/>
      <c r="AJ230" s="163"/>
      <c r="AK230" s="163"/>
    </row>
    <row r="231" ht="13.5" customHeight="1">
      <c r="A231" s="163"/>
      <c r="B231" s="170"/>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c r="AD231" s="163"/>
      <c r="AE231" s="163"/>
      <c r="AF231" s="163"/>
      <c r="AG231" s="170"/>
      <c r="AH231" s="163"/>
      <c r="AI231" s="163"/>
      <c r="AJ231" s="163"/>
      <c r="AK231" s="163"/>
    </row>
    <row r="232" ht="13.5" customHeight="1">
      <c r="A232" s="163"/>
      <c r="B232" s="170"/>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70"/>
      <c r="AH232" s="163"/>
      <c r="AI232" s="163"/>
      <c r="AJ232" s="163"/>
      <c r="AK232" s="163"/>
    </row>
    <row r="233" ht="13.5" customHeight="1">
      <c r="A233" s="163"/>
      <c r="B233" s="170"/>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70"/>
      <c r="AH233" s="163"/>
      <c r="AI233" s="163"/>
      <c r="AJ233" s="163"/>
      <c r="AK233" s="163"/>
    </row>
    <row r="234" ht="13.5" customHeight="1">
      <c r="A234" s="163"/>
      <c r="B234" s="170"/>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c r="AB234" s="163"/>
      <c r="AC234" s="163"/>
      <c r="AD234" s="163"/>
      <c r="AE234" s="163"/>
      <c r="AF234" s="163"/>
      <c r="AG234" s="170"/>
      <c r="AH234" s="163"/>
      <c r="AI234" s="163"/>
      <c r="AJ234" s="163"/>
      <c r="AK234" s="163"/>
    </row>
    <row r="235" ht="13.5" customHeight="1">
      <c r="A235" s="163"/>
      <c r="B235" s="170"/>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c r="AB235" s="163"/>
      <c r="AC235" s="163"/>
      <c r="AD235" s="163"/>
      <c r="AE235" s="163"/>
      <c r="AF235" s="163"/>
      <c r="AG235" s="170"/>
      <c r="AH235" s="163"/>
      <c r="AI235" s="163"/>
      <c r="AJ235" s="163"/>
      <c r="AK235" s="163"/>
    </row>
    <row r="236" ht="13.5" customHeight="1">
      <c r="A236" s="163"/>
      <c r="B236" s="170"/>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3"/>
      <c r="AC236" s="163"/>
      <c r="AD236" s="163"/>
      <c r="AE236" s="163"/>
      <c r="AF236" s="163"/>
      <c r="AG236" s="170"/>
      <c r="AH236" s="163"/>
      <c r="AI236" s="163"/>
      <c r="AJ236" s="163"/>
      <c r="AK236" s="163"/>
    </row>
    <row r="237" ht="13.5" customHeight="1">
      <c r="A237" s="163"/>
      <c r="B237" s="170"/>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3"/>
      <c r="AC237" s="163"/>
      <c r="AD237" s="163"/>
      <c r="AE237" s="163"/>
      <c r="AF237" s="163"/>
      <c r="AG237" s="170"/>
      <c r="AH237" s="163"/>
      <c r="AI237" s="163"/>
      <c r="AJ237" s="163"/>
      <c r="AK237" s="163"/>
    </row>
    <row r="238" ht="13.5" customHeight="1">
      <c r="A238" s="163"/>
      <c r="B238" s="170"/>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c r="AD238" s="163"/>
      <c r="AE238" s="163"/>
      <c r="AF238" s="163"/>
      <c r="AG238" s="170"/>
      <c r="AH238" s="163"/>
      <c r="AI238" s="163"/>
      <c r="AJ238" s="163"/>
      <c r="AK238" s="163"/>
    </row>
    <row r="239" ht="13.5" customHeight="1">
      <c r="A239" s="163"/>
      <c r="B239" s="170"/>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70"/>
      <c r="AH239" s="163"/>
      <c r="AI239" s="163"/>
      <c r="AJ239" s="163"/>
      <c r="AK239" s="163"/>
    </row>
    <row r="240" ht="13.5" customHeight="1">
      <c r="A240" s="163"/>
      <c r="B240" s="170"/>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70"/>
      <c r="AH240" s="163"/>
      <c r="AI240" s="163"/>
      <c r="AJ240" s="163"/>
      <c r="AK240" s="163"/>
    </row>
    <row r="241" ht="13.5" customHeight="1">
      <c r="A241" s="163"/>
      <c r="B241" s="170"/>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c r="AB241" s="163"/>
      <c r="AC241" s="163"/>
      <c r="AD241" s="163"/>
      <c r="AE241" s="163"/>
      <c r="AF241" s="163"/>
      <c r="AG241" s="170"/>
      <c r="AH241" s="163"/>
      <c r="AI241" s="163"/>
      <c r="AJ241" s="163"/>
      <c r="AK241" s="163"/>
    </row>
    <row r="242" ht="13.5" customHeight="1">
      <c r="A242" s="163"/>
      <c r="B242" s="170"/>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c r="AB242" s="163"/>
      <c r="AC242" s="163"/>
      <c r="AD242" s="163"/>
      <c r="AE242" s="163"/>
      <c r="AF242" s="163"/>
      <c r="AG242" s="170"/>
      <c r="AH242" s="163"/>
      <c r="AI242" s="163"/>
      <c r="AJ242" s="163"/>
      <c r="AK242" s="163"/>
    </row>
    <row r="243" ht="13.5" customHeight="1">
      <c r="A243" s="163"/>
      <c r="B243" s="170"/>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c r="AB243" s="163"/>
      <c r="AC243" s="163"/>
      <c r="AD243" s="163"/>
      <c r="AE243" s="163"/>
      <c r="AF243" s="163"/>
      <c r="AG243" s="170"/>
      <c r="AH243" s="163"/>
      <c r="AI243" s="163"/>
      <c r="AJ243" s="163"/>
      <c r="AK243" s="163"/>
    </row>
    <row r="244" ht="13.5" customHeight="1">
      <c r="A244" s="163"/>
      <c r="B244" s="170"/>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c r="AD244" s="163"/>
      <c r="AE244" s="163"/>
      <c r="AF244" s="163"/>
      <c r="AG244" s="170"/>
      <c r="AH244" s="163"/>
      <c r="AI244" s="163"/>
      <c r="AJ244" s="163"/>
      <c r="AK244" s="163"/>
    </row>
    <row r="245" ht="13.5" customHeight="1">
      <c r="A245" s="163"/>
      <c r="B245" s="170"/>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c r="AD245" s="163"/>
      <c r="AE245" s="163"/>
      <c r="AF245" s="163"/>
      <c r="AG245" s="170"/>
      <c r="AH245" s="163"/>
      <c r="AI245" s="163"/>
      <c r="AJ245" s="163"/>
      <c r="AK245" s="163"/>
    </row>
    <row r="246" ht="13.5" customHeight="1">
      <c r="A246" s="163"/>
      <c r="B246" s="170"/>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70"/>
      <c r="AH246" s="163"/>
      <c r="AI246" s="163"/>
      <c r="AJ246" s="163"/>
      <c r="AK246" s="163"/>
    </row>
    <row r="247" ht="13.5" customHeight="1">
      <c r="A247" s="163"/>
      <c r="B247" s="170"/>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70"/>
      <c r="AH247" s="163"/>
      <c r="AI247" s="163"/>
      <c r="AJ247" s="163"/>
      <c r="AK247" s="163"/>
    </row>
    <row r="248" ht="13.5" customHeight="1">
      <c r="A248" s="163"/>
      <c r="B248" s="170"/>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70"/>
      <c r="AH248" s="163"/>
      <c r="AI248" s="163"/>
      <c r="AJ248" s="163"/>
      <c r="AK248" s="163"/>
    </row>
    <row r="249" ht="13.5" customHeight="1">
      <c r="A249" s="163"/>
      <c r="B249" s="170"/>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c r="AB249" s="163"/>
      <c r="AC249" s="163"/>
      <c r="AD249" s="163"/>
      <c r="AE249" s="163"/>
      <c r="AF249" s="163"/>
      <c r="AG249" s="170"/>
      <c r="AH249" s="163"/>
      <c r="AI249" s="163"/>
      <c r="AJ249" s="163"/>
      <c r="AK249" s="163"/>
    </row>
    <row r="250" ht="13.5" customHeight="1">
      <c r="A250" s="163"/>
      <c r="B250" s="170"/>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63"/>
      <c r="AE250" s="163"/>
      <c r="AF250" s="163"/>
      <c r="AG250" s="170"/>
      <c r="AH250" s="163"/>
      <c r="AI250" s="163"/>
      <c r="AJ250" s="163"/>
      <c r="AK250" s="163"/>
    </row>
    <row r="251" ht="13.5" customHeight="1">
      <c r="A251" s="163"/>
      <c r="B251" s="170"/>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c r="AD251" s="163"/>
      <c r="AE251" s="163"/>
      <c r="AF251" s="163"/>
      <c r="AG251" s="170"/>
      <c r="AH251" s="163"/>
      <c r="AI251" s="163"/>
      <c r="AJ251" s="163"/>
      <c r="AK251" s="163"/>
    </row>
    <row r="252" ht="13.5" customHeight="1">
      <c r="A252" s="163"/>
      <c r="B252" s="170"/>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3"/>
      <c r="AC252" s="163"/>
      <c r="AD252" s="163"/>
      <c r="AE252" s="163"/>
      <c r="AF252" s="163"/>
      <c r="AG252" s="170"/>
      <c r="AH252" s="163"/>
      <c r="AI252" s="163"/>
      <c r="AJ252" s="163"/>
      <c r="AK252" s="163"/>
    </row>
    <row r="253" ht="13.5" customHeight="1">
      <c r="A253" s="163"/>
      <c r="B253" s="170"/>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3"/>
      <c r="AC253" s="163"/>
      <c r="AD253" s="163"/>
      <c r="AE253" s="163"/>
      <c r="AF253" s="163"/>
      <c r="AG253" s="170"/>
      <c r="AH253" s="163"/>
      <c r="AI253" s="163"/>
      <c r="AJ253" s="163"/>
      <c r="AK253" s="163"/>
    </row>
    <row r="254" ht="13.5" customHeight="1">
      <c r="A254" s="163"/>
      <c r="B254" s="170"/>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3"/>
      <c r="AC254" s="163"/>
      <c r="AD254" s="163"/>
      <c r="AE254" s="163"/>
      <c r="AF254" s="163"/>
      <c r="AG254" s="170"/>
      <c r="AH254" s="163"/>
      <c r="AI254" s="163"/>
      <c r="AJ254" s="163"/>
      <c r="AK254" s="163"/>
    </row>
    <row r="255" ht="13.5" customHeight="1">
      <c r="A255" s="163"/>
      <c r="B255" s="170"/>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3"/>
      <c r="AC255" s="163"/>
      <c r="AD255" s="163"/>
      <c r="AE255" s="163"/>
      <c r="AF255" s="163"/>
      <c r="AG255" s="170"/>
      <c r="AH255" s="163"/>
      <c r="AI255" s="163"/>
      <c r="AJ255" s="163"/>
      <c r="AK255" s="163"/>
    </row>
    <row r="256" ht="13.5" customHeight="1">
      <c r="A256" s="163"/>
      <c r="B256" s="170"/>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3"/>
      <c r="AC256" s="163"/>
      <c r="AD256" s="163"/>
      <c r="AE256" s="163"/>
      <c r="AF256" s="163"/>
      <c r="AG256" s="170"/>
      <c r="AH256" s="163"/>
      <c r="AI256" s="163"/>
      <c r="AJ256" s="163"/>
      <c r="AK256" s="163"/>
    </row>
    <row r="257" ht="13.5" customHeight="1">
      <c r="A257" s="163"/>
      <c r="B257" s="170"/>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c r="AD257" s="163"/>
      <c r="AE257" s="163"/>
      <c r="AF257" s="163"/>
      <c r="AG257" s="170"/>
      <c r="AH257" s="163"/>
      <c r="AI257" s="163"/>
      <c r="AJ257" s="163"/>
      <c r="AK257" s="163"/>
    </row>
    <row r="258" ht="13.5" customHeight="1">
      <c r="A258" s="163"/>
      <c r="B258" s="170"/>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c r="AD258" s="163"/>
      <c r="AE258" s="163"/>
      <c r="AF258" s="163"/>
      <c r="AG258" s="170"/>
      <c r="AH258" s="163"/>
      <c r="AI258" s="163"/>
      <c r="AJ258" s="163"/>
      <c r="AK258" s="163"/>
    </row>
    <row r="259" ht="13.5" customHeight="1">
      <c r="A259" s="163"/>
      <c r="B259" s="170"/>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3"/>
      <c r="AC259" s="163"/>
      <c r="AD259" s="163"/>
      <c r="AE259" s="163"/>
      <c r="AF259" s="163"/>
      <c r="AG259" s="170"/>
      <c r="AH259" s="163"/>
      <c r="AI259" s="163"/>
      <c r="AJ259" s="163"/>
      <c r="AK259" s="163"/>
    </row>
    <row r="260" ht="13.5" customHeight="1">
      <c r="A260" s="163"/>
      <c r="B260" s="170"/>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3"/>
      <c r="AC260" s="163"/>
      <c r="AD260" s="163"/>
      <c r="AE260" s="163"/>
      <c r="AF260" s="163"/>
      <c r="AG260" s="170"/>
      <c r="AH260" s="163"/>
      <c r="AI260" s="163"/>
      <c r="AJ260" s="163"/>
      <c r="AK260" s="163"/>
    </row>
    <row r="261" ht="13.5" customHeight="1">
      <c r="A261" s="163"/>
      <c r="B261" s="170"/>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70"/>
      <c r="AH261" s="163"/>
      <c r="AI261" s="163"/>
      <c r="AJ261" s="163"/>
      <c r="AK261" s="163"/>
    </row>
    <row r="262" ht="13.5" customHeight="1">
      <c r="A262" s="163"/>
      <c r="B262" s="170"/>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70"/>
      <c r="AH262" s="163"/>
      <c r="AI262" s="163"/>
      <c r="AJ262" s="163"/>
      <c r="AK262" s="163"/>
    </row>
    <row r="263" ht="13.5" customHeight="1">
      <c r="A263" s="163"/>
      <c r="B263" s="170"/>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70"/>
      <c r="AH263" s="163"/>
      <c r="AI263" s="163"/>
      <c r="AJ263" s="163"/>
      <c r="AK263" s="163"/>
    </row>
    <row r="264" ht="13.5" customHeight="1">
      <c r="A264" s="163"/>
      <c r="B264" s="170"/>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70"/>
      <c r="AH264" s="163"/>
      <c r="AI264" s="163"/>
      <c r="AJ264" s="163"/>
      <c r="AK264" s="163"/>
    </row>
    <row r="265" ht="13.5" customHeight="1">
      <c r="A265" s="163"/>
      <c r="B265" s="170"/>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c r="AD265" s="163"/>
      <c r="AE265" s="163"/>
      <c r="AF265" s="163"/>
      <c r="AG265" s="170"/>
      <c r="AH265" s="163"/>
      <c r="AI265" s="163"/>
      <c r="AJ265" s="163"/>
      <c r="AK265" s="163"/>
    </row>
    <row r="266" ht="13.5" customHeight="1">
      <c r="A266" s="163"/>
      <c r="B266" s="170"/>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c r="AD266" s="163"/>
      <c r="AE266" s="163"/>
      <c r="AF266" s="163"/>
      <c r="AG266" s="170"/>
      <c r="AH266" s="163"/>
      <c r="AI266" s="163"/>
      <c r="AJ266" s="163"/>
      <c r="AK266" s="163"/>
    </row>
    <row r="267" ht="13.5" customHeight="1">
      <c r="A267" s="163"/>
      <c r="B267" s="170"/>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3"/>
      <c r="AC267" s="163"/>
      <c r="AD267" s="163"/>
      <c r="AE267" s="163"/>
      <c r="AF267" s="163"/>
      <c r="AG267" s="170"/>
      <c r="AH267" s="163"/>
      <c r="AI267" s="163"/>
      <c r="AJ267" s="163"/>
      <c r="AK267" s="163"/>
    </row>
    <row r="268" ht="13.5" customHeight="1">
      <c r="A268" s="163"/>
      <c r="B268" s="170"/>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3"/>
      <c r="AC268" s="163"/>
      <c r="AD268" s="163"/>
      <c r="AE268" s="163"/>
      <c r="AF268" s="163"/>
      <c r="AG268" s="170"/>
      <c r="AH268" s="163"/>
      <c r="AI268" s="163"/>
      <c r="AJ268" s="163"/>
      <c r="AK268" s="163"/>
    </row>
    <row r="269" ht="13.5" customHeight="1">
      <c r="A269" s="163"/>
      <c r="B269" s="170"/>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3"/>
      <c r="AC269" s="163"/>
      <c r="AD269" s="163"/>
      <c r="AE269" s="163"/>
      <c r="AF269" s="163"/>
      <c r="AG269" s="170"/>
      <c r="AH269" s="163"/>
      <c r="AI269" s="163"/>
      <c r="AJ269" s="163"/>
      <c r="AK269" s="163"/>
    </row>
    <row r="270" ht="13.5" customHeight="1">
      <c r="A270" s="163"/>
      <c r="B270" s="170"/>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3"/>
      <c r="AC270" s="163"/>
      <c r="AD270" s="163"/>
      <c r="AE270" s="163"/>
      <c r="AF270" s="163"/>
      <c r="AG270" s="170"/>
      <c r="AH270" s="163"/>
      <c r="AI270" s="163"/>
      <c r="AJ270" s="163"/>
      <c r="AK270" s="163"/>
    </row>
    <row r="271" ht="13.5" customHeight="1">
      <c r="A271" s="163"/>
      <c r="B271" s="170"/>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c r="AD271" s="163"/>
      <c r="AE271" s="163"/>
      <c r="AF271" s="163"/>
      <c r="AG271" s="170"/>
      <c r="AH271" s="163"/>
      <c r="AI271" s="163"/>
      <c r="AJ271" s="163"/>
      <c r="AK271" s="163"/>
    </row>
    <row r="272" ht="13.5" customHeight="1">
      <c r="A272" s="163"/>
      <c r="B272" s="170"/>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c r="AD272" s="163"/>
      <c r="AE272" s="163"/>
      <c r="AF272" s="163"/>
      <c r="AG272" s="170"/>
      <c r="AH272" s="163"/>
      <c r="AI272" s="163"/>
      <c r="AJ272" s="163"/>
      <c r="AK272" s="163"/>
    </row>
    <row r="273" ht="13.5" customHeight="1">
      <c r="A273" s="163"/>
      <c r="B273" s="170"/>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3"/>
      <c r="AC273" s="163"/>
      <c r="AD273" s="163"/>
      <c r="AE273" s="163"/>
      <c r="AF273" s="163"/>
      <c r="AG273" s="170"/>
      <c r="AH273" s="163"/>
      <c r="AI273" s="163"/>
      <c r="AJ273" s="163"/>
      <c r="AK273" s="163"/>
    </row>
    <row r="274" ht="13.5" customHeight="1">
      <c r="A274" s="163"/>
      <c r="B274" s="170"/>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3"/>
      <c r="AC274" s="163"/>
      <c r="AD274" s="163"/>
      <c r="AE274" s="163"/>
      <c r="AF274" s="163"/>
      <c r="AG274" s="170"/>
      <c r="AH274" s="163"/>
      <c r="AI274" s="163"/>
      <c r="AJ274" s="163"/>
      <c r="AK274" s="163"/>
    </row>
    <row r="275" ht="13.5" customHeight="1">
      <c r="A275" s="163"/>
      <c r="B275" s="170"/>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c r="AD275" s="163"/>
      <c r="AE275" s="163"/>
      <c r="AF275" s="163"/>
      <c r="AG275" s="170"/>
      <c r="AH275" s="163"/>
      <c r="AI275" s="163"/>
      <c r="AJ275" s="163"/>
      <c r="AK275" s="163"/>
    </row>
    <row r="276" ht="13.5" customHeight="1">
      <c r="A276" s="163"/>
      <c r="B276" s="170"/>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c r="AD276" s="163"/>
      <c r="AE276" s="163"/>
      <c r="AF276" s="163"/>
      <c r="AG276" s="170"/>
      <c r="AH276" s="163"/>
      <c r="AI276" s="163"/>
      <c r="AJ276" s="163"/>
      <c r="AK276" s="163"/>
    </row>
    <row r="277" ht="13.5" customHeight="1">
      <c r="A277" s="163"/>
      <c r="B277" s="170"/>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70"/>
      <c r="AH277" s="163"/>
      <c r="AI277" s="163"/>
      <c r="AJ277" s="163"/>
      <c r="AK277" s="163"/>
    </row>
    <row r="278" ht="13.5" customHeight="1">
      <c r="A278" s="163"/>
      <c r="B278" s="170"/>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70"/>
      <c r="AH278" s="163"/>
      <c r="AI278" s="163"/>
      <c r="AJ278" s="163"/>
      <c r="AK278" s="163"/>
    </row>
    <row r="279" ht="13.5" customHeight="1">
      <c r="A279" s="163"/>
      <c r="B279" s="170"/>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70"/>
      <c r="AH279" s="163"/>
      <c r="AI279" s="163"/>
      <c r="AJ279" s="163"/>
      <c r="AK279" s="163"/>
    </row>
    <row r="280" ht="13.5" customHeight="1">
      <c r="A280" s="163"/>
      <c r="B280" s="170"/>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70"/>
      <c r="AH280" s="163"/>
      <c r="AI280" s="163"/>
      <c r="AJ280" s="163"/>
      <c r="AK280" s="163"/>
    </row>
    <row r="281" ht="13.5" customHeight="1">
      <c r="A281" s="163"/>
      <c r="B281" s="170"/>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3"/>
      <c r="AC281" s="163"/>
      <c r="AD281" s="163"/>
      <c r="AE281" s="163"/>
      <c r="AF281" s="163"/>
      <c r="AG281" s="170"/>
      <c r="AH281" s="163"/>
      <c r="AI281" s="163"/>
      <c r="AJ281" s="163"/>
      <c r="AK281" s="163"/>
    </row>
    <row r="282" ht="13.5" customHeight="1">
      <c r="A282" s="163"/>
      <c r="B282" s="170"/>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c r="AD282" s="163"/>
      <c r="AE282" s="163"/>
      <c r="AF282" s="163"/>
      <c r="AG282" s="170"/>
      <c r="AH282" s="163"/>
      <c r="AI282" s="163"/>
      <c r="AJ282" s="163"/>
      <c r="AK282" s="163"/>
    </row>
    <row r="283" ht="13.5" customHeight="1">
      <c r="A283" s="163"/>
      <c r="B283" s="170"/>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c r="AD283" s="163"/>
      <c r="AE283" s="163"/>
      <c r="AF283" s="163"/>
      <c r="AG283" s="170"/>
      <c r="AH283" s="163"/>
      <c r="AI283" s="163"/>
      <c r="AJ283" s="163"/>
      <c r="AK283" s="163"/>
    </row>
    <row r="284" ht="13.5" customHeight="1">
      <c r="A284" s="163"/>
      <c r="B284" s="170"/>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3"/>
      <c r="AC284" s="163"/>
      <c r="AD284" s="163"/>
      <c r="AE284" s="163"/>
      <c r="AF284" s="163"/>
      <c r="AG284" s="170"/>
      <c r="AH284" s="163"/>
      <c r="AI284" s="163"/>
      <c r="AJ284" s="163"/>
      <c r="AK284" s="163"/>
    </row>
    <row r="285" ht="13.5" customHeight="1">
      <c r="A285" s="163"/>
      <c r="B285" s="170"/>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3"/>
      <c r="AC285" s="163"/>
      <c r="AD285" s="163"/>
      <c r="AE285" s="163"/>
      <c r="AF285" s="163"/>
      <c r="AG285" s="170"/>
      <c r="AH285" s="163"/>
      <c r="AI285" s="163"/>
      <c r="AJ285" s="163"/>
      <c r="AK285" s="163"/>
    </row>
    <row r="286" ht="13.5" customHeight="1">
      <c r="A286" s="163"/>
      <c r="B286" s="170"/>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3"/>
      <c r="AC286" s="163"/>
      <c r="AD286" s="163"/>
      <c r="AE286" s="163"/>
      <c r="AF286" s="163"/>
      <c r="AG286" s="170"/>
      <c r="AH286" s="163"/>
      <c r="AI286" s="163"/>
      <c r="AJ286" s="163"/>
      <c r="AK286" s="163"/>
    </row>
    <row r="287" ht="13.5" customHeight="1">
      <c r="A287" s="163"/>
      <c r="B287" s="170"/>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3"/>
      <c r="AC287" s="163"/>
      <c r="AD287" s="163"/>
      <c r="AE287" s="163"/>
      <c r="AF287" s="163"/>
      <c r="AG287" s="170"/>
      <c r="AH287" s="163"/>
      <c r="AI287" s="163"/>
      <c r="AJ287" s="163"/>
      <c r="AK287" s="163"/>
    </row>
    <row r="288" ht="13.5" customHeight="1">
      <c r="A288" s="163"/>
      <c r="B288" s="170"/>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70"/>
      <c r="AH288" s="163"/>
      <c r="AI288" s="163"/>
      <c r="AJ288" s="163"/>
      <c r="AK288" s="163"/>
    </row>
    <row r="289" ht="13.5" customHeight="1">
      <c r="A289" s="163"/>
      <c r="B289" s="170"/>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70"/>
      <c r="AH289" s="163"/>
      <c r="AI289" s="163"/>
      <c r="AJ289" s="163"/>
      <c r="AK289" s="163"/>
    </row>
    <row r="290" ht="13.5" customHeight="1">
      <c r="A290" s="163"/>
      <c r="B290" s="170"/>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70"/>
      <c r="AH290" s="163"/>
      <c r="AI290" s="163"/>
      <c r="AJ290" s="163"/>
      <c r="AK290" s="163"/>
    </row>
    <row r="291" ht="13.5" customHeight="1">
      <c r="A291" s="163"/>
      <c r="B291" s="170"/>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70"/>
      <c r="AH291" s="163"/>
      <c r="AI291" s="163"/>
      <c r="AJ291" s="163"/>
      <c r="AK291" s="163"/>
    </row>
    <row r="292" ht="13.5" customHeight="1">
      <c r="A292" s="163"/>
      <c r="B292" s="170"/>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70"/>
      <c r="AH292" s="163"/>
      <c r="AI292" s="163"/>
      <c r="AJ292" s="163"/>
      <c r="AK292" s="163"/>
    </row>
    <row r="293" ht="13.5" customHeight="1">
      <c r="A293" s="163"/>
      <c r="B293" s="170"/>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70"/>
      <c r="AH293" s="163"/>
      <c r="AI293" s="163"/>
      <c r="AJ293" s="163"/>
      <c r="AK293" s="163"/>
    </row>
    <row r="294" ht="13.5" customHeight="1">
      <c r="A294" s="163"/>
      <c r="B294" s="170"/>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70"/>
      <c r="AH294" s="163"/>
      <c r="AI294" s="163"/>
      <c r="AJ294" s="163"/>
      <c r="AK294" s="163"/>
    </row>
    <row r="295" ht="13.5" customHeight="1">
      <c r="A295" s="163"/>
      <c r="B295" s="170"/>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70"/>
      <c r="AH295" s="163"/>
      <c r="AI295" s="163"/>
      <c r="AJ295" s="163"/>
      <c r="AK295" s="163"/>
    </row>
    <row r="296" ht="13.5" customHeight="1">
      <c r="A296" s="163"/>
      <c r="B296" s="170"/>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70"/>
      <c r="AH296" s="163"/>
      <c r="AI296" s="163"/>
      <c r="AJ296" s="163"/>
      <c r="AK296" s="163"/>
    </row>
    <row r="297" ht="13.5" customHeight="1">
      <c r="A297" s="163"/>
      <c r="B297" s="170"/>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70"/>
      <c r="AH297" s="163"/>
      <c r="AI297" s="163"/>
      <c r="AJ297" s="163"/>
      <c r="AK297" s="163"/>
    </row>
    <row r="298" ht="13.5" customHeight="1">
      <c r="A298" s="163"/>
      <c r="B298" s="170"/>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c r="AD298" s="163"/>
      <c r="AE298" s="163"/>
      <c r="AF298" s="163"/>
      <c r="AG298" s="170"/>
      <c r="AH298" s="163"/>
      <c r="AI298" s="163"/>
      <c r="AJ298" s="163"/>
      <c r="AK298" s="163"/>
    </row>
    <row r="299" ht="13.5" customHeight="1">
      <c r="A299" s="163"/>
      <c r="B299" s="170"/>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c r="AD299" s="163"/>
      <c r="AE299" s="163"/>
      <c r="AF299" s="163"/>
      <c r="AG299" s="170"/>
      <c r="AH299" s="163"/>
      <c r="AI299" s="163"/>
      <c r="AJ299" s="163"/>
      <c r="AK299" s="163"/>
    </row>
    <row r="300" ht="13.5" customHeight="1">
      <c r="A300" s="163"/>
      <c r="B300" s="170"/>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c r="AB300" s="163"/>
      <c r="AC300" s="163"/>
      <c r="AD300" s="163"/>
      <c r="AE300" s="163"/>
      <c r="AF300" s="163"/>
      <c r="AG300" s="170"/>
      <c r="AH300" s="163"/>
      <c r="AI300" s="163"/>
      <c r="AJ300" s="163"/>
      <c r="AK300" s="163"/>
    </row>
    <row r="301" ht="13.5" customHeight="1">
      <c r="A301" s="163"/>
      <c r="B301" s="170"/>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c r="AB301" s="163"/>
      <c r="AC301" s="163"/>
      <c r="AD301" s="163"/>
      <c r="AE301" s="163"/>
      <c r="AF301" s="163"/>
      <c r="AG301" s="170"/>
      <c r="AH301" s="163"/>
      <c r="AI301" s="163"/>
      <c r="AJ301" s="163"/>
      <c r="AK301" s="163"/>
    </row>
    <row r="302" ht="13.5" customHeight="1">
      <c r="A302" s="163"/>
      <c r="B302" s="170"/>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c r="AB302" s="163"/>
      <c r="AC302" s="163"/>
      <c r="AD302" s="163"/>
      <c r="AE302" s="163"/>
      <c r="AF302" s="163"/>
      <c r="AG302" s="170"/>
      <c r="AH302" s="163"/>
      <c r="AI302" s="163"/>
      <c r="AJ302" s="163"/>
      <c r="AK302" s="163"/>
    </row>
    <row r="303" ht="13.5" customHeight="1">
      <c r="A303" s="163"/>
      <c r="B303" s="170"/>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3"/>
      <c r="AC303" s="163"/>
      <c r="AD303" s="163"/>
      <c r="AE303" s="163"/>
      <c r="AF303" s="163"/>
      <c r="AG303" s="170"/>
      <c r="AH303" s="163"/>
      <c r="AI303" s="163"/>
      <c r="AJ303" s="163"/>
      <c r="AK303" s="163"/>
    </row>
    <row r="304" ht="13.5" customHeight="1">
      <c r="A304" s="163"/>
      <c r="B304" s="170"/>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3"/>
      <c r="AC304" s="163"/>
      <c r="AD304" s="163"/>
      <c r="AE304" s="163"/>
      <c r="AF304" s="163"/>
      <c r="AG304" s="170"/>
      <c r="AH304" s="163"/>
      <c r="AI304" s="163"/>
      <c r="AJ304" s="163"/>
      <c r="AK304" s="163"/>
    </row>
    <row r="305" ht="13.5" customHeight="1">
      <c r="A305" s="163"/>
      <c r="B305" s="170"/>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3"/>
      <c r="AC305" s="163"/>
      <c r="AD305" s="163"/>
      <c r="AE305" s="163"/>
      <c r="AF305" s="163"/>
      <c r="AG305" s="170"/>
      <c r="AH305" s="163"/>
      <c r="AI305" s="163"/>
      <c r="AJ305" s="163"/>
      <c r="AK305" s="163"/>
    </row>
    <row r="306" ht="13.5" customHeight="1">
      <c r="A306" s="163"/>
      <c r="B306" s="170"/>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3"/>
      <c r="AC306" s="163"/>
      <c r="AD306" s="163"/>
      <c r="AE306" s="163"/>
      <c r="AF306" s="163"/>
      <c r="AG306" s="170"/>
      <c r="AH306" s="163"/>
      <c r="AI306" s="163"/>
      <c r="AJ306" s="163"/>
      <c r="AK306" s="163"/>
    </row>
    <row r="307" ht="13.5" customHeight="1">
      <c r="A307" s="163"/>
      <c r="B307" s="170"/>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3"/>
      <c r="AC307" s="163"/>
      <c r="AD307" s="163"/>
      <c r="AE307" s="163"/>
      <c r="AF307" s="163"/>
      <c r="AG307" s="170"/>
      <c r="AH307" s="163"/>
      <c r="AI307" s="163"/>
      <c r="AJ307" s="163"/>
      <c r="AK307" s="163"/>
    </row>
    <row r="308" ht="13.5" customHeight="1">
      <c r="A308" s="163"/>
      <c r="B308" s="170"/>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c r="AD308" s="163"/>
      <c r="AE308" s="163"/>
      <c r="AF308" s="163"/>
      <c r="AG308" s="170"/>
      <c r="AH308" s="163"/>
      <c r="AI308" s="163"/>
      <c r="AJ308" s="163"/>
      <c r="AK308" s="163"/>
    </row>
    <row r="309" ht="13.5" customHeight="1">
      <c r="A309" s="163"/>
      <c r="B309" s="170"/>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70"/>
      <c r="AH309" s="163"/>
      <c r="AI309" s="163"/>
      <c r="AJ309" s="163"/>
      <c r="AK309" s="163"/>
    </row>
    <row r="310" ht="13.5" customHeight="1">
      <c r="A310" s="163"/>
      <c r="B310" s="170"/>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70"/>
      <c r="AH310" s="163"/>
      <c r="AI310" s="163"/>
      <c r="AJ310" s="163"/>
      <c r="AK310" s="163"/>
    </row>
    <row r="311" ht="13.5" customHeight="1">
      <c r="A311" s="163"/>
      <c r="B311" s="170"/>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3"/>
      <c r="AC311" s="163"/>
      <c r="AD311" s="163"/>
      <c r="AE311" s="163"/>
      <c r="AF311" s="163"/>
      <c r="AG311" s="170"/>
      <c r="AH311" s="163"/>
      <c r="AI311" s="163"/>
      <c r="AJ311" s="163"/>
      <c r="AK311" s="163"/>
    </row>
    <row r="312" ht="13.5" customHeight="1">
      <c r="A312" s="163"/>
      <c r="B312" s="170"/>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3"/>
      <c r="AC312" s="163"/>
      <c r="AD312" s="163"/>
      <c r="AE312" s="163"/>
      <c r="AF312" s="163"/>
      <c r="AG312" s="170"/>
      <c r="AH312" s="163"/>
      <c r="AI312" s="163"/>
      <c r="AJ312" s="163"/>
      <c r="AK312" s="163"/>
    </row>
    <row r="313" ht="13.5" customHeight="1">
      <c r="A313" s="163"/>
      <c r="B313" s="170"/>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3"/>
      <c r="AC313" s="163"/>
      <c r="AD313" s="163"/>
      <c r="AE313" s="163"/>
      <c r="AF313" s="163"/>
      <c r="AG313" s="170"/>
      <c r="AH313" s="163"/>
      <c r="AI313" s="163"/>
      <c r="AJ313" s="163"/>
      <c r="AK313" s="163"/>
    </row>
    <row r="314" ht="13.5" customHeight="1">
      <c r="A314" s="163"/>
      <c r="B314" s="170"/>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3"/>
      <c r="AC314" s="163"/>
      <c r="AD314" s="163"/>
      <c r="AE314" s="163"/>
      <c r="AF314" s="163"/>
      <c r="AG314" s="170"/>
      <c r="AH314" s="163"/>
      <c r="AI314" s="163"/>
      <c r="AJ314" s="163"/>
      <c r="AK314" s="163"/>
    </row>
    <row r="315" ht="13.5" customHeight="1">
      <c r="A315" s="163"/>
      <c r="B315" s="170"/>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c r="AD315" s="163"/>
      <c r="AE315" s="163"/>
      <c r="AF315" s="163"/>
      <c r="AG315" s="170"/>
      <c r="AH315" s="163"/>
      <c r="AI315" s="163"/>
      <c r="AJ315" s="163"/>
      <c r="AK315" s="163"/>
    </row>
    <row r="316" ht="13.5" customHeight="1">
      <c r="A316" s="163"/>
      <c r="B316" s="170"/>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3"/>
      <c r="AC316" s="163"/>
      <c r="AD316" s="163"/>
      <c r="AE316" s="163"/>
      <c r="AF316" s="163"/>
      <c r="AG316" s="170"/>
      <c r="AH316" s="163"/>
      <c r="AI316" s="163"/>
      <c r="AJ316" s="163"/>
      <c r="AK316" s="163"/>
    </row>
    <row r="317" ht="13.5" customHeight="1">
      <c r="A317" s="163"/>
      <c r="B317" s="170"/>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3"/>
      <c r="AC317" s="163"/>
      <c r="AD317" s="163"/>
      <c r="AE317" s="163"/>
      <c r="AF317" s="163"/>
      <c r="AG317" s="170"/>
      <c r="AH317" s="163"/>
      <c r="AI317" s="163"/>
      <c r="AJ317" s="163"/>
      <c r="AK317" s="163"/>
    </row>
    <row r="318" ht="13.5" customHeight="1">
      <c r="A318" s="163"/>
      <c r="B318" s="170"/>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3"/>
      <c r="AC318" s="163"/>
      <c r="AD318" s="163"/>
      <c r="AE318" s="163"/>
      <c r="AF318" s="163"/>
      <c r="AG318" s="170"/>
      <c r="AH318" s="163"/>
      <c r="AI318" s="163"/>
      <c r="AJ318" s="163"/>
      <c r="AK318" s="163"/>
    </row>
    <row r="319" ht="13.5" customHeight="1">
      <c r="A319" s="163"/>
      <c r="B319" s="170"/>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3"/>
      <c r="AC319" s="163"/>
      <c r="AD319" s="163"/>
      <c r="AE319" s="163"/>
      <c r="AF319" s="163"/>
      <c r="AG319" s="170"/>
      <c r="AH319" s="163"/>
      <c r="AI319" s="163"/>
      <c r="AJ319" s="163"/>
      <c r="AK319" s="163"/>
    </row>
    <row r="320" ht="13.5" customHeight="1">
      <c r="A320" s="163"/>
      <c r="B320" s="170"/>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3"/>
      <c r="AC320" s="163"/>
      <c r="AD320" s="163"/>
      <c r="AE320" s="163"/>
      <c r="AF320" s="163"/>
      <c r="AG320" s="170"/>
      <c r="AH320" s="163"/>
      <c r="AI320" s="163"/>
      <c r="AJ320" s="163"/>
      <c r="AK320" s="163"/>
    </row>
    <row r="321" ht="13.5" customHeight="1">
      <c r="A321" s="163"/>
      <c r="B321" s="170"/>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3"/>
      <c r="AC321" s="163"/>
      <c r="AD321" s="163"/>
      <c r="AE321" s="163"/>
      <c r="AF321" s="163"/>
      <c r="AG321" s="170"/>
      <c r="AH321" s="163"/>
      <c r="AI321" s="163"/>
      <c r="AJ321" s="163"/>
      <c r="AK321" s="163"/>
    </row>
    <row r="322" ht="13.5" customHeight="1">
      <c r="A322" s="163"/>
      <c r="B322" s="170"/>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3"/>
      <c r="AC322" s="163"/>
      <c r="AD322" s="163"/>
      <c r="AE322" s="163"/>
      <c r="AF322" s="163"/>
      <c r="AG322" s="170"/>
      <c r="AH322" s="163"/>
      <c r="AI322" s="163"/>
      <c r="AJ322" s="163"/>
      <c r="AK322" s="163"/>
    </row>
    <row r="323" ht="13.5" customHeight="1">
      <c r="A323" s="163"/>
      <c r="B323" s="170"/>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c r="AD323" s="163"/>
      <c r="AE323" s="163"/>
      <c r="AF323" s="163"/>
      <c r="AG323" s="170"/>
      <c r="AH323" s="163"/>
      <c r="AI323" s="163"/>
      <c r="AJ323" s="163"/>
      <c r="AK323" s="163"/>
    </row>
    <row r="324" ht="13.5" customHeight="1">
      <c r="A324" s="163"/>
      <c r="B324" s="170"/>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70"/>
      <c r="AH324" s="163"/>
      <c r="AI324" s="163"/>
      <c r="AJ324" s="163"/>
      <c r="AK324" s="163"/>
    </row>
    <row r="325" ht="13.5" customHeight="1">
      <c r="A325" s="163"/>
      <c r="B325" s="170"/>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70"/>
      <c r="AH325" s="163"/>
      <c r="AI325" s="163"/>
      <c r="AJ325" s="163"/>
      <c r="AK325" s="163"/>
    </row>
    <row r="326" ht="13.5" customHeight="1">
      <c r="A326" s="163"/>
      <c r="B326" s="170"/>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70"/>
      <c r="AH326" s="163"/>
      <c r="AI326" s="163"/>
      <c r="AJ326" s="163"/>
      <c r="AK326" s="163"/>
    </row>
    <row r="327" ht="13.5" customHeight="1">
      <c r="A327" s="163"/>
      <c r="B327" s="170"/>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70"/>
      <c r="AH327" s="163"/>
      <c r="AI327" s="163"/>
      <c r="AJ327" s="163"/>
      <c r="AK327" s="163"/>
    </row>
    <row r="328" ht="13.5" customHeight="1">
      <c r="A328" s="163"/>
      <c r="B328" s="170"/>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70"/>
      <c r="AH328" s="163"/>
      <c r="AI328" s="163"/>
      <c r="AJ328" s="163"/>
      <c r="AK328" s="163"/>
    </row>
    <row r="329" ht="13.5" customHeight="1">
      <c r="A329" s="163"/>
      <c r="B329" s="170"/>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70"/>
      <c r="AH329" s="163"/>
      <c r="AI329" s="163"/>
      <c r="AJ329" s="163"/>
      <c r="AK329" s="163"/>
    </row>
    <row r="330" ht="13.5" customHeight="1">
      <c r="A330" s="163"/>
      <c r="B330" s="170"/>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c r="AD330" s="163"/>
      <c r="AE330" s="163"/>
      <c r="AF330" s="163"/>
      <c r="AG330" s="170"/>
      <c r="AH330" s="163"/>
      <c r="AI330" s="163"/>
      <c r="AJ330" s="163"/>
      <c r="AK330" s="163"/>
    </row>
    <row r="331" ht="13.5" customHeight="1">
      <c r="A331" s="163"/>
      <c r="B331" s="170"/>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c r="AD331" s="163"/>
      <c r="AE331" s="163"/>
      <c r="AF331" s="163"/>
      <c r="AG331" s="170"/>
      <c r="AH331" s="163"/>
      <c r="AI331" s="163"/>
      <c r="AJ331" s="163"/>
      <c r="AK331" s="163"/>
    </row>
    <row r="332" ht="13.5" customHeight="1">
      <c r="A332" s="163"/>
      <c r="B332" s="170"/>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c r="AD332" s="163"/>
      <c r="AE332" s="163"/>
      <c r="AF332" s="163"/>
      <c r="AG332" s="170"/>
      <c r="AH332" s="163"/>
      <c r="AI332" s="163"/>
      <c r="AJ332" s="163"/>
      <c r="AK332" s="163"/>
    </row>
    <row r="333" ht="13.5" customHeight="1">
      <c r="A333" s="163"/>
      <c r="B333" s="170"/>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c r="AD333" s="163"/>
      <c r="AE333" s="163"/>
      <c r="AF333" s="163"/>
      <c r="AG333" s="170"/>
      <c r="AH333" s="163"/>
      <c r="AI333" s="163"/>
      <c r="AJ333" s="163"/>
      <c r="AK333" s="163"/>
    </row>
    <row r="334" ht="13.5" customHeight="1">
      <c r="A334" s="163"/>
      <c r="B334" s="170"/>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c r="AB334" s="163"/>
      <c r="AC334" s="163"/>
      <c r="AD334" s="163"/>
      <c r="AE334" s="163"/>
      <c r="AF334" s="163"/>
      <c r="AG334" s="170"/>
      <c r="AH334" s="163"/>
      <c r="AI334" s="163"/>
      <c r="AJ334" s="163"/>
      <c r="AK334" s="163"/>
    </row>
    <row r="335" ht="13.5" customHeight="1">
      <c r="A335" s="163"/>
      <c r="B335" s="170"/>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c r="AB335" s="163"/>
      <c r="AC335" s="163"/>
      <c r="AD335" s="163"/>
      <c r="AE335" s="163"/>
      <c r="AF335" s="163"/>
      <c r="AG335" s="170"/>
      <c r="AH335" s="163"/>
      <c r="AI335" s="163"/>
      <c r="AJ335" s="163"/>
      <c r="AK335" s="163"/>
    </row>
    <row r="336" ht="13.5" customHeight="1">
      <c r="A336" s="163"/>
      <c r="B336" s="170"/>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c r="AB336" s="163"/>
      <c r="AC336" s="163"/>
      <c r="AD336" s="163"/>
      <c r="AE336" s="163"/>
      <c r="AF336" s="163"/>
      <c r="AG336" s="170"/>
      <c r="AH336" s="163"/>
      <c r="AI336" s="163"/>
      <c r="AJ336" s="163"/>
      <c r="AK336" s="163"/>
    </row>
    <row r="337" ht="13.5" customHeight="1">
      <c r="A337" s="163"/>
      <c r="B337" s="170"/>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63"/>
      <c r="AE337" s="163"/>
      <c r="AF337" s="163"/>
      <c r="AG337" s="170"/>
      <c r="AH337" s="163"/>
      <c r="AI337" s="163"/>
      <c r="AJ337" s="163"/>
      <c r="AK337" s="163"/>
    </row>
    <row r="338" ht="13.5" customHeight="1">
      <c r="A338" s="163"/>
      <c r="B338" s="170"/>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63"/>
      <c r="AE338" s="163"/>
      <c r="AF338" s="163"/>
      <c r="AG338" s="170"/>
      <c r="AH338" s="163"/>
      <c r="AI338" s="163"/>
      <c r="AJ338" s="163"/>
      <c r="AK338" s="163"/>
    </row>
    <row r="339" ht="13.5" customHeight="1">
      <c r="A339" s="163"/>
      <c r="B339" s="170"/>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c r="AD339" s="163"/>
      <c r="AE339" s="163"/>
      <c r="AF339" s="163"/>
      <c r="AG339" s="170"/>
      <c r="AH339" s="163"/>
      <c r="AI339" s="163"/>
      <c r="AJ339" s="163"/>
      <c r="AK339" s="163"/>
    </row>
    <row r="340" ht="13.5" customHeight="1">
      <c r="A340" s="163"/>
      <c r="B340" s="170"/>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c r="AD340" s="163"/>
      <c r="AE340" s="163"/>
      <c r="AF340" s="163"/>
      <c r="AG340" s="170"/>
      <c r="AH340" s="163"/>
      <c r="AI340" s="163"/>
      <c r="AJ340" s="163"/>
      <c r="AK340" s="163"/>
    </row>
    <row r="341" ht="13.5" customHeight="1">
      <c r="A341" s="163"/>
      <c r="B341" s="170"/>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c r="AD341" s="163"/>
      <c r="AE341" s="163"/>
      <c r="AF341" s="163"/>
      <c r="AG341" s="170"/>
      <c r="AH341" s="163"/>
      <c r="AI341" s="163"/>
      <c r="AJ341" s="163"/>
      <c r="AK341" s="163"/>
    </row>
    <row r="342" ht="13.5" customHeight="1">
      <c r="A342" s="163"/>
      <c r="B342" s="170"/>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63"/>
      <c r="AE342" s="163"/>
      <c r="AF342" s="163"/>
      <c r="AG342" s="170"/>
      <c r="AH342" s="163"/>
      <c r="AI342" s="163"/>
      <c r="AJ342" s="163"/>
      <c r="AK342" s="163"/>
    </row>
    <row r="343" ht="13.5" customHeight="1">
      <c r="A343" s="163"/>
      <c r="B343" s="170"/>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c r="AB343" s="163"/>
      <c r="AC343" s="163"/>
      <c r="AD343" s="163"/>
      <c r="AE343" s="163"/>
      <c r="AF343" s="163"/>
      <c r="AG343" s="170"/>
      <c r="AH343" s="163"/>
      <c r="AI343" s="163"/>
      <c r="AJ343" s="163"/>
      <c r="AK343" s="163"/>
    </row>
    <row r="344" ht="13.5" customHeight="1">
      <c r="A344" s="163"/>
      <c r="B344" s="170"/>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c r="AB344" s="163"/>
      <c r="AC344" s="163"/>
      <c r="AD344" s="163"/>
      <c r="AE344" s="163"/>
      <c r="AF344" s="163"/>
      <c r="AG344" s="170"/>
      <c r="AH344" s="163"/>
      <c r="AI344" s="163"/>
      <c r="AJ344" s="163"/>
      <c r="AK344" s="163"/>
    </row>
    <row r="345" ht="13.5" customHeight="1">
      <c r="A345" s="163"/>
      <c r="B345" s="170"/>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c r="AB345" s="163"/>
      <c r="AC345" s="163"/>
      <c r="AD345" s="163"/>
      <c r="AE345" s="163"/>
      <c r="AF345" s="163"/>
      <c r="AG345" s="170"/>
      <c r="AH345" s="163"/>
      <c r="AI345" s="163"/>
      <c r="AJ345" s="163"/>
      <c r="AK345" s="163"/>
    </row>
    <row r="346" ht="13.5" customHeight="1">
      <c r="A346" s="163"/>
      <c r="B346" s="170"/>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3"/>
      <c r="AC346" s="163"/>
      <c r="AD346" s="163"/>
      <c r="AE346" s="163"/>
      <c r="AF346" s="163"/>
      <c r="AG346" s="170"/>
      <c r="AH346" s="163"/>
      <c r="AI346" s="163"/>
      <c r="AJ346" s="163"/>
      <c r="AK346" s="163"/>
    </row>
    <row r="347" ht="13.5" customHeight="1">
      <c r="A347" s="163"/>
      <c r="B347" s="170"/>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3"/>
      <c r="AC347" s="163"/>
      <c r="AD347" s="163"/>
      <c r="AE347" s="163"/>
      <c r="AF347" s="163"/>
      <c r="AG347" s="170"/>
      <c r="AH347" s="163"/>
      <c r="AI347" s="163"/>
      <c r="AJ347" s="163"/>
      <c r="AK347" s="163"/>
    </row>
    <row r="348" ht="13.5" customHeight="1">
      <c r="A348" s="163"/>
      <c r="B348" s="170"/>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c r="AD348" s="163"/>
      <c r="AE348" s="163"/>
      <c r="AF348" s="163"/>
      <c r="AG348" s="170"/>
      <c r="AH348" s="163"/>
      <c r="AI348" s="163"/>
      <c r="AJ348" s="163"/>
      <c r="AK348" s="163"/>
    </row>
    <row r="349" ht="13.5" customHeight="1">
      <c r="A349" s="163"/>
      <c r="B349" s="170"/>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c r="AD349" s="163"/>
      <c r="AE349" s="163"/>
      <c r="AF349" s="163"/>
      <c r="AG349" s="170"/>
      <c r="AH349" s="163"/>
      <c r="AI349" s="163"/>
      <c r="AJ349" s="163"/>
      <c r="AK349" s="163"/>
    </row>
    <row r="350" ht="13.5" customHeight="1">
      <c r="A350" s="163"/>
      <c r="B350" s="170"/>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c r="AB350" s="163"/>
      <c r="AC350" s="163"/>
      <c r="AD350" s="163"/>
      <c r="AE350" s="163"/>
      <c r="AF350" s="163"/>
      <c r="AG350" s="170"/>
      <c r="AH350" s="163"/>
      <c r="AI350" s="163"/>
      <c r="AJ350" s="163"/>
      <c r="AK350" s="163"/>
    </row>
    <row r="351" ht="13.5" customHeight="1">
      <c r="A351" s="163"/>
      <c r="B351" s="170"/>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c r="AB351" s="163"/>
      <c r="AC351" s="163"/>
      <c r="AD351" s="163"/>
      <c r="AE351" s="163"/>
      <c r="AF351" s="163"/>
      <c r="AG351" s="170"/>
      <c r="AH351" s="163"/>
      <c r="AI351" s="163"/>
      <c r="AJ351" s="163"/>
      <c r="AK351" s="163"/>
    </row>
    <row r="352" ht="13.5" customHeight="1">
      <c r="A352" s="163"/>
      <c r="B352" s="170"/>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c r="AB352" s="163"/>
      <c r="AC352" s="163"/>
      <c r="AD352" s="163"/>
      <c r="AE352" s="163"/>
      <c r="AF352" s="163"/>
      <c r="AG352" s="170"/>
      <c r="AH352" s="163"/>
      <c r="AI352" s="163"/>
      <c r="AJ352" s="163"/>
      <c r="AK352" s="163"/>
    </row>
    <row r="353" ht="13.5" customHeight="1">
      <c r="A353" s="163"/>
      <c r="B353" s="170"/>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c r="AB353" s="163"/>
      <c r="AC353" s="163"/>
      <c r="AD353" s="163"/>
      <c r="AE353" s="163"/>
      <c r="AF353" s="163"/>
      <c r="AG353" s="170"/>
      <c r="AH353" s="163"/>
      <c r="AI353" s="163"/>
      <c r="AJ353" s="163"/>
      <c r="AK353" s="163"/>
    </row>
    <row r="354" ht="13.5" customHeight="1">
      <c r="A354" s="163"/>
      <c r="B354" s="170"/>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c r="AB354" s="163"/>
      <c r="AC354" s="163"/>
      <c r="AD354" s="163"/>
      <c r="AE354" s="163"/>
      <c r="AF354" s="163"/>
      <c r="AG354" s="170"/>
      <c r="AH354" s="163"/>
      <c r="AI354" s="163"/>
      <c r="AJ354" s="163"/>
      <c r="AK354" s="163"/>
    </row>
    <row r="355" ht="13.5" customHeight="1">
      <c r="A355" s="163"/>
      <c r="B355" s="170"/>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c r="AB355" s="163"/>
      <c r="AC355" s="163"/>
      <c r="AD355" s="163"/>
      <c r="AE355" s="163"/>
      <c r="AF355" s="163"/>
      <c r="AG355" s="170"/>
      <c r="AH355" s="163"/>
      <c r="AI355" s="163"/>
      <c r="AJ355" s="163"/>
      <c r="AK355" s="163"/>
    </row>
    <row r="356" ht="13.5" customHeight="1">
      <c r="A356" s="163"/>
      <c r="B356" s="170"/>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c r="AB356" s="163"/>
      <c r="AC356" s="163"/>
      <c r="AD356" s="163"/>
      <c r="AE356" s="163"/>
      <c r="AF356" s="163"/>
      <c r="AG356" s="170"/>
      <c r="AH356" s="163"/>
      <c r="AI356" s="163"/>
      <c r="AJ356" s="163"/>
      <c r="AK356" s="163"/>
    </row>
    <row r="357" ht="13.5" customHeight="1">
      <c r="A357" s="163"/>
      <c r="B357" s="170"/>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c r="AB357" s="163"/>
      <c r="AC357" s="163"/>
      <c r="AD357" s="163"/>
      <c r="AE357" s="163"/>
      <c r="AF357" s="163"/>
      <c r="AG357" s="170"/>
      <c r="AH357" s="163"/>
      <c r="AI357" s="163"/>
      <c r="AJ357" s="163"/>
      <c r="AK357" s="163"/>
    </row>
    <row r="358" ht="13.5" customHeight="1">
      <c r="A358" s="163"/>
      <c r="B358" s="170"/>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c r="AB358" s="163"/>
      <c r="AC358" s="163"/>
      <c r="AD358" s="163"/>
      <c r="AE358" s="163"/>
      <c r="AF358" s="163"/>
      <c r="AG358" s="170"/>
      <c r="AH358" s="163"/>
      <c r="AI358" s="163"/>
      <c r="AJ358" s="163"/>
      <c r="AK358" s="163"/>
    </row>
    <row r="359" ht="13.5" customHeight="1">
      <c r="A359" s="163"/>
      <c r="B359" s="170"/>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c r="AB359" s="163"/>
      <c r="AC359" s="163"/>
      <c r="AD359" s="163"/>
      <c r="AE359" s="163"/>
      <c r="AF359" s="163"/>
      <c r="AG359" s="170"/>
      <c r="AH359" s="163"/>
      <c r="AI359" s="163"/>
      <c r="AJ359" s="163"/>
      <c r="AK359" s="163"/>
    </row>
    <row r="360" ht="13.5" customHeight="1">
      <c r="A360" s="163"/>
      <c r="B360" s="170"/>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c r="AB360" s="163"/>
      <c r="AC360" s="163"/>
      <c r="AD360" s="163"/>
      <c r="AE360" s="163"/>
      <c r="AF360" s="163"/>
      <c r="AG360" s="170"/>
      <c r="AH360" s="163"/>
      <c r="AI360" s="163"/>
      <c r="AJ360" s="163"/>
      <c r="AK360" s="163"/>
    </row>
    <row r="361" ht="13.5" customHeight="1">
      <c r="A361" s="163"/>
      <c r="B361" s="170"/>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c r="AB361" s="163"/>
      <c r="AC361" s="163"/>
      <c r="AD361" s="163"/>
      <c r="AE361" s="163"/>
      <c r="AF361" s="163"/>
      <c r="AG361" s="170"/>
      <c r="AH361" s="163"/>
      <c r="AI361" s="163"/>
      <c r="AJ361" s="163"/>
      <c r="AK361" s="163"/>
    </row>
    <row r="362" ht="13.5" customHeight="1">
      <c r="A362" s="163"/>
      <c r="B362" s="170"/>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3"/>
      <c r="AC362" s="163"/>
      <c r="AD362" s="163"/>
      <c r="AE362" s="163"/>
      <c r="AF362" s="163"/>
      <c r="AG362" s="170"/>
      <c r="AH362" s="163"/>
      <c r="AI362" s="163"/>
      <c r="AJ362" s="163"/>
      <c r="AK362" s="163"/>
    </row>
    <row r="363" ht="13.5" customHeight="1">
      <c r="A363" s="163"/>
      <c r="B363" s="170"/>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3"/>
      <c r="AC363" s="163"/>
      <c r="AD363" s="163"/>
      <c r="AE363" s="163"/>
      <c r="AF363" s="163"/>
      <c r="AG363" s="170"/>
      <c r="AH363" s="163"/>
      <c r="AI363" s="163"/>
      <c r="AJ363" s="163"/>
      <c r="AK363" s="163"/>
    </row>
    <row r="364" ht="13.5" customHeight="1">
      <c r="A364" s="163"/>
      <c r="B364" s="170"/>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c r="AB364" s="163"/>
      <c r="AC364" s="163"/>
      <c r="AD364" s="163"/>
      <c r="AE364" s="163"/>
      <c r="AF364" s="163"/>
      <c r="AG364" s="170"/>
      <c r="AH364" s="163"/>
      <c r="AI364" s="163"/>
      <c r="AJ364" s="163"/>
      <c r="AK364" s="163"/>
    </row>
    <row r="365" ht="13.5" customHeight="1">
      <c r="A365" s="163"/>
      <c r="B365" s="170"/>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c r="AB365" s="163"/>
      <c r="AC365" s="163"/>
      <c r="AD365" s="163"/>
      <c r="AE365" s="163"/>
      <c r="AF365" s="163"/>
      <c r="AG365" s="170"/>
      <c r="AH365" s="163"/>
      <c r="AI365" s="163"/>
      <c r="AJ365" s="163"/>
      <c r="AK365" s="163"/>
    </row>
    <row r="366" ht="13.5" customHeight="1">
      <c r="A366" s="163"/>
      <c r="B366" s="170"/>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c r="AB366" s="163"/>
      <c r="AC366" s="163"/>
      <c r="AD366" s="163"/>
      <c r="AE366" s="163"/>
      <c r="AF366" s="163"/>
      <c r="AG366" s="170"/>
      <c r="AH366" s="163"/>
      <c r="AI366" s="163"/>
      <c r="AJ366" s="163"/>
      <c r="AK366" s="163"/>
    </row>
    <row r="367" ht="13.5" customHeight="1">
      <c r="A367" s="163"/>
      <c r="B367" s="170"/>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3"/>
      <c r="AC367" s="163"/>
      <c r="AD367" s="163"/>
      <c r="AE367" s="163"/>
      <c r="AF367" s="163"/>
      <c r="AG367" s="170"/>
      <c r="AH367" s="163"/>
      <c r="AI367" s="163"/>
      <c r="AJ367" s="163"/>
      <c r="AK367" s="163"/>
    </row>
    <row r="368" ht="13.5" customHeight="1">
      <c r="A368" s="163"/>
      <c r="B368" s="170"/>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3"/>
      <c r="AC368" s="163"/>
      <c r="AD368" s="163"/>
      <c r="AE368" s="163"/>
      <c r="AF368" s="163"/>
      <c r="AG368" s="170"/>
      <c r="AH368" s="163"/>
      <c r="AI368" s="163"/>
      <c r="AJ368" s="163"/>
      <c r="AK368" s="163"/>
    </row>
    <row r="369" ht="13.5" customHeight="1">
      <c r="A369" s="163"/>
      <c r="B369" s="170"/>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3"/>
      <c r="AC369" s="163"/>
      <c r="AD369" s="163"/>
      <c r="AE369" s="163"/>
      <c r="AF369" s="163"/>
      <c r="AG369" s="170"/>
      <c r="AH369" s="163"/>
      <c r="AI369" s="163"/>
      <c r="AJ369" s="163"/>
      <c r="AK369" s="163"/>
    </row>
    <row r="370" ht="13.5" customHeight="1">
      <c r="A370" s="163"/>
      <c r="B370" s="170"/>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3"/>
      <c r="AC370" s="163"/>
      <c r="AD370" s="163"/>
      <c r="AE370" s="163"/>
      <c r="AF370" s="163"/>
      <c r="AG370" s="170"/>
      <c r="AH370" s="163"/>
      <c r="AI370" s="163"/>
      <c r="AJ370" s="163"/>
      <c r="AK370" s="163"/>
    </row>
    <row r="371" ht="13.5" customHeight="1">
      <c r="A371" s="163"/>
      <c r="B371" s="170"/>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3"/>
      <c r="AC371" s="163"/>
      <c r="AD371" s="163"/>
      <c r="AE371" s="163"/>
      <c r="AF371" s="163"/>
      <c r="AG371" s="170"/>
      <c r="AH371" s="163"/>
      <c r="AI371" s="163"/>
      <c r="AJ371" s="163"/>
      <c r="AK371" s="163"/>
    </row>
    <row r="372" ht="13.5" customHeight="1">
      <c r="A372" s="163"/>
      <c r="B372" s="170"/>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3"/>
      <c r="AC372" s="163"/>
      <c r="AD372" s="163"/>
      <c r="AE372" s="163"/>
      <c r="AF372" s="163"/>
      <c r="AG372" s="170"/>
      <c r="AH372" s="163"/>
      <c r="AI372" s="163"/>
      <c r="AJ372" s="163"/>
      <c r="AK372" s="163"/>
    </row>
    <row r="373" ht="13.5" customHeight="1">
      <c r="A373" s="163"/>
      <c r="B373" s="170"/>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3"/>
      <c r="AC373" s="163"/>
      <c r="AD373" s="163"/>
      <c r="AE373" s="163"/>
      <c r="AF373" s="163"/>
      <c r="AG373" s="170"/>
      <c r="AH373" s="163"/>
      <c r="AI373" s="163"/>
      <c r="AJ373" s="163"/>
      <c r="AK373" s="163"/>
    </row>
    <row r="374" ht="13.5" customHeight="1">
      <c r="A374" s="163"/>
      <c r="B374" s="170"/>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3"/>
      <c r="AC374" s="163"/>
      <c r="AD374" s="163"/>
      <c r="AE374" s="163"/>
      <c r="AF374" s="163"/>
      <c r="AG374" s="170"/>
      <c r="AH374" s="163"/>
      <c r="AI374" s="163"/>
      <c r="AJ374" s="163"/>
      <c r="AK374" s="163"/>
    </row>
    <row r="375" ht="13.5" customHeight="1">
      <c r="A375" s="163"/>
      <c r="B375" s="170"/>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3"/>
      <c r="AC375" s="163"/>
      <c r="AD375" s="163"/>
      <c r="AE375" s="163"/>
      <c r="AF375" s="163"/>
      <c r="AG375" s="170"/>
      <c r="AH375" s="163"/>
      <c r="AI375" s="163"/>
      <c r="AJ375" s="163"/>
      <c r="AK375" s="163"/>
    </row>
    <row r="376" ht="13.5" customHeight="1">
      <c r="A376" s="163"/>
      <c r="B376" s="170"/>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3"/>
      <c r="AC376" s="163"/>
      <c r="AD376" s="163"/>
      <c r="AE376" s="163"/>
      <c r="AF376" s="163"/>
      <c r="AG376" s="170"/>
      <c r="AH376" s="163"/>
      <c r="AI376" s="163"/>
      <c r="AJ376" s="163"/>
      <c r="AK376" s="163"/>
    </row>
    <row r="377" ht="13.5" customHeight="1">
      <c r="A377" s="163"/>
      <c r="B377" s="170"/>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3"/>
      <c r="AC377" s="163"/>
      <c r="AD377" s="163"/>
      <c r="AE377" s="163"/>
      <c r="AF377" s="163"/>
      <c r="AG377" s="170"/>
      <c r="AH377" s="163"/>
      <c r="AI377" s="163"/>
      <c r="AJ377" s="163"/>
      <c r="AK377" s="163"/>
    </row>
    <row r="378" ht="13.5" customHeight="1">
      <c r="A378" s="163"/>
      <c r="B378" s="170"/>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3"/>
      <c r="AC378" s="163"/>
      <c r="AD378" s="163"/>
      <c r="AE378" s="163"/>
      <c r="AF378" s="163"/>
      <c r="AG378" s="170"/>
      <c r="AH378" s="163"/>
      <c r="AI378" s="163"/>
      <c r="AJ378" s="163"/>
      <c r="AK378" s="163"/>
    </row>
    <row r="379" ht="13.5" customHeight="1">
      <c r="A379" s="163"/>
      <c r="B379" s="170"/>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3"/>
      <c r="AC379" s="163"/>
      <c r="AD379" s="163"/>
      <c r="AE379" s="163"/>
      <c r="AF379" s="163"/>
      <c r="AG379" s="170"/>
      <c r="AH379" s="163"/>
      <c r="AI379" s="163"/>
      <c r="AJ379" s="163"/>
      <c r="AK379" s="163"/>
    </row>
    <row r="380" ht="13.5" customHeight="1">
      <c r="A380" s="163"/>
      <c r="B380" s="170"/>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3"/>
      <c r="AC380" s="163"/>
      <c r="AD380" s="163"/>
      <c r="AE380" s="163"/>
      <c r="AF380" s="163"/>
      <c r="AG380" s="170"/>
      <c r="AH380" s="163"/>
      <c r="AI380" s="163"/>
      <c r="AJ380" s="163"/>
      <c r="AK380" s="163"/>
    </row>
    <row r="381" ht="13.5" customHeight="1">
      <c r="A381" s="163"/>
      <c r="B381" s="170"/>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3"/>
      <c r="AC381" s="163"/>
      <c r="AD381" s="163"/>
      <c r="AE381" s="163"/>
      <c r="AF381" s="163"/>
      <c r="AG381" s="170"/>
      <c r="AH381" s="163"/>
      <c r="AI381" s="163"/>
      <c r="AJ381" s="163"/>
      <c r="AK381" s="163"/>
    </row>
    <row r="382" ht="13.5" customHeight="1">
      <c r="A382" s="163"/>
      <c r="B382" s="170"/>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3"/>
      <c r="AC382" s="163"/>
      <c r="AD382" s="163"/>
      <c r="AE382" s="163"/>
      <c r="AF382" s="163"/>
      <c r="AG382" s="170"/>
      <c r="AH382" s="163"/>
      <c r="AI382" s="163"/>
      <c r="AJ382" s="163"/>
      <c r="AK382" s="163"/>
    </row>
    <row r="383" ht="13.5" customHeight="1">
      <c r="A383" s="163"/>
      <c r="B383" s="170"/>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3"/>
      <c r="AC383" s="163"/>
      <c r="AD383" s="163"/>
      <c r="AE383" s="163"/>
      <c r="AF383" s="163"/>
      <c r="AG383" s="170"/>
      <c r="AH383" s="163"/>
      <c r="AI383" s="163"/>
      <c r="AJ383" s="163"/>
      <c r="AK383" s="163"/>
    </row>
    <row r="384" ht="13.5" customHeight="1">
      <c r="A384" s="163"/>
      <c r="B384" s="170"/>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c r="AD384" s="163"/>
      <c r="AE384" s="163"/>
      <c r="AF384" s="163"/>
      <c r="AG384" s="170"/>
      <c r="AH384" s="163"/>
      <c r="AI384" s="163"/>
      <c r="AJ384" s="163"/>
      <c r="AK384" s="163"/>
    </row>
    <row r="385" ht="13.5" customHeight="1">
      <c r="A385" s="163"/>
      <c r="B385" s="170"/>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c r="AD385" s="163"/>
      <c r="AE385" s="163"/>
      <c r="AF385" s="163"/>
      <c r="AG385" s="170"/>
      <c r="AH385" s="163"/>
      <c r="AI385" s="163"/>
      <c r="AJ385" s="163"/>
      <c r="AK385" s="163"/>
    </row>
    <row r="386" ht="13.5" customHeight="1">
      <c r="A386" s="163"/>
      <c r="B386" s="170"/>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c r="AD386" s="163"/>
      <c r="AE386" s="163"/>
      <c r="AF386" s="163"/>
      <c r="AG386" s="170"/>
      <c r="AH386" s="163"/>
      <c r="AI386" s="163"/>
      <c r="AJ386" s="163"/>
      <c r="AK386" s="163"/>
    </row>
    <row r="387" ht="13.5" customHeight="1">
      <c r="A387" s="163"/>
      <c r="B387" s="170"/>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c r="AD387" s="163"/>
      <c r="AE387" s="163"/>
      <c r="AF387" s="163"/>
      <c r="AG387" s="170"/>
      <c r="AH387" s="163"/>
      <c r="AI387" s="163"/>
      <c r="AJ387" s="163"/>
      <c r="AK387" s="163"/>
    </row>
    <row r="388" ht="13.5" customHeight="1">
      <c r="A388" s="163"/>
      <c r="B388" s="170"/>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c r="AD388" s="163"/>
      <c r="AE388" s="163"/>
      <c r="AF388" s="163"/>
      <c r="AG388" s="170"/>
      <c r="AH388" s="163"/>
      <c r="AI388" s="163"/>
      <c r="AJ388" s="163"/>
      <c r="AK388" s="163"/>
    </row>
    <row r="389" ht="13.5" customHeight="1">
      <c r="A389" s="163"/>
      <c r="B389" s="170"/>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c r="AD389" s="163"/>
      <c r="AE389" s="163"/>
      <c r="AF389" s="163"/>
      <c r="AG389" s="170"/>
      <c r="AH389" s="163"/>
      <c r="AI389" s="163"/>
      <c r="AJ389" s="163"/>
      <c r="AK389" s="163"/>
    </row>
    <row r="390" ht="13.5" customHeight="1">
      <c r="A390" s="163"/>
      <c r="B390" s="170"/>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c r="AD390" s="163"/>
      <c r="AE390" s="163"/>
      <c r="AF390" s="163"/>
      <c r="AG390" s="170"/>
      <c r="AH390" s="163"/>
      <c r="AI390" s="163"/>
      <c r="AJ390" s="163"/>
      <c r="AK390" s="163"/>
    </row>
    <row r="391" ht="13.5" customHeight="1">
      <c r="A391" s="163"/>
      <c r="B391" s="170"/>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c r="AD391" s="163"/>
      <c r="AE391" s="163"/>
      <c r="AF391" s="163"/>
      <c r="AG391" s="170"/>
      <c r="AH391" s="163"/>
      <c r="AI391" s="163"/>
      <c r="AJ391" s="163"/>
      <c r="AK391" s="163"/>
    </row>
    <row r="392" ht="13.5" customHeight="1">
      <c r="A392" s="163"/>
      <c r="B392" s="170"/>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c r="AD392" s="163"/>
      <c r="AE392" s="163"/>
      <c r="AF392" s="163"/>
      <c r="AG392" s="170"/>
      <c r="AH392" s="163"/>
      <c r="AI392" s="163"/>
      <c r="AJ392" s="163"/>
      <c r="AK392" s="163"/>
    </row>
    <row r="393" ht="13.5" customHeight="1">
      <c r="A393" s="163"/>
      <c r="B393" s="170"/>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c r="AE393" s="163"/>
      <c r="AF393" s="163"/>
      <c r="AG393" s="170"/>
      <c r="AH393" s="163"/>
      <c r="AI393" s="163"/>
      <c r="AJ393" s="163"/>
      <c r="AK393" s="163"/>
    </row>
    <row r="394" ht="13.5" customHeight="1">
      <c r="A394" s="163"/>
      <c r="B394" s="170"/>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c r="AD394" s="163"/>
      <c r="AE394" s="163"/>
      <c r="AF394" s="163"/>
      <c r="AG394" s="170"/>
      <c r="AH394" s="163"/>
      <c r="AI394" s="163"/>
      <c r="AJ394" s="163"/>
      <c r="AK394" s="163"/>
    </row>
    <row r="395" ht="13.5" customHeight="1">
      <c r="A395" s="163"/>
      <c r="B395" s="170"/>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c r="AD395" s="163"/>
      <c r="AE395" s="163"/>
      <c r="AF395" s="163"/>
      <c r="AG395" s="170"/>
      <c r="AH395" s="163"/>
      <c r="AI395" s="163"/>
      <c r="AJ395" s="163"/>
      <c r="AK395" s="163"/>
    </row>
    <row r="396" ht="13.5" customHeight="1">
      <c r="A396" s="163"/>
      <c r="B396" s="170"/>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c r="AD396" s="163"/>
      <c r="AE396" s="163"/>
      <c r="AF396" s="163"/>
      <c r="AG396" s="170"/>
      <c r="AH396" s="163"/>
      <c r="AI396" s="163"/>
      <c r="AJ396" s="163"/>
      <c r="AK396" s="163"/>
    </row>
    <row r="397" ht="13.5" customHeight="1">
      <c r="A397" s="163"/>
      <c r="B397" s="170"/>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c r="AD397" s="163"/>
      <c r="AE397" s="163"/>
      <c r="AF397" s="163"/>
      <c r="AG397" s="170"/>
      <c r="AH397" s="163"/>
      <c r="AI397" s="163"/>
      <c r="AJ397" s="163"/>
      <c r="AK397" s="163"/>
    </row>
    <row r="398" ht="13.5" customHeight="1">
      <c r="A398" s="163"/>
      <c r="B398" s="170"/>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c r="AD398" s="163"/>
      <c r="AE398" s="163"/>
      <c r="AF398" s="163"/>
      <c r="AG398" s="170"/>
      <c r="AH398" s="163"/>
      <c r="AI398" s="163"/>
      <c r="AJ398" s="163"/>
      <c r="AK398" s="163"/>
    </row>
    <row r="399" ht="13.5" customHeight="1">
      <c r="A399" s="163"/>
      <c r="B399" s="170"/>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c r="AD399" s="163"/>
      <c r="AE399" s="163"/>
      <c r="AF399" s="163"/>
      <c r="AG399" s="170"/>
      <c r="AH399" s="163"/>
      <c r="AI399" s="163"/>
      <c r="AJ399" s="163"/>
      <c r="AK399" s="163"/>
    </row>
    <row r="400" ht="13.5" customHeight="1">
      <c r="A400" s="163"/>
      <c r="B400" s="170"/>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c r="AD400" s="163"/>
      <c r="AE400" s="163"/>
      <c r="AF400" s="163"/>
      <c r="AG400" s="170"/>
      <c r="AH400" s="163"/>
      <c r="AI400" s="163"/>
      <c r="AJ400" s="163"/>
      <c r="AK400" s="163"/>
    </row>
    <row r="401" ht="13.5" customHeight="1">
      <c r="A401" s="163"/>
      <c r="B401" s="170"/>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c r="AD401" s="163"/>
      <c r="AE401" s="163"/>
      <c r="AF401" s="163"/>
      <c r="AG401" s="170"/>
      <c r="AH401" s="163"/>
      <c r="AI401" s="163"/>
      <c r="AJ401" s="163"/>
      <c r="AK401" s="163"/>
    </row>
    <row r="402" ht="13.5" customHeight="1">
      <c r="A402" s="163"/>
      <c r="B402" s="170"/>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c r="AD402" s="163"/>
      <c r="AE402" s="163"/>
      <c r="AF402" s="163"/>
      <c r="AG402" s="170"/>
      <c r="AH402" s="163"/>
      <c r="AI402" s="163"/>
      <c r="AJ402" s="163"/>
      <c r="AK402" s="163"/>
    </row>
    <row r="403" ht="13.5" customHeight="1">
      <c r="A403" s="163"/>
      <c r="B403" s="170"/>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c r="AD403" s="163"/>
      <c r="AE403" s="163"/>
      <c r="AF403" s="163"/>
      <c r="AG403" s="170"/>
      <c r="AH403" s="163"/>
      <c r="AI403" s="163"/>
      <c r="AJ403" s="163"/>
      <c r="AK403" s="163"/>
    </row>
    <row r="404" ht="13.5" customHeight="1">
      <c r="A404" s="163"/>
      <c r="B404" s="170"/>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c r="AD404" s="163"/>
      <c r="AE404" s="163"/>
      <c r="AF404" s="163"/>
      <c r="AG404" s="170"/>
      <c r="AH404" s="163"/>
      <c r="AI404" s="163"/>
      <c r="AJ404" s="163"/>
      <c r="AK404" s="163"/>
    </row>
    <row r="405" ht="13.5" customHeight="1">
      <c r="A405" s="163"/>
      <c r="B405" s="170"/>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c r="AD405" s="163"/>
      <c r="AE405" s="163"/>
      <c r="AF405" s="163"/>
      <c r="AG405" s="170"/>
      <c r="AH405" s="163"/>
      <c r="AI405" s="163"/>
      <c r="AJ405" s="163"/>
      <c r="AK405" s="163"/>
    </row>
    <row r="406" ht="13.5" customHeight="1">
      <c r="A406" s="163"/>
      <c r="B406" s="170"/>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c r="AD406" s="163"/>
      <c r="AE406" s="163"/>
      <c r="AF406" s="163"/>
      <c r="AG406" s="170"/>
      <c r="AH406" s="163"/>
      <c r="AI406" s="163"/>
      <c r="AJ406" s="163"/>
      <c r="AK406" s="163"/>
    </row>
    <row r="407" ht="13.5" customHeight="1">
      <c r="A407" s="163"/>
      <c r="B407" s="170"/>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c r="AB407" s="163"/>
      <c r="AC407" s="163"/>
      <c r="AD407" s="163"/>
      <c r="AE407" s="163"/>
      <c r="AF407" s="163"/>
      <c r="AG407" s="170"/>
      <c r="AH407" s="163"/>
      <c r="AI407" s="163"/>
      <c r="AJ407" s="163"/>
      <c r="AK407" s="163"/>
    </row>
    <row r="408" ht="13.5" customHeight="1">
      <c r="A408" s="163"/>
      <c r="B408" s="170"/>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c r="AB408" s="163"/>
      <c r="AC408" s="163"/>
      <c r="AD408" s="163"/>
      <c r="AE408" s="163"/>
      <c r="AF408" s="163"/>
      <c r="AG408" s="170"/>
      <c r="AH408" s="163"/>
      <c r="AI408" s="163"/>
      <c r="AJ408" s="163"/>
      <c r="AK408" s="163"/>
    </row>
    <row r="409" ht="13.5" customHeight="1">
      <c r="A409" s="163"/>
      <c r="B409" s="170"/>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c r="AB409" s="163"/>
      <c r="AC409" s="163"/>
      <c r="AD409" s="163"/>
      <c r="AE409" s="163"/>
      <c r="AF409" s="163"/>
      <c r="AG409" s="170"/>
      <c r="AH409" s="163"/>
      <c r="AI409" s="163"/>
      <c r="AJ409" s="163"/>
      <c r="AK409" s="163"/>
    </row>
    <row r="410" ht="13.5" customHeight="1">
      <c r="A410" s="163"/>
      <c r="B410" s="170"/>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c r="AB410" s="163"/>
      <c r="AC410" s="163"/>
      <c r="AD410" s="163"/>
      <c r="AE410" s="163"/>
      <c r="AF410" s="163"/>
      <c r="AG410" s="170"/>
      <c r="AH410" s="163"/>
      <c r="AI410" s="163"/>
      <c r="AJ410" s="163"/>
      <c r="AK410" s="163"/>
    </row>
    <row r="411" ht="13.5" customHeight="1">
      <c r="A411" s="163"/>
      <c r="B411" s="170"/>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c r="AA411" s="163"/>
      <c r="AB411" s="163"/>
      <c r="AC411" s="163"/>
      <c r="AD411" s="163"/>
      <c r="AE411" s="163"/>
      <c r="AF411" s="163"/>
      <c r="AG411" s="170"/>
      <c r="AH411" s="163"/>
      <c r="AI411" s="163"/>
      <c r="AJ411" s="163"/>
      <c r="AK411" s="163"/>
    </row>
    <row r="412" ht="13.5" customHeight="1">
      <c r="A412" s="163"/>
      <c r="B412" s="170"/>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c r="AA412" s="163"/>
      <c r="AB412" s="163"/>
      <c r="AC412" s="163"/>
      <c r="AD412" s="163"/>
      <c r="AE412" s="163"/>
      <c r="AF412" s="163"/>
      <c r="AG412" s="170"/>
      <c r="AH412" s="163"/>
      <c r="AI412" s="163"/>
      <c r="AJ412" s="163"/>
      <c r="AK412" s="163"/>
    </row>
    <row r="413" ht="13.5" customHeight="1">
      <c r="A413" s="163"/>
      <c r="B413" s="170"/>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c r="AA413" s="163"/>
      <c r="AB413" s="163"/>
      <c r="AC413" s="163"/>
      <c r="AD413" s="163"/>
      <c r="AE413" s="163"/>
      <c r="AF413" s="163"/>
      <c r="AG413" s="170"/>
      <c r="AH413" s="163"/>
      <c r="AI413" s="163"/>
      <c r="AJ413" s="163"/>
      <c r="AK413" s="163"/>
    </row>
    <row r="414" ht="13.5" customHeight="1">
      <c r="A414" s="163"/>
      <c r="B414" s="170"/>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c r="AA414" s="163"/>
      <c r="AB414" s="163"/>
      <c r="AC414" s="163"/>
      <c r="AD414" s="163"/>
      <c r="AE414" s="163"/>
      <c r="AF414" s="163"/>
      <c r="AG414" s="170"/>
      <c r="AH414" s="163"/>
      <c r="AI414" s="163"/>
      <c r="AJ414" s="163"/>
      <c r="AK414" s="163"/>
    </row>
    <row r="415" ht="13.5" customHeight="1">
      <c r="A415" s="163"/>
      <c r="B415" s="170"/>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3"/>
      <c r="AC415" s="163"/>
      <c r="AD415" s="163"/>
      <c r="AE415" s="163"/>
      <c r="AF415" s="163"/>
      <c r="AG415" s="170"/>
      <c r="AH415" s="163"/>
      <c r="AI415" s="163"/>
      <c r="AJ415" s="163"/>
      <c r="AK415" s="163"/>
    </row>
    <row r="416" ht="13.5" customHeight="1">
      <c r="A416" s="163"/>
      <c r="B416" s="170"/>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c r="AB416" s="163"/>
      <c r="AC416" s="163"/>
      <c r="AD416" s="163"/>
      <c r="AE416" s="163"/>
      <c r="AF416" s="163"/>
      <c r="AG416" s="170"/>
      <c r="AH416" s="163"/>
      <c r="AI416" s="163"/>
      <c r="AJ416" s="163"/>
      <c r="AK416" s="163"/>
    </row>
    <row r="417" ht="13.5" customHeight="1">
      <c r="A417" s="163"/>
      <c r="B417" s="170"/>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c r="AB417" s="163"/>
      <c r="AC417" s="163"/>
      <c r="AD417" s="163"/>
      <c r="AE417" s="163"/>
      <c r="AF417" s="163"/>
      <c r="AG417" s="170"/>
      <c r="AH417" s="163"/>
      <c r="AI417" s="163"/>
      <c r="AJ417" s="163"/>
      <c r="AK417" s="163"/>
    </row>
    <row r="418" ht="13.5" customHeight="1">
      <c r="A418" s="163"/>
      <c r="B418" s="170"/>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c r="AB418" s="163"/>
      <c r="AC418" s="163"/>
      <c r="AD418" s="163"/>
      <c r="AE418" s="163"/>
      <c r="AF418" s="163"/>
      <c r="AG418" s="170"/>
      <c r="AH418" s="163"/>
      <c r="AI418" s="163"/>
      <c r="AJ418" s="163"/>
      <c r="AK418" s="163"/>
    </row>
    <row r="419" ht="13.5" customHeight="1">
      <c r="A419" s="163"/>
      <c r="B419" s="170"/>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c r="AB419" s="163"/>
      <c r="AC419" s="163"/>
      <c r="AD419" s="163"/>
      <c r="AE419" s="163"/>
      <c r="AF419" s="163"/>
      <c r="AG419" s="170"/>
      <c r="AH419" s="163"/>
      <c r="AI419" s="163"/>
      <c r="AJ419" s="163"/>
      <c r="AK419" s="163"/>
    </row>
    <row r="420" ht="13.5" customHeight="1">
      <c r="A420" s="163"/>
      <c r="B420" s="170"/>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c r="AB420" s="163"/>
      <c r="AC420" s="163"/>
      <c r="AD420" s="163"/>
      <c r="AE420" s="163"/>
      <c r="AF420" s="163"/>
      <c r="AG420" s="170"/>
      <c r="AH420" s="163"/>
      <c r="AI420" s="163"/>
      <c r="AJ420" s="163"/>
      <c r="AK420" s="163"/>
    </row>
    <row r="421" ht="13.5" customHeight="1">
      <c r="A421" s="163"/>
      <c r="B421" s="170"/>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c r="AB421" s="163"/>
      <c r="AC421" s="163"/>
      <c r="AD421" s="163"/>
      <c r="AE421" s="163"/>
      <c r="AF421" s="163"/>
      <c r="AG421" s="170"/>
      <c r="AH421" s="163"/>
      <c r="AI421" s="163"/>
      <c r="AJ421" s="163"/>
      <c r="AK421" s="163"/>
    </row>
    <row r="422" ht="13.5" customHeight="1">
      <c r="A422" s="163"/>
      <c r="B422" s="170"/>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c r="AB422" s="163"/>
      <c r="AC422" s="163"/>
      <c r="AD422" s="163"/>
      <c r="AE422" s="163"/>
      <c r="AF422" s="163"/>
      <c r="AG422" s="170"/>
      <c r="AH422" s="163"/>
      <c r="AI422" s="163"/>
      <c r="AJ422" s="163"/>
      <c r="AK422" s="163"/>
    </row>
    <row r="423" ht="13.5" customHeight="1">
      <c r="A423" s="163"/>
      <c r="B423" s="170"/>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c r="AB423" s="163"/>
      <c r="AC423" s="163"/>
      <c r="AD423" s="163"/>
      <c r="AE423" s="163"/>
      <c r="AF423" s="163"/>
      <c r="AG423" s="170"/>
      <c r="AH423" s="163"/>
      <c r="AI423" s="163"/>
      <c r="AJ423" s="163"/>
      <c r="AK423" s="163"/>
    </row>
    <row r="424" ht="13.5" customHeight="1">
      <c r="A424" s="163"/>
      <c r="B424" s="170"/>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c r="AB424" s="163"/>
      <c r="AC424" s="163"/>
      <c r="AD424" s="163"/>
      <c r="AE424" s="163"/>
      <c r="AF424" s="163"/>
      <c r="AG424" s="170"/>
      <c r="AH424" s="163"/>
      <c r="AI424" s="163"/>
      <c r="AJ424" s="163"/>
      <c r="AK424" s="163"/>
    </row>
    <row r="425" ht="13.5" customHeight="1">
      <c r="A425" s="163"/>
      <c r="B425" s="170"/>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c r="AE425" s="163"/>
      <c r="AF425" s="163"/>
      <c r="AG425" s="170"/>
      <c r="AH425" s="163"/>
      <c r="AI425" s="163"/>
      <c r="AJ425" s="163"/>
      <c r="AK425" s="163"/>
    </row>
    <row r="426" ht="13.5" customHeight="1">
      <c r="A426" s="163"/>
      <c r="B426" s="170"/>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c r="AB426" s="163"/>
      <c r="AC426" s="163"/>
      <c r="AD426" s="163"/>
      <c r="AE426" s="163"/>
      <c r="AF426" s="163"/>
      <c r="AG426" s="170"/>
      <c r="AH426" s="163"/>
      <c r="AI426" s="163"/>
      <c r="AJ426" s="163"/>
      <c r="AK426" s="163"/>
    </row>
    <row r="427" ht="13.5" customHeight="1">
      <c r="A427" s="163"/>
      <c r="B427" s="170"/>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c r="AB427" s="163"/>
      <c r="AC427" s="163"/>
      <c r="AD427" s="163"/>
      <c r="AE427" s="163"/>
      <c r="AF427" s="163"/>
      <c r="AG427" s="170"/>
      <c r="AH427" s="163"/>
      <c r="AI427" s="163"/>
      <c r="AJ427" s="163"/>
      <c r="AK427" s="163"/>
    </row>
    <row r="428" ht="13.5" customHeight="1">
      <c r="A428" s="163"/>
      <c r="B428" s="170"/>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c r="AB428" s="163"/>
      <c r="AC428" s="163"/>
      <c r="AD428" s="163"/>
      <c r="AE428" s="163"/>
      <c r="AF428" s="163"/>
      <c r="AG428" s="170"/>
      <c r="AH428" s="163"/>
      <c r="AI428" s="163"/>
      <c r="AJ428" s="163"/>
      <c r="AK428" s="163"/>
    </row>
    <row r="429" ht="13.5" customHeight="1">
      <c r="A429" s="163"/>
      <c r="B429" s="170"/>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3"/>
      <c r="AC429" s="163"/>
      <c r="AD429" s="163"/>
      <c r="AE429" s="163"/>
      <c r="AF429" s="163"/>
      <c r="AG429" s="170"/>
      <c r="AH429" s="163"/>
      <c r="AI429" s="163"/>
      <c r="AJ429" s="163"/>
      <c r="AK429" s="163"/>
    </row>
    <row r="430" ht="13.5" customHeight="1">
      <c r="A430" s="163"/>
      <c r="B430" s="170"/>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3"/>
      <c r="AC430" s="163"/>
      <c r="AD430" s="163"/>
      <c r="AE430" s="163"/>
      <c r="AF430" s="163"/>
      <c r="AG430" s="170"/>
      <c r="AH430" s="163"/>
      <c r="AI430" s="163"/>
      <c r="AJ430" s="163"/>
      <c r="AK430" s="163"/>
    </row>
    <row r="431" ht="13.5" customHeight="1">
      <c r="A431" s="163"/>
      <c r="B431" s="170"/>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3"/>
      <c r="AC431" s="163"/>
      <c r="AD431" s="163"/>
      <c r="AE431" s="163"/>
      <c r="AF431" s="163"/>
      <c r="AG431" s="170"/>
      <c r="AH431" s="163"/>
      <c r="AI431" s="163"/>
      <c r="AJ431" s="163"/>
      <c r="AK431" s="163"/>
    </row>
    <row r="432" ht="13.5" customHeight="1">
      <c r="A432" s="163"/>
      <c r="B432" s="170"/>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c r="AB432" s="163"/>
      <c r="AC432" s="163"/>
      <c r="AD432" s="163"/>
      <c r="AE432" s="163"/>
      <c r="AF432" s="163"/>
      <c r="AG432" s="170"/>
      <c r="AH432" s="163"/>
      <c r="AI432" s="163"/>
      <c r="AJ432" s="163"/>
      <c r="AK432" s="163"/>
    </row>
    <row r="433" ht="13.5" customHeight="1">
      <c r="A433" s="163"/>
      <c r="B433" s="170"/>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c r="AB433" s="163"/>
      <c r="AC433" s="163"/>
      <c r="AD433" s="163"/>
      <c r="AE433" s="163"/>
      <c r="AF433" s="163"/>
      <c r="AG433" s="170"/>
      <c r="AH433" s="163"/>
      <c r="AI433" s="163"/>
      <c r="AJ433" s="163"/>
      <c r="AK433" s="163"/>
    </row>
    <row r="434" ht="13.5" customHeight="1">
      <c r="A434" s="163"/>
      <c r="B434" s="170"/>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c r="AB434" s="163"/>
      <c r="AC434" s="163"/>
      <c r="AD434" s="163"/>
      <c r="AE434" s="163"/>
      <c r="AF434" s="163"/>
      <c r="AG434" s="170"/>
      <c r="AH434" s="163"/>
      <c r="AI434" s="163"/>
      <c r="AJ434" s="163"/>
      <c r="AK434" s="163"/>
    </row>
    <row r="435" ht="13.5" customHeight="1">
      <c r="A435" s="163"/>
      <c r="B435" s="170"/>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c r="AA435" s="163"/>
      <c r="AB435" s="163"/>
      <c r="AC435" s="163"/>
      <c r="AD435" s="163"/>
      <c r="AE435" s="163"/>
      <c r="AF435" s="163"/>
      <c r="AG435" s="170"/>
      <c r="AH435" s="163"/>
      <c r="AI435" s="163"/>
      <c r="AJ435" s="163"/>
      <c r="AK435" s="163"/>
    </row>
    <row r="436" ht="13.5" customHeight="1">
      <c r="A436" s="163"/>
      <c r="B436" s="170"/>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c r="AA436" s="163"/>
      <c r="AB436" s="163"/>
      <c r="AC436" s="163"/>
      <c r="AD436" s="163"/>
      <c r="AE436" s="163"/>
      <c r="AF436" s="163"/>
      <c r="AG436" s="170"/>
      <c r="AH436" s="163"/>
      <c r="AI436" s="163"/>
      <c r="AJ436" s="163"/>
      <c r="AK436" s="163"/>
    </row>
    <row r="437" ht="13.5" customHeight="1">
      <c r="A437" s="163"/>
      <c r="B437" s="170"/>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c r="AA437" s="163"/>
      <c r="AB437" s="163"/>
      <c r="AC437" s="163"/>
      <c r="AD437" s="163"/>
      <c r="AE437" s="163"/>
      <c r="AF437" s="163"/>
      <c r="AG437" s="170"/>
      <c r="AH437" s="163"/>
      <c r="AI437" s="163"/>
      <c r="AJ437" s="163"/>
      <c r="AK437" s="163"/>
    </row>
    <row r="438" ht="13.5" customHeight="1">
      <c r="A438" s="163"/>
      <c r="B438" s="170"/>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c r="AA438" s="163"/>
      <c r="AB438" s="163"/>
      <c r="AC438" s="163"/>
      <c r="AD438" s="163"/>
      <c r="AE438" s="163"/>
      <c r="AF438" s="163"/>
      <c r="AG438" s="170"/>
      <c r="AH438" s="163"/>
      <c r="AI438" s="163"/>
      <c r="AJ438" s="163"/>
      <c r="AK438" s="163"/>
    </row>
    <row r="439" ht="13.5" customHeight="1">
      <c r="A439" s="163"/>
      <c r="B439" s="170"/>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c r="AA439" s="163"/>
      <c r="AB439" s="163"/>
      <c r="AC439" s="163"/>
      <c r="AD439" s="163"/>
      <c r="AE439" s="163"/>
      <c r="AF439" s="163"/>
      <c r="AG439" s="170"/>
      <c r="AH439" s="163"/>
      <c r="AI439" s="163"/>
      <c r="AJ439" s="163"/>
      <c r="AK439" s="163"/>
    </row>
    <row r="440" ht="13.5" customHeight="1">
      <c r="A440" s="163"/>
      <c r="B440" s="170"/>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c r="AB440" s="163"/>
      <c r="AC440" s="163"/>
      <c r="AD440" s="163"/>
      <c r="AE440" s="163"/>
      <c r="AF440" s="163"/>
      <c r="AG440" s="170"/>
      <c r="AH440" s="163"/>
      <c r="AI440" s="163"/>
      <c r="AJ440" s="163"/>
      <c r="AK440" s="163"/>
    </row>
    <row r="441" ht="13.5" customHeight="1">
      <c r="A441" s="163"/>
      <c r="B441" s="170"/>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c r="AA441" s="163"/>
      <c r="AB441" s="163"/>
      <c r="AC441" s="163"/>
      <c r="AD441" s="163"/>
      <c r="AE441" s="163"/>
      <c r="AF441" s="163"/>
      <c r="AG441" s="170"/>
      <c r="AH441" s="163"/>
      <c r="AI441" s="163"/>
      <c r="AJ441" s="163"/>
      <c r="AK441" s="163"/>
    </row>
    <row r="442" ht="13.5" customHeight="1">
      <c r="A442" s="163"/>
      <c r="B442" s="170"/>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c r="AA442" s="163"/>
      <c r="AB442" s="163"/>
      <c r="AC442" s="163"/>
      <c r="AD442" s="163"/>
      <c r="AE442" s="163"/>
      <c r="AF442" s="163"/>
      <c r="AG442" s="170"/>
      <c r="AH442" s="163"/>
      <c r="AI442" s="163"/>
      <c r="AJ442" s="163"/>
      <c r="AK442" s="163"/>
    </row>
    <row r="443" ht="13.5" customHeight="1">
      <c r="A443" s="163"/>
      <c r="B443" s="170"/>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c r="AA443" s="163"/>
      <c r="AB443" s="163"/>
      <c r="AC443" s="163"/>
      <c r="AD443" s="163"/>
      <c r="AE443" s="163"/>
      <c r="AF443" s="163"/>
      <c r="AG443" s="170"/>
      <c r="AH443" s="163"/>
      <c r="AI443" s="163"/>
      <c r="AJ443" s="163"/>
      <c r="AK443" s="163"/>
    </row>
    <row r="444" ht="13.5" customHeight="1">
      <c r="A444" s="163"/>
      <c r="B444" s="170"/>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c r="AA444" s="163"/>
      <c r="AB444" s="163"/>
      <c r="AC444" s="163"/>
      <c r="AD444" s="163"/>
      <c r="AE444" s="163"/>
      <c r="AF444" s="163"/>
      <c r="AG444" s="170"/>
      <c r="AH444" s="163"/>
      <c r="AI444" s="163"/>
      <c r="AJ444" s="163"/>
      <c r="AK444" s="163"/>
    </row>
    <row r="445" ht="13.5" customHeight="1">
      <c r="A445" s="163"/>
      <c r="B445" s="170"/>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c r="AB445" s="163"/>
      <c r="AC445" s="163"/>
      <c r="AD445" s="163"/>
      <c r="AE445" s="163"/>
      <c r="AF445" s="163"/>
      <c r="AG445" s="170"/>
      <c r="AH445" s="163"/>
      <c r="AI445" s="163"/>
      <c r="AJ445" s="163"/>
      <c r="AK445" s="163"/>
    </row>
    <row r="446" ht="13.5" customHeight="1">
      <c r="A446" s="163"/>
      <c r="B446" s="170"/>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c r="AB446" s="163"/>
      <c r="AC446" s="163"/>
      <c r="AD446" s="163"/>
      <c r="AE446" s="163"/>
      <c r="AF446" s="163"/>
      <c r="AG446" s="170"/>
      <c r="AH446" s="163"/>
      <c r="AI446" s="163"/>
      <c r="AJ446" s="163"/>
      <c r="AK446" s="163"/>
    </row>
    <row r="447" ht="13.5" customHeight="1">
      <c r="A447" s="163"/>
      <c r="B447" s="170"/>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c r="AB447" s="163"/>
      <c r="AC447" s="163"/>
      <c r="AD447" s="163"/>
      <c r="AE447" s="163"/>
      <c r="AF447" s="163"/>
      <c r="AG447" s="170"/>
      <c r="AH447" s="163"/>
      <c r="AI447" s="163"/>
      <c r="AJ447" s="163"/>
      <c r="AK447" s="163"/>
    </row>
    <row r="448" ht="13.5" customHeight="1">
      <c r="A448" s="163"/>
      <c r="B448" s="170"/>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c r="AB448" s="163"/>
      <c r="AC448" s="163"/>
      <c r="AD448" s="163"/>
      <c r="AE448" s="163"/>
      <c r="AF448" s="163"/>
      <c r="AG448" s="170"/>
      <c r="AH448" s="163"/>
      <c r="AI448" s="163"/>
      <c r="AJ448" s="163"/>
      <c r="AK448" s="163"/>
    </row>
    <row r="449" ht="13.5" customHeight="1">
      <c r="A449" s="163"/>
      <c r="B449" s="170"/>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c r="AB449" s="163"/>
      <c r="AC449" s="163"/>
      <c r="AD449" s="163"/>
      <c r="AE449" s="163"/>
      <c r="AF449" s="163"/>
      <c r="AG449" s="170"/>
      <c r="AH449" s="163"/>
      <c r="AI449" s="163"/>
      <c r="AJ449" s="163"/>
      <c r="AK449" s="163"/>
    </row>
    <row r="450" ht="13.5" customHeight="1">
      <c r="A450" s="163"/>
      <c r="B450" s="170"/>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c r="AB450" s="163"/>
      <c r="AC450" s="163"/>
      <c r="AD450" s="163"/>
      <c r="AE450" s="163"/>
      <c r="AF450" s="163"/>
      <c r="AG450" s="170"/>
      <c r="AH450" s="163"/>
      <c r="AI450" s="163"/>
      <c r="AJ450" s="163"/>
      <c r="AK450" s="163"/>
    </row>
    <row r="451" ht="13.5" customHeight="1">
      <c r="A451" s="163"/>
      <c r="B451" s="170"/>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c r="AB451" s="163"/>
      <c r="AC451" s="163"/>
      <c r="AD451" s="163"/>
      <c r="AE451" s="163"/>
      <c r="AF451" s="163"/>
      <c r="AG451" s="170"/>
      <c r="AH451" s="163"/>
      <c r="AI451" s="163"/>
      <c r="AJ451" s="163"/>
      <c r="AK451" s="163"/>
    </row>
    <row r="452" ht="13.5" customHeight="1">
      <c r="A452" s="163"/>
      <c r="B452" s="170"/>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c r="AB452" s="163"/>
      <c r="AC452" s="163"/>
      <c r="AD452" s="163"/>
      <c r="AE452" s="163"/>
      <c r="AF452" s="163"/>
      <c r="AG452" s="170"/>
      <c r="AH452" s="163"/>
      <c r="AI452" s="163"/>
      <c r="AJ452" s="163"/>
      <c r="AK452" s="163"/>
    </row>
    <row r="453" ht="13.5" customHeight="1">
      <c r="A453" s="163"/>
      <c r="B453" s="170"/>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c r="AB453" s="163"/>
      <c r="AC453" s="163"/>
      <c r="AD453" s="163"/>
      <c r="AE453" s="163"/>
      <c r="AF453" s="163"/>
      <c r="AG453" s="170"/>
      <c r="AH453" s="163"/>
      <c r="AI453" s="163"/>
      <c r="AJ453" s="163"/>
      <c r="AK453" s="163"/>
    </row>
    <row r="454" ht="13.5" customHeight="1">
      <c r="A454" s="163"/>
      <c r="B454" s="170"/>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c r="AB454" s="163"/>
      <c r="AC454" s="163"/>
      <c r="AD454" s="163"/>
      <c r="AE454" s="163"/>
      <c r="AF454" s="163"/>
      <c r="AG454" s="170"/>
      <c r="AH454" s="163"/>
      <c r="AI454" s="163"/>
      <c r="AJ454" s="163"/>
      <c r="AK454" s="163"/>
    </row>
    <row r="455" ht="13.5" customHeight="1">
      <c r="A455" s="163"/>
      <c r="B455" s="170"/>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c r="AB455" s="163"/>
      <c r="AC455" s="163"/>
      <c r="AD455" s="163"/>
      <c r="AE455" s="163"/>
      <c r="AF455" s="163"/>
      <c r="AG455" s="170"/>
      <c r="AH455" s="163"/>
      <c r="AI455" s="163"/>
      <c r="AJ455" s="163"/>
      <c r="AK455" s="163"/>
    </row>
    <row r="456" ht="13.5" customHeight="1">
      <c r="A456" s="163"/>
      <c r="B456" s="170"/>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c r="AB456" s="163"/>
      <c r="AC456" s="163"/>
      <c r="AD456" s="163"/>
      <c r="AE456" s="163"/>
      <c r="AF456" s="163"/>
      <c r="AG456" s="170"/>
      <c r="AH456" s="163"/>
      <c r="AI456" s="163"/>
      <c r="AJ456" s="163"/>
      <c r="AK456" s="163"/>
    </row>
    <row r="457" ht="13.5" customHeight="1">
      <c r="A457" s="163"/>
      <c r="B457" s="170"/>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c r="AB457" s="163"/>
      <c r="AC457" s="163"/>
      <c r="AD457" s="163"/>
      <c r="AE457" s="163"/>
      <c r="AF457" s="163"/>
      <c r="AG457" s="170"/>
      <c r="AH457" s="163"/>
      <c r="AI457" s="163"/>
      <c r="AJ457" s="163"/>
      <c r="AK457" s="163"/>
    </row>
    <row r="458" ht="13.5" customHeight="1">
      <c r="A458" s="163"/>
      <c r="B458" s="170"/>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c r="AE458" s="163"/>
      <c r="AF458" s="163"/>
      <c r="AG458" s="170"/>
      <c r="AH458" s="163"/>
      <c r="AI458" s="163"/>
      <c r="AJ458" s="163"/>
      <c r="AK458" s="163"/>
    </row>
    <row r="459" ht="13.5" customHeight="1">
      <c r="A459" s="163"/>
      <c r="B459" s="170"/>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c r="AB459" s="163"/>
      <c r="AC459" s="163"/>
      <c r="AD459" s="163"/>
      <c r="AE459" s="163"/>
      <c r="AF459" s="163"/>
      <c r="AG459" s="170"/>
      <c r="AH459" s="163"/>
      <c r="AI459" s="163"/>
      <c r="AJ459" s="163"/>
      <c r="AK459" s="163"/>
    </row>
    <row r="460" ht="13.5" customHeight="1">
      <c r="A460" s="163"/>
      <c r="B460" s="170"/>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3"/>
      <c r="AC460" s="163"/>
      <c r="AD460" s="163"/>
      <c r="AE460" s="163"/>
      <c r="AF460" s="163"/>
      <c r="AG460" s="170"/>
      <c r="AH460" s="163"/>
      <c r="AI460" s="163"/>
      <c r="AJ460" s="163"/>
      <c r="AK460" s="163"/>
    </row>
    <row r="461" ht="13.5" customHeight="1">
      <c r="A461" s="163"/>
      <c r="B461" s="170"/>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3"/>
      <c r="AC461" s="163"/>
      <c r="AD461" s="163"/>
      <c r="AE461" s="163"/>
      <c r="AF461" s="163"/>
      <c r="AG461" s="170"/>
      <c r="AH461" s="163"/>
      <c r="AI461" s="163"/>
      <c r="AJ461" s="163"/>
      <c r="AK461" s="163"/>
    </row>
    <row r="462" ht="13.5" customHeight="1">
      <c r="A462" s="163"/>
      <c r="B462" s="170"/>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3"/>
      <c r="AC462" s="163"/>
      <c r="AD462" s="163"/>
      <c r="AE462" s="163"/>
      <c r="AF462" s="163"/>
      <c r="AG462" s="170"/>
      <c r="AH462" s="163"/>
      <c r="AI462" s="163"/>
      <c r="AJ462" s="163"/>
      <c r="AK462" s="163"/>
    </row>
    <row r="463" ht="13.5" customHeight="1">
      <c r="A463" s="163"/>
      <c r="B463" s="170"/>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3"/>
      <c r="AC463" s="163"/>
      <c r="AD463" s="163"/>
      <c r="AE463" s="163"/>
      <c r="AF463" s="163"/>
      <c r="AG463" s="170"/>
      <c r="AH463" s="163"/>
      <c r="AI463" s="163"/>
      <c r="AJ463" s="163"/>
      <c r="AK463" s="163"/>
    </row>
    <row r="464" ht="13.5" customHeight="1">
      <c r="A464" s="163"/>
      <c r="B464" s="170"/>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c r="AB464" s="163"/>
      <c r="AC464" s="163"/>
      <c r="AD464" s="163"/>
      <c r="AE464" s="163"/>
      <c r="AF464" s="163"/>
      <c r="AG464" s="170"/>
      <c r="AH464" s="163"/>
      <c r="AI464" s="163"/>
      <c r="AJ464" s="163"/>
      <c r="AK464" s="163"/>
    </row>
    <row r="465" ht="13.5" customHeight="1">
      <c r="A465" s="163"/>
      <c r="B465" s="170"/>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c r="AB465" s="163"/>
      <c r="AC465" s="163"/>
      <c r="AD465" s="163"/>
      <c r="AE465" s="163"/>
      <c r="AF465" s="163"/>
      <c r="AG465" s="170"/>
      <c r="AH465" s="163"/>
      <c r="AI465" s="163"/>
      <c r="AJ465" s="163"/>
      <c r="AK465" s="163"/>
    </row>
    <row r="466" ht="13.5" customHeight="1">
      <c r="A466" s="163"/>
      <c r="B466" s="170"/>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c r="AB466" s="163"/>
      <c r="AC466" s="163"/>
      <c r="AD466" s="163"/>
      <c r="AE466" s="163"/>
      <c r="AF466" s="163"/>
      <c r="AG466" s="170"/>
      <c r="AH466" s="163"/>
      <c r="AI466" s="163"/>
      <c r="AJ466" s="163"/>
      <c r="AK466" s="163"/>
    </row>
    <row r="467" ht="13.5" customHeight="1">
      <c r="A467" s="163"/>
      <c r="B467" s="170"/>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c r="AB467" s="163"/>
      <c r="AC467" s="163"/>
      <c r="AD467" s="163"/>
      <c r="AE467" s="163"/>
      <c r="AF467" s="163"/>
      <c r="AG467" s="170"/>
      <c r="AH467" s="163"/>
      <c r="AI467" s="163"/>
      <c r="AJ467" s="163"/>
      <c r="AK467" s="163"/>
    </row>
    <row r="468" ht="13.5" customHeight="1">
      <c r="A468" s="163"/>
      <c r="B468" s="170"/>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c r="AB468" s="163"/>
      <c r="AC468" s="163"/>
      <c r="AD468" s="163"/>
      <c r="AE468" s="163"/>
      <c r="AF468" s="163"/>
      <c r="AG468" s="170"/>
      <c r="AH468" s="163"/>
      <c r="AI468" s="163"/>
      <c r="AJ468" s="163"/>
      <c r="AK468" s="163"/>
    </row>
    <row r="469" ht="13.5" customHeight="1">
      <c r="A469" s="163"/>
      <c r="B469" s="170"/>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c r="AB469" s="163"/>
      <c r="AC469" s="163"/>
      <c r="AD469" s="163"/>
      <c r="AE469" s="163"/>
      <c r="AF469" s="163"/>
      <c r="AG469" s="170"/>
      <c r="AH469" s="163"/>
      <c r="AI469" s="163"/>
      <c r="AJ469" s="163"/>
      <c r="AK469" s="163"/>
    </row>
    <row r="470" ht="13.5" customHeight="1">
      <c r="A470" s="163"/>
      <c r="B470" s="170"/>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70"/>
      <c r="AH470" s="163"/>
      <c r="AI470" s="163"/>
      <c r="AJ470" s="163"/>
      <c r="AK470" s="163"/>
    </row>
    <row r="471" ht="13.5" customHeight="1">
      <c r="A471" s="163"/>
      <c r="B471" s="170"/>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c r="AB471" s="163"/>
      <c r="AC471" s="163"/>
      <c r="AD471" s="163"/>
      <c r="AE471" s="163"/>
      <c r="AF471" s="163"/>
      <c r="AG471" s="170"/>
      <c r="AH471" s="163"/>
      <c r="AI471" s="163"/>
      <c r="AJ471" s="163"/>
      <c r="AK471" s="163"/>
    </row>
    <row r="472" ht="13.5" customHeight="1">
      <c r="A472" s="163"/>
      <c r="B472" s="170"/>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c r="AB472" s="163"/>
      <c r="AC472" s="163"/>
      <c r="AD472" s="163"/>
      <c r="AE472" s="163"/>
      <c r="AF472" s="163"/>
      <c r="AG472" s="170"/>
      <c r="AH472" s="163"/>
      <c r="AI472" s="163"/>
      <c r="AJ472" s="163"/>
      <c r="AK472" s="163"/>
    </row>
    <row r="473" ht="13.5" customHeight="1">
      <c r="A473" s="163"/>
      <c r="B473" s="170"/>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c r="AB473" s="163"/>
      <c r="AC473" s="163"/>
      <c r="AD473" s="163"/>
      <c r="AE473" s="163"/>
      <c r="AF473" s="163"/>
      <c r="AG473" s="170"/>
      <c r="AH473" s="163"/>
      <c r="AI473" s="163"/>
      <c r="AJ473" s="163"/>
      <c r="AK473" s="163"/>
    </row>
    <row r="474" ht="13.5" customHeight="1">
      <c r="A474" s="163"/>
      <c r="B474" s="170"/>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3"/>
      <c r="AC474" s="163"/>
      <c r="AD474" s="163"/>
      <c r="AE474" s="163"/>
      <c r="AF474" s="163"/>
      <c r="AG474" s="170"/>
      <c r="AH474" s="163"/>
      <c r="AI474" s="163"/>
      <c r="AJ474" s="163"/>
      <c r="AK474" s="163"/>
    </row>
    <row r="475" ht="13.5" customHeight="1">
      <c r="A475" s="163"/>
      <c r="B475" s="170"/>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3"/>
      <c r="AC475" s="163"/>
      <c r="AD475" s="163"/>
      <c r="AE475" s="163"/>
      <c r="AF475" s="163"/>
      <c r="AG475" s="170"/>
      <c r="AH475" s="163"/>
      <c r="AI475" s="163"/>
      <c r="AJ475" s="163"/>
      <c r="AK475" s="163"/>
    </row>
    <row r="476" ht="13.5" customHeight="1">
      <c r="A476" s="163"/>
      <c r="B476" s="170"/>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3"/>
      <c r="AC476" s="163"/>
      <c r="AD476" s="163"/>
      <c r="AE476" s="163"/>
      <c r="AF476" s="163"/>
      <c r="AG476" s="170"/>
      <c r="AH476" s="163"/>
      <c r="AI476" s="163"/>
      <c r="AJ476" s="163"/>
      <c r="AK476" s="163"/>
    </row>
    <row r="477" ht="13.5" customHeight="1">
      <c r="A477" s="163"/>
      <c r="B477" s="170"/>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3"/>
      <c r="AC477" s="163"/>
      <c r="AD477" s="163"/>
      <c r="AE477" s="163"/>
      <c r="AF477" s="163"/>
      <c r="AG477" s="170"/>
      <c r="AH477" s="163"/>
      <c r="AI477" s="163"/>
      <c r="AJ477" s="163"/>
      <c r="AK477" s="163"/>
    </row>
    <row r="478" ht="13.5" customHeight="1">
      <c r="A478" s="163"/>
      <c r="B478" s="170"/>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3"/>
      <c r="AC478" s="163"/>
      <c r="AD478" s="163"/>
      <c r="AE478" s="163"/>
      <c r="AF478" s="163"/>
      <c r="AG478" s="170"/>
      <c r="AH478" s="163"/>
      <c r="AI478" s="163"/>
      <c r="AJ478" s="163"/>
      <c r="AK478" s="163"/>
    </row>
    <row r="479" ht="13.5" customHeight="1">
      <c r="A479" s="163"/>
      <c r="B479" s="170"/>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3"/>
      <c r="AC479" s="163"/>
      <c r="AD479" s="163"/>
      <c r="AE479" s="163"/>
      <c r="AF479" s="163"/>
      <c r="AG479" s="170"/>
      <c r="AH479" s="163"/>
      <c r="AI479" s="163"/>
      <c r="AJ479" s="163"/>
      <c r="AK479" s="163"/>
    </row>
    <row r="480" ht="13.5" customHeight="1">
      <c r="A480" s="163"/>
      <c r="B480" s="170"/>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3"/>
      <c r="AC480" s="163"/>
      <c r="AD480" s="163"/>
      <c r="AE480" s="163"/>
      <c r="AF480" s="163"/>
      <c r="AG480" s="170"/>
      <c r="AH480" s="163"/>
      <c r="AI480" s="163"/>
      <c r="AJ480" s="163"/>
      <c r="AK480" s="163"/>
    </row>
    <row r="481" ht="13.5" customHeight="1">
      <c r="A481" s="163"/>
      <c r="B481" s="170"/>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3"/>
      <c r="AC481" s="163"/>
      <c r="AD481" s="163"/>
      <c r="AE481" s="163"/>
      <c r="AF481" s="163"/>
      <c r="AG481" s="170"/>
      <c r="AH481" s="163"/>
      <c r="AI481" s="163"/>
      <c r="AJ481" s="163"/>
      <c r="AK481" s="163"/>
    </row>
    <row r="482" ht="13.5" customHeight="1">
      <c r="A482" s="163"/>
      <c r="B482" s="170"/>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3"/>
      <c r="AC482" s="163"/>
      <c r="AD482" s="163"/>
      <c r="AE482" s="163"/>
      <c r="AF482" s="163"/>
      <c r="AG482" s="170"/>
      <c r="AH482" s="163"/>
      <c r="AI482" s="163"/>
      <c r="AJ482" s="163"/>
      <c r="AK482" s="163"/>
    </row>
    <row r="483" ht="13.5" customHeight="1">
      <c r="A483" s="163"/>
      <c r="B483" s="170"/>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3"/>
      <c r="AC483" s="163"/>
      <c r="AD483" s="163"/>
      <c r="AE483" s="163"/>
      <c r="AF483" s="163"/>
      <c r="AG483" s="170"/>
      <c r="AH483" s="163"/>
      <c r="AI483" s="163"/>
      <c r="AJ483" s="163"/>
      <c r="AK483" s="163"/>
    </row>
    <row r="484" ht="13.5" customHeight="1">
      <c r="A484" s="163"/>
      <c r="B484" s="170"/>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3"/>
      <c r="AC484" s="163"/>
      <c r="AD484" s="163"/>
      <c r="AE484" s="163"/>
      <c r="AF484" s="163"/>
      <c r="AG484" s="170"/>
      <c r="AH484" s="163"/>
      <c r="AI484" s="163"/>
      <c r="AJ484" s="163"/>
      <c r="AK484" s="163"/>
    </row>
    <row r="485" ht="13.5" customHeight="1">
      <c r="A485" s="163"/>
      <c r="B485" s="170"/>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3"/>
      <c r="AC485" s="163"/>
      <c r="AD485" s="163"/>
      <c r="AE485" s="163"/>
      <c r="AF485" s="163"/>
      <c r="AG485" s="170"/>
      <c r="AH485" s="163"/>
      <c r="AI485" s="163"/>
      <c r="AJ485" s="163"/>
      <c r="AK485" s="163"/>
    </row>
    <row r="486" ht="13.5" customHeight="1">
      <c r="A486" s="163"/>
      <c r="B486" s="170"/>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3"/>
      <c r="AC486" s="163"/>
      <c r="AD486" s="163"/>
      <c r="AE486" s="163"/>
      <c r="AF486" s="163"/>
      <c r="AG486" s="170"/>
      <c r="AH486" s="163"/>
      <c r="AI486" s="163"/>
      <c r="AJ486" s="163"/>
      <c r="AK486" s="163"/>
    </row>
    <row r="487" ht="13.5" customHeight="1">
      <c r="A487" s="163"/>
      <c r="B487" s="170"/>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3"/>
      <c r="AC487" s="163"/>
      <c r="AD487" s="163"/>
      <c r="AE487" s="163"/>
      <c r="AF487" s="163"/>
      <c r="AG487" s="170"/>
      <c r="AH487" s="163"/>
      <c r="AI487" s="163"/>
      <c r="AJ487" s="163"/>
      <c r="AK487" s="163"/>
    </row>
    <row r="488" ht="13.5" customHeight="1">
      <c r="A488" s="163"/>
      <c r="B488" s="170"/>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3"/>
      <c r="AC488" s="163"/>
      <c r="AD488" s="163"/>
      <c r="AE488" s="163"/>
      <c r="AF488" s="163"/>
      <c r="AG488" s="170"/>
      <c r="AH488" s="163"/>
      <c r="AI488" s="163"/>
      <c r="AJ488" s="163"/>
      <c r="AK488" s="163"/>
    </row>
    <row r="489" ht="13.5" customHeight="1">
      <c r="A489" s="163"/>
      <c r="B489" s="170"/>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3"/>
      <c r="AC489" s="163"/>
      <c r="AD489" s="163"/>
      <c r="AE489" s="163"/>
      <c r="AF489" s="163"/>
      <c r="AG489" s="170"/>
      <c r="AH489" s="163"/>
      <c r="AI489" s="163"/>
      <c r="AJ489" s="163"/>
      <c r="AK489" s="163"/>
    </row>
    <row r="490" ht="13.5" customHeight="1">
      <c r="A490" s="163"/>
      <c r="B490" s="170"/>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3"/>
      <c r="AC490" s="163"/>
      <c r="AD490" s="163"/>
      <c r="AE490" s="163"/>
      <c r="AF490" s="163"/>
      <c r="AG490" s="170"/>
      <c r="AH490" s="163"/>
      <c r="AI490" s="163"/>
      <c r="AJ490" s="163"/>
      <c r="AK490" s="163"/>
    </row>
    <row r="491" ht="13.5" customHeight="1">
      <c r="A491" s="163"/>
      <c r="B491" s="170"/>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3"/>
      <c r="AC491" s="163"/>
      <c r="AD491" s="163"/>
      <c r="AE491" s="163"/>
      <c r="AF491" s="163"/>
      <c r="AG491" s="170"/>
      <c r="AH491" s="163"/>
      <c r="AI491" s="163"/>
      <c r="AJ491" s="163"/>
      <c r="AK491" s="163"/>
    </row>
    <row r="492" ht="13.5" customHeight="1">
      <c r="A492" s="163"/>
      <c r="B492" s="170"/>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c r="AB492" s="163"/>
      <c r="AC492" s="163"/>
      <c r="AD492" s="163"/>
      <c r="AE492" s="163"/>
      <c r="AF492" s="163"/>
      <c r="AG492" s="170"/>
      <c r="AH492" s="163"/>
      <c r="AI492" s="163"/>
      <c r="AJ492" s="163"/>
      <c r="AK492" s="163"/>
    </row>
    <row r="493" ht="13.5" customHeight="1">
      <c r="A493" s="163"/>
      <c r="B493" s="170"/>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c r="AB493" s="163"/>
      <c r="AC493" s="163"/>
      <c r="AD493" s="163"/>
      <c r="AE493" s="163"/>
      <c r="AF493" s="163"/>
      <c r="AG493" s="170"/>
      <c r="AH493" s="163"/>
      <c r="AI493" s="163"/>
      <c r="AJ493" s="163"/>
      <c r="AK493" s="163"/>
    </row>
    <row r="494" ht="13.5" customHeight="1">
      <c r="A494" s="163"/>
      <c r="B494" s="170"/>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c r="AB494" s="163"/>
      <c r="AC494" s="163"/>
      <c r="AD494" s="163"/>
      <c r="AE494" s="163"/>
      <c r="AF494" s="163"/>
      <c r="AG494" s="170"/>
      <c r="AH494" s="163"/>
      <c r="AI494" s="163"/>
      <c r="AJ494" s="163"/>
      <c r="AK494" s="163"/>
    </row>
    <row r="495" ht="13.5" customHeight="1">
      <c r="A495" s="163"/>
      <c r="B495" s="170"/>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c r="AE495" s="163"/>
      <c r="AF495" s="163"/>
      <c r="AG495" s="170"/>
      <c r="AH495" s="163"/>
      <c r="AI495" s="163"/>
      <c r="AJ495" s="163"/>
      <c r="AK495" s="163"/>
    </row>
    <row r="496" ht="13.5" customHeight="1">
      <c r="A496" s="163"/>
      <c r="B496" s="170"/>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c r="AE496" s="163"/>
      <c r="AF496" s="163"/>
      <c r="AG496" s="170"/>
      <c r="AH496" s="163"/>
      <c r="AI496" s="163"/>
      <c r="AJ496" s="163"/>
      <c r="AK496" s="163"/>
    </row>
    <row r="497" ht="13.5" customHeight="1">
      <c r="A497" s="163"/>
      <c r="B497" s="170"/>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c r="AE497" s="163"/>
      <c r="AF497" s="163"/>
      <c r="AG497" s="170"/>
      <c r="AH497" s="163"/>
      <c r="AI497" s="163"/>
      <c r="AJ497" s="163"/>
      <c r="AK497" s="163"/>
    </row>
    <row r="498" ht="13.5" customHeight="1">
      <c r="A498" s="163"/>
      <c r="B498" s="170"/>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c r="AE498" s="163"/>
      <c r="AF498" s="163"/>
      <c r="AG498" s="170"/>
      <c r="AH498" s="163"/>
      <c r="AI498" s="163"/>
      <c r="AJ498" s="163"/>
      <c r="AK498" s="163"/>
    </row>
    <row r="499" ht="13.5" customHeight="1">
      <c r="A499" s="163"/>
      <c r="B499" s="170"/>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c r="AE499" s="163"/>
      <c r="AF499" s="163"/>
      <c r="AG499" s="170"/>
      <c r="AH499" s="163"/>
      <c r="AI499" s="163"/>
      <c r="AJ499" s="163"/>
      <c r="AK499" s="163"/>
    </row>
    <row r="500" ht="13.5" customHeight="1">
      <c r="A500" s="163"/>
      <c r="B500" s="170"/>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c r="AE500" s="163"/>
      <c r="AF500" s="163"/>
      <c r="AG500" s="170"/>
      <c r="AH500" s="163"/>
      <c r="AI500" s="163"/>
      <c r="AJ500" s="163"/>
      <c r="AK500" s="163"/>
    </row>
    <row r="501" ht="13.5" customHeight="1">
      <c r="A501" s="163"/>
      <c r="B501" s="170"/>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c r="AE501" s="163"/>
      <c r="AF501" s="163"/>
      <c r="AG501" s="170"/>
      <c r="AH501" s="163"/>
      <c r="AI501" s="163"/>
      <c r="AJ501" s="163"/>
      <c r="AK501" s="163"/>
    </row>
    <row r="502" ht="13.5" customHeight="1">
      <c r="A502" s="163"/>
      <c r="B502" s="170"/>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c r="AE502" s="163"/>
      <c r="AF502" s="163"/>
      <c r="AG502" s="170"/>
      <c r="AH502" s="163"/>
      <c r="AI502" s="163"/>
      <c r="AJ502" s="163"/>
      <c r="AK502" s="163"/>
    </row>
    <row r="503" ht="13.5" customHeight="1">
      <c r="A503" s="163"/>
      <c r="B503" s="170"/>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c r="AE503" s="163"/>
      <c r="AF503" s="163"/>
      <c r="AG503" s="170"/>
      <c r="AH503" s="163"/>
      <c r="AI503" s="163"/>
      <c r="AJ503" s="163"/>
      <c r="AK503" s="163"/>
    </row>
    <row r="504" ht="13.5" customHeight="1">
      <c r="A504" s="163"/>
      <c r="B504" s="170"/>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c r="AE504" s="163"/>
      <c r="AF504" s="163"/>
      <c r="AG504" s="170"/>
      <c r="AH504" s="163"/>
      <c r="AI504" s="163"/>
      <c r="AJ504" s="163"/>
      <c r="AK504" s="163"/>
    </row>
    <row r="505" ht="13.5" customHeight="1">
      <c r="A505" s="163"/>
      <c r="B505" s="170"/>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c r="AE505" s="163"/>
      <c r="AF505" s="163"/>
      <c r="AG505" s="170"/>
      <c r="AH505" s="163"/>
      <c r="AI505" s="163"/>
      <c r="AJ505" s="163"/>
      <c r="AK505" s="163"/>
    </row>
    <row r="506" ht="13.5" customHeight="1">
      <c r="A506" s="163"/>
      <c r="B506" s="170"/>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c r="AE506" s="163"/>
      <c r="AF506" s="163"/>
      <c r="AG506" s="170"/>
      <c r="AH506" s="163"/>
      <c r="AI506" s="163"/>
      <c r="AJ506" s="163"/>
      <c r="AK506" s="163"/>
    </row>
    <row r="507" ht="13.5" customHeight="1">
      <c r="A507" s="163"/>
      <c r="B507" s="170"/>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c r="AE507" s="163"/>
      <c r="AF507" s="163"/>
      <c r="AG507" s="170"/>
      <c r="AH507" s="163"/>
      <c r="AI507" s="163"/>
      <c r="AJ507" s="163"/>
      <c r="AK507" s="163"/>
    </row>
    <row r="508" ht="13.5" customHeight="1">
      <c r="A508" s="163"/>
      <c r="B508" s="170"/>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c r="AE508" s="163"/>
      <c r="AF508" s="163"/>
      <c r="AG508" s="170"/>
      <c r="AH508" s="163"/>
      <c r="AI508" s="163"/>
      <c r="AJ508" s="163"/>
      <c r="AK508" s="163"/>
    </row>
    <row r="509" ht="13.5" customHeight="1">
      <c r="A509" s="163"/>
      <c r="B509" s="170"/>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c r="AE509" s="163"/>
      <c r="AF509" s="163"/>
      <c r="AG509" s="170"/>
      <c r="AH509" s="163"/>
      <c r="AI509" s="163"/>
      <c r="AJ509" s="163"/>
      <c r="AK509" s="163"/>
    </row>
    <row r="510" ht="13.5" customHeight="1">
      <c r="A510" s="163"/>
      <c r="B510" s="170"/>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c r="AE510" s="163"/>
      <c r="AF510" s="163"/>
      <c r="AG510" s="170"/>
      <c r="AH510" s="163"/>
      <c r="AI510" s="163"/>
      <c r="AJ510" s="163"/>
      <c r="AK510" s="163"/>
    </row>
    <row r="511" ht="13.5" customHeight="1">
      <c r="A511" s="163"/>
      <c r="B511" s="170"/>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c r="AE511" s="163"/>
      <c r="AF511" s="163"/>
      <c r="AG511" s="170"/>
      <c r="AH511" s="163"/>
      <c r="AI511" s="163"/>
      <c r="AJ511" s="163"/>
      <c r="AK511" s="163"/>
    </row>
    <row r="512" ht="13.5" customHeight="1">
      <c r="A512" s="163"/>
      <c r="B512" s="170"/>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c r="AE512" s="163"/>
      <c r="AF512" s="163"/>
      <c r="AG512" s="170"/>
      <c r="AH512" s="163"/>
      <c r="AI512" s="163"/>
      <c r="AJ512" s="163"/>
      <c r="AK512" s="163"/>
    </row>
    <row r="513" ht="13.5" customHeight="1">
      <c r="A513" s="163"/>
      <c r="B513" s="170"/>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c r="AE513" s="163"/>
      <c r="AF513" s="163"/>
      <c r="AG513" s="170"/>
      <c r="AH513" s="163"/>
      <c r="AI513" s="163"/>
      <c r="AJ513" s="163"/>
      <c r="AK513" s="163"/>
    </row>
    <row r="514" ht="13.5" customHeight="1">
      <c r="A514" s="163"/>
      <c r="B514" s="170"/>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c r="AE514" s="163"/>
      <c r="AF514" s="163"/>
      <c r="AG514" s="170"/>
      <c r="AH514" s="163"/>
      <c r="AI514" s="163"/>
      <c r="AJ514" s="163"/>
      <c r="AK514" s="163"/>
    </row>
    <row r="515" ht="13.5" customHeight="1">
      <c r="A515" s="163"/>
      <c r="B515" s="170"/>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c r="AE515" s="163"/>
      <c r="AF515" s="163"/>
      <c r="AG515" s="170"/>
      <c r="AH515" s="163"/>
      <c r="AI515" s="163"/>
      <c r="AJ515" s="163"/>
      <c r="AK515" s="163"/>
    </row>
    <row r="516" ht="13.5" customHeight="1">
      <c r="A516" s="163"/>
      <c r="B516" s="170"/>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c r="AE516" s="163"/>
      <c r="AF516" s="163"/>
      <c r="AG516" s="170"/>
      <c r="AH516" s="163"/>
      <c r="AI516" s="163"/>
      <c r="AJ516" s="163"/>
      <c r="AK516" s="163"/>
    </row>
    <row r="517" ht="13.5" customHeight="1">
      <c r="A517" s="163"/>
      <c r="B517" s="170"/>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c r="AE517" s="163"/>
      <c r="AF517" s="163"/>
      <c r="AG517" s="170"/>
      <c r="AH517" s="163"/>
      <c r="AI517" s="163"/>
      <c r="AJ517" s="163"/>
      <c r="AK517" s="163"/>
    </row>
    <row r="518" ht="13.5" customHeight="1">
      <c r="A518" s="163"/>
      <c r="B518" s="170"/>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c r="AE518" s="163"/>
      <c r="AF518" s="163"/>
      <c r="AG518" s="170"/>
      <c r="AH518" s="163"/>
      <c r="AI518" s="163"/>
      <c r="AJ518" s="163"/>
      <c r="AK518" s="163"/>
    </row>
    <row r="519" ht="13.5" customHeight="1">
      <c r="A519" s="163"/>
      <c r="B519" s="170"/>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c r="AE519" s="163"/>
      <c r="AF519" s="163"/>
      <c r="AG519" s="170"/>
      <c r="AH519" s="163"/>
      <c r="AI519" s="163"/>
      <c r="AJ519" s="163"/>
      <c r="AK519" s="163"/>
    </row>
    <row r="520" ht="13.5" customHeight="1">
      <c r="A520" s="163"/>
      <c r="B520" s="170"/>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c r="AE520" s="163"/>
      <c r="AF520" s="163"/>
      <c r="AG520" s="170"/>
      <c r="AH520" s="163"/>
      <c r="AI520" s="163"/>
      <c r="AJ520" s="163"/>
      <c r="AK520" s="163"/>
    </row>
    <row r="521" ht="13.5" customHeight="1">
      <c r="A521" s="163"/>
      <c r="B521" s="170"/>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c r="AE521" s="163"/>
      <c r="AF521" s="163"/>
      <c r="AG521" s="170"/>
      <c r="AH521" s="163"/>
      <c r="AI521" s="163"/>
      <c r="AJ521" s="163"/>
      <c r="AK521" s="163"/>
    </row>
    <row r="522" ht="13.5" customHeight="1">
      <c r="A522" s="163"/>
      <c r="B522" s="170"/>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c r="AE522" s="163"/>
      <c r="AF522" s="163"/>
      <c r="AG522" s="170"/>
      <c r="AH522" s="163"/>
      <c r="AI522" s="163"/>
      <c r="AJ522" s="163"/>
      <c r="AK522" s="163"/>
    </row>
    <row r="523" ht="13.5" customHeight="1">
      <c r="A523" s="163"/>
      <c r="B523" s="170"/>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c r="AE523" s="163"/>
      <c r="AF523" s="163"/>
      <c r="AG523" s="170"/>
      <c r="AH523" s="163"/>
      <c r="AI523" s="163"/>
      <c r="AJ523" s="163"/>
      <c r="AK523" s="163"/>
    </row>
    <row r="524" ht="13.5" customHeight="1">
      <c r="A524" s="163"/>
      <c r="B524" s="170"/>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c r="AE524" s="163"/>
      <c r="AF524" s="163"/>
      <c r="AG524" s="170"/>
      <c r="AH524" s="163"/>
      <c r="AI524" s="163"/>
      <c r="AJ524" s="163"/>
      <c r="AK524" s="163"/>
    </row>
    <row r="525" ht="13.5" customHeight="1">
      <c r="A525" s="163"/>
      <c r="B525" s="170"/>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c r="AE525" s="163"/>
      <c r="AF525" s="163"/>
      <c r="AG525" s="170"/>
      <c r="AH525" s="163"/>
      <c r="AI525" s="163"/>
      <c r="AJ525" s="163"/>
      <c r="AK525" s="163"/>
    </row>
    <row r="526" ht="13.5" customHeight="1">
      <c r="A526" s="163"/>
      <c r="B526" s="170"/>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c r="AE526" s="163"/>
      <c r="AF526" s="163"/>
      <c r="AG526" s="170"/>
      <c r="AH526" s="163"/>
      <c r="AI526" s="163"/>
      <c r="AJ526" s="163"/>
      <c r="AK526" s="163"/>
    </row>
    <row r="527" ht="13.5" customHeight="1">
      <c r="A527" s="163"/>
      <c r="B527" s="170"/>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c r="AE527" s="163"/>
      <c r="AF527" s="163"/>
      <c r="AG527" s="170"/>
      <c r="AH527" s="163"/>
      <c r="AI527" s="163"/>
      <c r="AJ527" s="163"/>
      <c r="AK527" s="163"/>
    </row>
    <row r="528" ht="13.5" customHeight="1">
      <c r="A528" s="163"/>
      <c r="B528" s="170"/>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c r="AE528" s="163"/>
      <c r="AF528" s="163"/>
      <c r="AG528" s="170"/>
      <c r="AH528" s="163"/>
      <c r="AI528" s="163"/>
      <c r="AJ528" s="163"/>
      <c r="AK528" s="163"/>
    </row>
    <row r="529" ht="13.5" customHeight="1">
      <c r="A529" s="163"/>
      <c r="B529" s="170"/>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c r="AE529" s="163"/>
      <c r="AF529" s="163"/>
      <c r="AG529" s="170"/>
      <c r="AH529" s="163"/>
      <c r="AI529" s="163"/>
      <c r="AJ529" s="163"/>
      <c r="AK529" s="163"/>
    </row>
    <row r="530" ht="13.5" customHeight="1">
      <c r="A530" s="163"/>
      <c r="B530" s="170"/>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c r="AE530" s="163"/>
      <c r="AF530" s="163"/>
      <c r="AG530" s="170"/>
      <c r="AH530" s="163"/>
      <c r="AI530" s="163"/>
      <c r="AJ530" s="163"/>
      <c r="AK530" s="163"/>
    </row>
    <row r="531" ht="13.5" customHeight="1">
      <c r="A531" s="163"/>
      <c r="B531" s="170"/>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c r="AE531" s="163"/>
      <c r="AF531" s="163"/>
      <c r="AG531" s="170"/>
      <c r="AH531" s="163"/>
      <c r="AI531" s="163"/>
      <c r="AJ531" s="163"/>
      <c r="AK531" s="163"/>
    </row>
    <row r="532" ht="13.5" customHeight="1">
      <c r="A532" s="163"/>
      <c r="B532" s="170"/>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c r="AE532" s="163"/>
      <c r="AF532" s="163"/>
      <c r="AG532" s="170"/>
      <c r="AH532" s="163"/>
      <c r="AI532" s="163"/>
      <c r="AJ532" s="163"/>
      <c r="AK532" s="163"/>
    </row>
    <row r="533" ht="13.5" customHeight="1">
      <c r="A533" s="163"/>
      <c r="B533" s="170"/>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c r="AE533" s="163"/>
      <c r="AF533" s="163"/>
      <c r="AG533" s="170"/>
      <c r="AH533" s="163"/>
      <c r="AI533" s="163"/>
      <c r="AJ533" s="163"/>
      <c r="AK533" s="163"/>
    </row>
    <row r="534" ht="13.5" customHeight="1">
      <c r="A534" s="163"/>
      <c r="B534" s="170"/>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c r="AE534" s="163"/>
      <c r="AF534" s="163"/>
      <c r="AG534" s="170"/>
      <c r="AH534" s="163"/>
      <c r="AI534" s="163"/>
      <c r="AJ534" s="163"/>
      <c r="AK534" s="163"/>
    </row>
    <row r="535" ht="13.5" customHeight="1">
      <c r="A535" s="163"/>
      <c r="B535" s="170"/>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c r="AE535" s="163"/>
      <c r="AF535" s="163"/>
      <c r="AG535" s="170"/>
      <c r="AH535" s="163"/>
      <c r="AI535" s="163"/>
      <c r="AJ535" s="163"/>
      <c r="AK535" s="163"/>
    </row>
    <row r="536" ht="13.5" customHeight="1">
      <c r="A536" s="163"/>
      <c r="B536" s="170"/>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c r="AE536" s="163"/>
      <c r="AF536" s="163"/>
      <c r="AG536" s="170"/>
      <c r="AH536" s="163"/>
      <c r="AI536" s="163"/>
      <c r="AJ536" s="163"/>
      <c r="AK536" s="163"/>
    </row>
    <row r="537" ht="13.5" customHeight="1">
      <c r="A537" s="163"/>
      <c r="B537" s="170"/>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c r="AE537" s="163"/>
      <c r="AF537" s="163"/>
      <c r="AG537" s="170"/>
      <c r="AH537" s="163"/>
      <c r="AI537" s="163"/>
      <c r="AJ537" s="163"/>
      <c r="AK537" s="163"/>
    </row>
    <row r="538" ht="13.5" customHeight="1">
      <c r="A538" s="163"/>
      <c r="B538" s="170"/>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c r="AE538" s="163"/>
      <c r="AF538" s="163"/>
      <c r="AG538" s="170"/>
      <c r="AH538" s="163"/>
      <c r="AI538" s="163"/>
      <c r="AJ538" s="163"/>
      <c r="AK538" s="163"/>
    </row>
    <row r="539" ht="13.5" customHeight="1">
      <c r="A539" s="163"/>
      <c r="B539" s="170"/>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c r="AE539" s="163"/>
      <c r="AF539" s="163"/>
      <c r="AG539" s="170"/>
      <c r="AH539" s="163"/>
      <c r="AI539" s="163"/>
      <c r="AJ539" s="163"/>
      <c r="AK539" s="163"/>
    </row>
    <row r="540" ht="13.5" customHeight="1">
      <c r="A540" s="163"/>
      <c r="B540" s="170"/>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c r="AE540" s="163"/>
      <c r="AF540" s="163"/>
      <c r="AG540" s="170"/>
      <c r="AH540" s="163"/>
      <c r="AI540" s="163"/>
      <c r="AJ540" s="163"/>
      <c r="AK540" s="163"/>
    </row>
    <row r="541" ht="13.5" customHeight="1">
      <c r="A541" s="163"/>
      <c r="B541" s="170"/>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c r="AE541" s="163"/>
      <c r="AF541" s="163"/>
      <c r="AG541" s="170"/>
      <c r="AH541" s="163"/>
      <c r="AI541" s="163"/>
      <c r="AJ541" s="163"/>
      <c r="AK541" s="163"/>
    </row>
    <row r="542" ht="13.5" customHeight="1">
      <c r="A542" s="163"/>
      <c r="B542" s="170"/>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c r="AE542" s="163"/>
      <c r="AF542" s="163"/>
      <c r="AG542" s="170"/>
      <c r="AH542" s="163"/>
      <c r="AI542" s="163"/>
      <c r="AJ542" s="163"/>
      <c r="AK542" s="163"/>
    </row>
    <row r="543" ht="13.5" customHeight="1">
      <c r="A543" s="163"/>
      <c r="B543" s="170"/>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c r="AE543" s="163"/>
      <c r="AF543" s="163"/>
      <c r="AG543" s="170"/>
      <c r="AH543" s="163"/>
      <c r="AI543" s="163"/>
      <c r="AJ543" s="163"/>
      <c r="AK543" s="163"/>
    </row>
    <row r="544" ht="13.5" customHeight="1">
      <c r="A544" s="163"/>
      <c r="B544" s="170"/>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c r="AE544" s="163"/>
      <c r="AF544" s="163"/>
      <c r="AG544" s="170"/>
      <c r="AH544" s="163"/>
      <c r="AI544" s="163"/>
      <c r="AJ544" s="163"/>
      <c r="AK544" s="163"/>
    </row>
    <row r="545" ht="13.5" customHeight="1">
      <c r="A545" s="163"/>
      <c r="B545" s="170"/>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c r="AE545" s="163"/>
      <c r="AF545" s="163"/>
      <c r="AG545" s="170"/>
      <c r="AH545" s="163"/>
      <c r="AI545" s="163"/>
      <c r="AJ545" s="163"/>
      <c r="AK545" s="163"/>
    </row>
    <row r="546" ht="13.5" customHeight="1">
      <c r="A546" s="163"/>
      <c r="B546" s="170"/>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c r="AE546" s="163"/>
      <c r="AF546" s="163"/>
      <c r="AG546" s="170"/>
      <c r="AH546" s="163"/>
      <c r="AI546" s="163"/>
      <c r="AJ546" s="163"/>
      <c r="AK546" s="163"/>
    </row>
    <row r="547" ht="13.5" customHeight="1">
      <c r="A547" s="163"/>
      <c r="B547" s="170"/>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c r="AE547" s="163"/>
      <c r="AF547" s="163"/>
      <c r="AG547" s="170"/>
      <c r="AH547" s="163"/>
      <c r="AI547" s="163"/>
      <c r="AJ547" s="163"/>
      <c r="AK547" s="163"/>
    </row>
    <row r="548" ht="13.5" customHeight="1">
      <c r="A548" s="163"/>
      <c r="B548" s="170"/>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c r="AE548" s="163"/>
      <c r="AF548" s="163"/>
      <c r="AG548" s="170"/>
      <c r="AH548" s="163"/>
      <c r="AI548" s="163"/>
      <c r="AJ548" s="163"/>
      <c r="AK548" s="163"/>
    </row>
    <row r="549" ht="13.5" customHeight="1">
      <c r="A549" s="163"/>
      <c r="B549" s="170"/>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c r="AE549" s="163"/>
      <c r="AF549" s="163"/>
      <c r="AG549" s="170"/>
      <c r="AH549" s="163"/>
      <c r="AI549" s="163"/>
      <c r="AJ549" s="163"/>
      <c r="AK549" s="163"/>
    </row>
    <row r="550" ht="13.5" customHeight="1">
      <c r="A550" s="163"/>
      <c r="B550" s="170"/>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c r="AE550" s="163"/>
      <c r="AF550" s="163"/>
      <c r="AG550" s="170"/>
      <c r="AH550" s="163"/>
      <c r="AI550" s="163"/>
      <c r="AJ550" s="163"/>
      <c r="AK550" s="163"/>
    </row>
    <row r="551" ht="13.5" customHeight="1">
      <c r="A551" s="163"/>
      <c r="B551" s="170"/>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c r="AE551" s="163"/>
      <c r="AF551" s="163"/>
      <c r="AG551" s="170"/>
      <c r="AH551" s="163"/>
      <c r="AI551" s="163"/>
      <c r="AJ551" s="163"/>
      <c r="AK551" s="163"/>
    </row>
    <row r="552" ht="13.5" customHeight="1">
      <c r="A552" s="163"/>
      <c r="B552" s="170"/>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c r="AE552" s="163"/>
      <c r="AF552" s="163"/>
      <c r="AG552" s="170"/>
      <c r="AH552" s="163"/>
      <c r="AI552" s="163"/>
      <c r="AJ552" s="163"/>
      <c r="AK552" s="163"/>
    </row>
    <row r="553" ht="13.5" customHeight="1">
      <c r="A553" s="163"/>
      <c r="B553" s="170"/>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c r="AE553" s="163"/>
      <c r="AF553" s="163"/>
      <c r="AG553" s="170"/>
      <c r="AH553" s="163"/>
      <c r="AI553" s="163"/>
      <c r="AJ553" s="163"/>
      <c r="AK553" s="163"/>
    </row>
    <row r="554" ht="13.5" customHeight="1">
      <c r="A554" s="163"/>
      <c r="B554" s="170"/>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c r="AE554" s="163"/>
      <c r="AF554" s="163"/>
      <c r="AG554" s="170"/>
      <c r="AH554" s="163"/>
      <c r="AI554" s="163"/>
      <c r="AJ554" s="163"/>
      <c r="AK554" s="163"/>
    </row>
    <row r="555" ht="13.5" customHeight="1">
      <c r="A555" s="163"/>
      <c r="B555" s="170"/>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c r="AE555" s="163"/>
      <c r="AF555" s="163"/>
      <c r="AG555" s="170"/>
      <c r="AH555" s="163"/>
      <c r="AI555" s="163"/>
      <c r="AJ555" s="163"/>
      <c r="AK555" s="163"/>
    </row>
    <row r="556" ht="13.5" customHeight="1">
      <c r="A556" s="163"/>
      <c r="B556" s="170"/>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c r="AE556" s="163"/>
      <c r="AF556" s="163"/>
      <c r="AG556" s="170"/>
      <c r="AH556" s="163"/>
      <c r="AI556" s="163"/>
      <c r="AJ556" s="163"/>
      <c r="AK556" s="163"/>
    </row>
    <row r="557" ht="13.5" customHeight="1">
      <c r="A557" s="163"/>
      <c r="B557" s="170"/>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c r="AE557" s="163"/>
      <c r="AF557" s="163"/>
      <c r="AG557" s="170"/>
      <c r="AH557" s="163"/>
      <c r="AI557" s="163"/>
      <c r="AJ557" s="163"/>
      <c r="AK557" s="163"/>
    </row>
    <row r="558" ht="13.5" customHeight="1">
      <c r="A558" s="163"/>
      <c r="B558" s="170"/>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c r="AE558" s="163"/>
      <c r="AF558" s="163"/>
      <c r="AG558" s="170"/>
      <c r="AH558" s="163"/>
      <c r="AI558" s="163"/>
      <c r="AJ558" s="163"/>
      <c r="AK558" s="163"/>
    </row>
    <row r="559" ht="13.5" customHeight="1">
      <c r="A559" s="163"/>
      <c r="B559" s="170"/>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c r="AE559" s="163"/>
      <c r="AF559" s="163"/>
      <c r="AG559" s="170"/>
      <c r="AH559" s="163"/>
      <c r="AI559" s="163"/>
      <c r="AJ559" s="163"/>
      <c r="AK559" s="163"/>
    </row>
    <row r="560" ht="13.5" customHeight="1">
      <c r="A560" s="163"/>
      <c r="B560" s="170"/>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c r="AE560" s="163"/>
      <c r="AF560" s="163"/>
      <c r="AG560" s="170"/>
      <c r="AH560" s="163"/>
      <c r="AI560" s="163"/>
      <c r="AJ560" s="163"/>
      <c r="AK560" s="163"/>
    </row>
    <row r="561" ht="13.5" customHeight="1">
      <c r="A561" s="163"/>
      <c r="B561" s="170"/>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c r="AE561" s="163"/>
      <c r="AF561" s="163"/>
      <c r="AG561" s="170"/>
      <c r="AH561" s="163"/>
      <c r="AI561" s="163"/>
      <c r="AJ561" s="163"/>
      <c r="AK561" s="163"/>
    </row>
    <row r="562" ht="13.5" customHeight="1">
      <c r="A562" s="163"/>
      <c r="B562" s="170"/>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c r="AE562" s="163"/>
      <c r="AF562" s="163"/>
      <c r="AG562" s="170"/>
      <c r="AH562" s="163"/>
      <c r="AI562" s="163"/>
      <c r="AJ562" s="163"/>
      <c r="AK562" s="163"/>
    </row>
    <row r="563" ht="13.5" customHeight="1">
      <c r="A563" s="163"/>
      <c r="B563" s="170"/>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c r="AE563" s="163"/>
      <c r="AF563" s="163"/>
      <c r="AG563" s="170"/>
      <c r="AH563" s="163"/>
      <c r="AI563" s="163"/>
      <c r="AJ563" s="163"/>
      <c r="AK563" s="163"/>
    </row>
    <row r="564" ht="13.5" customHeight="1">
      <c r="A564" s="163"/>
      <c r="B564" s="170"/>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c r="AE564" s="163"/>
      <c r="AF564" s="163"/>
      <c r="AG564" s="170"/>
      <c r="AH564" s="163"/>
      <c r="AI564" s="163"/>
      <c r="AJ564" s="163"/>
      <c r="AK564" s="163"/>
    </row>
    <row r="565" ht="13.5" customHeight="1">
      <c r="A565" s="163"/>
      <c r="B565" s="170"/>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c r="AE565" s="163"/>
      <c r="AF565" s="163"/>
      <c r="AG565" s="170"/>
      <c r="AH565" s="163"/>
      <c r="AI565" s="163"/>
      <c r="AJ565" s="163"/>
      <c r="AK565" s="163"/>
    </row>
    <row r="566" ht="13.5" customHeight="1">
      <c r="A566" s="163"/>
      <c r="B566" s="170"/>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c r="AE566" s="163"/>
      <c r="AF566" s="163"/>
      <c r="AG566" s="170"/>
      <c r="AH566" s="163"/>
      <c r="AI566" s="163"/>
      <c r="AJ566" s="163"/>
      <c r="AK566" s="163"/>
    </row>
    <row r="567" ht="13.5" customHeight="1">
      <c r="A567" s="163"/>
      <c r="B567" s="170"/>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c r="AE567" s="163"/>
      <c r="AF567" s="163"/>
      <c r="AG567" s="170"/>
      <c r="AH567" s="163"/>
      <c r="AI567" s="163"/>
      <c r="AJ567" s="163"/>
      <c r="AK567" s="163"/>
    </row>
    <row r="568" ht="13.5" customHeight="1">
      <c r="A568" s="163"/>
      <c r="B568" s="170"/>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c r="AE568" s="163"/>
      <c r="AF568" s="163"/>
      <c r="AG568" s="170"/>
      <c r="AH568" s="163"/>
      <c r="AI568" s="163"/>
      <c r="AJ568" s="163"/>
      <c r="AK568" s="163"/>
    </row>
    <row r="569" ht="13.5" customHeight="1">
      <c r="A569" s="163"/>
      <c r="B569" s="170"/>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c r="AE569" s="163"/>
      <c r="AF569" s="163"/>
      <c r="AG569" s="170"/>
      <c r="AH569" s="163"/>
      <c r="AI569" s="163"/>
      <c r="AJ569" s="163"/>
      <c r="AK569" s="163"/>
    </row>
    <row r="570" ht="13.5" customHeight="1">
      <c r="A570" s="163"/>
      <c r="B570" s="170"/>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c r="AE570" s="163"/>
      <c r="AF570" s="163"/>
      <c r="AG570" s="170"/>
      <c r="AH570" s="163"/>
      <c r="AI570" s="163"/>
      <c r="AJ570" s="163"/>
      <c r="AK570" s="163"/>
    </row>
    <row r="571" ht="13.5" customHeight="1">
      <c r="A571" s="163"/>
      <c r="B571" s="170"/>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c r="AE571" s="163"/>
      <c r="AF571" s="163"/>
      <c r="AG571" s="170"/>
      <c r="AH571" s="163"/>
      <c r="AI571" s="163"/>
      <c r="AJ571" s="163"/>
      <c r="AK571" s="163"/>
    </row>
    <row r="572" ht="13.5" customHeight="1">
      <c r="A572" s="163"/>
      <c r="B572" s="170"/>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c r="AE572" s="163"/>
      <c r="AF572" s="163"/>
      <c r="AG572" s="170"/>
      <c r="AH572" s="163"/>
      <c r="AI572" s="163"/>
      <c r="AJ572" s="163"/>
      <c r="AK572" s="163"/>
    </row>
    <row r="573" ht="13.5" customHeight="1">
      <c r="A573" s="163"/>
      <c r="B573" s="170"/>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c r="AE573" s="163"/>
      <c r="AF573" s="163"/>
      <c r="AG573" s="170"/>
      <c r="AH573" s="163"/>
      <c r="AI573" s="163"/>
      <c r="AJ573" s="163"/>
      <c r="AK573" s="163"/>
    </row>
    <row r="574" ht="13.5" customHeight="1">
      <c r="A574" s="163"/>
      <c r="B574" s="170"/>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c r="AE574" s="163"/>
      <c r="AF574" s="163"/>
      <c r="AG574" s="170"/>
      <c r="AH574" s="163"/>
      <c r="AI574" s="163"/>
      <c r="AJ574" s="163"/>
      <c r="AK574" s="163"/>
    </row>
    <row r="575" ht="13.5" customHeight="1">
      <c r="A575" s="163"/>
      <c r="B575" s="170"/>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c r="AE575" s="163"/>
      <c r="AF575" s="163"/>
      <c r="AG575" s="170"/>
      <c r="AH575" s="163"/>
      <c r="AI575" s="163"/>
      <c r="AJ575" s="163"/>
      <c r="AK575" s="163"/>
    </row>
    <row r="576" ht="13.5" customHeight="1">
      <c r="A576" s="163"/>
      <c r="B576" s="170"/>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c r="AE576" s="163"/>
      <c r="AF576" s="163"/>
      <c r="AG576" s="170"/>
      <c r="AH576" s="163"/>
      <c r="AI576" s="163"/>
      <c r="AJ576" s="163"/>
      <c r="AK576" s="163"/>
    </row>
    <row r="577" ht="13.5" customHeight="1">
      <c r="A577" s="163"/>
      <c r="B577" s="170"/>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c r="AE577" s="163"/>
      <c r="AF577" s="163"/>
      <c r="AG577" s="170"/>
      <c r="AH577" s="163"/>
      <c r="AI577" s="163"/>
      <c r="AJ577" s="163"/>
      <c r="AK577" s="163"/>
    </row>
    <row r="578" ht="13.5" customHeight="1">
      <c r="A578" s="163"/>
      <c r="B578" s="170"/>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c r="AE578" s="163"/>
      <c r="AF578" s="163"/>
      <c r="AG578" s="170"/>
      <c r="AH578" s="163"/>
      <c r="AI578" s="163"/>
      <c r="AJ578" s="163"/>
      <c r="AK578" s="163"/>
    </row>
    <row r="579" ht="13.5" customHeight="1">
      <c r="A579" s="163"/>
      <c r="B579" s="170"/>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c r="AE579" s="163"/>
      <c r="AF579" s="163"/>
      <c r="AG579" s="170"/>
      <c r="AH579" s="163"/>
      <c r="AI579" s="163"/>
      <c r="AJ579" s="163"/>
      <c r="AK579" s="163"/>
    </row>
    <row r="580" ht="13.5" customHeight="1">
      <c r="A580" s="163"/>
      <c r="B580" s="170"/>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c r="AE580" s="163"/>
      <c r="AF580" s="163"/>
      <c r="AG580" s="170"/>
      <c r="AH580" s="163"/>
      <c r="AI580" s="163"/>
      <c r="AJ580" s="163"/>
      <c r="AK580" s="163"/>
    </row>
    <row r="581" ht="13.5" customHeight="1">
      <c r="A581" s="163"/>
      <c r="B581" s="170"/>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c r="AE581" s="163"/>
      <c r="AF581" s="163"/>
      <c r="AG581" s="170"/>
      <c r="AH581" s="163"/>
      <c r="AI581" s="163"/>
      <c r="AJ581" s="163"/>
      <c r="AK581" s="163"/>
    </row>
    <row r="582" ht="13.5" customHeight="1">
      <c r="A582" s="163"/>
      <c r="B582" s="170"/>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c r="AE582" s="163"/>
      <c r="AF582" s="163"/>
      <c r="AG582" s="170"/>
      <c r="AH582" s="163"/>
      <c r="AI582" s="163"/>
      <c r="AJ582" s="163"/>
      <c r="AK582" s="163"/>
    </row>
    <row r="583" ht="13.5" customHeight="1">
      <c r="A583" s="163"/>
      <c r="B583" s="170"/>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c r="AE583" s="163"/>
      <c r="AF583" s="163"/>
      <c r="AG583" s="170"/>
      <c r="AH583" s="163"/>
      <c r="AI583" s="163"/>
      <c r="AJ583" s="163"/>
      <c r="AK583" s="163"/>
    </row>
    <row r="584" ht="13.5" customHeight="1">
      <c r="A584" s="163"/>
      <c r="B584" s="170"/>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c r="AE584" s="163"/>
      <c r="AF584" s="163"/>
      <c r="AG584" s="170"/>
      <c r="AH584" s="163"/>
      <c r="AI584" s="163"/>
      <c r="AJ584" s="163"/>
      <c r="AK584" s="163"/>
    </row>
    <row r="585" ht="13.5" customHeight="1">
      <c r="A585" s="163"/>
      <c r="B585" s="170"/>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c r="AE585" s="163"/>
      <c r="AF585" s="163"/>
      <c r="AG585" s="170"/>
      <c r="AH585" s="163"/>
      <c r="AI585" s="163"/>
      <c r="AJ585" s="163"/>
      <c r="AK585" s="163"/>
    </row>
    <row r="586" ht="13.5" customHeight="1">
      <c r="A586" s="163"/>
      <c r="B586" s="170"/>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c r="AE586" s="163"/>
      <c r="AF586" s="163"/>
      <c r="AG586" s="170"/>
      <c r="AH586" s="163"/>
      <c r="AI586" s="163"/>
      <c r="AJ586" s="163"/>
      <c r="AK586" s="163"/>
    </row>
    <row r="587" ht="13.5" customHeight="1">
      <c r="A587" s="163"/>
      <c r="B587" s="170"/>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c r="AE587" s="163"/>
      <c r="AF587" s="163"/>
      <c r="AG587" s="170"/>
      <c r="AH587" s="163"/>
      <c r="AI587" s="163"/>
      <c r="AJ587" s="163"/>
      <c r="AK587" s="163"/>
    </row>
    <row r="588" ht="13.5" customHeight="1">
      <c r="A588" s="163"/>
      <c r="B588" s="170"/>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c r="AE588" s="163"/>
      <c r="AF588" s="163"/>
      <c r="AG588" s="170"/>
      <c r="AH588" s="163"/>
      <c r="AI588" s="163"/>
      <c r="AJ588" s="163"/>
      <c r="AK588" s="163"/>
    </row>
    <row r="589" ht="13.5" customHeight="1">
      <c r="A589" s="163"/>
      <c r="B589" s="170"/>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c r="AE589" s="163"/>
      <c r="AF589" s="163"/>
      <c r="AG589" s="170"/>
      <c r="AH589" s="163"/>
      <c r="AI589" s="163"/>
      <c r="AJ589" s="163"/>
      <c r="AK589" s="163"/>
    </row>
    <row r="590" ht="13.5" customHeight="1">
      <c r="A590" s="163"/>
      <c r="B590" s="170"/>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c r="AE590" s="163"/>
      <c r="AF590" s="163"/>
      <c r="AG590" s="170"/>
      <c r="AH590" s="163"/>
      <c r="AI590" s="163"/>
      <c r="AJ590" s="163"/>
      <c r="AK590" s="163"/>
    </row>
    <row r="591" ht="13.5" customHeight="1">
      <c r="A591" s="163"/>
      <c r="B591" s="170"/>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c r="AE591" s="163"/>
      <c r="AF591" s="163"/>
      <c r="AG591" s="170"/>
      <c r="AH591" s="163"/>
      <c r="AI591" s="163"/>
      <c r="AJ591" s="163"/>
      <c r="AK591" s="163"/>
    </row>
    <row r="592" ht="13.5" customHeight="1">
      <c r="A592" s="163"/>
      <c r="B592" s="170"/>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c r="AE592" s="163"/>
      <c r="AF592" s="163"/>
      <c r="AG592" s="170"/>
      <c r="AH592" s="163"/>
      <c r="AI592" s="163"/>
      <c r="AJ592" s="163"/>
      <c r="AK592" s="163"/>
    </row>
    <row r="593" ht="13.5" customHeight="1">
      <c r="A593" s="163"/>
      <c r="B593" s="170"/>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c r="AE593" s="163"/>
      <c r="AF593" s="163"/>
      <c r="AG593" s="170"/>
      <c r="AH593" s="163"/>
      <c r="AI593" s="163"/>
      <c r="AJ593" s="163"/>
      <c r="AK593" s="163"/>
    </row>
    <row r="594" ht="13.5" customHeight="1">
      <c r="A594" s="163"/>
      <c r="B594" s="170"/>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c r="AE594" s="163"/>
      <c r="AF594" s="163"/>
      <c r="AG594" s="170"/>
      <c r="AH594" s="163"/>
      <c r="AI594" s="163"/>
      <c r="AJ594" s="163"/>
      <c r="AK594" s="163"/>
    </row>
    <row r="595" ht="13.5" customHeight="1">
      <c r="A595" s="163"/>
      <c r="B595" s="170"/>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c r="AE595" s="163"/>
      <c r="AF595" s="163"/>
      <c r="AG595" s="170"/>
      <c r="AH595" s="163"/>
      <c r="AI595" s="163"/>
      <c r="AJ595" s="163"/>
      <c r="AK595" s="163"/>
    </row>
    <row r="596" ht="13.5" customHeight="1">
      <c r="A596" s="163"/>
      <c r="B596" s="170"/>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c r="AE596" s="163"/>
      <c r="AF596" s="163"/>
      <c r="AG596" s="170"/>
      <c r="AH596" s="163"/>
      <c r="AI596" s="163"/>
      <c r="AJ596" s="163"/>
      <c r="AK596" s="163"/>
    </row>
    <row r="597" ht="13.5" customHeight="1">
      <c r="A597" s="163"/>
      <c r="B597" s="170"/>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c r="AE597" s="163"/>
      <c r="AF597" s="163"/>
      <c r="AG597" s="170"/>
      <c r="AH597" s="163"/>
      <c r="AI597" s="163"/>
      <c r="AJ597" s="163"/>
      <c r="AK597" s="163"/>
    </row>
    <row r="598" ht="13.5" customHeight="1">
      <c r="A598" s="163"/>
      <c r="B598" s="170"/>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c r="AE598" s="163"/>
      <c r="AF598" s="163"/>
      <c r="AG598" s="170"/>
      <c r="AH598" s="163"/>
      <c r="AI598" s="163"/>
      <c r="AJ598" s="163"/>
      <c r="AK598" s="163"/>
    </row>
    <row r="599" ht="13.5" customHeight="1">
      <c r="A599" s="163"/>
      <c r="B599" s="170"/>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c r="AE599" s="163"/>
      <c r="AF599" s="163"/>
      <c r="AG599" s="170"/>
      <c r="AH599" s="163"/>
      <c r="AI599" s="163"/>
      <c r="AJ599" s="163"/>
      <c r="AK599" s="163"/>
    </row>
    <row r="600" ht="13.5" customHeight="1">
      <c r="A600" s="163"/>
      <c r="B600" s="170"/>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c r="AE600" s="163"/>
      <c r="AF600" s="163"/>
      <c r="AG600" s="170"/>
      <c r="AH600" s="163"/>
      <c r="AI600" s="163"/>
      <c r="AJ600" s="163"/>
      <c r="AK600" s="163"/>
    </row>
    <row r="601" ht="13.5" customHeight="1">
      <c r="A601" s="163"/>
      <c r="B601" s="170"/>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c r="AE601" s="163"/>
      <c r="AF601" s="163"/>
      <c r="AG601" s="170"/>
      <c r="AH601" s="163"/>
      <c r="AI601" s="163"/>
      <c r="AJ601" s="163"/>
      <c r="AK601" s="163"/>
    </row>
    <row r="602" ht="13.5" customHeight="1">
      <c r="A602" s="163"/>
      <c r="B602" s="170"/>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c r="AE602" s="163"/>
      <c r="AF602" s="163"/>
      <c r="AG602" s="170"/>
      <c r="AH602" s="163"/>
      <c r="AI602" s="163"/>
      <c r="AJ602" s="163"/>
      <c r="AK602" s="163"/>
    </row>
    <row r="603" ht="13.5" customHeight="1">
      <c r="A603" s="163"/>
      <c r="B603" s="170"/>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c r="AE603" s="163"/>
      <c r="AF603" s="163"/>
      <c r="AG603" s="170"/>
      <c r="AH603" s="163"/>
      <c r="AI603" s="163"/>
      <c r="AJ603" s="163"/>
      <c r="AK603" s="163"/>
    </row>
    <row r="604" ht="13.5" customHeight="1">
      <c r="A604" s="163"/>
      <c r="B604" s="170"/>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c r="AE604" s="163"/>
      <c r="AF604" s="163"/>
      <c r="AG604" s="170"/>
      <c r="AH604" s="163"/>
      <c r="AI604" s="163"/>
      <c r="AJ604" s="163"/>
      <c r="AK604" s="163"/>
    </row>
    <row r="605" ht="13.5" customHeight="1">
      <c r="A605" s="163"/>
      <c r="B605" s="170"/>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c r="AE605" s="163"/>
      <c r="AF605" s="163"/>
      <c r="AG605" s="170"/>
      <c r="AH605" s="163"/>
      <c r="AI605" s="163"/>
      <c r="AJ605" s="163"/>
      <c r="AK605" s="163"/>
    </row>
    <row r="606" ht="13.5" customHeight="1">
      <c r="A606" s="163"/>
      <c r="B606" s="170"/>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c r="AE606" s="163"/>
      <c r="AF606" s="163"/>
      <c r="AG606" s="170"/>
      <c r="AH606" s="163"/>
      <c r="AI606" s="163"/>
      <c r="AJ606" s="163"/>
      <c r="AK606" s="163"/>
    </row>
    <row r="607" ht="13.5" customHeight="1">
      <c r="A607" s="163"/>
      <c r="B607" s="170"/>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c r="AE607" s="163"/>
      <c r="AF607" s="163"/>
      <c r="AG607" s="170"/>
      <c r="AH607" s="163"/>
      <c r="AI607" s="163"/>
      <c r="AJ607" s="163"/>
      <c r="AK607" s="163"/>
    </row>
    <row r="608" ht="13.5" customHeight="1">
      <c r="A608" s="163"/>
      <c r="B608" s="170"/>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c r="AE608" s="163"/>
      <c r="AF608" s="163"/>
      <c r="AG608" s="170"/>
      <c r="AH608" s="163"/>
      <c r="AI608" s="163"/>
      <c r="AJ608" s="163"/>
      <c r="AK608" s="163"/>
    </row>
    <row r="609" ht="13.5" customHeight="1">
      <c r="A609" s="163"/>
      <c r="B609" s="170"/>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c r="AE609" s="163"/>
      <c r="AF609" s="163"/>
      <c r="AG609" s="170"/>
      <c r="AH609" s="163"/>
      <c r="AI609" s="163"/>
      <c r="AJ609" s="163"/>
      <c r="AK609" s="163"/>
    </row>
    <row r="610" ht="13.5" customHeight="1">
      <c r="A610" s="163"/>
      <c r="B610" s="170"/>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c r="AE610" s="163"/>
      <c r="AF610" s="163"/>
      <c r="AG610" s="170"/>
      <c r="AH610" s="163"/>
      <c r="AI610" s="163"/>
      <c r="AJ610" s="163"/>
      <c r="AK610" s="163"/>
    </row>
    <row r="611" ht="13.5" customHeight="1">
      <c r="A611" s="163"/>
      <c r="B611" s="170"/>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c r="AE611" s="163"/>
      <c r="AF611" s="163"/>
      <c r="AG611" s="170"/>
      <c r="AH611" s="163"/>
      <c r="AI611" s="163"/>
      <c r="AJ611" s="163"/>
      <c r="AK611" s="163"/>
    </row>
    <row r="612" ht="13.5" customHeight="1">
      <c r="A612" s="163"/>
      <c r="B612" s="170"/>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c r="AE612" s="163"/>
      <c r="AF612" s="163"/>
      <c r="AG612" s="170"/>
      <c r="AH612" s="163"/>
      <c r="AI612" s="163"/>
      <c r="AJ612" s="163"/>
      <c r="AK612" s="163"/>
    </row>
    <row r="613" ht="13.5" customHeight="1">
      <c r="A613" s="163"/>
      <c r="B613" s="170"/>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c r="AE613" s="163"/>
      <c r="AF613" s="163"/>
      <c r="AG613" s="170"/>
      <c r="AH613" s="163"/>
      <c r="AI613" s="163"/>
      <c r="AJ613" s="163"/>
      <c r="AK613" s="163"/>
    </row>
    <row r="614" ht="13.5" customHeight="1">
      <c r="A614" s="163"/>
      <c r="B614" s="170"/>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c r="AE614" s="163"/>
      <c r="AF614" s="163"/>
      <c r="AG614" s="170"/>
      <c r="AH614" s="163"/>
      <c r="AI614" s="163"/>
      <c r="AJ614" s="163"/>
      <c r="AK614" s="163"/>
    </row>
    <row r="615" ht="13.5" customHeight="1">
      <c r="A615" s="163"/>
      <c r="B615" s="170"/>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c r="AE615" s="163"/>
      <c r="AF615" s="163"/>
      <c r="AG615" s="170"/>
      <c r="AH615" s="163"/>
      <c r="AI615" s="163"/>
      <c r="AJ615" s="163"/>
      <c r="AK615" s="163"/>
    </row>
    <row r="616" ht="13.5" customHeight="1">
      <c r="A616" s="163"/>
      <c r="B616" s="170"/>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c r="AE616" s="163"/>
      <c r="AF616" s="163"/>
      <c r="AG616" s="170"/>
      <c r="AH616" s="163"/>
      <c r="AI616" s="163"/>
      <c r="AJ616" s="163"/>
      <c r="AK616" s="163"/>
    </row>
    <row r="617" ht="13.5" customHeight="1">
      <c r="A617" s="163"/>
      <c r="B617" s="170"/>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c r="AE617" s="163"/>
      <c r="AF617" s="163"/>
      <c r="AG617" s="170"/>
      <c r="AH617" s="163"/>
      <c r="AI617" s="163"/>
      <c r="AJ617" s="163"/>
      <c r="AK617" s="163"/>
    </row>
    <row r="618" ht="13.5" customHeight="1">
      <c r="A618" s="163"/>
      <c r="B618" s="170"/>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c r="AE618" s="163"/>
      <c r="AF618" s="163"/>
      <c r="AG618" s="170"/>
      <c r="AH618" s="163"/>
      <c r="AI618" s="163"/>
      <c r="AJ618" s="163"/>
      <c r="AK618" s="163"/>
    </row>
    <row r="619" ht="13.5" customHeight="1">
      <c r="A619" s="163"/>
      <c r="B619" s="170"/>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c r="AE619" s="163"/>
      <c r="AF619" s="163"/>
      <c r="AG619" s="170"/>
      <c r="AH619" s="163"/>
      <c r="AI619" s="163"/>
      <c r="AJ619" s="163"/>
      <c r="AK619" s="163"/>
    </row>
    <row r="620" ht="13.5" customHeight="1">
      <c r="A620" s="163"/>
      <c r="B620" s="170"/>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c r="AE620" s="163"/>
      <c r="AF620" s="163"/>
      <c r="AG620" s="170"/>
      <c r="AH620" s="163"/>
      <c r="AI620" s="163"/>
      <c r="AJ620" s="163"/>
      <c r="AK620" s="163"/>
    </row>
    <row r="621" ht="13.5" customHeight="1">
      <c r="A621" s="163"/>
      <c r="B621" s="170"/>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c r="AE621" s="163"/>
      <c r="AF621" s="163"/>
      <c r="AG621" s="170"/>
      <c r="AH621" s="163"/>
      <c r="AI621" s="163"/>
      <c r="AJ621" s="163"/>
      <c r="AK621" s="163"/>
    </row>
    <row r="622" ht="13.5" customHeight="1">
      <c r="A622" s="163"/>
      <c r="B622" s="170"/>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c r="AE622" s="163"/>
      <c r="AF622" s="163"/>
      <c r="AG622" s="170"/>
      <c r="AH622" s="163"/>
      <c r="AI622" s="163"/>
      <c r="AJ622" s="163"/>
      <c r="AK622" s="163"/>
    </row>
    <row r="623" ht="13.5" customHeight="1">
      <c r="A623" s="163"/>
      <c r="B623" s="170"/>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c r="AE623" s="163"/>
      <c r="AF623" s="163"/>
      <c r="AG623" s="170"/>
      <c r="AH623" s="163"/>
      <c r="AI623" s="163"/>
      <c r="AJ623" s="163"/>
      <c r="AK623" s="163"/>
    </row>
    <row r="624" ht="13.5" customHeight="1">
      <c r="A624" s="163"/>
      <c r="B624" s="170"/>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c r="AE624" s="163"/>
      <c r="AF624" s="163"/>
      <c r="AG624" s="170"/>
      <c r="AH624" s="163"/>
      <c r="AI624" s="163"/>
      <c r="AJ624" s="163"/>
      <c r="AK624" s="163"/>
    </row>
    <row r="625" ht="13.5" customHeight="1">
      <c r="A625" s="163"/>
      <c r="B625" s="170"/>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c r="AE625" s="163"/>
      <c r="AF625" s="163"/>
      <c r="AG625" s="170"/>
      <c r="AH625" s="163"/>
      <c r="AI625" s="163"/>
      <c r="AJ625" s="163"/>
      <c r="AK625" s="163"/>
    </row>
    <row r="626" ht="13.5" customHeight="1">
      <c r="A626" s="163"/>
      <c r="B626" s="170"/>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c r="AE626" s="163"/>
      <c r="AF626" s="163"/>
      <c r="AG626" s="170"/>
      <c r="AH626" s="163"/>
      <c r="AI626" s="163"/>
      <c r="AJ626" s="163"/>
      <c r="AK626" s="163"/>
    </row>
    <row r="627" ht="13.5" customHeight="1">
      <c r="A627" s="163"/>
      <c r="B627" s="170"/>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c r="AE627" s="163"/>
      <c r="AF627" s="163"/>
      <c r="AG627" s="170"/>
      <c r="AH627" s="163"/>
      <c r="AI627" s="163"/>
      <c r="AJ627" s="163"/>
      <c r="AK627" s="163"/>
    </row>
    <row r="628" ht="13.5" customHeight="1">
      <c r="A628" s="163"/>
      <c r="B628" s="170"/>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c r="AE628" s="163"/>
      <c r="AF628" s="163"/>
      <c r="AG628" s="170"/>
      <c r="AH628" s="163"/>
      <c r="AI628" s="163"/>
      <c r="AJ628" s="163"/>
      <c r="AK628" s="163"/>
    </row>
    <row r="629" ht="13.5" customHeight="1">
      <c r="A629" s="163"/>
      <c r="B629" s="170"/>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c r="AE629" s="163"/>
      <c r="AF629" s="163"/>
      <c r="AG629" s="170"/>
      <c r="AH629" s="163"/>
      <c r="AI629" s="163"/>
      <c r="AJ629" s="163"/>
      <c r="AK629" s="163"/>
    </row>
    <row r="630" ht="13.5" customHeight="1">
      <c r="A630" s="163"/>
      <c r="B630" s="170"/>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c r="AE630" s="163"/>
      <c r="AF630" s="163"/>
      <c r="AG630" s="170"/>
      <c r="AH630" s="163"/>
      <c r="AI630" s="163"/>
      <c r="AJ630" s="163"/>
      <c r="AK630" s="163"/>
    </row>
    <row r="631" ht="13.5" customHeight="1">
      <c r="A631" s="163"/>
      <c r="B631" s="170"/>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c r="AE631" s="163"/>
      <c r="AF631" s="163"/>
      <c r="AG631" s="170"/>
      <c r="AH631" s="163"/>
      <c r="AI631" s="163"/>
      <c r="AJ631" s="163"/>
      <c r="AK631" s="163"/>
    </row>
    <row r="632" ht="13.5" customHeight="1">
      <c r="A632" s="163"/>
      <c r="B632" s="170"/>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c r="AE632" s="163"/>
      <c r="AF632" s="163"/>
      <c r="AG632" s="170"/>
      <c r="AH632" s="163"/>
      <c r="AI632" s="163"/>
      <c r="AJ632" s="163"/>
      <c r="AK632" s="163"/>
    </row>
    <row r="633" ht="13.5" customHeight="1">
      <c r="A633" s="163"/>
      <c r="B633" s="170"/>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c r="AE633" s="163"/>
      <c r="AF633" s="163"/>
      <c r="AG633" s="170"/>
      <c r="AH633" s="163"/>
      <c r="AI633" s="163"/>
      <c r="AJ633" s="163"/>
      <c r="AK633" s="163"/>
    </row>
    <row r="634" ht="13.5" customHeight="1">
      <c r="A634" s="163"/>
      <c r="B634" s="170"/>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c r="AE634" s="163"/>
      <c r="AF634" s="163"/>
      <c r="AG634" s="170"/>
      <c r="AH634" s="163"/>
      <c r="AI634" s="163"/>
      <c r="AJ634" s="163"/>
      <c r="AK634" s="163"/>
    </row>
    <row r="635" ht="13.5" customHeight="1">
      <c r="A635" s="163"/>
      <c r="B635" s="170"/>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c r="AE635" s="163"/>
      <c r="AF635" s="163"/>
      <c r="AG635" s="170"/>
      <c r="AH635" s="163"/>
      <c r="AI635" s="163"/>
      <c r="AJ635" s="163"/>
      <c r="AK635" s="163"/>
    </row>
    <row r="636" ht="13.5" customHeight="1">
      <c r="A636" s="163"/>
      <c r="B636" s="170"/>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c r="AE636" s="163"/>
      <c r="AF636" s="163"/>
      <c r="AG636" s="170"/>
      <c r="AH636" s="163"/>
      <c r="AI636" s="163"/>
      <c r="AJ636" s="163"/>
      <c r="AK636" s="163"/>
    </row>
    <row r="637" ht="13.5" customHeight="1">
      <c r="A637" s="163"/>
      <c r="B637" s="170"/>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c r="AE637" s="163"/>
      <c r="AF637" s="163"/>
      <c r="AG637" s="170"/>
      <c r="AH637" s="163"/>
      <c r="AI637" s="163"/>
      <c r="AJ637" s="163"/>
      <c r="AK637" s="163"/>
    </row>
    <row r="638" ht="13.5" customHeight="1">
      <c r="A638" s="163"/>
      <c r="B638" s="170"/>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c r="AE638" s="163"/>
      <c r="AF638" s="163"/>
      <c r="AG638" s="170"/>
      <c r="AH638" s="163"/>
      <c r="AI638" s="163"/>
      <c r="AJ638" s="163"/>
      <c r="AK638" s="163"/>
    </row>
    <row r="639" ht="13.5" customHeight="1">
      <c r="A639" s="163"/>
      <c r="B639" s="170"/>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c r="AE639" s="163"/>
      <c r="AF639" s="163"/>
      <c r="AG639" s="170"/>
      <c r="AH639" s="163"/>
      <c r="AI639" s="163"/>
      <c r="AJ639" s="163"/>
      <c r="AK639" s="163"/>
    </row>
    <row r="640" ht="13.5" customHeight="1">
      <c r="A640" s="163"/>
      <c r="B640" s="170"/>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c r="AE640" s="163"/>
      <c r="AF640" s="163"/>
      <c r="AG640" s="170"/>
      <c r="AH640" s="163"/>
      <c r="AI640" s="163"/>
      <c r="AJ640" s="163"/>
      <c r="AK640" s="163"/>
    </row>
    <row r="641" ht="13.5" customHeight="1">
      <c r="A641" s="163"/>
      <c r="B641" s="170"/>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c r="AE641" s="163"/>
      <c r="AF641" s="163"/>
      <c r="AG641" s="170"/>
      <c r="AH641" s="163"/>
      <c r="AI641" s="163"/>
      <c r="AJ641" s="163"/>
      <c r="AK641" s="163"/>
    </row>
    <row r="642" ht="13.5" customHeight="1">
      <c r="A642" s="163"/>
      <c r="B642" s="170"/>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c r="AE642" s="163"/>
      <c r="AF642" s="163"/>
      <c r="AG642" s="170"/>
      <c r="AH642" s="163"/>
      <c r="AI642" s="163"/>
      <c r="AJ642" s="163"/>
      <c r="AK642" s="163"/>
    </row>
    <row r="643" ht="13.5" customHeight="1">
      <c r="A643" s="163"/>
      <c r="B643" s="170"/>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c r="AE643" s="163"/>
      <c r="AF643" s="163"/>
      <c r="AG643" s="170"/>
      <c r="AH643" s="163"/>
      <c r="AI643" s="163"/>
      <c r="AJ643" s="163"/>
      <c r="AK643" s="163"/>
    </row>
    <row r="644" ht="13.5" customHeight="1">
      <c r="A644" s="163"/>
      <c r="B644" s="170"/>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c r="AE644" s="163"/>
      <c r="AF644" s="163"/>
      <c r="AG644" s="170"/>
      <c r="AH644" s="163"/>
      <c r="AI644" s="163"/>
      <c r="AJ644" s="163"/>
      <c r="AK644" s="163"/>
    </row>
    <row r="645" ht="13.5" customHeight="1">
      <c r="A645" s="163"/>
      <c r="B645" s="170"/>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c r="AE645" s="163"/>
      <c r="AF645" s="163"/>
      <c r="AG645" s="170"/>
      <c r="AH645" s="163"/>
      <c r="AI645" s="163"/>
      <c r="AJ645" s="163"/>
      <c r="AK645" s="163"/>
    </row>
    <row r="646" ht="13.5" customHeight="1">
      <c r="A646" s="163"/>
      <c r="B646" s="170"/>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c r="AE646" s="163"/>
      <c r="AF646" s="163"/>
      <c r="AG646" s="170"/>
      <c r="AH646" s="163"/>
      <c r="AI646" s="163"/>
      <c r="AJ646" s="163"/>
      <c r="AK646" s="163"/>
    </row>
    <row r="647" ht="13.5" customHeight="1">
      <c r="A647" s="163"/>
      <c r="B647" s="170"/>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c r="AE647" s="163"/>
      <c r="AF647" s="163"/>
      <c r="AG647" s="170"/>
      <c r="AH647" s="163"/>
      <c r="AI647" s="163"/>
      <c r="AJ647" s="163"/>
      <c r="AK647" s="163"/>
    </row>
    <row r="648" ht="13.5" customHeight="1">
      <c r="A648" s="163"/>
      <c r="B648" s="170"/>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c r="AE648" s="163"/>
      <c r="AF648" s="163"/>
      <c r="AG648" s="170"/>
      <c r="AH648" s="163"/>
      <c r="AI648" s="163"/>
      <c r="AJ648" s="163"/>
      <c r="AK648" s="163"/>
    </row>
    <row r="649" ht="13.5" customHeight="1">
      <c r="A649" s="163"/>
      <c r="B649" s="170"/>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c r="AE649" s="163"/>
      <c r="AF649" s="163"/>
      <c r="AG649" s="170"/>
      <c r="AH649" s="163"/>
      <c r="AI649" s="163"/>
      <c r="AJ649" s="163"/>
      <c r="AK649" s="163"/>
    </row>
    <row r="650" ht="13.5" customHeight="1">
      <c r="A650" s="163"/>
      <c r="B650" s="170"/>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c r="AE650" s="163"/>
      <c r="AF650" s="163"/>
      <c r="AG650" s="170"/>
      <c r="AH650" s="163"/>
      <c r="AI650" s="163"/>
      <c r="AJ650" s="163"/>
      <c r="AK650" s="163"/>
    </row>
    <row r="651" ht="13.5" customHeight="1">
      <c r="A651" s="163"/>
      <c r="B651" s="170"/>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c r="AE651" s="163"/>
      <c r="AF651" s="163"/>
      <c r="AG651" s="170"/>
      <c r="AH651" s="163"/>
      <c r="AI651" s="163"/>
      <c r="AJ651" s="163"/>
      <c r="AK651" s="163"/>
    </row>
    <row r="652" ht="13.5" customHeight="1">
      <c r="A652" s="163"/>
      <c r="B652" s="170"/>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c r="AE652" s="163"/>
      <c r="AF652" s="163"/>
      <c r="AG652" s="170"/>
      <c r="AH652" s="163"/>
      <c r="AI652" s="163"/>
      <c r="AJ652" s="163"/>
      <c r="AK652" s="163"/>
    </row>
    <row r="653" ht="13.5" customHeight="1">
      <c r="A653" s="163"/>
      <c r="B653" s="170"/>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c r="AE653" s="163"/>
      <c r="AF653" s="163"/>
      <c r="AG653" s="170"/>
      <c r="AH653" s="163"/>
      <c r="AI653" s="163"/>
      <c r="AJ653" s="163"/>
      <c r="AK653" s="163"/>
    </row>
    <row r="654" ht="13.5" customHeight="1">
      <c r="A654" s="163"/>
      <c r="B654" s="170"/>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c r="AE654" s="163"/>
      <c r="AF654" s="163"/>
      <c r="AG654" s="170"/>
      <c r="AH654" s="163"/>
      <c r="AI654" s="163"/>
      <c r="AJ654" s="163"/>
      <c r="AK654" s="163"/>
    </row>
    <row r="655" ht="13.5" customHeight="1">
      <c r="A655" s="163"/>
      <c r="B655" s="170"/>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c r="AE655" s="163"/>
      <c r="AF655" s="163"/>
      <c r="AG655" s="170"/>
      <c r="AH655" s="163"/>
      <c r="AI655" s="163"/>
      <c r="AJ655" s="163"/>
      <c r="AK655" s="163"/>
    </row>
    <row r="656" ht="13.5" customHeight="1">
      <c r="A656" s="163"/>
      <c r="B656" s="170"/>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c r="AE656" s="163"/>
      <c r="AF656" s="163"/>
      <c r="AG656" s="170"/>
      <c r="AH656" s="163"/>
      <c r="AI656" s="163"/>
      <c r="AJ656" s="163"/>
      <c r="AK656" s="163"/>
    </row>
    <row r="657" ht="13.5" customHeight="1">
      <c r="A657" s="163"/>
      <c r="B657" s="170"/>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c r="AE657" s="163"/>
      <c r="AF657" s="163"/>
      <c r="AG657" s="170"/>
      <c r="AH657" s="163"/>
      <c r="AI657" s="163"/>
      <c r="AJ657" s="163"/>
      <c r="AK657" s="163"/>
    </row>
    <row r="658" ht="13.5" customHeight="1">
      <c r="A658" s="163"/>
      <c r="B658" s="170"/>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c r="AE658" s="163"/>
      <c r="AF658" s="163"/>
      <c r="AG658" s="170"/>
      <c r="AH658" s="163"/>
      <c r="AI658" s="163"/>
      <c r="AJ658" s="163"/>
      <c r="AK658" s="163"/>
    </row>
    <row r="659" ht="13.5" customHeight="1">
      <c r="A659" s="163"/>
      <c r="B659" s="170"/>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c r="AE659" s="163"/>
      <c r="AF659" s="163"/>
      <c r="AG659" s="170"/>
      <c r="AH659" s="163"/>
      <c r="AI659" s="163"/>
      <c r="AJ659" s="163"/>
      <c r="AK659" s="163"/>
    </row>
    <row r="660" ht="13.5" customHeight="1">
      <c r="A660" s="163"/>
      <c r="B660" s="170"/>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c r="AE660" s="163"/>
      <c r="AF660" s="163"/>
      <c r="AG660" s="170"/>
      <c r="AH660" s="163"/>
      <c r="AI660" s="163"/>
      <c r="AJ660" s="163"/>
      <c r="AK660" s="163"/>
    </row>
    <row r="661" ht="13.5" customHeight="1">
      <c r="A661" s="163"/>
      <c r="B661" s="170"/>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c r="AE661" s="163"/>
      <c r="AF661" s="163"/>
      <c r="AG661" s="170"/>
      <c r="AH661" s="163"/>
      <c r="AI661" s="163"/>
      <c r="AJ661" s="163"/>
      <c r="AK661" s="163"/>
    </row>
    <row r="662" ht="13.5" customHeight="1">
      <c r="A662" s="163"/>
      <c r="B662" s="170"/>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c r="AE662" s="163"/>
      <c r="AF662" s="163"/>
      <c r="AG662" s="170"/>
      <c r="AH662" s="163"/>
      <c r="AI662" s="163"/>
      <c r="AJ662" s="163"/>
      <c r="AK662" s="163"/>
    </row>
    <row r="663" ht="13.5" customHeight="1">
      <c r="A663" s="163"/>
      <c r="B663" s="170"/>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c r="AE663" s="163"/>
      <c r="AF663" s="163"/>
      <c r="AG663" s="170"/>
      <c r="AH663" s="163"/>
      <c r="AI663" s="163"/>
      <c r="AJ663" s="163"/>
      <c r="AK663" s="163"/>
    </row>
    <row r="664" ht="13.5" customHeight="1">
      <c r="A664" s="163"/>
      <c r="B664" s="170"/>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c r="AE664" s="163"/>
      <c r="AF664" s="163"/>
      <c r="AG664" s="170"/>
      <c r="AH664" s="163"/>
      <c r="AI664" s="163"/>
      <c r="AJ664" s="163"/>
      <c r="AK664" s="163"/>
    </row>
    <row r="665" ht="13.5" customHeight="1">
      <c r="A665" s="163"/>
      <c r="B665" s="170"/>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c r="AE665" s="163"/>
      <c r="AF665" s="163"/>
      <c r="AG665" s="170"/>
      <c r="AH665" s="163"/>
      <c r="AI665" s="163"/>
      <c r="AJ665" s="163"/>
      <c r="AK665" s="163"/>
    </row>
    <row r="666" ht="13.5" customHeight="1">
      <c r="A666" s="163"/>
      <c r="B666" s="170"/>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c r="AE666" s="163"/>
      <c r="AF666" s="163"/>
      <c r="AG666" s="170"/>
      <c r="AH666" s="163"/>
      <c r="AI666" s="163"/>
      <c r="AJ666" s="163"/>
      <c r="AK666" s="163"/>
    </row>
    <row r="667" ht="13.5" customHeight="1">
      <c r="A667" s="163"/>
      <c r="B667" s="170"/>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c r="AE667" s="163"/>
      <c r="AF667" s="163"/>
      <c r="AG667" s="170"/>
      <c r="AH667" s="163"/>
      <c r="AI667" s="163"/>
      <c r="AJ667" s="163"/>
      <c r="AK667" s="163"/>
    </row>
    <row r="668" ht="13.5" customHeight="1">
      <c r="A668" s="163"/>
      <c r="B668" s="170"/>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c r="AE668" s="163"/>
      <c r="AF668" s="163"/>
      <c r="AG668" s="170"/>
      <c r="AH668" s="163"/>
      <c r="AI668" s="163"/>
      <c r="AJ668" s="163"/>
      <c r="AK668" s="163"/>
    </row>
    <row r="669" ht="13.5" customHeight="1">
      <c r="A669" s="163"/>
      <c r="B669" s="170"/>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c r="AE669" s="163"/>
      <c r="AF669" s="163"/>
      <c r="AG669" s="170"/>
      <c r="AH669" s="163"/>
      <c r="AI669" s="163"/>
      <c r="AJ669" s="163"/>
      <c r="AK669" s="163"/>
    </row>
    <row r="670" ht="13.5" customHeight="1">
      <c r="A670" s="163"/>
      <c r="B670" s="170"/>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c r="AE670" s="163"/>
      <c r="AF670" s="163"/>
      <c r="AG670" s="170"/>
      <c r="AH670" s="163"/>
      <c r="AI670" s="163"/>
      <c r="AJ670" s="163"/>
      <c r="AK670" s="163"/>
    </row>
    <row r="671" ht="13.5" customHeight="1">
      <c r="A671" s="163"/>
      <c r="B671" s="170"/>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c r="AE671" s="163"/>
      <c r="AF671" s="163"/>
      <c r="AG671" s="170"/>
      <c r="AH671" s="163"/>
      <c r="AI671" s="163"/>
      <c r="AJ671" s="163"/>
      <c r="AK671" s="163"/>
    </row>
    <row r="672" ht="13.5" customHeight="1">
      <c r="A672" s="163"/>
      <c r="B672" s="170"/>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c r="AE672" s="163"/>
      <c r="AF672" s="163"/>
      <c r="AG672" s="170"/>
      <c r="AH672" s="163"/>
      <c r="AI672" s="163"/>
      <c r="AJ672" s="163"/>
      <c r="AK672" s="163"/>
    </row>
    <row r="673" ht="13.5" customHeight="1">
      <c r="A673" s="163"/>
      <c r="B673" s="170"/>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c r="AE673" s="163"/>
      <c r="AF673" s="163"/>
      <c r="AG673" s="170"/>
      <c r="AH673" s="163"/>
      <c r="AI673" s="163"/>
      <c r="AJ673" s="163"/>
      <c r="AK673" s="163"/>
    </row>
    <row r="674" ht="13.5" customHeight="1">
      <c r="A674" s="163"/>
      <c r="B674" s="170"/>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c r="AE674" s="163"/>
      <c r="AF674" s="163"/>
      <c r="AG674" s="170"/>
      <c r="AH674" s="163"/>
      <c r="AI674" s="163"/>
      <c r="AJ674" s="163"/>
      <c r="AK674" s="163"/>
    </row>
    <row r="675" ht="13.5" customHeight="1">
      <c r="A675" s="163"/>
      <c r="B675" s="170"/>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c r="AE675" s="163"/>
      <c r="AF675" s="163"/>
      <c r="AG675" s="170"/>
      <c r="AH675" s="163"/>
      <c r="AI675" s="163"/>
      <c r="AJ675" s="163"/>
      <c r="AK675" s="163"/>
    </row>
    <row r="676" ht="13.5" customHeight="1">
      <c r="A676" s="163"/>
      <c r="B676" s="170"/>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c r="AE676" s="163"/>
      <c r="AF676" s="163"/>
      <c r="AG676" s="170"/>
      <c r="AH676" s="163"/>
      <c r="AI676" s="163"/>
      <c r="AJ676" s="163"/>
      <c r="AK676" s="163"/>
    </row>
    <row r="677" ht="13.5" customHeight="1">
      <c r="A677" s="163"/>
      <c r="B677" s="170"/>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c r="AE677" s="163"/>
      <c r="AF677" s="163"/>
      <c r="AG677" s="170"/>
      <c r="AH677" s="163"/>
      <c r="AI677" s="163"/>
      <c r="AJ677" s="163"/>
      <c r="AK677" s="163"/>
    </row>
    <row r="678" ht="13.5" customHeight="1">
      <c r="A678" s="163"/>
      <c r="B678" s="170"/>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c r="AE678" s="163"/>
      <c r="AF678" s="163"/>
      <c r="AG678" s="170"/>
      <c r="AH678" s="163"/>
      <c r="AI678" s="163"/>
      <c r="AJ678" s="163"/>
      <c r="AK678" s="163"/>
    </row>
    <row r="679" ht="13.5" customHeight="1">
      <c r="A679" s="163"/>
      <c r="B679" s="170"/>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c r="AE679" s="163"/>
      <c r="AF679" s="163"/>
      <c r="AG679" s="170"/>
      <c r="AH679" s="163"/>
      <c r="AI679" s="163"/>
      <c r="AJ679" s="163"/>
      <c r="AK679" s="163"/>
    </row>
    <row r="680" ht="13.5" customHeight="1">
      <c r="A680" s="163"/>
      <c r="B680" s="170"/>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c r="AE680" s="163"/>
      <c r="AF680" s="163"/>
      <c r="AG680" s="170"/>
      <c r="AH680" s="163"/>
      <c r="AI680" s="163"/>
      <c r="AJ680" s="163"/>
      <c r="AK680" s="163"/>
    </row>
    <row r="681" ht="13.5" customHeight="1">
      <c r="A681" s="163"/>
      <c r="B681" s="170"/>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c r="AE681" s="163"/>
      <c r="AF681" s="163"/>
      <c r="AG681" s="170"/>
      <c r="AH681" s="163"/>
      <c r="AI681" s="163"/>
      <c r="AJ681" s="163"/>
      <c r="AK681" s="163"/>
    </row>
    <row r="682" ht="13.5" customHeight="1">
      <c r="A682" s="163"/>
      <c r="B682" s="170"/>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c r="AE682" s="163"/>
      <c r="AF682" s="163"/>
      <c r="AG682" s="170"/>
      <c r="AH682" s="163"/>
      <c r="AI682" s="163"/>
      <c r="AJ682" s="163"/>
      <c r="AK682" s="163"/>
    </row>
    <row r="683" ht="13.5" customHeight="1">
      <c r="A683" s="163"/>
      <c r="B683" s="170"/>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c r="AE683" s="163"/>
      <c r="AF683" s="163"/>
      <c r="AG683" s="170"/>
      <c r="AH683" s="163"/>
      <c r="AI683" s="163"/>
      <c r="AJ683" s="163"/>
      <c r="AK683" s="163"/>
    </row>
    <row r="684" ht="13.5" customHeight="1">
      <c r="A684" s="163"/>
      <c r="B684" s="170"/>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c r="AE684" s="163"/>
      <c r="AF684" s="163"/>
      <c r="AG684" s="170"/>
      <c r="AH684" s="163"/>
      <c r="AI684" s="163"/>
      <c r="AJ684" s="163"/>
      <c r="AK684" s="163"/>
    </row>
    <row r="685" ht="13.5" customHeight="1">
      <c r="A685" s="163"/>
      <c r="B685" s="170"/>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c r="AE685" s="163"/>
      <c r="AF685" s="163"/>
      <c r="AG685" s="170"/>
      <c r="AH685" s="163"/>
      <c r="AI685" s="163"/>
      <c r="AJ685" s="163"/>
      <c r="AK685" s="163"/>
    </row>
    <row r="686" ht="13.5" customHeight="1">
      <c r="A686" s="163"/>
      <c r="B686" s="170"/>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c r="AE686" s="163"/>
      <c r="AF686" s="163"/>
      <c r="AG686" s="170"/>
      <c r="AH686" s="163"/>
      <c r="AI686" s="163"/>
      <c r="AJ686" s="163"/>
      <c r="AK686" s="163"/>
    </row>
    <row r="687" ht="13.5" customHeight="1">
      <c r="A687" s="163"/>
      <c r="B687" s="170"/>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c r="AE687" s="163"/>
      <c r="AF687" s="163"/>
      <c r="AG687" s="170"/>
      <c r="AH687" s="163"/>
      <c r="AI687" s="163"/>
      <c r="AJ687" s="163"/>
      <c r="AK687" s="163"/>
    </row>
    <row r="688" ht="13.5" customHeight="1">
      <c r="A688" s="163"/>
      <c r="B688" s="170"/>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c r="AE688" s="163"/>
      <c r="AF688" s="163"/>
      <c r="AG688" s="170"/>
      <c r="AH688" s="163"/>
      <c r="AI688" s="163"/>
      <c r="AJ688" s="163"/>
      <c r="AK688" s="163"/>
    </row>
    <row r="689" ht="13.5" customHeight="1">
      <c r="A689" s="163"/>
      <c r="B689" s="170"/>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c r="AE689" s="163"/>
      <c r="AF689" s="163"/>
      <c r="AG689" s="170"/>
      <c r="AH689" s="163"/>
      <c r="AI689" s="163"/>
      <c r="AJ689" s="163"/>
      <c r="AK689" s="163"/>
    </row>
    <row r="690" ht="13.5" customHeight="1">
      <c r="A690" s="163"/>
      <c r="B690" s="170"/>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c r="AE690" s="163"/>
      <c r="AF690" s="163"/>
      <c r="AG690" s="170"/>
      <c r="AH690" s="163"/>
      <c r="AI690" s="163"/>
      <c r="AJ690" s="163"/>
      <c r="AK690" s="163"/>
    </row>
    <row r="691" ht="13.5" customHeight="1">
      <c r="A691" s="163"/>
      <c r="B691" s="170"/>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c r="AE691" s="163"/>
      <c r="AF691" s="163"/>
      <c r="AG691" s="170"/>
      <c r="AH691" s="163"/>
      <c r="AI691" s="163"/>
      <c r="AJ691" s="163"/>
      <c r="AK691" s="163"/>
    </row>
    <row r="692" ht="13.5" customHeight="1">
      <c r="A692" s="163"/>
      <c r="B692" s="170"/>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c r="AE692" s="163"/>
      <c r="AF692" s="163"/>
      <c r="AG692" s="170"/>
      <c r="AH692" s="163"/>
      <c r="AI692" s="163"/>
      <c r="AJ692" s="163"/>
      <c r="AK692" s="163"/>
    </row>
    <row r="693" ht="13.5" customHeight="1">
      <c r="A693" s="163"/>
      <c r="B693" s="170"/>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c r="AE693" s="163"/>
      <c r="AF693" s="163"/>
      <c r="AG693" s="170"/>
      <c r="AH693" s="163"/>
      <c r="AI693" s="163"/>
      <c r="AJ693" s="163"/>
      <c r="AK693" s="163"/>
    </row>
    <row r="694" ht="13.5" customHeight="1">
      <c r="A694" s="163"/>
      <c r="B694" s="170"/>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c r="AE694" s="163"/>
      <c r="AF694" s="163"/>
      <c r="AG694" s="170"/>
      <c r="AH694" s="163"/>
      <c r="AI694" s="163"/>
      <c r="AJ694" s="163"/>
      <c r="AK694" s="163"/>
    </row>
    <row r="695" ht="13.5" customHeight="1">
      <c r="A695" s="163"/>
      <c r="B695" s="170"/>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c r="AE695" s="163"/>
      <c r="AF695" s="163"/>
      <c r="AG695" s="170"/>
      <c r="AH695" s="163"/>
      <c r="AI695" s="163"/>
      <c r="AJ695" s="163"/>
      <c r="AK695" s="163"/>
    </row>
    <row r="696" ht="13.5" customHeight="1">
      <c r="A696" s="163"/>
      <c r="B696" s="170"/>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c r="AE696" s="163"/>
      <c r="AF696" s="163"/>
      <c r="AG696" s="170"/>
      <c r="AH696" s="163"/>
      <c r="AI696" s="163"/>
      <c r="AJ696" s="163"/>
      <c r="AK696" s="163"/>
    </row>
    <row r="697" ht="13.5" customHeight="1">
      <c r="A697" s="163"/>
      <c r="B697" s="170"/>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c r="AE697" s="163"/>
      <c r="AF697" s="163"/>
      <c r="AG697" s="170"/>
      <c r="AH697" s="163"/>
      <c r="AI697" s="163"/>
      <c r="AJ697" s="163"/>
      <c r="AK697" s="163"/>
    </row>
    <row r="698" ht="13.5" customHeight="1">
      <c r="A698" s="163"/>
      <c r="B698" s="170"/>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c r="AE698" s="163"/>
      <c r="AF698" s="163"/>
      <c r="AG698" s="170"/>
      <c r="AH698" s="163"/>
      <c r="AI698" s="163"/>
      <c r="AJ698" s="163"/>
      <c r="AK698" s="163"/>
    </row>
    <row r="699" ht="13.5" customHeight="1">
      <c r="A699" s="163"/>
      <c r="B699" s="170"/>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c r="AE699" s="163"/>
      <c r="AF699" s="163"/>
      <c r="AG699" s="170"/>
      <c r="AH699" s="163"/>
      <c r="AI699" s="163"/>
      <c r="AJ699" s="163"/>
      <c r="AK699" s="163"/>
    </row>
    <row r="700" ht="13.5" customHeight="1">
      <c r="A700" s="163"/>
      <c r="B700" s="170"/>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c r="AE700" s="163"/>
      <c r="AF700" s="163"/>
      <c r="AG700" s="170"/>
      <c r="AH700" s="163"/>
      <c r="AI700" s="163"/>
      <c r="AJ700" s="163"/>
      <c r="AK700" s="163"/>
    </row>
    <row r="701" ht="13.5" customHeight="1">
      <c r="A701" s="163"/>
      <c r="B701" s="170"/>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c r="AE701" s="163"/>
      <c r="AF701" s="163"/>
      <c r="AG701" s="170"/>
      <c r="AH701" s="163"/>
      <c r="AI701" s="163"/>
      <c r="AJ701" s="163"/>
      <c r="AK701" s="163"/>
    </row>
    <row r="702" ht="13.5" customHeight="1">
      <c r="A702" s="163"/>
      <c r="B702" s="170"/>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c r="AE702" s="163"/>
      <c r="AF702" s="163"/>
      <c r="AG702" s="170"/>
      <c r="AH702" s="163"/>
      <c r="AI702" s="163"/>
      <c r="AJ702" s="163"/>
      <c r="AK702" s="163"/>
    </row>
    <row r="703" ht="13.5" customHeight="1">
      <c r="A703" s="163"/>
      <c r="B703" s="170"/>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c r="AE703" s="163"/>
      <c r="AF703" s="163"/>
      <c r="AG703" s="170"/>
      <c r="AH703" s="163"/>
      <c r="AI703" s="163"/>
      <c r="AJ703" s="163"/>
      <c r="AK703" s="163"/>
    </row>
    <row r="704" ht="13.5" customHeight="1">
      <c r="A704" s="163"/>
      <c r="B704" s="170"/>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c r="AE704" s="163"/>
      <c r="AF704" s="163"/>
      <c r="AG704" s="170"/>
      <c r="AH704" s="163"/>
      <c r="AI704" s="163"/>
      <c r="AJ704" s="163"/>
      <c r="AK704" s="163"/>
    </row>
    <row r="705" ht="13.5" customHeight="1">
      <c r="A705" s="163"/>
      <c r="B705" s="170"/>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c r="AE705" s="163"/>
      <c r="AF705" s="163"/>
      <c r="AG705" s="170"/>
      <c r="AH705" s="163"/>
      <c r="AI705" s="163"/>
      <c r="AJ705" s="163"/>
      <c r="AK705" s="163"/>
    </row>
    <row r="706" ht="13.5" customHeight="1">
      <c r="A706" s="163"/>
      <c r="B706" s="170"/>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c r="AE706" s="163"/>
      <c r="AF706" s="163"/>
      <c r="AG706" s="170"/>
      <c r="AH706" s="163"/>
      <c r="AI706" s="163"/>
      <c r="AJ706" s="163"/>
      <c r="AK706" s="163"/>
    </row>
    <row r="707" ht="13.5" customHeight="1">
      <c r="A707" s="163"/>
      <c r="B707" s="170"/>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c r="AE707" s="163"/>
      <c r="AF707" s="163"/>
      <c r="AG707" s="170"/>
      <c r="AH707" s="163"/>
      <c r="AI707" s="163"/>
      <c r="AJ707" s="163"/>
      <c r="AK707" s="163"/>
    </row>
    <row r="708" ht="13.5" customHeight="1">
      <c r="A708" s="163"/>
      <c r="B708" s="170"/>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c r="AE708" s="163"/>
      <c r="AF708" s="163"/>
      <c r="AG708" s="170"/>
      <c r="AH708" s="163"/>
      <c r="AI708" s="163"/>
      <c r="AJ708" s="163"/>
      <c r="AK708" s="163"/>
    </row>
    <row r="709" ht="13.5" customHeight="1">
      <c r="A709" s="163"/>
      <c r="B709" s="170"/>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c r="AE709" s="163"/>
      <c r="AF709" s="163"/>
      <c r="AG709" s="170"/>
      <c r="AH709" s="163"/>
      <c r="AI709" s="163"/>
      <c r="AJ709" s="163"/>
      <c r="AK709" s="163"/>
    </row>
    <row r="710" ht="13.5" customHeight="1">
      <c r="A710" s="163"/>
      <c r="B710" s="170"/>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c r="AE710" s="163"/>
      <c r="AF710" s="163"/>
      <c r="AG710" s="170"/>
      <c r="AH710" s="163"/>
      <c r="AI710" s="163"/>
      <c r="AJ710" s="163"/>
      <c r="AK710" s="163"/>
    </row>
    <row r="711" ht="13.5" customHeight="1">
      <c r="A711" s="163"/>
      <c r="B711" s="170"/>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c r="AE711" s="163"/>
      <c r="AF711" s="163"/>
      <c r="AG711" s="170"/>
      <c r="AH711" s="163"/>
      <c r="AI711" s="163"/>
      <c r="AJ711" s="163"/>
      <c r="AK711" s="163"/>
    </row>
    <row r="712" ht="13.5" customHeight="1">
      <c r="A712" s="163"/>
      <c r="B712" s="170"/>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c r="AE712" s="163"/>
      <c r="AF712" s="163"/>
      <c r="AG712" s="170"/>
      <c r="AH712" s="163"/>
      <c r="AI712" s="163"/>
      <c r="AJ712" s="163"/>
      <c r="AK712" s="163"/>
    </row>
    <row r="713" ht="13.5" customHeight="1">
      <c r="A713" s="163"/>
      <c r="B713" s="170"/>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c r="AE713" s="163"/>
      <c r="AF713" s="163"/>
      <c r="AG713" s="170"/>
      <c r="AH713" s="163"/>
      <c r="AI713" s="163"/>
      <c r="AJ713" s="163"/>
      <c r="AK713" s="163"/>
    </row>
    <row r="714" ht="13.5" customHeight="1">
      <c r="A714" s="163"/>
      <c r="B714" s="170"/>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c r="AE714" s="163"/>
      <c r="AF714" s="163"/>
      <c r="AG714" s="170"/>
      <c r="AH714" s="163"/>
      <c r="AI714" s="163"/>
      <c r="AJ714" s="163"/>
      <c r="AK714" s="163"/>
    </row>
    <row r="715" ht="13.5" customHeight="1">
      <c r="A715" s="163"/>
      <c r="B715" s="170"/>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c r="AE715" s="163"/>
      <c r="AF715" s="163"/>
      <c r="AG715" s="170"/>
      <c r="AH715" s="163"/>
      <c r="AI715" s="163"/>
      <c r="AJ715" s="163"/>
      <c r="AK715" s="163"/>
    </row>
    <row r="716" ht="13.5" customHeight="1">
      <c r="A716" s="163"/>
      <c r="B716" s="170"/>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c r="AE716" s="163"/>
      <c r="AF716" s="163"/>
      <c r="AG716" s="170"/>
      <c r="AH716" s="163"/>
      <c r="AI716" s="163"/>
      <c r="AJ716" s="163"/>
      <c r="AK716" s="163"/>
    </row>
    <row r="717" ht="13.5" customHeight="1">
      <c r="A717" s="163"/>
      <c r="B717" s="170"/>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c r="AE717" s="163"/>
      <c r="AF717" s="163"/>
      <c r="AG717" s="170"/>
      <c r="AH717" s="163"/>
      <c r="AI717" s="163"/>
      <c r="AJ717" s="163"/>
      <c r="AK717" s="163"/>
    </row>
    <row r="718" ht="13.5" customHeight="1">
      <c r="A718" s="163"/>
      <c r="B718" s="170"/>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c r="AE718" s="163"/>
      <c r="AF718" s="163"/>
      <c r="AG718" s="170"/>
      <c r="AH718" s="163"/>
      <c r="AI718" s="163"/>
      <c r="AJ718" s="163"/>
      <c r="AK718" s="163"/>
    </row>
    <row r="719" ht="13.5" customHeight="1">
      <c r="A719" s="163"/>
      <c r="B719" s="170"/>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c r="AE719" s="163"/>
      <c r="AF719" s="163"/>
      <c r="AG719" s="170"/>
      <c r="AH719" s="163"/>
      <c r="AI719" s="163"/>
      <c r="AJ719" s="163"/>
      <c r="AK719" s="163"/>
    </row>
    <row r="720" ht="13.5" customHeight="1">
      <c r="A720" s="163"/>
      <c r="B720" s="170"/>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c r="AE720" s="163"/>
      <c r="AF720" s="163"/>
      <c r="AG720" s="170"/>
      <c r="AH720" s="163"/>
      <c r="AI720" s="163"/>
      <c r="AJ720" s="163"/>
      <c r="AK720" s="163"/>
    </row>
    <row r="721" ht="13.5" customHeight="1">
      <c r="A721" s="163"/>
      <c r="B721" s="170"/>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c r="AE721" s="163"/>
      <c r="AF721" s="163"/>
      <c r="AG721" s="170"/>
      <c r="AH721" s="163"/>
      <c r="AI721" s="163"/>
      <c r="AJ721" s="163"/>
      <c r="AK721" s="163"/>
    </row>
    <row r="722" ht="13.5" customHeight="1">
      <c r="A722" s="163"/>
      <c r="B722" s="170"/>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c r="AE722" s="163"/>
      <c r="AF722" s="163"/>
      <c r="AG722" s="170"/>
      <c r="AH722" s="163"/>
      <c r="AI722" s="163"/>
      <c r="AJ722" s="163"/>
      <c r="AK722" s="163"/>
    </row>
    <row r="723" ht="13.5" customHeight="1">
      <c r="A723" s="163"/>
      <c r="B723" s="170"/>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c r="AE723" s="163"/>
      <c r="AF723" s="163"/>
      <c r="AG723" s="170"/>
      <c r="AH723" s="163"/>
      <c r="AI723" s="163"/>
      <c r="AJ723" s="163"/>
      <c r="AK723" s="163"/>
    </row>
    <row r="724" ht="13.5" customHeight="1">
      <c r="A724" s="163"/>
      <c r="B724" s="170"/>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c r="AE724" s="163"/>
      <c r="AF724" s="163"/>
      <c r="AG724" s="170"/>
      <c r="AH724" s="163"/>
      <c r="AI724" s="163"/>
      <c r="AJ724" s="163"/>
      <c r="AK724" s="163"/>
    </row>
    <row r="725" ht="13.5" customHeight="1">
      <c r="A725" s="163"/>
      <c r="B725" s="170"/>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c r="AE725" s="163"/>
      <c r="AF725" s="163"/>
      <c r="AG725" s="170"/>
      <c r="AH725" s="163"/>
      <c r="AI725" s="163"/>
      <c r="AJ725" s="163"/>
      <c r="AK725" s="163"/>
    </row>
    <row r="726" ht="13.5" customHeight="1">
      <c r="A726" s="163"/>
      <c r="B726" s="170"/>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c r="AE726" s="163"/>
      <c r="AF726" s="163"/>
      <c r="AG726" s="170"/>
      <c r="AH726" s="163"/>
      <c r="AI726" s="163"/>
      <c r="AJ726" s="163"/>
      <c r="AK726" s="163"/>
    </row>
    <row r="727" ht="13.5" customHeight="1">
      <c r="A727" s="163"/>
      <c r="B727" s="170"/>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c r="AE727" s="163"/>
      <c r="AF727" s="163"/>
      <c r="AG727" s="170"/>
      <c r="AH727" s="163"/>
      <c r="AI727" s="163"/>
      <c r="AJ727" s="163"/>
      <c r="AK727" s="163"/>
    </row>
    <row r="728" ht="13.5" customHeight="1">
      <c r="A728" s="163"/>
      <c r="B728" s="170"/>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c r="AE728" s="163"/>
      <c r="AF728" s="163"/>
      <c r="AG728" s="170"/>
      <c r="AH728" s="163"/>
      <c r="AI728" s="163"/>
      <c r="AJ728" s="163"/>
      <c r="AK728" s="163"/>
    </row>
    <row r="729" ht="13.5" customHeight="1">
      <c r="A729" s="163"/>
      <c r="B729" s="170"/>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c r="AE729" s="163"/>
      <c r="AF729" s="163"/>
      <c r="AG729" s="170"/>
      <c r="AH729" s="163"/>
      <c r="AI729" s="163"/>
      <c r="AJ729" s="163"/>
      <c r="AK729" s="163"/>
    </row>
    <row r="730" ht="13.5" customHeight="1">
      <c r="A730" s="163"/>
      <c r="B730" s="170"/>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c r="AE730" s="163"/>
      <c r="AF730" s="163"/>
      <c r="AG730" s="170"/>
      <c r="AH730" s="163"/>
      <c r="AI730" s="163"/>
      <c r="AJ730" s="163"/>
      <c r="AK730" s="163"/>
    </row>
    <row r="731" ht="13.5" customHeight="1">
      <c r="A731" s="163"/>
      <c r="B731" s="170"/>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c r="AE731" s="163"/>
      <c r="AF731" s="163"/>
      <c r="AG731" s="170"/>
      <c r="AH731" s="163"/>
      <c r="AI731" s="163"/>
      <c r="AJ731" s="163"/>
      <c r="AK731" s="163"/>
    </row>
    <row r="732" ht="13.5" customHeight="1">
      <c r="A732" s="163"/>
      <c r="B732" s="170"/>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c r="AE732" s="163"/>
      <c r="AF732" s="163"/>
      <c r="AG732" s="170"/>
      <c r="AH732" s="163"/>
      <c r="AI732" s="163"/>
      <c r="AJ732" s="163"/>
      <c r="AK732" s="163"/>
    </row>
    <row r="733" ht="13.5" customHeight="1">
      <c r="A733" s="163"/>
      <c r="B733" s="170"/>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c r="AE733" s="163"/>
      <c r="AF733" s="163"/>
      <c r="AG733" s="170"/>
      <c r="AH733" s="163"/>
      <c r="AI733" s="163"/>
      <c r="AJ733" s="163"/>
      <c r="AK733" s="163"/>
    </row>
    <row r="734" ht="13.5" customHeight="1">
      <c r="A734" s="163"/>
      <c r="B734" s="170"/>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c r="AE734" s="163"/>
      <c r="AF734" s="163"/>
      <c r="AG734" s="170"/>
      <c r="AH734" s="163"/>
      <c r="AI734" s="163"/>
      <c r="AJ734" s="163"/>
      <c r="AK734" s="163"/>
    </row>
    <row r="735" ht="13.5" customHeight="1">
      <c r="A735" s="163"/>
      <c r="B735" s="170"/>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c r="AE735" s="163"/>
      <c r="AF735" s="163"/>
      <c r="AG735" s="170"/>
      <c r="AH735" s="163"/>
      <c r="AI735" s="163"/>
      <c r="AJ735" s="163"/>
      <c r="AK735" s="163"/>
    </row>
    <row r="736" ht="13.5" customHeight="1">
      <c r="A736" s="163"/>
      <c r="B736" s="170"/>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c r="AE736" s="163"/>
      <c r="AF736" s="163"/>
      <c r="AG736" s="170"/>
      <c r="AH736" s="163"/>
      <c r="AI736" s="163"/>
      <c r="AJ736" s="163"/>
      <c r="AK736" s="163"/>
    </row>
    <row r="737" ht="13.5" customHeight="1">
      <c r="A737" s="163"/>
      <c r="B737" s="170"/>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c r="AE737" s="163"/>
      <c r="AF737" s="163"/>
      <c r="AG737" s="170"/>
      <c r="AH737" s="163"/>
      <c r="AI737" s="163"/>
      <c r="AJ737" s="163"/>
      <c r="AK737" s="163"/>
    </row>
    <row r="738" ht="13.5" customHeight="1">
      <c r="A738" s="163"/>
      <c r="B738" s="170"/>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c r="AE738" s="163"/>
      <c r="AF738" s="163"/>
      <c r="AG738" s="170"/>
      <c r="AH738" s="163"/>
      <c r="AI738" s="163"/>
      <c r="AJ738" s="163"/>
      <c r="AK738" s="163"/>
    </row>
    <row r="739" ht="13.5" customHeight="1">
      <c r="A739" s="163"/>
      <c r="B739" s="170"/>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c r="AE739" s="163"/>
      <c r="AF739" s="163"/>
      <c r="AG739" s="170"/>
      <c r="AH739" s="163"/>
      <c r="AI739" s="163"/>
      <c r="AJ739" s="163"/>
      <c r="AK739" s="163"/>
    </row>
    <row r="740" ht="13.5" customHeight="1">
      <c r="A740" s="163"/>
      <c r="B740" s="170"/>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c r="AE740" s="163"/>
      <c r="AF740" s="163"/>
      <c r="AG740" s="170"/>
      <c r="AH740" s="163"/>
      <c r="AI740" s="163"/>
      <c r="AJ740" s="163"/>
      <c r="AK740" s="163"/>
    </row>
    <row r="741" ht="13.5" customHeight="1">
      <c r="A741" s="163"/>
      <c r="B741" s="170"/>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c r="AE741" s="163"/>
      <c r="AF741" s="163"/>
      <c r="AG741" s="170"/>
      <c r="AH741" s="163"/>
      <c r="AI741" s="163"/>
      <c r="AJ741" s="163"/>
      <c r="AK741" s="163"/>
    </row>
    <row r="742" ht="13.5" customHeight="1">
      <c r="A742" s="163"/>
      <c r="B742" s="170"/>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c r="AE742" s="163"/>
      <c r="AF742" s="163"/>
      <c r="AG742" s="170"/>
      <c r="AH742" s="163"/>
      <c r="AI742" s="163"/>
      <c r="AJ742" s="163"/>
      <c r="AK742" s="163"/>
    </row>
    <row r="743" ht="13.5" customHeight="1">
      <c r="A743" s="163"/>
      <c r="B743" s="170"/>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c r="AE743" s="163"/>
      <c r="AF743" s="163"/>
      <c r="AG743" s="170"/>
      <c r="AH743" s="163"/>
      <c r="AI743" s="163"/>
      <c r="AJ743" s="163"/>
      <c r="AK743" s="163"/>
    </row>
    <row r="744" ht="13.5" customHeight="1">
      <c r="A744" s="163"/>
      <c r="B744" s="170"/>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c r="AE744" s="163"/>
      <c r="AF744" s="163"/>
      <c r="AG744" s="170"/>
      <c r="AH744" s="163"/>
      <c r="AI744" s="163"/>
      <c r="AJ744" s="163"/>
      <c r="AK744" s="163"/>
    </row>
    <row r="745" ht="13.5" customHeight="1">
      <c r="A745" s="163"/>
      <c r="B745" s="170"/>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c r="AE745" s="163"/>
      <c r="AF745" s="163"/>
      <c r="AG745" s="170"/>
      <c r="AH745" s="163"/>
      <c r="AI745" s="163"/>
      <c r="AJ745" s="163"/>
      <c r="AK745" s="163"/>
    </row>
    <row r="746" ht="13.5" customHeight="1">
      <c r="A746" s="163"/>
      <c r="B746" s="170"/>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c r="AE746" s="163"/>
      <c r="AF746" s="163"/>
      <c r="AG746" s="170"/>
      <c r="AH746" s="163"/>
      <c r="AI746" s="163"/>
      <c r="AJ746" s="163"/>
      <c r="AK746" s="163"/>
    </row>
    <row r="747" ht="13.5" customHeight="1">
      <c r="A747" s="163"/>
      <c r="B747" s="170"/>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c r="AE747" s="163"/>
      <c r="AF747" s="163"/>
      <c r="AG747" s="170"/>
      <c r="AH747" s="163"/>
      <c r="AI747" s="163"/>
      <c r="AJ747" s="163"/>
      <c r="AK747" s="163"/>
    </row>
    <row r="748" ht="13.5" customHeight="1">
      <c r="A748" s="163"/>
      <c r="B748" s="170"/>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c r="AE748" s="163"/>
      <c r="AF748" s="163"/>
      <c r="AG748" s="170"/>
      <c r="AH748" s="163"/>
      <c r="AI748" s="163"/>
      <c r="AJ748" s="163"/>
      <c r="AK748" s="163"/>
    </row>
    <row r="749" ht="13.5" customHeight="1">
      <c r="A749" s="163"/>
      <c r="B749" s="170"/>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c r="AE749" s="163"/>
      <c r="AF749" s="163"/>
      <c r="AG749" s="170"/>
      <c r="AH749" s="163"/>
      <c r="AI749" s="163"/>
      <c r="AJ749" s="163"/>
      <c r="AK749" s="163"/>
    </row>
    <row r="750" ht="13.5" customHeight="1">
      <c r="A750" s="163"/>
      <c r="B750" s="170"/>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c r="AE750" s="163"/>
      <c r="AF750" s="163"/>
      <c r="AG750" s="170"/>
      <c r="AH750" s="163"/>
      <c r="AI750" s="163"/>
      <c r="AJ750" s="163"/>
      <c r="AK750" s="163"/>
    </row>
    <row r="751" ht="13.5" customHeight="1">
      <c r="A751" s="163"/>
      <c r="B751" s="170"/>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c r="AE751" s="163"/>
      <c r="AF751" s="163"/>
      <c r="AG751" s="170"/>
      <c r="AH751" s="163"/>
      <c r="AI751" s="163"/>
      <c r="AJ751" s="163"/>
      <c r="AK751" s="163"/>
    </row>
    <row r="752" ht="13.5" customHeight="1">
      <c r="A752" s="163"/>
      <c r="B752" s="170"/>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c r="AE752" s="163"/>
      <c r="AF752" s="163"/>
      <c r="AG752" s="170"/>
      <c r="AH752" s="163"/>
      <c r="AI752" s="163"/>
      <c r="AJ752" s="163"/>
      <c r="AK752" s="163"/>
    </row>
    <row r="753" ht="13.5" customHeight="1">
      <c r="A753" s="163"/>
      <c r="B753" s="170"/>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c r="AE753" s="163"/>
      <c r="AF753" s="163"/>
      <c r="AG753" s="170"/>
      <c r="AH753" s="163"/>
      <c r="AI753" s="163"/>
      <c r="AJ753" s="163"/>
      <c r="AK753" s="163"/>
    </row>
    <row r="754" ht="13.5" customHeight="1">
      <c r="A754" s="163"/>
      <c r="B754" s="170"/>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c r="AE754" s="163"/>
      <c r="AF754" s="163"/>
      <c r="AG754" s="170"/>
      <c r="AH754" s="163"/>
      <c r="AI754" s="163"/>
      <c r="AJ754" s="163"/>
      <c r="AK754" s="163"/>
    </row>
    <row r="755" ht="13.5" customHeight="1">
      <c r="A755" s="163"/>
      <c r="B755" s="170"/>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c r="AE755" s="163"/>
      <c r="AF755" s="163"/>
      <c r="AG755" s="170"/>
      <c r="AH755" s="163"/>
      <c r="AI755" s="163"/>
      <c r="AJ755" s="163"/>
      <c r="AK755" s="163"/>
    </row>
    <row r="756" ht="13.5" customHeight="1">
      <c r="A756" s="163"/>
      <c r="B756" s="170"/>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c r="AE756" s="163"/>
      <c r="AF756" s="163"/>
      <c r="AG756" s="170"/>
      <c r="AH756" s="163"/>
      <c r="AI756" s="163"/>
      <c r="AJ756" s="163"/>
      <c r="AK756" s="163"/>
    </row>
    <row r="757" ht="13.5" customHeight="1">
      <c r="A757" s="163"/>
      <c r="B757" s="170"/>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c r="AE757" s="163"/>
      <c r="AF757" s="163"/>
      <c r="AG757" s="170"/>
      <c r="AH757" s="163"/>
      <c r="AI757" s="163"/>
      <c r="AJ757" s="163"/>
      <c r="AK757" s="163"/>
    </row>
    <row r="758" ht="13.5" customHeight="1">
      <c r="A758" s="163"/>
      <c r="B758" s="170"/>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c r="AE758" s="163"/>
      <c r="AF758" s="163"/>
      <c r="AG758" s="170"/>
      <c r="AH758" s="163"/>
      <c r="AI758" s="163"/>
      <c r="AJ758" s="163"/>
      <c r="AK758" s="163"/>
    </row>
    <row r="759" ht="13.5" customHeight="1">
      <c r="A759" s="163"/>
      <c r="B759" s="170"/>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c r="AE759" s="163"/>
      <c r="AF759" s="163"/>
      <c r="AG759" s="170"/>
      <c r="AH759" s="163"/>
      <c r="AI759" s="163"/>
      <c r="AJ759" s="163"/>
      <c r="AK759" s="163"/>
    </row>
    <row r="760" ht="13.5" customHeight="1">
      <c r="A760" s="163"/>
      <c r="B760" s="170"/>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c r="AE760" s="163"/>
      <c r="AF760" s="163"/>
      <c r="AG760" s="170"/>
      <c r="AH760" s="163"/>
      <c r="AI760" s="163"/>
      <c r="AJ760" s="163"/>
      <c r="AK760" s="163"/>
    </row>
    <row r="761" ht="13.5" customHeight="1">
      <c r="A761" s="163"/>
      <c r="B761" s="170"/>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c r="AE761" s="163"/>
      <c r="AF761" s="163"/>
      <c r="AG761" s="170"/>
      <c r="AH761" s="163"/>
      <c r="AI761" s="163"/>
      <c r="AJ761" s="163"/>
      <c r="AK761" s="163"/>
    </row>
    <row r="762" ht="13.5" customHeight="1">
      <c r="A762" s="163"/>
      <c r="B762" s="170"/>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c r="AE762" s="163"/>
      <c r="AF762" s="163"/>
      <c r="AG762" s="170"/>
      <c r="AH762" s="163"/>
      <c r="AI762" s="163"/>
      <c r="AJ762" s="163"/>
      <c r="AK762" s="163"/>
    </row>
    <row r="763" ht="13.5" customHeight="1">
      <c r="A763" s="163"/>
      <c r="B763" s="170"/>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c r="AE763" s="163"/>
      <c r="AF763" s="163"/>
      <c r="AG763" s="170"/>
      <c r="AH763" s="163"/>
      <c r="AI763" s="163"/>
      <c r="AJ763" s="163"/>
      <c r="AK763" s="163"/>
    </row>
    <row r="764" ht="13.5" customHeight="1">
      <c r="A764" s="163"/>
      <c r="B764" s="170"/>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c r="AE764" s="163"/>
      <c r="AF764" s="163"/>
      <c r="AG764" s="170"/>
      <c r="AH764" s="163"/>
      <c r="AI764" s="163"/>
      <c r="AJ764" s="163"/>
      <c r="AK764" s="163"/>
    </row>
    <row r="765" ht="13.5" customHeight="1">
      <c r="A765" s="163"/>
      <c r="B765" s="170"/>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c r="AE765" s="163"/>
      <c r="AF765" s="163"/>
      <c r="AG765" s="170"/>
      <c r="AH765" s="163"/>
      <c r="AI765" s="163"/>
      <c r="AJ765" s="163"/>
      <c r="AK765" s="163"/>
    </row>
    <row r="766" ht="13.5" customHeight="1">
      <c r="A766" s="163"/>
      <c r="B766" s="170"/>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c r="AE766" s="163"/>
      <c r="AF766" s="163"/>
      <c r="AG766" s="170"/>
      <c r="AH766" s="163"/>
      <c r="AI766" s="163"/>
      <c r="AJ766" s="163"/>
      <c r="AK766" s="163"/>
    </row>
    <row r="767" ht="13.5" customHeight="1">
      <c r="A767" s="163"/>
      <c r="B767" s="170"/>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c r="AE767" s="163"/>
      <c r="AF767" s="163"/>
      <c r="AG767" s="170"/>
      <c r="AH767" s="163"/>
      <c r="AI767" s="163"/>
      <c r="AJ767" s="163"/>
      <c r="AK767" s="163"/>
    </row>
    <row r="768" ht="13.5" customHeight="1">
      <c r="A768" s="163"/>
      <c r="B768" s="170"/>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c r="AE768" s="163"/>
      <c r="AF768" s="163"/>
      <c r="AG768" s="170"/>
      <c r="AH768" s="163"/>
      <c r="AI768" s="163"/>
      <c r="AJ768" s="163"/>
      <c r="AK768" s="163"/>
    </row>
    <row r="769" ht="13.5" customHeight="1">
      <c r="A769" s="163"/>
      <c r="B769" s="170"/>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c r="AE769" s="163"/>
      <c r="AF769" s="163"/>
      <c r="AG769" s="170"/>
      <c r="AH769" s="163"/>
      <c r="AI769" s="163"/>
      <c r="AJ769" s="163"/>
      <c r="AK769" s="163"/>
    </row>
    <row r="770" ht="13.5" customHeight="1">
      <c r="A770" s="163"/>
      <c r="B770" s="170"/>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c r="AE770" s="163"/>
      <c r="AF770" s="163"/>
      <c r="AG770" s="170"/>
      <c r="AH770" s="163"/>
      <c r="AI770" s="163"/>
      <c r="AJ770" s="163"/>
      <c r="AK770" s="163"/>
    </row>
    <row r="771" ht="13.5" customHeight="1">
      <c r="A771" s="163"/>
      <c r="B771" s="170"/>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c r="AE771" s="163"/>
      <c r="AF771" s="163"/>
      <c r="AG771" s="170"/>
      <c r="AH771" s="163"/>
      <c r="AI771" s="163"/>
      <c r="AJ771" s="163"/>
      <c r="AK771" s="163"/>
    </row>
    <row r="772" ht="13.5" customHeight="1">
      <c r="A772" s="163"/>
      <c r="B772" s="170"/>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c r="AE772" s="163"/>
      <c r="AF772" s="163"/>
      <c r="AG772" s="170"/>
      <c r="AH772" s="163"/>
      <c r="AI772" s="163"/>
      <c r="AJ772" s="163"/>
      <c r="AK772" s="163"/>
    </row>
    <row r="773" ht="13.5" customHeight="1">
      <c r="A773" s="163"/>
      <c r="B773" s="170"/>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c r="AE773" s="163"/>
      <c r="AF773" s="163"/>
      <c r="AG773" s="170"/>
      <c r="AH773" s="163"/>
      <c r="AI773" s="163"/>
      <c r="AJ773" s="163"/>
      <c r="AK773" s="163"/>
    </row>
    <row r="774" ht="13.5" customHeight="1">
      <c r="A774" s="163"/>
      <c r="B774" s="170"/>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c r="AE774" s="163"/>
      <c r="AF774" s="163"/>
      <c r="AG774" s="170"/>
      <c r="AH774" s="163"/>
      <c r="AI774" s="163"/>
      <c r="AJ774" s="163"/>
      <c r="AK774" s="163"/>
    </row>
    <row r="775" ht="13.5" customHeight="1">
      <c r="A775" s="163"/>
      <c r="B775" s="170"/>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c r="AE775" s="163"/>
      <c r="AF775" s="163"/>
      <c r="AG775" s="170"/>
      <c r="AH775" s="163"/>
      <c r="AI775" s="163"/>
      <c r="AJ775" s="163"/>
      <c r="AK775" s="163"/>
    </row>
    <row r="776" ht="13.5" customHeight="1">
      <c r="A776" s="163"/>
      <c r="B776" s="170"/>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c r="AE776" s="163"/>
      <c r="AF776" s="163"/>
      <c r="AG776" s="170"/>
      <c r="AH776" s="163"/>
      <c r="AI776" s="163"/>
      <c r="AJ776" s="163"/>
      <c r="AK776" s="163"/>
    </row>
    <row r="777" ht="13.5" customHeight="1">
      <c r="A777" s="163"/>
      <c r="B777" s="170"/>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c r="AE777" s="163"/>
      <c r="AF777" s="163"/>
      <c r="AG777" s="170"/>
      <c r="AH777" s="163"/>
      <c r="AI777" s="163"/>
      <c r="AJ777" s="163"/>
      <c r="AK777" s="163"/>
    </row>
    <row r="778" ht="13.5" customHeight="1">
      <c r="A778" s="163"/>
      <c r="B778" s="170"/>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c r="AE778" s="163"/>
      <c r="AF778" s="163"/>
      <c r="AG778" s="170"/>
      <c r="AH778" s="163"/>
      <c r="AI778" s="163"/>
      <c r="AJ778" s="163"/>
      <c r="AK778" s="163"/>
    </row>
    <row r="779" ht="13.5" customHeight="1">
      <c r="A779" s="163"/>
      <c r="B779" s="170"/>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c r="AE779" s="163"/>
      <c r="AF779" s="163"/>
      <c r="AG779" s="170"/>
      <c r="AH779" s="163"/>
      <c r="AI779" s="163"/>
      <c r="AJ779" s="163"/>
      <c r="AK779" s="163"/>
    </row>
    <row r="780" ht="13.5" customHeight="1">
      <c r="A780" s="163"/>
      <c r="B780" s="170"/>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c r="AE780" s="163"/>
      <c r="AF780" s="163"/>
      <c r="AG780" s="170"/>
      <c r="AH780" s="163"/>
      <c r="AI780" s="163"/>
      <c r="AJ780" s="163"/>
      <c r="AK780" s="163"/>
    </row>
    <row r="781" ht="13.5" customHeight="1">
      <c r="A781" s="163"/>
      <c r="B781" s="170"/>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c r="AE781" s="163"/>
      <c r="AF781" s="163"/>
      <c r="AG781" s="170"/>
      <c r="AH781" s="163"/>
      <c r="AI781" s="163"/>
      <c r="AJ781" s="163"/>
      <c r="AK781" s="163"/>
    </row>
    <row r="782" ht="13.5" customHeight="1">
      <c r="A782" s="163"/>
      <c r="B782" s="170"/>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c r="AE782" s="163"/>
      <c r="AF782" s="163"/>
      <c r="AG782" s="170"/>
      <c r="AH782" s="163"/>
      <c r="AI782" s="163"/>
      <c r="AJ782" s="163"/>
      <c r="AK782" s="163"/>
    </row>
    <row r="783" ht="13.5" customHeight="1">
      <c r="A783" s="163"/>
      <c r="B783" s="170"/>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c r="AE783" s="163"/>
      <c r="AF783" s="163"/>
      <c r="AG783" s="170"/>
      <c r="AH783" s="163"/>
      <c r="AI783" s="163"/>
      <c r="AJ783" s="163"/>
      <c r="AK783" s="163"/>
    </row>
    <row r="784" ht="13.5" customHeight="1">
      <c r="A784" s="163"/>
      <c r="B784" s="170"/>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c r="AE784" s="163"/>
      <c r="AF784" s="163"/>
      <c r="AG784" s="170"/>
      <c r="AH784" s="163"/>
      <c r="AI784" s="163"/>
      <c r="AJ784" s="163"/>
      <c r="AK784" s="163"/>
    </row>
    <row r="785" ht="13.5" customHeight="1">
      <c r="A785" s="163"/>
      <c r="B785" s="170"/>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c r="AE785" s="163"/>
      <c r="AF785" s="163"/>
      <c r="AG785" s="170"/>
      <c r="AH785" s="163"/>
      <c r="AI785" s="163"/>
      <c r="AJ785" s="163"/>
      <c r="AK785" s="163"/>
    </row>
    <row r="786" ht="13.5" customHeight="1">
      <c r="A786" s="163"/>
      <c r="B786" s="170"/>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c r="AE786" s="163"/>
      <c r="AF786" s="163"/>
      <c r="AG786" s="170"/>
      <c r="AH786" s="163"/>
      <c r="AI786" s="163"/>
      <c r="AJ786" s="163"/>
      <c r="AK786" s="163"/>
    </row>
    <row r="787" ht="13.5" customHeight="1">
      <c r="A787" s="163"/>
      <c r="B787" s="170"/>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c r="AE787" s="163"/>
      <c r="AF787" s="163"/>
      <c r="AG787" s="170"/>
      <c r="AH787" s="163"/>
      <c r="AI787" s="163"/>
      <c r="AJ787" s="163"/>
      <c r="AK787" s="163"/>
    </row>
    <row r="788" ht="13.5" customHeight="1">
      <c r="A788" s="163"/>
      <c r="B788" s="170"/>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c r="AE788" s="163"/>
      <c r="AF788" s="163"/>
      <c r="AG788" s="170"/>
      <c r="AH788" s="163"/>
      <c r="AI788" s="163"/>
      <c r="AJ788" s="163"/>
      <c r="AK788" s="163"/>
    </row>
    <row r="789" ht="13.5" customHeight="1">
      <c r="A789" s="163"/>
      <c r="B789" s="170"/>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c r="AE789" s="163"/>
      <c r="AF789" s="163"/>
      <c r="AG789" s="170"/>
      <c r="AH789" s="163"/>
      <c r="AI789" s="163"/>
      <c r="AJ789" s="163"/>
      <c r="AK789" s="163"/>
    </row>
    <row r="790" ht="13.5" customHeight="1">
      <c r="A790" s="163"/>
      <c r="B790" s="170"/>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c r="AE790" s="163"/>
      <c r="AF790" s="163"/>
      <c r="AG790" s="170"/>
      <c r="AH790" s="163"/>
      <c r="AI790" s="163"/>
      <c r="AJ790" s="163"/>
      <c r="AK790" s="163"/>
    </row>
    <row r="791" ht="13.5" customHeight="1">
      <c r="A791" s="163"/>
      <c r="B791" s="170"/>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c r="AE791" s="163"/>
      <c r="AF791" s="163"/>
      <c r="AG791" s="170"/>
      <c r="AH791" s="163"/>
      <c r="AI791" s="163"/>
      <c r="AJ791" s="163"/>
      <c r="AK791" s="163"/>
    </row>
    <row r="792" ht="13.5" customHeight="1">
      <c r="A792" s="163"/>
      <c r="B792" s="170"/>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c r="AE792" s="163"/>
      <c r="AF792" s="163"/>
      <c r="AG792" s="170"/>
      <c r="AH792" s="163"/>
      <c r="AI792" s="163"/>
      <c r="AJ792" s="163"/>
      <c r="AK792" s="163"/>
    </row>
    <row r="793" ht="13.5" customHeight="1">
      <c r="A793" s="163"/>
      <c r="B793" s="170"/>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c r="AE793" s="163"/>
      <c r="AF793" s="163"/>
      <c r="AG793" s="170"/>
      <c r="AH793" s="163"/>
      <c r="AI793" s="163"/>
      <c r="AJ793" s="163"/>
      <c r="AK793" s="163"/>
    </row>
    <row r="794" ht="13.5" customHeight="1">
      <c r="A794" s="163"/>
      <c r="B794" s="170"/>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c r="AE794" s="163"/>
      <c r="AF794" s="163"/>
      <c r="AG794" s="170"/>
      <c r="AH794" s="163"/>
      <c r="AI794" s="163"/>
      <c r="AJ794" s="163"/>
      <c r="AK794" s="163"/>
    </row>
    <row r="795" ht="13.5" customHeight="1">
      <c r="A795" s="163"/>
      <c r="B795" s="170"/>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c r="AE795" s="163"/>
      <c r="AF795" s="163"/>
      <c r="AG795" s="170"/>
      <c r="AH795" s="163"/>
      <c r="AI795" s="163"/>
      <c r="AJ795" s="163"/>
      <c r="AK795" s="163"/>
    </row>
    <row r="796" ht="13.5" customHeight="1">
      <c r="A796" s="163"/>
      <c r="B796" s="170"/>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c r="AE796" s="163"/>
      <c r="AF796" s="163"/>
      <c r="AG796" s="170"/>
      <c r="AH796" s="163"/>
      <c r="AI796" s="163"/>
      <c r="AJ796" s="163"/>
      <c r="AK796" s="163"/>
    </row>
    <row r="797" ht="13.5" customHeight="1">
      <c r="A797" s="163"/>
      <c r="B797" s="170"/>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c r="AE797" s="163"/>
      <c r="AF797" s="163"/>
      <c r="AG797" s="170"/>
      <c r="AH797" s="163"/>
      <c r="AI797" s="163"/>
      <c r="AJ797" s="163"/>
      <c r="AK797" s="163"/>
    </row>
    <row r="798" ht="13.5" customHeight="1">
      <c r="A798" s="163"/>
      <c r="B798" s="170"/>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c r="AE798" s="163"/>
      <c r="AF798" s="163"/>
      <c r="AG798" s="170"/>
      <c r="AH798" s="163"/>
      <c r="AI798" s="163"/>
      <c r="AJ798" s="163"/>
      <c r="AK798" s="163"/>
    </row>
    <row r="799" ht="13.5" customHeight="1">
      <c r="A799" s="163"/>
      <c r="B799" s="170"/>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c r="AE799" s="163"/>
      <c r="AF799" s="163"/>
      <c r="AG799" s="170"/>
      <c r="AH799" s="163"/>
      <c r="AI799" s="163"/>
      <c r="AJ799" s="163"/>
      <c r="AK799" s="163"/>
    </row>
    <row r="800" ht="13.5" customHeight="1">
      <c r="A800" s="163"/>
      <c r="B800" s="170"/>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c r="AE800" s="163"/>
      <c r="AF800" s="163"/>
      <c r="AG800" s="170"/>
      <c r="AH800" s="163"/>
      <c r="AI800" s="163"/>
      <c r="AJ800" s="163"/>
      <c r="AK800" s="163"/>
    </row>
    <row r="801" ht="13.5" customHeight="1">
      <c r="A801" s="163"/>
      <c r="B801" s="170"/>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c r="AE801" s="163"/>
      <c r="AF801" s="163"/>
      <c r="AG801" s="170"/>
      <c r="AH801" s="163"/>
      <c r="AI801" s="163"/>
      <c r="AJ801" s="163"/>
      <c r="AK801" s="163"/>
    </row>
    <row r="802" ht="13.5" customHeight="1">
      <c r="A802" s="163"/>
      <c r="B802" s="170"/>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c r="AE802" s="163"/>
      <c r="AF802" s="163"/>
      <c r="AG802" s="170"/>
      <c r="AH802" s="163"/>
      <c r="AI802" s="163"/>
      <c r="AJ802" s="163"/>
      <c r="AK802" s="163"/>
    </row>
    <row r="803" ht="13.5" customHeight="1">
      <c r="A803" s="163"/>
      <c r="B803" s="170"/>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c r="AE803" s="163"/>
      <c r="AF803" s="163"/>
      <c r="AG803" s="170"/>
      <c r="AH803" s="163"/>
      <c r="AI803" s="163"/>
      <c r="AJ803" s="163"/>
      <c r="AK803" s="163"/>
    </row>
    <row r="804" ht="13.5" customHeight="1">
      <c r="A804" s="163"/>
      <c r="B804" s="170"/>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c r="AE804" s="163"/>
      <c r="AF804" s="163"/>
      <c r="AG804" s="170"/>
      <c r="AH804" s="163"/>
      <c r="AI804" s="163"/>
      <c r="AJ804" s="163"/>
      <c r="AK804" s="163"/>
    </row>
    <row r="805" ht="13.5" customHeight="1">
      <c r="A805" s="163"/>
      <c r="B805" s="170"/>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c r="AE805" s="163"/>
      <c r="AF805" s="163"/>
      <c r="AG805" s="170"/>
      <c r="AH805" s="163"/>
      <c r="AI805" s="163"/>
      <c r="AJ805" s="163"/>
      <c r="AK805" s="163"/>
    </row>
    <row r="806" ht="13.5" customHeight="1">
      <c r="A806" s="163"/>
      <c r="B806" s="170"/>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c r="AE806" s="163"/>
      <c r="AF806" s="163"/>
      <c r="AG806" s="170"/>
      <c r="AH806" s="163"/>
      <c r="AI806" s="163"/>
      <c r="AJ806" s="163"/>
      <c r="AK806" s="163"/>
    </row>
    <row r="807" ht="13.5" customHeight="1">
      <c r="A807" s="163"/>
      <c r="B807" s="170"/>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c r="AE807" s="163"/>
      <c r="AF807" s="163"/>
      <c r="AG807" s="170"/>
      <c r="AH807" s="163"/>
      <c r="AI807" s="163"/>
      <c r="AJ807" s="163"/>
      <c r="AK807" s="163"/>
    </row>
    <row r="808" ht="13.5" customHeight="1">
      <c r="A808" s="163"/>
      <c r="B808" s="170"/>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c r="AE808" s="163"/>
      <c r="AF808" s="163"/>
      <c r="AG808" s="170"/>
      <c r="AH808" s="163"/>
      <c r="AI808" s="163"/>
      <c r="AJ808" s="163"/>
      <c r="AK808" s="163"/>
    </row>
    <row r="809" ht="13.5" customHeight="1">
      <c r="A809" s="163"/>
      <c r="B809" s="170"/>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c r="AE809" s="163"/>
      <c r="AF809" s="163"/>
      <c r="AG809" s="170"/>
      <c r="AH809" s="163"/>
      <c r="AI809" s="163"/>
      <c r="AJ809" s="163"/>
      <c r="AK809" s="163"/>
    </row>
    <row r="810" ht="13.5" customHeight="1">
      <c r="A810" s="163"/>
      <c r="B810" s="170"/>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c r="AE810" s="163"/>
      <c r="AF810" s="163"/>
      <c r="AG810" s="170"/>
      <c r="AH810" s="163"/>
      <c r="AI810" s="163"/>
      <c r="AJ810" s="163"/>
      <c r="AK810" s="163"/>
    </row>
    <row r="811" ht="13.5" customHeight="1">
      <c r="A811" s="163"/>
      <c r="B811" s="170"/>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c r="AE811" s="163"/>
      <c r="AF811" s="163"/>
      <c r="AG811" s="170"/>
      <c r="AH811" s="163"/>
      <c r="AI811" s="163"/>
      <c r="AJ811" s="163"/>
      <c r="AK811" s="163"/>
    </row>
    <row r="812" ht="13.5" customHeight="1">
      <c r="A812" s="163"/>
      <c r="B812" s="170"/>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c r="AE812" s="163"/>
      <c r="AF812" s="163"/>
      <c r="AG812" s="170"/>
      <c r="AH812" s="163"/>
      <c r="AI812" s="163"/>
      <c r="AJ812" s="163"/>
      <c r="AK812" s="163"/>
    </row>
    <row r="813" ht="13.5" customHeight="1">
      <c r="A813" s="163"/>
      <c r="B813" s="170"/>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c r="AE813" s="163"/>
      <c r="AF813" s="163"/>
      <c r="AG813" s="170"/>
      <c r="AH813" s="163"/>
      <c r="AI813" s="163"/>
      <c r="AJ813" s="163"/>
      <c r="AK813" s="163"/>
    </row>
    <row r="814" ht="13.5" customHeight="1">
      <c r="A814" s="163"/>
      <c r="B814" s="170"/>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c r="AE814" s="163"/>
      <c r="AF814" s="163"/>
      <c r="AG814" s="170"/>
      <c r="AH814" s="163"/>
      <c r="AI814" s="163"/>
      <c r="AJ814" s="163"/>
      <c r="AK814" s="163"/>
    </row>
    <row r="815" ht="13.5" customHeight="1">
      <c r="A815" s="163"/>
      <c r="B815" s="170"/>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c r="AA815" s="163"/>
      <c r="AB815" s="163"/>
      <c r="AC815" s="163"/>
      <c r="AD815" s="163"/>
      <c r="AE815" s="163"/>
      <c r="AF815" s="163"/>
      <c r="AG815" s="170"/>
      <c r="AH815" s="163"/>
      <c r="AI815" s="163"/>
      <c r="AJ815" s="163"/>
      <c r="AK815" s="163"/>
    </row>
    <row r="816" ht="13.5" customHeight="1">
      <c r="A816" s="163"/>
      <c r="B816" s="170"/>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c r="AA816" s="163"/>
      <c r="AB816" s="163"/>
      <c r="AC816" s="163"/>
      <c r="AD816" s="163"/>
      <c r="AE816" s="163"/>
      <c r="AF816" s="163"/>
      <c r="AG816" s="170"/>
      <c r="AH816" s="163"/>
      <c r="AI816" s="163"/>
      <c r="AJ816" s="163"/>
      <c r="AK816" s="163"/>
    </row>
    <row r="817" ht="13.5" customHeight="1">
      <c r="A817" s="163"/>
      <c r="B817" s="170"/>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c r="AA817" s="163"/>
      <c r="AB817" s="163"/>
      <c r="AC817" s="163"/>
      <c r="AD817" s="163"/>
      <c r="AE817" s="163"/>
      <c r="AF817" s="163"/>
      <c r="AG817" s="170"/>
      <c r="AH817" s="163"/>
      <c r="AI817" s="163"/>
      <c r="AJ817" s="163"/>
      <c r="AK817" s="163"/>
    </row>
    <row r="818" ht="13.5" customHeight="1">
      <c r="A818" s="163"/>
      <c r="B818" s="170"/>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c r="AA818" s="163"/>
      <c r="AB818" s="163"/>
      <c r="AC818" s="163"/>
      <c r="AD818" s="163"/>
      <c r="AE818" s="163"/>
      <c r="AF818" s="163"/>
      <c r="AG818" s="170"/>
      <c r="AH818" s="163"/>
      <c r="AI818" s="163"/>
      <c r="AJ818" s="163"/>
      <c r="AK818" s="163"/>
    </row>
    <row r="819" ht="13.5" customHeight="1">
      <c r="A819" s="163"/>
      <c r="B819" s="170"/>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c r="AA819" s="163"/>
      <c r="AB819" s="163"/>
      <c r="AC819" s="163"/>
      <c r="AD819" s="163"/>
      <c r="AE819" s="163"/>
      <c r="AF819" s="163"/>
      <c r="AG819" s="170"/>
      <c r="AH819" s="163"/>
      <c r="AI819" s="163"/>
      <c r="AJ819" s="163"/>
      <c r="AK819" s="163"/>
    </row>
    <row r="820" ht="13.5" customHeight="1">
      <c r="A820" s="163"/>
      <c r="B820" s="170"/>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c r="AA820" s="163"/>
      <c r="AB820" s="163"/>
      <c r="AC820" s="163"/>
      <c r="AD820" s="163"/>
      <c r="AE820" s="163"/>
      <c r="AF820" s="163"/>
      <c r="AG820" s="170"/>
      <c r="AH820" s="163"/>
      <c r="AI820" s="163"/>
      <c r="AJ820" s="163"/>
      <c r="AK820" s="163"/>
    </row>
    <row r="821" ht="13.5" customHeight="1">
      <c r="A821" s="163"/>
      <c r="B821" s="170"/>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c r="AA821" s="163"/>
      <c r="AB821" s="163"/>
      <c r="AC821" s="163"/>
      <c r="AD821" s="163"/>
      <c r="AE821" s="163"/>
      <c r="AF821" s="163"/>
      <c r="AG821" s="170"/>
      <c r="AH821" s="163"/>
      <c r="AI821" s="163"/>
      <c r="AJ821" s="163"/>
      <c r="AK821" s="163"/>
    </row>
    <row r="822" ht="13.5" customHeight="1">
      <c r="A822" s="163"/>
      <c r="B822" s="170"/>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c r="AA822" s="163"/>
      <c r="AB822" s="163"/>
      <c r="AC822" s="163"/>
      <c r="AD822" s="163"/>
      <c r="AE822" s="163"/>
      <c r="AF822" s="163"/>
      <c r="AG822" s="170"/>
      <c r="AH822" s="163"/>
      <c r="AI822" s="163"/>
      <c r="AJ822" s="163"/>
      <c r="AK822" s="163"/>
    </row>
    <row r="823" ht="13.5" customHeight="1">
      <c r="A823" s="163"/>
      <c r="B823" s="170"/>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c r="AA823" s="163"/>
      <c r="AB823" s="163"/>
      <c r="AC823" s="163"/>
      <c r="AD823" s="163"/>
      <c r="AE823" s="163"/>
      <c r="AF823" s="163"/>
      <c r="AG823" s="170"/>
      <c r="AH823" s="163"/>
      <c r="AI823" s="163"/>
      <c r="AJ823" s="163"/>
      <c r="AK823" s="163"/>
    </row>
    <row r="824" ht="13.5" customHeight="1">
      <c r="A824" s="163"/>
      <c r="B824" s="170"/>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c r="AA824" s="163"/>
      <c r="AB824" s="163"/>
      <c r="AC824" s="163"/>
      <c r="AD824" s="163"/>
      <c r="AE824" s="163"/>
      <c r="AF824" s="163"/>
      <c r="AG824" s="170"/>
      <c r="AH824" s="163"/>
      <c r="AI824" s="163"/>
      <c r="AJ824" s="163"/>
      <c r="AK824" s="163"/>
    </row>
    <row r="825" ht="13.5" customHeight="1">
      <c r="A825" s="163"/>
      <c r="B825" s="170"/>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c r="AA825" s="163"/>
      <c r="AB825" s="163"/>
      <c r="AC825" s="163"/>
      <c r="AD825" s="163"/>
      <c r="AE825" s="163"/>
      <c r="AF825" s="163"/>
      <c r="AG825" s="170"/>
      <c r="AH825" s="163"/>
      <c r="AI825" s="163"/>
      <c r="AJ825" s="163"/>
      <c r="AK825" s="163"/>
    </row>
    <row r="826" ht="13.5" customHeight="1">
      <c r="A826" s="163"/>
      <c r="B826" s="170"/>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c r="AA826" s="163"/>
      <c r="AB826" s="163"/>
      <c r="AC826" s="163"/>
      <c r="AD826" s="163"/>
      <c r="AE826" s="163"/>
      <c r="AF826" s="163"/>
      <c r="AG826" s="170"/>
      <c r="AH826" s="163"/>
      <c r="AI826" s="163"/>
      <c r="AJ826" s="163"/>
      <c r="AK826" s="163"/>
    </row>
    <row r="827" ht="13.5" customHeight="1">
      <c r="A827" s="163"/>
      <c r="B827" s="170"/>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c r="AA827" s="163"/>
      <c r="AB827" s="163"/>
      <c r="AC827" s="163"/>
      <c r="AD827" s="163"/>
      <c r="AE827" s="163"/>
      <c r="AF827" s="163"/>
      <c r="AG827" s="170"/>
      <c r="AH827" s="163"/>
      <c r="AI827" s="163"/>
      <c r="AJ827" s="163"/>
      <c r="AK827" s="163"/>
    </row>
    <row r="828" ht="13.5" customHeight="1">
      <c r="A828" s="163"/>
      <c r="B828" s="170"/>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c r="AA828" s="163"/>
      <c r="AB828" s="163"/>
      <c r="AC828" s="163"/>
      <c r="AD828" s="163"/>
      <c r="AE828" s="163"/>
      <c r="AF828" s="163"/>
      <c r="AG828" s="170"/>
      <c r="AH828" s="163"/>
      <c r="AI828" s="163"/>
      <c r="AJ828" s="163"/>
      <c r="AK828" s="163"/>
    </row>
    <row r="829" ht="13.5" customHeight="1">
      <c r="A829" s="163"/>
      <c r="B829" s="170"/>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c r="AA829" s="163"/>
      <c r="AB829" s="163"/>
      <c r="AC829" s="163"/>
      <c r="AD829" s="163"/>
      <c r="AE829" s="163"/>
      <c r="AF829" s="163"/>
      <c r="AG829" s="170"/>
      <c r="AH829" s="163"/>
      <c r="AI829" s="163"/>
      <c r="AJ829" s="163"/>
      <c r="AK829" s="163"/>
    </row>
    <row r="830" ht="13.5" customHeight="1">
      <c r="A830" s="163"/>
      <c r="B830" s="170"/>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c r="AA830" s="163"/>
      <c r="AB830" s="163"/>
      <c r="AC830" s="163"/>
      <c r="AD830" s="163"/>
      <c r="AE830" s="163"/>
      <c r="AF830" s="163"/>
      <c r="AG830" s="170"/>
      <c r="AH830" s="163"/>
      <c r="AI830" s="163"/>
      <c r="AJ830" s="163"/>
      <c r="AK830" s="163"/>
    </row>
    <row r="831" ht="13.5" customHeight="1">
      <c r="A831" s="163"/>
      <c r="B831" s="170"/>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c r="AA831" s="163"/>
      <c r="AB831" s="163"/>
      <c r="AC831" s="163"/>
      <c r="AD831" s="163"/>
      <c r="AE831" s="163"/>
      <c r="AF831" s="163"/>
      <c r="AG831" s="170"/>
      <c r="AH831" s="163"/>
      <c r="AI831" s="163"/>
      <c r="AJ831" s="163"/>
      <c r="AK831" s="163"/>
    </row>
    <row r="832" ht="13.5" customHeight="1">
      <c r="A832" s="163"/>
      <c r="B832" s="170"/>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c r="AA832" s="163"/>
      <c r="AB832" s="163"/>
      <c r="AC832" s="163"/>
      <c r="AD832" s="163"/>
      <c r="AE832" s="163"/>
      <c r="AF832" s="163"/>
      <c r="AG832" s="170"/>
      <c r="AH832" s="163"/>
      <c r="AI832" s="163"/>
      <c r="AJ832" s="163"/>
      <c r="AK832" s="163"/>
    </row>
    <row r="833" ht="13.5" customHeight="1">
      <c r="A833" s="163"/>
      <c r="B833" s="170"/>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c r="AA833" s="163"/>
      <c r="AB833" s="163"/>
      <c r="AC833" s="163"/>
      <c r="AD833" s="163"/>
      <c r="AE833" s="163"/>
      <c r="AF833" s="163"/>
      <c r="AG833" s="170"/>
      <c r="AH833" s="163"/>
      <c r="AI833" s="163"/>
      <c r="AJ833" s="163"/>
      <c r="AK833" s="163"/>
    </row>
    <row r="834" ht="13.5" customHeight="1">
      <c r="A834" s="163"/>
      <c r="B834" s="170"/>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c r="AA834" s="163"/>
      <c r="AB834" s="163"/>
      <c r="AC834" s="163"/>
      <c r="AD834" s="163"/>
      <c r="AE834" s="163"/>
      <c r="AF834" s="163"/>
      <c r="AG834" s="170"/>
      <c r="AH834" s="163"/>
      <c r="AI834" s="163"/>
      <c r="AJ834" s="163"/>
      <c r="AK834" s="163"/>
    </row>
    <row r="835" ht="13.5" customHeight="1">
      <c r="A835" s="163"/>
      <c r="B835" s="170"/>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c r="AA835" s="163"/>
      <c r="AB835" s="163"/>
      <c r="AC835" s="163"/>
      <c r="AD835" s="163"/>
      <c r="AE835" s="163"/>
      <c r="AF835" s="163"/>
      <c r="AG835" s="170"/>
      <c r="AH835" s="163"/>
      <c r="AI835" s="163"/>
      <c r="AJ835" s="163"/>
      <c r="AK835" s="163"/>
    </row>
    <row r="836" ht="13.5" customHeight="1">
      <c r="A836" s="163"/>
      <c r="B836" s="170"/>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c r="AA836" s="163"/>
      <c r="AB836" s="163"/>
      <c r="AC836" s="163"/>
      <c r="AD836" s="163"/>
      <c r="AE836" s="163"/>
      <c r="AF836" s="163"/>
      <c r="AG836" s="170"/>
      <c r="AH836" s="163"/>
      <c r="AI836" s="163"/>
      <c r="AJ836" s="163"/>
      <c r="AK836" s="163"/>
    </row>
    <row r="837" ht="13.5" customHeight="1">
      <c r="A837" s="163"/>
      <c r="B837" s="170"/>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c r="AA837" s="163"/>
      <c r="AB837" s="163"/>
      <c r="AC837" s="163"/>
      <c r="AD837" s="163"/>
      <c r="AE837" s="163"/>
      <c r="AF837" s="163"/>
      <c r="AG837" s="170"/>
      <c r="AH837" s="163"/>
      <c r="AI837" s="163"/>
      <c r="AJ837" s="163"/>
      <c r="AK837" s="163"/>
    </row>
    <row r="838" ht="13.5" customHeight="1">
      <c r="A838" s="163"/>
      <c r="B838" s="170"/>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c r="AA838" s="163"/>
      <c r="AB838" s="163"/>
      <c r="AC838" s="163"/>
      <c r="AD838" s="163"/>
      <c r="AE838" s="163"/>
      <c r="AF838" s="163"/>
      <c r="AG838" s="170"/>
      <c r="AH838" s="163"/>
      <c r="AI838" s="163"/>
      <c r="AJ838" s="163"/>
      <c r="AK838" s="163"/>
    </row>
    <row r="839" ht="13.5" customHeight="1">
      <c r="A839" s="163"/>
      <c r="B839" s="170"/>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c r="AA839" s="163"/>
      <c r="AB839" s="163"/>
      <c r="AC839" s="163"/>
      <c r="AD839" s="163"/>
      <c r="AE839" s="163"/>
      <c r="AF839" s="163"/>
      <c r="AG839" s="170"/>
      <c r="AH839" s="163"/>
      <c r="AI839" s="163"/>
      <c r="AJ839" s="163"/>
      <c r="AK839" s="163"/>
    </row>
    <row r="840" ht="13.5" customHeight="1">
      <c r="A840" s="163"/>
      <c r="B840" s="170"/>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c r="AA840" s="163"/>
      <c r="AB840" s="163"/>
      <c r="AC840" s="163"/>
      <c r="AD840" s="163"/>
      <c r="AE840" s="163"/>
      <c r="AF840" s="163"/>
      <c r="AG840" s="170"/>
      <c r="AH840" s="163"/>
      <c r="AI840" s="163"/>
      <c r="AJ840" s="163"/>
      <c r="AK840" s="163"/>
    </row>
    <row r="841" ht="13.5" customHeight="1">
      <c r="A841" s="163"/>
      <c r="B841" s="170"/>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c r="AA841" s="163"/>
      <c r="AB841" s="163"/>
      <c r="AC841" s="163"/>
      <c r="AD841" s="163"/>
      <c r="AE841" s="163"/>
      <c r="AF841" s="163"/>
      <c r="AG841" s="170"/>
      <c r="AH841" s="163"/>
      <c r="AI841" s="163"/>
      <c r="AJ841" s="163"/>
      <c r="AK841" s="163"/>
    </row>
    <row r="842" ht="13.5" customHeight="1">
      <c r="A842" s="163"/>
      <c r="B842" s="170"/>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c r="AA842" s="163"/>
      <c r="AB842" s="163"/>
      <c r="AC842" s="163"/>
      <c r="AD842" s="163"/>
      <c r="AE842" s="163"/>
      <c r="AF842" s="163"/>
      <c r="AG842" s="170"/>
      <c r="AH842" s="163"/>
      <c r="AI842" s="163"/>
      <c r="AJ842" s="163"/>
      <c r="AK842" s="163"/>
    </row>
    <row r="843" ht="13.5" customHeight="1">
      <c r="A843" s="163"/>
      <c r="B843" s="170"/>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c r="AA843" s="163"/>
      <c r="AB843" s="163"/>
      <c r="AC843" s="163"/>
      <c r="AD843" s="163"/>
      <c r="AE843" s="163"/>
      <c r="AF843" s="163"/>
      <c r="AG843" s="170"/>
      <c r="AH843" s="163"/>
      <c r="AI843" s="163"/>
      <c r="AJ843" s="163"/>
      <c r="AK843" s="163"/>
    </row>
    <row r="844" ht="13.5" customHeight="1">
      <c r="A844" s="163"/>
      <c r="B844" s="170"/>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c r="AA844" s="163"/>
      <c r="AB844" s="163"/>
      <c r="AC844" s="163"/>
      <c r="AD844" s="163"/>
      <c r="AE844" s="163"/>
      <c r="AF844" s="163"/>
      <c r="AG844" s="170"/>
      <c r="AH844" s="163"/>
      <c r="AI844" s="163"/>
      <c r="AJ844" s="163"/>
      <c r="AK844" s="163"/>
    </row>
    <row r="845" ht="13.5" customHeight="1">
      <c r="A845" s="163"/>
      <c r="B845" s="170"/>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c r="AA845" s="163"/>
      <c r="AB845" s="163"/>
      <c r="AC845" s="163"/>
      <c r="AD845" s="163"/>
      <c r="AE845" s="163"/>
      <c r="AF845" s="163"/>
      <c r="AG845" s="170"/>
      <c r="AH845" s="163"/>
      <c r="AI845" s="163"/>
      <c r="AJ845" s="163"/>
      <c r="AK845" s="163"/>
    </row>
    <row r="846" ht="13.5" customHeight="1">
      <c r="A846" s="163"/>
      <c r="B846" s="170"/>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c r="AA846" s="163"/>
      <c r="AB846" s="163"/>
      <c r="AC846" s="163"/>
      <c r="AD846" s="163"/>
      <c r="AE846" s="163"/>
      <c r="AF846" s="163"/>
      <c r="AG846" s="170"/>
      <c r="AH846" s="163"/>
      <c r="AI846" s="163"/>
      <c r="AJ846" s="163"/>
      <c r="AK846" s="163"/>
    </row>
    <row r="847" ht="13.5" customHeight="1">
      <c r="A847" s="163"/>
      <c r="B847" s="170"/>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c r="AA847" s="163"/>
      <c r="AB847" s="163"/>
      <c r="AC847" s="163"/>
      <c r="AD847" s="163"/>
      <c r="AE847" s="163"/>
      <c r="AF847" s="163"/>
      <c r="AG847" s="170"/>
      <c r="AH847" s="163"/>
      <c r="AI847" s="163"/>
      <c r="AJ847" s="163"/>
      <c r="AK847" s="163"/>
    </row>
    <row r="848" ht="13.5" customHeight="1">
      <c r="A848" s="163"/>
      <c r="B848" s="170"/>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c r="AE848" s="163"/>
      <c r="AF848" s="163"/>
      <c r="AG848" s="170"/>
      <c r="AH848" s="163"/>
      <c r="AI848" s="163"/>
      <c r="AJ848" s="163"/>
      <c r="AK848" s="163"/>
    </row>
    <row r="849" ht="13.5" customHeight="1">
      <c r="A849" s="163"/>
      <c r="B849" s="170"/>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c r="AA849" s="163"/>
      <c r="AB849" s="163"/>
      <c r="AC849" s="163"/>
      <c r="AD849" s="163"/>
      <c r="AE849" s="163"/>
      <c r="AF849" s="163"/>
      <c r="AG849" s="170"/>
      <c r="AH849" s="163"/>
      <c r="AI849" s="163"/>
      <c r="AJ849" s="163"/>
      <c r="AK849" s="163"/>
    </row>
    <row r="850" ht="13.5" customHeight="1">
      <c r="A850" s="163"/>
      <c r="B850" s="170"/>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c r="AA850" s="163"/>
      <c r="AB850" s="163"/>
      <c r="AC850" s="163"/>
      <c r="AD850" s="163"/>
      <c r="AE850" s="163"/>
      <c r="AF850" s="163"/>
      <c r="AG850" s="170"/>
      <c r="AH850" s="163"/>
      <c r="AI850" s="163"/>
      <c r="AJ850" s="163"/>
      <c r="AK850" s="163"/>
    </row>
    <row r="851" ht="13.5" customHeight="1">
      <c r="A851" s="163"/>
      <c r="B851" s="170"/>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c r="AA851" s="163"/>
      <c r="AB851" s="163"/>
      <c r="AC851" s="163"/>
      <c r="AD851" s="163"/>
      <c r="AE851" s="163"/>
      <c r="AF851" s="163"/>
      <c r="AG851" s="170"/>
      <c r="AH851" s="163"/>
      <c r="AI851" s="163"/>
      <c r="AJ851" s="163"/>
      <c r="AK851" s="163"/>
    </row>
    <row r="852" ht="13.5" customHeight="1">
      <c r="A852" s="163"/>
      <c r="B852" s="170"/>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c r="AA852" s="163"/>
      <c r="AB852" s="163"/>
      <c r="AC852" s="163"/>
      <c r="AD852" s="163"/>
      <c r="AE852" s="163"/>
      <c r="AF852" s="163"/>
      <c r="AG852" s="170"/>
      <c r="AH852" s="163"/>
      <c r="AI852" s="163"/>
      <c r="AJ852" s="163"/>
      <c r="AK852" s="163"/>
    </row>
    <row r="853" ht="13.5" customHeight="1">
      <c r="A853" s="163"/>
      <c r="B853" s="170"/>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c r="AA853" s="163"/>
      <c r="AB853" s="163"/>
      <c r="AC853" s="163"/>
      <c r="AD853" s="163"/>
      <c r="AE853" s="163"/>
      <c r="AF853" s="163"/>
      <c r="AG853" s="170"/>
      <c r="AH853" s="163"/>
      <c r="AI853" s="163"/>
      <c r="AJ853" s="163"/>
      <c r="AK853" s="163"/>
    </row>
    <row r="854" ht="13.5" customHeight="1">
      <c r="A854" s="163"/>
      <c r="B854" s="170"/>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c r="AA854" s="163"/>
      <c r="AB854" s="163"/>
      <c r="AC854" s="163"/>
      <c r="AD854" s="163"/>
      <c r="AE854" s="163"/>
      <c r="AF854" s="163"/>
      <c r="AG854" s="170"/>
      <c r="AH854" s="163"/>
      <c r="AI854" s="163"/>
      <c r="AJ854" s="163"/>
      <c r="AK854" s="163"/>
    </row>
    <row r="855" ht="13.5" customHeight="1">
      <c r="A855" s="163"/>
      <c r="B855" s="170"/>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c r="AA855" s="163"/>
      <c r="AB855" s="163"/>
      <c r="AC855" s="163"/>
      <c r="AD855" s="163"/>
      <c r="AE855" s="163"/>
      <c r="AF855" s="163"/>
      <c r="AG855" s="170"/>
      <c r="AH855" s="163"/>
      <c r="AI855" s="163"/>
      <c r="AJ855" s="163"/>
      <c r="AK855" s="163"/>
    </row>
    <row r="856" ht="13.5" customHeight="1">
      <c r="A856" s="163"/>
      <c r="B856" s="170"/>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c r="AA856" s="163"/>
      <c r="AB856" s="163"/>
      <c r="AC856" s="163"/>
      <c r="AD856" s="163"/>
      <c r="AE856" s="163"/>
      <c r="AF856" s="163"/>
      <c r="AG856" s="170"/>
      <c r="AH856" s="163"/>
      <c r="AI856" s="163"/>
      <c r="AJ856" s="163"/>
      <c r="AK856" s="163"/>
    </row>
    <row r="857" ht="13.5" customHeight="1">
      <c r="A857" s="163"/>
      <c r="B857" s="170"/>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c r="AA857" s="163"/>
      <c r="AB857" s="163"/>
      <c r="AC857" s="163"/>
      <c r="AD857" s="163"/>
      <c r="AE857" s="163"/>
      <c r="AF857" s="163"/>
      <c r="AG857" s="170"/>
      <c r="AH857" s="163"/>
      <c r="AI857" s="163"/>
      <c r="AJ857" s="163"/>
      <c r="AK857" s="163"/>
    </row>
    <row r="858" ht="13.5" customHeight="1">
      <c r="A858" s="163"/>
      <c r="B858" s="170"/>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c r="AA858" s="163"/>
      <c r="AB858" s="163"/>
      <c r="AC858" s="163"/>
      <c r="AD858" s="163"/>
      <c r="AE858" s="163"/>
      <c r="AF858" s="163"/>
      <c r="AG858" s="170"/>
      <c r="AH858" s="163"/>
      <c r="AI858" s="163"/>
      <c r="AJ858" s="163"/>
      <c r="AK858" s="163"/>
    </row>
    <row r="859" ht="13.5" customHeight="1">
      <c r="A859" s="163"/>
      <c r="B859" s="170"/>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c r="AA859" s="163"/>
      <c r="AB859" s="163"/>
      <c r="AC859" s="163"/>
      <c r="AD859" s="163"/>
      <c r="AE859" s="163"/>
      <c r="AF859" s="163"/>
      <c r="AG859" s="170"/>
      <c r="AH859" s="163"/>
      <c r="AI859" s="163"/>
      <c r="AJ859" s="163"/>
      <c r="AK859" s="163"/>
    </row>
    <row r="860" ht="13.5" customHeight="1">
      <c r="A860" s="163"/>
      <c r="B860" s="170"/>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c r="AA860" s="163"/>
      <c r="AB860" s="163"/>
      <c r="AC860" s="163"/>
      <c r="AD860" s="163"/>
      <c r="AE860" s="163"/>
      <c r="AF860" s="163"/>
      <c r="AG860" s="170"/>
      <c r="AH860" s="163"/>
      <c r="AI860" s="163"/>
      <c r="AJ860" s="163"/>
      <c r="AK860" s="163"/>
    </row>
    <row r="861" ht="13.5" customHeight="1">
      <c r="A861" s="163"/>
      <c r="B861" s="170"/>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c r="AA861" s="163"/>
      <c r="AB861" s="163"/>
      <c r="AC861" s="163"/>
      <c r="AD861" s="163"/>
      <c r="AE861" s="163"/>
      <c r="AF861" s="163"/>
      <c r="AG861" s="170"/>
      <c r="AH861" s="163"/>
      <c r="AI861" s="163"/>
      <c r="AJ861" s="163"/>
      <c r="AK861" s="163"/>
    </row>
    <row r="862" ht="13.5" customHeight="1">
      <c r="A862" s="163"/>
      <c r="B862" s="170"/>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c r="AA862" s="163"/>
      <c r="AB862" s="163"/>
      <c r="AC862" s="163"/>
      <c r="AD862" s="163"/>
      <c r="AE862" s="163"/>
      <c r="AF862" s="163"/>
      <c r="AG862" s="170"/>
      <c r="AH862" s="163"/>
      <c r="AI862" s="163"/>
      <c r="AJ862" s="163"/>
      <c r="AK862" s="163"/>
    </row>
    <row r="863" ht="13.5" customHeight="1">
      <c r="A863" s="163"/>
      <c r="B863" s="170"/>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c r="AA863" s="163"/>
      <c r="AB863" s="163"/>
      <c r="AC863" s="163"/>
      <c r="AD863" s="163"/>
      <c r="AE863" s="163"/>
      <c r="AF863" s="163"/>
      <c r="AG863" s="170"/>
      <c r="AH863" s="163"/>
      <c r="AI863" s="163"/>
      <c r="AJ863" s="163"/>
      <c r="AK863" s="163"/>
    </row>
    <row r="864" ht="13.5" customHeight="1">
      <c r="A864" s="163"/>
      <c r="B864" s="170"/>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c r="AA864" s="163"/>
      <c r="AB864" s="163"/>
      <c r="AC864" s="163"/>
      <c r="AD864" s="163"/>
      <c r="AE864" s="163"/>
      <c r="AF864" s="163"/>
      <c r="AG864" s="170"/>
      <c r="AH864" s="163"/>
      <c r="AI864" s="163"/>
      <c r="AJ864" s="163"/>
      <c r="AK864" s="163"/>
    </row>
    <row r="865" ht="13.5" customHeight="1">
      <c r="A865" s="163"/>
      <c r="B865" s="170"/>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c r="AA865" s="163"/>
      <c r="AB865" s="163"/>
      <c r="AC865" s="163"/>
      <c r="AD865" s="163"/>
      <c r="AE865" s="163"/>
      <c r="AF865" s="163"/>
      <c r="AG865" s="170"/>
      <c r="AH865" s="163"/>
      <c r="AI865" s="163"/>
      <c r="AJ865" s="163"/>
      <c r="AK865" s="163"/>
    </row>
    <row r="866" ht="13.5" customHeight="1">
      <c r="A866" s="163"/>
      <c r="B866" s="170"/>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c r="AA866" s="163"/>
      <c r="AB866" s="163"/>
      <c r="AC866" s="163"/>
      <c r="AD866" s="163"/>
      <c r="AE866" s="163"/>
      <c r="AF866" s="163"/>
      <c r="AG866" s="170"/>
      <c r="AH866" s="163"/>
      <c r="AI866" s="163"/>
      <c r="AJ866" s="163"/>
      <c r="AK866" s="163"/>
    </row>
    <row r="867" ht="13.5" customHeight="1">
      <c r="A867" s="163"/>
      <c r="B867" s="170"/>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c r="AA867" s="163"/>
      <c r="AB867" s="163"/>
      <c r="AC867" s="163"/>
      <c r="AD867" s="163"/>
      <c r="AE867" s="163"/>
      <c r="AF867" s="163"/>
      <c r="AG867" s="170"/>
      <c r="AH867" s="163"/>
      <c r="AI867" s="163"/>
      <c r="AJ867" s="163"/>
      <c r="AK867" s="163"/>
    </row>
    <row r="868" ht="13.5" customHeight="1">
      <c r="A868" s="163"/>
      <c r="B868" s="170"/>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c r="AA868" s="163"/>
      <c r="AB868" s="163"/>
      <c r="AC868" s="163"/>
      <c r="AD868" s="163"/>
      <c r="AE868" s="163"/>
      <c r="AF868" s="163"/>
      <c r="AG868" s="170"/>
      <c r="AH868" s="163"/>
      <c r="AI868" s="163"/>
      <c r="AJ868" s="163"/>
      <c r="AK868" s="163"/>
    </row>
    <row r="869" ht="13.5" customHeight="1">
      <c r="A869" s="163"/>
      <c r="B869" s="170"/>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c r="AA869" s="163"/>
      <c r="AB869" s="163"/>
      <c r="AC869" s="163"/>
      <c r="AD869" s="163"/>
      <c r="AE869" s="163"/>
      <c r="AF869" s="163"/>
      <c r="AG869" s="170"/>
      <c r="AH869" s="163"/>
      <c r="AI869" s="163"/>
      <c r="AJ869" s="163"/>
      <c r="AK869" s="163"/>
    </row>
    <row r="870" ht="13.5" customHeight="1">
      <c r="A870" s="163"/>
      <c r="B870" s="170"/>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c r="AA870" s="163"/>
      <c r="AB870" s="163"/>
      <c r="AC870" s="163"/>
      <c r="AD870" s="163"/>
      <c r="AE870" s="163"/>
      <c r="AF870" s="163"/>
      <c r="AG870" s="170"/>
      <c r="AH870" s="163"/>
      <c r="AI870" s="163"/>
      <c r="AJ870" s="163"/>
      <c r="AK870" s="163"/>
    </row>
    <row r="871" ht="13.5" customHeight="1">
      <c r="A871" s="163"/>
      <c r="B871" s="170"/>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c r="AA871" s="163"/>
      <c r="AB871" s="163"/>
      <c r="AC871" s="163"/>
      <c r="AD871" s="163"/>
      <c r="AE871" s="163"/>
      <c r="AF871" s="163"/>
      <c r="AG871" s="170"/>
      <c r="AH871" s="163"/>
      <c r="AI871" s="163"/>
      <c r="AJ871" s="163"/>
      <c r="AK871" s="163"/>
    </row>
    <row r="872" ht="13.5" customHeight="1">
      <c r="A872" s="163"/>
      <c r="B872" s="170"/>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c r="AA872" s="163"/>
      <c r="AB872" s="163"/>
      <c r="AC872" s="163"/>
      <c r="AD872" s="163"/>
      <c r="AE872" s="163"/>
      <c r="AF872" s="163"/>
      <c r="AG872" s="170"/>
      <c r="AH872" s="163"/>
      <c r="AI872" s="163"/>
      <c r="AJ872" s="163"/>
      <c r="AK872" s="163"/>
    </row>
    <row r="873" ht="13.5" customHeight="1">
      <c r="A873" s="163"/>
      <c r="B873" s="170"/>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c r="AA873" s="163"/>
      <c r="AB873" s="163"/>
      <c r="AC873" s="163"/>
      <c r="AD873" s="163"/>
      <c r="AE873" s="163"/>
      <c r="AF873" s="163"/>
      <c r="AG873" s="170"/>
      <c r="AH873" s="163"/>
      <c r="AI873" s="163"/>
      <c r="AJ873" s="163"/>
      <c r="AK873" s="163"/>
    </row>
    <row r="874" ht="13.5" customHeight="1">
      <c r="A874" s="163"/>
      <c r="B874" s="170"/>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c r="AA874" s="163"/>
      <c r="AB874" s="163"/>
      <c r="AC874" s="163"/>
      <c r="AD874" s="163"/>
      <c r="AE874" s="163"/>
      <c r="AF874" s="163"/>
      <c r="AG874" s="170"/>
      <c r="AH874" s="163"/>
      <c r="AI874" s="163"/>
      <c r="AJ874" s="163"/>
      <c r="AK874" s="163"/>
    </row>
    <row r="875" ht="13.5" customHeight="1">
      <c r="A875" s="163"/>
      <c r="B875" s="170"/>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c r="AA875" s="163"/>
      <c r="AB875" s="163"/>
      <c r="AC875" s="163"/>
      <c r="AD875" s="163"/>
      <c r="AE875" s="163"/>
      <c r="AF875" s="163"/>
      <c r="AG875" s="170"/>
      <c r="AH875" s="163"/>
      <c r="AI875" s="163"/>
      <c r="AJ875" s="163"/>
      <c r="AK875" s="163"/>
    </row>
    <row r="876" ht="13.5" customHeight="1">
      <c r="A876" s="163"/>
      <c r="B876" s="170"/>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c r="AA876" s="163"/>
      <c r="AB876" s="163"/>
      <c r="AC876" s="163"/>
      <c r="AD876" s="163"/>
      <c r="AE876" s="163"/>
      <c r="AF876" s="163"/>
      <c r="AG876" s="170"/>
      <c r="AH876" s="163"/>
      <c r="AI876" s="163"/>
      <c r="AJ876" s="163"/>
      <c r="AK876" s="163"/>
    </row>
    <row r="877" ht="13.5" customHeight="1">
      <c r="A877" s="163"/>
      <c r="B877" s="170"/>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c r="AA877" s="163"/>
      <c r="AB877" s="163"/>
      <c r="AC877" s="163"/>
      <c r="AD877" s="163"/>
      <c r="AE877" s="163"/>
      <c r="AF877" s="163"/>
      <c r="AG877" s="170"/>
      <c r="AH877" s="163"/>
      <c r="AI877" s="163"/>
      <c r="AJ877" s="163"/>
      <c r="AK877" s="163"/>
    </row>
    <row r="878" ht="13.5" customHeight="1">
      <c r="A878" s="163"/>
      <c r="B878" s="170"/>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c r="AA878" s="163"/>
      <c r="AB878" s="163"/>
      <c r="AC878" s="163"/>
      <c r="AD878" s="163"/>
      <c r="AE878" s="163"/>
      <c r="AF878" s="163"/>
      <c r="AG878" s="170"/>
      <c r="AH878" s="163"/>
      <c r="AI878" s="163"/>
      <c r="AJ878" s="163"/>
      <c r="AK878" s="163"/>
    </row>
    <row r="879" ht="13.5" customHeight="1">
      <c r="A879" s="163"/>
      <c r="B879" s="170"/>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c r="AA879" s="163"/>
      <c r="AB879" s="163"/>
      <c r="AC879" s="163"/>
      <c r="AD879" s="163"/>
      <c r="AE879" s="163"/>
      <c r="AF879" s="163"/>
      <c r="AG879" s="170"/>
      <c r="AH879" s="163"/>
      <c r="AI879" s="163"/>
      <c r="AJ879" s="163"/>
      <c r="AK879" s="163"/>
    </row>
    <row r="880" ht="13.5" customHeight="1">
      <c r="A880" s="163"/>
      <c r="B880" s="170"/>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c r="AA880" s="163"/>
      <c r="AB880" s="163"/>
      <c r="AC880" s="163"/>
      <c r="AD880" s="163"/>
      <c r="AE880" s="163"/>
      <c r="AF880" s="163"/>
      <c r="AG880" s="170"/>
      <c r="AH880" s="163"/>
      <c r="AI880" s="163"/>
      <c r="AJ880" s="163"/>
      <c r="AK880" s="163"/>
    </row>
    <row r="881" ht="13.5" customHeight="1">
      <c r="A881" s="163"/>
      <c r="B881" s="170"/>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c r="AA881" s="163"/>
      <c r="AB881" s="163"/>
      <c r="AC881" s="163"/>
      <c r="AD881" s="163"/>
      <c r="AE881" s="163"/>
      <c r="AF881" s="163"/>
      <c r="AG881" s="170"/>
      <c r="AH881" s="163"/>
      <c r="AI881" s="163"/>
      <c r="AJ881" s="163"/>
      <c r="AK881" s="163"/>
    </row>
    <row r="882" ht="13.5" customHeight="1">
      <c r="A882" s="163"/>
      <c r="B882" s="170"/>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c r="AA882" s="163"/>
      <c r="AB882" s="163"/>
      <c r="AC882" s="163"/>
      <c r="AD882" s="163"/>
      <c r="AE882" s="163"/>
      <c r="AF882" s="163"/>
      <c r="AG882" s="170"/>
      <c r="AH882" s="163"/>
      <c r="AI882" s="163"/>
      <c r="AJ882" s="163"/>
      <c r="AK882" s="163"/>
    </row>
    <row r="883" ht="13.5" customHeight="1">
      <c r="A883" s="163"/>
      <c r="B883" s="170"/>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c r="AA883" s="163"/>
      <c r="AB883" s="163"/>
      <c r="AC883" s="163"/>
      <c r="AD883" s="163"/>
      <c r="AE883" s="163"/>
      <c r="AF883" s="163"/>
      <c r="AG883" s="170"/>
      <c r="AH883" s="163"/>
      <c r="AI883" s="163"/>
      <c r="AJ883" s="163"/>
      <c r="AK883" s="163"/>
    </row>
    <row r="884" ht="13.5" customHeight="1">
      <c r="A884" s="163"/>
      <c r="B884" s="170"/>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c r="AA884" s="163"/>
      <c r="AB884" s="163"/>
      <c r="AC884" s="163"/>
      <c r="AD884" s="163"/>
      <c r="AE884" s="163"/>
      <c r="AF884" s="163"/>
      <c r="AG884" s="170"/>
      <c r="AH884" s="163"/>
      <c r="AI884" s="163"/>
      <c r="AJ884" s="163"/>
      <c r="AK884" s="163"/>
    </row>
    <row r="885" ht="13.5" customHeight="1">
      <c r="A885" s="163"/>
      <c r="B885" s="170"/>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c r="AA885" s="163"/>
      <c r="AB885" s="163"/>
      <c r="AC885" s="163"/>
      <c r="AD885" s="163"/>
      <c r="AE885" s="163"/>
      <c r="AF885" s="163"/>
      <c r="AG885" s="170"/>
      <c r="AH885" s="163"/>
      <c r="AI885" s="163"/>
      <c r="AJ885" s="163"/>
      <c r="AK885" s="163"/>
    </row>
    <row r="886" ht="13.5" customHeight="1">
      <c r="A886" s="163"/>
      <c r="B886" s="170"/>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c r="AA886" s="163"/>
      <c r="AB886" s="163"/>
      <c r="AC886" s="163"/>
      <c r="AD886" s="163"/>
      <c r="AE886" s="163"/>
      <c r="AF886" s="163"/>
      <c r="AG886" s="170"/>
      <c r="AH886" s="163"/>
      <c r="AI886" s="163"/>
      <c r="AJ886" s="163"/>
      <c r="AK886" s="163"/>
    </row>
    <row r="887" ht="13.5" customHeight="1">
      <c r="A887" s="163"/>
      <c r="B887" s="170"/>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c r="AA887" s="163"/>
      <c r="AB887" s="163"/>
      <c r="AC887" s="163"/>
      <c r="AD887" s="163"/>
      <c r="AE887" s="163"/>
      <c r="AF887" s="163"/>
      <c r="AG887" s="170"/>
      <c r="AH887" s="163"/>
      <c r="AI887" s="163"/>
      <c r="AJ887" s="163"/>
      <c r="AK887" s="163"/>
    </row>
    <row r="888" ht="13.5" customHeight="1">
      <c r="A888" s="163"/>
      <c r="B888" s="170"/>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c r="AA888" s="163"/>
      <c r="AB888" s="163"/>
      <c r="AC888" s="163"/>
      <c r="AD888" s="163"/>
      <c r="AE888" s="163"/>
      <c r="AF888" s="163"/>
      <c r="AG888" s="170"/>
      <c r="AH888" s="163"/>
      <c r="AI888" s="163"/>
      <c r="AJ888" s="163"/>
      <c r="AK888" s="163"/>
    </row>
    <row r="889" ht="13.5" customHeight="1">
      <c r="A889" s="163"/>
      <c r="B889" s="170"/>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c r="AA889" s="163"/>
      <c r="AB889" s="163"/>
      <c r="AC889" s="163"/>
      <c r="AD889" s="163"/>
      <c r="AE889" s="163"/>
      <c r="AF889" s="163"/>
      <c r="AG889" s="170"/>
      <c r="AH889" s="163"/>
      <c r="AI889" s="163"/>
      <c r="AJ889" s="163"/>
      <c r="AK889" s="163"/>
    </row>
    <row r="890" ht="13.5" customHeight="1">
      <c r="A890" s="163"/>
      <c r="B890" s="170"/>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c r="AA890" s="163"/>
      <c r="AB890" s="163"/>
      <c r="AC890" s="163"/>
      <c r="AD890" s="163"/>
      <c r="AE890" s="163"/>
      <c r="AF890" s="163"/>
      <c r="AG890" s="170"/>
      <c r="AH890" s="163"/>
      <c r="AI890" s="163"/>
      <c r="AJ890" s="163"/>
      <c r="AK890" s="163"/>
    </row>
    <row r="891" ht="13.5" customHeight="1">
      <c r="A891" s="163"/>
      <c r="B891" s="170"/>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c r="AA891" s="163"/>
      <c r="AB891" s="163"/>
      <c r="AC891" s="163"/>
      <c r="AD891" s="163"/>
      <c r="AE891" s="163"/>
      <c r="AF891" s="163"/>
      <c r="AG891" s="170"/>
      <c r="AH891" s="163"/>
      <c r="AI891" s="163"/>
      <c r="AJ891" s="163"/>
      <c r="AK891" s="163"/>
    </row>
    <row r="892" ht="13.5" customHeight="1">
      <c r="A892" s="163"/>
      <c r="B892" s="170"/>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c r="AA892" s="163"/>
      <c r="AB892" s="163"/>
      <c r="AC892" s="163"/>
      <c r="AD892" s="163"/>
      <c r="AE892" s="163"/>
      <c r="AF892" s="163"/>
      <c r="AG892" s="170"/>
      <c r="AH892" s="163"/>
      <c r="AI892" s="163"/>
      <c r="AJ892" s="163"/>
      <c r="AK892" s="163"/>
    </row>
    <row r="893" ht="13.5" customHeight="1">
      <c r="A893" s="163"/>
      <c r="B893" s="170"/>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c r="AA893" s="163"/>
      <c r="AB893" s="163"/>
      <c r="AC893" s="163"/>
      <c r="AD893" s="163"/>
      <c r="AE893" s="163"/>
      <c r="AF893" s="163"/>
      <c r="AG893" s="170"/>
      <c r="AH893" s="163"/>
      <c r="AI893" s="163"/>
      <c r="AJ893" s="163"/>
      <c r="AK893" s="163"/>
    </row>
    <row r="894" ht="13.5" customHeight="1">
      <c r="A894" s="163"/>
      <c r="B894" s="170"/>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c r="AA894" s="163"/>
      <c r="AB894" s="163"/>
      <c r="AC894" s="163"/>
      <c r="AD894" s="163"/>
      <c r="AE894" s="163"/>
      <c r="AF894" s="163"/>
      <c r="AG894" s="170"/>
      <c r="AH894" s="163"/>
      <c r="AI894" s="163"/>
      <c r="AJ894" s="163"/>
      <c r="AK894" s="163"/>
    </row>
    <row r="895" ht="13.5" customHeight="1">
      <c r="A895" s="163"/>
      <c r="B895" s="170"/>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c r="AA895" s="163"/>
      <c r="AB895" s="163"/>
      <c r="AC895" s="163"/>
      <c r="AD895" s="163"/>
      <c r="AE895" s="163"/>
      <c r="AF895" s="163"/>
      <c r="AG895" s="170"/>
      <c r="AH895" s="163"/>
      <c r="AI895" s="163"/>
      <c r="AJ895" s="163"/>
      <c r="AK895" s="163"/>
    </row>
    <row r="896" ht="13.5" customHeight="1">
      <c r="A896" s="163"/>
      <c r="B896" s="170"/>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c r="AA896" s="163"/>
      <c r="AB896" s="163"/>
      <c r="AC896" s="163"/>
      <c r="AD896" s="163"/>
      <c r="AE896" s="163"/>
      <c r="AF896" s="163"/>
      <c r="AG896" s="170"/>
      <c r="AH896" s="163"/>
      <c r="AI896" s="163"/>
      <c r="AJ896" s="163"/>
      <c r="AK896" s="163"/>
    </row>
    <row r="897" ht="13.5" customHeight="1">
      <c r="A897" s="163"/>
      <c r="B897" s="170"/>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c r="AA897" s="163"/>
      <c r="AB897" s="163"/>
      <c r="AC897" s="163"/>
      <c r="AD897" s="163"/>
      <c r="AE897" s="163"/>
      <c r="AF897" s="163"/>
      <c r="AG897" s="170"/>
      <c r="AH897" s="163"/>
      <c r="AI897" s="163"/>
      <c r="AJ897" s="163"/>
      <c r="AK897" s="163"/>
    </row>
    <row r="898" ht="13.5" customHeight="1">
      <c r="A898" s="163"/>
      <c r="B898" s="170"/>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c r="AA898" s="163"/>
      <c r="AB898" s="163"/>
      <c r="AC898" s="163"/>
      <c r="AD898" s="163"/>
      <c r="AE898" s="163"/>
      <c r="AF898" s="163"/>
      <c r="AG898" s="170"/>
      <c r="AH898" s="163"/>
      <c r="AI898" s="163"/>
      <c r="AJ898" s="163"/>
      <c r="AK898" s="163"/>
    </row>
    <row r="899" ht="13.5" customHeight="1">
      <c r="A899" s="163"/>
      <c r="B899" s="170"/>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c r="AA899" s="163"/>
      <c r="AB899" s="163"/>
      <c r="AC899" s="163"/>
      <c r="AD899" s="163"/>
      <c r="AE899" s="163"/>
      <c r="AF899" s="163"/>
      <c r="AG899" s="170"/>
      <c r="AH899" s="163"/>
      <c r="AI899" s="163"/>
      <c r="AJ899" s="163"/>
      <c r="AK899" s="163"/>
    </row>
    <row r="900" ht="13.5" customHeight="1">
      <c r="A900" s="163"/>
      <c r="B900" s="170"/>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c r="AA900" s="163"/>
      <c r="AB900" s="163"/>
      <c r="AC900" s="163"/>
      <c r="AD900" s="163"/>
      <c r="AE900" s="163"/>
      <c r="AF900" s="163"/>
      <c r="AG900" s="170"/>
      <c r="AH900" s="163"/>
      <c r="AI900" s="163"/>
      <c r="AJ900" s="163"/>
      <c r="AK900" s="163"/>
    </row>
    <row r="901" ht="13.5" customHeight="1">
      <c r="A901" s="163"/>
      <c r="B901" s="170"/>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c r="AA901" s="163"/>
      <c r="AB901" s="163"/>
      <c r="AC901" s="163"/>
      <c r="AD901" s="163"/>
      <c r="AE901" s="163"/>
      <c r="AF901" s="163"/>
      <c r="AG901" s="170"/>
      <c r="AH901" s="163"/>
      <c r="AI901" s="163"/>
      <c r="AJ901" s="163"/>
      <c r="AK901" s="163"/>
    </row>
    <row r="902" ht="13.5" customHeight="1">
      <c r="A902" s="163"/>
      <c r="B902" s="170"/>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c r="AA902" s="163"/>
      <c r="AB902" s="163"/>
      <c r="AC902" s="163"/>
      <c r="AD902" s="163"/>
      <c r="AE902" s="163"/>
      <c r="AF902" s="163"/>
      <c r="AG902" s="170"/>
      <c r="AH902" s="163"/>
      <c r="AI902" s="163"/>
      <c r="AJ902" s="163"/>
      <c r="AK902" s="163"/>
    </row>
    <row r="903" ht="13.5" customHeight="1">
      <c r="A903" s="163"/>
      <c r="B903" s="170"/>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c r="AA903" s="163"/>
      <c r="AB903" s="163"/>
      <c r="AC903" s="163"/>
      <c r="AD903" s="163"/>
      <c r="AE903" s="163"/>
      <c r="AF903" s="163"/>
      <c r="AG903" s="170"/>
      <c r="AH903" s="163"/>
      <c r="AI903" s="163"/>
      <c r="AJ903" s="163"/>
      <c r="AK903" s="163"/>
    </row>
    <row r="904" ht="13.5" customHeight="1">
      <c r="A904" s="163"/>
      <c r="B904" s="170"/>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c r="AA904" s="163"/>
      <c r="AB904" s="163"/>
      <c r="AC904" s="163"/>
      <c r="AD904" s="163"/>
      <c r="AE904" s="163"/>
      <c r="AF904" s="163"/>
      <c r="AG904" s="170"/>
      <c r="AH904" s="163"/>
      <c r="AI904" s="163"/>
      <c r="AJ904" s="163"/>
      <c r="AK904" s="163"/>
    </row>
    <row r="905" ht="13.5" customHeight="1">
      <c r="A905" s="163"/>
      <c r="B905" s="170"/>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c r="AA905" s="163"/>
      <c r="AB905" s="163"/>
      <c r="AC905" s="163"/>
      <c r="AD905" s="163"/>
      <c r="AE905" s="163"/>
      <c r="AF905" s="163"/>
      <c r="AG905" s="170"/>
      <c r="AH905" s="163"/>
      <c r="AI905" s="163"/>
      <c r="AJ905" s="163"/>
      <c r="AK905" s="163"/>
    </row>
    <row r="906" ht="13.5" customHeight="1">
      <c r="A906" s="163"/>
      <c r="B906" s="170"/>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c r="AA906" s="163"/>
      <c r="AB906" s="163"/>
      <c r="AC906" s="163"/>
      <c r="AD906" s="163"/>
      <c r="AE906" s="163"/>
      <c r="AF906" s="163"/>
      <c r="AG906" s="170"/>
      <c r="AH906" s="163"/>
      <c r="AI906" s="163"/>
      <c r="AJ906" s="163"/>
      <c r="AK906" s="163"/>
    </row>
    <row r="907" ht="13.5" customHeight="1">
      <c r="A907" s="163"/>
      <c r="B907" s="170"/>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c r="AA907" s="163"/>
      <c r="AB907" s="163"/>
      <c r="AC907" s="163"/>
      <c r="AD907" s="163"/>
      <c r="AE907" s="163"/>
      <c r="AF907" s="163"/>
      <c r="AG907" s="170"/>
      <c r="AH907" s="163"/>
      <c r="AI907" s="163"/>
      <c r="AJ907" s="163"/>
      <c r="AK907" s="163"/>
    </row>
    <row r="908" ht="13.5" customHeight="1">
      <c r="A908" s="163"/>
      <c r="B908" s="170"/>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c r="AA908" s="163"/>
      <c r="AB908" s="163"/>
      <c r="AC908" s="163"/>
      <c r="AD908" s="163"/>
      <c r="AE908" s="163"/>
      <c r="AF908" s="163"/>
      <c r="AG908" s="170"/>
      <c r="AH908" s="163"/>
      <c r="AI908" s="163"/>
      <c r="AJ908" s="163"/>
      <c r="AK908" s="163"/>
    </row>
    <row r="909" ht="13.5" customHeight="1">
      <c r="A909" s="163"/>
      <c r="B909" s="170"/>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c r="AA909" s="163"/>
      <c r="AB909" s="163"/>
      <c r="AC909" s="163"/>
      <c r="AD909" s="163"/>
      <c r="AE909" s="163"/>
      <c r="AF909" s="163"/>
      <c r="AG909" s="170"/>
      <c r="AH909" s="163"/>
      <c r="AI909" s="163"/>
      <c r="AJ909" s="163"/>
      <c r="AK909" s="163"/>
    </row>
    <row r="910" ht="13.5" customHeight="1">
      <c r="A910" s="163"/>
      <c r="B910" s="170"/>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c r="AA910" s="163"/>
      <c r="AB910" s="163"/>
      <c r="AC910" s="163"/>
      <c r="AD910" s="163"/>
      <c r="AE910" s="163"/>
      <c r="AF910" s="163"/>
      <c r="AG910" s="170"/>
      <c r="AH910" s="163"/>
      <c r="AI910" s="163"/>
      <c r="AJ910" s="163"/>
      <c r="AK910" s="163"/>
    </row>
    <row r="911" ht="13.5" customHeight="1">
      <c r="A911" s="163"/>
      <c r="B911" s="170"/>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c r="AA911" s="163"/>
      <c r="AB911" s="163"/>
      <c r="AC911" s="163"/>
      <c r="AD911" s="163"/>
      <c r="AE911" s="163"/>
      <c r="AF911" s="163"/>
      <c r="AG911" s="170"/>
      <c r="AH911" s="163"/>
      <c r="AI911" s="163"/>
      <c r="AJ911" s="163"/>
      <c r="AK911" s="163"/>
    </row>
    <row r="912" ht="13.5" customHeight="1">
      <c r="A912" s="163"/>
      <c r="B912" s="170"/>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c r="AA912" s="163"/>
      <c r="AB912" s="163"/>
      <c r="AC912" s="163"/>
      <c r="AD912" s="163"/>
      <c r="AE912" s="163"/>
      <c r="AF912" s="163"/>
      <c r="AG912" s="170"/>
      <c r="AH912" s="163"/>
      <c r="AI912" s="163"/>
      <c r="AJ912" s="163"/>
      <c r="AK912" s="163"/>
    </row>
    <row r="913" ht="13.5" customHeight="1">
      <c r="A913" s="163"/>
      <c r="B913" s="170"/>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c r="AE913" s="163"/>
      <c r="AF913" s="163"/>
      <c r="AG913" s="170"/>
      <c r="AH913" s="163"/>
      <c r="AI913" s="163"/>
      <c r="AJ913" s="163"/>
      <c r="AK913" s="163"/>
    </row>
    <row r="914" ht="13.5" customHeight="1">
      <c r="A914" s="163"/>
      <c r="B914" s="170"/>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c r="AA914" s="163"/>
      <c r="AB914" s="163"/>
      <c r="AC914" s="163"/>
      <c r="AD914" s="163"/>
      <c r="AE914" s="163"/>
      <c r="AF914" s="163"/>
      <c r="AG914" s="170"/>
      <c r="AH914" s="163"/>
      <c r="AI914" s="163"/>
      <c r="AJ914" s="163"/>
      <c r="AK914" s="163"/>
    </row>
    <row r="915" ht="13.5" customHeight="1">
      <c r="A915" s="163"/>
      <c r="B915" s="170"/>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c r="AA915" s="163"/>
      <c r="AB915" s="163"/>
      <c r="AC915" s="163"/>
      <c r="AD915" s="163"/>
      <c r="AE915" s="163"/>
      <c r="AF915" s="163"/>
      <c r="AG915" s="170"/>
      <c r="AH915" s="163"/>
      <c r="AI915" s="163"/>
      <c r="AJ915" s="163"/>
      <c r="AK915" s="163"/>
    </row>
    <row r="916" ht="13.5" customHeight="1">
      <c r="A916" s="163"/>
      <c r="B916" s="170"/>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c r="AA916" s="163"/>
      <c r="AB916" s="163"/>
      <c r="AC916" s="163"/>
      <c r="AD916" s="163"/>
      <c r="AE916" s="163"/>
      <c r="AF916" s="163"/>
      <c r="AG916" s="170"/>
      <c r="AH916" s="163"/>
      <c r="AI916" s="163"/>
      <c r="AJ916" s="163"/>
      <c r="AK916" s="163"/>
    </row>
    <row r="917" ht="13.5" customHeight="1">
      <c r="A917" s="163"/>
      <c r="B917" s="170"/>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c r="AA917" s="163"/>
      <c r="AB917" s="163"/>
      <c r="AC917" s="163"/>
      <c r="AD917" s="163"/>
      <c r="AE917" s="163"/>
      <c r="AF917" s="163"/>
      <c r="AG917" s="170"/>
      <c r="AH917" s="163"/>
      <c r="AI917" s="163"/>
      <c r="AJ917" s="163"/>
      <c r="AK917" s="163"/>
    </row>
    <row r="918" ht="13.5" customHeight="1">
      <c r="A918" s="163"/>
      <c r="B918" s="170"/>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c r="AA918" s="163"/>
      <c r="AB918" s="163"/>
      <c r="AC918" s="163"/>
      <c r="AD918" s="163"/>
      <c r="AE918" s="163"/>
      <c r="AF918" s="163"/>
      <c r="AG918" s="170"/>
      <c r="AH918" s="163"/>
      <c r="AI918" s="163"/>
      <c r="AJ918" s="163"/>
      <c r="AK918" s="163"/>
    </row>
    <row r="919" ht="13.5" customHeight="1">
      <c r="A919" s="163"/>
      <c r="B919" s="170"/>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c r="AA919" s="163"/>
      <c r="AB919" s="163"/>
      <c r="AC919" s="163"/>
      <c r="AD919" s="163"/>
      <c r="AE919" s="163"/>
      <c r="AF919" s="163"/>
      <c r="AG919" s="170"/>
      <c r="AH919" s="163"/>
      <c r="AI919" s="163"/>
      <c r="AJ919" s="163"/>
      <c r="AK919" s="163"/>
    </row>
    <row r="920" ht="13.5" customHeight="1">
      <c r="A920" s="163"/>
      <c r="B920" s="170"/>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c r="AA920" s="163"/>
      <c r="AB920" s="163"/>
      <c r="AC920" s="163"/>
      <c r="AD920" s="163"/>
      <c r="AE920" s="163"/>
      <c r="AF920" s="163"/>
      <c r="AG920" s="170"/>
      <c r="AH920" s="163"/>
      <c r="AI920" s="163"/>
      <c r="AJ920" s="163"/>
      <c r="AK920" s="163"/>
    </row>
    <row r="921" ht="13.5" customHeight="1">
      <c r="A921" s="163"/>
      <c r="B921" s="170"/>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c r="AA921" s="163"/>
      <c r="AB921" s="163"/>
      <c r="AC921" s="163"/>
      <c r="AD921" s="163"/>
      <c r="AE921" s="163"/>
      <c r="AF921" s="163"/>
      <c r="AG921" s="170"/>
      <c r="AH921" s="163"/>
      <c r="AI921" s="163"/>
      <c r="AJ921" s="163"/>
      <c r="AK921" s="163"/>
    </row>
    <row r="922" ht="13.5" customHeight="1">
      <c r="A922" s="163"/>
      <c r="B922" s="170"/>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c r="AA922" s="163"/>
      <c r="AB922" s="163"/>
      <c r="AC922" s="163"/>
      <c r="AD922" s="163"/>
      <c r="AE922" s="163"/>
      <c r="AF922" s="163"/>
      <c r="AG922" s="170"/>
      <c r="AH922" s="163"/>
      <c r="AI922" s="163"/>
      <c r="AJ922" s="163"/>
      <c r="AK922" s="163"/>
    </row>
    <row r="923" ht="13.5" customHeight="1">
      <c r="A923" s="163"/>
      <c r="B923" s="170"/>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c r="AA923" s="163"/>
      <c r="AB923" s="163"/>
      <c r="AC923" s="163"/>
      <c r="AD923" s="163"/>
      <c r="AE923" s="163"/>
      <c r="AF923" s="163"/>
      <c r="AG923" s="170"/>
      <c r="AH923" s="163"/>
      <c r="AI923" s="163"/>
      <c r="AJ923" s="163"/>
      <c r="AK923" s="163"/>
    </row>
    <row r="924" ht="13.5" customHeight="1">
      <c r="A924" s="163"/>
      <c r="B924" s="170"/>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c r="AA924" s="163"/>
      <c r="AB924" s="163"/>
      <c r="AC924" s="163"/>
      <c r="AD924" s="163"/>
      <c r="AE924" s="163"/>
      <c r="AF924" s="163"/>
      <c r="AG924" s="170"/>
      <c r="AH924" s="163"/>
      <c r="AI924" s="163"/>
      <c r="AJ924" s="163"/>
      <c r="AK924" s="163"/>
    </row>
    <row r="925" ht="13.5" customHeight="1">
      <c r="A925" s="163"/>
      <c r="B925" s="170"/>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c r="AA925" s="163"/>
      <c r="AB925" s="163"/>
      <c r="AC925" s="163"/>
      <c r="AD925" s="163"/>
      <c r="AE925" s="163"/>
      <c r="AF925" s="163"/>
      <c r="AG925" s="170"/>
      <c r="AH925" s="163"/>
      <c r="AI925" s="163"/>
      <c r="AJ925" s="163"/>
      <c r="AK925" s="163"/>
    </row>
    <row r="926" ht="13.5" customHeight="1">
      <c r="A926" s="163"/>
      <c r="B926" s="170"/>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c r="AA926" s="163"/>
      <c r="AB926" s="163"/>
      <c r="AC926" s="163"/>
      <c r="AD926" s="163"/>
      <c r="AE926" s="163"/>
      <c r="AF926" s="163"/>
      <c r="AG926" s="170"/>
      <c r="AH926" s="163"/>
      <c r="AI926" s="163"/>
      <c r="AJ926" s="163"/>
      <c r="AK926" s="163"/>
    </row>
    <row r="927" ht="13.5" customHeight="1">
      <c r="A927" s="163"/>
      <c r="B927" s="170"/>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c r="AA927" s="163"/>
      <c r="AB927" s="163"/>
      <c r="AC927" s="163"/>
      <c r="AD927" s="163"/>
      <c r="AE927" s="163"/>
      <c r="AF927" s="163"/>
      <c r="AG927" s="170"/>
      <c r="AH927" s="163"/>
      <c r="AI927" s="163"/>
      <c r="AJ927" s="163"/>
      <c r="AK927" s="163"/>
    </row>
    <row r="928" ht="13.5" customHeight="1">
      <c r="A928" s="163"/>
      <c r="B928" s="170"/>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c r="AA928" s="163"/>
      <c r="AB928" s="163"/>
      <c r="AC928" s="163"/>
      <c r="AD928" s="163"/>
      <c r="AE928" s="163"/>
      <c r="AF928" s="163"/>
      <c r="AG928" s="170"/>
      <c r="AH928" s="163"/>
      <c r="AI928" s="163"/>
      <c r="AJ928" s="163"/>
      <c r="AK928" s="163"/>
    </row>
    <row r="929" ht="13.5" customHeight="1">
      <c r="A929" s="163"/>
      <c r="B929" s="170"/>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c r="AA929" s="163"/>
      <c r="AB929" s="163"/>
      <c r="AC929" s="163"/>
      <c r="AD929" s="163"/>
      <c r="AE929" s="163"/>
      <c r="AF929" s="163"/>
      <c r="AG929" s="170"/>
      <c r="AH929" s="163"/>
      <c r="AI929" s="163"/>
      <c r="AJ929" s="163"/>
      <c r="AK929" s="163"/>
    </row>
    <row r="930" ht="13.5" customHeight="1">
      <c r="A930" s="163"/>
      <c r="B930" s="170"/>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c r="AA930" s="163"/>
      <c r="AB930" s="163"/>
      <c r="AC930" s="163"/>
      <c r="AD930" s="163"/>
      <c r="AE930" s="163"/>
      <c r="AF930" s="163"/>
      <c r="AG930" s="170"/>
      <c r="AH930" s="163"/>
      <c r="AI930" s="163"/>
      <c r="AJ930" s="163"/>
      <c r="AK930" s="163"/>
    </row>
    <row r="931" ht="13.5" customHeight="1">
      <c r="A931" s="163"/>
      <c r="B931" s="170"/>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c r="AA931" s="163"/>
      <c r="AB931" s="163"/>
      <c r="AC931" s="163"/>
      <c r="AD931" s="163"/>
      <c r="AE931" s="163"/>
      <c r="AF931" s="163"/>
      <c r="AG931" s="170"/>
      <c r="AH931" s="163"/>
      <c r="AI931" s="163"/>
      <c r="AJ931" s="163"/>
      <c r="AK931" s="163"/>
    </row>
    <row r="932" ht="13.5" customHeight="1">
      <c r="A932" s="163"/>
      <c r="B932" s="170"/>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c r="AA932" s="163"/>
      <c r="AB932" s="163"/>
      <c r="AC932" s="163"/>
      <c r="AD932" s="163"/>
      <c r="AE932" s="163"/>
      <c r="AF932" s="163"/>
      <c r="AG932" s="170"/>
      <c r="AH932" s="163"/>
      <c r="AI932" s="163"/>
      <c r="AJ932" s="163"/>
      <c r="AK932" s="163"/>
    </row>
    <row r="933" ht="13.5" customHeight="1">
      <c r="A933" s="163"/>
      <c r="B933" s="170"/>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c r="AA933" s="163"/>
      <c r="AB933" s="163"/>
      <c r="AC933" s="163"/>
      <c r="AD933" s="163"/>
      <c r="AE933" s="163"/>
      <c r="AF933" s="163"/>
      <c r="AG933" s="170"/>
      <c r="AH933" s="163"/>
      <c r="AI933" s="163"/>
      <c r="AJ933" s="163"/>
      <c r="AK933" s="163"/>
    </row>
    <row r="934" ht="13.5" customHeight="1">
      <c r="A934" s="163"/>
      <c r="B934" s="170"/>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c r="AA934" s="163"/>
      <c r="AB934" s="163"/>
      <c r="AC934" s="163"/>
      <c r="AD934" s="163"/>
      <c r="AE934" s="163"/>
      <c r="AF934" s="163"/>
      <c r="AG934" s="170"/>
      <c r="AH934" s="163"/>
      <c r="AI934" s="163"/>
      <c r="AJ934" s="163"/>
      <c r="AK934" s="163"/>
    </row>
    <row r="935" ht="13.5" customHeight="1">
      <c r="A935" s="163"/>
      <c r="B935" s="170"/>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c r="AA935" s="163"/>
      <c r="AB935" s="163"/>
      <c r="AC935" s="163"/>
      <c r="AD935" s="163"/>
      <c r="AE935" s="163"/>
      <c r="AF935" s="163"/>
      <c r="AG935" s="170"/>
      <c r="AH935" s="163"/>
      <c r="AI935" s="163"/>
      <c r="AJ935" s="163"/>
      <c r="AK935" s="163"/>
    </row>
    <row r="936" ht="13.5" customHeight="1">
      <c r="A936" s="163"/>
      <c r="B936" s="170"/>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c r="AA936" s="163"/>
      <c r="AB936" s="163"/>
      <c r="AC936" s="163"/>
      <c r="AD936" s="163"/>
      <c r="AE936" s="163"/>
      <c r="AF936" s="163"/>
      <c r="AG936" s="170"/>
      <c r="AH936" s="163"/>
      <c r="AI936" s="163"/>
      <c r="AJ936" s="163"/>
      <c r="AK936" s="163"/>
    </row>
    <row r="937" ht="13.5" customHeight="1">
      <c r="A937" s="163"/>
      <c r="B937" s="170"/>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c r="AA937" s="163"/>
      <c r="AB937" s="163"/>
      <c r="AC937" s="163"/>
      <c r="AD937" s="163"/>
      <c r="AE937" s="163"/>
      <c r="AF937" s="163"/>
      <c r="AG937" s="170"/>
      <c r="AH937" s="163"/>
      <c r="AI937" s="163"/>
      <c r="AJ937" s="163"/>
      <c r="AK937" s="163"/>
    </row>
    <row r="938" ht="13.5" customHeight="1">
      <c r="A938" s="163"/>
      <c r="B938" s="170"/>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c r="AA938" s="163"/>
      <c r="AB938" s="163"/>
      <c r="AC938" s="163"/>
      <c r="AD938" s="163"/>
      <c r="AE938" s="163"/>
      <c r="AF938" s="163"/>
      <c r="AG938" s="170"/>
      <c r="AH938" s="163"/>
      <c r="AI938" s="163"/>
      <c r="AJ938" s="163"/>
      <c r="AK938" s="163"/>
    </row>
    <row r="939" ht="13.5" customHeight="1">
      <c r="A939" s="163"/>
      <c r="B939" s="170"/>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c r="AA939" s="163"/>
      <c r="AB939" s="163"/>
      <c r="AC939" s="163"/>
      <c r="AD939" s="163"/>
      <c r="AE939" s="163"/>
      <c r="AF939" s="163"/>
      <c r="AG939" s="170"/>
      <c r="AH939" s="163"/>
      <c r="AI939" s="163"/>
      <c r="AJ939" s="163"/>
      <c r="AK939" s="163"/>
    </row>
    <row r="940" ht="13.5" customHeight="1">
      <c r="A940" s="163"/>
      <c r="B940" s="170"/>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c r="AA940" s="163"/>
      <c r="AB940" s="163"/>
      <c r="AC940" s="163"/>
      <c r="AD940" s="163"/>
      <c r="AE940" s="163"/>
      <c r="AF940" s="163"/>
      <c r="AG940" s="170"/>
      <c r="AH940" s="163"/>
      <c r="AI940" s="163"/>
      <c r="AJ940" s="163"/>
      <c r="AK940" s="163"/>
    </row>
    <row r="941" ht="13.5" customHeight="1">
      <c r="A941" s="163"/>
      <c r="B941" s="170"/>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c r="AA941" s="163"/>
      <c r="AB941" s="163"/>
      <c r="AC941" s="163"/>
      <c r="AD941" s="163"/>
      <c r="AE941" s="163"/>
      <c r="AF941" s="163"/>
      <c r="AG941" s="170"/>
      <c r="AH941" s="163"/>
      <c r="AI941" s="163"/>
      <c r="AJ941" s="163"/>
      <c r="AK941" s="163"/>
    </row>
    <row r="942" ht="13.5" customHeight="1">
      <c r="A942" s="163"/>
      <c r="B942" s="170"/>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c r="AA942" s="163"/>
      <c r="AB942" s="163"/>
      <c r="AC942" s="163"/>
      <c r="AD942" s="163"/>
      <c r="AE942" s="163"/>
      <c r="AF942" s="163"/>
      <c r="AG942" s="170"/>
      <c r="AH942" s="163"/>
      <c r="AI942" s="163"/>
      <c r="AJ942" s="163"/>
      <c r="AK942" s="163"/>
    </row>
    <row r="943" ht="13.5" customHeight="1">
      <c r="A943" s="163"/>
      <c r="B943" s="170"/>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c r="AA943" s="163"/>
      <c r="AB943" s="163"/>
      <c r="AC943" s="163"/>
      <c r="AD943" s="163"/>
      <c r="AE943" s="163"/>
      <c r="AF943" s="163"/>
      <c r="AG943" s="170"/>
      <c r="AH943" s="163"/>
      <c r="AI943" s="163"/>
      <c r="AJ943" s="163"/>
      <c r="AK943" s="163"/>
    </row>
    <row r="944" ht="13.5" customHeight="1">
      <c r="A944" s="163"/>
      <c r="B944" s="170"/>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c r="AA944" s="163"/>
      <c r="AB944" s="163"/>
      <c r="AC944" s="163"/>
      <c r="AD944" s="163"/>
      <c r="AE944" s="163"/>
      <c r="AF944" s="163"/>
      <c r="AG944" s="170"/>
      <c r="AH944" s="163"/>
      <c r="AI944" s="163"/>
      <c r="AJ944" s="163"/>
      <c r="AK944" s="163"/>
    </row>
    <row r="945" ht="13.5" customHeight="1">
      <c r="A945" s="163"/>
      <c r="B945" s="170"/>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c r="AA945" s="163"/>
      <c r="AB945" s="163"/>
      <c r="AC945" s="163"/>
      <c r="AD945" s="163"/>
      <c r="AE945" s="163"/>
      <c r="AF945" s="163"/>
      <c r="AG945" s="170"/>
      <c r="AH945" s="163"/>
      <c r="AI945" s="163"/>
      <c r="AJ945" s="163"/>
      <c r="AK945" s="163"/>
    </row>
    <row r="946" ht="13.5" customHeight="1">
      <c r="A946" s="163"/>
      <c r="B946" s="170"/>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c r="AA946" s="163"/>
      <c r="AB946" s="163"/>
      <c r="AC946" s="163"/>
      <c r="AD946" s="163"/>
      <c r="AE946" s="163"/>
      <c r="AF946" s="163"/>
      <c r="AG946" s="170"/>
      <c r="AH946" s="163"/>
      <c r="AI946" s="163"/>
      <c r="AJ946" s="163"/>
      <c r="AK946" s="163"/>
    </row>
    <row r="947" ht="13.5" customHeight="1">
      <c r="A947" s="163"/>
      <c r="B947" s="170"/>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c r="AA947" s="163"/>
      <c r="AB947" s="163"/>
      <c r="AC947" s="163"/>
      <c r="AD947" s="163"/>
      <c r="AE947" s="163"/>
      <c r="AF947" s="163"/>
      <c r="AG947" s="170"/>
      <c r="AH947" s="163"/>
      <c r="AI947" s="163"/>
      <c r="AJ947" s="163"/>
      <c r="AK947" s="163"/>
    </row>
    <row r="948" ht="13.5" customHeight="1">
      <c r="A948" s="163"/>
      <c r="B948" s="170"/>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c r="AA948" s="163"/>
      <c r="AB948" s="163"/>
      <c r="AC948" s="163"/>
      <c r="AD948" s="163"/>
      <c r="AE948" s="163"/>
      <c r="AF948" s="163"/>
      <c r="AG948" s="170"/>
      <c r="AH948" s="163"/>
      <c r="AI948" s="163"/>
      <c r="AJ948" s="163"/>
      <c r="AK948" s="163"/>
    </row>
    <row r="949" ht="13.5" customHeight="1">
      <c r="A949" s="163"/>
      <c r="B949" s="170"/>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c r="AA949" s="163"/>
      <c r="AB949" s="163"/>
      <c r="AC949" s="163"/>
      <c r="AD949" s="163"/>
      <c r="AE949" s="163"/>
      <c r="AF949" s="163"/>
      <c r="AG949" s="170"/>
      <c r="AH949" s="163"/>
      <c r="AI949" s="163"/>
      <c r="AJ949" s="163"/>
      <c r="AK949" s="163"/>
    </row>
    <row r="950" ht="13.5" customHeight="1">
      <c r="A950" s="163"/>
      <c r="B950" s="170"/>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c r="AA950" s="163"/>
      <c r="AB950" s="163"/>
      <c r="AC950" s="163"/>
      <c r="AD950" s="163"/>
      <c r="AE950" s="163"/>
      <c r="AF950" s="163"/>
      <c r="AG950" s="170"/>
      <c r="AH950" s="163"/>
      <c r="AI950" s="163"/>
      <c r="AJ950" s="163"/>
      <c r="AK950" s="163"/>
    </row>
    <row r="951" ht="13.5" customHeight="1">
      <c r="A951" s="163"/>
      <c r="B951" s="170"/>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c r="AA951" s="163"/>
      <c r="AB951" s="163"/>
      <c r="AC951" s="163"/>
      <c r="AD951" s="163"/>
      <c r="AE951" s="163"/>
      <c r="AF951" s="163"/>
      <c r="AG951" s="170"/>
      <c r="AH951" s="163"/>
      <c r="AI951" s="163"/>
      <c r="AJ951" s="163"/>
      <c r="AK951" s="163"/>
    </row>
    <row r="952" ht="13.5" customHeight="1">
      <c r="A952" s="163"/>
      <c r="B952" s="170"/>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c r="AA952" s="163"/>
      <c r="AB952" s="163"/>
      <c r="AC952" s="163"/>
      <c r="AD952" s="163"/>
      <c r="AE952" s="163"/>
      <c r="AF952" s="163"/>
      <c r="AG952" s="170"/>
      <c r="AH952" s="163"/>
      <c r="AI952" s="163"/>
      <c r="AJ952" s="163"/>
      <c r="AK952" s="163"/>
    </row>
    <row r="953" ht="13.5" customHeight="1">
      <c r="A953" s="163"/>
      <c r="B953" s="170"/>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c r="AA953" s="163"/>
      <c r="AB953" s="163"/>
      <c r="AC953" s="163"/>
      <c r="AD953" s="163"/>
      <c r="AE953" s="163"/>
      <c r="AF953" s="163"/>
      <c r="AG953" s="170"/>
      <c r="AH953" s="163"/>
      <c r="AI953" s="163"/>
      <c r="AJ953" s="163"/>
      <c r="AK953" s="163"/>
    </row>
    <row r="954" ht="13.5" customHeight="1">
      <c r="A954" s="163"/>
      <c r="B954" s="170"/>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c r="AA954" s="163"/>
      <c r="AB954" s="163"/>
      <c r="AC954" s="163"/>
      <c r="AD954" s="163"/>
      <c r="AE954" s="163"/>
      <c r="AF954" s="163"/>
      <c r="AG954" s="170"/>
      <c r="AH954" s="163"/>
      <c r="AI954" s="163"/>
      <c r="AJ954" s="163"/>
      <c r="AK954" s="163"/>
    </row>
    <row r="955" ht="13.5" customHeight="1">
      <c r="A955" s="163"/>
      <c r="B955" s="170"/>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c r="AA955" s="163"/>
      <c r="AB955" s="163"/>
      <c r="AC955" s="163"/>
      <c r="AD955" s="163"/>
      <c r="AE955" s="163"/>
      <c r="AF955" s="163"/>
      <c r="AG955" s="170"/>
      <c r="AH955" s="163"/>
      <c r="AI955" s="163"/>
      <c r="AJ955" s="163"/>
      <c r="AK955" s="163"/>
    </row>
    <row r="956" ht="13.5" customHeight="1">
      <c r="A956" s="163"/>
      <c r="B956" s="170"/>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c r="AA956" s="163"/>
      <c r="AB956" s="163"/>
      <c r="AC956" s="163"/>
      <c r="AD956" s="163"/>
      <c r="AE956" s="163"/>
      <c r="AF956" s="163"/>
      <c r="AG956" s="170"/>
      <c r="AH956" s="163"/>
      <c r="AI956" s="163"/>
      <c r="AJ956" s="163"/>
      <c r="AK956" s="163"/>
    </row>
    <row r="957" ht="13.5" customHeight="1">
      <c r="A957" s="163"/>
      <c r="B957" s="170"/>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c r="AA957" s="163"/>
      <c r="AB957" s="163"/>
      <c r="AC957" s="163"/>
      <c r="AD957" s="163"/>
      <c r="AE957" s="163"/>
      <c r="AF957" s="163"/>
      <c r="AG957" s="170"/>
      <c r="AH957" s="163"/>
      <c r="AI957" s="163"/>
      <c r="AJ957" s="163"/>
      <c r="AK957" s="163"/>
    </row>
    <row r="958" ht="13.5" customHeight="1">
      <c r="A958" s="163"/>
      <c r="B958" s="170"/>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c r="AA958" s="163"/>
      <c r="AB958" s="163"/>
      <c r="AC958" s="163"/>
      <c r="AD958" s="163"/>
      <c r="AE958" s="163"/>
      <c r="AF958" s="163"/>
      <c r="AG958" s="170"/>
      <c r="AH958" s="163"/>
      <c r="AI958" s="163"/>
      <c r="AJ958" s="163"/>
      <c r="AK958" s="163"/>
    </row>
    <row r="959" ht="13.5" customHeight="1">
      <c r="A959" s="163"/>
      <c r="B959" s="170"/>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c r="AA959" s="163"/>
      <c r="AB959" s="163"/>
      <c r="AC959" s="163"/>
      <c r="AD959" s="163"/>
      <c r="AE959" s="163"/>
      <c r="AF959" s="163"/>
      <c r="AG959" s="170"/>
      <c r="AH959" s="163"/>
      <c r="AI959" s="163"/>
      <c r="AJ959" s="163"/>
      <c r="AK959" s="163"/>
    </row>
    <row r="960" ht="13.5" customHeight="1">
      <c r="A960" s="163"/>
      <c r="B960" s="170"/>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c r="AA960" s="163"/>
      <c r="AB960" s="163"/>
      <c r="AC960" s="163"/>
      <c r="AD960" s="163"/>
      <c r="AE960" s="163"/>
      <c r="AF960" s="163"/>
      <c r="AG960" s="170"/>
      <c r="AH960" s="163"/>
      <c r="AI960" s="163"/>
      <c r="AJ960" s="163"/>
      <c r="AK960" s="163"/>
    </row>
    <row r="961" ht="13.5" customHeight="1">
      <c r="A961" s="163"/>
      <c r="B961" s="170"/>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c r="AA961" s="163"/>
      <c r="AB961" s="163"/>
      <c r="AC961" s="163"/>
      <c r="AD961" s="163"/>
      <c r="AE961" s="163"/>
      <c r="AF961" s="163"/>
      <c r="AG961" s="170"/>
      <c r="AH961" s="163"/>
      <c r="AI961" s="163"/>
      <c r="AJ961" s="163"/>
      <c r="AK961" s="163"/>
    </row>
    <row r="962" ht="13.5" customHeight="1">
      <c r="A962" s="163"/>
      <c r="B962" s="170"/>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c r="AA962" s="163"/>
      <c r="AB962" s="163"/>
      <c r="AC962" s="163"/>
      <c r="AD962" s="163"/>
      <c r="AE962" s="163"/>
      <c r="AF962" s="163"/>
      <c r="AG962" s="170"/>
      <c r="AH962" s="163"/>
      <c r="AI962" s="163"/>
      <c r="AJ962" s="163"/>
      <c r="AK962" s="163"/>
    </row>
    <row r="963" ht="13.5" customHeight="1">
      <c r="A963" s="163"/>
      <c r="B963" s="170"/>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c r="AA963" s="163"/>
      <c r="AB963" s="163"/>
      <c r="AC963" s="163"/>
      <c r="AD963" s="163"/>
      <c r="AE963" s="163"/>
      <c r="AF963" s="163"/>
      <c r="AG963" s="170"/>
      <c r="AH963" s="163"/>
      <c r="AI963" s="163"/>
      <c r="AJ963" s="163"/>
      <c r="AK963" s="163"/>
    </row>
    <row r="964" ht="13.5" customHeight="1">
      <c r="A964" s="163"/>
      <c r="B964" s="170"/>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c r="AA964" s="163"/>
      <c r="AB964" s="163"/>
      <c r="AC964" s="163"/>
      <c r="AD964" s="163"/>
      <c r="AE964" s="163"/>
      <c r="AF964" s="163"/>
      <c r="AG964" s="170"/>
      <c r="AH964" s="163"/>
      <c r="AI964" s="163"/>
      <c r="AJ964" s="163"/>
      <c r="AK964" s="163"/>
    </row>
    <row r="965" ht="13.5" customHeight="1">
      <c r="A965" s="163"/>
      <c r="B965" s="170"/>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c r="AA965" s="163"/>
      <c r="AB965" s="163"/>
      <c r="AC965" s="163"/>
      <c r="AD965" s="163"/>
      <c r="AE965" s="163"/>
      <c r="AF965" s="163"/>
      <c r="AG965" s="170"/>
      <c r="AH965" s="163"/>
      <c r="AI965" s="163"/>
      <c r="AJ965" s="163"/>
      <c r="AK965" s="163"/>
    </row>
    <row r="966" ht="13.5" customHeight="1">
      <c r="A966" s="163"/>
      <c r="B966" s="170"/>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c r="AA966" s="163"/>
      <c r="AB966" s="163"/>
      <c r="AC966" s="163"/>
      <c r="AD966" s="163"/>
      <c r="AE966" s="163"/>
      <c r="AF966" s="163"/>
      <c r="AG966" s="170"/>
      <c r="AH966" s="163"/>
      <c r="AI966" s="163"/>
      <c r="AJ966" s="163"/>
      <c r="AK966" s="163"/>
    </row>
    <row r="967" ht="13.5" customHeight="1">
      <c r="A967" s="163"/>
      <c r="B967" s="170"/>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c r="AA967" s="163"/>
      <c r="AB967" s="163"/>
      <c r="AC967" s="163"/>
      <c r="AD967" s="163"/>
      <c r="AE967" s="163"/>
      <c r="AF967" s="163"/>
      <c r="AG967" s="170"/>
      <c r="AH967" s="163"/>
      <c r="AI967" s="163"/>
      <c r="AJ967" s="163"/>
      <c r="AK967" s="163"/>
    </row>
    <row r="968" ht="13.5" customHeight="1">
      <c r="A968" s="163"/>
      <c r="B968" s="170"/>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c r="AA968" s="163"/>
      <c r="AB968" s="163"/>
      <c r="AC968" s="163"/>
      <c r="AD968" s="163"/>
      <c r="AE968" s="163"/>
      <c r="AF968" s="163"/>
      <c r="AG968" s="170"/>
      <c r="AH968" s="163"/>
      <c r="AI968" s="163"/>
      <c r="AJ968" s="163"/>
      <c r="AK968" s="163"/>
    </row>
    <row r="969" ht="13.5" customHeight="1">
      <c r="A969" s="163"/>
      <c r="B969" s="170"/>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c r="AA969" s="163"/>
      <c r="AB969" s="163"/>
      <c r="AC969" s="163"/>
      <c r="AD969" s="163"/>
      <c r="AE969" s="163"/>
      <c r="AF969" s="163"/>
      <c r="AG969" s="170"/>
      <c r="AH969" s="163"/>
      <c r="AI969" s="163"/>
      <c r="AJ969" s="163"/>
      <c r="AK969" s="163"/>
    </row>
    <row r="970" ht="13.5" customHeight="1">
      <c r="A970" s="163"/>
      <c r="B970" s="170"/>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c r="AA970" s="163"/>
      <c r="AB970" s="163"/>
      <c r="AC970" s="163"/>
      <c r="AD970" s="163"/>
      <c r="AE970" s="163"/>
      <c r="AF970" s="163"/>
      <c r="AG970" s="170"/>
      <c r="AH970" s="163"/>
      <c r="AI970" s="163"/>
      <c r="AJ970" s="163"/>
      <c r="AK970" s="163"/>
    </row>
    <row r="971" ht="13.5" customHeight="1">
      <c r="A971" s="163"/>
      <c r="B971" s="170"/>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c r="AA971" s="163"/>
      <c r="AB971" s="163"/>
      <c r="AC971" s="163"/>
      <c r="AD971" s="163"/>
      <c r="AE971" s="163"/>
      <c r="AF971" s="163"/>
      <c r="AG971" s="170"/>
      <c r="AH971" s="163"/>
      <c r="AI971" s="163"/>
      <c r="AJ971" s="163"/>
      <c r="AK971" s="163"/>
    </row>
    <row r="972" ht="13.5" customHeight="1">
      <c r="A972" s="163"/>
      <c r="B972" s="170"/>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c r="AA972" s="163"/>
      <c r="AB972" s="163"/>
      <c r="AC972" s="163"/>
      <c r="AD972" s="163"/>
      <c r="AE972" s="163"/>
      <c r="AF972" s="163"/>
      <c r="AG972" s="170"/>
      <c r="AH972" s="163"/>
      <c r="AI972" s="163"/>
      <c r="AJ972" s="163"/>
      <c r="AK972" s="163"/>
    </row>
    <row r="973" ht="13.5" customHeight="1">
      <c r="A973" s="163"/>
      <c r="B973" s="170"/>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c r="AA973" s="163"/>
      <c r="AB973" s="163"/>
      <c r="AC973" s="163"/>
      <c r="AD973" s="163"/>
      <c r="AE973" s="163"/>
      <c r="AF973" s="163"/>
      <c r="AG973" s="170"/>
      <c r="AH973" s="163"/>
      <c r="AI973" s="163"/>
      <c r="AJ973" s="163"/>
      <c r="AK973" s="163"/>
    </row>
    <row r="974" ht="13.5" customHeight="1">
      <c r="A974" s="163"/>
      <c r="B974" s="170"/>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c r="AA974" s="163"/>
      <c r="AB974" s="163"/>
      <c r="AC974" s="163"/>
      <c r="AD974" s="163"/>
      <c r="AE974" s="163"/>
      <c r="AF974" s="163"/>
      <c r="AG974" s="170"/>
      <c r="AH974" s="163"/>
      <c r="AI974" s="163"/>
      <c r="AJ974" s="163"/>
      <c r="AK974" s="163"/>
    </row>
    <row r="975" ht="13.5" customHeight="1">
      <c r="A975" s="163"/>
      <c r="B975" s="170"/>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c r="AA975" s="163"/>
      <c r="AB975" s="163"/>
      <c r="AC975" s="163"/>
      <c r="AD975" s="163"/>
      <c r="AE975" s="163"/>
      <c r="AF975" s="163"/>
      <c r="AG975" s="170"/>
      <c r="AH975" s="163"/>
      <c r="AI975" s="163"/>
      <c r="AJ975" s="163"/>
      <c r="AK975" s="163"/>
    </row>
    <row r="976" ht="13.5" customHeight="1">
      <c r="A976" s="163"/>
      <c r="B976" s="170"/>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c r="AA976" s="163"/>
      <c r="AB976" s="163"/>
      <c r="AC976" s="163"/>
      <c r="AD976" s="163"/>
      <c r="AE976" s="163"/>
      <c r="AF976" s="163"/>
      <c r="AG976" s="170"/>
      <c r="AH976" s="163"/>
      <c r="AI976" s="163"/>
      <c r="AJ976" s="163"/>
      <c r="AK976" s="163"/>
    </row>
    <row r="977" ht="13.5" customHeight="1">
      <c r="A977" s="163"/>
      <c r="B977" s="170"/>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c r="AA977" s="163"/>
      <c r="AB977" s="163"/>
      <c r="AC977" s="163"/>
      <c r="AD977" s="163"/>
      <c r="AE977" s="163"/>
      <c r="AF977" s="163"/>
      <c r="AG977" s="170"/>
      <c r="AH977" s="163"/>
      <c r="AI977" s="163"/>
      <c r="AJ977" s="163"/>
      <c r="AK977" s="163"/>
    </row>
    <row r="978" ht="13.5" customHeight="1">
      <c r="A978" s="163"/>
      <c r="B978" s="170"/>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c r="AE978" s="163"/>
      <c r="AF978" s="163"/>
      <c r="AG978" s="170"/>
      <c r="AH978" s="163"/>
      <c r="AI978" s="163"/>
      <c r="AJ978" s="163"/>
      <c r="AK978" s="163"/>
    </row>
    <row r="979" ht="13.5" customHeight="1">
      <c r="A979" s="163"/>
      <c r="B979" s="170"/>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c r="AA979" s="163"/>
      <c r="AB979" s="163"/>
      <c r="AC979" s="163"/>
      <c r="AD979" s="163"/>
      <c r="AE979" s="163"/>
      <c r="AF979" s="163"/>
      <c r="AG979" s="170"/>
      <c r="AH979" s="163"/>
      <c r="AI979" s="163"/>
      <c r="AJ979" s="163"/>
      <c r="AK979" s="163"/>
    </row>
    <row r="980" ht="13.5" customHeight="1">
      <c r="A980" s="163"/>
      <c r="B980" s="170"/>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c r="AA980" s="163"/>
      <c r="AB980" s="163"/>
      <c r="AC980" s="163"/>
      <c r="AD980" s="163"/>
      <c r="AE980" s="163"/>
      <c r="AF980" s="163"/>
      <c r="AG980" s="170"/>
      <c r="AH980" s="163"/>
      <c r="AI980" s="163"/>
      <c r="AJ980" s="163"/>
      <c r="AK980" s="163"/>
    </row>
    <row r="981" ht="13.5" customHeight="1">
      <c r="A981" s="163"/>
      <c r="B981" s="170"/>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c r="AA981" s="163"/>
      <c r="AB981" s="163"/>
      <c r="AC981" s="163"/>
      <c r="AD981" s="163"/>
      <c r="AE981" s="163"/>
      <c r="AF981" s="163"/>
      <c r="AG981" s="170"/>
      <c r="AH981" s="163"/>
      <c r="AI981" s="163"/>
      <c r="AJ981" s="163"/>
      <c r="AK981" s="163"/>
    </row>
    <row r="982" ht="13.5" customHeight="1">
      <c r="A982" s="163"/>
      <c r="B982" s="170"/>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c r="AA982" s="163"/>
      <c r="AB982" s="163"/>
      <c r="AC982" s="163"/>
      <c r="AD982" s="163"/>
      <c r="AE982" s="163"/>
      <c r="AF982" s="163"/>
      <c r="AG982" s="170"/>
      <c r="AH982" s="163"/>
      <c r="AI982" s="163"/>
      <c r="AJ982" s="163"/>
      <c r="AK982" s="163"/>
    </row>
    <row r="983" ht="13.5" customHeight="1">
      <c r="A983" s="163"/>
      <c r="B983" s="170"/>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c r="AA983" s="163"/>
      <c r="AB983" s="163"/>
      <c r="AC983" s="163"/>
      <c r="AD983" s="163"/>
      <c r="AE983" s="163"/>
      <c r="AF983" s="163"/>
      <c r="AG983" s="170"/>
      <c r="AH983" s="163"/>
      <c r="AI983" s="163"/>
      <c r="AJ983" s="163"/>
      <c r="AK983" s="163"/>
    </row>
    <row r="984" ht="13.5" customHeight="1">
      <c r="A984" s="163"/>
      <c r="B984" s="170"/>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c r="AA984" s="163"/>
      <c r="AB984" s="163"/>
      <c r="AC984" s="163"/>
      <c r="AD984" s="163"/>
      <c r="AE984" s="163"/>
      <c r="AF984" s="163"/>
      <c r="AG984" s="170"/>
      <c r="AH984" s="163"/>
      <c r="AI984" s="163"/>
      <c r="AJ984" s="163"/>
      <c r="AK984" s="163"/>
    </row>
    <row r="985" ht="13.5" customHeight="1">
      <c r="A985" s="163"/>
      <c r="B985" s="170"/>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c r="AA985" s="163"/>
      <c r="AB985" s="163"/>
      <c r="AC985" s="163"/>
      <c r="AD985" s="163"/>
      <c r="AE985" s="163"/>
      <c r="AF985" s="163"/>
      <c r="AG985" s="170"/>
      <c r="AH985" s="163"/>
      <c r="AI985" s="163"/>
      <c r="AJ985" s="163"/>
      <c r="AK985" s="163"/>
    </row>
    <row r="986" ht="13.5" customHeight="1">
      <c r="A986" s="163"/>
      <c r="B986" s="170"/>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c r="AA986" s="163"/>
      <c r="AB986" s="163"/>
      <c r="AC986" s="163"/>
      <c r="AD986" s="163"/>
      <c r="AE986" s="163"/>
      <c r="AF986" s="163"/>
      <c r="AG986" s="170"/>
      <c r="AH986" s="163"/>
      <c r="AI986" s="163"/>
      <c r="AJ986" s="163"/>
      <c r="AK986" s="163"/>
    </row>
    <row r="987" ht="13.5" customHeight="1">
      <c r="A987" s="163"/>
      <c r="B987" s="170"/>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c r="AA987" s="163"/>
      <c r="AB987" s="163"/>
      <c r="AC987" s="163"/>
      <c r="AD987" s="163"/>
      <c r="AE987" s="163"/>
      <c r="AF987" s="163"/>
      <c r="AG987" s="170"/>
      <c r="AH987" s="163"/>
      <c r="AI987" s="163"/>
      <c r="AJ987" s="163"/>
      <c r="AK987" s="163"/>
    </row>
    <row r="988" ht="13.5" customHeight="1">
      <c r="A988" s="163"/>
      <c r="B988" s="170"/>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c r="AA988" s="163"/>
      <c r="AB988" s="163"/>
      <c r="AC988" s="163"/>
      <c r="AD988" s="163"/>
      <c r="AE988" s="163"/>
      <c r="AF988" s="163"/>
      <c r="AG988" s="170"/>
      <c r="AH988" s="163"/>
      <c r="AI988" s="163"/>
      <c r="AJ988" s="163"/>
      <c r="AK988" s="163"/>
    </row>
    <row r="989" ht="13.5" customHeight="1">
      <c r="A989" s="163"/>
      <c r="B989" s="170"/>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c r="AA989" s="163"/>
      <c r="AB989" s="163"/>
      <c r="AC989" s="163"/>
      <c r="AD989" s="163"/>
      <c r="AE989" s="163"/>
      <c r="AF989" s="163"/>
      <c r="AG989" s="170"/>
      <c r="AH989" s="163"/>
      <c r="AI989" s="163"/>
      <c r="AJ989" s="163"/>
      <c r="AK989" s="163"/>
    </row>
    <row r="990" ht="13.5" customHeight="1">
      <c r="A990" s="163"/>
      <c r="B990" s="170"/>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c r="AA990" s="163"/>
      <c r="AB990" s="163"/>
      <c r="AC990" s="163"/>
      <c r="AD990" s="163"/>
      <c r="AE990" s="163"/>
      <c r="AF990" s="163"/>
      <c r="AG990" s="170"/>
      <c r="AH990" s="163"/>
      <c r="AI990" s="163"/>
      <c r="AJ990" s="163"/>
      <c r="AK990" s="163"/>
    </row>
    <row r="991" ht="13.5" customHeight="1">
      <c r="A991" s="163"/>
      <c r="B991" s="170"/>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c r="AA991" s="163"/>
      <c r="AB991" s="163"/>
      <c r="AC991" s="163"/>
      <c r="AD991" s="163"/>
      <c r="AE991" s="163"/>
      <c r="AF991" s="163"/>
      <c r="AG991" s="170"/>
      <c r="AH991" s="163"/>
      <c r="AI991" s="163"/>
      <c r="AJ991" s="163"/>
      <c r="AK991" s="163"/>
    </row>
    <row r="992" ht="13.5" customHeight="1">
      <c r="A992" s="163"/>
      <c r="B992" s="170"/>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c r="AA992" s="163"/>
      <c r="AB992" s="163"/>
      <c r="AC992" s="163"/>
      <c r="AD992" s="163"/>
      <c r="AE992" s="163"/>
      <c r="AF992" s="163"/>
      <c r="AG992" s="170"/>
      <c r="AH992" s="163"/>
      <c r="AI992" s="163"/>
      <c r="AJ992" s="163"/>
      <c r="AK992" s="163"/>
    </row>
    <row r="993" ht="13.5" customHeight="1">
      <c r="A993" s="163"/>
      <c r="B993" s="170"/>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c r="AA993" s="163"/>
      <c r="AB993" s="163"/>
      <c r="AC993" s="163"/>
      <c r="AD993" s="163"/>
      <c r="AE993" s="163"/>
      <c r="AF993" s="163"/>
      <c r="AG993" s="170"/>
      <c r="AH993" s="163"/>
      <c r="AI993" s="163"/>
      <c r="AJ993" s="163"/>
      <c r="AK993" s="163"/>
    </row>
    <row r="994" ht="13.5" customHeight="1">
      <c r="A994" s="163"/>
      <c r="B994" s="170"/>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c r="AA994" s="163"/>
      <c r="AB994" s="163"/>
      <c r="AC994" s="163"/>
      <c r="AD994" s="163"/>
      <c r="AE994" s="163"/>
      <c r="AF994" s="163"/>
      <c r="AG994" s="170"/>
      <c r="AH994" s="163"/>
      <c r="AI994" s="163"/>
      <c r="AJ994" s="163"/>
      <c r="AK994" s="163"/>
    </row>
    <row r="995" ht="13.5" customHeight="1">
      <c r="A995" s="163"/>
      <c r="B995" s="170"/>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c r="AA995" s="163"/>
      <c r="AB995" s="163"/>
      <c r="AC995" s="163"/>
      <c r="AD995" s="163"/>
      <c r="AE995" s="163"/>
      <c r="AF995" s="163"/>
      <c r="AG995" s="170"/>
      <c r="AH995" s="163"/>
      <c r="AI995" s="163"/>
      <c r="AJ995" s="163"/>
      <c r="AK995" s="163"/>
    </row>
    <row r="996" ht="13.5" customHeight="1">
      <c r="A996" s="163"/>
      <c r="B996" s="170"/>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c r="AA996" s="163"/>
      <c r="AB996" s="163"/>
      <c r="AC996" s="163"/>
      <c r="AD996" s="163"/>
      <c r="AE996" s="163"/>
      <c r="AF996" s="163"/>
      <c r="AG996" s="170"/>
      <c r="AH996" s="163"/>
      <c r="AI996" s="163"/>
      <c r="AJ996" s="163"/>
      <c r="AK996" s="163"/>
    </row>
    <row r="997" ht="13.5" customHeight="1">
      <c r="A997" s="163"/>
      <c r="B997" s="170"/>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c r="AA997" s="163"/>
      <c r="AB997" s="163"/>
      <c r="AC997" s="163"/>
      <c r="AD997" s="163"/>
      <c r="AE997" s="163"/>
      <c r="AF997" s="163"/>
      <c r="AG997" s="170"/>
      <c r="AH997" s="163"/>
      <c r="AI997" s="163"/>
      <c r="AJ997" s="163"/>
      <c r="AK997" s="163"/>
    </row>
    <row r="998" ht="13.5" customHeight="1">
      <c r="A998" s="163"/>
      <c r="B998" s="170"/>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c r="AA998" s="163"/>
      <c r="AB998" s="163"/>
      <c r="AC998" s="163"/>
      <c r="AD998" s="163"/>
      <c r="AE998" s="163"/>
      <c r="AF998" s="163"/>
      <c r="AG998" s="170"/>
      <c r="AH998" s="163"/>
      <c r="AI998" s="163"/>
      <c r="AJ998" s="163"/>
      <c r="AK998" s="163"/>
    </row>
    <row r="999" ht="13.5" customHeight="1">
      <c r="A999" s="163"/>
      <c r="B999" s="170"/>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c r="AA999" s="163"/>
      <c r="AB999" s="163"/>
      <c r="AC999" s="163"/>
      <c r="AD999" s="163"/>
      <c r="AE999" s="163"/>
      <c r="AF999" s="163"/>
      <c r="AG999" s="170"/>
      <c r="AH999" s="163"/>
      <c r="AI999" s="163"/>
      <c r="AJ999" s="163"/>
      <c r="AK999" s="163"/>
    </row>
    <row r="1000" ht="13.5" customHeight="1">
      <c r="A1000" s="163"/>
      <c r="B1000" s="170"/>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c r="AA1000" s="163"/>
      <c r="AB1000" s="163"/>
      <c r="AC1000" s="163"/>
      <c r="AD1000" s="163"/>
      <c r="AE1000" s="163"/>
      <c r="AF1000" s="163"/>
      <c r="AG1000" s="170"/>
      <c r="AH1000" s="163"/>
      <c r="AI1000" s="163"/>
      <c r="AJ1000" s="163"/>
      <c r="AK1000" s="163"/>
    </row>
  </sheetData>
  <conditionalFormatting sqref="W3:Z3">
    <cfRule type="cellIs" dxfId="22" priority="1" operator="greaterThan">
      <formula>0</formula>
    </cfRule>
  </conditionalFormatting>
  <conditionalFormatting sqref="W23:Z23">
    <cfRule type="cellIs" dxfId="22" priority="2" operator="greaterThan">
      <formula>0</formula>
    </cfRule>
  </conditionalFormatting>
  <conditionalFormatting sqref="W25:Z25">
    <cfRule type="cellIs" dxfId="22" priority="3" operator="greaterThan">
      <formula>0</formula>
    </cfRule>
  </conditionalFormatting>
  <conditionalFormatting sqref="W32:Z32">
    <cfRule type="cellIs" dxfId="22" priority="4" operator="greaterThan">
      <formula>0</formula>
    </cfRule>
  </conditionalFormatting>
  <conditionalFormatting sqref="W39:X39">
    <cfRule type="cellIs" dxfId="22" priority="5" operator="greaterThan">
      <formula>0</formula>
    </cfRule>
  </conditionalFormatting>
  <conditionalFormatting sqref="W37:X37">
    <cfRule type="cellIs" dxfId="22" priority="6" operator="greaterThan">
      <formula>0</formula>
    </cfRule>
  </conditionalFormatting>
  <conditionalFormatting sqref="W50:Z50">
    <cfRule type="cellIs" dxfId="22" priority="7" operator="greaterThan">
      <formula>0</formula>
    </cfRule>
  </conditionalFormatting>
  <conditionalFormatting sqref="W70:Z70">
    <cfRule type="cellIs" dxfId="22" priority="8" operator="greaterThan">
      <formula>0</formula>
    </cfRule>
  </conditionalFormatting>
  <conditionalFormatting sqref="W72:Z72">
    <cfRule type="cellIs" dxfId="22" priority="9" operator="greaterThan">
      <formula>0</formula>
    </cfRule>
  </conditionalFormatting>
  <conditionalFormatting sqref="W79:Z79">
    <cfRule type="cellIs" dxfId="22" priority="10" operator="greaterThan">
      <formula>0</formula>
    </cfRule>
  </conditionalFormatting>
  <conditionalFormatting sqref="W86:X86">
    <cfRule type="cellIs" dxfId="22" priority="11" operator="greaterThan">
      <formula>0</formula>
    </cfRule>
  </conditionalFormatting>
  <conditionalFormatting sqref="W84:X84">
    <cfRule type="cellIs" dxfId="22" priority="12" operator="greaterThan">
      <formula>0</formula>
    </cfRule>
  </conditionalFormatting>
  <conditionalFormatting sqref="A3:AK47">
    <cfRule type="expression" dxfId="30" priority="13">
      <formula>MOD(ROW(),2)=0</formula>
    </cfRule>
  </conditionalFormatting>
  <conditionalFormatting sqref="A50:AK53 A55:AK94 A54:AF54 AH54:AK54">
    <cfRule type="expression" dxfId="30" priority="14">
      <formula>MOD(ROW(),2)=0</formula>
    </cfRule>
  </conditionalFormatting>
  <conditionalFormatting sqref="T6 R7 R9 S10 R14 S22 R26 T53 R54 R56 S57 R61 S69 R73">
    <cfRule type="expression" dxfId="31" priority="15">
      <formula>TRUE</formula>
    </cfRule>
  </conditionalFormatting>
  <conditionalFormatting sqref="R7 R9 R14 T53 S57 S69 R26">
    <cfRule type="expression" dxfId="32" priority="16">
      <formula>TRUE</formula>
    </cfRule>
  </conditionalFormatting>
  <conditionalFormatting sqref="AG54">
    <cfRule type="expression" dxfId="30" priority="17">
      <formula>MOD(ROW(),2)=0</formula>
    </cfRule>
  </conditionalFormatting>
  <conditionalFormatting sqref="AG32:AG33">
    <cfRule type="expression" dxfId="30" priority="18">
      <formula>MOD(ROW(),2)=0</formula>
    </cfRule>
  </conditionalFormatting>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0"/>
    <col customWidth="1" min="2" max="2" width="10.33"/>
    <col customWidth="1" min="3" max="3" width="9.0"/>
    <col customWidth="1" min="4" max="6" width="7.67"/>
    <col customWidth="1" min="7" max="7" width="8.44"/>
    <col customWidth="1" min="8" max="17" width="7.67"/>
    <col customWidth="1" min="18" max="18" width="8.33"/>
    <col customWidth="1" min="19" max="19" width="10.22"/>
    <col customWidth="1" min="20" max="20" width="7.67"/>
    <col customWidth="1" min="21" max="28" width="9.0"/>
  </cols>
  <sheetData>
    <row r="1" ht="13.5" customHeight="1">
      <c r="A1" s="384" t="s">
        <v>2329</v>
      </c>
      <c r="B1" s="142"/>
      <c r="C1" s="142" t="s">
        <v>2330</v>
      </c>
      <c r="D1" s="142"/>
      <c r="E1" s="131"/>
      <c r="F1" s="131"/>
      <c r="G1" s="131"/>
      <c r="H1" s="131"/>
      <c r="I1" s="131"/>
      <c r="J1" s="131"/>
      <c r="K1" s="131"/>
      <c r="L1" s="131"/>
      <c r="M1" s="131"/>
      <c r="N1" s="131"/>
      <c r="O1" s="142"/>
      <c r="P1" s="142"/>
      <c r="Q1" s="142"/>
      <c r="R1" s="131"/>
      <c r="S1" s="142"/>
      <c r="T1" s="142"/>
      <c r="U1" s="142"/>
      <c r="V1" s="142"/>
      <c r="W1" s="142"/>
      <c r="X1" s="142"/>
      <c r="Y1" s="142"/>
      <c r="Z1" s="142"/>
      <c r="AA1" s="142"/>
      <c r="AB1" s="142"/>
    </row>
    <row r="2" ht="13.5" customHeight="1">
      <c r="A2" s="142"/>
      <c r="B2" s="142"/>
      <c r="C2" s="142"/>
      <c r="D2" s="142"/>
      <c r="E2" s="131"/>
      <c r="F2" s="131"/>
      <c r="G2" s="131"/>
      <c r="H2" s="131"/>
      <c r="I2" s="131"/>
      <c r="J2" s="131"/>
      <c r="K2" s="131"/>
      <c r="L2" s="131"/>
      <c r="M2" s="131"/>
      <c r="N2" s="131"/>
      <c r="O2" s="142"/>
      <c r="P2" s="142"/>
      <c r="Q2" s="142"/>
      <c r="R2" s="131"/>
      <c r="S2" s="142"/>
      <c r="T2" s="142"/>
      <c r="U2" s="142"/>
      <c r="V2" s="142"/>
      <c r="W2" s="142"/>
      <c r="X2" s="142"/>
      <c r="Y2" s="142"/>
      <c r="Z2" s="142"/>
      <c r="AA2" s="142"/>
      <c r="AB2" s="142"/>
    </row>
    <row r="3" ht="13.5" customHeight="1">
      <c r="A3" s="385" t="str">
        <f>'主頁'!G29</f>
        <v>核心科目</v>
      </c>
      <c r="B3" s="386"/>
      <c r="C3" s="387" t="s">
        <v>2331</v>
      </c>
      <c r="D3" s="142"/>
      <c r="E3" s="385" t="str">
        <f>'主頁'!G36</f>
        <v>選修科目</v>
      </c>
      <c r="F3" s="386"/>
      <c r="G3" s="387" t="s">
        <v>2331</v>
      </c>
      <c r="H3" s="131"/>
      <c r="I3" s="131"/>
      <c r="J3" s="131"/>
      <c r="K3" s="131"/>
      <c r="L3" s="131"/>
      <c r="M3" s="131"/>
      <c r="N3" s="131"/>
      <c r="O3" s="142"/>
      <c r="P3" s="142"/>
      <c r="Q3" s="142"/>
      <c r="R3" s="131"/>
      <c r="S3" s="142"/>
      <c r="T3" s="142"/>
      <c r="U3" s="142"/>
      <c r="V3" s="142"/>
      <c r="W3" s="142"/>
      <c r="X3" s="142"/>
      <c r="Y3" s="142"/>
      <c r="Z3" s="142"/>
      <c r="AA3" s="142"/>
      <c r="AB3" s="142"/>
    </row>
    <row r="4" ht="13.5" customHeight="1">
      <c r="A4" s="388" t="str">
        <f>'主頁'!G30</f>
        <v>中國語文</v>
      </c>
      <c r="B4" s="389" t="str">
        <f>IF('主頁'!I30=0,"",'主頁'!I30)</f>
        <v/>
      </c>
      <c r="C4" s="389" t="str">
        <f>IF('主頁'!J30="Y","是","")</f>
        <v/>
      </c>
      <c r="D4" s="142"/>
      <c r="E4" s="388" t="str">
        <f>IF('計分版'!J1=0,"",'主頁'!G37)</f>
        <v/>
      </c>
      <c r="F4" s="389" t="str">
        <f>IF('主頁'!I37=0,"",IF('計分版'!J1=0,"",'主頁'!I37))</f>
        <v/>
      </c>
      <c r="G4" s="389" t="str">
        <f>IF('主頁'!J37="Y","是","")</f>
        <v/>
      </c>
      <c r="H4" s="142"/>
      <c r="I4" s="131"/>
      <c r="J4" s="131"/>
      <c r="K4" s="131"/>
      <c r="L4" s="131"/>
      <c r="M4" s="131"/>
      <c r="N4" s="131"/>
      <c r="O4" s="142"/>
      <c r="P4" s="142"/>
      <c r="Q4" s="142"/>
      <c r="R4" s="131"/>
      <c r="S4" s="142"/>
      <c r="T4" s="142"/>
      <c r="U4" s="142"/>
      <c r="V4" s="142"/>
      <c r="W4" s="142"/>
      <c r="X4" s="142"/>
      <c r="Y4" s="142"/>
      <c r="Z4" s="142"/>
      <c r="AA4" s="142"/>
      <c r="AB4" s="142"/>
    </row>
    <row r="5" ht="13.5" customHeight="1">
      <c r="A5" s="390" t="str">
        <f>'主頁'!G31</f>
        <v>英國語文</v>
      </c>
      <c r="B5" s="391" t="str">
        <f>IF('主頁'!I31=0,"",'主頁'!I31)</f>
        <v/>
      </c>
      <c r="C5" s="391" t="str">
        <f>IF('主頁'!J31="Y","是","")</f>
        <v/>
      </c>
      <c r="D5" s="142"/>
      <c r="E5" s="390" t="str">
        <f>IF('計分版'!K1=0,"",'主頁'!G38)</f>
        <v/>
      </c>
      <c r="F5" s="391" t="str">
        <f>IF('主頁'!I38=0,"",IF('計分版'!K1=0,"",'主頁'!I38))</f>
        <v/>
      </c>
      <c r="G5" s="391" t="str">
        <f>IF('主頁'!J38="Y","是","")</f>
        <v/>
      </c>
      <c r="H5" s="142"/>
      <c r="I5" s="131"/>
      <c r="J5" s="131"/>
      <c r="K5" s="131"/>
      <c r="L5" s="131"/>
      <c r="M5" s="131"/>
      <c r="N5" s="131"/>
      <c r="O5" s="142"/>
      <c r="P5" s="142"/>
      <c r="Q5" s="142"/>
      <c r="R5" s="131"/>
      <c r="S5" s="142"/>
      <c r="T5" s="142"/>
      <c r="U5" s="142"/>
      <c r="V5" s="142"/>
      <c r="W5" s="142"/>
      <c r="X5" s="142"/>
      <c r="Y5" s="142"/>
      <c r="Z5" s="142"/>
      <c r="AA5" s="142"/>
      <c r="AB5" s="142"/>
    </row>
    <row r="6" ht="13.5" customHeight="1">
      <c r="A6" s="388" t="str">
        <f>'主頁'!G32</f>
        <v>數學</v>
      </c>
      <c r="B6" s="389" t="str">
        <f>IF('主頁'!I32=0,"",'主頁'!I32)</f>
        <v/>
      </c>
      <c r="C6" s="389" t="str">
        <f>IF('主頁'!J32="Y","是","")</f>
        <v/>
      </c>
      <c r="D6" s="142"/>
      <c r="E6" s="388" t="str">
        <f>IF('計分版'!L1=0,"",'主頁'!G39)</f>
        <v/>
      </c>
      <c r="F6" s="389" t="str">
        <f>IF('主頁'!I39=0,"",IF('計分版'!L1=0,"",'主頁'!I39))</f>
        <v/>
      </c>
      <c r="G6" s="389" t="str">
        <f>IF('主頁'!J39="Y","是","")</f>
        <v/>
      </c>
      <c r="H6" s="142"/>
      <c r="I6" s="131"/>
      <c r="J6" s="131"/>
      <c r="K6" s="131"/>
      <c r="L6" s="131"/>
      <c r="M6" s="131"/>
      <c r="N6" s="131"/>
      <c r="O6" s="142"/>
      <c r="P6" s="142"/>
      <c r="Q6" s="142"/>
      <c r="R6" s="131"/>
      <c r="S6" s="142"/>
      <c r="T6" s="142"/>
      <c r="U6" s="142"/>
      <c r="V6" s="142"/>
      <c r="W6" s="142"/>
      <c r="X6" s="142"/>
      <c r="Y6" s="142"/>
      <c r="Z6" s="142"/>
      <c r="AA6" s="142"/>
      <c r="AB6" s="142"/>
    </row>
    <row r="7" ht="13.5" customHeight="1">
      <c r="A7" s="390" t="str">
        <f>'主頁'!G33</f>
        <v>通識教育</v>
      </c>
      <c r="B7" s="391" t="str">
        <f>IF('主頁'!I33=0,"",'主頁'!I33)</f>
        <v/>
      </c>
      <c r="C7" s="391" t="str">
        <f>IF('主頁'!J33="Y","是","")</f>
        <v/>
      </c>
      <c r="D7" s="142"/>
      <c r="E7" s="390" t="str">
        <f>IF('計分版'!M1=0,"",'主頁'!G40)</f>
        <v/>
      </c>
      <c r="F7" s="391" t="str">
        <f>IF('主頁'!I40=0,"",IF('計分版'!M1=0,"",'主頁'!I40))</f>
        <v/>
      </c>
      <c r="G7" s="391" t="str">
        <f>IF('主頁'!J40="Y","是","")</f>
        <v/>
      </c>
      <c r="H7" s="142"/>
      <c r="I7" s="131"/>
      <c r="J7" s="131"/>
      <c r="K7" s="131"/>
      <c r="L7" s="131"/>
      <c r="M7" s="131"/>
      <c r="N7" s="131"/>
      <c r="O7" s="142"/>
      <c r="P7" s="142"/>
      <c r="Q7" s="142"/>
      <c r="R7" s="131"/>
      <c r="S7" s="142"/>
      <c r="T7" s="142"/>
      <c r="U7" s="142"/>
      <c r="V7" s="142"/>
      <c r="W7" s="142"/>
      <c r="X7" s="142"/>
      <c r="Y7" s="142"/>
      <c r="Z7" s="142"/>
      <c r="AA7" s="142"/>
      <c r="AB7" s="142"/>
    </row>
    <row r="8" ht="13.5" customHeight="1">
      <c r="A8" s="388" t="str">
        <f>'主頁'!G34</f>
        <v>M1/2</v>
      </c>
      <c r="B8" s="389" t="str">
        <f>IF('主頁'!I34=0,"",'主頁'!I34)</f>
        <v/>
      </c>
      <c r="C8" s="389" t="str">
        <f>IF('主頁'!J34="Y","是","")</f>
        <v/>
      </c>
      <c r="D8" s="142"/>
      <c r="E8" s="388" t="str">
        <f>IF('計分版'!N1=0,"",'主頁'!G41)</f>
        <v/>
      </c>
      <c r="F8" s="389" t="str">
        <f>IF('主頁'!I41=0,"",IF('計分版'!N1=0,"",'主頁'!I41))</f>
        <v/>
      </c>
      <c r="G8" s="389" t="str">
        <f>IF('主頁'!J41="Y","是","")</f>
        <v/>
      </c>
      <c r="H8" s="142"/>
      <c r="I8" s="131"/>
      <c r="J8" s="131"/>
      <c r="K8" s="131"/>
      <c r="L8" s="131"/>
      <c r="M8" s="131"/>
      <c r="N8" s="131"/>
      <c r="O8" s="142"/>
      <c r="P8" s="142"/>
      <c r="Q8" s="142"/>
      <c r="R8" s="131"/>
      <c r="S8" s="142"/>
      <c r="T8" s="142"/>
      <c r="U8" s="142"/>
      <c r="V8" s="142"/>
      <c r="W8" s="142"/>
      <c r="X8" s="142"/>
      <c r="Y8" s="142"/>
      <c r="Z8" s="142"/>
      <c r="AA8" s="142"/>
      <c r="AB8" s="142"/>
    </row>
    <row r="9" ht="13.5" customHeight="1">
      <c r="A9" s="198"/>
      <c r="B9" s="131"/>
      <c r="C9" s="131"/>
      <c r="D9" s="142"/>
      <c r="E9" s="131"/>
      <c r="F9" s="131"/>
      <c r="G9" s="131"/>
      <c r="H9" s="131"/>
      <c r="I9" s="131"/>
      <c r="J9" s="131"/>
      <c r="K9" s="131"/>
      <c r="L9" s="131"/>
      <c r="M9" s="131"/>
      <c r="N9" s="131"/>
      <c r="O9" s="142"/>
      <c r="P9" s="142"/>
      <c r="Q9" s="142"/>
      <c r="R9" s="131"/>
      <c r="S9" s="142"/>
      <c r="T9" s="142"/>
      <c r="U9" s="142"/>
      <c r="V9" s="142"/>
      <c r="W9" s="142"/>
      <c r="X9" s="142"/>
      <c r="Y9" s="142"/>
      <c r="Z9" s="142"/>
      <c r="AA9" s="142"/>
      <c r="AB9" s="142"/>
    </row>
    <row r="10" ht="13.5" customHeight="1">
      <c r="A10" s="142" t="s">
        <v>2332</v>
      </c>
      <c r="B10" s="142"/>
      <c r="C10" s="142"/>
      <c r="D10" s="142"/>
      <c r="E10" s="131"/>
      <c r="F10" s="131"/>
      <c r="G10" s="131"/>
      <c r="H10" s="131"/>
      <c r="I10" s="131"/>
      <c r="J10" s="131"/>
      <c r="K10" s="131"/>
      <c r="L10" s="131"/>
      <c r="M10" s="131"/>
      <c r="N10" s="131"/>
      <c r="O10" s="142"/>
      <c r="P10" s="142"/>
      <c r="Q10" s="142"/>
      <c r="R10" s="131"/>
      <c r="S10" s="142"/>
      <c r="T10" s="142"/>
      <c r="U10" s="142"/>
      <c r="V10" s="142"/>
      <c r="W10" s="142"/>
      <c r="X10" s="142"/>
      <c r="Y10" s="142"/>
      <c r="Z10" s="142"/>
      <c r="AA10" s="142"/>
      <c r="AB10" s="142"/>
    </row>
    <row r="11" ht="13.5" customHeight="1">
      <c r="A11" s="142"/>
      <c r="B11" s="142"/>
      <c r="C11" s="142"/>
      <c r="D11" s="142"/>
      <c r="E11" s="131"/>
      <c r="F11" s="131"/>
      <c r="G11" s="131"/>
      <c r="H11" s="131"/>
      <c r="I11" s="131"/>
      <c r="J11" s="131"/>
      <c r="K11" s="131"/>
      <c r="L11" s="131"/>
      <c r="M11" s="131"/>
      <c r="N11" s="131"/>
      <c r="O11" s="142"/>
      <c r="P11" s="142"/>
      <c r="Q11" s="142"/>
      <c r="R11" s="131"/>
      <c r="S11" s="142"/>
      <c r="T11" s="142"/>
      <c r="U11" s="142"/>
      <c r="V11" s="142"/>
      <c r="W11" s="142"/>
      <c r="X11" s="142"/>
      <c r="Y11" s="142"/>
      <c r="Z11" s="142"/>
      <c r="AA11" s="142"/>
      <c r="AB11" s="142"/>
    </row>
    <row r="12" ht="13.5" customHeight="1">
      <c r="A12" s="392" t="s">
        <v>177</v>
      </c>
      <c r="B12" s="393"/>
      <c r="C12" s="393"/>
      <c r="D12" s="393" t="s">
        <v>45</v>
      </c>
      <c r="E12" s="393" t="s">
        <v>46</v>
      </c>
      <c r="F12" s="393" t="s">
        <v>47</v>
      </c>
      <c r="G12" s="393" t="s">
        <v>2333</v>
      </c>
      <c r="H12" s="393" t="s">
        <v>23</v>
      </c>
      <c r="I12" s="393" t="s">
        <v>26</v>
      </c>
      <c r="J12" s="393" t="s">
        <v>29</v>
      </c>
      <c r="K12" s="393" t="s">
        <v>30</v>
      </c>
      <c r="L12" s="393" t="s">
        <v>173</v>
      </c>
      <c r="M12" s="393" t="str">
        <f>IF('計分版'!J1=0,"",'計分版'!J1)</f>
        <v/>
      </c>
      <c r="N12" s="393" t="str">
        <f>IF('計分版'!K1=0,"",'計分版'!K1)</f>
        <v/>
      </c>
      <c r="O12" s="393" t="str">
        <f>IF('計分版'!L1=0,"",'計分版'!L1)</f>
        <v/>
      </c>
      <c r="P12" s="393" t="str">
        <f>IF('計分版'!M1=0,"",'計分版'!M1)</f>
        <v/>
      </c>
      <c r="Q12" s="393" t="str">
        <f>IF('計分版'!N1=0,"",'計分版'!N1)</f>
        <v/>
      </c>
      <c r="R12" s="393" t="s">
        <v>2334</v>
      </c>
      <c r="S12" s="393" t="s">
        <v>2335</v>
      </c>
      <c r="T12" s="132"/>
      <c r="U12" s="132"/>
      <c r="V12" s="132"/>
      <c r="W12" s="132"/>
      <c r="X12" s="132"/>
      <c r="Y12" s="132"/>
      <c r="Z12" s="132"/>
      <c r="AA12" s="132"/>
      <c r="AB12" s="132"/>
    </row>
    <row r="13" ht="13.5" customHeight="1">
      <c r="A13" s="142" t="s">
        <v>476</v>
      </c>
      <c r="B13" s="142" t="s">
        <v>477</v>
      </c>
      <c r="C13" s="131" t="s">
        <v>21</v>
      </c>
      <c r="D13" s="394">
        <f>CUHK!F15</f>
        <v>33.5</v>
      </c>
      <c r="E13" s="394">
        <f>CUHK!G15</f>
        <v>29</v>
      </c>
      <c r="F13" s="394">
        <f>CUHK!H15</f>
        <v>26</v>
      </c>
      <c r="G13" s="395">
        <f>'計分版'!D178</f>
        <v>0.00000000395</v>
      </c>
      <c r="H13" s="396">
        <f>'計分版'!E178</f>
        <v>0.0000000001</v>
      </c>
      <c r="I13" s="396">
        <f>'計分版'!F178</f>
        <v>0.0000000002</v>
      </c>
      <c r="J13" s="396">
        <f>'計分版'!G178</f>
        <v>0.0000000003</v>
      </c>
      <c r="K13" s="396">
        <f>'計分版'!H178</f>
        <v>0.0000000004</v>
      </c>
      <c r="L13" s="396">
        <f>'計分版'!I178</f>
        <v>0.0000000005</v>
      </c>
      <c r="M13" s="396">
        <f>'計分版'!J178</f>
        <v>0.0000000006</v>
      </c>
      <c r="N13" s="396">
        <f>'計分版'!K178</f>
        <v>0.0000000007</v>
      </c>
      <c r="O13" s="396">
        <f>'計分版'!L178</f>
        <v>0.0000000008</v>
      </c>
      <c r="P13" s="396">
        <f>'計分版'!M178</f>
        <v>0.0000000009</v>
      </c>
      <c r="Q13" s="396">
        <f>'計分版'!N178</f>
        <v>0.00000000095</v>
      </c>
      <c r="R13" s="131" t="s">
        <v>417</v>
      </c>
      <c r="S13" s="131" t="s">
        <v>2336</v>
      </c>
      <c r="T13" s="131"/>
      <c r="U13" s="278"/>
      <c r="V13" s="278"/>
      <c r="W13" s="278"/>
      <c r="X13" s="142"/>
      <c r="Y13" s="142"/>
      <c r="Z13" s="142"/>
      <c r="AA13" s="142"/>
      <c r="AB13" s="142"/>
    </row>
    <row r="14" ht="13.5" customHeight="1">
      <c r="A14" s="142" t="s">
        <v>487</v>
      </c>
      <c r="B14" s="142" t="s">
        <v>488</v>
      </c>
      <c r="C14" s="131" t="s">
        <v>21</v>
      </c>
      <c r="D14" s="394">
        <f>CUHK!F17</f>
        <v>27.5</v>
      </c>
      <c r="E14" s="394">
        <f>CUHK!G17</f>
        <v>26</v>
      </c>
      <c r="F14" s="394">
        <f>CUHK!H17</f>
        <v>24.5</v>
      </c>
      <c r="G14" s="395">
        <f>'計分版'!D180</f>
        <v>0.00000000395</v>
      </c>
      <c r="H14" s="396">
        <f>'計分版'!E180</f>
        <v>0.0000000001</v>
      </c>
      <c r="I14" s="396">
        <f>'計分版'!F180</f>
        <v>0.0000000002</v>
      </c>
      <c r="J14" s="396">
        <f>'計分版'!G180</f>
        <v>0.0000000003</v>
      </c>
      <c r="K14" s="396">
        <f>'計分版'!H180</f>
        <v>0.0000000004</v>
      </c>
      <c r="L14" s="396">
        <f>'計分版'!I180</f>
        <v>0.0000000005</v>
      </c>
      <c r="M14" s="396">
        <f>'計分版'!J180</f>
        <v>0.0000000006</v>
      </c>
      <c r="N14" s="396">
        <f>'計分版'!K180</f>
        <v>0.0000000007</v>
      </c>
      <c r="O14" s="396">
        <f>'計分版'!L180</f>
        <v>0.0000000008</v>
      </c>
      <c r="P14" s="396">
        <f>'計分版'!M180</f>
        <v>0.0000000009</v>
      </c>
      <c r="Q14" s="396">
        <f>'計分版'!N180</f>
        <v>0.00000000095</v>
      </c>
      <c r="R14" s="131" t="s">
        <v>417</v>
      </c>
      <c r="S14" s="131" t="s">
        <v>2336</v>
      </c>
      <c r="T14" s="131"/>
      <c r="U14" s="278"/>
      <c r="V14" s="278"/>
      <c r="W14" s="278"/>
      <c r="X14" s="142"/>
      <c r="Y14" s="142"/>
      <c r="Z14" s="142"/>
      <c r="AA14" s="142"/>
      <c r="AB14" s="142"/>
    </row>
    <row r="15" ht="13.5" customHeight="1">
      <c r="A15" s="142" t="s">
        <v>492</v>
      </c>
      <c r="B15" s="142" t="s">
        <v>493</v>
      </c>
      <c r="C15" s="131" t="s">
        <v>191</v>
      </c>
      <c r="D15" s="394">
        <f>CUHK!F18</f>
        <v>48</v>
      </c>
      <c r="E15" s="394">
        <f>CUHK!G18</f>
        <v>45</v>
      </c>
      <c r="F15" s="394">
        <f>CUHK!H18</f>
        <v>45</v>
      </c>
      <c r="G15" s="395">
        <f>'計分版'!D181</f>
        <v>0.00000000285</v>
      </c>
      <c r="H15" s="396">
        <f>'計分版'!E181</f>
        <v>0.0000000001</v>
      </c>
      <c r="I15" s="396">
        <f>'計分版'!F181</f>
        <v>0.0000000002</v>
      </c>
      <c r="J15" s="396">
        <f>'計分版'!G181</f>
        <v>0.0000000003</v>
      </c>
      <c r="K15" s="396">
        <f>'計分版'!H181</f>
        <v>0.0000000004</v>
      </c>
      <c r="L15" s="396">
        <f>'計分版'!I181</f>
        <v>0.0000000005</v>
      </c>
      <c r="M15" s="396">
        <f>'計分版'!J181</f>
        <v>0.0000000006</v>
      </c>
      <c r="N15" s="396">
        <f>'計分版'!K181</f>
        <v>0.0000000007</v>
      </c>
      <c r="O15" s="396">
        <f>'計分版'!L181</f>
        <v>0.0000000008</v>
      </c>
      <c r="P15" s="396">
        <f>'計分版'!M181</f>
        <v>0.0000000009</v>
      </c>
      <c r="Q15" s="396">
        <f>'計分版'!N181</f>
        <v>0.00000000095</v>
      </c>
      <c r="R15" s="131" t="s">
        <v>417</v>
      </c>
      <c r="S15" s="131" t="s">
        <v>2336</v>
      </c>
      <c r="T15" s="131"/>
      <c r="U15" s="278"/>
      <c r="V15" s="278"/>
      <c r="W15" s="278"/>
      <c r="X15" s="142"/>
      <c r="Y15" s="142"/>
      <c r="Z15" s="142"/>
      <c r="AA15" s="142"/>
      <c r="AB15" s="142"/>
    </row>
    <row r="16" ht="13.5" customHeight="1">
      <c r="A16" s="142" t="s">
        <v>497</v>
      </c>
      <c r="B16" s="142" t="s">
        <v>498</v>
      </c>
      <c r="C16" s="134" t="s">
        <v>21</v>
      </c>
      <c r="D16" s="394">
        <f>CUHK!F19</f>
        <v>26</v>
      </c>
      <c r="E16" s="394">
        <f>CUHK!G19</f>
        <v>26</v>
      </c>
      <c r="F16" s="394">
        <f>CUHK!H19</f>
        <v>24.5</v>
      </c>
      <c r="G16" s="395">
        <f>'計分版'!D182</f>
        <v>0.00000000395</v>
      </c>
      <c r="H16" s="396">
        <f>'計分版'!E182</f>
        <v>0.0000000001</v>
      </c>
      <c r="I16" s="396">
        <f>'計分版'!F182</f>
        <v>0.0000000002</v>
      </c>
      <c r="J16" s="396">
        <f>'計分版'!G182</f>
        <v>0.0000000003</v>
      </c>
      <c r="K16" s="396">
        <f>'計分版'!H182</f>
        <v>0.0000000004</v>
      </c>
      <c r="L16" s="396">
        <f>'計分版'!I182</f>
        <v>0.0000000005</v>
      </c>
      <c r="M16" s="396">
        <f>'計分版'!J182</f>
        <v>0.0000000006</v>
      </c>
      <c r="N16" s="396">
        <f>'計分版'!K182</f>
        <v>0.0000000007</v>
      </c>
      <c r="O16" s="396">
        <f>'計分版'!L182</f>
        <v>0.0000000008</v>
      </c>
      <c r="P16" s="396">
        <f>'計分版'!M182</f>
        <v>0.0000000009</v>
      </c>
      <c r="Q16" s="396">
        <f>'計分版'!N182</f>
        <v>0.00000000095</v>
      </c>
      <c r="R16" s="131" t="s">
        <v>417</v>
      </c>
      <c r="S16" s="131" t="s">
        <v>2336</v>
      </c>
      <c r="T16" s="134"/>
      <c r="U16" s="278"/>
      <c r="V16" s="278"/>
      <c r="W16" s="278"/>
      <c r="X16" s="142"/>
      <c r="Y16" s="142"/>
      <c r="Z16" s="142"/>
      <c r="AA16" s="142"/>
      <c r="AB16" s="142"/>
    </row>
    <row r="17" ht="13.5" customHeight="1">
      <c r="A17" s="142" t="s">
        <v>502</v>
      </c>
      <c r="B17" s="142" t="s">
        <v>503</v>
      </c>
      <c r="C17" s="131" t="s">
        <v>21</v>
      </c>
      <c r="D17" s="394">
        <f>CUHK!F20</f>
        <v>32</v>
      </c>
      <c r="E17" s="394">
        <f>CUHK!G20</f>
        <v>30.5</v>
      </c>
      <c r="F17" s="394">
        <f>CUHK!H20</f>
        <v>29</v>
      </c>
      <c r="G17" s="395">
        <f>'計分版'!D183</f>
        <v>0.00000000335</v>
      </c>
      <c r="H17" s="396">
        <f>'計分版'!E183</f>
        <v>0.0000000001</v>
      </c>
      <c r="I17" s="396">
        <f>'計分版'!F183</f>
        <v>0.0000000002</v>
      </c>
      <c r="J17" s="396">
        <f>'計分版'!G183</f>
        <v>0.0000000003</v>
      </c>
      <c r="K17" s="396">
        <f>'計分版'!H183</f>
        <v>0.0000000004</v>
      </c>
      <c r="L17" s="396">
        <f>'計分版'!I183</f>
        <v>0.0000000005</v>
      </c>
      <c r="M17" s="396">
        <f>'計分版'!J183</f>
        <v>0.0000000006</v>
      </c>
      <c r="N17" s="396">
        <f>'計分版'!K183</f>
        <v>0.0000000007</v>
      </c>
      <c r="O17" s="396">
        <f>'計分版'!L183</f>
        <v>0.0000000008</v>
      </c>
      <c r="P17" s="396">
        <f>'計分版'!M183</f>
        <v>0.0000000009</v>
      </c>
      <c r="Q17" s="396">
        <f>'計分版'!N183</f>
        <v>0.00000000095</v>
      </c>
      <c r="R17" s="131" t="s">
        <v>439</v>
      </c>
      <c r="S17" s="131" t="s">
        <v>2336</v>
      </c>
      <c r="T17" s="131"/>
      <c r="U17" s="278"/>
      <c r="V17" s="278"/>
      <c r="W17" s="278"/>
      <c r="X17" s="142"/>
      <c r="Y17" s="142"/>
      <c r="Z17" s="142"/>
      <c r="AA17" s="142"/>
      <c r="AB17" s="142"/>
    </row>
    <row r="18" ht="13.5" customHeight="1">
      <c r="A18" s="142" t="s">
        <v>504</v>
      </c>
      <c r="B18" s="142" t="s">
        <v>505</v>
      </c>
      <c r="C18" s="131" t="s">
        <v>21</v>
      </c>
      <c r="D18" s="394">
        <f>CUHK!F21</f>
        <v>30.5</v>
      </c>
      <c r="E18" s="394">
        <f>CUHK!G21</f>
        <v>27.5</v>
      </c>
      <c r="F18" s="394">
        <f>CUHK!H21</f>
        <v>26</v>
      </c>
      <c r="G18" s="395">
        <f>'計分版'!D184</f>
        <v>0.00000000395</v>
      </c>
      <c r="H18" s="396">
        <f>'計分版'!E184</f>
        <v>0.0000000001</v>
      </c>
      <c r="I18" s="396">
        <f>'計分版'!F184</f>
        <v>0.0000000002</v>
      </c>
      <c r="J18" s="396">
        <f>'計分版'!G184</f>
        <v>0.0000000003</v>
      </c>
      <c r="K18" s="396">
        <f>'計分版'!H184</f>
        <v>0.0000000004</v>
      </c>
      <c r="L18" s="396">
        <f>'計分版'!I184</f>
        <v>0.0000000005</v>
      </c>
      <c r="M18" s="396">
        <f>'計分版'!J184</f>
        <v>0.0000000006</v>
      </c>
      <c r="N18" s="396">
        <f>'計分版'!K184</f>
        <v>0.0000000007</v>
      </c>
      <c r="O18" s="396">
        <f>'計分版'!L184</f>
        <v>0.0000000008</v>
      </c>
      <c r="P18" s="396">
        <f>'計分版'!M184</f>
        <v>0.0000000009</v>
      </c>
      <c r="Q18" s="396">
        <f>'計分版'!N184</f>
        <v>0.00000000095</v>
      </c>
      <c r="R18" s="131" t="s">
        <v>417</v>
      </c>
      <c r="S18" s="131" t="s">
        <v>2336</v>
      </c>
      <c r="T18" s="131"/>
      <c r="U18" s="278"/>
      <c r="V18" s="278"/>
      <c r="W18" s="278"/>
      <c r="X18" s="142"/>
      <c r="Y18" s="142"/>
      <c r="Z18" s="142"/>
      <c r="AA18" s="142"/>
      <c r="AB18" s="142"/>
    </row>
    <row r="19" ht="13.5" customHeight="1">
      <c r="A19" s="142" t="s">
        <v>506</v>
      </c>
      <c r="B19" s="142" t="s">
        <v>507</v>
      </c>
      <c r="C19" s="134" t="s">
        <v>21</v>
      </c>
      <c r="D19" s="394">
        <f>CUHK!F22</f>
        <v>53.25</v>
      </c>
      <c r="E19" s="394">
        <f>CUHK!G22</f>
        <v>50.25</v>
      </c>
      <c r="F19" s="394">
        <f>CUHK!H22</f>
        <v>49</v>
      </c>
      <c r="G19" s="395">
        <f>'計分版'!D185</f>
        <v>0.0000000041</v>
      </c>
      <c r="H19" s="396">
        <f>'計分版'!E185</f>
        <v>0.0000000001</v>
      </c>
      <c r="I19" s="396">
        <f>'計分版'!F185</f>
        <v>0.0000000004</v>
      </c>
      <c r="J19" s="396">
        <f>'計分版'!G185</f>
        <v>0.0000000006</v>
      </c>
      <c r="K19" s="396">
        <f>'計分版'!H185</f>
        <v>0.0000000004</v>
      </c>
      <c r="L19" s="396">
        <f>'計分版'!I185</f>
        <v>0.00000000075</v>
      </c>
      <c r="M19" s="396">
        <f>'計分版'!J185</f>
        <v>0.0000000006</v>
      </c>
      <c r="N19" s="396">
        <f>'計分版'!K185</f>
        <v>0.0000000007</v>
      </c>
      <c r="O19" s="396">
        <f>'計分版'!L185</f>
        <v>0.0000000008</v>
      </c>
      <c r="P19" s="396">
        <f>'計分版'!M185</f>
        <v>0.0000000009</v>
      </c>
      <c r="Q19" s="396">
        <f>'計分版'!N185</f>
        <v>0.00000000095</v>
      </c>
      <c r="R19" s="131" t="s">
        <v>417</v>
      </c>
      <c r="S19" s="131" t="s">
        <v>2336</v>
      </c>
      <c r="T19" s="134"/>
      <c r="U19" s="278"/>
      <c r="V19" s="278"/>
      <c r="W19" s="278"/>
      <c r="X19" s="142"/>
      <c r="Y19" s="142"/>
      <c r="Z19" s="142"/>
      <c r="AA19" s="142"/>
      <c r="AB19" s="142"/>
    </row>
    <row r="20" ht="13.5" customHeight="1">
      <c r="A20" s="142" t="s">
        <v>510</v>
      </c>
      <c r="B20" s="142" t="s">
        <v>511</v>
      </c>
      <c r="C20" s="132" t="s">
        <v>191</v>
      </c>
      <c r="D20" s="394">
        <f>CUHK!F24</f>
        <v>52</v>
      </c>
      <c r="E20" s="394">
        <f>CUHK!G24</f>
        <v>51.25</v>
      </c>
      <c r="F20" s="394">
        <f>CUHK!H24</f>
        <v>49</v>
      </c>
      <c r="G20" s="395">
        <f>'計分版'!D187</f>
        <v>0.0000000035</v>
      </c>
      <c r="H20" s="396">
        <f>'計分版'!E187</f>
        <v>0.00000000015</v>
      </c>
      <c r="I20" s="396">
        <f>'計分版'!F187</f>
        <v>0.0000000004</v>
      </c>
      <c r="J20" s="396">
        <f>'計分版'!G187</f>
        <v>0.0000000003</v>
      </c>
      <c r="K20" s="396">
        <f>'計分版'!H187</f>
        <v>0.0000000008</v>
      </c>
      <c r="L20" s="396">
        <f>'計分版'!I187</f>
        <v>0.0000000005</v>
      </c>
      <c r="M20" s="396">
        <f>'計分版'!J187</f>
        <v>0.0000000006</v>
      </c>
      <c r="N20" s="396">
        <f>'計分版'!K187</f>
        <v>0.0000000007</v>
      </c>
      <c r="O20" s="396">
        <f>'計分版'!L187</f>
        <v>0.0000000008</v>
      </c>
      <c r="P20" s="396">
        <f>'計分版'!M187</f>
        <v>0.0000000009</v>
      </c>
      <c r="Q20" s="396">
        <f>'計分版'!N187</f>
        <v>0.00000000095</v>
      </c>
      <c r="R20" s="131" t="s">
        <v>417</v>
      </c>
      <c r="S20" s="131" t="s">
        <v>2336</v>
      </c>
      <c r="T20" s="132"/>
      <c r="U20" s="278"/>
      <c r="V20" s="278"/>
      <c r="W20" s="278"/>
      <c r="X20" s="142"/>
      <c r="Y20" s="142"/>
      <c r="Z20" s="142"/>
      <c r="AA20" s="142"/>
      <c r="AB20" s="142"/>
    </row>
    <row r="21" ht="13.5" customHeight="1">
      <c r="A21" s="142" t="s">
        <v>514</v>
      </c>
      <c r="B21" s="142" t="s">
        <v>515</v>
      </c>
      <c r="C21" s="131" t="s">
        <v>21</v>
      </c>
      <c r="D21" s="394">
        <f>CUHK!F26</f>
        <v>29</v>
      </c>
      <c r="E21" s="394">
        <f>CUHK!G26</f>
        <v>29</v>
      </c>
      <c r="F21" s="394">
        <f>CUHK!H26</f>
        <v>26</v>
      </c>
      <c r="G21" s="395">
        <f>'計分版'!D189</f>
        <v>0.00000000395</v>
      </c>
      <c r="H21" s="396">
        <f>'計分版'!E189</f>
        <v>0.0000000001</v>
      </c>
      <c r="I21" s="396">
        <f>'計分版'!F189</f>
        <v>0.0000000002</v>
      </c>
      <c r="J21" s="396">
        <f>'計分版'!G189</f>
        <v>0.0000000003</v>
      </c>
      <c r="K21" s="396">
        <f>'計分版'!H189</f>
        <v>0.0000000004</v>
      </c>
      <c r="L21" s="396">
        <f>'計分版'!I189</f>
        <v>0.0000000005</v>
      </c>
      <c r="M21" s="396">
        <f>'計分版'!J189</f>
        <v>0.0000000006</v>
      </c>
      <c r="N21" s="396">
        <f>'計分版'!K189</f>
        <v>0.0000000007</v>
      </c>
      <c r="O21" s="396">
        <f>'計分版'!L189</f>
        <v>0.0000000008</v>
      </c>
      <c r="P21" s="396">
        <f>'計分版'!M189</f>
        <v>0.0000000009</v>
      </c>
      <c r="Q21" s="396">
        <f>'計分版'!N189</f>
        <v>0.00000000095</v>
      </c>
      <c r="R21" s="131" t="s">
        <v>417</v>
      </c>
      <c r="S21" s="131" t="s">
        <v>2336</v>
      </c>
      <c r="T21" s="131"/>
      <c r="U21" s="278"/>
      <c r="V21" s="278"/>
      <c r="W21" s="278"/>
      <c r="X21" s="142"/>
      <c r="Y21" s="142"/>
      <c r="Z21" s="142"/>
      <c r="AA21" s="142"/>
      <c r="AB21" s="142"/>
    </row>
    <row r="22" ht="13.5" customHeight="1">
      <c r="A22" s="142" t="s">
        <v>516</v>
      </c>
      <c r="B22" s="142" t="s">
        <v>517</v>
      </c>
      <c r="C22" s="132" t="s">
        <v>21</v>
      </c>
      <c r="D22" s="394">
        <f>CUHK!F27</f>
        <v>33.25</v>
      </c>
      <c r="E22" s="394">
        <f>CUHK!G27</f>
        <v>33.25</v>
      </c>
      <c r="F22" s="394">
        <f>CUHK!H27</f>
        <v>31.75</v>
      </c>
      <c r="G22" s="395">
        <f>'計分版'!D190</f>
        <v>0.0000000035</v>
      </c>
      <c r="H22" s="396">
        <f>'計分版'!E190</f>
        <v>0.00000000015</v>
      </c>
      <c r="I22" s="396">
        <f>'計分版'!F190</f>
        <v>0.0000000002</v>
      </c>
      <c r="J22" s="396">
        <f>'計分版'!G190</f>
        <v>0.0000000003</v>
      </c>
      <c r="K22" s="396">
        <f>'計分版'!H190</f>
        <v>0.0000000004</v>
      </c>
      <c r="L22" s="396">
        <f>'計分版'!I190</f>
        <v>0.0000000005</v>
      </c>
      <c r="M22" s="396">
        <f>'計分版'!J190</f>
        <v>0.0000000006</v>
      </c>
      <c r="N22" s="396">
        <f>'計分版'!K190</f>
        <v>0.0000000007</v>
      </c>
      <c r="O22" s="396">
        <f>'計分版'!L190</f>
        <v>0.0000000008</v>
      </c>
      <c r="P22" s="396">
        <f>'計分版'!M190</f>
        <v>0.0000000009</v>
      </c>
      <c r="Q22" s="396">
        <f>'計分版'!N190</f>
        <v>0.00000000095</v>
      </c>
      <c r="R22" s="131" t="s">
        <v>417</v>
      </c>
      <c r="S22" s="131" t="s">
        <v>2336</v>
      </c>
      <c r="T22" s="132"/>
      <c r="U22" s="278"/>
      <c r="V22" s="278"/>
      <c r="W22" s="278"/>
      <c r="X22" s="142"/>
      <c r="Y22" s="142"/>
      <c r="Z22" s="142"/>
      <c r="AA22" s="142"/>
      <c r="AB22" s="142"/>
    </row>
    <row r="23" ht="13.5" customHeight="1">
      <c r="A23" s="142" t="s">
        <v>518</v>
      </c>
      <c r="B23" s="142" t="s">
        <v>519</v>
      </c>
      <c r="C23" s="132" t="s">
        <v>21</v>
      </c>
      <c r="D23" s="394">
        <f>CUHK!F28</f>
        <v>34</v>
      </c>
      <c r="E23" s="394">
        <f>CUHK!G28</f>
        <v>32.5</v>
      </c>
      <c r="F23" s="394">
        <f>CUHK!H28</f>
        <v>30.25</v>
      </c>
      <c r="G23" s="395">
        <f>'計分版'!D191</f>
        <v>0.00000000365</v>
      </c>
      <c r="H23" s="396">
        <f>'計分版'!E191</f>
        <v>0.0000000001</v>
      </c>
      <c r="I23" s="396">
        <f>'計分版'!F191</f>
        <v>0.0000000003</v>
      </c>
      <c r="J23" s="396">
        <f>'計分版'!G191</f>
        <v>0.0000000003</v>
      </c>
      <c r="K23" s="396">
        <f>'計分版'!H191</f>
        <v>0.0000000004</v>
      </c>
      <c r="L23" s="396">
        <f>'計分版'!I191</f>
        <v>0.0000000005</v>
      </c>
      <c r="M23" s="396">
        <f>'計分版'!J191</f>
        <v>0.0000000006</v>
      </c>
      <c r="N23" s="396">
        <f>'計分版'!K191</f>
        <v>0.0000000007</v>
      </c>
      <c r="O23" s="396">
        <f>'計分版'!L191</f>
        <v>0.0000000008</v>
      </c>
      <c r="P23" s="396">
        <f>'計分版'!M191</f>
        <v>0.0000000009</v>
      </c>
      <c r="Q23" s="396">
        <f>'計分版'!N191</f>
        <v>0.00000000095</v>
      </c>
      <c r="R23" s="131" t="s">
        <v>417</v>
      </c>
      <c r="S23" s="131" t="s">
        <v>2336</v>
      </c>
      <c r="T23" s="132"/>
      <c r="U23" s="278"/>
      <c r="V23" s="278"/>
      <c r="W23" s="278"/>
      <c r="X23" s="142"/>
      <c r="Y23" s="142"/>
      <c r="Z23" s="142"/>
      <c r="AA23" s="142"/>
      <c r="AB23" s="142"/>
    </row>
    <row r="24" ht="13.5" customHeight="1">
      <c r="A24" s="142" t="s">
        <v>521</v>
      </c>
      <c r="B24" s="142" t="s">
        <v>522</v>
      </c>
      <c r="C24" s="132" t="s">
        <v>21</v>
      </c>
      <c r="D24" s="394">
        <f>CUHK!F29</f>
        <v>45.25</v>
      </c>
      <c r="E24" s="394">
        <f>CUHK!G29</f>
        <v>40</v>
      </c>
      <c r="F24" s="394">
        <f>CUHK!H29</f>
        <v>39.5</v>
      </c>
      <c r="G24" s="395">
        <f>'計分版'!D192</f>
        <v>0.00000000385</v>
      </c>
      <c r="H24" s="396">
        <f>'計分版'!E192</f>
        <v>0.00000000015</v>
      </c>
      <c r="I24" s="396">
        <f>'計分版'!F192</f>
        <v>0.0000000003</v>
      </c>
      <c r="J24" s="396">
        <f>'計分版'!G192</f>
        <v>0.00000000045</v>
      </c>
      <c r="K24" s="396">
        <f>'計分版'!H192</f>
        <v>0.0000000004</v>
      </c>
      <c r="L24" s="396">
        <f>'計分版'!I192</f>
        <v>0.00000000075</v>
      </c>
      <c r="M24" s="396">
        <f>'計分版'!J192</f>
        <v>0.0000000006</v>
      </c>
      <c r="N24" s="396">
        <f>'計分版'!K192</f>
        <v>0.0000000007</v>
      </c>
      <c r="O24" s="396">
        <f>'計分版'!L192</f>
        <v>0.0000000008</v>
      </c>
      <c r="P24" s="396">
        <f>'計分版'!M192</f>
        <v>0.0000000009</v>
      </c>
      <c r="Q24" s="396">
        <f>'計分版'!N192</f>
        <v>0.00000000095</v>
      </c>
      <c r="R24" s="131" t="s">
        <v>417</v>
      </c>
      <c r="S24" s="131" t="s">
        <v>2336</v>
      </c>
      <c r="T24" s="132"/>
      <c r="U24" s="278"/>
      <c r="V24" s="278"/>
      <c r="W24" s="278"/>
      <c r="X24" s="142"/>
      <c r="Y24" s="142"/>
      <c r="Z24" s="142"/>
      <c r="AA24" s="142"/>
      <c r="AB24" s="142"/>
    </row>
    <row r="25" ht="13.5" customHeight="1">
      <c r="A25" s="142" t="s">
        <v>539</v>
      </c>
      <c r="B25" s="142" t="s">
        <v>540</v>
      </c>
      <c r="C25" s="131" t="s">
        <v>478</v>
      </c>
      <c r="D25" s="394">
        <f>CUHK!F37</f>
        <v>43</v>
      </c>
      <c r="E25" s="394">
        <f>CUHK!G37</f>
        <v>42</v>
      </c>
      <c r="F25" s="394">
        <f>CUHK!H37</f>
        <v>41</v>
      </c>
      <c r="G25" s="395">
        <f>'計分版'!D200</f>
        <v>0.00000000175</v>
      </c>
      <c r="H25" s="396">
        <f>'計分版'!E200</f>
        <v>0.0000000001</v>
      </c>
      <c r="I25" s="396">
        <f>'計分版'!F200</f>
        <v>0.0000000002</v>
      </c>
      <c r="J25" s="396">
        <f>'計分版'!G200</f>
        <v>0.0000000003</v>
      </c>
      <c r="K25" s="396">
        <f>'計分版'!H200</f>
        <v>0.0000000004</v>
      </c>
      <c r="L25" s="396" t="str">
        <f>'計分版'!I200</f>
        <v>/</v>
      </c>
      <c r="M25" s="396">
        <f>'計分版'!J200</f>
        <v>0.00000000025</v>
      </c>
      <c r="N25" s="396">
        <f>'計分版'!K200</f>
        <v>0.00000000025</v>
      </c>
      <c r="O25" s="396">
        <f>'計分版'!L200</f>
        <v>0.00000000025</v>
      </c>
      <c r="P25" s="396">
        <f>'計分版'!M200</f>
        <v>0.00000000025</v>
      </c>
      <c r="Q25" s="396">
        <f>'計分版'!N200</f>
        <v>0.00000000025</v>
      </c>
      <c r="R25" s="131" t="s">
        <v>439</v>
      </c>
      <c r="S25" s="131" t="s">
        <v>2336</v>
      </c>
      <c r="T25" s="131"/>
      <c r="U25" s="278"/>
      <c r="V25" s="278"/>
      <c r="W25" s="278"/>
      <c r="X25" s="142"/>
      <c r="Y25" s="142"/>
      <c r="Z25" s="142"/>
      <c r="AA25" s="142"/>
      <c r="AB25" s="142"/>
    </row>
    <row r="26" ht="13.5" customHeight="1">
      <c r="A26" s="142" t="s">
        <v>542</v>
      </c>
      <c r="B26" s="142" t="s">
        <v>543</v>
      </c>
      <c r="C26" s="131" t="s">
        <v>478</v>
      </c>
      <c r="D26" s="394">
        <f>CUHK!F38</f>
        <v>48</v>
      </c>
      <c r="E26" s="394">
        <f>CUHK!G38</f>
        <v>47</v>
      </c>
      <c r="F26" s="394">
        <f>CUHK!H38</f>
        <v>46</v>
      </c>
      <c r="G26" s="395">
        <f>'計分版'!D201</f>
        <v>0.00000000175</v>
      </c>
      <c r="H26" s="396">
        <f>'計分版'!E201</f>
        <v>0.0000000001</v>
      </c>
      <c r="I26" s="396">
        <f>'計分版'!F201</f>
        <v>0.0000000002</v>
      </c>
      <c r="J26" s="396">
        <f>'計分版'!G201</f>
        <v>0.0000000003</v>
      </c>
      <c r="K26" s="396">
        <f>'計分版'!H201</f>
        <v>0.0000000004</v>
      </c>
      <c r="L26" s="396" t="str">
        <f>'計分版'!I201</f>
        <v>/</v>
      </c>
      <c r="M26" s="396">
        <f>'計分版'!J201</f>
        <v>0.00000000025</v>
      </c>
      <c r="N26" s="396">
        <f>'計分版'!K201</f>
        <v>0.00000000025</v>
      </c>
      <c r="O26" s="396">
        <f>'計分版'!L201</f>
        <v>0.00000000025</v>
      </c>
      <c r="P26" s="396">
        <f>'計分版'!M201</f>
        <v>0.00000000025</v>
      </c>
      <c r="Q26" s="396">
        <f>'計分版'!N201</f>
        <v>0.00000000025</v>
      </c>
      <c r="R26" s="131" t="s">
        <v>439</v>
      </c>
      <c r="S26" s="131" t="s">
        <v>2336</v>
      </c>
      <c r="T26" s="131"/>
      <c r="U26" s="278"/>
      <c r="V26" s="278"/>
      <c r="W26" s="278"/>
      <c r="X26" s="142"/>
      <c r="Y26" s="142"/>
      <c r="Z26" s="142"/>
      <c r="AA26" s="142"/>
      <c r="AB26" s="142"/>
    </row>
    <row r="27" ht="13.5" customHeight="1">
      <c r="A27" s="142" t="s">
        <v>546</v>
      </c>
      <c r="B27" s="142" t="s">
        <v>547</v>
      </c>
      <c r="C27" s="131" t="s">
        <v>191</v>
      </c>
      <c r="D27" s="394">
        <f>CUHK!F40</f>
        <v>37.5</v>
      </c>
      <c r="E27" s="394">
        <f>CUHK!G40</f>
        <v>36</v>
      </c>
      <c r="F27" s="394">
        <f>CUHK!H40</f>
        <v>34.5</v>
      </c>
      <c r="G27" s="395">
        <f>'計分版'!D203</f>
        <v>0.00000000285</v>
      </c>
      <c r="H27" s="396">
        <f>'計分版'!E203</f>
        <v>0.0000000001</v>
      </c>
      <c r="I27" s="396">
        <f>'計分版'!F203</f>
        <v>0.0000000002</v>
      </c>
      <c r="J27" s="396">
        <f>'計分版'!G203</f>
        <v>0.0000000003</v>
      </c>
      <c r="K27" s="396">
        <f>'計分版'!H203</f>
        <v>0.0000000004</v>
      </c>
      <c r="L27" s="396">
        <f>'計分版'!I203</f>
        <v>0.0000000005</v>
      </c>
      <c r="M27" s="396">
        <f>'計分版'!J203</f>
        <v>0.0000000006</v>
      </c>
      <c r="N27" s="396">
        <f>'計分版'!K203</f>
        <v>0.0000000007</v>
      </c>
      <c r="O27" s="396">
        <f>'計分版'!L203</f>
        <v>0.0000000008</v>
      </c>
      <c r="P27" s="396">
        <f>'計分版'!M203</f>
        <v>0.0000000009</v>
      </c>
      <c r="Q27" s="396">
        <f>'計分版'!N203</f>
        <v>0.00000000095</v>
      </c>
      <c r="R27" s="131" t="s">
        <v>417</v>
      </c>
      <c r="S27" s="131" t="s">
        <v>2336</v>
      </c>
      <c r="T27" s="131"/>
      <c r="U27" s="278"/>
      <c r="V27" s="278"/>
      <c r="W27" s="278"/>
      <c r="X27" s="142"/>
      <c r="Y27" s="142"/>
      <c r="Z27" s="142"/>
      <c r="AA27" s="142"/>
      <c r="AB27" s="142"/>
    </row>
    <row r="28" ht="13.5" customHeight="1">
      <c r="A28" s="142" t="s">
        <v>577</v>
      </c>
      <c r="B28" s="142" t="s">
        <v>578</v>
      </c>
      <c r="C28" s="132" t="s">
        <v>191</v>
      </c>
      <c r="D28" s="394">
        <f>CUHK!F54</f>
        <v>37.75</v>
      </c>
      <c r="E28" s="394">
        <f>CUHK!G54</f>
        <v>35.5</v>
      </c>
      <c r="F28" s="394">
        <f>CUHK!H54</f>
        <v>33.625</v>
      </c>
      <c r="G28" s="395">
        <f>'計分版'!D217</f>
        <v>0.000000003075</v>
      </c>
      <c r="H28" s="396">
        <f>'計分版'!E217</f>
        <v>0.000000000125</v>
      </c>
      <c r="I28" s="396">
        <f>'計分版'!F217</f>
        <v>0.0000000003</v>
      </c>
      <c r="J28" s="396">
        <f>'計分版'!G217</f>
        <v>0.0000000003</v>
      </c>
      <c r="K28" s="396">
        <f>'計分版'!H217</f>
        <v>0.0000000005</v>
      </c>
      <c r="L28" s="396">
        <f>'計分版'!I217</f>
        <v>0.0000000005</v>
      </c>
      <c r="M28" s="396">
        <f>'計分版'!J217</f>
        <v>0.0000000006</v>
      </c>
      <c r="N28" s="396">
        <f>'計分版'!K217</f>
        <v>0.0000000007</v>
      </c>
      <c r="O28" s="396">
        <f>'計分版'!L217</f>
        <v>0.0000000008</v>
      </c>
      <c r="P28" s="396">
        <f>'計分版'!M217</f>
        <v>0.0000000009</v>
      </c>
      <c r="Q28" s="396">
        <f>'計分版'!N217</f>
        <v>0.00000000095</v>
      </c>
      <c r="R28" s="131" t="s">
        <v>439</v>
      </c>
      <c r="S28" s="131" t="s">
        <v>2336</v>
      </c>
      <c r="T28" s="132"/>
      <c r="U28" s="278"/>
      <c r="V28" s="278"/>
      <c r="W28" s="278"/>
      <c r="X28" s="142"/>
      <c r="Y28" s="142"/>
      <c r="Z28" s="142"/>
      <c r="AA28" s="142"/>
      <c r="AB28" s="142"/>
    </row>
    <row r="29" ht="13.5" customHeight="1">
      <c r="A29" s="142" t="s">
        <v>592</v>
      </c>
      <c r="B29" s="142" t="s">
        <v>593</v>
      </c>
      <c r="C29" s="132" t="s">
        <v>191</v>
      </c>
      <c r="D29" s="394">
        <f>CUHK!F62</f>
        <v>52</v>
      </c>
      <c r="E29" s="394">
        <f>CUHK!G62</f>
        <v>47.5</v>
      </c>
      <c r="F29" s="394">
        <f>CUHK!H62</f>
        <v>46.75</v>
      </c>
      <c r="G29" s="395">
        <f>'計分版'!D225</f>
        <v>0.0000000035</v>
      </c>
      <c r="H29" s="396">
        <f>'計分版'!E225</f>
        <v>0.00000000015</v>
      </c>
      <c r="I29" s="396">
        <f>'計分版'!F225</f>
        <v>0.0000000004</v>
      </c>
      <c r="J29" s="396">
        <f>'計分版'!G225</f>
        <v>0.0000000003</v>
      </c>
      <c r="K29" s="396">
        <f>'計分版'!H225</f>
        <v>0.0000000008</v>
      </c>
      <c r="L29" s="396">
        <f>'計分版'!I225</f>
        <v>0.0000000005</v>
      </c>
      <c r="M29" s="396">
        <f>'計分版'!J225</f>
        <v>0.0000000006</v>
      </c>
      <c r="N29" s="396">
        <f>'計分版'!K225</f>
        <v>0.0000000007</v>
      </c>
      <c r="O29" s="396">
        <f>'計分版'!L225</f>
        <v>0.0000000008</v>
      </c>
      <c r="P29" s="396">
        <f>'計分版'!M225</f>
        <v>0.0000000009</v>
      </c>
      <c r="Q29" s="396">
        <f>'計分版'!N225</f>
        <v>0.00000000095</v>
      </c>
      <c r="R29" s="131" t="s">
        <v>417</v>
      </c>
      <c r="S29" s="131" t="s">
        <v>2336</v>
      </c>
      <c r="T29" s="132"/>
      <c r="U29" s="278"/>
      <c r="V29" s="278"/>
      <c r="W29" s="278"/>
      <c r="X29" s="142"/>
      <c r="Y29" s="142"/>
      <c r="Z29" s="142"/>
      <c r="AA29" s="142"/>
      <c r="AB29" s="142"/>
    </row>
    <row r="30" ht="13.5" customHeight="1">
      <c r="A30" s="142"/>
      <c r="B30" s="142"/>
      <c r="C30" s="142"/>
      <c r="D30" s="142"/>
      <c r="E30" s="131"/>
      <c r="F30" s="131"/>
      <c r="G30" s="131"/>
      <c r="H30" s="131"/>
      <c r="I30" s="131"/>
      <c r="J30" s="131"/>
      <c r="K30" s="131"/>
      <c r="L30" s="131"/>
      <c r="M30" s="131"/>
      <c r="N30" s="131"/>
      <c r="O30" s="142"/>
      <c r="P30" s="142"/>
      <c r="Q30" s="142"/>
      <c r="R30" s="131"/>
      <c r="S30" s="142"/>
      <c r="T30" s="142"/>
      <c r="U30" s="142"/>
      <c r="V30" s="142"/>
      <c r="W30" s="142"/>
      <c r="X30" s="142"/>
      <c r="Y30" s="142"/>
      <c r="Z30" s="142"/>
      <c r="AA30" s="142"/>
      <c r="AB30" s="142"/>
    </row>
    <row r="31" ht="13.5" customHeight="1">
      <c r="A31" s="142"/>
      <c r="B31" s="142"/>
      <c r="C31" s="142"/>
      <c r="D31" s="142"/>
      <c r="E31" s="131"/>
      <c r="F31" s="131"/>
      <c r="G31" s="131"/>
      <c r="H31" s="131"/>
      <c r="I31" s="131"/>
      <c r="J31" s="131"/>
      <c r="K31" s="131"/>
      <c r="L31" s="131"/>
      <c r="M31" s="131"/>
      <c r="N31" s="131"/>
      <c r="O31" s="142"/>
      <c r="P31" s="142"/>
      <c r="Q31" s="142"/>
      <c r="R31" s="131"/>
      <c r="S31" s="142"/>
      <c r="T31" s="142"/>
      <c r="U31" s="142"/>
      <c r="V31" s="142"/>
      <c r="W31" s="142"/>
      <c r="X31" s="142"/>
      <c r="Y31" s="142"/>
      <c r="Z31" s="142"/>
      <c r="AA31" s="142"/>
      <c r="AB31" s="142"/>
    </row>
    <row r="32" ht="13.5" customHeight="1">
      <c r="A32" s="397" t="s">
        <v>179</v>
      </c>
      <c r="B32" s="313"/>
      <c r="C32" s="313"/>
      <c r="D32" s="313" t="s">
        <v>45</v>
      </c>
      <c r="E32" s="313" t="s">
        <v>46</v>
      </c>
      <c r="F32" s="313" t="s">
        <v>47</v>
      </c>
      <c r="G32" s="313" t="s">
        <v>2333</v>
      </c>
      <c r="H32" s="313" t="s">
        <v>23</v>
      </c>
      <c r="I32" s="313" t="s">
        <v>26</v>
      </c>
      <c r="J32" s="313" t="s">
        <v>29</v>
      </c>
      <c r="K32" s="313" t="s">
        <v>30</v>
      </c>
      <c r="L32" s="313" t="s">
        <v>173</v>
      </c>
      <c r="M32" s="313" t="s">
        <v>85</v>
      </c>
      <c r="N32" s="313" t="s">
        <v>80</v>
      </c>
      <c r="O32" s="313" t="s">
        <v>153</v>
      </c>
      <c r="P32" s="313" t="s">
        <v>154</v>
      </c>
      <c r="Q32" s="313" t="s">
        <v>155</v>
      </c>
      <c r="R32" s="313" t="s">
        <v>2334</v>
      </c>
      <c r="S32" s="313" t="s">
        <v>2335</v>
      </c>
      <c r="T32" s="398"/>
      <c r="U32" s="398"/>
      <c r="V32" s="398"/>
      <c r="W32" s="398"/>
      <c r="X32" s="398"/>
      <c r="Y32" s="398"/>
      <c r="Z32" s="398"/>
      <c r="AA32" s="398"/>
      <c r="AB32" s="131"/>
    </row>
    <row r="33" ht="13.5" customHeight="1">
      <c r="A33" s="142" t="s">
        <v>958</v>
      </c>
      <c r="B33" s="142" t="s">
        <v>960</v>
      </c>
      <c r="C33" s="142" t="s">
        <v>24</v>
      </c>
      <c r="D33" s="394">
        <f>HKU!F2</f>
        <v>36</v>
      </c>
      <c r="E33" s="394">
        <f>HKU!G2</f>
        <v>35</v>
      </c>
      <c r="F33" s="394">
        <f>HKU!H2</f>
        <v>33</v>
      </c>
      <c r="G33" s="395">
        <f>'計分版'!D256</f>
        <v>0.00000000445</v>
      </c>
      <c r="H33" s="396">
        <f>'計分版'!E256</f>
        <v>0.0000000001</v>
      </c>
      <c r="I33" s="396">
        <f>'計分版'!F256</f>
        <v>0.0000000002</v>
      </c>
      <c r="J33" s="396">
        <f>'計分版'!G256</f>
        <v>0.0000000003</v>
      </c>
      <c r="K33" s="396">
        <f>'計分版'!H256</f>
        <v>0.0000000004</v>
      </c>
      <c r="L33" s="396">
        <f>'計分版'!I256</f>
        <v>0.0000000005</v>
      </c>
      <c r="M33" s="396">
        <f>'計分版'!J256</f>
        <v>0.0000000006</v>
      </c>
      <c r="N33" s="396">
        <f>'計分版'!K256</f>
        <v>0.0000000007</v>
      </c>
      <c r="O33" s="396">
        <f>'計分版'!L256</f>
        <v>0.0000000008</v>
      </c>
      <c r="P33" s="396">
        <f>'計分版'!M256</f>
        <v>0.0000000009</v>
      </c>
      <c r="Q33" s="396">
        <f>'計分版'!N256</f>
        <v>0.00000000095</v>
      </c>
      <c r="R33" s="399"/>
      <c r="S33" s="142" t="s">
        <v>2337</v>
      </c>
      <c r="T33" s="142"/>
      <c r="U33" s="142"/>
      <c r="V33" s="142"/>
      <c r="W33" s="142"/>
      <c r="X33" s="142"/>
      <c r="Y33" s="142"/>
      <c r="Z33" s="142"/>
      <c r="AA33" s="142"/>
      <c r="AB33" s="142"/>
    </row>
    <row r="34" ht="13.5" customHeight="1">
      <c r="A34" s="142" t="s">
        <v>962</v>
      </c>
      <c r="B34" s="142" t="s">
        <v>963</v>
      </c>
      <c r="C34" s="142" t="s">
        <v>21</v>
      </c>
      <c r="D34" s="394">
        <f>HKU!F3</f>
        <v>32</v>
      </c>
      <c r="E34" s="394">
        <f>HKU!G3</f>
        <v>31</v>
      </c>
      <c r="F34" s="394">
        <f>HKU!H3</f>
        <v>29</v>
      </c>
      <c r="G34" s="395">
        <f>'計分版'!D257</f>
        <v>0.00000000395</v>
      </c>
      <c r="H34" s="396">
        <f>'計分版'!E257</f>
        <v>0.0000000001</v>
      </c>
      <c r="I34" s="396">
        <f>'計分版'!F257</f>
        <v>0.0000000002</v>
      </c>
      <c r="J34" s="396">
        <f>'計分版'!G257</f>
        <v>0.0000000003</v>
      </c>
      <c r="K34" s="396">
        <f>'計分版'!H257</f>
        <v>0.0000000004</v>
      </c>
      <c r="L34" s="396">
        <f>'計分版'!I257</f>
        <v>0.0000000005</v>
      </c>
      <c r="M34" s="396">
        <f>'計分版'!J257</f>
        <v>0.0000000006</v>
      </c>
      <c r="N34" s="396">
        <f>'計分版'!K257</f>
        <v>0.0000000007</v>
      </c>
      <c r="O34" s="396">
        <f>'計分版'!L257</f>
        <v>0.0000000008</v>
      </c>
      <c r="P34" s="396">
        <f>'計分版'!M257</f>
        <v>0.0000000009</v>
      </c>
      <c r="Q34" s="396">
        <f>'計分版'!N257</f>
        <v>0.00000000095</v>
      </c>
      <c r="R34" s="399"/>
      <c r="S34" s="142" t="s">
        <v>2338</v>
      </c>
      <c r="T34" s="142"/>
      <c r="U34" s="142"/>
      <c r="V34" s="142"/>
      <c r="W34" s="142"/>
      <c r="X34" s="142"/>
      <c r="Y34" s="142"/>
      <c r="Z34" s="142"/>
      <c r="AA34" s="142"/>
      <c r="AB34" s="142"/>
    </row>
    <row r="35" ht="13.5" customHeight="1">
      <c r="A35" s="142" t="s">
        <v>965</v>
      </c>
      <c r="B35" s="142" t="s">
        <v>966</v>
      </c>
      <c r="C35" s="142" t="s">
        <v>21</v>
      </c>
      <c r="D35" s="394">
        <f>HKU!F4</f>
        <v>28</v>
      </c>
      <c r="E35" s="394">
        <f>HKU!G4</f>
        <v>28</v>
      </c>
      <c r="F35" s="394">
        <f>HKU!H4</f>
        <v>28</v>
      </c>
      <c r="G35" s="395">
        <f>'計分版'!D258</f>
        <v>0.00000000395</v>
      </c>
      <c r="H35" s="396">
        <f>'計分版'!E258</f>
        <v>0.0000000001</v>
      </c>
      <c r="I35" s="396">
        <f>'計分版'!F258</f>
        <v>0.0000000002</v>
      </c>
      <c r="J35" s="396">
        <f>'計分版'!G258</f>
        <v>0.0000000003</v>
      </c>
      <c r="K35" s="396">
        <f>'計分版'!H258</f>
        <v>0.0000000004</v>
      </c>
      <c r="L35" s="396">
        <f>'計分版'!I258</f>
        <v>0.0000000005</v>
      </c>
      <c r="M35" s="396">
        <f>'計分版'!J258</f>
        <v>0.0000000006</v>
      </c>
      <c r="N35" s="396">
        <f>'計分版'!K258</f>
        <v>0.0000000007</v>
      </c>
      <c r="O35" s="396">
        <f>'計分版'!L258</f>
        <v>0.0000000008</v>
      </c>
      <c r="P35" s="396">
        <f>'計分版'!M258</f>
        <v>0.0000000009</v>
      </c>
      <c r="Q35" s="396">
        <f>'計分版'!N258</f>
        <v>0.00000000095</v>
      </c>
      <c r="R35" s="399"/>
      <c r="S35" s="142" t="s">
        <v>2337</v>
      </c>
      <c r="T35" s="142"/>
      <c r="U35" s="142"/>
      <c r="V35" s="142"/>
      <c r="W35" s="142"/>
      <c r="X35" s="142"/>
      <c r="Y35" s="142"/>
      <c r="Z35" s="142"/>
      <c r="AA35" s="142"/>
      <c r="AB35" s="142"/>
    </row>
    <row r="36" ht="13.5" customHeight="1">
      <c r="A36" s="142" t="s">
        <v>967</v>
      </c>
      <c r="B36" s="142" t="s">
        <v>968</v>
      </c>
      <c r="C36" s="142" t="s">
        <v>21</v>
      </c>
      <c r="D36" s="394">
        <f>HKU!F5</f>
        <v>31</v>
      </c>
      <c r="E36" s="394">
        <f>HKU!G5</f>
        <v>29</v>
      </c>
      <c r="F36" s="394">
        <f>HKU!H5</f>
        <v>28</v>
      </c>
      <c r="G36" s="395">
        <f>'計分版'!D259</f>
        <v>0.00000000395</v>
      </c>
      <c r="H36" s="396">
        <f>'計分版'!E259</f>
        <v>0.0000000001</v>
      </c>
      <c r="I36" s="396">
        <f>'計分版'!F259</f>
        <v>0.0000000002</v>
      </c>
      <c r="J36" s="396">
        <f>'計分版'!G259</f>
        <v>0.0000000003</v>
      </c>
      <c r="K36" s="396">
        <f>'計分版'!H259</f>
        <v>0.0000000004</v>
      </c>
      <c r="L36" s="396">
        <f>'計分版'!I259</f>
        <v>0.0000000005</v>
      </c>
      <c r="M36" s="396">
        <f>'計分版'!J259</f>
        <v>0.0000000006</v>
      </c>
      <c r="N36" s="396">
        <f>'計分版'!K259</f>
        <v>0.0000000007</v>
      </c>
      <c r="O36" s="396">
        <f>'計分版'!L259</f>
        <v>0.0000000008</v>
      </c>
      <c r="P36" s="396">
        <f>'計分版'!M259</f>
        <v>0.0000000009</v>
      </c>
      <c r="Q36" s="396">
        <f>'計分版'!N259</f>
        <v>0.00000000095</v>
      </c>
      <c r="R36" s="399"/>
      <c r="S36" s="142" t="s">
        <v>2339</v>
      </c>
      <c r="T36" s="142"/>
      <c r="U36" s="142"/>
      <c r="V36" s="142"/>
      <c r="W36" s="142"/>
      <c r="X36" s="142"/>
      <c r="Y36" s="142"/>
      <c r="Z36" s="142"/>
      <c r="AA36" s="142"/>
      <c r="AB36" s="142"/>
    </row>
    <row r="37" ht="13.5" customHeight="1">
      <c r="A37" s="142" t="s">
        <v>970</v>
      </c>
      <c r="B37" s="142" t="s">
        <v>229</v>
      </c>
      <c r="C37" s="142" t="s">
        <v>21</v>
      </c>
      <c r="D37" s="394">
        <f>HKU!F6</f>
        <v>26</v>
      </c>
      <c r="E37" s="394">
        <f>HKU!G6</f>
        <v>25</v>
      </c>
      <c r="F37" s="394">
        <f>HKU!H6</f>
        <v>24</v>
      </c>
      <c r="G37" s="395">
        <f>'計分版'!D260</f>
        <v>0.00000000355</v>
      </c>
      <c r="H37" s="396">
        <f>'計分版'!E260</f>
        <v>0.0000000001</v>
      </c>
      <c r="I37" s="396">
        <f>'計分版'!F260</f>
        <v>0.0000000002</v>
      </c>
      <c r="J37" s="396">
        <f>'計分版'!G260</f>
        <v>0.0000000003</v>
      </c>
      <c r="K37" s="396">
        <f>'計分版'!H260</f>
        <v>0.0000000004</v>
      </c>
      <c r="L37" s="396">
        <f>'計分版'!I260</f>
        <v>0.0000000005</v>
      </c>
      <c r="M37" s="396">
        <f>'計分版'!J260</f>
        <v>0.0000000006</v>
      </c>
      <c r="N37" s="396">
        <f>'計分版'!K260</f>
        <v>0.0000000007</v>
      </c>
      <c r="O37" s="396">
        <f>'計分版'!L260</f>
        <v>0.0000000008</v>
      </c>
      <c r="P37" s="396">
        <f>'計分版'!M260</f>
        <v>0.0000000009</v>
      </c>
      <c r="Q37" s="396">
        <f>'計分版'!N260</f>
        <v>0.00000000095</v>
      </c>
      <c r="R37" s="399"/>
      <c r="S37" s="142" t="s">
        <v>2337</v>
      </c>
      <c r="T37" s="142"/>
      <c r="U37" s="142"/>
      <c r="V37" s="142"/>
      <c r="W37" s="142"/>
      <c r="X37" s="142"/>
      <c r="Y37" s="142"/>
      <c r="Z37" s="142"/>
      <c r="AA37" s="142"/>
      <c r="AB37" s="142"/>
    </row>
    <row r="38" ht="13.5" customHeight="1">
      <c r="A38" s="142" t="s">
        <v>972</v>
      </c>
      <c r="B38" s="142" t="s">
        <v>974</v>
      </c>
      <c r="C38" s="142" t="s">
        <v>24</v>
      </c>
      <c r="D38" s="394">
        <f>HKU!F7</f>
        <v>37</v>
      </c>
      <c r="E38" s="394">
        <f>HKU!G7</f>
        <v>36</v>
      </c>
      <c r="F38" s="394">
        <f>HKU!H7</f>
        <v>34</v>
      </c>
      <c r="G38" s="395">
        <f>'計分版'!D261</f>
        <v>0.00000000375</v>
      </c>
      <c r="H38" s="396">
        <f>'計分版'!E261</f>
        <v>0.0000000001</v>
      </c>
      <c r="I38" s="396">
        <f>'計分版'!F261</f>
        <v>0.0000000003</v>
      </c>
      <c r="J38" s="396">
        <f>'計分版'!G261</f>
        <v>0.00000000045</v>
      </c>
      <c r="K38" s="396">
        <f>'計分版'!H261</f>
        <v>0.0000000004</v>
      </c>
      <c r="L38" s="396">
        <f>'計分版'!I261</f>
        <v>0.0000000005</v>
      </c>
      <c r="M38" s="396">
        <f>'計分版'!J261</f>
        <v>0.0000000006</v>
      </c>
      <c r="N38" s="396">
        <f>'計分版'!K261</f>
        <v>0.0000000007</v>
      </c>
      <c r="O38" s="396">
        <f>'計分版'!L261</f>
        <v>0.0000000008</v>
      </c>
      <c r="P38" s="396">
        <f>'計分版'!M261</f>
        <v>0.0000000009</v>
      </c>
      <c r="Q38" s="396">
        <f>'計分版'!N261</f>
        <v>0.00000000095</v>
      </c>
      <c r="R38" s="399"/>
      <c r="S38" s="142" t="s">
        <v>2340</v>
      </c>
      <c r="T38" s="142"/>
      <c r="U38" s="142"/>
      <c r="V38" s="142"/>
      <c r="W38" s="142"/>
      <c r="X38" s="142"/>
      <c r="Y38" s="142"/>
      <c r="Z38" s="142"/>
      <c r="AA38" s="142"/>
      <c r="AB38" s="142"/>
    </row>
    <row r="39" ht="13.5" customHeight="1">
      <c r="A39" s="142" t="s">
        <v>976</v>
      </c>
      <c r="B39" s="142" t="s">
        <v>977</v>
      </c>
      <c r="C39" s="142" t="s">
        <v>24</v>
      </c>
      <c r="D39" s="394">
        <f>HKU!F8</f>
        <v>39</v>
      </c>
      <c r="E39" s="394">
        <f>HKU!G8</f>
        <v>36</v>
      </c>
      <c r="F39" s="394">
        <f>HKU!H8</f>
        <v>35</v>
      </c>
      <c r="G39" s="395">
        <f>'計分版'!D262</f>
        <v>0.00000000405</v>
      </c>
      <c r="H39" s="396">
        <f>'計分版'!E262</f>
        <v>0.0000000001</v>
      </c>
      <c r="I39" s="396">
        <f>'計分版'!F262</f>
        <v>0.0000000003</v>
      </c>
      <c r="J39" s="396">
        <f>'計分版'!G262</f>
        <v>0.0000000003</v>
      </c>
      <c r="K39" s="396">
        <f>'計分版'!H262</f>
        <v>0.0000000004</v>
      </c>
      <c r="L39" s="396">
        <f>'計分版'!I262</f>
        <v>0.0000000005</v>
      </c>
      <c r="M39" s="396">
        <f>'計分版'!J262</f>
        <v>0.0000000006</v>
      </c>
      <c r="N39" s="396">
        <f>'計分版'!K262</f>
        <v>0.0000000007</v>
      </c>
      <c r="O39" s="396">
        <f>'計分版'!L262</f>
        <v>0.0000000008</v>
      </c>
      <c r="P39" s="396">
        <f>'計分版'!M262</f>
        <v>0.0000000009</v>
      </c>
      <c r="Q39" s="396">
        <f>'計分版'!N262</f>
        <v>0.00000000095</v>
      </c>
      <c r="R39" s="399"/>
      <c r="S39" s="142" t="s">
        <v>2340</v>
      </c>
      <c r="T39" s="142"/>
      <c r="U39" s="142"/>
      <c r="V39" s="142"/>
      <c r="W39" s="142"/>
      <c r="X39" s="142"/>
      <c r="Y39" s="142"/>
      <c r="Z39" s="142"/>
      <c r="AA39" s="142"/>
      <c r="AB39" s="142"/>
    </row>
    <row r="40" ht="13.5" customHeight="1">
      <c r="A40" s="142" t="s">
        <v>978</v>
      </c>
      <c r="B40" s="142" t="s">
        <v>979</v>
      </c>
      <c r="C40" s="142" t="s">
        <v>24</v>
      </c>
      <c r="D40" s="394">
        <f>HKU!F9</f>
        <v>45</v>
      </c>
      <c r="E40" s="394">
        <f>HKU!G9</f>
        <v>44</v>
      </c>
      <c r="F40" s="394">
        <f>HKU!H9</f>
        <v>43</v>
      </c>
      <c r="G40" s="395">
        <f>'計分版'!D263</f>
        <v>0.00000000405</v>
      </c>
      <c r="H40" s="396">
        <f>'計分版'!E263</f>
        <v>0.0000000001</v>
      </c>
      <c r="I40" s="396">
        <f>'計分版'!F263</f>
        <v>0.0000000003</v>
      </c>
      <c r="J40" s="396">
        <f>'計分版'!G263</f>
        <v>0.0000000003</v>
      </c>
      <c r="K40" s="396">
        <f>'計分版'!H263</f>
        <v>0.0000000004</v>
      </c>
      <c r="L40" s="396">
        <f>'計分版'!I263</f>
        <v>0.0000000005</v>
      </c>
      <c r="M40" s="396">
        <f>'計分版'!J263</f>
        <v>0.0000000006</v>
      </c>
      <c r="N40" s="396">
        <f>'計分版'!K263</f>
        <v>0.0000000007</v>
      </c>
      <c r="O40" s="396">
        <f>'計分版'!L263</f>
        <v>0.0000000008</v>
      </c>
      <c r="P40" s="396">
        <f>'計分版'!M263</f>
        <v>0.0000000009</v>
      </c>
      <c r="Q40" s="396">
        <f>'計分版'!N263</f>
        <v>0.00000000095</v>
      </c>
      <c r="R40" s="399"/>
      <c r="S40" s="142" t="s">
        <v>2340</v>
      </c>
      <c r="T40" s="142"/>
      <c r="U40" s="142"/>
      <c r="V40" s="142"/>
      <c r="W40" s="142"/>
      <c r="X40" s="142"/>
      <c r="Y40" s="142"/>
      <c r="Z40" s="142"/>
      <c r="AA40" s="142"/>
      <c r="AB40" s="142"/>
    </row>
    <row r="41" ht="13.5" customHeight="1">
      <c r="A41" s="142" t="s">
        <v>683</v>
      </c>
      <c r="B41" s="142" t="s">
        <v>980</v>
      </c>
      <c r="C41" s="142" t="s">
        <v>24</v>
      </c>
      <c r="D41" s="394">
        <f>HKU!F10</f>
        <v>39</v>
      </c>
      <c r="E41" s="394">
        <f>HKU!G10</f>
        <v>36</v>
      </c>
      <c r="F41" s="394">
        <f>HKU!H10</f>
        <v>34</v>
      </c>
      <c r="G41" s="395">
        <f>'計分版'!D264</f>
        <v>0.00000000375</v>
      </c>
      <c r="H41" s="396">
        <f>'計分版'!E264</f>
        <v>0.0000000001</v>
      </c>
      <c r="I41" s="396">
        <f>'計分版'!F264</f>
        <v>0.0000000003</v>
      </c>
      <c r="J41" s="396">
        <f>'計分版'!G264</f>
        <v>0.00000000045</v>
      </c>
      <c r="K41" s="396">
        <f>'計分版'!H264</f>
        <v>0.0000000004</v>
      </c>
      <c r="L41" s="396">
        <f>'計分版'!I264</f>
        <v>0.0000000005</v>
      </c>
      <c r="M41" s="396">
        <f>'計分版'!J264</f>
        <v>0.0000000006</v>
      </c>
      <c r="N41" s="396">
        <f>'計分版'!K264</f>
        <v>0.0000000007</v>
      </c>
      <c r="O41" s="396">
        <f>'計分版'!L264</f>
        <v>0.0000000008</v>
      </c>
      <c r="P41" s="396">
        <f>'計分版'!M264</f>
        <v>0.0000000009</v>
      </c>
      <c r="Q41" s="396">
        <f>'計分版'!N264</f>
        <v>0.00000000095</v>
      </c>
      <c r="R41" s="399"/>
      <c r="S41" s="142" t="s">
        <v>2340</v>
      </c>
      <c r="T41" s="142"/>
      <c r="U41" s="142"/>
      <c r="V41" s="142"/>
      <c r="W41" s="142"/>
      <c r="X41" s="142"/>
      <c r="Y41" s="142"/>
      <c r="Z41" s="142"/>
      <c r="AA41" s="142"/>
      <c r="AB41" s="142"/>
    </row>
    <row r="42" ht="13.5" customHeight="1">
      <c r="A42" s="142" t="s">
        <v>981</v>
      </c>
      <c r="B42" s="142" t="s">
        <v>982</v>
      </c>
      <c r="C42" s="142" t="s">
        <v>24</v>
      </c>
      <c r="D42" s="394">
        <f>HKU!F11</f>
        <v>51</v>
      </c>
      <c r="E42" s="394">
        <f>HKU!G11</f>
        <v>47</v>
      </c>
      <c r="F42" s="394">
        <f>HKU!H11</f>
        <v>45</v>
      </c>
      <c r="G42" s="395">
        <f>'計分版'!D265</f>
        <v>0.00000000405</v>
      </c>
      <c r="H42" s="396">
        <f>'計分版'!E265</f>
        <v>0.0000000001</v>
      </c>
      <c r="I42" s="396">
        <f>'計分版'!F265</f>
        <v>0.0000000003</v>
      </c>
      <c r="J42" s="396">
        <f>'計分版'!G265</f>
        <v>0.0000000003</v>
      </c>
      <c r="K42" s="396">
        <f>'計分版'!H265</f>
        <v>0.0000000004</v>
      </c>
      <c r="L42" s="396">
        <f>'計分版'!I265</f>
        <v>0.0000000005</v>
      </c>
      <c r="M42" s="396">
        <f>'計分版'!J265</f>
        <v>0.0000000006</v>
      </c>
      <c r="N42" s="396">
        <f>'計分版'!K265</f>
        <v>0.0000000007</v>
      </c>
      <c r="O42" s="396">
        <f>'計分版'!L265</f>
        <v>0.0000000008</v>
      </c>
      <c r="P42" s="396">
        <f>'計分版'!M265</f>
        <v>0.0000000009</v>
      </c>
      <c r="Q42" s="396">
        <f>'計分版'!N265</f>
        <v>0.00000000095</v>
      </c>
      <c r="R42" s="399"/>
      <c r="S42" s="142" t="s">
        <v>2340</v>
      </c>
      <c r="T42" s="142"/>
      <c r="U42" s="142"/>
      <c r="V42" s="142"/>
      <c r="W42" s="142"/>
      <c r="X42" s="142"/>
      <c r="Y42" s="142"/>
      <c r="Z42" s="142"/>
      <c r="AA42" s="142"/>
      <c r="AB42" s="142"/>
    </row>
    <row r="43" ht="13.5" customHeight="1">
      <c r="A43" s="142" t="s">
        <v>983</v>
      </c>
      <c r="B43" s="142" t="s">
        <v>984</v>
      </c>
      <c r="C43" s="142" t="s">
        <v>24</v>
      </c>
      <c r="D43" s="394">
        <f>HKU!F12</f>
        <v>48</v>
      </c>
      <c r="E43" s="394">
        <f>HKU!G12</f>
        <v>46</v>
      </c>
      <c r="F43" s="394">
        <f>HKU!H12</f>
        <v>44</v>
      </c>
      <c r="G43" s="395">
        <f>'計分版'!D266</f>
        <v>0.0000000037</v>
      </c>
      <c r="H43" s="396">
        <f>'計分版'!E266</f>
        <v>0.0000000001</v>
      </c>
      <c r="I43" s="396">
        <f>'計分版'!F266</f>
        <v>0.0000000003</v>
      </c>
      <c r="J43" s="396">
        <f>'計分版'!G266</f>
        <v>0.000000000375</v>
      </c>
      <c r="K43" s="396">
        <f>'計分版'!H266</f>
        <v>0.0000000004</v>
      </c>
      <c r="L43" s="396">
        <f>'計分版'!I266</f>
        <v>0.000000000625</v>
      </c>
      <c r="M43" s="396">
        <f>'計分版'!J266</f>
        <v>0.0000000006</v>
      </c>
      <c r="N43" s="396">
        <f>'計分版'!K266</f>
        <v>0.0000000007</v>
      </c>
      <c r="O43" s="396">
        <f>'計分版'!L266</f>
        <v>0.0000000008</v>
      </c>
      <c r="P43" s="396">
        <f>'計分版'!M266</f>
        <v>0.0000000009</v>
      </c>
      <c r="Q43" s="396">
        <f>'計分版'!N266</f>
        <v>0.00000000095</v>
      </c>
      <c r="R43" s="399"/>
      <c r="S43" s="142" t="s">
        <v>2340</v>
      </c>
      <c r="T43" s="142"/>
      <c r="U43" s="142"/>
      <c r="V43" s="142"/>
      <c r="W43" s="142"/>
      <c r="X43" s="142"/>
      <c r="Y43" s="142"/>
      <c r="Z43" s="142"/>
      <c r="AA43" s="142"/>
      <c r="AB43" s="142"/>
    </row>
    <row r="44" ht="13.5" customHeight="1">
      <c r="A44" s="142" t="s">
        <v>985</v>
      </c>
      <c r="B44" s="142" t="s">
        <v>986</v>
      </c>
      <c r="C44" s="142" t="s">
        <v>24</v>
      </c>
      <c r="D44" s="394">
        <f>HKU!F13</f>
        <v>54</v>
      </c>
      <c r="E44" s="394">
        <f>HKU!G13</f>
        <v>52</v>
      </c>
      <c r="F44" s="394">
        <f>HKU!H13</f>
        <v>51</v>
      </c>
      <c r="G44" s="395">
        <f>'計分版'!D267</f>
        <v>0.00000000405</v>
      </c>
      <c r="H44" s="396">
        <f>'計分版'!E267</f>
        <v>0.0000000001</v>
      </c>
      <c r="I44" s="396">
        <f>'計分版'!F267</f>
        <v>0.0000000003</v>
      </c>
      <c r="J44" s="396">
        <f>'計分版'!G267</f>
        <v>0.0000000003</v>
      </c>
      <c r="K44" s="396">
        <f>'計分版'!H267</f>
        <v>0.0000000004</v>
      </c>
      <c r="L44" s="396">
        <f>'計分版'!I267</f>
        <v>0.0000000005</v>
      </c>
      <c r="M44" s="396">
        <f>'計分版'!J267</f>
        <v>0.0000000006</v>
      </c>
      <c r="N44" s="396">
        <f>'計分版'!K267</f>
        <v>0.0000000007</v>
      </c>
      <c r="O44" s="396">
        <f>'計分版'!L267</f>
        <v>0.0000000008</v>
      </c>
      <c r="P44" s="396">
        <f>'計分版'!M267</f>
        <v>0.0000000009</v>
      </c>
      <c r="Q44" s="396">
        <f>'計分版'!N267</f>
        <v>0.00000000095</v>
      </c>
      <c r="R44" s="399"/>
      <c r="S44" s="142" t="s">
        <v>2340</v>
      </c>
      <c r="T44" s="142"/>
      <c r="U44" s="142"/>
      <c r="V44" s="142"/>
      <c r="W44" s="142"/>
      <c r="X44" s="142"/>
      <c r="Y44" s="142"/>
      <c r="Z44" s="142"/>
      <c r="AA44" s="142"/>
      <c r="AB44" s="142"/>
    </row>
    <row r="45" ht="13.5" customHeight="1">
      <c r="A45" s="142" t="s">
        <v>698</v>
      </c>
      <c r="B45" s="142" t="s">
        <v>988</v>
      </c>
      <c r="C45" s="142" t="s">
        <v>24</v>
      </c>
      <c r="D45" s="394">
        <f>HKU!F14</f>
        <v>49</v>
      </c>
      <c r="E45" s="394">
        <f>HKU!G14</f>
        <v>46</v>
      </c>
      <c r="F45" s="394">
        <f>HKU!H14</f>
        <v>45</v>
      </c>
      <c r="G45" s="395">
        <f>'計分版'!D268</f>
        <v>0.000000001</v>
      </c>
      <c r="H45" s="396">
        <f>'計分版'!E268</f>
        <v>0.0000000001</v>
      </c>
      <c r="I45" s="396">
        <f>'計分版'!F268</f>
        <v>0.0000000002</v>
      </c>
      <c r="J45" s="396">
        <f>'計分版'!G268</f>
        <v>0.0000000003</v>
      </c>
      <c r="K45" s="396">
        <f>'計分版'!H268</f>
        <v>0.0000000004</v>
      </c>
      <c r="L45" s="396">
        <f>'計分版'!I268</f>
        <v>0.0000000005</v>
      </c>
      <c r="M45" s="396">
        <f>'計分版'!J268</f>
        <v>0</v>
      </c>
      <c r="N45" s="396">
        <f>'計分版'!K268</f>
        <v>0</v>
      </c>
      <c r="O45" s="396">
        <f>'計分版'!L268</f>
        <v>0</v>
      </c>
      <c r="P45" s="396">
        <f>'計分版'!M268</f>
        <v>0</v>
      </c>
      <c r="Q45" s="396">
        <f>'計分版'!N268</f>
        <v>0.00000000095</v>
      </c>
      <c r="R45" s="399">
        <v>0.1</v>
      </c>
      <c r="S45" s="142" t="s">
        <v>2338</v>
      </c>
      <c r="T45" s="142"/>
      <c r="U45" s="142"/>
      <c r="V45" s="142"/>
      <c r="W45" s="142"/>
      <c r="X45" s="142"/>
      <c r="Y45" s="142"/>
      <c r="Z45" s="142"/>
      <c r="AA45" s="142"/>
      <c r="AB45" s="142"/>
    </row>
    <row r="46" ht="13.5" customHeight="1">
      <c r="A46" s="142" t="s">
        <v>989</v>
      </c>
      <c r="B46" s="142" t="s">
        <v>991</v>
      </c>
      <c r="C46" s="142" t="s">
        <v>21</v>
      </c>
      <c r="D46" s="394">
        <f>HKU!F15</f>
        <v>33</v>
      </c>
      <c r="E46" s="394">
        <f>HKU!G15</f>
        <v>30</v>
      </c>
      <c r="F46" s="394">
        <f>HKU!H15</f>
        <v>28</v>
      </c>
      <c r="G46" s="395">
        <f>'計分版'!D269</f>
        <v>0.00000000318</v>
      </c>
      <c r="H46" s="396">
        <f>'計分版'!E269</f>
        <v>0.0000000001</v>
      </c>
      <c r="I46" s="396">
        <f>'計分版'!F269</f>
        <v>0.0000000003</v>
      </c>
      <c r="J46" s="396">
        <f>'計分版'!G269</f>
        <v>0.0000000003</v>
      </c>
      <c r="K46" s="396">
        <f>'計分版'!H269</f>
        <v>0.00000000048</v>
      </c>
      <c r="L46" s="396">
        <f>'計分版'!I269</f>
        <v>0.0000000005</v>
      </c>
      <c r="M46" s="396">
        <f>'計分版'!J269</f>
        <v>0.0000000006</v>
      </c>
      <c r="N46" s="396">
        <f>'計分版'!K269</f>
        <v>0.0000000007</v>
      </c>
      <c r="O46" s="396">
        <f>'計分版'!L269</f>
        <v>0.0000000008</v>
      </c>
      <c r="P46" s="396">
        <f>'計分版'!M269</f>
        <v>0.0000000009</v>
      </c>
      <c r="Q46" s="396">
        <f>'計分版'!N269</f>
        <v>0.00000000095</v>
      </c>
      <c r="R46" s="399"/>
      <c r="S46" s="142" t="s">
        <v>2337</v>
      </c>
      <c r="T46" s="142"/>
      <c r="U46" s="142"/>
      <c r="V46" s="142"/>
      <c r="W46" s="142"/>
      <c r="X46" s="142"/>
      <c r="Y46" s="142"/>
      <c r="Z46" s="142"/>
      <c r="AA46" s="142"/>
      <c r="AB46" s="142"/>
    </row>
    <row r="47" ht="13.5" customHeight="1">
      <c r="A47" s="142" t="s">
        <v>992</v>
      </c>
      <c r="B47" s="142" t="s">
        <v>993</v>
      </c>
      <c r="C47" s="142" t="s">
        <v>21</v>
      </c>
      <c r="D47" s="394">
        <f>HKU!F16</f>
        <v>33</v>
      </c>
      <c r="E47" s="394">
        <f>HKU!G16</f>
        <v>31</v>
      </c>
      <c r="F47" s="394">
        <f>HKU!H16</f>
        <v>31</v>
      </c>
      <c r="G47" s="395">
        <f>'計分版'!D270</f>
        <v>0.00000000303</v>
      </c>
      <c r="H47" s="396">
        <f>'計分版'!E270</f>
        <v>0.00000000015</v>
      </c>
      <c r="I47" s="396">
        <f>'計分版'!F270</f>
        <v>0.0000000002</v>
      </c>
      <c r="J47" s="396">
        <f>'計分版'!G270</f>
        <v>0.0000000003</v>
      </c>
      <c r="K47" s="396">
        <f>'計分版'!H270</f>
        <v>0.00000000048</v>
      </c>
      <c r="L47" s="396">
        <f>'計分版'!I270</f>
        <v>0.0000000005</v>
      </c>
      <c r="M47" s="396">
        <f>'計分版'!J270</f>
        <v>0.0000000006</v>
      </c>
      <c r="N47" s="396">
        <f>'計分版'!K270</f>
        <v>0.0000000007</v>
      </c>
      <c r="O47" s="396">
        <f>'計分版'!L270</f>
        <v>0.0000000008</v>
      </c>
      <c r="P47" s="396">
        <f>'計分版'!M270</f>
        <v>0.0000000009</v>
      </c>
      <c r="Q47" s="396">
        <f>'計分版'!N270</f>
        <v>0.00000000095</v>
      </c>
      <c r="R47" s="399"/>
      <c r="S47" s="142" t="s">
        <v>2337</v>
      </c>
      <c r="T47" s="142"/>
      <c r="U47" s="142"/>
      <c r="V47" s="142"/>
      <c r="W47" s="142"/>
      <c r="X47" s="142"/>
      <c r="Y47" s="142"/>
      <c r="Z47" s="142"/>
      <c r="AA47" s="142"/>
      <c r="AB47" s="142"/>
    </row>
    <row r="48" ht="13.5" customHeight="1">
      <c r="A48" s="142" t="s">
        <v>994</v>
      </c>
      <c r="B48" s="142" t="s">
        <v>995</v>
      </c>
      <c r="C48" s="142" t="s">
        <v>21</v>
      </c>
      <c r="D48" s="394">
        <f>HKU!F17</f>
        <v>28</v>
      </c>
      <c r="E48" s="394">
        <f>HKU!G17</f>
        <v>27</v>
      </c>
      <c r="F48" s="394">
        <f>HKU!H17</f>
        <v>26</v>
      </c>
      <c r="G48" s="395">
        <f>'計分版'!D271</f>
        <v>0.00000000282</v>
      </c>
      <c r="H48" s="396">
        <f>'計分版'!E271</f>
        <v>0.00000000012</v>
      </c>
      <c r="I48" s="396">
        <f>'計分版'!F271</f>
        <v>0.0000000003</v>
      </c>
      <c r="J48" s="396">
        <f>'計分版'!G271</f>
        <v>0.0000000003</v>
      </c>
      <c r="K48" s="396">
        <f>'計分版'!H271</f>
        <v>0.0000000004</v>
      </c>
      <c r="L48" s="396">
        <f>'計分版'!I271</f>
        <v>0.0000000005</v>
      </c>
      <c r="M48" s="396">
        <f>'計分版'!J271</f>
        <v>0.0000000006</v>
      </c>
      <c r="N48" s="396">
        <f>'計分版'!K271</f>
        <v>0.0000000007</v>
      </c>
      <c r="O48" s="396">
        <f>'計分版'!L271</f>
        <v>0.0000000008</v>
      </c>
      <c r="P48" s="396">
        <f>'計分版'!M271</f>
        <v>0.0000000009</v>
      </c>
      <c r="Q48" s="396">
        <f>'計分版'!N271</f>
        <v>0.00000000095</v>
      </c>
      <c r="R48" s="399"/>
      <c r="S48" s="142" t="s">
        <v>2337</v>
      </c>
      <c r="T48" s="142"/>
      <c r="U48" s="142"/>
      <c r="V48" s="142"/>
      <c r="W48" s="142"/>
      <c r="X48" s="142"/>
      <c r="Y48" s="142"/>
      <c r="Z48" s="142"/>
      <c r="AA48" s="142"/>
      <c r="AB48" s="142"/>
    </row>
    <row r="49" ht="13.5" customHeight="1">
      <c r="A49" s="142" t="s">
        <v>996</v>
      </c>
      <c r="B49" s="142" t="s">
        <v>997</v>
      </c>
      <c r="C49" s="142" t="s">
        <v>21</v>
      </c>
      <c r="D49" s="394">
        <f>HKU!F18</f>
        <v>56</v>
      </c>
      <c r="E49" s="394">
        <f>HKU!G18</f>
        <v>53</v>
      </c>
      <c r="F49" s="394">
        <f>HKU!H18</f>
        <v>52</v>
      </c>
      <c r="G49" s="395">
        <f>'計分版'!D272</f>
        <v>0.000000003025</v>
      </c>
      <c r="H49" s="396">
        <f>'計分版'!E272</f>
        <v>0.0000000001</v>
      </c>
      <c r="I49" s="396">
        <f>'計分版'!F272</f>
        <v>0.0000000003</v>
      </c>
      <c r="J49" s="396">
        <f>'計分版'!G272</f>
        <v>0.0000000006</v>
      </c>
      <c r="K49" s="396">
        <f>'計分版'!H272</f>
        <v>0.0000000004</v>
      </c>
      <c r="L49" s="396">
        <f>'計分版'!I272</f>
        <v>0.000000001</v>
      </c>
      <c r="M49" s="396">
        <f>'計分版'!J272</f>
        <v>0.00000000075</v>
      </c>
      <c r="N49" s="396">
        <f>'計分版'!K272</f>
        <v>0.000000000875</v>
      </c>
      <c r="O49" s="396">
        <f>'計分版'!L272</f>
        <v>0.000000001</v>
      </c>
      <c r="P49" s="396">
        <f>'計分版'!M272</f>
        <v>0.000000001125</v>
      </c>
      <c r="Q49" s="396">
        <f>'計分版'!N272</f>
        <v>0.00000000095</v>
      </c>
      <c r="R49" s="399"/>
      <c r="S49" s="142" t="s">
        <v>2338</v>
      </c>
      <c r="T49" s="142"/>
      <c r="U49" s="142"/>
      <c r="V49" s="142"/>
      <c r="W49" s="142"/>
      <c r="X49" s="142"/>
      <c r="Y49" s="142"/>
      <c r="Z49" s="142"/>
      <c r="AA49" s="142"/>
      <c r="AB49" s="142"/>
    </row>
    <row r="50" ht="13.5" customHeight="1">
      <c r="A50" s="142" t="s">
        <v>689</v>
      </c>
      <c r="B50" s="142" t="s">
        <v>998</v>
      </c>
      <c r="C50" s="142" t="s">
        <v>24</v>
      </c>
      <c r="D50" s="394">
        <f>HKU!F19</f>
        <v>39</v>
      </c>
      <c r="E50" s="394">
        <f>HKU!G19</f>
        <v>38</v>
      </c>
      <c r="F50" s="394">
        <f>HKU!H19</f>
        <v>36</v>
      </c>
      <c r="G50" s="395">
        <f>'計分版'!D273</f>
        <v>0.0000000037</v>
      </c>
      <c r="H50" s="396">
        <f>'計分版'!E273</f>
        <v>0.0000000001</v>
      </c>
      <c r="I50" s="396">
        <f>'計分版'!F273</f>
        <v>0.0000000002</v>
      </c>
      <c r="J50" s="396">
        <f>'計分版'!G273</f>
        <v>0.0000000003</v>
      </c>
      <c r="K50" s="396">
        <f>'計分版'!H273</f>
        <v>0.0000000004</v>
      </c>
      <c r="L50" s="396">
        <f>'計分版'!I273</f>
        <v>0.0000000005</v>
      </c>
      <c r="M50" s="396">
        <f>'計分版'!J273</f>
        <v>0.0000000006</v>
      </c>
      <c r="N50" s="396">
        <f>'計分版'!K273</f>
        <v>0.0000000007</v>
      </c>
      <c r="O50" s="396">
        <f>'計分版'!L273</f>
        <v>0.0000000008</v>
      </c>
      <c r="P50" s="396">
        <f>'計分版'!M273</f>
        <v>0.0000000009</v>
      </c>
      <c r="Q50" s="396">
        <f>'計分版'!N273</f>
        <v>0.00000000095</v>
      </c>
      <c r="R50" s="399"/>
      <c r="S50" s="142" t="s">
        <v>2337</v>
      </c>
      <c r="T50" s="142"/>
      <c r="U50" s="142"/>
      <c r="V50" s="142"/>
      <c r="W50" s="142"/>
      <c r="X50" s="142"/>
      <c r="Y50" s="142"/>
      <c r="Z50" s="142"/>
      <c r="AA50" s="142"/>
      <c r="AB50" s="142"/>
    </row>
    <row r="51" ht="13.5" customHeight="1">
      <c r="A51" s="142" t="s">
        <v>999</v>
      </c>
      <c r="B51" s="142" t="s">
        <v>1000</v>
      </c>
      <c r="C51" s="142" t="s">
        <v>21</v>
      </c>
      <c r="D51" s="394">
        <f>HKU!F20</f>
        <v>32</v>
      </c>
      <c r="E51" s="394">
        <f>HKU!G20</f>
        <v>31</v>
      </c>
      <c r="F51" s="394">
        <f>HKU!H20</f>
        <v>31</v>
      </c>
      <c r="G51" s="395">
        <f>'計分版'!D274</f>
        <v>0.00000000395</v>
      </c>
      <c r="H51" s="396">
        <f>'計分版'!E274</f>
        <v>0.0000000001</v>
      </c>
      <c r="I51" s="396">
        <f>'計分版'!F274</f>
        <v>0.0000000002</v>
      </c>
      <c r="J51" s="396">
        <f>'計分版'!G274</f>
        <v>0.0000000003</v>
      </c>
      <c r="K51" s="396">
        <f>'計分版'!H274</f>
        <v>0.0000000004</v>
      </c>
      <c r="L51" s="396">
        <f>'計分版'!I274</f>
        <v>0.0000000005</v>
      </c>
      <c r="M51" s="396">
        <f>'計分版'!J274</f>
        <v>0.0000000006</v>
      </c>
      <c r="N51" s="396">
        <f>'計分版'!K274</f>
        <v>0.0000000007</v>
      </c>
      <c r="O51" s="396">
        <f>'計分版'!L274</f>
        <v>0.0000000008</v>
      </c>
      <c r="P51" s="396">
        <f>'計分版'!M274</f>
        <v>0.0000000009</v>
      </c>
      <c r="Q51" s="396">
        <f>'計分版'!N274</f>
        <v>0.00000000095</v>
      </c>
      <c r="R51" s="399"/>
      <c r="S51" s="142" t="s">
        <v>2338</v>
      </c>
      <c r="T51" s="142"/>
      <c r="U51" s="142"/>
      <c r="V51" s="142"/>
      <c r="W51" s="142"/>
      <c r="X51" s="142"/>
      <c r="Y51" s="142"/>
      <c r="Z51" s="142"/>
      <c r="AA51" s="142"/>
      <c r="AB51" s="142"/>
    </row>
    <row r="52" ht="13.5" customHeight="1">
      <c r="A52" s="142" t="s">
        <v>1001</v>
      </c>
      <c r="B52" s="142" t="s">
        <v>1003</v>
      </c>
      <c r="C52" s="142" t="s">
        <v>21</v>
      </c>
      <c r="D52" s="394">
        <f>HKU!F21</f>
        <v>31</v>
      </c>
      <c r="E52" s="394">
        <f>HKU!G21</f>
        <v>29</v>
      </c>
      <c r="F52" s="394">
        <f>HKU!H21</f>
        <v>28</v>
      </c>
      <c r="G52" s="395">
        <f>'計分版'!D275</f>
        <v>0.00000000315</v>
      </c>
      <c r="H52" s="396">
        <f>'計分版'!E275</f>
        <v>0.0000000001</v>
      </c>
      <c r="I52" s="396">
        <f>'計分版'!F275</f>
        <v>0.0000000002</v>
      </c>
      <c r="J52" s="396">
        <f>'計分版'!G275</f>
        <v>0.0000000003</v>
      </c>
      <c r="K52" s="396">
        <f>'計分版'!H275</f>
        <v>0.0000000004</v>
      </c>
      <c r="L52" s="396">
        <f>'計分版'!I275</f>
        <v>0.0000000005</v>
      </c>
      <c r="M52" s="396">
        <f>'計分版'!J275</f>
        <v>0.0000000006</v>
      </c>
      <c r="N52" s="396">
        <f>'計分版'!K275</f>
        <v>0.0000000007</v>
      </c>
      <c r="O52" s="396">
        <f>'計分版'!L275</f>
        <v>0.0000000008</v>
      </c>
      <c r="P52" s="396">
        <f>'計分版'!M275</f>
        <v>0.0000000009</v>
      </c>
      <c r="Q52" s="396">
        <f>'計分版'!N275</f>
        <v>0.00000000095</v>
      </c>
      <c r="R52" s="399"/>
      <c r="S52" s="142" t="s">
        <v>2341</v>
      </c>
      <c r="T52" s="142"/>
      <c r="U52" s="142"/>
      <c r="V52" s="142"/>
      <c r="W52" s="142"/>
      <c r="X52" s="142"/>
      <c r="Y52" s="142"/>
      <c r="Z52" s="142"/>
      <c r="AA52" s="142"/>
      <c r="AB52" s="142"/>
    </row>
    <row r="53" ht="13.5" customHeight="1">
      <c r="A53" s="142" t="s">
        <v>1005</v>
      </c>
      <c r="B53" s="142" t="s">
        <v>1006</v>
      </c>
      <c r="C53" s="142" t="s">
        <v>21</v>
      </c>
      <c r="D53" s="394">
        <f>HKU!F22</f>
        <v>34</v>
      </c>
      <c r="E53" s="394">
        <f>HKU!G22</f>
        <v>32</v>
      </c>
      <c r="F53" s="394">
        <f>HKU!H22</f>
        <v>31</v>
      </c>
      <c r="G53" s="395">
        <f>'計分版'!D276</f>
        <v>0.00000000315</v>
      </c>
      <c r="H53" s="396">
        <f>'計分版'!E276</f>
        <v>0.0000000001</v>
      </c>
      <c r="I53" s="396">
        <f>'計分版'!F276</f>
        <v>0.0000000002</v>
      </c>
      <c r="J53" s="396">
        <f>'計分版'!G276</f>
        <v>0.0000000003</v>
      </c>
      <c r="K53" s="396">
        <f>'計分版'!H276</f>
        <v>0.0000000004</v>
      </c>
      <c r="L53" s="396">
        <f>'計分版'!I276</f>
        <v>0.0000000005</v>
      </c>
      <c r="M53" s="396">
        <f>'計分版'!J276</f>
        <v>0.0000000006</v>
      </c>
      <c r="N53" s="396">
        <f>'計分版'!K276</f>
        <v>0.0000000007</v>
      </c>
      <c r="O53" s="396">
        <f>'計分版'!L276</f>
        <v>0.0000000008</v>
      </c>
      <c r="P53" s="396">
        <f>'計分版'!M276</f>
        <v>0.0000000009</v>
      </c>
      <c r="Q53" s="396">
        <f>'計分版'!N276</f>
        <v>0.00000000095</v>
      </c>
      <c r="R53" s="399"/>
      <c r="S53" s="142" t="s">
        <v>2338</v>
      </c>
      <c r="T53" s="142"/>
      <c r="U53" s="142"/>
      <c r="V53" s="142"/>
      <c r="W53" s="142"/>
      <c r="X53" s="142"/>
      <c r="Y53" s="142"/>
      <c r="Z53" s="142"/>
      <c r="AA53" s="142"/>
      <c r="AB53" s="142"/>
    </row>
    <row r="54" ht="13.5" customHeight="1">
      <c r="A54" s="142" t="s">
        <v>1007</v>
      </c>
      <c r="B54" s="142" t="s">
        <v>1008</v>
      </c>
      <c r="C54" s="142" t="s">
        <v>21</v>
      </c>
      <c r="D54" s="394">
        <f>HKU!F23</f>
        <v>28</v>
      </c>
      <c r="E54" s="394">
        <f>HKU!G23</f>
        <v>26</v>
      </c>
      <c r="F54" s="394">
        <f>HKU!H23</f>
        <v>25</v>
      </c>
      <c r="G54" s="395">
        <f>'計分版'!D277</f>
        <v>0.00000000315</v>
      </c>
      <c r="H54" s="396">
        <f>'計分版'!E277</f>
        <v>0.0000000001</v>
      </c>
      <c r="I54" s="396">
        <f>'計分版'!F277</f>
        <v>0.0000000002</v>
      </c>
      <c r="J54" s="396">
        <f>'計分版'!G277</f>
        <v>0.0000000003</v>
      </c>
      <c r="K54" s="396">
        <f>'計分版'!H277</f>
        <v>0.0000000004</v>
      </c>
      <c r="L54" s="396">
        <f>'計分版'!I277</f>
        <v>0.0000000005</v>
      </c>
      <c r="M54" s="396">
        <f>'計分版'!J277</f>
        <v>0.0000000006</v>
      </c>
      <c r="N54" s="396">
        <f>'計分版'!K277</f>
        <v>0.0000000007</v>
      </c>
      <c r="O54" s="396">
        <f>'計分版'!L277</f>
        <v>0.0000000008</v>
      </c>
      <c r="P54" s="396">
        <f>'計分版'!M277</f>
        <v>0.0000000009</v>
      </c>
      <c r="Q54" s="396">
        <f>'計分版'!N277</f>
        <v>0.00000000095</v>
      </c>
      <c r="R54" s="399"/>
      <c r="S54" s="142" t="s">
        <v>2341</v>
      </c>
      <c r="T54" s="142"/>
      <c r="U54" s="142"/>
      <c r="V54" s="142"/>
      <c r="W54" s="142"/>
      <c r="X54" s="142"/>
      <c r="Y54" s="142"/>
      <c r="Z54" s="142"/>
      <c r="AA54" s="142"/>
      <c r="AB54" s="142"/>
    </row>
    <row r="55" ht="13.5" customHeight="1">
      <c r="A55" s="142" t="s">
        <v>1009</v>
      </c>
      <c r="B55" s="142" t="s">
        <v>1010</v>
      </c>
      <c r="C55" s="142" t="s">
        <v>21</v>
      </c>
      <c r="D55" s="394">
        <f>HKU!F24</f>
        <v>26</v>
      </c>
      <c r="E55" s="394">
        <f>HKU!G24</f>
        <v>25</v>
      </c>
      <c r="F55" s="394">
        <f>HKU!H24</f>
        <v>23</v>
      </c>
      <c r="G55" s="395">
        <f>'計分版'!D278</f>
        <v>0.00000000315</v>
      </c>
      <c r="H55" s="396">
        <f>'計分版'!E278</f>
        <v>0.0000000001</v>
      </c>
      <c r="I55" s="396">
        <f>'計分版'!F278</f>
        <v>0.0000000002</v>
      </c>
      <c r="J55" s="396">
        <f>'計分版'!G278</f>
        <v>0.0000000003</v>
      </c>
      <c r="K55" s="396">
        <f>'計分版'!H278</f>
        <v>0.0000000004</v>
      </c>
      <c r="L55" s="396">
        <f>'計分版'!I278</f>
        <v>0.0000000005</v>
      </c>
      <c r="M55" s="396">
        <f>'計分版'!J278</f>
        <v>0.0000000006</v>
      </c>
      <c r="N55" s="396">
        <f>'計分版'!K278</f>
        <v>0.0000000007</v>
      </c>
      <c r="O55" s="396">
        <f>'計分版'!L278</f>
        <v>0.0000000008</v>
      </c>
      <c r="P55" s="396">
        <f>'計分版'!M278</f>
        <v>0.0000000009</v>
      </c>
      <c r="Q55" s="396">
        <f>'計分版'!N278</f>
        <v>0.00000000095</v>
      </c>
      <c r="R55" s="399"/>
      <c r="S55" s="142" t="s">
        <v>2341</v>
      </c>
      <c r="T55" s="142"/>
      <c r="U55" s="142"/>
      <c r="V55" s="142"/>
      <c r="W55" s="142"/>
      <c r="X55" s="142"/>
      <c r="Y55" s="142"/>
      <c r="Z55" s="142"/>
      <c r="AA55" s="142"/>
      <c r="AB55" s="142"/>
    </row>
    <row r="56" ht="13.5" customHeight="1">
      <c r="A56" s="142" t="s">
        <v>1011</v>
      </c>
      <c r="B56" s="142" t="s">
        <v>1013</v>
      </c>
      <c r="C56" s="142" t="s">
        <v>24</v>
      </c>
      <c r="D56" s="394">
        <f>HKU!F25</f>
        <v>44</v>
      </c>
      <c r="E56" s="394">
        <f>HKU!G25</f>
        <v>41</v>
      </c>
      <c r="F56" s="394">
        <f>HKU!H25</f>
        <v>39</v>
      </c>
      <c r="G56" s="395">
        <f>'計分版'!D279</f>
        <v>0.0000000036</v>
      </c>
      <c r="H56" s="396">
        <f>'計分版'!E279</f>
        <v>0.0000000001</v>
      </c>
      <c r="I56" s="396">
        <f>'計分版'!F279</f>
        <v>0.0000000002</v>
      </c>
      <c r="J56" s="396">
        <f>'計分版'!G279</f>
        <v>0.0000000003</v>
      </c>
      <c r="K56" s="396">
        <f>'計分版'!H279</f>
        <v>0.0000000004</v>
      </c>
      <c r="L56" s="396">
        <f>'計分版'!I279</f>
        <v>0.0000000005</v>
      </c>
      <c r="M56" s="396">
        <f>'計分版'!J279</f>
        <v>0.0000000006</v>
      </c>
      <c r="N56" s="396">
        <f>'計分版'!K279</f>
        <v>0.0000000007</v>
      </c>
      <c r="O56" s="396">
        <f>'計分版'!L279</f>
        <v>0.0000000008</v>
      </c>
      <c r="P56" s="396">
        <f>'計分版'!M279</f>
        <v>0.0000000009</v>
      </c>
      <c r="Q56" s="396">
        <f>'計分版'!N279</f>
        <v>0.00000000095</v>
      </c>
      <c r="R56" s="399"/>
      <c r="S56" s="142" t="s">
        <v>2338</v>
      </c>
      <c r="T56" s="142"/>
      <c r="U56" s="142"/>
      <c r="V56" s="142"/>
      <c r="W56" s="142"/>
      <c r="X56" s="142"/>
      <c r="Y56" s="142"/>
      <c r="Z56" s="142"/>
      <c r="AA56" s="142"/>
      <c r="AB56" s="142"/>
    </row>
    <row r="57" ht="13.5" customHeight="1">
      <c r="A57" s="142" t="s">
        <v>1014</v>
      </c>
      <c r="B57" s="142" t="s">
        <v>593</v>
      </c>
      <c r="C57" s="142" t="s">
        <v>24</v>
      </c>
      <c r="D57" s="394">
        <f>HKU!F26</f>
        <v>39</v>
      </c>
      <c r="E57" s="394">
        <f>HKU!G26</f>
        <v>38</v>
      </c>
      <c r="F57" s="394">
        <f>HKU!H26</f>
        <v>36</v>
      </c>
      <c r="G57" s="395">
        <f>'計分版'!D280</f>
        <v>0.0000000036</v>
      </c>
      <c r="H57" s="396">
        <f>'計分版'!E280</f>
        <v>0.0000000001</v>
      </c>
      <c r="I57" s="396">
        <f>'計分版'!F280</f>
        <v>0.0000000002</v>
      </c>
      <c r="J57" s="396">
        <f>'計分版'!G280</f>
        <v>0.0000000003</v>
      </c>
      <c r="K57" s="396">
        <f>'計分版'!H280</f>
        <v>0.0000000004</v>
      </c>
      <c r="L57" s="396">
        <f>'計分版'!I280</f>
        <v>0.0000000005</v>
      </c>
      <c r="M57" s="396">
        <f>'計分版'!J280</f>
        <v>0.0000000006</v>
      </c>
      <c r="N57" s="396">
        <f>'計分版'!K280</f>
        <v>0.0000000007</v>
      </c>
      <c r="O57" s="396">
        <f>'計分版'!L280</f>
        <v>0.0000000008</v>
      </c>
      <c r="P57" s="396">
        <f>'計分版'!M280</f>
        <v>0.0000000009</v>
      </c>
      <c r="Q57" s="396">
        <f>'計分版'!N280</f>
        <v>0.00000000095</v>
      </c>
      <c r="R57" s="399"/>
      <c r="S57" s="142" t="s">
        <v>2338</v>
      </c>
      <c r="T57" s="142"/>
      <c r="U57" s="142"/>
      <c r="V57" s="142"/>
      <c r="W57" s="142"/>
      <c r="X57" s="142"/>
      <c r="Y57" s="142"/>
      <c r="Z57" s="142"/>
      <c r="AA57" s="142"/>
      <c r="AB57" s="142"/>
    </row>
    <row r="58" ht="13.5" customHeight="1">
      <c r="A58" s="142" t="s">
        <v>1290</v>
      </c>
      <c r="B58" s="142" t="s">
        <v>1528</v>
      </c>
      <c r="C58" s="142" t="s">
        <v>21</v>
      </c>
      <c r="D58" s="394" t="str">
        <f>HKU!F27</f>
        <v>/</v>
      </c>
      <c r="E58" s="394" t="str">
        <f>HKU!G27</f>
        <v>/</v>
      </c>
      <c r="F58" s="394" t="str">
        <f>HKU!H27</f>
        <v>/</v>
      </c>
      <c r="G58" s="395">
        <f>'計分版'!D281</f>
        <v>0.0000000034</v>
      </c>
      <c r="H58" s="396">
        <f>'計分版'!E281</f>
        <v>0.0000000001</v>
      </c>
      <c r="I58" s="396">
        <f>'計分版'!F281</f>
        <v>0.0000000002</v>
      </c>
      <c r="J58" s="396">
        <f>'計分版'!G281</f>
        <v>0.0000000003</v>
      </c>
      <c r="K58" s="396">
        <f>'計分版'!H281</f>
        <v>0.0000000004</v>
      </c>
      <c r="L58" s="396">
        <f>'計分版'!I281</f>
        <v>0.0000000005</v>
      </c>
      <c r="M58" s="396">
        <f>'計分版'!J281</f>
        <v>0.0000000006</v>
      </c>
      <c r="N58" s="396">
        <f>'計分版'!K281</f>
        <v>0.0000000007</v>
      </c>
      <c r="O58" s="396">
        <f>'計分版'!L281</f>
        <v>0.0000000008</v>
      </c>
      <c r="P58" s="396">
        <f>'計分版'!M281</f>
        <v>0.0000000009</v>
      </c>
      <c r="Q58" s="396">
        <f>'計分版'!N281</f>
        <v>0.00000000095</v>
      </c>
      <c r="R58" s="399"/>
      <c r="S58" s="142" t="s">
        <v>2337</v>
      </c>
      <c r="T58" s="142"/>
      <c r="U58" s="142"/>
      <c r="V58" s="142"/>
      <c r="W58" s="142"/>
      <c r="X58" s="142"/>
      <c r="Y58" s="142"/>
      <c r="Z58" s="142"/>
      <c r="AA58" s="142"/>
      <c r="AB58" s="142"/>
    </row>
    <row r="59" ht="13.5" customHeight="1">
      <c r="A59" s="142" t="s">
        <v>1015</v>
      </c>
      <c r="B59" s="142" t="s">
        <v>1017</v>
      </c>
      <c r="C59" s="142" t="s">
        <v>24</v>
      </c>
      <c r="D59" s="394">
        <f>HKU!F28</f>
        <v>48</v>
      </c>
      <c r="E59" s="394">
        <f>HKU!G28</f>
        <v>45</v>
      </c>
      <c r="F59" s="394">
        <f>HKU!H28</f>
        <v>44</v>
      </c>
      <c r="G59" s="395">
        <f>'計分版'!D282</f>
        <v>0.000000003766666667</v>
      </c>
      <c r="H59" s="396">
        <f>'計分版'!E282</f>
        <v>0.0000000001</v>
      </c>
      <c r="I59" s="396">
        <f>'計分版'!F282</f>
        <v>0.0000000002</v>
      </c>
      <c r="J59" s="396">
        <f>'計分版'!G282</f>
        <v>0.0000000003</v>
      </c>
      <c r="K59" s="396">
        <f>'計分版'!H282</f>
        <v>0.0000000004</v>
      </c>
      <c r="L59" s="396">
        <f>'計分版'!I282</f>
        <v>0.0000000005</v>
      </c>
      <c r="M59" s="396">
        <f>'計分版'!J282</f>
        <v>0.0000000006</v>
      </c>
      <c r="N59" s="396">
        <f>'計分版'!K282</f>
        <v>0.0000000007</v>
      </c>
      <c r="O59" s="396">
        <f>'計分版'!L282</f>
        <v>0.0000000008</v>
      </c>
      <c r="P59" s="396">
        <f>'計分版'!M282</f>
        <v>0.0000000009</v>
      </c>
      <c r="Q59" s="396">
        <f>'計分版'!N282</f>
        <v>0.00000000095</v>
      </c>
      <c r="R59" s="399">
        <v>0.1</v>
      </c>
      <c r="S59" s="142" t="s">
        <v>2342</v>
      </c>
      <c r="T59" s="142"/>
      <c r="U59" s="142"/>
      <c r="V59" s="142"/>
      <c r="W59" s="142"/>
      <c r="X59" s="142"/>
      <c r="Y59" s="142"/>
      <c r="Z59" s="142"/>
      <c r="AA59" s="142"/>
      <c r="AB59" s="142"/>
    </row>
    <row r="60" ht="13.5" customHeight="1">
      <c r="A60" s="142" t="s">
        <v>1019</v>
      </c>
      <c r="B60" s="142" t="s">
        <v>1020</v>
      </c>
      <c r="C60" s="142" t="s">
        <v>21</v>
      </c>
      <c r="D60" s="394">
        <f>HKU!F29</f>
        <v>26</v>
      </c>
      <c r="E60" s="394">
        <f>HKU!G29</f>
        <v>25</v>
      </c>
      <c r="F60" s="394">
        <f>HKU!H29</f>
        <v>25</v>
      </c>
      <c r="G60" s="395">
        <f>'計分版'!D283</f>
        <v>0.0000000034</v>
      </c>
      <c r="H60" s="396">
        <f>'計分版'!E283</f>
        <v>0.0000000001</v>
      </c>
      <c r="I60" s="396">
        <f>'計分版'!F283</f>
        <v>0.0000000002</v>
      </c>
      <c r="J60" s="396">
        <f>'計分版'!G283</f>
        <v>0.0000000003</v>
      </c>
      <c r="K60" s="396">
        <f>'計分版'!H283</f>
        <v>0.0000000004</v>
      </c>
      <c r="L60" s="396">
        <f>'計分版'!I283</f>
        <v>0.0000000005</v>
      </c>
      <c r="M60" s="396">
        <f>'計分版'!J283</f>
        <v>0.0000000006</v>
      </c>
      <c r="N60" s="396">
        <f>'計分版'!K283</f>
        <v>0.0000000007</v>
      </c>
      <c r="O60" s="396">
        <f>'計分版'!L283</f>
        <v>0.0000000008</v>
      </c>
      <c r="P60" s="396">
        <f>'計分版'!M283</f>
        <v>0.0000000009</v>
      </c>
      <c r="Q60" s="396">
        <f>'計分版'!N283</f>
        <v>0.00000000095</v>
      </c>
      <c r="R60" s="399"/>
      <c r="S60" s="142" t="s">
        <v>2337</v>
      </c>
      <c r="T60" s="142"/>
      <c r="U60" s="142"/>
      <c r="V60" s="142"/>
      <c r="W60" s="142"/>
      <c r="X60" s="142"/>
      <c r="Y60" s="142"/>
      <c r="Z60" s="142"/>
      <c r="AA60" s="142"/>
      <c r="AB60" s="142"/>
    </row>
    <row r="61" ht="13.5" customHeight="1">
      <c r="A61" s="142" t="s">
        <v>1021</v>
      </c>
      <c r="B61" s="142" t="s">
        <v>1022</v>
      </c>
      <c r="C61" s="142" t="s">
        <v>21</v>
      </c>
      <c r="D61" s="394">
        <f>HKU!F30</f>
        <v>29</v>
      </c>
      <c r="E61" s="394">
        <f>HKU!G30</f>
        <v>28</v>
      </c>
      <c r="F61" s="394">
        <f>HKU!H30</f>
        <v>28</v>
      </c>
      <c r="G61" s="395">
        <f>'計分版'!D284</f>
        <v>0.0000000034</v>
      </c>
      <c r="H61" s="396">
        <f>'計分版'!E284</f>
        <v>0.0000000001</v>
      </c>
      <c r="I61" s="396">
        <f>'計分版'!F284</f>
        <v>0.0000000002</v>
      </c>
      <c r="J61" s="396">
        <f>'計分版'!G284</f>
        <v>0.0000000003</v>
      </c>
      <c r="K61" s="396">
        <f>'計分版'!H284</f>
        <v>0.0000000004</v>
      </c>
      <c r="L61" s="396">
        <f>'計分版'!I284</f>
        <v>0.0000000005</v>
      </c>
      <c r="M61" s="396">
        <f>'計分版'!J284</f>
        <v>0.0000000006</v>
      </c>
      <c r="N61" s="396">
        <f>'計分版'!K284</f>
        <v>0.0000000007</v>
      </c>
      <c r="O61" s="396">
        <f>'計分版'!L284</f>
        <v>0.0000000008</v>
      </c>
      <c r="P61" s="396">
        <f>'計分版'!M284</f>
        <v>0.0000000009</v>
      </c>
      <c r="Q61" s="396">
        <f>'計分版'!N284</f>
        <v>0.00000000095</v>
      </c>
      <c r="R61" s="399"/>
      <c r="S61" s="142" t="s">
        <v>2337</v>
      </c>
      <c r="T61" s="142"/>
      <c r="U61" s="142"/>
      <c r="V61" s="142"/>
      <c r="W61" s="142"/>
      <c r="X61" s="142"/>
      <c r="Y61" s="142"/>
      <c r="Z61" s="142"/>
      <c r="AA61" s="142"/>
      <c r="AB61" s="142"/>
    </row>
    <row r="62" ht="13.5" customHeight="1">
      <c r="A62" s="142" t="s">
        <v>1023</v>
      </c>
      <c r="B62" s="142" t="s">
        <v>1024</v>
      </c>
      <c r="C62" s="142" t="s">
        <v>24</v>
      </c>
      <c r="D62" s="394">
        <f>HKU!F31</f>
        <v>39</v>
      </c>
      <c r="E62" s="394">
        <f>HKU!G31</f>
        <v>38</v>
      </c>
      <c r="F62" s="394">
        <f>HKU!H31</f>
        <v>36</v>
      </c>
      <c r="G62" s="395">
        <f>'計分版'!D285</f>
        <v>0.000000003766666667</v>
      </c>
      <c r="H62" s="396">
        <f>'計分版'!E285</f>
        <v>0.0000000001</v>
      </c>
      <c r="I62" s="396">
        <f>'計分版'!F285</f>
        <v>0.0000000002</v>
      </c>
      <c r="J62" s="396">
        <f>'計分版'!G285</f>
        <v>0.0000000003</v>
      </c>
      <c r="K62" s="396">
        <f>'計分版'!H285</f>
        <v>0.0000000004</v>
      </c>
      <c r="L62" s="396">
        <f>'計分版'!I285</f>
        <v>0.0000000005</v>
      </c>
      <c r="M62" s="396">
        <f>'計分版'!J285</f>
        <v>0.0000000006</v>
      </c>
      <c r="N62" s="396">
        <f>'計分版'!K285</f>
        <v>0.0000000007</v>
      </c>
      <c r="O62" s="396">
        <f>'計分版'!L285</f>
        <v>0.0000000008</v>
      </c>
      <c r="P62" s="396">
        <f>'計分版'!M285</f>
        <v>0.0000000009</v>
      </c>
      <c r="Q62" s="396">
        <f>'計分版'!N285</f>
        <v>0.00000000095</v>
      </c>
      <c r="R62" s="399">
        <v>0.1</v>
      </c>
      <c r="S62" s="142" t="s">
        <v>2342</v>
      </c>
      <c r="T62" s="142"/>
      <c r="U62" s="142"/>
      <c r="V62" s="142"/>
      <c r="W62" s="142"/>
      <c r="X62" s="142"/>
      <c r="Y62" s="142"/>
      <c r="Z62" s="142"/>
      <c r="AA62" s="142"/>
      <c r="AB62" s="142"/>
    </row>
    <row r="63" ht="13.5" customHeight="1">
      <c r="A63" s="142" t="s">
        <v>691</v>
      </c>
      <c r="B63" s="142" t="s">
        <v>1025</v>
      </c>
      <c r="C63" s="142" t="s">
        <v>24</v>
      </c>
      <c r="D63" s="394">
        <f>HKU!F32</f>
        <v>41</v>
      </c>
      <c r="E63" s="394">
        <f>HKU!G32</f>
        <v>39</v>
      </c>
      <c r="F63" s="394">
        <f>HKU!H32</f>
        <v>39</v>
      </c>
      <c r="G63" s="395">
        <f>'計分版'!D286</f>
        <v>0.000000003766666667</v>
      </c>
      <c r="H63" s="396">
        <f>'計分版'!E286</f>
        <v>0.0000000001</v>
      </c>
      <c r="I63" s="396">
        <f>'計分版'!F286</f>
        <v>0.0000000002</v>
      </c>
      <c r="J63" s="396">
        <f>'計分版'!G286</f>
        <v>0.0000000003</v>
      </c>
      <c r="K63" s="396">
        <f>'計分版'!H286</f>
        <v>0.0000000004</v>
      </c>
      <c r="L63" s="396">
        <f>'計分版'!I286</f>
        <v>0.0000000005</v>
      </c>
      <c r="M63" s="396">
        <f>'計分版'!J286</f>
        <v>0.0000000006</v>
      </c>
      <c r="N63" s="396">
        <f>'計分版'!K286</f>
        <v>0.0000000007</v>
      </c>
      <c r="O63" s="396">
        <f>'計分版'!L286</f>
        <v>0.0000000008</v>
      </c>
      <c r="P63" s="396">
        <f>'計分版'!M286</f>
        <v>0.0000000009</v>
      </c>
      <c r="Q63" s="396">
        <f>'計分版'!N286</f>
        <v>0.00000000095</v>
      </c>
      <c r="R63" s="399">
        <v>0.1</v>
      </c>
      <c r="S63" s="142" t="s">
        <v>2342</v>
      </c>
      <c r="T63" s="142"/>
      <c r="U63" s="142"/>
      <c r="V63" s="142"/>
      <c r="W63" s="142"/>
      <c r="X63" s="142"/>
      <c r="Y63" s="142"/>
      <c r="Z63" s="142"/>
      <c r="AA63" s="142"/>
      <c r="AB63" s="142"/>
    </row>
    <row r="64" ht="13.5" customHeight="1">
      <c r="A64" s="142" t="s">
        <v>680</v>
      </c>
      <c r="B64" s="142" t="s">
        <v>1027</v>
      </c>
      <c r="C64" s="142" t="s">
        <v>24</v>
      </c>
      <c r="D64" s="394" t="str">
        <f>HKU!F33</f>
        <v>/</v>
      </c>
      <c r="E64" s="394" t="str">
        <f>HKU!G33</f>
        <v>/</v>
      </c>
      <c r="F64" s="394" t="str">
        <f>HKU!H33</f>
        <v>/</v>
      </c>
      <c r="G64" s="395">
        <f>'計分版'!D287</f>
        <v>0.000000003125</v>
      </c>
      <c r="H64" s="396">
        <f>'計分版'!E287</f>
        <v>0.0000000001</v>
      </c>
      <c r="I64" s="396">
        <f>'計分版'!F287</f>
        <v>0.0000000004</v>
      </c>
      <c r="J64" s="396">
        <f>'計分版'!G287</f>
        <v>0.0000000006</v>
      </c>
      <c r="K64" s="396">
        <f>'計分版'!H287</f>
        <v>0.0000000004</v>
      </c>
      <c r="L64" s="396">
        <f>'計分版'!I287</f>
        <v>0.000000001</v>
      </c>
      <c r="M64" s="396">
        <f>'計分版'!J287</f>
        <v>0.00000000075</v>
      </c>
      <c r="N64" s="396">
        <f>'計分版'!K287</f>
        <v>0.000000000875</v>
      </c>
      <c r="O64" s="396">
        <f>'計分版'!L287</f>
        <v>0.000000001</v>
      </c>
      <c r="P64" s="396">
        <f>'計分版'!M287</f>
        <v>0.000000001125</v>
      </c>
      <c r="Q64" s="396">
        <f>'計分版'!N287</f>
        <v>0.00000000095</v>
      </c>
      <c r="R64" s="399"/>
      <c r="S64" s="142" t="s">
        <v>2343</v>
      </c>
      <c r="T64" s="142"/>
      <c r="U64" s="142"/>
      <c r="V64" s="142"/>
      <c r="W64" s="142"/>
      <c r="X64" s="142"/>
      <c r="Y64" s="142"/>
      <c r="Z64" s="142"/>
      <c r="AA64" s="142"/>
      <c r="AB64" s="142"/>
    </row>
    <row r="65" ht="13.5" customHeight="1">
      <c r="A65" s="142" t="s">
        <v>1028</v>
      </c>
      <c r="B65" s="142" t="s">
        <v>1029</v>
      </c>
      <c r="C65" s="142" t="s">
        <v>24</v>
      </c>
      <c r="D65" s="394">
        <f>HKU!F34</f>
        <v>55</v>
      </c>
      <c r="E65" s="394">
        <f>HKU!G34</f>
        <v>51</v>
      </c>
      <c r="F65" s="394">
        <f>HKU!H34</f>
        <v>48</v>
      </c>
      <c r="G65" s="395">
        <f>'計分版'!D288</f>
        <v>0.0000000044</v>
      </c>
      <c r="H65" s="396">
        <f>'計分版'!E288</f>
        <v>0.0000000001</v>
      </c>
      <c r="I65" s="396">
        <f>'計分版'!F288</f>
        <v>0.0000000004</v>
      </c>
      <c r="J65" s="396">
        <f>'計分版'!G288</f>
        <v>0.0000000006</v>
      </c>
      <c r="K65" s="396">
        <f>'計分版'!H288</f>
        <v>0.0000000004</v>
      </c>
      <c r="L65" s="396">
        <f>'計分版'!I288</f>
        <v>0.000000001</v>
      </c>
      <c r="M65" s="396">
        <f>'計分版'!J288</f>
        <v>0.0000000006</v>
      </c>
      <c r="N65" s="396">
        <f>'計分版'!K288</f>
        <v>0.0000000007</v>
      </c>
      <c r="O65" s="396">
        <f>'計分版'!L288</f>
        <v>0.0000000008</v>
      </c>
      <c r="P65" s="396">
        <f>'計分版'!M288</f>
        <v>0.0000000009</v>
      </c>
      <c r="Q65" s="396">
        <f>'計分版'!N288</f>
        <v>0.00000000095</v>
      </c>
      <c r="R65" s="399"/>
      <c r="S65" s="142" t="s">
        <v>2343</v>
      </c>
      <c r="T65" s="142"/>
      <c r="U65" s="142"/>
      <c r="V65" s="142"/>
      <c r="W65" s="142"/>
      <c r="X65" s="142"/>
      <c r="Y65" s="142"/>
      <c r="Z65" s="142"/>
      <c r="AA65" s="142"/>
      <c r="AB65" s="142"/>
    </row>
    <row r="66" ht="13.5" customHeight="1">
      <c r="A66" s="142" t="s">
        <v>1031</v>
      </c>
      <c r="B66" s="142" t="s">
        <v>267</v>
      </c>
      <c r="C66" s="142" t="s">
        <v>21</v>
      </c>
      <c r="D66" s="394">
        <f>HKU!F35</f>
        <v>46</v>
      </c>
      <c r="E66" s="394">
        <f>HKU!G35</f>
        <v>41</v>
      </c>
      <c r="F66" s="394">
        <f>HKU!H35</f>
        <v>37</v>
      </c>
      <c r="G66" s="395">
        <f>'計分版'!D289</f>
        <v>0.000000003025</v>
      </c>
      <c r="H66" s="396">
        <f>'計分版'!E289</f>
        <v>0.0000000001</v>
      </c>
      <c r="I66" s="396">
        <f>'計分版'!F289</f>
        <v>0.0000000003</v>
      </c>
      <c r="J66" s="396">
        <f>'計分版'!G289</f>
        <v>0.0000000006</v>
      </c>
      <c r="K66" s="396">
        <f>'計分版'!H289</f>
        <v>0.0000000004</v>
      </c>
      <c r="L66" s="396">
        <f>'計分版'!I289</f>
        <v>0.000000001</v>
      </c>
      <c r="M66" s="396">
        <f>'計分版'!J289</f>
        <v>0.00000000075</v>
      </c>
      <c r="N66" s="396">
        <f>'計分版'!K289</f>
        <v>0.000000000875</v>
      </c>
      <c r="O66" s="396">
        <f>'計分版'!L289</f>
        <v>0.000000001</v>
      </c>
      <c r="P66" s="396">
        <f>'計分版'!M289</f>
        <v>0.000000001125</v>
      </c>
      <c r="Q66" s="396">
        <f>'計分版'!N289</f>
        <v>0.00000000095</v>
      </c>
      <c r="R66" s="399"/>
      <c r="S66" s="142" t="s">
        <v>2343</v>
      </c>
      <c r="T66" s="142"/>
      <c r="U66" s="142"/>
      <c r="V66" s="142"/>
      <c r="W66" s="142"/>
      <c r="X66" s="142"/>
      <c r="Y66" s="142"/>
      <c r="Z66" s="142"/>
      <c r="AA66" s="142"/>
      <c r="AB66" s="142"/>
    </row>
    <row r="67" ht="13.5" customHeight="1">
      <c r="A67" s="142" t="s">
        <v>1032</v>
      </c>
      <c r="B67" s="142" t="s">
        <v>1034</v>
      </c>
      <c r="C67" s="142" t="s">
        <v>21</v>
      </c>
      <c r="D67" s="394">
        <f>HKU!F36</f>
        <v>29</v>
      </c>
      <c r="E67" s="394">
        <f>HKU!G36</f>
        <v>28</v>
      </c>
      <c r="F67" s="394">
        <f>HKU!H36</f>
        <v>26</v>
      </c>
      <c r="G67" s="395">
        <f>'計分版'!D290</f>
        <v>0.00000000395</v>
      </c>
      <c r="H67" s="396">
        <f>'計分版'!E290</f>
        <v>0.0000000001</v>
      </c>
      <c r="I67" s="396">
        <f>'計分版'!F290</f>
        <v>0.0000000002</v>
      </c>
      <c r="J67" s="396">
        <f>'計分版'!G290</f>
        <v>0.0000000003</v>
      </c>
      <c r="K67" s="396">
        <f>'計分版'!H290</f>
        <v>0.0000000004</v>
      </c>
      <c r="L67" s="396">
        <f>'計分版'!I290</f>
        <v>0.0000000005</v>
      </c>
      <c r="M67" s="396">
        <f>'計分版'!J290</f>
        <v>0.0000000006</v>
      </c>
      <c r="N67" s="396">
        <f>'計分版'!K290</f>
        <v>0.0000000007</v>
      </c>
      <c r="O67" s="396">
        <f>'計分版'!L290</f>
        <v>0.0000000008</v>
      </c>
      <c r="P67" s="396">
        <f>'計分版'!M290</f>
        <v>0.0000000009</v>
      </c>
      <c r="Q67" s="396">
        <f>'計分版'!N290</f>
        <v>0.00000000095</v>
      </c>
      <c r="R67" s="399"/>
      <c r="S67" s="142" t="s">
        <v>2338</v>
      </c>
      <c r="T67" s="142"/>
      <c r="U67" s="142"/>
      <c r="V67" s="142"/>
      <c r="W67" s="142"/>
      <c r="X67" s="142"/>
      <c r="Y67" s="142"/>
      <c r="Z67" s="142"/>
      <c r="AA67" s="142"/>
      <c r="AB67" s="142"/>
    </row>
    <row r="68" ht="13.5" customHeight="1">
      <c r="A68" s="142" t="s">
        <v>1035</v>
      </c>
      <c r="B68" s="142" t="s">
        <v>1036</v>
      </c>
      <c r="C68" s="142" t="s">
        <v>21</v>
      </c>
      <c r="D68" s="394">
        <f>HKU!F37</f>
        <v>28</v>
      </c>
      <c r="E68" s="394">
        <f>HKU!G37</f>
        <v>28</v>
      </c>
      <c r="F68" s="394">
        <f>HKU!H37</f>
        <v>26</v>
      </c>
      <c r="G68" s="395">
        <f>'計分版'!D291</f>
        <v>0.00000000395</v>
      </c>
      <c r="H68" s="396">
        <f>'計分版'!E291</f>
        <v>0.0000000001</v>
      </c>
      <c r="I68" s="396">
        <f>'計分版'!F291</f>
        <v>0.0000000002</v>
      </c>
      <c r="J68" s="396">
        <f>'計分版'!G291</f>
        <v>0.0000000003</v>
      </c>
      <c r="K68" s="396">
        <f>'計分版'!H291</f>
        <v>0.0000000004</v>
      </c>
      <c r="L68" s="396">
        <f>'計分版'!I291</f>
        <v>0.0000000005</v>
      </c>
      <c r="M68" s="396">
        <f>'計分版'!J291</f>
        <v>0.0000000006</v>
      </c>
      <c r="N68" s="396">
        <f>'計分版'!K291</f>
        <v>0.0000000007</v>
      </c>
      <c r="O68" s="396">
        <f>'計分版'!L291</f>
        <v>0.0000000008</v>
      </c>
      <c r="P68" s="396">
        <f>'計分版'!M291</f>
        <v>0.0000000009</v>
      </c>
      <c r="Q68" s="396">
        <f>'計分版'!N291</f>
        <v>0.00000000095</v>
      </c>
      <c r="R68" s="399"/>
      <c r="S68" s="142" t="s">
        <v>2338</v>
      </c>
      <c r="T68" s="142"/>
      <c r="U68" s="142"/>
      <c r="V68" s="142"/>
      <c r="W68" s="142"/>
      <c r="X68" s="142"/>
      <c r="Y68" s="142"/>
      <c r="Z68" s="142"/>
      <c r="AA68" s="142"/>
      <c r="AB68" s="142"/>
    </row>
    <row r="69" ht="13.5" customHeight="1">
      <c r="A69" s="142" t="s">
        <v>1037</v>
      </c>
      <c r="B69" s="142" t="s">
        <v>1038</v>
      </c>
      <c r="C69" s="142" t="s">
        <v>24</v>
      </c>
      <c r="D69" s="394">
        <f>HKU!F38</f>
        <v>41</v>
      </c>
      <c r="E69" s="394">
        <f>HKU!G38</f>
        <v>39</v>
      </c>
      <c r="F69" s="394">
        <f>HKU!H38</f>
        <v>38</v>
      </c>
      <c r="G69" s="395">
        <f>'計分版'!D292</f>
        <v>0.0000000037</v>
      </c>
      <c r="H69" s="396">
        <f>'計分版'!E292</f>
        <v>0.0000000001</v>
      </c>
      <c r="I69" s="396">
        <f>'計分版'!F292</f>
        <v>0.0000000002</v>
      </c>
      <c r="J69" s="396">
        <f>'計分版'!G292</f>
        <v>0.0000000003</v>
      </c>
      <c r="K69" s="396">
        <f>'計分版'!H292</f>
        <v>0.0000000004</v>
      </c>
      <c r="L69" s="396">
        <f>'計分版'!I292</f>
        <v>0.0000000005</v>
      </c>
      <c r="M69" s="396">
        <f>'計分版'!J292</f>
        <v>0.0000000006</v>
      </c>
      <c r="N69" s="396">
        <f>'計分版'!K292</f>
        <v>0.0000000007</v>
      </c>
      <c r="O69" s="396">
        <f>'計分版'!L292</f>
        <v>0.0000000008</v>
      </c>
      <c r="P69" s="396">
        <f>'計分版'!M292</f>
        <v>0.0000000009</v>
      </c>
      <c r="Q69" s="396">
        <f>'計分版'!N292</f>
        <v>0.00000000095</v>
      </c>
      <c r="R69" s="399"/>
      <c r="S69" s="142" t="s">
        <v>2338</v>
      </c>
      <c r="T69" s="142"/>
      <c r="U69" s="142"/>
      <c r="V69" s="142"/>
      <c r="W69" s="142"/>
      <c r="X69" s="142"/>
      <c r="Y69" s="142"/>
      <c r="Z69" s="142"/>
      <c r="AA69" s="142"/>
      <c r="AB69" s="142"/>
    </row>
    <row r="70" ht="13.5" customHeight="1">
      <c r="A70" s="142" t="s">
        <v>1039</v>
      </c>
      <c r="B70" s="142" t="s">
        <v>1040</v>
      </c>
      <c r="C70" s="142" t="s">
        <v>21</v>
      </c>
      <c r="D70" s="394">
        <f>HKU!F39</f>
        <v>29</v>
      </c>
      <c r="E70" s="394">
        <f>HKU!G39</f>
        <v>28</v>
      </c>
      <c r="F70" s="394">
        <f>HKU!H39</f>
        <v>26</v>
      </c>
      <c r="G70" s="395">
        <f>'計分版'!D293</f>
        <v>0.00000000395</v>
      </c>
      <c r="H70" s="396">
        <f>'計分版'!E293</f>
        <v>0.0000000001</v>
      </c>
      <c r="I70" s="396">
        <f>'計分版'!F293</f>
        <v>0.0000000002</v>
      </c>
      <c r="J70" s="396">
        <f>'計分版'!G293</f>
        <v>0.0000000003</v>
      </c>
      <c r="K70" s="396">
        <f>'計分版'!H293</f>
        <v>0.0000000004</v>
      </c>
      <c r="L70" s="396">
        <f>'計分版'!I293</f>
        <v>0.0000000005</v>
      </c>
      <c r="M70" s="396">
        <f>'計分版'!J293</f>
        <v>0.0000000006</v>
      </c>
      <c r="N70" s="396">
        <f>'計分版'!K293</f>
        <v>0.0000000007</v>
      </c>
      <c r="O70" s="396">
        <f>'計分版'!L293</f>
        <v>0.0000000008</v>
      </c>
      <c r="P70" s="396">
        <f>'計分版'!M293</f>
        <v>0.0000000009</v>
      </c>
      <c r="Q70" s="396">
        <f>'計分版'!N293</f>
        <v>0.00000000095</v>
      </c>
      <c r="R70" s="399"/>
      <c r="S70" s="142" t="s">
        <v>2338</v>
      </c>
      <c r="T70" s="142"/>
      <c r="U70" s="142"/>
      <c r="V70" s="142"/>
      <c r="W70" s="142"/>
      <c r="X70" s="142"/>
      <c r="Y70" s="142"/>
      <c r="Z70" s="142"/>
      <c r="AA70" s="142"/>
      <c r="AB70" s="142"/>
    </row>
    <row r="71" ht="13.5" customHeight="1">
      <c r="A71" s="142" t="s">
        <v>1041</v>
      </c>
      <c r="B71" s="142" t="s">
        <v>1043</v>
      </c>
      <c r="C71" s="142" t="s">
        <v>21</v>
      </c>
      <c r="D71" s="394">
        <f>HKU!F40</f>
        <v>31</v>
      </c>
      <c r="E71" s="394">
        <f>HKU!G40</f>
        <v>31</v>
      </c>
      <c r="F71" s="394">
        <f>HKU!H40</f>
        <v>29</v>
      </c>
      <c r="G71" s="395">
        <f>'計分版'!D294</f>
        <v>0.00000000395</v>
      </c>
      <c r="H71" s="396">
        <f>'計分版'!E294</f>
        <v>0.0000000001</v>
      </c>
      <c r="I71" s="396">
        <f>'計分版'!F294</f>
        <v>0.0000000002</v>
      </c>
      <c r="J71" s="396">
        <f>'計分版'!G294</f>
        <v>0.0000000003</v>
      </c>
      <c r="K71" s="396">
        <f>'計分版'!H294</f>
        <v>0.0000000004</v>
      </c>
      <c r="L71" s="396">
        <f>'計分版'!I294</f>
        <v>0.0000000005</v>
      </c>
      <c r="M71" s="396">
        <f>'計分版'!J294</f>
        <v>0.0000000006</v>
      </c>
      <c r="N71" s="396">
        <f>'計分版'!K294</f>
        <v>0.0000000007</v>
      </c>
      <c r="O71" s="396">
        <f>'計分版'!L294</f>
        <v>0.0000000008</v>
      </c>
      <c r="P71" s="396">
        <f>'計分版'!M294</f>
        <v>0.0000000009</v>
      </c>
      <c r="Q71" s="396">
        <f>'計分版'!N294</f>
        <v>0.00000000095</v>
      </c>
      <c r="R71" s="399"/>
      <c r="S71" s="142" t="s">
        <v>2338</v>
      </c>
      <c r="T71" s="142"/>
      <c r="U71" s="142"/>
      <c r="V71" s="142"/>
      <c r="W71" s="142"/>
      <c r="X71" s="142"/>
      <c r="Y71" s="142"/>
      <c r="Z71" s="142"/>
      <c r="AA71" s="142"/>
      <c r="AB71" s="142"/>
    </row>
    <row r="72" ht="13.5" customHeight="1">
      <c r="A72" s="142" t="s">
        <v>700</v>
      </c>
      <c r="B72" s="142" t="s">
        <v>1044</v>
      </c>
      <c r="C72" s="142" t="s">
        <v>24</v>
      </c>
      <c r="D72" s="394">
        <f>HKU!F41</f>
        <v>74</v>
      </c>
      <c r="E72" s="394">
        <f>HKU!G41</f>
        <v>67</v>
      </c>
      <c r="F72" s="394">
        <f>HKU!H41</f>
        <v>64</v>
      </c>
      <c r="G72" s="395">
        <f>'計分版'!D295</f>
        <v>0.0000000044</v>
      </c>
      <c r="H72" s="396">
        <f>'計分版'!E295</f>
        <v>0.0000000001</v>
      </c>
      <c r="I72" s="396">
        <f>'計分版'!F295</f>
        <v>0.0000000004</v>
      </c>
      <c r="J72" s="396">
        <f>'計分版'!G295</f>
        <v>0.0000000006</v>
      </c>
      <c r="K72" s="396">
        <f>'計分版'!H295</f>
        <v>0.0000000004</v>
      </c>
      <c r="L72" s="396">
        <f>'計分版'!I295</f>
        <v>0.000000001</v>
      </c>
      <c r="M72" s="396">
        <f>'計分版'!J295</f>
        <v>0.0000000006</v>
      </c>
      <c r="N72" s="396">
        <f>'計分版'!K295</f>
        <v>0.0000000007</v>
      </c>
      <c r="O72" s="396">
        <f>'計分版'!L295</f>
        <v>0.0000000008</v>
      </c>
      <c r="P72" s="396">
        <f>'計分版'!M295</f>
        <v>0.0000000009</v>
      </c>
      <c r="Q72" s="396">
        <f>'計分版'!N295</f>
        <v>0.00000000095</v>
      </c>
      <c r="R72" s="399"/>
      <c r="S72" s="142" t="s">
        <v>2343</v>
      </c>
      <c r="T72" s="142"/>
      <c r="U72" s="142"/>
      <c r="V72" s="142"/>
      <c r="W72" s="142"/>
      <c r="X72" s="142"/>
      <c r="Y72" s="142"/>
      <c r="Z72" s="142"/>
      <c r="AA72" s="142"/>
      <c r="AB72" s="142"/>
    </row>
    <row r="73" ht="13.5" customHeight="1">
      <c r="A73" s="142" t="s">
        <v>1045</v>
      </c>
      <c r="B73" s="142" t="s">
        <v>1046</v>
      </c>
      <c r="C73" s="142" t="s">
        <v>24</v>
      </c>
      <c r="D73" s="394" t="str">
        <f>HKU!F42</f>
        <v>/</v>
      </c>
      <c r="E73" s="394">
        <f>HKU!G42</f>
        <v>41</v>
      </c>
      <c r="F73" s="394" t="str">
        <f>HKU!H42</f>
        <v>/</v>
      </c>
      <c r="G73" s="395">
        <f>'計分版'!D296</f>
        <v>0.00000000445</v>
      </c>
      <c r="H73" s="396">
        <f>'計分版'!E296</f>
        <v>0.0000000001</v>
      </c>
      <c r="I73" s="396">
        <f>'計分版'!F296</f>
        <v>0.0000000002</v>
      </c>
      <c r="J73" s="396">
        <f>'計分版'!G296</f>
        <v>0.0000000003</v>
      </c>
      <c r="K73" s="396">
        <f>'計分版'!H296</f>
        <v>0.0000000004</v>
      </c>
      <c r="L73" s="396">
        <f>'計分版'!I296</f>
        <v>0.0000000005</v>
      </c>
      <c r="M73" s="396">
        <f>'計分版'!J296</f>
        <v>0.0000000006</v>
      </c>
      <c r="N73" s="396">
        <f>'計分版'!K296</f>
        <v>0.0000000007</v>
      </c>
      <c r="O73" s="396">
        <f>'計分版'!L296</f>
        <v>0.0000000008</v>
      </c>
      <c r="P73" s="396">
        <f>'計分版'!M296</f>
        <v>0.0000000009</v>
      </c>
      <c r="Q73" s="396">
        <f>'計分版'!N296</f>
        <v>0.00000000095</v>
      </c>
      <c r="R73" s="399"/>
      <c r="S73" s="142" t="s">
        <v>2337</v>
      </c>
      <c r="T73" s="142"/>
      <c r="U73" s="142"/>
      <c r="V73" s="142"/>
      <c r="W73" s="142"/>
      <c r="X73" s="142"/>
      <c r="Y73" s="142"/>
      <c r="Z73" s="142"/>
      <c r="AA73" s="142"/>
      <c r="AB73" s="142"/>
    </row>
    <row r="74" ht="13.5" customHeight="1">
      <c r="A74" s="142" t="s">
        <v>1047</v>
      </c>
      <c r="B74" s="142" t="s">
        <v>1048</v>
      </c>
      <c r="C74" s="142" t="s">
        <v>24</v>
      </c>
      <c r="D74" s="394">
        <f>HKU!F43</f>
        <v>39</v>
      </c>
      <c r="E74" s="394">
        <f>HKU!G43</f>
        <v>36</v>
      </c>
      <c r="F74" s="394">
        <f>HKU!H43</f>
        <v>35</v>
      </c>
      <c r="G74" s="395">
        <f>'計分版'!D297</f>
        <v>0.00000000385</v>
      </c>
      <c r="H74" s="396">
        <f>'計分版'!E297</f>
        <v>0.0000000001</v>
      </c>
      <c r="I74" s="396">
        <f>'計分版'!F297</f>
        <v>0.0000000002</v>
      </c>
      <c r="J74" s="396">
        <f>'計分版'!G297</f>
        <v>0.0000000003</v>
      </c>
      <c r="K74" s="396">
        <f>'計分版'!H297</f>
        <v>0.0000000004</v>
      </c>
      <c r="L74" s="396">
        <f>'計分版'!I297</f>
        <v>0.0000000005</v>
      </c>
      <c r="M74" s="396">
        <f>'計分版'!J297</f>
        <v>0.0000000006</v>
      </c>
      <c r="N74" s="396">
        <f>'計分版'!K297</f>
        <v>0.0000000007</v>
      </c>
      <c r="O74" s="396">
        <f>'計分版'!L297</f>
        <v>0.0000000008</v>
      </c>
      <c r="P74" s="396">
        <f>'計分版'!M297</f>
        <v>0.0000000009</v>
      </c>
      <c r="Q74" s="396">
        <f>'計分版'!N297</f>
        <v>0.00000000095</v>
      </c>
      <c r="R74" s="399"/>
      <c r="S74" s="142" t="s">
        <v>2338</v>
      </c>
      <c r="T74" s="142"/>
      <c r="U74" s="142"/>
      <c r="V74" s="142"/>
      <c r="W74" s="142"/>
      <c r="X74" s="142"/>
      <c r="Y74" s="142"/>
      <c r="Z74" s="142"/>
      <c r="AA74" s="142"/>
      <c r="AB74" s="142"/>
    </row>
    <row r="75" ht="13.5" customHeight="1">
      <c r="A75" s="142" t="s">
        <v>1049</v>
      </c>
      <c r="B75" s="142" t="s">
        <v>1050</v>
      </c>
      <c r="C75" s="142" t="s">
        <v>21</v>
      </c>
      <c r="D75" s="394">
        <f>HKU!F44</f>
        <v>31</v>
      </c>
      <c r="E75" s="394">
        <f>HKU!G44</f>
        <v>31</v>
      </c>
      <c r="F75" s="394">
        <f>HKU!H44</f>
        <v>29</v>
      </c>
      <c r="G75" s="395">
        <f>'計分版'!D298</f>
        <v>0.00000000395</v>
      </c>
      <c r="H75" s="396">
        <f>'計分版'!E298</f>
        <v>0.0000000001</v>
      </c>
      <c r="I75" s="396">
        <f>'計分版'!F298</f>
        <v>0.0000000002</v>
      </c>
      <c r="J75" s="396">
        <f>'計分版'!G298</f>
        <v>0.0000000003</v>
      </c>
      <c r="K75" s="396">
        <f>'計分版'!H298</f>
        <v>0.0000000004</v>
      </c>
      <c r="L75" s="396">
        <f>'計分版'!I298</f>
        <v>0.0000000005</v>
      </c>
      <c r="M75" s="396">
        <f>'計分版'!J298</f>
        <v>0.0000000006</v>
      </c>
      <c r="N75" s="396">
        <f>'計分版'!K298</f>
        <v>0.0000000007</v>
      </c>
      <c r="O75" s="396">
        <f>'計分版'!L298</f>
        <v>0.0000000008</v>
      </c>
      <c r="P75" s="396">
        <f>'計分版'!M298</f>
        <v>0.0000000009</v>
      </c>
      <c r="Q75" s="396">
        <f>'計分版'!N298</f>
        <v>0.00000000095</v>
      </c>
      <c r="R75" s="399"/>
      <c r="S75" s="142" t="s">
        <v>2344</v>
      </c>
      <c r="T75" s="142"/>
      <c r="U75" s="142"/>
      <c r="V75" s="142"/>
      <c r="W75" s="142"/>
      <c r="X75" s="142"/>
      <c r="Y75" s="142"/>
      <c r="Z75" s="142"/>
      <c r="AA75" s="142"/>
      <c r="AB75" s="142"/>
    </row>
    <row r="76" ht="13.5" customHeight="1">
      <c r="A76" s="142"/>
      <c r="B76" s="142"/>
      <c r="C76" s="142"/>
      <c r="D76" s="142"/>
      <c r="E76" s="131"/>
      <c r="F76" s="131"/>
      <c r="G76" s="131"/>
      <c r="H76" s="131"/>
      <c r="I76" s="131"/>
      <c r="J76" s="131"/>
      <c r="K76" s="131"/>
      <c r="L76" s="131"/>
      <c r="M76" s="131"/>
      <c r="N76" s="131"/>
      <c r="O76" s="142"/>
      <c r="P76" s="142"/>
      <c r="Q76" s="142"/>
      <c r="R76" s="131"/>
      <c r="S76" s="142"/>
      <c r="T76" s="142"/>
      <c r="U76" s="142"/>
      <c r="V76" s="142"/>
      <c r="W76" s="142"/>
      <c r="X76" s="142"/>
      <c r="Y76" s="142"/>
      <c r="Z76" s="142"/>
      <c r="AA76" s="142"/>
      <c r="AB76" s="142"/>
    </row>
    <row r="77" ht="13.5" customHeight="1">
      <c r="A77" s="142"/>
      <c r="B77" s="142"/>
      <c r="C77" s="142"/>
      <c r="D77" s="142"/>
      <c r="E77" s="131"/>
      <c r="F77" s="131"/>
      <c r="G77" s="131"/>
      <c r="H77" s="131"/>
      <c r="I77" s="131"/>
      <c r="J77" s="131"/>
      <c r="K77" s="131"/>
      <c r="L77" s="131"/>
      <c r="M77" s="131"/>
      <c r="N77" s="131"/>
      <c r="O77" s="142"/>
      <c r="P77" s="142"/>
      <c r="Q77" s="142"/>
      <c r="R77" s="131"/>
      <c r="S77" s="142"/>
      <c r="T77" s="142"/>
      <c r="U77" s="142"/>
      <c r="V77" s="142"/>
      <c r="W77" s="142"/>
      <c r="X77" s="142"/>
      <c r="Y77" s="142"/>
      <c r="Z77" s="142"/>
      <c r="AA77" s="142"/>
      <c r="AB77" s="142"/>
    </row>
    <row r="78" ht="13.5" customHeight="1">
      <c r="A78" s="142" t="s">
        <v>2345</v>
      </c>
      <c r="B78" s="142"/>
      <c r="C78" s="142"/>
      <c r="D78" s="142"/>
      <c r="E78" s="131"/>
      <c r="F78" s="131"/>
      <c r="G78" s="131"/>
      <c r="H78" s="131"/>
      <c r="I78" s="131"/>
      <c r="J78" s="131"/>
      <c r="K78" s="131"/>
      <c r="L78" s="131"/>
      <c r="M78" s="131"/>
      <c r="N78" s="131"/>
      <c r="O78" s="142"/>
      <c r="P78" s="142"/>
      <c r="Q78" s="142"/>
      <c r="R78" s="131"/>
      <c r="S78" s="142"/>
      <c r="T78" s="142"/>
      <c r="U78" s="142"/>
      <c r="V78" s="142"/>
      <c r="W78" s="142"/>
      <c r="X78" s="142"/>
      <c r="Y78" s="142"/>
      <c r="Z78" s="142"/>
      <c r="AA78" s="142"/>
      <c r="AB78" s="142"/>
    </row>
    <row r="79" ht="13.5" customHeight="1">
      <c r="A79" s="221" t="s">
        <v>1467</v>
      </c>
      <c r="B79" s="142"/>
      <c r="C79" s="142"/>
      <c r="D79" s="142"/>
      <c r="E79" s="131"/>
      <c r="F79" s="131"/>
      <c r="G79" s="131"/>
      <c r="H79" s="131"/>
      <c r="I79" s="131"/>
      <c r="J79" s="131"/>
      <c r="K79" s="131"/>
      <c r="L79" s="131"/>
      <c r="M79" s="131"/>
      <c r="N79" s="131"/>
      <c r="O79" s="142"/>
      <c r="P79" s="142"/>
      <c r="Q79" s="142"/>
      <c r="R79" s="131"/>
      <c r="S79" s="142"/>
      <c r="T79" s="142"/>
      <c r="U79" s="142"/>
      <c r="V79" s="142"/>
      <c r="W79" s="142"/>
      <c r="X79" s="142"/>
      <c r="Y79" s="142"/>
      <c r="Z79" s="142"/>
      <c r="AA79" s="142"/>
      <c r="AB79" s="142"/>
    </row>
    <row r="80" ht="13.5" customHeight="1">
      <c r="A80" s="221" t="s">
        <v>2346</v>
      </c>
      <c r="B80" s="142"/>
      <c r="C80" s="142"/>
      <c r="D80" s="142"/>
      <c r="E80" s="131"/>
      <c r="F80" s="131"/>
      <c r="G80" s="131"/>
      <c r="H80" s="131"/>
      <c r="I80" s="131"/>
      <c r="J80" s="131"/>
      <c r="K80" s="131"/>
      <c r="L80" s="131"/>
      <c r="M80" s="131"/>
      <c r="N80" s="131"/>
      <c r="O80" s="142"/>
      <c r="P80" s="142"/>
      <c r="Q80" s="142"/>
      <c r="R80" s="131"/>
      <c r="S80" s="142"/>
      <c r="T80" s="142"/>
      <c r="U80" s="142"/>
      <c r="V80" s="142"/>
      <c r="W80" s="142"/>
      <c r="X80" s="142"/>
      <c r="Y80" s="142"/>
      <c r="Z80" s="142"/>
      <c r="AA80" s="142"/>
      <c r="AB80" s="142"/>
    </row>
    <row r="81" ht="13.5" customHeight="1">
      <c r="A81" s="142"/>
      <c r="B81" s="142"/>
      <c r="C81" s="142"/>
      <c r="D81" s="142"/>
      <c r="E81" s="131"/>
      <c r="F81" s="131"/>
      <c r="G81" s="131"/>
      <c r="H81" s="131"/>
      <c r="I81" s="131"/>
      <c r="J81" s="131"/>
      <c r="K81" s="131"/>
      <c r="L81" s="131"/>
      <c r="M81" s="131"/>
      <c r="N81" s="131"/>
      <c r="O81" s="142"/>
      <c r="P81" s="142"/>
      <c r="Q81" s="142"/>
      <c r="R81" s="131"/>
      <c r="S81" s="142"/>
      <c r="T81" s="142"/>
      <c r="U81" s="142"/>
      <c r="V81" s="142"/>
      <c r="W81" s="142"/>
      <c r="X81" s="142"/>
      <c r="Y81" s="142"/>
      <c r="Z81" s="142"/>
      <c r="AA81" s="142"/>
      <c r="AB81" s="142"/>
    </row>
    <row r="82" ht="13.5" customHeight="1">
      <c r="A82" s="142"/>
      <c r="B82" s="142"/>
      <c r="C82" s="142"/>
      <c r="D82" s="142"/>
      <c r="E82" s="131"/>
      <c r="F82" s="131"/>
      <c r="G82" s="131"/>
      <c r="H82" s="131"/>
      <c r="I82" s="131"/>
      <c r="J82" s="131"/>
      <c r="K82" s="131"/>
      <c r="L82" s="131"/>
      <c r="M82" s="131"/>
      <c r="N82" s="131"/>
      <c r="O82" s="142"/>
      <c r="P82" s="142"/>
      <c r="Q82" s="142"/>
      <c r="R82" s="131"/>
      <c r="S82" s="142"/>
      <c r="T82" s="142"/>
      <c r="U82" s="142"/>
      <c r="V82" s="142"/>
      <c r="W82" s="142"/>
      <c r="X82" s="142"/>
      <c r="Y82" s="142"/>
      <c r="Z82" s="142"/>
      <c r="AA82" s="142"/>
      <c r="AB82" s="142"/>
    </row>
    <row r="83" ht="13.5" customHeight="1">
      <c r="A83" s="142"/>
      <c r="B83" s="142"/>
      <c r="C83" s="142"/>
      <c r="D83" s="142"/>
      <c r="E83" s="131"/>
      <c r="F83" s="131"/>
      <c r="G83" s="131"/>
      <c r="H83" s="131"/>
      <c r="I83" s="131"/>
      <c r="J83" s="131"/>
      <c r="K83" s="131"/>
      <c r="L83" s="131"/>
      <c r="M83" s="131"/>
      <c r="N83" s="131"/>
      <c r="O83" s="142"/>
      <c r="P83" s="142"/>
      <c r="Q83" s="142"/>
      <c r="R83" s="131"/>
      <c r="S83" s="142"/>
      <c r="T83" s="142"/>
      <c r="U83" s="142"/>
      <c r="V83" s="142"/>
      <c r="W83" s="142"/>
      <c r="X83" s="142"/>
      <c r="Y83" s="142"/>
      <c r="Z83" s="142"/>
      <c r="AA83" s="142"/>
      <c r="AB83" s="142"/>
    </row>
    <row r="84" ht="13.5" customHeight="1">
      <c r="A84" s="142"/>
      <c r="B84" s="142"/>
      <c r="C84" s="142"/>
      <c r="D84" s="142"/>
      <c r="E84" s="131"/>
      <c r="F84" s="131"/>
      <c r="G84" s="131"/>
      <c r="H84" s="131"/>
      <c r="I84" s="131"/>
      <c r="J84" s="131"/>
      <c r="K84" s="131"/>
      <c r="L84" s="131"/>
      <c r="M84" s="131"/>
      <c r="N84" s="131"/>
      <c r="O84" s="142"/>
      <c r="P84" s="142"/>
      <c r="Q84" s="142"/>
      <c r="R84" s="131"/>
      <c r="S84" s="142"/>
      <c r="T84" s="142"/>
      <c r="U84" s="142"/>
      <c r="V84" s="142"/>
      <c r="W84" s="142"/>
      <c r="X84" s="142"/>
      <c r="Y84" s="142"/>
      <c r="Z84" s="142"/>
      <c r="AA84" s="142"/>
      <c r="AB84" s="142"/>
    </row>
    <row r="85" ht="13.5" customHeight="1">
      <c r="A85" s="142"/>
      <c r="B85" s="142"/>
      <c r="C85" s="142"/>
      <c r="D85" s="142"/>
      <c r="E85" s="131"/>
      <c r="F85" s="131"/>
      <c r="G85" s="131"/>
      <c r="H85" s="131"/>
      <c r="I85" s="131"/>
      <c r="J85" s="131"/>
      <c r="K85" s="131"/>
      <c r="L85" s="131"/>
      <c r="M85" s="131"/>
      <c r="N85" s="131"/>
      <c r="O85" s="142"/>
      <c r="P85" s="142"/>
      <c r="Q85" s="142"/>
      <c r="R85" s="131"/>
      <c r="S85" s="142"/>
      <c r="T85" s="142"/>
      <c r="U85" s="142"/>
      <c r="V85" s="142"/>
      <c r="W85" s="142"/>
      <c r="X85" s="142"/>
      <c r="Y85" s="142"/>
      <c r="Z85" s="142"/>
      <c r="AA85" s="142"/>
      <c r="AB85" s="142"/>
    </row>
    <row r="86" ht="13.5" customHeight="1">
      <c r="A86" s="142"/>
      <c r="B86" s="142"/>
      <c r="C86" s="142"/>
      <c r="D86" s="142"/>
      <c r="E86" s="131"/>
      <c r="F86" s="131"/>
      <c r="G86" s="131"/>
      <c r="H86" s="131"/>
      <c r="I86" s="131"/>
      <c r="J86" s="131"/>
      <c r="K86" s="131"/>
      <c r="L86" s="131"/>
      <c r="M86" s="131"/>
      <c r="N86" s="131"/>
      <c r="O86" s="142"/>
      <c r="P86" s="142"/>
      <c r="Q86" s="142"/>
      <c r="R86" s="131"/>
      <c r="S86" s="142"/>
      <c r="T86" s="142"/>
      <c r="U86" s="142"/>
      <c r="V86" s="142"/>
      <c r="W86" s="142"/>
      <c r="X86" s="142"/>
      <c r="Y86" s="142"/>
      <c r="Z86" s="142"/>
      <c r="AA86" s="142"/>
      <c r="AB86" s="142"/>
    </row>
    <row r="87" ht="13.5" customHeight="1">
      <c r="A87" s="142"/>
      <c r="B87" s="142"/>
      <c r="C87" s="142"/>
      <c r="D87" s="142"/>
      <c r="E87" s="131"/>
      <c r="F87" s="131"/>
      <c r="G87" s="131"/>
      <c r="H87" s="131"/>
      <c r="I87" s="131"/>
      <c r="J87" s="131"/>
      <c r="K87" s="131"/>
      <c r="L87" s="131"/>
      <c r="M87" s="131"/>
      <c r="N87" s="131"/>
      <c r="O87" s="142"/>
      <c r="P87" s="142"/>
      <c r="Q87" s="142"/>
      <c r="R87" s="131"/>
      <c r="S87" s="142"/>
      <c r="T87" s="142"/>
      <c r="U87" s="142"/>
      <c r="V87" s="142"/>
      <c r="W87" s="142"/>
      <c r="X87" s="142"/>
      <c r="Y87" s="142"/>
      <c r="Z87" s="142"/>
      <c r="AA87" s="142"/>
      <c r="AB87" s="142"/>
    </row>
    <row r="88" ht="13.5" customHeight="1">
      <c r="A88" s="142"/>
      <c r="B88" s="142"/>
      <c r="C88" s="142"/>
      <c r="D88" s="142"/>
      <c r="E88" s="131"/>
      <c r="F88" s="131"/>
      <c r="G88" s="131"/>
      <c r="H88" s="131"/>
      <c r="I88" s="131"/>
      <c r="J88" s="131"/>
      <c r="K88" s="131"/>
      <c r="L88" s="131"/>
      <c r="M88" s="131"/>
      <c r="N88" s="131"/>
      <c r="O88" s="142"/>
      <c r="P88" s="142"/>
      <c r="Q88" s="142"/>
      <c r="R88" s="131"/>
      <c r="S88" s="142"/>
      <c r="T88" s="142"/>
      <c r="U88" s="142"/>
      <c r="V88" s="142"/>
      <c r="W88" s="142"/>
      <c r="X88" s="142"/>
      <c r="Y88" s="142"/>
      <c r="Z88" s="142"/>
      <c r="AA88" s="142"/>
      <c r="AB88" s="142"/>
    </row>
    <row r="89" ht="13.5" customHeight="1">
      <c r="A89" s="142"/>
      <c r="B89" s="142"/>
      <c r="C89" s="142"/>
      <c r="D89" s="142"/>
      <c r="E89" s="131"/>
      <c r="F89" s="131"/>
      <c r="G89" s="131"/>
      <c r="H89" s="131"/>
      <c r="I89" s="131"/>
      <c r="J89" s="131"/>
      <c r="K89" s="131"/>
      <c r="L89" s="131"/>
      <c r="M89" s="131"/>
      <c r="N89" s="131"/>
      <c r="O89" s="142"/>
      <c r="P89" s="142"/>
      <c r="Q89" s="142"/>
      <c r="R89" s="131"/>
      <c r="S89" s="142"/>
      <c r="T89" s="142"/>
      <c r="U89" s="142"/>
      <c r="V89" s="142"/>
      <c r="W89" s="142"/>
      <c r="X89" s="142"/>
      <c r="Y89" s="142"/>
      <c r="Z89" s="142"/>
      <c r="AA89" s="142"/>
      <c r="AB89" s="142"/>
    </row>
    <row r="90" ht="13.5" customHeight="1">
      <c r="A90" s="142"/>
      <c r="B90" s="142"/>
      <c r="C90" s="142"/>
      <c r="D90" s="142"/>
      <c r="E90" s="131"/>
      <c r="F90" s="131"/>
      <c r="G90" s="131"/>
      <c r="H90" s="131"/>
      <c r="I90" s="131"/>
      <c r="J90" s="131"/>
      <c r="K90" s="131"/>
      <c r="L90" s="131"/>
      <c r="M90" s="131"/>
      <c r="N90" s="131"/>
      <c r="O90" s="142"/>
      <c r="P90" s="142"/>
      <c r="Q90" s="142"/>
      <c r="R90" s="131"/>
      <c r="S90" s="142"/>
      <c r="T90" s="142"/>
      <c r="U90" s="142"/>
      <c r="V90" s="142"/>
      <c r="W90" s="142"/>
      <c r="X90" s="142"/>
      <c r="Y90" s="142"/>
      <c r="Z90" s="142"/>
      <c r="AA90" s="142"/>
      <c r="AB90" s="142"/>
    </row>
    <row r="91" ht="13.5" customHeight="1">
      <c r="A91" s="142"/>
      <c r="B91" s="142"/>
      <c r="C91" s="142"/>
      <c r="D91" s="142"/>
      <c r="E91" s="131"/>
      <c r="F91" s="131"/>
      <c r="G91" s="131"/>
      <c r="H91" s="131"/>
      <c r="I91" s="131"/>
      <c r="J91" s="131"/>
      <c r="K91" s="131"/>
      <c r="L91" s="131"/>
      <c r="M91" s="131"/>
      <c r="N91" s="131"/>
      <c r="O91" s="142"/>
      <c r="P91" s="142"/>
      <c r="Q91" s="142"/>
      <c r="R91" s="131"/>
      <c r="S91" s="142"/>
      <c r="T91" s="142"/>
      <c r="U91" s="142"/>
      <c r="V91" s="142"/>
      <c r="W91" s="142"/>
      <c r="X91" s="142"/>
      <c r="Y91" s="142"/>
      <c r="Z91" s="142"/>
      <c r="AA91" s="142"/>
      <c r="AB91" s="142"/>
    </row>
    <row r="92" ht="13.5" customHeight="1">
      <c r="A92" s="142"/>
      <c r="B92" s="142"/>
      <c r="C92" s="142"/>
      <c r="D92" s="142"/>
      <c r="E92" s="131"/>
      <c r="F92" s="131"/>
      <c r="G92" s="131"/>
      <c r="H92" s="131"/>
      <c r="I92" s="131"/>
      <c r="J92" s="131"/>
      <c r="K92" s="131"/>
      <c r="L92" s="131"/>
      <c r="M92" s="131"/>
      <c r="N92" s="131"/>
      <c r="O92" s="142"/>
      <c r="P92" s="142"/>
      <c r="Q92" s="142"/>
      <c r="R92" s="131"/>
      <c r="S92" s="142"/>
      <c r="T92" s="142"/>
      <c r="U92" s="142"/>
      <c r="V92" s="142"/>
      <c r="W92" s="142"/>
      <c r="X92" s="142"/>
      <c r="Y92" s="142"/>
      <c r="Z92" s="142"/>
      <c r="AA92" s="142"/>
      <c r="AB92" s="142"/>
    </row>
    <row r="93" ht="13.5" customHeight="1">
      <c r="A93" s="142"/>
      <c r="B93" s="142"/>
      <c r="C93" s="142"/>
      <c r="D93" s="142"/>
      <c r="E93" s="131"/>
      <c r="F93" s="131"/>
      <c r="G93" s="131"/>
      <c r="H93" s="131"/>
      <c r="I93" s="131"/>
      <c r="J93" s="131"/>
      <c r="K93" s="131"/>
      <c r="L93" s="131"/>
      <c r="M93" s="131"/>
      <c r="N93" s="131"/>
      <c r="O93" s="142"/>
      <c r="P93" s="142"/>
      <c r="Q93" s="142"/>
      <c r="R93" s="131"/>
      <c r="S93" s="142"/>
      <c r="T93" s="142"/>
      <c r="U93" s="142"/>
      <c r="V93" s="142"/>
      <c r="W93" s="142"/>
      <c r="X93" s="142"/>
      <c r="Y93" s="142"/>
      <c r="Z93" s="142"/>
      <c r="AA93" s="142"/>
      <c r="AB93" s="142"/>
    </row>
    <row r="94" ht="13.5" customHeight="1">
      <c r="A94" s="142"/>
      <c r="B94" s="142"/>
      <c r="C94" s="142"/>
      <c r="D94" s="142"/>
      <c r="E94" s="131"/>
      <c r="F94" s="131"/>
      <c r="G94" s="131"/>
      <c r="H94" s="131"/>
      <c r="I94" s="131"/>
      <c r="J94" s="131"/>
      <c r="K94" s="131"/>
      <c r="L94" s="131"/>
      <c r="M94" s="131"/>
      <c r="N94" s="131"/>
      <c r="O94" s="142"/>
      <c r="P94" s="142"/>
      <c r="Q94" s="142"/>
      <c r="R94" s="131"/>
      <c r="S94" s="142"/>
      <c r="T94" s="142"/>
      <c r="U94" s="142"/>
      <c r="V94" s="142"/>
      <c r="W94" s="142"/>
      <c r="X94" s="142"/>
      <c r="Y94" s="142"/>
      <c r="Z94" s="142"/>
      <c r="AA94" s="142"/>
      <c r="AB94" s="142"/>
    </row>
    <row r="95" ht="13.5" customHeight="1">
      <c r="A95" s="142"/>
      <c r="B95" s="142"/>
      <c r="C95" s="142"/>
      <c r="D95" s="142"/>
      <c r="E95" s="131"/>
      <c r="F95" s="131"/>
      <c r="G95" s="131"/>
      <c r="H95" s="131"/>
      <c r="I95" s="131"/>
      <c r="J95" s="131"/>
      <c r="K95" s="131"/>
      <c r="L95" s="131"/>
      <c r="M95" s="131"/>
      <c r="N95" s="131"/>
      <c r="O95" s="142"/>
      <c r="P95" s="142"/>
      <c r="Q95" s="142"/>
      <c r="R95" s="131"/>
      <c r="S95" s="142"/>
      <c r="T95" s="142"/>
      <c r="U95" s="142"/>
      <c r="V95" s="142"/>
      <c r="W95" s="142"/>
      <c r="X95" s="142"/>
      <c r="Y95" s="142"/>
      <c r="Z95" s="142"/>
      <c r="AA95" s="142"/>
      <c r="AB95" s="142"/>
    </row>
    <row r="96" ht="13.5" customHeight="1">
      <c r="A96" s="142"/>
      <c r="B96" s="142"/>
      <c r="C96" s="142"/>
      <c r="D96" s="142"/>
      <c r="E96" s="131"/>
      <c r="F96" s="131"/>
      <c r="G96" s="131"/>
      <c r="H96" s="131"/>
      <c r="I96" s="131"/>
      <c r="J96" s="131"/>
      <c r="K96" s="131"/>
      <c r="L96" s="131"/>
      <c r="M96" s="131"/>
      <c r="N96" s="131"/>
      <c r="O96" s="142"/>
      <c r="P96" s="142"/>
      <c r="Q96" s="142"/>
      <c r="R96" s="131"/>
      <c r="S96" s="142"/>
      <c r="T96" s="142"/>
      <c r="U96" s="142"/>
      <c r="V96" s="142"/>
      <c r="W96" s="142"/>
      <c r="X96" s="142"/>
      <c r="Y96" s="142"/>
      <c r="Z96" s="142"/>
      <c r="AA96" s="142"/>
      <c r="AB96" s="142"/>
    </row>
    <row r="97" ht="13.5" customHeight="1">
      <c r="A97" s="142"/>
      <c r="B97" s="142"/>
      <c r="C97" s="142"/>
      <c r="D97" s="142"/>
      <c r="E97" s="131"/>
      <c r="F97" s="131"/>
      <c r="G97" s="131"/>
      <c r="H97" s="131"/>
      <c r="I97" s="131"/>
      <c r="J97" s="131"/>
      <c r="K97" s="131"/>
      <c r="L97" s="131"/>
      <c r="M97" s="131"/>
      <c r="N97" s="131"/>
      <c r="O97" s="142"/>
      <c r="P97" s="142"/>
      <c r="Q97" s="142"/>
      <c r="R97" s="131"/>
      <c r="S97" s="142"/>
      <c r="T97" s="142"/>
      <c r="U97" s="142"/>
      <c r="V97" s="142"/>
      <c r="W97" s="142"/>
      <c r="X97" s="142"/>
      <c r="Y97" s="142"/>
      <c r="Z97" s="142"/>
      <c r="AA97" s="142"/>
      <c r="AB97" s="142"/>
    </row>
    <row r="98" ht="13.5" customHeight="1">
      <c r="A98" s="142"/>
      <c r="B98" s="142"/>
      <c r="C98" s="142"/>
      <c r="D98" s="142"/>
      <c r="E98" s="131"/>
      <c r="F98" s="131"/>
      <c r="G98" s="131"/>
      <c r="H98" s="131"/>
      <c r="I98" s="131"/>
      <c r="J98" s="131"/>
      <c r="K98" s="131"/>
      <c r="L98" s="131"/>
      <c r="M98" s="131"/>
      <c r="N98" s="131"/>
      <c r="O98" s="142"/>
      <c r="P98" s="142"/>
      <c r="Q98" s="142"/>
      <c r="R98" s="131"/>
      <c r="S98" s="142"/>
      <c r="T98" s="142"/>
      <c r="U98" s="142"/>
      <c r="V98" s="142"/>
      <c r="W98" s="142"/>
      <c r="X98" s="142"/>
      <c r="Y98" s="142"/>
      <c r="Z98" s="142"/>
      <c r="AA98" s="142"/>
      <c r="AB98" s="142"/>
    </row>
    <row r="99" ht="13.5" customHeight="1">
      <c r="A99" s="142"/>
      <c r="B99" s="142"/>
      <c r="C99" s="142"/>
      <c r="D99" s="142"/>
      <c r="E99" s="131"/>
      <c r="F99" s="131"/>
      <c r="G99" s="131"/>
      <c r="H99" s="131"/>
      <c r="I99" s="131"/>
      <c r="J99" s="131"/>
      <c r="K99" s="131"/>
      <c r="L99" s="131"/>
      <c r="M99" s="131"/>
      <c r="N99" s="131"/>
      <c r="O99" s="142"/>
      <c r="P99" s="142"/>
      <c r="Q99" s="142"/>
      <c r="R99" s="131"/>
      <c r="S99" s="142"/>
      <c r="T99" s="142"/>
      <c r="U99" s="142"/>
      <c r="V99" s="142"/>
      <c r="W99" s="142"/>
      <c r="X99" s="142"/>
      <c r="Y99" s="142"/>
      <c r="Z99" s="142"/>
      <c r="AA99" s="142"/>
      <c r="AB99" s="142"/>
    </row>
    <row r="100" ht="13.5" customHeight="1">
      <c r="A100" s="142"/>
      <c r="B100" s="142"/>
      <c r="C100" s="142"/>
      <c r="D100" s="142"/>
      <c r="E100" s="131"/>
      <c r="F100" s="131"/>
      <c r="G100" s="131"/>
      <c r="H100" s="131"/>
      <c r="I100" s="131"/>
      <c r="J100" s="131"/>
      <c r="K100" s="131"/>
      <c r="L100" s="131"/>
      <c r="M100" s="131"/>
      <c r="N100" s="131"/>
      <c r="O100" s="142"/>
      <c r="P100" s="142"/>
      <c r="Q100" s="142"/>
      <c r="R100" s="131"/>
      <c r="S100" s="142"/>
      <c r="T100" s="142"/>
      <c r="U100" s="142"/>
      <c r="V100" s="142"/>
      <c r="W100" s="142"/>
      <c r="X100" s="142"/>
      <c r="Y100" s="142"/>
      <c r="Z100" s="142"/>
      <c r="AA100" s="142"/>
      <c r="AB100" s="142"/>
    </row>
    <row r="101" ht="13.5" customHeight="1">
      <c r="A101" s="142"/>
      <c r="B101" s="142"/>
      <c r="C101" s="142"/>
      <c r="D101" s="142"/>
      <c r="E101" s="131"/>
      <c r="F101" s="131"/>
      <c r="G101" s="131"/>
      <c r="H101" s="131"/>
      <c r="I101" s="131"/>
      <c r="J101" s="131"/>
      <c r="K101" s="131"/>
      <c r="L101" s="131"/>
      <c r="M101" s="131"/>
      <c r="N101" s="131"/>
      <c r="O101" s="142"/>
      <c r="P101" s="142"/>
      <c r="Q101" s="142"/>
      <c r="R101" s="131"/>
      <c r="S101" s="142"/>
      <c r="T101" s="142"/>
      <c r="U101" s="142"/>
      <c r="V101" s="142"/>
      <c r="W101" s="142"/>
      <c r="X101" s="142"/>
      <c r="Y101" s="142"/>
      <c r="Z101" s="142"/>
      <c r="AA101" s="142"/>
      <c r="AB101" s="142"/>
    </row>
    <row r="102" ht="13.5" customHeight="1">
      <c r="A102" s="142"/>
      <c r="B102" s="142"/>
      <c r="C102" s="142"/>
      <c r="D102" s="142"/>
      <c r="E102" s="131"/>
      <c r="F102" s="131"/>
      <c r="G102" s="131"/>
      <c r="H102" s="131"/>
      <c r="I102" s="131"/>
      <c r="J102" s="131"/>
      <c r="K102" s="131"/>
      <c r="L102" s="131"/>
      <c r="M102" s="131"/>
      <c r="N102" s="131"/>
      <c r="O102" s="142"/>
      <c r="P102" s="142"/>
      <c r="Q102" s="142"/>
      <c r="R102" s="131"/>
      <c r="S102" s="142"/>
      <c r="T102" s="142"/>
      <c r="U102" s="142"/>
      <c r="V102" s="142"/>
      <c r="W102" s="142"/>
      <c r="X102" s="142"/>
      <c r="Y102" s="142"/>
      <c r="Z102" s="142"/>
      <c r="AA102" s="142"/>
      <c r="AB102" s="142"/>
    </row>
    <row r="103" ht="13.5" customHeight="1">
      <c r="A103" s="142"/>
      <c r="B103" s="142"/>
      <c r="C103" s="142"/>
      <c r="D103" s="142"/>
      <c r="E103" s="131"/>
      <c r="F103" s="131"/>
      <c r="G103" s="131"/>
      <c r="H103" s="131"/>
      <c r="I103" s="131"/>
      <c r="J103" s="131"/>
      <c r="K103" s="131"/>
      <c r="L103" s="131"/>
      <c r="M103" s="131"/>
      <c r="N103" s="131"/>
      <c r="O103" s="142"/>
      <c r="P103" s="142"/>
      <c r="Q103" s="142"/>
      <c r="R103" s="131"/>
      <c r="S103" s="142"/>
      <c r="T103" s="142"/>
      <c r="U103" s="142"/>
      <c r="V103" s="142"/>
      <c r="W103" s="142"/>
      <c r="X103" s="142"/>
      <c r="Y103" s="142"/>
      <c r="Z103" s="142"/>
      <c r="AA103" s="142"/>
      <c r="AB103" s="142"/>
    </row>
    <row r="104" ht="13.5" customHeight="1">
      <c r="A104" s="142"/>
      <c r="B104" s="142"/>
      <c r="C104" s="142"/>
      <c r="D104" s="142"/>
      <c r="E104" s="131"/>
      <c r="F104" s="131"/>
      <c r="G104" s="131"/>
      <c r="H104" s="131"/>
      <c r="I104" s="131"/>
      <c r="J104" s="131"/>
      <c r="K104" s="131"/>
      <c r="L104" s="131"/>
      <c r="M104" s="131"/>
      <c r="N104" s="131"/>
      <c r="O104" s="142"/>
      <c r="P104" s="142"/>
      <c r="Q104" s="142"/>
      <c r="R104" s="131"/>
      <c r="S104" s="142"/>
      <c r="T104" s="142"/>
      <c r="U104" s="142"/>
      <c r="V104" s="142"/>
      <c r="W104" s="142"/>
      <c r="X104" s="142"/>
      <c r="Y104" s="142"/>
      <c r="Z104" s="142"/>
      <c r="AA104" s="142"/>
      <c r="AB104" s="142"/>
    </row>
    <row r="105" ht="13.5" customHeight="1">
      <c r="A105" s="142"/>
      <c r="B105" s="142"/>
      <c r="C105" s="142"/>
      <c r="D105" s="142"/>
      <c r="E105" s="131"/>
      <c r="F105" s="131"/>
      <c r="G105" s="131"/>
      <c r="H105" s="131"/>
      <c r="I105" s="131"/>
      <c r="J105" s="131"/>
      <c r="K105" s="131"/>
      <c r="L105" s="131"/>
      <c r="M105" s="131"/>
      <c r="N105" s="131"/>
      <c r="O105" s="142"/>
      <c r="P105" s="142"/>
      <c r="Q105" s="142"/>
      <c r="R105" s="131"/>
      <c r="S105" s="142"/>
      <c r="T105" s="142"/>
      <c r="U105" s="142"/>
      <c r="V105" s="142"/>
      <c r="W105" s="142"/>
      <c r="X105" s="142"/>
      <c r="Y105" s="142"/>
      <c r="Z105" s="142"/>
      <c r="AA105" s="142"/>
      <c r="AB105" s="142"/>
    </row>
    <row r="106" ht="13.5" customHeight="1">
      <c r="A106" s="142"/>
      <c r="B106" s="142"/>
      <c r="C106" s="142"/>
      <c r="D106" s="142"/>
      <c r="E106" s="131"/>
      <c r="F106" s="131"/>
      <c r="G106" s="131"/>
      <c r="H106" s="131"/>
      <c r="I106" s="131"/>
      <c r="J106" s="131"/>
      <c r="K106" s="131"/>
      <c r="L106" s="131"/>
      <c r="M106" s="131"/>
      <c r="N106" s="131"/>
      <c r="O106" s="142"/>
      <c r="P106" s="142"/>
      <c r="Q106" s="142"/>
      <c r="R106" s="131"/>
      <c r="S106" s="142"/>
      <c r="T106" s="142"/>
      <c r="U106" s="142"/>
      <c r="V106" s="142"/>
      <c r="W106" s="142"/>
      <c r="X106" s="142"/>
      <c r="Y106" s="142"/>
      <c r="Z106" s="142"/>
      <c r="AA106" s="142"/>
      <c r="AB106" s="142"/>
    </row>
    <row r="107" ht="13.5" customHeight="1">
      <c r="A107" s="142"/>
      <c r="B107" s="142"/>
      <c r="C107" s="142"/>
      <c r="D107" s="142"/>
      <c r="E107" s="131"/>
      <c r="F107" s="131"/>
      <c r="G107" s="131"/>
      <c r="H107" s="131"/>
      <c r="I107" s="131"/>
      <c r="J107" s="131"/>
      <c r="K107" s="131"/>
      <c r="L107" s="131"/>
      <c r="M107" s="131"/>
      <c r="N107" s="131"/>
      <c r="O107" s="142"/>
      <c r="P107" s="142"/>
      <c r="Q107" s="142"/>
      <c r="R107" s="131"/>
      <c r="S107" s="142"/>
      <c r="T107" s="142"/>
      <c r="U107" s="142"/>
      <c r="V107" s="142"/>
      <c r="W107" s="142"/>
      <c r="X107" s="142"/>
      <c r="Y107" s="142"/>
      <c r="Z107" s="142"/>
      <c r="AA107" s="142"/>
      <c r="AB107" s="142"/>
    </row>
    <row r="108" ht="13.5" customHeight="1">
      <c r="A108" s="142"/>
      <c r="B108" s="142"/>
      <c r="C108" s="142"/>
      <c r="D108" s="142"/>
      <c r="E108" s="131"/>
      <c r="F108" s="131"/>
      <c r="G108" s="131"/>
      <c r="H108" s="131"/>
      <c r="I108" s="131"/>
      <c r="J108" s="131"/>
      <c r="K108" s="131"/>
      <c r="L108" s="131"/>
      <c r="M108" s="131"/>
      <c r="N108" s="131"/>
      <c r="O108" s="142"/>
      <c r="P108" s="142"/>
      <c r="Q108" s="142"/>
      <c r="R108" s="131"/>
      <c r="S108" s="142"/>
      <c r="T108" s="142"/>
      <c r="U108" s="142"/>
      <c r="V108" s="142"/>
      <c r="W108" s="142"/>
      <c r="X108" s="142"/>
      <c r="Y108" s="142"/>
      <c r="Z108" s="142"/>
      <c r="AA108" s="142"/>
      <c r="AB108" s="142"/>
    </row>
    <row r="109" ht="13.5" customHeight="1">
      <c r="A109" s="142"/>
      <c r="B109" s="142"/>
      <c r="C109" s="142"/>
      <c r="D109" s="142"/>
      <c r="E109" s="131"/>
      <c r="F109" s="131"/>
      <c r="G109" s="131"/>
      <c r="H109" s="131"/>
      <c r="I109" s="131"/>
      <c r="J109" s="131"/>
      <c r="K109" s="131"/>
      <c r="L109" s="131"/>
      <c r="M109" s="131"/>
      <c r="N109" s="131"/>
      <c r="O109" s="142"/>
      <c r="P109" s="142"/>
      <c r="Q109" s="142"/>
      <c r="R109" s="131"/>
      <c r="S109" s="142"/>
      <c r="T109" s="142"/>
      <c r="U109" s="142"/>
      <c r="V109" s="142"/>
      <c r="W109" s="142"/>
      <c r="X109" s="142"/>
      <c r="Y109" s="142"/>
      <c r="Z109" s="142"/>
      <c r="AA109" s="142"/>
      <c r="AB109" s="142"/>
    </row>
    <row r="110" ht="13.5" customHeight="1">
      <c r="A110" s="142"/>
      <c r="B110" s="142"/>
      <c r="C110" s="142"/>
      <c r="D110" s="142"/>
      <c r="E110" s="131"/>
      <c r="F110" s="131"/>
      <c r="G110" s="131"/>
      <c r="H110" s="131"/>
      <c r="I110" s="131"/>
      <c r="J110" s="131"/>
      <c r="K110" s="131"/>
      <c r="L110" s="131"/>
      <c r="M110" s="131"/>
      <c r="N110" s="131"/>
      <c r="O110" s="142"/>
      <c r="P110" s="142"/>
      <c r="Q110" s="142"/>
      <c r="R110" s="131"/>
      <c r="S110" s="142"/>
      <c r="T110" s="142"/>
      <c r="U110" s="142"/>
      <c r="V110" s="142"/>
      <c r="W110" s="142"/>
      <c r="X110" s="142"/>
      <c r="Y110" s="142"/>
      <c r="Z110" s="142"/>
      <c r="AA110" s="142"/>
      <c r="AB110" s="142"/>
    </row>
    <row r="111" ht="13.5" customHeight="1">
      <c r="A111" s="142"/>
      <c r="B111" s="142"/>
      <c r="C111" s="142"/>
      <c r="D111" s="142"/>
      <c r="E111" s="131"/>
      <c r="F111" s="131"/>
      <c r="G111" s="131"/>
      <c r="H111" s="131"/>
      <c r="I111" s="131"/>
      <c r="J111" s="131"/>
      <c r="K111" s="131"/>
      <c r="L111" s="131"/>
      <c r="M111" s="131"/>
      <c r="N111" s="131"/>
      <c r="O111" s="142"/>
      <c r="P111" s="142"/>
      <c r="Q111" s="142"/>
      <c r="R111" s="131"/>
      <c r="S111" s="142"/>
      <c r="T111" s="142"/>
      <c r="U111" s="142"/>
      <c r="V111" s="142"/>
      <c r="W111" s="142"/>
      <c r="X111" s="142"/>
      <c r="Y111" s="142"/>
      <c r="Z111" s="142"/>
      <c r="AA111" s="142"/>
      <c r="AB111" s="142"/>
    </row>
    <row r="112" ht="13.5" customHeight="1">
      <c r="A112" s="142"/>
      <c r="B112" s="142"/>
      <c r="C112" s="142"/>
      <c r="D112" s="142"/>
      <c r="E112" s="131"/>
      <c r="F112" s="131"/>
      <c r="G112" s="131"/>
      <c r="H112" s="131"/>
      <c r="I112" s="131"/>
      <c r="J112" s="131"/>
      <c r="K112" s="131"/>
      <c r="L112" s="131"/>
      <c r="M112" s="131"/>
      <c r="N112" s="131"/>
      <c r="O112" s="142"/>
      <c r="P112" s="142"/>
      <c r="Q112" s="142"/>
      <c r="R112" s="131"/>
      <c r="S112" s="142"/>
      <c r="T112" s="142"/>
      <c r="U112" s="142"/>
      <c r="V112" s="142"/>
      <c r="W112" s="142"/>
      <c r="X112" s="142"/>
      <c r="Y112" s="142"/>
      <c r="Z112" s="142"/>
      <c r="AA112" s="142"/>
      <c r="AB112" s="142"/>
    </row>
    <row r="113" ht="13.5" customHeight="1">
      <c r="A113" s="142"/>
      <c r="B113" s="142"/>
      <c r="C113" s="142"/>
      <c r="D113" s="142"/>
      <c r="E113" s="131"/>
      <c r="F113" s="131"/>
      <c r="G113" s="131"/>
      <c r="H113" s="131"/>
      <c r="I113" s="131"/>
      <c r="J113" s="131"/>
      <c r="K113" s="131"/>
      <c r="L113" s="131"/>
      <c r="M113" s="131"/>
      <c r="N113" s="131"/>
      <c r="O113" s="142"/>
      <c r="P113" s="142"/>
      <c r="Q113" s="142"/>
      <c r="R113" s="131"/>
      <c r="S113" s="142"/>
      <c r="T113" s="142"/>
      <c r="U113" s="142"/>
      <c r="V113" s="142"/>
      <c r="W113" s="142"/>
      <c r="X113" s="142"/>
      <c r="Y113" s="142"/>
      <c r="Z113" s="142"/>
      <c r="AA113" s="142"/>
      <c r="AB113" s="142"/>
    </row>
    <row r="114" ht="13.5" customHeight="1">
      <c r="A114" s="142"/>
      <c r="B114" s="142"/>
      <c r="C114" s="142"/>
      <c r="D114" s="142"/>
      <c r="E114" s="131"/>
      <c r="F114" s="131"/>
      <c r="G114" s="131"/>
      <c r="H114" s="131"/>
      <c r="I114" s="131"/>
      <c r="J114" s="131"/>
      <c r="K114" s="131"/>
      <c r="L114" s="131"/>
      <c r="M114" s="131"/>
      <c r="N114" s="131"/>
      <c r="O114" s="142"/>
      <c r="P114" s="142"/>
      <c r="Q114" s="142"/>
      <c r="R114" s="131"/>
      <c r="S114" s="142"/>
      <c r="T114" s="142"/>
      <c r="U114" s="142"/>
      <c r="V114" s="142"/>
      <c r="W114" s="142"/>
      <c r="X114" s="142"/>
      <c r="Y114" s="142"/>
      <c r="Z114" s="142"/>
      <c r="AA114" s="142"/>
      <c r="AB114" s="142"/>
    </row>
    <row r="115" ht="13.5" customHeight="1">
      <c r="A115" s="142"/>
      <c r="B115" s="142"/>
      <c r="C115" s="142"/>
      <c r="D115" s="142"/>
      <c r="E115" s="131"/>
      <c r="F115" s="131"/>
      <c r="G115" s="131"/>
      <c r="H115" s="131"/>
      <c r="I115" s="131"/>
      <c r="J115" s="131"/>
      <c r="K115" s="131"/>
      <c r="L115" s="131"/>
      <c r="M115" s="131"/>
      <c r="N115" s="131"/>
      <c r="O115" s="142"/>
      <c r="P115" s="142"/>
      <c r="Q115" s="142"/>
      <c r="R115" s="131"/>
      <c r="S115" s="142"/>
      <c r="T115" s="142"/>
      <c r="U115" s="142"/>
      <c r="V115" s="142"/>
      <c r="W115" s="142"/>
      <c r="X115" s="142"/>
      <c r="Y115" s="142"/>
      <c r="Z115" s="142"/>
      <c r="AA115" s="142"/>
      <c r="AB115" s="142"/>
    </row>
    <row r="116" ht="13.5" customHeight="1">
      <c r="A116" s="142"/>
      <c r="B116" s="142"/>
      <c r="C116" s="142"/>
      <c r="D116" s="142"/>
      <c r="E116" s="131"/>
      <c r="F116" s="131"/>
      <c r="G116" s="131"/>
      <c r="H116" s="131"/>
      <c r="I116" s="131"/>
      <c r="J116" s="131"/>
      <c r="K116" s="131"/>
      <c r="L116" s="131"/>
      <c r="M116" s="131"/>
      <c r="N116" s="131"/>
      <c r="O116" s="142"/>
      <c r="P116" s="142"/>
      <c r="Q116" s="142"/>
      <c r="R116" s="131"/>
      <c r="S116" s="142"/>
      <c r="T116" s="142"/>
      <c r="U116" s="142"/>
      <c r="V116" s="142"/>
      <c r="W116" s="142"/>
      <c r="X116" s="142"/>
      <c r="Y116" s="142"/>
      <c r="Z116" s="142"/>
      <c r="AA116" s="142"/>
      <c r="AB116" s="142"/>
    </row>
    <row r="117" ht="13.5" customHeight="1">
      <c r="A117" s="142"/>
      <c r="B117" s="142"/>
      <c r="C117" s="142"/>
      <c r="D117" s="142"/>
      <c r="E117" s="131"/>
      <c r="F117" s="131"/>
      <c r="G117" s="131"/>
      <c r="H117" s="131"/>
      <c r="I117" s="131"/>
      <c r="J117" s="131"/>
      <c r="K117" s="131"/>
      <c r="L117" s="131"/>
      <c r="M117" s="131"/>
      <c r="N117" s="131"/>
      <c r="O117" s="142"/>
      <c r="P117" s="142"/>
      <c r="Q117" s="142"/>
      <c r="R117" s="131"/>
      <c r="S117" s="142"/>
      <c r="T117" s="142"/>
      <c r="U117" s="142"/>
      <c r="V117" s="142"/>
      <c r="W117" s="142"/>
      <c r="X117" s="142"/>
      <c r="Y117" s="142"/>
      <c r="Z117" s="142"/>
      <c r="AA117" s="142"/>
      <c r="AB117" s="142"/>
    </row>
    <row r="118" ht="13.5" customHeight="1">
      <c r="A118" s="142"/>
      <c r="B118" s="142"/>
      <c r="C118" s="142"/>
      <c r="D118" s="142"/>
      <c r="E118" s="131"/>
      <c r="F118" s="131"/>
      <c r="G118" s="131"/>
      <c r="H118" s="131"/>
      <c r="I118" s="131"/>
      <c r="J118" s="131"/>
      <c r="K118" s="131"/>
      <c r="L118" s="131"/>
      <c r="M118" s="131"/>
      <c r="N118" s="131"/>
      <c r="O118" s="142"/>
      <c r="P118" s="142"/>
      <c r="Q118" s="142"/>
      <c r="R118" s="131"/>
      <c r="S118" s="142"/>
      <c r="T118" s="142"/>
      <c r="U118" s="142"/>
      <c r="V118" s="142"/>
      <c r="W118" s="142"/>
      <c r="X118" s="142"/>
      <c r="Y118" s="142"/>
      <c r="Z118" s="142"/>
      <c r="AA118" s="142"/>
      <c r="AB118" s="142"/>
    </row>
    <row r="119" ht="13.5" customHeight="1">
      <c r="A119" s="142"/>
      <c r="B119" s="142"/>
      <c r="C119" s="142"/>
      <c r="D119" s="142"/>
      <c r="E119" s="131"/>
      <c r="F119" s="131"/>
      <c r="G119" s="131"/>
      <c r="H119" s="131"/>
      <c r="I119" s="131"/>
      <c r="J119" s="131"/>
      <c r="K119" s="131"/>
      <c r="L119" s="131"/>
      <c r="M119" s="131"/>
      <c r="N119" s="131"/>
      <c r="O119" s="142"/>
      <c r="P119" s="142"/>
      <c r="Q119" s="142"/>
      <c r="R119" s="131"/>
      <c r="S119" s="142"/>
      <c r="T119" s="142"/>
      <c r="U119" s="142"/>
      <c r="V119" s="142"/>
      <c r="W119" s="142"/>
      <c r="X119" s="142"/>
      <c r="Y119" s="142"/>
      <c r="Z119" s="142"/>
      <c r="AA119" s="142"/>
      <c r="AB119" s="142"/>
    </row>
    <row r="120" ht="13.5" customHeight="1">
      <c r="A120" s="142"/>
      <c r="B120" s="142"/>
      <c r="C120" s="142"/>
      <c r="D120" s="142"/>
      <c r="E120" s="131"/>
      <c r="F120" s="131"/>
      <c r="G120" s="131"/>
      <c r="H120" s="131"/>
      <c r="I120" s="131"/>
      <c r="J120" s="131"/>
      <c r="K120" s="131"/>
      <c r="L120" s="131"/>
      <c r="M120" s="131"/>
      <c r="N120" s="131"/>
      <c r="O120" s="142"/>
      <c r="P120" s="142"/>
      <c r="Q120" s="142"/>
      <c r="R120" s="131"/>
      <c r="S120" s="142"/>
      <c r="T120" s="142"/>
      <c r="U120" s="142"/>
      <c r="V120" s="142"/>
      <c r="W120" s="142"/>
      <c r="X120" s="142"/>
      <c r="Y120" s="142"/>
      <c r="Z120" s="142"/>
      <c r="AA120" s="142"/>
      <c r="AB120" s="142"/>
    </row>
    <row r="121" ht="13.5" customHeight="1">
      <c r="A121" s="142"/>
      <c r="B121" s="142"/>
      <c r="C121" s="142"/>
      <c r="D121" s="142"/>
      <c r="E121" s="131"/>
      <c r="F121" s="131"/>
      <c r="G121" s="131"/>
      <c r="H121" s="131"/>
      <c r="I121" s="131"/>
      <c r="J121" s="131"/>
      <c r="K121" s="131"/>
      <c r="L121" s="131"/>
      <c r="M121" s="131"/>
      <c r="N121" s="131"/>
      <c r="O121" s="142"/>
      <c r="P121" s="142"/>
      <c r="Q121" s="142"/>
      <c r="R121" s="131"/>
      <c r="S121" s="142"/>
      <c r="T121" s="142"/>
      <c r="U121" s="142"/>
      <c r="V121" s="142"/>
      <c r="W121" s="142"/>
      <c r="X121" s="142"/>
      <c r="Y121" s="142"/>
      <c r="Z121" s="142"/>
      <c r="AA121" s="142"/>
      <c r="AB121" s="142"/>
    </row>
    <row r="122" ht="13.5" customHeight="1">
      <c r="A122" s="142"/>
      <c r="B122" s="142"/>
      <c r="C122" s="142"/>
      <c r="D122" s="142"/>
      <c r="E122" s="131"/>
      <c r="F122" s="131"/>
      <c r="G122" s="131"/>
      <c r="H122" s="131"/>
      <c r="I122" s="131"/>
      <c r="J122" s="131"/>
      <c r="K122" s="131"/>
      <c r="L122" s="131"/>
      <c r="M122" s="131"/>
      <c r="N122" s="131"/>
      <c r="O122" s="142"/>
      <c r="P122" s="142"/>
      <c r="Q122" s="142"/>
      <c r="R122" s="131"/>
      <c r="S122" s="142"/>
      <c r="T122" s="142"/>
      <c r="U122" s="142"/>
      <c r="V122" s="142"/>
      <c r="W122" s="142"/>
      <c r="X122" s="142"/>
      <c r="Y122" s="142"/>
      <c r="Z122" s="142"/>
      <c r="AA122" s="142"/>
      <c r="AB122" s="142"/>
    </row>
    <row r="123" ht="13.5" customHeight="1">
      <c r="A123" s="142"/>
      <c r="B123" s="142"/>
      <c r="C123" s="142"/>
      <c r="D123" s="142"/>
      <c r="E123" s="131"/>
      <c r="F123" s="131"/>
      <c r="G123" s="131"/>
      <c r="H123" s="131"/>
      <c r="I123" s="131"/>
      <c r="J123" s="131"/>
      <c r="K123" s="131"/>
      <c r="L123" s="131"/>
      <c r="M123" s="131"/>
      <c r="N123" s="131"/>
      <c r="O123" s="142"/>
      <c r="P123" s="142"/>
      <c r="Q123" s="142"/>
      <c r="R123" s="131"/>
      <c r="S123" s="142"/>
      <c r="T123" s="142"/>
      <c r="U123" s="142"/>
      <c r="V123" s="142"/>
      <c r="W123" s="142"/>
      <c r="X123" s="142"/>
      <c r="Y123" s="142"/>
      <c r="Z123" s="142"/>
      <c r="AA123" s="142"/>
      <c r="AB123" s="142"/>
    </row>
    <row r="124" ht="13.5" customHeight="1">
      <c r="A124" s="142"/>
      <c r="B124" s="142"/>
      <c r="C124" s="142"/>
      <c r="D124" s="142"/>
      <c r="E124" s="131"/>
      <c r="F124" s="131"/>
      <c r="G124" s="131"/>
      <c r="H124" s="131"/>
      <c r="I124" s="131"/>
      <c r="J124" s="131"/>
      <c r="K124" s="131"/>
      <c r="L124" s="131"/>
      <c r="M124" s="131"/>
      <c r="N124" s="131"/>
      <c r="O124" s="142"/>
      <c r="P124" s="142"/>
      <c r="Q124" s="142"/>
      <c r="R124" s="131"/>
      <c r="S124" s="142"/>
      <c r="T124" s="142"/>
      <c r="U124" s="142"/>
      <c r="V124" s="142"/>
      <c r="W124" s="142"/>
      <c r="X124" s="142"/>
      <c r="Y124" s="142"/>
      <c r="Z124" s="142"/>
      <c r="AA124" s="142"/>
      <c r="AB124" s="142"/>
    </row>
    <row r="125" ht="13.5" customHeight="1">
      <c r="A125" s="142"/>
      <c r="B125" s="142"/>
      <c r="C125" s="142"/>
      <c r="D125" s="142"/>
      <c r="E125" s="131"/>
      <c r="F125" s="131"/>
      <c r="G125" s="131"/>
      <c r="H125" s="131"/>
      <c r="I125" s="131"/>
      <c r="J125" s="131"/>
      <c r="K125" s="131"/>
      <c r="L125" s="131"/>
      <c r="M125" s="131"/>
      <c r="N125" s="131"/>
      <c r="O125" s="142"/>
      <c r="P125" s="142"/>
      <c r="Q125" s="142"/>
      <c r="R125" s="131"/>
      <c r="S125" s="142"/>
      <c r="T125" s="142"/>
      <c r="U125" s="142"/>
      <c r="V125" s="142"/>
      <c r="W125" s="142"/>
      <c r="X125" s="142"/>
      <c r="Y125" s="142"/>
      <c r="Z125" s="142"/>
      <c r="AA125" s="142"/>
      <c r="AB125" s="142"/>
    </row>
    <row r="126" ht="13.5" customHeight="1">
      <c r="A126" s="142"/>
      <c r="B126" s="142"/>
      <c r="C126" s="142"/>
      <c r="D126" s="142"/>
      <c r="E126" s="131"/>
      <c r="F126" s="131"/>
      <c r="G126" s="131"/>
      <c r="H126" s="131"/>
      <c r="I126" s="131"/>
      <c r="J126" s="131"/>
      <c r="K126" s="131"/>
      <c r="L126" s="131"/>
      <c r="M126" s="131"/>
      <c r="N126" s="131"/>
      <c r="O126" s="142"/>
      <c r="P126" s="142"/>
      <c r="Q126" s="142"/>
      <c r="R126" s="131"/>
      <c r="S126" s="142"/>
      <c r="T126" s="142"/>
      <c r="U126" s="142"/>
      <c r="V126" s="142"/>
      <c r="W126" s="142"/>
      <c r="X126" s="142"/>
      <c r="Y126" s="142"/>
      <c r="Z126" s="142"/>
      <c r="AA126" s="142"/>
      <c r="AB126" s="142"/>
    </row>
    <row r="127" ht="13.5" customHeight="1">
      <c r="A127" s="142"/>
      <c r="B127" s="142"/>
      <c r="C127" s="142"/>
      <c r="D127" s="142"/>
      <c r="E127" s="131"/>
      <c r="F127" s="131"/>
      <c r="G127" s="131"/>
      <c r="H127" s="131"/>
      <c r="I127" s="131"/>
      <c r="J127" s="131"/>
      <c r="K127" s="131"/>
      <c r="L127" s="131"/>
      <c r="M127" s="131"/>
      <c r="N127" s="131"/>
      <c r="O127" s="142"/>
      <c r="P127" s="142"/>
      <c r="Q127" s="142"/>
      <c r="R127" s="131"/>
      <c r="S127" s="142"/>
      <c r="T127" s="142"/>
      <c r="U127" s="142"/>
      <c r="V127" s="142"/>
      <c r="W127" s="142"/>
      <c r="X127" s="142"/>
      <c r="Y127" s="142"/>
      <c r="Z127" s="142"/>
      <c r="AA127" s="142"/>
      <c r="AB127" s="142"/>
    </row>
    <row r="128" ht="13.5" customHeight="1">
      <c r="A128" s="142"/>
      <c r="B128" s="142"/>
      <c r="C128" s="142"/>
      <c r="D128" s="142"/>
      <c r="E128" s="131"/>
      <c r="F128" s="131"/>
      <c r="G128" s="131"/>
      <c r="H128" s="131"/>
      <c r="I128" s="131"/>
      <c r="J128" s="131"/>
      <c r="K128" s="131"/>
      <c r="L128" s="131"/>
      <c r="M128" s="131"/>
      <c r="N128" s="131"/>
      <c r="O128" s="142"/>
      <c r="P128" s="142"/>
      <c r="Q128" s="142"/>
      <c r="R128" s="131"/>
      <c r="S128" s="142"/>
      <c r="T128" s="142"/>
      <c r="U128" s="142"/>
      <c r="V128" s="142"/>
      <c r="W128" s="142"/>
      <c r="X128" s="142"/>
      <c r="Y128" s="142"/>
      <c r="Z128" s="142"/>
      <c r="AA128" s="142"/>
      <c r="AB128" s="142"/>
    </row>
    <row r="129" ht="13.5" customHeight="1">
      <c r="A129" s="142"/>
      <c r="B129" s="142"/>
      <c r="C129" s="142"/>
      <c r="D129" s="142"/>
      <c r="E129" s="131"/>
      <c r="F129" s="131"/>
      <c r="G129" s="131"/>
      <c r="H129" s="131"/>
      <c r="I129" s="131"/>
      <c r="J129" s="131"/>
      <c r="K129" s="131"/>
      <c r="L129" s="131"/>
      <c r="M129" s="131"/>
      <c r="N129" s="131"/>
      <c r="O129" s="142"/>
      <c r="P129" s="142"/>
      <c r="Q129" s="142"/>
      <c r="R129" s="131"/>
      <c r="S129" s="142"/>
      <c r="T129" s="142"/>
      <c r="U129" s="142"/>
      <c r="V129" s="142"/>
      <c r="W129" s="142"/>
      <c r="X129" s="142"/>
      <c r="Y129" s="142"/>
      <c r="Z129" s="142"/>
      <c r="AA129" s="142"/>
      <c r="AB129" s="142"/>
    </row>
    <row r="130" ht="13.5" customHeight="1">
      <c r="A130" s="142"/>
      <c r="B130" s="142"/>
      <c r="C130" s="142"/>
      <c r="D130" s="142"/>
      <c r="E130" s="131"/>
      <c r="F130" s="131"/>
      <c r="G130" s="131"/>
      <c r="H130" s="131"/>
      <c r="I130" s="131"/>
      <c r="J130" s="131"/>
      <c r="K130" s="131"/>
      <c r="L130" s="131"/>
      <c r="M130" s="131"/>
      <c r="N130" s="131"/>
      <c r="O130" s="142"/>
      <c r="P130" s="142"/>
      <c r="Q130" s="142"/>
      <c r="R130" s="131"/>
      <c r="S130" s="142"/>
      <c r="T130" s="142"/>
      <c r="U130" s="142"/>
      <c r="V130" s="142"/>
      <c r="W130" s="142"/>
      <c r="X130" s="142"/>
      <c r="Y130" s="142"/>
      <c r="Z130" s="142"/>
      <c r="AA130" s="142"/>
      <c r="AB130" s="142"/>
    </row>
    <row r="131" ht="13.5" customHeight="1">
      <c r="A131" s="142"/>
      <c r="B131" s="142"/>
      <c r="C131" s="142"/>
      <c r="D131" s="142"/>
      <c r="E131" s="131"/>
      <c r="F131" s="131"/>
      <c r="G131" s="131"/>
      <c r="H131" s="131"/>
      <c r="I131" s="131"/>
      <c r="J131" s="131"/>
      <c r="K131" s="131"/>
      <c r="L131" s="131"/>
      <c r="M131" s="131"/>
      <c r="N131" s="131"/>
      <c r="O131" s="142"/>
      <c r="P131" s="142"/>
      <c r="Q131" s="142"/>
      <c r="R131" s="131"/>
      <c r="S131" s="142"/>
      <c r="T131" s="142"/>
      <c r="U131" s="142"/>
      <c r="V131" s="142"/>
      <c r="W131" s="142"/>
      <c r="X131" s="142"/>
      <c r="Y131" s="142"/>
      <c r="Z131" s="142"/>
      <c r="AA131" s="142"/>
      <c r="AB131" s="142"/>
    </row>
    <row r="132" ht="13.5" customHeight="1">
      <c r="A132" s="142"/>
      <c r="B132" s="142"/>
      <c r="C132" s="142"/>
      <c r="D132" s="142"/>
      <c r="E132" s="131"/>
      <c r="F132" s="131"/>
      <c r="G132" s="131"/>
      <c r="H132" s="131"/>
      <c r="I132" s="131"/>
      <c r="J132" s="131"/>
      <c r="K132" s="131"/>
      <c r="L132" s="131"/>
      <c r="M132" s="131"/>
      <c r="N132" s="131"/>
      <c r="O132" s="142"/>
      <c r="P132" s="142"/>
      <c r="Q132" s="142"/>
      <c r="R132" s="131"/>
      <c r="S132" s="142"/>
      <c r="T132" s="142"/>
      <c r="U132" s="142"/>
      <c r="V132" s="142"/>
      <c r="W132" s="142"/>
      <c r="X132" s="142"/>
      <c r="Y132" s="142"/>
      <c r="Z132" s="142"/>
      <c r="AA132" s="142"/>
      <c r="AB132" s="142"/>
    </row>
    <row r="133" ht="13.5" customHeight="1">
      <c r="A133" s="142"/>
      <c r="B133" s="142"/>
      <c r="C133" s="142"/>
      <c r="D133" s="142"/>
      <c r="E133" s="131"/>
      <c r="F133" s="131"/>
      <c r="G133" s="131"/>
      <c r="H133" s="131"/>
      <c r="I133" s="131"/>
      <c r="J133" s="131"/>
      <c r="K133" s="131"/>
      <c r="L133" s="131"/>
      <c r="M133" s="131"/>
      <c r="N133" s="131"/>
      <c r="O133" s="142"/>
      <c r="P133" s="142"/>
      <c r="Q133" s="142"/>
      <c r="R133" s="131"/>
      <c r="S133" s="142"/>
      <c r="T133" s="142"/>
      <c r="U133" s="142"/>
      <c r="V133" s="142"/>
      <c r="W133" s="142"/>
      <c r="X133" s="142"/>
      <c r="Y133" s="142"/>
      <c r="Z133" s="142"/>
      <c r="AA133" s="142"/>
      <c r="AB133" s="142"/>
    </row>
    <row r="134" ht="13.5" customHeight="1">
      <c r="A134" s="142"/>
      <c r="B134" s="142"/>
      <c r="C134" s="142"/>
      <c r="D134" s="142"/>
      <c r="E134" s="131"/>
      <c r="F134" s="131"/>
      <c r="G134" s="131"/>
      <c r="H134" s="131"/>
      <c r="I134" s="131"/>
      <c r="J134" s="131"/>
      <c r="K134" s="131"/>
      <c r="L134" s="131"/>
      <c r="M134" s="131"/>
      <c r="N134" s="131"/>
      <c r="O134" s="142"/>
      <c r="P134" s="142"/>
      <c r="Q134" s="142"/>
      <c r="R134" s="131"/>
      <c r="S134" s="142"/>
      <c r="T134" s="142"/>
      <c r="U134" s="142"/>
      <c r="V134" s="142"/>
      <c r="W134" s="142"/>
      <c r="X134" s="142"/>
      <c r="Y134" s="142"/>
      <c r="Z134" s="142"/>
      <c r="AA134" s="142"/>
      <c r="AB134" s="142"/>
    </row>
    <row r="135" ht="13.5" customHeight="1">
      <c r="A135" s="142"/>
      <c r="B135" s="142"/>
      <c r="C135" s="142"/>
      <c r="D135" s="142"/>
      <c r="E135" s="131"/>
      <c r="F135" s="131"/>
      <c r="G135" s="131"/>
      <c r="H135" s="131"/>
      <c r="I135" s="131"/>
      <c r="J135" s="131"/>
      <c r="K135" s="131"/>
      <c r="L135" s="131"/>
      <c r="M135" s="131"/>
      <c r="N135" s="131"/>
      <c r="O135" s="142"/>
      <c r="P135" s="142"/>
      <c r="Q135" s="142"/>
      <c r="R135" s="131"/>
      <c r="S135" s="142"/>
      <c r="T135" s="142"/>
      <c r="U135" s="142"/>
      <c r="V135" s="142"/>
      <c r="W135" s="142"/>
      <c r="X135" s="142"/>
      <c r="Y135" s="142"/>
      <c r="Z135" s="142"/>
      <c r="AA135" s="142"/>
      <c r="AB135" s="142"/>
    </row>
    <row r="136" ht="13.5" customHeight="1">
      <c r="A136" s="142"/>
      <c r="B136" s="142"/>
      <c r="C136" s="142"/>
      <c r="D136" s="142"/>
      <c r="E136" s="131"/>
      <c r="F136" s="131"/>
      <c r="G136" s="131"/>
      <c r="H136" s="131"/>
      <c r="I136" s="131"/>
      <c r="J136" s="131"/>
      <c r="K136" s="131"/>
      <c r="L136" s="131"/>
      <c r="M136" s="131"/>
      <c r="N136" s="131"/>
      <c r="O136" s="142"/>
      <c r="P136" s="142"/>
      <c r="Q136" s="142"/>
      <c r="R136" s="131"/>
      <c r="S136" s="142"/>
      <c r="T136" s="142"/>
      <c r="U136" s="142"/>
      <c r="V136" s="142"/>
      <c r="W136" s="142"/>
      <c r="X136" s="142"/>
      <c r="Y136" s="142"/>
      <c r="Z136" s="142"/>
      <c r="AA136" s="142"/>
      <c r="AB136" s="142"/>
    </row>
    <row r="137" ht="13.5" customHeight="1">
      <c r="A137" s="142"/>
      <c r="B137" s="142"/>
      <c r="C137" s="142"/>
      <c r="D137" s="142"/>
      <c r="E137" s="131"/>
      <c r="F137" s="131"/>
      <c r="G137" s="131"/>
      <c r="H137" s="131"/>
      <c r="I137" s="131"/>
      <c r="J137" s="131"/>
      <c r="K137" s="131"/>
      <c r="L137" s="131"/>
      <c r="M137" s="131"/>
      <c r="N137" s="131"/>
      <c r="O137" s="142"/>
      <c r="P137" s="142"/>
      <c r="Q137" s="142"/>
      <c r="R137" s="131"/>
      <c r="S137" s="142"/>
      <c r="T137" s="142"/>
      <c r="U137" s="142"/>
      <c r="V137" s="142"/>
      <c r="W137" s="142"/>
      <c r="X137" s="142"/>
      <c r="Y137" s="142"/>
      <c r="Z137" s="142"/>
      <c r="AA137" s="142"/>
      <c r="AB137" s="142"/>
    </row>
    <row r="138" ht="13.5" customHeight="1">
      <c r="A138" s="142"/>
      <c r="B138" s="142"/>
      <c r="C138" s="142"/>
      <c r="D138" s="142"/>
      <c r="E138" s="131"/>
      <c r="F138" s="131"/>
      <c r="G138" s="131"/>
      <c r="H138" s="131"/>
      <c r="I138" s="131"/>
      <c r="J138" s="131"/>
      <c r="K138" s="131"/>
      <c r="L138" s="131"/>
      <c r="M138" s="131"/>
      <c r="N138" s="131"/>
      <c r="O138" s="142"/>
      <c r="P138" s="142"/>
      <c r="Q138" s="142"/>
      <c r="R138" s="131"/>
      <c r="S138" s="142"/>
      <c r="T138" s="142"/>
      <c r="U138" s="142"/>
      <c r="V138" s="142"/>
      <c r="W138" s="142"/>
      <c r="X138" s="142"/>
      <c r="Y138" s="142"/>
      <c r="Z138" s="142"/>
      <c r="AA138" s="142"/>
      <c r="AB138" s="142"/>
    </row>
    <row r="139" ht="13.5" customHeight="1">
      <c r="A139" s="142"/>
      <c r="B139" s="142"/>
      <c r="C139" s="142"/>
      <c r="D139" s="142"/>
      <c r="E139" s="131"/>
      <c r="F139" s="131"/>
      <c r="G139" s="131"/>
      <c r="H139" s="131"/>
      <c r="I139" s="131"/>
      <c r="J139" s="131"/>
      <c r="K139" s="131"/>
      <c r="L139" s="131"/>
      <c r="M139" s="131"/>
      <c r="N139" s="131"/>
      <c r="O139" s="142"/>
      <c r="P139" s="142"/>
      <c r="Q139" s="142"/>
      <c r="R139" s="131"/>
      <c r="S139" s="142"/>
      <c r="T139" s="142"/>
      <c r="U139" s="142"/>
      <c r="V139" s="142"/>
      <c r="W139" s="142"/>
      <c r="X139" s="142"/>
      <c r="Y139" s="142"/>
      <c r="Z139" s="142"/>
      <c r="AA139" s="142"/>
      <c r="AB139" s="142"/>
    </row>
    <row r="140" ht="13.5" customHeight="1">
      <c r="A140" s="142"/>
      <c r="B140" s="142"/>
      <c r="C140" s="142"/>
      <c r="D140" s="142"/>
      <c r="E140" s="131"/>
      <c r="F140" s="131"/>
      <c r="G140" s="131"/>
      <c r="H140" s="131"/>
      <c r="I140" s="131"/>
      <c r="J140" s="131"/>
      <c r="K140" s="131"/>
      <c r="L140" s="131"/>
      <c r="M140" s="131"/>
      <c r="N140" s="131"/>
      <c r="O140" s="142"/>
      <c r="P140" s="142"/>
      <c r="Q140" s="142"/>
      <c r="R140" s="131"/>
      <c r="S140" s="142"/>
      <c r="T140" s="142"/>
      <c r="U140" s="142"/>
      <c r="V140" s="142"/>
      <c r="W140" s="142"/>
      <c r="X140" s="142"/>
      <c r="Y140" s="142"/>
      <c r="Z140" s="142"/>
      <c r="AA140" s="142"/>
      <c r="AB140" s="142"/>
    </row>
    <row r="141" ht="13.5" customHeight="1">
      <c r="A141" s="142"/>
      <c r="B141" s="142"/>
      <c r="C141" s="142"/>
      <c r="D141" s="142"/>
      <c r="E141" s="131"/>
      <c r="F141" s="131"/>
      <c r="G141" s="131"/>
      <c r="H141" s="131"/>
      <c r="I141" s="131"/>
      <c r="J141" s="131"/>
      <c r="K141" s="131"/>
      <c r="L141" s="131"/>
      <c r="M141" s="131"/>
      <c r="N141" s="131"/>
      <c r="O141" s="142"/>
      <c r="P141" s="142"/>
      <c r="Q141" s="142"/>
      <c r="R141" s="131"/>
      <c r="S141" s="142"/>
      <c r="T141" s="142"/>
      <c r="U141" s="142"/>
      <c r="V141" s="142"/>
      <c r="W141" s="142"/>
      <c r="X141" s="142"/>
      <c r="Y141" s="142"/>
      <c r="Z141" s="142"/>
      <c r="AA141" s="142"/>
      <c r="AB141" s="142"/>
    </row>
    <row r="142" ht="13.5" customHeight="1">
      <c r="A142" s="142"/>
      <c r="B142" s="142"/>
      <c r="C142" s="142"/>
      <c r="D142" s="142"/>
      <c r="E142" s="131"/>
      <c r="F142" s="131"/>
      <c r="G142" s="131"/>
      <c r="H142" s="131"/>
      <c r="I142" s="131"/>
      <c r="J142" s="131"/>
      <c r="K142" s="131"/>
      <c r="L142" s="131"/>
      <c r="M142" s="131"/>
      <c r="N142" s="131"/>
      <c r="O142" s="142"/>
      <c r="P142" s="142"/>
      <c r="Q142" s="142"/>
      <c r="R142" s="131"/>
      <c r="S142" s="142"/>
      <c r="T142" s="142"/>
      <c r="U142" s="142"/>
      <c r="V142" s="142"/>
      <c r="W142" s="142"/>
      <c r="X142" s="142"/>
      <c r="Y142" s="142"/>
      <c r="Z142" s="142"/>
      <c r="AA142" s="142"/>
      <c r="AB142" s="142"/>
    </row>
    <row r="143" ht="13.5" customHeight="1">
      <c r="A143" s="142"/>
      <c r="B143" s="142"/>
      <c r="C143" s="142"/>
      <c r="D143" s="142"/>
      <c r="E143" s="131"/>
      <c r="F143" s="131"/>
      <c r="G143" s="131"/>
      <c r="H143" s="131"/>
      <c r="I143" s="131"/>
      <c r="J143" s="131"/>
      <c r="K143" s="131"/>
      <c r="L143" s="131"/>
      <c r="M143" s="131"/>
      <c r="N143" s="131"/>
      <c r="O143" s="142"/>
      <c r="P143" s="142"/>
      <c r="Q143" s="142"/>
      <c r="R143" s="131"/>
      <c r="S143" s="142"/>
      <c r="T143" s="142"/>
      <c r="U143" s="142"/>
      <c r="V143" s="142"/>
      <c r="W143" s="142"/>
      <c r="X143" s="142"/>
      <c r="Y143" s="142"/>
      <c r="Z143" s="142"/>
      <c r="AA143" s="142"/>
      <c r="AB143" s="142"/>
    </row>
    <row r="144" ht="13.5" customHeight="1">
      <c r="A144" s="142"/>
      <c r="B144" s="142"/>
      <c r="C144" s="142"/>
      <c r="D144" s="142"/>
      <c r="E144" s="131"/>
      <c r="F144" s="131"/>
      <c r="G144" s="131"/>
      <c r="H144" s="131"/>
      <c r="I144" s="131"/>
      <c r="J144" s="131"/>
      <c r="K144" s="131"/>
      <c r="L144" s="131"/>
      <c r="M144" s="131"/>
      <c r="N144" s="131"/>
      <c r="O144" s="142"/>
      <c r="P144" s="142"/>
      <c r="Q144" s="142"/>
      <c r="R144" s="131"/>
      <c r="S144" s="142"/>
      <c r="T144" s="142"/>
      <c r="U144" s="142"/>
      <c r="V144" s="142"/>
      <c r="W144" s="142"/>
      <c r="X144" s="142"/>
      <c r="Y144" s="142"/>
      <c r="Z144" s="142"/>
      <c r="AA144" s="142"/>
      <c r="AB144" s="142"/>
    </row>
    <row r="145" ht="13.5" customHeight="1">
      <c r="A145" s="142"/>
      <c r="B145" s="142"/>
      <c r="C145" s="142"/>
      <c r="D145" s="142"/>
      <c r="E145" s="131"/>
      <c r="F145" s="131"/>
      <c r="G145" s="131"/>
      <c r="H145" s="131"/>
      <c r="I145" s="131"/>
      <c r="J145" s="131"/>
      <c r="K145" s="131"/>
      <c r="L145" s="131"/>
      <c r="M145" s="131"/>
      <c r="N145" s="131"/>
      <c r="O145" s="142"/>
      <c r="P145" s="142"/>
      <c r="Q145" s="142"/>
      <c r="R145" s="131"/>
      <c r="S145" s="142"/>
      <c r="T145" s="142"/>
      <c r="U145" s="142"/>
      <c r="V145" s="142"/>
      <c r="W145" s="142"/>
      <c r="X145" s="142"/>
      <c r="Y145" s="142"/>
      <c r="Z145" s="142"/>
      <c r="AA145" s="142"/>
      <c r="AB145" s="142"/>
    </row>
    <row r="146" ht="13.5" customHeight="1">
      <c r="A146" s="142"/>
      <c r="B146" s="142"/>
      <c r="C146" s="142"/>
      <c r="D146" s="142"/>
      <c r="E146" s="131"/>
      <c r="F146" s="131"/>
      <c r="G146" s="131"/>
      <c r="H146" s="131"/>
      <c r="I146" s="131"/>
      <c r="J146" s="131"/>
      <c r="K146" s="131"/>
      <c r="L146" s="131"/>
      <c r="M146" s="131"/>
      <c r="N146" s="131"/>
      <c r="O146" s="142"/>
      <c r="P146" s="142"/>
      <c r="Q146" s="142"/>
      <c r="R146" s="131"/>
      <c r="S146" s="142"/>
      <c r="T146" s="142"/>
      <c r="U146" s="142"/>
      <c r="V146" s="142"/>
      <c r="W146" s="142"/>
      <c r="X146" s="142"/>
      <c r="Y146" s="142"/>
      <c r="Z146" s="142"/>
      <c r="AA146" s="142"/>
      <c r="AB146" s="142"/>
    </row>
    <row r="147" ht="13.5" customHeight="1">
      <c r="A147" s="142"/>
      <c r="B147" s="142"/>
      <c r="C147" s="142"/>
      <c r="D147" s="142"/>
      <c r="E147" s="131"/>
      <c r="F147" s="131"/>
      <c r="G147" s="131"/>
      <c r="H147" s="131"/>
      <c r="I147" s="131"/>
      <c r="J147" s="131"/>
      <c r="K147" s="131"/>
      <c r="L147" s="131"/>
      <c r="M147" s="131"/>
      <c r="N147" s="131"/>
      <c r="O147" s="142"/>
      <c r="P147" s="142"/>
      <c r="Q147" s="142"/>
      <c r="R147" s="131"/>
      <c r="S147" s="142"/>
      <c r="T147" s="142"/>
      <c r="U147" s="142"/>
      <c r="V147" s="142"/>
      <c r="W147" s="142"/>
      <c r="X147" s="142"/>
      <c r="Y147" s="142"/>
      <c r="Z147" s="142"/>
      <c r="AA147" s="142"/>
      <c r="AB147" s="142"/>
    </row>
    <row r="148" ht="13.5" customHeight="1">
      <c r="A148" s="142"/>
      <c r="B148" s="142"/>
      <c r="C148" s="142"/>
      <c r="D148" s="142"/>
      <c r="E148" s="131"/>
      <c r="F148" s="131"/>
      <c r="G148" s="131"/>
      <c r="H148" s="131"/>
      <c r="I148" s="131"/>
      <c r="J148" s="131"/>
      <c r="K148" s="131"/>
      <c r="L148" s="131"/>
      <c r="M148" s="131"/>
      <c r="N148" s="131"/>
      <c r="O148" s="142"/>
      <c r="P148" s="142"/>
      <c r="Q148" s="142"/>
      <c r="R148" s="131"/>
      <c r="S148" s="142"/>
      <c r="T148" s="142"/>
      <c r="U148" s="142"/>
      <c r="V148" s="142"/>
      <c r="W148" s="142"/>
      <c r="X148" s="142"/>
      <c r="Y148" s="142"/>
      <c r="Z148" s="142"/>
      <c r="AA148" s="142"/>
      <c r="AB148" s="142"/>
    </row>
    <row r="149" ht="13.5" customHeight="1">
      <c r="A149" s="142"/>
      <c r="B149" s="142"/>
      <c r="C149" s="142"/>
      <c r="D149" s="142"/>
      <c r="E149" s="131"/>
      <c r="F149" s="131"/>
      <c r="G149" s="131"/>
      <c r="H149" s="131"/>
      <c r="I149" s="131"/>
      <c r="J149" s="131"/>
      <c r="K149" s="131"/>
      <c r="L149" s="131"/>
      <c r="M149" s="131"/>
      <c r="N149" s="131"/>
      <c r="O149" s="142"/>
      <c r="P149" s="142"/>
      <c r="Q149" s="142"/>
      <c r="R149" s="131"/>
      <c r="S149" s="142"/>
      <c r="T149" s="142"/>
      <c r="U149" s="142"/>
      <c r="V149" s="142"/>
      <c r="W149" s="142"/>
      <c r="X149" s="142"/>
      <c r="Y149" s="142"/>
      <c r="Z149" s="142"/>
      <c r="AA149" s="142"/>
      <c r="AB149" s="142"/>
    </row>
    <row r="150" ht="13.5" customHeight="1">
      <c r="A150" s="142"/>
      <c r="B150" s="142"/>
      <c r="C150" s="142"/>
      <c r="D150" s="142"/>
      <c r="E150" s="131"/>
      <c r="F150" s="131"/>
      <c r="G150" s="131"/>
      <c r="H150" s="131"/>
      <c r="I150" s="131"/>
      <c r="J150" s="131"/>
      <c r="K150" s="131"/>
      <c r="L150" s="131"/>
      <c r="M150" s="131"/>
      <c r="N150" s="131"/>
      <c r="O150" s="142"/>
      <c r="P150" s="142"/>
      <c r="Q150" s="142"/>
      <c r="R150" s="131"/>
      <c r="S150" s="142"/>
      <c r="T150" s="142"/>
      <c r="U150" s="142"/>
      <c r="V150" s="142"/>
      <c r="W150" s="142"/>
      <c r="X150" s="142"/>
      <c r="Y150" s="142"/>
      <c r="Z150" s="142"/>
      <c r="AA150" s="142"/>
      <c r="AB150" s="142"/>
    </row>
    <row r="151" ht="13.5" customHeight="1">
      <c r="A151" s="142"/>
      <c r="B151" s="142"/>
      <c r="C151" s="142"/>
      <c r="D151" s="142"/>
      <c r="E151" s="131"/>
      <c r="F151" s="131"/>
      <c r="G151" s="131"/>
      <c r="H151" s="131"/>
      <c r="I151" s="131"/>
      <c r="J151" s="131"/>
      <c r="K151" s="131"/>
      <c r="L151" s="131"/>
      <c r="M151" s="131"/>
      <c r="N151" s="131"/>
      <c r="O151" s="142"/>
      <c r="P151" s="142"/>
      <c r="Q151" s="142"/>
      <c r="R151" s="131"/>
      <c r="S151" s="142"/>
      <c r="T151" s="142"/>
      <c r="U151" s="142"/>
      <c r="V151" s="142"/>
      <c r="W151" s="142"/>
      <c r="X151" s="142"/>
      <c r="Y151" s="142"/>
      <c r="Z151" s="142"/>
      <c r="AA151" s="142"/>
      <c r="AB151" s="142"/>
    </row>
    <row r="152" ht="13.5" customHeight="1">
      <c r="A152" s="142"/>
      <c r="B152" s="142"/>
      <c r="C152" s="142"/>
      <c r="D152" s="142"/>
      <c r="E152" s="131"/>
      <c r="F152" s="131"/>
      <c r="G152" s="131"/>
      <c r="H152" s="131"/>
      <c r="I152" s="131"/>
      <c r="J152" s="131"/>
      <c r="K152" s="131"/>
      <c r="L152" s="131"/>
      <c r="M152" s="131"/>
      <c r="N152" s="131"/>
      <c r="O152" s="142"/>
      <c r="P152" s="142"/>
      <c r="Q152" s="142"/>
      <c r="R152" s="131"/>
      <c r="S152" s="142"/>
      <c r="T152" s="142"/>
      <c r="U152" s="142"/>
      <c r="V152" s="142"/>
      <c r="W152" s="142"/>
      <c r="X152" s="142"/>
      <c r="Y152" s="142"/>
      <c r="Z152" s="142"/>
      <c r="AA152" s="142"/>
      <c r="AB152" s="142"/>
    </row>
    <row r="153" ht="13.5" customHeight="1">
      <c r="A153" s="142"/>
      <c r="B153" s="142"/>
      <c r="C153" s="142"/>
      <c r="D153" s="142"/>
      <c r="E153" s="131"/>
      <c r="F153" s="131"/>
      <c r="G153" s="131"/>
      <c r="H153" s="131"/>
      <c r="I153" s="131"/>
      <c r="J153" s="131"/>
      <c r="K153" s="131"/>
      <c r="L153" s="131"/>
      <c r="M153" s="131"/>
      <c r="N153" s="131"/>
      <c r="O153" s="142"/>
      <c r="P153" s="142"/>
      <c r="Q153" s="142"/>
      <c r="R153" s="131"/>
      <c r="S153" s="142"/>
      <c r="T153" s="142"/>
      <c r="U153" s="142"/>
      <c r="V153" s="142"/>
      <c r="W153" s="142"/>
      <c r="X153" s="142"/>
      <c r="Y153" s="142"/>
      <c r="Z153" s="142"/>
      <c r="AA153" s="142"/>
      <c r="AB153" s="142"/>
    </row>
    <row r="154" ht="13.5" customHeight="1">
      <c r="A154" s="142"/>
      <c r="B154" s="142"/>
      <c r="C154" s="142"/>
      <c r="D154" s="142"/>
      <c r="E154" s="131"/>
      <c r="F154" s="131"/>
      <c r="G154" s="131"/>
      <c r="H154" s="131"/>
      <c r="I154" s="131"/>
      <c r="J154" s="131"/>
      <c r="K154" s="131"/>
      <c r="L154" s="131"/>
      <c r="M154" s="131"/>
      <c r="N154" s="131"/>
      <c r="O154" s="142"/>
      <c r="P154" s="142"/>
      <c r="Q154" s="142"/>
      <c r="R154" s="131"/>
      <c r="S154" s="142"/>
      <c r="T154" s="142"/>
      <c r="U154" s="142"/>
      <c r="V154" s="142"/>
      <c r="W154" s="142"/>
      <c r="X154" s="142"/>
      <c r="Y154" s="142"/>
      <c r="Z154" s="142"/>
      <c r="AA154" s="142"/>
      <c r="AB154" s="142"/>
    </row>
    <row r="155" ht="13.5" customHeight="1">
      <c r="A155" s="142"/>
      <c r="B155" s="142"/>
      <c r="C155" s="142"/>
      <c r="D155" s="142"/>
      <c r="E155" s="131"/>
      <c r="F155" s="131"/>
      <c r="G155" s="131"/>
      <c r="H155" s="131"/>
      <c r="I155" s="131"/>
      <c r="J155" s="131"/>
      <c r="K155" s="131"/>
      <c r="L155" s="131"/>
      <c r="M155" s="131"/>
      <c r="N155" s="131"/>
      <c r="O155" s="142"/>
      <c r="P155" s="142"/>
      <c r="Q155" s="142"/>
      <c r="R155" s="131"/>
      <c r="S155" s="142"/>
      <c r="T155" s="142"/>
      <c r="U155" s="142"/>
      <c r="V155" s="142"/>
      <c r="W155" s="142"/>
      <c r="X155" s="142"/>
      <c r="Y155" s="142"/>
      <c r="Z155" s="142"/>
      <c r="AA155" s="142"/>
      <c r="AB155" s="142"/>
    </row>
    <row r="156" ht="13.5" customHeight="1">
      <c r="A156" s="142"/>
      <c r="B156" s="142"/>
      <c r="C156" s="142"/>
      <c r="D156" s="142"/>
      <c r="E156" s="131"/>
      <c r="F156" s="131"/>
      <c r="G156" s="131"/>
      <c r="H156" s="131"/>
      <c r="I156" s="131"/>
      <c r="J156" s="131"/>
      <c r="K156" s="131"/>
      <c r="L156" s="131"/>
      <c r="M156" s="131"/>
      <c r="N156" s="131"/>
      <c r="O156" s="142"/>
      <c r="P156" s="142"/>
      <c r="Q156" s="142"/>
      <c r="R156" s="131"/>
      <c r="S156" s="142"/>
      <c r="T156" s="142"/>
      <c r="U156" s="142"/>
      <c r="V156" s="142"/>
      <c r="W156" s="142"/>
      <c r="X156" s="142"/>
      <c r="Y156" s="142"/>
      <c r="Z156" s="142"/>
      <c r="AA156" s="142"/>
      <c r="AB156" s="142"/>
    </row>
    <row r="157" ht="13.5" customHeight="1">
      <c r="A157" s="142"/>
      <c r="B157" s="142"/>
      <c r="C157" s="142"/>
      <c r="D157" s="142"/>
      <c r="E157" s="131"/>
      <c r="F157" s="131"/>
      <c r="G157" s="131"/>
      <c r="H157" s="131"/>
      <c r="I157" s="131"/>
      <c r="J157" s="131"/>
      <c r="K157" s="131"/>
      <c r="L157" s="131"/>
      <c r="M157" s="131"/>
      <c r="N157" s="131"/>
      <c r="O157" s="142"/>
      <c r="P157" s="142"/>
      <c r="Q157" s="142"/>
      <c r="R157" s="131"/>
      <c r="S157" s="142"/>
      <c r="T157" s="142"/>
      <c r="U157" s="142"/>
      <c r="V157" s="142"/>
      <c r="W157" s="142"/>
      <c r="X157" s="142"/>
      <c r="Y157" s="142"/>
      <c r="Z157" s="142"/>
      <c r="AA157" s="142"/>
      <c r="AB157" s="142"/>
    </row>
    <row r="158" ht="13.5" customHeight="1">
      <c r="A158" s="142"/>
      <c r="B158" s="142"/>
      <c r="C158" s="142"/>
      <c r="D158" s="142"/>
      <c r="E158" s="131"/>
      <c r="F158" s="131"/>
      <c r="G158" s="131"/>
      <c r="H158" s="131"/>
      <c r="I158" s="131"/>
      <c r="J158" s="131"/>
      <c r="K158" s="131"/>
      <c r="L158" s="131"/>
      <c r="M158" s="131"/>
      <c r="N158" s="131"/>
      <c r="O158" s="142"/>
      <c r="P158" s="142"/>
      <c r="Q158" s="142"/>
      <c r="R158" s="131"/>
      <c r="S158" s="142"/>
      <c r="T158" s="142"/>
      <c r="U158" s="142"/>
      <c r="V158" s="142"/>
      <c r="W158" s="142"/>
      <c r="X158" s="142"/>
      <c r="Y158" s="142"/>
      <c r="Z158" s="142"/>
      <c r="AA158" s="142"/>
      <c r="AB158" s="142"/>
    </row>
    <row r="159" ht="13.5" customHeight="1">
      <c r="A159" s="142"/>
      <c r="B159" s="142"/>
      <c r="C159" s="142"/>
      <c r="D159" s="142"/>
      <c r="E159" s="131"/>
      <c r="F159" s="131"/>
      <c r="G159" s="131"/>
      <c r="H159" s="131"/>
      <c r="I159" s="131"/>
      <c r="J159" s="131"/>
      <c r="K159" s="131"/>
      <c r="L159" s="131"/>
      <c r="M159" s="131"/>
      <c r="N159" s="131"/>
      <c r="O159" s="142"/>
      <c r="P159" s="142"/>
      <c r="Q159" s="142"/>
      <c r="R159" s="131"/>
      <c r="S159" s="142"/>
      <c r="T159" s="142"/>
      <c r="U159" s="142"/>
      <c r="V159" s="142"/>
      <c r="W159" s="142"/>
      <c r="X159" s="142"/>
      <c r="Y159" s="142"/>
      <c r="Z159" s="142"/>
      <c r="AA159" s="142"/>
      <c r="AB159" s="142"/>
    </row>
    <row r="160" ht="13.5" customHeight="1">
      <c r="A160" s="142"/>
      <c r="B160" s="142"/>
      <c r="C160" s="142"/>
      <c r="D160" s="142"/>
      <c r="E160" s="131"/>
      <c r="F160" s="131"/>
      <c r="G160" s="131"/>
      <c r="H160" s="131"/>
      <c r="I160" s="131"/>
      <c r="J160" s="131"/>
      <c r="K160" s="131"/>
      <c r="L160" s="131"/>
      <c r="M160" s="131"/>
      <c r="N160" s="131"/>
      <c r="O160" s="142"/>
      <c r="P160" s="142"/>
      <c r="Q160" s="142"/>
      <c r="R160" s="131"/>
      <c r="S160" s="142"/>
      <c r="T160" s="142"/>
      <c r="U160" s="142"/>
      <c r="V160" s="142"/>
      <c r="W160" s="142"/>
      <c r="X160" s="142"/>
      <c r="Y160" s="142"/>
      <c r="Z160" s="142"/>
      <c r="AA160" s="142"/>
      <c r="AB160" s="142"/>
    </row>
    <row r="161" ht="13.5" customHeight="1">
      <c r="A161" s="142"/>
      <c r="B161" s="142"/>
      <c r="C161" s="142"/>
      <c r="D161" s="142"/>
      <c r="E161" s="131"/>
      <c r="F161" s="131"/>
      <c r="G161" s="131"/>
      <c r="H161" s="131"/>
      <c r="I161" s="131"/>
      <c r="J161" s="131"/>
      <c r="K161" s="131"/>
      <c r="L161" s="131"/>
      <c r="M161" s="131"/>
      <c r="N161" s="131"/>
      <c r="O161" s="142"/>
      <c r="P161" s="142"/>
      <c r="Q161" s="142"/>
      <c r="R161" s="131"/>
      <c r="S161" s="142"/>
      <c r="T161" s="142"/>
      <c r="U161" s="142"/>
      <c r="V161" s="142"/>
      <c r="W161" s="142"/>
      <c r="X161" s="142"/>
      <c r="Y161" s="142"/>
      <c r="Z161" s="142"/>
      <c r="AA161" s="142"/>
      <c r="AB161" s="142"/>
    </row>
    <row r="162" ht="13.5" customHeight="1">
      <c r="A162" s="142"/>
      <c r="B162" s="142"/>
      <c r="C162" s="142"/>
      <c r="D162" s="142"/>
      <c r="E162" s="131"/>
      <c r="F162" s="131"/>
      <c r="G162" s="131"/>
      <c r="H162" s="131"/>
      <c r="I162" s="131"/>
      <c r="J162" s="131"/>
      <c r="K162" s="131"/>
      <c r="L162" s="131"/>
      <c r="M162" s="131"/>
      <c r="N162" s="131"/>
      <c r="O162" s="142"/>
      <c r="P162" s="142"/>
      <c r="Q162" s="142"/>
      <c r="R162" s="131"/>
      <c r="S162" s="142"/>
      <c r="T162" s="142"/>
      <c r="U162" s="142"/>
      <c r="V162" s="142"/>
      <c r="W162" s="142"/>
      <c r="X162" s="142"/>
      <c r="Y162" s="142"/>
      <c r="Z162" s="142"/>
      <c r="AA162" s="142"/>
      <c r="AB162" s="142"/>
    </row>
    <row r="163" ht="13.5" customHeight="1">
      <c r="A163" s="142"/>
      <c r="B163" s="142"/>
      <c r="C163" s="142"/>
      <c r="D163" s="142"/>
      <c r="E163" s="131"/>
      <c r="F163" s="131"/>
      <c r="G163" s="131"/>
      <c r="H163" s="131"/>
      <c r="I163" s="131"/>
      <c r="J163" s="131"/>
      <c r="K163" s="131"/>
      <c r="L163" s="131"/>
      <c r="M163" s="131"/>
      <c r="N163" s="131"/>
      <c r="O163" s="142"/>
      <c r="P163" s="142"/>
      <c r="Q163" s="142"/>
      <c r="R163" s="131"/>
      <c r="S163" s="142"/>
      <c r="T163" s="142"/>
      <c r="U163" s="142"/>
      <c r="V163" s="142"/>
      <c r="W163" s="142"/>
      <c r="X163" s="142"/>
      <c r="Y163" s="142"/>
      <c r="Z163" s="142"/>
      <c r="AA163" s="142"/>
      <c r="AB163" s="142"/>
    </row>
    <row r="164" ht="13.5" customHeight="1">
      <c r="A164" s="142"/>
      <c r="B164" s="142"/>
      <c r="C164" s="142"/>
      <c r="D164" s="142"/>
      <c r="E164" s="131"/>
      <c r="F164" s="131"/>
      <c r="G164" s="131"/>
      <c r="H164" s="131"/>
      <c r="I164" s="131"/>
      <c r="J164" s="131"/>
      <c r="K164" s="131"/>
      <c r="L164" s="131"/>
      <c r="M164" s="131"/>
      <c r="N164" s="131"/>
      <c r="O164" s="142"/>
      <c r="P164" s="142"/>
      <c r="Q164" s="142"/>
      <c r="R164" s="131"/>
      <c r="S164" s="142"/>
      <c r="T164" s="142"/>
      <c r="U164" s="142"/>
      <c r="V164" s="142"/>
      <c r="W164" s="142"/>
      <c r="X164" s="142"/>
      <c r="Y164" s="142"/>
      <c r="Z164" s="142"/>
      <c r="AA164" s="142"/>
      <c r="AB164" s="142"/>
    </row>
    <row r="165" ht="13.5" customHeight="1">
      <c r="A165" s="142"/>
      <c r="B165" s="142"/>
      <c r="C165" s="142"/>
      <c r="D165" s="142"/>
      <c r="E165" s="131"/>
      <c r="F165" s="131"/>
      <c r="G165" s="131"/>
      <c r="H165" s="131"/>
      <c r="I165" s="131"/>
      <c r="J165" s="131"/>
      <c r="K165" s="131"/>
      <c r="L165" s="131"/>
      <c r="M165" s="131"/>
      <c r="N165" s="131"/>
      <c r="O165" s="142"/>
      <c r="P165" s="142"/>
      <c r="Q165" s="142"/>
      <c r="R165" s="131"/>
      <c r="S165" s="142"/>
      <c r="T165" s="142"/>
      <c r="U165" s="142"/>
      <c r="V165" s="142"/>
      <c r="W165" s="142"/>
      <c r="X165" s="142"/>
      <c r="Y165" s="142"/>
      <c r="Z165" s="142"/>
      <c r="AA165" s="142"/>
      <c r="AB165" s="142"/>
    </row>
    <row r="166" ht="13.5" customHeight="1">
      <c r="A166" s="142"/>
      <c r="B166" s="142"/>
      <c r="C166" s="142"/>
      <c r="D166" s="142"/>
      <c r="E166" s="131"/>
      <c r="F166" s="131"/>
      <c r="G166" s="131"/>
      <c r="H166" s="131"/>
      <c r="I166" s="131"/>
      <c r="J166" s="131"/>
      <c r="K166" s="131"/>
      <c r="L166" s="131"/>
      <c r="M166" s="131"/>
      <c r="N166" s="131"/>
      <c r="O166" s="142"/>
      <c r="P166" s="142"/>
      <c r="Q166" s="142"/>
      <c r="R166" s="131"/>
      <c r="S166" s="142"/>
      <c r="T166" s="142"/>
      <c r="U166" s="142"/>
      <c r="V166" s="142"/>
      <c r="W166" s="142"/>
      <c r="X166" s="142"/>
      <c r="Y166" s="142"/>
      <c r="Z166" s="142"/>
      <c r="AA166" s="142"/>
      <c r="AB166" s="142"/>
    </row>
    <row r="167" ht="13.5" customHeight="1">
      <c r="A167" s="142"/>
      <c r="B167" s="142"/>
      <c r="C167" s="142"/>
      <c r="D167" s="142"/>
      <c r="E167" s="131"/>
      <c r="F167" s="131"/>
      <c r="G167" s="131"/>
      <c r="H167" s="131"/>
      <c r="I167" s="131"/>
      <c r="J167" s="131"/>
      <c r="K167" s="131"/>
      <c r="L167" s="131"/>
      <c r="M167" s="131"/>
      <c r="N167" s="131"/>
      <c r="O167" s="142"/>
      <c r="P167" s="142"/>
      <c r="Q167" s="142"/>
      <c r="R167" s="131"/>
      <c r="S167" s="142"/>
      <c r="T167" s="142"/>
      <c r="U167" s="142"/>
      <c r="V167" s="142"/>
      <c r="W167" s="142"/>
      <c r="X167" s="142"/>
      <c r="Y167" s="142"/>
      <c r="Z167" s="142"/>
      <c r="AA167" s="142"/>
      <c r="AB167" s="142"/>
    </row>
    <row r="168" ht="13.5" customHeight="1">
      <c r="A168" s="142"/>
      <c r="B168" s="142"/>
      <c r="C168" s="142"/>
      <c r="D168" s="142"/>
      <c r="E168" s="131"/>
      <c r="F168" s="131"/>
      <c r="G168" s="131"/>
      <c r="H168" s="131"/>
      <c r="I168" s="131"/>
      <c r="J168" s="131"/>
      <c r="K168" s="131"/>
      <c r="L168" s="131"/>
      <c r="M168" s="131"/>
      <c r="N168" s="131"/>
      <c r="O168" s="142"/>
      <c r="P168" s="142"/>
      <c r="Q168" s="142"/>
      <c r="R168" s="131"/>
      <c r="S168" s="142"/>
      <c r="T168" s="142"/>
      <c r="U168" s="142"/>
      <c r="V168" s="142"/>
      <c r="W168" s="142"/>
      <c r="X168" s="142"/>
      <c r="Y168" s="142"/>
      <c r="Z168" s="142"/>
      <c r="AA168" s="142"/>
      <c r="AB168" s="142"/>
    </row>
    <row r="169" ht="13.5" customHeight="1">
      <c r="A169" s="142"/>
      <c r="B169" s="142"/>
      <c r="C169" s="142"/>
      <c r="D169" s="142"/>
      <c r="E169" s="131"/>
      <c r="F169" s="131"/>
      <c r="G169" s="131"/>
      <c r="H169" s="131"/>
      <c r="I169" s="131"/>
      <c r="J169" s="131"/>
      <c r="K169" s="131"/>
      <c r="L169" s="131"/>
      <c r="M169" s="131"/>
      <c r="N169" s="131"/>
      <c r="O169" s="142"/>
      <c r="P169" s="142"/>
      <c r="Q169" s="142"/>
      <c r="R169" s="131"/>
      <c r="S169" s="142"/>
      <c r="T169" s="142"/>
      <c r="U169" s="142"/>
      <c r="V169" s="142"/>
      <c r="W169" s="142"/>
      <c r="X169" s="142"/>
      <c r="Y169" s="142"/>
      <c r="Z169" s="142"/>
      <c r="AA169" s="142"/>
      <c r="AB169" s="142"/>
    </row>
    <row r="170" ht="13.5" customHeight="1">
      <c r="A170" s="142"/>
      <c r="B170" s="142"/>
      <c r="C170" s="142"/>
      <c r="D170" s="142"/>
      <c r="E170" s="131"/>
      <c r="F170" s="131"/>
      <c r="G170" s="131"/>
      <c r="H170" s="131"/>
      <c r="I170" s="131"/>
      <c r="J170" s="131"/>
      <c r="K170" s="131"/>
      <c r="L170" s="131"/>
      <c r="M170" s="131"/>
      <c r="N170" s="131"/>
      <c r="O170" s="142"/>
      <c r="P170" s="142"/>
      <c r="Q170" s="142"/>
      <c r="R170" s="131"/>
      <c r="S170" s="142"/>
      <c r="T170" s="142"/>
      <c r="U170" s="142"/>
      <c r="V170" s="142"/>
      <c r="W170" s="142"/>
      <c r="X170" s="142"/>
      <c r="Y170" s="142"/>
      <c r="Z170" s="142"/>
      <c r="AA170" s="142"/>
      <c r="AB170" s="142"/>
    </row>
    <row r="171" ht="13.5" customHeight="1">
      <c r="A171" s="142"/>
      <c r="B171" s="142"/>
      <c r="C171" s="142"/>
      <c r="D171" s="142"/>
      <c r="E171" s="131"/>
      <c r="F171" s="131"/>
      <c r="G171" s="131"/>
      <c r="H171" s="131"/>
      <c r="I171" s="131"/>
      <c r="J171" s="131"/>
      <c r="K171" s="131"/>
      <c r="L171" s="131"/>
      <c r="M171" s="131"/>
      <c r="N171" s="131"/>
      <c r="O171" s="142"/>
      <c r="P171" s="142"/>
      <c r="Q171" s="142"/>
      <c r="R171" s="131"/>
      <c r="S171" s="142"/>
      <c r="T171" s="142"/>
      <c r="U171" s="142"/>
      <c r="V171" s="142"/>
      <c r="W171" s="142"/>
      <c r="X171" s="142"/>
      <c r="Y171" s="142"/>
      <c r="Z171" s="142"/>
      <c r="AA171" s="142"/>
      <c r="AB171" s="142"/>
    </row>
    <row r="172" ht="13.5" customHeight="1">
      <c r="A172" s="142"/>
      <c r="B172" s="142"/>
      <c r="C172" s="142"/>
      <c r="D172" s="142"/>
      <c r="E172" s="131"/>
      <c r="F172" s="131"/>
      <c r="G172" s="131"/>
      <c r="H172" s="131"/>
      <c r="I172" s="131"/>
      <c r="J172" s="131"/>
      <c r="K172" s="131"/>
      <c r="L172" s="131"/>
      <c r="M172" s="131"/>
      <c r="N172" s="131"/>
      <c r="O172" s="142"/>
      <c r="P172" s="142"/>
      <c r="Q172" s="142"/>
      <c r="R172" s="131"/>
      <c r="S172" s="142"/>
      <c r="T172" s="142"/>
      <c r="U172" s="142"/>
      <c r="V172" s="142"/>
      <c r="W172" s="142"/>
      <c r="X172" s="142"/>
      <c r="Y172" s="142"/>
      <c r="Z172" s="142"/>
      <c r="AA172" s="142"/>
      <c r="AB172" s="142"/>
    </row>
    <row r="173" ht="13.5" customHeight="1">
      <c r="A173" s="142"/>
      <c r="B173" s="142"/>
      <c r="C173" s="142"/>
      <c r="D173" s="142"/>
      <c r="E173" s="131"/>
      <c r="F173" s="131"/>
      <c r="G173" s="131"/>
      <c r="H173" s="131"/>
      <c r="I173" s="131"/>
      <c r="J173" s="131"/>
      <c r="K173" s="131"/>
      <c r="L173" s="131"/>
      <c r="M173" s="131"/>
      <c r="N173" s="131"/>
      <c r="O173" s="142"/>
      <c r="P173" s="142"/>
      <c r="Q173" s="142"/>
      <c r="R173" s="131"/>
      <c r="S173" s="142"/>
      <c r="T173" s="142"/>
      <c r="U173" s="142"/>
      <c r="V173" s="142"/>
      <c r="W173" s="142"/>
      <c r="X173" s="142"/>
      <c r="Y173" s="142"/>
      <c r="Z173" s="142"/>
      <c r="AA173" s="142"/>
      <c r="AB173" s="142"/>
    </row>
    <row r="174" ht="13.5" customHeight="1">
      <c r="A174" s="142"/>
      <c r="B174" s="142"/>
      <c r="C174" s="142"/>
      <c r="D174" s="142"/>
      <c r="E174" s="131"/>
      <c r="F174" s="131"/>
      <c r="G174" s="131"/>
      <c r="H174" s="131"/>
      <c r="I174" s="131"/>
      <c r="J174" s="131"/>
      <c r="K174" s="131"/>
      <c r="L174" s="131"/>
      <c r="M174" s="131"/>
      <c r="N174" s="131"/>
      <c r="O174" s="142"/>
      <c r="P174" s="142"/>
      <c r="Q174" s="142"/>
      <c r="R174" s="131"/>
      <c r="S174" s="142"/>
      <c r="T174" s="142"/>
      <c r="U174" s="142"/>
      <c r="V174" s="142"/>
      <c r="W174" s="142"/>
      <c r="X174" s="142"/>
      <c r="Y174" s="142"/>
      <c r="Z174" s="142"/>
      <c r="AA174" s="142"/>
      <c r="AB174" s="142"/>
    </row>
    <row r="175" ht="13.5" customHeight="1">
      <c r="A175" s="142"/>
      <c r="B175" s="142"/>
      <c r="C175" s="142"/>
      <c r="D175" s="142"/>
      <c r="E175" s="131"/>
      <c r="F175" s="131"/>
      <c r="G175" s="131"/>
      <c r="H175" s="131"/>
      <c r="I175" s="131"/>
      <c r="J175" s="131"/>
      <c r="K175" s="131"/>
      <c r="L175" s="131"/>
      <c r="M175" s="131"/>
      <c r="N175" s="131"/>
      <c r="O175" s="142"/>
      <c r="P175" s="142"/>
      <c r="Q175" s="142"/>
      <c r="R175" s="131"/>
      <c r="S175" s="142"/>
      <c r="T175" s="142"/>
      <c r="U175" s="142"/>
      <c r="V175" s="142"/>
      <c r="W175" s="142"/>
      <c r="X175" s="142"/>
      <c r="Y175" s="142"/>
      <c r="Z175" s="142"/>
      <c r="AA175" s="142"/>
      <c r="AB175" s="142"/>
    </row>
    <row r="176" ht="13.5" customHeight="1">
      <c r="A176" s="142"/>
      <c r="B176" s="142"/>
      <c r="C176" s="142"/>
      <c r="D176" s="142"/>
      <c r="E176" s="131"/>
      <c r="F176" s="131"/>
      <c r="G176" s="131"/>
      <c r="H176" s="131"/>
      <c r="I176" s="131"/>
      <c r="J176" s="131"/>
      <c r="K176" s="131"/>
      <c r="L176" s="131"/>
      <c r="M176" s="131"/>
      <c r="N176" s="131"/>
      <c r="O176" s="142"/>
      <c r="P176" s="142"/>
      <c r="Q176" s="142"/>
      <c r="R176" s="131"/>
      <c r="S176" s="142"/>
      <c r="T176" s="142"/>
      <c r="U176" s="142"/>
      <c r="V176" s="142"/>
      <c r="W176" s="142"/>
      <c r="X176" s="142"/>
      <c r="Y176" s="142"/>
      <c r="Z176" s="142"/>
      <c r="AA176" s="142"/>
      <c r="AB176" s="142"/>
    </row>
    <row r="177" ht="13.5" customHeight="1">
      <c r="A177" s="142"/>
      <c r="B177" s="142"/>
      <c r="C177" s="142"/>
      <c r="D177" s="142"/>
      <c r="E177" s="131"/>
      <c r="F177" s="131"/>
      <c r="G177" s="131"/>
      <c r="H177" s="131"/>
      <c r="I177" s="131"/>
      <c r="J177" s="131"/>
      <c r="K177" s="131"/>
      <c r="L177" s="131"/>
      <c r="M177" s="131"/>
      <c r="N177" s="131"/>
      <c r="O177" s="142"/>
      <c r="P177" s="142"/>
      <c r="Q177" s="142"/>
      <c r="R177" s="131"/>
      <c r="S177" s="142"/>
      <c r="T177" s="142"/>
      <c r="U177" s="142"/>
      <c r="V177" s="142"/>
      <c r="W177" s="142"/>
      <c r="X177" s="142"/>
      <c r="Y177" s="142"/>
      <c r="Z177" s="142"/>
      <c r="AA177" s="142"/>
      <c r="AB177" s="142"/>
    </row>
    <row r="178" ht="13.5" customHeight="1">
      <c r="A178" s="142"/>
      <c r="B178" s="142"/>
      <c r="C178" s="142"/>
      <c r="D178" s="142"/>
      <c r="E178" s="131"/>
      <c r="F178" s="131"/>
      <c r="G178" s="131"/>
      <c r="H178" s="131"/>
      <c r="I178" s="131"/>
      <c r="J178" s="131"/>
      <c r="K178" s="131"/>
      <c r="L178" s="131"/>
      <c r="M178" s="131"/>
      <c r="N178" s="131"/>
      <c r="O178" s="142"/>
      <c r="P178" s="142"/>
      <c r="Q178" s="142"/>
      <c r="R178" s="131"/>
      <c r="S178" s="142"/>
      <c r="T178" s="142"/>
      <c r="U178" s="142"/>
      <c r="V178" s="142"/>
      <c r="W178" s="142"/>
      <c r="X178" s="142"/>
      <c r="Y178" s="142"/>
      <c r="Z178" s="142"/>
      <c r="AA178" s="142"/>
      <c r="AB178" s="142"/>
    </row>
    <row r="179" ht="13.5" customHeight="1">
      <c r="A179" s="142"/>
      <c r="B179" s="142"/>
      <c r="C179" s="142"/>
      <c r="D179" s="142"/>
      <c r="E179" s="131"/>
      <c r="F179" s="131"/>
      <c r="G179" s="131"/>
      <c r="H179" s="131"/>
      <c r="I179" s="131"/>
      <c r="J179" s="131"/>
      <c r="K179" s="131"/>
      <c r="L179" s="131"/>
      <c r="M179" s="131"/>
      <c r="N179" s="131"/>
      <c r="O179" s="142"/>
      <c r="P179" s="142"/>
      <c r="Q179" s="142"/>
      <c r="R179" s="131"/>
      <c r="S179" s="142"/>
      <c r="T179" s="142"/>
      <c r="U179" s="142"/>
      <c r="V179" s="142"/>
      <c r="W179" s="142"/>
      <c r="X179" s="142"/>
      <c r="Y179" s="142"/>
      <c r="Z179" s="142"/>
      <c r="AA179" s="142"/>
      <c r="AB179" s="142"/>
    </row>
    <row r="180" ht="13.5" customHeight="1">
      <c r="A180" s="142"/>
      <c r="B180" s="142"/>
      <c r="C180" s="142"/>
      <c r="D180" s="142"/>
      <c r="E180" s="131"/>
      <c r="F180" s="131"/>
      <c r="G180" s="131"/>
      <c r="H180" s="131"/>
      <c r="I180" s="131"/>
      <c r="J180" s="131"/>
      <c r="K180" s="131"/>
      <c r="L180" s="131"/>
      <c r="M180" s="131"/>
      <c r="N180" s="131"/>
      <c r="O180" s="142"/>
      <c r="P180" s="142"/>
      <c r="Q180" s="142"/>
      <c r="R180" s="131"/>
      <c r="S180" s="142"/>
      <c r="T180" s="142"/>
      <c r="U180" s="142"/>
      <c r="V180" s="142"/>
      <c r="W180" s="142"/>
      <c r="X180" s="142"/>
      <c r="Y180" s="142"/>
      <c r="Z180" s="142"/>
      <c r="AA180" s="142"/>
      <c r="AB180" s="142"/>
    </row>
    <row r="181" ht="13.5" customHeight="1">
      <c r="A181" s="142"/>
      <c r="B181" s="142"/>
      <c r="C181" s="142"/>
      <c r="D181" s="142"/>
      <c r="E181" s="131"/>
      <c r="F181" s="131"/>
      <c r="G181" s="131"/>
      <c r="H181" s="131"/>
      <c r="I181" s="131"/>
      <c r="J181" s="131"/>
      <c r="K181" s="131"/>
      <c r="L181" s="131"/>
      <c r="M181" s="131"/>
      <c r="N181" s="131"/>
      <c r="O181" s="142"/>
      <c r="P181" s="142"/>
      <c r="Q181" s="142"/>
      <c r="R181" s="131"/>
      <c r="S181" s="142"/>
      <c r="T181" s="142"/>
      <c r="U181" s="142"/>
      <c r="V181" s="142"/>
      <c r="W181" s="142"/>
      <c r="X181" s="142"/>
      <c r="Y181" s="142"/>
      <c r="Z181" s="142"/>
      <c r="AA181" s="142"/>
      <c r="AB181" s="142"/>
    </row>
    <row r="182" ht="13.5" customHeight="1">
      <c r="A182" s="142"/>
      <c r="B182" s="142"/>
      <c r="C182" s="142"/>
      <c r="D182" s="142"/>
      <c r="E182" s="131"/>
      <c r="F182" s="131"/>
      <c r="G182" s="131"/>
      <c r="H182" s="131"/>
      <c r="I182" s="131"/>
      <c r="J182" s="131"/>
      <c r="K182" s="131"/>
      <c r="L182" s="131"/>
      <c r="M182" s="131"/>
      <c r="N182" s="131"/>
      <c r="O182" s="142"/>
      <c r="P182" s="142"/>
      <c r="Q182" s="142"/>
      <c r="R182" s="131"/>
      <c r="S182" s="142"/>
      <c r="T182" s="142"/>
      <c r="U182" s="142"/>
      <c r="V182" s="142"/>
      <c r="W182" s="142"/>
      <c r="X182" s="142"/>
      <c r="Y182" s="142"/>
      <c r="Z182" s="142"/>
      <c r="AA182" s="142"/>
      <c r="AB182" s="142"/>
    </row>
    <row r="183" ht="13.5" customHeight="1">
      <c r="A183" s="142"/>
      <c r="B183" s="142"/>
      <c r="C183" s="142"/>
      <c r="D183" s="142"/>
      <c r="E183" s="131"/>
      <c r="F183" s="131"/>
      <c r="G183" s="131"/>
      <c r="H183" s="131"/>
      <c r="I183" s="131"/>
      <c r="J183" s="131"/>
      <c r="K183" s="131"/>
      <c r="L183" s="131"/>
      <c r="M183" s="131"/>
      <c r="N183" s="131"/>
      <c r="O183" s="142"/>
      <c r="P183" s="142"/>
      <c r="Q183" s="142"/>
      <c r="R183" s="131"/>
      <c r="S183" s="142"/>
      <c r="T183" s="142"/>
      <c r="U183" s="142"/>
      <c r="V183" s="142"/>
      <c r="W183" s="142"/>
      <c r="X183" s="142"/>
      <c r="Y183" s="142"/>
      <c r="Z183" s="142"/>
      <c r="AA183" s="142"/>
      <c r="AB183" s="142"/>
    </row>
    <row r="184" ht="13.5" customHeight="1">
      <c r="A184" s="142"/>
      <c r="B184" s="142"/>
      <c r="C184" s="142"/>
      <c r="D184" s="142"/>
      <c r="E184" s="131"/>
      <c r="F184" s="131"/>
      <c r="G184" s="131"/>
      <c r="H184" s="131"/>
      <c r="I184" s="131"/>
      <c r="J184" s="131"/>
      <c r="K184" s="131"/>
      <c r="L184" s="131"/>
      <c r="M184" s="131"/>
      <c r="N184" s="131"/>
      <c r="O184" s="142"/>
      <c r="P184" s="142"/>
      <c r="Q184" s="142"/>
      <c r="R184" s="131"/>
      <c r="S184" s="142"/>
      <c r="T184" s="142"/>
      <c r="U184" s="142"/>
      <c r="V184" s="142"/>
      <c r="W184" s="142"/>
      <c r="X184" s="142"/>
      <c r="Y184" s="142"/>
      <c r="Z184" s="142"/>
      <c r="AA184" s="142"/>
      <c r="AB184" s="142"/>
    </row>
    <row r="185" ht="13.5" customHeight="1">
      <c r="A185" s="142"/>
      <c r="B185" s="142"/>
      <c r="C185" s="142"/>
      <c r="D185" s="142"/>
      <c r="E185" s="131"/>
      <c r="F185" s="131"/>
      <c r="G185" s="131"/>
      <c r="H185" s="131"/>
      <c r="I185" s="131"/>
      <c r="J185" s="131"/>
      <c r="K185" s="131"/>
      <c r="L185" s="131"/>
      <c r="M185" s="131"/>
      <c r="N185" s="131"/>
      <c r="O185" s="142"/>
      <c r="P185" s="142"/>
      <c r="Q185" s="142"/>
      <c r="R185" s="131"/>
      <c r="S185" s="142"/>
      <c r="T185" s="142"/>
      <c r="U185" s="142"/>
      <c r="V185" s="142"/>
      <c r="W185" s="142"/>
      <c r="X185" s="142"/>
      <c r="Y185" s="142"/>
      <c r="Z185" s="142"/>
      <c r="AA185" s="142"/>
      <c r="AB185" s="142"/>
    </row>
    <row r="186" ht="13.5" customHeight="1">
      <c r="A186" s="142"/>
      <c r="B186" s="142"/>
      <c r="C186" s="142"/>
      <c r="D186" s="142"/>
      <c r="E186" s="131"/>
      <c r="F186" s="131"/>
      <c r="G186" s="131"/>
      <c r="H186" s="131"/>
      <c r="I186" s="131"/>
      <c r="J186" s="131"/>
      <c r="K186" s="131"/>
      <c r="L186" s="131"/>
      <c r="M186" s="131"/>
      <c r="N186" s="131"/>
      <c r="O186" s="142"/>
      <c r="P186" s="142"/>
      <c r="Q186" s="142"/>
      <c r="R186" s="131"/>
      <c r="S186" s="142"/>
      <c r="T186" s="142"/>
      <c r="U186" s="142"/>
      <c r="V186" s="142"/>
      <c r="W186" s="142"/>
      <c r="X186" s="142"/>
      <c r="Y186" s="142"/>
      <c r="Z186" s="142"/>
      <c r="AA186" s="142"/>
      <c r="AB186" s="142"/>
    </row>
    <row r="187" ht="13.5" customHeight="1">
      <c r="A187" s="142"/>
      <c r="B187" s="142"/>
      <c r="C187" s="142"/>
      <c r="D187" s="142"/>
      <c r="E187" s="131"/>
      <c r="F187" s="131"/>
      <c r="G187" s="131"/>
      <c r="H187" s="131"/>
      <c r="I187" s="131"/>
      <c r="J187" s="131"/>
      <c r="K187" s="131"/>
      <c r="L187" s="131"/>
      <c r="M187" s="131"/>
      <c r="N187" s="131"/>
      <c r="O187" s="142"/>
      <c r="P187" s="142"/>
      <c r="Q187" s="142"/>
      <c r="R187" s="131"/>
      <c r="S187" s="142"/>
      <c r="T187" s="142"/>
      <c r="U187" s="142"/>
      <c r="V187" s="142"/>
      <c r="W187" s="142"/>
      <c r="X187" s="142"/>
      <c r="Y187" s="142"/>
      <c r="Z187" s="142"/>
      <c r="AA187" s="142"/>
      <c r="AB187" s="142"/>
    </row>
    <row r="188" ht="13.5" customHeight="1">
      <c r="A188" s="142"/>
      <c r="B188" s="142"/>
      <c r="C188" s="142"/>
      <c r="D188" s="142"/>
      <c r="E188" s="131"/>
      <c r="F188" s="131"/>
      <c r="G188" s="131"/>
      <c r="H188" s="131"/>
      <c r="I188" s="131"/>
      <c r="J188" s="131"/>
      <c r="K188" s="131"/>
      <c r="L188" s="131"/>
      <c r="M188" s="131"/>
      <c r="N188" s="131"/>
      <c r="O188" s="142"/>
      <c r="P188" s="142"/>
      <c r="Q188" s="142"/>
      <c r="R188" s="131"/>
      <c r="S188" s="142"/>
      <c r="T188" s="142"/>
      <c r="U188" s="142"/>
      <c r="V188" s="142"/>
      <c r="W188" s="142"/>
      <c r="X188" s="142"/>
      <c r="Y188" s="142"/>
      <c r="Z188" s="142"/>
      <c r="AA188" s="142"/>
      <c r="AB188" s="142"/>
    </row>
    <row r="189" ht="13.5" customHeight="1">
      <c r="A189" s="142"/>
      <c r="B189" s="142"/>
      <c r="C189" s="142"/>
      <c r="D189" s="142"/>
      <c r="E189" s="131"/>
      <c r="F189" s="131"/>
      <c r="G189" s="131"/>
      <c r="H189" s="131"/>
      <c r="I189" s="131"/>
      <c r="J189" s="131"/>
      <c r="K189" s="131"/>
      <c r="L189" s="131"/>
      <c r="M189" s="131"/>
      <c r="N189" s="131"/>
      <c r="O189" s="142"/>
      <c r="P189" s="142"/>
      <c r="Q189" s="142"/>
      <c r="R189" s="131"/>
      <c r="S189" s="142"/>
      <c r="T189" s="142"/>
      <c r="U189" s="142"/>
      <c r="V189" s="142"/>
      <c r="W189" s="142"/>
      <c r="X189" s="142"/>
      <c r="Y189" s="142"/>
      <c r="Z189" s="142"/>
      <c r="AA189" s="142"/>
      <c r="AB189" s="142"/>
    </row>
    <row r="190" ht="13.5" customHeight="1">
      <c r="A190" s="142"/>
      <c r="B190" s="142"/>
      <c r="C190" s="142"/>
      <c r="D190" s="142"/>
      <c r="E190" s="131"/>
      <c r="F190" s="131"/>
      <c r="G190" s="131"/>
      <c r="H190" s="131"/>
      <c r="I190" s="131"/>
      <c r="J190" s="131"/>
      <c r="K190" s="131"/>
      <c r="L190" s="131"/>
      <c r="M190" s="131"/>
      <c r="N190" s="131"/>
      <c r="O190" s="142"/>
      <c r="P190" s="142"/>
      <c r="Q190" s="142"/>
      <c r="R190" s="131"/>
      <c r="S190" s="142"/>
      <c r="T190" s="142"/>
      <c r="U190" s="142"/>
      <c r="V190" s="142"/>
      <c r="W190" s="142"/>
      <c r="X190" s="142"/>
      <c r="Y190" s="142"/>
      <c r="Z190" s="142"/>
      <c r="AA190" s="142"/>
      <c r="AB190" s="142"/>
    </row>
    <row r="191" ht="13.5" customHeight="1">
      <c r="A191" s="142"/>
      <c r="B191" s="142"/>
      <c r="C191" s="142"/>
      <c r="D191" s="142"/>
      <c r="E191" s="131"/>
      <c r="F191" s="131"/>
      <c r="G191" s="131"/>
      <c r="H191" s="131"/>
      <c r="I191" s="131"/>
      <c r="J191" s="131"/>
      <c r="K191" s="131"/>
      <c r="L191" s="131"/>
      <c r="M191" s="131"/>
      <c r="N191" s="131"/>
      <c r="O191" s="142"/>
      <c r="P191" s="142"/>
      <c r="Q191" s="142"/>
      <c r="R191" s="131"/>
      <c r="S191" s="142"/>
      <c r="T191" s="142"/>
      <c r="U191" s="142"/>
      <c r="V191" s="142"/>
      <c r="W191" s="142"/>
      <c r="X191" s="142"/>
      <c r="Y191" s="142"/>
      <c r="Z191" s="142"/>
      <c r="AA191" s="142"/>
      <c r="AB191" s="142"/>
    </row>
    <row r="192" ht="13.5" customHeight="1">
      <c r="A192" s="142"/>
      <c r="B192" s="142"/>
      <c r="C192" s="142"/>
      <c r="D192" s="142"/>
      <c r="E192" s="131"/>
      <c r="F192" s="131"/>
      <c r="G192" s="131"/>
      <c r="H192" s="131"/>
      <c r="I192" s="131"/>
      <c r="J192" s="131"/>
      <c r="K192" s="131"/>
      <c r="L192" s="131"/>
      <c r="M192" s="131"/>
      <c r="N192" s="131"/>
      <c r="O192" s="142"/>
      <c r="P192" s="142"/>
      <c r="Q192" s="142"/>
      <c r="R192" s="131"/>
      <c r="S192" s="142"/>
      <c r="T192" s="142"/>
      <c r="U192" s="142"/>
      <c r="V192" s="142"/>
      <c r="W192" s="142"/>
      <c r="X192" s="142"/>
      <c r="Y192" s="142"/>
      <c r="Z192" s="142"/>
      <c r="AA192" s="142"/>
      <c r="AB192" s="142"/>
    </row>
    <row r="193" ht="13.5" customHeight="1">
      <c r="A193" s="142"/>
      <c r="B193" s="142"/>
      <c r="C193" s="142"/>
      <c r="D193" s="142"/>
      <c r="E193" s="131"/>
      <c r="F193" s="131"/>
      <c r="G193" s="131"/>
      <c r="H193" s="131"/>
      <c r="I193" s="131"/>
      <c r="J193" s="131"/>
      <c r="K193" s="131"/>
      <c r="L193" s="131"/>
      <c r="M193" s="131"/>
      <c r="N193" s="131"/>
      <c r="O193" s="142"/>
      <c r="P193" s="142"/>
      <c r="Q193" s="142"/>
      <c r="R193" s="131"/>
      <c r="S193" s="142"/>
      <c r="T193" s="142"/>
      <c r="U193" s="142"/>
      <c r="V193" s="142"/>
      <c r="W193" s="142"/>
      <c r="X193" s="142"/>
      <c r="Y193" s="142"/>
      <c r="Z193" s="142"/>
      <c r="AA193" s="142"/>
      <c r="AB193" s="142"/>
    </row>
    <row r="194" ht="13.5" customHeight="1">
      <c r="A194" s="142"/>
      <c r="B194" s="142"/>
      <c r="C194" s="142"/>
      <c r="D194" s="142"/>
      <c r="E194" s="131"/>
      <c r="F194" s="131"/>
      <c r="G194" s="131"/>
      <c r="H194" s="131"/>
      <c r="I194" s="131"/>
      <c r="J194" s="131"/>
      <c r="K194" s="131"/>
      <c r="L194" s="131"/>
      <c r="M194" s="131"/>
      <c r="N194" s="131"/>
      <c r="O194" s="142"/>
      <c r="P194" s="142"/>
      <c r="Q194" s="142"/>
      <c r="R194" s="131"/>
      <c r="S194" s="142"/>
      <c r="T194" s="142"/>
      <c r="U194" s="142"/>
      <c r="V194" s="142"/>
      <c r="W194" s="142"/>
      <c r="X194" s="142"/>
      <c r="Y194" s="142"/>
      <c r="Z194" s="142"/>
      <c r="AA194" s="142"/>
      <c r="AB194" s="142"/>
    </row>
    <row r="195" ht="13.5" customHeight="1">
      <c r="A195" s="142"/>
      <c r="B195" s="142"/>
      <c r="C195" s="142"/>
      <c r="D195" s="142"/>
      <c r="E195" s="131"/>
      <c r="F195" s="131"/>
      <c r="G195" s="131"/>
      <c r="H195" s="131"/>
      <c r="I195" s="131"/>
      <c r="J195" s="131"/>
      <c r="K195" s="131"/>
      <c r="L195" s="131"/>
      <c r="M195" s="131"/>
      <c r="N195" s="131"/>
      <c r="O195" s="142"/>
      <c r="P195" s="142"/>
      <c r="Q195" s="142"/>
      <c r="R195" s="131"/>
      <c r="S195" s="142"/>
      <c r="T195" s="142"/>
      <c r="U195" s="142"/>
      <c r="V195" s="142"/>
      <c r="W195" s="142"/>
      <c r="X195" s="142"/>
      <c r="Y195" s="142"/>
      <c r="Z195" s="142"/>
      <c r="AA195" s="142"/>
      <c r="AB195" s="142"/>
    </row>
    <row r="196" ht="13.5" customHeight="1">
      <c r="A196" s="142"/>
      <c r="B196" s="142"/>
      <c r="C196" s="142"/>
      <c r="D196" s="142"/>
      <c r="E196" s="131"/>
      <c r="F196" s="131"/>
      <c r="G196" s="131"/>
      <c r="H196" s="131"/>
      <c r="I196" s="131"/>
      <c r="J196" s="131"/>
      <c r="K196" s="131"/>
      <c r="L196" s="131"/>
      <c r="M196" s="131"/>
      <c r="N196" s="131"/>
      <c r="O196" s="142"/>
      <c r="P196" s="142"/>
      <c r="Q196" s="142"/>
      <c r="R196" s="131"/>
      <c r="S196" s="142"/>
      <c r="T196" s="142"/>
      <c r="U196" s="142"/>
      <c r="V196" s="142"/>
      <c r="W196" s="142"/>
      <c r="X196" s="142"/>
      <c r="Y196" s="142"/>
      <c r="Z196" s="142"/>
      <c r="AA196" s="142"/>
      <c r="AB196" s="142"/>
    </row>
    <row r="197" ht="13.5" customHeight="1">
      <c r="A197" s="142"/>
      <c r="B197" s="142"/>
      <c r="C197" s="142"/>
      <c r="D197" s="142"/>
      <c r="E197" s="131"/>
      <c r="F197" s="131"/>
      <c r="G197" s="131"/>
      <c r="H197" s="131"/>
      <c r="I197" s="131"/>
      <c r="J197" s="131"/>
      <c r="K197" s="131"/>
      <c r="L197" s="131"/>
      <c r="M197" s="131"/>
      <c r="N197" s="131"/>
      <c r="O197" s="142"/>
      <c r="P197" s="142"/>
      <c r="Q197" s="142"/>
      <c r="R197" s="131"/>
      <c r="S197" s="142"/>
      <c r="T197" s="142"/>
      <c r="U197" s="142"/>
      <c r="V197" s="142"/>
      <c r="W197" s="142"/>
      <c r="X197" s="142"/>
      <c r="Y197" s="142"/>
      <c r="Z197" s="142"/>
      <c r="AA197" s="142"/>
      <c r="AB197" s="142"/>
    </row>
    <row r="198" ht="13.5" customHeight="1">
      <c r="A198" s="142"/>
      <c r="B198" s="142"/>
      <c r="C198" s="142"/>
      <c r="D198" s="142"/>
      <c r="E198" s="131"/>
      <c r="F198" s="131"/>
      <c r="G198" s="131"/>
      <c r="H198" s="131"/>
      <c r="I198" s="131"/>
      <c r="J198" s="131"/>
      <c r="K198" s="131"/>
      <c r="L198" s="131"/>
      <c r="M198" s="131"/>
      <c r="N198" s="131"/>
      <c r="O198" s="142"/>
      <c r="P198" s="142"/>
      <c r="Q198" s="142"/>
      <c r="R198" s="131"/>
      <c r="S198" s="142"/>
      <c r="T198" s="142"/>
      <c r="U198" s="142"/>
      <c r="V198" s="142"/>
      <c r="W198" s="142"/>
      <c r="X198" s="142"/>
      <c r="Y198" s="142"/>
      <c r="Z198" s="142"/>
      <c r="AA198" s="142"/>
      <c r="AB198" s="142"/>
    </row>
    <row r="199" ht="13.5" customHeight="1">
      <c r="A199" s="142"/>
      <c r="B199" s="142"/>
      <c r="C199" s="142"/>
      <c r="D199" s="142"/>
      <c r="E199" s="131"/>
      <c r="F199" s="131"/>
      <c r="G199" s="131"/>
      <c r="H199" s="131"/>
      <c r="I199" s="131"/>
      <c r="J199" s="131"/>
      <c r="K199" s="131"/>
      <c r="L199" s="131"/>
      <c r="M199" s="131"/>
      <c r="N199" s="131"/>
      <c r="O199" s="142"/>
      <c r="P199" s="142"/>
      <c r="Q199" s="142"/>
      <c r="R199" s="131"/>
      <c r="S199" s="142"/>
      <c r="T199" s="142"/>
      <c r="U199" s="142"/>
      <c r="V199" s="142"/>
      <c r="W199" s="142"/>
      <c r="X199" s="142"/>
      <c r="Y199" s="142"/>
      <c r="Z199" s="142"/>
      <c r="AA199" s="142"/>
      <c r="AB199" s="142"/>
    </row>
    <row r="200" ht="13.5" customHeight="1">
      <c r="A200" s="142"/>
      <c r="B200" s="142"/>
      <c r="C200" s="142"/>
      <c r="D200" s="142"/>
      <c r="E200" s="131"/>
      <c r="F200" s="131"/>
      <c r="G200" s="131"/>
      <c r="H200" s="131"/>
      <c r="I200" s="131"/>
      <c r="J200" s="131"/>
      <c r="K200" s="131"/>
      <c r="L200" s="131"/>
      <c r="M200" s="131"/>
      <c r="N200" s="131"/>
      <c r="O200" s="142"/>
      <c r="P200" s="142"/>
      <c r="Q200" s="142"/>
      <c r="R200" s="131"/>
      <c r="S200" s="142"/>
      <c r="T200" s="142"/>
      <c r="U200" s="142"/>
      <c r="V200" s="142"/>
      <c r="W200" s="142"/>
      <c r="X200" s="142"/>
      <c r="Y200" s="142"/>
      <c r="Z200" s="142"/>
      <c r="AA200" s="142"/>
      <c r="AB200" s="142"/>
    </row>
    <row r="201" ht="13.5" customHeight="1">
      <c r="A201" s="142"/>
      <c r="B201" s="142"/>
      <c r="C201" s="142"/>
      <c r="D201" s="142"/>
      <c r="E201" s="131"/>
      <c r="F201" s="131"/>
      <c r="G201" s="131"/>
      <c r="H201" s="131"/>
      <c r="I201" s="131"/>
      <c r="J201" s="131"/>
      <c r="K201" s="131"/>
      <c r="L201" s="131"/>
      <c r="M201" s="131"/>
      <c r="N201" s="131"/>
      <c r="O201" s="142"/>
      <c r="P201" s="142"/>
      <c r="Q201" s="142"/>
      <c r="R201" s="131"/>
      <c r="S201" s="142"/>
      <c r="T201" s="142"/>
      <c r="U201" s="142"/>
      <c r="V201" s="142"/>
      <c r="W201" s="142"/>
      <c r="X201" s="142"/>
      <c r="Y201" s="142"/>
      <c r="Z201" s="142"/>
      <c r="AA201" s="142"/>
      <c r="AB201" s="142"/>
    </row>
    <row r="202" ht="13.5" customHeight="1">
      <c r="A202" s="142"/>
      <c r="B202" s="142"/>
      <c r="C202" s="142"/>
      <c r="D202" s="142"/>
      <c r="E202" s="131"/>
      <c r="F202" s="131"/>
      <c r="G202" s="131"/>
      <c r="H202" s="131"/>
      <c r="I202" s="131"/>
      <c r="J202" s="131"/>
      <c r="K202" s="131"/>
      <c r="L202" s="131"/>
      <c r="M202" s="131"/>
      <c r="N202" s="131"/>
      <c r="O202" s="142"/>
      <c r="P202" s="142"/>
      <c r="Q202" s="142"/>
      <c r="R202" s="131"/>
      <c r="S202" s="142"/>
      <c r="T202" s="142"/>
      <c r="U202" s="142"/>
      <c r="V202" s="142"/>
      <c r="W202" s="142"/>
      <c r="X202" s="142"/>
      <c r="Y202" s="142"/>
      <c r="Z202" s="142"/>
      <c r="AA202" s="142"/>
      <c r="AB202" s="142"/>
    </row>
    <row r="203" ht="13.5" customHeight="1">
      <c r="A203" s="142"/>
      <c r="B203" s="142"/>
      <c r="C203" s="142"/>
      <c r="D203" s="142"/>
      <c r="E203" s="131"/>
      <c r="F203" s="131"/>
      <c r="G203" s="131"/>
      <c r="H203" s="131"/>
      <c r="I203" s="131"/>
      <c r="J203" s="131"/>
      <c r="K203" s="131"/>
      <c r="L203" s="131"/>
      <c r="M203" s="131"/>
      <c r="N203" s="131"/>
      <c r="O203" s="142"/>
      <c r="P203" s="142"/>
      <c r="Q203" s="142"/>
      <c r="R203" s="131"/>
      <c r="S203" s="142"/>
      <c r="T203" s="142"/>
      <c r="U203" s="142"/>
      <c r="V203" s="142"/>
      <c r="W203" s="142"/>
      <c r="X203" s="142"/>
      <c r="Y203" s="142"/>
      <c r="Z203" s="142"/>
      <c r="AA203" s="142"/>
      <c r="AB203" s="142"/>
    </row>
    <row r="204" ht="13.5" customHeight="1">
      <c r="A204" s="142"/>
      <c r="B204" s="142"/>
      <c r="C204" s="142"/>
      <c r="D204" s="142"/>
      <c r="E204" s="131"/>
      <c r="F204" s="131"/>
      <c r="G204" s="131"/>
      <c r="H204" s="131"/>
      <c r="I204" s="131"/>
      <c r="J204" s="131"/>
      <c r="K204" s="131"/>
      <c r="L204" s="131"/>
      <c r="M204" s="131"/>
      <c r="N204" s="131"/>
      <c r="O204" s="142"/>
      <c r="P204" s="142"/>
      <c r="Q204" s="142"/>
      <c r="R204" s="131"/>
      <c r="S204" s="142"/>
      <c r="T204" s="142"/>
      <c r="U204" s="142"/>
      <c r="V204" s="142"/>
      <c r="W204" s="142"/>
      <c r="X204" s="142"/>
      <c r="Y204" s="142"/>
      <c r="Z204" s="142"/>
      <c r="AA204" s="142"/>
      <c r="AB204" s="142"/>
    </row>
    <row r="205" ht="13.5" customHeight="1">
      <c r="A205" s="142"/>
      <c r="B205" s="142"/>
      <c r="C205" s="142"/>
      <c r="D205" s="142"/>
      <c r="E205" s="131"/>
      <c r="F205" s="131"/>
      <c r="G205" s="131"/>
      <c r="H205" s="131"/>
      <c r="I205" s="131"/>
      <c r="J205" s="131"/>
      <c r="K205" s="131"/>
      <c r="L205" s="131"/>
      <c r="M205" s="131"/>
      <c r="N205" s="131"/>
      <c r="O205" s="142"/>
      <c r="P205" s="142"/>
      <c r="Q205" s="142"/>
      <c r="R205" s="131"/>
      <c r="S205" s="142"/>
      <c r="T205" s="142"/>
      <c r="U205" s="142"/>
      <c r="V205" s="142"/>
      <c r="W205" s="142"/>
      <c r="X205" s="142"/>
      <c r="Y205" s="142"/>
      <c r="Z205" s="142"/>
      <c r="AA205" s="142"/>
      <c r="AB205" s="142"/>
    </row>
    <row r="206" ht="13.5" customHeight="1">
      <c r="A206" s="142"/>
      <c r="B206" s="142"/>
      <c r="C206" s="142"/>
      <c r="D206" s="142"/>
      <c r="E206" s="131"/>
      <c r="F206" s="131"/>
      <c r="G206" s="131"/>
      <c r="H206" s="131"/>
      <c r="I206" s="131"/>
      <c r="J206" s="131"/>
      <c r="K206" s="131"/>
      <c r="L206" s="131"/>
      <c r="M206" s="131"/>
      <c r="N206" s="131"/>
      <c r="O206" s="142"/>
      <c r="P206" s="142"/>
      <c r="Q206" s="142"/>
      <c r="R206" s="131"/>
      <c r="S206" s="142"/>
      <c r="T206" s="142"/>
      <c r="U206" s="142"/>
      <c r="V206" s="142"/>
      <c r="W206" s="142"/>
      <c r="X206" s="142"/>
      <c r="Y206" s="142"/>
      <c r="Z206" s="142"/>
      <c r="AA206" s="142"/>
      <c r="AB206" s="142"/>
    </row>
    <row r="207" ht="13.5" customHeight="1">
      <c r="A207" s="142"/>
      <c r="B207" s="142"/>
      <c r="C207" s="142"/>
      <c r="D207" s="142"/>
      <c r="E207" s="131"/>
      <c r="F207" s="131"/>
      <c r="G207" s="131"/>
      <c r="H207" s="131"/>
      <c r="I207" s="131"/>
      <c r="J207" s="131"/>
      <c r="K207" s="131"/>
      <c r="L207" s="131"/>
      <c r="M207" s="131"/>
      <c r="N207" s="131"/>
      <c r="O207" s="142"/>
      <c r="P207" s="142"/>
      <c r="Q207" s="142"/>
      <c r="R207" s="131"/>
      <c r="S207" s="142"/>
      <c r="T207" s="142"/>
      <c r="U207" s="142"/>
      <c r="V207" s="142"/>
      <c r="W207" s="142"/>
      <c r="X207" s="142"/>
      <c r="Y207" s="142"/>
      <c r="Z207" s="142"/>
      <c r="AA207" s="142"/>
      <c r="AB207" s="142"/>
    </row>
    <row r="208" ht="13.5" customHeight="1">
      <c r="A208" s="142"/>
      <c r="B208" s="142"/>
      <c r="C208" s="142"/>
      <c r="D208" s="142"/>
      <c r="E208" s="131"/>
      <c r="F208" s="131"/>
      <c r="G208" s="131"/>
      <c r="H208" s="131"/>
      <c r="I208" s="131"/>
      <c r="J208" s="131"/>
      <c r="K208" s="131"/>
      <c r="L208" s="131"/>
      <c r="M208" s="131"/>
      <c r="N208" s="131"/>
      <c r="O208" s="142"/>
      <c r="P208" s="142"/>
      <c r="Q208" s="142"/>
      <c r="R208" s="131"/>
      <c r="S208" s="142"/>
      <c r="T208" s="142"/>
      <c r="U208" s="142"/>
      <c r="V208" s="142"/>
      <c r="W208" s="142"/>
      <c r="X208" s="142"/>
      <c r="Y208" s="142"/>
      <c r="Z208" s="142"/>
      <c r="AA208" s="142"/>
      <c r="AB208" s="142"/>
    </row>
    <row r="209" ht="13.5" customHeight="1">
      <c r="A209" s="142"/>
      <c r="B209" s="142"/>
      <c r="C209" s="142"/>
      <c r="D209" s="142"/>
      <c r="E209" s="131"/>
      <c r="F209" s="131"/>
      <c r="G209" s="131"/>
      <c r="H209" s="131"/>
      <c r="I209" s="131"/>
      <c r="J209" s="131"/>
      <c r="K209" s="131"/>
      <c r="L209" s="131"/>
      <c r="M209" s="131"/>
      <c r="N209" s="131"/>
      <c r="O209" s="142"/>
      <c r="P209" s="142"/>
      <c r="Q209" s="142"/>
      <c r="R209" s="131"/>
      <c r="S209" s="142"/>
      <c r="T209" s="142"/>
      <c r="U209" s="142"/>
      <c r="V209" s="142"/>
      <c r="W209" s="142"/>
      <c r="X209" s="142"/>
      <c r="Y209" s="142"/>
      <c r="Z209" s="142"/>
      <c r="AA209" s="142"/>
      <c r="AB209" s="142"/>
    </row>
    <row r="210" ht="13.5" customHeight="1">
      <c r="A210" s="142"/>
      <c r="B210" s="142"/>
      <c r="C210" s="142"/>
      <c r="D210" s="142"/>
      <c r="E210" s="131"/>
      <c r="F210" s="131"/>
      <c r="G210" s="131"/>
      <c r="H210" s="131"/>
      <c r="I210" s="131"/>
      <c r="J210" s="131"/>
      <c r="K210" s="131"/>
      <c r="L210" s="131"/>
      <c r="M210" s="131"/>
      <c r="N210" s="131"/>
      <c r="O210" s="142"/>
      <c r="P210" s="142"/>
      <c r="Q210" s="142"/>
      <c r="R210" s="131"/>
      <c r="S210" s="142"/>
      <c r="T210" s="142"/>
      <c r="U210" s="142"/>
      <c r="V210" s="142"/>
      <c r="W210" s="142"/>
      <c r="X210" s="142"/>
      <c r="Y210" s="142"/>
      <c r="Z210" s="142"/>
      <c r="AA210" s="142"/>
      <c r="AB210" s="142"/>
    </row>
    <row r="211" ht="13.5" customHeight="1">
      <c r="A211" s="142"/>
      <c r="B211" s="142"/>
      <c r="C211" s="142"/>
      <c r="D211" s="142"/>
      <c r="E211" s="131"/>
      <c r="F211" s="131"/>
      <c r="G211" s="131"/>
      <c r="H211" s="131"/>
      <c r="I211" s="131"/>
      <c r="J211" s="131"/>
      <c r="K211" s="131"/>
      <c r="L211" s="131"/>
      <c r="M211" s="131"/>
      <c r="N211" s="131"/>
      <c r="O211" s="142"/>
      <c r="P211" s="142"/>
      <c r="Q211" s="142"/>
      <c r="R211" s="131"/>
      <c r="S211" s="142"/>
      <c r="T211" s="142"/>
      <c r="U211" s="142"/>
      <c r="V211" s="142"/>
      <c r="W211" s="142"/>
      <c r="X211" s="142"/>
      <c r="Y211" s="142"/>
      <c r="Z211" s="142"/>
      <c r="AA211" s="142"/>
      <c r="AB211" s="142"/>
    </row>
    <row r="212" ht="13.5" customHeight="1">
      <c r="A212" s="142"/>
      <c r="B212" s="142"/>
      <c r="C212" s="142"/>
      <c r="D212" s="142"/>
      <c r="E212" s="131"/>
      <c r="F212" s="131"/>
      <c r="G212" s="131"/>
      <c r="H212" s="131"/>
      <c r="I212" s="131"/>
      <c r="J212" s="131"/>
      <c r="K212" s="131"/>
      <c r="L212" s="131"/>
      <c r="M212" s="131"/>
      <c r="N212" s="131"/>
      <c r="O212" s="142"/>
      <c r="P212" s="142"/>
      <c r="Q212" s="142"/>
      <c r="R212" s="131"/>
      <c r="S212" s="142"/>
      <c r="T212" s="142"/>
      <c r="U212" s="142"/>
      <c r="V212" s="142"/>
      <c r="W212" s="142"/>
      <c r="X212" s="142"/>
      <c r="Y212" s="142"/>
      <c r="Z212" s="142"/>
      <c r="AA212" s="142"/>
      <c r="AB212" s="142"/>
    </row>
    <row r="213" ht="13.5" customHeight="1">
      <c r="A213" s="142"/>
      <c r="B213" s="142"/>
      <c r="C213" s="142"/>
      <c r="D213" s="142"/>
      <c r="E213" s="131"/>
      <c r="F213" s="131"/>
      <c r="G213" s="131"/>
      <c r="H213" s="131"/>
      <c r="I213" s="131"/>
      <c r="J213" s="131"/>
      <c r="K213" s="131"/>
      <c r="L213" s="131"/>
      <c r="M213" s="131"/>
      <c r="N213" s="131"/>
      <c r="O213" s="142"/>
      <c r="P213" s="142"/>
      <c r="Q213" s="142"/>
      <c r="R213" s="131"/>
      <c r="S213" s="142"/>
      <c r="T213" s="142"/>
      <c r="U213" s="142"/>
      <c r="V213" s="142"/>
      <c r="W213" s="142"/>
      <c r="X213" s="142"/>
      <c r="Y213" s="142"/>
      <c r="Z213" s="142"/>
      <c r="AA213" s="142"/>
      <c r="AB213" s="142"/>
    </row>
    <row r="214" ht="13.5" customHeight="1">
      <c r="A214" s="142"/>
      <c r="B214" s="142"/>
      <c r="C214" s="142"/>
      <c r="D214" s="142"/>
      <c r="E214" s="131"/>
      <c r="F214" s="131"/>
      <c r="G214" s="131"/>
      <c r="H214" s="131"/>
      <c r="I214" s="131"/>
      <c r="J214" s="131"/>
      <c r="K214" s="131"/>
      <c r="L214" s="131"/>
      <c r="M214" s="131"/>
      <c r="N214" s="131"/>
      <c r="O214" s="142"/>
      <c r="P214" s="142"/>
      <c r="Q214" s="142"/>
      <c r="R214" s="131"/>
      <c r="S214" s="142"/>
      <c r="T214" s="142"/>
      <c r="U214" s="142"/>
      <c r="V214" s="142"/>
      <c r="W214" s="142"/>
      <c r="X214" s="142"/>
      <c r="Y214" s="142"/>
      <c r="Z214" s="142"/>
      <c r="AA214" s="142"/>
      <c r="AB214" s="142"/>
    </row>
    <row r="215" ht="13.5" customHeight="1">
      <c r="A215" s="142"/>
      <c r="B215" s="142"/>
      <c r="C215" s="142"/>
      <c r="D215" s="142"/>
      <c r="E215" s="131"/>
      <c r="F215" s="131"/>
      <c r="G215" s="131"/>
      <c r="H215" s="131"/>
      <c r="I215" s="131"/>
      <c r="J215" s="131"/>
      <c r="K215" s="131"/>
      <c r="L215" s="131"/>
      <c r="M215" s="131"/>
      <c r="N215" s="131"/>
      <c r="O215" s="142"/>
      <c r="P215" s="142"/>
      <c r="Q215" s="142"/>
      <c r="R215" s="131"/>
      <c r="S215" s="142"/>
      <c r="T215" s="142"/>
      <c r="U215" s="142"/>
      <c r="V215" s="142"/>
      <c r="W215" s="142"/>
      <c r="X215" s="142"/>
      <c r="Y215" s="142"/>
      <c r="Z215" s="142"/>
      <c r="AA215" s="142"/>
      <c r="AB215" s="142"/>
    </row>
    <row r="216" ht="13.5" customHeight="1">
      <c r="A216" s="142"/>
      <c r="B216" s="142"/>
      <c r="C216" s="142"/>
      <c r="D216" s="142"/>
      <c r="E216" s="131"/>
      <c r="F216" s="131"/>
      <c r="G216" s="131"/>
      <c r="H216" s="131"/>
      <c r="I216" s="131"/>
      <c r="J216" s="131"/>
      <c r="K216" s="131"/>
      <c r="L216" s="131"/>
      <c r="M216" s="131"/>
      <c r="N216" s="131"/>
      <c r="O216" s="142"/>
      <c r="P216" s="142"/>
      <c r="Q216" s="142"/>
      <c r="R216" s="131"/>
      <c r="S216" s="142"/>
      <c r="T216" s="142"/>
      <c r="U216" s="142"/>
      <c r="V216" s="142"/>
      <c r="W216" s="142"/>
      <c r="X216" s="142"/>
      <c r="Y216" s="142"/>
      <c r="Z216" s="142"/>
      <c r="AA216" s="142"/>
      <c r="AB216" s="142"/>
    </row>
    <row r="217" ht="13.5" customHeight="1">
      <c r="A217" s="142"/>
      <c r="B217" s="142"/>
      <c r="C217" s="142"/>
      <c r="D217" s="142"/>
      <c r="E217" s="131"/>
      <c r="F217" s="131"/>
      <c r="G217" s="131"/>
      <c r="H217" s="131"/>
      <c r="I217" s="131"/>
      <c r="J217" s="131"/>
      <c r="K217" s="131"/>
      <c r="L217" s="131"/>
      <c r="M217" s="131"/>
      <c r="N217" s="131"/>
      <c r="O217" s="142"/>
      <c r="P217" s="142"/>
      <c r="Q217" s="142"/>
      <c r="R217" s="131"/>
      <c r="S217" s="142"/>
      <c r="T217" s="142"/>
      <c r="U217" s="142"/>
      <c r="V217" s="142"/>
      <c r="W217" s="142"/>
      <c r="X217" s="142"/>
      <c r="Y217" s="142"/>
      <c r="Z217" s="142"/>
      <c r="AA217" s="142"/>
      <c r="AB217" s="142"/>
    </row>
    <row r="218" ht="13.5" customHeight="1">
      <c r="A218" s="142"/>
      <c r="B218" s="142"/>
      <c r="C218" s="142"/>
      <c r="D218" s="142"/>
      <c r="E218" s="131"/>
      <c r="F218" s="131"/>
      <c r="G218" s="131"/>
      <c r="H218" s="131"/>
      <c r="I218" s="131"/>
      <c r="J218" s="131"/>
      <c r="K218" s="131"/>
      <c r="L218" s="131"/>
      <c r="M218" s="131"/>
      <c r="N218" s="131"/>
      <c r="O218" s="142"/>
      <c r="P218" s="142"/>
      <c r="Q218" s="142"/>
      <c r="R218" s="131"/>
      <c r="S218" s="142"/>
      <c r="T218" s="142"/>
      <c r="U218" s="142"/>
      <c r="V218" s="142"/>
      <c r="W218" s="142"/>
      <c r="X218" s="142"/>
      <c r="Y218" s="142"/>
      <c r="Z218" s="142"/>
      <c r="AA218" s="142"/>
      <c r="AB218" s="142"/>
    </row>
    <row r="219" ht="13.5" customHeight="1">
      <c r="A219" s="142"/>
      <c r="B219" s="142"/>
      <c r="C219" s="142"/>
      <c r="D219" s="142"/>
      <c r="E219" s="131"/>
      <c r="F219" s="131"/>
      <c r="G219" s="131"/>
      <c r="H219" s="131"/>
      <c r="I219" s="131"/>
      <c r="J219" s="131"/>
      <c r="K219" s="131"/>
      <c r="L219" s="131"/>
      <c r="M219" s="131"/>
      <c r="N219" s="131"/>
      <c r="O219" s="142"/>
      <c r="P219" s="142"/>
      <c r="Q219" s="142"/>
      <c r="R219" s="131"/>
      <c r="S219" s="142"/>
      <c r="T219" s="142"/>
      <c r="U219" s="142"/>
      <c r="V219" s="142"/>
      <c r="W219" s="142"/>
      <c r="X219" s="142"/>
      <c r="Y219" s="142"/>
      <c r="Z219" s="142"/>
      <c r="AA219" s="142"/>
      <c r="AB219" s="142"/>
    </row>
    <row r="220" ht="13.5" customHeight="1">
      <c r="A220" s="142"/>
      <c r="B220" s="142"/>
      <c r="C220" s="142"/>
      <c r="D220" s="142"/>
      <c r="E220" s="131"/>
      <c r="F220" s="131"/>
      <c r="G220" s="131"/>
      <c r="H220" s="131"/>
      <c r="I220" s="131"/>
      <c r="J220" s="131"/>
      <c r="K220" s="131"/>
      <c r="L220" s="131"/>
      <c r="M220" s="131"/>
      <c r="N220" s="131"/>
      <c r="O220" s="142"/>
      <c r="P220" s="142"/>
      <c r="Q220" s="142"/>
      <c r="R220" s="131"/>
      <c r="S220" s="142"/>
      <c r="T220" s="142"/>
      <c r="U220" s="142"/>
      <c r="V220" s="142"/>
      <c r="W220" s="142"/>
      <c r="X220" s="142"/>
      <c r="Y220" s="142"/>
      <c r="Z220" s="142"/>
      <c r="AA220" s="142"/>
      <c r="AB220" s="142"/>
    </row>
    <row r="221" ht="13.5" customHeight="1">
      <c r="A221" s="142"/>
      <c r="B221" s="142"/>
      <c r="C221" s="142"/>
      <c r="D221" s="142"/>
      <c r="E221" s="131"/>
      <c r="F221" s="131"/>
      <c r="G221" s="131"/>
      <c r="H221" s="131"/>
      <c r="I221" s="131"/>
      <c r="J221" s="131"/>
      <c r="K221" s="131"/>
      <c r="L221" s="131"/>
      <c r="M221" s="131"/>
      <c r="N221" s="131"/>
      <c r="O221" s="142"/>
      <c r="P221" s="142"/>
      <c r="Q221" s="142"/>
      <c r="R221" s="131"/>
      <c r="S221" s="142"/>
      <c r="T221" s="142"/>
      <c r="U221" s="142"/>
      <c r="V221" s="142"/>
      <c r="W221" s="142"/>
      <c r="X221" s="142"/>
      <c r="Y221" s="142"/>
      <c r="Z221" s="142"/>
      <c r="AA221" s="142"/>
      <c r="AB221" s="142"/>
    </row>
    <row r="222" ht="13.5" customHeight="1">
      <c r="A222" s="142"/>
      <c r="B222" s="142"/>
      <c r="C222" s="142"/>
      <c r="D222" s="142"/>
      <c r="E222" s="131"/>
      <c r="F222" s="131"/>
      <c r="G222" s="131"/>
      <c r="H222" s="131"/>
      <c r="I222" s="131"/>
      <c r="J222" s="131"/>
      <c r="K222" s="131"/>
      <c r="L222" s="131"/>
      <c r="M222" s="131"/>
      <c r="N222" s="131"/>
      <c r="O222" s="142"/>
      <c r="P222" s="142"/>
      <c r="Q222" s="142"/>
      <c r="R222" s="131"/>
      <c r="S222" s="142"/>
      <c r="T222" s="142"/>
      <c r="U222" s="142"/>
      <c r="V222" s="142"/>
      <c r="W222" s="142"/>
      <c r="X222" s="142"/>
      <c r="Y222" s="142"/>
      <c r="Z222" s="142"/>
      <c r="AA222" s="142"/>
      <c r="AB222" s="142"/>
    </row>
    <row r="223" ht="13.5" customHeight="1">
      <c r="A223" s="142"/>
      <c r="B223" s="142"/>
      <c r="C223" s="142"/>
      <c r="D223" s="142"/>
      <c r="E223" s="131"/>
      <c r="F223" s="131"/>
      <c r="G223" s="131"/>
      <c r="H223" s="131"/>
      <c r="I223" s="131"/>
      <c r="J223" s="131"/>
      <c r="K223" s="131"/>
      <c r="L223" s="131"/>
      <c r="M223" s="131"/>
      <c r="N223" s="131"/>
      <c r="O223" s="142"/>
      <c r="P223" s="142"/>
      <c r="Q223" s="142"/>
      <c r="R223" s="131"/>
      <c r="S223" s="142"/>
      <c r="T223" s="142"/>
      <c r="U223" s="142"/>
      <c r="V223" s="142"/>
      <c r="W223" s="142"/>
      <c r="X223" s="142"/>
      <c r="Y223" s="142"/>
      <c r="Z223" s="142"/>
      <c r="AA223" s="142"/>
      <c r="AB223" s="142"/>
    </row>
    <row r="224" ht="13.5" customHeight="1">
      <c r="A224" s="142"/>
      <c r="B224" s="142"/>
      <c r="C224" s="142"/>
      <c r="D224" s="142"/>
      <c r="E224" s="131"/>
      <c r="F224" s="131"/>
      <c r="G224" s="131"/>
      <c r="H224" s="131"/>
      <c r="I224" s="131"/>
      <c r="J224" s="131"/>
      <c r="K224" s="131"/>
      <c r="L224" s="131"/>
      <c r="M224" s="131"/>
      <c r="N224" s="131"/>
      <c r="O224" s="142"/>
      <c r="P224" s="142"/>
      <c r="Q224" s="142"/>
      <c r="R224" s="131"/>
      <c r="S224" s="142"/>
      <c r="T224" s="142"/>
      <c r="U224" s="142"/>
      <c r="V224" s="142"/>
      <c r="W224" s="142"/>
      <c r="X224" s="142"/>
      <c r="Y224" s="142"/>
      <c r="Z224" s="142"/>
      <c r="AA224" s="142"/>
      <c r="AB224" s="142"/>
    </row>
    <row r="225" ht="13.5" customHeight="1">
      <c r="A225" s="142"/>
      <c r="B225" s="142"/>
      <c r="C225" s="142"/>
      <c r="D225" s="142"/>
      <c r="E225" s="131"/>
      <c r="F225" s="131"/>
      <c r="G225" s="131"/>
      <c r="H225" s="131"/>
      <c r="I225" s="131"/>
      <c r="J225" s="131"/>
      <c r="K225" s="131"/>
      <c r="L225" s="131"/>
      <c r="M225" s="131"/>
      <c r="N225" s="131"/>
      <c r="O225" s="142"/>
      <c r="P225" s="142"/>
      <c r="Q225" s="142"/>
      <c r="R225" s="131"/>
      <c r="S225" s="142"/>
      <c r="T225" s="142"/>
      <c r="U225" s="142"/>
      <c r="V225" s="142"/>
      <c r="W225" s="142"/>
      <c r="X225" s="142"/>
      <c r="Y225" s="142"/>
      <c r="Z225" s="142"/>
      <c r="AA225" s="142"/>
      <c r="AB225" s="142"/>
    </row>
    <row r="226" ht="13.5" customHeight="1">
      <c r="A226" s="142"/>
      <c r="B226" s="142"/>
      <c r="C226" s="142"/>
      <c r="D226" s="142"/>
      <c r="E226" s="131"/>
      <c r="F226" s="131"/>
      <c r="G226" s="131"/>
      <c r="H226" s="131"/>
      <c r="I226" s="131"/>
      <c r="J226" s="131"/>
      <c r="K226" s="131"/>
      <c r="L226" s="131"/>
      <c r="M226" s="131"/>
      <c r="N226" s="131"/>
      <c r="O226" s="142"/>
      <c r="P226" s="142"/>
      <c r="Q226" s="142"/>
      <c r="R226" s="131"/>
      <c r="S226" s="142"/>
      <c r="T226" s="142"/>
      <c r="U226" s="142"/>
      <c r="V226" s="142"/>
      <c r="W226" s="142"/>
      <c r="X226" s="142"/>
      <c r="Y226" s="142"/>
      <c r="Z226" s="142"/>
      <c r="AA226" s="142"/>
      <c r="AB226" s="142"/>
    </row>
    <row r="227" ht="13.5" customHeight="1">
      <c r="A227" s="142"/>
      <c r="B227" s="142"/>
      <c r="C227" s="142"/>
      <c r="D227" s="142"/>
      <c r="E227" s="131"/>
      <c r="F227" s="131"/>
      <c r="G227" s="131"/>
      <c r="H227" s="131"/>
      <c r="I227" s="131"/>
      <c r="J227" s="131"/>
      <c r="K227" s="131"/>
      <c r="L227" s="131"/>
      <c r="M227" s="131"/>
      <c r="N227" s="131"/>
      <c r="O227" s="142"/>
      <c r="P227" s="142"/>
      <c r="Q227" s="142"/>
      <c r="R227" s="131"/>
      <c r="S227" s="142"/>
      <c r="T227" s="142"/>
      <c r="U227" s="142"/>
      <c r="V227" s="142"/>
      <c r="W227" s="142"/>
      <c r="X227" s="142"/>
      <c r="Y227" s="142"/>
      <c r="Z227" s="142"/>
      <c r="AA227" s="142"/>
      <c r="AB227" s="142"/>
    </row>
    <row r="228" ht="13.5" customHeight="1">
      <c r="A228" s="142"/>
      <c r="B228" s="142"/>
      <c r="C228" s="142"/>
      <c r="D228" s="142"/>
      <c r="E228" s="131"/>
      <c r="F228" s="131"/>
      <c r="G228" s="131"/>
      <c r="H228" s="131"/>
      <c r="I228" s="131"/>
      <c r="J228" s="131"/>
      <c r="K228" s="131"/>
      <c r="L228" s="131"/>
      <c r="M228" s="131"/>
      <c r="N228" s="131"/>
      <c r="O228" s="142"/>
      <c r="P228" s="142"/>
      <c r="Q228" s="142"/>
      <c r="R228" s="131"/>
      <c r="S228" s="142"/>
      <c r="T228" s="142"/>
      <c r="U228" s="142"/>
      <c r="V228" s="142"/>
      <c r="W228" s="142"/>
      <c r="X228" s="142"/>
      <c r="Y228" s="142"/>
      <c r="Z228" s="142"/>
      <c r="AA228" s="142"/>
      <c r="AB228" s="142"/>
    </row>
    <row r="229" ht="13.5" customHeight="1">
      <c r="A229" s="142"/>
      <c r="B229" s="142"/>
      <c r="C229" s="142"/>
      <c r="D229" s="142"/>
      <c r="E229" s="131"/>
      <c r="F229" s="131"/>
      <c r="G229" s="131"/>
      <c r="H229" s="131"/>
      <c r="I229" s="131"/>
      <c r="J229" s="131"/>
      <c r="K229" s="131"/>
      <c r="L229" s="131"/>
      <c r="M229" s="131"/>
      <c r="N229" s="131"/>
      <c r="O229" s="142"/>
      <c r="P229" s="142"/>
      <c r="Q229" s="142"/>
      <c r="R229" s="131"/>
      <c r="S229" s="142"/>
      <c r="T229" s="142"/>
      <c r="U229" s="142"/>
      <c r="V229" s="142"/>
      <c r="W229" s="142"/>
      <c r="X229" s="142"/>
      <c r="Y229" s="142"/>
      <c r="Z229" s="142"/>
      <c r="AA229" s="142"/>
      <c r="AB229" s="142"/>
    </row>
    <row r="230" ht="13.5" customHeight="1">
      <c r="A230" s="142"/>
      <c r="B230" s="142"/>
      <c r="C230" s="142"/>
      <c r="D230" s="142"/>
      <c r="E230" s="131"/>
      <c r="F230" s="131"/>
      <c r="G230" s="131"/>
      <c r="H230" s="131"/>
      <c r="I230" s="131"/>
      <c r="J230" s="131"/>
      <c r="K230" s="131"/>
      <c r="L230" s="131"/>
      <c r="M230" s="131"/>
      <c r="N230" s="131"/>
      <c r="O230" s="142"/>
      <c r="P230" s="142"/>
      <c r="Q230" s="142"/>
      <c r="R230" s="131"/>
      <c r="S230" s="142"/>
      <c r="T230" s="142"/>
      <c r="U230" s="142"/>
      <c r="V230" s="142"/>
      <c r="W230" s="142"/>
      <c r="X230" s="142"/>
      <c r="Y230" s="142"/>
      <c r="Z230" s="142"/>
      <c r="AA230" s="142"/>
      <c r="AB230" s="142"/>
    </row>
    <row r="231" ht="13.5" customHeight="1">
      <c r="A231" s="142"/>
      <c r="B231" s="142"/>
      <c r="C231" s="142"/>
      <c r="D231" s="142"/>
      <c r="E231" s="131"/>
      <c r="F231" s="131"/>
      <c r="G231" s="131"/>
      <c r="H231" s="131"/>
      <c r="I231" s="131"/>
      <c r="J231" s="131"/>
      <c r="K231" s="131"/>
      <c r="L231" s="131"/>
      <c r="M231" s="131"/>
      <c r="N231" s="131"/>
      <c r="O231" s="142"/>
      <c r="P231" s="142"/>
      <c r="Q231" s="142"/>
      <c r="R231" s="131"/>
      <c r="S231" s="142"/>
      <c r="T231" s="142"/>
      <c r="U231" s="142"/>
      <c r="V231" s="142"/>
      <c r="W231" s="142"/>
      <c r="X231" s="142"/>
      <c r="Y231" s="142"/>
      <c r="Z231" s="142"/>
      <c r="AA231" s="142"/>
      <c r="AB231" s="142"/>
    </row>
    <row r="232" ht="13.5" customHeight="1">
      <c r="A232" s="142"/>
      <c r="B232" s="142"/>
      <c r="C232" s="142"/>
      <c r="D232" s="142"/>
      <c r="E232" s="131"/>
      <c r="F232" s="131"/>
      <c r="G232" s="131"/>
      <c r="H232" s="131"/>
      <c r="I232" s="131"/>
      <c r="J232" s="131"/>
      <c r="K232" s="131"/>
      <c r="L232" s="131"/>
      <c r="M232" s="131"/>
      <c r="N232" s="131"/>
      <c r="O232" s="142"/>
      <c r="P232" s="142"/>
      <c r="Q232" s="142"/>
      <c r="R232" s="131"/>
      <c r="S232" s="142"/>
      <c r="T232" s="142"/>
      <c r="U232" s="142"/>
      <c r="V232" s="142"/>
      <c r="W232" s="142"/>
      <c r="X232" s="142"/>
      <c r="Y232" s="142"/>
      <c r="Z232" s="142"/>
      <c r="AA232" s="142"/>
      <c r="AB232" s="142"/>
    </row>
    <row r="233" ht="13.5" customHeight="1">
      <c r="A233" s="142"/>
      <c r="B233" s="142"/>
      <c r="C233" s="142"/>
      <c r="D233" s="142"/>
      <c r="E233" s="131"/>
      <c r="F233" s="131"/>
      <c r="G233" s="131"/>
      <c r="H233" s="131"/>
      <c r="I233" s="131"/>
      <c r="J233" s="131"/>
      <c r="K233" s="131"/>
      <c r="L233" s="131"/>
      <c r="M233" s="131"/>
      <c r="N233" s="131"/>
      <c r="O233" s="142"/>
      <c r="P233" s="142"/>
      <c r="Q233" s="142"/>
      <c r="R233" s="131"/>
      <c r="S233" s="142"/>
      <c r="T233" s="142"/>
      <c r="U233" s="142"/>
      <c r="V233" s="142"/>
      <c r="W233" s="142"/>
      <c r="X233" s="142"/>
      <c r="Y233" s="142"/>
      <c r="Z233" s="142"/>
      <c r="AA233" s="142"/>
      <c r="AB233" s="142"/>
    </row>
    <row r="234" ht="13.5" customHeight="1">
      <c r="A234" s="142"/>
      <c r="B234" s="142"/>
      <c r="C234" s="142"/>
      <c r="D234" s="142"/>
      <c r="E234" s="131"/>
      <c r="F234" s="131"/>
      <c r="G234" s="131"/>
      <c r="H234" s="131"/>
      <c r="I234" s="131"/>
      <c r="J234" s="131"/>
      <c r="K234" s="131"/>
      <c r="L234" s="131"/>
      <c r="M234" s="131"/>
      <c r="N234" s="131"/>
      <c r="O234" s="142"/>
      <c r="P234" s="142"/>
      <c r="Q234" s="142"/>
      <c r="R234" s="131"/>
      <c r="S234" s="142"/>
      <c r="T234" s="142"/>
      <c r="U234" s="142"/>
      <c r="V234" s="142"/>
      <c r="W234" s="142"/>
      <c r="X234" s="142"/>
      <c r="Y234" s="142"/>
      <c r="Z234" s="142"/>
      <c r="AA234" s="142"/>
      <c r="AB234" s="142"/>
    </row>
    <row r="235" ht="13.5" customHeight="1">
      <c r="A235" s="142"/>
      <c r="B235" s="142"/>
      <c r="C235" s="142"/>
      <c r="D235" s="142"/>
      <c r="E235" s="131"/>
      <c r="F235" s="131"/>
      <c r="G235" s="131"/>
      <c r="H235" s="131"/>
      <c r="I235" s="131"/>
      <c r="J235" s="131"/>
      <c r="K235" s="131"/>
      <c r="L235" s="131"/>
      <c r="M235" s="131"/>
      <c r="N235" s="131"/>
      <c r="O235" s="142"/>
      <c r="P235" s="142"/>
      <c r="Q235" s="142"/>
      <c r="R235" s="131"/>
      <c r="S235" s="142"/>
      <c r="T235" s="142"/>
      <c r="U235" s="142"/>
      <c r="V235" s="142"/>
      <c r="W235" s="142"/>
      <c r="X235" s="142"/>
      <c r="Y235" s="142"/>
      <c r="Z235" s="142"/>
      <c r="AA235" s="142"/>
      <c r="AB235" s="142"/>
    </row>
    <row r="236" ht="13.5" customHeight="1">
      <c r="A236" s="142"/>
      <c r="B236" s="142"/>
      <c r="C236" s="142"/>
      <c r="D236" s="142"/>
      <c r="E236" s="131"/>
      <c r="F236" s="131"/>
      <c r="G236" s="131"/>
      <c r="H236" s="131"/>
      <c r="I236" s="131"/>
      <c r="J236" s="131"/>
      <c r="K236" s="131"/>
      <c r="L236" s="131"/>
      <c r="M236" s="131"/>
      <c r="N236" s="131"/>
      <c r="O236" s="142"/>
      <c r="P236" s="142"/>
      <c r="Q236" s="142"/>
      <c r="R236" s="131"/>
      <c r="S236" s="142"/>
      <c r="T236" s="142"/>
      <c r="U236" s="142"/>
      <c r="V236" s="142"/>
      <c r="W236" s="142"/>
      <c r="X236" s="142"/>
      <c r="Y236" s="142"/>
      <c r="Z236" s="142"/>
      <c r="AA236" s="142"/>
      <c r="AB236" s="142"/>
    </row>
    <row r="237" ht="13.5" customHeight="1">
      <c r="A237" s="142"/>
      <c r="B237" s="142"/>
      <c r="C237" s="142"/>
      <c r="D237" s="142"/>
      <c r="E237" s="131"/>
      <c r="F237" s="131"/>
      <c r="G237" s="131"/>
      <c r="H237" s="131"/>
      <c r="I237" s="131"/>
      <c r="J237" s="131"/>
      <c r="K237" s="131"/>
      <c r="L237" s="131"/>
      <c r="M237" s="131"/>
      <c r="N237" s="131"/>
      <c r="O237" s="142"/>
      <c r="P237" s="142"/>
      <c r="Q237" s="142"/>
      <c r="R237" s="131"/>
      <c r="S237" s="142"/>
      <c r="T237" s="142"/>
      <c r="U237" s="142"/>
      <c r="V237" s="142"/>
      <c r="W237" s="142"/>
      <c r="X237" s="142"/>
      <c r="Y237" s="142"/>
      <c r="Z237" s="142"/>
      <c r="AA237" s="142"/>
      <c r="AB237" s="142"/>
    </row>
    <row r="238" ht="13.5" customHeight="1">
      <c r="A238" s="142"/>
      <c r="B238" s="142"/>
      <c r="C238" s="142"/>
      <c r="D238" s="142"/>
      <c r="E238" s="131"/>
      <c r="F238" s="131"/>
      <c r="G238" s="131"/>
      <c r="H238" s="131"/>
      <c r="I238" s="131"/>
      <c r="J238" s="131"/>
      <c r="K238" s="131"/>
      <c r="L238" s="131"/>
      <c r="M238" s="131"/>
      <c r="N238" s="131"/>
      <c r="O238" s="142"/>
      <c r="P238" s="142"/>
      <c r="Q238" s="142"/>
      <c r="R238" s="131"/>
      <c r="S238" s="142"/>
      <c r="T238" s="142"/>
      <c r="U238" s="142"/>
      <c r="V238" s="142"/>
      <c r="W238" s="142"/>
      <c r="X238" s="142"/>
      <c r="Y238" s="142"/>
      <c r="Z238" s="142"/>
      <c r="AA238" s="142"/>
      <c r="AB238" s="142"/>
    </row>
    <row r="239" ht="13.5" customHeight="1">
      <c r="A239" s="142"/>
      <c r="B239" s="142"/>
      <c r="C239" s="142"/>
      <c r="D239" s="142"/>
      <c r="E239" s="131"/>
      <c r="F239" s="131"/>
      <c r="G239" s="131"/>
      <c r="H239" s="131"/>
      <c r="I239" s="131"/>
      <c r="J239" s="131"/>
      <c r="K239" s="131"/>
      <c r="L239" s="131"/>
      <c r="M239" s="131"/>
      <c r="N239" s="131"/>
      <c r="O239" s="142"/>
      <c r="P239" s="142"/>
      <c r="Q239" s="142"/>
      <c r="R239" s="131"/>
      <c r="S239" s="142"/>
      <c r="T239" s="142"/>
      <c r="U239" s="142"/>
      <c r="V239" s="142"/>
      <c r="W239" s="142"/>
      <c r="X239" s="142"/>
      <c r="Y239" s="142"/>
      <c r="Z239" s="142"/>
      <c r="AA239" s="142"/>
      <c r="AB239" s="142"/>
    </row>
    <row r="240" ht="13.5" customHeight="1">
      <c r="A240" s="142"/>
      <c r="B240" s="142"/>
      <c r="C240" s="142"/>
      <c r="D240" s="142"/>
      <c r="E240" s="131"/>
      <c r="F240" s="131"/>
      <c r="G240" s="131"/>
      <c r="H240" s="131"/>
      <c r="I240" s="131"/>
      <c r="J240" s="131"/>
      <c r="K240" s="131"/>
      <c r="L240" s="131"/>
      <c r="M240" s="131"/>
      <c r="N240" s="131"/>
      <c r="O240" s="142"/>
      <c r="P240" s="142"/>
      <c r="Q240" s="142"/>
      <c r="R240" s="131"/>
      <c r="S240" s="142"/>
      <c r="T240" s="142"/>
      <c r="U240" s="142"/>
      <c r="V240" s="142"/>
      <c r="W240" s="142"/>
      <c r="X240" s="142"/>
      <c r="Y240" s="142"/>
      <c r="Z240" s="142"/>
      <c r="AA240" s="142"/>
      <c r="AB240" s="142"/>
    </row>
    <row r="241" ht="13.5" customHeight="1">
      <c r="A241" s="142"/>
      <c r="B241" s="142"/>
      <c r="C241" s="142"/>
      <c r="D241" s="142"/>
      <c r="E241" s="131"/>
      <c r="F241" s="131"/>
      <c r="G241" s="131"/>
      <c r="H241" s="131"/>
      <c r="I241" s="131"/>
      <c r="J241" s="131"/>
      <c r="K241" s="131"/>
      <c r="L241" s="131"/>
      <c r="M241" s="131"/>
      <c r="N241" s="131"/>
      <c r="O241" s="142"/>
      <c r="P241" s="142"/>
      <c r="Q241" s="142"/>
      <c r="R241" s="131"/>
      <c r="S241" s="142"/>
      <c r="T241" s="142"/>
      <c r="U241" s="142"/>
      <c r="V241" s="142"/>
      <c r="W241" s="142"/>
      <c r="X241" s="142"/>
      <c r="Y241" s="142"/>
      <c r="Z241" s="142"/>
      <c r="AA241" s="142"/>
      <c r="AB241" s="142"/>
    </row>
    <row r="242" ht="13.5" customHeight="1">
      <c r="A242" s="142"/>
      <c r="B242" s="142"/>
      <c r="C242" s="142"/>
      <c r="D242" s="142"/>
      <c r="E242" s="131"/>
      <c r="F242" s="131"/>
      <c r="G242" s="131"/>
      <c r="H242" s="131"/>
      <c r="I242" s="131"/>
      <c r="J242" s="131"/>
      <c r="K242" s="131"/>
      <c r="L242" s="131"/>
      <c r="M242" s="131"/>
      <c r="N242" s="131"/>
      <c r="O242" s="142"/>
      <c r="P242" s="142"/>
      <c r="Q242" s="142"/>
      <c r="R242" s="131"/>
      <c r="S242" s="142"/>
      <c r="T242" s="142"/>
      <c r="U242" s="142"/>
      <c r="V242" s="142"/>
      <c r="W242" s="142"/>
      <c r="X242" s="142"/>
      <c r="Y242" s="142"/>
      <c r="Z242" s="142"/>
      <c r="AA242" s="142"/>
      <c r="AB242" s="142"/>
    </row>
    <row r="243" ht="13.5" customHeight="1">
      <c r="A243" s="142"/>
      <c r="B243" s="142"/>
      <c r="C243" s="142"/>
      <c r="D243" s="142"/>
      <c r="E243" s="131"/>
      <c r="F243" s="131"/>
      <c r="G243" s="131"/>
      <c r="H243" s="131"/>
      <c r="I243" s="131"/>
      <c r="J243" s="131"/>
      <c r="K243" s="131"/>
      <c r="L243" s="131"/>
      <c r="M243" s="131"/>
      <c r="N243" s="131"/>
      <c r="O243" s="142"/>
      <c r="P243" s="142"/>
      <c r="Q243" s="142"/>
      <c r="R243" s="131"/>
      <c r="S243" s="142"/>
      <c r="T243" s="142"/>
      <c r="U243" s="142"/>
      <c r="V243" s="142"/>
      <c r="W243" s="142"/>
      <c r="X243" s="142"/>
      <c r="Y243" s="142"/>
      <c r="Z243" s="142"/>
      <c r="AA243" s="142"/>
      <c r="AB243" s="142"/>
    </row>
    <row r="244" ht="13.5" customHeight="1">
      <c r="A244" s="142"/>
      <c r="B244" s="142"/>
      <c r="C244" s="142"/>
      <c r="D244" s="142"/>
      <c r="E244" s="131"/>
      <c r="F244" s="131"/>
      <c r="G244" s="131"/>
      <c r="H244" s="131"/>
      <c r="I244" s="131"/>
      <c r="J244" s="131"/>
      <c r="K244" s="131"/>
      <c r="L244" s="131"/>
      <c r="M244" s="131"/>
      <c r="N244" s="131"/>
      <c r="O244" s="142"/>
      <c r="P244" s="142"/>
      <c r="Q244" s="142"/>
      <c r="R244" s="131"/>
      <c r="S244" s="142"/>
      <c r="T244" s="142"/>
      <c r="U244" s="142"/>
      <c r="V244" s="142"/>
      <c r="W244" s="142"/>
      <c r="X244" s="142"/>
      <c r="Y244" s="142"/>
      <c r="Z244" s="142"/>
      <c r="AA244" s="142"/>
      <c r="AB244" s="142"/>
    </row>
    <row r="245" ht="13.5" customHeight="1">
      <c r="A245" s="142"/>
      <c r="B245" s="142"/>
      <c r="C245" s="142"/>
      <c r="D245" s="142"/>
      <c r="E245" s="131"/>
      <c r="F245" s="131"/>
      <c r="G245" s="131"/>
      <c r="H245" s="131"/>
      <c r="I245" s="131"/>
      <c r="J245" s="131"/>
      <c r="K245" s="131"/>
      <c r="L245" s="131"/>
      <c r="M245" s="131"/>
      <c r="N245" s="131"/>
      <c r="O245" s="142"/>
      <c r="P245" s="142"/>
      <c r="Q245" s="142"/>
      <c r="R245" s="131"/>
      <c r="S245" s="142"/>
      <c r="T245" s="142"/>
      <c r="U245" s="142"/>
      <c r="V245" s="142"/>
      <c r="W245" s="142"/>
      <c r="X245" s="142"/>
      <c r="Y245" s="142"/>
      <c r="Z245" s="142"/>
      <c r="AA245" s="142"/>
      <c r="AB245" s="142"/>
    </row>
    <row r="246" ht="13.5" customHeight="1">
      <c r="A246" s="142"/>
      <c r="B246" s="142"/>
      <c r="C246" s="142"/>
      <c r="D246" s="142"/>
      <c r="E246" s="131"/>
      <c r="F246" s="131"/>
      <c r="G246" s="131"/>
      <c r="H246" s="131"/>
      <c r="I246" s="131"/>
      <c r="J246" s="131"/>
      <c r="K246" s="131"/>
      <c r="L246" s="131"/>
      <c r="M246" s="131"/>
      <c r="N246" s="131"/>
      <c r="O246" s="142"/>
      <c r="P246" s="142"/>
      <c r="Q246" s="142"/>
      <c r="R246" s="131"/>
      <c r="S246" s="142"/>
      <c r="T246" s="142"/>
      <c r="U246" s="142"/>
      <c r="V246" s="142"/>
      <c r="W246" s="142"/>
      <c r="X246" s="142"/>
      <c r="Y246" s="142"/>
      <c r="Z246" s="142"/>
      <c r="AA246" s="142"/>
      <c r="AB246" s="142"/>
    </row>
    <row r="247" ht="13.5" customHeight="1">
      <c r="A247" s="142"/>
      <c r="B247" s="142"/>
      <c r="C247" s="142"/>
      <c r="D247" s="142"/>
      <c r="E247" s="131"/>
      <c r="F247" s="131"/>
      <c r="G247" s="131"/>
      <c r="H247" s="131"/>
      <c r="I247" s="131"/>
      <c r="J247" s="131"/>
      <c r="K247" s="131"/>
      <c r="L247" s="131"/>
      <c r="M247" s="131"/>
      <c r="N247" s="131"/>
      <c r="O247" s="142"/>
      <c r="P247" s="142"/>
      <c r="Q247" s="142"/>
      <c r="R247" s="131"/>
      <c r="S247" s="142"/>
      <c r="T247" s="142"/>
      <c r="U247" s="142"/>
      <c r="V247" s="142"/>
      <c r="W247" s="142"/>
      <c r="X247" s="142"/>
      <c r="Y247" s="142"/>
      <c r="Z247" s="142"/>
      <c r="AA247" s="142"/>
      <c r="AB247" s="142"/>
    </row>
    <row r="248" ht="13.5" customHeight="1">
      <c r="A248" s="142"/>
      <c r="B248" s="142"/>
      <c r="C248" s="142"/>
      <c r="D248" s="142"/>
      <c r="E248" s="131"/>
      <c r="F248" s="131"/>
      <c r="G248" s="131"/>
      <c r="H248" s="131"/>
      <c r="I248" s="131"/>
      <c r="J248" s="131"/>
      <c r="K248" s="131"/>
      <c r="L248" s="131"/>
      <c r="M248" s="131"/>
      <c r="N248" s="131"/>
      <c r="O248" s="142"/>
      <c r="P248" s="142"/>
      <c r="Q248" s="142"/>
      <c r="R248" s="131"/>
      <c r="S248" s="142"/>
      <c r="T248" s="142"/>
      <c r="U248" s="142"/>
      <c r="V248" s="142"/>
      <c r="W248" s="142"/>
      <c r="X248" s="142"/>
      <c r="Y248" s="142"/>
      <c r="Z248" s="142"/>
      <c r="AA248" s="142"/>
      <c r="AB248" s="142"/>
    </row>
    <row r="249" ht="13.5" customHeight="1">
      <c r="A249" s="142"/>
      <c r="B249" s="142"/>
      <c r="C249" s="142"/>
      <c r="D249" s="142"/>
      <c r="E249" s="131"/>
      <c r="F249" s="131"/>
      <c r="G249" s="131"/>
      <c r="H249" s="131"/>
      <c r="I249" s="131"/>
      <c r="J249" s="131"/>
      <c r="K249" s="131"/>
      <c r="L249" s="131"/>
      <c r="M249" s="131"/>
      <c r="N249" s="131"/>
      <c r="O249" s="142"/>
      <c r="P249" s="142"/>
      <c r="Q249" s="142"/>
      <c r="R249" s="131"/>
      <c r="S249" s="142"/>
      <c r="T249" s="142"/>
      <c r="U249" s="142"/>
      <c r="V249" s="142"/>
      <c r="W249" s="142"/>
      <c r="X249" s="142"/>
      <c r="Y249" s="142"/>
      <c r="Z249" s="142"/>
      <c r="AA249" s="142"/>
      <c r="AB249" s="142"/>
    </row>
    <row r="250" ht="13.5" customHeight="1">
      <c r="A250" s="142"/>
      <c r="B250" s="142"/>
      <c r="C250" s="142"/>
      <c r="D250" s="142"/>
      <c r="E250" s="131"/>
      <c r="F250" s="131"/>
      <c r="G250" s="131"/>
      <c r="H250" s="131"/>
      <c r="I250" s="131"/>
      <c r="J250" s="131"/>
      <c r="K250" s="131"/>
      <c r="L250" s="131"/>
      <c r="M250" s="131"/>
      <c r="N250" s="131"/>
      <c r="O250" s="142"/>
      <c r="P250" s="142"/>
      <c r="Q250" s="142"/>
      <c r="R250" s="131"/>
      <c r="S250" s="142"/>
      <c r="T250" s="142"/>
      <c r="U250" s="142"/>
      <c r="V250" s="142"/>
      <c r="W250" s="142"/>
      <c r="X250" s="142"/>
      <c r="Y250" s="142"/>
      <c r="Z250" s="142"/>
      <c r="AA250" s="142"/>
      <c r="AB250" s="142"/>
    </row>
    <row r="251" ht="13.5" customHeight="1">
      <c r="A251" s="142"/>
      <c r="B251" s="142"/>
      <c r="C251" s="142"/>
      <c r="D251" s="142"/>
      <c r="E251" s="131"/>
      <c r="F251" s="131"/>
      <c r="G251" s="131"/>
      <c r="H251" s="131"/>
      <c r="I251" s="131"/>
      <c r="J251" s="131"/>
      <c r="K251" s="131"/>
      <c r="L251" s="131"/>
      <c r="M251" s="131"/>
      <c r="N251" s="131"/>
      <c r="O251" s="142"/>
      <c r="P251" s="142"/>
      <c r="Q251" s="142"/>
      <c r="R251" s="131"/>
      <c r="S251" s="142"/>
      <c r="T251" s="142"/>
      <c r="U251" s="142"/>
      <c r="V251" s="142"/>
      <c r="W251" s="142"/>
      <c r="X251" s="142"/>
      <c r="Y251" s="142"/>
      <c r="Z251" s="142"/>
      <c r="AA251" s="142"/>
      <c r="AB251" s="142"/>
    </row>
    <row r="252" ht="13.5" customHeight="1">
      <c r="A252" s="142"/>
      <c r="B252" s="142"/>
      <c r="C252" s="142"/>
      <c r="D252" s="142"/>
      <c r="E252" s="131"/>
      <c r="F252" s="131"/>
      <c r="G252" s="131"/>
      <c r="H252" s="131"/>
      <c r="I252" s="131"/>
      <c r="J252" s="131"/>
      <c r="K252" s="131"/>
      <c r="L252" s="131"/>
      <c r="M252" s="131"/>
      <c r="N252" s="131"/>
      <c r="O252" s="142"/>
      <c r="P252" s="142"/>
      <c r="Q252" s="142"/>
      <c r="R252" s="131"/>
      <c r="S252" s="142"/>
      <c r="T252" s="142"/>
      <c r="U252" s="142"/>
      <c r="V252" s="142"/>
      <c r="W252" s="142"/>
      <c r="X252" s="142"/>
      <c r="Y252" s="142"/>
      <c r="Z252" s="142"/>
      <c r="AA252" s="142"/>
      <c r="AB252" s="142"/>
    </row>
    <row r="253" ht="13.5" customHeight="1">
      <c r="A253" s="142"/>
      <c r="B253" s="142"/>
      <c r="C253" s="142"/>
      <c r="D253" s="142"/>
      <c r="E253" s="131"/>
      <c r="F253" s="131"/>
      <c r="G253" s="131"/>
      <c r="H253" s="131"/>
      <c r="I253" s="131"/>
      <c r="J253" s="131"/>
      <c r="K253" s="131"/>
      <c r="L253" s="131"/>
      <c r="M253" s="131"/>
      <c r="N253" s="131"/>
      <c r="O253" s="142"/>
      <c r="P253" s="142"/>
      <c r="Q253" s="142"/>
      <c r="R253" s="131"/>
      <c r="S253" s="142"/>
      <c r="T253" s="142"/>
      <c r="U253" s="142"/>
      <c r="V253" s="142"/>
      <c r="W253" s="142"/>
      <c r="X253" s="142"/>
      <c r="Y253" s="142"/>
      <c r="Z253" s="142"/>
      <c r="AA253" s="142"/>
      <c r="AB253" s="142"/>
    </row>
    <row r="254" ht="13.5" customHeight="1">
      <c r="A254" s="142"/>
      <c r="B254" s="142"/>
      <c r="C254" s="142"/>
      <c r="D254" s="142"/>
      <c r="E254" s="131"/>
      <c r="F254" s="131"/>
      <c r="G254" s="131"/>
      <c r="H254" s="131"/>
      <c r="I254" s="131"/>
      <c r="J254" s="131"/>
      <c r="K254" s="131"/>
      <c r="L254" s="131"/>
      <c r="M254" s="131"/>
      <c r="N254" s="131"/>
      <c r="O254" s="142"/>
      <c r="P254" s="142"/>
      <c r="Q254" s="142"/>
      <c r="R254" s="131"/>
      <c r="S254" s="142"/>
      <c r="T254" s="142"/>
      <c r="U254" s="142"/>
      <c r="V254" s="142"/>
      <c r="W254" s="142"/>
      <c r="X254" s="142"/>
      <c r="Y254" s="142"/>
      <c r="Z254" s="142"/>
      <c r="AA254" s="142"/>
      <c r="AB254" s="142"/>
    </row>
    <row r="255" ht="13.5" customHeight="1">
      <c r="A255" s="142"/>
      <c r="B255" s="142"/>
      <c r="C255" s="142"/>
      <c r="D255" s="142"/>
      <c r="E255" s="131"/>
      <c r="F255" s="131"/>
      <c r="G255" s="131"/>
      <c r="H255" s="131"/>
      <c r="I255" s="131"/>
      <c r="J255" s="131"/>
      <c r="K255" s="131"/>
      <c r="L255" s="131"/>
      <c r="M255" s="131"/>
      <c r="N255" s="131"/>
      <c r="O255" s="142"/>
      <c r="P255" s="142"/>
      <c r="Q255" s="142"/>
      <c r="R255" s="131"/>
      <c r="S255" s="142"/>
      <c r="T255" s="142"/>
      <c r="U255" s="142"/>
      <c r="V255" s="142"/>
      <c r="W255" s="142"/>
      <c r="X255" s="142"/>
      <c r="Y255" s="142"/>
      <c r="Z255" s="142"/>
      <c r="AA255" s="142"/>
      <c r="AB255" s="142"/>
    </row>
    <row r="256" ht="13.5" customHeight="1">
      <c r="A256" s="142"/>
      <c r="B256" s="142"/>
      <c r="C256" s="142"/>
      <c r="D256" s="142"/>
      <c r="E256" s="131"/>
      <c r="F256" s="131"/>
      <c r="G256" s="131"/>
      <c r="H256" s="131"/>
      <c r="I256" s="131"/>
      <c r="J256" s="131"/>
      <c r="K256" s="131"/>
      <c r="L256" s="131"/>
      <c r="M256" s="131"/>
      <c r="N256" s="131"/>
      <c r="O256" s="142"/>
      <c r="P256" s="142"/>
      <c r="Q256" s="142"/>
      <c r="R256" s="131"/>
      <c r="S256" s="142"/>
      <c r="T256" s="142"/>
      <c r="U256" s="142"/>
      <c r="V256" s="142"/>
      <c r="W256" s="142"/>
      <c r="X256" s="142"/>
      <c r="Y256" s="142"/>
      <c r="Z256" s="142"/>
      <c r="AA256" s="142"/>
      <c r="AB256" s="142"/>
    </row>
    <row r="257" ht="13.5" customHeight="1">
      <c r="A257" s="142"/>
      <c r="B257" s="142"/>
      <c r="C257" s="142"/>
      <c r="D257" s="142"/>
      <c r="E257" s="131"/>
      <c r="F257" s="131"/>
      <c r="G257" s="131"/>
      <c r="H257" s="131"/>
      <c r="I257" s="131"/>
      <c r="J257" s="131"/>
      <c r="K257" s="131"/>
      <c r="L257" s="131"/>
      <c r="M257" s="131"/>
      <c r="N257" s="131"/>
      <c r="O257" s="142"/>
      <c r="P257" s="142"/>
      <c r="Q257" s="142"/>
      <c r="R257" s="131"/>
      <c r="S257" s="142"/>
      <c r="T257" s="142"/>
      <c r="U257" s="142"/>
      <c r="V257" s="142"/>
      <c r="W257" s="142"/>
      <c r="X257" s="142"/>
      <c r="Y257" s="142"/>
      <c r="Z257" s="142"/>
      <c r="AA257" s="142"/>
      <c r="AB257" s="142"/>
    </row>
    <row r="258" ht="13.5" customHeight="1">
      <c r="A258" s="142"/>
      <c r="B258" s="142"/>
      <c r="C258" s="142"/>
      <c r="D258" s="142"/>
      <c r="E258" s="131"/>
      <c r="F258" s="131"/>
      <c r="G258" s="131"/>
      <c r="H258" s="131"/>
      <c r="I258" s="131"/>
      <c r="J258" s="131"/>
      <c r="K258" s="131"/>
      <c r="L258" s="131"/>
      <c r="M258" s="131"/>
      <c r="N258" s="131"/>
      <c r="O258" s="142"/>
      <c r="P258" s="142"/>
      <c r="Q258" s="142"/>
      <c r="R258" s="131"/>
      <c r="S258" s="142"/>
      <c r="T258" s="142"/>
      <c r="U258" s="142"/>
      <c r="V258" s="142"/>
      <c r="W258" s="142"/>
      <c r="X258" s="142"/>
      <c r="Y258" s="142"/>
      <c r="Z258" s="142"/>
      <c r="AA258" s="142"/>
      <c r="AB258" s="142"/>
    </row>
    <row r="259" ht="13.5" customHeight="1">
      <c r="A259" s="142"/>
      <c r="B259" s="142"/>
      <c r="C259" s="142"/>
      <c r="D259" s="142"/>
      <c r="E259" s="131"/>
      <c r="F259" s="131"/>
      <c r="G259" s="131"/>
      <c r="H259" s="131"/>
      <c r="I259" s="131"/>
      <c r="J259" s="131"/>
      <c r="K259" s="131"/>
      <c r="L259" s="131"/>
      <c r="M259" s="131"/>
      <c r="N259" s="131"/>
      <c r="O259" s="142"/>
      <c r="P259" s="142"/>
      <c r="Q259" s="142"/>
      <c r="R259" s="131"/>
      <c r="S259" s="142"/>
      <c r="T259" s="142"/>
      <c r="U259" s="142"/>
      <c r="V259" s="142"/>
      <c r="W259" s="142"/>
      <c r="X259" s="142"/>
      <c r="Y259" s="142"/>
      <c r="Z259" s="142"/>
      <c r="AA259" s="142"/>
      <c r="AB259" s="142"/>
    </row>
    <row r="260" ht="13.5" customHeight="1">
      <c r="A260" s="142"/>
      <c r="B260" s="142"/>
      <c r="C260" s="142"/>
      <c r="D260" s="142"/>
      <c r="E260" s="131"/>
      <c r="F260" s="131"/>
      <c r="G260" s="131"/>
      <c r="H260" s="131"/>
      <c r="I260" s="131"/>
      <c r="J260" s="131"/>
      <c r="K260" s="131"/>
      <c r="L260" s="131"/>
      <c r="M260" s="131"/>
      <c r="N260" s="131"/>
      <c r="O260" s="142"/>
      <c r="P260" s="142"/>
      <c r="Q260" s="142"/>
      <c r="R260" s="131"/>
      <c r="S260" s="142"/>
      <c r="T260" s="142"/>
      <c r="U260" s="142"/>
      <c r="V260" s="142"/>
      <c r="W260" s="142"/>
      <c r="X260" s="142"/>
      <c r="Y260" s="142"/>
      <c r="Z260" s="142"/>
      <c r="AA260" s="142"/>
      <c r="AB260" s="142"/>
    </row>
    <row r="261" ht="13.5" customHeight="1">
      <c r="A261" s="142"/>
      <c r="B261" s="142"/>
      <c r="C261" s="142"/>
      <c r="D261" s="142"/>
      <c r="E261" s="131"/>
      <c r="F261" s="131"/>
      <c r="G261" s="131"/>
      <c r="H261" s="131"/>
      <c r="I261" s="131"/>
      <c r="J261" s="131"/>
      <c r="K261" s="131"/>
      <c r="L261" s="131"/>
      <c r="M261" s="131"/>
      <c r="N261" s="131"/>
      <c r="O261" s="142"/>
      <c r="P261" s="142"/>
      <c r="Q261" s="142"/>
      <c r="R261" s="131"/>
      <c r="S261" s="142"/>
      <c r="T261" s="142"/>
      <c r="U261" s="142"/>
      <c r="V261" s="142"/>
      <c r="W261" s="142"/>
      <c r="X261" s="142"/>
      <c r="Y261" s="142"/>
      <c r="Z261" s="142"/>
      <c r="AA261" s="142"/>
      <c r="AB261" s="142"/>
    </row>
    <row r="262" ht="13.5" customHeight="1">
      <c r="A262" s="142"/>
      <c r="B262" s="142"/>
      <c r="C262" s="142"/>
      <c r="D262" s="142"/>
      <c r="E262" s="131"/>
      <c r="F262" s="131"/>
      <c r="G262" s="131"/>
      <c r="H262" s="131"/>
      <c r="I262" s="131"/>
      <c r="J262" s="131"/>
      <c r="K262" s="131"/>
      <c r="L262" s="131"/>
      <c r="M262" s="131"/>
      <c r="N262" s="131"/>
      <c r="O262" s="142"/>
      <c r="P262" s="142"/>
      <c r="Q262" s="142"/>
      <c r="R262" s="131"/>
      <c r="S262" s="142"/>
      <c r="T262" s="142"/>
      <c r="U262" s="142"/>
      <c r="V262" s="142"/>
      <c r="W262" s="142"/>
      <c r="X262" s="142"/>
      <c r="Y262" s="142"/>
      <c r="Z262" s="142"/>
      <c r="AA262" s="142"/>
      <c r="AB262" s="142"/>
    </row>
    <row r="263" ht="13.5" customHeight="1">
      <c r="A263" s="142"/>
      <c r="B263" s="142"/>
      <c r="C263" s="142"/>
      <c r="D263" s="142"/>
      <c r="E263" s="131"/>
      <c r="F263" s="131"/>
      <c r="G263" s="131"/>
      <c r="H263" s="131"/>
      <c r="I263" s="131"/>
      <c r="J263" s="131"/>
      <c r="K263" s="131"/>
      <c r="L263" s="131"/>
      <c r="M263" s="131"/>
      <c r="N263" s="131"/>
      <c r="O263" s="142"/>
      <c r="P263" s="142"/>
      <c r="Q263" s="142"/>
      <c r="R263" s="131"/>
      <c r="S263" s="142"/>
      <c r="T263" s="142"/>
      <c r="U263" s="142"/>
      <c r="V263" s="142"/>
      <c r="W263" s="142"/>
      <c r="X263" s="142"/>
      <c r="Y263" s="142"/>
      <c r="Z263" s="142"/>
      <c r="AA263" s="142"/>
      <c r="AB263" s="142"/>
    </row>
    <row r="264" ht="13.5" customHeight="1">
      <c r="A264" s="142"/>
      <c r="B264" s="142"/>
      <c r="C264" s="142"/>
      <c r="D264" s="142"/>
      <c r="E264" s="131"/>
      <c r="F264" s="131"/>
      <c r="G264" s="131"/>
      <c r="H264" s="131"/>
      <c r="I264" s="131"/>
      <c r="J264" s="131"/>
      <c r="K264" s="131"/>
      <c r="L264" s="131"/>
      <c r="M264" s="131"/>
      <c r="N264" s="131"/>
      <c r="O264" s="142"/>
      <c r="P264" s="142"/>
      <c r="Q264" s="142"/>
      <c r="R264" s="131"/>
      <c r="S264" s="142"/>
      <c r="T264" s="142"/>
      <c r="U264" s="142"/>
      <c r="V264" s="142"/>
      <c r="W264" s="142"/>
      <c r="X264" s="142"/>
      <c r="Y264" s="142"/>
      <c r="Z264" s="142"/>
      <c r="AA264" s="142"/>
      <c r="AB264" s="142"/>
    </row>
    <row r="265" ht="13.5" customHeight="1">
      <c r="A265" s="142"/>
      <c r="B265" s="142"/>
      <c r="C265" s="142"/>
      <c r="D265" s="142"/>
      <c r="E265" s="131"/>
      <c r="F265" s="131"/>
      <c r="G265" s="131"/>
      <c r="H265" s="131"/>
      <c r="I265" s="131"/>
      <c r="J265" s="131"/>
      <c r="K265" s="131"/>
      <c r="L265" s="131"/>
      <c r="M265" s="131"/>
      <c r="N265" s="131"/>
      <c r="O265" s="142"/>
      <c r="P265" s="142"/>
      <c r="Q265" s="142"/>
      <c r="R265" s="131"/>
      <c r="S265" s="142"/>
      <c r="T265" s="142"/>
      <c r="U265" s="142"/>
      <c r="V265" s="142"/>
      <c r="W265" s="142"/>
      <c r="X265" s="142"/>
      <c r="Y265" s="142"/>
      <c r="Z265" s="142"/>
      <c r="AA265" s="142"/>
      <c r="AB265" s="142"/>
    </row>
    <row r="266" ht="13.5" customHeight="1">
      <c r="A266" s="142"/>
      <c r="B266" s="142"/>
      <c r="C266" s="142"/>
      <c r="D266" s="142"/>
      <c r="E266" s="131"/>
      <c r="F266" s="131"/>
      <c r="G266" s="131"/>
      <c r="H266" s="131"/>
      <c r="I266" s="131"/>
      <c r="J266" s="131"/>
      <c r="K266" s="131"/>
      <c r="L266" s="131"/>
      <c r="M266" s="131"/>
      <c r="N266" s="131"/>
      <c r="O266" s="142"/>
      <c r="P266" s="142"/>
      <c r="Q266" s="142"/>
      <c r="R266" s="131"/>
      <c r="S266" s="142"/>
      <c r="T266" s="142"/>
      <c r="U266" s="142"/>
      <c r="V266" s="142"/>
      <c r="W266" s="142"/>
      <c r="X266" s="142"/>
      <c r="Y266" s="142"/>
      <c r="Z266" s="142"/>
      <c r="AA266" s="142"/>
      <c r="AB266" s="142"/>
    </row>
    <row r="267" ht="13.5" customHeight="1">
      <c r="A267" s="142"/>
      <c r="B267" s="142"/>
      <c r="C267" s="142"/>
      <c r="D267" s="142"/>
      <c r="E267" s="131"/>
      <c r="F267" s="131"/>
      <c r="G267" s="131"/>
      <c r="H267" s="131"/>
      <c r="I267" s="131"/>
      <c r="J267" s="131"/>
      <c r="K267" s="131"/>
      <c r="L267" s="131"/>
      <c r="M267" s="131"/>
      <c r="N267" s="131"/>
      <c r="O267" s="142"/>
      <c r="P267" s="142"/>
      <c r="Q267" s="142"/>
      <c r="R267" s="131"/>
      <c r="S267" s="142"/>
      <c r="T267" s="142"/>
      <c r="U267" s="142"/>
      <c r="V267" s="142"/>
      <c r="W267" s="142"/>
      <c r="X267" s="142"/>
      <c r="Y267" s="142"/>
      <c r="Z267" s="142"/>
      <c r="AA267" s="142"/>
      <c r="AB267" s="142"/>
    </row>
    <row r="268" ht="13.5" customHeight="1">
      <c r="A268" s="142"/>
      <c r="B268" s="142"/>
      <c r="C268" s="142"/>
      <c r="D268" s="142"/>
      <c r="E268" s="131"/>
      <c r="F268" s="131"/>
      <c r="G268" s="131"/>
      <c r="H268" s="131"/>
      <c r="I268" s="131"/>
      <c r="J268" s="131"/>
      <c r="K268" s="131"/>
      <c r="L268" s="131"/>
      <c r="M268" s="131"/>
      <c r="N268" s="131"/>
      <c r="O268" s="142"/>
      <c r="P268" s="142"/>
      <c r="Q268" s="142"/>
      <c r="R268" s="131"/>
      <c r="S268" s="142"/>
      <c r="T268" s="142"/>
      <c r="U268" s="142"/>
      <c r="V268" s="142"/>
      <c r="W268" s="142"/>
      <c r="X268" s="142"/>
      <c r="Y268" s="142"/>
      <c r="Z268" s="142"/>
      <c r="AA268" s="142"/>
      <c r="AB268" s="142"/>
    </row>
    <row r="269" ht="13.5" customHeight="1">
      <c r="A269" s="142"/>
      <c r="B269" s="142"/>
      <c r="C269" s="142"/>
      <c r="D269" s="142"/>
      <c r="E269" s="131"/>
      <c r="F269" s="131"/>
      <c r="G269" s="131"/>
      <c r="H269" s="131"/>
      <c r="I269" s="131"/>
      <c r="J269" s="131"/>
      <c r="K269" s="131"/>
      <c r="L269" s="131"/>
      <c r="M269" s="131"/>
      <c r="N269" s="131"/>
      <c r="O269" s="142"/>
      <c r="P269" s="142"/>
      <c r="Q269" s="142"/>
      <c r="R269" s="131"/>
      <c r="S269" s="142"/>
      <c r="T269" s="142"/>
      <c r="U269" s="142"/>
      <c r="V269" s="142"/>
      <c r="W269" s="142"/>
      <c r="X269" s="142"/>
      <c r="Y269" s="142"/>
      <c r="Z269" s="142"/>
      <c r="AA269" s="142"/>
      <c r="AB269" s="142"/>
    </row>
    <row r="270" ht="13.5" customHeight="1">
      <c r="A270" s="142"/>
      <c r="B270" s="142"/>
      <c r="C270" s="142"/>
      <c r="D270" s="142"/>
      <c r="E270" s="131"/>
      <c r="F270" s="131"/>
      <c r="G270" s="131"/>
      <c r="H270" s="131"/>
      <c r="I270" s="131"/>
      <c r="J270" s="131"/>
      <c r="K270" s="131"/>
      <c r="L270" s="131"/>
      <c r="M270" s="131"/>
      <c r="N270" s="131"/>
      <c r="O270" s="142"/>
      <c r="P270" s="142"/>
      <c r="Q270" s="142"/>
      <c r="R270" s="131"/>
      <c r="S270" s="142"/>
      <c r="T270" s="142"/>
      <c r="U270" s="142"/>
      <c r="V270" s="142"/>
      <c r="W270" s="142"/>
      <c r="X270" s="142"/>
      <c r="Y270" s="142"/>
      <c r="Z270" s="142"/>
      <c r="AA270" s="142"/>
      <c r="AB270" s="142"/>
    </row>
    <row r="271" ht="13.5" customHeight="1">
      <c r="A271" s="142"/>
      <c r="B271" s="142"/>
      <c r="C271" s="142"/>
      <c r="D271" s="142"/>
      <c r="E271" s="131"/>
      <c r="F271" s="131"/>
      <c r="G271" s="131"/>
      <c r="H271" s="131"/>
      <c r="I271" s="131"/>
      <c r="J271" s="131"/>
      <c r="K271" s="131"/>
      <c r="L271" s="131"/>
      <c r="M271" s="131"/>
      <c r="N271" s="131"/>
      <c r="O271" s="142"/>
      <c r="P271" s="142"/>
      <c r="Q271" s="142"/>
      <c r="R271" s="131"/>
      <c r="S271" s="142"/>
      <c r="T271" s="142"/>
      <c r="U271" s="142"/>
      <c r="V271" s="142"/>
      <c r="W271" s="142"/>
      <c r="X271" s="142"/>
      <c r="Y271" s="142"/>
      <c r="Z271" s="142"/>
      <c r="AA271" s="142"/>
      <c r="AB271" s="142"/>
    </row>
    <row r="272" ht="13.5" customHeight="1">
      <c r="A272" s="142"/>
      <c r="B272" s="142"/>
      <c r="C272" s="142"/>
      <c r="D272" s="142"/>
      <c r="E272" s="131"/>
      <c r="F272" s="131"/>
      <c r="G272" s="131"/>
      <c r="H272" s="131"/>
      <c r="I272" s="131"/>
      <c r="J272" s="131"/>
      <c r="K272" s="131"/>
      <c r="L272" s="131"/>
      <c r="M272" s="131"/>
      <c r="N272" s="131"/>
      <c r="O272" s="142"/>
      <c r="P272" s="142"/>
      <c r="Q272" s="142"/>
      <c r="R272" s="131"/>
      <c r="S272" s="142"/>
      <c r="T272" s="142"/>
      <c r="U272" s="142"/>
      <c r="V272" s="142"/>
      <c r="W272" s="142"/>
      <c r="X272" s="142"/>
      <c r="Y272" s="142"/>
      <c r="Z272" s="142"/>
      <c r="AA272" s="142"/>
      <c r="AB272" s="142"/>
    </row>
    <row r="273" ht="13.5" customHeight="1">
      <c r="A273" s="142"/>
      <c r="B273" s="142"/>
      <c r="C273" s="142"/>
      <c r="D273" s="142"/>
      <c r="E273" s="131"/>
      <c r="F273" s="131"/>
      <c r="G273" s="131"/>
      <c r="H273" s="131"/>
      <c r="I273" s="131"/>
      <c r="J273" s="131"/>
      <c r="K273" s="131"/>
      <c r="L273" s="131"/>
      <c r="M273" s="131"/>
      <c r="N273" s="131"/>
      <c r="O273" s="142"/>
      <c r="P273" s="142"/>
      <c r="Q273" s="142"/>
      <c r="R273" s="131"/>
      <c r="S273" s="142"/>
      <c r="T273" s="142"/>
      <c r="U273" s="142"/>
      <c r="V273" s="142"/>
      <c r="W273" s="142"/>
      <c r="X273" s="142"/>
      <c r="Y273" s="142"/>
      <c r="Z273" s="142"/>
      <c r="AA273" s="142"/>
      <c r="AB273" s="142"/>
    </row>
    <row r="274" ht="13.5" customHeight="1">
      <c r="A274" s="142"/>
      <c r="B274" s="142"/>
      <c r="C274" s="142"/>
      <c r="D274" s="142"/>
      <c r="E274" s="131"/>
      <c r="F274" s="131"/>
      <c r="G274" s="131"/>
      <c r="H274" s="131"/>
      <c r="I274" s="131"/>
      <c r="J274" s="131"/>
      <c r="K274" s="131"/>
      <c r="L274" s="131"/>
      <c r="M274" s="131"/>
      <c r="N274" s="131"/>
      <c r="O274" s="142"/>
      <c r="P274" s="142"/>
      <c r="Q274" s="142"/>
      <c r="R274" s="131"/>
      <c r="S274" s="142"/>
      <c r="T274" s="142"/>
      <c r="U274" s="142"/>
      <c r="V274" s="142"/>
      <c r="W274" s="142"/>
      <c r="X274" s="142"/>
      <c r="Y274" s="142"/>
      <c r="Z274" s="142"/>
      <c r="AA274" s="142"/>
      <c r="AB274" s="142"/>
    </row>
    <row r="275" ht="13.5" customHeight="1">
      <c r="A275" s="142"/>
      <c r="B275" s="142"/>
      <c r="C275" s="142"/>
      <c r="D275" s="142"/>
      <c r="E275" s="131"/>
      <c r="F275" s="131"/>
      <c r="G275" s="131"/>
      <c r="H275" s="131"/>
      <c r="I275" s="131"/>
      <c r="J275" s="131"/>
      <c r="K275" s="131"/>
      <c r="L275" s="131"/>
      <c r="M275" s="131"/>
      <c r="N275" s="131"/>
      <c r="O275" s="142"/>
      <c r="P275" s="142"/>
      <c r="Q275" s="142"/>
      <c r="R275" s="131"/>
      <c r="S275" s="142"/>
      <c r="T275" s="142"/>
      <c r="U275" s="142"/>
      <c r="V275" s="142"/>
      <c r="W275" s="142"/>
      <c r="X275" s="142"/>
      <c r="Y275" s="142"/>
      <c r="Z275" s="142"/>
      <c r="AA275" s="142"/>
      <c r="AB275" s="142"/>
    </row>
    <row r="276" ht="13.5" customHeight="1">
      <c r="A276" s="142"/>
      <c r="B276" s="142"/>
      <c r="C276" s="142"/>
      <c r="D276" s="142"/>
      <c r="E276" s="131"/>
      <c r="F276" s="131"/>
      <c r="G276" s="131"/>
      <c r="H276" s="131"/>
      <c r="I276" s="131"/>
      <c r="J276" s="131"/>
      <c r="K276" s="131"/>
      <c r="L276" s="131"/>
      <c r="M276" s="131"/>
      <c r="N276" s="131"/>
      <c r="O276" s="142"/>
      <c r="P276" s="142"/>
      <c r="Q276" s="142"/>
      <c r="R276" s="131"/>
      <c r="S276" s="142"/>
      <c r="T276" s="142"/>
      <c r="U276" s="142"/>
      <c r="V276" s="142"/>
      <c r="W276" s="142"/>
      <c r="X276" s="142"/>
      <c r="Y276" s="142"/>
      <c r="Z276" s="142"/>
      <c r="AA276" s="142"/>
      <c r="AB276" s="142"/>
    </row>
    <row r="277" ht="13.5" customHeight="1">
      <c r="A277" s="142"/>
      <c r="B277" s="142"/>
      <c r="C277" s="142"/>
      <c r="D277" s="142"/>
      <c r="E277" s="131"/>
      <c r="F277" s="131"/>
      <c r="G277" s="131"/>
      <c r="H277" s="131"/>
      <c r="I277" s="131"/>
      <c r="J277" s="131"/>
      <c r="K277" s="131"/>
      <c r="L277" s="131"/>
      <c r="M277" s="131"/>
      <c r="N277" s="131"/>
      <c r="O277" s="142"/>
      <c r="P277" s="142"/>
      <c r="Q277" s="142"/>
      <c r="R277" s="131"/>
      <c r="S277" s="142"/>
      <c r="T277" s="142"/>
      <c r="U277" s="142"/>
      <c r="V277" s="142"/>
      <c r="W277" s="142"/>
      <c r="X277" s="142"/>
      <c r="Y277" s="142"/>
      <c r="Z277" s="142"/>
      <c r="AA277" s="142"/>
      <c r="AB277" s="142"/>
    </row>
    <row r="278" ht="13.5" customHeight="1">
      <c r="A278" s="142"/>
      <c r="B278" s="142"/>
      <c r="C278" s="142"/>
      <c r="D278" s="142"/>
      <c r="E278" s="131"/>
      <c r="F278" s="131"/>
      <c r="G278" s="131"/>
      <c r="H278" s="131"/>
      <c r="I278" s="131"/>
      <c r="J278" s="131"/>
      <c r="K278" s="131"/>
      <c r="L278" s="131"/>
      <c r="M278" s="131"/>
      <c r="N278" s="131"/>
      <c r="O278" s="142"/>
      <c r="P278" s="142"/>
      <c r="Q278" s="142"/>
      <c r="R278" s="131"/>
      <c r="S278" s="142"/>
      <c r="T278" s="142"/>
      <c r="U278" s="142"/>
      <c r="V278" s="142"/>
      <c r="W278" s="142"/>
      <c r="X278" s="142"/>
      <c r="Y278" s="142"/>
      <c r="Z278" s="142"/>
      <c r="AA278" s="142"/>
      <c r="AB278" s="142"/>
    </row>
    <row r="279" ht="13.5" customHeight="1">
      <c r="A279" s="142"/>
      <c r="B279" s="142"/>
      <c r="C279" s="142"/>
      <c r="D279" s="142"/>
      <c r="E279" s="131"/>
      <c r="F279" s="131"/>
      <c r="G279" s="131"/>
      <c r="H279" s="131"/>
      <c r="I279" s="131"/>
      <c r="J279" s="131"/>
      <c r="K279" s="131"/>
      <c r="L279" s="131"/>
      <c r="M279" s="131"/>
      <c r="N279" s="131"/>
      <c r="O279" s="142"/>
      <c r="P279" s="142"/>
      <c r="Q279" s="142"/>
      <c r="R279" s="131"/>
      <c r="S279" s="142"/>
      <c r="T279" s="142"/>
      <c r="U279" s="142"/>
      <c r="V279" s="142"/>
      <c r="W279" s="142"/>
      <c r="X279" s="142"/>
      <c r="Y279" s="142"/>
      <c r="Z279" s="142"/>
      <c r="AA279" s="142"/>
      <c r="AB279" s="142"/>
    </row>
    <row r="280" ht="13.5" customHeight="1">
      <c r="A280" s="142"/>
      <c r="B280" s="142"/>
      <c r="C280" s="142"/>
      <c r="D280" s="142"/>
      <c r="E280" s="131"/>
      <c r="F280" s="131"/>
      <c r="G280" s="131"/>
      <c r="H280" s="131"/>
      <c r="I280" s="131"/>
      <c r="J280" s="131"/>
      <c r="K280" s="131"/>
      <c r="L280" s="131"/>
      <c r="M280" s="131"/>
      <c r="N280" s="131"/>
      <c r="O280" s="142"/>
      <c r="P280" s="142"/>
      <c r="Q280" s="142"/>
      <c r="R280" s="131"/>
      <c r="S280" s="142"/>
      <c r="T280" s="142"/>
      <c r="U280" s="142"/>
      <c r="V280" s="142"/>
      <c r="W280" s="142"/>
      <c r="X280" s="142"/>
      <c r="Y280" s="142"/>
      <c r="Z280" s="142"/>
      <c r="AA280" s="142"/>
      <c r="AB280" s="142"/>
    </row>
    <row r="281" ht="13.5" customHeight="1">
      <c r="A281" s="142"/>
      <c r="B281" s="142"/>
      <c r="C281" s="142"/>
      <c r="D281" s="142"/>
      <c r="E281" s="131"/>
      <c r="F281" s="131"/>
      <c r="G281" s="131"/>
      <c r="H281" s="131"/>
      <c r="I281" s="131"/>
      <c r="J281" s="131"/>
      <c r="K281" s="131"/>
      <c r="L281" s="131"/>
      <c r="M281" s="131"/>
      <c r="N281" s="131"/>
      <c r="O281" s="142"/>
      <c r="P281" s="142"/>
      <c r="Q281" s="142"/>
      <c r="R281" s="131"/>
      <c r="S281" s="142"/>
      <c r="T281" s="142"/>
      <c r="U281" s="142"/>
      <c r="V281" s="142"/>
      <c r="W281" s="142"/>
      <c r="X281" s="142"/>
      <c r="Y281" s="142"/>
      <c r="Z281" s="142"/>
      <c r="AA281" s="142"/>
      <c r="AB281" s="142"/>
    </row>
    <row r="282" ht="13.5" customHeight="1">
      <c r="A282" s="142"/>
      <c r="B282" s="142"/>
      <c r="C282" s="142"/>
      <c r="D282" s="142"/>
      <c r="E282" s="131"/>
      <c r="F282" s="131"/>
      <c r="G282" s="131"/>
      <c r="H282" s="131"/>
      <c r="I282" s="131"/>
      <c r="J282" s="131"/>
      <c r="K282" s="131"/>
      <c r="L282" s="131"/>
      <c r="M282" s="131"/>
      <c r="N282" s="131"/>
      <c r="O282" s="142"/>
      <c r="P282" s="142"/>
      <c r="Q282" s="142"/>
      <c r="R282" s="131"/>
      <c r="S282" s="142"/>
      <c r="T282" s="142"/>
      <c r="U282" s="142"/>
      <c r="V282" s="142"/>
      <c r="W282" s="142"/>
      <c r="X282" s="142"/>
      <c r="Y282" s="142"/>
      <c r="Z282" s="142"/>
      <c r="AA282" s="142"/>
      <c r="AB282" s="142"/>
    </row>
    <row r="283" ht="13.5" customHeight="1">
      <c r="A283" s="142"/>
      <c r="B283" s="142"/>
      <c r="C283" s="142"/>
      <c r="D283" s="142"/>
      <c r="E283" s="131"/>
      <c r="F283" s="131"/>
      <c r="G283" s="131"/>
      <c r="H283" s="131"/>
      <c r="I283" s="131"/>
      <c r="J283" s="131"/>
      <c r="K283" s="131"/>
      <c r="L283" s="131"/>
      <c r="M283" s="131"/>
      <c r="N283" s="131"/>
      <c r="O283" s="142"/>
      <c r="P283" s="142"/>
      <c r="Q283" s="142"/>
      <c r="R283" s="131"/>
      <c r="S283" s="142"/>
      <c r="T283" s="142"/>
      <c r="U283" s="142"/>
      <c r="V283" s="142"/>
      <c r="W283" s="142"/>
      <c r="X283" s="142"/>
      <c r="Y283" s="142"/>
      <c r="Z283" s="142"/>
      <c r="AA283" s="142"/>
      <c r="AB283" s="142"/>
    </row>
    <row r="284" ht="13.5" customHeight="1">
      <c r="A284" s="142"/>
      <c r="B284" s="142"/>
      <c r="C284" s="142"/>
      <c r="D284" s="142"/>
      <c r="E284" s="131"/>
      <c r="F284" s="131"/>
      <c r="G284" s="131"/>
      <c r="H284" s="131"/>
      <c r="I284" s="131"/>
      <c r="J284" s="131"/>
      <c r="K284" s="131"/>
      <c r="L284" s="131"/>
      <c r="M284" s="131"/>
      <c r="N284" s="131"/>
      <c r="O284" s="142"/>
      <c r="P284" s="142"/>
      <c r="Q284" s="142"/>
      <c r="R284" s="131"/>
      <c r="S284" s="142"/>
      <c r="T284" s="142"/>
      <c r="U284" s="142"/>
      <c r="V284" s="142"/>
      <c r="W284" s="142"/>
      <c r="X284" s="142"/>
      <c r="Y284" s="142"/>
      <c r="Z284" s="142"/>
      <c r="AA284" s="142"/>
      <c r="AB284" s="142"/>
    </row>
    <row r="285" ht="13.5" customHeight="1">
      <c r="A285" s="142"/>
      <c r="B285" s="142"/>
      <c r="C285" s="142"/>
      <c r="D285" s="142"/>
      <c r="E285" s="131"/>
      <c r="F285" s="131"/>
      <c r="G285" s="131"/>
      <c r="H285" s="131"/>
      <c r="I285" s="131"/>
      <c r="J285" s="131"/>
      <c r="K285" s="131"/>
      <c r="L285" s="131"/>
      <c r="M285" s="131"/>
      <c r="N285" s="131"/>
      <c r="O285" s="142"/>
      <c r="P285" s="142"/>
      <c r="Q285" s="142"/>
      <c r="R285" s="131"/>
      <c r="S285" s="142"/>
      <c r="T285" s="142"/>
      <c r="U285" s="142"/>
      <c r="V285" s="142"/>
      <c r="W285" s="142"/>
      <c r="X285" s="142"/>
      <c r="Y285" s="142"/>
      <c r="Z285" s="142"/>
      <c r="AA285" s="142"/>
      <c r="AB285" s="142"/>
    </row>
    <row r="286" ht="13.5" customHeight="1">
      <c r="A286" s="142"/>
      <c r="B286" s="142"/>
      <c r="C286" s="142"/>
      <c r="D286" s="142"/>
      <c r="E286" s="131"/>
      <c r="F286" s="131"/>
      <c r="G286" s="131"/>
      <c r="H286" s="131"/>
      <c r="I286" s="131"/>
      <c r="J286" s="131"/>
      <c r="K286" s="131"/>
      <c r="L286" s="131"/>
      <c r="M286" s="131"/>
      <c r="N286" s="131"/>
      <c r="O286" s="142"/>
      <c r="P286" s="142"/>
      <c r="Q286" s="142"/>
      <c r="R286" s="131"/>
      <c r="S286" s="142"/>
      <c r="T286" s="142"/>
      <c r="U286" s="142"/>
      <c r="V286" s="142"/>
      <c r="W286" s="142"/>
      <c r="X286" s="142"/>
      <c r="Y286" s="142"/>
      <c r="Z286" s="142"/>
      <c r="AA286" s="142"/>
      <c r="AB286" s="142"/>
    </row>
    <row r="287" ht="13.5" customHeight="1">
      <c r="A287" s="142"/>
      <c r="B287" s="142"/>
      <c r="C287" s="142"/>
      <c r="D287" s="142"/>
      <c r="E287" s="131"/>
      <c r="F287" s="131"/>
      <c r="G287" s="131"/>
      <c r="H287" s="131"/>
      <c r="I287" s="131"/>
      <c r="J287" s="131"/>
      <c r="K287" s="131"/>
      <c r="L287" s="131"/>
      <c r="M287" s="131"/>
      <c r="N287" s="131"/>
      <c r="O287" s="142"/>
      <c r="P287" s="142"/>
      <c r="Q287" s="142"/>
      <c r="R287" s="131"/>
      <c r="S287" s="142"/>
      <c r="T287" s="142"/>
      <c r="U287" s="142"/>
      <c r="V287" s="142"/>
      <c r="W287" s="142"/>
      <c r="X287" s="142"/>
      <c r="Y287" s="142"/>
      <c r="Z287" s="142"/>
      <c r="AA287" s="142"/>
      <c r="AB287" s="142"/>
    </row>
    <row r="288" ht="13.5" customHeight="1">
      <c r="A288" s="142"/>
      <c r="B288" s="142"/>
      <c r="C288" s="142"/>
      <c r="D288" s="142"/>
      <c r="E288" s="131"/>
      <c r="F288" s="131"/>
      <c r="G288" s="131"/>
      <c r="H288" s="131"/>
      <c r="I288" s="131"/>
      <c r="J288" s="131"/>
      <c r="K288" s="131"/>
      <c r="L288" s="131"/>
      <c r="M288" s="131"/>
      <c r="N288" s="131"/>
      <c r="O288" s="142"/>
      <c r="P288" s="142"/>
      <c r="Q288" s="142"/>
      <c r="R288" s="131"/>
      <c r="S288" s="142"/>
      <c r="T288" s="142"/>
      <c r="U288" s="142"/>
      <c r="V288" s="142"/>
      <c r="W288" s="142"/>
      <c r="X288" s="142"/>
      <c r="Y288" s="142"/>
      <c r="Z288" s="142"/>
      <c r="AA288" s="142"/>
      <c r="AB288" s="142"/>
    </row>
    <row r="289" ht="13.5" customHeight="1">
      <c r="A289" s="142"/>
      <c r="B289" s="142"/>
      <c r="C289" s="142"/>
      <c r="D289" s="142"/>
      <c r="E289" s="131"/>
      <c r="F289" s="131"/>
      <c r="G289" s="131"/>
      <c r="H289" s="131"/>
      <c r="I289" s="131"/>
      <c r="J289" s="131"/>
      <c r="K289" s="131"/>
      <c r="L289" s="131"/>
      <c r="M289" s="131"/>
      <c r="N289" s="131"/>
      <c r="O289" s="142"/>
      <c r="P289" s="142"/>
      <c r="Q289" s="142"/>
      <c r="R289" s="131"/>
      <c r="S289" s="142"/>
      <c r="T289" s="142"/>
      <c r="U289" s="142"/>
      <c r="V289" s="142"/>
      <c r="W289" s="142"/>
      <c r="X289" s="142"/>
      <c r="Y289" s="142"/>
      <c r="Z289" s="142"/>
      <c r="AA289" s="142"/>
      <c r="AB289" s="142"/>
    </row>
    <row r="290" ht="13.5" customHeight="1">
      <c r="A290" s="142"/>
      <c r="B290" s="142"/>
      <c r="C290" s="142"/>
      <c r="D290" s="142"/>
      <c r="E290" s="131"/>
      <c r="F290" s="131"/>
      <c r="G290" s="131"/>
      <c r="H290" s="131"/>
      <c r="I290" s="131"/>
      <c r="J290" s="131"/>
      <c r="K290" s="131"/>
      <c r="L290" s="131"/>
      <c r="M290" s="131"/>
      <c r="N290" s="131"/>
      <c r="O290" s="142"/>
      <c r="P290" s="142"/>
      <c r="Q290" s="142"/>
      <c r="R290" s="131"/>
      <c r="S290" s="142"/>
      <c r="T290" s="142"/>
      <c r="U290" s="142"/>
      <c r="V290" s="142"/>
      <c r="W290" s="142"/>
      <c r="X290" s="142"/>
      <c r="Y290" s="142"/>
      <c r="Z290" s="142"/>
      <c r="AA290" s="142"/>
      <c r="AB290" s="142"/>
    </row>
    <row r="291" ht="13.5" customHeight="1">
      <c r="A291" s="142"/>
      <c r="B291" s="142"/>
      <c r="C291" s="142"/>
      <c r="D291" s="142"/>
      <c r="E291" s="131"/>
      <c r="F291" s="131"/>
      <c r="G291" s="131"/>
      <c r="H291" s="131"/>
      <c r="I291" s="131"/>
      <c r="J291" s="131"/>
      <c r="K291" s="131"/>
      <c r="L291" s="131"/>
      <c r="M291" s="131"/>
      <c r="N291" s="131"/>
      <c r="O291" s="142"/>
      <c r="P291" s="142"/>
      <c r="Q291" s="142"/>
      <c r="R291" s="131"/>
      <c r="S291" s="142"/>
      <c r="T291" s="142"/>
      <c r="U291" s="142"/>
      <c r="V291" s="142"/>
      <c r="W291" s="142"/>
      <c r="X291" s="142"/>
      <c r="Y291" s="142"/>
      <c r="Z291" s="142"/>
      <c r="AA291" s="142"/>
      <c r="AB291" s="142"/>
    </row>
    <row r="292" ht="13.5" customHeight="1">
      <c r="A292" s="142"/>
      <c r="B292" s="142"/>
      <c r="C292" s="142"/>
      <c r="D292" s="142"/>
      <c r="E292" s="131"/>
      <c r="F292" s="131"/>
      <c r="G292" s="131"/>
      <c r="H292" s="131"/>
      <c r="I292" s="131"/>
      <c r="J292" s="131"/>
      <c r="K292" s="131"/>
      <c r="L292" s="131"/>
      <c r="M292" s="131"/>
      <c r="N292" s="131"/>
      <c r="O292" s="142"/>
      <c r="P292" s="142"/>
      <c r="Q292" s="142"/>
      <c r="R292" s="131"/>
      <c r="S292" s="142"/>
      <c r="T292" s="142"/>
      <c r="U292" s="142"/>
      <c r="V292" s="142"/>
      <c r="W292" s="142"/>
      <c r="X292" s="142"/>
      <c r="Y292" s="142"/>
      <c r="Z292" s="142"/>
      <c r="AA292" s="142"/>
      <c r="AB292" s="142"/>
    </row>
    <row r="293" ht="13.5" customHeight="1">
      <c r="A293" s="142"/>
      <c r="B293" s="142"/>
      <c r="C293" s="142"/>
      <c r="D293" s="142"/>
      <c r="E293" s="131"/>
      <c r="F293" s="131"/>
      <c r="G293" s="131"/>
      <c r="H293" s="131"/>
      <c r="I293" s="131"/>
      <c r="J293" s="131"/>
      <c r="K293" s="131"/>
      <c r="L293" s="131"/>
      <c r="M293" s="131"/>
      <c r="N293" s="131"/>
      <c r="O293" s="142"/>
      <c r="P293" s="142"/>
      <c r="Q293" s="142"/>
      <c r="R293" s="131"/>
      <c r="S293" s="142"/>
      <c r="T293" s="142"/>
      <c r="U293" s="142"/>
      <c r="V293" s="142"/>
      <c r="W293" s="142"/>
      <c r="X293" s="142"/>
      <c r="Y293" s="142"/>
      <c r="Z293" s="142"/>
      <c r="AA293" s="142"/>
      <c r="AB293" s="142"/>
    </row>
    <row r="294" ht="13.5" customHeight="1">
      <c r="A294" s="142"/>
      <c r="B294" s="142"/>
      <c r="C294" s="142"/>
      <c r="D294" s="142"/>
      <c r="E294" s="131"/>
      <c r="F294" s="131"/>
      <c r="G294" s="131"/>
      <c r="H294" s="131"/>
      <c r="I294" s="131"/>
      <c r="J294" s="131"/>
      <c r="K294" s="131"/>
      <c r="L294" s="131"/>
      <c r="M294" s="131"/>
      <c r="N294" s="131"/>
      <c r="O294" s="142"/>
      <c r="P294" s="142"/>
      <c r="Q294" s="142"/>
      <c r="R294" s="131"/>
      <c r="S294" s="142"/>
      <c r="T294" s="142"/>
      <c r="U294" s="142"/>
      <c r="V294" s="142"/>
      <c r="W294" s="142"/>
      <c r="X294" s="142"/>
      <c r="Y294" s="142"/>
      <c r="Z294" s="142"/>
      <c r="AA294" s="142"/>
      <c r="AB294" s="142"/>
    </row>
    <row r="295" ht="13.5" customHeight="1">
      <c r="A295" s="142"/>
      <c r="B295" s="142"/>
      <c r="C295" s="142"/>
      <c r="D295" s="142"/>
      <c r="E295" s="131"/>
      <c r="F295" s="131"/>
      <c r="G295" s="131"/>
      <c r="H295" s="131"/>
      <c r="I295" s="131"/>
      <c r="J295" s="131"/>
      <c r="K295" s="131"/>
      <c r="L295" s="131"/>
      <c r="M295" s="131"/>
      <c r="N295" s="131"/>
      <c r="O295" s="142"/>
      <c r="P295" s="142"/>
      <c r="Q295" s="142"/>
      <c r="R295" s="131"/>
      <c r="S295" s="142"/>
      <c r="T295" s="142"/>
      <c r="U295" s="142"/>
      <c r="V295" s="142"/>
      <c r="W295" s="142"/>
      <c r="X295" s="142"/>
      <c r="Y295" s="142"/>
      <c r="Z295" s="142"/>
      <c r="AA295" s="142"/>
      <c r="AB295" s="142"/>
    </row>
    <row r="296" ht="13.5" customHeight="1">
      <c r="A296" s="142"/>
      <c r="B296" s="142"/>
      <c r="C296" s="142"/>
      <c r="D296" s="142"/>
      <c r="E296" s="131"/>
      <c r="F296" s="131"/>
      <c r="G296" s="131"/>
      <c r="H296" s="131"/>
      <c r="I296" s="131"/>
      <c r="J296" s="131"/>
      <c r="K296" s="131"/>
      <c r="L296" s="131"/>
      <c r="M296" s="131"/>
      <c r="N296" s="131"/>
      <c r="O296" s="142"/>
      <c r="P296" s="142"/>
      <c r="Q296" s="142"/>
      <c r="R296" s="131"/>
      <c r="S296" s="142"/>
      <c r="T296" s="142"/>
      <c r="U296" s="142"/>
      <c r="V296" s="142"/>
      <c r="W296" s="142"/>
      <c r="X296" s="142"/>
      <c r="Y296" s="142"/>
      <c r="Z296" s="142"/>
      <c r="AA296" s="142"/>
      <c r="AB296" s="142"/>
    </row>
    <row r="297" ht="13.5" customHeight="1">
      <c r="A297" s="142"/>
      <c r="B297" s="142"/>
      <c r="C297" s="142"/>
      <c r="D297" s="142"/>
      <c r="E297" s="131"/>
      <c r="F297" s="131"/>
      <c r="G297" s="131"/>
      <c r="H297" s="131"/>
      <c r="I297" s="131"/>
      <c r="J297" s="131"/>
      <c r="K297" s="131"/>
      <c r="L297" s="131"/>
      <c r="M297" s="131"/>
      <c r="N297" s="131"/>
      <c r="O297" s="142"/>
      <c r="P297" s="142"/>
      <c r="Q297" s="142"/>
      <c r="R297" s="131"/>
      <c r="S297" s="142"/>
      <c r="T297" s="142"/>
      <c r="U297" s="142"/>
      <c r="V297" s="142"/>
      <c r="W297" s="142"/>
      <c r="X297" s="142"/>
      <c r="Y297" s="142"/>
      <c r="Z297" s="142"/>
      <c r="AA297" s="142"/>
      <c r="AB297" s="142"/>
    </row>
    <row r="298" ht="13.5" customHeight="1">
      <c r="A298" s="142"/>
      <c r="B298" s="142"/>
      <c r="C298" s="142"/>
      <c r="D298" s="142"/>
      <c r="E298" s="131"/>
      <c r="F298" s="131"/>
      <c r="G298" s="131"/>
      <c r="H298" s="131"/>
      <c r="I298" s="131"/>
      <c r="J298" s="131"/>
      <c r="K298" s="131"/>
      <c r="L298" s="131"/>
      <c r="M298" s="131"/>
      <c r="N298" s="131"/>
      <c r="O298" s="142"/>
      <c r="P298" s="142"/>
      <c r="Q298" s="142"/>
      <c r="R298" s="131"/>
      <c r="S298" s="142"/>
      <c r="T298" s="142"/>
      <c r="U298" s="142"/>
      <c r="V298" s="142"/>
      <c r="W298" s="142"/>
      <c r="X298" s="142"/>
      <c r="Y298" s="142"/>
      <c r="Z298" s="142"/>
      <c r="AA298" s="142"/>
      <c r="AB298" s="142"/>
    </row>
    <row r="299" ht="13.5" customHeight="1">
      <c r="A299" s="142"/>
      <c r="B299" s="142"/>
      <c r="C299" s="142"/>
      <c r="D299" s="142"/>
      <c r="E299" s="131"/>
      <c r="F299" s="131"/>
      <c r="G299" s="131"/>
      <c r="H299" s="131"/>
      <c r="I299" s="131"/>
      <c r="J299" s="131"/>
      <c r="K299" s="131"/>
      <c r="L299" s="131"/>
      <c r="M299" s="131"/>
      <c r="N299" s="131"/>
      <c r="O299" s="142"/>
      <c r="P299" s="142"/>
      <c r="Q299" s="142"/>
      <c r="R299" s="131"/>
      <c r="S299" s="142"/>
      <c r="T299" s="142"/>
      <c r="U299" s="142"/>
      <c r="V299" s="142"/>
      <c r="W299" s="142"/>
      <c r="X299" s="142"/>
      <c r="Y299" s="142"/>
      <c r="Z299" s="142"/>
      <c r="AA299" s="142"/>
      <c r="AB299" s="142"/>
    </row>
    <row r="300" ht="13.5" customHeight="1">
      <c r="A300" s="142"/>
      <c r="B300" s="142"/>
      <c r="C300" s="142"/>
      <c r="D300" s="142"/>
      <c r="E300" s="131"/>
      <c r="F300" s="131"/>
      <c r="G300" s="131"/>
      <c r="H300" s="131"/>
      <c r="I300" s="131"/>
      <c r="J300" s="131"/>
      <c r="K300" s="131"/>
      <c r="L300" s="131"/>
      <c r="M300" s="131"/>
      <c r="N300" s="131"/>
      <c r="O300" s="142"/>
      <c r="P300" s="142"/>
      <c r="Q300" s="142"/>
      <c r="R300" s="131"/>
      <c r="S300" s="142"/>
      <c r="T300" s="142"/>
      <c r="U300" s="142"/>
      <c r="V300" s="142"/>
      <c r="W300" s="142"/>
      <c r="X300" s="142"/>
      <c r="Y300" s="142"/>
      <c r="Z300" s="142"/>
      <c r="AA300" s="142"/>
      <c r="AB300" s="142"/>
    </row>
    <row r="301" ht="13.5" customHeight="1">
      <c r="A301" s="142"/>
      <c r="B301" s="142"/>
      <c r="C301" s="142"/>
      <c r="D301" s="142"/>
      <c r="E301" s="131"/>
      <c r="F301" s="131"/>
      <c r="G301" s="131"/>
      <c r="H301" s="131"/>
      <c r="I301" s="131"/>
      <c r="J301" s="131"/>
      <c r="K301" s="131"/>
      <c r="L301" s="131"/>
      <c r="M301" s="131"/>
      <c r="N301" s="131"/>
      <c r="O301" s="142"/>
      <c r="P301" s="142"/>
      <c r="Q301" s="142"/>
      <c r="R301" s="131"/>
      <c r="S301" s="142"/>
      <c r="T301" s="142"/>
      <c r="U301" s="142"/>
      <c r="V301" s="142"/>
      <c r="W301" s="142"/>
      <c r="X301" s="142"/>
      <c r="Y301" s="142"/>
      <c r="Z301" s="142"/>
      <c r="AA301" s="142"/>
      <c r="AB301" s="142"/>
    </row>
    <row r="302" ht="13.5" customHeight="1">
      <c r="A302" s="142"/>
      <c r="B302" s="142"/>
      <c r="C302" s="142"/>
      <c r="D302" s="142"/>
      <c r="E302" s="131"/>
      <c r="F302" s="131"/>
      <c r="G302" s="131"/>
      <c r="H302" s="131"/>
      <c r="I302" s="131"/>
      <c r="J302" s="131"/>
      <c r="K302" s="131"/>
      <c r="L302" s="131"/>
      <c r="M302" s="131"/>
      <c r="N302" s="131"/>
      <c r="O302" s="142"/>
      <c r="P302" s="142"/>
      <c r="Q302" s="142"/>
      <c r="R302" s="131"/>
      <c r="S302" s="142"/>
      <c r="T302" s="142"/>
      <c r="U302" s="142"/>
      <c r="V302" s="142"/>
      <c r="W302" s="142"/>
      <c r="X302" s="142"/>
      <c r="Y302" s="142"/>
      <c r="Z302" s="142"/>
      <c r="AA302" s="142"/>
      <c r="AB302" s="142"/>
    </row>
    <row r="303" ht="13.5" customHeight="1">
      <c r="A303" s="142"/>
      <c r="B303" s="142"/>
      <c r="C303" s="142"/>
      <c r="D303" s="142"/>
      <c r="E303" s="131"/>
      <c r="F303" s="131"/>
      <c r="G303" s="131"/>
      <c r="H303" s="131"/>
      <c r="I303" s="131"/>
      <c r="J303" s="131"/>
      <c r="K303" s="131"/>
      <c r="L303" s="131"/>
      <c r="M303" s="131"/>
      <c r="N303" s="131"/>
      <c r="O303" s="142"/>
      <c r="P303" s="142"/>
      <c r="Q303" s="142"/>
      <c r="R303" s="131"/>
      <c r="S303" s="142"/>
      <c r="T303" s="142"/>
      <c r="U303" s="142"/>
      <c r="V303" s="142"/>
      <c r="W303" s="142"/>
      <c r="X303" s="142"/>
      <c r="Y303" s="142"/>
      <c r="Z303" s="142"/>
      <c r="AA303" s="142"/>
      <c r="AB303" s="142"/>
    </row>
    <row r="304" ht="13.5" customHeight="1">
      <c r="A304" s="142"/>
      <c r="B304" s="142"/>
      <c r="C304" s="142"/>
      <c r="D304" s="142"/>
      <c r="E304" s="131"/>
      <c r="F304" s="131"/>
      <c r="G304" s="131"/>
      <c r="H304" s="131"/>
      <c r="I304" s="131"/>
      <c r="J304" s="131"/>
      <c r="K304" s="131"/>
      <c r="L304" s="131"/>
      <c r="M304" s="131"/>
      <c r="N304" s="131"/>
      <c r="O304" s="142"/>
      <c r="P304" s="142"/>
      <c r="Q304" s="142"/>
      <c r="R304" s="131"/>
      <c r="S304" s="142"/>
      <c r="T304" s="142"/>
      <c r="U304" s="142"/>
      <c r="V304" s="142"/>
      <c r="W304" s="142"/>
      <c r="X304" s="142"/>
      <c r="Y304" s="142"/>
      <c r="Z304" s="142"/>
      <c r="AA304" s="142"/>
      <c r="AB304" s="142"/>
    </row>
    <row r="305" ht="13.5" customHeight="1">
      <c r="A305" s="142"/>
      <c r="B305" s="142"/>
      <c r="C305" s="142"/>
      <c r="D305" s="142"/>
      <c r="E305" s="131"/>
      <c r="F305" s="131"/>
      <c r="G305" s="131"/>
      <c r="H305" s="131"/>
      <c r="I305" s="131"/>
      <c r="J305" s="131"/>
      <c r="K305" s="131"/>
      <c r="L305" s="131"/>
      <c r="M305" s="131"/>
      <c r="N305" s="131"/>
      <c r="O305" s="142"/>
      <c r="P305" s="142"/>
      <c r="Q305" s="142"/>
      <c r="R305" s="131"/>
      <c r="S305" s="142"/>
      <c r="T305" s="142"/>
      <c r="U305" s="142"/>
      <c r="V305" s="142"/>
      <c r="W305" s="142"/>
      <c r="X305" s="142"/>
      <c r="Y305" s="142"/>
      <c r="Z305" s="142"/>
      <c r="AA305" s="142"/>
      <c r="AB305" s="142"/>
    </row>
    <row r="306" ht="13.5" customHeight="1">
      <c r="A306" s="142"/>
      <c r="B306" s="142"/>
      <c r="C306" s="142"/>
      <c r="D306" s="142"/>
      <c r="E306" s="131"/>
      <c r="F306" s="131"/>
      <c r="G306" s="131"/>
      <c r="H306" s="131"/>
      <c r="I306" s="131"/>
      <c r="J306" s="131"/>
      <c r="K306" s="131"/>
      <c r="L306" s="131"/>
      <c r="M306" s="131"/>
      <c r="N306" s="131"/>
      <c r="O306" s="142"/>
      <c r="P306" s="142"/>
      <c r="Q306" s="142"/>
      <c r="R306" s="131"/>
      <c r="S306" s="142"/>
      <c r="T306" s="142"/>
      <c r="U306" s="142"/>
      <c r="V306" s="142"/>
      <c r="W306" s="142"/>
      <c r="X306" s="142"/>
      <c r="Y306" s="142"/>
      <c r="Z306" s="142"/>
      <c r="AA306" s="142"/>
      <c r="AB306" s="142"/>
    </row>
    <row r="307" ht="13.5" customHeight="1">
      <c r="A307" s="142"/>
      <c r="B307" s="142"/>
      <c r="C307" s="142"/>
      <c r="D307" s="142"/>
      <c r="E307" s="131"/>
      <c r="F307" s="131"/>
      <c r="G307" s="131"/>
      <c r="H307" s="131"/>
      <c r="I307" s="131"/>
      <c r="J307" s="131"/>
      <c r="K307" s="131"/>
      <c r="L307" s="131"/>
      <c r="M307" s="131"/>
      <c r="N307" s="131"/>
      <c r="O307" s="142"/>
      <c r="P307" s="142"/>
      <c r="Q307" s="142"/>
      <c r="R307" s="131"/>
      <c r="S307" s="142"/>
      <c r="T307" s="142"/>
      <c r="U307" s="142"/>
      <c r="V307" s="142"/>
      <c r="W307" s="142"/>
      <c r="X307" s="142"/>
      <c r="Y307" s="142"/>
      <c r="Z307" s="142"/>
      <c r="AA307" s="142"/>
      <c r="AB307" s="142"/>
    </row>
    <row r="308" ht="13.5" customHeight="1">
      <c r="A308" s="142"/>
      <c r="B308" s="142"/>
      <c r="C308" s="142"/>
      <c r="D308" s="142"/>
      <c r="E308" s="131"/>
      <c r="F308" s="131"/>
      <c r="G308" s="131"/>
      <c r="H308" s="131"/>
      <c r="I308" s="131"/>
      <c r="J308" s="131"/>
      <c r="K308" s="131"/>
      <c r="L308" s="131"/>
      <c r="M308" s="131"/>
      <c r="N308" s="131"/>
      <c r="O308" s="142"/>
      <c r="P308" s="142"/>
      <c r="Q308" s="142"/>
      <c r="R308" s="131"/>
      <c r="S308" s="142"/>
      <c r="T308" s="142"/>
      <c r="U308" s="142"/>
      <c r="V308" s="142"/>
      <c r="W308" s="142"/>
      <c r="X308" s="142"/>
      <c r="Y308" s="142"/>
      <c r="Z308" s="142"/>
      <c r="AA308" s="142"/>
      <c r="AB308" s="142"/>
    </row>
    <row r="309" ht="13.5" customHeight="1">
      <c r="A309" s="142"/>
      <c r="B309" s="142"/>
      <c r="C309" s="142"/>
      <c r="D309" s="142"/>
      <c r="E309" s="131"/>
      <c r="F309" s="131"/>
      <c r="G309" s="131"/>
      <c r="H309" s="131"/>
      <c r="I309" s="131"/>
      <c r="J309" s="131"/>
      <c r="K309" s="131"/>
      <c r="L309" s="131"/>
      <c r="M309" s="131"/>
      <c r="N309" s="131"/>
      <c r="O309" s="142"/>
      <c r="P309" s="142"/>
      <c r="Q309" s="142"/>
      <c r="R309" s="131"/>
      <c r="S309" s="142"/>
      <c r="T309" s="142"/>
      <c r="U309" s="142"/>
      <c r="V309" s="142"/>
      <c r="W309" s="142"/>
      <c r="X309" s="142"/>
      <c r="Y309" s="142"/>
      <c r="Z309" s="142"/>
      <c r="AA309" s="142"/>
      <c r="AB309" s="142"/>
    </row>
    <row r="310" ht="13.5" customHeight="1">
      <c r="A310" s="142"/>
      <c r="B310" s="142"/>
      <c r="C310" s="142"/>
      <c r="D310" s="142"/>
      <c r="E310" s="131"/>
      <c r="F310" s="131"/>
      <c r="G310" s="131"/>
      <c r="H310" s="131"/>
      <c r="I310" s="131"/>
      <c r="J310" s="131"/>
      <c r="K310" s="131"/>
      <c r="L310" s="131"/>
      <c r="M310" s="131"/>
      <c r="N310" s="131"/>
      <c r="O310" s="142"/>
      <c r="P310" s="142"/>
      <c r="Q310" s="142"/>
      <c r="R310" s="131"/>
      <c r="S310" s="142"/>
      <c r="T310" s="142"/>
      <c r="U310" s="142"/>
      <c r="V310" s="142"/>
      <c r="W310" s="142"/>
      <c r="X310" s="142"/>
      <c r="Y310" s="142"/>
      <c r="Z310" s="142"/>
      <c r="AA310" s="142"/>
      <c r="AB310" s="142"/>
    </row>
    <row r="311" ht="13.5" customHeight="1">
      <c r="A311" s="142"/>
      <c r="B311" s="142"/>
      <c r="C311" s="142"/>
      <c r="D311" s="142"/>
      <c r="E311" s="131"/>
      <c r="F311" s="131"/>
      <c r="G311" s="131"/>
      <c r="H311" s="131"/>
      <c r="I311" s="131"/>
      <c r="J311" s="131"/>
      <c r="K311" s="131"/>
      <c r="L311" s="131"/>
      <c r="M311" s="131"/>
      <c r="N311" s="131"/>
      <c r="O311" s="142"/>
      <c r="P311" s="142"/>
      <c r="Q311" s="142"/>
      <c r="R311" s="131"/>
      <c r="S311" s="142"/>
      <c r="T311" s="142"/>
      <c r="U311" s="142"/>
      <c r="V311" s="142"/>
      <c r="W311" s="142"/>
      <c r="X311" s="142"/>
      <c r="Y311" s="142"/>
      <c r="Z311" s="142"/>
      <c r="AA311" s="142"/>
      <c r="AB311" s="142"/>
    </row>
    <row r="312" ht="13.5" customHeight="1">
      <c r="A312" s="142"/>
      <c r="B312" s="142"/>
      <c r="C312" s="142"/>
      <c r="D312" s="142"/>
      <c r="E312" s="131"/>
      <c r="F312" s="131"/>
      <c r="G312" s="131"/>
      <c r="H312" s="131"/>
      <c r="I312" s="131"/>
      <c r="J312" s="131"/>
      <c r="K312" s="131"/>
      <c r="L312" s="131"/>
      <c r="M312" s="131"/>
      <c r="N312" s="131"/>
      <c r="O312" s="142"/>
      <c r="P312" s="142"/>
      <c r="Q312" s="142"/>
      <c r="R312" s="131"/>
      <c r="S312" s="142"/>
      <c r="T312" s="142"/>
      <c r="U312" s="142"/>
      <c r="V312" s="142"/>
      <c r="W312" s="142"/>
      <c r="X312" s="142"/>
      <c r="Y312" s="142"/>
      <c r="Z312" s="142"/>
      <c r="AA312" s="142"/>
      <c r="AB312" s="142"/>
    </row>
    <row r="313" ht="13.5" customHeight="1">
      <c r="A313" s="142"/>
      <c r="B313" s="142"/>
      <c r="C313" s="142"/>
      <c r="D313" s="142"/>
      <c r="E313" s="131"/>
      <c r="F313" s="131"/>
      <c r="G313" s="131"/>
      <c r="H313" s="131"/>
      <c r="I313" s="131"/>
      <c r="J313" s="131"/>
      <c r="K313" s="131"/>
      <c r="L313" s="131"/>
      <c r="M313" s="131"/>
      <c r="N313" s="131"/>
      <c r="O313" s="142"/>
      <c r="P313" s="142"/>
      <c r="Q313" s="142"/>
      <c r="R313" s="131"/>
      <c r="S313" s="142"/>
      <c r="T313" s="142"/>
      <c r="U313" s="142"/>
      <c r="V313" s="142"/>
      <c r="W313" s="142"/>
      <c r="X313" s="142"/>
      <c r="Y313" s="142"/>
      <c r="Z313" s="142"/>
      <c r="AA313" s="142"/>
      <c r="AB313" s="142"/>
    </row>
    <row r="314" ht="13.5" customHeight="1">
      <c r="A314" s="142"/>
      <c r="B314" s="142"/>
      <c r="C314" s="142"/>
      <c r="D314" s="142"/>
      <c r="E314" s="131"/>
      <c r="F314" s="131"/>
      <c r="G314" s="131"/>
      <c r="H314" s="131"/>
      <c r="I314" s="131"/>
      <c r="J314" s="131"/>
      <c r="K314" s="131"/>
      <c r="L314" s="131"/>
      <c r="M314" s="131"/>
      <c r="N314" s="131"/>
      <c r="O314" s="142"/>
      <c r="P314" s="142"/>
      <c r="Q314" s="142"/>
      <c r="R314" s="131"/>
      <c r="S314" s="142"/>
      <c r="T314" s="142"/>
      <c r="U314" s="142"/>
      <c r="V314" s="142"/>
      <c r="W314" s="142"/>
      <c r="X314" s="142"/>
      <c r="Y314" s="142"/>
      <c r="Z314" s="142"/>
      <c r="AA314" s="142"/>
      <c r="AB314" s="142"/>
    </row>
    <row r="315" ht="13.5" customHeight="1">
      <c r="A315" s="142"/>
      <c r="B315" s="142"/>
      <c r="C315" s="142"/>
      <c r="D315" s="142"/>
      <c r="E315" s="131"/>
      <c r="F315" s="131"/>
      <c r="G315" s="131"/>
      <c r="H315" s="131"/>
      <c r="I315" s="131"/>
      <c r="J315" s="131"/>
      <c r="K315" s="131"/>
      <c r="L315" s="131"/>
      <c r="M315" s="131"/>
      <c r="N315" s="131"/>
      <c r="O315" s="142"/>
      <c r="P315" s="142"/>
      <c r="Q315" s="142"/>
      <c r="R315" s="131"/>
      <c r="S315" s="142"/>
      <c r="T315" s="142"/>
      <c r="U315" s="142"/>
      <c r="V315" s="142"/>
      <c r="W315" s="142"/>
      <c r="X315" s="142"/>
      <c r="Y315" s="142"/>
      <c r="Z315" s="142"/>
      <c r="AA315" s="142"/>
      <c r="AB315" s="142"/>
    </row>
    <row r="316" ht="13.5" customHeight="1">
      <c r="A316" s="142"/>
      <c r="B316" s="142"/>
      <c r="C316" s="142"/>
      <c r="D316" s="142"/>
      <c r="E316" s="131"/>
      <c r="F316" s="131"/>
      <c r="G316" s="131"/>
      <c r="H316" s="131"/>
      <c r="I316" s="131"/>
      <c r="J316" s="131"/>
      <c r="K316" s="131"/>
      <c r="L316" s="131"/>
      <c r="M316" s="131"/>
      <c r="N316" s="131"/>
      <c r="O316" s="142"/>
      <c r="P316" s="142"/>
      <c r="Q316" s="142"/>
      <c r="R316" s="131"/>
      <c r="S316" s="142"/>
      <c r="T316" s="142"/>
      <c r="U316" s="142"/>
      <c r="V316" s="142"/>
      <c r="W316" s="142"/>
      <c r="X316" s="142"/>
      <c r="Y316" s="142"/>
      <c r="Z316" s="142"/>
      <c r="AA316" s="142"/>
      <c r="AB316" s="142"/>
    </row>
    <row r="317" ht="13.5" customHeight="1">
      <c r="A317" s="142"/>
      <c r="B317" s="142"/>
      <c r="C317" s="142"/>
      <c r="D317" s="142"/>
      <c r="E317" s="131"/>
      <c r="F317" s="131"/>
      <c r="G317" s="131"/>
      <c r="H317" s="131"/>
      <c r="I317" s="131"/>
      <c r="J317" s="131"/>
      <c r="K317" s="131"/>
      <c r="L317" s="131"/>
      <c r="M317" s="131"/>
      <c r="N317" s="131"/>
      <c r="O317" s="142"/>
      <c r="P317" s="142"/>
      <c r="Q317" s="142"/>
      <c r="R317" s="131"/>
      <c r="S317" s="142"/>
      <c r="T317" s="142"/>
      <c r="U317" s="142"/>
      <c r="V317" s="142"/>
      <c r="W317" s="142"/>
      <c r="X317" s="142"/>
      <c r="Y317" s="142"/>
      <c r="Z317" s="142"/>
      <c r="AA317" s="142"/>
      <c r="AB317" s="142"/>
    </row>
    <row r="318" ht="13.5" customHeight="1">
      <c r="A318" s="142"/>
      <c r="B318" s="142"/>
      <c r="C318" s="142"/>
      <c r="D318" s="142"/>
      <c r="E318" s="131"/>
      <c r="F318" s="131"/>
      <c r="G318" s="131"/>
      <c r="H318" s="131"/>
      <c r="I318" s="131"/>
      <c r="J318" s="131"/>
      <c r="K318" s="131"/>
      <c r="L318" s="131"/>
      <c r="M318" s="131"/>
      <c r="N318" s="131"/>
      <c r="O318" s="142"/>
      <c r="P318" s="142"/>
      <c r="Q318" s="142"/>
      <c r="R318" s="131"/>
      <c r="S318" s="142"/>
      <c r="T318" s="142"/>
      <c r="U318" s="142"/>
      <c r="V318" s="142"/>
      <c r="W318" s="142"/>
      <c r="X318" s="142"/>
      <c r="Y318" s="142"/>
      <c r="Z318" s="142"/>
      <c r="AA318" s="142"/>
      <c r="AB318" s="142"/>
    </row>
    <row r="319" ht="13.5" customHeight="1">
      <c r="A319" s="142"/>
      <c r="B319" s="142"/>
      <c r="C319" s="142"/>
      <c r="D319" s="142"/>
      <c r="E319" s="131"/>
      <c r="F319" s="131"/>
      <c r="G319" s="131"/>
      <c r="H319" s="131"/>
      <c r="I319" s="131"/>
      <c r="J319" s="131"/>
      <c r="K319" s="131"/>
      <c r="L319" s="131"/>
      <c r="M319" s="131"/>
      <c r="N319" s="131"/>
      <c r="O319" s="142"/>
      <c r="P319" s="142"/>
      <c r="Q319" s="142"/>
      <c r="R319" s="131"/>
      <c r="S319" s="142"/>
      <c r="T319" s="142"/>
      <c r="U319" s="142"/>
      <c r="V319" s="142"/>
      <c r="W319" s="142"/>
      <c r="X319" s="142"/>
      <c r="Y319" s="142"/>
      <c r="Z319" s="142"/>
      <c r="AA319" s="142"/>
      <c r="AB319" s="142"/>
    </row>
    <row r="320" ht="13.5" customHeight="1">
      <c r="A320" s="142"/>
      <c r="B320" s="142"/>
      <c r="C320" s="142"/>
      <c r="D320" s="142"/>
      <c r="E320" s="131"/>
      <c r="F320" s="131"/>
      <c r="G320" s="131"/>
      <c r="H320" s="131"/>
      <c r="I320" s="131"/>
      <c r="J320" s="131"/>
      <c r="K320" s="131"/>
      <c r="L320" s="131"/>
      <c r="M320" s="131"/>
      <c r="N320" s="131"/>
      <c r="O320" s="142"/>
      <c r="P320" s="142"/>
      <c r="Q320" s="142"/>
      <c r="R320" s="131"/>
      <c r="S320" s="142"/>
      <c r="T320" s="142"/>
      <c r="U320" s="142"/>
      <c r="V320" s="142"/>
      <c r="W320" s="142"/>
      <c r="X320" s="142"/>
      <c r="Y320" s="142"/>
      <c r="Z320" s="142"/>
      <c r="AA320" s="142"/>
      <c r="AB320" s="142"/>
    </row>
    <row r="321" ht="13.5" customHeight="1">
      <c r="A321" s="142"/>
      <c r="B321" s="142"/>
      <c r="C321" s="142"/>
      <c r="D321" s="142"/>
      <c r="E321" s="131"/>
      <c r="F321" s="131"/>
      <c r="G321" s="131"/>
      <c r="H321" s="131"/>
      <c r="I321" s="131"/>
      <c r="J321" s="131"/>
      <c r="K321" s="131"/>
      <c r="L321" s="131"/>
      <c r="M321" s="131"/>
      <c r="N321" s="131"/>
      <c r="O321" s="142"/>
      <c r="P321" s="142"/>
      <c r="Q321" s="142"/>
      <c r="R321" s="131"/>
      <c r="S321" s="142"/>
      <c r="T321" s="142"/>
      <c r="U321" s="142"/>
      <c r="V321" s="142"/>
      <c r="W321" s="142"/>
      <c r="X321" s="142"/>
      <c r="Y321" s="142"/>
      <c r="Z321" s="142"/>
      <c r="AA321" s="142"/>
      <c r="AB321" s="142"/>
    </row>
    <row r="322" ht="13.5" customHeight="1">
      <c r="A322" s="142"/>
      <c r="B322" s="142"/>
      <c r="C322" s="142"/>
      <c r="D322" s="142"/>
      <c r="E322" s="131"/>
      <c r="F322" s="131"/>
      <c r="G322" s="131"/>
      <c r="H322" s="131"/>
      <c r="I322" s="131"/>
      <c r="J322" s="131"/>
      <c r="K322" s="131"/>
      <c r="L322" s="131"/>
      <c r="M322" s="131"/>
      <c r="N322" s="131"/>
      <c r="O322" s="142"/>
      <c r="P322" s="142"/>
      <c r="Q322" s="142"/>
      <c r="R322" s="131"/>
      <c r="S322" s="142"/>
      <c r="T322" s="142"/>
      <c r="U322" s="142"/>
      <c r="V322" s="142"/>
      <c r="W322" s="142"/>
      <c r="X322" s="142"/>
      <c r="Y322" s="142"/>
      <c r="Z322" s="142"/>
      <c r="AA322" s="142"/>
      <c r="AB322" s="142"/>
    </row>
    <row r="323" ht="13.5" customHeight="1">
      <c r="A323" s="142"/>
      <c r="B323" s="142"/>
      <c r="C323" s="142"/>
      <c r="D323" s="142"/>
      <c r="E323" s="131"/>
      <c r="F323" s="131"/>
      <c r="G323" s="131"/>
      <c r="H323" s="131"/>
      <c r="I323" s="131"/>
      <c r="J323" s="131"/>
      <c r="K323" s="131"/>
      <c r="L323" s="131"/>
      <c r="M323" s="131"/>
      <c r="N323" s="131"/>
      <c r="O323" s="142"/>
      <c r="P323" s="142"/>
      <c r="Q323" s="142"/>
      <c r="R323" s="131"/>
      <c r="S323" s="142"/>
      <c r="T323" s="142"/>
      <c r="U323" s="142"/>
      <c r="V323" s="142"/>
      <c r="W323" s="142"/>
      <c r="X323" s="142"/>
      <c r="Y323" s="142"/>
      <c r="Z323" s="142"/>
      <c r="AA323" s="142"/>
      <c r="AB323" s="142"/>
    </row>
    <row r="324" ht="13.5" customHeight="1">
      <c r="A324" s="142"/>
      <c r="B324" s="142"/>
      <c r="C324" s="142"/>
      <c r="D324" s="142"/>
      <c r="E324" s="131"/>
      <c r="F324" s="131"/>
      <c r="G324" s="131"/>
      <c r="H324" s="131"/>
      <c r="I324" s="131"/>
      <c r="J324" s="131"/>
      <c r="K324" s="131"/>
      <c r="L324" s="131"/>
      <c r="M324" s="131"/>
      <c r="N324" s="131"/>
      <c r="O324" s="142"/>
      <c r="P324" s="142"/>
      <c r="Q324" s="142"/>
      <c r="R324" s="131"/>
      <c r="S324" s="142"/>
      <c r="T324" s="142"/>
      <c r="U324" s="142"/>
      <c r="V324" s="142"/>
      <c r="W324" s="142"/>
      <c r="X324" s="142"/>
      <c r="Y324" s="142"/>
      <c r="Z324" s="142"/>
      <c r="AA324" s="142"/>
      <c r="AB324" s="142"/>
    </row>
    <row r="325" ht="13.5" customHeight="1">
      <c r="A325" s="142"/>
      <c r="B325" s="142"/>
      <c r="C325" s="142"/>
      <c r="D325" s="142"/>
      <c r="E325" s="131"/>
      <c r="F325" s="131"/>
      <c r="G325" s="131"/>
      <c r="H325" s="131"/>
      <c r="I325" s="131"/>
      <c r="J325" s="131"/>
      <c r="K325" s="131"/>
      <c r="L325" s="131"/>
      <c r="M325" s="131"/>
      <c r="N325" s="131"/>
      <c r="O325" s="142"/>
      <c r="P325" s="142"/>
      <c r="Q325" s="142"/>
      <c r="R325" s="131"/>
      <c r="S325" s="142"/>
      <c r="T325" s="142"/>
      <c r="U325" s="142"/>
      <c r="V325" s="142"/>
      <c r="W325" s="142"/>
      <c r="X325" s="142"/>
      <c r="Y325" s="142"/>
      <c r="Z325" s="142"/>
      <c r="AA325" s="142"/>
      <c r="AB325" s="142"/>
    </row>
    <row r="326" ht="13.5" customHeight="1">
      <c r="A326" s="142"/>
      <c r="B326" s="142"/>
      <c r="C326" s="142"/>
      <c r="D326" s="142"/>
      <c r="E326" s="131"/>
      <c r="F326" s="131"/>
      <c r="G326" s="131"/>
      <c r="H326" s="131"/>
      <c r="I326" s="131"/>
      <c r="J326" s="131"/>
      <c r="K326" s="131"/>
      <c r="L326" s="131"/>
      <c r="M326" s="131"/>
      <c r="N326" s="131"/>
      <c r="O326" s="142"/>
      <c r="P326" s="142"/>
      <c r="Q326" s="142"/>
      <c r="R326" s="131"/>
      <c r="S326" s="142"/>
      <c r="T326" s="142"/>
      <c r="U326" s="142"/>
      <c r="V326" s="142"/>
      <c r="W326" s="142"/>
      <c r="X326" s="142"/>
      <c r="Y326" s="142"/>
      <c r="Z326" s="142"/>
      <c r="AA326" s="142"/>
      <c r="AB326" s="142"/>
    </row>
    <row r="327" ht="13.5" customHeight="1">
      <c r="A327" s="142"/>
      <c r="B327" s="142"/>
      <c r="C327" s="142"/>
      <c r="D327" s="142"/>
      <c r="E327" s="131"/>
      <c r="F327" s="131"/>
      <c r="G327" s="131"/>
      <c r="H327" s="131"/>
      <c r="I327" s="131"/>
      <c r="J327" s="131"/>
      <c r="K327" s="131"/>
      <c r="L327" s="131"/>
      <c r="M327" s="131"/>
      <c r="N327" s="131"/>
      <c r="O327" s="142"/>
      <c r="P327" s="142"/>
      <c r="Q327" s="142"/>
      <c r="R327" s="131"/>
      <c r="S327" s="142"/>
      <c r="T327" s="142"/>
      <c r="U327" s="142"/>
      <c r="V327" s="142"/>
      <c r="W327" s="142"/>
      <c r="X327" s="142"/>
      <c r="Y327" s="142"/>
      <c r="Z327" s="142"/>
      <c r="AA327" s="142"/>
      <c r="AB327" s="142"/>
    </row>
    <row r="328" ht="13.5" customHeight="1">
      <c r="A328" s="142"/>
      <c r="B328" s="142"/>
      <c r="C328" s="142"/>
      <c r="D328" s="142"/>
      <c r="E328" s="131"/>
      <c r="F328" s="131"/>
      <c r="G328" s="131"/>
      <c r="H328" s="131"/>
      <c r="I328" s="131"/>
      <c r="J328" s="131"/>
      <c r="K328" s="131"/>
      <c r="L328" s="131"/>
      <c r="M328" s="131"/>
      <c r="N328" s="131"/>
      <c r="O328" s="142"/>
      <c r="P328" s="142"/>
      <c r="Q328" s="142"/>
      <c r="R328" s="131"/>
      <c r="S328" s="142"/>
      <c r="T328" s="142"/>
      <c r="U328" s="142"/>
      <c r="V328" s="142"/>
      <c r="W328" s="142"/>
      <c r="X328" s="142"/>
      <c r="Y328" s="142"/>
      <c r="Z328" s="142"/>
      <c r="AA328" s="142"/>
      <c r="AB328" s="142"/>
    </row>
    <row r="329" ht="13.5" customHeight="1">
      <c r="A329" s="142"/>
      <c r="B329" s="142"/>
      <c r="C329" s="142"/>
      <c r="D329" s="142"/>
      <c r="E329" s="131"/>
      <c r="F329" s="131"/>
      <c r="G329" s="131"/>
      <c r="H329" s="131"/>
      <c r="I329" s="131"/>
      <c r="J329" s="131"/>
      <c r="K329" s="131"/>
      <c r="L329" s="131"/>
      <c r="M329" s="131"/>
      <c r="N329" s="131"/>
      <c r="O329" s="142"/>
      <c r="P329" s="142"/>
      <c r="Q329" s="142"/>
      <c r="R329" s="131"/>
      <c r="S329" s="142"/>
      <c r="T329" s="142"/>
      <c r="U329" s="142"/>
      <c r="V329" s="142"/>
      <c r="W329" s="142"/>
      <c r="X329" s="142"/>
      <c r="Y329" s="142"/>
      <c r="Z329" s="142"/>
      <c r="AA329" s="142"/>
      <c r="AB329" s="142"/>
    </row>
    <row r="330" ht="13.5" customHeight="1">
      <c r="A330" s="142"/>
      <c r="B330" s="142"/>
      <c r="C330" s="142"/>
      <c r="D330" s="142"/>
      <c r="E330" s="131"/>
      <c r="F330" s="131"/>
      <c r="G330" s="131"/>
      <c r="H330" s="131"/>
      <c r="I330" s="131"/>
      <c r="J330" s="131"/>
      <c r="K330" s="131"/>
      <c r="L330" s="131"/>
      <c r="M330" s="131"/>
      <c r="N330" s="131"/>
      <c r="O330" s="142"/>
      <c r="P330" s="142"/>
      <c r="Q330" s="142"/>
      <c r="R330" s="131"/>
      <c r="S330" s="142"/>
      <c r="T330" s="142"/>
      <c r="U330" s="142"/>
      <c r="V330" s="142"/>
      <c r="W330" s="142"/>
      <c r="X330" s="142"/>
      <c r="Y330" s="142"/>
      <c r="Z330" s="142"/>
      <c r="AA330" s="142"/>
      <c r="AB330" s="142"/>
    </row>
    <row r="331" ht="13.5" customHeight="1">
      <c r="A331" s="142"/>
      <c r="B331" s="142"/>
      <c r="C331" s="142"/>
      <c r="D331" s="142"/>
      <c r="E331" s="131"/>
      <c r="F331" s="131"/>
      <c r="G331" s="131"/>
      <c r="H331" s="131"/>
      <c r="I331" s="131"/>
      <c r="J331" s="131"/>
      <c r="K331" s="131"/>
      <c r="L331" s="131"/>
      <c r="M331" s="131"/>
      <c r="N331" s="131"/>
      <c r="O331" s="142"/>
      <c r="P331" s="142"/>
      <c r="Q331" s="142"/>
      <c r="R331" s="131"/>
      <c r="S331" s="142"/>
      <c r="T331" s="142"/>
      <c r="U331" s="142"/>
      <c r="V331" s="142"/>
      <c r="W331" s="142"/>
      <c r="X331" s="142"/>
      <c r="Y331" s="142"/>
      <c r="Z331" s="142"/>
      <c r="AA331" s="142"/>
      <c r="AB331" s="142"/>
    </row>
    <row r="332" ht="13.5" customHeight="1">
      <c r="A332" s="142"/>
      <c r="B332" s="142"/>
      <c r="C332" s="142"/>
      <c r="D332" s="142"/>
      <c r="E332" s="131"/>
      <c r="F332" s="131"/>
      <c r="G332" s="131"/>
      <c r="H332" s="131"/>
      <c r="I332" s="131"/>
      <c r="J332" s="131"/>
      <c r="K332" s="131"/>
      <c r="L332" s="131"/>
      <c r="M332" s="131"/>
      <c r="N332" s="131"/>
      <c r="O332" s="142"/>
      <c r="P332" s="142"/>
      <c r="Q332" s="142"/>
      <c r="R332" s="131"/>
      <c r="S332" s="142"/>
      <c r="T332" s="142"/>
      <c r="U332" s="142"/>
      <c r="V332" s="142"/>
      <c r="W332" s="142"/>
      <c r="X332" s="142"/>
      <c r="Y332" s="142"/>
      <c r="Z332" s="142"/>
      <c r="AA332" s="142"/>
      <c r="AB332" s="142"/>
    </row>
    <row r="333" ht="13.5" customHeight="1">
      <c r="A333" s="142"/>
      <c r="B333" s="142"/>
      <c r="C333" s="142"/>
      <c r="D333" s="142"/>
      <c r="E333" s="131"/>
      <c r="F333" s="131"/>
      <c r="G333" s="131"/>
      <c r="H333" s="131"/>
      <c r="I333" s="131"/>
      <c r="J333" s="131"/>
      <c r="K333" s="131"/>
      <c r="L333" s="131"/>
      <c r="M333" s="131"/>
      <c r="N333" s="131"/>
      <c r="O333" s="142"/>
      <c r="P333" s="142"/>
      <c r="Q333" s="142"/>
      <c r="R333" s="131"/>
      <c r="S333" s="142"/>
      <c r="T333" s="142"/>
      <c r="U333" s="142"/>
      <c r="V333" s="142"/>
      <c r="W333" s="142"/>
      <c r="X333" s="142"/>
      <c r="Y333" s="142"/>
      <c r="Z333" s="142"/>
      <c r="AA333" s="142"/>
      <c r="AB333" s="142"/>
    </row>
    <row r="334" ht="13.5" customHeight="1">
      <c r="A334" s="142"/>
      <c r="B334" s="142"/>
      <c r="C334" s="142"/>
      <c r="D334" s="142"/>
      <c r="E334" s="131"/>
      <c r="F334" s="131"/>
      <c r="G334" s="131"/>
      <c r="H334" s="131"/>
      <c r="I334" s="131"/>
      <c r="J334" s="131"/>
      <c r="K334" s="131"/>
      <c r="L334" s="131"/>
      <c r="M334" s="131"/>
      <c r="N334" s="131"/>
      <c r="O334" s="142"/>
      <c r="P334" s="142"/>
      <c r="Q334" s="142"/>
      <c r="R334" s="131"/>
      <c r="S334" s="142"/>
      <c r="T334" s="142"/>
      <c r="U334" s="142"/>
      <c r="V334" s="142"/>
      <c r="W334" s="142"/>
      <c r="X334" s="142"/>
      <c r="Y334" s="142"/>
      <c r="Z334" s="142"/>
      <c r="AA334" s="142"/>
      <c r="AB334" s="142"/>
    </row>
    <row r="335" ht="13.5" customHeight="1">
      <c r="A335" s="142"/>
      <c r="B335" s="142"/>
      <c r="C335" s="142"/>
      <c r="D335" s="142"/>
      <c r="E335" s="131"/>
      <c r="F335" s="131"/>
      <c r="G335" s="131"/>
      <c r="H335" s="131"/>
      <c r="I335" s="131"/>
      <c r="J335" s="131"/>
      <c r="K335" s="131"/>
      <c r="L335" s="131"/>
      <c r="M335" s="131"/>
      <c r="N335" s="131"/>
      <c r="O335" s="142"/>
      <c r="P335" s="142"/>
      <c r="Q335" s="142"/>
      <c r="R335" s="131"/>
      <c r="S335" s="142"/>
      <c r="T335" s="142"/>
      <c r="U335" s="142"/>
      <c r="V335" s="142"/>
      <c r="W335" s="142"/>
      <c r="X335" s="142"/>
      <c r="Y335" s="142"/>
      <c r="Z335" s="142"/>
      <c r="AA335" s="142"/>
      <c r="AB335" s="142"/>
    </row>
    <row r="336" ht="13.5" customHeight="1">
      <c r="A336" s="142"/>
      <c r="B336" s="142"/>
      <c r="C336" s="142"/>
      <c r="D336" s="142"/>
      <c r="E336" s="131"/>
      <c r="F336" s="131"/>
      <c r="G336" s="131"/>
      <c r="H336" s="131"/>
      <c r="I336" s="131"/>
      <c r="J336" s="131"/>
      <c r="K336" s="131"/>
      <c r="L336" s="131"/>
      <c r="M336" s="131"/>
      <c r="N336" s="131"/>
      <c r="O336" s="142"/>
      <c r="P336" s="142"/>
      <c r="Q336" s="142"/>
      <c r="R336" s="131"/>
      <c r="S336" s="142"/>
      <c r="T336" s="142"/>
      <c r="U336" s="142"/>
      <c r="V336" s="142"/>
      <c r="W336" s="142"/>
      <c r="X336" s="142"/>
      <c r="Y336" s="142"/>
      <c r="Z336" s="142"/>
      <c r="AA336" s="142"/>
      <c r="AB336" s="142"/>
    </row>
    <row r="337" ht="13.5" customHeight="1">
      <c r="A337" s="142"/>
      <c r="B337" s="142"/>
      <c r="C337" s="142"/>
      <c r="D337" s="142"/>
      <c r="E337" s="131"/>
      <c r="F337" s="131"/>
      <c r="G337" s="131"/>
      <c r="H337" s="131"/>
      <c r="I337" s="131"/>
      <c r="J337" s="131"/>
      <c r="K337" s="131"/>
      <c r="L337" s="131"/>
      <c r="M337" s="131"/>
      <c r="N337" s="131"/>
      <c r="O337" s="142"/>
      <c r="P337" s="142"/>
      <c r="Q337" s="142"/>
      <c r="R337" s="131"/>
      <c r="S337" s="142"/>
      <c r="T337" s="142"/>
      <c r="U337" s="142"/>
      <c r="V337" s="142"/>
      <c r="W337" s="142"/>
      <c r="X337" s="142"/>
      <c r="Y337" s="142"/>
      <c r="Z337" s="142"/>
      <c r="AA337" s="142"/>
      <c r="AB337" s="142"/>
    </row>
    <row r="338" ht="13.5" customHeight="1">
      <c r="A338" s="142"/>
      <c r="B338" s="142"/>
      <c r="C338" s="142"/>
      <c r="D338" s="142"/>
      <c r="E338" s="131"/>
      <c r="F338" s="131"/>
      <c r="G338" s="131"/>
      <c r="H338" s="131"/>
      <c r="I338" s="131"/>
      <c r="J338" s="131"/>
      <c r="K338" s="131"/>
      <c r="L338" s="131"/>
      <c r="M338" s="131"/>
      <c r="N338" s="131"/>
      <c r="O338" s="142"/>
      <c r="P338" s="142"/>
      <c r="Q338" s="142"/>
      <c r="R338" s="131"/>
      <c r="S338" s="142"/>
      <c r="T338" s="142"/>
      <c r="U338" s="142"/>
      <c r="V338" s="142"/>
      <c r="W338" s="142"/>
      <c r="X338" s="142"/>
      <c r="Y338" s="142"/>
      <c r="Z338" s="142"/>
      <c r="AA338" s="142"/>
      <c r="AB338" s="142"/>
    </row>
    <row r="339" ht="13.5" customHeight="1">
      <c r="A339" s="142"/>
      <c r="B339" s="142"/>
      <c r="C339" s="142"/>
      <c r="D339" s="142"/>
      <c r="E339" s="131"/>
      <c r="F339" s="131"/>
      <c r="G339" s="131"/>
      <c r="H339" s="131"/>
      <c r="I339" s="131"/>
      <c r="J339" s="131"/>
      <c r="K339" s="131"/>
      <c r="L339" s="131"/>
      <c r="M339" s="131"/>
      <c r="N339" s="131"/>
      <c r="O339" s="142"/>
      <c r="P339" s="142"/>
      <c r="Q339" s="142"/>
      <c r="R339" s="131"/>
      <c r="S339" s="142"/>
      <c r="T339" s="142"/>
      <c r="U339" s="142"/>
      <c r="V339" s="142"/>
      <c r="W339" s="142"/>
      <c r="X339" s="142"/>
      <c r="Y339" s="142"/>
      <c r="Z339" s="142"/>
      <c r="AA339" s="142"/>
      <c r="AB339" s="142"/>
    </row>
    <row r="340" ht="13.5" customHeight="1">
      <c r="A340" s="142"/>
      <c r="B340" s="142"/>
      <c r="C340" s="142"/>
      <c r="D340" s="142"/>
      <c r="E340" s="131"/>
      <c r="F340" s="131"/>
      <c r="G340" s="131"/>
      <c r="H340" s="131"/>
      <c r="I340" s="131"/>
      <c r="J340" s="131"/>
      <c r="K340" s="131"/>
      <c r="L340" s="131"/>
      <c r="M340" s="131"/>
      <c r="N340" s="131"/>
      <c r="O340" s="142"/>
      <c r="P340" s="142"/>
      <c r="Q340" s="142"/>
      <c r="R340" s="131"/>
      <c r="S340" s="142"/>
      <c r="T340" s="142"/>
      <c r="U340" s="142"/>
      <c r="V340" s="142"/>
      <c r="W340" s="142"/>
      <c r="X340" s="142"/>
      <c r="Y340" s="142"/>
      <c r="Z340" s="142"/>
      <c r="AA340" s="142"/>
      <c r="AB340" s="142"/>
    </row>
    <row r="341" ht="13.5" customHeight="1">
      <c r="A341" s="142"/>
      <c r="B341" s="142"/>
      <c r="C341" s="142"/>
      <c r="D341" s="142"/>
      <c r="E341" s="131"/>
      <c r="F341" s="131"/>
      <c r="G341" s="131"/>
      <c r="H341" s="131"/>
      <c r="I341" s="131"/>
      <c r="J341" s="131"/>
      <c r="K341" s="131"/>
      <c r="L341" s="131"/>
      <c r="M341" s="131"/>
      <c r="N341" s="131"/>
      <c r="O341" s="142"/>
      <c r="P341" s="142"/>
      <c r="Q341" s="142"/>
      <c r="R341" s="131"/>
      <c r="S341" s="142"/>
      <c r="T341" s="142"/>
      <c r="U341" s="142"/>
      <c r="V341" s="142"/>
      <c r="W341" s="142"/>
      <c r="X341" s="142"/>
      <c r="Y341" s="142"/>
      <c r="Z341" s="142"/>
      <c r="AA341" s="142"/>
      <c r="AB341" s="142"/>
    </row>
    <row r="342" ht="13.5" customHeight="1">
      <c r="A342" s="142"/>
      <c r="B342" s="142"/>
      <c r="C342" s="142"/>
      <c r="D342" s="142"/>
      <c r="E342" s="131"/>
      <c r="F342" s="131"/>
      <c r="G342" s="131"/>
      <c r="H342" s="131"/>
      <c r="I342" s="131"/>
      <c r="J342" s="131"/>
      <c r="K342" s="131"/>
      <c r="L342" s="131"/>
      <c r="M342" s="131"/>
      <c r="N342" s="131"/>
      <c r="O342" s="142"/>
      <c r="P342" s="142"/>
      <c r="Q342" s="142"/>
      <c r="R342" s="131"/>
      <c r="S342" s="142"/>
      <c r="T342" s="142"/>
      <c r="U342" s="142"/>
      <c r="V342" s="142"/>
      <c r="W342" s="142"/>
      <c r="X342" s="142"/>
      <c r="Y342" s="142"/>
      <c r="Z342" s="142"/>
      <c r="AA342" s="142"/>
      <c r="AB342" s="142"/>
    </row>
    <row r="343" ht="13.5" customHeight="1">
      <c r="A343" s="142"/>
      <c r="B343" s="142"/>
      <c r="C343" s="142"/>
      <c r="D343" s="142"/>
      <c r="E343" s="131"/>
      <c r="F343" s="131"/>
      <c r="G343" s="131"/>
      <c r="H343" s="131"/>
      <c r="I343" s="131"/>
      <c r="J343" s="131"/>
      <c r="K343" s="131"/>
      <c r="L343" s="131"/>
      <c r="M343" s="131"/>
      <c r="N343" s="131"/>
      <c r="O343" s="142"/>
      <c r="P343" s="142"/>
      <c r="Q343" s="142"/>
      <c r="R343" s="131"/>
      <c r="S343" s="142"/>
      <c r="T343" s="142"/>
      <c r="U343" s="142"/>
      <c r="V343" s="142"/>
      <c r="W343" s="142"/>
      <c r="X343" s="142"/>
      <c r="Y343" s="142"/>
      <c r="Z343" s="142"/>
      <c r="AA343" s="142"/>
      <c r="AB343" s="142"/>
    </row>
    <row r="344" ht="13.5" customHeight="1">
      <c r="A344" s="142"/>
      <c r="B344" s="142"/>
      <c r="C344" s="142"/>
      <c r="D344" s="142"/>
      <c r="E344" s="131"/>
      <c r="F344" s="131"/>
      <c r="G344" s="131"/>
      <c r="H344" s="131"/>
      <c r="I344" s="131"/>
      <c r="J344" s="131"/>
      <c r="K344" s="131"/>
      <c r="L344" s="131"/>
      <c r="M344" s="131"/>
      <c r="N344" s="131"/>
      <c r="O344" s="142"/>
      <c r="P344" s="142"/>
      <c r="Q344" s="142"/>
      <c r="R344" s="131"/>
      <c r="S344" s="142"/>
      <c r="T344" s="142"/>
      <c r="U344" s="142"/>
      <c r="V344" s="142"/>
      <c r="W344" s="142"/>
      <c r="X344" s="142"/>
      <c r="Y344" s="142"/>
      <c r="Z344" s="142"/>
      <c r="AA344" s="142"/>
      <c r="AB344" s="142"/>
    </row>
    <row r="345" ht="13.5" customHeight="1">
      <c r="A345" s="142"/>
      <c r="B345" s="142"/>
      <c r="C345" s="142"/>
      <c r="D345" s="142"/>
      <c r="E345" s="131"/>
      <c r="F345" s="131"/>
      <c r="G345" s="131"/>
      <c r="H345" s="131"/>
      <c r="I345" s="131"/>
      <c r="J345" s="131"/>
      <c r="K345" s="131"/>
      <c r="L345" s="131"/>
      <c r="M345" s="131"/>
      <c r="N345" s="131"/>
      <c r="O345" s="142"/>
      <c r="P345" s="142"/>
      <c r="Q345" s="142"/>
      <c r="R345" s="131"/>
      <c r="S345" s="142"/>
      <c r="T345" s="142"/>
      <c r="U345" s="142"/>
      <c r="V345" s="142"/>
      <c r="W345" s="142"/>
      <c r="X345" s="142"/>
      <c r="Y345" s="142"/>
      <c r="Z345" s="142"/>
      <c r="AA345" s="142"/>
      <c r="AB345" s="142"/>
    </row>
    <row r="346" ht="13.5" customHeight="1">
      <c r="A346" s="142"/>
      <c r="B346" s="142"/>
      <c r="C346" s="142"/>
      <c r="D346" s="142"/>
      <c r="E346" s="131"/>
      <c r="F346" s="131"/>
      <c r="G346" s="131"/>
      <c r="H346" s="131"/>
      <c r="I346" s="131"/>
      <c r="J346" s="131"/>
      <c r="K346" s="131"/>
      <c r="L346" s="131"/>
      <c r="M346" s="131"/>
      <c r="N346" s="131"/>
      <c r="O346" s="142"/>
      <c r="P346" s="142"/>
      <c r="Q346" s="142"/>
      <c r="R346" s="131"/>
      <c r="S346" s="142"/>
      <c r="T346" s="142"/>
      <c r="U346" s="142"/>
      <c r="V346" s="142"/>
      <c r="W346" s="142"/>
      <c r="X346" s="142"/>
      <c r="Y346" s="142"/>
      <c r="Z346" s="142"/>
      <c r="AA346" s="142"/>
      <c r="AB346" s="142"/>
    </row>
    <row r="347" ht="13.5" customHeight="1">
      <c r="A347" s="142"/>
      <c r="B347" s="142"/>
      <c r="C347" s="142"/>
      <c r="D347" s="142"/>
      <c r="E347" s="131"/>
      <c r="F347" s="131"/>
      <c r="G347" s="131"/>
      <c r="H347" s="131"/>
      <c r="I347" s="131"/>
      <c r="J347" s="131"/>
      <c r="K347" s="131"/>
      <c r="L347" s="131"/>
      <c r="M347" s="131"/>
      <c r="N347" s="131"/>
      <c r="O347" s="142"/>
      <c r="P347" s="142"/>
      <c r="Q347" s="142"/>
      <c r="R347" s="131"/>
      <c r="S347" s="142"/>
      <c r="T347" s="142"/>
      <c r="U347" s="142"/>
      <c r="V347" s="142"/>
      <c r="W347" s="142"/>
      <c r="X347" s="142"/>
      <c r="Y347" s="142"/>
      <c r="Z347" s="142"/>
      <c r="AA347" s="142"/>
      <c r="AB347" s="142"/>
    </row>
    <row r="348" ht="13.5" customHeight="1">
      <c r="A348" s="142"/>
      <c r="B348" s="142"/>
      <c r="C348" s="142"/>
      <c r="D348" s="142"/>
      <c r="E348" s="131"/>
      <c r="F348" s="131"/>
      <c r="G348" s="131"/>
      <c r="H348" s="131"/>
      <c r="I348" s="131"/>
      <c r="J348" s="131"/>
      <c r="K348" s="131"/>
      <c r="L348" s="131"/>
      <c r="M348" s="131"/>
      <c r="N348" s="131"/>
      <c r="O348" s="142"/>
      <c r="P348" s="142"/>
      <c r="Q348" s="142"/>
      <c r="R348" s="131"/>
      <c r="S348" s="142"/>
      <c r="T348" s="142"/>
      <c r="U348" s="142"/>
      <c r="V348" s="142"/>
      <c r="W348" s="142"/>
      <c r="X348" s="142"/>
      <c r="Y348" s="142"/>
      <c r="Z348" s="142"/>
      <c r="AA348" s="142"/>
      <c r="AB348" s="142"/>
    </row>
    <row r="349" ht="13.5" customHeight="1">
      <c r="A349" s="142"/>
      <c r="B349" s="142"/>
      <c r="C349" s="142"/>
      <c r="D349" s="142"/>
      <c r="E349" s="131"/>
      <c r="F349" s="131"/>
      <c r="G349" s="131"/>
      <c r="H349" s="131"/>
      <c r="I349" s="131"/>
      <c r="J349" s="131"/>
      <c r="K349" s="131"/>
      <c r="L349" s="131"/>
      <c r="M349" s="131"/>
      <c r="N349" s="131"/>
      <c r="O349" s="142"/>
      <c r="P349" s="142"/>
      <c r="Q349" s="142"/>
      <c r="R349" s="131"/>
      <c r="S349" s="142"/>
      <c r="T349" s="142"/>
      <c r="U349" s="142"/>
      <c r="V349" s="142"/>
      <c r="W349" s="142"/>
      <c r="X349" s="142"/>
      <c r="Y349" s="142"/>
      <c r="Z349" s="142"/>
      <c r="AA349" s="142"/>
      <c r="AB349" s="142"/>
    </row>
    <row r="350" ht="13.5" customHeight="1">
      <c r="A350" s="142"/>
      <c r="B350" s="142"/>
      <c r="C350" s="142"/>
      <c r="D350" s="142"/>
      <c r="E350" s="131"/>
      <c r="F350" s="131"/>
      <c r="G350" s="131"/>
      <c r="H350" s="131"/>
      <c r="I350" s="131"/>
      <c r="J350" s="131"/>
      <c r="K350" s="131"/>
      <c r="L350" s="131"/>
      <c r="M350" s="131"/>
      <c r="N350" s="131"/>
      <c r="O350" s="142"/>
      <c r="P350" s="142"/>
      <c r="Q350" s="142"/>
      <c r="R350" s="131"/>
      <c r="S350" s="142"/>
      <c r="T350" s="142"/>
      <c r="U350" s="142"/>
      <c r="V350" s="142"/>
      <c r="W350" s="142"/>
      <c r="X350" s="142"/>
      <c r="Y350" s="142"/>
      <c r="Z350" s="142"/>
      <c r="AA350" s="142"/>
      <c r="AB350" s="142"/>
    </row>
    <row r="351" ht="13.5" customHeight="1">
      <c r="A351" s="142"/>
      <c r="B351" s="142"/>
      <c r="C351" s="142"/>
      <c r="D351" s="142"/>
      <c r="E351" s="131"/>
      <c r="F351" s="131"/>
      <c r="G351" s="131"/>
      <c r="H351" s="131"/>
      <c r="I351" s="131"/>
      <c r="J351" s="131"/>
      <c r="K351" s="131"/>
      <c r="L351" s="131"/>
      <c r="M351" s="131"/>
      <c r="N351" s="131"/>
      <c r="O351" s="142"/>
      <c r="P351" s="142"/>
      <c r="Q351" s="142"/>
      <c r="R351" s="131"/>
      <c r="S351" s="142"/>
      <c r="T351" s="142"/>
      <c r="U351" s="142"/>
      <c r="V351" s="142"/>
      <c r="W351" s="142"/>
      <c r="X351" s="142"/>
      <c r="Y351" s="142"/>
      <c r="Z351" s="142"/>
      <c r="AA351" s="142"/>
      <c r="AB351" s="142"/>
    </row>
    <row r="352" ht="13.5" customHeight="1">
      <c r="A352" s="142"/>
      <c r="B352" s="142"/>
      <c r="C352" s="142"/>
      <c r="D352" s="142"/>
      <c r="E352" s="131"/>
      <c r="F352" s="131"/>
      <c r="G352" s="131"/>
      <c r="H352" s="131"/>
      <c r="I352" s="131"/>
      <c r="J352" s="131"/>
      <c r="K352" s="131"/>
      <c r="L352" s="131"/>
      <c r="M352" s="131"/>
      <c r="N352" s="131"/>
      <c r="O352" s="142"/>
      <c r="P352" s="142"/>
      <c r="Q352" s="142"/>
      <c r="R352" s="131"/>
      <c r="S352" s="142"/>
      <c r="T352" s="142"/>
      <c r="U352" s="142"/>
      <c r="V352" s="142"/>
      <c r="W352" s="142"/>
      <c r="X352" s="142"/>
      <c r="Y352" s="142"/>
      <c r="Z352" s="142"/>
      <c r="AA352" s="142"/>
      <c r="AB352" s="142"/>
    </row>
    <row r="353" ht="13.5" customHeight="1">
      <c r="A353" s="142"/>
      <c r="B353" s="142"/>
      <c r="C353" s="142"/>
      <c r="D353" s="142"/>
      <c r="E353" s="131"/>
      <c r="F353" s="131"/>
      <c r="G353" s="131"/>
      <c r="H353" s="131"/>
      <c r="I353" s="131"/>
      <c r="J353" s="131"/>
      <c r="K353" s="131"/>
      <c r="L353" s="131"/>
      <c r="M353" s="131"/>
      <c r="N353" s="131"/>
      <c r="O353" s="142"/>
      <c r="P353" s="142"/>
      <c r="Q353" s="142"/>
      <c r="R353" s="131"/>
      <c r="S353" s="142"/>
      <c r="T353" s="142"/>
      <c r="U353" s="142"/>
      <c r="V353" s="142"/>
      <c r="W353" s="142"/>
      <c r="X353" s="142"/>
      <c r="Y353" s="142"/>
      <c r="Z353" s="142"/>
      <c r="AA353" s="142"/>
      <c r="AB353" s="142"/>
    </row>
    <row r="354" ht="13.5" customHeight="1">
      <c r="A354" s="142"/>
      <c r="B354" s="142"/>
      <c r="C354" s="142"/>
      <c r="D354" s="142"/>
      <c r="E354" s="131"/>
      <c r="F354" s="131"/>
      <c r="G354" s="131"/>
      <c r="H354" s="131"/>
      <c r="I354" s="131"/>
      <c r="J354" s="131"/>
      <c r="K354" s="131"/>
      <c r="L354" s="131"/>
      <c r="M354" s="131"/>
      <c r="N354" s="131"/>
      <c r="O354" s="142"/>
      <c r="P354" s="142"/>
      <c r="Q354" s="142"/>
      <c r="R354" s="131"/>
      <c r="S354" s="142"/>
      <c r="T354" s="142"/>
      <c r="U354" s="142"/>
      <c r="V354" s="142"/>
      <c r="W354" s="142"/>
      <c r="X354" s="142"/>
      <c r="Y354" s="142"/>
      <c r="Z354" s="142"/>
      <c r="AA354" s="142"/>
      <c r="AB354" s="142"/>
    </row>
    <row r="355" ht="13.5" customHeight="1">
      <c r="A355" s="142"/>
      <c r="B355" s="142"/>
      <c r="C355" s="142"/>
      <c r="D355" s="142"/>
      <c r="E355" s="131"/>
      <c r="F355" s="131"/>
      <c r="G355" s="131"/>
      <c r="H355" s="131"/>
      <c r="I355" s="131"/>
      <c r="J355" s="131"/>
      <c r="K355" s="131"/>
      <c r="L355" s="131"/>
      <c r="M355" s="131"/>
      <c r="N355" s="131"/>
      <c r="O355" s="142"/>
      <c r="P355" s="142"/>
      <c r="Q355" s="142"/>
      <c r="R355" s="131"/>
      <c r="S355" s="142"/>
      <c r="T355" s="142"/>
      <c r="U355" s="142"/>
      <c r="V355" s="142"/>
      <c r="W355" s="142"/>
      <c r="X355" s="142"/>
      <c r="Y355" s="142"/>
      <c r="Z355" s="142"/>
      <c r="AA355" s="142"/>
      <c r="AB355" s="142"/>
    </row>
    <row r="356" ht="13.5" customHeight="1">
      <c r="A356" s="142"/>
      <c r="B356" s="142"/>
      <c r="C356" s="142"/>
      <c r="D356" s="142"/>
      <c r="E356" s="131"/>
      <c r="F356" s="131"/>
      <c r="G356" s="131"/>
      <c r="H356" s="131"/>
      <c r="I356" s="131"/>
      <c r="J356" s="131"/>
      <c r="K356" s="131"/>
      <c r="L356" s="131"/>
      <c r="M356" s="131"/>
      <c r="N356" s="131"/>
      <c r="O356" s="142"/>
      <c r="P356" s="142"/>
      <c r="Q356" s="142"/>
      <c r="R356" s="131"/>
      <c r="S356" s="142"/>
      <c r="T356" s="142"/>
      <c r="U356" s="142"/>
      <c r="V356" s="142"/>
      <c r="W356" s="142"/>
      <c r="X356" s="142"/>
      <c r="Y356" s="142"/>
      <c r="Z356" s="142"/>
      <c r="AA356" s="142"/>
      <c r="AB356" s="142"/>
    </row>
    <row r="357" ht="13.5" customHeight="1">
      <c r="A357" s="142"/>
      <c r="B357" s="142"/>
      <c r="C357" s="142"/>
      <c r="D357" s="142"/>
      <c r="E357" s="131"/>
      <c r="F357" s="131"/>
      <c r="G357" s="131"/>
      <c r="H357" s="131"/>
      <c r="I357" s="131"/>
      <c r="J357" s="131"/>
      <c r="K357" s="131"/>
      <c r="L357" s="131"/>
      <c r="M357" s="131"/>
      <c r="N357" s="131"/>
      <c r="O357" s="142"/>
      <c r="P357" s="142"/>
      <c r="Q357" s="142"/>
      <c r="R357" s="131"/>
      <c r="S357" s="142"/>
      <c r="T357" s="142"/>
      <c r="U357" s="142"/>
      <c r="V357" s="142"/>
      <c r="W357" s="142"/>
      <c r="X357" s="142"/>
      <c r="Y357" s="142"/>
      <c r="Z357" s="142"/>
      <c r="AA357" s="142"/>
      <c r="AB357" s="142"/>
    </row>
    <row r="358" ht="13.5" customHeight="1">
      <c r="A358" s="142"/>
      <c r="B358" s="142"/>
      <c r="C358" s="142"/>
      <c r="D358" s="142"/>
      <c r="E358" s="131"/>
      <c r="F358" s="131"/>
      <c r="G358" s="131"/>
      <c r="H358" s="131"/>
      <c r="I358" s="131"/>
      <c r="J358" s="131"/>
      <c r="K358" s="131"/>
      <c r="L358" s="131"/>
      <c r="M358" s="131"/>
      <c r="N358" s="131"/>
      <c r="O358" s="142"/>
      <c r="P358" s="142"/>
      <c r="Q358" s="142"/>
      <c r="R358" s="131"/>
      <c r="S358" s="142"/>
      <c r="T358" s="142"/>
      <c r="U358" s="142"/>
      <c r="V358" s="142"/>
      <c r="W358" s="142"/>
      <c r="X358" s="142"/>
      <c r="Y358" s="142"/>
      <c r="Z358" s="142"/>
      <c r="AA358" s="142"/>
      <c r="AB358" s="142"/>
    </row>
    <row r="359" ht="13.5" customHeight="1">
      <c r="A359" s="142"/>
      <c r="B359" s="142"/>
      <c r="C359" s="142"/>
      <c r="D359" s="142"/>
      <c r="E359" s="131"/>
      <c r="F359" s="131"/>
      <c r="G359" s="131"/>
      <c r="H359" s="131"/>
      <c r="I359" s="131"/>
      <c r="J359" s="131"/>
      <c r="K359" s="131"/>
      <c r="L359" s="131"/>
      <c r="M359" s="131"/>
      <c r="N359" s="131"/>
      <c r="O359" s="142"/>
      <c r="P359" s="142"/>
      <c r="Q359" s="142"/>
      <c r="R359" s="131"/>
      <c r="S359" s="142"/>
      <c r="T359" s="142"/>
      <c r="U359" s="142"/>
      <c r="V359" s="142"/>
      <c r="W359" s="142"/>
      <c r="X359" s="142"/>
      <c r="Y359" s="142"/>
      <c r="Z359" s="142"/>
      <c r="AA359" s="142"/>
      <c r="AB359" s="142"/>
    </row>
    <row r="360" ht="13.5" customHeight="1">
      <c r="A360" s="142"/>
      <c r="B360" s="142"/>
      <c r="C360" s="142"/>
      <c r="D360" s="142"/>
      <c r="E360" s="131"/>
      <c r="F360" s="131"/>
      <c r="G360" s="131"/>
      <c r="H360" s="131"/>
      <c r="I360" s="131"/>
      <c r="J360" s="131"/>
      <c r="K360" s="131"/>
      <c r="L360" s="131"/>
      <c r="M360" s="131"/>
      <c r="N360" s="131"/>
      <c r="O360" s="142"/>
      <c r="P360" s="142"/>
      <c r="Q360" s="142"/>
      <c r="R360" s="131"/>
      <c r="S360" s="142"/>
      <c r="T360" s="142"/>
      <c r="U360" s="142"/>
      <c r="V360" s="142"/>
      <c r="W360" s="142"/>
      <c r="X360" s="142"/>
      <c r="Y360" s="142"/>
      <c r="Z360" s="142"/>
      <c r="AA360" s="142"/>
      <c r="AB360" s="142"/>
    </row>
    <row r="361" ht="13.5" customHeight="1">
      <c r="A361" s="142"/>
      <c r="B361" s="142"/>
      <c r="C361" s="142"/>
      <c r="D361" s="142"/>
      <c r="E361" s="131"/>
      <c r="F361" s="131"/>
      <c r="G361" s="131"/>
      <c r="H361" s="131"/>
      <c r="I361" s="131"/>
      <c r="J361" s="131"/>
      <c r="K361" s="131"/>
      <c r="L361" s="131"/>
      <c r="M361" s="131"/>
      <c r="N361" s="131"/>
      <c r="O361" s="142"/>
      <c r="P361" s="142"/>
      <c r="Q361" s="142"/>
      <c r="R361" s="131"/>
      <c r="S361" s="142"/>
      <c r="T361" s="142"/>
      <c r="U361" s="142"/>
      <c r="V361" s="142"/>
      <c r="W361" s="142"/>
      <c r="X361" s="142"/>
      <c r="Y361" s="142"/>
      <c r="Z361" s="142"/>
      <c r="AA361" s="142"/>
      <c r="AB361" s="142"/>
    </row>
    <row r="362" ht="13.5" customHeight="1">
      <c r="A362" s="142"/>
      <c r="B362" s="142"/>
      <c r="C362" s="142"/>
      <c r="D362" s="142"/>
      <c r="E362" s="131"/>
      <c r="F362" s="131"/>
      <c r="G362" s="131"/>
      <c r="H362" s="131"/>
      <c r="I362" s="131"/>
      <c r="J362" s="131"/>
      <c r="K362" s="131"/>
      <c r="L362" s="131"/>
      <c r="M362" s="131"/>
      <c r="N362" s="131"/>
      <c r="O362" s="142"/>
      <c r="P362" s="142"/>
      <c r="Q362" s="142"/>
      <c r="R362" s="131"/>
      <c r="S362" s="142"/>
      <c r="T362" s="142"/>
      <c r="U362" s="142"/>
      <c r="V362" s="142"/>
      <c r="W362" s="142"/>
      <c r="X362" s="142"/>
      <c r="Y362" s="142"/>
      <c r="Z362" s="142"/>
      <c r="AA362" s="142"/>
      <c r="AB362" s="142"/>
    </row>
    <row r="363" ht="13.5" customHeight="1">
      <c r="A363" s="142"/>
      <c r="B363" s="142"/>
      <c r="C363" s="142"/>
      <c r="D363" s="142"/>
      <c r="E363" s="131"/>
      <c r="F363" s="131"/>
      <c r="G363" s="131"/>
      <c r="H363" s="131"/>
      <c r="I363" s="131"/>
      <c r="J363" s="131"/>
      <c r="K363" s="131"/>
      <c r="L363" s="131"/>
      <c r="M363" s="131"/>
      <c r="N363" s="131"/>
      <c r="O363" s="142"/>
      <c r="P363" s="142"/>
      <c r="Q363" s="142"/>
      <c r="R363" s="131"/>
      <c r="S363" s="142"/>
      <c r="T363" s="142"/>
      <c r="U363" s="142"/>
      <c r="V363" s="142"/>
      <c r="W363" s="142"/>
      <c r="X363" s="142"/>
      <c r="Y363" s="142"/>
      <c r="Z363" s="142"/>
      <c r="AA363" s="142"/>
      <c r="AB363" s="142"/>
    </row>
    <row r="364" ht="13.5" customHeight="1">
      <c r="A364" s="142"/>
      <c r="B364" s="142"/>
      <c r="C364" s="142"/>
      <c r="D364" s="142"/>
      <c r="E364" s="131"/>
      <c r="F364" s="131"/>
      <c r="G364" s="131"/>
      <c r="H364" s="131"/>
      <c r="I364" s="131"/>
      <c r="J364" s="131"/>
      <c r="K364" s="131"/>
      <c r="L364" s="131"/>
      <c r="M364" s="131"/>
      <c r="N364" s="131"/>
      <c r="O364" s="142"/>
      <c r="P364" s="142"/>
      <c r="Q364" s="142"/>
      <c r="R364" s="131"/>
      <c r="S364" s="142"/>
      <c r="T364" s="142"/>
      <c r="U364" s="142"/>
      <c r="V364" s="142"/>
      <c r="W364" s="142"/>
      <c r="X364" s="142"/>
      <c r="Y364" s="142"/>
      <c r="Z364" s="142"/>
      <c r="AA364" s="142"/>
      <c r="AB364" s="142"/>
    </row>
    <row r="365" ht="13.5" customHeight="1">
      <c r="A365" s="142"/>
      <c r="B365" s="142"/>
      <c r="C365" s="142"/>
      <c r="D365" s="142"/>
      <c r="E365" s="131"/>
      <c r="F365" s="131"/>
      <c r="G365" s="131"/>
      <c r="H365" s="131"/>
      <c r="I365" s="131"/>
      <c r="J365" s="131"/>
      <c r="K365" s="131"/>
      <c r="L365" s="131"/>
      <c r="M365" s="131"/>
      <c r="N365" s="131"/>
      <c r="O365" s="142"/>
      <c r="P365" s="142"/>
      <c r="Q365" s="142"/>
      <c r="R365" s="131"/>
      <c r="S365" s="142"/>
      <c r="T365" s="142"/>
      <c r="U365" s="142"/>
      <c r="V365" s="142"/>
      <c r="W365" s="142"/>
      <c r="X365" s="142"/>
      <c r="Y365" s="142"/>
      <c r="Z365" s="142"/>
      <c r="AA365" s="142"/>
      <c r="AB365" s="142"/>
    </row>
    <row r="366" ht="13.5" customHeight="1">
      <c r="A366" s="142"/>
      <c r="B366" s="142"/>
      <c r="C366" s="142"/>
      <c r="D366" s="142"/>
      <c r="E366" s="131"/>
      <c r="F366" s="131"/>
      <c r="G366" s="131"/>
      <c r="H366" s="131"/>
      <c r="I366" s="131"/>
      <c r="J366" s="131"/>
      <c r="K366" s="131"/>
      <c r="L366" s="131"/>
      <c r="M366" s="131"/>
      <c r="N366" s="131"/>
      <c r="O366" s="142"/>
      <c r="P366" s="142"/>
      <c r="Q366" s="142"/>
      <c r="R366" s="131"/>
      <c r="S366" s="142"/>
      <c r="T366" s="142"/>
      <c r="U366" s="142"/>
      <c r="V366" s="142"/>
      <c r="W366" s="142"/>
      <c r="X366" s="142"/>
      <c r="Y366" s="142"/>
      <c r="Z366" s="142"/>
      <c r="AA366" s="142"/>
      <c r="AB366" s="142"/>
    </row>
    <row r="367" ht="13.5" customHeight="1">
      <c r="A367" s="142"/>
      <c r="B367" s="142"/>
      <c r="C367" s="142"/>
      <c r="D367" s="142"/>
      <c r="E367" s="131"/>
      <c r="F367" s="131"/>
      <c r="G367" s="131"/>
      <c r="H367" s="131"/>
      <c r="I367" s="131"/>
      <c r="J367" s="131"/>
      <c r="K367" s="131"/>
      <c r="L367" s="131"/>
      <c r="M367" s="131"/>
      <c r="N367" s="131"/>
      <c r="O367" s="142"/>
      <c r="P367" s="142"/>
      <c r="Q367" s="142"/>
      <c r="R367" s="131"/>
      <c r="S367" s="142"/>
      <c r="T367" s="142"/>
      <c r="U367" s="142"/>
      <c r="V367" s="142"/>
      <c r="W367" s="142"/>
      <c r="X367" s="142"/>
      <c r="Y367" s="142"/>
      <c r="Z367" s="142"/>
      <c r="AA367" s="142"/>
      <c r="AB367" s="142"/>
    </row>
    <row r="368" ht="13.5" customHeight="1">
      <c r="A368" s="142"/>
      <c r="B368" s="142"/>
      <c r="C368" s="142"/>
      <c r="D368" s="142"/>
      <c r="E368" s="131"/>
      <c r="F368" s="131"/>
      <c r="G368" s="131"/>
      <c r="H368" s="131"/>
      <c r="I368" s="131"/>
      <c r="J368" s="131"/>
      <c r="K368" s="131"/>
      <c r="L368" s="131"/>
      <c r="M368" s="131"/>
      <c r="N368" s="131"/>
      <c r="O368" s="142"/>
      <c r="P368" s="142"/>
      <c r="Q368" s="142"/>
      <c r="R368" s="131"/>
      <c r="S368" s="142"/>
      <c r="T368" s="142"/>
      <c r="U368" s="142"/>
      <c r="V368" s="142"/>
      <c r="W368" s="142"/>
      <c r="X368" s="142"/>
      <c r="Y368" s="142"/>
      <c r="Z368" s="142"/>
      <c r="AA368" s="142"/>
      <c r="AB368" s="142"/>
    </row>
    <row r="369" ht="13.5" customHeight="1">
      <c r="A369" s="142"/>
      <c r="B369" s="142"/>
      <c r="C369" s="142"/>
      <c r="D369" s="142"/>
      <c r="E369" s="131"/>
      <c r="F369" s="131"/>
      <c r="G369" s="131"/>
      <c r="H369" s="131"/>
      <c r="I369" s="131"/>
      <c r="J369" s="131"/>
      <c r="K369" s="131"/>
      <c r="L369" s="131"/>
      <c r="M369" s="131"/>
      <c r="N369" s="131"/>
      <c r="O369" s="142"/>
      <c r="P369" s="142"/>
      <c r="Q369" s="142"/>
      <c r="R369" s="131"/>
      <c r="S369" s="142"/>
      <c r="T369" s="142"/>
      <c r="U369" s="142"/>
      <c r="V369" s="142"/>
      <c r="W369" s="142"/>
      <c r="X369" s="142"/>
      <c r="Y369" s="142"/>
      <c r="Z369" s="142"/>
      <c r="AA369" s="142"/>
      <c r="AB369" s="142"/>
    </row>
    <row r="370" ht="13.5" customHeight="1">
      <c r="A370" s="142"/>
      <c r="B370" s="142"/>
      <c r="C370" s="142"/>
      <c r="D370" s="142"/>
      <c r="E370" s="131"/>
      <c r="F370" s="131"/>
      <c r="G370" s="131"/>
      <c r="H370" s="131"/>
      <c r="I370" s="131"/>
      <c r="J370" s="131"/>
      <c r="K370" s="131"/>
      <c r="L370" s="131"/>
      <c r="M370" s="131"/>
      <c r="N370" s="131"/>
      <c r="O370" s="142"/>
      <c r="P370" s="142"/>
      <c r="Q370" s="142"/>
      <c r="R370" s="131"/>
      <c r="S370" s="142"/>
      <c r="T370" s="142"/>
      <c r="U370" s="142"/>
      <c r="V370" s="142"/>
      <c r="W370" s="142"/>
      <c r="X370" s="142"/>
      <c r="Y370" s="142"/>
      <c r="Z370" s="142"/>
      <c r="AA370" s="142"/>
      <c r="AB370" s="142"/>
    </row>
    <row r="371" ht="13.5" customHeight="1">
      <c r="A371" s="142"/>
      <c r="B371" s="142"/>
      <c r="C371" s="142"/>
      <c r="D371" s="142"/>
      <c r="E371" s="131"/>
      <c r="F371" s="131"/>
      <c r="G371" s="131"/>
      <c r="H371" s="131"/>
      <c r="I371" s="131"/>
      <c r="J371" s="131"/>
      <c r="K371" s="131"/>
      <c r="L371" s="131"/>
      <c r="M371" s="131"/>
      <c r="N371" s="131"/>
      <c r="O371" s="142"/>
      <c r="P371" s="142"/>
      <c r="Q371" s="142"/>
      <c r="R371" s="131"/>
      <c r="S371" s="142"/>
      <c r="T371" s="142"/>
      <c r="U371" s="142"/>
      <c r="V371" s="142"/>
      <c r="W371" s="142"/>
      <c r="X371" s="142"/>
      <c r="Y371" s="142"/>
      <c r="Z371" s="142"/>
      <c r="AA371" s="142"/>
      <c r="AB371" s="142"/>
    </row>
    <row r="372" ht="13.5" customHeight="1">
      <c r="A372" s="142"/>
      <c r="B372" s="142"/>
      <c r="C372" s="142"/>
      <c r="D372" s="142"/>
      <c r="E372" s="131"/>
      <c r="F372" s="131"/>
      <c r="G372" s="131"/>
      <c r="H372" s="131"/>
      <c r="I372" s="131"/>
      <c r="J372" s="131"/>
      <c r="K372" s="131"/>
      <c r="L372" s="131"/>
      <c r="M372" s="131"/>
      <c r="N372" s="131"/>
      <c r="O372" s="142"/>
      <c r="P372" s="142"/>
      <c r="Q372" s="142"/>
      <c r="R372" s="131"/>
      <c r="S372" s="142"/>
      <c r="T372" s="142"/>
      <c r="U372" s="142"/>
      <c r="V372" s="142"/>
      <c r="W372" s="142"/>
      <c r="X372" s="142"/>
      <c r="Y372" s="142"/>
      <c r="Z372" s="142"/>
      <c r="AA372" s="142"/>
      <c r="AB372" s="142"/>
    </row>
    <row r="373" ht="13.5" customHeight="1">
      <c r="A373" s="142"/>
      <c r="B373" s="142"/>
      <c r="C373" s="142"/>
      <c r="D373" s="142"/>
      <c r="E373" s="131"/>
      <c r="F373" s="131"/>
      <c r="G373" s="131"/>
      <c r="H373" s="131"/>
      <c r="I373" s="131"/>
      <c r="J373" s="131"/>
      <c r="K373" s="131"/>
      <c r="L373" s="131"/>
      <c r="M373" s="131"/>
      <c r="N373" s="131"/>
      <c r="O373" s="142"/>
      <c r="P373" s="142"/>
      <c r="Q373" s="142"/>
      <c r="R373" s="131"/>
      <c r="S373" s="142"/>
      <c r="T373" s="142"/>
      <c r="U373" s="142"/>
      <c r="V373" s="142"/>
      <c r="W373" s="142"/>
      <c r="X373" s="142"/>
      <c r="Y373" s="142"/>
      <c r="Z373" s="142"/>
      <c r="AA373" s="142"/>
      <c r="AB373" s="142"/>
    </row>
    <row r="374" ht="13.5" customHeight="1">
      <c r="A374" s="142"/>
      <c r="B374" s="142"/>
      <c r="C374" s="142"/>
      <c r="D374" s="142"/>
      <c r="E374" s="131"/>
      <c r="F374" s="131"/>
      <c r="G374" s="131"/>
      <c r="H374" s="131"/>
      <c r="I374" s="131"/>
      <c r="J374" s="131"/>
      <c r="K374" s="131"/>
      <c r="L374" s="131"/>
      <c r="M374" s="131"/>
      <c r="N374" s="131"/>
      <c r="O374" s="142"/>
      <c r="P374" s="142"/>
      <c r="Q374" s="142"/>
      <c r="R374" s="131"/>
      <c r="S374" s="142"/>
      <c r="T374" s="142"/>
      <c r="U374" s="142"/>
      <c r="V374" s="142"/>
      <c r="W374" s="142"/>
      <c r="X374" s="142"/>
      <c r="Y374" s="142"/>
      <c r="Z374" s="142"/>
      <c r="AA374" s="142"/>
      <c r="AB374" s="142"/>
    </row>
    <row r="375" ht="13.5" customHeight="1">
      <c r="A375" s="142"/>
      <c r="B375" s="142"/>
      <c r="C375" s="142"/>
      <c r="D375" s="142"/>
      <c r="E375" s="131"/>
      <c r="F375" s="131"/>
      <c r="G375" s="131"/>
      <c r="H375" s="131"/>
      <c r="I375" s="131"/>
      <c r="J375" s="131"/>
      <c r="K375" s="131"/>
      <c r="L375" s="131"/>
      <c r="M375" s="131"/>
      <c r="N375" s="131"/>
      <c r="O375" s="142"/>
      <c r="P375" s="142"/>
      <c r="Q375" s="142"/>
      <c r="R375" s="131"/>
      <c r="S375" s="142"/>
      <c r="T375" s="142"/>
      <c r="U375" s="142"/>
      <c r="V375" s="142"/>
      <c r="W375" s="142"/>
      <c r="X375" s="142"/>
      <c r="Y375" s="142"/>
      <c r="Z375" s="142"/>
      <c r="AA375" s="142"/>
      <c r="AB375" s="142"/>
    </row>
    <row r="376" ht="13.5" customHeight="1">
      <c r="A376" s="142"/>
      <c r="B376" s="142"/>
      <c r="C376" s="142"/>
      <c r="D376" s="142"/>
      <c r="E376" s="131"/>
      <c r="F376" s="131"/>
      <c r="G376" s="131"/>
      <c r="H376" s="131"/>
      <c r="I376" s="131"/>
      <c r="J376" s="131"/>
      <c r="K376" s="131"/>
      <c r="L376" s="131"/>
      <c r="M376" s="131"/>
      <c r="N376" s="131"/>
      <c r="O376" s="142"/>
      <c r="P376" s="142"/>
      <c r="Q376" s="142"/>
      <c r="R376" s="131"/>
      <c r="S376" s="142"/>
      <c r="T376" s="142"/>
      <c r="U376" s="142"/>
      <c r="V376" s="142"/>
      <c r="W376" s="142"/>
      <c r="X376" s="142"/>
      <c r="Y376" s="142"/>
      <c r="Z376" s="142"/>
      <c r="AA376" s="142"/>
      <c r="AB376" s="142"/>
    </row>
    <row r="377" ht="13.5" customHeight="1">
      <c r="A377" s="142"/>
      <c r="B377" s="142"/>
      <c r="C377" s="142"/>
      <c r="D377" s="142"/>
      <c r="E377" s="131"/>
      <c r="F377" s="131"/>
      <c r="G377" s="131"/>
      <c r="H377" s="131"/>
      <c r="I377" s="131"/>
      <c r="J377" s="131"/>
      <c r="K377" s="131"/>
      <c r="L377" s="131"/>
      <c r="M377" s="131"/>
      <c r="N377" s="131"/>
      <c r="O377" s="142"/>
      <c r="P377" s="142"/>
      <c r="Q377" s="142"/>
      <c r="R377" s="131"/>
      <c r="S377" s="142"/>
      <c r="T377" s="142"/>
      <c r="U377" s="142"/>
      <c r="V377" s="142"/>
      <c r="W377" s="142"/>
      <c r="X377" s="142"/>
      <c r="Y377" s="142"/>
      <c r="Z377" s="142"/>
      <c r="AA377" s="142"/>
      <c r="AB377" s="142"/>
    </row>
    <row r="378" ht="13.5" customHeight="1">
      <c r="A378" s="142"/>
      <c r="B378" s="142"/>
      <c r="C378" s="142"/>
      <c r="D378" s="142"/>
      <c r="E378" s="131"/>
      <c r="F378" s="131"/>
      <c r="G378" s="131"/>
      <c r="H378" s="131"/>
      <c r="I378" s="131"/>
      <c r="J378" s="131"/>
      <c r="K378" s="131"/>
      <c r="L378" s="131"/>
      <c r="M378" s="131"/>
      <c r="N378" s="131"/>
      <c r="O378" s="142"/>
      <c r="P378" s="142"/>
      <c r="Q378" s="142"/>
      <c r="R378" s="131"/>
      <c r="S378" s="142"/>
      <c r="T378" s="142"/>
      <c r="U378" s="142"/>
      <c r="V378" s="142"/>
      <c r="W378" s="142"/>
      <c r="X378" s="142"/>
      <c r="Y378" s="142"/>
      <c r="Z378" s="142"/>
      <c r="AA378" s="142"/>
      <c r="AB378" s="142"/>
    </row>
    <row r="379" ht="13.5" customHeight="1">
      <c r="A379" s="142"/>
      <c r="B379" s="142"/>
      <c r="C379" s="142"/>
      <c r="D379" s="142"/>
      <c r="E379" s="131"/>
      <c r="F379" s="131"/>
      <c r="G379" s="131"/>
      <c r="H379" s="131"/>
      <c r="I379" s="131"/>
      <c r="J379" s="131"/>
      <c r="K379" s="131"/>
      <c r="L379" s="131"/>
      <c r="M379" s="131"/>
      <c r="N379" s="131"/>
      <c r="O379" s="142"/>
      <c r="P379" s="142"/>
      <c r="Q379" s="142"/>
      <c r="R379" s="131"/>
      <c r="S379" s="142"/>
      <c r="T379" s="142"/>
      <c r="U379" s="142"/>
      <c r="V379" s="142"/>
      <c r="W379" s="142"/>
      <c r="X379" s="142"/>
      <c r="Y379" s="142"/>
      <c r="Z379" s="142"/>
      <c r="AA379" s="142"/>
      <c r="AB379" s="142"/>
    </row>
    <row r="380" ht="13.5" customHeight="1">
      <c r="A380" s="142"/>
      <c r="B380" s="142"/>
      <c r="C380" s="142"/>
      <c r="D380" s="142"/>
      <c r="E380" s="131"/>
      <c r="F380" s="131"/>
      <c r="G380" s="131"/>
      <c r="H380" s="131"/>
      <c r="I380" s="131"/>
      <c r="J380" s="131"/>
      <c r="K380" s="131"/>
      <c r="L380" s="131"/>
      <c r="M380" s="131"/>
      <c r="N380" s="131"/>
      <c r="O380" s="142"/>
      <c r="P380" s="142"/>
      <c r="Q380" s="142"/>
      <c r="R380" s="131"/>
      <c r="S380" s="142"/>
      <c r="T380" s="142"/>
      <c r="U380" s="142"/>
      <c r="V380" s="142"/>
      <c r="W380" s="142"/>
      <c r="X380" s="142"/>
      <c r="Y380" s="142"/>
      <c r="Z380" s="142"/>
      <c r="AA380" s="142"/>
      <c r="AB380" s="142"/>
    </row>
    <row r="381" ht="13.5" customHeight="1">
      <c r="A381" s="142"/>
      <c r="B381" s="142"/>
      <c r="C381" s="142"/>
      <c r="D381" s="142"/>
      <c r="E381" s="131"/>
      <c r="F381" s="131"/>
      <c r="G381" s="131"/>
      <c r="H381" s="131"/>
      <c r="I381" s="131"/>
      <c r="J381" s="131"/>
      <c r="K381" s="131"/>
      <c r="L381" s="131"/>
      <c r="M381" s="131"/>
      <c r="N381" s="131"/>
      <c r="O381" s="142"/>
      <c r="P381" s="142"/>
      <c r="Q381" s="142"/>
      <c r="R381" s="131"/>
      <c r="S381" s="142"/>
      <c r="T381" s="142"/>
      <c r="U381" s="142"/>
      <c r="V381" s="142"/>
      <c r="W381" s="142"/>
      <c r="X381" s="142"/>
      <c r="Y381" s="142"/>
      <c r="Z381" s="142"/>
      <c r="AA381" s="142"/>
      <c r="AB381" s="142"/>
    </row>
    <row r="382" ht="13.5" customHeight="1">
      <c r="A382" s="142"/>
      <c r="B382" s="142"/>
      <c r="C382" s="142"/>
      <c r="D382" s="142"/>
      <c r="E382" s="131"/>
      <c r="F382" s="131"/>
      <c r="G382" s="131"/>
      <c r="H382" s="131"/>
      <c r="I382" s="131"/>
      <c r="J382" s="131"/>
      <c r="K382" s="131"/>
      <c r="L382" s="131"/>
      <c r="M382" s="131"/>
      <c r="N382" s="131"/>
      <c r="O382" s="142"/>
      <c r="P382" s="142"/>
      <c r="Q382" s="142"/>
      <c r="R382" s="131"/>
      <c r="S382" s="142"/>
      <c r="T382" s="142"/>
      <c r="U382" s="142"/>
      <c r="V382" s="142"/>
      <c r="W382" s="142"/>
      <c r="X382" s="142"/>
      <c r="Y382" s="142"/>
      <c r="Z382" s="142"/>
      <c r="AA382" s="142"/>
      <c r="AB382" s="142"/>
    </row>
    <row r="383" ht="13.5" customHeight="1">
      <c r="A383" s="142"/>
      <c r="B383" s="142"/>
      <c r="C383" s="142"/>
      <c r="D383" s="142"/>
      <c r="E383" s="131"/>
      <c r="F383" s="131"/>
      <c r="G383" s="131"/>
      <c r="H383" s="131"/>
      <c r="I383" s="131"/>
      <c r="J383" s="131"/>
      <c r="K383" s="131"/>
      <c r="L383" s="131"/>
      <c r="M383" s="131"/>
      <c r="N383" s="131"/>
      <c r="O383" s="142"/>
      <c r="P383" s="142"/>
      <c r="Q383" s="142"/>
      <c r="R383" s="131"/>
      <c r="S383" s="142"/>
      <c r="T383" s="142"/>
      <c r="U383" s="142"/>
      <c r="V383" s="142"/>
      <c r="W383" s="142"/>
      <c r="X383" s="142"/>
      <c r="Y383" s="142"/>
      <c r="Z383" s="142"/>
      <c r="AA383" s="142"/>
      <c r="AB383" s="142"/>
    </row>
    <row r="384" ht="13.5" customHeight="1">
      <c r="A384" s="142"/>
      <c r="B384" s="142"/>
      <c r="C384" s="142"/>
      <c r="D384" s="142"/>
      <c r="E384" s="131"/>
      <c r="F384" s="131"/>
      <c r="G384" s="131"/>
      <c r="H384" s="131"/>
      <c r="I384" s="131"/>
      <c r="J384" s="131"/>
      <c r="K384" s="131"/>
      <c r="L384" s="131"/>
      <c r="M384" s="131"/>
      <c r="N384" s="131"/>
      <c r="O384" s="142"/>
      <c r="P384" s="142"/>
      <c r="Q384" s="142"/>
      <c r="R384" s="131"/>
      <c r="S384" s="142"/>
      <c r="T384" s="142"/>
      <c r="U384" s="142"/>
      <c r="V384" s="142"/>
      <c r="W384" s="142"/>
      <c r="X384" s="142"/>
      <c r="Y384" s="142"/>
      <c r="Z384" s="142"/>
      <c r="AA384" s="142"/>
      <c r="AB384" s="142"/>
    </row>
    <row r="385" ht="13.5" customHeight="1">
      <c r="A385" s="142"/>
      <c r="B385" s="142"/>
      <c r="C385" s="142"/>
      <c r="D385" s="142"/>
      <c r="E385" s="131"/>
      <c r="F385" s="131"/>
      <c r="G385" s="131"/>
      <c r="H385" s="131"/>
      <c r="I385" s="131"/>
      <c r="J385" s="131"/>
      <c r="K385" s="131"/>
      <c r="L385" s="131"/>
      <c r="M385" s="131"/>
      <c r="N385" s="131"/>
      <c r="O385" s="142"/>
      <c r="P385" s="142"/>
      <c r="Q385" s="142"/>
      <c r="R385" s="131"/>
      <c r="S385" s="142"/>
      <c r="T385" s="142"/>
      <c r="U385" s="142"/>
      <c r="V385" s="142"/>
      <c r="W385" s="142"/>
      <c r="X385" s="142"/>
      <c r="Y385" s="142"/>
      <c r="Z385" s="142"/>
      <c r="AA385" s="142"/>
      <c r="AB385" s="142"/>
    </row>
    <row r="386" ht="13.5" customHeight="1">
      <c r="A386" s="142"/>
      <c r="B386" s="142"/>
      <c r="C386" s="142"/>
      <c r="D386" s="142"/>
      <c r="E386" s="131"/>
      <c r="F386" s="131"/>
      <c r="G386" s="131"/>
      <c r="H386" s="131"/>
      <c r="I386" s="131"/>
      <c r="J386" s="131"/>
      <c r="K386" s="131"/>
      <c r="L386" s="131"/>
      <c r="M386" s="131"/>
      <c r="N386" s="131"/>
      <c r="O386" s="142"/>
      <c r="P386" s="142"/>
      <c r="Q386" s="142"/>
      <c r="R386" s="131"/>
      <c r="S386" s="142"/>
      <c r="T386" s="142"/>
      <c r="U386" s="142"/>
      <c r="V386" s="142"/>
      <c r="W386" s="142"/>
      <c r="X386" s="142"/>
      <c r="Y386" s="142"/>
      <c r="Z386" s="142"/>
      <c r="AA386" s="142"/>
      <c r="AB386" s="142"/>
    </row>
    <row r="387" ht="13.5" customHeight="1">
      <c r="A387" s="142"/>
      <c r="B387" s="142"/>
      <c r="C387" s="142"/>
      <c r="D387" s="142"/>
      <c r="E387" s="131"/>
      <c r="F387" s="131"/>
      <c r="G387" s="131"/>
      <c r="H387" s="131"/>
      <c r="I387" s="131"/>
      <c r="J387" s="131"/>
      <c r="K387" s="131"/>
      <c r="L387" s="131"/>
      <c r="M387" s="131"/>
      <c r="N387" s="131"/>
      <c r="O387" s="142"/>
      <c r="P387" s="142"/>
      <c r="Q387" s="142"/>
      <c r="R387" s="131"/>
      <c r="S387" s="142"/>
      <c r="T387" s="142"/>
      <c r="U387" s="142"/>
      <c r="V387" s="142"/>
      <c r="W387" s="142"/>
      <c r="X387" s="142"/>
      <c r="Y387" s="142"/>
      <c r="Z387" s="142"/>
      <c r="AA387" s="142"/>
      <c r="AB387" s="142"/>
    </row>
    <row r="388" ht="13.5" customHeight="1">
      <c r="A388" s="142"/>
      <c r="B388" s="142"/>
      <c r="C388" s="142"/>
      <c r="D388" s="142"/>
      <c r="E388" s="131"/>
      <c r="F388" s="131"/>
      <c r="G388" s="131"/>
      <c r="H388" s="131"/>
      <c r="I388" s="131"/>
      <c r="J388" s="131"/>
      <c r="K388" s="131"/>
      <c r="L388" s="131"/>
      <c r="M388" s="131"/>
      <c r="N388" s="131"/>
      <c r="O388" s="142"/>
      <c r="P388" s="142"/>
      <c r="Q388" s="142"/>
      <c r="R388" s="131"/>
      <c r="S388" s="142"/>
      <c r="T388" s="142"/>
      <c r="U388" s="142"/>
      <c r="V388" s="142"/>
      <c r="W388" s="142"/>
      <c r="X388" s="142"/>
      <c r="Y388" s="142"/>
      <c r="Z388" s="142"/>
      <c r="AA388" s="142"/>
      <c r="AB388" s="142"/>
    </row>
    <row r="389" ht="13.5" customHeight="1">
      <c r="A389" s="142"/>
      <c r="B389" s="142"/>
      <c r="C389" s="142"/>
      <c r="D389" s="142"/>
      <c r="E389" s="131"/>
      <c r="F389" s="131"/>
      <c r="G389" s="131"/>
      <c r="H389" s="131"/>
      <c r="I389" s="131"/>
      <c r="J389" s="131"/>
      <c r="K389" s="131"/>
      <c r="L389" s="131"/>
      <c r="M389" s="131"/>
      <c r="N389" s="131"/>
      <c r="O389" s="142"/>
      <c r="P389" s="142"/>
      <c r="Q389" s="142"/>
      <c r="R389" s="131"/>
      <c r="S389" s="142"/>
      <c r="T389" s="142"/>
      <c r="U389" s="142"/>
      <c r="V389" s="142"/>
      <c r="W389" s="142"/>
      <c r="X389" s="142"/>
      <c r="Y389" s="142"/>
      <c r="Z389" s="142"/>
      <c r="AA389" s="142"/>
      <c r="AB389" s="142"/>
    </row>
    <row r="390" ht="13.5" customHeight="1">
      <c r="A390" s="142"/>
      <c r="B390" s="142"/>
      <c r="C390" s="142"/>
      <c r="D390" s="142"/>
      <c r="E390" s="131"/>
      <c r="F390" s="131"/>
      <c r="G390" s="131"/>
      <c r="H390" s="131"/>
      <c r="I390" s="131"/>
      <c r="J390" s="131"/>
      <c r="K390" s="131"/>
      <c r="L390" s="131"/>
      <c r="M390" s="131"/>
      <c r="N390" s="131"/>
      <c r="O390" s="142"/>
      <c r="P390" s="142"/>
      <c r="Q390" s="142"/>
      <c r="R390" s="131"/>
      <c r="S390" s="142"/>
      <c r="T390" s="142"/>
      <c r="U390" s="142"/>
      <c r="V390" s="142"/>
      <c r="W390" s="142"/>
      <c r="X390" s="142"/>
      <c r="Y390" s="142"/>
      <c r="Z390" s="142"/>
      <c r="AA390" s="142"/>
      <c r="AB390" s="142"/>
    </row>
    <row r="391" ht="13.5" customHeight="1">
      <c r="A391" s="142"/>
      <c r="B391" s="142"/>
      <c r="C391" s="142"/>
      <c r="D391" s="142"/>
      <c r="E391" s="131"/>
      <c r="F391" s="131"/>
      <c r="G391" s="131"/>
      <c r="H391" s="131"/>
      <c r="I391" s="131"/>
      <c r="J391" s="131"/>
      <c r="K391" s="131"/>
      <c r="L391" s="131"/>
      <c r="M391" s="131"/>
      <c r="N391" s="131"/>
      <c r="O391" s="142"/>
      <c r="P391" s="142"/>
      <c r="Q391" s="142"/>
      <c r="R391" s="131"/>
      <c r="S391" s="142"/>
      <c r="T391" s="142"/>
      <c r="U391" s="142"/>
      <c r="V391" s="142"/>
      <c r="W391" s="142"/>
      <c r="X391" s="142"/>
      <c r="Y391" s="142"/>
      <c r="Z391" s="142"/>
      <c r="AA391" s="142"/>
      <c r="AB391" s="142"/>
    </row>
    <row r="392" ht="13.5" customHeight="1">
      <c r="A392" s="142"/>
      <c r="B392" s="142"/>
      <c r="C392" s="142"/>
      <c r="D392" s="142"/>
      <c r="E392" s="131"/>
      <c r="F392" s="131"/>
      <c r="G392" s="131"/>
      <c r="H392" s="131"/>
      <c r="I392" s="131"/>
      <c r="J392" s="131"/>
      <c r="K392" s="131"/>
      <c r="L392" s="131"/>
      <c r="M392" s="131"/>
      <c r="N392" s="131"/>
      <c r="O392" s="142"/>
      <c r="P392" s="142"/>
      <c r="Q392" s="142"/>
      <c r="R392" s="131"/>
      <c r="S392" s="142"/>
      <c r="T392" s="142"/>
      <c r="U392" s="142"/>
      <c r="V392" s="142"/>
      <c r="W392" s="142"/>
      <c r="X392" s="142"/>
      <c r="Y392" s="142"/>
      <c r="Z392" s="142"/>
      <c r="AA392" s="142"/>
      <c r="AB392" s="142"/>
    </row>
    <row r="393" ht="13.5" customHeight="1">
      <c r="A393" s="142"/>
      <c r="B393" s="142"/>
      <c r="C393" s="142"/>
      <c r="D393" s="142"/>
      <c r="E393" s="131"/>
      <c r="F393" s="131"/>
      <c r="G393" s="131"/>
      <c r="H393" s="131"/>
      <c r="I393" s="131"/>
      <c r="J393" s="131"/>
      <c r="K393" s="131"/>
      <c r="L393" s="131"/>
      <c r="M393" s="131"/>
      <c r="N393" s="131"/>
      <c r="O393" s="142"/>
      <c r="P393" s="142"/>
      <c r="Q393" s="142"/>
      <c r="R393" s="131"/>
      <c r="S393" s="142"/>
      <c r="T393" s="142"/>
      <c r="U393" s="142"/>
      <c r="V393" s="142"/>
      <c r="W393" s="142"/>
      <c r="X393" s="142"/>
      <c r="Y393" s="142"/>
      <c r="Z393" s="142"/>
      <c r="AA393" s="142"/>
      <c r="AB393" s="142"/>
    </row>
    <row r="394" ht="13.5" customHeight="1">
      <c r="A394" s="142"/>
      <c r="B394" s="142"/>
      <c r="C394" s="142"/>
      <c r="D394" s="142"/>
      <c r="E394" s="131"/>
      <c r="F394" s="131"/>
      <c r="G394" s="131"/>
      <c r="H394" s="131"/>
      <c r="I394" s="131"/>
      <c r="J394" s="131"/>
      <c r="K394" s="131"/>
      <c r="L394" s="131"/>
      <c r="M394" s="131"/>
      <c r="N394" s="131"/>
      <c r="O394" s="142"/>
      <c r="P394" s="142"/>
      <c r="Q394" s="142"/>
      <c r="R394" s="131"/>
      <c r="S394" s="142"/>
      <c r="T394" s="142"/>
      <c r="U394" s="142"/>
      <c r="V394" s="142"/>
      <c r="W394" s="142"/>
      <c r="X394" s="142"/>
      <c r="Y394" s="142"/>
      <c r="Z394" s="142"/>
      <c r="AA394" s="142"/>
      <c r="AB394" s="142"/>
    </row>
    <row r="395" ht="13.5" customHeight="1">
      <c r="A395" s="142"/>
      <c r="B395" s="142"/>
      <c r="C395" s="142"/>
      <c r="D395" s="142"/>
      <c r="E395" s="131"/>
      <c r="F395" s="131"/>
      <c r="G395" s="131"/>
      <c r="H395" s="131"/>
      <c r="I395" s="131"/>
      <c r="J395" s="131"/>
      <c r="K395" s="131"/>
      <c r="L395" s="131"/>
      <c r="M395" s="131"/>
      <c r="N395" s="131"/>
      <c r="O395" s="142"/>
      <c r="P395" s="142"/>
      <c r="Q395" s="142"/>
      <c r="R395" s="131"/>
      <c r="S395" s="142"/>
      <c r="T395" s="142"/>
      <c r="U395" s="142"/>
      <c r="V395" s="142"/>
      <c r="W395" s="142"/>
      <c r="X395" s="142"/>
      <c r="Y395" s="142"/>
      <c r="Z395" s="142"/>
      <c r="AA395" s="142"/>
      <c r="AB395" s="142"/>
    </row>
    <row r="396" ht="13.5" customHeight="1">
      <c r="A396" s="142"/>
      <c r="B396" s="142"/>
      <c r="C396" s="142"/>
      <c r="D396" s="142"/>
      <c r="E396" s="131"/>
      <c r="F396" s="131"/>
      <c r="G396" s="131"/>
      <c r="H396" s="131"/>
      <c r="I396" s="131"/>
      <c r="J396" s="131"/>
      <c r="K396" s="131"/>
      <c r="L396" s="131"/>
      <c r="M396" s="131"/>
      <c r="N396" s="131"/>
      <c r="O396" s="142"/>
      <c r="P396" s="142"/>
      <c r="Q396" s="142"/>
      <c r="R396" s="131"/>
      <c r="S396" s="142"/>
      <c r="T396" s="142"/>
      <c r="U396" s="142"/>
      <c r="V396" s="142"/>
      <c r="W396" s="142"/>
      <c r="X396" s="142"/>
      <c r="Y396" s="142"/>
      <c r="Z396" s="142"/>
      <c r="AA396" s="142"/>
      <c r="AB396" s="142"/>
    </row>
    <row r="397" ht="13.5" customHeight="1">
      <c r="A397" s="142"/>
      <c r="B397" s="142"/>
      <c r="C397" s="142"/>
      <c r="D397" s="142"/>
      <c r="E397" s="131"/>
      <c r="F397" s="131"/>
      <c r="G397" s="131"/>
      <c r="H397" s="131"/>
      <c r="I397" s="131"/>
      <c r="J397" s="131"/>
      <c r="K397" s="131"/>
      <c r="L397" s="131"/>
      <c r="M397" s="131"/>
      <c r="N397" s="131"/>
      <c r="O397" s="142"/>
      <c r="P397" s="142"/>
      <c r="Q397" s="142"/>
      <c r="R397" s="131"/>
      <c r="S397" s="142"/>
      <c r="T397" s="142"/>
      <c r="U397" s="142"/>
      <c r="V397" s="142"/>
      <c r="W397" s="142"/>
      <c r="X397" s="142"/>
      <c r="Y397" s="142"/>
      <c r="Z397" s="142"/>
      <c r="AA397" s="142"/>
      <c r="AB397" s="142"/>
    </row>
    <row r="398" ht="13.5" customHeight="1">
      <c r="A398" s="142"/>
      <c r="B398" s="142"/>
      <c r="C398" s="142"/>
      <c r="D398" s="142"/>
      <c r="E398" s="131"/>
      <c r="F398" s="131"/>
      <c r="G398" s="131"/>
      <c r="H398" s="131"/>
      <c r="I398" s="131"/>
      <c r="J398" s="131"/>
      <c r="K398" s="131"/>
      <c r="L398" s="131"/>
      <c r="M398" s="131"/>
      <c r="N398" s="131"/>
      <c r="O398" s="142"/>
      <c r="P398" s="142"/>
      <c r="Q398" s="142"/>
      <c r="R398" s="131"/>
      <c r="S398" s="142"/>
      <c r="T398" s="142"/>
      <c r="U398" s="142"/>
      <c r="V398" s="142"/>
      <c r="W398" s="142"/>
      <c r="X398" s="142"/>
      <c r="Y398" s="142"/>
      <c r="Z398" s="142"/>
      <c r="AA398" s="142"/>
      <c r="AB398" s="142"/>
    </row>
    <row r="399" ht="13.5" customHeight="1">
      <c r="A399" s="142"/>
      <c r="B399" s="142"/>
      <c r="C399" s="142"/>
      <c r="D399" s="142"/>
      <c r="E399" s="131"/>
      <c r="F399" s="131"/>
      <c r="G399" s="131"/>
      <c r="H399" s="131"/>
      <c r="I399" s="131"/>
      <c r="J399" s="131"/>
      <c r="K399" s="131"/>
      <c r="L399" s="131"/>
      <c r="M399" s="131"/>
      <c r="N399" s="131"/>
      <c r="O399" s="142"/>
      <c r="P399" s="142"/>
      <c r="Q399" s="142"/>
      <c r="R399" s="131"/>
      <c r="S399" s="142"/>
      <c r="T399" s="142"/>
      <c r="U399" s="142"/>
      <c r="V399" s="142"/>
      <c r="W399" s="142"/>
      <c r="X399" s="142"/>
      <c r="Y399" s="142"/>
      <c r="Z399" s="142"/>
      <c r="AA399" s="142"/>
      <c r="AB399" s="142"/>
    </row>
    <row r="400" ht="13.5" customHeight="1">
      <c r="A400" s="142"/>
      <c r="B400" s="142"/>
      <c r="C400" s="142"/>
      <c r="D400" s="142"/>
      <c r="E400" s="131"/>
      <c r="F400" s="131"/>
      <c r="G400" s="131"/>
      <c r="H400" s="131"/>
      <c r="I400" s="131"/>
      <c r="J400" s="131"/>
      <c r="K400" s="131"/>
      <c r="L400" s="131"/>
      <c r="M400" s="131"/>
      <c r="N400" s="131"/>
      <c r="O400" s="142"/>
      <c r="P400" s="142"/>
      <c r="Q400" s="142"/>
      <c r="R400" s="131"/>
      <c r="S400" s="142"/>
      <c r="T400" s="142"/>
      <c r="U400" s="142"/>
      <c r="V400" s="142"/>
      <c r="W400" s="142"/>
      <c r="X400" s="142"/>
      <c r="Y400" s="142"/>
      <c r="Z400" s="142"/>
      <c r="AA400" s="142"/>
      <c r="AB400" s="142"/>
    </row>
    <row r="401" ht="13.5" customHeight="1">
      <c r="A401" s="142"/>
      <c r="B401" s="142"/>
      <c r="C401" s="142"/>
      <c r="D401" s="142"/>
      <c r="E401" s="131"/>
      <c r="F401" s="131"/>
      <c r="G401" s="131"/>
      <c r="H401" s="131"/>
      <c r="I401" s="131"/>
      <c r="J401" s="131"/>
      <c r="K401" s="131"/>
      <c r="L401" s="131"/>
      <c r="M401" s="131"/>
      <c r="N401" s="131"/>
      <c r="O401" s="142"/>
      <c r="P401" s="142"/>
      <c r="Q401" s="142"/>
      <c r="R401" s="131"/>
      <c r="S401" s="142"/>
      <c r="T401" s="142"/>
      <c r="U401" s="142"/>
      <c r="V401" s="142"/>
      <c r="W401" s="142"/>
      <c r="X401" s="142"/>
      <c r="Y401" s="142"/>
      <c r="Z401" s="142"/>
      <c r="AA401" s="142"/>
      <c r="AB401" s="142"/>
    </row>
    <row r="402" ht="13.5" customHeight="1">
      <c r="A402" s="142"/>
      <c r="B402" s="142"/>
      <c r="C402" s="142"/>
      <c r="D402" s="142"/>
      <c r="E402" s="131"/>
      <c r="F402" s="131"/>
      <c r="G402" s="131"/>
      <c r="H402" s="131"/>
      <c r="I402" s="131"/>
      <c r="J402" s="131"/>
      <c r="K402" s="131"/>
      <c r="L402" s="131"/>
      <c r="M402" s="131"/>
      <c r="N402" s="131"/>
      <c r="O402" s="142"/>
      <c r="P402" s="142"/>
      <c r="Q402" s="142"/>
      <c r="R402" s="131"/>
      <c r="S402" s="142"/>
      <c r="T402" s="142"/>
      <c r="U402" s="142"/>
      <c r="V402" s="142"/>
      <c r="W402" s="142"/>
      <c r="X402" s="142"/>
      <c r="Y402" s="142"/>
      <c r="Z402" s="142"/>
      <c r="AA402" s="142"/>
      <c r="AB402" s="142"/>
    </row>
    <row r="403" ht="13.5" customHeight="1">
      <c r="A403" s="142"/>
      <c r="B403" s="142"/>
      <c r="C403" s="142"/>
      <c r="D403" s="142"/>
      <c r="E403" s="131"/>
      <c r="F403" s="131"/>
      <c r="G403" s="131"/>
      <c r="H403" s="131"/>
      <c r="I403" s="131"/>
      <c r="J403" s="131"/>
      <c r="K403" s="131"/>
      <c r="L403" s="131"/>
      <c r="M403" s="131"/>
      <c r="N403" s="131"/>
      <c r="O403" s="142"/>
      <c r="P403" s="142"/>
      <c r="Q403" s="142"/>
      <c r="R403" s="131"/>
      <c r="S403" s="142"/>
      <c r="T403" s="142"/>
      <c r="U403" s="142"/>
      <c r="V403" s="142"/>
      <c r="W403" s="142"/>
      <c r="X403" s="142"/>
      <c r="Y403" s="142"/>
      <c r="Z403" s="142"/>
      <c r="AA403" s="142"/>
      <c r="AB403" s="142"/>
    </row>
    <row r="404" ht="13.5" customHeight="1">
      <c r="A404" s="142"/>
      <c r="B404" s="142"/>
      <c r="C404" s="142"/>
      <c r="D404" s="142"/>
      <c r="E404" s="131"/>
      <c r="F404" s="131"/>
      <c r="G404" s="131"/>
      <c r="H404" s="131"/>
      <c r="I404" s="131"/>
      <c r="J404" s="131"/>
      <c r="K404" s="131"/>
      <c r="L404" s="131"/>
      <c r="M404" s="131"/>
      <c r="N404" s="131"/>
      <c r="O404" s="142"/>
      <c r="P404" s="142"/>
      <c r="Q404" s="142"/>
      <c r="R404" s="131"/>
      <c r="S404" s="142"/>
      <c r="T404" s="142"/>
      <c r="U404" s="142"/>
      <c r="V404" s="142"/>
      <c r="W404" s="142"/>
      <c r="X404" s="142"/>
      <c r="Y404" s="142"/>
      <c r="Z404" s="142"/>
      <c r="AA404" s="142"/>
      <c r="AB404" s="142"/>
    </row>
    <row r="405" ht="13.5" customHeight="1">
      <c r="A405" s="142"/>
      <c r="B405" s="142"/>
      <c r="C405" s="142"/>
      <c r="D405" s="142"/>
      <c r="E405" s="131"/>
      <c r="F405" s="131"/>
      <c r="G405" s="131"/>
      <c r="H405" s="131"/>
      <c r="I405" s="131"/>
      <c r="J405" s="131"/>
      <c r="K405" s="131"/>
      <c r="L405" s="131"/>
      <c r="M405" s="131"/>
      <c r="N405" s="131"/>
      <c r="O405" s="142"/>
      <c r="P405" s="142"/>
      <c r="Q405" s="142"/>
      <c r="R405" s="131"/>
      <c r="S405" s="142"/>
      <c r="T405" s="142"/>
      <c r="U405" s="142"/>
      <c r="V405" s="142"/>
      <c r="W405" s="142"/>
      <c r="X405" s="142"/>
      <c r="Y405" s="142"/>
      <c r="Z405" s="142"/>
      <c r="AA405" s="142"/>
      <c r="AB405" s="142"/>
    </row>
    <row r="406" ht="13.5" customHeight="1">
      <c r="A406" s="142"/>
      <c r="B406" s="142"/>
      <c r="C406" s="142"/>
      <c r="D406" s="142"/>
      <c r="E406" s="131"/>
      <c r="F406" s="131"/>
      <c r="G406" s="131"/>
      <c r="H406" s="131"/>
      <c r="I406" s="131"/>
      <c r="J406" s="131"/>
      <c r="K406" s="131"/>
      <c r="L406" s="131"/>
      <c r="M406" s="131"/>
      <c r="N406" s="131"/>
      <c r="O406" s="142"/>
      <c r="P406" s="142"/>
      <c r="Q406" s="142"/>
      <c r="R406" s="131"/>
      <c r="S406" s="142"/>
      <c r="T406" s="142"/>
      <c r="U406" s="142"/>
      <c r="V406" s="142"/>
      <c r="W406" s="142"/>
      <c r="X406" s="142"/>
      <c r="Y406" s="142"/>
      <c r="Z406" s="142"/>
      <c r="AA406" s="142"/>
      <c r="AB406" s="142"/>
    </row>
    <row r="407" ht="13.5" customHeight="1">
      <c r="A407" s="142"/>
      <c r="B407" s="142"/>
      <c r="C407" s="142"/>
      <c r="D407" s="142"/>
      <c r="E407" s="131"/>
      <c r="F407" s="131"/>
      <c r="G407" s="131"/>
      <c r="H407" s="131"/>
      <c r="I407" s="131"/>
      <c r="J407" s="131"/>
      <c r="K407" s="131"/>
      <c r="L407" s="131"/>
      <c r="M407" s="131"/>
      <c r="N407" s="131"/>
      <c r="O407" s="142"/>
      <c r="P407" s="142"/>
      <c r="Q407" s="142"/>
      <c r="R407" s="131"/>
      <c r="S407" s="142"/>
      <c r="T407" s="142"/>
      <c r="U407" s="142"/>
      <c r="V407" s="142"/>
      <c r="W407" s="142"/>
      <c r="X407" s="142"/>
      <c r="Y407" s="142"/>
      <c r="Z407" s="142"/>
      <c r="AA407" s="142"/>
      <c r="AB407" s="142"/>
    </row>
    <row r="408" ht="13.5" customHeight="1">
      <c r="A408" s="142"/>
      <c r="B408" s="142"/>
      <c r="C408" s="142"/>
      <c r="D408" s="142"/>
      <c r="E408" s="131"/>
      <c r="F408" s="131"/>
      <c r="G408" s="131"/>
      <c r="H408" s="131"/>
      <c r="I408" s="131"/>
      <c r="J408" s="131"/>
      <c r="K408" s="131"/>
      <c r="L408" s="131"/>
      <c r="M408" s="131"/>
      <c r="N408" s="131"/>
      <c r="O408" s="142"/>
      <c r="P408" s="142"/>
      <c r="Q408" s="142"/>
      <c r="R408" s="131"/>
      <c r="S408" s="142"/>
      <c r="T408" s="142"/>
      <c r="U408" s="142"/>
      <c r="V408" s="142"/>
      <c r="W408" s="142"/>
      <c r="X408" s="142"/>
      <c r="Y408" s="142"/>
      <c r="Z408" s="142"/>
      <c r="AA408" s="142"/>
      <c r="AB408" s="142"/>
    </row>
    <row r="409" ht="13.5" customHeight="1">
      <c r="A409" s="142"/>
      <c r="B409" s="142"/>
      <c r="C409" s="142"/>
      <c r="D409" s="142"/>
      <c r="E409" s="131"/>
      <c r="F409" s="131"/>
      <c r="G409" s="131"/>
      <c r="H409" s="131"/>
      <c r="I409" s="131"/>
      <c r="J409" s="131"/>
      <c r="K409" s="131"/>
      <c r="L409" s="131"/>
      <c r="M409" s="131"/>
      <c r="N409" s="131"/>
      <c r="O409" s="142"/>
      <c r="P409" s="142"/>
      <c r="Q409" s="142"/>
      <c r="R409" s="131"/>
      <c r="S409" s="142"/>
      <c r="T409" s="142"/>
      <c r="U409" s="142"/>
      <c r="V409" s="142"/>
      <c r="W409" s="142"/>
      <c r="X409" s="142"/>
      <c r="Y409" s="142"/>
      <c r="Z409" s="142"/>
      <c r="AA409" s="142"/>
      <c r="AB409" s="142"/>
    </row>
    <row r="410" ht="13.5" customHeight="1">
      <c r="A410" s="142"/>
      <c r="B410" s="142"/>
      <c r="C410" s="142"/>
      <c r="D410" s="142"/>
      <c r="E410" s="131"/>
      <c r="F410" s="131"/>
      <c r="G410" s="131"/>
      <c r="H410" s="131"/>
      <c r="I410" s="131"/>
      <c r="J410" s="131"/>
      <c r="K410" s="131"/>
      <c r="L410" s="131"/>
      <c r="M410" s="131"/>
      <c r="N410" s="131"/>
      <c r="O410" s="142"/>
      <c r="P410" s="142"/>
      <c r="Q410" s="142"/>
      <c r="R410" s="131"/>
      <c r="S410" s="142"/>
      <c r="T410" s="142"/>
      <c r="U410" s="142"/>
      <c r="V410" s="142"/>
      <c r="W410" s="142"/>
      <c r="X410" s="142"/>
      <c r="Y410" s="142"/>
      <c r="Z410" s="142"/>
      <c r="AA410" s="142"/>
      <c r="AB410" s="142"/>
    </row>
    <row r="411" ht="13.5" customHeight="1">
      <c r="A411" s="142"/>
      <c r="B411" s="142"/>
      <c r="C411" s="142"/>
      <c r="D411" s="142"/>
      <c r="E411" s="131"/>
      <c r="F411" s="131"/>
      <c r="G411" s="131"/>
      <c r="H411" s="131"/>
      <c r="I411" s="131"/>
      <c r="J411" s="131"/>
      <c r="K411" s="131"/>
      <c r="L411" s="131"/>
      <c r="M411" s="131"/>
      <c r="N411" s="131"/>
      <c r="O411" s="142"/>
      <c r="P411" s="142"/>
      <c r="Q411" s="142"/>
      <c r="R411" s="131"/>
      <c r="S411" s="142"/>
      <c r="T411" s="142"/>
      <c r="U411" s="142"/>
      <c r="V411" s="142"/>
      <c r="W411" s="142"/>
      <c r="X411" s="142"/>
      <c r="Y411" s="142"/>
      <c r="Z411" s="142"/>
      <c r="AA411" s="142"/>
      <c r="AB411" s="142"/>
    </row>
    <row r="412" ht="13.5" customHeight="1">
      <c r="A412" s="142"/>
      <c r="B412" s="142"/>
      <c r="C412" s="142"/>
      <c r="D412" s="142"/>
      <c r="E412" s="131"/>
      <c r="F412" s="131"/>
      <c r="G412" s="131"/>
      <c r="H412" s="131"/>
      <c r="I412" s="131"/>
      <c r="J412" s="131"/>
      <c r="K412" s="131"/>
      <c r="L412" s="131"/>
      <c r="M412" s="131"/>
      <c r="N412" s="131"/>
      <c r="O412" s="142"/>
      <c r="P412" s="142"/>
      <c r="Q412" s="142"/>
      <c r="R412" s="131"/>
      <c r="S412" s="142"/>
      <c r="T412" s="142"/>
      <c r="U412" s="142"/>
      <c r="V412" s="142"/>
      <c r="W412" s="142"/>
      <c r="X412" s="142"/>
      <c r="Y412" s="142"/>
      <c r="Z412" s="142"/>
      <c r="AA412" s="142"/>
      <c r="AB412" s="142"/>
    </row>
    <row r="413" ht="13.5" customHeight="1">
      <c r="A413" s="142"/>
      <c r="B413" s="142"/>
      <c r="C413" s="142"/>
      <c r="D413" s="142"/>
      <c r="E413" s="131"/>
      <c r="F413" s="131"/>
      <c r="G413" s="131"/>
      <c r="H413" s="131"/>
      <c r="I413" s="131"/>
      <c r="J413" s="131"/>
      <c r="K413" s="131"/>
      <c r="L413" s="131"/>
      <c r="M413" s="131"/>
      <c r="N413" s="131"/>
      <c r="O413" s="142"/>
      <c r="P413" s="142"/>
      <c r="Q413" s="142"/>
      <c r="R413" s="131"/>
      <c r="S413" s="142"/>
      <c r="T413" s="142"/>
      <c r="U413" s="142"/>
      <c r="V413" s="142"/>
      <c r="W413" s="142"/>
      <c r="X413" s="142"/>
      <c r="Y413" s="142"/>
      <c r="Z413" s="142"/>
      <c r="AA413" s="142"/>
      <c r="AB413" s="142"/>
    </row>
    <row r="414" ht="13.5" customHeight="1">
      <c r="A414" s="142"/>
      <c r="B414" s="142"/>
      <c r="C414" s="142"/>
      <c r="D414" s="142"/>
      <c r="E414" s="131"/>
      <c r="F414" s="131"/>
      <c r="G414" s="131"/>
      <c r="H414" s="131"/>
      <c r="I414" s="131"/>
      <c r="J414" s="131"/>
      <c r="K414" s="131"/>
      <c r="L414" s="131"/>
      <c r="M414" s="131"/>
      <c r="N414" s="131"/>
      <c r="O414" s="142"/>
      <c r="P414" s="142"/>
      <c r="Q414" s="142"/>
      <c r="R414" s="131"/>
      <c r="S414" s="142"/>
      <c r="T414" s="142"/>
      <c r="U414" s="142"/>
      <c r="V414" s="142"/>
      <c r="W414" s="142"/>
      <c r="X414" s="142"/>
      <c r="Y414" s="142"/>
      <c r="Z414" s="142"/>
      <c r="AA414" s="142"/>
      <c r="AB414" s="142"/>
    </row>
    <row r="415" ht="13.5" customHeight="1">
      <c r="A415" s="142"/>
      <c r="B415" s="142"/>
      <c r="C415" s="142"/>
      <c r="D415" s="142"/>
      <c r="E415" s="131"/>
      <c r="F415" s="131"/>
      <c r="G415" s="131"/>
      <c r="H415" s="131"/>
      <c r="I415" s="131"/>
      <c r="J415" s="131"/>
      <c r="K415" s="131"/>
      <c r="L415" s="131"/>
      <c r="M415" s="131"/>
      <c r="N415" s="131"/>
      <c r="O415" s="142"/>
      <c r="P415" s="142"/>
      <c r="Q415" s="142"/>
      <c r="R415" s="131"/>
      <c r="S415" s="142"/>
      <c r="T415" s="142"/>
      <c r="U415" s="142"/>
      <c r="V415" s="142"/>
      <c r="W415" s="142"/>
      <c r="X415" s="142"/>
      <c r="Y415" s="142"/>
      <c r="Z415" s="142"/>
      <c r="AA415" s="142"/>
      <c r="AB415" s="142"/>
    </row>
    <row r="416" ht="13.5" customHeight="1">
      <c r="A416" s="142"/>
      <c r="B416" s="142"/>
      <c r="C416" s="142"/>
      <c r="D416" s="142"/>
      <c r="E416" s="131"/>
      <c r="F416" s="131"/>
      <c r="G416" s="131"/>
      <c r="H416" s="131"/>
      <c r="I416" s="131"/>
      <c r="J416" s="131"/>
      <c r="K416" s="131"/>
      <c r="L416" s="131"/>
      <c r="M416" s="131"/>
      <c r="N416" s="131"/>
      <c r="O416" s="142"/>
      <c r="P416" s="142"/>
      <c r="Q416" s="142"/>
      <c r="R416" s="131"/>
      <c r="S416" s="142"/>
      <c r="T416" s="142"/>
      <c r="U416" s="142"/>
      <c r="V416" s="142"/>
      <c r="W416" s="142"/>
      <c r="X416" s="142"/>
      <c r="Y416" s="142"/>
      <c r="Z416" s="142"/>
      <c r="AA416" s="142"/>
      <c r="AB416" s="142"/>
    </row>
    <row r="417" ht="13.5" customHeight="1">
      <c r="A417" s="142"/>
      <c r="B417" s="142"/>
      <c r="C417" s="142"/>
      <c r="D417" s="142"/>
      <c r="E417" s="131"/>
      <c r="F417" s="131"/>
      <c r="G417" s="131"/>
      <c r="H417" s="131"/>
      <c r="I417" s="131"/>
      <c r="J417" s="131"/>
      <c r="K417" s="131"/>
      <c r="L417" s="131"/>
      <c r="M417" s="131"/>
      <c r="N417" s="131"/>
      <c r="O417" s="142"/>
      <c r="P417" s="142"/>
      <c r="Q417" s="142"/>
      <c r="R417" s="131"/>
      <c r="S417" s="142"/>
      <c r="T417" s="142"/>
      <c r="U417" s="142"/>
      <c r="V417" s="142"/>
      <c r="W417" s="142"/>
      <c r="X417" s="142"/>
      <c r="Y417" s="142"/>
      <c r="Z417" s="142"/>
      <c r="AA417" s="142"/>
      <c r="AB417" s="142"/>
    </row>
    <row r="418" ht="13.5" customHeight="1">
      <c r="A418" s="142"/>
      <c r="B418" s="142"/>
      <c r="C418" s="142"/>
      <c r="D418" s="142"/>
      <c r="E418" s="131"/>
      <c r="F418" s="131"/>
      <c r="G418" s="131"/>
      <c r="H418" s="131"/>
      <c r="I418" s="131"/>
      <c r="J418" s="131"/>
      <c r="K418" s="131"/>
      <c r="L418" s="131"/>
      <c r="M418" s="131"/>
      <c r="N418" s="131"/>
      <c r="O418" s="142"/>
      <c r="P418" s="142"/>
      <c r="Q418" s="142"/>
      <c r="R418" s="131"/>
      <c r="S418" s="142"/>
      <c r="T418" s="142"/>
      <c r="U418" s="142"/>
      <c r="V418" s="142"/>
      <c r="W418" s="142"/>
      <c r="X418" s="142"/>
      <c r="Y418" s="142"/>
      <c r="Z418" s="142"/>
      <c r="AA418" s="142"/>
      <c r="AB418" s="142"/>
    </row>
    <row r="419" ht="13.5" customHeight="1">
      <c r="A419" s="142"/>
      <c r="B419" s="142"/>
      <c r="C419" s="142"/>
      <c r="D419" s="142"/>
      <c r="E419" s="131"/>
      <c r="F419" s="131"/>
      <c r="G419" s="131"/>
      <c r="H419" s="131"/>
      <c r="I419" s="131"/>
      <c r="J419" s="131"/>
      <c r="K419" s="131"/>
      <c r="L419" s="131"/>
      <c r="M419" s="131"/>
      <c r="N419" s="131"/>
      <c r="O419" s="142"/>
      <c r="P419" s="142"/>
      <c r="Q419" s="142"/>
      <c r="R419" s="131"/>
      <c r="S419" s="142"/>
      <c r="T419" s="142"/>
      <c r="U419" s="142"/>
      <c r="V419" s="142"/>
      <c r="W419" s="142"/>
      <c r="X419" s="142"/>
      <c r="Y419" s="142"/>
      <c r="Z419" s="142"/>
      <c r="AA419" s="142"/>
      <c r="AB419" s="142"/>
    </row>
    <row r="420" ht="13.5" customHeight="1">
      <c r="A420" s="142"/>
      <c r="B420" s="142"/>
      <c r="C420" s="142"/>
      <c r="D420" s="142"/>
      <c r="E420" s="131"/>
      <c r="F420" s="131"/>
      <c r="G420" s="131"/>
      <c r="H420" s="131"/>
      <c r="I420" s="131"/>
      <c r="J420" s="131"/>
      <c r="K420" s="131"/>
      <c r="L420" s="131"/>
      <c r="M420" s="131"/>
      <c r="N420" s="131"/>
      <c r="O420" s="142"/>
      <c r="P420" s="142"/>
      <c r="Q420" s="142"/>
      <c r="R420" s="131"/>
      <c r="S420" s="142"/>
      <c r="T420" s="142"/>
      <c r="U420" s="142"/>
      <c r="V420" s="142"/>
      <c r="W420" s="142"/>
      <c r="X420" s="142"/>
      <c r="Y420" s="142"/>
      <c r="Z420" s="142"/>
      <c r="AA420" s="142"/>
      <c r="AB420" s="142"/>
    </row>
    <row r="421" ht="13.5" customHeight="1">
      <c r="A421" s="142"/>
      <c r="B421" s="142"/>
      <c r="C421" s="142"/>
      <c r="D421" s="142"/>
      <c r="E421" s="131"/>
      <c r="F421" s="131"/>
      <c r="G421" s="131"/>
      <c r="H421" s="131"/>
      <c r="I421" s="131"/>
      <c r="J421" s="131"/>
      <c r="K421" s="131"/>
      <c r="L421" s="131"/>
      <c r="M421" s="131"/>
      <c r="N421" s="131"/>
      <c r="O421" s="142"/>
      <c r="P421" s="142"/>
      <c r="Q421" s="142"/>
      <c r="R421" s="131"/>
      <c r="S421" s="142"/>
      <c r="T421" s="142"/>
      <c r="U421" s="142"/>
      <c r="V421" s="142"/>
      <c r="W421" s="142"/>
      <c r="X421" s="142"/>
      <c r="Y421" s="142"/>
      <c r="Z421" s="142"/>
      <c r="AA421" s="142"/>
      <c r="AB421" s="142"/>
    </row>
    <row r="422" ht="13.5" customHeight="1">
      <c r="A422" s="142"/>
      <c r="B422" s="142"/>
      <c r="C422" s="142"/>
      <c r="D422" s="142"/>
      <c r="E422" s="131"/>
      <c r="F422" s="131"/>
      <c r="G422" s="131"/>
      <c r="H422" s="131"/>
      <c r="I422" s="131"/>
      <c r="J422" s="131"/>
      <c r="K422" s="131"/>
      <c r="L422" s="131"/>
      <c r="M422" s="131"/>
      <c r="N422" s="131"/>
      <c r="O422" s="142"/>
      <c r="P422" s="142"/>
      <c r="Q422" s="142"/>
      <c r="R422" s="131"/>
      <c r="S422" s="142"/>
      <c r="T422" s="142"/>
      <c r="U422" s="142"/>
      <c r="V422" s="142"/>
      <c r="W422" s="142"/>
      <c r="X422" s="142"/>
      <c r="Y422" s="142"/>
      <c r="Z422" s="142"/>
      <c r="AA422" s="142"/>
      <c r="AB422" s="142"/>
    </row>
    <row r="423" ht="13.5" customHeight="1">
      <c r="A423" s="142"/>
      <c r="B423" s="142"/>
      <c r="C423" s="142"/>
      <c r="D423" s="142"/>
      <c r="E423" s="131"/>
      <c r="F423" s="131"/>
      <c r="G423" s="131"/>
      <c r="H423" s="131"/>
      <c r="I423" s="131"/>
      <c r="J423" s="131"/>
      <c r="K423" s="131"/>
      <c r="L423" s="131"/>
      <c r="M423" s="131"/>
      <c r="N423" s="131"/>
      <c r="O423" s="142"/>
      <c r="P423" s="142"/>
      <c r="Q423" s="142"/>
      <c r="R423" s="131"/>
      <c r="S423" s="142"/>
      <c r="T423" s="142"/>
      <c r="U423" s="142"/>
      <c r="V423" s="142"/>
      <c r="W423" s="142"/>
      <c r="X423" s="142"/>
      <c r="Y423" s="142"/>
      <c r="Z423" s="142"/>
      <c r="AA423" s="142"/>
      <c r="AB423" s="142"/>
    </row>
    <row r="424" ht="13.5" customHeight="1">
      <c r="A424" s="142"/>
      <c r="B424" s="142"/>
      <c r="C424" s="142"/>
      <c r="D424" s="142"/>
      <c r="E424" s="131"/>
      <c r="F424" s="131"/>
      <c r="G424" s="131"/>
      <c r="H424" s="131"/>
      <c r="I424" s="131"/>
      <c r="J424" s="131"/>
      <c r="K424" s="131"/>
      <c r="L424" s="131"/>
      <c r="M424" s="131"/>
      <c r="N424" s="131"/>
      <c r="O424" s="142"/>
      <c r="P424" s="142"/>
      <c r="Q424" s="142"/>
      <c r="R424" s="131"/>
      <c r="S424" s="142"/>
      <c r="T424" s="142"/>
      <c r="U424" s="142"/>
      <c r="V424" s="142"/>
      <c r="W424" s="142"/>
      <c r="X424" s="142"/>
      <c r="Y424" s="142"/>
      <c r="Z424" s="142"/>
      <c r="AA424" s="142"/>
      <c r="AB424" s="142"/>
    </row>
    <row r="425" ht="13.5" customHeight="1">
      <c r="A425" s="142"/>
      <c r="B425" s="142"/>
      <c r="C425" s="142"/>
      <c r="D425" s="142"/>
      <c r="E425" s="131"/>
      <c r="F425" s="131"/>
      <c r="G425" s="131"/>
      <c r="H425" s="131"/>
      <c r="I425" s="131"/>
      <c r="J425" s="131"/>
      <c r="K425" s="131"/>
      <c r="L425" s="131"/>
      <c r="M425" s="131"/>
      <c r="N425" s="131"/>
      <c r="O425" s="142"/>
      <c r="P425" s="142"/>
      <c r="Q425" s="142"/>
      <c r="R425" s="131"/>
      <c r="S425" s="142"/>
      <c r="T425" s="142"/>
      <c r="U425" s="142"/>
      <c r="V425" s="142"/>
      <c r="W425" s="142"/>
      <c r="X425" s="142"/>
      <c r="Y425" s="142"/>
      <c r="Z425" s="142"/>
      <c r="AA425" s="142"/>
      <c r="AB425" s="142"/>
    </row>
    <row r="426" ht="13.5" customHeight="1">
      <c r="A426" s="142"/>
      <c r="B426" s="142"/>
      <c r="C426" s="142"/>
      <c r="D426" s="142"/>
      <c r="E426" s="131"/>
      <c r="F426" s="131"/>
      <c r="G426" s="131"/>
      <c r="H426" s="131"/>
      <c r="I426" s="131"/>
      <c r="J426" s="131"/>
      <c r="K426" s="131"/>
      <c r="L426" s="131"/>
      <c r="M426" s="131"/>
      <c r="N426" s="131"/>
      <c r="O426" s="142"/>
      <c r="P426" s="142"/>
      <c r="Q426" s="142"/>
      <c r="R426" s="131"/>
      <c r="S426" s="142"/>
      <c r="T426" s="142"/>
      <c r="U426" s="142"/>
      <c r="V426" s="142"/>
      <c r="W426" s="142"/>
      <c r="X426" s="142"/>
      <c r="Y426" s="142"/>
      <c r="Z426" s="142"/>
      <c r="AA426" s="142"/>
      <c r="AB426" s="142"/>
    </row>
    <row r="427" ht="13.5" customHeight="1">
      <c r="A427" s="142"/>
      <c r="B427" s="142"/>
      <c r="C427" s="142"/>
      <c r="D427" s="142"/>
      <c r="E427" s="131"/>
      <c r="F427" s="131"/>
      <c r="G427" s="131"/>
      <c r="H427" s="131"/>
      <c r="I427" s="131"/>
      <c r="J427" s="131"/>
      <c r="K427" s="131"/>
      <c r="L427" s="131"/>
      <c r="M427" s="131"/>
      <c r="N427" s="131"/>
      <c r="O427" s="142"/>
      <c r="P427" s="142"/>
      <c r="Q427" s="142"/>
      <c r="R427" s="131"/>
      <c r="S427" s="142"/>
      <c r="T427" s="142"/>
      <c r="U427" s="142"/>
      <c r="V427" s="142"/>
      <c r="W427" s="142"/>
      <c r="X427" s="142"/>
      <c r="Y427" s="142"/>
      <c r="Z427" s="142"/>
      <c r="AA427" s="142"/>
      <c r="AB427" s="142"/>
    </row>
    <row r="428" ht="13.5" customHeight="1">
      <c r="A428" s="142"/>
      <c r="B428" s="142"/>
      <c r="C428" s="142"/>
      <c r="D428" s="142"/>
      <c r="E428" s="131"/>
      <c r="F428" s="131"/>
      <c r="G428" s="131"/>
      <c r="H428" s="131"/>
      <c r="I428" s="131"/>
      <c r="J428" s="131"/>
      <c r="K428" s="131"/>
      <c r="L428" s="131"/>
      <c r="M428" s="131"/>
      <c r="N428" s="131"/>
      <c r="O428" s="142"/>
      <c r="P428" s="142"/>
      <c r="Q428" s="142"/>
      <c r="R428" s="131"/>
      <c r="S428" s="142"/>
      <c r="T428" s="142"/>
      <c r="U428" s="142"/>
      <c r="V428" s="142"/>
      <c r="W428" s="142"/>
      <c r="X428" s="142"/>
      <c r="Y428" s="142"/>
      <c r="Z428" s="142"/>
      <c r="AA428" s="142"/>
      <c r="AB428" s="142"/>
    </row>
    <row r="429" ht="13.5" customHeight="1">
      <c r="A429" s="142"/>
      <c r="B429" s="142"/>
      <c r="C429" s="142"/>
      <c r="D429" s="142"/>
      <c r="E429" s="131"/>
      <c r="F429" s="131"/>
      <c r="G429" s="131"/>
      <c r="H429" s="131"/>
      <c r="I429" s="131"/>
      <c r="J429" s="131"/>
      <c r="K429" s="131"/>
      <c r="L429" s="131"/>
      <c r="M429" s="131"/>
      <c r="N429" s="131"/>
      <c r="O429" s="142"/>
      <c r="P429" s="142"/>
      <c r="Q429" s="142"/>
      <c r="R429" s="131"/>
      <c r="S429" s="142"/>
      <c r="T429" s="142"/>
      <c r="U429" s="142"/>
      <c r="V429" s="142"/>
      <c r="W429" s="142"/>
      <c r="X429" s="142"/>
      <c r="Y429" s="142"/>
      <c r="Z429" s="142"/>
      <c r="AA429" s="142"/>
      <c r="AB429" s="142"/>
    </row>
    <row r="430" ht="13.5" customHeight="1">
      <c r="A430" s="142"/>
      <c r="B430" s="142"/>
      <c r="C430" s="142"/>
      <c r="D430" s="142"/>
      <c r="E430" s="131"/>
      <c r="F430" s="131"/>
      <c r="G430" s="131"/>
      <c r="H430" s="131"/>
      <c r="I430" s="131"/>
      <c r="J430" s="131"/>
      <c r="K430" s="131"/>
      <c r="L430" s="131"/>
      <c r="M430" s="131"/>
      <c r="N430" s="131"/>
      <c r="O430" s="142"/>
      <c r="P430" s="142"/>
      <c r="Q430" s="142"/>
      <c r="R430" s="131"/>
      <c r="S430" s="142"/>
      <c r="T430" s="142"/>
      <c r="U430" s="142"/>
      <c r="V430" s="142"/>
      <c r="W430" s="142"/>
      <c r="X430" s="142"/>
      <c r="Y430" s="142"/>
      <c r="Z430" s="142"/>
      <c r="AA430" s="142"/>
      <c r="AB430" s="142"/>
    </row>
    <row r="431" ht="13.5" customHeight="1">
      <c r="A431" s="142"/>
      <c r="B431" s="142"/>
      <c r="C431" s="142"/>
      <c r="D431" s="142"/>
      <c r="E431" s="131"/>
      <c r="F431" s="131"/>
      <c r="G431" s="131"/>
      <c r="H431" s="131"/>
      <c r="I431" s="131"/>
      <c r="J431" s="131"/>
      <c r="K431" s="131"/>
      <c r="L431" s="131"/>
      <c r="M431" s="131"/>
      <c r="N431" s="131"/>
      <c r="O431" s="142"/>
      <c r="P431" s="142"/>
      <c r="Q431" s="142"/>
      <c r="R431" s="131"/>
      <c r="S431" s="142"/>
      <c r="T431" s="142"/>
      <c r="U431" s="142"/>
      <c r="V431" s="142"/>
      <c r="W431" s="142"/>
      <c r="X431" s="142"/>
      <c r="Y431" s="142"/>
      <c r="Z431" s="142"/>
      <c r="AA431" s="142"/>
      <c r="AB431" s="142"/>
    </row>
    <row r="432" ht="13.5" customHeight="1">
      <c r="A432" s="142"/>
      <c r="B432" s="142"/>
      <c r="C432" s="142"/>
      <c r="D432" s="142"/>
      <c r="E432" s="131"/>
      <c r="F432" s="131"/>
      <c r="G432" s="131"/>
      <c r="H432" s="131"/>
      <c r="I432" s="131"/>
      <c r="J432" s="131"/>
      <c r="K432" s="131"/>
      <c r="L432" s="131"/>
      <c r="M432" s="131"/>
      <c r="N432" s="131"/>
      <c r="O432" s="142"/>
      <c r="P432" s="142"/>
      <c r="Q432" s="142"/>
      <c r="R432" s="131"/>
      <c r="S432" s="142"/>
      <c r="T432" s="142"/>
      <c r="U432" s="142"/>
      <c r="V432" s="142"/>
      <c r="W432" s="142"/>
      <c r="X432" s="142"/>
      <c r="Y432" s="142"/>
      <c r="Z432" s="142"/>
      <c r="AA432" s="142"/>
      <c r="AB432" s="142"/>
    </row>
    <row r="433" ht="13.5" customHeight="1">
      <c r="A433" s="142"/>
      <c r="B433" s="142"/>
      <c r="C433" s="142"/>
      <c r="D433" s="142"/>
      <c r="E433" s="131"/>
      <c r="F433" s="131"/>
      <c r="G433" s="131"/>
      <c r="H433" s="131"/>
      <c r="I433" s="131"/>
      <c r="J433" s="131"/>
      <c r="K433" s="131"/>
      <c r="L433" s="131"/>
      <c r="M433" s="131"/>
      <c r="N433" s="131"/>
      <c r="O433" s="142"/>
      <c r="P433" s="142"/>
      <c r="Q433" s="142"/>
      <c r="R433" s="131"/>
      <c r="S433" s="142"/>
      <c r="T433" s="142"/>
      <c r="U433" s="142"/>
      <c r="V433" s="142"/>
      <c r="W433" s="142"/>
      <c r="X433" s="142"/>
      <c r="Y433" s="142"/>
      <c r="Z433" s="142"/>
      <c r="AA433" s="142"/>
      <c r="AB433" s="142"/>
    </row>
    <row r="434" ht="13.5" customHeight="1">
      <c r="A434" s="142"/>
      <c r="B434" s="142"/>
      <c r="C434" s="142"/>
      <c r="D434" s="142"/>
      <c r="E434" s="131"/>
      <c r="F434" s="131"/>
      <c r="G434" s="131"/>
      <c r="H434" s="131"/>
      <c r="I434" s="131"/>
      <c r="J434" s="131"/>
      <c r="K434" s="131"/>
      <c r="L434" s="131"/>
      <c r="M434" s="131"/>
      <c r="N434" s="131"/>
      <c r="O434" s="142"/>
      <c r="P434" s="142"/>
      <c r="Q434" s="142"/>
      <c r="R434" s="131"/>
      <c r="S434" s="142"/>
      <c r="T434" s="142"/>
      <c r="U434" s="142"/>
      <c r="V434" s="142"/>
      <c r="W434" s="142"/>
      <c r="X434" s="142"/>
      <c r="Y434" s="142"/>
      <c r="Z434" s="142"/>
      <c r="AA434" s="142"/>
      <c r="AB434" s="142"/>
    </row>
    <row r="435" ht="13.5" customHeight="1">
      <c r="A435" s="142"/>
      <c r="B435" s="142"/>
      <c r="C435" s="142"/>
      <c r="D435" s="142"/>
      <c r="E435" s="131"/>
      <c r="F435" s="131"/>
      <c r="G435" s="131"/>
      <c r="H435" s="131"/>
      <c r="I435" s="131"/>
      <c r="J435" s="131"/>
      <c r="K435" s="131"/>
      <c r="L435" s="131"/>
      <c r="M435" s="131"/>
      <c r="N435" s="131"/>
      <c r="O435" s="142"/>
      <c r="P435" s="142"/>
      <c r="Q435" s="142"/>
      <c r="R435" s="131"/>
      <c r="S435" s="142"/>
      <c r="T435" s="142"/>
      <c r="U435" s="142"/>
      <c r="V435" s="142"/>
      <c r="W435" s="142"/>
      <c r="X435" s="142"/>
      <c r="Y435" s="142"/>
      <c r="Z435" s="142"/>
      <c r="AA435" s="142"/>
      <c r="AB435" s="142"/>
    </row>
    <row r="436" ht="13.5" customHeight="1">
      <c r="A436" s="142"/>
      <c r="B436" s="142"/>
      <c r="C436" s="142"/>
      <c r="D436" s="142"/>
      <c r="E436" s="131"/>
      <c r="F436" s="131"/>
      <c r="G436" s="131"/>
      <c r="H436" s="131"/>
      <c r="I436" s="131"/>
      <c r="J436" s="131"/>
      <c r="K436" s="131"/>
      <c r="L436" s="131"/>
      <c r="M436" s="131"/>
      <c r="N436" s="131"/>
      <c r="O436" s="142"/>
      <c r="P436" s="142"/>
      <c r="Q436" s="142"/>
      <c r="R436" s="131"/>
      <c r="S436" s="142"/>
      <c r="T436" s="142"/>
      <c r="U436" s="142"/>
      <c r="V436" s="142"/>
      <c r="W436" s="142"/>
      <c r="X436" s="142"/>
      <c r="Y436" s="142"/>
      <c r="Z436" s="142"/>
      <c r="AA436" s="142"/>
      <c r="AB436" s="142"/>
    </row>
    <row r="437" ht="13.5" customHeight="1">
      <c r="A437" s="142"/>
      <c r="B437" s="142"/>
      <c r="C437" s="142"/>
      <c r="D437" s="142"/>
      <c r="E437" s="131"/>
      <c r="F437" s="131"/>
      <c r="G437" s="131"/>
      <c r="H437" s="131"/>
      <c r="I437" s="131"/>
      <c r="J437" s="131"/>
      <c r="K437" s="131"/>
      <c r="L437" s="131"/>
      <c r="M437" s="131"/>
      <c r="N437" s="131"/>
      <c r="O437" s="142"/>
      <c r="P437" s="142"/>
      <c r="Q437" s="142"/>
      <c r="R437" s="131"/>
      <c r="S437" s="142"/>
      <c r="T437" s="142"/>
      <c r="U437" s="142"/>
      <c r="V437" s="142"/>
      <c r="W437" s="142"/>
      <c r="X437" s="142"/>
      <c r="Y437" s="142"/>
      <c r="Z437" s="142"/>
      <c r="AA437" s="142"/>
      <c r="AB437" s="142"/>
    </row>
    <row r="438" ht="13.5" customHeight="1">
      <c r="A438" s="142"/>
      <c r="B438" s="142"/>
      <c r="C438" s="142"/>
      <c r="D438" s="142"/>
      <c r="E438" s="131"/>
      <c r="F438" s="131"/>
      <c r="G438" s="131"/>
      <c r="H438" s="131"/>
      <c r="I438" s="131"/>
      <c r="J438" s="131"/>
      <c r="K438" s="131"/>
      <c r="L438" s="131"/>
      <c r="M438" s="131"/>
      <c r="N438" s="131"/>
      <c r="O438" s="142"/>
      <c r="P438" s="142"/>
      <c r="Q438" s="142"/>
      <c r="R438" s="131"/>
      <c r="S438" s="142"/>
      <c r="T438" s="142"/>
      <c r="U438" s="142"/>
      <c r="V438" s="142"/>
      <c r="W438" s="142"/>
      <c r="X438" s="142"/>
      <c r="Y438" s="142"/>
      <c r="Z438" s="142"/>
      <c r="AA438" s="142"/>
      <c r="AB438" s="142"/>
    </row>
    <row r="439" ht="13.5" customHeight="1">
      <c r="A439" s="142"/>
      <c r="B439" s="142"/>
      <c r="C439" s="142"/>
      <c r="D439" s="142"/>
      <c r="E439" s="131"/>
      <c r="F439" s="131"/>
      <c r="G439" s="131"/>
      <c r="H439" s="131"/>
      <c r="I439" s="131"/>
      <c r="J439" s="131"/>
      <c r="K439" s="131"/>
      <c r="L439" s="131"/>
      <c r="M439" s="131"/>
      <c r="N439" s="131"/>
      <c r="O439" s="142"/>
      <c r="P439" s="142"/>
      <c r="Q439" s="142"/>
      <c r="R439" s="131"/>
      <c r="S439" s="142"/>
      <c r="T439" s="142"/>
      <c r="U439" s="142"/>
      <c r="V439" s="142"/>
      <c r="W439" s="142"/>
      <c r="X439" s="142"/>
      <c r="Y439" s="142"/>
      <c r="Z439" s="142"/>
      <c r="AA439" s="142"/>
      <c r="AB439" s="142"/>
    </row>
    <row r="440" ht="13.5" customHeight="1">
      <c r="A440" s="142"/>
      <c r="B440" s="142"/>
      <c r="C440" s="142"/>
      <c r="D440" s="142"/>
      <c r="E440" s="131"/>
      <c r="F440" s="131"/>
      <c r="G440" s="131"/>
      <c r="H440" s="131"/>
      <c r="I440" s="131"/>
      <c r="J440" s="131"/>
      <c r="K440" s="131"/>
      <c r="L440" s="131"/>
      <c r="M440" s="131"/>
      <c r="N440" s="131"/>
      <c r="O440" s="142"/>
      <c r="P440" s="142"/>
      <c r="Q440" s="142"/>
      <c r="R440" s="131"/>
      <c r="S440" s="142"/>
      <c r="T440" s="142"/>
      <c r="U440" s="142"/>
      <c r="V440" s="142"/>
      <c r="W440" s="142"/>
      <c r="X440" s="142"/>
      <c r="Y440" s="142"/>
      <c r="Z440" s="142"/>
      <c r="AA440" s="142"/>
      <c r="AB440" s="142"/>
    </row>
    <row r="441" ht="13.5" customHeight="1">
      <c r="A441" s="142"/>
      <c r="B441" s="142"/>
      <c r="C441" s="142"/>
      <c r="D441" s="142"/>
      <c r="E441" s="131"/>
      <c r="F441" s="131"/>
      <c r="G441" s="131"/>
      <c r="H441" s="131"/>
      <c r="I441" s="131"/>
      <c r="J441" s="131"/>
      <c r="K441" s="131"/>
      <c r="L441" s="131"/>
      <c r="M441" s="131"/>
      <c r="N441" s="131"/>
      <c r="O441" s="142"/>
      <c r="P441" s="142"/>
      <c r="Q441" s="142"/>
      <c r="R441" s="131"/>
      <c r="S441" s="142"/>
      <c r="T441" s="142"/>
      <c r="U441" s="142"/>
      <c r="V441" s="142"/>
      <c r="W441" s="142"/>
      <c r="X441" s="142"/>
      <c r="Y441" s="142"/>
      <c r="Z441" s="142"/>
      <c r="AA441" s="142"/>
      <c r="AB441" s="142"/>
    </row>
    <row r="442" ht="13.5" customHeight="1">
      <c r="A442" s="142"/>
      <c r="B442" s="142"/>
      <c r="C442" s="142"/>
      <c r="D442" s="142"/>
      <c r="E442" s="131"/>
      <c r="F442" s="131"/>
      <c r="G442" s="131"/>
      <c r="H442" s="131"/>
      <c r="I442" s="131"/>
      <c r="J442" s="131"/>
      <c r="K442" s="131"/>
      <c r="L442" s="131"/>
      <c r="M442" s="131"/>
      <c r="N442" s="131"/>
      <c r="O442" s="142"/>
      <c r="P442" s="142"/>
      <c r="Q442" s="142"/>
      <c r="R442" s="131"/>
      <c r="S442" s="142"/>
      <c r="T442" s="142"/>
      <c r="U442" s="142"/>
      <c r="V442" s="142"/>
      <c r="W442" s="142"/>
      <c r="X442" s="142"/>
      <c r="Y442" s="142"/>
      <c r="Z442" s="142"/>
      <c r="AA442" s="142"/>
      <c r="AB442" s="142"/>
    </row>
    <row r="443" ht="13.5" customHeight="1">
      <c r="A443" s="142"/>
      <c r="B443" s="142"/>
      <c r="C443" s="142"/>
      <c r="D443" s="142"/>
      <c r="E443" s="131"/>
      <c r="F443" s="131"/>
      <c r="G443" s="131"/>
      <c r="H443" s="131"/>
      <c r="I443" s="131"/>
      <c r="J443" s="131"/>
      <c r="K443" s="131"/>
      <c r="L443" s="131"/>
      <c r="M443" s="131"/>
      <c r="N443" s="131"/>
      <c r="O443" s="142"/>
      <c r="P443" s="142"/>
      <c r="Q443" s="142"/>
      <c r="R443" s="131"/>
      <c r="S443" s="142"/>
      <c r="T443" s="142"/>
      <c r="U443" s="142"/>
      <c r="V443" s="142"/>
      <c r="W443" s="142"/>
      <c r="X443" s="142"/>
      <c r="Y443" s="142"/>
      <c r="Z443" s="142"/>
      <c r="AA443" s="142"/>
      <c r="AB443" s="142"/>
    </row>
    <row r="444" ht="13.5" customHeight="1">
      <c r="A444" s="142"/>
      <c r="B444" s="142"/>
      <c r="C444" s="142"/>
      <c r="D444" s="142"/>
      <c r="E444" s="131"/>
      <c r="F444" s="131"/>
      <c r="G444" s="131"/>
      <c r="H444" s="131"/>
      <c r="I444" s="131"/>
      <c r="J444" s="131"/>
      <c r="K444" s="131"/>
      <c r="L444" s="131"/>
      <c r="M444" s="131"/>
      <c r="N444" s="131"/>
      <c r="O444" s="142"/>
      <c r="P444" s="142"/>
      <c r="Q444" s="142"/>
      <c r="R444" s="131"/>
      <c r="S444" s="142"/>
      <c r="T444" s="142"/>
      <c r="U444" s="142"/>
      <c r="V444" s="142"/>
      <c r="W444" s="142"/>
      <c r="X444" s="142"/>
      <c r="Y444" s="142"/>
      <c r="Z444" s="142"/>
      <c r="AA444" s="142"/>
      <c r="AB444" s="142"/>
    </row>
    <row r="445" ht="13.5" customHeight="1">
      <c r="A445" s="142"/>
      <c r="B445" s="142"/>
      <c r="C445" s="142"/>
      <c r="D445" s="142"/>
      <c r="E445" s="131"/>
      <c r="F445" s="131"/>
      <c r="G445" s="131"/>
      <c r="H445" s="131"/>
      <c r="I445" s="131"/>
      <c r="J445" s="131"/>
      <c r="K445" s="131"/>
      <c r="L445" s="131"/>
      <c r="M445" s="131"/>
      <c r="N445" s="131"/>
      <c r="O445" s="142"/>
      <c r="P445" s="142"/>
      <c r="Q445" s="142"/>
      <c r="R445" s="131"/>
      <c r="S445" s="142"/>
      <c r="T445" s="142"/>
      <c r="U445" s="142"/>
      <c r="V445" s="142"/>
      <c r="W445" s="142"/>
      <c r="X445" s="142"/>
      <c r="Y445" s="142"/>
      <c r="Z445" s="142"/>
      <c r="AA445" s="142"/>
      <c r="AB445" s="142"/>
    </row>
    <row r="446" ht="13.5" customHeight="1">
      <c r="A446" s="142"/>
      <c r="B446" s="142"/>
      <c r="C446" s="142"/>
      <c r="D446" s="142"/>
      <c r="E446" s="131"/>
      <c r="F446" s="131"/>
      <c r="G446" s="131"/>
      <c r="H446" s="131"/>
      <c r="I446" s="131"/>
      <c r="J446" s="131"/>
      <c r="K446" s="131"/>
      <c r="L446" s="131"/>
      <c r="M446" s="131"/>
      <c r="N446" s="131"/>
      <c r="O446" s="142"/>
      <c r="P446" s="142"/>
      <c r="Q446" s="142"/>
      <c r="R446" s="131"/>
      <c r="S446" s="142"/>
      <c r="T446" s="142"/>
      <c r="U446" s="142"/>
      <c r="V446" s="142"/>
      <c r="W446" s="142"/>
      <c r="X446" s="142"/>
      <c r="Y446" s="142"/>
      <c r="Z446" s="142"/>
      <c r="AA446" s="142"/>
      <c r="AB446" s="142"/>
    </row>
    <row r="447" ht="13.5" customHeight="1">
      <c r="A447" s="142"/>
      <c r="B447" s="142"/>
      <c r="C447" s="142"/>
      <c r="D447" s="142"/>
      <c r="E447" s="131"/>
      <c r="F447" s="131"/>
      <c r="G447" s="131"/>
      <c r="H447" s="131"/>
      <c r="I447" s="131"/>
      <c r="J447" s="131"/>
      <c r="K447" s="131"/>
      <c r="L447" s="131"/>
      <c r="M447" s="131"/>
      <c r="N447" s="131"/>
      <c r="O447" s="142"/>
      <c r="P447" s="142"/>
      <c r="Q447" s="142"/>
      <c r="R447" s="131"/>
      <c r="S447" s="142"/>
      <c r="T447" s="142"/>
      <c r="U447" s="142"/>
      <c r="V447" s="142"/>
      <c r="W447" s="142"/>
      <c r="X447" s="142"/>
      <c r="Y447" s="142"/>
      <c r="Z447" s="142"/>
      <c r="AA447" s="142"/>
      <c r="AB447" s="142"/>
    </row>
    <row r="448" ht="13.5" customHeight="1">
      <c r="A448" s="142"/>
      <c r="B448" s="142"/>
      <c r="C448" s="142"/>
      <c r="D448" s="142"/>
      <c r="E448" s="131"/>
      <c r="F448" s="131"/>
      <c r="G448" s="131"/>
      <c r="H448" s="131"/>
      <c r="I448" s="131"/>
      <c r="J448" s="131"/>
      <c r="K448" s="131"/>
      <c r="L448" s="131"/>
      <c r="M448" s="131"/>
      <c r="N448" s="131"/>
      <c r="O448" s="142"/>
      <c r="P448" s="142"/>
      <c r="Q448" s="142"/>
      <c r="R448" s="131"/>
      <c r="S448" s="142"/>
      <c r="T448" s="142"/>
      <c r="U448" s="142"/>
      <c r="V448" s="142"/>
      <c r="W448" s="142"/>
      <c r="X448" s="142"/>
      <c r="Y448" s="142"/>
      <c r="Z448" s="142"/>
      <c r="AA448" s="142"/>
      <c r="AB448" s="142"/>
    </row>
    <row r="449" ht="13.5" customHeight="1">
      <c r="A449" s="142"/>
      <c r="B449" s="142"/>
      <c r="C449" s="142"/>
      <c r="D449" s="142"/>
      <c r="E449" s="131"/>
      <c r="F449" s="131"/>
      <c r="G449" s="131"/>
      <c r="H449" s="131"/>
      <c r="I449" s="131"/>
      <c r="J449" s="131"/>
      <c r="K449" s="131"/>
      <c r="L449" s="131"/>
      <c r="M449" s="131"/>
      <c r="N449" s="131"/>
      <c r="O449" s="142"/>
      <c r="P449" s="142"/>
      <c r="Q449" s="142"/>
      <c r="R449" s="131"/>
      <c r="S449" s="142"/>
      <c r="T449" s="142"/>
      <c r="U449" s="142"/>
      <c r="V449" s="142"/>
      <c r="W449" s="142"/>
      <c r="X449" s="142"/>
      <c r="Y449" s="142"/>
      <c r="Z449" s="142"/>
      <c r="AA449" s="142"/>
      <c r="AB449" s="142"/>
    </row>
    <row r="450" ht="13.5" customHeight="1">
      <c r="A450" s="142"/>
      <c r="B450" s="142"/>
      <c r="C450" s="142"/>
      <c r="D450" s="142"/>
      <c r="E450" s="131"/>
      <c r="F450" s="131"/>
      <c r="G450" s="131"/>
      <c r="H450" s="131"/>
      <c r="I450" s="131"/>
      <c r="J450" s="131"/>
      <c r="K450" s="131"/>
      <c r="L450" s="131"/>
      <c r="M450" s="131"/>
      <c r="N450" s="131"/>
      <c r="O450" s="142"/>
      <c r="P450" s="142"/>
      <c r="Q450" s="142"/>
      <c r="R450" s="131"/>
      <c r="S450" s="142"/>
      <c r="T450" s="142"/>
      <c r="U450" s="142"/>
      <c r="V450" s="142"/>
      <c r="W450" s="142"/>
      <c r="X450" s="142"/>
      <c r="Y450" s="142"/>
      <c r="Z450" s="142"/>
      <c r="AA450" s="142"/>
      <c r="AB450" s="142"/>
    </row>
    <row r="451" ht="13.5" customHeight="1">
      <c r="A451" s="142"/>
      <c r="B451" s="142"/>
      <c r="C451" s="142"/>
      <c r="D451" s="142"/>
      <c r="E451" s="131"/>
      <c r="F451" s="131"/>
      <c r="G451" s="131"/>
      <c r="H451" s="131"/>
      <c r="I451" s="131"/>
      <c r="J451" s="131"/>
      <c r="K451" s="131"/>
      <c r="L451" s="131"/>
      <c r="M451" s="131"/>
      <c r="N451" s="131"/>
      <c r="O451" s="142"/>
      <c r="P451" s="142"/>
      <c r="Q451" s="142"/>
      <c r="R451" s="131"/>
      <c r="S451" s="142"/>
      <c r="T451" s="142"/>
      <c r="U451" s="142"/>
      <c r="V451" s="142"/>
      <c r="W451" s="142"/>
      <c r="X451" s="142"/>
      <c r="Y451" s="142"/>
      <c r="Z451" s="142"/>
      <c r="AA451" s="142"/>
      <c r="AB451" s="142"/>
    </row>
    <row r="452" ht="13.5" customHeight="1">
      <c r="A452" s="142"/>
      <c r="B452" s="142"/>
      <c r="C452" s="142"/>
      <c r="D452" s="142"/>
      <c r="E452" s="131"/>
      <c r="F452" s="131"/>
      <c r="G452" s="131"/>
      <c r="H452" s="131"/>
      <c r="I452" s="131"/>
      <c r="J452" s="131"/>
      <c r="K452" s="131"/>
      <c r="L452" s="131"/>
      <c r="M452" s="131"/>
      <c r="N452" s="131"/>
      <c r="O452" s="142"/>
      <c r="P452" s="142"/>
      <c r="Q452" s="142"/>
      <c r="R452" s="131"/>
      <c r="S452" s="142"/>
      <c r="T452" s="142"/>
      <c r="U452" s="142"/>
      <c r="V452" s="142"/>
      <c r="W452" s="142"/>
      <c r="X452" s="142"/>
      <c r="Y452" s="142"/>
      <c r="Z452" s="142"/>
      <c r="AA452" s="142"/>
      <c r="AB452" s="142"/>
    </row>
    <row r="453" ht="13.5" customHeight="1">
      <c r="A453" s="142"/>
      <c r="B453" s="142"/>
      <c r="C453" s="142"/>
      <c r="D453" s="142"/>
      <c r="E453" s="131"/>
      <c r="F453" s="131"/>
      <c r="G453" s="131"/>
      <c r="H453" s="131"/>
      <c r="I453" s="131"/>
      <c r="J453" s="131"/>
      <c r="K453" s="131"/>
      <c r="L453" s="131"/>
      <c r="M453" s="131"/>
      <c r="N453" s="131"/>
      <c r="O453" s="142"/>
      <c r="P453" s="142"/>
      <c r="Q453" s="142"/>
      <c r="R453" s="131"/>
      <c r="S453" s="142"/>
      <c r="T453" s="142"/>
      <c r="U453" s="142"/>
      <c r="V453" s="142"/>
      <c r="W453" s="142"/>
      <c r="X453" s="142"/>
      <c r="Y453" s="142"/>
      <c r="Z453" s="142"/>
      <c r="AA453" s="142"/>
      <c r="AB453" s="142"/>
    </row>
    <row r="454" ht="13.5" customHeight="1">
      <c r="A454" s="142"/>
      <c r="B454" s="142"/>
      <c r="C454" s="142"/>
      <c r="D454" s="142"/>
      <c r="E454" s="131"/>
      <c r="F454" s="131"/>
      <c r="G454" s="131"/>
      <c r="H454" s="131"/>
      <c r="I454" s="131"/>
      <c r="J454" s="131"/>
      <c r="K454" s="131"/>
      <c r="L454" s="131"/>
      <c r="M454" s="131"/>
      <c r="N454" s="131"/>
      <c r="O454" s="142"/>
      <c r="P454" s="142"/>
      <c r="Q454" s="142"/>
      <c r="R454" s="131"/>
      <c r="S454" s="142"/>
      <c r="T454" s="142"/>
      <c r="U454" s="142"/>
      <c r="V454" s="142"/>
      <c r="W454" s="142"/>
      <c r="X454" s="142"/>
      <c r="Y454" s="142"/>
      <c r="Z454" s="142"/>
      <c r="AA454" s="142"/>
      <c r="AB454" s="142"/>
    </row>
    <row r="455" ht="13.5" customHeight="1">
      <c r="A455" s="142"/>
      <c r="B455" s="142"/>
      <c r="C455" s="142"/>
      <c r="D455" s="142"/>
      <c r="E455" s="131"/>
      <c r="F455" s="131"/>
      <c r="G455" s="131"/>
      <c r="H455" s="131"/>
      <c r="I455" s="131"/>
      <c r="J455" s="131"/>
      <c r="K455" s="131"/>
      <c r="L455" s="131"/>
      <c r="M455" s="131"/>
      <c r="N455" s="131"/>
      <c r="O455" s="142"/>
      <c r="P455" s="142"/>
      <c r="Q455" s="142"/>
      <c r="R455" s="131"/>
      <c r="S455" s="142"/>
      <c r="T455" s="142"/>
      <c r="U455" s="142"/>
      <c r="V455" s="142"/>
      <c r="W455" s="142"/>
      <c r="X455" s="142"/>
      <c r="Y455" s="142"/>
      <c r="Z455" s="142"/>
      <c r="AA455" s="142"/>
      <c r="AB455" s="142"/>
    </row>
    <row r="456" ht="13.5" customHeight="1">
      <c r="A456" s="142"/>
      <c r="B456" s="142"/>
      <c r="C456" s="142"/>
      <c r="D456" s="142"/>
      <c r="E456" s="131"/>
      <c r="F456" s="131"/>
      <c r="G456" s="131"/>
      <c r="H456" s="131"/>
      <c r="I456" s="131"/>
      <c r="J456" s="131"/>
      <c r="K456" s="131"/>
      <c r="L456" s="131"/>
      <c r="M456" s="131"/>
      <c r="N456" s="131"/>
      <c r="O456" s="142"/>
      <c r="P456" s="142"/>
      <c r="Q456" s="142"/>
      <c r="R456" s="131"/>
      <c r="S456" s="142"/>
      <c r="T456" s="142"/>
      <c r="U456" s="142"/>
      <c r="V456" s="142"/>
      <c r="W456" s="142"/>
      <c r="X456" s="142"/>
      <c r="Y456" s="142"/>
      <c r="Z456" s="142"/>
      <c r="AA456" s="142"/>
      <c r="AB456" s="142"/>
    </row>
    <row r="457" ht="13.5" customHeight="1">
      <c r="A457" s="142"/>
      <c r="B457" s="142"/>
      <c r="C457" s="142"/>
      <c r="D457" s="142"/>
      <c r="E457" s="131"/>
      <c r="F457" s="131"/>
      <c r="G457" s="131"/>
      <c r="H457" s="131"/>
      <c r="I457" s="131"/>
      <c r="J457" s="131"/>
      <c r="K457" s="131"/>
      <c r="L457" s="131"/>
      <c r="M457" s="131"/>
      <c r="N457" s="131"/>
      <c r="O457" s="142"/>
      <c r="P457" s="142"/>
      <c r="Q457" s="142"/>
      <c r="R457" s="131"/>
      <c r="S457" s="142"/>
      <c r="T457" s="142"/>
      <c r="U457" s="142"/>
      <c r="V457" s="142"/>
      <c r="W457" s="142"/>
      <c r="X457" s="142"/>
      <c r="Y457" s="142"/>
      <c r="Z457" s="142"/>
      <c r="AA457" s="142"/>
      <c r="AB457" s="142"/>
    </row>
    <row r="458" ht="13.5" customHeight="1">
      <c r="A458" s="142"/>
      <c r="B458" s="142"/>
      <c r="C458" s="142"/>
      <c r="D458" s="142"/>
      <c r="E458" s="131"/>
      <c r="F458" s="131"/>
      <c r="G458" s="131"/>
      <c r="H458" s="131"/>
      <c r="I458" s="131"/>
      <c r="J458" s="131"/>
      <c r="K458" s="131"/>
      <c r="L458" s="131"/>
      <c r="M458" s="131"/>
      <c r="N458" s="131"/>
      <c r="O458" s="142"/>
      <c r="P458" s="142"/>
      <c r="Q458" s="142"/>
      <c r="R458" s="131"/>
      <c r="S458" s="142"/>
      <c r="T458" s="142"/>
      <c r="U458" s="142"/>
      <c r="V458" s="142"/>
      <c r="W458" s="142"/>
      <c r="X458" s="142"/>
      <c r="Y458" s="142"/>
      <c r="Z458" s="142"/>
      <c r="AA458" s="142"/>
      <c r="AB458" s="142"/>
    </row>
    <row r="459" ht="13.5" customHeight="1">
      <c r="A459" s="142"/>
      <c r="B459" s="142"/>
      <c r="C459" s="142"/>
      <c r="D459" s="142"/>
      <c r="E459" s="131"/>
      <c r="F459" s="131"/>
      <c r="G459" s="131"/>
      <c r="H459" s="131"/>
      <c r="I459" s="131"/>
      <c r="J459" s="131"/>
      <c r="K459" s="131"/>
      <c r="L459" s="131"/>
      <c r="M459" s="131"/>
      <c r="N459" s="131"/>
      <c r="O459" s="142"/>
      <c r="P459" s="142"/>
      <c r="Q459" s="142"/>
      <c r="R459" s="131"/>
      <c r="S459" s="142"/>
      <c r="T459" s="142"/>
      <c r="U459" s="142"/>
      <c r="V459" s="142"/>
      <c r="W459" s="142"/>
      <c r="X459" s="142"/>
      <c r="Y459" s="142"/>
      <c r="Z459" s="142"/>
      <c r="AA459" s="142"/>
      <c r="AB459" s="142"/>
    </row>
    <row r="460" ht="13.5" customHeight="1">
      <c r="A460" s="142"/>
      <c r="B460" s="142"/>
      <c r="C460" s="142"/>
      <c r="D460" s="142"/>
      <c r="E460" s="131"/>
      <c r="F460" s="131"/>
      <c r="G460" s="131"/>
      <c r="H460" s="131"/>
      <c r="I460" s="131"/>
      <c r="J460" s="131"/>
      <c r="K460" s="131"/>
      <c r="L460" s="131"/>
      <c r="M460" s="131"/>
      <c r="N460" s="131"/>
      <c r="O460" s="142"/>
      <c r="P460" s="142"/>
      <c r="Q460" s="142"/>
      <c r="R460" s="131"/>
      <c r="S460" s="142"/>
      <c r="T460" s="142"/>
      <c r="U460" s="142"/>
      <c r="V460" s="142"/>
      <c r="W460" s="142"/>
      <c r="X460" s="142"/>
      <c r="Y460" s="142"/>
      <c r="Z460" s="142"/>
      <c r="AA460" s="142"/>
      <c r="AB460" s="142"/>
    </row>
    <row r="461" ht="13.5" customHeight="1">
      <c r="A461" s="142"/>
      <c r="B461" s="142"/>
      <c r="C461" s="142"/>
      <c r="D461" s="142"/>
      <c r="E461" s="131"/>
      <c r="F461" s="131"/>
      <c r="G461" s="131"/>
      <c r="H461" s="131"/>
      <c r="I461" s="131"/>
      <c r="J461" s="131"/>
      <c r="K461" s="131"/>
      <c r="L461" s="131"/>
      <c r="M461" s="131"/>
      <c r="N461" s="131"/>
      <c r="O461" s="142"/>
      <c r="P461" s="142"/>
      <c r="Q461" s="142"/>
      <c r="R461" s="131"/>
      <c r="S461" s="142"/>
      <c r="T461" s="142"/>
      <c r="U461" s="142"/>
      <c r="V461" s="142"/>
      <c r="W461" s="142"/>
      <c r="X461" s="142"/>
      <c r="Y461" s="142"/>
      <c r="Z461" s="142"/>
      <c r="AA461" s="142"/>
      <c r="AB461" s="142"/>
    </row>
    <row r="462" ht="13.5" customHeight="1">
      <c r="A462" s="142"/>
      <c r="B462" s="142"/>
      <c r="C462" s="142"/>
      <c r="D462" s="142"/>
      <c r="E462" s="131"/>
      <c r="F462" s="131"/>
      <c r="G462" s="131"/>
      <c r="H462" s="131"/>
      <c r="I462" s="131"/>
      <c r="J462" s="131"/>
      <c r="K462" s="131"/>
      <c r="L462" s="131"/>
      <c r="M462" s="131"/>
      <c r="N462" s="131"/>
      <c r="O462" s="142"/>
      <c r="P462" s="142"/>
      <c r="Q462" s="142"/>
      <c r="R462" s="131"/>
      <c r="S462" s="142"/>
      <c r="T462" s="142"/>
      <c r="U462" s="142"/>
      <c r="V462" s="142"/>
      <c r="W462" s="142"/>
      <c r="X462" s="142"/>
      <c r="Y462" s="142"/>
      <c r="Z462" s="142"/>
      <c r="AA462" s="142"/>
      <c r="AB462" s="142"/>
    </row>
    <row r="463" ht="13.5" customHeight="1">
      <c r="A463" s="142"/>
      <c r="B463" s="142"/>
      <c r="C463" s="142"/>
      <c r="D463" s="142"/>
      <c r="E463" s="131"/>
      <c r="F463" s="131"/>
      <c r="G463" s="131"/>
      <c r="H463" s="131"/>
      <c r="I463" s="131"/>
      <c r="J463" s="131"/>
      <c r="K463" s="131"/>
      <c r="L463" s="131"/>
      <c r="M463" s="131"/>
      <c r="N463" s="131"/>
      <c r="O463" s="142"/>
      <c r="P463" s="142"/>
      <c r="Q463" s="142"/>
      <c r="R463" s="131"/>
      <c r="S463" s="142"/>
      <c r="T463" s="142"/>
      <c r="U463" s="142"/>
      <c r="V463" s="142"/>
      <c r="W463" s="142"/>
      <c r="X463" s="142"/>
      <c r="Y463" s="142"/>
      <c r="Z463" s="142"/>
      <c r="AA463" s="142"/>
      <c r="AB463" s="142"/>
    </row>
    <row r="464" ht="13.5" customHeight="1">
      <c r="A464" s="142"/>
      <c r="B464" s="142"/>
      <c r="C464" s="142"/>
      <c r="D464" s="142"/>
      <c r="E464" s="131"/>
      <c r="F464" s="131"/>
      <c r="G464" s="131"/>
      <c r="H464" s="131"/>
      <c r="I464" s="131"/>
      <c r="J464" s="131"/>
      <c r="K464" s="131"/>
      <c r="L464" s="131"/>
      <c r="M464" s="131"/>
      <c r="N464" s="131"/>
      <c r="O464" s="142"/>
      <c r="P464" s="142"/>
      <c r="Q464" s="142"/>
      <c r="R464" s="131"/>
      <c r="S464" s="142"/>
      <c r="T464" s="142"/>
      <c r="U464" s="142"/>
      <c r="V464" s="142"/>
      <c r="W464" s="142"/>
      <c r="X464" s="142"/>
      <c r="Y464" s="142"/>
      <c r="Z464" s="142"/>
      <c r="AA464" s="142"/>
      <c r="AB464" s="142"/>
    </row>
    <row r="465" ht="13.5" customHeight="1">
      <c r="A465" s="142"/>
      <c r="B465" s="142"/>
      <c r="C465" s="142"/>
      <c r="D465" s="142"/>
      <c r="E465" s="131"/>
      <c r="F465" s="131"/>
      <c r="G465" s="131"/>
      <c r="H465" s="131"/>
      <c r="I465" s="131"/>
      <c r="J465" s="131"/>
      <c r="K465" s="131"/>
      <c r="L465" s="131"/>
      <c r="M465" s="131"/>
      <c r="N465" s="131"/>
      <c r="O465" s="142"/>
      <c r="P465" s="142"/>
      <c r="Q465" s="142"/>
      <c r="R465" s="131"/>
      <c r="S465" s="142"/>
      <c r="T465" s="142"/>
      <c r="U465" s="142"/>
      <c r="V465" s="142"/>
      <c r="W465" s="142"/>
      <c r="X465" s="142"/>
      <c r="Y465" s="142"/>
      <c r="Z465" s="142"/>
      <c r="AA465" s="142"/>
      <c r="AB465" s="142"/>
    </row>
    <row r="466" ht="13.5" customHeight="1">
      <c r="A466" s="142"/>
      <c r="B466" s="142"/>
      <c r="C466" s="142"/>
      <c r="D466" s="142"/>
      <c r="E466" s="131"/>
      <c r="F466" s="131"/>
      <c r="G466" s="131"/>
      <c r="H466" s="131"/>
      <c r="I466" s="131"/>
      <c r="J466" s="131"/>
      <c r="K466" s="131"/>
      <c r="L466" s="131"/>
      <c r="M466" s="131"/>
      <c r="N466" s="131"/>
      <c r="O466" s="142"/>
      <c r="P466" s="142"/>
      <c r="Q466" s="142"/>
      <c r="R466" s="131"/>
      <c r="S466" s="142"/>
      <c r="T466" s="142"/>
      <c r="U466" s="142"/>
      <c r="V466" s="142"/>
      <c r="W466" s="142"/>
      <c r="X466" s="142"/>
      <c r="Y466" s="142"/>
      <c r="Z466" s="142"/>
      <c r="AA466" s="142"/>
      <c r="AB466" s="142"/>
    </row>
    <row r="467" ht="13.5" customHeight="1">
      <c r="A467" s="142"/>
      <c r="B467" s="142"/>
      <c r="C467" s="142"/>
      <c r="D467" s="142"/>
      <c r="E467" s="131"/>
      <c r="F467" s="131"/>
      <c r="G467" s="131"/>
      <c r="H467" s="131"/>
      <c r="I467" s="131"/>
      <c r="J467" s="131"/>
      <c r="K467" s="131"/>
      <c r="L467" s="131"/>
      <c r="M467" s="131"/>
      <c r="N467" s="131"/>
      <c r="O467" s="142"/>
      <c r="P467" s="142"/>
      <c r="Q467" s="142"/>
      <c r="R467" s="131"/>
      <c r="S467" s="142"/>
      <c r="T467" s="142"/>
      <c r="U467" s="142"/>
      <c r="V467" s="142"/>
      <c r="W467" s="142"/>
      <c r="X467" s="142"/>
      <c r="Y467" s="142"/>
      <c r="Z467" s="142"/>
      <c r="AA467" s="142"/>
      <c r="AB467" s="142"/>
    </row>
    <row r="468" ht="13.5" customHeight="1">
      <c r="A468" s="142"/>
      <c r="B468" s="142"/>
      <c r="C468" s="142"/>
      <c r="D468" s="142"/>
      <c r="E468" s="131"/>
      <c r="F468" s="131"/>
      <c r="G468" s="131"/>
      <c r="H468" s="131"/>
      <c r="I468" s="131"/>
      <c r="J468" s="131"/>
      <c r="K468" s="131"/>
      <c r="L468" s="131"/>
      <c r="M468" s="131"/>
      <c r="N468" s="131"/>
      <c r="O468" s="142"/>
      <c r="P468" s="142"/>
      <c r="Q468" s="142"/>
      <c r="R468" s="131"/>
      <c r="S468" s="142"/>
      <c r="T468" s="142"/>
      <c r="U468" s="142"/>
      <c r="V468" s="142"/>
      <c r="W468" s="142"/>
      <c r="X468" s="142"/>
      <c r="Y468" s="142"/>
      <c r="Z468" s="142"/>
      <c r="AA468" s="142"/>
      <c r="AB468" s="142"/>
    </row>
    <row r="469" ht="13.5" customHeight="1">
      <c r="A469" s="142"/>
      <c r="B469" s="142"/>
      <c r="C469" s="142"/>
      <c r="D469" s="142"/>
      <c r="E469" s="131"/>
      <c r="F469" s="131"/>
      <c r="G469" s="131"/>
      <c r="H469" s="131"/>
      <c r="I469" s="131"/>
      <c r="J469" s="131"/>
      <c r="K469" s="131"/>
      <c r="L469" s="131"/>
      <c r="M469" s="131"/>
      <c r="N469" s="131"/>
      <c r="O469" s="142"/>
      <c r="P469" s="142"/>
      <c r="Q469" s="142"/>
      <c r="R469" s="131"/>
      <c r="S469" s="142"/>
      <c r="T469" s="142"/>
      <c r="U469" s="142"/>
      <c r="V469" s="142"/>
      <c r="W469" s="142"/>
      <c r="X469" s="142"/>
      <c r="Y469" s="142"/>
      <c r="Z469" s="142"/>
      <c r="AA469" s="142"/>
      <c r="AB469" s="142"/>
    </row>
    <row r="470" ht="13.5" customHeight="1">
      <c r="A470" s="142"/>
      <c r="B470" s="142"/>
      <c r="C470" s="142"/>
      <c r="D470" s="142"/>
      <c r="E470" s="131"/>
      <c r="F470" s="131"/>
      <c r="G470" s="131"/>
      <c r="H470" s="131"/>
      <c r="I470" s="131"/>
      <c r="J470" s="131"/>
      <c r="K470" s="131"/>
      <c r="L470" s="131"/>
      <c r="M470" s="131"/>
      <c r="N470" s="131"/>
      <c r="O470" s="142"/>
      <c r="P470" s="142"/>
      <c r="Q470" s="142"/>
      <c r="R470" s="131"/>
      <c r="S470" s="142"/>
      <c r="T470" s="142"/>
      <c r="U470" s="142"/>
      <c r="V470" s="142"/>
      <c r="W470" s="142"/>
      <c r="X470" s="142"/>
      <c r="Y470" s="142"/>
      <c r="Z470" s="142"/>
      <c r="AA470" s="142"/>
      <c r="AB470" s="142"/>
    </row>
    <row r="471" ht="13.5" customHeight="1">
      <c r="A471" s="142"/>
      <c r="B471" s="142"/>
      <c r="C471" s="142"/>
      <c r="D471" s="142"/>
      <c r="E471" s="131"/>
      <c r="F471" s="131"/>
      <c r="G471" s="131"/>
      <c r="H471" s="131"/>
      <c r="I471" s="131"/>
      <c r="J471" s="131"/>
      <c r="K471" s="131"/>
      <c r="L471" s="131"/>
      <c r="M471" s="131"/>
      <c r="N471" s="131"/>
      <c r="O471" s="142"/>
      <c r="P471" s="142"/>
      <c r="Q471" s="142"/>
      <c r="R471" s="131"/>
      <c r="S471" s="142"/>
      <c r="T471" s="142"/>
      <c r="U471" s="142"/>
      <c r="V471" s="142"/>
      <c r="W471" s="142"/>
      <c r="X471" s="142"/>
      <c r="Y471" s="142"/>
      <c r="Z471" s="142"/>
      <c r="AA471" s="142"/>
      <c r="AB471" s="142"/>
    </row>
    <row r="472" ht="13.5" customHeight="1">
      <c r="A472" s="142"/>
      <c r="B472" s="142"/>
      <c r="C472" s="142"/>
      <c r="D472" s="142"/>
      <c r="E472" s="131"/>
      <c r="F472" s="131"/>
      <c r="G472" s="131"/>
      <c r="H472" s="131"/>
      <c r="I472" s="131"/>
      <c r="J472" s="131"/>
      <c r="K472" s="131"/>
      <c r="L472" s="131"/>
      <c r="M472" s="131"/>
      <c r="N472" s="131"/>
      <c r="O472" s="142"/>
      <c r="P472" s="142"/>
      <c r="Q472" s="142"/>
      <c r="R472" s="131"/>
      <c r="S472" s="142"/>
      <c r="T472" s="142"/>
      <c r="U472" s="142"/>
      <c r="V472" s="142"/>
      <c r="W472" s="142"/>
      <c r="X472" s="142"/>
      <c r="Y472" s="142"/>
      <c r="Z472" s="142"/>
      <c r="AA472" s="142"/>
      <c r="AB472" s="142"/>
    </row>
    <row r="473" ht="13.5" customHeight="1">
      <c r="A473" s="142"/>
      <c r="B473" s="142"/>
      <c r="C473" s="142"/>
      <c r="D473" s="142"/>
      <c r="E473" s="131"/>
      <c r="F473" s="131"/>
      <c r="G473" s="131"/>
      <c r="H473" s="131"/>
      <c r="I473" s="131"/>
      <c r="J473" s="131"/>
      <c r="K473" s="131"/>
      <c r="L473" s="131"/>
      <c r="M473" s="131"/>
      <c r="N473" s="131"/>
      <c r="O473" s="142"/>
      <c r="P473" s="142"/>
      <c r="Q473" s="142"/>
      <c r="R473" s="131"/>
      <c r="S473" s="142"/>
      <c r="T473" s="142"/>
      <c r="U473" s="142"/>
      <c r="V473" s="142"/>
      <c r="W473" s="142"/>
      <c r="X473" s="142"/>
      <c r="Y473" s="142"/>
      <c r="Z473" s="142"/>
      <c r="AA473" s="142"/>
      <c r="AB473" s="142"/>
    </row>
    <row r="474" ht="13.5" customHeight="1">
      <c r="A474" s="142"/>
      <c r="B474" s="142"/>
      <c r="C474" s="142"/>
      <c r="D474" s="142"/>
      <c r="E474" s="131"/>
      <c r="F474" s="131"/>
      <c r="G474" s="131"/>
      <c r="H474" s="131"/>
      <c r="I474" s="131"/>
      <c r="J474" s="131"/>
      <c r="K474" s="131"/>
      <c r="L474" s="131"/>
      <c r="M474" s="131"/>
      <c r="N474" s="131"/>
      <c r="O474" s="142"/>
      <c r="P474" s="142"/>
      <c r="Q474" s="142"/>
      <c r="R474" s="131"/>
      <c r="S474" s="142"/>
      <c r="T474" s="142"/>
      <c r="U474" s="142"/>
      <c r="V474" s="142"/>
      <c r="W474" s="142"/>
      <c r="X474" s="142"/>
      <c r="Y474" s="142"/>
      <c r="Z474" s="142"/>
      <c r="AA474" s="142"/>
      <c r="AB474" s="142"/>
    </row>
    <row r="475" ht="13.5" customHeight="1">
      <c r="A475" s="142"/>
      <c r="B475" s="142"/>
      <c r="C475" s="142"/>
      <c r="D475" s="142"/>
      <c r="E475" s="131"/>
      <c r="F475" s="131"/>
      <c r="G475" s="131"/>
      <c r="H475" s="131"/>
      <c r="I475" s="131"/>
      <c r="J475" s="131"/>
      <c r="K475" s="131"/>
      <c r="L475" s="131"/>
      <c r="M475" s="131"/>
      <c r="N475" s="131"/>
      <c r="O475" s="142"/>
      <c r="P475" s="142"/>
      <c r="Q475" s="142"/>
      <c r="R475" s="131"/>
      <c r="S475" s="142"/>
      <c r="T475" s="142"/>
      <c r="U475" s="142"/>
      <c r="V475" s="142"/>
      <c r="W475" s="142"/>
      <c r="X475" s="142"/>
      <c r="Y475" s="142"/>
      <c r="Z475" s="142"/>
      <c r="AA475" s="142"/>
      <c r="AB475" s="142"/>
    </row>
    <row r="476" ht="13.5" customHeight="1">
      <c r="A476" s="142"/>
      <c r="B476" s="142"/>
      <c r="C476" s="142"/>
      <c r="D476" s="142"/>
      <c r="E476" s="131"/>
      <c r="F476" s="131"/>
      <c r="G476" s="131"/>
      <c r="H476" s="131"/>
      <c r="I476" s="131"/>
      <c r="J476" s="131"/>
      <c r="K476" s="131"/>
      <c r="L476" s="131"/>
      <c r="M476" s="131"/>
      <c r="N476" s="131"/>
      <c r="O476" s="142"/>
      <c r="P476" s="142"/>
      <c r="Q476" s="142"/>
      <c r="R476" s="131"/>
      <c r="S476" s="142"/>
      <c r="T476" s="142"/>
      <c r="U476" s="142"/>
      <c r="V476" s="142"/>
      <c r="W476" s="142"/>
      <c r="X476" s="142"/>
      <c r="Y476" s="142"/>
      <c r="Z476" s="142"/>
      <c r="AA476" s="142"/>
      <c r="AB476" s="142"/>
    </row>
    <row r="477" ht="13.5" customHeight="1">
      <c r="A477" s="142"/>
      <c r="B477" s="142"/>
      <c r="C477" s="142"/>
      <c r="D477" s="142"/>
      <c r="E477" s="131"/>
      <c r="F477" s="131"/>
      <c r="G477" s="131"/>
      <c r="H477" s="131"/>
      <c r="I477" s="131"/>
      <c r="J477" s="131"/>
      <c r="K477" s="131"/>
      <c r="L477" s="131"/>
      <c r="M477" s="131"/>
      <c r="N477" s="131"/>
      <c r="O477" s="142"/>
      <c r="P477" s="142"/>
      <c r="Q477" s="142"/>
      <c r="R477" s="131"/>
      <c r="S477" s="142"/>
      <c r="T477" s="142"/>
      <c r="U477" s="142"/>
      <c r="V477" s="142"/>
      <c r="W477" s="142"/>
      <c r="X477" s="142"/>
      <c r="Y477" s="142"/>
      <c r="Z477" s="142"/>
      <c r="AA477" s="142"/>
      <c r="AB477" s="142"/>
    </row>
    <row r="478" ht="13.5" customHeight="1">
      <c r="A478" s="142"/>
      <c r="B478" s="142"/>
      <c r="C478" s="142"/>
      <c r="D478" s="142"/>
      <c r="E478" s="131"/>
      <c r="F478" s="131"/>
      <c r="G478" s="131"/>
      <c r="H478" s="131"/>
      <c r="I478" s="131"/>
      <c r="J478" s="131"/>
      <c r="K478" s="131"/>
      <c r="L478" s="131"/>
      <c r="M478" s="131"/>
      <c r="N478" s="131"/>
      <c r="O478" s="142"/>
      <c r="P478" s="142"/>
      <c r="Q478" s="142"/>
      <c r="R478" s="131"/>
      <c r="S478" s="142"/>
      <c r="T478" s="142"/>
      <c r="U478" s="142"/>
      <c r="V478" s="142"/>
      <c r="W478" s="142"/>
      <c r="X478" s="142"/>
      <c r="Y478" s="142"/>
      <c r="Z478" s="142"/>
      <c r="AA478" s="142"/>
      <c r="AB478" s="142"/>
    </row>
    <row r="479" ht="13.5" customHeight="1">
      <c r="A479" s="142"/>
      <c r="B479" s="142"/>
      <c r="C479" s="142"/>
      <c r="D479" s="142"/>
      <c r="E479" s="131"/>
      <c r="F479" s="131"/>
      <c r="G479" s="131"/>
      <c r="H479" s="131"/>
      <c r="I479" s="131"/>
      <c r="J479" s="131"/>
      <c r="K479" s="131"/>
      <c r="L479" s="131"/>
      <c r="M479" s="131"/>
      <c r="N479" s="131"/>
      <c r="O479" s="142"/>
      <c r="P479" s="142"/>
      <c r="Q479" s="142"/>
      <c r="R479" s="131"/>
      <c r="S479" s="142"/>
      <c r="T479" s="142"/>
      <c r="U479" s="142"/>
      <c r="V479" s="142"/>
      <c r="W479" s="142"/>
      <c r="X479" s="142"/>
      <c r="Y479" s="142"/>
      <c r="Z479" s="142"/>
      <c r="AA479" s="142"/>
      <c r="AB479" s="142"/>
    </row>
    <row r="480" ht="13.5" customHeight="1">
      <c r="A480" s="142"/>
      <c r="B480" s="142"/>
      <c r="C480" s="142"/>
      <c r="D480" s="142"/>
      <c r="E480" s="131"/>
      <c r="F480" s="131"/>
      <c r="G480" s="131"/>
      <c r="H480" s="131"/>
      <c r="I480" s="131"/>
      <c r="J480" s="131"/>
      <c r="K480" s="131"/>
      <c r="L480" s="131"/>
      <c r="M480" s="131"/>
      <c r="N480" s="131"/>
      <c r="O480" s="142"/>
      <c r="P480" s="142"/>
      <c r="Q480" s="142"/>
      <c r="R480" s="131"/>
      <c r="S480" s="142"/>
      <c r="T480" s="142"/>
      <c r="U480" s="142"/>
      <c r="V480" s="142"/>
      <c r="W480" s="142"/>
      <c r="X480" s="142"/>
      <c r="Y480" s="142"/>
      <c r="Z480" s="142"/>
      <c r="AA480" s="142"/>
      <c r="AB480" s="142"/>
    </row>
    <row r="481" ht="13.5" customHeight="1">
      <c r="A481" s="142"/>
      <c r="B481" s="142"/>
      <c r="C481" s="142"/>
      <c r="D481" s="142"/>
      <c r="E481" s="131"/>
      <c r="F481" s="131"/>
      <c r="G481" s="131"/>
      <c r="H481" s="131"/>
      <c r="I481" s="131"/>
      <c r="J481" s="131"/>
      <c r="K481" s="131"/>
      <c r="L481" s="131"/>
      <c r="M481" s="131"/>
      <c r="N481" s="131"/>
      <c r="O481" s="142"/>
      <c r="P481" s="142"/>
      <c r="Q481" s="142"/>
      <c r="R481" s="131"/>
      <c r="S481" s="142"/>
      <c r="T481" s="142"/>
      <c r="U481" s="142"/>
      <c r="V481" s="142"/>
      <c r="W481" s="142"/>
      <c r="X481" s="142"/>
      <c r="Y481" s="142"/>
      <c r="Z481" s="142"/>
      <c r="AA481" s="142"/>
      <c r="AB481" s="142"/>
    </row>
    <row r="482" ht="13.5" customHeight="1">
      <c r="A482" s="142"/>
      <c r="B482" s="142"/>
      <c r="C482" s="142"/>
      <c r="D482" s="142"/>
      <c r="E482" s="131"/>
      <c r="F482" s="131"/>
      <c r="G482" s="131"/>
      <c r="H482" s="131"/>
      <c r="I482" s="131"/>
      <c r="J482" s="131"/>
      <c r="K482" s="131"/>
      <c r="L482" s="131"/>
      <c r="M482" s="131"/>
      <c r="N482" s="131"/>
      <c r="O482" s="142"/>
      <c r="P482" s="142"/>
      <c r="Q482" s="142"/>
      <c r="R482" s="131"/>
      <c r="S482" s="142"/>
      <c r="T482" s="142"/>
      <c r="U482" s="142"/>
      <c r="V482" s="142"/>
      <c r="W482" s="142"/>
      <c r="X482" s="142"/>
      <c r="Y482" s="142"/>
      <c r="Z482" s="142"/>
      <c r="AA482" s="142"/>
      <c r="AB482" s="142"/>
    </row>
    <row r="483" ht="13.5" customHeight="1">
      <c r="A483" s="142"/>
      <c r="B483" s="142"/>
      <c r="C483" s="142"/>
      <c r="D483" s="142"/>
      <c r="E483" s="131"/>
      <c r="F483" s="131"/>
      <c r="G483" s="131"/>
      <c r="H483" s="131"/>
      <c r="I483" s="131"/>
      <c r="J483" s="131"/>
      <c r="K483" s="131"/>
      <c r="L483" s="131"/>
      <c r="M483" s="131"/>
      <c r="N483" s="131"/>
      <c r="O483" s="142"/>
      <c r="P483" s="142"/>
      <c r="Q483" s="142"/>
      <c r="R483" s="131"/>
      <c r="S483" s="142"/>
      <c r="T483" s="142"/>
      <c r="U483" s="142"/>
      <c r="V483" s="142"/>
      <c r="W483" s="142"/>
      <c r="X483" s="142"/>
      <c r="Y483" s="142"/>
      <c r="Z483" s="142"/>
      <c r="AA483" s="142"/>
      <c r="AB483" s="142"/>
    </row>
    <row r="484" ht="13.5" customHeight="1">
      <c r="A484" s="142"/>
      <c r="B484" s="142"/>
      <c r="C484" s="142"/>
      <c r="D484" s="142"/>
      <c r="E484" s="131"/>
      <c r="F484" s="131"/>
      <c r="G484" s="131"/>
      <c r="H484" s="131"/>
      <c r="I484" s="131"/>
      <c r="J484" s="131"/>
      <c r="K484" s="131"/>
      <c r="L484" s="131"/>
      <c r="M484" s="131"/>
      <c r="N484" s="131"/>
      <c r="O484" s="142"/>
      <c r="P484" s="142"/>
      <c r="Q484" s="142"/>
      <c r="R484" s="131"/>
      <c r="S484" s="142"/>
      <c r="T484" s="142"/>
      <c r="U484" s="142"/>
      <c r="V484" s="142"/>
      <c r="W484" s="142"/>
      <c r="X484" s="142"/>
      <c r="Y484" s="142"/>
      <c r="Z484" s="142"/>
      <c r="AA484" s="142"/>
      <c r="AB484" s="142"/>
    </row>
    <row r="485" ht="13.5" customHeight="1">
      <c r="A485" s="142"/>
      <c r="B485" s="142"/>
      <c r="C485" s="142"/>
      <c r="D485" s="142"/>
      <c r="E485" s="131"/>
      <c r="F485" s="131"/>
      <c r="G485" s="131"/>
      <c r="H485" s="131"/>
      <c r="I485" s="131"/>
      <c r="J485" s="131"/>
      <c r="K485" s="131"/>
      <c r="L485" s="131"/>
      <c r="M485" s="131"/>
      <c r="N485" s="131"/>
      <c r="O485" s="142"/>
      <c r="P485" s="142"/>
      <c r="Q485" s="142"/>
      <c r="R485" s="131"/>
      <c r="S485" s="142"/>
      <c r="T485" s="142"/>
      <c r="U485" s="142"/>
      <c r="V485" s="142"/>
      <c r="W485" s="142"/>
      <c r="X485" s="142"/>
      <c r="Y485" s="142"/>
      <c r="Z485" s="142"/>
      <c r="AA485" s="142"/>
      <c r="AB485" s="142"/>
    </row>
    <row r="486" ht="13.5" customHeight="1">
      <c r="A486" s="142"/>
      <c r="B486" s="142"/>
      <c r="C486" s="142"/>
      <c r="D486" s="142"/>
      <c r="E486" s="131"/>
      <c r="F486" s="131"/>
      <c r="G486" s="131"/>
      <c r="H486" s="131"/>
      <c r="I486" s="131"/>
      <c r="J486" s="131"/>
      <c r="K486" s="131"/>
      <c r="L486" s="131"/>
      <c r="M486" s="131"/>
      <c r="N486" s="131"/>
      <c r="O486" s="142"/>
      <c r="P486" s="142"/>
      <c r="Q486" s="142"/>
      <c r="R486" s="131"/>
      <c r="S486" s="142"/>
      <c r="T486" s="142"/>
      <c r="U486" s="142"/>
      <c r="V486" s="142"/>
      <c r="W486" s="142"/>
      <c r="X486" s="142"/>
      <c r="Y486" s="142"/>
      <c r="Z486" s="142"/>
      <c r="AA486" s="142"/>
      <c r="AB486" s="142"/>
    </row>
    <row r="487" ht="13.5" customHeight="1">
      <c r="A487" s="142"/>
      <c r="B487" s="142"/>
      <c r="C487" s="142"/>
      <c r="D487" s="142"/>
      <c r="E487" s="131"/>
      <c r="F487" s="131"/>
      <c r="G487" s="131"/>
      <c r="H487" s="131"/>
      <c r="I487" s="131"/>
      <c r="J487" s="131"/>
      <c r="K487" s="131"/>
      <c r="L487" s="131"/>
      <c r="M487" s="131"/>
      <c r="N487" s="131"/>
      <c r="O487" s="142"/>
      <c r="P487" s="142"/>
      <c r="Q487" s="142"/>
      <c r="R487" s="131"/>
      <c r="S487" s="142"/>
      <c r="T487" s="142"/>
      <c r="U487" s="142"/>
      <c r="V487" s="142"/>
      <c r="W487" s="142"/>
      <c r="X487" s="142"/>
      <c r="Y487" s="142"/>
      <c r="Z487" s="142"/>
      <c r="AA487" s="142"/>
      <c r="AB487" s="142"/>
    </row>
    <row r="488" ht="13.5" customHeight="1">
      <c r="A488" s="142"/>
      <c r="B488" s="142"/>
      <c r="C488" s="142"/>
      <c r="D488" s="142"/>
      <c r="E488" s="131"/>
      <c r="F488" s="131"/>
      <c r="G488" s="131"/>
      <c r="H488" s="131"/>
      <c r="I488" s="131"/>
      <c r="J488" s="131"/>
      <c r="K488" s="131"/>
      <c r="L488" s="131"/>
      <c r="M488" s="131"/>
      <c r="N488" s="131"/>
      <c r="O488" s="142"/>
      <c r="P488" s="142"/>
      <c r="Q488" s="142"/>
      <c r="R488" s="131"/>
      <c r="S488" s="142"/>
      <c r="T488" s="142"/>
      <c r="U488" s="142"/>
      <c r="V488" s="142"/>
      <c r="W488" s="142"/>
      <c r="X488" s="142"/>
      <c r="Y488" s="142"/>
      <c r="Z488" s="142"/>
      <c r="AA488" s="142"/>
      <c r="AB488" s="142"/>
    </row>
    <row r="489" ht="13.5" customHeight="1">
      <c r="A489" s="142"/>
      <c r="B489" s="142"/>
      <c r="C489" s="142"/>
      <c r="D489" s="142"/>
      <c r="E489" s="131"/>
      <c r="F489" s="131"/>
      <c r="G489" s="131"/>
      <c r="H489" s="131"/>
      <c r="I489" s="131"/>
      <c r="J489" s="131"/>
      <c r="K489" s="131"/>
      <c r="L489" s="131"/>
      <c r="M489" s="131"/>
      <c r="N489" s="131"/>
      <c r="O489" s="142"/>
      <c r="P489" s="142"/>
      <c r="Q489" s="142"/>
      <c r="R489" s="131"/>
      <c r="S489" s="142"/>
      <c r="T489" s="142"/>
      <c r="U489" s="142"/>
      <c r="V489" s="142"/>
      <c r="W489" s="142"/>
      <c r="X489" s="142"/>
      <c r="Y489" s="142"/>
      <c r="Z489" s="142"/>
      <c r="AA489" s="142"/>
      <c r="AB489" s="142"/>
    </row>
    <row r="490" ht="13.5" customHeight="1">
      <c r="A490" s="142"/>
      <c r="B490" s="142"/>
      <c r="C490" s="142"/>
      <c r="D490" s="142"/>
      <c r="E490" s="131"/>
      <c r="F490" s="131"/>
      <c r="G490" s="131"/>
      <c r="H490" s="131"/>
      <c r="I490" s="131"/>
      <c r="J490" s="131"/>
      <c r="K490" s="131"/>
      <c r="L490" s="131"/>
      <c r="M490" s="131"/>
      <c r="N490" s="131"/>
      <c r="O490" s="142"/>
      <c r="P490" s="142"/>
      <c r="Q490" s="142"/>
      <c r="R490" s="131"/>
      <c r="S490" s="142"/>
      <c r="T490" s="142"/>
      <c r="U490" s="142"/>
      <c r="V490" s="142"/>
      <c r="W490" s="142"/>
      <c r="X490" s="142"/>
      <c r="Y490" s="142"/>
      <c r="Z490" s="142"/>
      <c r="AA490" s="142"/>
      <c r="AB490" s="142"/>
    </row>
    <row r="491" ht="13.5" customHeight="1">
      <c r="A491" s="142"/>
      <c r="B491" s="142"/>
      <c r="C491" s="142"/>
      <c r="D491" s="142"/>
      <c r="E491" s="131"/>
      <c r="F491" s="131"/>
      <c r="G491" s="131"/>
      <c r="H491" s="131"/>
      <c r="I491" s="131"/>
      <c r="J491" s="131"/>
      <c r="K491" s="131"/>
      <c r="L491" s="131"/>
      <c r="M491" s="131"/>
      <c r="N491" s="131"/>
      <c r="O491" s="142"/>
      <c r="P491" s="142"/>
      <c r="Q491" s="142"/>
      <c r="R491" s="131"/>
      <c r="S491" s="142"/>
      <c r="T491" s="142"/>
      <c r="U491" s="142"/>
      <c r="V491" s="142"/>
      <c r="W491" s="142"/>
      <c r="X491" s="142"/>
      <c r="Y491" s="142"/>
      <c r="Z491" s="142"/>
      <c r="AA491" s="142"/>
      <c r="AB491" s="142"/>
    </row>
    <row r="492" ht="13.5" customHeight="1">
      <c r="A492" s="142"/>
      <c r="B492" s="142"/>
      <c r="C492" s="142"/>
      <c r="D492" s="142"/>
      <c r="E492" s="131"/>
      <c r="F492" s="131"/>
      <c r="G492" s="131"/>
      <c r="H492" s="131"/>
      <c r="I492" s="131"/>
      <c r="J492" s="131"/>
      <c r="K492" s="131"/>
      <c r="L492" s="131"/>
      <c r="M492" s="131"/>
      <c r="N492" s="131"/>
      <c r="O492" s="142"/>
      <c r="P492" s="142"/>
      <c r="Q492" s="142"/>
      <c r="R492" s="131"/>
      <c r="S492" s="142"/>
      <c r="T492" s="142"/>
      <c r="U492" s="142"/>
      <c r="V492" s="142"/>
      <c r="W492" s="142"/>
      <c r="X492" s="142"/>
      <c r="Y492" s="142"/>
      <c r="Z492" s="142"/>
      <c r="AA492" s="142"/>
      <c r="AB492" s="142"/>
    </row>
    <row r="493" ht="13.5" customHeight="1">
      <c r="A493" s="142"/>
      <c r="B493" s="142"/>
      <c r="C493" s="142"/>
      <c r="D493" s="142"/>
      <c r="E493" s="131"/>
      <c r="F493" s="131"/>
      <c r="G493" s="131"/>
      <c r="H493" s="131"/>
      <c r="I493" s="131"/>
      <c r="J493" s="131"/>
      <c r="K493" s="131"/>
      <c r="L493" s="131"/>
      <c r="M493" s="131"/>
      <c r="N493" s="131"/>
      <c r="O493" s="142"/>
      <c r="P493" s="142"/>
      <c r="Q493" s="142"/>
      <c r="R493" s="131"/>
      <c r="S493" s="142"/>
      <c r="T493" s="142"/>
      <c r="U493" s="142"/>
      <c r="V493" s="142"/>
      <c r="W493" s="142"/>
      <c r="X493" s="142"/>
      <c r="Y493" s="142"/>
      <c r="Z493" s="142"/>
      <c r="AA493" s="142"/>
      <c r="AB493" s="142"/>
    </row>
    <row r="494" ht="13.5" customHeight="1">
      <c r="A494" s="142"/>
      <c r="B494" s="142"/>
      <c r="C494" s="142"/>
      <c r="D494" s="142"/>
      <c r="E494" s="131"/>
      <c r="F494" s="131"/>
      <c r="G494" s="131"/>
      <c r="H494" s="131"/>
      <c r="I494" s="131"/>
      <c r="J494" s="131"/>
      <c r="K494" s="131"/>
      <c r="L494" s="131"/>
      <c r="M494" s="131"/>
      <c r="N494" s="131"/>
      <c r="O494" s="142"/>
      <c r="P494" s="142"/>
      <c r="Q494" s="142"/>
      <c r="R494" s="131"/>
      <c r="S494" s="142"/>
      <c r="T494" s="142"/>
      <c r="U494" s="142"/>
      <c r="V494" s="142"/>
      <c r="W494" s="142"/>
      <c r="X494" s="142"/>
      <c r="Y494" s="142"/>
      <c r="Z494" s="142"/>
      <c r="AA494" s="142"/>
      <c r="AB494" s="142"/>
    </row>
    <row r="495" ht="13.5" customHeight="1">
      <c r="A495" s="142"/>
      <c r="B495" s="142"/>
      <c r="C495" s="142"/>
      <c r="D495" s="142"/>
      <c r="E495" s="131"/>
      <c r="F495" s="131"/>
      <c r="G495" s="131"/>
      <c r="H495" s="131"/>
      <c r="I495" s="131"/>
      <c r="J495" s="131"/>
      <c r="K495" s="131"/>
      <c r="L495" s="131"/>
      <c r="M495" s="131"/>
      <c r="N495" s="131"/>
      <c r="O495" s="142"/>
      <c r="P495" s="142"/>
      <c r="Q495" s="142"/>
      <c r="R495" s="131"/>
      <c r="S495" s="142"/>
      <c r="T495" s="142"/>
      <c r="U495" s="142"/>
      <c r="V495" s="142"/>
      <c r="W495" s="142"/>
      <c r="X495" s="142"/>
      <c r="Y495" s="142"/>
      <c r="Z495" s="142"/>
      <c r="AA495" s="142"/>
      <c r="AB495" s="142"/>
    </row>
    <row r="496" ht="13.5" customHeight="1">
      <c r="A496" s="142"/>
      <c r="B496" s="142"/>
      <c r="C496" s="142"/>
      <c r="D496" s="142"/>
      <c r="E496" s="131"/>
      <c r="F496" s="131"/>
      <c r="G496" s="131"/>
      <c r="H496" s="131"/>
      <c r="I496" s="131"/>
      <c r="J496" s="131"/>
      <c r="K496" s="131"/>
      <c r="L496" s="131"/>
      <c r="M496" s="131"/>
      <c r="N496" s="131"/>
      <c r="O496" s="142"/>
      <c r="P496" s="142"/>
      <c r="Q496" s="142"/>
      <c r="R496" s="131"/>
      <c r="S496" s="142"/>
      <c r="T496" s="142"/>
      <c r="U496" s="142"/>
      <c r="V496" s="142"/>
      <c r="W496" s="142"/>
      <c r="X496" s="142"/>
      <c r="Y496" s="142"/>
      <c r="Z496" s="142"/>
      <c r="AA496" s="142"/>
      <c r="AB496" s="142"/>
    </row>
    <row r="497" ht="13.5" customHeight="1">
      <c r="A497" s="142"/>
      <c r="B497" s="142"/>
      <c r="C497" s="142"/>
      <c r="D497" s="142"/>
      <c r="E497" s="131"/>
      <c r="F497" s="131"/>
      <c r="G497" s="131"/>
      <c r="H497" s="131"/>
      <c r="I497" s="131"/>
      <c r="J497" s="131"/>
      <c r="K497" s="131"/>
      <c r="L497" s="131"/>
      <c r="M497" s="131"/>
      <c r="N497" s="131"/>
      <c r="O497" s="142"/>
      <c r="P497" s="142"/>
      <c r="Q497" s="142"/>
      <c r="R497" s="131"/>
      <c r="S497" s="142"/>
      <c r="T497" s="142"/>
      <c r="U497" s="142"/>
      <c r="V497" s="142"/>
      <c r="W497" s="142"/>
      <c r="X497" s="142"/>
      <c r="Y497" s="142"/>
      <c r="Z497" s="142"/>
      <c r="AA497" s="142"/>
      <c r="AB497" s="142"/>
    </row>
    <row r="498" ht="13.5" customHeight="1">
      <c r="A498" s="142"/>
      <c r="B498" s="142"/>
      <c r="C498" s="142"/>
      <c r="D498" s="142"/>
      <c r="E498" s="131"/>
      <c r="F498" s="131"/>
      <c r="G498" s="131"/>
      <c r="H498" s="131"/>
      <c r="I498" s="131"/>
      <c r="J498" s="131"/>
      <c r="K498" s="131"/>
      <c r="L498" s="131"/>
      <c r="M498" s="131"/>
      <c r="N498" s="131"/>
      <c r="O498" s="142"/>
      <c r="P498" s="142"/>
      <c r="Q498" s="142"/>
      <c r="R498" s="131"/>
      <c r="S498" s="142"/>
      <c r="T498" s="142"/>
      <c r="U498" s="142"/>
      <c r="V498" s="142"/>
      <c r="W498" s="142"/>
      <c r="X498" s="142"/>
      <c r="Y498" s="142"/>
      <c r="Z498" s="142"/>
      <c r="AA498" s="142"/>
      <c r="AB498" s="142"/>
    </row>
    <row r="499" ht="13.5" customHeight="1">
      <c r="A499" s="142"/>
      <c r="B499" s="142"/>
      <c r="C499" s="142"/>
      <c r="D499" s="142"/>
      <c r="E499" s="131"/>
      <c r="F499" s="131"/>
      <c r="G499" s="131"/>
      <c r="H499" s="131"/>
      <c r="I499" s="131"/>
      <c r="J499" s="131"/>
      <c r="K499" s="131"/>
      <c r="L499" s="131"/>
      <c r="M499" s="131"/>
      <c r="N499" s="131"/>
      <c r="O499" s="142"/>
      <c r="P499" s="142"/>
      <c r="Q499" s="142"/>
      <c r="R499" s="131"/>
      <c r="S499" s="142"/>
      <c r="T499" s="142"/>
      <c r="U499" s="142"/>
      <c r="V499" s="142"/>
      <c r="W499" s="142"/>
      <c r="X499" s="142"/>
      <c r="Y499" s="142"/>
      <c r="Z499" s="142"/>
      <c r="AA499" s="142"/>
      <c r="AB499" s="142"/>
    </row>
    <row r="500" ht="13.5" customHeight="1">
      <c r="A500" s="142"/>
      <c r="B500" s="142"/>
      <c r="C500" s="142"/>
      <c r="D500" s="142"/>
      <c r="E500" s="131"/>
      <c r="F500" s="131"/>
      <c r="G500" s="131"/>
      <c r="H500" s="131"/>
      <c r="I500" s="131"/>
      <c r="J500" s="131"/>
      <c r="K500" s="131"/>
      <c r="L500" s="131"/>
      <c r="M500" s="131"/>
      <c r="N500" s="131"/>
      <c r="O500" s="142"/>
      <c r="P500" s="142"/>
      <c r="Q500" s="142"/>
      <c r="R500" s="131"/>
      <c r="S500" s="142"/>
      <c r="T500" s="142"/>
      <c r="U500" s="142"/>
      <c r="V500" s="142"/>
      <c r="W500" s="142"/>
      <c r="X500" s="142"/>
      <c r="Y500" s="142"/>
      <c r="Z500" s="142"/>
      <c r="AA500" s="142"/>
      <c r="AB500" s="142"/>
    </row>
    <row r="501" ht="13.5" customHeight="1">
      <c r="A501" s="142"/>
      <c r="B501" s="142"/>
      <c r="C501" s="142"/>
      <c r="D501" s="142"/>
      <c r="E501" s="131"/>
      <c r="F501" s="131"/>
      <c r="G501" s="131"/>
      <c r="H501" s="131"/>
      <c r="I501" s="131"/>
      <c r="J501" s="131"/>
      <c r="K501" s="131"/>
      <c r="L501" s="131"/>
      <c r="M501" s="131"/>
      <c r="N501" s="131"/>
      <c r="O501" s="142"/>
      <c r="P501" s="142"/>
      <c r="Q501" s="142"/>
      <c r="R501" s="131"/>
      <c r="S501" s="142"/>
      <c r="T501" s="142"/>
      <c r="U501" s="142"/>
      <c r="V501" s="142"/>
      <c r="W501" s="142"/>
      <c r="X501" s="142"/>
      <c r="Y501" s="142"/>
      <c r="Z501" s="142"/>
      <c r="AA501" s="142"/>
      <c r="AB501" s="142"/>
    </row>
    <row r="502" ht="13.5" customHeight="1">
      <c r="A502" s="142"/>
      <c r="B502" s="142"/>
      <c r="C502" s="142"/>
      <c r="D502" s="142"/>
      <c r="E502" s="131"/>
      <c r="F502" s="131"/>
      <c r="G502" s="131"/>
      <c r="H502" s="131"/>
      <c r="I502" s="131"/>
      <c r="J502" s="131"/>
      <c r="K502" s="131"/>
      <c r="L502" s="131"/>
      <c r="M502" s="131"/>
      <c r="N502" s="131"/>
      <c r="O502" s="142"/>
      <c r="P502" s="142"/>
      <c r="Q502" s="142"/>
      <c r="R502" s="131"/>
      <c r="S502" s="142"/>
      <c r="T502" s="142"/>
      <c r="U502" s="142"/>
      <c r="V502" s="142"/>
      <c r="W502" s="142"/>
      <c r="X502" s="142"/>
      <c r="Y502" s="142"/>
      <c r="Z502" s="142"/>
      <c r="AA502" s="142"/>
      <c r="AB502" s="142"/>
    </row>
    <row r="503" ht="13.5" customHeight="1">
      <c r="A503" s="142"/>
      <c r="B503" s="142"/>
      <c r="C503" s="142"/>
      <c r="D503" s="142"/>
      <c r="E503" s="131"/>
      <c r="F503" s="131"/>
      <c r="G503" s="131"/>
      <c r="H503" s="131"/>
      <c r="I503" s="131"/>
      <c r="J503" s="131"/>
      <c r="K503" s="131"/>
      <c r="L503" s="131"/>
      <c r="M503" s="131"/>
      <c r="N503" s="131"/>
      <c r="O503" s="142"/>
      <c r="P503" s="142"/>
      <c r="Q503" s="142"/>
      <c r="R503" s="131"/>
      <c r="S503" s="142"/>
      <c r="T503" s="142"/>
      <c r="U503" s="142"/>
      <c r="V503" s="142"/>
      <c r="W503" s="142"/>
      <c r="X503" s="142"/>
      <c r="Y503" s="142"/>
      <c r="Z503" s="142"/>
      <c r="AA503" s="142"/>
      <c r="AB503" s="142"/>
    </row>
    <row r="504" ht="13.5" customHeight="1">
      <c r="A504" s="142"/>
      <c r="B504" s="142"/>
      <c r="C504" s="142"/>
      <c r="D504" s="142"/>
      <c r="E504" s="131"/>
      <c r="F504" s="131"/>
      <c r="G504" s="131"/>
      <c r="H504" s="131"/>
      <c r="I504" s="131"/>
      <c r="J504" s="131"/>
      <c r="K504" s="131"/>
      <c r="L504" s="131"/>
      <c r="M504" s="131"/>
      <c r="N504" s="131"/>
      <c r="O504" s="142"/>
      <c r="P504" s="142"/>
      <c r="Q504" s="142"/>
      <c r="R504" s="131"/>
      <c r="S504" s="142"/>
      <c r="T504" s="142"/>
      <c r="U504" s="142"/>
      <c r="V504" s="142"/>
      <c r="W504" s="142"/>
      <c r="X504" s="142"/>
      <c r="Y504" s="142"/>
      <c r="Z504" s="142"/>
      <c r="AA504" s="142"/>
      <c r="AB504" s="142"/>
    </row>
    <row r="505" ht="13.5" customHeight="1">
      <c r="A505" s="142"/>
      <c r="B505" s="142"/>
      <c r="C505" s="142"/>
      <c r="D505" s="142"/>
      <c r="E505" s="131"/>
      <c r="F505" s="131"/>
      <c r="G505" s="131"/>
      <c r="H505" s="131"/>
      <c r="I505" s="131"/>
      <c r="J505" s="131"/>
      <c r="K505" s="131"/>
      <c r="L505" s="131"/>
      <c r="M505" s="131"/>
      <c r="N505" s="131"/>
      <c r="O505" s="142"/>
      <c r="P505" s="142"/>
      <c r="Q505" s="142"/>
      <c r="R505" s="131"/>
      <c r="S505" s="142"/>
      <c r="T505" s="142"/>
      <c r="U505" s="142"/>
      <c r="V505" s="142"/>
      <c r="W505" s="142"/>
      <c r="X505" s="142"/>
      <c r="Y505" s="142"/>
      <c r="Z505" s="142"/>
      <c r="AA505" s="142"/>
      <c r="AB505" s="142"/>
    </row>
    <row r="506" ht="13.5" customHeight="1">
      <c r="A506" s="142"/>
      <c r="B506" s="142"/>
      <c r="C506" s="142"/>
      <c r="D506" s="142"/>
      <c r="E506" s="131"/>
      <c r="F506" s="131"/>
      <c r="G506" s="131"/>
      <c r="H506" s="131"/>
      <c r="I506" s="131"/>
      <c r="J506" s="131"/>
      <c r="K506" s="131"/>
      <c r="L506" s="131"/>
      <c r="M506" s="131"/>
      <c r="N506" s="131"/>
      <c r="O506" s="142"/>
      <c r="P506" s="142"/>
      <c r="Q506" s="142"/>
      <c r="R506" s="131"/>
      <c r="S506" s="142"/>
      <c r="T506" s="142"/>
      <c r="U506" s="142"/>
      <c r="V506" s="142"/>
      <c r="W506" s="142"/>
      <c r="X506" s="142"/>
      <c r="Y506" s="142"/>
      <c r="Z506" s="142"/>
      <c r="AA506" s="142"/>
      <c r="AB506" s="142"/>
    </row>
    <row r="507" ht="13.5" customHeight="1">
      <c r="A507" s="142"/>
      <c r="B507" s="142"/>
      <c r="C507" s="142"/>
      <c r="D507" s="142"/>
      <c r="E507" s="131"/>
      <c r="F507" s="131"/>
      <c r="G507" s="131"/>
      <c r="H507" s="131"/>
      <c r="I507" s="131"/>
      <c r="J507" s="131"/>
      <c r="K507" s="131"/>
      <c r="L507" s="131"/>
      <c r="M507" s="131"/>
      <c r="N507" s="131"/>
      <c r="O507" s="142"/>
      <c r="P507" s="142"/>
      <c r="Q507" s="142"/>
      <c r="R507" s="131"/>
      <c r="S507" s="142"/>
      <c r="T507" s="142"/>
      <c r="U507" s="142"/>
      <c r="V507" s="142"/>
      <c r="W507" s="142"/>
      <c r="X507" s="142"/>
      <c r="Y507" s="142"/>
      <c r="Z507" s="142"/>
      <c r="AA507" s="142"/>
      <c r="AB507" s="142"/>
    </row>
    <row r="508" ht="13.5" customHeight="1">
      <c r="A508" s="142"/>
      <c r="B508" s="142"/>
      <c r="C508" s="142"/>
      <c r="D508" s="142"/>
      <c r="E508" s="131"/>
      <c r="F508" s="131"/>
      <c r="G508" s="131"/>
      <c r="H508" s="131"/>
      <c r="I508" s="131"/>
      <c r="J508" s="131"/>
      <c r="K508" s="131"/>
      <c r="L508" s="131"/>
      <c r="M508" s="131"/>
      <c r="N508" s="131"/>
      <c r="O508" s="142"/>
      <c r="P508" s="142"/>
      <c r="Q508" s="142"/>
      <c r="R508" s="131"/>
      <c r="S508" s="142"/>
      <c r="T508" s="142"/>
      <c r="U508" s="142"/>
      <c r="V508" s="142"/>
      <c r="W508" s="142"/>
      <c r="X508" s="142"/>
      <c r="Y508" s="142"/>
      <c r="Z508" s="142"/>
      <c r="AA508" s="142"/>
      <c r="AB508" s="142"/>
    </row>
    <row r="509" ht="13.5" customHeight="1">
      <c r="A509" s="142"/>
      <c r="B509" s="142"/>
      <c r="C509" s="142"/>
      <c r="D509" s="142"/>
      <c r="E509" s="131"/>
      <c r="F509" s="131"/>
      <c r="G509" s="131"/>
      <c r="H509" s="131"/>
      <c r="I509" s="131"/>
      <c r="J509" s="131"/>
      <c r="K509" s="131"/>
      <c r="L509" s="131"/>
      <c r="M509" s="131"/>
      <c r="N509" s="131"/>
      <c r="O509" s="142"/>
      <c r="P509" s="142"/>
      <c r="Q509" s="142"/>
      <c r="R509" s="131"/>
      <c r="S509" s="142"/>
      <c r="T509" s="142"/>
      <c r="U509" s="142"/>
      <c r="V509" s="142"/>
      <c r="W509" s="142"/>
      <c r="X509" s="142"/>
      <c r="Y509" s="142"/>
      <c r="Z509" s="142"/>
      <c r="AA509" s="142"/>
      <c r="AB509" s="142"/>
    </row>
    <row r="510" ht="13.5" customHeight="1">
      <c r="A510" s="142"/>
      <c r="B510" s="142"/>
      <c r="C510" s="142"/>
      <c r="D510" s="142"/>
      <c r="E510" s="131"/>
      <c r="F510" s="131"/>
      <c r="G510" s="131"/>
      <c r="H510" s="131"/>
      <c r="I510" s="131"/>
      <c r="J510" s="131"/>
      <c r="K510" s="131"/>
      <c r="L510" s="131"/>
      <c r="M510" s="131"/>
      <c r="N510" s="131"/>
      <c r="O510" s="142"/>
      <c r="P510" s="142"/>
      <c r="Q510" s="142"/>
      <c r="R510" s="131"/>
      <c r="S510" s="142"/>
      <c r="T510" s="142"/>
      <c r="U510" s="142"/>
      <c r="V510" s="142"/>
      <c r="W510" s="142"/>
      <c r="X510" s="142"/>
      <c r="Y510" s="142"/>
      <c r="Z510" s="142"/>
      <c r="AA510" s="142"/>
      <c r="AB510" s="142"/>
    </row>
    <row r="511" ht="13.5" customHeight="1">
      <c r="A511" s="142"/>
      <c r="B511" s="142"/>
      <c r="C511" s="142"/>
      <c r="D511" s="142"/>
      <c r="E511" s="131"/>
      <c r="F511" s="131"/>
      <c r="G511" s="131"/>
      <c r="H511" s="131"/>
      <c r="I511" s="131"/>
      <c r="J511" s="131"/>
      <c r="K511" s="131"/>
      <c r="L511" s="131"/>
      <c r="M511" s="131"/>
      <c r="N511" s="131"/>
      <c r="O511" s="142"/>
      <c r="P511" s="142"/>
      <c r="Q511" s="142"/>
      <c r="R511" s="131"/>
      <c r="S511" s="142"/>
      <c r="T511" s="142"/>
      <c r="U511" s="142"/>
      <c r="V511" s="142"/>
      <c r="W511" s="142"/>
      <c r="X511" s="142"/>
      <c r="Y511" s="142"/>
      <c r="Z511" s="142"/>
      <c r="AA511" s="142"/>
      <c r="AB511" s="142"/>
    </row>
    <row r="512" ht="13.5" customHeight="1">
      <c r="A512" s="142"/>
      <c r="B512" s="142"/>
      <c r="C512" s="142"/>
      <c r="D512" s="142"/>
      <c r="E512" s="131"/>
      <c r="F512" s="131"/>
      <c r="G512" s="131"/>
      <c r="H512" s="131"/>
      <c r="I512" s="131"/>
      <c r="J512" s="131"/>
      <c r="K512" s="131"/>
      <c r="L512" s="131"/>
      <c r="M512" s="131"/>
      <c r="N512" s="131"/>
      <c r="O512" s="142"/>
      <c r="P512" s="142"/>
      <c r="Q512" s="142"/>
      <c r="R512" s="131"/>
      <c r="S512" s="142"/>
      <c r="T512" s="142"/>
      <c r="U512" s="142"/>
      <c r="V512" s="142"/>
      <c r="W512" s="142"/>
      <c r="X512" s="142"/>
      <c r="Y512" s="142"/>
      <c r="Z512" s="142"/>
      <c r="AA512" s="142"/>
      <c r="AB512" s="142"/>
    </row>
    <row r="513" ht="13.5" customHeight="1">
      <c r="A513" s="142"/>
      <c r="B513" s="142"/>
      <c r="C513" s="142"/>
      <c r="D513" s="142"/>
      <c r="E513" s="131"/>
      <c r="F513" s="131"/>
      <c r="G513" s="131"/>
      <c r="H513" s="131"/>
      <c r="I513" s="131"/>
      <c r="J513" s="131"/>
      <c r="K513" s="131"/>
      <c r="L513" s="131"/>
      <c r="M513" s="131"/>
      <c r="N513" s="131"/>
      <c r="O513" s="142"/>
      <c r="P513" s="142"/>
      <c r="Q513" s="142"/>
      <c r="R513" s="131"/>
      <c r="S513" s="142"/>
      <c r="T513" s="142"/>
      <c r="U513" s="142"/>
      <c r="V513" s="142"/>
      <c r="W513" s="142"/>
      <c r="X513" s="142"/>
      <c r="Y513" s="142"/>
      <c r="Z513" s="142"/>
      <c r="AA513" s="142"/>
      <c r="AB513" s="142"/>
    </row>
    <row r="514" ht="13.5" customHeight="1">
      <c r="A514" s="142"/>
      <c r="B514" s="142"/>
      <c r="C514" s="142"/>
      <c r="D514" s="142"/>
      <c r="E514" s="131"/>
      <c r="F514" s="131"/>
      <c r="G514" s="131"/>
      <c r="H514" s="131"/>
      <c r="I514" s="131"/>
      <c r="J514" s="131"/>
      <c r="K514" s="131"/>
      <c r="L514" s="131"/>
      <c r="M514" s="131"/>
      <c r="N514" s="131"/>
      <c r="O514" s="142"/>
      <c r="P514" s="142"/>
      <c r="Q514" s="142"/>
      <c r="R514" s="131"/>
      <c r="S514" s="142"/>
      <c r="T514" s="142"/>
      <c r="U514" s="142"/>
      <c r="V514" s="142"/>
      <c r="W514" s="142"/>
      <c r="X514" s="142"/>
      <c r="Y514" s="142"/>
      <c r="Z514" s="142"/>
      <c r="AA514" s="142"/>
      <c r="AB514" s="142"/>
    </row>
    <row r="515" ht="13.5" customHeight="1">
      <c r="A515" s="142"/>
      <c r="B515" s="142"/>
      <c r="C515" s="142"/>
      <c r="D515" s="142"/>
      <c r="E515" s="131"/>
      <c r="F515" s="131"/>
      <c r="G515" s="131"/>
      <c r="H515" s="131"/>
      <c r="I515" s="131"/>
      <c r="J515" s="131"/>
      <c r="K515" s="131"/>
      <c r="L515" s="131"/>
      <c r="M515" s="131"/>
      <c r="N515" s="131"/>
      <c r="O515" s="142"/>
      <c r="P515" s="142"/>
      <c r="Q515" s="142"/>
      <c r="R515" s="131"/>
      <c r="S515" s="142"/>
      <c r="T515" s="142"/>
      <c r="U515" s="142"/>
      <c r="V515" s="142"/>
      <c r="W515" s="142"/>
      <c r="X515" s="142"/>
      <c r="Y515" s="142"/>
      <c r="Z515" s="142"/>
      <c r="AA515" s="142"/>
      <c r="AB515" s="142"/>
    </row>
    <row r="516" ht="13.5" customHeight="1">
      <c r="A516" s="142"/>
      <c r="B516" s="142"/>
      <c r="C516" s="142"/>
      <c r="D516" s="142"/>
      <c r="E516" s="131"/>
      <c r="F516" s="131"/>
      <c r="G516" s="131"/>
      <c r="H516" s="131"/>
      <c r="I516" s="131"/>
      <c r="J516" s="131"/>
      <c r="K516" s="131"/>
      <c r="L516" s="131"/>
      <c r="M516" s="131"/>
      <c r="N516" s="131"/>
      <c r="O516" s="142"/>
      <c r="P516" s="142"/>
      <c r="Q516" s="142"/>
      <c r="R516" s="131"/>
      <c r="S516" s="142"/>
      <c r="T516" s="142"/>
      <c r="U516" s="142"/>
      <c r="V516" s="142"/>
      <c r="W516" s="142"/>
      <c r="X516" s="142"/>
      <c r="Y516" s="142"/>
      <c r="Z516" s="142"/>
      <c r="AA516" s="142"/>
      <c r="AB516" s="142"/>
    </row>
    <row r="517" ht="13.5" customHeight="1">
      <c r="A517" s="142"/>
      <c r="B517" s="142"/>
      <c r="C517" s="142"/>
      <c r="D517" s="142"/>
      <c r="E517" s="131"/>
      <c r="F517" s="131"/>
      <c r="G517" s="131"/>
      <c r="H517" s="131"/>
      <c r="I517" s="131"/>
      <c r="J517" s="131"/>
      <c r="K517" s="131"/>
      <c r="L517" s="131"/>
      <c r="M517" s="131"/>
      <c r="N517" s="131"/>
      <c r="O517" s="142"/>
      <c r="P517" s="142"/>
      <c r="Q517" s="142"/>
      <c r="R517" s="131"/>
      <c r="S517" s="142"/>
      <c r="T517" s="142"/>
      <c r="U517" s="142"/>
      <c r="V517" s="142"/>
      <c r="W517" s="142"/>
      <c r="X517" s="142"/>
      <c r="Y517" s="142"/>
      <c r="Z517" s="142"/>
      <c r="AA517" s="142"/>
      <c r="AB517" s="142"/>
    </row>
    <row r="518" ht="13.5" customHeight="1">
      <c r="A518" s="142"/>
      <c r="B518" s="142"/>
      <c r="C518" s="142"/>
      <c r="D518" s="142"/>
      <c r="E518" s="131"/>
      <c r="F518" s="131"/>
      <c r="G518" s="131"/>
      <c r="H518" s="131"/>
      <c r="I518" s="131"/>
      <c r="J518" s="131"/>
      <c r="K518" s="131"/>
      <c r="L518" s="131"/>
      <c r="M518" s="131"/>
      <c r="N518" s="131"/>
      <c r="O518" s="142"/>
      <c r="P518" s="142"/>
      <c r="Q518" s="142"/>
      <c r="R518" s="131"/>
      <c r="S518" s="142"/>
      <c r="T518" s="142"/>
      <c r="U518" s="142"/>
      <c r="V518" s="142"/>
      <c r="W518" s="142"/>
      <c r="X518" s="142"/>
      <c r="Y518" s="142"/>
      <c r="Z518" s="142"/>
      <c r="AA518" s="142"/>
      <c r="AB518" s="142"/>
    </row>
    <row r="519" ht="13.5" customHeight="1">
      <c r="A519" s="142"/>
      <c r="B519" s="142"/>
      <c r="C519" s="142"/>
      <c r="D519" s="142"/>
      <c r="E519" s="131"/>
      <c r="F519" s="131"/>
      <c r="G519" s="131"/>
      <c r="H519" s="131"/>
      <c r="I519" s="131"/>
      <c r="J519" s="131"/>
      <c r="K519" s="131"/>
      <c r="L519" s="131"/>
      <c r="M519" s="131"/>
      <c r="N519" s="131"/>
      <c r="O519" s="142"/>
      <c r="P519" s="142"/>
      <c r="Q519" s="142"/>
      <c r="R519" s="131"/>
      <c r="S519" s="142"/>
      <c r="T519" s="142"/>
      <c r="U519" s="142"/>
      <c r="V519" s="142"/>
      <c r="W519" s="142"/>
      <c r="X519" s="142"/>
      <c r="Y519" s="142"/>
      <c r="Z519" s="142"/>
      <c r="AA519" s="142"/>
      <c r="AB519" s="142"/>
    </row>
    <row r="520" ht="13.5" customHeight="1">
      <c r="A520" s="142"/>
      <c r="B520" s="142"/>
      <c r="C520" s="142"/>
      <c r="D520" s="142"/>
      <c r="E520" s="131"/>
      <c r="F520" s="131"/>
      <c r="G520" s="131"/>
      <c r="H520" s="131"/>
      <c r="I520" s="131"/>
      <c r="J520" s="131"/>
      <c r="K520" s="131"/>
      <c r="L520" s="131"/>
      <c r="M520" s="131"/>
      <c r="N520" s="131"/>
      <c r="O520" s="142"/>
      <c r="P520" s="142"/>
      <c r="Q520" s="142"/>
      <c r="R520" s="131"/>
      <c r="S520" s="142"/>
      <c r="T520" s="142"/>
      <c r="U520" s="142"/>
      <c r="V520" s="142"/>
      <c r="W520" s="142"/>
      <c r="X520" s="142"/>
      <c r="Y520" s="142"/>
      <c r="Z520" s="142"/>
      <c r="AA520" s="142"/>
      <c r="AB520" s="142"/>
    </row>
    <row r="521" ht="13.5" customHeight="1">
      <c r="A521" s="142"/>
      <c r="B521" s="142"/>
      <c r="C521" s="142"/>
      <c r="D521" s="142"/>
      <c r="E521" s="131"/>
      <c r="F521" s="131"/>
      <c r="G521" s="131"/>
      <c r="H521" s="131"/>
      <c r="I521" s="131"/>
      <c r="J521" s="131"/>
      <c r="K521" s="131"/>
      <c r="L521" s="131"/>
      <c r="M521" s="131"/>
      <c r="N521" s="131"/>
      <c r="O521" s="142"/>
      <c r="P521" s="142"/>
      <c r="Q521" s="142"/>
      <c r="R521" s="131"/>
      <c r="S521" s="142"/>
      <c r="T521" s="142"/>
      <c r="U521" s="142"/>
      <c r="V521" s="142"/>
      <c r="W521" s="142"/>
      <c r="X521" s="142"/>
      <c r="Y521" s="142"/>
      <c r="Z521" s="142"/>
      <c r="AA521" s="142"/>
      <c r="AB521" s="142"/>
    </row>
    <row r="522" ht="13.5" customHeight="1">
      <c r="A522" s="142"/>
      <c r="B522" s="142"/>
      <c r="C522" s="142"/>
      <c r="D522" s="142"/>
      <c r="E522" s="131"/>
      <c r="F522" s="131"/>
      <c r="G522" s="131"/>
      <c r="H522" s="131"/>
      <c r="I522" s="131"/>
      <c r="J522" s="131"/>
      <c r="K522" s="131"/>
      <c r="L522" s="131"/>
      <c r="M522" s="131"/>
      <c r="N522" s="131"/>
      <c r="O522" s="142"/>
      <c r="P522" s="142"/>
      <c r="Q522" s="142"/>
      <c r="R522" s="131"/>
      <c r="S522" s="142"/>
      <c r="T522" s="142"/>
      <c r="U522" s="142"/>
      <c r="V522" s="142"/>
      <c r="W522" s="142"/>
      <c r="X522" s="142"/>
      <c r="Y522" s="142"/>
      <c r="Z522" s="142"/>
      <c r="AA522" s="142"/>
      <c r="AB522" s="142"/>
    </row>
    <row r="523" ht="13.5" customHeight="1">
      <c r="A523" s="142"/>
      <c r="B523" s="142"/>
      <c r="C523" s="142"/>
      <c r="D523" s="142"/>
      <c r="E523" s="131"/>
      <c r="F523" s="131"/>
      <c r="G523" s="131"/>
      <c r="H523" s="131"/>
      <c r="I523" s="131"/>
      <c r="J523" s="131"/>
      <c r="K523" s="131"/>
      <c r="L523" s="131"/>
      <c r="M523" s="131"/>
      <c r="N523" s="131"/>
      <c r="O523" s="142"/>
      <c r="P523" s="142"/>
      <c r="Q523" s="142"/>
      <c r="R523" s="131"/>
      <c r="S523" s="142"/>
      <c r="T523" s="142"/>
      <c r="U523" s="142"/>
      <c r="V523" s="142"/>
      <c r="W523" s="142"/>
      <c r="X523" s="142"/>
      <c r="Y523" s="142"/>
      <c r="Z523" s="142"/>
      <c r="AA523" s="142"/>
      <c r="AB523" s="142"/>
    </row>
    <row r="524" ht="13.5" customHeight="1">
      <c r="A524" s="142"/>
      <c r="B524" s="142"/>
      <c r="C524" s="142"/>
      <c r="D524" s="142"/>
      <c r="E524" s="131"/>
      <c r="F524" s="131"/>
      <c r="G524" s="131"/>
      <c r="H524" s="131"/>
      <c r="I524" s="131"/>
      <c r="J524" s="131"/>
      <c r="K524" s="131"/>
      <c r="L524" s="131"/>
      <c r="M524" s="131"/>
      <c r="N524" s="131"/>
      <c r="O524" s="142"/>
      <c r="P524" s="142"/>
      <c r="Q524" s="142"/>
      <c r="R524" s="131"/>
      <c r="S524" s="142"/>
      <c r="T524" s="142"/>
      <c r="U524" s="142"/>
      <c r="V524" s="142"/>
      <c r="W524" s="142"/>
      <c r="X524" s="142"/>
      <c r="Y524" s="142"/>
      <c r="Z524" s="142"/>
      <c r="AA524" s="142"/>
      <c r="AB524" s="142"/>
    </row>
    <row r="525" ht="13.5" customHeight="1">
      <c r="A525" s="142"/>
      <c r="B525" s="142"/>
      <c r="C525" s="142"/>
      <c r="D525" s="142"/>
      <c r="E525" s="131"/>
      <c r="F525" s="131"/>
      <c r="G525" s="131"/>
      <c r="H525" s="131"/>
      <c r="I525" s="131"/>
      <c r="J525" s="131"/>
      <c r="K525" s="131"/>
      <c r="L525" s="131"/>
      <c r="M525" s="131"/>
      <c r="N525" s="131"/>
      <c r="O525" s="142"/>
      <c r="P525" s="142"/>
      <c r="Q525" s="142"/>
      <c r="R525" s="131"/>
      <c r="S525" s="142"/>
      <c r="T525" s="142"/>
      <c r="U525" s="142"/>
      <c r="V525" s="142"/>
      <c r="W525" s="142"/>
      <c r="X525" s="142"/>
      <c r="Y525" s="142"/>
      <c r="Z525" s="142"/>
      <c r="AA525" s="142"/>
      <c r="AB525" s="142"/>
    </row>
    <row r="526" ht="13.5" customHeight="1">
      <c r="A526" s="142"/>
      <c r="B526" s="142"/>
      <c r="C526" s="142"/>
      <c r="D526" s="142"/>
      <c r="E526" s="131"/>
      <c r="F526" s="131"/>
      <c r="G526" s="131"/>
      <c r="H526" s="131"/>
      <c r="I526" s="131"/>
      <c r="J526" s="131"/>
      <c r="K526" s="131"/>
      <c r="L526" s="131"/>
      <c r="M526" s="131"/>
      <c r="N526" s="131"/>
      <c r="O526" s="142"/>
      <c r="P526" s="142"/>
      <c r="Q526" s="142"/>
      <c r="R526" s="131"/>
      <c r="S526" s="142"/>
      <c r="T526" s="142"/>
      <c r="U526" s="142"/>
      <c r="V526" s="142"/>
      <c r="W526" s="142"/>
      <c r="X526" s="142"/>
      <c r="Y526" s="142"/>
      <c r="Z526" s="142"/>
      <c r="AA526" s="142"/>
      <c r="AB526" s="142"/>
    </row>
    <row r="527" ht="13.5" customHeight="1">
      <c r="A527" s="142"/>
      <c r="B527" s="142"/>
      <c r="C527" s="142"/>
      <c r="D527" s="142"/>
      <c r="E527" s="131"/>
      <c r="F527" s="131"/>
      <c r="G527" s="131"/>
      <c r="H527" s="131"/>
      <c r="I527" s="131"/>
      <c r="J527" s="131"/>
      <c r="K527" s="131"/>
      <c r="L527" s="131"/>
      <c r="M527" s="131"/>
      <c r="N527" s="131"/>
      <c r="O527" s="142"/>
      <c r="P527" s="142"/>
      <c r="Q527" s="142"/>
      <c r="R527" s="131"/>
      <c r="S527" s="142"/>
      <c r="T527" s="142"/>
      <c r="U527" s="142"/>
      <c r="V527" s="142"/>
      <c r="W527" s="142"/>
      <c r="X527" s="142"/>
      <c r="Y527" s="142"/>
      <c r="Z527" s="142"/>
      <c r="AA527" s="142"/>
      <c r="AB527" s="142"/>
    </row>
    <row r="528" ht="13.5" customHeight="1">
      <c r="A528" s="142"/>
      <c r="B528" s="142"/>
      <c r="C528" s="142"/>
      <c r="D528" s="142"/>
      <c r="E528" s="131"/>
      <c r="F528" s="131"/>
      <c r="G528" s="131"/>
      <c r="H528" s="131"/>
      <c r="I528" s="131"/>
      <c r="J528" s="131"/>
      <c r="K528" s="131"/>
      <c r="L528" s="131"/>
      <c r="M528" s="131"/>
      <c r="N528" s="131"/>
      <c r="O528" s="142"/>
      <c r="P528" s="142"/>
      <c r="Q528" s="142"/>
      <c r="R528" s="131"/>
      <c r="S528" s="142"/>
      <c r="T528" s="142"/>
      <c r="U528" s="142"/>
      <c r="V528" s="142"/>
      <c r="W528" s="142"/>
      <c r="X528" s="142"/>
      <c r="Y528" s="142"/>
      <c r="Z528" s="142"/>
      <c r="AA528" s="142"/>
      <c r="AB528" s="142"/>
    </row>
    <row r="529" ht="13.5" customHeight="1">
      <c r="A529" s="142"/>
      <c r="B529" s="142"/>
      <c r="C529" s="142"/>
      <c r="D529" s="142"/>
      <c r="E529" s="131"/>
      <c r="F529" s="131"/>
      <c r="G529" s="131"/>
      <c r="H529" s="131"/>
      <c r="I529" s="131"/>
      <c r="J529" s="131"/>
      <c r="K529" s="131"/>
      <c r="L529" s="131"/>
      <c r="M529" s="131"/>
      <c r="N529" s="131"/>
      <c r="O529" s="142"/>
      <c r="P529" s="142"/>
      <c r="Q529" s="142"/>
      <c r="R529" s="131"/>
      <c r="S529" s="142"/>
      <c r="T529" s="142"/>
      <c r="U529" s="142"/>
      <c r="V529" s="142"/>
      <c r="W529" s="142"/>
      <c r="X529" s="142"/>
      <c r="Y529" s="142"/>
      <c r="Z529" s="142"/>
      <c r="AA529" s="142"/>
      <c r="AB529" s="142"/>
    </row>
    <row r="530" ht="13.5" customHeight="1">
      <c r="A530" s="142"/>
      <c r="B530" s="142"/>
      <c r="C530" s="142"/>
      <c r="D530" s="142"/>
      <c r="E530" s="131"/>
      <c r="F530" s="131"/>
      <c r="G530" s="131"/>
      <c r="H530" s="131"/>
      <c r="I530" s="131"/>
      <c r="J530" s="131"/>
      <c r="K530" s="131"/>
      <c r="L530" s="131"/>
      <c r="M530" s="131"/>
      <c r="N530" s="131"/>
      <c r="O530" s="142"/>
      <c r="P530" s="142"/>
      <c r="Q530" s="142"/>
      <c r="R530" s="131"/>
      <c r="S530" s="142"/>
      <c r="T530" s="142"/>
      <c r="U530" s="142"/>
      <c r="V530" s="142"/>
      <c r="W530" s="142"/>
      <c r="X530" s="142"/>
      <c r="Y530" s="142"/>
      <c r="Z530" s="142"/>
      <c r="AA530" s="142"/>
      <c r="AB530" s="142"/>
    </row>
    <row r="531" ht="13.5" customHeight="1">
      <c r="A531" s="142"/>
      <c r="B531" s="142"/>
      <c r="C531" s="142"/>
      <c r="D531" s="142"/>
      <c r="E531" s="131"/>
      <c r="F531" s="131"/>
      <c r="G531" s="131"/>
      <c r="H531" s="131"/>
      <c r="I531" s="131"/>
      <c r="J531" s="131"/>
      <c r="K531" s="131"/>
      <c r="L531" s="131"/>
      <c r="M531" s="131"/>
      <c r="N531" s="131"/>
      <c r="O531" s="142"/>
      <c r="P531" s="142"/>
      <c r="Q531" s="142"/>
      <c r="R531" s="131"/>
      <c r="S531" s="142"/>
      <c r="T531" s="142"/>
      <c r="U531" s="142"/>
      <c r="V531" s="142"/>
      <c r="W531" s="142"/>
      <c r="X531" s="142"/>
      <c r="Y531" s="142"/>
      <c r="Z531" s="142"/>
      <c r="AA531" s="142"/>
      <c r="AB531" s="142"/>
    </row>
    <row r="532" ht="13.5" customHeight="1">
      <c r="A532" s="142"/>
      <c r="B532" s="142"/>
      <c r="C532" s="142"/>
      <c r="D532" s="142"/>
      <c r="E532" s="131"/>
      <c r="F532" s="131"/>
      <c r="G532" s="131"/>
      <c r="H532" s="131"/>
      <c r="I532" s="131"/>
      <c r="J532" s="131"/>
      <c r="K532" s="131"/>
      <c r="L532" s="131"/>
      <c r="M532" s="131"/>
      <c r="N532" s="131"/>
      <c r="O532" s="142"/>
      <c r="P532" s="142"/>
      <c r="Q532" s="142"/>
      <c r="R532" s="131"/>
      <c r="S532" s="142"/>
      <c r="T532" s="142"/>
      <c r="U532" s="142"/>
      <c r="V532" s="142"/>
      <c r="W532" s="142"/>
      <c r="X532" s="142"/>
      <c r="Y532" s="142"/>
      <c r="Z532" s="142"/>
      <c r="AA532" s="142"/>
      <c r="AB532" s="142"/>
    </row>
    <row r="533" ht="13.5" customHeight="1">
      <c r="A533" s="142"/>
      <c r="B533" s="142"/>
      <c r="C533" s="142"/>
      <c r="D533" s="142"/>
      <c r="E533" s="131"/>
      <c r="F533" s="131"/>
      <c r="G533" s="131"/>
      <c r="H533" s="131"/>
      <c r="I533" s="131"/>
      <c r="J533" s="131"/>
      <c r="K533" s="131"/>
      <c r="L533" s="131"/>
      <c r="M533" s="131"/>
      <c r="N533" s="131"/>
      <c r="O533" s="142"/>
      <c r="P533" s="142"/>
      <c r="Q533" s="142"/>
      <c r="R533" s="131"/>
      <c r="S533" s="142"/>
      <c r="T533" s="142"/>
      <c r="U533" s="142"/>
      <c r="V533" s="142"/>
      <c r="W533" s="142"/>
      <c r="X533" s="142"/>
      <c r="Y533" s="142"/>
      <c r="Z533" s="142"/>
      <c r="AA533" s="142"/>
      <c r="AB533" s="142"/>
    </row>
    <row r="534" ht="13.5" customHeight="1">
      <c r="A534" s="142"/>
      <c r="B534" s="142"/>
      <c r="C534" s="142"/>
      <c r="D534" s="142"/>
      <c r="E534" s="131"/>
      <c r="F534" s="131"/>
      <c r="G534" s="131"/>
      <c r="H534" s="131"/>
      <c r="I534" s="131"/>
      <c r="J534" s="131"/>
      <c r="K534" s="131"/>
      <c r="L534" s="131"/>
      <c r="M534" s="131"/>
      <c r="N534" s="131"/>
      <c r="O534" s="142"/>
      <c r="P534" s="142"/>
      <c r="Q534" s="142"/>
      <c r="R534" s="131"/>
      <c r="S534" s="142"/>
      <c r="T534" s="142"/>
      <c r="U534" s="142"/>
      <c r="V534" s="142"/>
      <c r="W534" s="142"/>
      <c r="X534" s="142"/>
      <c r="Y534" s="142"/>
      <c r="Z534" s="142"/>
      <c r="AA534" s="142"/>
      <c r="AB534" s="142"/>
    </row>
    <row r="535" ht="13.5" customHeight="1">
      <c r="A535" s="142"/>
      <c r="B535" s="142"/>
      <c r="C535" s="142"/>
      <c r="D535" s="142"/>
      <c r="E535" s="131"/>
      <c r="F535" s="131"/>
      <c r="G535" s="131"/>
      <c r="H535" s="131"/>
      <c r="I535" s="131"/>
      <c r="J535" s="131"/>
      <c r="K535" s="131"/>
      <c r="L535" s="131"/>
      <c r="M535" s="131"/>
      <c r="N535" s="131"/>
      <c r="O535" s="142"/>
      <c r="P535" s="142"/>
      <c r="Q535" s="142"/>
      <c r="R535" s="131"/>
      <c r="S535" s="142"/>
      <c r="T535" s="142"/>
      <c r="U535" s="142"/>
      <c r="V535" s="142"/>
      <c r="W535" s="142"/>
      <c r="X535" s="142"/>
      <c r="Y535" s="142"/>
      <c r="Z535" s="142"/>
      <c r="AA535" s="142"/>
      <c r="AB535" s="142"/>
    </row>
    <row r="536" ht="13.5" customHeight="1">
      <c r="A536" s="142"/>
      <c r="B536" s="142"/>
      <c r="C536" s="142"/>
      <c r="D536" s="142"/>
      <c r="E536" s="131"/>
      <c r="F536" s="131"/>
      <c r="G536" s="131"/>
      <c r="H536" s="131"/>
      <c r="I536" s="131"/>
      <c r="J536" s="131"/>
      <c r="K536" s="131"/>
      <c r="L536" s="131"/>
      <c r="M536" s="131"/>
      <c r="N536" s="131"/>
      <c r="O536" s="142"/>
      <c r="P536" s="142"/>
      <c r="Q536" s="142"/>
      <c r="R536" s="131"/>
      <c r="S536" s="142"/>
      <c r="T536" s="142"/>
      <c r="U536" s="142"/>
      <c r="V536" s="142"/>
      <c r="W536" s="142"/>
      <c r="X536" s="142"/>
      <c r="Y536" s="142"/>
      <c r="Z536" s="142"/>
      <c r="AA536" s="142"/>
      <c r="AB536" s="142"/>
    </row>
    <row r="537" ht="13.5" customHeight="1">
      <c r="A537" s="142"/>
      <c r="B537" s="142"/>
      <c r="C537" s="142"/>
      <c r="D537" s="142"/>
      <c r="E537" s="131"/>
      <c r="F537" s="131"/>
      <c r="G537" s="131"/>
      <c r="H537" s="131"/>
      <c r="I537" s="131"/>
      <c r="J537" s="131"/>
      <c r="K537" s="131"/>
      <c r="L537" s="131"/>
      <c r="M537" s="131"/>
      <c r="N537" s="131"/>
      <c r="O537" s="142"/>
      <c r="P537" s="142"/>
      <c r="Q537" s="142"/>
      <c r="R537" s="131"/>
      <c r="S537" s="142"/>
      <c r="T537" s="142"/>
      <c r="U537" s="142"/>
      <c r="V537" s="142"/>
      <c r="W537" s="142"/>
      <c r="X537" s="142"/>
      <c r="Y537" s="142"/>
      <c r="Z537" s="142"/>
      <c r="AA537" s="142"/>
      <c r="AB537" s="142"/>
    </row>
    <row r="538" ht="13.5" customHeight="1">
      <c r="A538" s="142"/>
      <c r="B538" s="142"/>
      <c r="C538" s="142"/>
      <c r="D538" s="142"/>
      <c r="E538" s="131"/>
      <c r="F538" s="131"/>
      <c r="G538" s="131"/>
      <c r="H538" s="131"/>
      <c r="I538" s="131"/>
      <c r="J538" s="131"/>
      <c r="K538" s="131"/>
      <c r="L538" s="131"/>
      <c r="M538" s="131"/>
      <c r="N538" s="131"/>
      <c r="O538" s="142"/>
      <c r="P538" s="142"/>
      <c r="Q538" s="142"/>
      <c r="R538" s="131"/>
      <c r="S538" s="142"/>
      <c r="T538" s="142"/>
      <c r="U538" s="142"/>
      <c r="V538" s="142"/>
      <c r="W538" s="142"/>
      <c r="X538" s="142"/>
      <c r="Y538" s="142"/>
      <c r="Z538" s="142"/>
      <c r="AA538" s="142"/>
      <c r="AB538" s="142"/>
    </row>
    <row r="539" ht="13.5" customHeight="1">
      <c r="A539" s="142"/>
      <c r="B539" s="142"/>
      <c r="C539" s="142"/>
      <c r="D539" s="142"/>
      <c r="E539" s="131"/>
      <c r="F539" s="131"/>
      <c r="G539" s="131"/>
      <c r="H539" s="131"/>
      <c r="I539" s="131"/>
      <c r="J539" s="131"/>
      <c r="K539" s="131"/>
      <c r="L539" s="131"/>
      <c r="M539" s="131"/>
      <c r="N539" s="131"/>
      <c r="O539" s="142"/>
      <c r="P539" s="142"/>
      <c r="Q539" s="142"/>
      <c r="R539" s="131"/>
      <c r="S539" s="142"/>
      <c r="T539" s="142"/>
      <c r="U539" s="142"/>
      <c r="V539" s="142"/>
      <c r="W539" s="142"/>
      <c r="X539" s="142"/>
      <c r="Y539" s="142"/>
      <c r="Z539" s="142"/>
      <c r="AA539" s="142"/>
      <c r="AB539" s="142"/>
    </row>
    <row r="540" ht="13.5" customHeight="1">
      <c r="A540" s="142"/>
      <c r="B540" s="142"/>
      <c r="C540" s="142"/>
      <c r="D540" s="142"/>
      <c r="E540" s="131"/>
      <c r="F540" s="131"/>
      <c r="G540" s="131"/>
      <c r="H540" s="131"/>
      <c r="I540" s="131"/>
      <c r="J540" s="131"/>
      <c r="K540" s="131"/>
      <c r="L540" s="131"/>
      <c r="M540" s="131"/>
      <c r="N540" s="131"/>
      <c r="O540" s="142"/>
      <c r="P540" s="142"/>
      <c r="Q540" s="142"/>
      <c r="R540" s="131"/>
      <c r="S540" s="142"/>
      <c r="T540" s="142"/>
      <c r="U540" s="142"/>
      <c r="V540" s="142"/>
      <c r="W540" s="142"/>
      <c r="X540" s="142"/>
      <c r="Y540" s="142"/>
      <c r="Z540" s="142"/>
      <c r="AA540" s="142"/>
      <c r="AB540" s="142"/>
    </row>
    <row r="541" ht="13.5" customHeight="1">
      <c r="A541" s="142"/>
      <c r="B541" s="142"/>
      <c r="C541" s="142"/>
      <c r="D541" s="142"/>
      <c r="E541" s="131"/>
      <c r="F541" s="131"/>
      <c r="G541" s="131"/>
      <c r="H541" s="131"/>
      <c r="I541" s="131"/>
      <c r="J541" s="131"/>
      <c r="K541" s="131"/>
      <c r="L541" s="131"/>
      <c r="M541" s="131"/>
      <c r="N541" s="131"/>
      <c r="O541" s="142"/>
      <c r="P541" s="142"/>
      <c r="Q541" s="142"/>
      <c r="R541" s="131"/>
      <c r="S541" s="142"/>
      <c r="T541" s="142"/>
      <c r="U541" s="142"/>
      <c r="V541" s="142"/>
      <c r="W541" s="142"/>
      <c r="X541" s="142"/>
      <c r="Y541" s="142"/>
      <c r="Z541" s="142"/>
      <c r="AA541" s="142"/>
      <c r="AB541" s="142"/>
    </row>
    <row r="542" ht="13.5" customHeight="1">
      <c r="A542" s="142"/>
      <c r="B542" s="142"/>
      <c r="C542" s="142"/>
      <c r="D542" s="142"/>
      <c r="E542" s="131"/>
      <c r="F542" s="131"/>
      <c r="G542" s="131"/>
      <c r="H542" s="131"/>
      <c r="I542" s="131"/>
      <c r="J542" s="131"/>
      <c r="K542" s="131"/>
      <c r="L542" s="131"/>
      <c r="M542" s="131"/>
      <c r="N542" s="131"/>
      <c r="O542" s="142"/>
      <c r="P542" s="142"/>
      <c r="Q542" s="142"/>
      <c r="R542" s="131"/>
      <c r="S542" s="142"/>
      <c r="T542" s="142"/>
      <c r="U542" s="142"/>
      <c r="V542" s="142"/>
      <c r="W542" s="142"/>
      <c r="X542" s="142"/>
      <c r="Y542" s="142"/>
      <c r="Z542" s="142"/>
      <c r="AA542" s="142"/>
      <c r="AB542" s="142"/>
    </row>
    <row r="543" ht="13.5" customHeight="1">
      <c r="A543" s="142"/>
      <c r="B543" s="142"/>
      <c r="C543" s="142"/>
      <c r="D543" s="142"/>
      <c r="E543" s="131"/>
      <c r="F543" s="131"/>
      <c r="G543" s="131"/>
      <c r="H543" s="131"/>
      <c r="I543" s="131"/>
      <c r="J543" s="131"/>
      <c r="K543" s="131"/>
      <c r="L543" s="131"/>
      <c r="M543" s="131"/>
      <c r="N543" s="131"/>
      <c r="O543" s="142"/>
      <c r="P543" s="142"/>
      <c r="Q543" s="142"/>
      <c r="R543" s="131"/>
      <c r="S543" s="142"/>
      <c r="T543" s="142"/>
      <c r="U543" s="142"/>
      <c r="V543" s="142"/>
      <c r="W543" s="142"/>
      <c r="X543" s="142"/>
      <c r="Y543" s="142"/>
      <c r="Z543" s="142"/>
      <c r="AA543" s="142"/>
      <c r="AB543" s="142"/>
    </row>
    <row r="544" ht="13.5" customHeight="1">
      <c r="A544" s="142"/>
      <c r="B544" s="142"/>
      <c r="C544" s="142"/>
      <c r="D544" s="142"/>
      <c r="E544" s="131"/>
      <c r="F544" s="131"/>
      <c r="G544" s="131"/>
      <c r="H544" s="131"/>
      <c r="I544" s="131"/>
      <c r="J544" s="131"/>
      <c r="K544" s="131"/>
      <c r="L544" s="131"/>
      <c r="M544" s="131"/>
      <c r="N544" s="131"/>
      <c r="O544" s="142"/>
      <c r="P544" s="142"/>
      <c r="Q544" s="142"/>
      <c r="R544" s="131"/>
      <c r="S544" s="142"/>
      <c r="T544" s="142"/>
      <c r="U544" s="142"/>
      <c r="V544" s="142"/>
      <c r="W544" s="142"/>
      <c r="X544" s="142"/>
      <c r="Y544" s="142"/>
      <c r="Z544" s="142"/>
      <c r="AA544" s="142"/>
      <c r="AB544" s="142"/>
    </row>
    <row r="545" ht="13.5" customHeight="1">
      <c r="A545" s="142"/>
      <c r="B545" s="142"/>
      <c r="C545" s="142"/>
      <c r="D545" s="142"/>
      <c r="E545" s="131"/>
      <c r="F545" s="131"/>
      <c r="G545" s="131"/>
      <c r="H545" s="131"/>
      <c r="I545" s="131"/>
      <c r="J545" s="131"/>
      <c r="K545" s="131"/>
      <c r="L545" s="131"/>
      <c r="M545" s="131"/>
      <c r="N545" s="131"/>
      <c r="O545" s="142"/>
      <c r="P545" s="142"/>
      <c r="Q545" s="142"/>
      <c r="R545" s="131"/>
      <c r="S545" s="142"/>
      <c r="T545" s="142"/>
      <c r="U545" s="142"/>
      <c r="V545" s="142"/>
      <c r="W545" s="142"/>
      <c r="X545" s="142"/>
      <c r="Y545" s="142"/>
      <c r="Z545" s="142"/>
      <c r="AA545" s="142"/>
      <c r="AB545" s="142"/>
    </row>
    <row r="546" ht="13.5" customHeight="1">
      <c r="A546" s="142"/>
      <c r="B546" s="142"/>
      <c r="C546" s="142"/>
      <c r="D546" s="142"/>
      <c r="E546" s="131"/>
      <c r="F546" s="131"/>
      <c r="G546" s="131"/>
      <c r="H546" s="131"/>
      <c r="I546" s="131"/>
      <c r="J546" s="131"/>
      <c r="K546" s="131"/>
      <c r="L546" s="131"/>
      <c r="M546" s="131"/>
      <c r="N546" s="131"/>
      <c r="O546" s="142"/>
      <c r="P546" s="142"/>
      <c r="Q546" s="142"/>
      <c r="R546" s="131"/>
      <c r="S546" s="142"/>
      <c r="T546" s="142"/>
      <c r="U546" s="142"/>
      <c r="V546" s="142"/>
      <c r="W546" s="142"/>
      <c r="X546" s="142"/>
      <c r="Y546" s="142"/>
      <c r="Z546" s="142"/>
      <c r="AA546" s="142"/>
      <c r="AB546" s="142"/>
    </row>
    <row r="547" ht="13.5" customHeight="1">
      <c r="A547" s="142"/>
      <c r="B547" s="142"/>
      <c r="C547" s="142"/>
      <c r="D547" s="142"/>
      <c r="E547" s="131"/>
      <c r="F547" s="131"/>
      <c r="G547" s="131"/>
      <c r="H547" s="131"/>
      <c r="I547" s="131"/>
      <c r="J547" s="131"/>
      <c r="K547" s="131"/>
      <c r="L547" s="131"/>
      <c r="M547" s="131"/>
      <c r="N547" s="131"/>
      <c r="O547" s="142"/>
      <c r="P547" s="142"/>
      <c r="Q547" s="142"/>
      <c r="R547" s="131"/>
      <c r="S547" s="142"/>
      <c r="T547" s="142"/>
      <c r="U547" s="142"/>
      <c r="V547" s="142"/>
      <c r="W547" s="142"/>
      <c r="X547" s="142"/>
      <c r="Y547" s="142"/>
      <c r="Z547" s="142"/>
      <c r="AA547" s="142"/>
      <c r="AB547" s="142"/>
    </row>
    <row r="548" ht="13.5" customHeight="1">
      <c r="A548" s="142"/>
      <c r="B548" s="142"/>
      <c r="C548" s="142"/>
      <c r="D548" s="142"/>
      <c r="E548" s="131"/>
      <c r="F548" s="131"/>
      <c r="G548" s="131"/>
      <c r="H548" s="131"/>
      <c r="I548" s="131"/>
      <c r="J548" s="131"/>
      <c r="K548" s="131"/>
      <c r="L548" s="131"/>
      <c r="M548" s="131"/>
      <c r="N548" s="131"/>
      <c r="O548" s="142"/>
      <c r="P548" s="142"/>
      <c r="Q548" s="142"/>
      <c r="R548" s="131"/>
      <c r="S548" s="142"/>
      <c r="T548" s="142"/>
      <c r="U548" s="142"/>
      <c r="V548" s="142"/>
      <c r="W548" s="142"/>
      <c r="X548" s="142"/>
      <c r="Y548" s="142"/>
      <c r="Z548" s="142"/>
      <c r="AA548" s="142"/>
      <c r="AB548" s="142"/>
    </row>
    <row r="549" ht="13.5" customHeight="1">
      <c r="A549" s="142"/>
      <c r="B549" s="142"/>
      <c r="C549" s="142"/>
      <c r="D549" s="142"/>
      <c r="E549" s="131"/>
      <c r="F549" s="131"/>
      <c r="G549" s="131"/>
      <c r="H549" s="131"/>
      <c r="I549" s="131"/>
      <c r="J549" s="131"/>
      <c r="K549" s="131"/>
      <c r="L549" s="131"/>
      <c r="M549" s="131"/>
      <c r="N549" s="131"/>
      <c r="O549" s="142"/>
      <c r="P549" s="142"/>
      <c r="Q549" s="142"/>
      <c r="R549" s="131"/>
      <c r="S549" s="142"/>
      <c r="T549" s="142"/>
      <c r="U549" s="142"/>
      <c r="V549" s="142"/>
      <c r="W549" s="142"/>
      <c r="X549" s="142"/>
      <c r="Y549" s="142"/>
      <c r="Z549" s="142"/>
      <c r="AA549" s="142"/>
      <c r="AB549" s="142"/>
    </row>
    <row r="550" ht="13.5" customHeight="1">
      <c r="A550" s="142"/>
      <c r="B550" s="142"/>
      <c r="C550" s="142"/>
      <c r="D550" s="142"/>
      <c r="E550" s="131"/>
      <c r="F550" s="131"/>
      <c r="G550" s="131"/>
      <c r="H550" s="131"/>
      <c r="I550" s="131"/>
      <c r="J550" s="131"/>
      <c r="K550" s="131"/>
      <c r="L550" s="131"/>
      <c r="M550" s="131"/>
      <c r="N550" s="131"/>
      <c r="O550" s="142"/>
      <c r="P550" s="142"/>
      <c r="Q550" s="142"/>
      <c r="R550" s="131"/>
      <c r="S550" s="142"/>
      <c r="T550" s="142"/>
      <c r="U550" s="142"/>
      <c r="V550" s="142"/>
      <c r="W550" s="142"/>
      <c r="X550" s="142"/>
      <c r="Y550" s="142"/>
      <c r="Z550" s="142"/>
      <c r="AA550" s="142"/>
      <c r="AB550" s="142"/>
    </row>
    <row r="551" ht="13.5" customHeight="1">
      <c r="A551" s="142"/>
      <c r="B551" s="142"/>
      <c r="C551" s="142"/>
      <c r="D551" s="142"/>
      <c r="E551" s="131"/>
      <c r="F551" s="131"/>
      <c r="G551" s="131"/>
      <c r="H551" s="131"/>
      <c r="I551" s="131"/>
      <c r="J551" s="131"/>
      <c r="K551" s="131"/>
      <c r="L551" s="131"/>
      <c r="M551" s="131"/>
      <c r="N551" s="131"/>
      <c r="O551" s="142"/>
      <c r="P551" s="142"/>
      <c r="Q551" s="142"/>
      <c r="R551" s="131"/>
      <c r="S551" s="142"/>
      <c r="T551" s="142"/>
      <c r="U551" s="142"/>
      <c r="V551" s="142"/>
      <c r="W551" s="142"/>
      <c r="X551" s="142"/>
      <c r="Y551" s="142"/>
      <c r="Z551" s="142"/>
      <c r="AA551" s="142"/>
      <c r="AB551" s="142"/>
    </row>
    <row r="552" ht="13.5" customHeight="1">
      <c r="A552" s="142"/>
      <c r="B552" s="142"/>
      <c r="C552" s="142"/>
      <c r="D552" s="142"/>
      <c r="E552" s="131"/>
      <c r="F552" s="131"/>
      <c r="G552" s="131"/>
      <c r="H552" s="131"/>
      <c r="I552" s="131"/>
      <c r="J552" s="131"/>
      <c r="K552" s="131"/>
      <c r="L552" s="131"/>
      <c r="M552" s="131"/>
      <c r="N552" s="131"/>
      <c r="O552" s="142"/>
      <c r="P552" s="142"/>
      <c r="Q552" s="142"/>
      <c r="R552" s="131"/>
      <c r="S552" s="142"/>
      <c r="T552" s="142"/>
      <c r="U552" s="142"/>
      <c r="V552" s="142"/>
      <c r="W552" s="142"/>
      <c r="X552" s="142"/>
      <c r="Y552" s="142"/>
      <c r="Z552" s="142"/>
      <c r="AA552" s="142"/>
      <c r="AB552" s="142"/>
    </row>
    <row r="553" ht="13.5" customHeight="1">
      <c r="A553" s="142"/>
      <c r="B553" s="142"/>
      <c r="C553" s="142"/>
      <c r="D553" s="142"/>
      <c r="E553" s="131"/>
      <c r="F553" s="131"/>
      <c r="G553" s="131"/>
      <c r="H553" s="131"/>
      <c r="I553" s="131"/>
      <c r="J553" s="131"/>
      <c r="K553" s="131"/>
      <c r="L553" s="131"/>
      <c r="M553" s="131"/>
      <c r="N553" s="131"/>
      <c r="O553" s="142"/>
      <c r="P553" s="142"/>
      <c r="Q553" s="142"/>
      <c r="R553" s="131"/>
      <c r="S553" s="142"/>
      <c r="T553" s="142"/>
      <c r="U553" s="142"/>
      <c r="V553" s="142"/>
      <c r="W553" s="142"/>
      <c r="X553" s="142"/>
      <c r="Y553" s="142"/>
      <c r="Z553" s="142"/>
      <c r="AA553" s="142"/>
      <c r="AB553" s="142"/>
    </row>
    <row r="554" ht="13.5" customHeight="1">
      <c r="A554" s="142"/>
      <c r="B554" s="142"/>
      <c r="C554" s="142"/>
      <c r="D554" s="142"/>
      <c r="E554" s="131"/>
      <c r="F554" s="131"/>
      <c r="G554" s="131"/>
      <c r="H554" s="131"/>
      <c r="I554" s="131"/>
      <c r="J554" s="131"/>
      <c r="K554" s="131"/>
      <c r="L554" s="131"/>
      <c r="M554" s="131"/>
      <c r="N554" s="131"/>
      <c r="O554" s="142"/>
      <c r="P554" s="142"/>
      <c r="Q554" s="142"/>
      <c r="R554" s="131"/>
      <c r="S554" s="142"/>
      <c r="T554" s="142"/>
      <c r="U554" s="142"/>
      <c r="V554" s="142"/>
      <c r="W554" s="142"/>
      <c r="X554" s="142"/>
      <c r="Y554" s="142"/>
      <c r="Z554" s="142"/>
      <c r="AA554" s="142"/>
      <c r="AB554" s="142"/>
    </row>
    <row r="555" ht="13.5" customHeight="1">
      <c r="A555" s="142"/>
      <c r="B555" s="142"/>
      <c r="C555" s="142"/>
      <c r="D555" s="142"/>
      <c r="E555" s="131"/>
      <c r="F555" s="131"/>
      <c r="G555" s="131"/>
      <c r="H555" s="131"/>
      <c r="I555" s="131"/>
      <c r="J555" s="131"/>
      <c r="K555" s="131"/>
      <c r="L555" s="131"/>
      <c r="M555" s="131"/>
      <c r="N555" s="131"/>
      <c r="O555" s="142"/>
      <c r="P555" s="142"/>
      <c r="Q555" s="142"/>
      <c r="R555" s="131"/>
      <c r="S555" s="142"/>
      <c r="T555" s="142"/>
      <c r="U555" s="142"/>
      <c r="V555" s="142"/>
      <c r="W555" s="142"/>
      <c r="X555" s="142"/>
      <c r="Y555" s="142"/>
      <c r="Z555" s="142"/>
      <c r="AA555" s="142"/>
      <c r="AB555" s="142"/>
    </row>
    <row r="556" ht="13.5" customHeight="1">
      <c r="A556" s="142"/>
      <c r="B556" s="142"/>
      <c r="C556" s="142"/>
      <c r="D556" s="142"/>
      <c r="E556" s="131"/>
      <c r="F556" s="131"/>
      <c r="G556" s="131"/>
      <c r="H556" s="131"/>
      <c r="I556" s="131"/>
      <c r="J556" s="131"/>
      <c r="K556" s="131"/>
      <c r="L556" s="131"/>
      <c r="M556" s="131"/>
      <c r="N556" s="131"/>
      <c r="O556" s="142"/>
      <c r="P556" s="142"/>
      <c r="Q556" s="142"/>
      <c r="R556" s="131"/>
      <c r="S556" s="142"/>
      <c r="T556" s="142"/>
      <c r="U556" s="142"/>
      <c r="V556" s="142"/>
      <c r="W556" s="142"/>
      <c r="X556" s="142"/>
      <c r="Y556" s="142"/>
      <c r="Z556" s="142"/>
      <c r="AA556" s="142"/>
      <c r="AB556" s="142"/>
    </row>
    <row r="557" ht="13.5" customHeight="1">
      <c r="A557" s="142"/>
      <c r="B557" s="142"/>
      <c r="C557" s="142"/>
      <c r="D557" s="142"/>
      <c r="E557" s="131"/>
      <c r="F557" s="131"/>
      <c r="G557" s="131"/>
      <c r="H557" s="131"/>
      <c r="I557" s="131"/>
      <c r="J557" s="131"/>
      <c r="K557" s="131"/>
      <c r="L557" s="131"/>
      <c r="M557" s="131"/>
      <c r="N557" s="131"/>
      <c r="O557" s="142"/>
      <c r="P557" s="142"/>
      <c r="Q557" s="142"/>
      <c r="R557" s="131"/>
      <c r="S557" s="142"/>
      <c r="T557" s="142"/>
      <c r="U557" s="142"/>
      <c r="V557" s="142"/>
      <c r="W557" s="142"/>
      <c r="X557" s="142"/>
      <c r="Y557" s="142"/>
      <c r="Z557" s="142"/>
      <c r="AA557" s="142"/>
      <c r="AB557" s="142"/>
    </row>
    <row r="558" ht="13.5" customHeight="1">
      <c r="A558" s="142"/>
      <c r="B558" s="142"/>
      <c r="C558" s="142"/>
      <c r="D558" s="142"/>
      <c r="E558" s="131"/>
      <c r="F558" s="131"/>
      <c r="G558" s="131"/>
      <c r="H558" s="131"/>
      <c r="I558" s="131"/>
      <c r="J558" s="131"/>
      <c r="K558" s="131"/>
      <c r="L558" s="131"/>
      <c r="M558" s="131"/>
      <c r="N558" s="131"/>
      <c r="O558" s="142"/>
      <c r="P558" s="142"/>
      <c r="Q558" s="142"/>
      <c r="R558" s="131"/>
      <c r="S558" s="142"/>
      <c r="T558" s="142"/>
      <c r="U558" s="142"/>
      <c r="V558" s="142"/>
      <c r="W558" s="142"/>
      <c r="X558" s="142"/>
      <c r="Y558" s="142"/>
      <c r="Z558" s="142"/>
      <c r="AA558" s="142"/>
      <c r="AB558" s="142"/>
    </row>
    <row r="559" ht="13.5" customHeight="1">
      <c r="A559" s="142"/>
      <c r="B559" s="142"/>
      <c r="C559" s="142"/>
      <c r="D559" s="142"/>
      <c r="E559" s="131"/>
      <c r="F559" s="131"/>
      <c r="G559" s="131"/>
      <c r="H559" s="131"/>
      <c r="I559" s="131"/>
      <c r="J559" s="131"/>
      <c r="K559" s="131"/>
      <c r="L559" s="131"/>
      <c r="M559" s="131"/>
      <c r="N559" s="131"/>
      <c r="O559" s="142"/>
      <c r="P559" s="142"/>
      <c r="Q559" s="142"/>
      <c r="R559" s="131"/>
      <c r="S559" s="142"/>
      <c r="T559" s="142"/>
      <c r="U559" s="142"/>
      <c r="V559" s="142"/>
      <c r="W559" s="142"/>
      <c r="X559" s="142"/>
      <c r="Y559" s="142"/>
      <c r="Z559" s="142"/>
      <c r="AA559" s="142"/>
      <c r="AB559" s="142"/>
    </row>
    <row r="560" ht="13.5" customHeight="1">
      <c r="A560" s="142"/>
      <c r="B560" s="142"/>
      <c r="C560" s="142"/>
      <c r="D560" s="142"/>
      <c r="E560" s="131"/>
      <c r="F560" s="131"/>
      <c r="G560" s="131"/>
      <c r="H560" s="131"/>
      <c r="I560" s="131"/>
      <c r="J560" s="131"/>
      <c r="K560" s="131"/>
      <c r="L560" s="131"/>
      <c r="M560" s="131"/>
      <c r="N560" s="131"/>
      <c r="O560" s="142"/>
      <c r="P560" s="142"/>
      <c r="Q560" s="142"/>
      <c r="R560" s="131"/>
      <c r="S560" s="142"/>
      <c r="T560" s="142"/>
      <c r="U560" s="142"/>
      <c r="V560" s="142"/>
      <c r="W560" s="142"/>
      <c r="X560" s="142"/>
      <c r="Y560" s="142"/>
      <c r="Z560" s="142"/>
      <c r="AA560" s="142"/>
      <c r="AB560" s="142"/>
    </row>
    <row r="561" ht="13.5" customHeight="1">
      <c r="A561" s="142"/>
      <c r="B561" s="142"/>
      <c r="C561" s="142"/>
      <c r="D561" s="142"/>
      <c r="E561" s="131"/>
      <c r="F561" s="131"/>
      <c r="G561" s="131"/>
      <c r="H561" s="131"/>
      <c r="I561" s="131"/>
      <c r="J561" s="131"/>
      <c r="K561" s="131"/>
      <c r="L561" s="131"/>
      <c r="M561" s="131"/>
      <c r="N561" s="131"/>
      <c r="O561" s="142"/>
      <c r="P561" s="142"/>
      <c r="Q561" s="142"/>
      <c r="R561" s="131"/>
      <c r="S561" s="142"/>
      <c r="T561" s="142"/>
      <c r="U561" s="142"/>
      <c r="V561" s="142"/>
      <c r="W561" s="142"/>
      <c r="X561" s="142"/>
      <c r="Y561" s="142"/>
      <c r="Z561" s="142"/>
      <c r="AA561" s="142"/>
      <c r="AB561" s="142"/>
    </row>
    <row r="562" ht="13.5" customHeight="1">
      <c r="A562" s="142"/>
      <c r="B562" s="142"/>
      <c r="C562" s="142"/>
      <c r="D562" s="142"/>
      <c r="E562" s="131"/>
      <c r="F562" s="131"/>
      <c r="G562" s="131"/>
      <c r="H562" s="131"/>
      <c r="I562" s="131"/>
      <c r="J562" s="131"/>
      <c r="K562" s="131"/>
      <c r="L562" s="131"/>
      <c r="M562" s="131"/>
      <c r="N562" s="131"/>
      <c r="O562" s="142"/>
      <c r="P562" s="142"/>
      <c r="Q562" s="142"/>
      <c r="R562" s="131"/>
      <c r="S562" s="142"/>
      <c r="T562" s="142"/>
      <c r="U562" s="142"/>
      <c r="V562" s="142"/>
      <c r="W562" s="142"/>
      <c r="X562" s="142"/>
      <c r="Y562" s="142"/>
      <c r="Z562" s="142"/>
      <c r="AA562" s="142"/>
      <c r="AB562" s="142"/>
    </row>
    <row r="563" ht="13.5" customHeight="1">
      <c r="A563" s="142"/>
      <c r="B563" s="142"/>
      <c r="C563" s="142"/>
      <c r="D563" s="142"/>
      <c r="E563" s="131"/>
      <c r="F563" s="131"/>
      <c r="G563" s="131"/>
      <c r="H563" s="131"/>
      <c r="I563" s="131"/>
      <c r="J563" s="131"/>
      <c r="K563" s="131"/>
      <c r="L563" s="131"/>
      <c r="M563" s="131"/>
      <c r="N563" s="131"/>
      <c r="O563" s="142"/>
      <c r="P563" s="142"/>
      <c r="Q563" s="142"/>
      <c r="R563" s="131"/>
      <c r="S563" s="142"/>
      <c r="T563" s="142"/>
      <c r="U563" s="142"/>
      <c r="V563" s="142"/>
      <c r="W563" s="142"/>
      <c r="X563" s="142"/>
      <c r="Y563" s="142"/>
      <c r="Z563" s="142"/>
      <c r="AA563" s="142"/>
      <c r="AB563" s="142"/>
    </row>
    <row r="564" ht="13.5" customHeight="1">
      <c r="A564" s="142"/>
      <c r="B564" s="142"/>
      <c r="C564" s="142"/>
      <c r="D564" s="142"/>
      <c r="E564" s="131"/>
      <c r="F564" s="131"/>
      <c r="G564" s="131"/>
      <c r="H564" s="131"/>
      <c r="I564" s="131"/>
      <c r="J564" s="131"/>
      <c r="K564" s="131"/>
      <c r="L564" s="131"/>
      <c r="M564" s="131"/>
      <c r="N564" s="131"/>
      <c r="O564" s="142"/>
      <c r="P564" s="142"/>
      <c r="Q564" s="142"/>
      <c r="R564" s="131"/>
      <c r="S564" s="142"/>
      <c r="T564" s="142"/>
      <c r="U564" s="142"/>
      <c r="V564" s="142"/>
      <c r="W564" s="142"/>
      <c r="X564" s="142"/>
      <c r="Y564" s="142"/>
      <c r="Z564" s="142"/>
      <c r="AA564" s="142"/>
      <c r="AB564" s="142"/>
    </row>
    <row r="565" ht="13.5" customHeight="1">
      <c r="A565" s="142"/>
      <c r="B565" s="142"/>
      <c r="C565" s="142"/>
      <c r="D565" s="142"/>
      <c r="E565" s="131"/>
      <c r="F565" s="131"/>
      <c r="G565" s="131"/>
      <c r="H565" s="131"/>
      <c r="I565" s="131"/>
      <c r="J565" s="131"/>
      <c r="K565" s="131"/>
      <c r="L565" s="131"/>
      <c r="M565" s="131"/>
      <c r="N565" s="131"/>
      <c r="O565" s="142"/>
      <c r="P565" s="142"/>
      <c r="Q565" s="142"/>
      <c r="R565" s="131"/>
      <c r="S565" s="142"/>
      <c r="T565" s="142"/>
      <c r="U565" s="142"/>
      <c r="V565" s="142"/>
      <c r="W565" s="142"/>
      <c r="X565" s="142"/>
      <c r="Y565" s="142"/>
      <c r="Z565" s="142"/>
      <c r="AA565" s="142"/>
      <c r="AB565" s="142"/>
    </row>
    <row r="566" ht="13.5" customHeight="1">
      <c r="A566" s="142"/>
      <c r="B566" s="142"/>
      <c r="C566" s="142"/>
      <c r="D566" s="142"/>
      <c r="E566" s="131"/>
      <c r="F566" s="131"/>
      <c r="G566" s="131"/>
      <c r="H566" s="131"/>
      <c r="I566" s="131"/>
      <c r="J566" s="131"/>
      <c r="K566" s="131"/>
      <c r="L566" s="131"/>
      <c r="M566" s="131"/>
      <c r="N566" s="131"/>
      <c r="O566" s="142"/>
      <c r="P566" s="142"/>
      <c r="Q566" s="142"/>
      <c r="R566" s="131"/>
      <c r="S566" s="142"/>
      <c r="T566" s="142"/>
      <c r="U566" s="142"/>
      <c r="V566" s="142"/>
      <c r="W566" s="142"/>
      <c r="X566" s="142"/>
      <c r="Y566" s="142"/>
      <c r="Z566" s="142"/>
      <c r="AA566" s="142"/>
      <c r="AB566" s="142"/>
    </row>
    <row r="567" ht="13.5" customHeight="1">
      <c r="A567" s="142"/>
      <c r="B567" s="142"/>
      <c r="C567" s="142"/>
      <c r="D567" s="142"/>
      <c r="E567" s="131"/>
      <c r="F567" s="131"/>
      <c r="G567" s="131"/>
      <c r="H567" s="131"/>
      <c r="I567" s="131"/>
      <c r="J567" s="131"/>
      <c r="K567" s="131"/>
      <c r="L567" s="131"/>
      <c r="M567" s="131"/>
      <c r="N567" s="131"/>
      <c r="O567" s="142"/>
      <c r="P567" s="142"/>
      <c r="Q567" s="142"/>
      <c r="R567" s="131"/>
      <c r="S567" s="142"/>
      <c r="T567" s="142"/>
      <c r="U567" s="142"/>
      <c r="V567" s="142"/>
      <c r="W567" s="142"/>
      <c r="X567" s="142"/>
      <c r="Y567" s="142"/>
      <c r="Z567" s="142"/>
      <c r="AA567" s="142"/>
      <c r="AB567" s="142"/>
    </row>
    <row r="568" ht="13.5" customHeight="1">
      <c r="A568" s="142"/>
      <c r="B568" s="142"/>
      <c r="C568" s="142"/>
      <c r="D568" s="142"/>
      <c r="E568" s="131"/>
      <c r="F568" s="131"/>
      <c r="G568" s="131"/>
      <c r="H568" s="131"/>
      <c r="I568" s="131"/>
      <c r="J568" s="131"/>
      <c r="K568" s="131"/>
      <c r="L568" s="131"/>
      <c r="M568" s="131"/>
      <c r="N568" s="131"/>
      <c r="O568" s="142"/>
      <c r="P568" s="142"/>
      <c r="Q568" s="142"/>
      <c r="R568" s="131"/>
      <c r="S568" s="142"/>
      <c r="T568" s="142"/>
      <c r="U568" s="142"/>
      <c r="V568" s="142"/>
      <c r="W568" s="142"/>
      <c r="X568" s="142"/>
      <c r="Y568" s="142"/>
      <c r="Z568" s="142"/>
      <c r="AA568" s="142"/>
      <c r="AB568" s="142"/>
    </row>
    <row r="569" ht="13.5" customHeight="1">
      <c r="A569" s="142"/>
      <c r="B569" s="142"/>
      <c r="C569" s="142"/>
      <c r="D569" s="142"/>
      <c r="E569" s="131"/>
      <c r="F569" s="131"/>
      <c r="G569" s="131"/>
      <c r="H569" s="131"/>
      <c r="I569" s="131"/>
      <c r="J569" s="131"/>
      <c r="K569" s="131"/>
      <c r="L569" s="131"/>
      <c r="M569" s="131"/>
      <c r="N569" s="131"/>
      <c r="O569" s="142"/>
      <c r="P569" s="142"/>
      <c r="Q569" s="142"/>
      <c r="R569" s="131"/>
      <c r="S569" s="142"/>
      <c r="T569" s="142"/>
      <c r="U569" s="142"/>
      <c r="V569" s="142"/>
      <c r="W569" s="142"/>
      <c r="X569" s="142"/>
      <c r="Y569" s="142"/>
      <c r="Z569" s="142"/>
      <c r="AA569" s="142"/>
      <c r="AB569" s="142"/>
    </row>
    <row r="570" ht="13.5" customHeight="1">
      <c r="A570" s="142"/>
      <c r="B570" s="142"/>
      <c r="C570" s="142"/>
      <c r="D570" s="142"/>
      <c r="E570" s="131"/>
      <c r="F570" s="131"/>
      <c r="G570" s="131"/>
      <c r="H570" s="131"/>
      <c r="I570" s="131"/>
      <c r="J570" s="131"/>
      <c r="K570" s="131"/>
      <c r="L570" s="131"/>
      <c r="M570" s="131"/>
      <c r="N570" s="131"/>
      <c r="O570" s="142"/>
      <c r="P570" s="142"/>
      <c r="Q570" s="142"/>
      <c r="R570" s="131"/>
      <c r="S570" s="142"/>
      <c r="T570" s="142"/>
      <c r="U570" s="142"/>
      <c r="V570" s="142"/>
      <c r="W570" s="142"/>
      <c r="X570" s="142"/>
      <c r="Y570" s="142"/>
      <c r="Z570" s="142"/>
      <c r="AA570" s="142"/>
      <c r="AB570" s="142"/>
    </row>
    <row r="571" ht="13.5" customHeight="1">
      <c r="A571" s="142"/>
      <c r="B571" s="142"/>
      <c r="C571" s="142"/>
      <c r="D571" s="142"/>
      <c r="E571" s="131"/>
      <c r="F571" s="131"/>
      <c r="G571" s="131"/>
      <c r="H571" s="131"/>
      <c r="I571" s="131"/>
      <c r="J571" s="131"/>
      <c r="K571" s="131"/>
      <c r="L571" s="131"/>
      <c r="M571" s="131"/>
      <c r="N571" s="131"/>
      <c r="O571" s="142"/>
      <c r="P571" s="142"/>
      <c r="Q571" s="142"/>
      <c r="R571" s="131"/>
      <c r="S571" s="142"/>
      <c r="T571" s="142"/>
      <c r="U571" s="142"/>
      <c r="V571" s="142"/>
      <c r="W571" s="142"/>
      <c r="X571" s="142"/>
      <c r="Y571" s="142"/>
      <c r="Z571" s="142"/>
      <c r="AA571" s="142"/>
      <c r="AB571" s="142"/>
    </row>
    <row r="572" ht="13.5" customHeight="1">
      <c r="A572" s="142"/>
      <c r="B572" s="142"/>
      <c r="C572" s="142"/>
      <c r="D572" s="142"/>
      <c r="E572" s="131"/>
      <c r="F572" s="131"/>
      <c r="G572" s="131"/>
      <c r="H572" s="131"/>
      <c r="I572" s="131"/>
      <c r="J572" s="131"/>
      <c r="K572" s="131"/>
      <c r="L572" s="131"/>
      <c r="M572" s="131"/>
      <c r="N572" s="131"/>
      <c r="O572" s="142"/>
      <c r="P572" s="142"/>
      <c r="Q572" s="142"/>
      <c r="R572" s="131"/>
      <c r="S572" s="142"/>
      <c r="T572" s="142"/>
      <c r="U572" s="142"/>
      <c r="V572" s="142"/>
      <c r="W572" s="142"/>
      <c r="X572" s="142"/>
      <c r="Y572" s="142"/>
      <c r="Z572" s="142"/>
      <c r="AA572" s="142"/>
      <c r="AB572" s="142"/>
    </row>
    <row r="573" ht="13.5" customHeight="1">
      <c r="A573" s="142"/>
      <c r="B573" s="142"/>
      <c r="C573" s="142"/>
      <c r="D573" s="142"/>
      <c r="E573" s="131"/>
      <c r="F573" s="131"/>
      <c r="G573" s="131"/>
      <c r="H573" s="131"/>
      <c r="I573" s="131"/>
      <c r="J573" s="131"/>
      <c r="K573" s="131"/>
      <c r="L573" s="131"/>
      <c r="M573" s="131"/>
      <c r="N573" s="131"/>
      <c r="O573" s="142"/>
      <c r="P573" s="142"/>
      <c r="Q573" s="142"/>
      <c r="R573" s="131"/>
      <c r="S573" s="142"/>
      <c r="T573" s="142"/>
      <c r="U573" s="142"/>
      <c r="V573" s="142"/>
      <c r="W573" s="142"/>
      <c r="X573" s="142"/>
      <c r="Y573" s="142"/>
      <c r="Z573" s="142"/>
      <c r="AA573" s="142"/>
      <c r="AB573" s="142"/>
    </row>
    <row r="574" ht="13.5" customHeight="1">
      <c r="A574" s="142"/>
      <c r="B574" s="142"/>
      <c r="C574" s="142"/>
      <c r="D574" s="142"/>
      <c r="E574" s="131"/>
      <c r="F574" s="131"/>
      <c r="G574" s="131"/>
      <c r="H574" s="131"/>
      <c r="I574" s="131"/>
      <c r="J574" s="131"/>
      <c r="K574" s="131"/>
      <c r="L574" s="131"/>
      <c r="M574" s="131"/>
      <c r="N574" s="131"/>
      <c r="O574" s="142"/>
      <c r="P574" s="142"/>
      <c r="Q574" s="142"/>
      <c r="R574" s="131"/>
      <c r="S574" s="142"/>
      <c r="T574" s="142"/>
      <c r="U574" s="142"/>
      <c r="V574" s="142"/>
      <c r="W574" s="142"/>
      <c r="X574" s="142"/>
      <c r="Y574" s="142"/>
      <c r="Z574" s="142"/>
      <c r="AA574" s="142"/>
      <c r="AB574" s="142"/>
    </row>
    <row r="575" ht="13.5" customHeight="1">
      <c r="A575" s="142"/>
      <c r="B575" s="142"/>
      <c r="C575" s="142"/>
      <c r="D575" s="142"/>
      <c r="E575" s="131"/>
      <c r="F575" s="131"/>
      <c r="G575" s="131"/>
      <c r="H575" s="131"/>
      <c r="I575" s="131"/>
      <c r="J575" s="131"/>
      <c r="K575" s="131"/>
      <c r="L575" s="131"/>
      <c r="M575" s="131"/>
      <c r="N575" s="131"/>
      <c r="O575" s="142"/>
      <c r="P575" s="142"/>
      <c r="Q575" s="142"/>
      <c r="R575" s="131"/>
      <c r="S575" s="142"/>
      <c r="T575" s="142"/>
      <c r="U575" s="142"/>
      <c r="V575" s="142"/>
      <c r="W575" s="142"/>
      <c r="X575" s="142"/>
      <c r="Y575" s="142"/>
      <c r="Z575" s="142"/>
      <c r="AA575" s="142"/>
      <c r="AB575" s="142"/>
    </row>
    <row r="576" ht="13.5" customHeight="1">
      <c r="A576" s="142"/>
      <c r="B576" s="142"/>
      <c r="C576" s="142"/>
      <c r="D576" s="142"/>
      <c r="E576" s="131"/>
      <c r="F576" s="131"/>
      <c r="G576" s="131"/>
      <c r="H576" s="131"/>
      <c r="I576" s="131"/>
      <c r="J576" s="131"/>
      <c r="K576" s="131"/>
      <c r="L576" s="131"/>
      <c r="M576" s="131"/>
      <c r="N576" s="131"/>
      <c r="O576" s="142"/>
      <c r="P576" s="142"/>
      <c r="Q576" s="142"/>
      <c r="R576" s="131"/>
      <c r="S576" s="142"/>
      <c r="T576" s="142"/>
      <c r="U576" s="142"/>
      <c r="V576" s="142"/>
      <c r="W576" s="142"/>
      <c r="X576" s="142"/>
      <c r="Y576" s="142"/>
      <c r="Z576" s="142"/>
      <c r="AA576" s="142"/>
      <c r="AB576" s="142"/>
    </row>
    <row r="577" ht="13.5" customHeight="1">
      <c r="A577" s="142"/>
      <c r="B577" s="142"/>
      <c r="C577" s="142"/>
      <c r="D577" s="142"/>
      <c r="E577" s="131"/>
      <c r="F577" s="131"/>
      <c r="G577" s="131"/>
      <c r="H577" s="131"/>
      <c r="I577" s="131"/>
      <c r="J577" s="131"/>
      <c r="K577" s="131"/>
      <c r="L577" s="131"/>
      <c r="M577" s="131"/>
      <c r="N577" s="131"/>
      <c r="O577" s="142"/>
      <c r="P577" s="142"/>
      <c r="Q577" s="142"/>
      <c r="R577" s="131"/>
      <c r="S577" s="142"/>
      <c r="T577" s="142"/>
      <c r="U577" s="142"/>
      <c r="V577" s="142"/>
      <c r="W577" s="142"/>
      <c r="X577" s="142"/>
      <c r="Y577" s="142"/>
      <c r="Z577" s="142"/>
      <c r="AA577" s="142"/>
      <c r="AB577" s="142"/>
    </row>
    <row r="578" ht="13.5" customHeight="1">
      <c r="A578" s="142"/>
      <c r="B578" s="142"/>
      <c r="C578" s="142"/>
      <c r="D578" s="142"/>
      <c r="E578" s="131"/>
      <c r="F578" s="131"/>
      <c r="G578" s="131"/>
      <c r="H578" s="131"/>
      <c r="I578" s="131"/>
      <c r="J578" s="131"/>
      <c r="K578" s="131"/>
      <c r="L578" s="131"/>
      <c r="M578" s="131"/>
      <c r="N578" s="131"/>
      <c r="O578" s="142"/>
      <c r="P578" s="142"/>
      <c r="Q578" s="142"/>
      <c r="R578" s="131"/>
      <c r="S578" s="142"/>
      <c r="T578" s="142"/>
      <c r="U578" s="142"/>
      <c r="V578" s="142"/>
      <c r="W578" s="142"/>
      <c r="X578" s="142"/>
      <c r="Y578" s="142"/>
      <c r="Z578" s="142"/>
      <c r="AA578" s="142"/>
      <c r="AB578" s="142"/>
    </row>
    <row r="579" ht="13.5" customHeight="1">
      <c r="A579" s="142"/>
      <c r="B579" s="142"/>
      <c r="C579" s="142"/>
      <c r="D579" s="142"/>
      <c r="E579" s="131"/>
      <c r="F579" s="131"/>
      <c r="G579" s="131"/>
      <c r="H579" s="131"/>
      <c r="I579" s="131"/>
      <c r="J579" s="131"/>
      <c r="K579" s="131"/>
      <c r="L579" s="131"/>
      <c r="M579" s="131"/>
      <c r="N579" s="131"/>
      <c r="O579" s="142"/>
      <c r="P579" s="142"/>
      <c r="Q579" s="142"/>
      <c r="R579" s="131"/>
      <c r="S579" s="142"/>
      <c r="T579" s="142"/>
      <c r="U579" s="142"/>
      <c r="V579" s="142"/>
      <c r="W579" s="142"/>
      <c r="X579" s="142"/>
      <c r="Y579" s="142"/>
      <c r="Z579" s="142"/>
      <c r="AA579" s="142"/>
      <c r="AB579" s="142"/>
    </row>
    <row r="580" ht="13.5" customHeight="1">
      <c r="A580" s="142"/>
      <c r="B580" s="142"/>
      <c r="C580" s="142"/>
      <c r="D580" s="142"/>
      <c r="E580" s="131"/>
      <c r="F580" s="131"/>
      <c r="G580" s="131"/>
      <c r="H580" s="131"/>
      <c r="I580" s="131"/>
      <c r="J580" s="131"/>
      <c r="K580" s="131"/>
      <c r="L580" s="131"/>
      <c r="M580" s="131"/>
      <c r="N580" s="131"/>
      <c r="O580" s="142"/>
      <c r="P580" s="142"/>
      <c r="Q580" s="142"/>
      <c r="R580" s="131"/>
      <c r="S580" s="142"/>
      <c r="T580" s="142"/>
      <c r="U580" s="142"/>
      <c r="V580" s="142"/>
      <c r="W580" s="142"/>
      <c r="X580" s="142"/>
      <c r="Y580" s="142"/>
      <c r="Z580" s="142"/>
      <c r="AA580" s="142"/>
      <c r="AB580" s="142"/>
    </row>
    <row r="581" ht="13.5" customHeight="1">
      <c r="A581" s="142"/>
      <c r="B581" s="142"/>
      <c r="C581" s="142"/>
      <c r="D581" s="142"/>
      <c r="E581" s="131"/>
      <c r="F581" s="131"/>
      <c r="G581" s="131"/>
      <c r="H581" s="131"/>
      <c r="I581" s="131"/>
      <c r="J581" s="131"/>
      <c r="K581" s="131"/>
      <c r="L581" s="131"/>
      <c r="M581" s="131"/>
      <c r="N581" s="131"/>
      <c r="O581" s="142"/>
      <c r="P581" s="142"/>
      <c r="Q581" s="142"/>
      <c r="R581" s="131"/>
      <c r="S581" s="142"/>
      <c r="T581" s="142"/>
      <c r="U581" s="142"/>
      <c r="V581" s="142"/>
      <c r="W581" s="142"/>
      <c r="X581" s="142"/>
      <c r="Y581" s="142"/>
      <c r="Z581" s="142"/>
      <c r="AA581" s="142"/>
      <c r="AB581" s="142"/>
    </row>
    <row r="582" ht="13.5" customHeight="1">
      <c r="A582" s="142"/>
      <c r="B582" s="142"/>
      <c r="C582" s="142"/>
      <c r="D582" s="142"/>
      <c r="E582" s="131"/>
      <c r="F582" s="131"/>
      <c r="G582" s="131"/>
      <c r="H582" s="131"/>
      <c r="I582" s="131"/>
      <c r="J582" s="131"/>
      <c r="K582" s="131"/>
      <c r="L582" s="131"/>
      <c r="M582" s="131"/>
      <c r="N582" s="131"/>
      <c r="O582" s="142"/>
      <c r="P582" s="142"/>
      <c r="Q582" s="142"/>
      <c r="R582" s="131"/>
      <c r="S582" s="142"/>
      <c r="T582" s="142"/>
      <c r="U582" s="142"/>
      <c r="V582" s="142"/>
      <c r="W582" s="142"/>
      <c r="X582" s="142"/>
      <c r="Y582" s="142"/>
      <c r="Z582" s="142"/>
      <c r="AA582" s="142"/>
      <c r="AB582" s="142"/>
    </row>
    <row r="583" ht="13.5" customHeight="1">
      <c r="A583" s="142"/>
      <c r="B583" s="142"/>
      <c r="C583" s="142"/>
      <c r="D583" s="142"/>
      <c r="E583" s="131"/>
      <c r="F583" s="131"/>
      <c r="G583" s="131"/>
      <c r="H583" s="131"/>
      <c r="I583" s="131"/>
      <c r="J583" s="131"/>
      <c r="K583" s="131"/>
      <c r="L583" s="131"/>
      <c r="M583" s="131"/>
      <c r="N583" s="131"/>
      <c r="O583" s="142"/>
      <c r="P583" s="142"/>
      <c r="Q583" s="142"/>
      <c r="R583" s="131"/>
      <c r="S583" s="142"/>
      <c r="T583" s="142"/>
      <c r="U583" s="142"/>
      <c r="V583" s="142"/>
      <c r="W583" s="142"/>
      <c r="X583" s="142"/>
      <c r="Y583" s="142"/>
      <c r="Z583" s="142"/>
      <c r="AA583" s="142"/>
      <c r="AB583" s="142"/>
    </row>
    <row r="584" ht="13.5" customHeight="1">
      <c r="A584" s="142"/>
      <c r="B584" s="142"/>
      <c r="C584" s="142"/>
      <c r="D584" s="142"/>
      <c r="E584" s="131"/>
      <c r="F584" s="131"/>
      <c r="G584" s="131"/>
      <c r="H584" s="131"/>
      <c r="I584" s="131"/>
      <c r="J584" s="131"/>
      <c r="K584" s="131"/>
      <c r="L584" s="131"/>
      <c r="M584" s="131"/>
      <c r="N584" s="131"/>
      <c r="O584" s="142"/>
      <c r="P584" s="142"/>
      <c r="Q584" s="142"/>
      <c r="R584" s="131"/>
      <c r="S584" s="142"/>
      <c r="T584" s="142"/>
      <c r="U584" s="142"/>
      <c r="V584" s="142"/>
      <c r="W584" s="142"/>
      <c r="X584" s="142"/>
      <c r="Y584" s="142"/>
      <c r="Z584" s="142"/>
      <c r="AA584" s="142"/>
      <c r="AB584" s="142"/>
    </row>
    <row r="585" ht="13.5" customHeight="1">
      <c r="A585" s="142"/>
      <c r="B585" s="142"/>
      <c r="C585" s="142"/>
      <c r="D585" s="142"/>
      <c r="E585" s="131"/>
      <c r="F585" s="131"/>
      <c r="G585" s="131"/>
      <c r="H585" s="131"/>
      <c r="I585" s="131"/>
      <c r="J585" s="131"/>
      <c r="K585" s="131"/>
      <c r="L585" s="131"/>
      <c r="M585" s="131"/>
      <c r="N585" s="131"/>
      <c r="O585" s="142"/>
      <c r="P585" s="142"/>
      <c r="Q585" s="142"/>
      <c r="R585" s="131"/>
      <c r="S585" s="142"/>
      <c r="T585" s="142"/>
      <c r="U585" s="142"/>
      <c r="V585" s="142"/>
      <c r="W585" s="142"/>
      <c r="X585" s="142"/>
      <c r="Y585" s="142"/>
      <c r="Z585" s="142"/>
      <c r="AA585" s="142"/>
      <c r="AB585" s="142"/>
    </row>
    <row r="586" ht="13.5" customHeight="1">
      <c r="A586" s="142"/>
      <c r="B586" s="142"/>
      <c r="C586" s="142"/>
      <c r="D586" s="142"/>
      <c r="E586" s="131"/>
      <c r="F586" s="131"/>
      <c r="G586" s="131"/>
      <c r="H586" s="131"/>
      <c r="I586" s="131"/>
      <c r="J586" s="131"/>
      <c r="K586" s="131"/>
      <c r="L586" s="131"/>
      <c r="M586" s="131"/>
      <c r="N586" s="131"/>
      <c r="O586" s="142"/>
      <c r="P586" s="142"/>
      <c r="Q586" s="142"/>
      <c r="R586" s="131"/>
      <c r="S586" s="142"/>
      <c r="T586" s="142"/>
      <c r="U586" s="142"/>
      <c r="V586" s="142"/>
      <c r="W586" s="142"/>
      <c r="X586" s="142"/>
      <c r="Y586" s="142"/>
      <c r="Z586" s="142"/>
      <c r="AA586" s="142"/>
      <c r="AB586" s="142"/>
    </row>
    <row r="587" ht="13.5" customHeight="1">
      <c r="A587" s="142"/>
      <c r="B587" s="142"/>
      <c r="C587" s="142"/>
      <c r="D587" s="142"/>
      <c r="E587" s="131"/>
      <c r="F587" s="131"/>
      <c r="G587" s="131"/>
      <c r="H587" s="131"/>
      <c r="I587" s="131"/>
      <c r="J587" s="131"/>
      <c r="K587" s="131"/>
      <c r="L587" s="131"/>
      <c r="M587" s="131"/>
      <c r="N587" s="131"/>
      <c r="O587" s="142"/>
      <c r="P587" s="142"/>
      <c r="Q587" s="142"/>
      <c r="R587" s="131"/>
      <c r="S587" s="142"/>
      <c r="T587" s="142"/>
      <c r="U587" s="142"/>
      <c r="V587" s="142"/>
      <c r="W587" s="142"/>
      <c r="X587" s="142"/>
      <c r="Y587" s="142"/>
      <c r="Z587" s="142"/>
      <c r="AA587" s="142"/>
      <c r="AB587" s="142"/>
    </row>
    <row r="588" ht="13.5" customHeight="1">
      <c r="A588" s="142"/>
      <c r="B588" s="142"/>
      <c r="C588" s="142"/>
      <c r="D588" s="142"/>
      <c r="E588" s="131"/>
      <c r="F588" s="131"/>
      <c r="G588" s="131"/>
      <c r="H588" s="131"/>
      <c r="I588" s="131"/>
      <c r="J588" s="131"/>
      <c r="K588" s="131"/>
      <c r="L588" s="131"/>
      <c r="M588" s="131"/>
      <c r="N588" s="131"/>
      <c r="O588" s="142"/>
      <c r="P588" s="142"/>
      <c r="Q588" s="142"/>
      <c r="R588" s="131"/>
      <c r="S588" s="142"/>
      <c r="T588" s="142"/>
      <c r="U588" s="142"/>
      <c r="V588" s="142"/>
      <c r="W588" s="142"/>
      <c r="X588" s="142"/>
      <c r="Y588" s="142"/>
      <c r="Z588" s="142"/>
      <c r="AA588" s="142"/>
      <c r="AB588" s="142"/>
    </row>
    <row r="589" ht="13.5" customHeight="1">
      <c r="A589" s="142"/>
      <c r="B589" s="142"/>
      <c r="C589" s="142"/>
      <c r="D589" s="142"/>
      <c r="E589" s="131"/>
      <c r="F589" s="131"/>
      <c r="G589" s="131"/>
      <c r="H589" s="131"/>
      <c r="I589" s="131"/>
      <c r="J589" s="131"/>
      <c r="K589" s="131"/>
      <c r="L589" s="131"/>
      <c r="M589" s="131"/>
      <c r="N589" s="131"/>
      <c r="O589" s="142"/>
      <c r="P589" s="142"/>
      <c r="Q589" s="142"/>
      <c r="R589" s="131"/>
      <c r="S589" s="142"/>
      <c r="T589" s="142"/>
      <c r="U589" s="142"/>
      <c r="V589" s="142"/>
      <c r="W589" s="142"/>
      <c r="X589" s="142"/>
      <c r="Y589" s="142"/>
      <c r="Z589" s="142"/>
      <c r="AA589" s="142"/>
      <c r="AB589" s="142"/>
    </row>
    <row r="590" ht="13.5" customHeight="1">
      <c r="A590" s="142"/>
      <c r="B590" s="142"/>
      <c r="C590" s="142"/>
      <c r="D590" s="142"/>
      <c r="E590" s="131"/>
      <c r="F590" s="131"/>
      <c r="G590" s="131"/>
      <c r="H590" s="131"/>
      <c r="I590" s="131"/>
      <c r="J590" s="131"/>
      <c r="K590" s="131"/>
      <c r="L590" s="131"/>
      <c r="M590" s="131"/>
      <c r="N590" s="131"/>
      <c r="O590" s="142"/>
      <c r="P590" s="142"/>
      <c r="Q590" s="142"/>
      <c r="R590" s="131"/>
      <c r="S590" s="142"/>
      <c r="T590" s="142"/>
      <c r="U590" s="142"/>
      <c r="V590" s="142"/>
      <c r="W590" s="142"/>
      <c r="X590" s="142"/>
      <c r="Y590" s="142"/>
      <c r="Z590" s="142"/>
      <c r="AA590" s="142"/>
      <c r="AB590" s="142"/>
    </row>
    <row r="591" ht="13.5" customHeight="1">
      <c r="A591" s="142"/>
      <c r="B591" s="142"/>
      <c r="C591" s="142"/>
      <c r="D591" s="142"/>
      <c r="E591" s="131"/>
      <c r="F591" s="131"/>
      <c r="G591" s="131"/>
      <c r="H591" s="131"/>
      <c r="I591" s="131"/>
      <c r="J591" s="131"/>
      <c r="K591" s="131"/>
      <c r="L591" s="131"/>
      <c r="M591" s="131"/>
      <c r="N591" s="131"/>
      <c r="O591" s="142"/>
      <c r="P591" s="142"/>
      <c r="Q591" s="142"/>
      <c r="R591" s="131"/>
      <c r="S591" s="142"/>
      <c r="T591" s="142"/>
      <c r="U591" s="142"/>
      <c r="V591" s="142"/>
      <c r="W591" s="142"/>
      <c r="X591" s="142"/>
      <c r="Y591" s="142"/>
      <c r="Z591" s="142"/>
      <c r="AA591" s="142"/>
      <c r="AB591" s="142"/>
    </row>
    <row r="592" ht="13.5" customHeight="1">
      <c r="A592" s="142"/>
      <c r="B592" s="142"/>
      <c r="C592" s="142"/>
      <c r="D592" s="142"/>
      <c r="E592" s="131"/>
      <c r="F592" s="131"/>
      <c r="G592" s="131"/>
      <c r="H592" s="131"/>
      <c r="I592" s="131"/>
      <c r="J592" s="131"/>
      <c r="K592" s="131"/>
      <c r="L592" s="131"/>
      <c r="M592" s="131"/>
      <c r="N592" s="131"/>
      <c r="O592" s="142"/>
      <c r="P592" s="142"/>
      <c r="Q592" s="142"/>
      <c r="R592" s="131"/>
      <c r="S592" s="142"/>
      <c r="T592" s="142"/>
      <c r="U592" s="142"/>
      <c r="V592" s="142"/>
      <c r="W592" s="142"/>
      <c r="X592" s="142"/>
      <c r="Y592" s="142"/>
      <c r="Z592" s="142"/>
      <c r="AA592" s="142"/>
      <c r="AB592" s="142"/>
    </row>
    <row r="593" ht="13.5" customHeight="1">
      <c r="A593" s="142"/>
      <c r="B593" s="142"/>
      <c r="C593" s="142"/>
      <c r="D593" s="142"/>
      <c r="E593" s="131"/>
      <c r="F593" s="131"/>
      <c r="G593" s="131"/>
      <c r="H593" s="131"/>
      <c r="I593" s="131"/>
      <c r="J593" s="131"/>
      <c r="K593" s="131"/>
      <c r="L593" s="131"/>
      <c r="M593" s="131"/>
      <c r="N593" s="131"/>
      <c r="O593" s="142"/>
      <c r="P593" s="142"/>
      <c r="Q593" s="142"/>
      <c r="R593" s="131"/>
      <c r="S593" s="142"/>
      <c r="T593" s="142"/>
      <c r="U593" s="142"/>
      <c r="V593" s="142"/>
      <c r="W593" s="142"/>
      <c r="X593" s="142"/>
      <c r="Y593" s="142"/>
      <c r="Z593" s="142"/>
      <c r="AA593" s="142"/>
      <c r="AB593" s="142"/>
    </row>
    <row r="594" ht="13.5" customHeight="1">
      <c r="A594" s="142"/>
      <c r="B594" s="142"/>
      <c r="C594" s="142"/>
      <c r="D594" s="142"/>
      <c r="E594" s="131"/>
      <c r="F594" s="131"/>
      <c r="G594" s="131"/>
      <c r="H594" s="131"/>
      <c r="I594" s="131"/>
      <c r="J594" s="131"/>
      <c r="K594" s="131"/>
      <c r="L594" s="131"/>
      <c r="M594" s="131"/>
      <c r="N594" s="131"/>
      <c r="O594" s="142"/>
      <c r="P594" s="142"/>
      <c r="Q594" s="142"/>
      <c r="R594" s="131"/>
      <c r="S594" s="142"/>
      <c r="T594" s="142"/>
      <c r="U594" s="142"/>
      <c r="V594" s="142"/>
      <c r="W594" s="142"/>
      <c r="X594" s="142"/>
      <c r="Y594" s="142"/>
      <c r="Z594" s="142"/>
      <c r="AA594" s="142"/>
      <c r="AB594" s="142"/>
    </row>
    <row r="595" ht="13.5" customHeight="1">
      <c r="A595" s="142"/>
      <c r="B595" s="142"/>
      <c r="C595" s="142"/>
      <c r="D595" s="142"/>
      <c r="E595" s="131"/>
      <c r="F595" s="131"/>
      <c r="G595" s="131"/>
      <c r="H595" s="131"/>
      <c r="I595" s="131"/>
      <c r="J595" s="131"/>
      <c r="K595" s="131"/>
      <c r="L595" s="131"/>
      <c r="M595" s="131"/>
      <c r="N595" s="131"/>
      <c r="O595" s="142"/>
      <c r="P595" s="142"/>
      <c r="Q595" s="142"/>
      <c r="R595" s="131"/>
      <c r="S595" s="142"/>
      <c r="T595" s="142"/>
      <c r="U595" s="142"/>
      <c r="V595" s="142"/>
      <c r="W595" s="142"/>
      <c r="X595" s="142"/>
      <c r="Y595" s="142"/>
      <c r="Z595" s="142"/>
      <c r="AA595" s="142"/>
      <c r="AB595" s="142"/>
    </row>
    <row r="596" ht="13.5" customHeight="1">
      <c r="A596" s="142"/>
      <c r="B596" s="142"/>
      <c r="C596" s="142"/>
      <c r="D596" s="142"/>
      <c r="E596" s="131"/>
      <c r="F596" s="131"/>
      <c r="G596" s="131"/>
      <c r="H596" s="131"/>
      <c r="I596" s="131"/>
      <c r="J596" s="131"/>
      <c r="K596" s="131"/>
      <c r="L596" s="131"/>
      <c r="M596" s="131"/>
      <c r="N596" s="131"/>
      <c r="O596" s="142"/>
      <c r="P596" s="142"/>
      <c r="Q596" s="142"/>
      <c r="R596" s="131"/>
      <c r="S596" s="142"/>
      <c r="T596" s="142"/>
      <c r="U596" s="142"/>
      <c r="V596" s="142"/>
      <c r="W596" s="142"/>
      <c r="X596" s="142"/>
      <c r="Y596" s="142"/>
      <c r="Z596" s="142"/>
      <c r="AA596" s="142"/>
      <c r="AB596" s="142"/>
    </row>
    <row r="597" ht="13.5" customHeight="1">
      <c r="A597" s="142"/>
      <c r="B597" s="142"/>
      <c r="C597" s="142"/>
      <c r="D597" s="142"/>
      <c r="E597" s="131"/>
      <c r="F597" s="131"/>
      <c r="G597" s="131"/>
      <c r="H597" s="131"/>
      <c r="I597" s="131"/>
      <c r="J597" s="131"/>
      <c r="K597" s="131"/>
      <c r="L597" s="131"/>
      <c r="M597" s="131"/>
      <c r="N597" s="131"/>
      <c r="O597" s="142"/>
      <c r="P597" s="142"/>
      <c r="Q597" s="142"/>
      <c r="R597" s="131"/>
      <c r="S597" s="142"/>
      <c r="T597" s="142"/>
      <c r="U597" s="142"/>
      <c r="V597" s="142"/>
      <c r="W597" s="142"/>
      <c r="X597" s="142"/>
      <c r="Y597" s="142"/>
      <c r="Z597" s="142"/>
      <c r="AA597" s="142"/>
      <c r="AB597" s="142"/>
    </row>
    <row r="598" ht="13.5" customHeight="1">
      <c r="A598" s="142"/>
      <c r="B598" s="142"/>
      <c r="C598" s="142"/>
      <c r="D598" s="142"/>
      <c r="E598" s="131"/>
      <c r="F598" s="131"/>
      <c r="G598" s="131"/>
      <c r="H598" s="131"/>
      <c r="I598" s="131"/>
      <c r="J598" s="131"/>
      <c r="K598" s="131"/>
      <c r="L598" s="131"/>
      <c r="M598" s="131"/>
      <c r="N598" s="131"/>
      <c r="O598" s="142"/>
      <c r="P598" s="142"/>
      <c r="Q598" s="142"/>
      <c r="R598" s="131"/>
      <c r="S598" s="142"/>
      <c r="T598" s="142"/>
      <c r="U598" s="142"/>
      <c r="V598" s="142"/>
      <c r="W598" s="142"/>
      <c r="X598" s="142"/>
      <c r="Y598" s="142"/>
      <c r="Z598" s="142"/>
      <c r="AA598" s="142"/>
      <c r="AB598" s="142"/>
    </row>
    <row r="599" ht="13.5" customHeight="1">
      <c r="A599" s="142"/>
      <c r="B599" s="142"/>
      <c r="C599" s="142"/>
      <c r="D599" s="142"/>
      <c r="E599" s="131"/>
      <c r="F599" s="131"/>
      <c r="G599" s="131"/>
      <c r="H599" s="131"/>
      <c r="I599" s="131"/>
      <c r="J599" s="131"/>
      <c r="K599" s="131"/>
      <c r="L599" s="131"/>
      <c r="M599" s="131"/>
      <c r="N599" s="131"/>
      <c r="O599" s="142"/>
      <c r="P599" s="142"/>
      <c r="Q599" s="142"/>
      <c r="R599" s="131"/>
      <c r="S599" s="142"/>
      <c r="T599" s="142"/>
      <c r="U599" s="142"/>
      <c r="V599" s="142"/>
      <c r="W599" s="142"/>
      <c r="X599" s="142"/>
      <c r="Y599" s="142"/>
      <c r="Z599" s="142"/>
      <c r="AA599" s="142"/>
      <c r="AB599" s="142"/>
    </row>
    <row r="600" ht="13.5" customHeight="1">
      <c r="A600" s="142"/>
      <c r="B600" s="142"/>
      <c r="C600" s="142"/>
      <c r="D600" s="142"/>
      <c r="E600" s="131"/>
      <c r="F600" s="131"/>
      <c r="G600" s="131"/>
      <c r="H600" s="131"/>
      <c r="I600" s="131"/>
      <c r="J600" s="131"/>
      <c r="K600" s="131"/>
      <c r="L600" s="131"/>
      <c r="M600" s="131"/>
      <c r="N600" s="131"/>
      <c r="O600" s="142"/>
      <c r="P600" s="142"/>
      <c r="Q600" s="142"/>
      <c r="R600" s="131"/>
      <c r="S600" s="142"/>
      <c r="T600" s="142"/>
      <c r="U600" s="142"/>
      <c r="V600" s="142"/>
      <c r="W600" s="142"/>
      <c r="X600" s="142"/>
      <c r="Y600" s="142"/>
      <c r="Z600" s="142"/>
      <c r="AA600" s="142"/>
      <c r="AB600" s="142"/>
    </row>
    <row r="601" ht="13.5" customHeight="1">
      <c r="A601" s="142"/>
      <c r="B601" s="142"/>
      <c r="C601" s="142"/>
      <c r="D601" s="142"/>
      <c r="E601" s="131"/>
      <c r="F601" s="131"/>
      <c r="G601" s="131"/>
      <c r="H601" s="131"/>
      <c r="I601" s="131"/>
      <c r="J601" s="131"/>
      <c r="K601" s="131"/>
      <c r="L601" s="131"/>
      <c r="M601" s="131"/>
      <c r="N601" s="131"/>
      <c r="O601" s="142"/>
      <c r="P601" s="142"/>
      <c r="Q601" s="142"/>
      <c r="R601" s="131"/>
      <c r="S601" s="142"/>
      <c r="T601" s="142"/>
      <c r="U601" s="142"/>
      <c r="V601" s="142"/>
      <c r="W601" s="142"/>
      <c r="X601" s="142"/>
      <c r="Y601" s="142"/>
      <c r="Z601" s="142"/>
      <c r="AA601" s="142"/>
      <c r="AB601" s="142"/>
    </row>
    <row r="602" ht="13.5" customHeight="1">
      <c r="A602" s="142"/>
      <c r="B602" s="142"/>
      <c r="C602" s="142"/>
      <c r="D602" s="142"/>
      <c r="E602" s="131"/>
      <c r="F602" s="131"/>
      <c r="G602" s="131"/>
      <c r="H602" s="131"/>
      <c r="I602" s="131"/>
      <c r="J602" s="131"/>
      <c r="K602" s="131"/>
      <c r="L602" s="131"/>
      <c r="M602" s="131"/>
      <c r="N602" s="131"/>
      <c r="O602" s="142"/>
      <c r="P602" s="142"/>
      <c r="Q602" s="142"/>
      <c r="R602" s="131"/>
      <c r="S602" s="142"/>
      <c r="T602" s="142"/>
      <c r="U602" s="142"/>
      <c r="V602" s="142"/>
      <c r="W602" s="142"/>
      <c r="X602" s="142"/>
      <c r="Y602" s="142"/>
      <c r="Z602" s="142"/>
      <c r="AA602" s="142"/>
      <c r="AB602" s="142"/>
    </row>
    <row r="603" ht="13.5" customHeight="1">
      <c r="A603" s="142"/>
      <c r="B603" s="142"/>
      <c r="C603" s="142"/>
      <c r="D603" s="142"/>
      <c r="E603" s="131"/>
      <c r="F603" s="131"/>
      <c r="G603" s="131"/>
      <c r="H603" s="131"/>
      <c r="I603" s="131"/>
      <c r="J603" s="131"/>
      <c r="K603" s="131"/>
      <c r="L603" s="131"/>
      <c r="M603" s="131"/>
      <c r="N603" s="131"/>
      <c r="O603" s="142"/>
      <c r="P603" s="142"/>
      <c r="Q603" s="142"/>
      <c r="R603" s="131"/>
      <c r="S603" s="142"/>
      <c r="T603" s="142"/>
      <c r="U603" s="142"/>
      <c r="V603" s="142"/>
      <c r="W603" s="142"/>
      <c r="X603" s="142"/>
      <c r="Y603" s="142"/>
      <c r="Z603" s="142"/>
      <c r="AA603" s="142"/>
      <c r="AB603" s="142"/>
    </row>
    <row r="604" ht="13.5" customHeight="1">
      <c r="A604" s="142"/>
      <c r="B604" s="142"/>
      <c r="C604" s="142"/>
      <c r="D604" s="142"/>
      <c r="E604" s="131"/>
      <c r="F604" s="131"/>
      <c r="G604" s="131"/>
      <c r="H604" s="131"/>
      <c r="I604" s="131"/>
      <c r="J604" s="131"/>
      <c r="K604" s="131"/>
      <c r="L604" s="131"/>
      <c r="M604" s="131"/>
      <c r="N604" s="131"/>
      <c r="O604" s="142"/>
      <c r="P604" s="142"/>
      <c r="Q604" s="142"/>
      <c r="R604" s="131"/>
      <c r="S604" s="142"/>
      <c r="T604" s="142"/>
      <c r="U604" s="142"/>
      <c r="V604" s="142"/>
      <c r="W604" s="142"/>
      <c r="X604" s="142"/>
      <c r="Y604" s="142"/>
      <c r="Z604" s="142"/>
      <c r="AA604" s="142"/>
      <c r="AB604" s="142"/>
    </row>
    <row r="605" ht="13.5" customHeight="1">
      <c r="A605" s="142"/>
      <c r="B605" s="142"/>
      <c r="C605" s="142"/>
      <c r="D605" s="142"/>
      <c r="E605" s="131"/>
      <c r="F605" s="131"/>
      <c r="G605" s="131"/>
      <c r="H605" s="131"/>
      <c r="I605" s="131"/>
      <c r="J605" s="131"/>
      <c r="K605" s="131"/>
      <c r="L605" s="131"/>
      <c r="M605" s="131"/>
      <c r="N605" s="131"/>
      <c r="O605" s="142"/>
      <c r="P605" s="142"/>
      <c r="Q605" s="142"/>
      <c r="R605" s="131"/>
      <c r="S605" s="142"/>
      <c r="T605" s="142"/>
      <c r="U605" s="142"/>
      <c r="V605" s="142"/>
      <c r="W605" s="142"/>
      <c r="X605" s="142"/>
      <c r="Y605" s="142"/>
      <c r="Z605" s="142"/>
      <c r="AA605" s="142"/>
      <c r="AB605" s="142"/>
    </row>
    <row r="606" ht="13.5" customHeight="1">
      <c r="A606" s="142"/>
      <c r="B606" s="142"/>
      <c r="C606" s="142"/>
      <c r="D606" s="142"/>
      <c r="E606" s="131"/>
      <c r="F606" s="131"/>
      <c r="G606" s="131"/>
      <c r="H606" s="131"/>
      <c r="I606" s="131"/>
      <c r="J606" s="131"/>
      <c r="K606" s="131"/>
      <c r="L606" s="131"/>
      <c r="M606" s="131"/>
      <c r="N606" s="131"/>
      <c r="O606" s="142"/>
      <c r="P606" s="142"/>
      <c r="Q606" s="142"/>
      <c r="R606" s="131"/>
      <c r="S606" s="142"/>
      <c r="T606" s="142"/>
      <c r="U606" s="142"/>
      <c r="V606" s="142"/>
      <c r="W606" s="142"/>
      <c r="X606" s="142"/>
      <c r="Y606" s="142"/>
      <c r="Z606" s="142"/>
      <c r="AA606" s="142"/>
      <c r="AB606" s="142"/>
    </row>
    <row r="607" ht="13.5" customHeight="1">
      <c r="A607" s="142"/>
      <c r="B607" s="142"/>
      <c r="C607" s="142"/>
      <c r="D607" s="142"/>
      <c r="E607" s="131"/>
      <c r="F607" s="131"/>
      <c r="G607" s="131"/>
      <c r="H607" s="131"/>
      <c r="I607" s="131"/>
      <c r="J607" s="131"/>
      <c r="K607" s="131"/>
      <c r="L607" s="131"/>
      <c r="M607" s="131"/>
      <c r="N607" s="131"/>
      <c r="O607" s="142"/>
      <c r="P607" s="142"/>
      <c r="Q607" s="142"/>
      <c r="R607" s="131"/>
      <c r="S607" s="142"/>
      <c r="T607" s="142"/>
      <c r="U607" s="142"/>
      <c r="V607" s="142"/>
      <c r="W607" s="142"/>
      <c r="X607" s="142"/>
      <c r="Y607" s="142"/>
      <c r="Z607" s="142"/>
      <c r="AA607" s="142"/>
      <c r="AB607" s="142"/>
    </row>
    <row r="608" ht="13.5" customHeight="1">
      <c r="A608" s="142"/>
      <c r="B608" s="142"/>
      <c r="C608" s="142"/>
      <c r="D608" s="142"/>
      <c r="E608" s="131"/>
      <c r="F608" s="131"/>
      <c r="G608" s="131"/>
      <c r="H608" s="131"/>
      <c r="I608" s="131"/>
      <c r="J608" s="131"/>
      <c r="K608" s="131"/>
      <c r="L608" s="131"/>
      <c r="M608" s="131"/>
      <c r="N608" s="131"/>
      <c r="O608" s="142"/>
      <c r="P608" s="142"/>
      <c r="Q608" s="142"/>
      <c r="R608" s="131"/>
      <c r="S608" s="142"/>
      <c r="T608" s="142"/>
      <c r="U608" s="142"/>
      <c r="V608" s="142"/>
      <c r="W608" s="142"/>
      <c r="X608" s="142"/>
      <c r="Y608" s="142"/>
      <c r="Z608" s="142"/>
      <c r="AA608" s="142"/>
      <c r="AB608" s="142"/>
    </row>
    <row r="609" ht="13.5" customHeight="1">
      <c r="A609" s="142"/>
      <c r="B609" s="142"/>
      <c r="C609" s="142"/>
      <c r="D609" s="142"/>
      <c r="E609" s="131"/>
      <c r="F609" s="131"/>
      <c r="G609" s="131"/>
      <c r="H609" s="131"/>
      <c r="I609" s="131"/>
      <c r="J609" s="131"/>
      <c r="K609" s="131"/>
      <c r="L609" s="131"/>
      <c r="M609" s="131"/>
      <c r="N609" s="131"/>
      <c r="O609" s="142"/>
      <c r="P609" s="142"/>
      <c r="Q609" s="142"/>
      <c r="R609" s="131"/>
      <c r="S609" s="142"/>
      <c r="T609" s="142"/>
      <c r="U609" s="142"/>
      <c r="V609" s="142"/>
      <c r="W609" s="142"/>
      <c r="X609" s="142"/>
      <c r="Y609" s="142"/>
      <c r="Z609" s="142"/>
      <c r="AA609" s="142"/>
      <c r="AB609" s="142"/>
    </row>
    <row r="610" ht="13.5" customHeight="1">
      <c r="A610" s="142"/>
      <c r="B610" s="142"/>
      <c r="C610" s="142"/>
      <c r="D610" s="142"/>
      <c r="E610" s="131"/>
      <c r="F610" s="131"/>
      <c r="G610" s="131"/>
      <c r="H610" s="131"/>
      <c r="I610" s="131"/>
      <c r="J610" s="131"/>
      <c r="K610" s="131"/>
      <c r="L610" s="131"/>
      <c r="M610" s="131"/>
      <c r="N610" s="131"/>
      <c r="O610" s="142"/>
      <c r="P610" s="142"/>
      <c r="Q610" s="142"/>
      <c r="R610" s="131"/>
      <c r="S610" s="142"/>
      <c r="T610" s="142"/>
      <c r="U610" s="142"/>
      <c r="V610" s="142"/>
      <c r="W610" s="142"/>
      <c r="X610" s="142"/>
      <c r="Y610" s="142"/>
      <c r="Z610" s="142"/>
      <c r="AA610" s="142"/>
      <c r="AB610" s="142"/>
    </row>
    <row r="611" ht="13.5" customHeight="1">
      <c r="A611" s="142"/>
      <c r="B611" s="142"/>
      <c r="C611" s="142"/>
      <c r="D611" s="142"/>
      <c r="E611" s="131"/>
      <c r="F611" s="131"/>
      <c r="G611" s="131"/>
      <c r="H611" s="131"/>
      <c r="I611" s="131"/>
      <c r="J611" s="131"/>
      <c r="K611" s="131"/>
      <c r="L611" s="131"/>
      <c r="M611" s="131"/>
      <c r="N611" s="131"/>
      <c r="O611" s="142"/>
      <c r="P611" s="142"/>
      <c r="Q611" s="142"/>
      <c r="R611" s="131"/>
      <c r="S611" s="142"/>
      <c r="T611" s="142"/>
      <c r="U611" s="142"/>
      <c r="V611" s="142"/>
      <c r="W611" s="142"/>
      <c r="X611" s="142"/>
      <c r="Y611" s="142"/>
      <c r="Z611" s="142"/>
      <c r="AA611" s="142"/>
      <c r="AB611" s="142"/>
    </row>
    <row r="612" ht="13.5" customHeight="1">
      <c r="A612" s="142"/>
      <c r="B612" s="142"/>
      <c r="C612" s="142"/>
      <c r="D612" s="142"/>
      <c r="E612" s="131"/>
      <c r="F612" s="131"/>
      <c r="G612" s="131"/>
      <c r="H612" s="131"/>
      <c r="I612" s="131"/>
      <c r="J612" s="131"/>
      <c r="K612" s="131"/>
      <c r="L612" s="131"/>
      <c r="M612" s="131"/>
      <c r="N612" s="131"/>
      <c r="O612" s="142"/>
      <c r="P612" s="142"/>
      <c r="Q612" s="142"/>
      <c r="R612" s="131"/>
      <c r="S612" s="142"/>
      <c r="T612" s="142"/>
      <c r="U612" s="142"/>
      <c r="V612" s="142"/>
      <c r="W612" s="142"/>
      <c r="X612" s="142"/>
      <c r="Y612" s="142"/>
      <c r="Z612" s="142"/>
      <c r="AA612" s="142"/>
      <c r="AB612" s="142"/>
    </row>
    <row r="613" ht="13.5" customHeight="1">
      <c r="A613" s="142"/>
      <c r="B613" s="142"/>
      <c r="C613" s="142"/>
      <c r="D613" s="142"/>
      <c r="E613" s="131"/>
      <c r="F613" s="131"/>
      <c r="G613" s="131"/>
      <c r="H613" s="131"/>
      <c r="I613" s="131"/>
      <c r="J613" s="131"/>
      <c r="K613" s="131"/>
      <c r="L613" s="131"/>
      <c r="M613" s="131"/>
      <c r="N613" s="131"/>
      <c r="O613" s="142"/>
      <c r="P613" s="142"/>
      <c r="Q613" s="142"/>
      <c r="R613" s="131"/>
      <c r="S613" s="142"/>
      <c r="T613" s="142"/>
      <c r="U613" s="142"/>
      <c r="V613" s="142"/>
      <c r="W613" s="142"/>
      <c r="X613" s="142"/>
      <c r="Y613" s="142"/>
      <c r="Z613" s="142"/>
      <c r="AA613" s="142"/>
      <c r="AB613" s="142"/>
    </row>
    <row r="614" ht="13.5" customHeight="1">
      <c r="A614" s="142"/>
      <c r="B614" s="142"/>
      <c r="C614" s="142"/>
      <c r="D614" s="142"/>
      <c r="E614" s="131"/>
      <c r="F614" s="131"/>
      <c r="G614" s="131"/>
      <c r="H614" s="131"/>
      <c r="I614" s="131"/>
      <c r="J614" s="131"/>
      <c r="K614" s="131"/>
      <c r="L614" s="131"/>
      <c r="M614" s="131"/>
      <c r="N614" s="131"/>
      <c r="O614" s="142"/>
      <c r="P614" s="142"/>
      <c r="Q614" s="142"/>
      <c r="R614" s="131"/>
      <c r="S614" s="142"/>
      <c r="T614" s="142"/>
      <c r="U614" s="142"/>
      <c r="V614" s="142"/>
      <c r="W614" s="142"/>
      <c r="X614" s="142"/>
      <c r="Y614" s="142"/>
      <c r="Z614" s="142"/>
      <c r="AA614" s="142"/>
      <c r="AB614" s="142"/>
    </row>
    <row r="615" ht="13.5" customHeight="1">
      <c r="A615" s="142"/>
      <c r="B615" s="142"/>
      <c r="C615" s="142"/>
      <c r="D615" s="142"/>
      <c r="E615" s="131"/>
      <c r="F615" s="131"/>
      <c r="G615" s="131"/>
      <c r="H615" s="131"/>
      <c r="I615" s="131"/>
      <c r="J615" s="131"/>
      <c r="K615" s="131"/>
      <c r="L615" s="131"/>
      <c r="M615" s="131"/>
      <c r="N615" s="131"/>
      <c r="O615" s="142"/>
      <c r="P615" s="142"/>
      <c r="Q615" s="142"/>
      <c r="R615" s="131"/>
      <c r="S615" s="142"/>
      <c r="T615" s="142"/>
      <c r="U615" s="142"/>
      <c r="V615" s="142"/>
      <c r="W615" s="142"/>
      <c r="X615" s="142"/>
      <c r="Y615" s="142"/>
      <c r="Z615" s="142"/>
      <c r="AA615" s="142"/>
      <c r="AB615" s="142"/>
    </row>
    <row r="616" ht="13.5" customHeight="1">
      <c r="A616" s="142"/>
      <c r="B616" s="142"/>
      <c r="C616" s="142"/>
      <c r="D616" s="142"/>
      <c r="E616" s="131"/>
      <c r="F616" s="131"/>
      <c r="G616" s="131"/>
      <c r="H616" s="131"/>
      <c r="I616" s="131"/>
      <c r="J616" s="131"/>
      <c r="K616" s="131"/>
      <c r="L616" s="131"/>
      <c r="M616" s="131"/>
      <c r="N616" s="131"/>
      <c r="O616" s="142"/>
      <c r="P616" s="142"/>
      <c r="Q616" s="142"/>
      <c r="R616" s="131"/>
      <c r="S616" s="142"/>
      <c r="T616" s="142"/>
      <c r="U616" s="142"/>
      <c r="V616" s="142"/>
      <c r="W616" s="142"/>
      <c r="X616" s="142"/>
      <c r="Y616" s="142"/>
      <c r="Z616" s="142"/>
      <c r="AA616" s="142"/>
      <c r="AB616" s="142"/>
    </row>
    <row r="617" ht="13.5" customHeight="1">
      <c r="A617" s="142"/>
      <c r="B617" s="142"/>
      <c r="C617" s="142"/>
      <c r="D617" s="142"/>
      <c r="E617" s="131"/>
      <c r="F617" s="131"/>
      <c r="G617" s="131"/>
      <c r="H617" s="131"/>
      <c r="I617" s="131"/>
      <c r="J617" s="131"/>
      <c r="K617" s="131"/>
      <c r="L617" s="131"/>
      <c r="M617" s="131"/>
      <c r="N617" s="131"/>
      <c r="O617" s="142"/>
      <c r="P617" s="142"/>
      <c r="Q617" s="142"/>
      <c r="R617" s="131"/>
      <c r="S617" s="142"/>
      <c r="T617" s="142"/>
      <c r="U617" s="142"/>
      <c r="V617" s="142"/>
      <c r="W617" s="142"/>
      <c r="X617" s="142"/>
      <c r="Y617" s="142"/>
      <c r="Z617" s="142"/>
      <c r="AA617" s="142"/>
      <c r="AB617" s="142"/>
    </row>
    <row r="618" ht="13.5" customHeight="1">
      <c r="A618" s="142"/>
      <c r="B618" s="142"/>
      <c r="C618" s="142"/>
      <c r="D618" s="142"/>
      <c r="E618" s="131"/>
      <c r="F618" s="131"/>
      <c r="G618" s="131"/>
      <c r="H618" s="131"/>
      <c r="I618" s="131"/>
      <c r="J618" s="131"/>
      <c r="K618" s="131"/>
      <c r="L618" s="131"/>
      <c r="M618" s="131"/>
      <c r="N618" s="131"/>
      <c r="O618" s="142"/>
      <c r="P618" s="142"/>
      <c r="Q618" s="142"/>
      <c r="R618" s="131"/>
      <c r="S618" s="142"/>
      <c r="T618" s="142"/>
      <c r="U618" s="142"/>
      <c r="V618" s="142"/>
      <c r="W618" s="142"/>
      <c r="X618" s="142"/>
      <c r="Y618" s="142"/>
      <c r="Z618" s="142"/>
      <c r="AA618" s="142"/>
      <c r="AB618" s="142"/>
    </row>
    <row r="619" ht="13.5" customHeight="1">
      <c r="A619" s="142"/>
      <c r="B619" s="142"/>
      <c r="C619" s="142"/>
      <c r="D619" s="142"/>
      <c r="E619" s="131"/>
      <c r="F619" s="131"/>
      <c r="G619" s="131"/>
      <c r="H619" s="131"/>
      <c r="I619" s="131"/>
      <c r="J619" s="131"/>
      <c r="K619" s="131"/>
      <c r="L619" s="131"/>
      <c r="M619" s="131"/>
      <c r="N619" s="131"/>
      <c r="O619" s="142"/>
      <c r="P619" s="142"/>
      <c r="Q619" s="142"/>
      <c r="R619" s="131"/>
      <c r="S619" s="142"/>
      <c r="T619" s="142"/>
      <c r="U619" s="142"/>
      <c r="V619" s="142"/>
      <c r="W619" s="142"/>
      <c r="X619" s="142"/>
      <c r="Y619" s="142"/>
      <c r="Z619" s="142"/>
      <c r="AA619" s="142"/>
      <c r="AB619" s="142"/>
    </row>
    <row r="620" ht="13.5" customHeight="1">
      <c r="A620" s="142"/>
      <c r="B620" s="142"/>
      <c r="C620" s="142"/>
      <c r="D620" s="142"/>
      <c r="E620" s="131"/>
      <c r="F620" s="131"/>
      <c r="G620" s="131"/>
      <c r="H620" s="131"/>
      <c r="I620" s="131"/>
      <c r="J620" s="131"/>
      <c r="K620" s="131"/>
      <c r="L620" s="131"/>
      <c r="M620" s="131"/>
      <c r="N620" s="131"/>
      <c r="O620" s="142"/>
      <c r="P620" s="142"/>
      <c r="Q620" s="142"/>
      <c r="R620" s="131"/>
      <c r="S620" s="142"/>
      <c r="T620" s="142"/>
      <c r="U620" s="142"/>
      <c r="V620" s="142"/>
      <c r="W620" s="142"/>
      <c r="X620" s="142"/>
      <c r="Y620" s="142"/>
      <c r="Z620" s="142"/>
      <c r="AA620" s="142"/>
      <c r="AB620" s="142"/>
    </row>
    <row r="621" ht="13.5" customHeight="1">
      <c r="A621" s="142"/>
      <c r="B621" s="142"/>
      <c r="C621" s="142"/>
      <c r="D621" s="142"/>
      <c r="E621" s="131"/>
      <c r="F621" s="131"/>
      <c r="G621" s="131"/>
      <c r="H621" s="131"/>
      <c r="I621" s="131"/>
      <c r="J621" s="131"/>
      <c r="K621" s="131"/>
      <c r="L621" s="131"/>
      <c r="M621" s="131"/>
      <c r="N621" s="131"/>
      <c r="O621" s="142"/>
      <c r="P621" s="142"/>
      <c r="Q621" s="142"/>
      <c r="R621" s="131"/>
      <c r="S621" s="142"/>
      <c r="T621" s="142"/>
      <c r="U621" s="142"/>
      <c r="V621" s="142"/>
      <c r="W621" s="142"/>
      <c r="X621" s="142"/>
      <c r="Y621" s="142"/>
      <c r="Z621" s="142"/>
      <c r="AA621" s="142"/>
      <c r="AB621" s="142"/>
    </row>
    <row r="622" ht="13.5" customHeight="1">
      <c r="A622" s="142"/>
      <c r="B622" s="142"/>
      <c r="C622" s="142"/>
      <c r="D622" s="142"/>
      <c r="E622" s="131"/>
      <c r="F622" s="131"/>
      <c r="G622" s="131"/>
      <c r="H622" s="131"/>
      <c r="I622" s="131"/>
      <c r="J622" s="131"/>
      <c r="K622" s="131"/>
      <c r="L622" s="131"/>
      <c r="M622" s="131"/>
      <c r="N622" s="131"/>
      <c r="O622" s="142"/>
      <c r="P622" s="142"/>
      <c r="Q622" s="142"/>
      <c r="R622" s="131"/>
      <c r="S622" s="142"/>
      <c r="T622" s="142"/>
      <c r="U622" s="142"/>
      <c r="V622" s="142"/>
      <c r="W622" s="142"/>
      <c r="X622" s="142"/>
      <c r="Y622" s="142"/>
      <c r="Z622" s="142"/>
      <c r="AA622" s="142"/>
      <c r="AB622" s="142"/>
    </row>
    <row r="623" ht="13.5" customHeight="1">
      <c r="A623" s="142"/>
      <c r="B623" s="142"/>
      <c r="C623" s="142"/>
      <c r="D623" s="142"/>
      <c r="E623" s="131"/>
      <c r="F623" s="131"/>
      <c r="G623" s="131"/>
      <c r="H623" s="131"/>
      <c r="I623" s="131"/>
      <c r="J623" s="131"/>
      <c r="K623" s="131"/>
      <c r="L623" s="131"/>
      <c r="M623" s="131"/>
      <c r="N623" s="131"/>
      <c r="O623" s="142"/>
      <c r="P623" s="142"/>
      <c r="Q623" s="142"/>
      <c r="R623" s="131"/>
      <c r="S623" s="142"/>
      <c r="T623" s="142"/>
      <c r="U623" s="142"/>
      <c r="V623" s="142"/>
      <c r="W623" s="142"/>
      <c r="X623" s="142"/>
      <c r="Y623" s="142"/>
      <c r="Z623" s="142"/>
      <c r="AA623" s="142"/>
      <c r="AB623" s="142"/>
    </row>
    <row r="624" ht="13.5" customHeight="1">
      <c r="A624" s="142"/>
      <c r="B624" s="142"/>
      <c r="C624" s="142"/>
      <c r="D624" s="142"/>
      <c r="E624" s="131"/>
      <c r="F624" s="131"/>
      <c r="G624" s="131"/>
      <c r="H624" s="131"/>
      <c r="I624" s="131"/>
      <c r="J624" s="131"/>
      <c r="K624" s="131"/>
      <c r="L624" s="131"/>
      <c r="M624" s="131"/>
      <c r="N624" s="131"/>
      <c r="O624" s="142"/>
      <c r="P624" s="142"/>
      <c r="Q624" s="142"/>
      <c r="R624" s="131"/>
      <c r="S624" s="142"/>
      <c r="T624" s="142"/>
      <c r="U624" s="142"/>
      <c r="V624" s="142"/>
      <c r="W624" s="142"/>
      <c r="X624" s="142"/>
      <c r="Y624" s="142"/>
      <c r="Z624" s="142"/>
      <c r="AA624" s="142"/>
      <c r="AB624" s="142"/>
    </row>
    <row r="625" ht="13.5" customHeight="1">
      <c r="A625" s="142"/>
      <c r="B625" s="142"/>
      <c r="C625" s="142"/>
      <c r="D625" s="142"/>
      <c r="E625" s="131"/>
      <c r="F625" s="131"/>
      <c r="G625" s="131"/>
      <c r="H625" s="131"/>
      <c r="I625" s="131"/>
      <c r="J625" s="131"/>
      <c r="K625" s="131"/>
      <c r="L625" s="131"/>
      <c r="M625" s="131"/>
      <c r="N625" s="131"/>
      <c r="O625" s="142"/>
      <c r="P625" s="142"/>
      <c r="Q625" s="142"/>
      <c r="R625" s="131"/>
      <c r="S625" s="142"/>
      <c r="T625" s="142"/>
      <c r="U625" s="142"/>
      <c r="V625" s="142"/>
      <c r="W625" s="142"/>
      <c r="X625" s="142"/>
      <c r="Y625" s="142"/>
      <c r="Z625" s="142"/>
      <c r="AA625" s="142"/>
      <c r="AB625" s="142"/>
    </row>
    <row r="626" ht="13.5" customHeight="1">
      <c r="A626" s="142"/>
      <c r="B626" s="142"/>
      <c r="C626" s="142"/>
      <c r="D626" s="142"/>
      <c r="E626" s="131"/>
      <c r="F626" s="131"/>
      <c r="G626" s="131"/>
      <c r="H626" s="131"/>
      <c r="I626" s="131"/>
      <c r="J626" s="131"/>
      <c r="K626" s="131"/>
      <c r="L626" s="131"/>
      <c r="M626" s="131"/>
      <c r="N626" s="131"/>
      <c r="O626" s="142"/>
      <c r="P626" s="142"/>
      <c r="Q626" s="142"/>
      <c r="R626" s="131"/>
      <c r="S626" s="142"/>
      <c r="T626" s="142"/>
      <c r="U626" s="142"/>
      <c r="V626" s="142"/>
      <c r="W626" s="142"/>
      <c r="X626" s="142"/>
      <c r="Y626" s="142"/>
      <c r="Z626" s="142"/>
      <c r="AA626" s="142"/>
      <c r="AB626" s="142"/>
    </row>
    <row r="627" ht="13.5" customHeight="1">
      <c r="A627" s="142"/>
      <c r="B627" s="142"/>
      <c r="C627" s="142"/>
      <c r="D627" s="142"/>
      <c r="E627" s="131"/>
      <c r="F627" s="131"/>
      <c r="G627" s="131"/>
      <c r="H627" s="131"/>
      <c r="I627" s="131"/>
      <c r="J627" s="131"/>
      <c r="K627" s="131"/>
      <c r="L627" s="131"/>
      <c r="M627" s="131"/>
      <c r="N627" s="131"/>
      <c r="O627" s="142"/>
      <c r="P627" s="142"/>
      <c r="Q627" s="142"/>
      <c r="R627" s="131"/>
      <c r="S627" s="142"/>
      <c r="T627" s="142"/>
      <c r="U627" s="142"/>
      <c r="V627" s="142"/>
      <c r="W627" s="142"/>
      <c r="X627" s="142"/>
      <c r="Y627" s="142"/>
      <c r="Z627" s="142"/>
      <c r="AA627" s="142"/>
      <c r="AB627" s="142"/>
    </row>
    <row r="628" ht="13.5" customHeight="1">
      <c r="A628" s="142"/>
      <c r="B628" s="142"/>
      <c r="C628" s="142"/>
      <c r="D628" s="142"/>
      <c r="E628" s="131"/>
      <c r="F628" s="131"/>
      <c r="G628" s="131"/>
      <c r="H628" s="131"/>
      <c r="I628" s="131"/>
      <c r="J628" s="131"/>
      <c r="K628" s="131"/>
      <c r="L628" s="131"/>
      <c r="M628" s="131"/>
      <c r="N628" s="131"/>
      <c r="O628" s="142"/>
      <c r="P628" s="142"/>
      <c r="Q628" s="142"/>
      <c r="R628" s="131"/>
      <c r="S628" s="142"/>
      <c r="T628" s="142"/>
      <c r="U628" s="142"/>
      <c r="V628" s="142"/>
      <c r="W628" s="142"/>
      <c r="X628" s="142"/>
      <c r="Y628" s="142"/>
      <c r="Z628" s="142"/>
      <c r="AA628" s="142"/>
      <c r="AB628" s="142"/>
    </row>
    <row r="629" ht="13.5" customHeight="1">
      <c r="A629" s="142"/>
      <c r="B629" s="142"/>
      <c r="C629" s="142"/>
      <c r="D629" s="142"/>
      <c r="E629" s="131"/>
      <c r="F629" s="131"/>
      <c r="G629" s="131"/>
      <c r="H629" s="131"/>
      <c r="I629" s="131"/>
      <c r="J629" s="131"/>
      <c r="K629" s="131"/>
      <c r="L629" s="131"/>
      <c r="M629" s="131"/>
      <c r="N629" s="131"/>
      <c r="O629" s="142"/>
      <c r="P629" s="142"/>
      <c r="Q629" s="142"/>
      <c r="R629" s="131"/>
      <c r="S629" s="142"/>
      <c r="T629" s="142"/>
      <c r="U629" s="142"/>
      <c r="V629" s="142"/>
      <c r="W629" s="142"/>
      <c r="X629" s="142"/>
      <c r="Y629" s="142"/>
      <c r="Z629" s="142"/>
      <c r="AA629" s="142"/>
      <c r="AB629" s="142"/>
    </row>
    <row r="630" ht="13.5" customHeight="1">
      <c r="A630" s="142"/>
      <c r="B630" s="142"/>
      <c r="C630" s="142"/>
      <c r="D630" s="142"/>
      <c r="E630" s="131"/>
      <c r="F630" s="131"/>
      <c r="G630" s="131"/>
      <c r="H630" s="131"/>
      <c r="I630" s="131"/>
      <c r="J630" s="131"/>
      <c r="K630" s="131"/>
      <c r="L630" s="131"/>
      <c r="M630" s="131"/>
      <c r="N630" s="131"/>
      <c r="O630" s="142"/>
      <c r="P630" s="142"/>
      <c r="Q630" s="142"/>
      <c r="R630" s="131"/>
      <c r="S630" s="142"/>
      <c r="T630" s="142"/>
      <c r="U630" s="142"/>
      <c r="V630" s="142"/>
      <c r="W630" s="142"/>
      <c r="X630" s="142"/>
      <c r="Y630" s="142"/>
      <c r="Z630" s="142"/>
      <c r="AA630" s="142"/>
      <c r="AB630" s="142"/>
    </row>
    <row r="631" ht="13.5" customHeight="1">
      <c r="A631" s="142"/>
      <c r="B631" s="142"/>
      <c r="C631" s="142"/>
      <c r="D631" s="142"/>
      <c r="E631" s="131"/>
      <c r="F631" s="131"/>
      <c r="G631" s="131"/>
      <c r="H631" s="131"/>
      <c r="I631" s="131"/>
      <c r="J631" s="131"/>
      <c r="K631" s="131"/>
      <c r="L631" s="131"/>
      <c r="M631" s="131"/>
      <c r="N631" s="131"/>
      <c r="O631" s="142"/>
      <c r="P631" s="142"/>
      <c r="Q631" s="142"/>
      <c r="R631" s="131"/>
      <c r="S631" s="142"/>
      <c r="T631" s="142"/>
      <c r="U631" s="142"/>
      <c r="V631" s="142"/>
      <c r="W631" s="142"/>
      <c r="X631" s="142"/>
      <c r="Y631" s="142"/>
      <c r="Z631" s="142"/>
      <c r="AA631" s="142"/>
      <c r="AB631" s="142"/>
    </row>
    <row r="632" ht="13.5" customHeight="1">
      <c r="A632" s="142"/>
      <c r="B632" s="142"/>
      <c r="C632" s="142"/>
      <c r="D632" s="142"/>
      <c r="E632" s="131"/>
      <c r="F632" s="131"/>
      <c r="G632" s="131"/>
      <c r="H632" s="131"/>
      <c r="I632" s="131"/>
      <c r="J632" s="131"/>
      <c r="K632" s="131"/>
      <c r="L632" s="131"/>
      <c r="M632" s="131"/>
      <c r="N632" s="131"/>
      <c r="O632" s="142"/>
      <c r="P632" s="142"/>
      <c r="Q632" s="142"/>
      <c r="R632" s="131"/>
      <c r="S632" s="142"/>
      <c r="T632" s="142"/>
      <c r="U632" s="142"/>
      <c r="V632" s="142"/>
      <c r="W632" s="142"/>
      <c r="X632" s="142"/>
      <c r="Y632" s="142"/>
      <c r="Z632" s="142"/>
      <c r="AA632" s="142"/>
      <c r="AB632" s="142"/>
    </row>
    <row r="633" ht="13.5" customHeight="1">
      <c r="A633" s="142"/>
      <c r="B633" s="142"/>
      <c r="C633" s="142"/>
      <c r="D633" s="142"/>
      <c r="E633" s="131"/>
      <c r="F633" s="131"/>
      <c r="G633" s="131"/>
      <c r="H633" s="131"/>
      <c r="I633" s="131"/>
      <c r="J633" s="131"/>
      <c r="K633" s="131"/>
      <c r="L633" s="131"/>
      <c r="M633" s="131"/>
      <c r="N633" s="131"/>
      <c r="O633" s="142"/>
      <c r="P633" s="142"/>
      <c r="Q633" s="142"/>
      <c r="R633" s="131"/>
      <c r="S633" s="142"/>
      <c r="T633" s="142"/>
      <c r="U633" s="142"/>
      <c r="V633" s="142"/>
      <c r="W633" s="142"/>
      <c r="X633" s="142"/>
      <c r="Y633" s="142"/>
      <c r="Z633" s="142"/>
      <c r="AA633" s="142"/>
      <c r="AB633" s="142"/>
    </row>
    <row r="634" ht="13.5" customHeight="1">
      <c r="A634" s="142"/>
      <c r="B634" s="142"/>
      <c r="C634" s="142"/>
      <c r="D634" s="142"/>
      <c r="E634" s="131"/>
      <c r="F634" s="131"/>
      <c r="G634" s="131"/>
      <c r="H634" s="131"/>
      <c r="I634" s="131"/>
      <c r="J634" s="131"/>
      <c r="K634" s="131"/>
      <c r="L634" s="131"/>
      <c r="M634" s="131"/>
      <c r="N634" s="131"/>
      <c r="O634" s="142"/>
      <c r="P634" s="142"/>
      <c r="Q634" s="142"/>
      <c r="R634" s="131"/>
      <c r="S634" s="142"/>
      <c r="T634" s="142"/>
      <c r="U634" s="142"/>
      <c r="V634" s="142"/>
      <c r="W634" s="142"/>
      <c r="X634" s="142"/>
      <c r="Y634" s="142"/>
      <c r="Z634" s="142"/>
      <c r="AA634" s="142"/>
      <c r="AB634" s="142"/>
    </row>
    <row r="635" ht="13.5" customHeight="1">
      <c r="A635" s="142"/>
      <c r="B635" s="142"/>
      <c r="C635" s="142"/>
      <c r="D635" s="142"/>
      <c r="E635" s="131"/>
      <c r="F635" s="131"/>
      <c r="G635" s="131"/>
      <c r="H635" s="131"/>
      <c r="I635" s="131"/>
      <c r="J635" s="131"/>
      <c r="K635" s="131"/>
      <c r="L635" s="131"/>
      <c r="M635" s="131"/>
      <c r="N635" s="131"/>
      <c r="O635" s="142"/>
      <c r="P635" s="142"/>
      <c r="Q635" s="142"/>
      <c r="R635" s="131"/>
      <c r="S635" s="142"/>
      <c r="T635" s="142"/>
      <c r="U635" s="142"/>
      <c r="V635" s="142"/>
      <c r="W635" s="142"/>
      <c r="X635" s="142"/>
      <c r="Y635" s="142"/>
      <c r="Z635" s="142"/>
      <c r="AA635" s="142"/>
      <c r="AB635" s="142"/>
    </row>
    <row r="636" ht="13.5" customHeight="1">
      <c r="A636" s="142"/>
      <c r="B636" s="142"/>
      <c r="C636" s="142"/>
      <c r="D636" s="142"/>
      <c r="E636" s="131"/>
      <c r="F636" s="131"/>
      <c r="G636" s="131"/>
      <c r="H636" s="131"/>
      <c r="I636" s="131"/>
      <c r="J636" s="131"/>
      <c r="K636" s="131"/>
      <c r="L636" s="131"/>
      <c r="M636" s="131"/>
      <c r="N636" s="131"/>
      <c r="O636" s="142"/>
      <c r="P636" s="142"/>
      <c r="Q636" s="142"/>
      <c r="R636" s="131"/>
      <c r="S636" s="142"/>
      <c r="T636" s="142"/>
      <c r="U636" s="142"/>
      <c r="V636" s="142"/>
      <c r="W636" s="142"/>
      <c r="X636" s="142"/>
      <c r="Y636" s="142"/>
      <c r="Z636" s="142"/>
      <c r="AA636" s="142"/>
      <c r="AB636" s="142"/>
    </row>
    <row r="637" ht="13.5" customHeight="1">
      <c r="A637" s="142"/>
      <c r="B637" s="142"/>
      <c r="C637" s="142"/>
      <c r="D637" s="142"/>
      <c r="E637" s="131"/>
      <c r="F637" s="131"/>
      <c r="G637" s="131"/>
      <c r="H637" s="131"/>
      <c r="I637" s="131"/>
      <c r="J637" s="131"/>
      <c r="K637" s="131"/>
      <c r="L637" s="131"/>
      <c r="M637" s="131"/>
      <c r="N637" s="131"/>
      <c r="O637" s="142"/>
      <c r="P637" s="142"/>
      <c r="Q637" s="142"/>
      <c r="R637" s="131"/>
      <c r="S637" s="142"/>
      <c r="T637" s="142"/>
      <c r="U637" s="142"/>
      <c r="V637" s="142"/>
      <c r="W637" s="142"/>
      <c r="X637" s="142"/>
      <c r="Y637" s="142"/>
      <c r="Z637" s="142"/>
      <c r="AA637" s="142"/>
      <c r="AB637" s="142"/>
    </row>
    <row r="638" ht="13.5" customHeight="1">
      <c r="A638" s="142"/>
      <c r="B638" s="142"/>
      <c r="C638" s="142"/>
      <c r="D638" s="142"/>
      <c r="E638" s="131"/>
      <c r="F638" s="131"/>
      <c r="G638" s="131"/>
      <c r="H638" s="131"/>
      <c r="I638" s="131"/>
      <c r="J638" s="131"/>
      <c r="K638" s="131"/>
      <c r="L638" s="131"/>
      <c r="M638" s="131"/>
      <c r="N638" s="131"/>
      <c r="O638" s="142"/>
      <c r="P638" s="142"/>
      <c r="Q638" s="142"/>
      <c r="R638" s="131"/>
      <c r="S638" s="142"/>
      <c r="T638" s="142"/>
      <c r="U638" s="142"/>
      <c r="V638" s="142"/>
      <c r="W638" s="142"/>
      <c r="X638" s="142"/>
      <c r="Y638" s="142"/>
      <c r="Z638" s="142"/>
      <c r="AA638" s="142"/>
      <c r="AB638" s="142"/>
    </row>
    <row r="639" ht="13.5" customHeight="1">
      <c r="A639" s="142"/>
      <c r="B639" s="142"/>
      <c r="C639" s="142"/>
      <c r="D639" s="142"/>
      <c r="E639" s="131"/>
      <c r="F639" s="131"/>
      <c r="G639" s="131"/>
      <c r="H639" s="131"/>
      <c r="I639" s="131"/>
      <c r="J639" s="131"/>
      <c r="K639" s="131"/>
      <c r="L639" s="131"/>
      <c r="M639" s="131"/>
      <c r="N639" s="131"/>
      <c r="O639" s="142"/>
      <c r="P639" s="142"/>
      <c r="Q639" s="142"/>
      <c r="R639" s="131"/>
      <c r="S639" s="142"/>
      <c r="T639" s="142"/>
      <c r="U639" s="142"/>
      <c r="V639" s="142"/>
      <c r="W639" s="142"/>
      <c r="X639" s="142"/>
      <c r="Y639" s="142"/>
      <c r="Z639" s="142"/>
      <c r="AA639" s="142"/>
      <c r="AB639" s="142"/>
    </row>
    <row r="640" ht="13.5" customHeight="1">
      <c r="A640" s="142"/>
      <c r="B640" s="142"/>
      <c r="C640" s="142"/>
      <c r="D640" s="142"/>
      <c r="E640" s="131"/>
      <c r="F640" s="131"/>
      <c r="G640" s="131"/>
      <c r="H640" s="131"/>
      <c r="I640" s="131"/>
      <c r="J640" s="131"/>
      <c r="K640" s="131"/>
      <c r="L640" s="131"/>
      <c r="M640" s="131"/>
      <c r="N640" s="131"/>
      <c r="O640" s="142"/>
      <c r="P640" s="142"/>
      <c r="Q640" s="142"/>
      <c r="R640" s="131"/>
      <c r="S640" s="142"/>
      <c r="T640" s="142"/>
      <c r="U640" s="142"/>
      <c r="V640" s="142"/>
      <c r="W640" s="142"/>
      <c r="X640" s="142"/>
      <c r="Y640" s="142"/>
      <c r="Z640" s="142"/>
      <c r="AA640" s="142"/>
      <c r="AB640" s="142"/>
    </row>
    <row r="641" ht="13.5" customHeight="1">
      <c r="A641" s="142"/>
      <c r="B641" s="142"/>
      <c r="C641" s="142"/>
      <c r="D641" s="142"/>
      <c r="E641" s="131"/>
      <c r="F641" s="131"/>
      <c r="G641" s="131"/>
      <c r="H641" s="131"/>
      <c r="I641" s="131"/>
      <c r="J641" s="131"/>
      <c r="K641" s="131"/>
      <c r="L641" s="131"/>
      <c r="M641" s="131"/>
      <c r="N641" s="131"/>
      <c r="O641" s="142"/>
      <c r="P641" s="142"/>
      <c r="Q641" s="142"/>
      <c r="R641" s="131"/>
      <c r="S641" s="142"/>
      <c r="T641" s="142"/>
      <c r="U641" s="142"/>
      <c r="V641" s="142"/>
      <c r="W641" s="142"/>
      <c r="X641" s="142"/>
      <c r="Y641" s="142"/>
      <c r="Z641" s="142"/>
      <c r="AA641" s="142"/>
      <c r="AB641" s="142"/>
    </row>
    <row r="642" ht="13.5" customHeight="1">
      <c r="A642" s="142"/>
      <c r="B642" s="142"/>
      <c r="C642" s="142"/>
      <c r="D642" s="142"/>
      <c r="E642" s="131"/>
      <c r="F642" s="131"/>
      <c r="G642" s="131"/>
      <c r="H642" s="131"/>
      <c r="I642" s="131"/>
      <c r="J642" s="131"/>
      <c r="K642" s="131"/>
      <c r="L642" s="131"/>
      <c r="M642" s="131"/>
      <c r="N642" s="131"/>
      <c r="O642" s="142"/>
      <c r="P642" s="142"/>
      <c r="Q642" s="142"/>
      <c r="R642" s="131"/>
      <c r="S642" s="142"/>
      <c r="T642" s="142"/>
      <c r="U642" s="142"/>
      <c r="V642" s="142"/>
      <c r="W642" s="142"/>
      <c r="X642" s="142"/>
      <c r="Y642" s="142"/>
      <c r="Z642" s="142"/>
      <c r="AA642" s="142"/>
      <c r="AB642" s="142"/>
    </row>
    <row r="643" ht="13.5" customHeight="1">
      <c r="A643" s="142"/>
      <c r="B643" s="142"/>
      <c r="C643" s="142"/>
      <c r="D643" s="142"/>
      <c r="E643" s="131"/>
      <c r="F643" s="131"/>
      <c r="G643" s="131"/>
      <c r="H643" s="131"/>
      <c r="I643" s="131"/>
      <c r="J643" s="131"/>
      <c r="K643" s="131"/>
      <c r="L643" s="131"/>
      <c r="M643" s="131"/>
      <c r="N643" s="131"/>
      <c r="O643" s="142"/>
      <c r="P643" s="142"/>
      <c r="Q643" s="142"/>
      <c r="R643" s="131"/>
      <c r="S643" s="142"/>
      <c r="T643" s="142"/>
      <c r="U643" s="142"/>
      <c r="V643" s="142"/>
      <c r="W643" s="142"/>
      <c r="X643" s="142"/>
      <c r="Y643" s="142"/>
      <c r="Z643" s="142"/>
      <c r="AA643" s="142"/>
      <c r="AB643" s="142"/>
    </row>
    <row r="644" ht="13.5" customHeight="1">
      <c r="A644" s="142"/>
      <c r="B644" s="142"/>
      <c r="C644" s="142"/>
      <c r="D644" s="142"/>
      <c r="E644" s="131"/>
      <c r="F644" s="131"/>
      <c r="G644" s="131"/>
      <c r="H644" s="131"/>
      <c r="I644" s="131"/>
      <c r="J644" s="131"/>
      <c r="K644" s="131"/>
      <c r="L644" s="131"/>
      <c r="M644" s="131"/>
      <c r="N644" s="131"/>
      <c r="O644" s="142"/>
      <c r="P644" s="142"/>
      <c r="Q644" s="142"/>
      <c r="R644" s="131"/>
      <c r="S644" s="142"/>
      <c r="T644" s="142"/>
      <c r="U644" s="142"/>
      <c r="V644" s="142"/>
      <c r="W644" s="142"/>
      <c r="X644" s="142"/>
      <c r="Y644" s="142"/>
      <c r="Z644" s="142"/>
      <c r="AA644" s="142"/>
      <c r="AB644" s="142"/>
    </row>
    <row r="645" ht="13.5" customHeight="1">
      <c r="A645" s="142"/>
      <c r="B645" s="142"/>
      <c r="C645" s="142"/>
      <c r="D645" s="142"/>
      <c r="E645" s="131"/>
      <c r="F645" s="131"/>
      <c r="G645" s="131"/>
      <c r="H645" s="131"/>
      <c r="I645" s="131"/>
      <c r="J645" s="131"/>
      <c r="K645" s="131"/>
      <c r="L645" s="131"/>
      <c r="M645" s="131"/>
      <c r="N645" s="131"/>
      <c r="O645" s="142"/>
      <c r="P645" s="142"/>
      <c r="Q645" s="142"/>
      <c r="R645" s="131"/>
      <c r="S645" s="142"/>
      <c r="T645" s="142"/>
      <c r="U645" s="142"/>
      <c r="V645" s="142"/>
      <c r="W645" s="142"/>
      <c r="X645" s="142"/>
      <c r="Y645" s="142"/>
      <c r="Z645" s="142"/>
      <c r="AA645" s="142"/>
      <c r="AB645" s="142"/>
    </row>
    <row r="646" ht="13.5" customHeight="1">
      <c r="A646" s="142"/>
      <c r="B646" s="142"/>
      <c r="C646" s="142"/>
      <c r="D646" s="142"/>
      <c r="E646" s="131"/>
      <c r="F646" s="131"/>
      <c r="G646" s="131"/>
      <c r="H646" s="131"/>
      <c r="I646" s="131"/>
      <c r="J646" s="131"/>
      <c r="K646" s="131"/>
      <c r="L646" s="131"/>
      <c r="M646" s="131"/>
      <c r="N646" s="131"/>
      <c r="O646" s="142"/>
      <c r="P646" s="142"/>
      <c r="Q646" s="142"/>
      <c r="R646" s="131"/>
      <c r="S646" s="142"/>
      <c r="T646" s="142"/>
      <c r="U646" s="142"/>
      <c r="V646" s="142"/>
      <c r="W646" s="142"/>
      <c r="X646" s="142"/>
      <c r="Y646" s="142"/>
      <c r="Z646" s="142"/>
      <c r="AA646" s="142"/>
      <c r="AB646" s="142"/>
    </row>
    <row r="647" ht="13.5" customHeight="1">
      <c r="A647" s="142"/>
      <c r="B647" s="142"/>
      <c r="C647" s="142"/>
      <c r="D647" s="142"/>
      <c r="E647" s="131"/>
      <c r="F647" s="131"/>
      <c r="G647" s="131"/>
      <c r="H647" s="131"/>
      <c r="I647" s="131"/>
      <c r="J647" s="131"/>
      <c r="K647" s="131"/>
      <c r="L647" s="131"/>
      <c r="M647" s="131"/>
      <c r="N647" s="131"/>
      <c r="O647" s="142"/>
      <c r="P647" s="142"/>
      <c r="Q647" s="142"/>
      <c r="R647" s="131"/>
      <c r="S647" s="142"/>
      <c r="T647" s="142"/>
      <c r="U647" s="142"/>
      <c r="V647" s="142"/>
      <c r="W647" s="142"/>
      <c r="X647" s="142"/>
      <c r="Y647" s="142"/>
      <c r="Z647" s="142"/>
      <c r="AA647" s="142"/>
      <c r="AB647" s="142"/>
    </row>
    <row r="648" ht="13.5" customHeight="1">
      <c r="A648" s="142"/>
      <c r="B648" s="142"/>
      <c r="C648" s="142"/>
      <c r="D648" s="142"/>
      <c r="E648" s="131"/>
      <c r="F648" s="131"/>
      <c r="G648" s="131"/>
      <c r="H648" s="131"/>
      <c r="I648" s="131"/>
      <c r="J648" s="131"/>
      <c r="K648" s="131"/>
      <c r="L648" s="131"/>
      <c r="M648" s="131"/>
      <c r="N648" s="131"/>
      <c r="O648" s="142"/>
      <c r="P648" s="142"/>
      <c r="Q648" s="142"/>
      <c r="R648" s="131"/>
      <c r="S648" s="142"/>
      <c r="T648" s="142"/>
      <c r="U648" s="142"/>
      <c r="V648" s="142"/>
      <c r="W648" s="142"/>
      <c r="X648" s="142"/>
      <c r="Y648" s="142"/>
      <c r="Z648" s="142"/>
      <c r="AA648" s="142"/>
      <c r="AB648" s="142"/>
    </row>
    <row r="649" ht="13.5" customHeight="1">
      <c r="A649" s="142"/>
      <c r="B649" s="142"/>
      <c r="C649" s="142"/>
      <c r="D649" s="142"/>
      <c r="E649" s="131"/>
      <c r="F649" s="131"/>
      <c r="G649" s="131"/>
      <c r="H649" s="131"/>
      <c r="I649" s="131"/>
      <c r="J649" s="131"/>
      <c r="K649" s="131"/>
      <c r="L649" s="131"/>
      <c r="M649" s="131"/>
      <c r="N649" s="131"/>
      <c r="O649" s="142"/>
      <c r="P649" s="142"/>
      <c r="Q649" s="142"/>
      <c r="R649" s="131"/>
      <c r="S649" s="142"/>
      <c r="T649" s="142"/>
      <c r="U649" s="142"/>
      <c r="V649" s="142"/>
      <c r="W649" s="142"/>
      <c r="X649" s="142"/>
      <c r="Y649" s="142"/>
      <c r="Z649" s="142"/>
      <c r="AA649" s="142"/>
      <c r="AB649" s="142"/>
    </row>
    <row r="650" ht="13.5" customHeight="1">
      <c r="A650" s="142"/>
      <c r="B650" s="142"/>
      <c r="C650" s="142"/>
      <c r="D650" s="142"/>
      <c r="E650" s="131"/>
      <c r="F650" s="131"/>
      <c r="G650" s="131"/>
      <c r="H650" s="131"/>
      <c r="I650" s="131"/>
      <c r="J650" s="131"/>
      <c r="K650" s="131"/>
      <c r="L650" s="131"/>
      <c r="M650" s="131"/>
      <c r="N650" s="131"/>
      <c r="O650" s="142"/>
      <c r="P650" s="142"/>
      <c r="Q650" s="142"/>
      <c r="R650" s="131"/>
      <c r="S650" s="142"/>
      <c r="T650" s="142"/>
      <c r="U650" s="142"/>
      <c r="V650" s="142"/>
      <c r="W650" s="142"/>
      <c r="X650" s="142"/>
      <c r="Y650" s="142"/>
      <c r="Z650" s="142"/>
      <c r="AA650" s="142"/>
      <c r="AB650" s="142"/>
    </row>
    <row r="651" ht="13.5" customHeight="1">
      <c r="A651" s="142"/>
      <c r="B651" s="142"/>
      <c r="C651" s="142"/>
      <c r="D651" s="142"/>
      <c r="E651" s="131"/>
      <c r="F651" s="131"/>
      <c r="G651" s="131"/>
      <c r="H651" s="131"/>
      <c r="I651" s="131"/>
      <c r="J651" s="131"/>
      <c r="K651" s="131"/>
      <c r="L651" s="131"/>
      <c r="M651" s="131"/>
      <c r="N651" s="131"/>
      <c r="O651" s="142"/>
      <c r="P651" s="142"/>
      <c r="Q651" s="142"/>
      <c r="R651" s="131"/>
      <c r="S651" s="142"/>
      <c r="T651" s="142"/>
      <c r="U651" s="142"/>
      <c r="V651" s="142"/>
      <c r="W651" s="142"/>
      <c r="X651" s="142"/>
      <c r="Y651" s="142"/>
      <c r="Z651" s="142"/>
      <c r="AA651" s="142"/>
      <c r="AB651" s="142"/>
    </row>
    <row r="652" ht="13.5" customHeight="1">
      <c r="A652" s="142"/>
      <c r="B652" s="142"/>
      <c r="C652" s="142"/>
      <c r="D652" s="142"/>
      <c r="E652" s="131"/>
      <c r="F652" s="131"/>
      <c r="G652" s="131"/>
      <c r="H652" s="131"/>
      <c r="I652" s="131"/>
      <c r="J652" s="131"/>
      <c r="K652" s="131"/>
      <c r="L652" s="131"/>
      <c r="M652" s="131"/>
      <c r="N652" s="131"/>
      <c r="O652" s="142"/>
      <c r="P652" s="142"/>
      <c r="Q652" s="142"/>
      <c r="R652" s="131"/>
      <c r="S652" s="142"/>
      <c r="T652" s="142"/>
      <c r="U652" s="142"/>
      <c r="V652" s="142"/>
      <c r="W652" s="142"/>
      <c r="X652" s="142"/>
      <c r="Y652" s="142"/>
      <c r="Z652" s="142"/>
      <c r="AA652" s="142"/>
      <c r="AB652" s="142"/>
    </row>
    <row r="653" ht="13.5" customHeight="1">
      <c r="A653" s="142"/>
      <c r="B653" s="142"/>
      <c r="C653" s="142"/>
      <c r="D653" s="142"/>
      <c r="E653" s="131"/>
      <c r="F653" s="131"/>
      <c r="G653" s="131"/>
      <c r="H653" s="131"/>
      <c r="I653" s="131"/>
      <c r="J653" s="131"/>
      <c r="K653" s="131"/>
      <c r="L653" s="131"/>
      <c r="M653" s="131"/>
      <c r="N653" s="131"/>
      <c r="O653" s="142"/>
      <c r="P653" s="142"/>
      <c r="Q653" s="142"/>
      <c r="R653" s="131"/>
      <c r="S653" s="142"/>
      <c r="T653" s="142"/>
      <c r="U653" s="142"/>
      <c r="V653" s="142"/>
      <c r="W653" s="142"/>
      <c r="X653" s="142"/>
      <c r="Y653" s="142"/>
      <c r="Z653" s="142"/>
      <c r="AA653" s="142"/>
      <c r="AB653" s="142"/>
    </row>
    <row r="654" ht="13.5" customHeight="1">
      <c r="A654" s="142"/>
      <c r="B654" s="142"/>
      <c r="C654" s="142"/>
      <c r="D654" s="142"/>
      <c r="E654" s="131"/>
      <c r="F654" s="131"/>
      <c r="G654" s="131"/>
      <c r="H654" s="131"/>
      <c r="I654" s="131"/>
      <c r="J654" s="131"/>
      <c r="K654" s="131"/>
      <c r="L654" s="131"/>
      <c r="M654" s="131"/>
      <c r="N654" s="131"/>
      <c r="O654" s="142"/>
      <c r="P654" s="142"/>
      <c r="Q654" s="142"/>
      <c r="R654" s="131"/>
      <c r="S654" s="142"/>
      <c r="T654" s="142"/>
      <c r="U654" s="142"/>
      <c r="V654" s="142"/>
      <c r="W654" s="142"/>
      <c r="X654" s="142"/>
      <c r="Y654" s="142"/>
      <c r="Z654" s="142"/>
      <c r="AA654" s="142"/>
      <c r="AB654" s="142"/>
    </row>
    <row r="655" ht="13.5" customHeight="1">
      <c r="A655" s="142"/>
      <c r="B655" s="142"/>
      <c r="C655" s="142"/>
      <c r="D655" s="142"/>
      <c r="E655" s="131"/>
      <c r="F655" s="131"/>
      <c r="G655" s="131"/>
      <c r="H655" s="131"/>
      <c r="I655" s="131"/>
      <c r="J655" s="131"/>
      <c r="K655" s="131"/>
      <c r="L655" s="131"/>
      <c r="M655" s="131"/>
      <c r="N655" s="131"/>
      <c r="O655" s="142"/>
      <c r="P655" s="142"/>
      <c r="Q655" s="142"/>
      <c r="R655" s="131"/>
      <c r="S655" s="142"/>
      <c r="T655" s="142"/>
      <c r="U655" s="142"/>
      <c r="V655" s="142"/>
      <c r="W655" s="142"/>
      <c r="X655" s="142"/>
      <c r="Y655" s="142"/>
      <c r="Z655" s="142"/>
      <c r="AA655" s="142"/>
      <c r="AB655" s="142"/>
    </row>
    <row r="656" ht="13.5" customHeight="1">
      <c r="A656" s="142"/>
      <c r="B656" s="142"/>
      <c r="C656" s="142"/>
      <c r="D656" s="142"/>
      <c r="E656" s="131"/>
      <c r="F656" s="131"/>
      <c r="G656" s="131"/>
      <c r="H656" s="131"/>
      <c r="I656" s="131"/>
      <c r="J656" s="131"/>
      <c r="K656" s="131"/>
      <c r="L656" s="131"/>
      <c r="M656" s="131"/>
      <c r="N656" s="131"/>
      <c r="O656" s="142"/>
      <c r="P656" s="142"/>
      <c r="Q656" s="142"/>
      <c r="R656" s="131"/>
      <c r="S656" s="142"/>
      <c r="T656" s="142"/>
      <c r="U656" s="142"/>
      <c r="V656" s="142"/>
      <c r="W656" s="142"/>
      <c r="X656" s="142"/>
      <c r="Y656" s="142"/>
      <c r="Z656" s="142"/>
      <c r="AA656" s="142"/>
      <c r="AB656" s="142"/>
    </row>
    <row r="657" ht="13.5" customHeight="1">
      <c r="A657" s="142"/>
      <c r="B657" s="142"/>
      <c r="C657" s="142"/>
      <c r="D657" s="142"/>
      <c r="E657" s="131"/>
      <c r="F657" s="131"/>
      <c r="G657" s="131"/>
      <c r="H657" s="131"/>
      <c r="I657" s="131"/>
      <c r="J657" s="131"/>
      <c r="K657" s="131"/>
      <c r="L657" s="131"/>
      <c r="M657" s="131"/>
      <c r="N657" s="131"/>
      <c r="O657" s="142"/>
      <c r="P657" s="142"/>
      <c r="Q657" s="142"/>
      <c r="R657" s="131"/>
      <c r="S657" s="142"/>
      <c r="T657" s="142"/>
      <c r="U657" s="142"/>
      <c r="V657" s="142"/>
      <c r="W657" s="142"/>
      <c r="X657" s="142"/>
      <c r="Y657" s="142"/>
      <c r="Z657" s="142"/>
      <c r="AA657" s="142"/>
      <c r="AB657" s="142"/>
    </row>
    <row r="658" ht="13.5" customHeight="1">
      <c r="A658" s="142"/>
      <c r="B658" s="142"/>
      <c r="C658" s="142"/>
      <c r="D658" s="142"/>
      <c r="E658" s="131"/>
      <c r="F658" s="131"/>
      <c r="G658" s="131"/>
      <c r="H658" s="131"/>
      <c r="I658" s="131"/>
      <c r="J658" s="131"/>
      <c r="K658" s="131"/>
      <c r="L658" s="131"/>
      <c r="M658" s="131"/>
      <c r="N658" s="131"/>
      <c r="O658" s="142"/>
      <c r="P658" s="142"/>
      <c r="Q658" s="142"/>
      <c r="R658" s="131"/>
      <c r="S658" s="142"/>
      <c r="T658" s="142"/>
      <c r="U658" s="142"/>
      <c r="V658" s="142"/>
      <c r="W658" s="142"/>
      <c r="X658" s="142"/>
      <c r="Y658" s="142"/>
      <c r="Z658" s="142"/>
      <c r="AA658" s="142"/>
      <c r="AB658" s="142"/>
    </row>
    <row r="659" ht="13.5" customHeight="1">
      <c r="A659" s="142"/>
      <c r="B659" s="142"/>
      <c r="C659" s="142"/>
      <c r="D659" s="142"/>
      <c r="E659" s="131"/>
      <c r="F659" s="131"/>
      <c r="G659" s="131"/>
      <c r="H659" s="131"/>
      <c r="I659" s="131"/>
      <c r="J659" s="131"/>
      <c r="K659" s="131"/>
      <c r="L659" s="131"/>
      <c r="M659" s="131"/>
      <c r="N659" s="131"/>
      <c r="O659" s="142"/>
      <c r="P659" s="142"/>
      <c r="Q659" s="142"/>
      <c r="R659" s="131"/>
      <c r="S659" s="142"/>
      <c r="T659" s="142"/>
      <c r="U659" s="142"/>
      <c r="V659" s="142"/>
      <c r="W659" s="142"/>
      <c r="X659" s="142"/>
      <c r="Y659" s="142"/>
      <c r="Z659" s="142"/>
      <c r="AA659" s="142"/>
      <c r="AB659" s="142"/>
    </row>
    <row r="660" ht="13.5" customHeight="1">
      <c r="A660" s="142"/>
      <c r="B660" s="142"/>
      <c r="C660" s="142"/>
      <c r="D660" s="142"/>
      <c r="E660" s="131"/>
      <c r="F660" s="131"/>
      <c r="G660" s="131"/>
      <c r="H660" s="131"/>
      <c r="I660" s="131"/>
      <c r="J660" s="131"/>
      <c r="K660" s="131"/>
      <c r="L660" s="131"/>
      <c r="M660" s="131"/>
      <c r="N660" s="131"/>
      <c r="O660" s="142"/>
      <c r="P660" s="142"/>
      <c r="Q660" s="142"/>
      <c r="R660" s="131"/>
      <c r="S660" s="142"/>
      <c r="T660" s="142"/>
      <c r="U660" s="142"/>
      <c r="V660" s="142"/>
      <c r="W660" s="142"/>
      <c r="X660" s="142"/>
      <c r="Y660" s="142"/>
      <c r="Z660" s="142"/>
      <c r="AA660" s="142"/>
      <c r="AB660" s="142"/>
    </row>
    <row r="661" ht="13.5" customHeight="1">
      <c r="A661" s="142"/>
      <c r="B661" s="142"/>
      <c r="C661" s="142"/>
      <c r="D661" s="142"/>
      <c r="E661" s="131"/>
      <c r="F661" s="131"/>
      <c r="G661" s="131"/>
      <c r="H661" s="131"/>
      <c r="I661" s="131"/>
      <c r="J661" s="131"/>
      <c r="K661" s="131"/>
      <c r="L661" s="131"/>
      <c r="M661" s="131"/>
      <c r="N661" s="131"/>
      <c r="O661" s="142"/>
      <c r="P661" s="142"/>
      <c r="Q661" s="142"/>
      <c r="R661" s="131"/>
      <c r="S661" s="142"/>
      <c r="T661" s="142"/>
      <c r="U661" s="142"/>
      <c r="V661" s="142"/>
      <c r="W661" s="142"/>
      <c r="X661" s="142"/>
      <c r="Y661" s="142"/>
      <c r="Z661" s="142"/>
      <c r="AA661" s="142"/>
      <c r="AB661" s="142"/>
    </row>
    <row r="662" ht="13.5" customHeight="1">
      <c r="A662" s="142"/>
      <c r="B662" s="142"/>
      <c r="C662" s="142"/>
      <c r="D662" s="142"/>
      <c r="E662" s="131"/>
      <c r="F662" s="131"/>
      <c r="G662" s="131"/>
      <c r="H662" s="131"/>
      <c r="I662" s="131"/>
      <c r="J662" s="131"/>
      <c r="K662" s="131"/>
      <c r="L662" s="131"/>
      <c r="M662" s="131"/>
      <c r="N662" s="131"/>
      <c r="O662" s="142"/>
      <c r="P662" s="142"/>
      <c r="Q662" s="142"/>
      <c r="R662" s="131"/>
      <c r="S662" s="142"/>
      <c r="T662" s="142"/>
      <c r="U662" s="142"/>
      <c r="V662" s="142"/>
      <c r="W662" s="142"/>
      <c r="X662" s="142"/>
      <c r="Y662" s="142"/>
      <c r="Z662" s="142"/>
      <c r="AA662" s="142"/>
      <c r="AB662" s="142"/>
    </row>
    <row r="663" ht="13.5" customHeight="1">
      <c r="A663" s="142"/>
      <c r="B663" s="142"/>
      <c r="C663" s="142"/>
      <c r="D663" s="142"/>
      <c r="E663" s="131"/>
      <c r="F663" s="131"/>
      <c r="G663" s="131"/>
      <c r="H663" s="131"/>
      <c r="I663" s="131"/>
      <c r="J663" s="131"/>
      <c r="K663" s="131"/>
      <c r="L663" s="131"/>
      <c r="M663" s="131"/>
      <c r="N663" s="131"/>
      <c r="O663" s="142"/>
      <c r="P663" s="142"/>
      <c r="Q663" s="142"/>
      <c r="R663" s="131"/>
      <c r="S663" s="142"/>
      <c r="T663" s="142"/>
      <c r="U663" s="142"/>
      <c r="V663" s="142"/>
      <c r="W663" s="142"/>
      <c r="X663" s="142"/>
      <c r="Y663" s="142"/>
      <c r="Z663" s="142"/>
      <c r="AA663" s="142"/>
      <c r="AB663" s="142"/>
    </row>
    <row r="664" ht="13.5" customHeight="1">
      <c r="A664" s="142"/>
      <c r="B664" s="142"/>
      <c r="C664" s="142"/>
      <c r="D664" s="142"/>
      <c r="E664" s="131"/>
      <c r="F664" s="131"/>
      <c r="G664" s="131"/>
      <c r="H664" s="131"/>
      <c r="I664" s="131"/>
      <c r="J664" s="131"/>
      <c r="K664" s="131"/>
      <c r="L664" s="131"/>
      <c r="M664" s="131"/>
      <c r="N664" s="131"/>
      <c r="O664" s="142"/>
      <c r="P664" s="142"/>
      <c r="Q664" s="142"/>
      <c r="R664" s="131"/>
      <c r="S664" s="142"/>
      <c r="T664" s="142"/>
      <c r="U664" s="142"/>
      <c r="V664" s="142"/>
      <c r="W664" s="142"/>
      <c r="X664" s="142"/>
      <c r="Y664" s="142"/>
      <c r="Z664" s="142"/>
      <c r="AA664" s="142"/>
      <c r="AB664" s="142"/>
    </row>
    <row r="665" ht="13.5" customHeight="1">
      <c r="A665" s="142"/>
      <c r="B665" s="142"/>
      <c r="C665" s="142"/>
      <c r="D665" s="142"/>
      <c r="E665" s="131"/>
      <c r="F665" s="131"/>
      <c r="G665" s="131"/>
      <c r="H665" s="131"/>
      <c r="I665" s="131"/>
      <c r="J665" s="131"/>
      <c r="K665" s="131"/>
      <c r="L665" s="131"/>
      <c r="M665" s="131"/>
      <c r="N665" s="131"/>
      <c r="O665" s="142"/>
      <c r="P665" s="142"/>
      <c r="Q665" s="142"/>
      <c r="R665" s="131"/>
      <c r="S665" s="142"/>
      <c r="T665" s="142"/>
      <c r="U665" s="142"/>
      <c r="V665" s="142"/>
      <c r="W665" s="142"/>
      <c r="X665" s="142"/>
      <c r="Y665" s="142"/>
      <c r="Z665" s="142"/>
      <c r="AA665" s="142"/>
      <c r="AB665" s="142"/>
    </row>
    <row r="666" ht="13.5" customHeight="1">
      <c r="A666" s="142"/>
      <c r="B666" s="142"/>
      <c r="C666" s="142"/>
      <c r="D666" s="142"/>
      <c r="E666" s="131"/>
      <c r="F666" s="131"/>
      <c r="G666" s="131"/>
      <c r="H666" s="131"/>
      <c r="I666" s="131"/>
      <c r="J666" s="131"/>
      <c r="K666" s="131"/>
      <c r="L666" s="131"/>
      <c r="M666" s="131"/>
      <c r="N666" s="131"/>
      <c r="O666" s="142"/>
      <c r="P666" s="142"/>
      <c r="Q666" s="142"/>
      <c r="R666" s="131"/>
      <c r="S666" s="142"/>
      <c r="T666" s="142"/>
      <c r="U666" s="142"/>
      <c r="V666" s="142"/>
      <c r="W666" s="142"/>
      <c r="X666" s="142"/>
      <c r="Y666" s="142"/>
      <c r="Z666" s="142"/>
      <c r="AA666" s="142"/>
      <c r="AB666" s="142"/>
    </row>
    <row r="667" ht="13.5" customHeight="1">
      <c r="A667" s="142"/>
      <c r="B667" s="142"/>
      <c r="C667" s="142"/>
      <c r="D667" s="142"/>
      <c r="E667" s="131"/>
      <c r="F667" s="131"/>
      <c r="G667" s="131"/>
      <c r="H667" s="131"/>
      <c r="I667" s="131"/>
      <c r="J667" s="131"/>
      <c r="K667" s="131"/>
      <c r="L667" s="131"/>
      <c r="M667" s="131"/>
      <c r="N667" s="131"/>
      <c r="O667" s="142"/>
      <c r="P667" s="142"/>
      <c r="Q667" s="142"/>
      <c r="R667" s="131"/>
      <c r="S667" s="142"/>
      <c r="T667" s="142"/>
      <c r="U667" s="142"/>
      <c r="V667" s="142"/>
      <c r="W667" s="142"/>
      <c r="X667" s="142"/>
      <c r="Y667" s="142"/>
      <c r="Z667" s="142"/>
      <c r="AA667" s="142"/>
      <c r="AB667" s="142"/>
    </row>
    <row r="668" ht="13.5" customHeight="1">
      <c r="A668" s="142"/>
      <c r="B668" s="142"/>
      <c r="C668" s="142"/>
      <c r="D668" s="142"/>
      <c r="E668" s="131"/>
      <c r="F668" s="131"/>
      <c r="G668" s="131"/>
      <c r="H668" s="131"/>
      <c r="I668" s="131"/>
      <c r="J668" s="131"/>
      <c r="K668" s="131"/>
      <c r="L668" s="131"/>
      <c r="M668" s="131"/>
      <c r="N668" s="131"/>
      <c r="O668" s="142"/>
      <c r="P668" s="142"/>
      <c r="Q668" s="142"/>
      <c r="R668" s="131"/>
      <c r="S668" s="142"/>
      <c r="T668" s="142"/>
      <c r="U668" s="142"/>
      <c r="V668" s="142"/>
      <c r="W668" s="142"/>
      <c r="X668" s="142"/>
      <c r="Y668" s="142"/>
      <c r="Z668" s="142"/>
      <c r="AA668" s="142"/>
      <c r="AB668" s="142"/>
    </row>
    <row r="669" ht="13.5" customHeight="1">
      <c r="A669" s="142"/>
      <c r="B669" s="142"/>
      <c r="C669" s="142"/>
      <c r="D669" s="142"/>
      <c r="E669" s="131"/>
      <c r="F669" s="131"/>
      <c r="G669" s="131"/>
      <c r="H669" s="131"/>
      <c r="I669" s="131"/>
      <c r="J669" s="131"/>
      <c r="K669" s="131"/>
      <c r="L669" s="131"/>
      <c r="M669" s="131"/>
      <c r="N669" s="131"/>
      <c r="O669" s="142"/>
      <c r="P669" s="142"/>
      <c r="Q669" s="142"/>
      <c r="R669" s="131"/>
      <c r="S669" s="142"/>
      <c r="T669" s="142"/>
      <c r="U669" s="142"/>
      <c r="V669" s="142"/>
      <c r="W669" s="142"/>
      <c r="X669" s="142"/>
      <c r="Y669" s="142"/>
      <c r="Z669" s="142"/>
      <c r="AA669" s="142"/>
      <c r="AB669" s="142"/>
    </row>
    <row r="670" ht="13.5" customHeight="1">
      <c r="A670" s="142"/>
      <c r="B670" s="142"/>
      <c r="C670" s="142"/>
      <c r="D670" s="142"/>
      <c r="E670" s="131"/>
      <c r="F670" s="131"/>
      <c r="G670" s="131"/>
      <c r="H670" s="131"/>
      <c r="I670" s="131"/>
      <c r="J670" s="131"/>
      <c r="K670" s="131"/>
      <c r="L670" s="131"/>
      <c r="M670" s="131"/>
      <c r="N670" s="131"/>
      <c r="O670" s="142"/>
      <c r="P670" s="142"/>
      <c r="Q670" s="142"/>
      <c r="R670" s="131"/>
      <c r="S670" s="142"/>
      <c r="T670" s="142"/>
      <c r="U670" s="142"/>
      <c r="V670" s="142"/>
      <c r="W670" s="142"/>
      <c r="X670" s="142"/>
      <c r="Y670" s="142"/>
      <c r="Z670" s="142"/>
      <c r="AA670" s="142"/>
      <c r="AB670" s="142"/>
    </row>
    <row r="671" ht="13.5" customHeight="1">
      <c r="A671" s="142"/>
      <c r="B671" s="142"/>
      <c r="C671" s="142"/>
      <c r="D671" s="142"/>
      <c r="E671" s="131"/>
      <c r="F671" s="131"/>
      <c r="G671" s="131"/>
      <c r="H671" s="131"/>
      <c r="I671" s="131"/>
      <c r="J671" s="131"/>
      <c r="K671" s="131"/>
      <c r="L671" s="131"/>
      <c r="M671" s="131"/>
      <c r="N671" s="131"/>
      <c r="O671" s="142"/>
      <c r="P671" s="142"/>
      <c r="Q671" s="142"/>
      <c r="R671" s="131"/>
      <c r="S671" s="142"/>
      <c r="T671" s="142"/>
      <c r="U671" s="142"/>
      <c r="V671" s="142"/>
      <c r="W671" s="142"/>
      <c r="X671" s="142"/>
      <c r="Y671" s="142"/>
      <c r="Z671" s="142"/>
      <c r="AA671" s="142"/>
      <c r="AB671" s="142"/>
    </row>
    <row r="672" ht="13.5" customHeight="1">
      <c r="A672" s="142"/>
      <c r="B672" s="142"/>
      <c r="C672" s="142"/>
      <c r="D672" s="142"/>
      <c r="E672" s="131"/>
      <c r="F672" s="131"/>
      <c r="G672" s="131"/>
      <c r="H672" s="131"/>
      <c r="I672" s="131"/>
      <c r="J672" s="131"/>
      <c r="K672" s="131"/>
      <c r="L672" s="131"/>
      <c r="M672" s="131"/>
      <c r="N672" s="131"/>
      <c r="O672" s="142"/>
      <c r="P672" s="142"/>
      <c r="Q672" s="142"/>
      <c r="R672" s="131"/>
      <c r="S672" s="142"/>
      <c r="T672" s="142"/>
      <c r="U672" s="142"/>
      <c r="V672" s="142"/>
      <c r="W672" s="142"/>
      <c r="X672" s="142"/>
      <c r="Y672" s="142"/>
      <c r="Z672" s="142"/>
      <c r="AA672" s="142"/>
      <c r="AB672" s="142"/>
    </row>
    <row r="673" ht="13.5" customHeight="1">
      <c r="A673" s="142"/>
      <c r="B673" s="142"/>
      <c r="C673" s="142"/>
      <c r="D673" s="142"/>
      <c r="E673" s="131"/>
      <c r="F673" s="131"/>
      <c r="G673" s="131"/>
      <c r="H673" s="131"/>
      <c r="I673" s="131"/>
      <c r="J673" s="131"/>
      <c r="K673" s="131"/>
      <c r="L673" s="131"/>
      <c r="M673" s="131"/>
      <c r="N673" s="131"/>
      <c r="O673" s="142"/>
      <c r="P673" s="142"/>
      <c r="Q673" s="142"/>
      <c r="R673" s="131"/>
      <c r="S673" s="142"/>
      <c r="T673" s="142"/>
      <c r="U673" s="142"/>
      <c r="V673" s="142"/>
      <c r="W673" s="142"/>
      <c r="X673" s="142"/>
      <c r="Y673" s="142"/>
      <c r="Z673" s="142"/>
      <c r="AA673" s="142"/>
      <c r="AB673" s="142"/>
    </row>
    <row r="674" ht="13.5" customHeight="1">
      <c r="A674" s="142"/>
      <c r="B674" s="142"/>
      <c r="C674" s="142"/>
      <c r="D674" s="142"/>
      <c r="E674" s="131"/>
      <c r="F674" s="131"/>
      <c r="G674" s="131"/>
      <c r="H674" s="131"/>
      <c r="I674" s="131"/>
      <c r="J674" s="131"/>
      <c r="K674" s="131"/>
      <c r="L674" s="131"/>
      <c r="M674" s="131"/>
      <c r="N674" s="131"/>
      <c r="O674" s="142"/>
      <c r="P674" s="142"/>
      <c r="Q674" s="142"/>
      <c r="R674" s="131"/>
      <c r="S674" s="142"/>
      <c r="T674" s="142"/>
      <c r="U674" s="142"/>
      <c r="V674" s="142"/>
      <c r="W674" s="142"/>
      <c r="X674" s="142"/>
      <c r="Y674" s="142"/>
      <c r="Z674" s="142"/>
      <c r="AA674" s="142"/>
      <c r="AB674" s="142"/>
    </row>
    <row r="675" ht="13.5" customHeight="1">
      <c r="A675" s="142"/>
      <c r="B675" s="142"/>
      <c r="C675" s="142"/>
      <c r="D675" s="142"/>
      <c r="E675" s="131"/>
      <c r="F675" s="131"/>
      <c r="G675" s="131"/>
      <c r="H675" s="131"/>
      <c r="I675" s="131"/>
      <c r="J675" s="131"/>
      <c r="K675" s="131"/>
      <c r="L675" s="131"/>
      <c r="M675" s="131"/>
      <c r="N675" s="131"/>
      <c r="O675" s="142"/>
      <c r="P675" s="142"/>
      <c r="Q675" s="142"/>
      <c r="R675" s="131"/>
      <c r="S675" s="142"/>
      <c r="T675" s="142"/>
      <c r="U675" s="142"/>
      <c r="V675" s="142"/>
      <c r="W675" s="142"/>
      <c r="X675" s="142"/>
      <c r="Y675" s="142"/>
      <c r="Z675" s="142"/>
      <c r="AA675" s="142"/>
      <c r="AB675" s="142"/>
    </row>
    <row r="676" ht="13.5" customHeight="1">
      <c r="A676" s="142"/>
      <c r="B676" s="142"/>
      <c r="C676" s="142"/>
      <c r="D676" s="142"/>
      <c r="E676" s="131"/>
      <c r="F676" s="131"/>
      <c r="G676" s="131"/>
      <c r="H676" s="131"/>
      <c r="I676" s="131"/>
      <c r="J676" s="131"/>
      <c r="K676" s="131"/>
      <c r="L676" s="131"/>
      <c r="M676" s="131"/>
      <c r="N676" s="131"/>
      <c r="O676" s="142"/>
      <c r="P676" s="142"/>
      <c r="Q676" s="142"/>
      <c r="R676" s="131"/>
      <c r="S676" s="142"/>
      <c r="T676" s="142"/>
      <c r="U676" s="142"/>
      <c r="V676" s="142"/>
      <c r="W676" s="142"/>
      <c r="X676" s="142"/>
      <c r="Y676" s="142"/>
      <c r="Z676" s="142"/>
      <c r="AA676" s="142"/>
      <c r="AB676" s="142"/>
    </row>
    <row r="677" ht="13.5" customHeight="1">
      <c r="A677" s="142"/>
      <c r="B677" s="142"/>
      <c r="C677" s="142"/>
      <c r="D677" s="142"/>
      <c r="E677" s="131"/>
      <c r="F677" s="131"/>
      <c r="G677" s="131"/>
      <c r="H677" s="131"/>
      <c r="I677" s="131"/>
      <c r="J677" s="131"/>
      <c r="K677" s="131"/>
      <c r="L677" s="131"/>
      <c r="M677" s="131"/>
      <c r="N677" s="131"/>
      <c r="O677" s="142"/>
      <c r="P677" s="142"/>
      <c r="Q677" s="142"/>
      <c r="R677" s="131"/>
      <c r="S677" s="142"/>
      <c r="T677" s="142"/>
      <c r="U677" s="142"/>
      <c r="V677" s="142"/>
      <c r="W677" s="142"/>
      <c r="X677" s="142"/>
      <c r="Y677" s="142"/>
      <c r="Z677" s="142"/>
      <c r="AA677" s="142"/>
      <c r="AB677" s="142"/>
    </row>
    <row r="678" ht="13.5" customHeight="1">
      <c r="A678" s="142"/>
      <c r="B678" s="142"/>
      <c r="C678" s="142"/>
      <c r="D678" s="142"/>
      <c r="E678" s="131"/>
      <c r="F678" s="131"/>
      <c r="G678" s="131"/>
      <c r="H678" s="131"/>
      <c r="I678" s="131"/>
      <c r="J678" s="131"/>
      <c r="K678" s="131"/>
      <c r="L678" s="131"/>
      <c r="M678" s="131"/>
      <c r="N678" s="131"/>
      <c r="O678" s="142"/>
      <c r="P678" s="142"/>
      <c r="Q678" s="142"/>
      <c r="R678" s="131"/>
      <c r="S678" s="142"/>
      <c r="T678" s="142"/>
      <c r="U678" s="142"/>
      <c r="V678" s="142"/>
      <c r="W678" s="142"/>
      <c r="X678" s="142"/>
      <c r="Y678" s="142"/>
      <c r="Z678" s="142"/>
      <c r="AA678" s="142"/>
      <c r="AB678" s="142"/>
    </row>
    <row r="679" ht="13.5" customHeight="1">
      <c r="A679" s="142"/>
      <c r="B679" s="142"/>
      <c r="C679" s="142"/>
      <c r="D679" s="142"/>
      <c r="E679" s="131"/>
      <c r="F679" s="131"/>
      <c r="G679" s="131"/>
      <c r="H679" s="131"/>
      <c r="I679" s="131"/>
      <c r="J679" s="131"/>
      <c r="K679" s="131"/>
      <c r="L679" s="131"/>
      <c r="M679" s="131"/>
      <c r="N679" s="131"/>
      <c r="O679" s="142"/>
      <c r="P679" s="142"/>
      <c r="Q679" s="142"/>
      <c r="R679" s="131"/>
      <c r="S679" s="142"/>
      <c r="T679" s="142"/>
      <c r="U679" s="142"/>
      <c r="V679" s="142"/>
      <c r="W679" s="142"/>
      <c r="X679" s="142"/>
      <c r="Y679" s="142"/>
      <c r="Z679" s="142"/>
      <c r="AA679" s="142"/>
      <c r="AB679" s="142"/>
    </row>
    <row r="680" ht="13.5" customHeight="1">
      <c r="A680" s="142"/>
      <c r="B680" s="142"/>
      <c r="C680" s="142"/>
      <c r="D680" s="142"/>
      <c r="E680" s="131"/>
      <c r="F680" s="131"/>
      <c r="G680" s="131"/>
      <c r="H680" s="131"/>
      <c r="I680" s="131"/>
      <c r="J680" s="131"/>
      <c r="K680" s="131"/>
      <c r="L680" s="131"/>
      <c r="M680" s="131"/>
      <c r="N680" s="131"/>
      <c r="O680" s="142"/>
      <c r="P680" s="142"/>
      <c r="Q680" s="142"/>
      <c r="R680" s="131"/>
      <c r="S680" s="142"/>
      <c r="T680" s="142"/>
      <c r="U680" s="142"/>
      <c r="V680" s="142"/>
      <c r="W680" s="142"/>
      <c r="X680" s="142"/>
      <c r="Y680" s="142"/>
      <c r="Z680" s="142"/>
      <c r="AA680" s="142"/>
      <c r="AB680" s="142"/>
    </row>
    <row r="681" ht="13.5" customHeight="1">
      <c r="A681" s="142"/>
      <c r="B681" s="142"/>
      <c r="C681" s="142"/>
      <c r="D681" s="142"/>
      <c r="E681" s="131"/>
      <c r="F681" s="131"/>
      <c r="G681" s="131"/>
      <c r="H681" s="131"/>
      <c r="I681" s="131"/>
      <c r="J681" s="131"/>
      <c r="K681" s="131"/>
      <c r="L681" s="131"/>
      <c r="M681" s="131"/>
      <c r="N681" s="131"/>
      <c r="O681" s="142"/>
      <c r="P681" s="142"/>
      <c r="Q681" s="142"/>
      <c r="R681" s="131"/>
      <c r="S681" s="142"/>
      <c r="T681" s="142"/>
      <c r="U681" s="142"/>
      <c r="V681" s="142"/>
      <c r="W681" s="142"/>
      <c r="X681" s="142"/>
      <c r="Y681" s="142"/>
      <c r="Z681" s="142"/>
      <c r="AA681" s="142"/>
      <c r="AB681" s="142"/>
    </row>
    <row r="682" ht="13.5" customHeight="1">
      <c r="A682" s="142"/>
      <c r="B682" s="142"/>
      <c r="C682" s="142"/>
      <c r="D682" s="142"/>
      <c r="E682" s="131"/>
      <c r="F682" s="131"/>
      <c r="G682" s="131"/>
      <c r="H682" s="131"/>
      <c r="I682" s="131"/>
      <c r="J682" s="131"/>
      <c r="K682" s="131"/>
      <c r="L682" s="131"/>
      <c r="M682" s="131"/>
      <c r="N682" s="131"/>
      <c r="O682" s="142"/>
      <c r="P682" s="142"/>
      <c r="Q682" s="142"/>
      <c r="R682" s="131"/>
      <c r="S682" s="142"/>
      <c r="T682" s="142"/>
      <c r="U682" s="142"/>
      <c r="V682" s="142"/>
      <c r="W682" s="142"/>
      <c r="X682" s="142"/>
      <c r="Y682" s="142"/>
      <c r="Z682" s="142"/>
      <c r="AA682" s="142"/>
      <c r="AB682" s="142"/>
    </row>
    <row r="683" ht="13.5" customHeight="1">
      <c r="A683" s="142"/>
      <c r="B683" s="142"/>
      <c r="C683" s="142"/>
      <c r="D683" s="142"/>
      <c r="E683" s="131"/>
      <c r="F683" s="131"/>
      <c r="G683" s="131"/>
      <c r="H683" s="131"/>
      <c r="I683" s="131"/>
      <c r="J683" s="131"/>
      <c r="K683" s="131"/>
      <c r="L683" s="131"/>
      <c r="M683" s="131"/>
      <c r="N683" s="131"/>
      <c r="O683" s="142"/>
      <c r="P683" s="142"/>
      <c r="Q683" s="142"/>
      <c r="R683" s="131"/>
      <c r="S683" s="142"/>
      <c r="T683" s="142"/>
      <c r="U683" s="142"/>
      <c r="V683" s="142"/>
      <c r="W683" s="142"/>
      <c r="X683" s="142"/>
      <c r="Y683" s="142"/>
      <c r="Z683" s="142"/>
      <c r="AA683" s="142"/>
      <c r="AB683" s="142"/>
    </row>
    <row r="684" ht="13.5" customHeight="1">
      <c r="A684" s="142"/>
      <c r="B684" s="142"/>
      <c r="C684" s="142"/>
      <c r="D684" s="142"/>
      <c r="E684" s="131"/>
      <c r="F684" s="131"/>
      <c r="G684" s="131"/>
      <c r="H684" s="131"/>
      <c r="I684" s="131"/>
      <c r="J684" s="131"/>
      <c r="K684" s="131"/>
      <c r="L684" s="131"/>
      <c r="M684" s="131"/>
      <c r="N684" s="131"/>
      <c r="O684" s="142"/>
      <c r="P684" s="142"/>
      <c r="Q684" s="142"/>
      <c r="R684" s="131"/>
      <c r="S684" s="142"/>
      <c r="T684" s="142"/>
      <c r="U684" s="142"/>
      <c r="V684" s="142"/>
      <c r="W684" s="142"/>
      <c r="X684" s="142"/>
      <c r="Y684" s="142"/>
      <c r="Z684" s="142"/>
      <c r="AA684" s="142"/>
      <c r="AB684" s="142"/>
    </row>
    <row r="685" ht="13.5" customHeight="1">
      <c r="A685" s="142"/>
      <c r="B685" s="142"/>
      <c r="C685" s="142"/>
      <c r="D685" s="142"/>
      <c r="E685" s="131"/>
      <c r="F685" s="131"/>
      <c r="G685" s="131"/>
      <c r="H685" s="131"/>
      <c r="I685" s="131"/>
      <c r="J685" s="131"/>
      <c r="K685" s="131"/>
      <c r="L685" s="131"/>
      <c r="M685" s="131"/>
      <c r="N685" s="131"/>
      <c r="O685" s="142"/>
      <c r="P685" s="142"/>
      <c r="Q685" s="142"/>
      <c r="R685" s="131"/>
      <c r="S685" s="142"/>
      <c r="T685" s="142"/>
      <c r="U685" s="142"/>
      <c r="V685" s="142"/>
      <c r="W685" s="142"/>
      <c r="X685" s="142"/>
      <c r="Y685" s="142"/>
      <c r="Z685" s="142"/>
      <c r="AA685" s="142"/>
      <c r="AB685" s="142"/>
    </row>
    <row r="686" ht="13.5" customHeight="1">
      <c r="A686" s="142"/>
      <c r="B686" s="142"/>
      <c r="C686" s="142"/>
      <c r="D686" s="142"/>
      <c r="E686" s="131"/>
      <c r="F686" s="131"/>
      <c r="G686" s="131"/>
      <c r="H686" s="131"/>
      <c r="I686" s="131"/>
      <c r="J686" s="131"/>
      <c r="K686" s="131"/>
      <c r="L686" s="131"/>
      <c r="M686" s="131"/>
      <c r="N686" s="131"/>
      <c r="O686" s="142"/>
      <c r="P686" s="142"/>
      <c r="Q686" s="142"/>
      <c r="R686" s="131"/>
      <c r="S686" s="142"/>
      <c r="T686" s="142"/>
      <c r="U686" s="142"/>
      <c r="V686" s="142"/>
      <c r="W686" s="142"/>
      <c r="X686" s="142"/>
      <c r="Y686" s="142"/>
      <c r="Z686" s="142"/>
      <c r="AA686" s="142"/>
      <c r="AB686" s="142"/>
    </row>
    <row r="687" ht="13.5" customHeight="1">
      <c r="A687" s="142"/>
      <c r="B687" s="142"/>
      <c r="C687" s="142"/>
      <c r="D687" s="142"/>
      <c r="E687" s="131"/>
      <c r="F687" s="131"/>
      <c r="G687" s="131"/>
      <c r="H687" s="131"/>
      <c r="I687" s="131"/>
      <c r="J687" s="131"/>
      <c r="K687" s="131"/>
      <c r="L687" s="131"/>
      <c r="M687" s="131"/>
      <c r="N687" s="131"/>
      <c r="O687" s="142"/>
      <c r="P687" s="142"/>
      <c r="Q687" s="142"/>
      <c r="R687" s="131"/>
      <c r="S687" s="142"/>
      <c r="T687" s="142"/>
      <c r="U687" s="142"/>
      <c r="V687" s="142"/>
      <c r="W687" s="142"/>
      <c r="X687" s="142"/>
      <c r="Y687" s="142"/>
      <c r="Z687" s="142"/>
      <c r="AA687" s="142"/>
      <c r="AB687" s="142"/>
    </row>
    <row r="688" ht="13.5" customHeight="1">
      <c r="A688" s="142"/>
      <c r="B688" s="142"/>
      <c r="C688" s="142"/>
      <c r="D688" s="142"/>
      <c r="E688" s="131"/>
      <c r="F688" s="131"/>
      <c r="G688" s="131"/>
      <c r="H688" s="131"/>
      <c r="I688" s="131"/>
      <c r="J688" s="131"/>
      <c r="K688" s="131"/>
      <c r="L688" s="131"/>
      <c r="M688" s="131"/>
      <c r="N688" s="131"/>
      <c r="O688" s="142"/>
      <c r="P688" s="142"/>
      <c r="Q688" s="142"/>
      <c r="R688" s="131"/>
      <c r="S688" s="142"/>
      <c r="T688" s="142"/>
      <c r="U688" s="142"/>
      <c r="V688" s="142"/>
      <c r="W688" s="142"/>
      <c r="X688" s="142"/>
      <c r="Y688" s="142"/>
      <c r="Z688" s="142"/>
      <c r="AA688" s="142"/>
      <c r="AB688" s="142"/>
    </row>
    <row r="689" ht="13.5" customHeight="1">
      <c r="A689" s="142"/>
      <c r="B689" s="142"/>
      <c r="C689" s="142"/>
      <c r="D689" s="142"/>
      <c r="E689" s="131"/>
      <c r="F689" s="131"/>
      <c r="G689" s="131"/>
      <c r="H689" s="131"/>
      <c r="I689" s="131"/>
      <c r="J689" s="131"/>
      <c r="K689" s="131"/>
      <c r="L689" s="131"/>
      <c r="M689" s="131"/>
      <c r="N689" s="131"/>
      <c r="O689" s="142"/>
      <c r="P689" s="142"/>
      <c r="Q689" s="142"/>
      <c r="R689" s="131"/>
      <c r="S689" s="142"/>
      <c r="T689" s="142"/>
      <c r="U689" s="142"/>
      <c r="V689" s="142"/>
      <c r="W689" s="142"/>
      <c r="X689" s="142"/>
      <c r="Y689" s="142"/>
      <c r="Z689" s="142"/>
      <c r="AA689" s="142"/>
      <c r="AB689" s="142"/>
    </row>
    <row r="690" ht="13.5" customHeight="1">
      <c r="A690" s="142"/>
      <c r="B690" s="142"/>
      <c r="C690" s="142"/>
      <c r="D690" s="142"/>
      <c r="E690" s="131"/>
      <c r="F690" s="131"/>
      <c r="G690" s="131"/>
      <c r="H690" s="131"/>
      <c r="I690" s="131"/>
      <c r="J690" s="131"/>
      <c r="K690" s="131"/>
      <c r="L690" s="131"/>
      <c r="M690" s="131"/>
      <c r="N690" s="131"/>
      <c r="O690" s="142"/>
      <c r="P690" s="142"/>
      <c r="Q690" s="142"/>
      <c r="R690" s="131"/>
      <c r="S690" s="142"/>
      <c r="T690" s="142"/>
      <c r="U690" s="142"/>
      <c r="V690" s="142"/>
      <c r="W690" s="142"/>
      <c r="X690" s="142"/>
      <c r="Y690" s="142"/>
      <c r="Z690" s="142"/>
      <c r="AA690" s="142"/>
      <c r="AB690" s="142"/>
    </row>
    <row r="691" ht="13.5" customHeight="1">
      <c r="A691" s="142"/>
      <c r="B691" s="142"/>
      <c r="C691" s="142"/>
      <c r="D691" s="142"/>
      <c r="E691" s="131"/>
      <c r="F691" s="131"/>
      <c r="G691" s="131"/>
      <c r="H691" s="131"/>
      <c r="I691" s="131"/>
      <c r="J691" s="131"/>
      <c r="K691" s="131"/>
      <c r="L691" s="131"/>
      <c r="M691" s="131"/>
      <c r="N691" s="131"/>
      <c r="O691" s="142"/>
      <c r="P691" s="142"/>
      <c r="Q691" s="142"/>
      <c r="R691" s="131"/>
      <c r="S691" s="142"/>
      <c r="T691" s="142"/>
      <c r="U691" s="142"/>
      <c r="V691" s="142"/>
      <c r="W691" s="142"/>
      <c r="X691" s="142"/>
      <c r="Y691" s="142"/>
      <c r="Z691" s="142"/>
      <c r="AA691" s="142"/>
      <c r="AB691" s="142"/>
    </row>
    <row r="692" ht="13.5" customHeight="1">
      <c r="A692" s="142"/>
      <c r="B692" s="142"/>
      <c r="C692" s="142"/>
      <c r="D692" s="142"/>
      <c r="E692" s="131"/>
      <c r="F692" s="131"/>
      <c r="G692" s="131"/>
      <c r="H692" s="131"/>
      <c r="I692" s="131"/>
      <c r="J692" s="131"/>
      <c r="K692" s="131"/>
      <c r="L692" s="131"/>
      <c r="M692" s="131"/>
      <c r="N692" s="131"/>
      <c r="O692" s="142"/>
      <c r="P692" s="142"/>
      <c r="Q692" s="142"/>
      <c r="R692" s="131"/>
      <c r="S692" s="142"/>
      <c r="T692" s="142"/>
      <c r="U692" s="142"/>
      <c r="V692" s="142"/>
      <c r="W692" s="142"/>
      <c r="X692" s="142"/>
      <c r="Y692" s="142"/>
      <c r="Z692" s="142"/>
      <c r="AA692" s="142"/>
      <c r="AB692" s="142"/>
    </row>
    <row r="693" ht="13.5" customHeight="1">
      <c r="A693" s="142"/>
      <c r="B693" s="142"/>
      <c r="C693" s="142"/>
      <c r="D693" s="142"/>
      <c r="E693" s="131"/>
      <c r="F693" s="131"/>
      <c r="G693" s="131"/>
      <c r="H693" s="131"/>
      <c r="I693" s="131"/>
      <c r="J693" s="131"/>
      <c r="K693" s="131"/>
      <c r="L693" s="131"/>
      <c r="M693" s="131"/>
      <c r="N693" s="131"/>
      <c r="O693" s="142"/>
      <c r="P693" s="142"/>
      <c r="Q693" s="142"/>
      <c r="R693" s="131"/>
      <c r="S693" s="142"/>
      <c r="T693" s="142"/>
      <c r="U693" s="142"/>
      <c r="V693" s="142"/>
      <c r="W693" s="142"/>
      <c r="X693" s="142"/>
      <c r="Y693" s="142"/>
      <c r="Z693" s="142"/>
      <c r="AA693" s="142"/>
      <c r="AB693" s="142"/>
    </row>
    <row r="694" ht="13.5" customHeight="1">
      <c r="A694" s="142"/>
      <c r="B694" s="142"/>
      <c r="C694" s="142"/>
      <c r="D694" s="142"/>
      <c r="E694" s="131"/>
      <c r="F694" s="131"/>
      <c r="G694" s="131"/>
      <c r="H694" s="131"/>
      <c r="I694" s="131"/>
      <c r="J694" s="131"/>
      <c r="K694" s="131"/>
      <c r="L694" s="131"/>
      <c r="M694" s="131"/>
      <c r="N694" s="131"/>
      <c r="O694" s="142"/>
      <c r="P694" s="142"/>
      <c r="Q694" s="142"/>
      <c r="R694" s="131"/>
      <c r="S694" s="142"/>
      <c r="T694" s="142"/>
      <c r="U694" s="142"/>
      <c r="V694" s="142"/>
      <c r="W694" s="142"/>
      <c r="X694" s="142"/>
      <c r="Y694" s="142"/>
      <c r="Z694" s="142"/>
      <c r="AA694" s="142"/>
      <c r="AB694" s="142"/>
    </row>
    <row r="695" ht="13.5" customHeight="1">
      <c r="A695" s="142"/>
      <c r="B695" s="142"/>
      <c r="C695" s="142"/>
      <c r="D695" s="142"/>
      <c r="E695" s="131"/>
      <c r="F695" s="131"/>
      <c r="G695" s="131"/>
      <c r="H695" s="131"/>
      <c r="I695" s="131"/>
      <c r="J695" s="131"/>
      <c r="K695" s="131"/>
      <c r="L695" s="131"/>
      <c r="M695" s="131"/>
      <c r="N695" s="131"/>
      <c r="O695" s="142"/>
      <c r="P695" s="142"/>
      <c r="Q695" s="142"/>
      <c r="R695" s="131"/>
      <c r="S695" s="142"/>
      <c r="T695" s="142"/>
      <c r="U695" s="142"/>
      <c r="V695" s="142"/>
      <c r="W695" s="142"/>
      <c r="X695" s="142"/>
      <c r="Y695" s="142"/>
      <c r="Z695" s="142"/>
      <c r="AA695" s="142"/>
      <c r="AB695" s="142"/>
    </row>
    <row r="696" ht="13.5" customHeight="1">
      <c r="A696" s="142"/>
      <c r="B696" s="142"/>
      <c r="C696" s="142"/>
      <c r="D696" s="142"/>
      <c r="E696" s="131"/>
      <c r="F696" s="131"/>
      <c r="G696" s="131"/>
      <c r="H696" s="131"/>
      <c r="I696" s="131"/>
      <c r="J696" s="131"/>
      <c r="K696" s="131"/>
      <c r="L696" s="131"/>
      <c r="M696" s="131"/>
      <c r="N696" s="131"/>
      <c r="O696" s="142"/>
      <c r="P696" s="142"/>
      <c r="Q696" s="142"/>
      <c r="R696" s="131"/>
      <c r="S696" s="142"/>
      <c r="T696" s="142"/>
      <c r="U696" s="142"/>
      <c r="V696" s="142"/>
      <c r="W696" s="142"/>
      <c r="X696" s="142"/>
      <c r="Y696" s="142"/>
      <c r="Z696" s="142"/>
      <c r="AA696" s="142"/>
      <c r="AB696" s="142"/>
    </row>
    <row r="697" ht="13.5" customHeight="1">
      <c r="A697" s="142"/>
      <c r="B697" s="142"/>
      <c r="C697" s="142"/>
      <c r="D697" s="142"/>
      <c r="E697" s="131"/>
      <c r="F697" s="131"/>
      <c r="G697" s="131"/>
      <c r="H697" s="131"/>
      <c r="I697" s="131"/>
      <c r="J697" s="131"/>
      <c r="K697" s="131"/>
      <c r="L697" s="131"/>
      <c r="M697" s="131"/>
      <c r="N697" s="131"/>
      <c r="O697" s="142"/>
      <c r="P697" s="142"/>
      <c r="Q697" s="142"/>
      <c r="R697" s="131"/>
      <c r="S697" s="142"/>
      <c r="T697" s="142"/>
      <c r="U697" s="142"/>
      <c r="V697" s="142"/>
      <c r="W697" s="142"/>
      <c r="X697" s="142"/>
      <c r="Y697" s="142"/>
      <c r="Z697" s="142"/>
      <c r="AA697" s="142"/>
      <c r="AB697" s="142"/>
    </row>
    <row r="698" ht="13.5" customHeight="1">
      <c r="A698" s="142"/>
      <c r="B698" s="142"/>
      <c r="C698" s="142"/>
      <c r="D698" s="142"/>
      <c r="E698" s="131"/>
      <c r="F698" s="131"/>
      <c r="G698" s="131"/>
      <c r="H698" s="131"/>
      <c r="I698" s="131"/>
      <c r="J698" s="131"/>
      <c r="K698" s="131"/>
      <c r="L698" s="131"/>
      <c r="M698" s="131"/>
      <c r="N698" s="131"/>
      <c r="O698" s="142"/>
      <c r="P698" s="142"/>
      <c r="Q698" s="142"/>
      <c r="R698" s="131"/>
      <c r="S698" s="142"/>
      <c r="T698" s="142"/>
      <c r="U698" s="142"/>
      <c r="V698" s="142"/>
      <c r="W698" s="142"/>
      <c r="X698" s="142"/>
      <c r="Y698" s="142"/>
      <c r="Z698" s="142"/>
      <c r="AA698" s="142"/>
      <c r="AB698" s="142"/>
    </row>
    <row r="699" ht="13.5" customHeight="1">
      <c r="A699" s="142"/>
      <c r="B699" s="142"/>
      <c r="C699" s="142"/>
      <c r="D699" s="142"/>
      <c r="E699" s="131"/>
      <c r="F699" s="131"/>
      <c r="G699" s="131"/>
      <c r="H699" s="131"/>
      <c r="I699" s="131"/>
      <c r="J699" s="131"/>
      <c r="K699" s="131"/>
      <c r="L699" s="131"/>
      <c r="M699" s="131"/>
      <c r="N699" s="131"/>
      <c r="O699" s="142"/>
      <c r="P699" s="142"/>
      <c r="Q699" s="142"/>
      <c r="R699" s="131"/>
      <c r="S699" s="142"/>
      <c r="T699" s="142"/>
      <c r="U699" s="142"/>
      <c r="V699" s="142"/>
      <c r="W699" s="142"/>
      <c r="X699" s="142"/>
      <c r="Y699" s="142"/>
      <c r="Z699" s="142"/>
      <c r="AA699" s="142"/>
      <c r="AB699" s="142"/>
    </row>
    <row r="700" ht="13.5" customHeight="1">
      <c r="A700" s="142"/>
      <c r="B700" s="142"/>
      <c r="C700" s="142"/>
      <c r="D700" s="142"/>
      <c r="E700" s="131"/>
      <c r="F700" s="131"/>
      <c r="G700" s="131"/>
      <c r="H700" s="131"/>
      <c r="I700" s="131"/>
      <c r="J700" s="131"/>
      <c r="K700" s="131"/>
      <c r="L700" s="131"/>
      <c r="M700" s="131"/>
      <c r="N700" s="131"/>
      <c r="O700" s="142"/>
      <c r="P700" s="142"/>
      <c r="Q700" s="142"/>
      <c r="R700" s="131"/>
      <c r="S700" s="142"/>
      <c r="T700" s="142"/>
      <c r="U700" s="142"/>
      <c r="V700" s="142"/>
      <c r="W700" s="142"/>
      <c r="X700" s="142"/>
      <c r="Y700" s="142"/>
      <c r="Z700" s="142"/>
      <c r="AA700" s="142"/>
      <c r="AB700" s="142"/>
    </row>
    <row r="701" ht="13.5" customHeight="1">
      <c r="A701" s="142"/>
      <c r="B701" s="142"/>
      <c r="C701" s="142"/>
      <c r="D701" s="142"/>
      <c r="E701" s="131"/>
      <c r="F701" s="131"/>
      <c r="G701" s="131"/>
      <c r="H701" s="131"/>
      <c r="I701" s="131"/>
      <c r="J701" s="131"/>
      <c r="K701" s="131"/>
      <c r="L701" s="131"/>
      <c r="M701" s="131"/>
      <c r="N701" s="131"/>
      <c r="O701" s="142"/>
      <c r="P701" s="142"/>
      <c r="Q701" s="142"/>
      <c r="R701" s="131"/>
      <c r="S701" s="142"/>
      <c r="T701" s="142"/>
      <c r="U701" s="142"/>
      <c r="V701" s="142"/>
      <c r="W701" s="142"/>
      <c r="X701" s="142"/>
      <c r="Y701" s="142"/>
      <c r="Z701" s="142"/>
      <c r="AA701" s="142"/>
      <c r="AB701" s="142"/>
    </row>
    <row r="702" ht="13.5" customHeight="1">
      <c r="A702" s="142"/>
      <c r="B702" s="142"/>
      <c r="C702" s="142"/>
      <c r="D702" s="142"/>
      <c r="E702" s="131"/>
      <c r="F702" s="131"/>
      <c r="G702" s="131"/>
      <c r="H702" s="131"/>
      <c r="I702" s="131"/>
      <c r="J702" s="131"/>
      <c r="K702" s="131"/>
      <c r="L702" s="131"/>
      <c r="M702" s="131"/>
      <c r="N702" s="131"/>
      <c r="O702" s="142"/>
      <c r="P702" s="142"/>
      <c r="Q702" s="142"/>
      <c r="R702" s="131"/>
      <c r="S702" s="142"/>
      <c r="T702" s="142"/>
      <c r="U702" s="142"/>
      <c r="V702" s="142"/>
      <c r="W702" s="142"/>
      <c r="X702" s="142"/>
      <c r="Y702" s="142"/>
      <c r="Z702" s="142"/>
      <c r="AA702" s="142"/>
      <c r="AB702" s="142"/>
    </row>
    <row r="703" ht="13.5" customHeight="1">
      <c r="A703" s="142"/>
      <c r="B703" s="142"/>
      <c r="C703" s="142"/>
      <c r="D703" s="142"/>
      <c r="E703" s="131"/>
      <c r="F703" s="131"/>
      <c r="G703" s="131"/>
      <c r="H703" s="131"/>
      <c r="I703" s="131"/>
      <c r="J703" s="131"/>
      <c r="K703" s="131"/>
      <c r="L703" s="131"/>
      <c r="M703" s="131"/>
      <c r="N703" s="131"/>
      <c r="O703" s="142"/>
      <c r="P703" s="142"/>
      <c r="Q703" s="142"/>
      <c r="R703" s="131"/>
      <c r="S703" s="142"/>
      <c r="T703" s="142"/>
      <c r="U703" s="142"/>
      <c r="V703" s="142"/>
      <c r="W703" s="142"/>
      <c r="X703" s="142"/>
      <c r="Y703" s="142"/>
      <c r="Z703" s="142"/>
      <c r="AA703" s="142"/>
      <c r="AB703" s="142"/>
    </row>
    <row r="704" ht="13.5" customHeight="1">
      <c r="A704" s="142"/>
      <c r="B704" s="142"/>
      <c r="C704" s="142"/>
      <c r="D704" s="142"/>
      <c r="E704" s="131"/>
      <c r="F704" s="131"/>
      <c r="G704" s="131"/>
      <c r="H704" s="131"/>
      <c r="I704" s="131"/>
      <c r="J704" s="131"/>
      <c r="K704" s="131"/>
      <c r="L704" s="131"/>
      <c r="M704" s="131"/>
      <c r="N704" s="131"/>
      <c r="O704" s="142"/>
      <c r="P704" s="142"/>
      <c r="Q704" s="142"/>
      <c r="R704" s="131"/>
      <c r="S704" s="142"/>
      <c r="T704" s="142"/>
      <c r="U704" s="142"/>
      <c r="V704" s="142"/>
      <c r="W704" s="142"/>
      <c r="X704" s="142"/>
      <c r="Y704" s="142"/>
      <c r="Z704" s="142"/>
      <c r="AA704" s="142"/>
      <c r="AB704" s="142"/>
    </row>
    <row r="705" ht="13.5" customHeight="1">
      <c r="A705" s="142"/>
      <c r="B705" s="142"/>
      <c r="C705" s="142"/>
      <c r="D705" s="142"/>
      <c r="E705" s="131"/>
      <c r="F705" s="131"/>
      <c r="G705" s="131"/>
      <c r="H705" s="131"/>
      <c r="I705" s="131"/>
      <c r="J705" s="131"/>
      <c r="K705" s="131"/>
      <c r="L705" s="131"/>
      <c r="M705" s="131"/>
      <c r="N705" s="131"/>
      <c r="O705" s="142"/>
      <c r="P705" s="142"/>
      <c r="Q705" s="142"/>
      <c r="R705" s="131"/>
      <c r="S705" s="142"/>
      <c r="T705" s="142"/>
      <c r="U705" s="142"/>
      <c r="V705" s="142"/>
      <c r="W705" s="142"/>
      <c r="X705" s="142"/>
      <c r="Y705" s="142"/>
      <c r="Z705" s="142"/>
      <c r="AA705" s="142"/>
      <c r="AB705" s="142"/>
    </row>
    <row r="706" ht="13.5" customHeight="1">
      <c r="A706" s="142"/>
      <c r="B706" s="142"/>
      <c r="C706" s="142"/>
      <c r="D706" s="142"/>
      <c r="E706" s="131"/>
      <c r="F706" s="131"/>
      <c r="G706" s="131"/>
      <c r="H706" s="131"/>
      <c r="I706" s="131"/>
      <c r="J706" s="131"/>
      <c r="K706" s="131"/>
      <c r="L706" s="131"/>
      <c r="M706" s="131"/>
      <c r="N706" s="131"/>
      <c r="O706" s="142"/>
      <c r="P706" s="142"/>
      <c r="Q706" s="142"/>
      <c r="R706" s="131"/>
      <c r="S706" s="142"/>
      <c r="T706" s="142"/>
      <c r="U706" s="142"/>
      <c r="V706" s="142"/>
      <c r="W706" s="142"/>
      <c r="X706" s="142"/>
      <c r="Y706" s="142"/>
      <c r="Z706" s="142"/>
      <c r="AA706" s="142"/>
      <c r="AB706" s="142"/>
    </row>
    <row r="707" ht="13.5" customHeight="1">
      <c r="A707" s="142"/>
      <c r="B707" s="142"/>
      <c r="C707" s="142"/>
      <c r="D707" s="142"/>
      <c r="E707" s="131"/>
      <c r="F707" s="131"/>
      <c r="G707" s="131"/>
      <c r="H707" s="131"/>
      <c r="I707" s="131"/>
      <c r="J707" s="131"/>
      <c r="K707" s="131"/>
      <c r="L707" s="131"/>
      <c r="M707" s="131"/>
      <c r="N707" s="131"/>
      <c r="O707" s="142"/>
      <c r="P707" s="142"/>
      <c r="Q707" s="142"/>
      <c r="R707" s="131"/>
      <c r="S707" s="142"/>
      <c r="T707" s="142"/>
      <c r="U707" s="142"/>
      <c r="V707" s="142"/>
      <c r="W707" s="142"/>
      <c r="X707" s="142"/>
      <c r="Y707" s="142"/>
      <c r="Z707" s="142"/>
      <c r="AA707" s="142"/>
      <c r="AB707" s="142"/>
    </row>
    <row r="708" ht="13.5" customHeight="1">
      <c r="A708" s="142"/>
      <c r="B708" s="142"/>
      <c r="C708" s="142"/>
      <c r="D708" s="142"/>
      <c r="E708" s="131"/>
      <c r="F708" s="131"/>
      <c r="G708" s="131"/>
      <c r="H708" s="131"/>
      <c r="I708" s="131"/>
      <c r="J708" s="131"/>
      <c r="K708" s="131"/>
      <c r="L708" s="131"/>
      <c r="M708" s="131"/>
      <c r="N708" s="131"/>
      <c r="O708" s="142"/>
      <c r="P708" s="142"/>
      <c r="Q708" s="142"/>
      <c r="R708" s="131"/>
      <c r="S708" s="142"/>
      <c r="T708" s="142"/>
      <c r="U708" s="142"/>
      <c r="V708" s="142"/>
      <c r="W708" s="142"/>
      <c r="X708" s="142"/>
      <c r="Y708" s="142"/>
      <c r="Z708" s="142"/>
      <c r="AA708" s="142"/>
      <c r="AB708" s="142"/>
    </row>
    <row r="709" ht="13.5" customHeight="1">
      <c r="A709" s="142"/>
      <c r="B709" s="142"/>
      <c r="C709" s="142"/>
      <c r="D709" s="142"/>
      <c r="E709" s="131"/>
      <c r="F709" s="131"/>
      <c r="G709" s="131"/>
      <c r="H709" s="131"/>
      <c r="I709" s="131"/>
      <c r="J709" s="131"/>
      <c r="K709" s="131"/>
      <c r="L709" s="131"/>
      <c r="M709" s="131"/>
      <c r="N709" s="131"/>
      <c r="O709" s="142"/>
      <c r="P709" s="142"/>
      <c r="Q709" s="142"/>
      <c r="R709" s="131"/>
      <c r="S709" s="142"/>
      <c r="T709" s="142"/>
      <c r="U709" s="142"/>
      <c r="V709" s="142"/>
      <c r="W709" s="142"/>
      <c r="X709" s="142"/>
      <c r="Y709" s="142"/>
      <c r="Z709" s="142"/>
      <c r="AA709" s="142"/>
      <c r="AB709" s="142"/>
    </row>
    <row r="710" ht="13.5" customHeight="1">
      <c r="A710" s="142"/>
      <c r="B710" s="142"/>
      <c r="C710" s="142"/>
      <c r="D710" s="142"/>
      <c r="E710" s="131"/>
      <c r="F710" s="131"/>
      <c r="G710" s="131"/>
      <c r="H710" s="131"/>
      <c r="I710" s="131"/>
      <c r="J710" s="131"/>
      <c r="K710" s="131"/>
      <c r="L710" s="131"/>
      <c r="M710" s="131"/>
      <c r="N710" s="131"/>
      <c r="O710" s="142"/>
      <c r="P710" s="142"/>
      <c r="Q710" s="142"/>
      <c r="R710" s="131"/>
      <c r="S710" s="142"/>
      <c r="T710" s="142"/>
      <c r="U710" s="142"/>
      <c r="V710" s="142"/>
      <c r="W710" s="142"/>
      <c r="X710" s="142"/>
      <c r="Y710" s="142"/>
      <c r="Z710" s="142"/>
      <c r="AA710" s="142"/>
      <c r="AB710" s="142"/>
    </row>
    <row r="711" ht="13.5" customHeight="1">
      <c r="A711" s="142"/>
      <c r="B711" s="142"/>
      <c r="C711" s="142"/>
      <c r="D711" s="142"/>
      <c r="E711" s="131"/>
      <c r="F711" s="131"/>
      <c r="G711" s="131"/>
      <c r="H711" s="131"/>
      <c r="I711" s="131"/>
      <c r="J711" s="131"/>
      <c r="K711" s="131"/>
      <c r="L711" s="131"/>
      <c r="M711" s="131"/>
      <c r="N711" s="131"/>
      <c r="O711" s="142"/>
      <c r="P711" s="142"/>
      <c r="Q711" s="142"/>
      <c r="R711" s="131"/>
      <c r="S711" s="142"/>
      <c r="T711" s="142"/>
      <c r="U711" s="142"/>
      <c r="V711" s="142"/>
      <c r="W711" s="142"/>
      <c r="X711" s="142"/>
      <c r="Y711" s="142"/>
      <c r="Z711" s="142"/>
      <c r="AA711" s="142"/>
      <c r="AB711" s="142"/>
    </row>
    <row r="712" ht="13.5" customHeight="1">
      <c r="A712" s="142"/>
      <c r="B712" s="142"/>
      <c r="C712" s="142"/>
      <c r="D712" s="142"/>
      <c r="E712" s="131"/>
      <c r="F712" s="131"/>
      <c r="G712" s="131"/>
      <c r="H712" s="131"/>
      <c r="I712" s="131"/>
      <c r="J712" s="131"/>
      <c r="K712" s="131"/>
      <c r="L712" s="131"/>
      <c r="M712" s="131"/>
      <c r="N712" s="131"/>
      <c r="O712" s="142"/>
      <c r="P712" s="142"/>
      <c r="Q712" s="142"/>
      <c r="R712" s="131"/>
      <c r="S712" s="142"/>
      <c r="T712" s="142"/>
      <c r="U712" s="142"/>
      <c r="V712" s="142"/>
      <c r="W712" s="142"/>
      <c r="X712" s="142"/>
      <c r="Y712" s="142"/>
      <c r="Z712" s="142"/>
      <c r="AA712" s="142"/>
      <c r="AB712" s="142"/>
    </row>
    <row r="713" ht="13.5" customHeight="1">
      <c r="A713" s="142"/>
      <c r="B713" s="142"/>
      <c r="C713" s="142"/>
      <c r="D713" s="142"/>
      <c r="E713" s="131"/>
      <c r="F713" s="131"/>
      <c r="G713" s="131"/>
      <c r="H713" s="131"/>
      <c r="I713" s="131"/>
      <c r="J713" s="131"/>
      <c r="K713" s="131"/>
      <c r="L713" s="131"/>
      <c r="M713" s="131"/>
      <c r="N713" s="131"/>
      <c r="O713" s="142"/>
      <c r="P713" s="142"/>
      <c r="Q713" s="142"/>
      <c r="R713" s="131"/>
      <c r="S713" s="142"/>
      <c r="T713" s="142"/>
      <c r="U713" s="142"/>
      <c r="V713" s="142"/>
      <c r="W713" s="142"/>
      <c r="X713" s="142"/>
      <c r="Y713" s="142"/>
      <c r="Z713" s="142"/>
      <c r="AA713" s="142"/>
      <c r="AB713" s="142"/>
    </row>
    <row r="714" ht="13.5" customHeight="1">
      <c r="A714" s="142"/>
      <c r="B714" s="142"/>
      <c r="C714" s="142"/>
      <c r="D714" s="142"/>
      <c r="E714" s="131"/>
      <c r="F714" s="131"/>
      <c r="G714" s="131"/>
      <c r="H714" s="131"/>
      <c r="I714" s="131"/>
      <c r="J714" s="131"/>
      <c r="K714" s="131"/>
      <c r="L714" s="131"/>
      <c r="M714" s="131"/>
      <c r="N714" s="131"/>
      <c r="O714" s="142"/>
      <c r="P714" s="142"/>
      <c r="Q714" s="142"/>
      <c r="R714" s="131"/>
      <c r="S714" s="142"/>
      <c r="T714" s="142"/>
      <c r="U714" s="142"/>
      <c r="V714" s="142"/>
      <c r="W714" s="142"/>
      <c r="X714" s="142"/>
      <c r="Y714" s="142"/>
      <c r="Z714" s="142"/>
      <c r="AA714" s="142"/>
      <c r="AB714" s="142"/>
    </row>
    <row r="715" ht="13.5" customHeight="1">
      <c r="A715" s="142"/>
      <c r="B715" s="142"/>
      <c r="C715" s="142"/>
      <c r="D715" s="142"/>
      <c r="E715" s="131"/>
      <c r="F715" s="131"/>
      <c r="G715" s="131"/>
      <c r="H715" s="131"/>
      <c r="I715" s="131"/>
      <c r="J715" s="131"/>
      <c r="K715" s="131"/>
      <c r="L715" s="131"/>
      <c r="M715" s="131"/>
      <c r="N715" s="131"/>
      <c r="O715" s="142"/>
      <c r="P715" s="142"/>
      <c r="Q715" s="142"/>
      <c r="R715" s="131"/>
      <c r="S715" s="142"/>
      <c r="T715" s="142"/>
      <c r="U715" s="142"/>
      <c r="V715" s="142"/>
      <c r="W715" s="142"/>
      <c r="X715" s="142"/>
      <c r="Y715" s="142"/>
      <c r="Z715" s="142"/>
      <c r="AA715" s="142"/>
      <c r="AB715" s="142"/>
    </row>
    <row r="716" ht="13.5" customHeight="1">
      <c r="A716" s="142"/>
      <c r="B716" s="142"/>
      <c r="C716" s="142"/>
      <c r="D716" s="142"/>
      <c r="E716" s="131"/>
      <c r="F716" s="131"/>
      <c r="G716" s="131"/>
      <c r="H716" s="131"/>
      <c r="I716" s="131"/>
      <c r="J716" s="131"/>
      <c r="K716" s="131"/>
      <c r="L716" s="131"/>
      <c r="M716" s="131"/>
      <c r="N716" s="131"/>
      <c r="O716" s="142"/>
      <c r="P716" s="142"/>
      <c r="Q716" s="142"/>
      <c r="R716" s="131"/>
      <c r="S716" s="142"/>
      <c r="T716" s="142"/>
      <c r="U716" s="142"/>
      <c r="V716" s="142"/>
      <c r="W716" s="142"/>
      <c r="X716" s="142"/>
      <c r="Y716" s="142"/>
      <c r="Z716" s="142"/>
      <c r="AA716" s="142"/>
      <c r="AB716" s="142"/>
    </row>
    <row r="717" ht="13.5" customHeight="1">
      <c r="A717" s="142"/>
      <c r="B717" s="142"/>
      <c r="C717" s="142"/>
      <c r="D717" s="142"/>
      <c r="E717" s="131"/>
      <c r="F717" s="131"/>
      <c r="G717" s="131"/>
      <c r="H717" s="131"/>
      <c r="I717" s="131"/>
      <c r="J717" s="131"/>
      <c r="K717" s="131"/>
      <c r="L717" s="131"/>
      <c r="M717" s="131"/>
      <c r="N717" s="131"/>
      <c r="O717" s="142"/>
      <c r="P717" s="142"/>
      <c r="Q717" s="142"/>
      <c r="R717" s="131"/>
      <c r="S717" s="142"/>
      <c r="T717" s="142"/>
      <c r="U717" s="142"/>
      <c r="V717" s="142"/>
      <c r="W717" s="142"/>
      <c r="X717" s="142"/>
      <c r="Y717" s="142"/>
      <c r="Z717" s="142"/>
      <c r="AA717" s="142"/>
      <c r="AB717" s="142"/>
    </row>
    <row r="718" ht="13.5" customHeight="1">
      <c r="A718" s="142"/>
      <c r="B718" s="142"/>
      <c r="C718" s="142"/>
      <c r="D718" s="142"/>
      <c r="E718" s="131"/>
      <c r="F718" s="131"/>
      <c r="G718" s="131"/>
      <c r="H718" s="131"/>
      <c r="I718" s="131"/>
      <c r="J718" s="131"/>
      <c r="K718" s="131"/>
      <c r="L718" s="131"/>
      <c r="M718" s="131"/>
      <c r="N718" s="131"/>
      <c r="O718" s="142"/>
      <c r="P718" s="142"/>
      <c r="Q718" s="142"/>
      <c r="R718" s="131"/>
      <c r="S718" s="142"/>
      <c r="T718" s="142"/>
      <c r="U718" s="142"/>
      <c r="V718" s="142"/>
      <c r="W718" s="142"/>
      <c r="X718" s="142"/>
      <c r="Y718" s="142"/>
      <c r="Z718" s="142"/>
      <c r="AA718" s="142"/>
      <c r="AB718" s="142"/>
    </row>
    <row r="719" ht="13.5" customHeight="1">
      <c r="A719" s="142"/>
      <c r="B719" s="142"/>
      <c r="C719" s="142"/>
      <c r="D719" s="142"/>
      <c r="E719" s="131"/>
      <c r="F719" s="131"/>
      <c r="G719" s="131"/>
      <c r="H719" s="131"/>
      <c r="I719" s="131"/>
      <c r="J719" s="131"/>
      <c r="K719" s="131"/>
      <c r="L719" s="131"/>
      <c r="M719" s="131"/>
      <c r="N719" s="131"/>
      <c r="O719" s="142"/>
      <c r="P719" s="142"/>
      <c r="Q719" s="142"/>
      <c r="R719" s="131"/>
      <c r="S719" s="142"/>
      <c r="T719" s="142"/>
      <c r="U719" s="142"/>
      <c r="V719" s="142"/>
      <c r="W719" s="142"/>
      <c r="X719" s="142"/>
      <c r="Y719" s="142"/>
      <c r="Z719" s="142"/>
      <c r="AA719" s="142"/>
      <c r="AB719" s="142"/>
    </row>
    <row r="720" ht="13.5" customHeight="1">
      <c r="A720" s="142"/>
      <c r="B720" s="142"/>
      <c r="C720" s="142"/>
      <c r="D720" s="142"/>
      <c r="E720" s="131"/>
      <c r="F720" s="131"/>
      <c r="G720" s="131"/>
      <c r="H720" s="131"/>
      <c r="I720" s="131"/>
      <c r="J720" s="131"/>
      <c r="K720" s="131"/>
      <c r="L720" s="131"/>
      <c r="M720" s="131"/>
      <c r="N720" s="131"/>
      <c r="O720" s="142"/>
      <c r="P720" s="142"/>
      <c r="Q720" s="142"/>
      <c r="R720" s="131"/>
      <c r="S720" s="142"/>
      <c r="T720" s="142"/>
      <c r="U720" s="142"/>
      <c r="V720" s="142"/>
      <c r="W720" s="142"/>
      <c r="X720" s="142"/>
      <c r="Y720" s="142"/>
      <c r="Z720" s="142"/>
      <c r="AA720" s="142"/>
      <c r="AB720" s="142"/>
    </row>
    <row r="721" ht="13.5" customHeight="1">
      <c r="A721" s="142"/>
      <c r="B721" s="142"/>
      <c r="C721" s="142"/>
      <c r="D721" s="142"/>
      <c r="E721" s="131"/>
      <c r="F721" s="131"/>
      <c r="G721" s="131"/>
      <c r="H721" s="131"/>
      <c r="I721" s="131"/>
      <c r="J721" s="131"/>
      <c r="K721" s="131"/>
      <c r="L721" s="131"/>
      <c r="M721" s="131"/>
      <c r="N721" s="131"/>
      <c r="O721" s="142"/>
      <c r="P721" s="142"/>
      <c r="Q721" s="142"/>
      <c r="R721" s="131"/>
      <c r="S721" s="142"/>
      <c r="T721" s="142"/>
      <c r="U721" s="142"/>
      <c r="V721" s="142"/>
      <c r="W721" s="142"/>
      <c r="X721" s="142"/>
      <c r="Y721" s="142"/>
      <c r="Z721" s="142"/>
      <c r="AA721" s="142"/>
      <c r="AB721" s="142"/>
    </row>
    <row r="722" ht="13.5" customHeight="1">
      <c r="A722" s="142"/>
      <c r="B722" s="142"/>
      <c r="C722" s="142"/>
      <c r="D722" s="142"/>
      <c r="E722" s="131"/>
      <c r="F722" s="131"/>
      <c r="G722" s="131"/>
      <c r="H722" s="131"/>
      <c r="I722" s="131"/>
      <c r="J722" s="131"/>
      <c r="K722" s="131"/>
      <c r="L722" s="131"/>
      <c r="M722" s="131"/>
      <c r="N722" s="131"/>
      <c r="O722" s="142"/>
      <c r="P722" s="142"/>
      <c r="Q722" s="142"/>
      <c r="R722" s="131"/>
      <c r="S722" s="142"/>
      <c r="T722" s="142"/>
      <c r="U722" s="142"/>
      <c r="V722" s="142"/>
      <c r="W722" s="142"/>
      <c r="X722" s="142"/>
      <c r="Y722" s="142"/>
      <c r="Z722" s="142"/>
      <c r="AA722" s="142"/>
      <c r="AB722" s="142"/>
    </row>
    <row r="723" ht="13.5" customHeight="1">
      <c r="A723" s="142"/>
      <c r="B723" s="142"/>
      <c r="C723" s="142"/>
      <c r="D723" s="142"/>
      <c r="E723" s="131"/>
      <c r="F723" s="131"/>
      <c r="G723" s="131"/>
      <c r="H723" s="131"/>
      <c r="I723" s="131"/>
      <c r="J723" s="131"/>
      <c r="K723" s="131"/>
      <c r="L723" s="131"/>
      <c r="M723" s="131"/>
      <c r="N723" s="131"/>
      <c r="O723" s="142"/>
      <c r="P723" s="142"/>
      <c r="Q723" s="142"/>
      <c r="R723" s="131"/>
      <c r="S723" s="142"/>
      <c r="T723" s="142"/>
      <c r="U723" s="142"/>
      <c r="V723" s="142"/>
      <c r="W723" s="142"/>
      <c r="X723" s="142"/>
      <c r="Y723" s="142"/>
      <c r="Z723" s="142"/>
      <c r="AA723" s="142"/>
      <c r="AB723" s="142"/>
    </row>
    <row r="724" ht="13.5" customHeight="1">
      <c r="A724" s="142"/>
      <c r="B724" s="142"/>
      <c r="C724" s="142"/>
      <c r="D724" s="142"/>
      <c r="E724" s="131"/>
      <c r="F724" s="131"/>
      <c r="G724" s="131"/>
      <c r="H724" s="131"/>
      <c r="I724" s="131"/>
      <c r="J724" s="131"/>
      <c r="K724" s="131"/>
      <c r="L724" s="131"/>
      <c r="M724" s="131"/>
      <c r="N724" s="131"/>
      <c r="O724" s="142"/>
      <c r="P724" s="142"/>
      <c r="Q724" s="142"/>
      <c r="R724" s="131"/>
      <c r="S724" s="142"/>
      <c r="T724" s="142"/>
      <c r="U724" s="142"/>
      <c r="V724" s="142"/>
      <c r="W724" s="142"/>
      <c r="X724" s="142"/>
      <c r="Y724" s="142"/>
      <c r="Z724" s="142"/>
      <c r="AA724" s="142"/>
      <c r="AB724" s="142"/>
    </row>
    <row r="725" ht="13.5" customHeight="1">
      <c r="A725" s="142"/>
      <c r="B725" s="142"/>
      <c r="C725" s="142"/>
      <c r="D725" s="142"/>
      <c r="E725" s="131"/>
      <c r="F725" s="131"/>
      <c r="G725" s="131"/>
      <c r="H725" s="131"/>
      <c r="I725" s="131"/>
      <c r="J725" s="131"/>
      <c r="K725" s="131"/>
      <c r="L725" s="131"/>
      <c r="M725" s="131"/>
      <c r="N725" s="131"/>
      <c r="O725" s="142"/>
      <c r="P725" s="142"/>
      <c r="Q725" s="142"/>
      <c r="R725" s="131"/>
      <c r="S725" s="142"/>
      <c r="T725" s="142"/>
      <c r="U725" s="142"/>
      <c r="V725" s="142"/>
      <c r="W725" s="142"/>
      <c r="X725" s="142"/>
      <c r="Y725" s="142"/>
      <c r="Z725" s="142"/>
      <c r="AA725" s="142"/>
      <c r="AB725" s="142"/>
    </row>
    <row r="726" ht="13.5" customHeight="1">
      <c r="A726" s="142"/>
      <c r="B726" s="142"/>
      <c r="C726" s="142"/>
      <c r="D726" s="142"/>
      <c r="E726" s="131"/>
      <c r="F726" s="131"/>
      <c r="G726" s="131"/>
      <c r="H726" s="131"/>
      <c r="I726" s="131"/>
      <c r="J726" s="131"/>
      <c r="K726" s="131"/>
      <c r="L726" s="131"/>
      <c r="M726" s="131"/>
      <c r="N726" s="131"/>
      <c r="O726" s="142"/>
      <c r="P726" s="142"/>
      <c r="Q726" s="142"/>
      <c r="R726" s="131"/>
      <c r="S726" s="142"/>
      <c r="T726" s="142"/>
      <c r="U726" s="142"/>
      <c r="V726" s="142"/>
      <c r="W726" s="142"/>
      <c r="X726" s="142"/>
      <c r="Y726" s="142"/>
      <c r="Z726" s="142"/>
      <c r="AA726" s="142"/>
      <c r="AB726" s="142"/>
    </row>
    <row r="727" ht="13.5" customHeight="1">
      <c r="A727" s="142"/>
      <c r="B727" s="142"/>
      <c r="C727" s="142"/>
      <c r="D727" s="142"/>
      <c r="E727" s="131"/>
      <c r="F727" s="131"/>
      <c r="G727" s="131"/>
      <c r="H727" s="131"/>
      <c r="I727" s="131"/>
      <c r="J727" s="131"/>
      <c r="K727" s="131"/>
      <c r="L727" s="131"/>
      <c r="M727" s="131"/>
      <c r="N727" s="131"/>
      <c r="O727" s="142"/>
      <c r="P727" s="142"/>
      <c r="Q727" s="142"/>
      <c r="R727" s="131"/>
      <c r="S727" s="142"/>
      <c r="T727" s="142"/>
      <c r="U727" s="142"/>
      <c r="V727" s="142"/>
      <c r="W727" s="142"/>
      <c r="X727" s="142"/>
      <c r="Y727" s="142"/>
      <c r="Z727" s="142"/>
      <c r="AA727" s="142"/>
      <c r="AB727" s="142"/>
    </row>
    <row r="728" ht="13.5" customHeight="1">
      <c r="A728" s="142"/>
      <c r="B728" s="142"/>
      <c r="C728" s="142"/>
      <c r="D728" s="142"/>
      <c r="E728" s="131"/>
      <c r="F728" s="131"/>
      <c r="G728" s="131"/>
      <c r="H728" s="131"/>
      <c r="I728" s="131"/>
      <c r="J728" s="131"/>
      <c r="K728" s="131"/>
      <c r="L728" s="131"/>
      <c r="M728" s="131"/>
      <c r="N728" s="131"/>
      <c r="O728" s="142"/>
      <c r="P728" s="142"/>
      <c r="Q728" s="142"/>
      <c r="R728" s="131"/>
      <c r="S728" s="142"/>
      <c r="T728" s="142"/>
      <c r="U728" s="142"/>
      <c r="V728" s="142"/>
      <c r="W728" s="142"/>
      <c r="X728" s="142"/>
      <c r="Y728" s="142"/>
      <c r="Z728" s="142"/>
      <c r="AA728" s="142"/>
      <c r="AB728" s="142"/>
    </row>
    <row r="729" ht="13.5" customHeight="1">
      <c r="A729" s="142"/>
      <c r="B729" s="142"/>
      <c r="C729" s="142"/>
      <c r="D729" s="142"/>
      <c r="E729" s="131"/>
      <c r="F729" s="131"/>
      <c r="G729" s="131"/>
      <c r="H729" s="131"/>
      <c r="I729" s="131"/>
      <c r="J729" s="131"/>
      <c r="K729" s="131"/>
      <c r="L729" s="131"/>
      <c r="M729" s="131"/>
      <c r="N729" s="131"/>
      <c r="O729" s="142"/>
      <c r="P729" s="142"/>
      <c r="Q729" s="142"/>
      <c r="R729" s="131"/>
      <c r="S729" s="142"/>
      <c r="T729" s="142"/>
      <c r="U729" s="142"/>
      <c r="V729" s="142"/>
      <c r="W729" s="142"/>
      <c r="X729" s="142"/>
      <c r="Y729" s="142"/>
      <c r="Z729" s="142"/>
      <c r="AA729" s="142"/>
      <c r="AB729" s="142"/>
    </row>
    <row r="730" ht="13.5" customHeight="1">
      <c r="A730" s="142"/>
      <c r="B730" s="142"/>
      <c r="C730" s="142"/>
      <c r="D730" s="142"/>
      <c r="E730" s="131"/>
      <c r="F730" s="131"/>
      <c r="G730" s="131"/>
      <c r="H730" s="131"/>
      <c r="I730" s="131"/>
      <c r="J730" s="131"/>
      <c r="K730" s="131"/>
      <c r="L730" s="131"/>
      <c r="M730" s="131"/>
      <c r="N730" s="131"/>
      <c r="O730" s="142"/>
      <c r="P730" s="142"/>
      <c r="Q730" s="142"/>
      <c r="R730" s="131"/>
      <c r="S730" s="142"/>
      <c r="T730" s="142"/>
      <c r="U730" s="142"/>
      <c r="V730" s="142"/>
      <c r="W730" s="142"/>
      <c r="X730" s="142"/>
      <c r="Y730" s="142"/>
      <c r="Z730" s="142"/>
      <c r="AA730" s="142"/>
      <c r="AB730" s="142"/>
    </row>
    <row r="731" ht="13.5" customHeight="1">
      <c r="A731" s="142"/>
      <c r="B731" s="142"/>
      <c r="C731" s="142"/>
      <c r="D731" s="142"/>
      <c r="E731" s="131"/>
      <c r="F731" s="131"/>
      <c r="G731" s="131"/>
      <c r="H731" s="131"/>
      <c r="I731" s="131"/>
      <c r="J731" s="131"/>
      <c r="K731" s="131"/>
      <c r="L731" s="131"/>
      <c r="M731" s="131"/>
      <c r="N731" s="131"/>
      <c r="O731" s="142"/>
      <c r="P731" s="142"/>
      <c r="Q731" s="142"/>
      <c r="R731" s="131"/>
      <c r="S731" s="142"/>
      <c r="T731" s="142"/>
      <c r="U731" s="142"/>
      <c r="V731" s="142"/>
      <c r="W731" s="142"/>
      <c r="X731" s="142"/>
      <c r="Y731" s="142"/>
      <c r="Z731" s="142"/>
      <c r="AA731" s="142"/>
      <c r="AB731" s="142"/>
    </row>
    <row r="732" ht="13.5" customHeight="1">
      <c r="A732" s="142"/>
      <c r="B732" s="142"/>
      <c r="C732" s="142"/>
      <c r="D732" s="142"/>
      <c r="E732" s="131"/>
      <c r="F732" s="131"/>
      <c r="G732" s="131"/>
      <c r="H732" s="131"/>
      <c r="I732" s="131"/>
      <c r="J732" s="131"/>
      <c r="K732" s="131"/>
      <c r="L732" s="131"/>
      <c r="M732" s="131"/>
      <c r="N732" s="131"/>
      <c r="O732" s="142"/>
      <c r="P732" s="142"/>
      <c r="Q732" s="142"/>
      <c r="R732" s="131"/>
      <c r="S732" s="142"/>
      <c r="T732" s="142"/>
      <c r="U732" s="142"/>
      <c r="V732" s="142"/>
      <c r="W732" s="142"/>
      <c r="X732" s="142"/>
      <c r="Y732" s="142"/>
      <c r="Z732" s="142"/>
      <c r="AA732" s="142"/>
      <c r="AB732" s="142"/>
    </row>
    <row r="733" ht="13.5" customHeight="1">
      <c r="A733" s="142"/>
      <c r="B733" s="142"/>
      <c r="C733" s="142"/>
      <c r="D733" s="142"/>
      <c r="E733" s="131"/>
      <c r="F733" s="131"/>
      <c r="G733" s="131"/>
      <c r="H733" s="131"/>
      <c r="I733" s="131"/>
      <c r="J733" s="131"/>
      <c r="K733" s="131"/>
      <c r="L733" s="131"/>
      <c r="M733" s="131"/>
      <c r="N733" s="131"/>
      <c r="O733" s="142"/>
      <c r="P733" s="142"/>
      <c r="Q733" s="142"/>
      <c r="R733" s="131"/>
      <c r="S733" s="142"/>
      <c r="T733" s="142"/>
      <c r="U733" s="142"/>
      <c r="V733" s="142"/>
      <c r="W733" s="142"/>
      <c r="X733" s="142"/>
      <c r="Y733" s="142"/>
      <c r="Z733" s="142"/>
      <c r="AA733" s="142"/>
      <c r="AB733" s="142"/>
    </row>
    <row r="734" ht="13.5" customHeight="1">
      <c r="A734" s="142"/>
      <c r="B734" s="142"/>
      <c r="C734" s="142"/>
      <c r="D734" s="142"/>
      <c r="E734" s="131"/>
      <c r="F734" s="131"/>
      <c r="G734" s="131"/>
      <c r="H734" s="131"/>
      <c r="I734" s="131"/>
      <c r="J734" s="131"/>
      <c r="K734" s="131"/>
      <c r="L734" s="131"/>
      <c r="M734" s="131"/>
      <c r="N734" s="131"/>
      <c r="O734" s="142"/>
      <c r="P734" s="142"/>
      <c r="Q734" s="142"/>
      <c r="R734" s="131"/>
      <c r="S734" s="142"/>
      <c r="T734" s="142"/>
      <c r="U734" s="142"/>
      <c r="V734" s="142"/>
      <c r="W734" s="142"/>
      <c r="X734" s="142"/>
      <c r="Y734" s="142"/>
      <c r="Z734" s="142"/>
      <c r="AA734" s="142"/>
      <c r="AB734" s="142"/>
    </row>
    <row r="735" ht="13.5" customHeight="1">
      <c r="A735" s="142"/>
      <c r="B735" s="142"/>
      <c r="C735" s="142"/>
      <c r="D735" s="142"/>
      <c r="E735" s="131"/>
      <c r="F735" s="131"/>
      <c r="G735" s="131"/>
      <c r="H735" s="131"/>
      <c r="I735" s="131"/>
      <c r="J735" s="131"/>
      <c r="K735" s="131"/>
      <c r="L735" s="131"/>
      <c r="M735" s="131"/>
      <c r="N735" s="131"/>
      <c r="O735" s="142"/>
      <c r="P735" s="142"/>
      <c r="Q735" s="142"/>
      <c r="R735" s="131"/>
      <c r="S735" s="142"/>
      <c r="T735" s="142"/>
      <c r="U735" s="142"/>
      <c r="V735" s="142"/>
      <c r="W735" s="142"/>
      <c r="X735" s="142"/>
      <c r="Y735" s="142"/>
      <c r="Z735" s="142"/>
      <c r="AA735" s="142"/>
      <c r="AB735" s="142"/>
    </row>
    <row r="736" ht="13.5" customHeight="1">
      <c r="A736" s="142"/>
      <c r="B736" s="142"/>
      <c r="C736" s="142"/>
      <c r="D736" s="142"/>
      <c r="E736" s="131"/>
      <c r="F736" s="131"/>
      <c r="G736" s="131"/>
      <c r="H736" s="131"/>
      <c r="I736" s="131"/>
      <c r="J736" s="131"/>
      <c r="K736" s="131"/>
      <c r="L736" s="131"/>
      <c r="M736" s="131"/>
      <c r="N736" s="131"/>
      <c r="O736" s="142"/>
      <c r="P736" s="142"/>
      <c r="Q736" s="142"/>
      <c r="R736" s="131"/>
      <c r="S736" s="142"/>
      <c r="T736" s="142"/>
      <c r="U736" s="142"/>
      <c r="V736" s="142"/>
      <c r="W736" s="142"/>
      <c r="X736" s="142"/>
      <c r="Y736" s="142"/>
      <c r="Z736" s="142"/>
      <c r="AA736" s="142"/>
      <c r="AB736" s="142"/>
    </row>
    <row r="737" ht="13.5" customHeight="1">
      <c r="A737" s="142"/>
      <c r="B737" s="142"/>
      <c r="C737" s="142"/>
      <c r="D737" s="142"/>
      <c r="E737" s="131"/>
      <c r="F737" s="131"/>
      <c r="G737" s="131"/>
      <c r="H737" s="131"/>
      <c r="I737" s="131"/>
      <c r="J737" s="131"/>
      <c r="K737" s="131"/>
      <c r="L737" s="131"/>
      <c r="M737" s="131"/>
      <c r="N737" s="131"/>
      <c r="O737" s="142"/>
      <c r="P737" s="142"/>
      <c r="Q737" s="142"/>
      <c r="R737" s="131"/>
      <c r="S737" s="142"/>
      <c r="T737" s="142"/>
      <c r="U737" s="142"/>
      <c r="V737" s="142"/>
      <c r="W737" s="142"/>
      <c r="X737" s="142"/>
      <c r="Y737" s="142"/>
      <c r="Z737" s="142"/>
      <c r="AA737" s="142"/>
      <c r="AB737" s="142"/>
    </row>
    <row r="738" ht="13.5" customHeight="1">
      <c r="A738" s="142"/>
      <c r="B738" s="142"/>
      <c r="C738" s="142"/>
      <c r="D738" s="142"/>
      <c r="E738" s="131"/>
      <c r="F738" s="131"/>
      <c r="G738" s="131"/>
      <c r="H738" s="131"/>
      <c r="I738" s="131"/>
      <c r="J738" s="131"/>
      <c r="K738" s="131"/>
      <c r="L738" s="131"/>
      <c r="M738" s="131"/>
      <c r="N738" s="131"/>
      <c r="O738" s="142"/>
      <c r="P738" s="142"/>
      <c r="Q738" s="142"/>
      <c r="R738" s="131"/>
      <c r="S738" s="142"/>
      <c r="T738" s="142"/>
      <c r="U738" s="142"/>
      <c r="V738" s="142"/>
      <c r="W738" s="142"/>
      <c r="X738" s="142"/>
      <c r="Y738" s="142"/>
      <c r="Z738" s="142"/>
      <c r="AA738" s="142"/>
      <c r="AB738" s="142"/>
    </row>
    <row r="739" ht="13.5" customHeight="1">
      <c r="A739" s="142"/>
      <c r="B739" s="142"/>
      <c r="C739" s="142"/>
      <c r="D739" s="142"/>
      <c r="E739" s="131"/>
      <c r="F739" s="131"/>
      <c r="G739" s="131"/>
      <c r="H739" s="131"/>
      <c r="I739" s="131"/>
      <c r="J739" s="131"/>
      <c r="K739" s="131"/>
      <c r="L739" s="131"/>
      <c r="M739" s="131"/>
      <c r="N739" s="131"/>
      <c r="O739" s="142"/>
      <c r="P739" s="142"/>
      <c r="Q739" s="142"/>
      <c r="R739" s="131"/>
      <c r="S739" s="142"/>
      <c r="T739" s="142"/>
      <c r="U739" s="142"/>
      <c r="V739" s="142"/>
      <c r="W739" s="142"/>
      <c r="X739" s="142"/>
      <c r="Y739" s="142"/>
      <c r="Z739" s="142"/>
      <c r="AA739" s="142"/>
      <c r="AB739" s="142"/>
    </row>
    <row r="740" ht="13.5" customHeight="1">
      <c r="A740" s="142"/>
      <c r="B740" s="142"/>
      <c r="C740" s="142"/>
      <c r="D740" s="142"/>
      <c r="E740" s="131"/>
      <c r="F740" s="131"/>
      <c r="G740" s="131"/>
      <c r="H740" s="131"/>
      <c r="I740" s="131"/>
      <c r="J740" s="131"/>
      <c r="K740" s="131"/>
      <c r="L740" s="131"/>
      <c r="M740" s="131"/>
      <c r="N740" s="131"/>
      <c r="O740" s="142"/>
      <c r="P740" s="142"/>
      <c r="Q740" s="142"/>
      <c r="R740" s="131"/>
      <c r="S740" s="142"/>
      <c r="T740" s="142"/>
      <c r="U740" s="142"/>
      <c r="V740" s="142"/>
      <c r="W740" s="142"/>
      <c r="X740" s="142"/>
      <c r="Y740" s="142"/>
      <c r="Z740" s="142"/>
      <c r="AA740" s="142"/>
      <c r="AB740" s="142"/>
    </row>
    <row r="741" ht="13.5" customHeight="1">
      <c r="A741" s="142"/>
      <c r="B741" s="142"/>
      <c r="C741" s="142"/>
      <c r="D741" s="142"/>
      <c r="E741" s="131"/>
      <c r="F741" s="131"/>
      <c r="G741" s="131"/>
      <c r="H741" s="131"/>
      <c r="I741" s="131"/>
      <c r="J741" s="131"/>
      <c r="K741" s="131"/>
      <c r="L741" s="131"/>
      <c r="M741" s="131"/>
      <c r="N741" s="131"/>
      <c r="O741" s="142"/>
      <c r="P741" s="142"/>
      <c r="Q741" s="142"/>
      <c r="R741" s="131"/>
      <c r="S741" s="142"/>
      <c r="T741" s="142"/>
      <c r="U741" s="142"/>
      <c r="V741" s="142"/>
      <c r="W741" s="142"/>
      <c r="X741" s="142"/>
      <c r="Y741" s="142"/>
      <c r="Z741" s="142"/>
      <c r="AA741" s="142"/>
      <c r="AB741" s="142"/>
    </row>
    <row r="742" ht="13.5" customHeight="1">
      <c r="A742" s="142"/>
      <c r="B742" s="142"/>
      <c r="C742" s="142"/>
      <c r="D742" s="142"/>
      <c r="E742" s="131"/>
      <c r="F742" s="131"/>
      <c r="G742" s="131"/>
      <c r="H742" s="131"/>
      <c r="I742" s="131"/>
      <c r="J742" s="131"/>
      <c r="K742" s="131"/>
      <c r="L742" s="131"/>
      <c r="M742" s="131"/>
      <c r="N742" s="131"/>
      <c r="O742" s="142"/>
      <c r="P742" s="142"/>
      <c r="Q742" s="142"/>
      <c r="R742" s="131"/>
      <c r="S742" s="142"/>
      <c r="T742" s="142"/>
      <c r="U742" s="142"/>
      <c r="V742" s="142"/>
      <c r="W742" s="142"/>
      <c r="X742" s="142"/>
      <c r="Y742" s="142"/>
      <c r="Z742" s="142"/>
      <c r="AA742" s="142"/>
      <c r="AB742" s="142"/>
    </row>
    <row r="743" ht="13.5" customHeight="1">
      <c r="A743" s="142"/>
      <c r="B743" s="142"/>
      <c r="C743" s="142"/>
      <c r="D743" s="142"/>
      <c r="E743" s="131"/>
      <c r="F743" s="131"/>
      <c r="G743" s="131"/>
      <c r="H743" s="131"/>
      <c r="I743" s="131"/>
      <c r="J743" s="131"/>
      <c r="K743" s="131"/>
      <c r="L743" s="131"/>
      <c r="M743" s="131"/>
      <c r="N743" s="131"/>
      <c r="O743" s="142"/>
      <c r="P743" s="142"/>
      <c r="Q743" s="142"/>
      <c r="R743" s="131"/>
      <c r="S743" s="142"/>
      <c r="T743" s="142"/>
      <c r="U743" s="142"/>
      <c r="V743" s="142"/>
      <c r="W743" s="142"/>
      <c r="X743" s="142"/>
      <c r="Y743" s="142"/>
      <c r="Z743" s="142"/>
      <c r="AA743" s="142"/>
      <c r="AB743" s="142"/>
    </row>
    <row r="744" ht="13.5" customHeight="1">
      <c r="A744" s="142"/>
      <c r="B744" s="142"/>
      <c r="C744" s="142"/>
      <c r="D744" s="142"/>
      <c r="E744" s="131"/>
      <c r="F744" s="131"/>
      <c r="G744" s="131"/>
      <c r="H744" s="131"/>
      <c r="I744" s="131"/>
      <c r="J744" s="131"/>
      <c r="K744" s="131"/>
      <c r="L744" s="131"/>
      <c r="M744" s="131"/>
      <c r="N744" s="131"/>
      <c r="O744" s="142"/>
      <c r="P744" s="142"/>
      <c r="Q744" s="142"/>
      <c r="R744" s="131"/>
      <c r="S744" s="142"/>
      <c r="T744" s="142"/>
      <c r="U744" s="142"/>
      <c r="V744" s="142"/>
      <c r="W744" s="142"/>
      <c r="X744" s="142"/>
      <c r="Y744" s="142"/>
      <c r="Z744" s="142"/>
      <c r="AA744" s="142"/>
      <c r="AB744" s="142"/>
    </row>
    <row r="745" ht="13.5" customHeight="1">
      <c r="A745" s="142"/>
      <c r="B745" s="142"/>
      <c r="C745" s="142"/>
      <c r="D745" s="142"/>
      <c r="E745" s="131"/>
      <c r="F745" s="131"/>
      <c r="G745" s="131"/>
      <c r="H745" s="131"/>
      <c r="I745" s="131"/>
      <c r="J745" s="131"/>
      <c r="K745" s="131"/>
      <c r="L745" s="131"/>
      <c r="M745" s="131"/>
      <c r="N745" s="131"/>
      <c r="O745" s="142"/>
      <c r="P745" s="142"/>
      <c r="Q745" s="142"/>
      <c r="R745" s="131"/>
      <c r="S745" s="142"/>
      <c r="T745" s="142"/>
      <c r="U745" s="142"/>
      <c r="V745" s="142"/>
      <c r="W745" s="142"/>
      <c r="X745" s="142"/>
      <c r="Y745" s="142"/>
      <c r="Z745" s="142"/>
      <c r="AA745" s="142"/>
      <c r="AB745" s="142"/>
    </row>
    <row r="746" ht="13.5" customHeight="1">
      <c r="A746" s="142"/>
      <c r="B746" s="142"/>
      <c r="C746" s="142"/>
      <c r="D746" s="142"/>
      <c r="E746" s="131"/>
      <c r="F746" s="131"/>
      <c r="G746" s="131"/>
      <c r="H746" s="131"/>
      <c r="I746" s="131"/>
      <c r="J746" s="131"/>
      <c r="K746" s="131"/>
      <c r="L746" s="131"/>
      <c r="M746" s="131"/>
      <c r="N746" s="131"/>
      <c r="O746" s="142"/>
      <c r="P746" s="142"/>
      <c r="Q746" s="142"/>
      <c r="R746" s="131"/>
      <c r="S746" s="142"/>
      <c r="T746" s="142"/>
      <c r="U746" s="142"/>
      <c r="V746" s="142"/>
      <c r="W746" s="142"/>
      <c r="X746" s="142"/>
      <c r="Y746" s="142"/>
      <c r="Z746" s="142"/>
      <c r="AA746" s="142"/>
      <c r="AB746" s="142"/>
    </row>
    <row r="747" ht="13.5" customHeight="1">
      <c r="A747" s="142"/>
      <c r="B747" s="142"/>
      <c r="C747" s="142"/>
      <c r="D747" s="142"/>
      <c r="E747" s="131"/>
      <c r="F747" s="131"/>
      <c r="G747" s="131"/>
      <c r="H747" s="131"/>
      <c r="I747" s="131"/>
      <c r="J747" s="131"/>
      <c r="K747" s="131"/>
      <c r="L747" s="131"/>
      <c r="M747" s="131"/>
      <c r="N747" s="131"/>
      <c r="O747" s="142"/>
      <c r="P747" s="142"/>
      <c r="Q747" s="142"/>
      <c r="R747" s="131"/>
      <c r="S747" s="142"/>
      <c r="T747" s="142"/>
      <c r="U747" s="142"/>
      <c r="V747" s="142"/>
      <c r="W747" s="142"/>
      <c r="X747" s="142"/>
      <c r="Y747" s="142"/>
      <c r="Z747" s="142"/>
      <c r="AA747" s="142"/>
      <c r="AB747" s="142"/>
    </row>
    <row r="748" ht="13.5" customHeight="1">
      <c r="A748" s="142"/>
      <c r="B748" s="142"/>
      <c r="C748" s="142"/>
      <c r="D748" s="142"/>
      <c r="E748" s="131"/>
      <c r="F748" s="131"/>
      <c r="G748" s="131"/>
      <c r="H748" s="131"/>
      <c r="I748" s="131"/>
      <c r="J748" s="131"/>
      <c r="K748" s="131"/>
      <c r="L748" s="131"/>
      <c r="M748" s="131"/>
      <c r="N748" s="131"/>
      <c r="O748" s="142"/>
      <c r="P748" s="142"/>
      <c r="Q748" s="142"/>
      <c r="R748" s="131"/>
      <c r="S748" s="142"/>
      <c r="T748" s="142"/>
      <c r="U748" s="142"/>
      <c r="V748" s="142"/>
      <c r="W748" s="142"/>
      <c r="X748" s="142"/>
      <c r="Y748" s="142"/>
      <c r="Z748" s="142"/>
      <c r="AA748" s="142"/>
      <c r="AB748" s="142"/>
    </row>
    <row r="749" ht="13.5" customHeight="1">
      <c r="A749" s="142"/>
      <c r="B749" s="142"/>
      <c r="C749" s="142"/>
      <c r="D749" s="142"/>
      <c r="E749" s="131"/>
      <c r="F749" s="131"/>
      <c r="G749" s="131"/>
      <c r="H749" s="131"/>
      <c r="I749" s="131"/>
      <c r="J749" s="131"/>
      <c r="K749" s="131"/>
      <c r="L749" s="131"/>
      <c r="M749" s="131"/>
      <c r="N749" s="131"/>
      <c r="O749" s="142"/>
      <c r="P749" s="142"/>
      <c r="Q749" s="142"/>
      <c r="R749" s="131"/>
      <c r="S749" s="142"/>
      <c r="T749" s="142"/>
      <c r="U749" s="142"/>
      <c r="V749" s="142"/>
      <c r="W749" s="142"/>
      <c r="X749" s="142"/>
      <c r="Y749" s="142"/>
      <c r="Z749" s="142"/>
      <c r="AA749" s="142"/>
      <c r="AB749" s="142"/>
    </row>
    <row r="750" ht="13.5" customHeight="1">
      <c r="A750" s="142"/>
      <c r="B750" s="142"/>
      <c r="C750" s="142"/>
      <c r="D750" s="142"/>
      <c r="E750" s="131"/>
      <c r="F750" s="131"/>
      <c r="G750" s="131"/>
      <c r="H750" s="131"/>
      <c r="I750" s="131"/>
      <c r="J750" s="131"/>
      <c r="K750" s="131"/>
      <c r="L750" s="131"/>
      <c r="M750" s="131"/>
      <c r="N750" s="131"/>
      <c r="O750" s="142"/>
      <c r="P750" s="142"/>
      <c r="Q750" s="142"/>
      <c r="R750" s="131"/>
      <c r="S750" s="142"/>
      <c r="T750" s="142"/>
      <c r="U750" s="142"/>
      <c r="V750" s="142"/>
      <c r="W750" s="142"/>
      <c r="X750" s="142"/>
      <c r="Y750" s="142"/>
      <c r="Z750" s="142"/>
      <c r="AA750" s="142"/>
      <c r="AB750" s="142"/>
    </row>
    <row r="751" ht="13.5" customHeight="1">
      <c r="A751" s="142"/>
      <c r="B751" s="142"/>
      <c r="C751" s="142"/>
      <c r="D751" s="142"/>
      <c r="E751" s="131"/>
      <c r="F751" s="131"/>
      <c r="G751" s="131"/>
      <c r="H751" s="131"/>
      <c r="I751" s="131"/>
      <c r="J751" s="131"/>
      <c r="K751" s="131"/>
      <c r="L751" s="131"/>
      <c r="M751" s="131"/>
      <c r="N751" s="131"/>
      <c r="O751" s="142"/>
      <c r="P751" s="142"/>
      <c r="Q751" s="142"/>
      <c r="R751" s="131"/>
      <c r="S751" s="142"/>
      <c r="T751" s="142"/>
      <c r="U751" s="142"/>
      <c r="V751" s="142"/>
      <c r="W751" s="142"/>
      <c r="X751" s="142"/>
      <c r="Y751" s="142"/>
      <c r="Z751" s="142"/>
      <c r="AA751" s="142"/>
      <c r="AB751" s="142"/>
    </row>
    <row r="752" ht="13.5" customHeight="1">
      <c r="A752" s="142"/>
      <c r="B752" s="142"/>
      <c r="C752" s="142"/>
      <c r="D752" s="142"/>
      <c r="E752" s="131"/>
      <c r="F752" s="131"/>
      <c r="G752" s="131"/>
      <c r="H752" s="131"/>
      <c r="I752" s="131"/>
      <c r="J752" s="131"/>
      <c r="K752" s="131"/>
      <c r="L752" s="131"/>
      <c r="M752" s="131"/>
      <c r="N752" s="131"/>
      <c r="O752" s="142"/>
      <c r="P752" s="142"/>
      <c r="Q752" s="142"/>
      <c r="R752" s="131"/>
      <c r="S752" s="142"/>
      <c r="T752" s="142"/>
      <c r="U752" s="142"/>
      <c r="V752" s="142"/>
      <c r="W752" s="142"/>
      <c r="X752" s="142"/>
      <c r="Y752" s="142"/>
      <c r="Z752" s="142"/>
      <c r="AA752" s="142"/>
      <c r="AB752" s="142"/>
    </row>
    <row r="753" ht="13.5" customHeight="1">
      <c r="A753" s="142"/>
      <c r="B753" s="142"/>
      <c r="C753" s="142"/>
      <c r="D753" s="142"/>
      <c r="E753" s="131"/>
      <c r="F753" s="131"/>
      <c r="G753" s="131"/>
      <c r="H753" s="131"/>
      <c r="I753" s="131"/>
      <c r="J753" s="131"/>
      <c r="K753" s="131"/>
      <c r="L753" s="131"/>
      <c r="M753" s="131"/>
      <c r="N753" s="131"/>
      <c r="O753" s="142"/>
      <c r="P753" s="142"/>
      <c r="Q753" s="142"/>
      <c r="R753" s="131"/>
      <c r="S753" s="142"/>
      <c r="T753" s="142"/>
      <c r="U753" s="142"/>
      <c r="V753" s="142"/>
      <c r="W753" s="142"/>
      <c r="X753" s="142"/>
      <c r="Y753" s="142"/>
      <c r="Z753" s="142"/>
      <c r="AA753" s="142"/>
      <c r="AB753" s="142"/>
    </row>
    <row r="754" ht="13.5" customHeight="1">
      <c r="A754" s="142"/>
      <c r="B754" s="142"/>
      <c r="C754" s="142"/>
      <c r="D754" s="142"/>
      <c r="E754" s="131"/>
      <c r="F754" s="131"/>
      <c r="G754" s="131"/>
      <c r="H754" s="131"/>
      <c r="I754" s="131"/>
      <c r="J754" s="131"/>
      <c r="K754" s="131"/>
      <c r="L754" s="131"/>
      <c r="M754" s="131"/>
      <c r="N754" s="131"/>
      <c r="O754" s="142"/>
      <c r="P754" s="142"/>
      <c r="Q754" s="142"/>
      <c r="R754" s="131"/>
      <c r="S754" s="142"/>
      <c r="T754" s="142"/>
      <c r="U754" s="142"/>
      <c r="V754" s="142"/>
      <c r="W754" s="142"/>
      <c r="X754" s="142"/>
      <c r="Y754" s="142"/>
      <c r="Z754" s="142"/>
      <c r="AA754" s="142"/>
      <c r="AB754" s="142"/>
    </row>
    <row r="755" ht="13.5" customHeight="1">
      <c r="A755" s="142"/>
      <c r="B755" s="142"/>
      <c r="C755" s="142"/>
      <c r="D755" s="142"/>
      <c r="E755" s="131"/>
      <c r="F755" s="131"/>
      <c r="G755" s="131"/>
      <c r="H755" s="131"/>
      <c r="I755" s="131"/>
      <c r="J755" s="131"/>
      <c r="K755" s="131"/>
      <c r="L755" s="131"/>
      <c r="M755" s="131"/>
      <c r="N755" s="131"/>
      <c r="O755" s="142"/>
      <c r="P755" s="142"/>
      <c r="Q755" s="142"/>
      <c r="R755" s="131"/>
      <c r="S755" s="142"/>
      <c r="T755" s="142"/>
      <c r="U755" s="142"/>
      <c r="V755" s="142"/>
      <c r="W755" s="142"/>
      <c r="X755" s="142"/>
      <c r="Y755" s="142"/>
      <c r="Z755" s="142"/>
      <c r="AA755" s="142"/>
      <c r="AB755" s="142"/>
    </row>
    <row r="756" ht="13.5" customHeight="1">
      <c r="A756" s="142"/>
      <c r="B756" s="142"/>
      <c r="C756" s="142"/>
      <c r="D756" s="142"/>
      <c r="E756" s="131"/>
      <c r="F756" s="131"/>
      <c r="G756" s="131"/>
      <c r="H756" s="131"/>
      <c r="I756" s="131"/>
      <c r="J756" s="131"/>
      <c r="K756" s="131"/>
      <c r="L756" s="131"/>
      <c r="M756" s="131"/>
      <c r="N756" s="131"/>
      <c r="O756" s="142"/>
      <c r="P756" s="142"/>
      <c r="Q756" s="142"/>
      <c r="R756" s="131"/>
      <c r="S756" s="142"/>
      <c r="T756" s="142"/>
      <c r="U756" s="142"/>
      <c r="V756" s="142"/>
      <c r="W756" s="142"/>
      <c r="X756" s="142"/>
      <c r="Y756" s="142"/>
      <c r="Z756" s="142"/>
      <c r="AA756" s="142"/>
      <c r="AB756" s="142"/>
    </row>
    <row r="757" ht="13.5" customHeight="1">
      <c r="A757" s="142"/>
      <c r="B757" s="142"/>
      <c r="C757" s="142"/>
      <c r="D757" s="142"/>
      <c r="E757" s="131"/>
      <c r="F757" s="131"/>
      <c r="G757" s="131"/>
      <c r="H757" s="131"/>
      <c r="I757" s="131"/>
      <c r="J757" s="131"/>
      <c r="K757" s="131"/>
      <c r="L757" s="131"/>
      <c r="M757" s="131"/>
      <c r="N757" s="131"/>
      <c r="O757" s="142"/>
      <c r="P757" s="142"/>
      <c r="Q757" s="142"/>
      <c r="R757" s="131"/>
      <c r="S757" s="142"/>
      <c r="T757" s="142"/>
      <c r="U757" s="142"/>
      <c r="V757" s="142"/>
      <c r="W757" s="142"/>
      <c r="X757" s="142"/>
      <c r="Y757" s="142"/>
      <c r="Z757" s="142"/>
      <c r="AA757" s="142"/>
      <c r="AB757" s="142"/>
    </row>
    <row r="758" ht="13.5" customHeight="1">
      <c r="A758" s="142"/>
      <c r="B758" s="142"/>
      <c r="C758" s="142"/>
      <c r="D758" s="142"/>
      <c r="E758" s="131"/>
      <c r="F758" s="131"/>
      <c r="G758" s="131"/>
      <c r="H758" s="131"/>
      <c r="I758" s="131"/>
      <c r="J758" s="131"/>
      <c r="K758" s="131"/>
      <c r="L758" s="131"/>
      <c r="M758" s="131"/>
      <c r="N758" s="131"/>
      <c r="O758" s="142"/>
      <c r="P758" s="142"/>
      <c r="Q758" s="142"/>
      <c r="R758" s="131"/>
      <c r="S758" s="142"/>
      <c r="T758" s="142"/>
      <c r="U758" s="142"/>
      <c r="V758" s="142"/>
      <c r="W758" s="142"/>
      <c r="X758" s="142"/>
      <c r="Y758" s="142"/>
      <c r="Z758" s="142"/>
      <c r="AA758" s="142"/>
      <c r="AB758" s="142"/>
    </row>
    <row r="759" ht="13.5" customHeight="1">
      <c r="A759" s="142"/>
      <c r="B759" s="142"/>
      <c r="C759" s="142"/>
      <c r="D759" s="142"/>
      <c r="E759" s="131"/>
      <c r="F759" s="131"/>
      <c r="G759" s="131"/>
      <c r="H759" s="131"/>
      <c r="I759" s="131"/>
      <c r="J759" s="131"/>
      <c r="K759" s="131"/>
      <c r="L759" s="131"/>
      <c r="M759" s="131"/>
      <c r="N759" s="131"/>
      <c r="O759" s="142"/>
      <c r="P759" s="142"/>
      <c r="Q759" s="142"/>
      <c r="R759" s="131"/>
      <c r="S759" s="142"/>
      <c r="T759" s="142"/>
      <c r="U759" s="142"/>
      <c r="V759" s="142"/>
      <c r="W759" s="142"/>
      <c r="X759" s="142"/>
      <c r="Y759" s="142"/>
      <c r="Z759" s="142"/>
      <c r="AA759" s="142"/>
      <c r="AB759" s="142"/>
    </row>
    <row r="760" ht="13.5" customHeight="1">
      <c r="A760" s="142"/>
      <c r="B760" s="142"/>
      <c r="C760" s="142"/>
      <c r="D760" s="142"/>
      <c r="E760" s="131"/>
      <c r="F760" s="131"/>
      <c r="G760" s="131"/>
      <c r="H760" s="131"/>
      <c r="I760" s="131"/>
      <c r="J760" s="131"/>
      <c r="K760" s="131"/>
      <c r="L760" s="131"/>
      <c r="M760" s="131"/>
      <c r="N760" s="131"/>
      <c r="O760" s="142"/>
      <c r="P760" s="142"/>
      <c r="Q760" s="142"/>
      <c r="R760" s="131"/>
      <c r="S760" s="142"/>
      <c r="T760" s="142"/>
      <c r="U760" s="142"/>
      <c r="V760" s="142"/>
      <c r="W760" s="142"/>
      <c r="X760" s="142"/>
      <c r="Y760" s="142"/>
      <c r="Z760" s="142"/>
      <c r="AA760" s="142"/>
      <c r="AB760" s="142"/>
    </row>
    <row r="761" ht="13.5" customHeight="1">
      <c r="A761" s="142"/>
      <c r="B761" s="142"/>
      <c r="C761" s="142"/>
      <c r="D761" s="142"/>
      <c r="E761" s="131"/>
      <c r="F761" s="131"/>
      <c r="G761" s="131"/>
      <c r="H761" s="131"/>
      <c r="I761" s="131"/>
      <c r="J761" s="131"/>
      <c r="K761" s="131"/>
      <c r="L761" s="131"/>
      <c r="M761" s="131"/>
      <c r="N761" s="131"/>
      <c r="O761" s="142"/>
      <c r="P761" s="142"/>
      <c r="Q761" s="142"/>
      <c r="R761" s="131"/>
      <c r="S761" s="142"/>
      <c r="T761" s="142"/>
      <c r="U761" s="142"/>
      <c r="V761" s="142"/>
      <c r="W761" s="142"/>
      <c r="X761" s="142"/>
      <c r="Y761" s="142"/>
      <c r="Z761" s="142"/>
      <c r="AA761" s="142"/>
      <c r="AB761" s="142"/>
    </row>
    <row r="762" ht="13.5" customHeight="1">
      <c r="A762" s="142"/>
      <c r="B762" s="142"/>
      <c r="C762" s="142"/>
      <c r="D762" s="142"/>
      <c r="E762" s="131"/>
      <c r="F762" s="131"/>
      <c r="G762" s="131"/>
      <c r="H762" s="131"/>
      <c r="I762" s="131"/>
      <c r="J762" s="131"/>
      <c r="K762" s="131"/>
      <c r="L762" s="131"/>
      <c r="M762" s="131"/>
      <c r="N762" s="131"/>
      <c r="O762" s="142"/>
      <c r="P762" s="142"/>
      <c r="Q762" s="142"/>
      <c r="R762" s="131"/>
      <c r="S762" s="142"/>
      <c r="T762" s="142"/>
      <c r="U762" s="142"/>
      <c r="V762" s="142"/>
      <c r="W762" s="142"/>
      <c r="X762" s="142"/>
      <c r="Y762" s="142"/>
      <c r="Z762" s="142"/>
      <c r="AA762" s="142"/>
      <c r="AB762" s="142"/>
    </row>
    <row r="763" ht="13.5" customHeight="1">
      <c r="A763" s="142"/>
      <c r="B763" s="142"/>
      <c r="C763" s="142"/>
      <c r="D763" s="142"/>
      <c r="E763" s="131"/>
      <c r="F763" s="131"/>
      <c r="G763" s="131"/>
      <c r="H763" s="131"/>
      <c r="I763" s="131"/>
      <c r="J763" s="131"/>
      <c r="K763" s="131"/>
      <c r="L763" s="131"/>
      <c r="M763" s="131"/>
      <c r="N763" s="131"/>
      <c r="O763" s="142"/>
      <c r="P763" s="142"/>
      <c r="Q763" s="142"/>
      <c r="R763" s="131"/>
      <c r="S763" s="142"/>
      <c r="T763" s="142"/>
      <c r="U763" s="142"/>
      <c r="V763" s="142"/>
      <c r="W763" s="142"/>
      <c r="X763" s="142"/>
      <c r="Y763" s="142"/>
      <c r="Z763" s="142"/>
      <c r="AA763" s="142"/>
      <c r="AB763" s="142"/>
    </row>
    <row r="764" ht="13.5" customHeight="1">
      <c r="A764" s="142"/>
      <c r="B764" s="142"/>
      <c r="C764" s="142"/>
      <c r="D764" s="142"/>
      <c r="E764" s="131"/>
      <c r="F764" s="131"/>
      <c r="G764" s="131"/>
      <c r="H764" s="131"/>
      <c r="I764" s="131"/>
      <c r="J764" s="131"/>
      <c r="K764" s="131"/>
      <c r="L764" s="131"/>
      <c r="M764" s="131"/>
      <c r="N764" s="131"/>
      <c r="O764" s="142"/>
      <c r="P764" s="142"/>
      <c r="Q764" s="142"/>
      <c r="R764" s="131"/>
      <c r="S764" s="142"/>
      <c r="T764" s="142"/>
      <c r="U764" s="142"/>
      <c r="V764" s="142"/>
      <c r="W764" s="142"/>
      <c r="X764" s="142"/>
      <c r="Y764" s="142"/>
      <c r="Z764" s="142"/>
      <c r="AA764" s="142"/>
      <c r="AB764" s="142"/>
    </row>
    <row r="765" ht="13.5" customHeight="1">
      <c r="A765" s="142"/>
      <c r="B765" s="142"/>
      <c r="C765" s="142"/>
      <c r="D765" s="142"/>
      <c r="E765" s="131"/>
      <c r="F765" s="131"/>
      <c r="G765" s="131"/>
      <c r="H765" s="131"/>
      <c r="I765" s="131"/>
      <c r="J765" s="131"/>
      <c r="K765" s="131"/>
      <c r="L765" s="131"/>
      <c r="M765" s="131"/>
      <c r="N765" s="131"/>
      <c r="O765" s="142"/>
      <c r="P765" s="142"/>
      <c r="Q765" s="142"/>
      <c r="R765" s="131"/>
      <c r="S765" s="142"/>
      <c r="T765" s="142"/>
      <c r="U765" s="142"/>
      <c r="V765" s="142"/>
      <c r="W765" s="142"/>
      <c r="X765" s="142"/>
      <c r="Y765" s="142"/>
      <c r="Z765" s="142"/>
      <c r="AA765" s="142"/>
      <c r="AB765" s="142"/>
    </row>
    <row r="766" ht="13.5" customHeight="1">
      <c r="A766" s="142"/>
      <c r="B766" s="142"/>
      <c r="C766" s="142"/>
      <c r="D766" s="142"/>
      <c r="E766" s="131"/>
      <c r="F766" s="131"/>
      <c r="G766" s="131"/>
      <c r="H766" s="131"/>
      <c r="I766" s="131"/>
      <c r="J766" s="131"/>
      <c r="K766" s="131"/>
      <c r="L766" s="131"/>
      <c r="M766" s="131"/>
      <c r="N766" s="131"/>
      <c r="O766" s="142"/>
      <c r="P766" s="142"/>
      <c r="Q766" s="142"/>
      <c r="R766" s="131"/>
      <c r="S766" s="142"/>
      <c r="T766" s="142"/>
      <c r="U766" s="142"/>
      <c r="V766" s="142"/>
      <c r="W766" s="142"/>
      <c r="X766" s="142"/>
      <c r="Y766" s="142"/>
      <c r="Z766" s="142"/>
      <c r="AA766" s="142"/>
      <c r="AB766" s="142"/>
    </row>
    <row r="767" ht="13.5" customHeight="1">
      <c r="A767" s="142"/>
      <c r="B767" s="142"/>
      <c r="C767" s="142"/>
      <c r="D767" s="142"/>
      <c r="E767" s="131"/>
      <c r="F767" s="131"/>
      <c r="G767" s="131"/>
      <c r="H767" s="131"/>
      <c r="I767" s="131"/>
      <c r="J767" s="131"/>
      <c r="K767" s="131"/>
      <c r="L767" s="131"/>
      <c r="M767" s="131"/>
      <c r="N767" s="131"/>
      <c r="O767" s="142"/>
      <c r="P767" s="142"/>
      <c r="Q767" s="142"/>
      <c r="R767" s="131"/>
      <c r="S767" s="142"/>
      <c r="T767" s="142"/>
      <c r="U767" s="142"/>
      <c r="V767" s="142"/>
      <c r="W767" s="142"/>
      <c r="X767" s="142"/>
      <c r="Y767" s="142"/>
      <c r="Z767" s="142"/>
      <c r="AA767" s="142"/>
      <c r="AB767" s="142"/>
    </row>
    <row r="768" ht="13.5" customHeight="1">
      <c r="A768" s="142"/>
      <c r="B768" s="142"/>
      <c r="C768" s="142"/>
      <c r="D768" s="142"/>
      <c r="E768" s="131"/>
      <c r="F768" s="131"/>
      <c r="G768" s="131"/>
      <c r="H768" s="131"/>
      <c r="I768" s="131"/>
      <c r="J768" s="131"/>
      <c r="K768" s="131"/>
      <c r="L768" s="131"/>
      <c r="M768" s="131"/>
      <c r="N768" s="131"/>
      <c r="O768" s="142"/>
      <c r="P768" s="142"/>
      <c r="Q768" s="142"/>
      <c r="R768" s="131"/>
      <c r="S768" s="142"/>
      <c r="T768" s="142"/>
      <c r="U768" s="142"/>
      <c r="V768" s="142"/>
      <c r="W768" s="142"/>
      <c r="X768" s="142"/>
      <c r="Y768" s="142"/>
      <c r="Z768" s="142"/>
      <c r="AA768" s="142"/>
      <c r="AB768" s="142"/>
    </row>
    <row r="769" ht="13.5" customHeight="1">
      <c r="A769" s="142"/>
      <c r="B769" s="142"/>
      <c r="C769" s="142"/>
      <c r="D769" s="142"/>
      <c r="E769" s="131"/>
      <c r="F769" s="131"/>
      <c r="G769" s="131"/>
      <c r="H769" s="131"/>
      <c r="I769" s="131"/>
      <c r="J769" s="131"/>
      <c r="K769" s="131"/>
      <c r="L769" s="131"/>
      <c r="M769" s="131"/>
      <c r="N769" s="131"/>
      <c r="O769" s="142"/>
      <c r="P769" s="142"/>
      <c r="Q769" s="142"/>
      <c r="R769" s="131"/>
      <c r="S769" s="142"/>
      <c r="T769" s="142"/>
      <c r="U769" s="142"/>
      <c r="V769" s="142"/>
      <c r="W769" s="142"/>
      <c r="X769" s="142"/>
      <c r="Y769" s="142"/>
      <c r="Z769" s="142"/>
      <c r="AA769" s="142"/>
      <c r="AB769" s="142"/>
    </row>
    <row r="770" ht="13.5" customHeight="1">
      <c r="A770" s="142"/>
      <c r="B770" s="142"/>
      <c r="C770" s="142"/>
      <c r="D770" s="142"/>
      <c r="E770" s="131"/>
      <c r="F770" s="131"/>
      <c r="G770" s="131"/>
      <c r="H770" s="131"/>
      <c r="I770" s="131"/>
      <c r="J770" s="131"/>
      <c r="K770" s="131"/>
      <c r="L770" s="131"/>
      <c r="M770" s="131"/>
      <c r="N770" s="131"/>
      <c r="O770" s="142"/>
      <c r="P770" s="142"/>
      <c r="Q770" s="142"/>
      <c r="R770" s="131"/>
      <c r="S770" s="142"/>
      <c r="T770" s="142"/>
      <c r="U770" s="142"/>
      <c r="V770" s="142"/>
      <c r="W770" s="142"/>
      <c r="X770" s="142"/>
      <c r="Y770" s="142"/>
      <c r="Z770" s="142"/>
      <c r="AA770" s="142"/>
      <c r="AB770" s="142"/>
    </row>
    <row r="771" ht="13.5" customHeight="1">
      <c r="A771" s="142"/>
      <c r="B771" s="142"/>
      <c r="C771" s="142"/>
      <c r="D771" s="142"/>
      <c r="E771" s="131"/>
      <c r="F771" s="131"/>
      <c r="G771" s="131"/>
      <c r="H771" s="131"/>
      <c r="I771" s="131"/>
      <c r="J771" s="131"/>
      <c r="K771" s="131"/>
      <c r="L771" s="131"/>
      <c r="M771" s="131"/>
      <c r="N771" s="131"/>
      <c r="O771" s="142"/>
      <c r="P771" s="142"/>
      <c r="Q771" s="142"/>
      <c r="R771" s="131"/>
      <c r="S771" s="142"/>
      <c r="T771" s="142"/>
      <c r="U771" s="142"/>
      <c r="V771" s="142"/>
      <c r="W771" s="142"/>
      <c r="X771" s="142"/>
      <c r="Y771" s="142"/>
      <c r="Z771" s="142"/>
      <c r="AA771" s="142"/>
      <c r="AB771" s="142"/>
    </row>
    <row r="772" ht="13.5" customHeight="1">
      <c r="A772" s="142"/>
      <c r="B772" s="142"/>
      <c r="C772" s="142"/>
      <c r="D772" s="142"/>
      <c r="E772" s="131"/>
      <c r="F772" s="131"/>
      <c r="G772" s="131"/>
      <c r="H772" s="131"/>
      <c r="I772" s="131"/>
      <c r="J772" s="131"/>
      <c r="K772" s="131"/>
      <c r="L772" s="131"/>
      <c r="M772" s="131"/>
      <c r="N772" s="131"/>
      <c r="O772" s="142"/>
      <c r="P772" s="142"/>
      <c r="Q772" s="142"/>
      <c r="R772" s="131"/>
      <c r="S772" s="142"/>
      <c r="T772" s="142"/>
      <c r="U772" s="142"/>
      <c r="V772" s="142"/>
      <c r="W772" s="142"/>
      <c r="X772" s="142"/>
      <c r="Y772" s="142"/>
      <c r="Z772" s="142"/>
      <c r="AA772" s="142"/>
      <c r="AB772" s="142"/>
    </row>
    <row r="773" ht="13.5" customHeight="1">
      <c r="A773" s="142"/>
      <c r="B773" s="142"/>
      <c r="C773" s="142"/>
      <c r="D773" s="142"/>
      <c r="E773" s="131"/>
      <c r="F773" s="131"/>
      <c r="G773" s="131"/>
      <c r="H773" s="131"/>
      <c r="I773" s="131"/>
      <c r="J773" s="131"/>
      <c r="K773" s="131"/>
      <c r="L773" s="131"/>
      <c r="M773" s="131"/>
      <c r="N773" s="131"/>
      <c r="O773" s="142"/>
      <c r="P773" s="142"/>
      <c r="Q773" s="142"/>
      <c r="R773" s="131"/>
      <c r="S773" s="142"/>
      <c r="T773" s="142"/>
      <c r="U773" s="142"/>
      <c r="V773" s="142"/>
      <c r="W773" s="142"/>
      <c r="X773" s="142"/>
      <c r="Y773" s="142"/>
      <c r="Z773" s="142"/>
      <c r="AA773" s="142"/>
      <c r="AB773" s="142"/>
    </row>
    <row r="774" ht="13.5" customHeight="1">
      <c r="A774" s="142"/>
      <c r="B774" s="142"/>
      <c r="C774" s="142"/>
      <c r="D774" s="142"/>
      <c r="E774" s="131"/>
      <c r="F774" s="131"/>
      <c r="G774" s="131"/>
      <c r="H774" s="131"/>
      <c r="I774" s="131"/>
      <c r="J774" s="131"/>
      <c r="K774" s="131"/>
      <c r="L774" s="131"/>
      <c r="M774" s="131"/>
      <c r="N774" s="131"/>
      <c r="O774" s="142"/>
      <c r="P774" s="142"/>
      <c r="Q774" s="142"/>
      <c r="R774" s="131"/>
      <c r="S774" s="142"/>
      <c r="T774" s="142"/>
      <c r="U774" s="142"/>
      <c r="V774" s="142"/>
      <c r="W774" s="142"/>
      <c r="X774" s="142"/>
      <c r="Y774" s="142"/>
      <c r="Z774" s="142"/>
      <c r="AA774" s="142"/>
      <c r="AB774" s="142"/>
    </row>
    <row r="775" ht="13.5" customHeight="1">
      <c r="A775" s="142"/>
      <c r="B775" s="142"/>
      <c r="C775" s="142"/>
      <c r="D775" s="142"/>
      <c r="E775" s="131"/>
      <c r="F775" s="131"/>
      <c r="G775" s="131"/>
      <c r="H775" s="131"/>
      <c r="I775" s="131"/>
      <c r="J775" s="131"/>
      <c r="K775" s="131"/>
      <c r="L775" s="131"/>
      <c r="M775" s="131"/>
      <c r="N775" s="131"/>
      <c r="O775" s="142"/>
      <c r="P775" s="142"/>
      <c r="Q775" s="142"/>
      <c r="R775" s="131"/>
      <c r="S775" s="142"/>
      <c r="T775" s="142"/>
      <c r="U775" s="142"/>
      <c r="V775" s="142"/>
      <c r="W775" s="142"/>
      <c r="X775" s="142"/>
      <c r="Y775" s="142"/>
      <c r="Z775" s="142"/>
      <c r="AA775" s="142"/>
      <c r="AB775" s="142"/>
    </row>
    <row r="776" ht="13.5" customHeight="1">
      <c r="A776" s="142"/>
      <c r="B776" s="142"/>
      <c r="C776" s="142"/>
      <c r="D776" s="142"/>
      <c r="E776" s="131"/>
      <c r="F776" s="131"/>
      <c r="G776" s="131"/>
      <c r="H776" s="131"/>
      <c r="I776" s="131"/>
      <c r="J776" s="131"/>
      <c r="K776" s="131"/>
      <c r="L776" s="131"/>
      <c r="M776" s="131"/>
      <c r="N776" s="131"/>
      <c r="O776" s="142"/>
      <c r="P776" s="142"/>
      <c r="Q776" s="142"/>
      <c r="R776" s="131"/>
      <c r="S776" s="142"/>
      <c r="T776" s="142"/>
      <c r="U776" s="142"/>
      <c r="V776" s="142"/>
      <c r="W776" s="142"/>
      <c r="X776" s="142"/>
      <c r="Y776" s="142"/>
      <c r="Z776" s="142"/>
      <c r="AA776" s="142"/>
      <c r="AB776" s="142"/>
    </row>
    <row r="777" ht="13.5" customHeight="1">
      <c r="A777" s="142"/>
      <c r="B777" s="142"/>
      <c r="C777" s="142"/>
      <c r="D777" s="142"/>
      <c r="E777" s="131"/>
      <c r="F777" s="131"/>
      <c r="G777" s="131"/>
      <c r="H777" s="131"/>
      <c r="I777" s="131"/>
      <c r="J777" s="131"/>
      <c r="K777" s="131"/>
      <c r="L777" s="131"/>
      <c r="M777" s="131"/>
      <c r="N777" s="131"/>
      <c r="O777" s="142"/>
      <c r="P777" s="142"/>
      <c r="Q777" s="142"/>
      <c r="R777" s="131"/>
      <c r="S777" s="142"/>
      <c r="T777" s="142"/>
      <c r="U777" s="142"/>
      <c r="V777" s="142"/>
      <c r="W777" s="142"/>
      <c r="X777" s="142"/>
      <c r="Y777" s="142"/>
      <c r="Z777" s="142"/>
      <c r="AA777" s="142"/>
      <c r="AB777" s="142"/>
    </row>
    <row r="778" ht="13.5" customHeight="1">
      <c r="A778" s="142"/>
      <c r="B778" s="142"/>
      <c r="C778" s="142"/>
      <c r="D778" s="142"/>
      <c r="E778" s="131"/>
      <c r="F778" s="131"/>
      <c r="G778" s="131"/>
      <c r="H778" s="131"/>
      <c r="I778" s="131"/>
      <c r="J778" s="131"/>
      <c r="K778" s="131"/>
      <c r="L778" s="131"/>
      <c r="M778" s="131"/>
      <c r="N778" s="131"/>
      <c r="O778" s="142"/>
      <c r="P778" s="142"/>
      <c r="Q778" s="142"/>
      <c r="R778" s="131"/>
      <c r="S778" s="142"/>
      <c r="T778" s="142"/>
      <c r="U778" s="142"/>
      <c r="V778" s="142"/>
      <c r="W778" s="142"/>
      <c r="X778" s="142"/>
      <c r="Y778" s="142"/>
      <c r="Z778" s="142"/>
      <c r="AA778" s="142"/>
      <c r="AB778" s="142"/>
    </row>
    <row r="779" ht="13.5" customHeight="1">
      <c r="A779" s="142"/>
      <c r="B779" s="142"/>
      <c r="C779" s="142"/>
      <c r="D779" s="142"/>
      <c r="E779" s="131"/>
      <c r="F779" s="131"/>
      <c r="G779" s="131"/>
      <c r="H779" s="131"/>
      <c r="I779" s="131"/>
      <c r="J779" s="131"/>
      <c r="K779" s="131"/>
      <c r="L779" s="131"/>
      <c r="M779" s="131"/>
      <c r="N779" s="131"/>
      <c r="O779" s="142"/>
      <c r="P779" s="142"/>
      <c r="Q779" s="142"/>
      <c r="R779" s="131"/>
      <c r="S779" s="142"/>
      <c r="T779" s="142"/>
      <c r="U779" s="142"/>
      <c r="V779" s="142"/>
      <c r="W779" s="142"/>
      <c r="X779" s="142"/>
      <c r="Y779" s="142"/>
      <c r="Z779" s="142"/>
      <c r="AA779" s="142"/>
      <c r="AB779" s="142"/>
    </row>
    <row r="780" ht="13.5" customHeight="1">
      <c r="A780" s="142"/>
      <c r="B780" s="142"/>
      <c r="C780" s="142"/>
      <c r="D780" s="142"/>
      <c r="E780" s="131"/>
      <c r="F780" s="131"/>
      <c r="G780" s="131"/>
      <c r="H780" s="131"/>
      <c r="I780" s="131"/>
      <c r="J780" s="131"/>
      <c r="K780" s="131"/>
      <c r="L780" s="131"/>
      <c r="M780" s="131"/>
      <c r="N780" s="131"/>
      <c r="O780" s="142"/>
      <c r="P780" s="142"/>
      <c r="Q780" s="142"/>
      <c r="R780" s="131"/>
      <c r="S780" s="142"/>
      <c r="T780" s="142"/>
      <c r="U780" s="142"/>
      <c r="V780" s="142"/>
      <c r="W780" s="142"/>
      <c r="X780" s="142"/>
      <c r="Y780" s="142"/>
      <c r="Z780" s="142"/>
      <c r="AA780" s="142"/>
      <c r="AB780" s="142"/>
    </row>
    <row r="781" ht="13.5" customHeight="1">
      <c r="A781" s="142"/>
      <c r="B781" s="142"/>
      <c r="C781" s="142"/>
      <c r="D781" s="142"/>
      <c r="E781" s="131"/>
      <c r="F781" s="131"/>
      <c r="G781" s="131"/>
      <c r="H781" s="131"/>
      <c r="I781" s="131"/>
      <c r="J781" s="131"/>
      <c r="K781" s="131"/>
      <c r="L781" s="131"/>
      <c r="M781" s="131"/>
      <c r="N781" s="131"/>
      <c r="O781" s="142"/>
      <c r="P781" s="142"/>
      <c r="Q781" s="142"/>
      <c r="R781" s="131"/>
      <c r="S781" s="142"/>
      <c r="T781" s="142"/>
      <c r="U781" s="142"/>
      <c r="V781" s="142"/>
      <c r="W781" s="142"/>
      <c r="X781" s="142"/>
      <c r="Y781" s="142"/>
      <c r="Z781" s="142"/>
      <c r="AA781" s="142"/>
      <c r="AB781" s="142"/>
    </row>
    <row r="782" ht="13.5" customHeight="1">
      <c r="A782" s="142"/>
      <c r="B782" s="142"/>
      <c r="C782" s="142"/>
      <c r="D782" s="142"/>
      <c r="E782" s="131"/>
      <c r="F782" s="131"/>
      <c r="G782" s="131"/>
      <c r="H782" s="131"/>
      <c r="I782" s="131"/>
      <c r="J782" s="131"/>
      <c r="K782" s="131"/>
      <c r="L782" s="131"/>
      <c r="M782" s="131"/>
      <c r="N782" s="131"/>
      <c r="O782" s="142"/>
      <c r="P782" s="142"/>
      <c r="Q782" s="142"/>
      <c r="R782" s="131"/>
      <c r="S782" s="142"/>
      <c r="T782" s="142"/>
      <c r="U782" s="142"/>
      <c r="V782" s="142"/>
      <c r="W782" s="142"/>
      <c r="X782" s="142"/>
      <c r="Y782" s="142"/>
      <c r="Z782" s="142"/>
      <c r="AA782" s="142"/>
      <c r="AB782" s="142"/>
    </row>
    <row r="783" ht="13.5" customHeight="1">
      <c r="A783" s="142"/>
      <c r="B783" s="142"/>
      <c r="C783" s="142"/>
      <c r="D783" s="142"/>
      <c r="E783" s="131"/>
      <c r="F783" s="131"/>
      <c r="G783" s="131"/>
      <c r="H783" s="131"/>
      <c r="I783" s="131"/>
      <c r="J783" s="131"/>
      <c r="K783" s="131"/>
      <c r="L783" s="131"/>
      <c r="M783" s="131"/>
      <c r="N783" s="131"/>
      <c r="O783" s="142"/>
      <c r="P783" s="142"/>
      <c r="Q783" s="142"/>
      <c r="R783" s="131"/>
      <c r="S783" s="142"/>
      <c r="T783" s="142"/>
      <c r="U783" s="142"/>
      <c r="V783" s="142"/>
      <c r="W783" s="142"/>
      <c r="X783" s="142"/>
      <c r="Y783" s="142"/>
      <c r="Z783" s="142"/>
      <c r="AA783" s="142"/>
      <c r="AB783" s="142"/>
    </row>
    <row r="784" ht="13.5" customHeight="1">
      <c r="A784" s="142"/>
      <c r="B784" s="142"/>
      <c r="C784" s="142"/>
      <c r="D784" s="142"/>
      <c r="E784" s="131"/>
      <c r="F784" s="131"/>
      <c r="G784" s="131"/>
      <c r="H784" s="131"/>
      <c r="I784" s="131"/>
      <c r="J784" s="131"/>
      <c r="K784" s="131"/>
      <c r="L784" s="131"/>
      <c r="M784" s="131"/>
      <c r="N784" s="131"/>
      <c r="O784" s="142"/>
      <c r="P784" s="142"/>
      <c r="Q784" s="142"/>
      <c r="R784" s="131"/>
      <c r="S784" s="142"/>
      <c r="T784" s="142"/>
      <c r="U784" s="142"/>
      <c r="V784" s="142"/>
      <c r="W784" s="142"/>
      <c r="X784" s="142"/>
      <c r="Y784" s="142"/>
      <c r="Z784" s="142"/>
      <c r="AA784" s="142"/>
      <c r="AB784" s="142"/>
    </row>
    <row r="785" ht="13.5" customHeight="1">
      <c r="A785" s="142"/>
      <c r="B785" s="142"/>
      <c r="C785" s="142"/>
      <c r="D785" s="142"/>
      <c r="E785" s="131"/>
      <c r="F785" s="131"/>
      <c r="G785" s="131"/>
      <c r="H785" s="131"/>
      <c r="I785" s="131"/>
      <c r="J785" s="131"/>
      <c r="K785" s="131"/>
      <c r="L785" s="131"/>
      <c r="M785" s="131"/>
      <c r="N785" s="131"/>
      <c r="O785" s="142"/>
      <c r="P785" s="142"/>
      <c r="Q785" s="142"/>
      <c r="R785" s="131"/>
      <c r="S785" s="142"/>
      <c r="T785" s="142"/>
      <c r="U785" s="142"/>
      <c r="V785" s="142"/>
      <c r="W785" s="142"/>
      <c r="X785" s="142"/>
      <c r="Y785" s="142"/>
      <c r="Z785" s="142"/>
      <c r="AA785" s="142"/>
      <c r="AB785" s="142"/>
    </row>
    <row r="786" ht="13.5" customHeight="1">
      <c r="A786" s="142"/>
      <c r="B786" s="142"/>
      <c r="C786" s="142"/>
      <c r="D786" s="142"/>
      <c r="E786" s="131"/>
      <c r="F786" s="131"/>
      <c r="G786" s="131"/>
      <c r="H786" s="131"/>
      <c r="I786" s="131"/>
      <c r="J786" s="131"/>
      <c r="K786" s="131"/>
      <c r="L786" s="131"/>
      <c r="M786" s="131"/>
      <c r="N786" s="131"/>
      <c r="O786" s="142"/>
      <c r="P786" s="142"/>
      <c r="Q786" s="142"/>
      <c r="R786" s="131"/>
      <c r="S786" s="142"/>
      <c r="T786" s="142"/>
      <c r="U786" s="142"/>
      <c r="V786" s="142"/>
      <c r="W786" s="142"/>
      <c r="X786" s="142"/>
      <c r="Y786" s="142"/>
      <c r="Z786" s="142"/>
      <c r="AA786" s="142"/>
      <c r="AB786" s="142"/>
    </row>
    <row r="787" ht="13.5" customHeight="1">
      <c r="A787" s="142"/>
      <c r="B787" s="142"/>
      <c r="C787" s="142"/>
      <c r="D787" s="142"/>
      <c r="E787" s="131"/>
      <c r="F787" s="131"/>
      <c r="G787" s="131"/>
      <c r="H787" s="131"/>
      <c r="I787" s="131"/>
      <c r="J787" s="131"/>
      <c r="K787" s="131"/>
      <c r="L787" s="131"/>
      <c r="M787" s="131"/>
      <c r="N787" s="131"/>
      <c r="O787" s="142"/>
      <c r="P787" s="142"/>
      <c r="Q787" s="142"/>
      <c r="R787" s="131"/>
      <c r="S787" s="142"/>
      <c r="T787" s="142"/>
      <c r="U787" s="142"/>
      <c r="V787" s="142"/>
      <c r="W787" s="142"/>
      <c r="X787" s="142"/>
      <c r="Y787" s="142"/>
      <c r="Z787" s="142"/>
      <c r="AA787" s="142"/>
      <c r="AB787" s="142"/>
    </row>
    <row r="788" ht="13.5" customHeight="1">
      <c r="A788" s="142"/>
      <c r="B788" s="142"/>
      <c r="C788" s="142"/>
      <c r="D788" s="142"/>
      <c r="E788" s="131"/>
      <c r="F788" s="131"/>
      <c r="G788" s="131"/>
      <c r="H788" s="131"/>
      <c r="I788" s="131"/>
      <c r="J788" s="131"/>
      <c r="K788" s="131"/>
      <c r="L788" s="131"/>
      <c r="M788" s="131"/>
      <c r="N788" s="131"/>
      <c r="O788" s="142"/>
      <c r="P788" s="142"/>
      <c r="Q788" s="142"/>
      <c r="R788" s="131"/>
      <c r="S788" s="142"/>
      <c r="T788" s="142"/>
      <c r="U788" s="142"/>
      <c r="V788" s="142"/>
      <c r="W788" s="142"/>
      <c r="X788" s="142"/>
      <c r="Y788" s="142"/>
      <c r="Z788" s="142"/>
      <c r="AA788" s="142"/>
      <c r="AB788" s="142"/>
    </row>
    <row r="789" ht="13.5" customHeight="1">
      <c r="A789" s="142"/>
      <c r="B789" s="142"/>
      <c r="C789" s="142"/>
      <c r="D789" s="142"/>
      <c r="E789" s="131"/>
      <c r="F789" s="131"/>
      <c r="G789" s="131"/>
      <c r="H789" s="131"/>
      <c r="I789" s="131"/>
      <c r="J789" s="131"/>
      <c r="K789" s="131"/>
      <c r="L789" s="131"/>
      <c r="M789" s="131"/>
      <c r="N789" s="131"/>
      <c r="O789" s="142"/>
      <c r="P789" s="142"/>
      <c r="Q789" s="142"/>
      <c r="R789" s="131"/>
      <c r="S789" s="142"/>
      <c r="T789" s="142"/>
      <c r="U789" s="142"/>
      <c r="V789" s="142"/>
      <c r="W789" s="142"/>
      <c r="X789" s="142"/>
      <c r="Y789" s="142"/>
      <c r="Z789" s="142"/>
      <c r="AA789" s="142"/>
      <c r="AB789" s="142"/>
    </row>
    <row r="790" ht="13.5" customHeight="1">
      <c r="A790" s="142"/>
      <c r="B790" s="142"/>
      <c r="C790" s="142"/>
      <c r="D790" s="142"/>
      <c r="E790" s="131"/>
      <c r="F790" s="131"/>
      <c r="G790" s="131"/>
      <c r="H790" s="131"/>
      <c r="I790" s="131"/>
      <c r="J790" s="131"/>
      <c r="K790" s="131"/>
      <c r="L790" s="131"/>
      <c r="M790" s="131"/>
      <c r="N790" s="131"/>
      <c r="O790" s="142"/>
      <c r="P790" s="142"/>
      <c r="Q790" s="142"/>
      <c r="R790" s="131"/>
      <c r="S790" s="142"/>
      <c r="T790" s="142"/>
      <c r="U790" s="142"/>
      <c r="V790" s="142"/>
      <c r="W790" s="142"/>
      <c r="X790" s="142"/>
      <c r="Y790" s="142"/>
      <c r="Z790" s="142"/>
      <c r="AA790" s="142"/>
      <c r="AB790" s="142"/>
    </row>
    <row r="791" ht="13.5" customHeight="1">
      <c r="A791" s="142"/>
      <c r="B791" s="142"/>
      <c r="C791" s="142"/>
      <c r="D791" s="142"/>
      <c r="E791" s="131"/>
      <c r="F791" s="131"/>
      <c r="G791" s="131"/>
      <c r="H791" s="131"/>
      <c r="I791" s="131"/>
      <c r="J791" s="131"/>
      <c r="K791" s="131"/>
      <c r="L791" s="131"/>
      <c r="M791" s="131"/>
      <c r="N791" s="131"/>
      <c r="O791" s="142"/>
      <c r="P791" s="142"/>
      <c r="Q791" s="142"/>
      <c r="R791" s="131"/>
      <c r="S791" s="142"/>
      <c r="T791" s="142"/>
      <c r="U791" s="142"/>
      <c r="V791" s="142"/>
      <c r="W791" s="142"/>
      <c r="X791" s="142"/>
      <c r="Y791" s="142"/>
      <c r="Z791" s="142"/>
      <c r="AA791" s="142"/>
      <c r="AB791" s="142"/>
    </row>
    <row r="792" ht="13.5" customHeight="1">
      <c r="A792" s="142"/>
      <c r="B792" s="142"/>
      <c r="C792" s="142"/>
      <c r="D792" s="142"/>
      <c r="E792" s="131"/>
      <c r="F792" s="131"/>
      <c r="G792" s="131"/>
      <c r="H792" s="131"/>
      <c r="I792" s="131"/>
      <c r="J792" s="131"/>
      <c r="K792" s="131"/>
      <c r="L792" s="131"/>
      <c r="M792" s="131"/>
      <c r="N792" s="131"/>
      <c r="O792" s="142"/>
      <c r="P792" s="142"/>
      <c r="Q792" s="142"/>
      <c r="R792" s="131"/>
      <c r="S792" s="142"/>
      <c r="T792" s="142"/>
      <c r="U792" s="142"/>
      <c r="V792" s="142"/>
      <c r="W792" s="142"/>
      <c r="X792" s="142"/>
      <c r="Y792" s="142"/>
      <c r="Z792" s="142"/>
      <c r="AA792" s="142"/>
      <c r="AB792" s="142"/>
    </row>
    <row r="793" ht="13.5" customHeight="1">
      <c r="A793" s="142"/>
      <c r="B793" s="142"/>
      <c r="C793" s="142"/>
      <c r="D793" s="142"/>
      <c r="E793" s="131"/>
      <c r="F793" s="131"/>
      <c r="G793" s="131"/>
      <c r="H793" s="131"/>
      <c r="I793" s="131"/>
      <c r="J793" s="131"/>
      <c r="K793" s="131"/>
      <c r="L793" s="131"/>
      <c r="M793" s="131"/>
      <c r="N793" s="131"/>
      <c r="O793" s="142"/>
      <c r="P793" s="142"/>
      <c r="Q793" s="142"/>
      <c r="R793" s="131"/>
      <c r="S793" s="142"/>
      <c r="T793" s="142"/>
      <c r="U793" s="142"/>
      <c r="V793" s="142"/>
      <c r="W793" s="142"/>
      <c r="X793" s="142"/>
      <c r="Y793" s="142"/>
      <c r="Z793" s="142"/>
      <c r="AA793" s="142"/>
      <c r="AB793" s="142"/>
    </row>
    <row r="794" ht="13.5" customHeight="1">
      <c r="A794" s="142"/>
      <c r="B794" s="142"/>
      <c r="C794" s="142"/>
      <c r="D794" s="142"/>
      <c r="E794" s="131"/>
      <c r="F794" s="131"/>
      <c r="G794" s="131"/>
      <c r="H794" s="131"/>
      <c r="I794" s="131"/>
      <c r="J794" s="131"/>
      <c r="K794" s="131"/>
      <c r="L794" s="131"/>
      <c r="M794" s="131"/>
      <c r="N794" s="131"/>
      <c r="O794" s="142"/>
      <c r="P794" s="142"/>
      <c r="Q794" s="142"/>
      <c r="R794" s="131"/>
      <c r="S794" s="142"/>
      <c r="T794" s="142"/>
      <c r="U794" s="142"/>
      <c r="V794" s="142"/>
      <c r="W794" s="142"/>
      <c r="X794" s="142"/>
      <c r="Y794" s="142"/>
      <c r="Z794" s="142"/>
      <c r="AA794" s="142"/>
      <c r="AB794" s="142"/>
    </row>
    <row r="795" ht="13.5" customHeight="1">
      <c r="A795" s="142"/>
      <c r="B795" s="142"/>
      <c r="C795" s="142"/>
      <c r="D795" s="142"/>
      <c r="E795" s="131"/>
      <c r="F795" s="131"/>
      <c r="G795" s="131"/>
      <c r="H795" s="131"/>
      <c r="I795" s="131"/>
      <c r="J795" s="131"/>
      <c r="K795" s="131"/>
      <c r="L795" s="131"/>
      <c r="M795" s="131"/>
      <c r="N795" s="131"/>
      <c r="O795" s="142"/>
      <c r="P795" s="142"/>
      <c r="Q795" s="142"/>
      <c r="R795" s="131"/>
      <c r="S795" s="142"/>
      <c r="T795" s="142"/>
      <c r="U795" s="142"/>
      <c r="V795" s="142"/>
      <c r="W795" s="142"/>
      <c r="X795" s="142"/>
      <c r="Y795" s="142"/>
      <c r="Z795" s="142"/>
      <c r="AA795" s="142"/>
      <c r="AB795" s="142"/>
    </row>
    <row r="796" ht="13.5" customHeight="1">
      <c r="A796" s="142"/>
      <c r="B796" s="142"/>
      <c r="C796" s="142"/>
      <c r="D796" s="142"/>
      <c r="E796" s="131"/>
      <c r="F796" s="131"/>
      <c r="G796" s="131"/>
      <c r="H796" s="131"/>
      <c r="I796" s="131"/>
      <c r="J796" s="131"/>
      <c r="K796" s="131"/>
      <c r="L796" s="131"/>
      <c r="M796" s="131"/>
      <c r="N796" s="131"/>
      <c r="O796" s="142"/>
      <c r="P796" s="142"/>
      <c r="Q796" s="142"/>
      <c r="R796" s="131"/>
      <c r="S796" s="142"/>
      <c r="T796" s="142"/>
      <c r="U796" s="142"/>
      <c r="V796" s="142"/>
      <c r="W796" s="142"/>
      <c r="X796" s="142"/>
      <c r="Y796" s="142"/>
      <c r="Z796" s="142"/>
      <c r="AA796" s="142"/>
      <c r="AB796" s="142"/>
    </row>
    <row r="797" ht="13.5" customHeight="1">
      <c r="A797" s="142"/>
      <c r="B797" s="142"/>
      <c r="C797" s="142"/>
      <c r="D797" s="142"/>
      <c r="E797" s="131"/>
      <c r="F797" s="131"/>
      <c r="G797" s="131"/>
      <c r="H797" s="131"/>
      <c r="I797" s="131"/>
      <c r="J797" s="131"/>
      <c r="K797" s="131"/>
      <c r="L797" s="131"/>
      <c r="M797" s="131"/>
      <c r="N797" s="131"/>
      <c r="O797" s="142"/>
      <c r="P797" s="142"/>
      <c r="Q797" s="142"/>
      <c r="R797" s="131"/>
      <c r="S797" s="142"/>
      <c r="T797" s="142"/>
      <c r="U797" s="142"/>
      <c r="V797" s="142"/>
      <c r="W797" s="142"/>
      <c r="X797" s="142"/>
      <c r="Y797" s="142"/>
      <c r="Z797" s="142"/>
      <c r="AA797" s="142"/>
      <c r="AB797" s="142"/>
    </row>
    <row r="798" ht="13.5" customHeight="1">
      <c r="A798" s="142"/>
      <c r="B798" s="142"/>
      <c r="C798" s="142"/>
      <c r="D798" s="142"/>
      <c r="E798" s="131"/>
      <c r="F798" s="131"/>
      <c r="G798" s="131"/>
      <c r="H798" s="131"/>
      <c r="I798" s="131"/>
      <c r="J798" s="131"/>
      <c r="K798" s="131"/>
      <c r="L798" s="131"/>
      <c r="M798" s="131"/>
      <c r="N798" s="131"/>
      <c r="O798" s="142"/>
      <c r="P798" s="142"/>
      <c r="Q798" s="142"/>
      <c r="R798" s="131"/>
      <c r="S798" s="142"/>
      <c r="T798" s="142"/>
      <c r="U798" s="142"/>
      <c r="V798" s="142"/>
      <c r="W798" s="142"/>
      <c r="X798" s="142"/>
      <c r="Y798" s="142"/>
      <c r="Z798" s="142"/>
      <c r="AA798" s="142"/>
      <c r="AB798" s="142"/>
    </row>
    <row r="799" ht="13.5" customHeight="1">
      <c r="A799" s="142"/>
      <c r="B799" s="142"/>
      <c r="C799" s="142"/>
      <c r="D799" s="142"/>
      <c r="E799" s="131"/>
      <c r="F799" s="131"/>
      <c r="G799" s="131"/>
      <c r="H799" s="131"/>
      <c r="I799" s="131"/>
      <c r="J799" s="131"/>
      <c r="K799" s="131"/>
      <c r="L799" s="131"/>
      <c r="M799" s="131"/>
      <c r="N799" s="131"/>
      <c r="O799" s="142"/>
      <c r="P799" s="142"/>
      <c r="Q799" s="142"/>
      <c r="R799" s="131"/>
      <c r="S799" s="142"/>
      <c r="T799" s="142"/>
      <c r="U799" s="142"/>
      <c r="V799" s="142"/>
      <c r="W799" s="142"/>
      <c r="X799" s="142"/>
      <c r="Y799" s="142"/>
      <c r="Z799" s="142"/>
      <c r="AA799" s="142"/>
      <c r="AB799" s="142"/>
    </row>
    <row r="800" ht="13.5" customHeight="1">
      <c r="A800" s="142"/>
      <c r="B800" s="142"/>
      <c r="C800" s="142"/>
      <c r="D800" s="142"/>
      <c r="E800" s="131"/>
      <c r="F800" s="131"/>
      <c r="G800" s="131"/>
      <c r="H800" s="131"/>
      <c r="I800" s="131"/>
      <c r="J800" s="131"/>
      <c r="K800" s="131"/>
      <c r="L800" s="131"/>
      <c r="M800" s="131"/>
      <c r="N800" s="131"/>
      <c r="O800" s="142"/>
      <c r="P800" s="142"/>
      <c r="Q800" s="142"/>
      <c r="R800" s="131"/>
      <c r="S800" s="142"/>
      <c r="T800" s="142"/>
      <c r="U800" s="142"/>
      <c r="V800" s="142"/>
      <c r="W800" s="142"/>
      <c r="X800" s="142"/>
      <c r="Y800" s="142"/>
      <c r="Z800" s="142"/>
      <c r="AA800" s="142"/>
      <c r="AB800" s="142"/>
    </row>
    <row r="801" ht="13.5" customHeight="1">
      <c r="A801" s="142"/>
      <c r="B801" s="142"/>
      <c r="C801" s="142"/>
      <c r="D801" s="142"/>
      <c r="E801" s="131"/>
      <c r="F801" s="131"/>
      <c r="G801" s="131"/>
      <c r="H801" s="131"/>
      <c r="I801" s="131"/>
      <c r="J801" s="131"/>
      <c r="K801" s="131"/>
      <c r="L801" s="131"/>
      <c r="M801" s="131"/>
      <c r="N801" s="131"/>
      <c r="O801" s="142"/>
      <c r="P801" s="142"/>
      <c r="Q801" s="142"/>
      <c r="R801" s="131"/>
      <c r="S801" s="142"/>
      <c r="T801" s="142"/>
      <c r="U801" s="142"/>
      <c r="V801" s="142"/>
      <c r="W801" s="142"/>
      <c r="X801" s="142"/>
      <c r="Y801" s="142"/>
      <c r="Z801" s="142"/>
      <c r="AA801" s="142"/>
      <c r="AB801" s="142"/>
    </row>
    <row r="802" ht="13.5" customHeight="1">
      <c r="A802" s="142"/>
      <c r="B802" s="142"/>
      <c r="C802" s="142"/>
      <c r="D802" s="142"/>
      <c r="E802" s="131"/>
      <c r="F802" s="131"/>
      <c r="G802" s="131"/>
      <c r="H802" s="131"/>
      <c r="I802" s="131"/>
      <c r="J802" s="131"/>
      <c r="K802" s="131"/>
      <c r="L802" s="131"/>
      <c r="M802" s="131"/>
      <c r="N802" s="131"/>
      <c r="O802" s="142"/>
      <c r="P802" s="142"/>
      <c r="Q802" s="142"/>
      <c r="R802" s="131"/>
      <c r="S802" s="142"/>
      <c r="T802" s="142"/>
      <c r="U802" s="142"/>
      <c r="V802" s="142"/>
      <c r="W802" s="142"/>
      <c r="X802" s="142"/>
      <c r="Y802" s="142"/>
      <c r="Z802" s="142"/>
      <c r="AA802" s="142"/>
      <c r="AB802" s="142"/>
    </row>
    <row r="803" ht="13.5" customHeight="1">
      <c r="A803" s="142"/>
      <c r="B803" s="142"/>
      <c r="C803" s="142"/>
      <c r="D803" s="142"/>
      <c r="E803" s="131"/>
      <c r="F803" s="131"/>
      <c r="G803" s="131"/>
      <c r="H803" s="131"/>
      <c r="I803" s="131"/>
      <c r="J803" s="131"/>
      <c r="K803" s="131"/>
      <c r="L803" s="131"/>
      <c r="M803" s="131"/>
      <c r="N803" s="131"/>
      <c r="O803" s="142"/>
      <c r="P803" s="142"/>
      <c r="Q803" s="142"/>
      <c r="R803" s="131"/>
      <c r="S803" s="142"/>
      <c r="T803" s="142"/>
      <c r="U803" s="142"/>
      <c r="V803" s="142"/>
      <c r="W803" s="142"/>
      <c r="X803" s="142"/>
      <c r="Y803" s="142"/>
      <c r="Z803" s="142"/>
      <c r="AA803" s="142"/>
      <c r="AB803" s="142"/>
    </row>
    <row r="804" ht="13.5" customHeight="1">
      <c r="A804" s="142"/>
      <c r="B804" s="142"/>
      <c r="C804" s="142"/>
      <c r="D804" s="142"/>
      <c r="E804" s="131"/>
      <c r="F804" s="131"/>
      <c r="G804" s="131"/>
      <c r="H804" s="131"/>
      <c r="I804" s="131"/>
      <c r="J804" s="131"/>
      <c r="K804" s="131"/>
      <c r="L804" s="131"/>
      <c r="M804" s="131"/>
      <c r="N804" s="131"/>
      <c r="O804" s="142"/>
      <c r="P804" s="142"/>
      <c r="Q804" s="142"/>
      <c r="R804" s="131"/>
      <c r="S804" s="142"/>
      <c r="T804" s="142"/>
      <c r="U804" s="142"/>
      <c r="V804" s="142"/>
      <c r="W804" s="142"/>
      <c r="X804" s="142"/>
      <c r="Y804" s="142"/>
      <c r="Z804" s="142"/>
      <c r="AA804" s="142"/>
      <c r="AB804" s="142"/>
    </row>
    <row r="805" ht="13.5" customHeight="1">
      <c r="A805" s="142"/>
      <c r="B805" s="142"/>
      <c r="C805" s="142"/>
      <c r="D805" s="142"/>
      <c r="E805" s="131"/>
      <c r="F805" s="131"/>
      <c r="G805" s="131"/>
      <c r="H805" s="131"/>
      <c r="I805" s="131"/>
      <c r="J805" s="131"/>
      <c r="K805" s="131"/>
      <c r="L805" s="131"/>
      <c r="M805" s="131"/>
      <c r="N805" s="131"/>
      <c r="O805" s="142"/>
      <c r="P805" s="142"/>
      <c r="Q805" s="142"/>
      <c r="R805" s="131"/>
      <c r="S805" s="142"/>
      <c r="T805" s="142"/>
      <c r="U805" s="142"/>
      <c r="V805" s="142"/>
      <c r="W805" s="142"/>
      <c r="X805" s="142"/>
      <c r="Y805" s="142"/>
      <c r="Z805" s="142"/>
      <c r="AA805" s="142"/>
      <c r="AB805" s="142"/>
    </row>
    <row r="806" ht="13.5" customHeight="1">
      <c r="A806" s="142"/>
      <c r="B806" s="142"/>
      <c r="C806" s="142"/>
      <c r="D806" s="142"/>
      <c r="E806" s="131"/>
      <c r="F806" s="131"/>
      <c r="G806" s="131"/>
      <c r="H806" s="131"/>
      <c r="I806" s="131"/>
      <c r="J806" s="131"/>
      <c r="K806" s="131"/>
      <c r="L806" s="131"/>
      <c r="M806" s="131"/>
      <c r="N806" s="131"/>
      <c r="O806" s="142"/>
      <c r="P806" s="142"/>
      <c r="Q806" s="142"/>
      <c r="R806" s="131"/>
      <c r="S806" s="142"/>
      <c r="T806" s="142"/>
      <c r="U806" s="142"/>
      <c r="V806" s="142"/>
      <c r="W806" s="142"/>
      <c r="X806" s="142"/>
      <c r="Y806" s="142"/>
      <c r="Z806" s="142"/>
      <c r="AA806" s="142"/>
      <c r="AB806" s="142"/>
    </row>
    <row r="807" ht="13.5" customHeight="1">
      <c r="A807" s="142"/>
      <c r="B807" s="142"/>
      <c r="C807" s="142"/>
      <c r="D807" s="142"/>
      <c r="E807" s="131"/>
      <c r="F807" s="131"/>
      <c r="G807" s="131"/>
      <c r="H807" s="131"/>
      <c r="I807" s="131"/>
      <c r="J807" s="131"/>
      <c r="K807" s="131"/>
      <c r="L807" s="131"/>
      <c r="M807" s="131"/>
      <c r="N807" s="131"/>
      <c r="O807" s="142"/>
      <c r="P807" s="142"/>
      <c r="Q807" s="142"/>
      <c r="R807" s="131"/>
      <c r="S807" s="142"/>
      <c r="T807" s="142"/>
      <c r="U807" s="142"/>
      <c r="V807" s="142"/>
      <c r="W807" s="142"/>
      <c r="X807" s="142"/>
      <c r="Y807" s="142"/>
      <c r="Z807" s="142"/>
      <c r="AA807" s="142"/>
      <c r="AB807" s="142"/>
    </row>
    <row r="808" ht="13.5" customHeight="1">
      <c r="A808" s="142"/>
      <c r="B808" s="142"/>
      <c r="C808" s="142"/>
      <c r="D808" s="142"/>
      <c r="E808" s="131"/>
      <c r="F808" s="131"/>
      <c r="G808" s="131"/>
      <c r="H808" s="131"/>
      <c r="I808" s="131"/>
      <c r="J808" s="131"/>
      <c r="K808" s="131"/>
      <c r="L808" s="131"/>
      <c r="M808" s="131"/>
      <c r="N808" s="131"/>
      <c r="O808" s="142"/>
      <c r="P808" s="142"/>
      <c r="Q808" s="142"/>
      <c r="R808" s="131"/>
      <c r="S808" s="142"/>
      <c r="T808" s="142"/>
      <c r="U808" s="142"/>
      <c r="V808" s="142"/>
      <c r="W808" s="142"/>
      <c r="X808" s="142"/>
      <c r="Y808" s="142"/>
      <c r="Z808" s="142"/>
      <c r="AA808" s="142"/>
      <c r="AB808" s="142"/>
    </row>
    <row r="809" ht="13.5" customHeight="1">
      <c r="A809" s="142"/>
      <c r="B809" s="142"/>
      <c r="C809" s="142"/>
      <c r="D809" s="142"/>
      <c r="E809" s="131"/>
      <c r="F809" s="131"/>
      <c r="G809" s="131"/>
      <c r="H809" s="131"/>
      <c r="I809" s="131"/>
      <c r="J809" s="131"/>
      <c r="K809" s="131"/>
      <c r="L809" s="131"/>
      <c r="M809" s="131"/>
      <c r="N809" s="131"/>
      <c r="O809" s="142"/>
      <c r="P809" s="142"/>
      <c r="Q809" s="142"/>
      <c r="R809" s="131"/>
      <c r="S809" s="142"/>
      <c r="T809" s="142"/>
      <c r="U809" s="142"/>
      <c r="V809" s="142"/>
      <c r="W809" s="142"/>
      <c r="X809" s="142"/>
      <c r="Y809" s="142"/>
      <c r="Z809" s="142"/>
      <c r="AA809" s="142"/>
      <c r="AB809" s="142"/>
    </row>
    <row r="810" ht="13.5" customHeight="1">
      <c r="A810" s="142"/>
      <c r="B810" s="142"/>
      <c r="C810" s="142"/>
      <c r="D810" s="142"/>
      <c r="E810" s="131"/>
      <c r="F810" s="131"/>
      <c r="G810" s="131"/>
      <c r="H810" s="131"/>
      <c r="I810" s="131"/>
      <c r="J810" s="131"/>
      <c r="K810" s="131"/>
      <c r="L810" s="131"/>
      <c r="M810" s="131"/>
      <c r="N810" s="131"/>
      <c r="O810" s="142"/>
      <c r="P810" s="142"/>
      <c r="Q810" s="142"/>
      <c r="R810" s="131"/>
      <c r="S810" s="142"/>
      <c r="T810" s="142"/>
      <c r="U810" s="142"/>
      <c r="V810" s="142"/>
      <c r="W810" s="142"/>
      <c r="X810" s="142"/>
      <c r="Y810" s="142"/>
      <c r="Z810" s="142"/>
      <c r="AA810" s="142"/>
      <c r="AB810" s="142"/>
    </row>
    <row r="811" ht="13.5" customHeight="1">
      <c r="A811" s="142"/>
      <c r="B811" s="142"/>
      <c r="C811" s="142"/>
      <c r="D811" s="142"/>
      <c r="E811" s="131"/>
      <c r="F811" s="131"/>
      <c r="G811" s="131"/>
      <c r="H811" s="131"/>
      <c r="I811" s="131"/>
      <c r="J811" s="131"/>
      <c r="K811" s="131"/>
      <c r="L811" s="131"/>
      <c r="M811" s="131"/>
      <c r="N811" s="131"/>
      <c r="O811" s="142"/>
      <c r="P811" s="142"/>
      <c r="Q811" s="142"/>
      <c r="R811" s="131"/>
      <c r="S811" s="142"/>
      <c r="T811" s="142"/>
      <c r="U811" s="142"/>
      <c r="V811" s="142"/>
      <c r="W811" s="142"/>
      <c r="X811" s="142"/>
      <c r="Y811" s="142"/>
      <c r="Z811" s="142"/>
      <c r="AA811" s="142"/>
      <c r="AB811" s="142"/>
    </row>
    <row r="812" ht="13.5" customHeight="1">
      <c r="A812" s="142"/>
      <c r="B812" s="142"/>
      <c r="C812" s="142"/>
      <c r="D812" s="142"/>
      <c r="E812" s="131"/>
      <c r="F812" s="131"/>
      <c r="G812" s="131"/>
      <c r="H812" s="131"/>
      <c r="I812" s="131"/>
      <c r="J812" s="131"/>
      <c r="K812" s="131"/>
      <c r="L812" s="131"/>
      <c r="M812" s="131"/>
      <c r="N812" s="131"/>
      <c r="O812" s="142"/>
      <c r="P812" s="142"/>
      <c r="Q812" s="142"/>
      <c r="R812" s="131"/>
      <c r="S812" s="142"/>
      <c r="T812" s="142"/>
      <c r="U812" s="142"/>
      <c r="V812" s="142"/>
      <c r="W812" s="142"/>
      <c r="X812" s="142"/>
      <c r="Y812" s="142"/>
      <c r="Z812" s="142"/>
      <c r="AA812" s="142"/>
      <c r="AB812" s="142"/>
    </row>
    <row r="813" ht="13.5" customHeight="1">
      <c r="A813" s="142"/>
      <c r="B813" s="142"/>
      <c r="C813" s="142"/>
      <c r="D813" s="142"/>
      <c r="E813" s="131"/>
      <c r="F813" s="131"/>
      <c r="G813" s="131"/>
      <c r="H813" s="131"/>
      <c r="I813" s="131"/>
      <c r="J813" s="131"/>
      <c r="K813" s="131"/>
      <c r="L813" s="131"/>
      <c r="M813" s="131"/>
      <c r="N813" s="131"/>
      <c r="O813" s="142"/>
      <c r="P813" s="142"/>
      <c r="Q813" s="142"/>
      <c r="R813" s="131"/>
      <c r="S813" s="142"/>
      <c r="T813" s="142"/>
      <c r="U813" s="142"/>
      <c r="V813" s="142"/>
      <c r="W813" s="142"/>
      <c r="X813" s="142"/>
      <c r="Y813" s="142"/>
      <c r="Z813" s="142"/>
      <c r="AA813" s="142"/>
      <c r="AB813" s="142"/>
    </row>
    <row r="814" ht="13.5" customHeight="1">
      <c r="A814" s="142"/>
      <c r="B814" s="142"/>
      <c r="C814" s="142"/>
      <c r="D814" s="142"/>
      <c r="E814" s="131"/>
      <c r="F814" s="131"/>
      <c r="G814" s="131"/>
      <c r="H814" s="131"/>
      <c r="I814" s="131"/>
      <c r="J814" s="131"/>
      <c r="K814" s="131"/>
      <c r="L814" s="131"/>
      <c r="M814" s="131"/>
      <c r="N814" s="131"/>
      <c r="O814" s="142"/>
      <c r="P814" s="142"/>
      <c r="Q814" s="142"/>
      <c r="R814" s="131"/>
      <c r="S814" s="142"/>
      <c r="T814" s="142"/>
      <c r="U814" s="142"/>
      <c r="V814" s="142"/>
      <c r="W814" s="142"/>
      <c r="X814" s="142"/>
      <c r="Y814" s="142"/>
      <c r="Z814" s="142"/>
      <c r="AA814" s="142"/>
      <c r="AB814" s="142"/>
    </row>
    <row r="815" ht="13.5" customHeight="1">
      <c r="A815" s="142"/>
      <c r="B815" s="142"/>
      <c r="C815" s="142"/>
      <c r="D815" s="142"/>
      <c r="E815" s="131"/>
      <c r="F815" s="131"/>
      <c r="G815" s="131"/>
      <c r="H815" s="131"/>
      <c r="I815" s="131"/>
      <c r="J815" s="131"/>
      <c r="K815" s="131"/>
      <c r="L815" s="131"/>
      <c r="M815" s="131"/>
      <c r="N815" s="131"/>
      <c r="O815" s="142"/>
      <c r="P815" s="142"/>
      <c r="Q815" s="142"/>
      <c r="R815" s="131"/>
      <c r="S815" s="142"/>
      <c r="T815" s="142"/>
      <c r="U815" s="142"/>
      <c r="V815" s="142"/>
      <c r="W815" s="142"/>
      <c r="X815" s="142"/>
      <c r="Y815" s="142"/>
      <c r="Z815" s="142"/>
      <c r="AA815" s="142"/>
      <c r="AB815" s="142"/>
    </row>
    <row r="816" ht="13.5" customHeight="1">
      <c r="A816" s="142"/>
      <c r="B816" s="142"/>
      <c r="C816" s="142"/>
      <c r="D816" s="142"/>
      <c r="E816" s="131"/>
      <c r="F816" s="131"/>
      <c r="G816" s="131"/>
      <c r="H816" s="131"/>
      <c r="I816" s="131"/>
      <c r="J816" s="131"/>
      <c r="K816" s="131"/>
      <c r="L816" s="131"/>
      <c r="M816" s="131"/>
      <c r="N816" s="131"/>
      <c r="O816" s="142"/>
      <c r="P816" s="142"/>
      <c r="Q816" s="142"/>
      <c r="R816" s="131"/>
      <c r="S816" s="142"/>
      <c r="T816" s="142"/>
      <c r="U816" s="142"/>
      <c r="V816" s="142"/>
      <c r="W816" s="142"/>
      <c r="X816" s="142"/>
      <c r="Y816" s="142"/>
      <c r="Z816" s="142"/>
      <c r="AA816" s="142"/>
      <c r="AB816" s="142"/>
    </row>
    <row r="817" ht="13.5" customHeight="1">
      <c r="A817" s="142"/>
      <c r="B817" s="142"/>
      <c r="C817" s="142"/>
      <c r="D817" s="142"/>
      <c r="E817" s="131"/>
      <c r="F817" s="131"/>
      <c r="G817" s="131"/>
      <c r="H817" s="131"/>
      <c r="I817" s="131"/>
      <c r="J817" s="131"/>
      <c r="K817" s="131"/>
      <c r="L817" s="131"/>
      <c r="M817" s="131"/>
      <c r="N817" s="131"/>
      <c r="O817" s="142"/>
      <c r="P817" s="142"/>
      <c r="Q817" s="142"/>
      <c r="R817" s="131"/>
      <c r="S817" s="142"/>
      <c r="T817" s="142"/>
      <c r="U817" s="142"/>
      <c r="V817" s="142"/>
      <c r="W817" s="142"/>
      <c r="X817" s="142"/>
      <c r="Y817" s="142"/>
      <c r="Z817" s="142"/>
      <c r="AA817" s="142"/>
      <c r="AB817" s="142"/>
    </row>
    <row r="818" ht="13.5" customHeight="1">
      <c r="A818" s="142"/>
      <c r="B818" s="142"/>
      <c r="C818" s="142"/>
      <c r="D818" s="142"/>
      <c r="E818" s="131"/>
      <c r="F818" s="131"/>
      <c r="G818" s="131"/>
      <c r="H818" s="131"/>
      <c r="I818" s="131"/>
      <c r="J818" s="131"/>
      <c r="K818" s="131"/>
      <c r="L818" s="131"/>
      <c r="M818" s="131"/>
      <c r="N818" s="131"/>
      <c r="O818" s="142"/>
      <c r="P818" s="142"/>
      <c r="Q818" s="142"/>
      <c r="R818" s="131"/>
      <c r="S818" s="142"/>
      <c r="T818" s="142"/>
      <c r="U818" s="142"/>
      <c r="V818" s="142"/>
      <c r="W818" s="142"/>
      <c r="X818" s="142"/>
      <c r="Y818" s="142"/>
      <c r="Z818" s="142"/>
      <c r="AA818" s="142"/>
      <c r="AB818" s="142"/>
    </row>
    <row r="819" ht="13.5" customHeight="1">
      <c r="A819" s="142"/>
      <c r="B819" s="142"/>
      <c r="C819" s="142"/>
      <c r="D819" s="142"/>
      <c r="E819" s="131"/>
      <c r="F819" s="131"/>
      <c r="G819" s="131"/>
      <c r="H819" s="131"/>
      <c r="I819" s="131"/>
      <c r="J819" s="131"/>
      <c r="K819" s="131"/>
      <c r="L819" s="131"/>
      <c r="M819" s="131"/>
      <c r="N819" s="131"/>
      <c r="O819" s="142"/>
      <c r="P819" s="142"/>
      <c r="Q819" s="142"/>
      <c r="R819" s="131"/>
      <c r="S819" s="142"/>
      <c r="T819" s="142"/>
      <c r="U819" s="142"/>
      <c r="V819" s="142"/>
      <c r="W819" s="142"/>
      <c r="X819" s="142"/>
      <c r="Y819" s="142"/>
      <c r="Z819" s="142"/>
      <c r="AA819" s="142"/>
      <c r="AB819" s="142"/>
    </row>
    <row r="820" ht="13.5" customHeight="1">
      <c r="A820" s="142"/>
      <c r="B820" s="142"/>
      <c r="C820" s="142"/>
      <c r="D820" s="142"/>
      <c r="E820" s="131"/>
      <c r="F820" s="131"/>
      <c r="G820" s="131"/>
      <c r="H820" s="131"/>
      <c r="I820" s="131"/>
      <c r="J820" s="131"/>
      <c r="K820" s="131"/>
      <c r="L820" s="131"/>
      <c r="M820" s="131"/>
      <c r="N820" s="131"/>
      <c r="O820" s="142"/>
      <c r="P820" s="142"/>
      <c r="Q820" s="142"/>
      <c r="R820" s="131"/>
      <c r="S820" s="142"/>
      <c r="T820" s="142"/>
      <c r="U820" s="142"/>
      <c r="V820" s="142"/>
      <c r="W820" s="142"/>
      <c r="X820" s="142"/>
      <c r="Y820" s="142"/>
      <c r="Z820" s="142"/>
      <c r="AA820" s="142"/>
      <c r="AB820" s="142"/>
    </row>
    <row r="821" ht="13.5" customHeight="1">
      <c r="A821" s="142"/>
      <c r="B821" s="142"/>
      <c r="C821" s="142"/>
      <c r="D821" s="142"/>
      <c r="E821" s="131"/>
      <c r="F821" s="131"/>
      <c r="G821" s="131"/>
      <c r="H821" s="131"/>
      <c r="I821" s="131"/>
      <c r="J821" s="131"/>
      <c r="K821" s="131"/>
      <c r="L821" s="131"/>
      <c r="M821" s="131"/>
      <c r="N821" s="131"/>
      <c r="O821" s="142"/>
      <c r="P821" s="142"/>
      <c r="Q821" s="142"/>
      <c r="R821" s="131"/>
      <c r="S821" s="142"/>
      <c r="T821" s="142"/>
      <c r="U821" s="142"/>
      <c r="V821" s="142"/>
      <c r="W821" s="142"/>
      <c r="X821" s="142"/>
      <c r="Y821" s="142"/>
      <c r="Z821" s="142"/>
      <c r="AA821" s="142"/>
      <c r="AB821" s="142"/>
    </row>
    <row r="822" ht="13.5" customHeight="1">
      <c r="A822" s="142"/>
      <c r="B822" s="142"/>
      <c r="C822" s="142"/>
      <c r="D822" s="142"/>
      <c r="E822" s="131"/>
      <c r="F822" s="131"/>
      <c r="G822" s="131"/>
      <c r="H822" s="131"/>
      <c r="I822" s="131"/>
      <c r="J822" s="131"/>
      <c r="K822" s="131"/>
      <c r="L822" s="131"/>
      <c r="M822" s="131"/>
      <c r="N822" s="131"/>
      <c r="O822" s="142"/>
      <c r="P822" s="142"/>
      <c r="Q822" s="142"/>
      <c r="R822" s="131"/>
      <c r="S822" s="142"/>
      <c r="T822" s="142"/>
      <c r="U822" s="142"/>
      <c r="V822" s="142"/>
      <c r="W822" s="142"/>
      <c r="X822" s="142"/>
      <c r="Y822" s="142"/>
      <c r="Z822" s="142"/>
      <c r="AA822" s="142"/>
      <c r="AB822" s="142"/>
    </row>
    <row r="823" ht="13.5" customHeight="1">
      <c r="A823" s="142"/>
      <c r="B823" s="142"/>
      <c r="C823" s="142"/>
      <c r="D823" s="142"/>
      <c r="E823" s="131"/>
      <c r="F823" s="131"/>
      <c r="G823" s="131"/>
      <c r="H823" s="131"/>
      <c r="I823" s="131"/>
      <c r="J823" s="131"/>
      <c r="K823" s="131"/>
      <c r="L823" s="131"/>
      <c r="M823" s="131"/>
      <c r="N823" s="131"/>
      <c r="O823" s="142"/>
      <c r="P823" s="142"/>
      <c r="Q823" s="142"/>
      <c r="R823" s="131"/>
      <c r="S823" s="142"/>
      <c r="T823" s="142"/>
      <c r="U823" s="142"/>
      <c r="V823" s="142"/>
      <c r="W823" s="142"/>
      <c r="X823" s="142"/>
      <c r="Y823" s="142"/>
      <c r="Z823" s="142"/>
      <c r="AA823" s="142"/>
      <c r="AB823" s="142"/>
    </row>
    <row r="824" ht="13.5" customHeight="1">
      <c r="A824" s="142"/>
      <c r="B824" s="142"/>
      <c r="C824" s="142"/>
      <c r="D824" s="142"/>
      <c r="E824" s="131"/>
      <c r="F824" s="131"/>
      <c r="G824" s="131"/>
      <c r="H824" s="131"/>
      <c r="I824" s="131"/>
      <c r="J824" s="131"/>
      <c r="K824" s="131"/>
      <c r="L824" s="131"/>
      <c r="M824" s="131"/>
      <c r="N824" s="131"/>
      <c r="O824" s="142"/>
      <c r="P824" s="142"/>
      <c r="Q824" s="142"/>
      <c r="R824" s="131"/>
      <c r="S824" s="142"/>
      <c r="T824" s="142"/>
      <c r="U824" s="142"/>
      <c r="V824" s="142"/>
      <c r="W824" s="142"/>
      <c r="X824" s="142"/>
      <c r="Y824" s="142"/>
      <c r="Z824" s="142"/>
      <c r="AA824" s="142"/>
      <c r="AB824" s="142"/>
    </row>
    <row r="825" ht="13.5" customHeight="1">
      <c r="A825" s="142"/>
      <c r="B825" s="142"/>
      <c r="C825" s="142"/>
      <c r="D825" s="142"/>
      <c r="E825" s="131"/>
      <c r="F825" s="131"/>
      <c r="G825" s="131"/>
      <c r="H825" s="131"/>
      <c r="I825" s="131"/>
      <c r="J825" s="131"/>
      <c r="K825" s="131"/>
      <c r="L825" s="131"/>
      <c r="M825" s="131"/>
      <c r="N825" s="131"/>
      <c r="O825" s="142"/>
      <c r="P825" s="142"/>
      <c r="Q825" s="142"/>
      <c r="R825" s="131"/>
      <c r="S825" s="142"/>
      <c r="T825" s="142"/>
      <c r="U825" s="142"/>
      <c r="V825" s="142"/>
      <c r="W825" s="142"/>
      <c r="X825" s="142"/>
      <c r="Y825" s="142"/>
      <c r="Z825" s="142"/>
      <c r="AA825" s="142"/>
      <c r="AB825" s="142"/>
    </row>
    <row r="826" ht="13.5" customHeight="1">
      <c r="A826" s="142"/>
      <c r="B826" s="142"/>
      <c r="C826" s="142"/>
      <c r="D826" s="142"/>
      <c r="E826" s="131"/>
      <c r="F826" s="131"/>
      <c r="G826" s="131"/>
      <c r="H826" s="131"/>
      <c r="I826" s="131"/>
      <c r="J826" s="131"/>
      <c r="K826" s="131"/>
      <c r="L826" s="131"/>
      <c r="M826" s="131"/>
      <c r="N826" s="131"/>
      <c r="O826" s="142"/>
      <c r="P826" s="142"/>
      <c r="Q826" s="142"/>
      <c r="R826" s="131"/>
      <c r="S826" s="142"/>
      <c r="T826" s="142"/>
      <c r="U826" s="142"/>
      <c r="V826" s="142"/>
      <c r="W826" s="142"/>
      <c r="X826" s="142"/>
      <c r="Y826" s="142"/>
      <c r="Z826" s="142"/>
      <c r="AA826" s="142"/>
      <c r="AB826" s="142"/>
    </row>
    <row r="827" ht="13.5" customHeight="1">
      <c r="A827" s="142"/>
      <c r="B827" s="142"/>
      <c r="C827" s="142"/>
      <c r="D827" s="142"/>
      <c r="E827" s="131"/>
      <c r="F827" s="131"/>
      <c r="G827" s="131"/>
      <c r="H827" s="131"/>
      <c r="I827" s="131"/>
      <c r="J827" s="131"/>
      <c r="K827" s="131"/>
      <c r="L827" s="131"/>
      <c r="M827" s="131"/>
      <c r="N827" s="131"/>
      <c r="O827" s="142"/>
      <c r="P827" s="142"/>
      <c r="Q827" s="142"/>
      <c r="R827" s="131"/>
      <c r="S827" s="142"/>
      <c r="T827" s="142"/>
      <c r="U827" s="142"/>
      <c r="V827" s="142"/>
      <c r="W827" s="142"/>
      <c r="X827" s="142"/>
      <c r="Y827" s="142"/>
      <c r="Z827" s="142"/>
      <c r="AA827" s="142"/>
      <c r="AB827" s="142"/>
    </row>
    <row r="828" ht="13.5" customHeight="1">
      <c r="A828" s="142"/>
      <c r="B828" s="142"/>
      <c r="C828" s="142"/>
      <c r="D828" s="142"/>
      <c r="E828" s="131"/>
      <c r="F828" s="131"/>
      <c r="G828" s="131"/>
      <c r="H828" s="131"/>
      <c r="I828" s="131"/>
      <c r="J828" s="131"/>
      <c r="K828" s="131"/>
      <c r="L828" s="131"/>
      <c r="M828" s="131"/>
      <c r="N828" s="131"/>
      <c r="O828" s="142"/>
      <c r="P828" s="142"/>
      <c r="Q828" s="142"/>
      <c r="R828" s="131"/>
      <c r="S828" s="142"/>
      <c r="T828" s="142"/>
      <c r="U828" s="142"/>
      <c r="V828" s="142"/>
      <c r="W828" s="142"/>
      <c r="X828" s="142"/>
      <c r="Y828" s="142"/>
      <c r="Z828" s="142"/>
      <c r="AA828" s="142"/>
      <c r="AB828" s="142"/>
    </row>
    <row r="829" ht="13.5" customHeight="1">
      <c r="A829" s="142"/>
      <c r="B829" s="142"/>
      <c r="C829" s="142"/>
      <c r="D829" s="142"/>
      <c r="E829" s="131"/>
      <c r="F829" s="131"/>
      <c r="G829" s="131"/>
      <c r="H829" s="131"/>
      <c r="I829" s="131"/>
      <c r="J829" s="131"/>
      <c r="K829" s="131"/>
      <c r="L829" s="131"/>
      <c r="M829" s="131"/>
      <c r="N829" s="131"/>
      <c r="O829" s="142"/>
      <c r="P829" s="142"/>
      <c r="Q829" s="142"/>
      <c r="R829" s="131"/>
      <c r="S829" s="142"/>
      <c r="T829" s="142"/>
      <c r="U829" s="142"/>
      <c r="V829" s="142"/>
      <c r="W829" s="142"/>
      <c r="X829" s="142"/>
      <c r="Y829" s="142"/>
      <c r="Z829" s="142"/>
      <c r="AA829" s="142"/>
      <c r="AB829" s="142"/>
    </row>
    <row r="830" ht="13.5" customHeight="1">
      <c r="A830" s="142"/>
      <c r="B830" s="142"/>
      <c r="C830" s="142"/>
      <c r="D830" s="142"/>
      <c r="E830" s="131"/>
      <c r="F830" s="131"/>
      <c r="G830" s="131"/>
      <c r="H830" s="131"/>
      <c r="I830" s="131"/>
      <c r="J830" s="131"/>
      <c r="K830" s="131"/>
      <c r="L830" s="131"/>
      <c r="M830" s="131"/>
      <c r="N830" s="131"/>
      <c r="O830" s="142"/>
      <c r="P830" s="142"/>
      <c r="Q830" s="142"/>
      <c r="R830" s="131"/>
      <c r="S830" s="142"/>
      <c r="T830" s="142"/>
      <c r="U830" s="142"/>
      <c r="V830" s="142"/>
      <c r="W830" s="142"/>
      <c r="X830" s="142"/>
      <c r="Y830" s="142"/>
      <c r="Z830" s="142"/>
      <c r="AA830" s="142"/>
      <c r="AB830" s="142"/>
    </row>
    <row r="831" ht="13.5" customHeight="1">
      <c r="A831" s="142"/>
      <c r="B831" s="142"/>
      <c r="C831" s="142"/>
      <c r="D831" s="142"/>
      <c r="E831" s="131"/>
      <c r="F831" s="131"/>
      <c r="G831" s="131"/>
      <c r="H831" s="131"/>
      <c r="I831" s="131"/>
      <c r="J831" s="131"/>
      <c r="K831" s="131"/>
      <c r="L831" s="131"/>
      <c r="M831" s="131"/>
      <c r="N831" s="131"/>
      <c r="O831" s="142"/>
      <c r="P831" s="142"/>
      <c r="Q831" s="142"/>
      <c r="R831" s="131"/>
      <c r="S831" s="142"/>
      <c r="T831" s="142"/>
      <c r="U831" s="142"/>
      <c r="V831" s="142"/>
      <c r="W831" s="142"/>
      <c r="X831" s="142"/>
      <c r="Y831" s="142"/>
      <c r="Z831" s="142"/>
      <c r="AA831" s="142"/>
      <c r="AB831" s="142"/>
    </row>
    <row r="832" ht="13.5" customHeight="1">
      <c r="A832" s="142"/>
      <c r="B832" s="142"/>
      <c r="C832" s="142"/>
      <c r="D832" s="142"/>
      <c r="E832" s="131"/>
      <c r="F832" s="131"/>
      <c r="G832" s="131"/>
      <c r="H832" s="131"/>
      <c r="I832" s="131"/>
      <c r="J832" s="131"/>
      <c r="K832" s="131"/>
      <c r="L832" s="131"/>
      <c r="M832" s="131"/>
      <c r="N832" s="131"/>
      <c r="O832" s="142"/>
      <c r="P832" s="142"/>
      <c r="Q832" s="142"/>
      <c r="R832" s="131"/>
      <c r="S832" s="142"/>
      <c r="T832" s="142"/>
      <c r="U832" s="142"/>
      <c r="V832" s="142"/>
      <c r="W832" s="142"/>
      <c r="X832" s="142"/>
      <c r="Y832" s="142"/>
      <c r="Z832" s="142"/>
      <c r="AA832" s="142"/>
      <c r="AB832" s="142"/>
    </row>
    <row r="833" ht="13.5" customHeight="1">
      <c r="A833" s="142"/>
      <c r="B833" s="142"/>
      <c r="C833" s="142"/>
      <c r="D833" s="142"/>
      <c r="E833" s="131"/>
      <c r="F833" s="131"/>
      <c r="G833" s="131"/>
      <c r="H833" s="131"/>
      <c r="I833" s="131"/>
      <c r="J833" s="131"/>
      <c r="K833" s="131"/>
      <c r="L833" s="131"/>
      <c r="M833" s="131"/>
      <c r="N833" s="131"/>
      <c r="O833" s="142"/>
      <c r="P833" s="142"/>
      <c r="Q833" s="142"/>
      <c r="R833" s="131"/>
      <c r="S833" s="142"/>
      <c r="T833" s="142"/>
      <c r="U833" s="142"/>
      <c r="V833" s="142"/>
      <c r="W833" s="142"/>
      <c r="X833" s="142"/>
      <c r="Y833" s="142"/>
      <c r="Z833" s="142"/>
      <c r="AA833" s="142"/>
      <c r="AB833" s="142"/>
    </row>
    <row r="834" ht="13.5" customHeight="1">
      <c r="A834" s="142"/>
      <c r="B834" s="142"/>
      <c r="C834" s="142"/>
      <c r="D834" s="142"/>
      <c r="E834" s="131"/>
      <c r="F834" s="131"/>
      <c r="G834" s="131"/>
      <c r="H834" s="131"/>
      <c r="I834" s="131"/>
      <c r="J834" s="131"/>
      <c r="K834" s="131"/>
      <c r="L834" s="131"/>
      <c r="M834" s="131"/>
      <c r="N834" s="131"/>
      <c r="O834" s="142"/>
      <c r="P834" s="142"/>
      <c r="Q834" s="142"/>
      <c r="R834" s="131"/>
      <c r="S834" s="142"/>
      <c r="T834" s="142"/>
      <c r="U834" s="142"/>
      <c r="V834" s="142"/>
      <c r="W834" s="142"/>
      <c r="X834" s="142"/>
      <c r="Y834" s="142"/>
      <c r="Z834" s="142"/>
      <c r="AA834" s="142"/>
      <c r="AB834" s="142"/>
    </row>
    <row r="835" ht="13.5" customHeight="1">
      <c r="A835" s="142"/>
      <c r="B835" s="142"/>
      <c r="C835" s="142"/>
      <c r="D835" s="142"/>
      <c r="E835" s="131"/>
      <c r="F835" s="131"/>
      <c r="G835" s="131"/>
      <c r="H835" s="131"/>
      <c r="I835" s="131"/>
      <c r="J835" s="131"/>
      <c r="K835" s="131"/>
      <c r="L835" s="131"/>
      <c r="M835" s="131"/>
      <c r="N835" s="131"/>
      <c r="O835" s="142"/>
      <c r="P835" s="142"/>
      <c r="Q835" s="142"/>
      <c r="R835" s="131"/>
      <c r="S835" s="142"/>
      <c r="T835" s="142"/>
      <c r="U835" s="142"/>
      <c r="V835" s="142"/>
      <c r="W835" s="142"/>
      <c r="X835" s="142"/>
      <c r="Y835" s="142"/>
      <c r="Z835" s="142"/>
      <c r="AA835" s="142"/>
      <c r="AB835" s="142"/>
    </row>
    <row r="836" ht="13.5" customHeight="1">
      <c r="A836" s="142"/>
      <c r="B836" s="142"/>
      <c r="C836" s="142"/>
      <c r="D836" s="142"/>
      <c r="E836" s="131"/>
      <c r="F836" s="131"/>
      <c r="G836" s="131"/>
      <c r="H836" s="131"/>
      <c r="I836" s="131"/>
      <c r="J836" s="131"/>
      <c r="K836" s="131"/>
      <c r="L836" s="131"/>
      <c r="M836" s="131"/>
      <c r="N836" s="131"/>
      <c r="O836" s="142"/>
      <c r="P836" s="142"/>
      <c r="Q836" s="142"/>
      <c r="R836" s="131"/>
      <c r="S836" s="142"/>
      <c r="T836" s="142"/>
      <c r="U836" s="142"/>
      <c r="V836" s="142"/>
      <c r="W836" s="142"/>
      <c r="X836" s="142"/>
      <c r="Y836" s="142"/>
      <c r="Z836" s="142"/>
      <c r="AA836" s="142"/>
      <c r="AB836" s="142"/>
    </row>
    <row r="837" ht="13.5" customHeight="1">
      <c r="A837" s="142"/>
      <c r="B837" s="142"/>
      <c r="C837" s="142"/>
      <c r="D837" s="142"/>
      <c r="E837" s="131"/>
      <c r="F837" s="131"/>
      <c r="G837" s="131"/>
      <c r="H837" s="131"/>
      <c r="I837" s="131"/>
      <c r="J837" s="131"/>
      <c r="K837" s="131"/>
      <c r="L837" s="131"/>
      <c r="M837" s="131"/>
      <c r="N837" s="131"/>
      <c r="O837" s="142"/>
      <c r="P837" s="142"/>
      <c r="Q837" s="142"/>
      <c r="R837" s="131"/>
      <c r="S837" s="142"/>
      <c r="T837" s="142"/>
      <c r="U837" s="142"/>
      <c r="V837" s="142"/>
      <c r="W837" s="142"/>
      <c r="X837" s="142"/>
      <c r="Y837" s="142"/>
      <c r="Z837" s="142"/>
      <c r="AA837" s="142"/>
      <c r="AB837" s="142"/>
    </row>
    <row r="838" ht="13.5" customHeight="1">
      <c r="A838" s="142"/>
      <c r="B838" s="142"/>
      <c r="C838" s="142"/>
      <c r="D838" s="142"/>
      <c r="E838" s="131"/>
      <c r="F838" s="131"/>
      <c r="G838" s="131"/>
      <c r="H838" s="131"/>
      <c r="I838" s="131"/>
      <c r="J838" s="131"/>
      <c r="K838" s="131"/>
      <c r="L838" s="131"/>
      <c r="M838" s="131"/>
      <c r="N838" s="131"/>
      <c r="O838" s="142"/>
      <c r="P838" s="142"/>
      <c r="Q838" s="142"/>
      <c r="R838" s="131"/>
      <c r="S838" s="142"/>
      <c r="T838" s="142"/>
      <c r="U838" s="142"/>
      <c r="V838" s="142"/>
      <c r="W838" s="142"/>
      <c r="X838" s="142"/>
      <c r="Y838" s="142"/>
      <c r="Z838" s="142"/>
      <c r="AA838" s="142"/>
      <c r="AB838" s="142"/>
    </row>
    <row r="839" ht="13.5" customHeight="1">
      <c r="A839" s="142"/>
      <c r="B839" s="142"/>
      <c r="C839" s="142"/>
      <c r="D839" s="142"/>
      <c r="E839" s="131"/>
      <c r="F839" s="131"/>
      <c r="G839" s="131"/>
      <c r="H839" s="131"/>
      <c r="I839" s="131"/>
      <c r="J839" s="131"/>
      <c r="K839" s="131"/>
      <c r="L839" s="131"/>
      <c r="M839" s="131"/>
      <c r="N839" s="131"/>
      <c r="O839" s="142"/>
      <c r="P839" s="142"/>
      <c r="Q839" s="142"/>
      <c r="R839" s="131"/>
      <c r="S839" s="142"/>
      <c r="T839" s="142"/>
      <c r="U839" s="142"/>
      <c r="V839" s="142"/>
      <c r="W839" s="142"/>
      <c r="X839" s="142"/>
      <c r="Y839" s="142"/>
      <c r="Z839" s="142"/>
      <c r="AA839" s="142"/>
      <c r="AB839" s="142"/>
    </row>
    <row r="840" ht="13.5" customHeight="1">
      <c r="A840" s="142"/>
      <c r="B840" s="142"/>
      <c r="C840" s="142"/>
      <c r="D840" s="142"/>
      <c r="E840" s="131"/>
      <c r="F840" s="131"/>
      <c r="G840" s="131"/>
      <c r="H840" s="131"/>
      <c r="I840" s="131"/>
      <c r="J840" s="131"/>
      <c r="K840" s="131"/>
      <c r="L840" s="131"/>
      <c r="M840" s="131"/>
      <c r="N840" s="131"/>
      <c r="O840" s="142"/>
      <c r="P840" s="142"/>
      <c r="Q840" s="142"/>
      <c r="R840" s="131"/>
      <c r="S840" s="142"/>
      <c r="T840" s="142"/>
      <c r="U840" s="142"/>
      <c r="V840" s="142"/>
      <c r="W840" s="142"/>
      <c r="X840" s="142"/>
      <c r="Y840" s="142"/>
      <c r="Z840" s="142"/>
      <c r="AA840" s="142"/>
      <c r="AB840" s="142"/>
    </row>
    <row r="841" ht="13.5" customHeight="1">
      <c r="A841" s="142"/>
      <c r="B841" s="142"/>
      <c r="C841" s="142"/>
      <c r="D841" s="142"/>
      <c r="E841" s="131"/>
      <c r="F841" s="131"/>
      <c r="G841" s="131"/>
      <c r="H841" s="131"/>
      <c r="I841" s="131"/>
      <c r="J841" s="131"/>
      <c r="K841" s="131"/>
      <c r="L841" s="131"/>
      <c r="M841" s="131"/>
      <c r="N841" s="131"/>
      <c r="O841" s="142"/>
      <c r="P841" s="142"/>
      <c r="Q841" s="142"/>
      <c r="R841" s="131"/>
      <c r="S841" s="142"/>
      <c r="T841" s="142"/>
      <c r="U841" s="142"/>
      <c r="V841" s="142"/>
      <c r="W841" s="142"/>
      <c r="X841" s="142"/>
      <c r="Y841" s="142"/>
      <c r="Z841" s="142"/>
      <c r="AA841" s="142"/>
      <c r="AB841" s="142"/>
    </row>
    <row r="842" ht="13.5" customHeight="1">
      <c r="A842" s="142"/>
      <c r="B842" s="142"/>
      <c r="C842" s="142"/>
      <c r="D842" s="142"/>
      <c r="E842" s="131"/>
      <c r="F842" s="131"/>
      <c r="G842" s="131"/>
      <c r="H842" s="131"/>
      <c r="I842" s="131"/>
      <c r="J842" s="131"/>
      <c r="K842" s="131"/>
      <c r="L842" s="131"/>
      <c r="M842" s="131"/>
      <c r="N842" s="131"/>
      <c r="O842" s="142"/>
      <c r="P842" s="142"/>
      <c r="Q842" s="142"/>
      <c r="R842" s="131"/>
      <c r="S842" s="142"/>
      <c r="T842" s="142"/>
      <c r="U842" s="142"/>
      <c r="V842" s="142"/>
      <c r="W842" s="142"/>
      <c r="X842" s="142"/>
      <c r="Y842" s="142"/>
      <c r="Z842" s="142"/>
      <c r="AA842" s="142"/>
      <c r="AB842" s="142"/>
    </row>
    <row r="843" ht="13.5" customHeight="1">
      <c r="A843" s="142"/>
      <c r="B843" s="142"/>
      <c r="C843" s="142"/>
      <c r="D843" s="142"/>
      <c r="E843" s="131"/>
      <c r="F843" s="131"/>
      <c r="G843" s="131"/>
      <c r="H843" s="131"/>
      <c r="I843" s="131"/>
      <c r="J843" s="131"/>
      <c r="K843" s="131"/>
      <c r="L843" s="131"/>
      <c r="M843" s="131"/>
      <c r="N843" s="131"/>
      <c r="O843" s="142"/>
      <c r="P843" s="142"/>
      <c r="Q843" s="142"/>
      <c r="R843" s="131"/>
      <c r="S843" s="142"/>
      <c r="T843" s="142"/>
      <c r="U843" s="142"/>
      <c r="V843" s="142"/>
      <c r="W843" s="142"/>
      <c r="X843" s="142"/>
      <c r="Y843" s="142"/>
      <c r="Z843" s="142"/>
      <c r="AA843" s="142"/>
      <c r="AB843" s="142"/>
    </row>
    <row r="844" ht="13.5" customHeight="1">
      <c r="A844" s="142"/>
      <c r="B844" s="142"/>
      <c r="C844" s="142"/>
      <c r="D844" s="142"/>
      <c r="E844" s="131"/>
      <c r="F844" s="131"/>
      <c r="G844" s="131"/>
      <c r="H844" s="131"/>
      <c r="I844" s="131"/>
      <c r="J844" s="131"/>
      <c r="K844" s="131"/>
      <c r="L844" s="131"/>
      <c r="M844" s="131"/>
      <c r="N844" s="131"/>
      <c r="O844" s="142"/>
      <c r="P844" s="142"/>
      <c r="Q844" s="142"/>
      <c r="R844" s="131"/>
      <c r="S844" s="142"/>
      <c r="T844" s="142"/>
      <c r="U844" s="142"/>
      <c r="V844" s="142"/>
      <c r="W844" s="142"/>
      <c r="X844" s="142"/>
      <c r="Y844" s="142"/>
      <c r="Z844" s="142"/>
      <c r="AA844" s="142"/>
      <c r="AB844" s="142"/>
    </row>
    <row r="845" ht="13.5" customHeight="1">
      <c r="A845" s="142"/>
      <c r="B845" s="142"/>
      <c r="C845" s="142"/>
      <c r="D845" s="142"/>
      <c r="E845" s="131"/>
      <c r="F845" s="131"/>
      <c r="G845" s="131"/>
      <c r="H845" s="131"/>
      <c r="I845" s="131"/>
      <c r="J845" s="131"/>
      <c r="K845" s="131"/>
      <c r="L845" s="131"/>
      <c r="M845" s="131"/>
      <c r="N845" s="131"/>
      <c r="O845" s="142"/>
      <c r="P845" s="142"/>
      <c r="Q845" s="142"/>
      <c r="R845" s="131"/>
      <c r="S845" s="142"/>
      <c r="T845" s="142"/>
      <c r="U845" s="142"/>
      <c r="V845" s="142"/>
      <c r="W845" s="142"/>
      <c r="X845" s="142"/>
      <c r="Y845" s="142"/>
      <c r="Z845" s="142"/>
      <c r="AA845" s="142"/>
      <c r="AB845" s="142"/>
    </row>
    <row r="846" ht="13.5" customHeight="1">
      <c r="A846" s="142"/>
      <c r="B846" s="142"/>
      <c r="C846" s="142"/>
      <c r="D846" s="142"/>
      <c r="E846" s="131"/>
      <c r="F846" s="131"/>
      <c r="G846" s="131"/>
      <c r="H846" s="131"/>
      <c r="I846" s="131"/>
      <c r="J846" s="131"/>
      <c r="K846" s="131"/>
      <c r="L846" s="131"/>
      <c r="M846" s="131"/>
      <c r="N846" s="131"/>
      <c r="O846" s="142"/>
      <c r="P846" s="142"/>
      <c r="Q846" s="142"/>
      <c r="R846" s="131"/>
      <c r="S846" s="142"/>
      <c r="T846" s="142"/>
      <c r="U846" s="142"/>
      <c r="V846" s="142"/>
      <c r="W846" s="142"/>
      <c r="X846" s="142"/>
      <c r="Y846" s="142"/>
      <c r="Z846" s="142"/>
      <c r="AA846" s="142"/>
      <c r="AB846" s="142"/>
    </row>
    <row r="847" ht="13.5" customHeight="1">
      <c r="A847" s="142"/>
      <c r="B847" s="142"/>
      <c r="C847" s="142"/>
      <c r="D847" s="142"/>
      <c r="E847" s="131"/>
      <c r="F847" s="131"/>
      <c r="G847" s="131"/>
      <c r="H847" s="131"/>
      <c r="I847" s="131"/>
      <c r="J847" s="131"/>
      <c r="K847" s="131"/>
      <c r="L847" s="131"/>
      <c r="M847" s="131"/>
      <c r="N847" s="131"/>
      <c r="O847" s="142"/>
      <c r="P847" s="142"/>
      <c r="Q847" s="142"/>
      <c r="R847" s="131"/>
      <c r="S847" s="142"/>
      <c r="T847" s="142"/>
      <c r="U847" s="142"/>
      <c r="V847" s="142"/>
      <c r="W847" s="142"/>
      <c r="X847" s="142"/>
      <c r="Y847" s="142"/>
      <c r="Z847" s="142"/>
      <c r="AA847" s="142"/>
      <c r="AB847" s="142"/>
    </row>
    <row r="848" ht="13.5" customHeight="1">
      <c r="A848" s="142"/>
      <c r="B848" s="142"/>
      <c r="C848" s="142"/>
      <c r="D848" s="142"/>
      <c r="E848" s="131"/>
      <c r="F848" s="131"/>
      <c r="G848" s="131"/>
      <c r="H848" s="131"/>
      <c r="I848" s="131"/>
      <c r="J848" s="131"/>
      <c r="K848" s="131"/>
      <c r="L848" s="131"/>
      <c r="M848" s="131"/>
      <c r="N848" s="131"/>
      <c r="O848" s="142"/>
      <c r="P848" s="142"/>
      <c r="Q848" s="142"/>
      <c r="R848" s="131"/>
      <c r="S848" s="142"/>
      <c r="T848" s="142"/>
      <c r="U848" s="142"/>
      <c r="V848" s="142"/>
      <c r="W848" s="142"/>
      <c r="X848" s="142"/>
      <c r="Y848" s="142"/>
      <c r="Z848" s="142"/>
      <c r="AA848" s="142"/>
      <c r="AB848" s="142"/>
    </row>
    <row r="849" ht="13.5" customHeight="1">
      <c r="A849" s="142"/>
      <c r="B849" s="142"/>
      <c r="C849" s="142"/>
      <c r="D849" s="142"/>
      <c r="E849" s="131"/>
      <c r="F849" s="131"/>
      <c r="G849" s="131"/>
      <c r="H849" s="131"/>
      <c r="I849" s="131"/>
      <c r="J849" s="131"/>
      <c r="K849" s="131"/>
      <c r="L849" s="131"/>
      <c r="M849" s="131"/>
      <c r="N849" s="131"/>
      <c r="O849" s="142"/>
      <c r="P849" s="142"/>
      <c r="Q849" s="142"/>
      <c r="R849" s="131"/>
      <c r="S849" s="142"/>
      <c r="T849" s="142"/>
      <c r="U849" s="142"/>
      <c r="V849" s="142"/>
      <c r="W849" s="142"/>
      <c r="X849" s="142"/>
      <c r="Y849" s="142"/>
      <c r="Z849" s="142"/>
      <c r="AA849" s="142"/>
      <c r="AB849" s="142"/>
    </row>
    <row r="850" ht="13.5" customHeight="1">
      <c r="A850" s="142"/>
      <c r="B850" s="142"/>
      <c r="C850" s="142"/>
      <c r="D850" s="142"/>
      <c r="E850" s="131"/>
      <c r="F850" s="131"/>
      <c r="G850" s="131"/>
      <c r="H850" s="131"/>
      <c r="I850" s="131"/>
      <c r="J850" s="131"/>
      <c r="K850" s="131"/>
      <c r="L850" s="131"/>
      <c r="M850" s="131"/>
      <c r="N850" s="131"/>
      <c r="O850" s="142"/>
      <c r="P850" s="142"/>
      <c r="Q850" s="142"/>
      <c r="R850" s="131"/>
      <c r="S850" s="142"/>
      <c r="T850" s="142"/>
      <c r="U850" s="142"/>
      <c r="V850" s="142"/>
      <c r="W850" s="142"/>
      <c r="X850" s="142"/>
      <c r="Y850" s="142"/>
      <c r="Z850" s="142"/>
      <c r="AA850" s="142"/>
      <c r="AB850" s="142"/>
    </row>
    <row r="851" ht="13.5" customHeight="1">
      <c r="A851" s="142"/>
      <c r="B851" s="142"/>
      <c r="C851" s="142"/>
      <c r="D851" s="142"/>
      <c r="E851" s="131"/>
      <c r="F851" s="131"/>
      <c r="G851" s="131"/>
      <c r="H851" s="131"/>
      <c r="I851" s="131"/>
      <c r="J851" s="131"/>
      <c r="K851" s="131"/>
      <c r="L851" s="131"/>
      <c r="M851" s="131"/>
      <c r="N851" s="131"/>
      <c r="O851" s="142"/>
      <c r="P851" s="142"/>
      <c r="Q851" s="142"/>
      <c r="R851" s="131"/>
      <c r="S851" s="142"/>
      <c r="T851" s="142"/>
      <c r="U851" s="142"/>
      <c r="V851" s="142"/>
      <c r="W851" s="142"/>
      <c r="X851" s="142"/>
      <c r="Y851" s="142"/>
      <c r="Z851" s="142"/>
      <c r="AA851" s="142"/>
      <c r="AB851" s="142"/>
    </row>
    <row r="852" ht="13.5" customHeight="1">
      <c r="A852" s="142"/>
      <c r="B852" s="142"/>
      <c r="C852" s="142"/>
      <c r="D852" s="142"/>
      <c r="E852" s="131"/>
      <c r="F852" s="131"/>
      <c r="G852" s="131"/>
      <c r="H852" s="131"/>
      <c r="I852" s="131"/>
      <c r="J852" s="131"/>
      <c r="K852" s="131"/>
      <c r="L852" s="131"/>
      <c r="M852" s="131"/>
      <c r="N852" s="131"/>
      <c r="O852" s="142"/>
      <c r="P852" s="142"/>
      <c r="Q852" s="142"/>
      <c r="R852" s="131"/>
      <c r="S852" s="142"/>
      <c r="T852" s="142"/>
      <c r="U852" s="142"/>
      <c r="V852" s="142"/>
      <c r="W852" s="142"/>
      <c r="X852" s="142"/>
      <c r="Y852" s="142"/>
      <c r="Z852" s="142"/>
      <c r="AA852" s="142"/>
      <c r="AB852" s="142"/>
    </row>
    <row r="853" ht="13.5" customHeight="1">
      <c r="A853" s="142"/>
      <c r="B853" s="142"/>
      <c r="C853" s="142"/>
      <c r="D853" s="142"/>
      <c r="E853" s="131"/>
      <c r="F853" s="131"/>
      <c r="G853" s="131"/>
      <c r="H853" s="131"/>
      <c r="I853" s="131"/>
      <c r="J853" s="131"/>
      <c r="K853" s="131"/>
      <c r="L853" s="131"/>
      <c r="M853" s="131"/>
      <c r="N853" s="131"/>
      <c r="O853" s="142"/>
      <c r="P853" s="142"/>
      <c r="Q853" s="142"/>
      <c r="R853" s="131"/>
      <c r="S853" s="142"/>
      <c r="T853" s="142"/>
      <c r="U853" s="142"/>
      <c r="V853" s="142"/>
      <c r="W853" s="142"/>
      <c r="X853" s="142"/>
      <c r="Y853" s="142"/>
      <c r="Z853" s="142"/>
      <c r="AA853" s="142"/>
      <c r="AB853" s="142"/>
    </row>
    <row r="854" ht="13.5" customHeight="1">
      <c r="A854" s="142"/>
      <c r="B854" s="142"/>
      <c r="C854" s="142"/>
      <c r="D854" s="142"/>
      <c r="E854" s="131"/>
      <c r="F854" s="131"/>
      <c r="G854" s="131"/>
      <c r="H854" s="131"/>
      <c r="I854" s="131"/>
      <c r="J854" s="131"/>
      <c r="K854" s="131"/>
      <c r="L854" s="131"/>
      <c r="M854" s="131"/>
      <c r="N854" s="131"/>
      <c r="O854" s="142"/>
      <c r="P854" s="142"/>
      <c r="Q854" s="142"/>
      <c r="R854" s="131"/>
      <c r="S854" s="142"/>
      <c r="T854" s="142"/>
      <c r="U854" s="142"/>
      <c r="V854" s="142"/>
      <c r="W854" s="142"/>
      <c r="X854" s="142"/>
      <c r="Y854" s="142"/>
      <c r="Z854" s="142"/>
      <c r="AA854" s="142"/>
      <c r="AB854" s="142"/>
    </row>
    <row r="855" ht="13.5" customHeight="1">
      <c r="A855" s="142"/>
      <c r="B855" s="142"/>
      <c r="C855" s="142"/>
      <c r="D855" s="142"/>
      <c r="E855" s="131"/>
      <c r="F855" s="131"/>
      <c r="G855" s="131"/>
      <c r="H855" s="131"/>
      <c r="I855" s="131"/>
      <c r="J855" s="131"/>
      <c r="K855" s="131"/>
      <c r="L855" s="131"/>
      <c r="M855" s="131"/>
      <c r="N855" s="131"/>
      <c r="O855" s="142"/>
      <c r="P855" s="142"/>
      <c r="Q855" s="142"/>
      <c r="R855" s="131"/>
      <c r="S855" s="142"/>
      <c r="T855" s="142"/>
      <c r="U855" s="142"/>
      <c r="V855" s="142"/>
      <c r="W855" s="142"/>
      <c r="X855" s="142"/>
      <c r="Y855" s="142"/>
      <c r="Z855" s="142"/>
      <c r="AA855" s="142"/>
      <c r="AB855" s="142"/>
    </row>
    <row r="856" ht="13.5" customHeight="1">
      <c r="A856" s="142"/>
      <c r="B856" s="142"/>
      <c r="C856" s="142"/>
      <c r="D856" s="142"/>
      <c r="E856" s="131"/>
      <c r="F856" s="131"/>
      <c r="G856" s="131"/>
      <c r="H856" s="131"/>
      <c r="I856" s="131"/>
      <c r="J856" s="131"/>
      <c r="K856" s="131"/>
      <c r="L856" s="131"/>
      <c r="M856" s="131"/>
      <c r="N856" s="131"/>
      <c r="O856" s="142"/>
      <c r="P856" s="142"/>
      <c r="Q856" s="142"/>
      <c r="R856" s="131"/>
      <c r="S856" s="142"/>
      <c r="T856" s="142"/>
      <c r="U856" s="142"/>
      <c r="V856" s="142"/>
      <c r="W856" s="142"/>
      <c r="X856" s="142"/>
      <c r="Y856" s="142"/>
      <c r="Z856" s="142"/>
      <c r="AA856" s="142"/>
      <c r="AB856" s="142"/>
    </row>
    <row r="857" ht="13.5" customHeight="1">
      <c r="A857" s="142"/>
      <c r="B857" s="142"/>
      <c r="C857" s="142"/>
      <c r="D857" s="142"/>
      <c r="E857" s="131"/>
      <c r="F857" s="131"/>
      <c r="G857" s="131"/>
      <c r="H857" s="131"/>
      <c r="I857" s="131"/>
      <c r="J857" s="131"/>
      <c r="K857" s="131"/>
      <c r="L857" s="131"/>
      <c r="M857" s="131"/>
      <c r="N857" s="131"/>
      <c r="O857" s="142"/>
      <c r="P857" s="142"/>
      <c r="Q857" s="142"/>
      <c r="R857" s="131"/>
      <c r="S857" s="142"/>
      <c r="T857" s="142"/>
      <c r="U857" s="142"/>
      <c r="V857" s="142"/>
      <c r="W857" s="142"/>
      <c r="X857" s="142"/>
      <c r="Y857" s="142"/>
      <c r="Z857" s="142"/>
      <c r="AA857" s="142"/>
      <c r="AB857" s="142"/>
    </row>
    <row r="858" ht="13.5" customHeight="1">
      <c r="A858" s="142"/>
      <c r="B858" s="142"/>
      <c r="C858" s="142"/>
      <c r="D858" s="142"/>
      <c r="E858" s="131"/>
      <c r="F858" s="131"/>
      <c r="G858" s="131"/>
      <c r="H858" s="131"/>
      <c r="I858" s="131"/>
      <c r="J858" s="131"/>
      <c r="K858" s="131"/>
      <c r="L858" s="131"/>
      <c r="M858" s="131"/>
      <c r="N858" s="131"/>
      <c r="O858" s="142"/>
      <c r="P858" s="142"/>
      <c r="Q858" s="142"/>
      <c r="R858" s="131"/>
      <c r="S858" s="142"/>
      <c r="T858" s="142"/>
      <c r="U858" s="142"/>
      <c r="V858" s="142"/>
      <c r="W858" s="142"/>
      <c r="X858" s="142"/>
      <c r="Y858" s="142"/>
      <c r="Z858" s="142"/>
      <c r="AA858" s="142"/>
      <c r="AB858" s="142"/>
    </row>
    <row r="859" ht="13.5" customHeight="1">
      <c r="A859" s="142"/>
      <c r="B859" s="142"/>
      <c r="C859" s="142"/>
      <c r="D859" s="142"/>
      <c r="E859" s="131"/>
      <c r="F859" s="131"/>
      <c r="G859" s="131"/>
      <c r="H859" s="131"/>
      <c r="I859" s="131"/>
      <c r="J859" s="131"/>
      <c r="K859" s="131"/>
      <c r="L859" s="131"/>
      <c r="M859" s="131"/>
      <c r="N859" s="131"/>
      <c r="O859" s="142"/>
      <c r="P859" s="142"/>
      <c r="Q859" s="142"/>
      <c r="R859" s="131"/>
      <c r="S859" s="142"/>
      <c r="T859" s="142"/>
      <c r="U859" s="142"/>
      <c r="V859" s="142"/>
      <c r="W859" s="142"/>
      <c r="X859" s="142"/>
      <c r="Y859" s="142"/>
      <c r="Z859" s="142"/>
      <c r="AA859" s="142"/>
      <c r="AB859" s="142"/>
    </row>
    <row r="860" ht="13.5" customHeight="1">
      <c r="A860" s="142"/>
      <c r="B860" s="142"/>
      <c r="C860" s="142"/>
      <c r="D860" s="142"/>
      <c r="E860" s="131"/>
      <c r="F860" s="131"/>
      <c r="G860" s="131"/>
      <c r="H860" s="131"/>
      <c r="I860" s="131"/>
      <c r="J860" s="131"/>
      <c r="K860" s="131"/>
      <c r="L860" s="131"/>
      <c r="M860" s="131"/>
      <c r="N860" s="131"/>
      <c r="O860" s="142"/>
      <c r="P860" s="142"/>
      <c r="Q860" s="142"/>
      <c r="R860" s="131"/>
      <c r="S860" s="142"/>
      <c r="T860" s="142"/>
      <c r="U860" s="142"/>
      <c r="V860" s="142"/>
      <c r="W860" s="142"/>
      <c r="X860" s="142"/>
      <c r="Y860" s="142"/>
      <c r="Z860" s="142"/>
      <c r="AA860" s="142"/>
      <c r="AB860" s="142"/>
    </row>
    <row r="861" ht="13.5" customHeight="1">
      <c r="A861" s="142"/>
      <c r="B861" s="142"/>
      <c r="C861" s="142"/>
      <c r="D861" s="142"/>
      <c r="E861" s="131"/>
      <c r="F861" s="131"/>
      <c r="G861" s="131"/>
      <c r="H861" s="131"/>
      <c r="I861" s="131"/>
      <c r="J861" s="131"/>
      <c r="K861" s="131"/>
      <c r="L861" s="131"/>
      <c r="M861" s="131"/>
      <c r="N861" s="131"/>
      <c r="O861" s="142"/>
      <c r="P861" s="142"/>
      <c r="Q861" s="142"/>
      <c r="R861" s="131"/>
      <c r="S861" s="142"/>
      <c r="T861" s="142"/>
      <c r="U861" s="142"/>
      <c r="V861" s="142"/>
      <c r="W861" s="142"/>
      <c r="X861" s="142"/>
      <c r="Y861" s="142"/>
      <c r="Z861" s="142"/>
      <c r="AA861" s="142"/>
      <c r="AB861" s="142"/>
    </row>
    <row r="862" ht="13.5" customHeight="1">
      <c r="A862" s="142"/>
      <c r="B862" s="142"/>
      <c r="C862" s="142"/>
      <c r="D862" s="142"/>
      <c r="E862" s="131"/>
      <c r="F862" s="131"/>
      <c r="G862" s="131"/>
      <c r="H862" s="131"/>
      <c r="I862" s="131"/>
      <c r="J862" s="131"/>
      <c r="K862" s="131"/>
      <c r="L862" s="131"/>
      <c r="M862" s="131"/>
      <c r="N862" s="131"/>
      <c r="O862" s="142"/>
      <c r="P862" s="142"/>
      <c r="Q862" s="142"/>
      <c r="R862" s="131"/>
      <c r="S862" s="142"/>
      <c r="T862" s="142"/>
      <c r="U862" s="142"/>
      <c r="V862" s="142"/>
      <c r="W862" s="142"/>
      <c r="X862" s="142"/>
      <c r="Y862" s="142"/>
      <c r="Z862" s="142"/>
      <c r="AA862" s="142"/>
      <c r="AB862" s="142"/>
    </row>
    <row r="863" ht="13.5" customHeight="1">
      <c r="A863" s="142"/>
      <c r="B863" s="142"/>
      <c r="C863" s="142"/>
      <c r="D863" s="142"/>
      <c r="E863" s="131"/>
      <c r="F863" s="131"/>
      <c r="G863" s="131"/>
      <c r="H863" s="131"/>
      <c r="I863" s="131"/>
      <c r="J863" s="131"/>
      <c r="K863" s="131"/>
      <c r="L863" s="131"/>
      <c r="M863" s="131"/>
      <c r="N863" s="131"/>
      <c r="O863" s="142"/>
      <c r="P863" s="142"/>
      <c r="Q863" s="142"/>
      <c r="R863" s="131"/>
      <c r="S863" s="142"/>
      <c r="T863" s="142"/>
      <c r="U863" s="142"/>
      <c r="V863" s="142"/>
      <c r="W863" s="142"/>
      <c r="X863" s="142"/>
      <c r="Y863" s="142"/>
      <c r="Z863" s="142"/>
      <c r="AA863" s="142"/>
      <c r="AB863" s="142"/>
    </row>
    <row r="864" ht="13.5" customHeight="1">
      <c r="A864" s="142"/>
      <c r="B864" s="142"/>
      <c r="C864" s="142"/>
      <c r="D864" s="142"/>
      <c r="E864" s="131"/>
      <c r="F864" s="131"/>
      <c r="G864" s="131"/>
      <c r="H864" s="131"/>
      <c r="I864" s="131"/>
      <c r="J864" s="131"/>
      <c r="K864" s="131"/>
      <c r="L864" s="131"/>
      <c r="M864" s="131"/>
      <c r="N864" s="131"/>
      <c r="O864" s="142"/>
      <c r="P864" s="142"/>
      <c r="Q864" s="142"/>
      <c r="R864" s="131"/>
      <c r="S864" s="142"/>
      <c r="T864" s="142"/>
      <c r="U864" s="142"/>
      <c r="V864" s="142"/>
      <c r="W864" s="142"/>
      <c r="X864" s="142"/>
      <c r="Y864" s="142"/>
      <c r="Z864" s="142"/>
      <c r="AA864" s="142"/>
      <c r="AB864" s="142"/>
    </row>
    <row r="865" ht="13.5" customHeight="1">
      <c r="A865" s="142"/>
      <c r="B865" s="142"/>
      <c r="C865" s="142"/>
      <c r="D865" s="142"/>
      <c r="E865" s="131"/>
      <c r="F865" s="131"/>
      <c r="G865" s="131"/>
      <c r="H865" s="131"/>
      <c r="I865" s="131"/>
      <c r="J865" s="131"/>
      <c r="K865" s="131"/>
      <c r="L865" s="131"/>
      <c r="M865" s="131"/>
      <c r="N865" s="131"/>
      <c r="O865" s="142"/>
      <c r="P865" s="142"/>
      <c r="Q865" s="142"/>
      <c r="R865" s="131"/>
      <c r="S865" s="142"/>
      <c r="T865" s="142"/>
      <c r="U865" s="142"/>
      <c r="V865" s="142"/>
      <c r="W865" s="142"/>
      <c r="X865" s="142"/>
      <c r="Y865" s="142"/>
      <c r="Z865" s="142"/>
      <c r="AA865" s="142"/>
      <c r="AB865" s="142"/>
    </row>
    <row r="866" ht="13.5" customHeight="1">
      <c r="A866" s="142"/>
      <c r="B866" s="142"/>
      <c r="C866" s="142"/>
      <c r="D866" s="142"/>
      <c r="E866" s="131"/>
      <c r="F866" s="131"/>
      <c r="G866" s="131"/>
      <c r="H866" s="131"/>
      <c r="I866" s="131"/>
      <c r="J866" s="131"/>
      <c r="K866" s="131"/>
      <c r="L866" s="131"/>
      <c r="M866" s="131"/>
      <c r="N866" s="131"/>
      <c r="O866" s="142"/>
      <c r="P866" s="142"/>
      <c r="Q866" s="142"/>
      <c r="R866" s="131"/>
      <c r="S866" s="142"/>
      <c r="T866" s="142"/>
      <c r="U866" s="142"/>
      <c r="V866" s="142"/>
      <c r="W866" s="142"/>
      <c r="X866" s="142"/>
      <c r="Y866" s="142"/>
      <c r="Z866" s="142"/>
      <c r="AA866" s="142"/>
      <c r="AB866" s="142"/>
    </row>
    <row r="867" ht="13.5" customHeight="1">
      <c r="A867" s="142"/>
      <c r="B867" s="142"/>
      <c r="C867" s="142"/>
      <c r="D867" s="142"/>
      <c r="E867" s="131"/>
      <c r="F867" s="131"/>
      <c r="G867" s="131"/>
      <c r="H867" s="131"/>
      <c r="I867" s="131"/>
      <c r="J867" s="131"/>
      <c r="K867" s="131"/>
      <c r="L867" s="131"/>
      <c r="M867" s="131"/>
      <c r="N867" s="131"/>
      <c r="O867" s="142"/>
      <c r="P867" s="142"/>
      <c r="Q867" s="142"/>
      <c r="R867" s="131"/>
      <c r="S867" s="142"/>
      <c r="T867" s="142"/>
      <c r="U867" s="142"/>
      <c r="V867" s="142"/>
      <c r="W867" s="142"/>
      <c r="X867" s="142"/>
      <c r="Y867" s="142"/>
      <c r="Z867" s="142"/>
      <c r="AA867" s="142"/>
      <c r="AB867" s="142"/>
    </row>
    <row r="868" ht="13.5" customHeight="1">
      <c r="A868" s="142"/>
      <c r="B868" s="142"/>
      <c r="C868" s="142"/>
      <c r="D868" s="142"/>
      <c r="E868" s="131"/>
      <c r="F868" s="131"/>
      <c r="G868" s="131"/>
      <c r="H868" s="131"/>
      <c r="I868" s="131"/>
      <c r="J868" s="131"/>
      <c r="K868" s="131"/>
      <c r="L868" s="131"/>
      <c r="M868" s="131"/>
      <c r="N868" s="131"/>
      <c r="O868" s="142"/>
      <c r="P868" s="142"/>
      <c r="Q868" s="142"/>
      <c r="R868" s="131"/>
      <c r="S868" s="142"/>
      <c r="T868" s="142"/>
      <c r="U868" s="142"/>
      <c r="V868" s="142"/>
      <c r="W868" s="142"/>
      <c r="X868" s="142"/>
      <c r="Y868" s="142"/>
      <c r="Z868" s="142"/>
      <c r="AA868" s="142"/>
      <c r="AB868" s="142"/>
    </row>
    <row r="869" ht="13.5" customHeight="1">
      <c r="A869" s="142"/>
      <c r="B869" s="142"/>
      <c r="C869" s="142"/>
      <c r="D869" s="142"/>
      <c r="E869" s="131"/>
      <c r="F869" s="131"/>
      <c r="G869" s="131"/>
      <c r="H869" s="131"/>
      <c r="I869" s="131"/>
      <c r="J869" s="131"/>
      <c r="K869" s="131"/>
      <c r="L869" s="131"/>
      <c r="M869" s="131"/>
      <c r="N869" s="131"/>
      <c r="O869" s="142"/>
      <c r="P869" s="142"/>
      <c r="Q869" s="142"/>
      <c r="R869" s="131"/>
      <c r="S869" s="142"/>
      <c r="T869" s="142"/>
      <c r="U869" s="142"/>
      <c r="V869" s="142"/>
      <c r="W869" s="142"/>
      <c r="X869" s="142"/>
      <c r="Y869" s="142"/>
      <c r="Z869" s="142"/>
      <c r="AA869" s="142"/>
      <c r="AB869" s="142"/>
    </row>
    <row r="870" ht="13.5" customHeight="1">
      <c r="A870" s="142"/>
      <c r="B870" s="142"/>
      <c r="C870" s="142"/>
      <c r="D870" s="142"/>
      <c r="E870" s="131"/>
      <c r="F870" s="131"/>
      <c r="G870" s="131"/>
      <c r="H870" s="131"/>
      <c r="I870" s="131"/>
      <c r="J870" s="131"/>
      <c r="K870" s="131"/>
      <c r="L870" s="131"/>
      <c r="M870" s="131"/>
      <c r="N870" s="131"/>
      <c r="O870" s="142"/>
      <c r="P870" s="142"/>
      <c r="Q870" s="142"/>
      <c r="R870" s="131"/>
      <c r="S870" s="142"/>
      <c r="T870" s="142"/>
      <c r="U870" s="142"/>
      <c r="V870" s="142"/>
      <c r="W870" s="142"/>
      <c r="X870" s="142"/>
      <c r="Y870" s="142"/>
      <c r="Z870" s="142"/>
      <c r="AA870" s="142"/>
      <c r="AB870" s="142"/>
    </row>
    <row r="871" ht="13.5" customHeight="1">
      <c r="A871" s="142"/>
      <c r="B871" s="142"/>
      <c r="C871" s="142"/>
      <c r="D871" s="142"/>
      <c r="E871" s="131"/>
      <c r="F871" s="131"/>
      <c r="G871" s="131"/>
      <c r="H871" s="131"/>
      <c r="I871" s="131"/>
      <c r="J871" s="131"/>
      <c r="K871" s="131"/>
      <c r="L871" s="131"/>
      <c r="M871" s="131"/>
      <c r="N871" s="131"/>
      <c r="O871" s="142"/>
      <c r="P871" s="142"/>
      <c r="Q871" s="142"/>
      <c r="R871" s="131"/>
      <c r="S871" s="142"/>
      <c r="T871" s="142"/>
      <c r="U871" s="142"/>
      <c r="V871" s="142"/>
      <c r="W871" s="142"/>
      <c r="X871" s="142"/>
      <c r="Y871" s="142"/>
      <c r="Z871" s="142"/>
      <c r="AA871" s="142"/>
      <c r="AB871" s="142"/>
    </row>
    <row r="872" ht="13.5" customHeight="1">
      <c r="A872" s="142"/>
      <c r="B872" s="142"/>
      <c r="C872" s="142"/>
      <c r="D872" s="142"/>
      <c r="E872" s="131"/>
      <c r="F872" s="131"/>
      <c r="G872" s="131"/>
      <c r="H872" s="131"/>
      <c r="I872" s="131"/>
      <c r="J872" s="131"/>
      <c r="K872" s="131"/>
      <c r="L872" s="131"/>
      <c r="M872" s="131"/>
      <c r="N872" s="131"/>
      <c r="O872" s="142"/>
      <c r="P872" s="142"/>
      <c r="Q872" s="142"/>
      <c r="R872" s="131"/>
      <c r="S872" s="142"/>
      <c r="T872" s="142"/>
      <c r="U872" s="142"/>
      <c r="V872" s="142"/>
      <c r="W872" s="142"/>
      <c r="X872" s="142"/>
      <c r="Y872" s="142"/>
      <c r="Z872" s="142"/>
      <c r="AA872" s="142"/>
      <c r="AB872" s="142"/>
    </row>
    <row r="873" ht="13.5" customHeight="1">
      <c r="A873" s="142"/>
      <c r="B873" s="142"/>
      <c r="C873" s="142"/>
      <c r="D873" s="142"/>
      <c r="E873" s="131"/>
      <c r="F873" s="131"/>
      <c r="G873" s="131"/>
      <c r="H873" s="131"/>
      <c r="I873" s="131"/>
      <c r="J873" s="131"/>
      <c r="K873" s="131"/>
      <c r="L873" s="131"/>
      <c r="M873" s="131"/>
      <c r="N873" s="131"/>
      <c r="O873" s="142"/>
      <c r="P873" s="142"/>
      <c r="Q873" s="142"/>
      <c r="R873" s="131"/>
      <c r="S873" s="142"/>
      <c r="T873" s="142"/>
      <c r="U873" s="142"/>
      <c r="V873" s="142"/>
      <c r="W873" s="142"/>
      <c r="X873" s="142"/>
      <c r="Y873" s="142"/>
      <c r="Z873" s="142"/>
      <c r="AA873" s="142"/>
      <c r="AB873" s="142"/>
    </row>
    <row r="874" ht="13.5" customHeight="1">
      <c r="A874" s="142"/>
      <c r="B874" s="142"/>
      <c r="C874" s="142"/>
      <c r="D874" s="142"/>
      <c r="E874" s="131"/>
      <c r="F874" s="131"/>
      <c r="G874" s="131"/>
      <c r="H874" s="131"/>
      <c r="I874" s="131"/>
      <c r="J874" s="131"/>
      <c r="K874" s="131"/>
      <c r="L874" s="131"/>
      <c r="M874" s="131"/>
      <c r="N874" s="131"/>
      <c r="O874" s="142"/>
      <c r="P874" s="142"/>
      <c r="Q874" s="142"/>
      <c r="R874" s="131"/>
      <c r="S874" s="142"/>
      <c r="T874" s="142"/>
      <c r="U874" s="142"/>
      <c r="V874" s="142"/>
      <c r="W874" s="142"/>
      <c r="X874" s="142"/>
      <c r="Y874" s="142"/>
      <c r="Z874" s="142"/>
      <c r="AA874" s="142"/>
      <c r="AB874" s="142"/>
    </row>
    <row r="875" ht="13.5" customHeight="1">
      <c r="A875" s="142"/>
      <c r="B875" s="142"/>
      <c r="C875" s="142"/>
      <c r="D875" s="142"/>
      <c r="E875" s="131"/>
      <c r="F875" s="131"/>
      <c r="G875" s="131"/>
      <c r="H875" s="131"/>
      <c r="I875" s="131"/>
      <c r="J875" s="131"/>
      <c r="K875" s="131"/>
      <c r="L875" s="131"/>
      <c r="M875" s="131"/>
      <c r="N875" s="131"/>
      <c r="O875" s="142"/>
      <c r="P875" s="142"/>
      <c r="Q875" s="142"/>
      <c r="R875" s="131"/>
      <c r="S875" s="142"/>
      <c r="T875" s="142"/>
      <c r="U875" s="142"/>
      <c r="V875" s="142"/>
      <c r="W875" s="142"/>
      <c r="X875" s="142"/>
      <c r="Y875" s="142"/>
      <c r="Z875" s="142"/>
      <c r="AA875" s="142"/>
      <c r="AB875" s="142"/>
    </row>
    <row r="876" ht="13.5" customHeight="1">
      <c r="A876" s="142"/>
      <c r="B876" s="142"/>
      <c r="C876" s="142"/>
      <c r="D876" s="142"/>
      <c r="E876" s="131"/>
      <c r="F876" s="131"/>
      <c r="G876" s="131"/>
      <c r="H876" s="131"/>
      <c r="I876" s="131"/>
      <c r="J876" s="131"/>
      <c r="K876" s="131"/>
      <c r="L876" s="131"/>
      <c r="M876" s="131"/>
      <c r="N876" s="131"/>
      <c r="O876" s="142"/>
      <c r="P876" s="142"/>
      <c r="Q876" s="142"/>
      <c r="R876" s="131"/>
      <c r="S876" s="142"/>
      <c r="T876" s="142"/>
      <c r="U876" s="142"/>
      <c r="V876" s="142"/>
      <c r="W876" s="142"/>
      <c r="X876" s="142"/>
      <c r="Y876" s="142"/>
      <c r="Z876" s="142"/>
      <c r="AA876" s="142"/>
      <c r="AB876" s="142"/>
    </row>
    <row r="877" ht="13.5" customHeight="1">
      <c r="A877" s="142"/>
      <c r="B877" s="142"/>
      <c r="C877" s="142"/>
      <c r="D877" s="142"/>
      <c r="E877" s="131"/>
      <c r="F877" s="131"/>
      <c r="G877" s="131"/>
      <c r="H877" s="131"/>
      <c r="I877" s="131"/>
      <c r="J877" s="131"/>
      <c r="K877" s="131"/>
      <c r="L877" s="131"/>
      <c r="M877" s="131"/>
      <c r="N877" s="131"/>
      <c r="O877" s="142"/>
      <c r="P877" s="142"/>
      <c r="Q877" s="142"/>
      <c r="R877" s="131"/>
      <c r="S877" s="142"/>
      <c r="T877" s="142"/>
      <c r="U877" s="142"/>
      <c r="V877" s="142"/>
      <c r="W877" s="142"/>
      <c r="X877" s="142"/>
      <c r="Y877" s="142"/>
      <c r="Z877" s="142"/>
      <c r="AA877" s="142"/>
      <c r="AB877" s="142"/>
    </row>
    <row r="878" ht="13.5" customHeight="1">
      <c r="A878" s="142"/>
      <c r="B878" s="142"/>
      <c r="C878" s="142"/>
      <c r="D878" s="142"/>
      <c r="E878" s="131"/>
      <c r="F878" s="131"/>
      <c r="G878" s="131"/>
      <c r="H878" s="131"/>
      <c r="I878" s="131"/>
      <c r="J878" s="131"/>
      <c r="K878" s="131"/>
      <c r="L878" s="131"/>
      <c r="M878" s="131"/>
      <c r="N878" s="131"/>
      <c r="O878" s="142"/>
      <c r="P878" s="142"/>
      <c r="Q878" s="142"/>
      <c r="R878" s="131"/>
      <c r="S878" s="142"/>
      <c r="T878" s="142"/>
      <c r="U878" s="142"/>
      <c r="V878" s="142"/>
      <c r="W878" s="142"/>
      <c r="X878" s="142"/>
      <c r="Y878" s="142"/>
      <c r="Z878" s="142"/>
      <c r="AA878" s="142"/>
      <c r="AB878" s="142"/>
    </row>
    <row r="879" ht="13.5" customHeight="1">
      <c r="A879" s="142"/>
      <c r="B879" s="142"/>
      <c r="C879" s="142"/>
      <c r="D879" s="142"/>
      <c r="E879" s="131"/>
      <c r="F879" s="131"/>
      <c r="G879" s="131"/>
      <c r="H879" s="131"/>
      <c r="I879" s="131"/>
      <c r="J879" s="131"/>
      <c r="K879" s="131"/>
      <c r="L879" s="131"/>
      <c r="M879" s="131"/>
      <c r="N879" s="131"/>
      <c r="O879" s="142"/>
      <c r="P879" s="142"/>
      <c r="Q879" s="142"/>
      <c r="R879" s="131"/>
      <c r="S879" s="142"/>
      <c r="T879" s="142"/>
      <c r="U879" s="142"/>
      <c r="V879" s="142"/>
      <c r="W879" s="142"/>
      <c r="X879" s="142"/>
      <c r="Y879" s="142"/>
      <c r="Z879" s="142"/>
      <c r="AA879" s="142"/>
      <c r="AB879" s="142"/>
    </row>
    <row r="880" ht="13.5" customHeight="1">
      <c r="A880" s="142"/>
      <c r="B880" s="142"/>
      <c r="C880" s="142"/>
      <c r="D880" s="142"/>
      <c r="E880" s="131"/>
      <c r="F880" s="131"/>
      <c r="G880" s="131"/>
      <c r="H880" s="131"/>
      <c r="I880" s="131"/>
      <c r="J880" s="131"/>
      <c r="K880" s="131"/>
      <c r="L880" s="131"/>
      <c r="M880" s="131"/>
      <c r="N880" s="131"/>
      <c r="O880" s="142"/>
      <c r="P880" s="142"/>
      <c r="Q880" s="142"/>
      <c r="R880" s="131"/>
      <c r="S880" s="142"/>
      <c r="T880" s="142"/>
      <c r="U880" s="142"/>
      <c r="V880" s="142"/>
      <c r="W880" s="142"/>
      <c r="X880" s="142"/>
      <c r="Y880" s="142"/>
      <c r="Z880" s="142"/>
      <c r="AA880" s="142"/>
      <c r="AB880" s="142"/>
    </row>
    <row r="881" ht="13.5" customHeight="1">
      <c r="A881" s="142"/>
      <c r="B881" s="142"/>
      <c r="C881" s="142"/>
      <c r="D881" s="142"/>
      <c r="E881" s="131"/>
      <c r="F881" s="131"/>
      <c r="G881" s="131"/>
      <c r="H881" s="131"/>
      <c r="I881" s="131"/>
      <c r="J881" s="131"/>
      <c r="K881" s="131"/>
      <c r="L881" s="131"/>
      <c r="M881" s="131"/>
      <c r="N881" s="131"/>
      <c r="O881" s="142"/>
      <c r="P881" s="142"/>
      <c r="Q881" s="142"/>
      <c r="R881" s="131"/>
      <c r="S881" s="142"/>
      <c r="T881" s="142"/>
      <c r="U881" s="142"/>
      <c r="V881" s="142"/>
      <c r="W881" s="142"/>
      <c r="X881" s="142"/>
      <c r="Y881" s="142"/>
      <c r="Z881" s="142"/>
      <c r="AA881" s="142"/>
      <c r="AB881" s="142"/>
    </row>
    <row r="882" ht="13.5" customHeight="1">
      <c r="A882" s="142"/>
      <c r="B882" s="142"/>
      <c r="C882" s="142"/>
      <c r="D882" s="142"/>
      <c r="E882" s="131"/>
      <c r="F882" s="131"/>
      <c r="G882" s="131"/>
      <c r="H882" s="131"/>
      <c r="I882" s="131"/>
      <c r="J882" s="131"/>
      <c r="K882" s="131"/>
      <c r="L882" s="131"/>
      <c r="M882" s="131"/>
      <c r="N882" s="131"/>
      <c r="O882" s="142"/>
      <c r="P882" s="142"/>
      <c r="Q882" s="142"/>
      <c r="R882" s="131"/>
      <c r="S882" s="142"/>
      <c r="T882" s="142"/>
      <c r="U882" s="142"/>
      <c r="V882" s="142"/>
      <c r="W882" s="142"/>
      <c r="X882" s="142"/>
      <c r="Y882" s="142"/>
      <c r="Z882" s="142"/>
      <c r="AA882" s="142"/>
      <c r="AB882" s="142"/>
    </row>
    <row r="883" ht="13.5" customHeight="1">
      <c r="A883" s="142"/>
      <c r="B883" s="142"/>
      <c r="C883" s="142"/>
      <c r="D883" s="142"/>
      <c r="E883" s="131"/>
      <c r="F883" s="131"/>
      <c r="G883" s="131"/>
      <c r="H883" s="131"/>
      <c r="I883" s="131"/>
      <c r="J883" s="131"/>
      <c r="K883" s="131"/>
      <c r="L883" s="131"/>
      <c r="M883" s="131"/>
      <c r="N883" s="131"/>
      <c r="O883" s="142"/>
      <c r="P883" s="142"/>
      <c r="Q883" s="142"/>
      <c r="R883" s="131"/>
      <c r="S883" s="142"/>
      <c r="T883" s="142"/>
      <c r="U883" s="142"/>
      <c r="V883" s="142"/>
      <c r="W883" s="142"/>
      <c r="X883" s="142"/>
      <c r="Y883" s="142"/>
      <c r="Z883" s="142"/>
      <c r="AA883" s="142"/>
      <c r="AB883" s="142"/>
    </row>
    <row r="884" ht="13.5" customHeight="1">
      <c r="A884" s="142"/>
      <c r="B884" s="142"/>
      <c r="C884" s="142"/>
      <c r="D884" s="142"/>
      <c r="E884" s="131"/>
      <c r="F884" s="131"/>
      <c r="G884" s="131"/>
      <c r="H884" s="131"/>
      <c r="I884" s="131"/>
      <c r="J884" s="131"/>
      <c r="K884" s="131"/>
      <c r="L884" s="131"/>
      <c r="M884" s="131"/>
      <c r="N884" s="131"/>
      <c r="O884" s="142"/>
      <c r="P884" s="142"/>
      <c r="Q884" s="142"/>
      <c r="R884" s="131"/>
      <c r="S884" s="142"/>
      <c r="T884" s="142"/>
      <c r="U884" s="142"/>
      <c r="V884" s="142"/>
      <c r="W884" s="142"/>
      <c r="X884" s="142"/>
      <c r="Y884" s="142"/>
      <c r="Z884" s="142"/>
      <c r="AA884" s="142"/>
      <c r="AB884" s="142"/>
    </row>
    <row r="885" ht="13.5" customHeight="1">
      <c r="A885" s="142"/>
      <c r="B885" s="142"/>
      <c r="C885" s="142"/>
      <c r="D885" s="142"/>
      <c r="E885" s="131"/>
      <c r="F885" s="131"/>
      <c r="G885" s="131"/>
      <c r="H885" s="131"/>
      <c r="I885" s="131"/>
      <c r="J885" s="131"/>
      <c r="K885" s="131"/>
      <c r="L885" s="131"/>
      <c r="M885" s="131"/>
      <c r="N885" s="131"/>
      <c r="O885" s="142"/>
      <c r="P885" s="142"/>
      <c r="Q885" s="142"/>
      <c r="R885" s="131"/>
      <c r="S885" s="142"/>
      <c r="T885" s="142"/>
      <c r="U885" s="142"/>
      <c r="V885" s="142"/>
      <c r="W885" s="142"/>
      <c r="X885" s="142"/>
      <c r="Y885" s="142"/>
      <c r="Z885" s="142"/>
      <c r="AA885" s="142"/>
      <c r="AB885" s="142"/>
    </row>
    <row r="886" ht="13.5" customHeight="1">
      <c r="A886" s="142"/>
      <c r="B886" s="142"/>
      <c r="C886" s="142"/>
      <c r="D886" s="142"/>
      <c r="E886" s="131"/>
      <c r="F886" s="131"/>
      <c r="G886" s="131"/>
      <c r="H886" s="131"/>
      <c r="I886" s="131"/>
      <c r="J886" s="131"/>
      <c r="K886" s="131"/>
      <c r="L886" s="131"/>
      <c r="M886" s="131"/>
      <c r="N886" s="131"/>
      <c r="O886" s="142"/>
      <c r="P886" s="142"/>
      <c r="Q886" s="142"/>
      <c r="R886" s="131"/>
      <c r="S886" s="142"/>
      <c r="T886" s="142"/>
      <c r="U886" s="142"/>
      <c r="V886" s="142"/>
      <c r="W886" s="142"/>
      <c r="X886" s="142"/>
      <c r="Y886" s="142"/>
      <c r="Z886" s="142"/>
      <c r="AA886" s="142"/>
      <c r="AB886" s="142"/>
    </row>
    <row r="887" ht="13.5" customHeight="1">
      <c r="A887" s="142"/>
      <c r="B887" s="142"/>
      <c r="C887" s="142"/>
      <c r="D887" s="142"/>
      <c r="E887" s="131"/>
      <c r="F887" s="131"/>
      <c r="G887" s="131"/>
      <c r="H887" s="131"/>
      <c r="I887" s="131"/>
      <c r="J887" s="131"/>
      <c r="K887" s="131"/>
      <c r="L887" s="131"/>
      <c r="M887" s="131"/>
      <c r="N887" s="131"/>
      <c r="O887" s="142"/>
      <c r="P887" s="142"/>
      <c r="Q887" s="142"/>
      <c r="R887" s="131"/>
      <c r="S887" s="142"/>
      <c r="T887" s="142"/>
      <c r="U887" s="142"/>
      <c r="V887" s="142"/>
      <c r="W887" s="142"/>
      <c r="X887" s="142"/>
      <c r="Y887" s="142"/>
      <c r="Z887" s="142"/>
      <c r="AA887" s="142"/>
      <c r="AB887" s="142"/>
    </row>
    <row r="888" ht="13.5" customHeight="1">
      <c r="A888" s="142"/>
      <c r="B888" s="142"/>
      <c r="C888" s="142"/>
      <c r="D888" s="142"/>
      <c r="E888" s="131"/>
      <c r="F888" s="131"/>
      <c r="G888" s="131"/>
      <c r="H888" s="131"/>
      <c r="I888" s="131"/>
      <c r="J888" s="131"/>
      <c r="K888" s="131"/>
      <c r="L888" s="131"/>
      <c r="M888" s="131"/>
      <c r="N888" s="131"/>
      <c r="O888" s="142"/>
      <c r="P888" s="142"/>
      <c r="Q888" s="142"/>
      <c r="R888" s="131"/>
      <c r="S888" s="142"/>
      <c r="T888" s="142"/>
      <c r="U888" s="142"/>
      <c r="V888" s="142"/>
      <c r="W888" s="142"/>
      <c r="X888" s="142"/>
      <c r="Y888" s="142"/>
      <c r="Z888" s="142"/>
      <c r="AA888" s="142"/>
      <c r="AB888" s="142"/>
    </row>
    <row r="889" ht="13.5" customHeight="1">
      <c r="A889" s="142"/>
      <c r="B889" s="142"/>
      <c r="C889" s="142"/>
      <c r="D889" s="142"/>
      <c r="E889" s="131"/>
      <c r="F889" s="131"/>
      <c r="G889" s="131"/>
      <c r="H889" s="131"/>
      <c r="I889" s="131"/>
      <c r="J889" s="131"/>
      <c r="K889" s="131"/>
      <c r="L889" s="131"/>
      <c r="M889" s="131"/>
      <c r="N889" s="131"/>
      <c r="O889" s="142"/>
      <c r="P889" s="142"/>
      <c r="Q889" s="142"/>
      <c r="R889" s="131"/>
      <c r="S889" s="142"/>
      <c r="T889" s="142"/>
      <c r="U889" s="142"/>
      <c r="V889" s="142"/>
      <c r="W889" s="142"/>
      <c r="X889" s="142"/>
      <c r="Y889" s="142"/>
      <c r="Z889" s="142"/>
      <c r="AA889" s="142"/>
      <c r="AB889" s="142"/>
    </row>
    <row r="890" ht="13.5" customHeight="1">
      <c r="A890" s="142"/>
      <c r="B890" s="142"/>
      <c r="C890" s="142"/>
      <c r="D890" s="142"/>
      <c r="E890" s="131"/>
      <c r="F890" s="131"/>
      <c r="G890" s="131"/>
      <c r="H890" s="131"/>
      <c r="I890" s="131"/>
      <c r="J890" s="131"/>
      <c r="K890" s="131"/>
      <c r="L890" s="131"/>
      <c r="M890" s="131"/>
      <c r="N890" s="131"/>
      <c r="O890" s="142"/>
      <c r="P890" s="142"/>
      <c r="Q890" s="142"/>
      <c r="R890" s="131"/>
      <c r="S890" s="142"/>
      <c r="T890" s="142"/>
      <c r="U890" s="142"/>
      <c r="V890" s="142"/>
      <c r="W890" s="142"/>
      <c r="X890" s="142"/>
      <c r="Y890" s="142"/>
      <c r="Z890" s="142"/>
      <c r="AA890" s="142"/>
      <c r="AB890" s="142"/>
    </row>
    <row r="891" ht="13.5" customHeight="1">
      <c r="A891" s="142"/>
      <c r="B891" s="142"/>
      <c r="C891" s="142"/>
      <c r="D891" s="142"/>
      <c r="E891" s="131"/>
      <c r="F891" s="131"/>
      <c r="G891" s="131"/>
      <c r="H891" s="131"/>
      <c r="I891" s="131"/>
      <c r="J891" s="131"/>
      <c r="K891" s="131"/>
      <c r="L891" s="131"/>
      <c r="M891" s="131"/>
      <c r="N891" s="131"/>
      <c r="O891" s="142"/>
      <c r="P891" s="142"/>
      <c r="Q891" s="142"/>
      <c r="R891" s="131"/>
      <c r="S891" s="142"/>
      <c r="T891" s="142"/>
      <c r="U891" s="142"/>
      <c r="V891" s="142"/>
      <c r="W891" s="142"/>
      <c r="X891" s="142"/>
      <c r="Y891" s="142"/>
      <c r="Z891" s="142"/>
      <c r="AA891" s="142"/>
      <c r="AB891" s="142"/>
    </row>
    <row r="892" ht="13.5" customHeight="1">
      <c r="A892" s="142"/>
      <c r="B892" s="142"/>
      <c r="C892" s="142"/>
      <c r="D892" s="142"/>
      <c r="E892" s="131"/>
      <c r="F892" s="131"/>
      <c r="G892" s="131"/>
      <c r="H892" s="131"/>
      <c r="I892" s="131"/>
      <c r="J892" s="131"/>
      <c r="K892" s="131"/>
      <c r="L892" s="131"/>
      <c r="M892" s="131"/>
      <c r="N892" s="131"/>
      <c r="O892" s="142"/>
      <c r="P892" s="142"/>
      <c r="Q892" s="142"/>
      <c r="R892" s="131"/>
      <c r="S892" s="142"/>
      <c r="T892" s="142"/>
      <c r="U892" s="142"/>
      <c r="V892" s="142"/>
      <c r="W892" s="142"/>
      <c r="X892" s="142"/>
      <c r="Y892" s="142"/>
      <c r="Z892" s="142"/>
      <c r="AA892" s="142"/>
      <c r="AB892" s="142"/>
    </row>
    <row r="893" ht="13.5" customHeight="1">
      <c r="A893" s="142"/>
      <c r="B893" s="142"/>
      <c r="C893" s="142"/>
      <c r="D893" s="142"/>
      <c r="E893" s="131"/>
      <c r="F893" s="131"/>
      <c r="G893" s="131"/>
      <c r="H893" s="131"/>
      <c r="I893" s="131"/>
      <c r="J893" s="131"/>
      <c r="K893" s="131"/>
      <c r="L893" s="131"/>
      <c r="M893" s="131"/>
      <c r="N893" s="131"/>
      <c r="O893" s="142"/>
      <c r="P893" s="142"/>
      <c r="Q893" s="142"/>
      <c r="R893" s="131"/>
      <c r="S893" s="142"/>
      <c r="T893" s="142"/>
      <c r="U893" s="142"/>
      <c r="V893" s="142"/>
      <c r="W893" s="142"/>
      <c r="X893" s="142"/>
      <c r="Y893" s="142"/>
      <c r="Z893" s="142"/>
      <c r="AA893" s="142"/>
      <c r="AB893" s="142"/>
    </row>
    <row r="894" ht="13.5" customHeight="1">
      <c r="A894" s="142"/>
      <c r="B894" s="142"/>
      <c r="C894" s="142"/>
      <c r="D894" s="142"/>
      <c r="E894" s="131"/>
      <c r="F894" s="131"/>
      <c r="G894" s="131"/>
      <c r="H894" s="131"/>
      <c r="I894" s="131"/>
      <c r="J894" s="131"/>
      <c r="K894" s="131"/>
      <c r="L894" s="131"/>
      <c r="M894" s="131"/>
      <c r="N894" s="131"/>
      <c r="O894" s="142"/>
      <c r="P894" s="142"/>
      <c r="Q894" s="142"/>
      <c r="R894" s="131"/>
      <c r="S894" s="142"/>
      <c r="T894" s="142"/>
      <c r="U894" s="142"/>
      <c r="V894" s="142"/>
      <c r="W894" s="142"/>
      <c r="X894" s="142"/>
      <c r="Y894" s="142"/>
      <c r="Z894" s="142"/>
      <c r="AA894" s="142"/>
      <c r="AB894" s="142"/>
    </row>
    <row r="895" ht="13.5" customHeight="1">
      <c r="A895" s="142"/>
      <c r="B895" s="142"/>
      <c r="C895" s="142"/>
      <c r="D895" s="142"/>
      <c r="E895" s="131"/>
      <c r="F895" s="131"/>
      <c r="G895" s="131"/>
      <c r="H895" s="131"/>
      <c r="I895" s="131"/>
      <c r="J895" s="131"/>
      <c r="K895" s="131"/>
      <c r="L895" s="131"/>
      <c r="M895" s="131"/>
      <c r="N895" s="131"/>
      <c r="O895" s="142"/>
      <c r="P895" s="142"/>
      <c r="Q895" s="142"/>
      <c r="R895" s="131"/>
      <c r="S895" s="142"/>
      <c r="T895" s="142"/>
      <c r="U895" s="142"/>
      <c r="V895" s="142"/>
      <c r="W895" s="142"/>
      <c r="X895" s="142"/>
      <c r="Y895" s="142"/>
      <c r="Z895" s="142"/>
      <c r="AA895" s="142"/>
      <c r="AB895" s="142"/>
    </row>
    <row r="896" ht="13.5" customHeight="1">
      <c r="A896" s="142"/>
      <c r="B896" s="142"/>
      <c r="C896" s="142"/>
      <c r="D896" s="142"/>
      <c r="E896" s="131"/>
      <c r="F896" s="131"/>
      <c r="G896" s="131"/>
      <c r="H896" s="131"/>
      <c r="I896" s="131"/>
      <c r="J896" s="131"/>
      <c r="K896" s="131"/>
      <c r="L896" s="131"/>
      <c r="M896" s="131"/>
      <c r="N896" s="131"/>
      <c r="O896" s="142"/>
      <c r="P896" s="142"/>
      <c r="Q896" s="142"/>
      <c r="R896" s="131"/>
      <c r="S896" s="142"/>
      <c r="T896" s="142"/>
      <c r="U896" s="142"/>
      <c r="V896" s="142"/>
      <c r="W896" s="142"/>
      <c r="X896" s="142"/>
      <c r="Y896" s="142"/>
      <c r="Z896" s="142"/>
      <c r="AA896" s="142"/>
      <c r="AB896" s="142"/>
    </row>
    <row r="897" ht="13.5" customHeight="1">
      <c r="A897" s="142"/>
      <c r="B897" s="142"/>
      <c r="C897" s="142"/>
      <c r="D897" s="142"/>
      <c r="E897" s="131"/>
      <c r="F897" s="131"/>
      <c r="G897" s="131"/>
      <c r="H897" s="131"/>
      <c r="I897" s="131"/>
      <c r="J897" s="131"/>
      <c r="K897" s="131"/>
      <c r="L897" s="131"/>
      <c r="M897" s="131"/>
      <c r="N897" s="131"/>
      <c r="O897" s="142"/>
      <c r="P897" s="142"/>
      <c r="Q897" s="142"/>
      <c r="R897" s="131"/>
      <c r="S897" s="142"/>
      <c r="T897" s="142"/>
      <c r="U897" s="142"/>
      <c r="V897" s="142"/>
      <c r="W897" s="142"/>
      <c r="X897" s="142"/>
      <c r="Y897" s="142"/>
      <c r="Z897" s="142"/>
      <c r="AA897" s="142"/>
      <c r="AB897" s="142"/>
    </row>
    <row r="898" ht="13.5" customHeight="1">
      <c r="A898" s="142"/>
      <c r="B898" s="142"/>
      <c r="C898" s="142"/>
      <c r="D898" s="142"/>
      <c r="E898" s="131"/>
      <c r="F898" s="131"/>
      <c r="G898" s="131"/>
      <c r="H898" s="131"/>
      <c r="I898" s="131"/>
      <c r="J898" s="131"/>
      <c r="K898" s="131"/>
      <c r="L898" s="131"/>
      <c r="M898" s="131"/>
      <c r="N898" s="131"/>
      <c r="O898" s="142"/>
      <c r="P898" s="142"/>
      <c r="Q898" s="142"/>
      <c r="R898" s="131"/>
      <c r="S898" s="142"/>
      <c r="T898" s="142"/>
      <c r="U898" s="142"/>
      <c r="V898" s="142"/>
      <c r="W898" s="142"/>
      <c r="X898" s="142"/>
      <c r="Y898" s="142"/>
      <c r="Z898" s="142"/>
      <c r="AA898" s="142"/>
      <c r="AB898" s="142"/>
    </row>
    <row r="899" ht="13.5" customHeight="1">
      <c r="A899" s="142"/>
      <c r="B899" s="142"/>
      <c r="C899" s="142"/>
      <c r="D899" s="142"/>
      <c r="E899" s="131"/>
      <c r="F899" s="131"/>
      <c r="G899" s="131"/>
      <c r="H899" s="131"/>
      <c r="I899" s="131"/>
      <c r="J899" s="131"/>
      <c r="K899" s="131"/>
      <c r="L899" s="131"/>
      <c r="M899" s="131"/>
      <c r="N899" s="131"/>
      <c r="O899" s="142"/>
      <c r="P899" s="142"/>
      <c r="Q899" s="142"/>
      <c r="R899" s="131"/>
      <c r="S899" s="142"/>
      <c r="T899" s="142"/>
      <c r="U899" s="142"/>
      <c r="V899" s="142"/>
      <c r="W899" s="142"/>
      <c r="X899" s="142"/>
      <c r="Y899" s="142"/>
      <c r="Z899" s="142"/>
      <c r="AA899" s="142"/>
      <c r="AB899" s="142"/>
    </row>
    <row r="900" ht="13.5" customHeight="1">
      <c r="A900" s="142"/>
      <c r="B900" s="142"/>
      <c r="C900" s="142"/>
      <c r="D900" s="142"/>
      <c r="E900" s="131"/>
      <c r="F900" s="131"/>
      <c r="G900" s="131"/>
      <c r="H900" s="131"/>
      <c r="I900" s="131"/>
      <c r="J900" s="131"/>
      <c r="K900" s="131"/>
      <c r="L900" s="131"/>
      <c r="M900" s="131"/>
      <c r="N900" s="131"/>
      <c r="O900" s="142"/>
      <c r="P900" s="142"/>
      <c r="Q900" s="142"/>
      <c r="R900" s="131"/>
      <c r="S900" s="142"/>
      <c r="T900" s="142"/>
      <c r="U900" s="142"/>
      <c r="V900" s="142"/>
      <c r="W900" s="142"/>
      <c r="X900" s="142"/>
      <c r="Y900" s="142"/>
      <c r="Z900" s="142"/>
      <c r="AA900" s="142"/>
      <c r="AB900" s="142"/>
    </row>
    <row r="901" ht="13.5" customHeight="1">
      <c r="A901" s="142"/>
      <c r="B901" s="142"/>
      <c r="C901" s="142"/>
      <c r="D901" s="142"/>
      <c r="E901" s="131"/>
      <c r="F901" s="131"/>
      <c r="G901" s="131"/>
      <c r="H901" s="131"/>
      <c r="I901" s="131"/>
      <c r="J901" s="131"/>
      <c r="K901" s="131"/>
      <c r="L901" s="131"/>
      <c r="M901" s="131"/>
      <c r="N901" s="131"/>
      <c r="O901" s="142"/>
      <c r="P901" s="142"/>
      <c r="Q901" s="142"/>
      <c r="R901" s="131"/>
      <c r="S901" s="142"/>
      <c r="T901" s="142"/>
      <c r="U901" s="142"/>
      <c r="V901" s="142"/>
      <c r="W901" s="142"/>
      <c r="X901" s="142"/>
      <c r="Y901" s="142"/>
      <c r="Z901" s="142"/>
      <c r="AA901" s="142"/>
      <c r="AB901" s="142"/>
    </row>
    <row r="902" ht="13.5" customHeight="1">
      <c r="A902" s="142"/>
      <c r="B902" s="142"/>
      <c r="C902" s="142"/>
      <c r="D902" s="142"/>
      <c r="E902" s="131"/>
      <c r="F902" s="131"/>
      <c r="G902" s="131"/>
      <c r="H902" s="131"/>
      <c r="I902" s="131"/>
      <c r="J902" s="131"/>
      <c r="K902" s="131"/>
      <c r="L902" s="131"/>
      <c r="M902" s="131"/>
      <c r="N902" s="131"/>
      <c r="O902" s="142"/>
      <c r="P902" s="142"/>
      <c r="Q902" s="142"/>
      <c r="R902" s="131"/>
      <c r="S902" s="142"/>
      <c r="T902" s="142"/>
      <c r="U902" s="142"/>
      <c r="V902" s="142"/>
      <c r="W902" s="142"/>
      <c r="X902" s="142"/>
      <c r="Y902" s="142"/>
      <c r="Z902" s="142"/>
      <c r="AA902" s="142"/>
      <c r="AB902" s="142"/>
    </row>
    <row r="903" ht="13.5" customHeight="1">
      <c r="A903" s="142"/>
      <c r="B903" s="142"/>
      <c r="C903" s="142"/>
      <c r="D903" s="142"/>
      <c r="E903" s="131"/>
      <c r="F903" s="131"/>
      <c r="G903" s="131"/>
      <c r="H903" s="131"/>
      <c r="I903" s="131"/>
      <c r="J903" s="131"/>
      <c r="K903" s="131"/>
      <c r="L903" s="131"/>
      <c r="M903" s="131"/>
      <c r="N903" s="131"/>
      <c r="O903" s="142"/>
      <c r="P903" s="142"/>
      <c r="Q903" s="142"/>
      <c r="R903" s="131"/>
      <c r="S903" s="142"/>
      <c r="T903" s="142"/>
      <c r="U903" s="142"/>
      <c r="V903" s="142"/>
      <c r="W903" s="142"/>
      <c r="X903" s="142"/>
      <c r="Y903" s="142"/>
      <c r="Z903" s="142"/>
      <c r="AA903" s="142"/>
      <c r="AB903" s="142"/>
    </row>
    <row r="904" ht="13.5" customHeight="1">
      <c r="A904" s="142"/>
      <c r="B904" s="142"/>
      <c r="C904" s="142"/>
      <c r="D904" s="142"/>
      <c r="E904" s="131"/>
      <c r="F904" s="131"/>
      <c r="G904" s="131"/>
      <c r="H904" s="131"/>
      <c r="I904" s="131"/>
      <c r="J904" s="131"/>
      <c r="K904" s="131"/>
      <c r="L904" s="131"/>
      <c r="M904" s="131"/>
      <c r="N904" s="131"/>
      <c r="O904" s="142"/>
      <c r="P904" s="142"/>
      <c r="Q904" s="142"/>
      <c r="R904" s="131"/>
      <c r="S904" s="142"/>
      <c r="T904" s="142"/>
      <c r="U904" s="142"/>
      <c r="V904" s="142"/>
      <c r="W904" s="142"/>
      <c r="X904" s="142"/>
      <c r="Y904" s="142"/>
      <c r="Z904" s="142"/>
      <c r="AA904" s="142"/>
      <c r="AB904" s="142"/>
    </row>
    <row r="905" ht="13.5" customHeight="1">
      <c r="A905" s="142"/>
      <c r="B905" s="142"/>
      <c r="C905" s="142"/>
      <c r="D905" s="142"/>
      <c r="E905" s="131"/>
      <c r="F905" s="131"/>
      <c r="G905" s="131"/>
      <c r="H905" s="131"/>
      <c r="I905" s="131"/>
      <c r="J905" s="131"/>
      <c r="K905" s="131"/>
      <c r="L905" s="131"/>
      <c r="M905" s="131"/>
      <c r="N905" s="131"/>
      <c r="O905" s="142"/>
      <c r="P905" s="142"/>
      <c r="Q905" s="142"/>
      <c r="R905" s="131"/>
      <c r="S905" s="142"/>
      <c r="T905" s="142"/>
      <c r="U905" s="142"/>
      <c r="V905" s="142"/>
      <c r="W905" s="142"/>
      <c r="X905" s="142"/>
      <c r="Y905" s="142"/>
      <c r="Z905" s="142"/>
      <c r="AA905" s="142"/>
      <c r="AB905" s="142"/>
    </row>
    <row r="906" ht="13.5" customHeight="1">
      <c r="A906" s="142"/>
      <c r="B906" s="142"/>
      <c r="C906" s="142"/>
      <c r="D906" s="142"/>
      <c r="E906" s="131"/>
      <c r="F906" s="131"/>
      <c r="G906" s="131"/>
      <c r="H906" s="131"/>
      <c r="I906" s="131"/>
      <c r="J906" s="131"/>
      <c r="K906" s="131"/>
      <c r="L906" s="131"/>
      <c r="M906" s="131"/>
      <c r="N906" s="131"/>
      <c r="O906" s="142"/>
      <c r="P906" s="142"/>
      <c r="Q906" s="142"/>
      <c r="R906" s="131"/>
      <c r="S906" s="142"/>
      <c r="T906" s="142"/>
      <c r="U906" s="142"/>
      <c r="V906" s="142"/>
      <c r="W906" s="142"/>
      <c r="X906" s="142"/>
      <c r="Y906" s="142"/>
      <c r="Z906" s="142"/>
      <c r="AA906" s="142"/>
      <c r="AB906" s="142"/>
    </row>
    <row r="907" ht="13.5" customHeight="1">
      <c r="A907" s="142"/>
      <c r="B907" s="142"/>
      <c r="C907" s="142"/>
      <c r="D907" s="142"/>
      <c r="E907" s="131"/>
      <c r="F907" s="131"/>
      <c r="G907" s="131"/>
      <c r="H907" s="131"/>
      <c r="I907" s="131"/>
      <c r="J907" s="131"/>
      <c r="K907" s="131"/>
      <c r="L907" s="131"/>
      <c r="M907" s="131"/>
      <c r="N907" s="131"/>
      <c r="O907" s="142"/>
      <c r="P907" s="142"/>
      <c r="Q907" s="142"/>
      <c r="R907" s="131"/>
      <c r="S907" s="142"/>
      <c r="T907" s="142"/>
      <c r="U907" s="142"/>
      <c r="V907" s="142"/>
      <c r="W907" s="142"/>
      <c r="X907" s="142"/>
      <c r="Y907" s="142"/>
      <c r="Z907" s="142"/>
      <c r="AA907" s="142"/>
      <c r="AB907" s="142"/>
    </row>
    <row r="908" ht="13.5" customHeight="1">
      <c r="A908" s="142"/>
      <c r="B908" s="142"/>
      <c r="C908" s="142"/>
      <c r="D908" s="142"/>
      <c r="E908" s="131"/>
      <c r="F908" s="131"/>
      <c r="G908" s="131"/>
      <c r="H908" s="131"/>
      <c r="I908" s="131"/>
      <c r="J908" s="131"/>
      <c r="K908" s="131"/>
      <c r="L908" s="131"/>
      <c r="M908" s="131"/>
      <c r="N908" s="131"/>
      <c r="O908" s="142"/>
      <c r="P908" s="142"/>
      <c r="Q908" s="142"/>
      <c r="R908" s="131"/>
      <c r="S908" s="142"/>
      <c r="T908" s="142"/>
      <c r="U908" s="142"/>
      <c r="V908" s="142"/>
      <c r="W908" s="142"/>
      <c r="X908" s="142"/>
      <c r="Y908" s="142"/>
      <c r="Z908" s="142"/>
      <c r="AA908" s="142"/>
      <c r="AB908" s="142"/>
    </row>
    <row r="909" ht="13.5" customHeight="1">
      <c r="A909" s="142"/>
      <c r="B909" s="142"/>
      <c r="C909" s="142"/>
      <c r="D909" s="142"/>
      <c r="E909" s="131"/>
      <c r="F909" s="131"/>
      <c r="G909" s="131"/>
      <c r="H909" s="131"/>
      <c r="I909" s="131"/>
      <c r="J909" s="131"/>
      <c r="K909" s="131"/>
      <c r="L909" s="131"/>
      <c r="M909" s="131"/>
      <c r="N909" s="131"/>
      <c r="O909" s="142"/>
      <c r="P909" s="142"/>
      <c r="Q909" s="142"/>
      <c r="R909" s="131"/>
      <c r="S909" s="142"/>
      <c r="T909" s="142"/>
      <c r="U909" s="142"/>
      <c r="V909" s="142"/>
      <c r="W909" s="142"/>
      <c r="X909" s="142"/>
      <c r="Y909" s="142"/>
      <c r="Z909" s="142"/>
      <c r="AA909" s="142"/>
      <c r="AB909" s="142"/>
    </row>
    <row r="910" ht="13.5" customHeight="1">
      <c r="A910" s="142"/>
      <c r="B910" s="142"/>
      <c r="C910" s="142"/>
      <c r="D910" s="142"/>
      <c r="E910" s="131"/>
      <c r="F910" s="131"/>
      <c r="G910" s="131"/>
      <c r="H910" s="131"/>
      <c r="I910" s="131"/>
      <c r="J910" s="131"/>
      <c r="K910" s="131"/>
      <c r="L910" s="131"/>
      <c r="M910" s="131"/>
      <c r="N910" s="131"/>
      <c r="O910" s="142"/>
      <c r="P910" s="142"/>
      <c r="Q910" s="142"/>
      <c r="R910" s="131"/>
      <c r="S910" s="142"/>
      <c r="T910" s="142"/>
      <c r="U910" s="142"/>
      <c r="V910" s="142"/>
      <c r="W910" s="142"/>
      <c r="X910" s="142"/>
      <c r="Y910" s="142"/>
      <c r="Z910" s="142"/>
      <c r="AA910" s="142"/>
      <c r="AB910" s="142"/>
    </row>
    <row r="911" ht="13.5" customHeight="1">
      <c r="A911" s="142"/>
      <c r="B911" s="142"/>
      <c r="C911" s="142"/>
      <c r="D911" s="142"/>
      <c r="E911" s="131"/>
      <c r="F911" s="131"/>
      <c r="G911" s="131"/>
      <c r="H911" s="131"/>
      <c r="I911" s="131"/>
      <c r="J911" s="131"/>
      <c r="K911" s="131"/>
      <c r="L911" s="131"/>
      <c r="M911" s="131"/>
      <c r="N911" s="131"/>
      <c r="O911" s="142"/>
      <c r="P911" s="142"/>
      <c r="Q911" s="142"/>
      <c r="R911" s="131"/>
      <c r="S911" s="142"/>
      <c r="T911" s="142"/>
      <c r="U911" s="142"/>
      <c r="V911" s="142"/>
      <c r="W911" s="142"/>
      <c r="X911" s="142"/>
      <c r="Y911" s="142"/>
      <c r="Z911" s="142"/>
      <c r="AA911" s="142"/>
      <c r="AB911" s="142"/>
    </row>
    <row r="912" ht="13.5" customHeight="1">
      <c r="A912" s="142"/>
      <c r="B912" s="142"/>
      <c r="C912" s="142"/>
      <c r="D912" s="142"/>
      <c r="E912" s="131"/>
      <c r="F912" s="131"/>
      <c r="G912" s="131"/>
      <c r="H912" s="131"/>
      <c r="I912" s="131"/>
      <c r="J912" s="131"/>
      <c r="K912" s="131"/>
      <c r="L912" s="131"/>
      <c r="M912" s="131"/>
      <c r="N912" s="131"/>
      <c r="O912" s="142"/>
      <c r="P912" s="142"/>
      <c r="Q912" s="142"/>
      <c r="R912" s="131"/>
      <c r="S912" s="142"/>
      <c r="T912" s="142"/>
      <c r="U912" s="142"/>
      <c r="V912" s="142"/>
      <c r="W912" s="142"/>
      <c r="X912" s="142"/>
      <c r="Y912" s="142"/>
      <c r="Z912" s="142"/>
      <c r="AA912" s="142"/>
      <c r="AB912" s="142"/>
    </row>
    <row r="913" ht="13.5" customHeight="1">
      <c r="A913" s="142"/>
      <c r="B913" s="142"/>
      <c r="C913" s="142"/>
      <c r="D913" s="142"/>
      <c r="E913" s="131"/>
      <c r="F913" s="131"/>
      <c r="G913" s="131"/>
      <c r="H913" s="131"/>
      <c r="I913" s="131"/>
      <c r="J913" s="131"/>
      <c r="K913" s="131"/>
      <c r="L913" s="131"/>
      <c r="M913" s="131"/>
      <c r="N913" s="131"/>
      <c r="O913" s="142"/>
      <c r="P913" s="142"/>
      <c r="Q913" s="142"/>
      <c r="R913" s="131"/>
      <c r="S913" s="142"/>
      <c r="T913" s="142"/>
      <c r="U913" s="142"/>
      <c r="V913" s="142"/>
      <c r="W913" s="142"/>
      <c r="X913" s="142"/>
      <c r="Y913" s="142"/>
      <c r="Z913" s="142"/>
      <c r="AA913" s="142"/>
      <c r="AB913" s="142"/>
    </row>
    <row r="914" ht="13.5" customHeight="1">
      <c r="A914" s="142"/>
      <c r="B914" s="142"/>
      <c r="C914" s="142"/>
      <c r="D914" s="142"/>
      <c r="E914" s="131"/>
      <c r="F914" s="131"/>
      <c r="G914" s="131"/>
      <c r="H914" s="131"/>
      <c r="I914" s="131"/>
      <c r="J914" s="131"/>
      <c r="K914" s="131"/>
      <c r="L914" s="131"/>
      <c r="M914" s="131"/>
      <c r="N914" s="131"/>
      <c r="O914" s="142"/>
      <c r="P914" s="142"/>
      <c r="Q914" s="142"/>
      <c r="R914" s="131"/>
      <c r="S914" s="142"/>
      <c r="T914" s="142"/>
      <c r="U914" s="142"/>
      <c r="V914" s="142"/>
      <c r="W914" s="142"/>
      <c r="X914" s="142"/>
      <c r="Y914" s="142"/>
      <c r="Z914" s="142"/>
      <c r="AA914" s="142"/>
      <c r="AB914" s="142"/>
    </row>
    <row r="915" ht="13.5" customHeight="1">
      <c r="A915" s="142"/>
      <c r="B915" s="142"/>
      <c r="C915" s="142"/>
      <c r="D915" s="142"/>
      <c r="E915" s="131"/>
      <c r="F915" s="131"/>
      <c r="G915" s="131"/>
      <c r="H915" s="131"/>
      <c r="I915" s="131"/>
      <c r="J915" s="131"/>
      <c r="K915" s="131"/>
      <c r="L915" s="131"/>
      <c r="M915" s="131"/>
      <c r="N915" s="131"/>
      <c r="O915" s="142"/>
      <c r="P915" s="142"/>
      <c r="Q915" s="142"/>
      <c r="R915" s="131"/>
      <c r="S915" s="142"/>
      <c r="T915" s="142"/>
      <c r="U915" s="142"/>
      <c r="V915" s="142"/>
      <c r="W915" s="142"/>
      <c r="X915" s="142"/>
      <c r="Y915" s="142"/>
      <c r="Z915" s="142"/>
      <c r="AA915" s="142"/>
      <c r="AB915" s="142"/>
    </row>
    <row r="916" ht="13.5" customHeight="1">
      <c r="A916" s="142"/>
      <c r="B916" s="142"/>
      <c r="C916" s="142"/>
      <c r="D916" s="142"/>
      <c r="E916" s="131"/>
      <c r="F916" s="131"/>
      <c r="G916" s="131"/>
      <c r="H916" s="131"/>
      <c r="I916" s="131"/>
      <c r="J916" s="131"/>
      <c r="K916" s="131"/>
      <c r="L916" s="131"/>
      <c r="M916" s="131"/>
      <c r="N916" s="131"/>
      <c r="O916" s="142"/>
      <c r="P916" s="142"/>
      <c r="Q916" s="142"/>
      <c r="R916" s="131"/>
      <c r="S916" s="142"/>
      <c r="T916" s="142"/>
      <c r="U916" s="142"/>
      <c r="V916" s="142"/>
      <c r="W916" s="142"/>
      <c r="X916" s="142"/>
      <c r="Y916" s="142"/>
      <c r="Z916" s="142"/>
      <c r="AA916" s="142"/>
      <c r="AB916" s="142"/>
    </row>
    <row r="917" ht="13.5" customHeight="1">
      <c r="A917" s="142"/>
      <c r="B917" s="142"/>
      <c r="C917" s="142"/>
      <c r="D917" s="142"/>
      <c r="E917" s="131"/>
      <c r="F917" s="131"/>
      <c r="G917" s="131"/>
      <c r="H917" s="131"/>
      <c r="I917" s="131"/>
      <c r="J917" s="131"/>
      <c r="K917" s="131"/>
      <c r="L917" s="131"/>
      <c r="M917" s="131"/>
      <c r="N917" s="131"/>
      <c r="O917" s="142"/>
      <c r="P917" s="142"/>
      <c r="Q917" s="142"/>
      <c r="R917" s="131"/>
      <c r="S917" s="142"/>
      <c r="T917" s="142"/>
      <c r="U917" s="142"/>
      <c r="V917" s="142"/>
      <c r="W917" s="142"/>
      <c r="X917" s="142"/>
      <c r="Y917" s="142"/>
      <c r="Z917" s="142"/>
      <c r="AA917" s="142"/>
      <c r="AB917" s="142"/>
    </row>
    <row r="918" ht="13.5" customHeight="1">
      <c r="A918" s="142"/>
      <c r="B918" s="142"/>
      <c r="C918" s="142"/>
      <c r="D918" s="142"/>
      <c r="E918" s="131"/>
      <c r="F918" s="131"/>
      <c r="G918" s="131"/>
      <c r="H918" s="131"/>
      <c r="I918" s="131"/>
      <c r="J918" s="131"/>
      <c r="K918" s="131"/>
      <c r="L918" s="131"/>
      <c r="M918" s="131"/>
      <c r="N918" s="131"/>
      <c r="O918" s="142"/>
      <c r="P918" s="142"/>
      <c r="Q918" s="142"/>
      <c r="R918" s="131"/>
      <c r="S918" s="142"/>
      <c r="T918" s="142"/>
      <c r="U918" s="142"/>
      <c r="V918" s="142"/>
      <c r="W918" s="142"/>
      <c r="X918" s="142"/>
      <c r="Y918" s="142"/>
      <c r="Z918" s="142"/>
      <c r="AA918" s="142"/>
      <c r="AB918" s="142"/>
    </row>
    <row r="919" ht="13.5" customHeight="1">
      <c r="A919" s="142"/>
      <c r="B919" s="142"/>
      <c r="C919" s="142"/>
      <c r="D919" s="142"/>
      <c r="E919" s="131"/>
      <c r="F919" s="131"/>
      <c r="G919" s="131"/>
      <c r="H919" s="131"/>
      <c r="I919" s="131"/>
      <c r="J919" s="131"/>
      <c r="K919" s="131"/>
      <c r="L919" s="131"/>
      <c r="M919" s="131"/>
      <c r="N919" s="131"/>
      <c r="O919" s="142"/>
      <c r="P919" s="142"/>
      <c r="Q919" s="142"/>
      <c r="R919" s="131"/>
      <c r="S919" s="142"/>
      <c r="T919" s="142"/>
      <c r="U919" s="142"/>
      <c r="V919" s="142"/>
      <c r="W919" s="142"/>
      <c r="X919" s="142"/>
      <c r="Y919" s="142"/>
      <c r="Z919" s="142"/>
      <c r="AA919" s="142"/>
      <c r="AB919" s="142"/>
    </row>
    <row r="920" ht="13.5" customHeight="1">
      <c r="A920" s="142"/>
      <c r="B920" s="142"/>
      <c r="C920" s="142"/>
      <c r="D920" s="142"/>
      <c r="E920" s="131"/>
      <c r="F920" s="131"/>
      <c r="G920" s="131"/>
      <c r="H920" s="131"/>
      <c r="I920" s="131"/>
      <c r="J920" s="131"/>
      <c r="K920" s="131"/>
      <c r="L920" s="131"/>
      <c r="M920" s="131"/>
      <c r="N920" s="131"/>
      <c r="O920" s="142"/>
      <c r="P920" s="142"/>
      <c r="Q920" s="142"/>
      <c r="R920" s="131"/>
      <c r="S920" s="142"/>
      <c r="T920" s="142"/>
      <c r="U920" s="142"/>
      <c r="V920" s="142"/>
      <c r="W920" s="142"/>
      <c r="X920" s="142"/>
      <c r="Y920" s="142"/>
      <c r="Z920" s="142"/>
      <c r="AA920" s="142"/>
      <c r="AB920" s="142"/>
    </row>
    <row r="921" ht="13.5" customHeight="1">
      <c r="A921" s="142"/>
      <c r="B921" s="142"/>
      <c r="C921" s="142"/>
      <c r="D921" s="142"/>
      <c r="E921" s="131"/>
      <c r="F921" s="131"/>
      <c r="G921" s="131"/>
      <c r="H921" s="131"/>
      <c r="I921" s="131"/>
      <c r="J921" s="131"/>
      <c r="K921" s="131"/>
      <c r="L921" s="131"/>
      <c r="M921" s="131"/>
      <c r="N921" s="131"/>
      <c r="O921" s="142"/>
      <c r="P921" s="142"/>
      <c r="Q921" s="142"/>
      <c r="R921" s="131"/>
      <c r="S921" s="142"/>
      <c r="T921" s="142"/>
      <c r="U921" s="142"/>
      <c r="V921" s="142"/>
      <c r="W921" s="142"/>
      <c r="X921" s="142"/>
      <c r="Y921" s="142"/>
      <c r="Z921" s="142"/>
      <c r="AA921" s="142"/>
      <c r="AB921" s="142"/>
    </row>
    <row r="922" ht="13.5" customHeight="1">
      <c r="A922" s="142"/>
      <c r="B922" s="142"/>
      <c r="C922" s="142"/>
      <c r="D922" s="142"/>
      <c r="E922" s="131"/>
      <c r="F922" s="131"/>
      <c r="G922" s="131"/>
      <c r="H922" s="131"/>
      <c r="I922" s="131"/>
      <c r="J922" s="131"/>
      <c r="K922" s="131"/>
      <c r="L922" s="131"/>
      <c r="M922" s="131"/>
      <c r="N922" s="131"/>
      <c r="O922" s="142"/>
      <c r="P922" s="142"/>
      <c r="Q922" s="142"/>
      <c r="R922" s="131"/>
      <c r="S922" s="142"/>
      <c r="T922" s="142"/>
      <c r="U922" s="142"/>
      <c r="V922" s="142"/>
      <c r="W922" s="142"/>
      <c r="X922" s="142"/>
      <c r="Y922" s="142"/>
      <c r="Z922" s="142"/>
      <c r="AA922" s="142"/>
      <c r="AB922" s="142"/>
    </row>
    <row r="923" ht="13.5" customHeight="1">
      <c r="A923" s="142"/>
      <c r="B923" s="142"/>
      <c r="C923" s="142"/>
      <c r="D923" s="142"/>
      <c r="E923" s="131"/>
      <c r="F923" s="131"/>
      <c r="G923" s="131"/>
      <c r="H923" s="131"/>
      <c r="I923" s="131"/>
      <c r="J923" s="131"/>
      <c r="K923" s="131"/>
      <c r="L923" s="131"/>
      <c r="M923" s="131"/>
      <c r="N923" s="131"/>
      <c r="O923" s="142"/>
      <c r="P923" s="142"/>
      <c r="Q923" s="142"/>
      <c r="R923" s="131"/>
      <c r="S923" s="142"/>
      <c r="T923" s="142"/>
      <c r="U923" s="142"/>
      <c r="V923" s="142"/>
      <c r="W923" s="142"/>
      <c r="X923" s="142"/>
      <c r="Y923" s="142"/>
      <c r="Z923" s="142"/>
      <c r="AA923" s="142"/>
      <c r="AB923" s="142"/>
    </row>
    <row r="924" ht="13.5" customHeight="1">
      <c r="A924" s="142"/>
      <c r="B924" s="142"/>
      <c r="C924" s="142"/>
      <c r="D924" s="142"/>
      <c r="E924" s="131"/>
      <c r="F924" s="131"/>
      <c r="G924" s="131"/>
      <c r="H924" s="131"/>
      <c r="I924" s="131"/>
      <c r="J924" s="131"/>
      <c r="K924" s="131"/>
      <c r="L924" s="131"/>
      <c r="M924" s="131"/>
      <c r="N924" s="131"/>
      <c r="O924" s="142"/>
      <c r="P924" s="142"/>
      <c r="Q924" s="142"/>
      <c r="R924" s="131"/>
      <c r="S924" s="142"/>
      <c r="T924" s="142"/>
      <c r="U924" s="142"/>
      <c r="V924" s="142"/>
      <c r="W924" s="142"/>
      <c r="X924" s="142"/>
      <c r="Y924" s="142"/>
      <c r="Z924" s="142"/>
      <c r="AA924" s="142"/>
      <c r="AB924" s="142"/>
    </row>
    <row r="925" ht="13.5" customHeight="1">
      <c r="A925" s="142"/>
      <c r="B925" s="142"/>
      <c r="C925" s="142"/>
      <c r="D925" s="142"/>
      <c r="E925" s="131"/>
      <c r="F925" s="131"/>
      <c r="G925" s="131"/>
      <c r="H925" s="131"/>
      <c r="I925" s="131"/>
      <c r="J925" s="131"/>
      <c r="K925" s="131"/>
      <c r="L925" s="131"/>
      <c r="M925" s="131"/>
      <c r="N925" s="131"/>
      <c r="O925" s="142"/>
      <c r="P925" s="142"/>
      <c r="Q925" s="142"/>
      <c r="R925" s="131"/>
      <c r="S925" s="142"/>
      <c r="T925" s="142"/>
      <c r="U925" s="142"/>
      <c r="V925" s="142"/>
      <c r="W925" s="142"/>
      <c r="X925" s="142"/>
      <c r="Y925" s="142"/>
      <c r="Z925" s="142"/>
      <c r="AA925" s="142"/>
      <c r="AB925" s="142"/>
    </row>
    <row r="926" ht="13.5" customHeight="1">
      <c r="A926" s="142"/>
      <c r="B926" s="142"/>
      <c r="C926" s="142"/>
      <c r="D926" s="142"/>
      <c r="E926" s="131"/>
      <c r="F926" s="131"/>
      <c r="G926" s="131"/>
      <c r="H926" s="131"/>
      <c r="I926" s="131"/>
      <c r="J926" s="131"/>
      <c r="K926" s="131"/>
      <c r="L926" s="131"/>
      <c r="M926" s="131"/>
      <c r="N926" s="131"/>
      <c r="O926" s="142"/>
      <c r="P926" s="142"/>
      <c r="Q926" s="142"/>
      <c r="R926" s="131"/>
      <c r="S926" s="142"/>
      <c r="T926" s="142"/>
      <c r="U926" s="142"/>
      <c r="V926" s="142"/>
      <c r="W926" s="142"/>
      <c r="X926" s="142"/>
      <c r="Y926" s="142"/>
      <c r="Z926" s="142"/>
      <c r="AA926" s="142"/>
      <c r="AB926" s="142"/>
    </row>
    <row r="927" ht="13.5" customHeight="1">
      <c r="A927" s="142"/>
      <c r="B927" s="142"/>
      <c r="C927" s="142"/>
      <c r="D927" s="142"/>
      <c r="E927" s="131"/>
      <c r="F927" s="131"/>
      <c r="G927" s="131"/>
      <c r="H927" s="131"/>
      <c r="I927" s="131"/>
      <c r="J927" s="131"/>
      <c r="K927" s="131"/>
      <c r="L927" s="131"/>
      <c r="M927" s="131"/>
      <c r="N927" s="131"/>
      <c r="O927" s="142"/>
      <c r="P927" s="142"/>
      <c r="Q927" s="142"/>
      <c r="R927" s="131"/>
      <c r="S927" s="142"/>
      <c r="T927" s="142"/>
      <c r="U927" s="142"/>
      <c r="V927" s="142"/>
      <c r="W927" s="142"/>
      <c r="X927" s="142"/>
      <c r="Y927" s="142"/>
      <c r="Z927" s="142"/>
      <c r="AA927" s="142"/>
      <c r="AB927" s="142"/>
    </row>
    <row r="928" ht="13.5" customHeight="1">
      <c r="A928" s="142"/>
      <c r="B928" s="142"/>
      <c r="C928" s="142"/>
      <c r="D928" s="142"/>
      <c r="E928" s="131"/>
      <c r="F928" s="131"/>
      <c r="G928" s="131"/>
      <c r="H928" s="131"/>
      <c r="I928" s="131"/>
      <c r="J928" s="131"/>
      <c r="K928" s="131"/>
      <c r="L928" s="131"/>
      <c r="M928" s="131"/>
      <c r="N928" s="131"/>
      <c r="O928" s="142"/>
      <c r="P928" s="142"/>
      <c r="Q928" s="142"/>
      <c r="R928" s="131"/>
      <c r="S928" s="142"/>
      <c r="T928" s="142"/>
      <c r="U928" s="142"/>
      <c r="V928" s="142"/>
      <c r="W928" s="142"/>
      <c r="X928" s="142"/>
      <c r="Y928" s="142"/>
      <c r="Z928" s="142"/>
      <c r="AA928" s="142"/>
      <c r="AB928" s="142"/>
    </row>
    <row r="929" ht="13.5" customHeight="1">
      <c r="A929" s="142"/>
      <c r="B929" s="142"/>
      <c r="C929" s="142"/>
      <c r="D929" s="142"/>
      <c r="E929" s="131"/>
      <c r="F929" s="131"/>
      <c r="G929" s="131"/>
      <c r="H929" s="131"/>
      <c r="I929" s="131"/>
      <c r="J929" s="131"/>
      <c r="K929" s="131"/>
      <c r="L929" s="131"/>
      <c r="M929" s="131"/>
      <c r="N929" s="131"/>
      <c r="O929" s="142"/>
      <c r="P929" s="142"/>
      <c r="Q929" s="142"/>
      <c r="R929" s="131"/>
      <c r="S929" s="142"/>
      <c r="T929" s="142"/>
      <c r="U929" s="142"/>
      <c r="V929" s="142"/>
      <c r="W929" s="142"/>
      <c r="X929" s="142"/>
      <c r="Y929" s="142"/>
      <c r="Z929" s="142"/>
      <c r="AA929" s="142"/>
      <c r="AB929" s="142"/>
    </row>
    <row r="930" ht="13.5" customHeight="1">
      <c r="A930" s="142"/>
      <c r="B930" s="142"/>
      <c r="C930" s="142"/>
      <c r="D930" s="142"/>
      <c r="E930" s="131"/>
      <c r="F930" s="131"/>
      <c r="G930" s="131"/>
      <c r="H930" s="131"/>
      <c r="I930" s="131"/>
      <c r="J930" s="131"/>
      <c r="K930" s="131"/>
      <c r="L930" s="131"/>
      <c r="M930" s="131"/>
      <c r="N930" s="131"/>
      <c r="O930" s="142"/>
      <c r="P930" s="142"/>
      <c r="Q930" s="142"/>
      <c r="R930" s="131"/>
      <c r="S930" s="142"/>
      <c r="T930" s="142"/>
      <c r="U930" s="142"/>
      <c r="V930" s="142"/>
      <c r="W930" s="142"/>
      <c r="X930" s="142"/>
      <c r="Y930" s="142"/>
      <c r="Z930" s="142"/>
      <c r="AA930" s="142"/>
      <c r="AB930" s="142"/>
    </row>
    <row r="931" ht="13.5" customHeight="1">
      <c r="A931" s="142"/>
      <c r="B931" s="142"/>
      <c r="C931" s="142"/>
      <c r="D931" s="142"/>
      <c r="E931" s="131"/>
      <c r="F931" s="131"/>
      <c r="G931" s="131"/>
      <c r="H931" s="131"/>
      <c r="I931" s="131"/>
      <c r="J931" s="131"/>
      <c r="K931" s="131"/>
      <c r="L931" s="131"/>
      <c r="M931" s="131"/>
      <c r="N931" s="131"/>
      <c r="O931" s="142"/>
      <c r="P931" s="142"/>
      <c r="Q931" s="142"/>
      <c r="R931" s="131"/>
      <c r="S931" s="142"/>
      <c r="T931" s="142"/>
      <c r="U931" s="142"/>
      <c r="V931" s="142"/>
      <c r="W931" s="142"/>
      <c r="X931" s="142"/>
      <c r="Y931" s="142"/>
      <c r="Z931" s="142"/>
      <c r="AA931" s="142"/>
      <c r="AB931" s="142"/>
    </row>
    <row r="932" ht="13.5" customHeight="1">
      <c r="A932" s="142"/>
      <c r="B932" s="142"/>
      <c r="C932" s="142"/>
      <c r="D932" s="142"/>
      <c r="E932" s="131"/>
      <c r="F932" s="131"/>
      <c r="G932" s="131"/>
      <c r="H932" s="131"/>
      <c r="I932" s="131"/>
      <c r="J932" s="131"/>
      <c r="K932" s="131"/>
      <c r="L932" s="131"/>
      <c r="M932" s="131"/>
      <c r="N932" s="131"/>
      <c r="O932" s="142"/>
      <c r="P932" s="142"/>
      <c r="Q932" s="142"/>
      <c r="R932" s="131"/>
      <c r="S932" s="142"/>
      <c r="T932" s="142"/>
      <c r="U932" s="142"/>
      <c r="V932" s="142"/>
      <c r="W932" s="142"/>
      <c r="X932" s="142"/>
      <c r="Y932" s="142"/>
      <c r="Z932" s="142"/>
      <c r="AA932" s="142"/>
      <c r="AB932" s="142"/>
    </row>
    <row r="933" ht="13.5" customHeight="1">
      <c r="A933" s="142"/>
      <c r="B933" s="142"/>
      <c r="C933" s="142"/>
      <c r="D933" s="142"/>
      <c r="E933" s="131"/>
      <c r="F933" s="131"/>
      <c r="G933" s="131"/>
      <c r="H933" s="131"/>
      <c r="I933" s="131"/>
      <c r="J933" s="131"/>
      <c r="K933" s="131"/>
      <c r="L933" s="131"/>
      <c r="M933" s="131"/>
      <c r="N933" s="131"/>
      <c r="O933" s="142"/>
      <c r="P933" s="142"/>
      <c r="Q933" s="142"/>
      <c r="R933" s="131"/>
      <c r="S933" s="142"/>
      <c r="T933" s="142"/>
      <c r="U933" s="142"/>
      <c r="V933" s="142"/>
      <c r="W933" s="142"/>
      <c r="X933" s="142"/>
      <c r="Y933" s="142"/>
      <c r="Z933" s="142"/>
      <c r="AA933" s="142"/>
      <c r="AB933" s="142"/>
    </row>
    <row r="934" ht="13.5" customHeight="1">
      <c r="A934" s="142"/>
      <c r="B934" s="142"/>
      <c r="C934" s="142"/>
      <c r="D934" s="142"/>
      <c r="E934" s="131"/>
      <c r="F934" s="131"/>
      <c r="G934" s="131"/>
      <c r="H934" s="131"/>
      <c r="I934" s="131"/>
      <c r="J934" s="131"/>
      <c r="K934" s="131"/>
      <c r="L934" s="131"/>
      <c r="M934" s="131"/>
      <c r="N934" s="131"/>
      <c r="O934" s="142"/>
      <c r="P934" s="142"/>
      <c r="Q934" s="142"/>
      <c r="R934" s="131"/>
      <c r="S934" s="142"/>
      <c r="T934" s="142"/>
      <c r="U934" s="142"/>
      <c r="V934" s="142"/>
      <c r="W934" s="142"/>
      <c r="X934" s="142"/>
      <c r="Y934" s="142"/>
      <c r="Z934" s="142"/>
      <c r="AA934" s="142"/>
      <c r="AB934" s="142"/>
    </row>
    <row r="935" ht="13.5" customHeight="1">
      <c r="A935" s="142"/>
      <c r="B935" s="142"/>
      <c r="C935" s="142"/>
      <c r="D935" s="142"/>
      <c r="E935" s="131"/>
      <c r="F935" s="131"/>
      <c r="G935" s="131"/>
      <c r="H935" s="131"/>
      <c r="I935" s="131"/>
      <c r="J935" s="131"/>
      <c r="K935" s="131"/>
      <c r="L935" s="131"/>
      <c r="M935" s="131"/>
      <c r="N935" s="131"/>
      <c r="O935" s="142"/>
      <c r="P935" s="142"/>
      <c r="Q935" s="142"/>
      <c r="R935" s="131"/>
      <c r="S935" s="142"/>
      <c r="T935" s="142"/>
      <c r="U935" s="142"/>
      <c r="V935" s="142"/>
      <c r="W935" s="142"/>
      <c r="X935" s="142"/>
      <c r="Y935" s="142"/>
      <c r="Z935" s="142"/>
      <c r="AA935" s="142"/>
      <c r="AB935" s="142"/>
    </row>
    <row r="936" ht="13.5" customHeight="1">
      <c r="A936" s="142"/>
      <c r="B936" s="142"/>
      <c r="C936" s="142"/>
      <c r="D936" s="142"/>
      <c r="E936" s="131"/>
      <c r="F936" s="131"/>
      <c r="G936" s="131"/>
      <c r="H936" s="131"/>
      <c r="I936" s="131"/>
      <c r="J936" s="131"/>
      <c r="K936" s="131"/>
      <c r="L936" s="131"/>
      <c r="M936" s="131"/>
      <c r="N936" s="131"/>
      <c r="O936" s="142"/>
      <c r="P936" s="142"/>
      <c r="Q936" s="142"/>
      <c r="R936" s="131"/>
      <c r="S936" s="142"/>
      <c r="T936" s="142"/>
      <c r="U936" s="142"/>
      <c r="V936" s="142"/>
      <c r="W936" s="142"/>
      <c r="X936" s="142"/>
      <c r="Y936" s="142"/>
      <c r="Z936" s="142"/>
      <c r="AA936" s="142"/>
      <c r="AB936" s="142"/>
    </row>
    <row r="937" ht="13.5" customHeight="1">
      <c r="A937" s="142"/>
      <c r="B937" s="142"/>
      <c r="C937" s="142"/>
      <c r="D937" s="142"/>
      <c r="E937" s="131"/>
      <c r="F937" s="131"/>
      <c r="G937" s="131"/>
      <c r="H937" s="131"/>
      <c r="I937" s="131"/>
      <c r="J937" s="131"/>
      <c r="K937" s="131"/>
      <c r="L937" s="131"/>
      <c r="M937" s="131"/>
      <c r="N937" s="131"/>
      <c r="O937" s="142"/>
      <c r="P937" s="142"/>
      <c r="Q937" s="142"/>
      <c r="R937" s="131"/>
      <c r="S937" s="142"/>
      <c r="T937" s="142"/>
      <c r="U937" s="142"/>
      <c r="V937" s="142"/>
      <c r="W937" s="142"/>
      <c r="X937" s="142"/>
      <c r="Y937" s="142"/>
      <c r="Z937" s="142"/>
      <c r="AA937" s="142"/>
      <c r="AB937" s="142"/>
    </row>
    <row r="938" ht="13.5" customHeight="1">
      <c r="A938" s="142"/>
      <c r="B938" s="142"/>
      <c r="C938" s="142"/>
      <c r="D938" s="142"/>
      <c r="E938" s="131"/>
      <c r="F938" s="131"/>
      <c r="G938" s="131"/>
      <c r="H938" s="131"/>
      <c r="I938" s="131"/>
      <c r="J938" s="131"/>
      <c r="K938" s="131"/>
      <c r="L938" s="131"/>
      <c r="M938" s="131"/>
      <c r="N938" s="131"/>
      <c r="O938" s="142"/>
      <c r="P938" s="142"/>
      <c r="Q938" s="142"/>
      <c r="R938" s="131"/>
      <c r="S938" s="142"/>
      <c r="T938" s="142"/>
      <c r="U938" s="142"/>
      <c r="V938" s="142"/>
      <c r="W938" s="142"/>
      <c r="X938" s="142"/>
      <c r="Y938" s="142"/>
      <c r="Z938" s="142"/>
      <c r="AA938" s="142"/>
      <c r="AB938" s="142"/>
    </row>
    <row r="939" ht="13.5" customHeight="1">
      <c r="A939" s="142"/>
      <c r="B939" s="142"/>
      <c r="C939" s="142"/>
      <c r="D939" s="142"/>
      <c r="E939" s="131"/>
      <c r="F939" s="131"/>
      <c r="G939" s="131"/>
      <c r="H939" s="131"/>
      <c r="I939" s="131"/>
      <c r="J939" s="131"/>
      <c r="K939" s="131"/>
      <c r="L939" s="131"/>
      <c r="M939" s="131"/>
      <c r="N939" s="131"/>
      <c r="O939" s="142"/>
      <c r="P939" s="142"/>
      <c r="Q939" s="142"/>
      <c r="R939" s="131"/>
      <c r="S939" s="142"/>
      <c r="T939" s="142"/>
      <c r="U939" s="142"/>
      <c r="V939" s="142"/>
      <c r="W939" s="142"/>
      <c r="X939" s="142"/>
      <c r="Y939" s="142"/>
      <c r="Z939" s="142"/>
      <c r="AA939" s="142"/>
      <c r="AB939" s="142"/>
    </row>
    <row r="940" ht="13.5" customHeight="1">
      <c r="A940" s="142"/>
      <c r="B940" s="142"/>
      <c r="C940" s="142"/>
      <c r="D940" s="142"/>
      <c r="E940" s="131"/>
      <c r="F940" s="131"/>
      <c r="G940" s="131"/>
      <c r="H940" s="131"/>
      <c r="I940" s="131"/>
      <c r="J940" s="131"/>
      <c r="K940" s="131"/>
      <c r="L940" s="131"/>
      <c r="M940" s="131"/>
      <c r="N940" s="131"/>
      <c r="O940" s="142"/>
      <c r="P940" s="142"/>
      <c r="Q940" s="142"/>
      <c r="R940" s="131"/>
      <c r="S940" s="142"/>
      <c r="T940" s="142"/>
      <c r="U940" s="142"/>
      <c r="V940" s="142"/>
      <c r="W940" s="142"/>
      <c r="X940" s="142"/>
      <c r="Y940" s="142"/>
      <c r="Z940" s="142"/>
      <c r="AA940" s="142"/>
      <c r="AB940" s="142"/>
    </row>
    <row r="941" ht="13.5" customHeight="1">
      <c r="A941" s="142"/>
      <c r="B941" s="142"/>
      <c r="C941" s="142"/>
      <c r="D941" s="142"/>
      <c r="E941" s="131"/>
      <c r="F941" s="131"/>
      <c r="G941" s="131"/>
      <c r="H941" s="131"/>
      <c r="I941" s="131"/>
      <c r="J941" s="131"/>
      <c r="K941" s="131"/>
      <c r="L941" s="131"/>
      <c r="M941" s="131"/>
      <c r="N941" s="131"/>
      <c r="O941" s="142"/>
      <c r="P941" s="142"/>
      <c r="Q941" s="142"/>
      <c r="R941" s="131"/>
      <c r="S941" s="142"/>
      <c r="T941" s="142"/>
      <c r="U941" s="142"/>
      <c r="V941" s="142"/>
      <c r="W941" s="142"/>
      <c r="X941" s="142"/>
      <c r="Y941" s="142"/>
      <c r="Z941" s="142"/>
      <c r="AA941" s="142"/>
      <c r="AB941" s="142"/>
    </row>
    <row r="942" ht="13.5" customHeight="1">
      <c r="A942" s="142"/>
      <c r="B942" s="142"/>
      <c r="C942" s="142"/>
      <c r="D942" s="142"/>
      <c r="E942" s="131"/>
      <c r="F942" s="131"/>
      <c r="G942" s="131"/>
      <c r="H942" s="131"/>
      <c r="I942" s="131"/>
      <c r="J942" s="131"/>
      <c r="K942" s="131"/>
      <c r="L942" s="131"/>
      <c r="M942" s="131"/>
      <c r="N942" s="131"/>
      <c r="O942" s="142"/>
      <c r="P942" s="142"/>
      <c r="Q942" s="142"/>
      <c r="R942" s="131"/>
      <c r="S942" s="142"/>
      <c r="T942" s="142"/>
      <c r="U942" s="142"/>
      <c r="V942" s="142"/>
      <c r="W942" s="142"/>
      <c r="X942" s="142"/>
      <c r="Y942" s="142"/>
      <c r="Z942" s="142"/>
      <c r="AA942" s="142"/>
      <c r="AB942" s="142"/>
    </row>
    <row r="943" ht="13.5" customHeight="1">
      <c r="A943" s="142"/>
      <c r="B943" s="142"/>
      <c r="C943" s="142"/>
      <c r="D943" s="142"/>
      <c r="E943" s="131"/>
      <c r="F943" s="131"/>
      <c r="G943" s="131"/>
      <c r="H943" s="131"/>
      <c r="I943" s="131"/>
      <c r="J943" s="131"/>
      <c r="K943" s="131"/>
      <c r="L943" s="131"/>
      <c r="M943" s="131"/>
      <c r="N943" s="131"/>
      <c r="O943" s="142"/>
      <c r="P943" s="142"/>
      <c r="Q943" s="142"/>
      <c r="R943" s="131"/>
      <c r="S943" s="142"/>
      <c r="T943" s="142"/>
      <c r="U943" s="142"/>
      <c r="V943" s="142"/>
      <c r="W943" s="142"/>
      <c r="X943" s="142"/>
      <c r="Y943" s="142"/>
      <c r="Z943" s="142"/>
      <c r="AA943" s="142"/>
      <c r="AB943" s="142"/>
    </row>
    <row r="944" ht="13.5" customHeight="1">
      <c r="A944" s="142"/>
      <c r="B944" s="142"/>
      <c r="C944" s="142"/>
      <c r="D944" s="142"/>
      <c r="E944" s="131"/>
      <c r="F944" s="131"/>
      <c r="G944" s="131"/>
      <c r="H944" s="131"/>
      <c r="I944" s="131"/>
      <c r="J944" s="131"/>
      <c r="K944" s="131"/>
      <c r="L944" s="131"/>
      <c r="M944" s="131"/>
      <c r="N944" s="131"/>
      <c r="O944" s="142"/>
      <c r="P944" s="142"/>
      <c r="Q944" s="142"/>
      <c r="R944" s="131"/>
      <c r="S944" s="142"/>
      <c r="T944" s="142"/>
      <c r="U944" s="142"/>
      <c r="V944" s="142"/>
      <c r="W944" s="142"/>
      <c r="X944" s="142"/>
      <c r="Y944" s="142"/>
      <c r="Z944" s="142"/>
      <c r="AA944" s="142"/>
      <c r="AB944" s="142"/>
    </row>
    <row r="945" ht="13.5" customHeight="1">
      <c r="A945" s="142"/>
      <c r="B945" s="142"/>
      <c r="C945" s="142"/>
      <c r="D945" s="142"/>
      <c r="E945" s="131"/>
      <c r="F945" s="131"/>
      <c r="G945" s="131"/>
      <c r="H945" s="131"/>
      <c r="I945" s="131"/>
      <c r="J945" s="131"/>
      <c r="K945" s="131"/>
      <c r="L945" s="131"/>
      <c r="M945" s="131"/>
      <c r="N945" s="131"/>
      <c r="O945" s="142"/>
      <c r="P945" s="142"/>
      <c r="Q945" s="142"/>
      <c r="R945" s="131"/>
      <c r="S945" s="142"/>
      <c r="T945" s="142"/>
      <c r="U945" s="142"/>
      <c r="V945" s="142"/>
      <c r="W945" s="142"/>
      <c r="X945" s="142"/>
      <c r="Y945" s="142"/>
      <c r="Z945" s="142"/>
      <c r="AA945" s="142"/>
      <c r="AB945" s="142"/>
    </row>
    <row r="946" ht="13.5" customHeight="1">
      <c r="A946" s="142"/>
      <c r="B946" s="142"/>
      <c r="C946" s="142"/>
      <c r="D946" s="142"/>
      <c r="E946" s="131"/>
      <c r="F946" s="131"/>
      <c r="G946" s="131"/>
      <c r="H946" s="131"/>
      <c r="I946" s="131"/>
      <c r="J946" s="131"/>
      <c r="K946" s="131"/>
      <c r="L946" s="131"/>
      <c r="M946" s="131"/>
      <c r="N946" s="131"/>
      <c r="O946" s="142"/>
      <c r="P946" s="142"/>
      <c r="Q946" s="142"/>
      <c r="R946" s="131"/>
      <c r="S946" s="142"/>
      <c r="T946" s="142"/>
      <c r="U946" s="142"/>
      <c r="V946" s="142"/>
      <c r="W946" s="142"/>
      <c r="X946" s="142"/>
      <c r="Y946" s="142"/>
      <c r="Z946" s="142"/>
      <c r="AA946" s="142"/>
      <c r="AB946" s="142"/>
    </row>
    <row r="947" ht="13.5" customHeight="1">
      <c r="A947" s="142"/>
      <c r="B947" s="142"/>
      <c r="C947" s="142"/>
      <c r="D947" s="142"/>
      <c r="E947" s="131"/>
      <c r="F947" s="131"/>
      <c r="G947" s="131"/>
      <c r="H947" s="131"/>
      <c r="I947" s="131"/>
      <c r="J947" s="131"/>
      <c r="K947" s="131"/>
      <c r="L947" s="131"/>
      <c r="M947" s="131"/>
      <c r="N947" s="131"/>
      <c r="O947" s="142"/>
      <c r="P947" s="142"/>
      <c r="Q947" s="142"/>
      <c r="R947" s="131"/>
      <c r="S947" s="142"/>
      <c r="T947" s="142"/>
      <c r="U947" s="142"/>
      <c r="V947" s="142"/>
      <c r="W947" s="142"/>
      <c r="X947" s="142"/>
      <c r="Y947" s="142"/>
      <c r="Z947" s="142"/>
      <c r="AA947" s="142"/>
      <c r="AB947" s="142"/>
    </row>
    <row r="948" ht="13.5" customHeight="1">
      <c r="A948" s="142"/>
      <c r="B948" s="142"/>
      <c r="C948" s="142"/>
      <c r="D948" s="142"/>
      <c r="E948" s="131"/>
      <c r="F948" s="131"/>
      <c r="G948" s="131"/>
      <c r="H948" s="131"/>
      <c r="I948" s="131"/>
      <c r="J948" s="131"/>
      <c r="K948" s="131"/>
      <c r="L948" s="131"/>
      <c r="M948" s="131"/>
      <c r="N948" s="131"/>
      <c r="O948" s="142"/>
      <c r="P948" s="142"/>
      <c r="Q948" s="142"/>
      <c r="R948" s="131"/>
      <c r="S948" s="142"/>
      <c r="T948" s="142"/>
      <c r="U948" s="142"/>
      <c r="V948" s="142"/>
      <c r="W948" s="142"/>
      <c r="X948" s="142"/>
      <c r="Y948" s="142"/>
      <c r="Z948" s="142"/>
      <c r="AA948" s="142"/>
      <c r="AB948" s="142"/>
    </row>
    <row r="949" ht="13.5" customHeight="1">
      <c r="A949" s="142"/>
      <c r="B949" s="142"/>
      <c r="C949" s="142"/>
      <c r="D949" s="142"/>
      <c r="E949" s="131"/>
      <c r="F949" s="131"/>
      <c r="G949" s="131"/>
      <c r="H949" s="131"/>
      <c r="I949" s="131"/>
      <c r="J949" s="131"/>
      <c r="K949" s="131"/>
      <c r="L949" s="131"/>
      <c r="M949" s="131"/>
      <c r="N949" s="131"/>
      <c r="O949" s="142"/>
      <c r="P949" s="142"/>
      <c r="Q949" s="142"/>
      <c r="R949" s="131"/>
      <c r="S949" s="142"/>
      <c r="T949" s="142"/>
      <c r="U949" s="142"/>
      <c r="V949" s="142"/>
      <c r="W949" s="142"/>
      <c r="X949" s="142"/>
      <c r="Y949" s="142"/>
      <c r="Z949" s="142"/>
      <c r="AA949" s="142"/>
      <c r="AB949" s="142"/>
    </row>
    <row r="950" ht="13.5" customHeight="1">
      <c r="A950" s="142"/>
      <c r="B950" s="142"/>
      <c r="C950" s="142"/>
      <c r="D950" s="142"/>
      <c r="E950" s="131"/>
      <c r="F950" s="131"/>
      <c r="G950" s="131"/>
      <c r="H950" s="131"/>
      <c r="I950" s="131"/>
      <c r="J950" s="131"/>
      <c r="K950" s="131"/>
      <c r="L950" s="131"/>
      <c r="M950" s="131"/>
      <c r="N950" s="131"/>
      <c r="O950" s="142"/>
      <c r="P950" s="142"/>
      <c r="Q950" s="142"/>
      <c r="R950" s="131"/>
      <c r="S950" s="142"/>
      <c r="T950" s="142"/>
      <c r="U950" s="142"/>
      <c r="V950" s="142"/>
      <c r="W950" s="142"/>
      <c r="X950" s="142"/>
      <c r="Y950" s="142"/>
      <c r="Z950" s="142"/>
      <c r="AA950" s="142"/>
      <c r="AB950" s="142"/>
    </row>
    <row r="951" ht="13.5" customHeight="1">
      <c r="A951" s="142"/>
      <c r="B951" s="142"/>
      <c r="C951" s="142"/>
      <c r="D951" s="142"/>
      <c r="E951" s="131"/>
      <c r="F951" s="131"/>
      <c r="G951" s="131"/>
      <c r="H951" s="131"/>
      <c r="I951" s="131"/>
      <c r="J951" s="131"/>
      <c r="K951" s="131"/>
      <c r="L951" s="131"/>
      <c r="M951" s="131"/>
      <c r="N951" s="131"/>
      <c r="O951" s="142"/>
      <c r="P951" s="142"/>
      <c r="Q951" s="142"/>
      <c r="R951" s="131"/>
      <c r="S951" s="142"/>
      <c r="T951" s="142"/>
      <c r="U951" s="142"/>
      <c r="V951" s="142"/>
      <c r="W951" s="142"/>
      <c r="X951" s="142"/>
      <c r="Y951" s="142"/>
      <c r="Z951" s="142"/>
      <c r="AA951" s="142"/>
      <c r="AB951" s="142"/>
    </row>
    <row r="952" ht="13.5" customHeight="1">
      <c r="A952" s="142"/>
      <c r="B952" s="142"/>
      <c r="C952" s="142"/>
      <c r="D952" s="142"/>
      <c r="E952" s="131"/>
      <c r="F952" s="131"/>
      <c r="G952" s="131"/>
      <c r="H952" s="131"/>
      <c r="I952" s="131"/>
      <c r="J952" s="131"/>
      <c r="K952" s="131"/>
      <c r="L952" s="131"/>
      <c r="M952" s="131"/>
      <c r="N952" s="131"/>
      <c r="O952" s="142"/>
      <c r="P952" s="142"/>
      <c r="Q952" s="142"/>
      <c r="R952" s="131"/>
      <c r="S952" s="142"/>
      <c r="T952" s="142"/>
      <c r="U952" s="142"/>
      <c r="V952" s="142"/>
      <c r="W952" s="142"/>
      <c r="X952" s="142"/>
      <c r="Y952" s="142"/>
      <c r="Z952" s="142"/>
      <c r="AA952" s="142"/>
      <c r="AB952" s="142"/>
    </row>
    <row r="953" ht="13.5" customHeight="1">
      <c r="A953" s="142"/>
      <c r="B953" s="142"/>
      <c r="C953" s="142"/>
      <c r="D953" s="142"/>
      <c r="E953" s="131"/>
      <c r="F953" s="131"/>
      <c r="G953" s="131"/>
      <c r="H953" s="131"/>
      <c r="I953" s="131"/>
      <c r="J953" s="131"/>
      <c r="K953" s="131"/>
      <c r="L953" s="131"/>
      <c r="M953" s="131"/>
      <c r="N953" s="131"/>
      <c r="O953" s="142"/>
      <c r="P953" s="142"/>
      <c r="Q953" s="142"/>
      <c r="R953" s="131"/>
      <c r="S953" s="142"/>
      <c r="T953" s="142"/>
      <c r="U953" s="142"/>
      <c r="V953" s="142"/>
      <c r="W953" s="142"/>
      <c r="X953" s="142"/>
      <c r="Y953" s="142"/>
      <c r="Z953" s="142"/>
      <c r="AA953" s="142"/>
      <c r="AB953" s="142"/>
    </row>
    <row r="954" ht="13.5" customHeight="1">
      <c r="A954" s="142"/>
      <c r="B954" s="142"/>
      <c r="C954" s="142"/>
      <c r="D954" s="142"/>
      <c r="E954" s="131"/>
      <c r="F954" s="131"/>
      <c r="G954" s="131"/>
      <c r="H954" s="131"/>
      <c r="I954" s="131"/>
      <c r="J954" s="131"/>
      <c r="K954" s="131"/>
      <c r="L954" s="131"/>
      <c r="M954" s="131"/>
      <c r="N954" s="131"/>
      <c r="O954" s="142"/>
      <c r="P954" s="142"/>
      <c r="Q954" s="142"/>
      <c r="R954" s="131"/>
      <c r="S954" s="142"/>
      <c r="T954" s="142"/>
      <c r="U954" s="142"/>
      <c r="V954" s="142"/>
      <c r="W954" s="142"/>
      <c r="X954" s="142"/>
      <c r="Y954" s="142"/>
      <c r="Z954" s="142"/>
      <c r="AA954" s="142"/>
      <c r="AB954" s="142"/>
    </row>
    <row r="955" ht="13.5" customHeight="1">
      <c r="A955" s="142"/>
      <c r="B955" s="142"/>
      <c r="C955" s="142"/>
      <c r="D955" s="142"/>
      <c r="E955" s="131"/>
      <c r="F955" s="131"/>
      <c r="G955" s="131"/>
      <c r="H955" s="131"/>
      <c r="I955" s="131"/>
      <c r="J955" s="131"/>
      <c r="K955" s="131"/>
      <c r="L955" s="131"/>
      <c r="M955" s="131"/>
      <c r="N955" s="131"/>
      <c r="O955" s="142"/>
      <c r="P955" s="142"/>
      <c r="Q955" s="142"/>
      <c r="R955" s="131"/>
      <c r="S955" s="142"/>
      <c r="T955" s="142"/>
      <c r="U955" s="142"/>
      <c r="V955" s="142"/>
      <c r="W955" s="142"/>
      <c r="X955" s="142"/>
      <c r="Y955" s="142"/>
      <c r="Z955" s="142"/>
      <c r="AA955" s="142"/>
      <c r="AB955" s="142"/>
    </row>
    <row r="956" ht="13.5" customHeight="1">
      <c r="A956" s="142"/>
      <c r="B956" s="142"/>
      <c r="C956" s="142"/>
      <c r="D956" s="142"/>
      <c r="E956" s="131"/>
      <c r="F956" s="131"/>
      <c r="G956" s="131"/>
      <c r="H956" s="131"/>
      <c r="I956" s="131"/>
      <c r="J956" s="131"/>
      <c r="K956" s="131"/>
      <c r="L956" s="131"/>
      <c r="M956" s="131"/>
      <c r="N956" s="131"/>
      <c r="O956" s="142"/>
      <c r="P956" s="142"/>
      <c r="Q956" s="142"/>
      <c r="R956" s="131"/>
      <c r="S956" s="142"/>
      <c r="T956" s="142"/>
      <c r="U956" s="142"/>
      <c r="V956" s="142"/>
      <c r="W956" s="142"/>
      <c r="X956" s="142"/>
      <c r="Y956" s="142"/>
      <c r="Z956" s="142"/>
      <c r="AA956" s="142"/>
      <c r="AB956" s="142"/>
    </row>
    <row r="957" ht="13.5" customHeight="1">
      <c r="A957" s="142"/>
      <c r="B957" s="142"/>
      <c r="C957" s="142"/>
      <c r="D957" s="142"/>
      <c r="E957" s="131"/>
      <c r="F957" s="131"/>
      <c r="G957" s="131"/>
      <c r="H957" s="131"/>
      <c r="I957" s="131"/>
      <c r="J957" s="131"/>
      <c r="K957" s="131"/>
      <c r="L957" s="131"/>
      <c r="M957" s="131"/>
      <c r="N957" s="131"/>
      <c r="O957" s="142"/>
      <c r="P957" s="142"/>
      <c r="Q957" s="142"/>
      <c r="R957" s="131"/>
      <c r="S957" s="142"/>
      <c r="T957" s="142"/>
      <c r="U957" s="142"/>
      <c r="V957" s="142"/>
      <c r="W957" s="142"/>
      <c r="X957" s="142"/>
      <c r="Y957" s="142"/>
      <c r="Z957" s="142"/>
      <c r="AA957" s="142"/>
      <c r="AB957" s="142"/>
    </row>
    <row r="958" ht="13.5" customHeight="1">
      <c r="A958" s="142"/>
      <c r="B958" s="142"/>
      <c r="C958" s="142"/>
      <c r="D958" s="142"/>
      <c r="E958" s="131"/>
      <c r="F958" s="131"/>
      <c r="G958" s="131"/>
      <c r="H958" s="131"/>
      <c r="I958" s="131"/>
      <c r="J958" s="131"/>
      <c r="K958" s="131"/>
      <c r="L958" s="131"/>
      <c r="M958" s="131"/>
      <c r="N958" s="131"/>
      <c r="O958" s="142"/>
      <c r="P958" s="142"/>
      <c r="Q958" s="142"/>
      <c r="R958" s="131"/>
      <c r="S958" s="142"/>
      <c r="T958" s="142"/>
      <c r="U958" s="142"/>
      <c r="V958" s="142"/>
      <c r="W958" s="142"/>
      <c r="X958" s="142"/>
      <c r="Y958" s="142"/>
      <c r="Z958" s="142"/>
      <c r="AA958" s="142"/>
      <c r="AB958" s="142"/>
    </row>
    <row r="959" ht="13.5" customHeight="1">
      <c r="A959" s="142"/>
      <c r="B959" s="142"/>
      <c r="C959" s="142"/>
      <c r="D959" s="142"/>
      <c r="E959" s="131"/>
      <c r="F959" s="131"/>
      <c r="G959" s="131"/>
      <c r="H959" s="131"/>
      <c r="I959" s="131"/>
      <c r="J959" s="131"/>
      <c r="K959" s="131"/>
      <c r="L959" s="131"/>
      <c r="M959" s="131"/>
      <c r="N959" s="131"/>
      <c r="O959" s="142"/>
      <c r="P959" s="142"/>
      <c r="Q959" s="142"/>
      <c r="R959" s="131"/>
      <c r="S959" s="142"/>
      <c r="T959" s="142"/>
      <c r="U959" s="142"/>
      <c r="V959" s="142"/>
      <c r="W959" s="142"/>
      <c r="X959" s="142"/>
      <c r="Y959" s="142"/>
      <c r="Z959" s="142"/>
      <c r="AA959" s="142"/>
      <c r="AB959" s="142"/>
    </row>
    <row r="960" ht="13.5" customHeight="1">
      <c r="A960" s="142"/>
      <c r="B960" s="142"/>
      <c r="C960" s="142"/>
      <c r="D960" s="142"/>
      <c r="E960" s="131"/>
      <c r="F960" s="131"/>
      <c r="G960" s="131"/>
      <c r="H960" s="131"/>
      <c r="I960" s="131"/>
      <c r="J960" s="131"/>
      <c r="K960" s="131"/>
      <c r="L960" s="131"/>
      <c r="M960" s="131"/>
      <c r="N960" s="131"/>
      <c r="O960" s="142"/>
      <c r="P960" s="142"/>
      <c r="Q960" s="142"/>
      <c r="R960" s="131"/>
      <c r="S960" s="142"/>
      <c r="T960" s="142"/>
      <c r="U960" s="142"/>
      <c r="V960" s="142"/>
      <c r="W960" s="142"/>
      <c r="X960" s="142"/>
      <c r="Y960" s="142"/>
      <c r="Z960" s="142"/>
      <c r="AA960" s="142"/>
      <c r="AB960" s="142"/>
    </row>
    <row r="961" ht="13.5" customHeight="1">
      <c r="A961" s="142"/>
      <c r="B961" s="142"/>
      <c r="C961" s="142"/>
      <c r="D961" s="142"/>
      <c r="E961" s="131"/>
      <c r="F961" s="131"/>
      <c r="G961" s="131"/>
      <c r="H961" s="131"/>
      <c r="I961" s="131"/>
      <c r="J961" s="131"/>
      <c r="K961" s="131"/>
      <c r="L961" s="131"/>
      <c r="M961" s="131"/>
      <c r="N961" s="131"/>
      <c r="O961" s="142"/>
      <c r="P961" s="142"/>
      <c r="Q961" s="142"/>
      <c r="R961" s="131"/>
      <c r="S961" s="142"/>
      <c r="T961" s="142"/>
      <c r="U961" s="142"/>
      <c r="V961" s="142"/>
      <c r="W961" s="142"/>
      <c r="X961" s="142"/>
      <c r="Y961" s="142"/>
      <c r="Z961" s="142"/>
      <c r="AA961" s="142"/>
      <c r="AB961" s="142"/>
    </row>
    <row r="962" ht="13.5" customHeight="1">
      <c r="A962" s="142"/>
      <c r="B962" s="142"/>
      <c r="C962" s="142"/>
      <c r="D962" s="142"/>
      <c r="E962" s="131"/>
      <c r="F962" s="131"/>
      <c r="G962" s="131"/>
      <c r="H962" s="131"/>
      <c r="I962" s="131"/>
      <c r="J962" s="131"/>
      <c r="K962" s="131"/>
      <c r="L962" s="131"/>
      <c r="M962" s="131"/>
      <c r="N962" s="131"/>
      <c r="O962" s="142"/>
      <c r="P962" s="142"/>
      <c r="Q962" s="142"/>
      <c r="R962" s="131"/>
      <c r="S962" s="142"/>
      <c r="T962" s="142"/>
      <c r="U962" s="142"/>
      <c r="V962" s="142"/>
      <c r="W962" s="142"/>
      <c r="X962" s="142"/>
      <c r="Y962" s="142"/>
      <c r="Z962" s="142"/>
      <c r="AA962" s="142"/>
      <c r="AB962" s="142"/>
    </row>
    <row r="963" ht="13.5" customHeight="1">
      <c r="A963" s="142"/>
      <c r="B963" s="142"/>
      <c r="C963" s="142"/>
      <c r="D963" s="142"/>
      <c r="E963" s="131"/>
      <c r="F963" s="131"/>
      <c r="G963" s="131"/>
      <c r="H963" s="131"/>
      <c r="I963" s="131"/>
      <c r="J963" s="131"/>
      <c r="K963" s="131"/>
      <c r="L963" s="131"/>
      <c r="M963" s="131"/>
      <c r="N963" s="131"/>
      <c r="O963" s="142"/>
      <c r="P963" s="142"/>
      <c r="Q963" s="142"/>
      <c r="R963" s="131"/>
      <c r="S963" s="142"/>
      <c r="T963" s="142"/>
      <c r="U963" s="142"/>
      <c r="V963" s="142"/>
      <c r="W963" s="142"/>
      <c r="X963" s="142"/>
      <c r="Y963" s="142"/>
      <c r="Z963" s="142"/>
      <c r="AA963" s="142"/>
      <c r="AB963" s="142"/>
    </row>
    <row r="964" ht="13.5" customHeight="1">
      <c r="A964" s="142"/>
      <c r="B964" s="142"/>
      <c r="C964" s="142"/>
      <c r="D964" s="142"/>
      <c r="E964" s="131"/>
      <c r="F964" s="131"/>
      <c r="G964" s="131"/>
      <c r="H964" s="131"/>
      <c r="I964" s="131"/>
      <c r="J964" s="131"/>
      <c r="K964" s="131"/>
      <c r="L964" s="131"/>
      <c r="M964" s="131"/>
      <c r="N964" s="131"/>
      <c r="O964" s="142"/>
      <c r="P964" s="142"/>
      <c r="Q964" s="142"/>
      <c r="R964" s="131"/>
      <c r="S964" s="142"/>
      <c r="T964" s="142"/>
      <c r="U964" s="142"/>
      <c r="V964" s="142"/>
      <c r="W964" s="142"/>
      <c r="X964" s="142"/>
      <c r="Y964" s="142"/>
      <c r="Z964" s="142"/>
      <c r="AA964" s="142"/>
      <c r="AB964" s="142"/>
    </row>
    <row r="965" ht="13.5" customHeight="1">
      <c r="A965" s="142"/>
      <c r="B965" s="142"/>
      <c r="C965" s="142"/>
      <c r="D965" s="142"/>
      <c r="E965" s="131"/>
      <c r="F965" s="131"/>
      <c r="G965" s="131"/>
      <c r="H965" s="131"/>
      <c r="I965" s="131"/>
      <c r="J965" s="131"/>
      <c r="K965" s="131"/>
      <c r="L965" s="131"/>
      <c r="M965" s="131"/>
      <c r="N965" s="131"/>
      <c r="O965" s="142"/>
      <c r="P965" s="142"/>
      <c r="Q965" s="142"/>
      <c r="R965" s="131"/>
      <c r="S965" s="142"/>
      <c r="T965" s="142"/>
      <c r="U965" s="142"/>
      <c r="V965" s="142"/>
      <c r="W965" s="142"/>
      <c r="X965" s="142"/>
      <c r="Y965" s="142"/>
      <c r="Z965" s="142"/>
      <c r="AA965" s="142"/>
      <c r="AB965" s="142"/>
    </row>
    <row r="966" ht="13.5" customHeight="1">
      <c r="A966" s="142"/>
      <c r="B966" s="142"/>
      <c r="C966" s="142"/>
      <c r="D966" s="142"/>
      <c r="E966" s="131"/>
      <c r="F966" s="131"/>
      <c r="G966" s="131"/>
      <c r="H966" s="131"/>
      <c r="I966" s="131"/>
      <c r="J966" s="131"/>
      <c r="K966" s="131"/>
      <c r="L966" s="131"/>
      <c r="M966" s="131"/>
      <c r="N966" s="131"/>
      <c r="O966" s="142"/>
      <c r="P966" s="142"/>
      <c r="Q966" s="142"/>
      <c r="R966" s="131"/>
      <c r="S966" s="142"/>
      <c r="T966" s="142"/>
      <c r="U966" s="142"/>
      <c r="V966" s="142"/>
      <c r="W966" s="142"/>
      <c r="X966" s="142"/>
      <c r="Y966" s="142"/>
      <c r="Z966" s="142"/>
      <c r="AA966" s="142"/>
      <c r="AB966" s="142"/>
    </row>
    <row r="967" ht="13.5" customHeight="1">
      <c r="A967" s="142"/>
      <c r="B967" s="142"/>
      <c r="C967" s="142"/>
      <c r="D967" s="142"/>
      <c r="E967" s="131"/>
      <c r="F967" s="131"/>
      <c r="G967" s="131"/>
      <c r="H967" s="131"/>
      <c r="I967" s="131"/>
      <c r="J967" s="131"/>
      <c r="K967" s="131"/>
      <c r="L967" s="131"/>
      <c r="M967" s="131"/>
      <c r="N967" s="131"/>
      <c r="O967" s="142"/>
      <c r="P967" s="142"/>
      <c r="Q967" s="142"/>
      <c r="R967" s="131"/>
      <c r="S967" s="142"/>
      <c r="T967" s="142"/>
      <c r="U967" s="142"/>
      <c r="V967" s="142"/>
      <c r="W967" s="142"/>
      <c r="X967" s="142"/>
      <c r="Y967" s="142"/>
      <c r="Z967" s="142"/>
      <c r="AA967" s="142"/>
      <c r="AB967" s="142"/>
    </row>
    <row r="968" ht="13.5" customHeight="1">
      <c r="A968" s="142"/>
      <c r="B968" s="142"/>
      <c r="C968" s="142"/>
      <c r="D968" s="142"/>
      <c r="E968" s="131"/>
      <c r="F968" s="131"/>
      <c r="G968" s="131"/>
      <c r="H968" s="131"/>
      <c r="I968" s="131"/>
      <c r="J968" s="131"/>
      <c r="K968" s="131"/>
      <c r="L968" s="131"/>
      <c r="M968" s="131"/>
      <c r="N968" s="131"/>
      <c r="O968" s="142"/>
      <c r="P968" s="142"/>
      <c r="Q968" s="142"/>
      <c r="R968" s="131"/>
      <c r="S968" s="142"/>
      <c r="T968" s="142"/>
      <c r="U968" s="142"/>
      <c r="V968" s="142"/>
      <c r="W968" s="142"/>
      <c r="X968" s="142"/>
      <c r="Y968" s="142"/>
      <c r="Z968" s="142"/>
      <c r="AA968" s="142"/>
      <c r="AB968" s="142"/>
    </row>
    <row r="969" ht="13.5" customHeight="1">
      <c r="A969" s="142"/>
      <c r="B969" s="142"/>
      <c r="C969" s="142"/>
      <c r="D969" s="142"/>
      <c r="E969" s="131"/>
      <c r="F969" s="131"/>
      <c r="G969" s="131"/>
      <c r="H969" s="131"/>
      <c r="I969" s="131"/>
      <c r="J969" s="131"/>
      <c r="K969" s="131"/>
      <c r="L969" s="131"/>
      <c r="M969" s="131"/>
      <c r="N969" s="131"/>
      <c r="O969" s="142"/>
      <c r="P969" s="142"/>
      <c r="Q969" s="142"/>
      <c r="R969" s="131"/>
      <c r="S969" s="142"/>
      <c r="T969" s="142"/>
      <c r="U969" s="142"/>
      <c r="V969" s="142"/>
      <c r="W969" s="142"/>
      <c r="X969" s="142"/>
      <c r="Y969" s="142"/>
      <c r="Z969" s="142"/>
      <c r="AA969" s="142"/>
      <c r="AB969" s="142"/>
    </row>
    <row r="970" ht="13.5" customHeight="1">
      <c r="A970" s="142"/>
      <c r="B970" s="142"/>
      <c r="C970" s="142"/>
      <c r="D970" s="142"/>
      <c r="E970" s="131"/>
      <c r="F970" s="131"/>
      <c r="G970" s="131"/>
      <c r="H970" s="131"/>
      <c r="I970" s="131"/>
      <c r="J970" s="131"/>
      <c r="K970" s="131"/>
      <c r="L970" s="131"/>
      <c r="M970" s="131"/>
      <c r="N970" s="131"/>
      <c r="O970" s="142"/>
      <c r="P970" s="142"/>
      <c r="Q970" s="142"/>
      <c r="R970" s="131"/>
      <c r="S970" s="142"/>
      <c r="T970" s="142"/>
      <c r="U970" s="142"/>
      <c r="V970" s="142"/>
      <c r="W970" s="142"/>
      <c r="X970" s="142"/>
      <c r="Y970" s="142"/>
      <c r="Z970" s="142"/>
      <c r="AA970" s="142"/>
      <c r="AB970" s="142"/>
    </row>
    <row r="971" ht="13.5" customHeight="1">
      <c r="A971" s="142"/>
      <c r="B971" s="142"/>
      <c r="C971" s="142"/>
      <c r="D971" s="142"/>
      <c r="E971" s="131"/>
      <c r="F971" s="131"/>
      <c r="G971" s="131"/>
      <c r="H971" s="131"/>
      <c r="I971" s="131"/>
      <c r="J971" s="131"/>
      <c r="K971" s="131"/>
      <c r="L971" s="131"/>
      <c r="M971" s="131"/>
      <c r="N971" s="131"/>
      <c r="O971" s="142"/>
      <c r="P971" s="142"/>
      <c r="Q971" s="142"/>
      <c r="R971" s="131"/>
      <c r="S971" s="142"/>
      <c r="T971" s="142"/>
      <c r="U971" s="142"/>
      <c r="V971" s="142"/>
      <c r="W971" s="142"/>
      <c r="X971" s="142"/>
      <c r="Y971" s="142"/>
      <c r="Z971" s="142"/>
      <c r="AA971" s="142"/>
      <c r="AB971" s="142"/>
    </row>
    <row r="972" ht="13.5" customHeight="1">
      <c r="A972" s="142"/>
      <c r="B972" s="142"/>
      <c r="C972" s="142"/>
      <c r="D972" s="142"/>
      <c r="E972" s="131"/>
      <c r="F972" s="131"/>
      <c r="G972" s="131"/>
      <c r="H972" s="131"/>
      <c r="I972" s="131"/>
      <c r="J972" s="131"/>
      <c r="K972" s="131"/>
      <c r="L972" s="131"/>
      <c r="M972" s="131"/>
      <c r="N972" s="131"/>
      <c r="O972" s="142"/>
      <c r="P972" s="142"/>
      <c r="Q972" s="142"/>
      <c r="R972" s="131"/>
      <c r="S972" s="142"/>
      <c r="T972" s="142"/>
      <c r="U972" s="142"/>
      <c r="V972" s="142"/>
      <c r="W972" s="142"/>
      <c r="X972" s="142"/>
      <c r="Y972" s="142"/>
      <c r="Z972" s="142"/>
      <c r="AA972" s="142"/>
      <c r="AB972" s="142"/>
    </row>
    <row r="973" ht="13.5" customHeight="1">
      <c r="A973" s="142"/>
      <c r="B973" s="142"/>
      <c r="C973" s="142"/>
      <c r="D973" s="142"/>
      <c r="E973" s="131"/>
      <c r="F973" s="131"/>
      <c r="G973" s="131"/>
      <c r="H973" s="131"/>
      <c r="I973" s="131"/>
      <c r="J973" s="131"/>
      <c r="K973" s="131"/>
      <c r="L973" s="131"/>
      <c r="M973" s="131"/>
      <c r="N973" s="131"/>
      <c r="O973" s="142"/>
      <c r="P973" s="142"/>
      <c r="Q973" s="142"/>
      <c r="R973" s="131"/>
      <c r="S973" s="142"/>
      <c r="T973" s="142"/>
      <c r="U973" s="142"/>
      <c r="V973" s="142"/>
      <c r="W973" s="142"/>
      <c r="X973" s="142"/>
      <c r="Y973" s="142"/>
      <c r="Z973" s="142"/>
      <c r="AA973" s="142"/>
      <c r="AB973" s="142"/>
    </row>
    <row r="974" ht="13.5" customHeight="1">
      <c r="A974" s="142"/>
      <c r="B974" s="142"/>
      <c r="C974" s="142"/>
      <c r="D974" s="142"/>
      <c r="E974" s="131"/>
      <c r="F974" s="131"/>
      <c r="G974" s="131"/>
      <c r="H974" s="131"/>
      <c r="I974" s="131"/>
      <c r="J974" s="131"/>
      <c r="K974" s="131"/>
      <c r="L974" s="131"/>
      <c r="M974" s="131"/>
      <c r="N974" s="131"/>
      <c r="O974" s="142"/>
      <c r="P974" s="142"/>
      <c r="Q974" s="142"/>
      <c r="R974" s="131"/>
      <c r="S974" s="142"/>
      <c r="T974" s="142"/>
      <c r="U974" s="142"/>
      <c r="V974" s="142"/>
      <c r="W974" s="142"/>
      <c r="X974" s="142"/>
      <c r="Y974" s="142"/>
      <c r="Z974" s="142"/>
      <c r="AA974" s="142"/>
      <c r="AB974" s="142"/>
    </row>
    <row r="975" ht="13.5" customHeight="1">
      <c r="A975" s="142"/>
      <c r="B975" s="142"/>
      <c r="C975" s="142"/>
      <c r="D975" s="142"/>
      <c r="E975" s="131"/>
      <c r="F975" s="131"/>
      <c r="G975" s="131"/>
      <c r="H975" s="131"/>
      <c r="I975" s="131"/>
      <c r="J975" s="131"/>
      <c r="K975" s="131"/>
      <c r="L975" s="131"/>
      <c r="M975" s="131"/>
      <c r="N975" s="131"/>
      <c r="O975" s="142"/>
      <c r="P975" s="142"/>
      <c r="Q975" s="142"/>
      <c r="R975" s="131"/>
      <c r="S975" s="142"/>
      <c r="T975" s="142"/>
      <c r="U975" s="142"/>
      <c r="V975" s="142"/>
      <c r="W975" s="142"/>
      <c r="X975" s="142"/>
      <c r="Y975" s="142"/>
      <c r="Z975" s="142"/>
      <c r="AA975" s="142"/>
      <c r="AB975" s="142"/>
    </row>
    <row r="976" ht="13.5" customHeight="1">
      <c r="A976" s="142"/>
      <c r="B976" s="142"/>
      <c r="C976" s="142"/>
      <c r="D976" s="142"/>
      <c r="E976" s="131"/>
      <c r="F976" s="131"/>
      <c r="G976" s="131"/>
      <c r="H976" s="131"/>
      <c r="I976" s="131"/>
      <c r="J976" s="131"/>
      <c r="K976" s="131"/>
      <c r="L976" s="131"/>
      <c r="M976" s="131"/>
      <c r="N976" s="131"/>
      <c r="O976" s="142"/>
      <c r="P976" s="142"/>
      <c r="Q976" s="142"/>
      <c r="R976" s="131"/>
      <c r="S976" s="142"/>
      <c r="T976" s="142"/>
      <c r="U976" s="142"/>
      <c r="V976" s="142"/>
      <c r="W976" s="142"/>
      <c r="X976" s="142"/>
      <c r="Y976" s="142"/>
      <c r="Z976" s="142"/>
      <c r="AA976" s="142"/>
      <c r="AB976" s="142"/>
    </row>
    <row r="977" ht="13.5" customHeight="1">
      <c r="A977" s="142"/>
      <c r="B977" s="142"/>
      <c r="C977" s="142"/>
      <c r="D977" s="142"/>
      <c r="E977" s="131"/>
      <c r="F977" s="131"/>
      <c r="G977" s="131"/>
      <c r="H977" s="131"/>
      <c r="I977" s="131"/>
      <c r="J977" s="131"/>
      <c r="K977" s="131"/>
      <c r="L977" s="131"/>
      <c r="M977" s="131"/>
      <c r="N977" s="131"/>
      <c r="O977" s="142"/>
      <c r="P977" s="142"/>
      <c r="Q977" s="142"/>
      <c r="R977" s="131"/>
      <c r="S977" s="142"/>
      <c r="T977" s="142"/>
      <c r="U977" s="142"/>
      <c r="V977" s="142"/>
      <c r="W977" s="142"/>
      <c r="X977" s="142"/>
      <c r="Y977" s="142"/>
      <c r="Z977" s="142"/>
      <c r="AA977" s="142"/>
      <c r="AB977" s="142"/>
    </row>
    <row r="978" ht="13.5" customHeight="1">
      <c r="A978" s="142"/>
      <c r="B978" s="142"/>
      <c r="C978" s="142"/>
      <c r="D978" s="142"/>
      <c r="E978" s="131"/>
      <c r="F978" s="131"/>
      <c r="G978" s="131"/>
      <c r="H978" s="131"/>
      <c r="I978" s="131"/>
      <c r="J978" s="131"/>
      <c r="K978" s="131"/>
      <c r="L978" s="131"/>
      <c r="M978" s="131"/>
      <c r="N978" s="131"/>
      <c r="O978" s="142"/>
      <c r="P978" s="142"/>
      <c r="Q978" s="142"/>
      <c r="R978" s="131"/>
      <c r="S978" s="142"/>
      <c r="T978" s="142"/>
      <c r="U978" s="142"/>
      <c r="V978" s="142"/>
      <c r="W978" s="142"/>
      <c r="X978" s="142"/>
      <c r="Y978" s="142"/>
      <c r="Z978" s="142"/>
      <c r="AA978" s="142"/>
      <c r="AB978" s="142"/>
    </row>
    <row r="979" ht="13.5" customHeight="1">
      <c r="A979" s="142"/>
      <c r="B979" s="142"/>
      <c r="C979" s="142"/>
      <c r="D979" s="142"/>
      <c r="E979" s="131"/>
      <c r="F979" s="131"/>
      <c r="G979" s="131"/>
      <c r="H979" s="131"/>
      <c r="I979" s="131"/>
      <c r="J979" s="131"/>
      <c r="K979" s="131"/>
      <c r="L979" s="131"/>
      <c r="M979" s="131"/>
      <c r="N979" s="131"/>
      <c r="O979" s="142"/>
      <c r="P979" s="142"/>
      <c r="Q979" s="142"/>
      <c r="R979" s="131"/>
      <c r="S979" s="142"/>
      <c r="T979" s="142"/>
      <c r="U979" s="142"/>
      <c r="V979" s="142"/>
      <c r="W979" s="142"/>
      <c r="X979" s="142"/>
      <c r="Y979" s="142"/>
      <c r="Z979" s="142"/>
      <c r="AA979" s="142"/>
      <c r="AB979" s="142"/>
    </row>
    <row r="980" ht="13.5" customHeight="1">
      <c r="A980" s="142"/>
      <c r="B980" s="142"/>
      <c r="C980" s="142"/>
      <c r="D980" s="142"/>
      <c r="E980" s="131"/>
      <c r="F980" s="131"/>
      <c r="G980" s="131"/>
      <c r="H980" s="131"/>
      <c r="I980" s="131"/>
      <c r="J980" s="131"/>
      <c r="K980" s="131"/>
      <c r="L980" s="131"/>
      <c r="M980" s="131"/>
      <c r="N980" s="131"/>
      <c r="O980" s="142"/>
      <c r="P980" s="142"/>
      <c r="Q980" s="142"/>
      <c r="R980" s="131"/>
      <c r="S980" s="142"/>
      <c r="T980" s="142"/>
      <c r="U980" s="142"/>
      <c r="V980" s="142"/>
      <c r="W980" s="142"/>
      <c r="X980" s="142"/>
      <c r="Y980" s="142"/>
      <c r="Z980" s="142"/>
      <c r="AA980" s="142"/>
      <c r="AB980" s="142"/>
    </row>
    <row r="981" ht="13.5" customHeight="1">
      <c r="A981" s="142"/>
      <c r="B981" s="142"/>
      <c r="C981" s="142"/>
      <c r="D981" s="142"/>
      <c r="E981" s="131"/>
      <c r="F981" s="131"/>
      <c r="G981" s="131"/>
      <c r="H981" s="131"/>
      <c r="I981" s="131"/>
      <c r="J981" s="131"/>
      <c r="K981" s="131"/>
      <c r="L981" s="131"/>
      <c r="M981" s="131"/>
      <c r="N981" s="131"/>
      <c r="O981" s="142"/>
      <c r="P981" s="142"/>
      <c r="Q981" s="142"/>
      <c r="R981" s="131"/>
      <c r="S981" s="142"/>
      <c r="T981" s="142"/>
      <c r="U981" s="142"/>
      <c r="V981" s="142"/>
      <c r="W981" s="142"/>
      <c r="X981" s="142"/>
      <c r="Y981" s="142"/>
      <c r="Z981" s="142"/>
      <c r="AA981" s="142"/>
      <c r="AB981" s="142"/>
    </row>
    <row r="982" ht="13.5" customHeight="1">
      <c r="A982" s="142"/>
      <c r="B982" s="142"/>
      <c r="C982" s="142"/>
      <c r="D982" s="142"/>
      <c r="E982" s="131"/>
      <c r="F982" s="131"/>
      <c r="G982" s="131"/>
      <c r="H982" s="131"/>
      <c r="I982" s="131"/>
      <c r="J982" s="131"/>
      <c r="K982" s="131"/>
      <c r="L982" s="131"/>
      <c r="M982" s="131"/>
      <c r="N982" s="131"/>
      <c r="O982" s="142"/>
      <c r="P982" s="142"/>
      <c r="Q982" s="142"/>
      <c r="R982" s="131"/>
      <c r="S982" s="142"/>
      <c r="T982" s="142"/>
      <c r="U982" s="142"/>
      <c r="V982" s="142"/>
      <c r="W982" s="142"/>
      <c r="X982" s="142"/>
      <c r="Y982" s="142"/>
      <c r="Z982" s="142"/>
      <c r="AA982" s="142"/>
      <c r="AB982" s="142"/>
    </row>
    <row r="983" ht="13.5" customHeight="1">
      <c r="A983" s="142"/>
      <c r="B983" s="142"/>
      <c r="C983" s="142"/>
      <c r="D983" s="142"/>
      <c r="E983" s="131"/>
      <c r="F983" s="131"/>
      <c r="G983" s="131"/>
      <c r="H983" s="131"/>
      <c r="I983" s="131"/>
      <c r="J983" s="131"/>
      <c r="K983" s="131"/>
      <c r="L983" s="131"/>
      <c r="M983" s="131"/>
      <c r="N983" s="131"/>
      <c r="O983" s="142"/>
      <c r="P983" s="142"/>
      <c r="Q983" s="142"/>
      <c r="R983" s="131"/>
      <c r="S983" s="142"/>
      <c r="T983" s="142"/>
      <c r="U983" s="142"/>
      <c r="V983" s="142"/>
      <c r="W983" s="142"/>
      <c r="X983" s="142"/>
      <c r="Y983" s="142"/>
      <c r="Z983" s="142"/>
      <c r="AA983" s="142"/>
      <c r="AB983" s="142"/>
    </row>
    <row r="984" ht="13.5" customHeight="1">
      <c r="A984" s="142"/>
      <c r="B984" s="142"/>
      <c r="C984" s="142"/>
      <c r="D984" s="142"/>
      <c r="E984" s="131"/>
      <c r="F984" s="131"/>
      <c r="G984" s="131"/>
      <c r="H984" s="131"/>
      <c r="I984" s="131"/>
      <c r="J984" s="131"/>
      <c r="K984" s="131"/>
      <c r="L984" s="131"/>
      <c r="M984" s="131"/>
      <c r="N984" s="131"/>
      <c r="O984" s="142"/>
      <c r="P984" s="142"/>
      <c r="Q984" s="142"/>
      <c r="R984" s="131"/>
      <c r="S984" s="142"/>
      <c r="T984" s="142"/>
      <c r="U984" s="142"/>
      <c r="V984" s="142"/>
      <c r="W984" s="142"/>
      <c r="X984" s="142"/>
      <c r="Y984" s="142"/>
      <c r="Z984" s="142"/>
      <c r="AA984" s="142"/>
      <c r="AB984" s="142"/>
    </row>
    <row r="985" ht="13.5" customHeight="1">
      <c r="A985" s="142"/>
      <c r="B985" s="142"/>
      <c r="C985" s="142"/>
      <c r="D985" s="142"/>
      <c r="E985" s="131"/>
      <c r="F985" s="131"/>
      <c r="G985" s="131"/>
      <c r="H985" s="131"/>
      <c r="I985" s="131"/>
      <c r="J985" s="131"/>
      <c r="K985" s="131"/>
      <c r="L985" s="131"/>
      <c r="M985" s="131"/>
      <c r="N985" s="131"/>
      <c r="O985" s="142"/>
      <c r="P985" s="142"/>
      <c r="Q985" s="142"/>
      <c r="R985" s="131"/>
      <c r="S985" s="142"/>
      <c r="T985" s="142"/>
      <c r="U985" s="142"/>
      <c r="V985" s="142"/>
      <c r="W985" s="142"/>
      <c r="X985" s="142"/>
      <c r="Y985" s="142"/>
      <c r="Z985" s="142"/>
      <c r="AA985" s="142"/>
      <c r="AB985" s="142"/>
    </row>
    <row r="986" ht="13.5" customHeight="1">
      <c r="A986" s="142"/>
      <c r="B986" s="142"/>
      <c r="C986" s="142"/>
      <c r="D986" s="142"/>
      <c r="E986" s="131"/>
      <c r="F986" s="131"/>
      <c r="G986" s="131"/>
      <c r="H986" s="131"/>
      <c r="I986" s="131"/>
      <c r="J986" s="131"/>
      <c r="K986" s="131"/>
      <c r="L986" s="131"/>
      <c r="M986" s="131"/>
      <c r="N986" s="131"/>
      <c r="O986" s="142"/>
      <c r="P986" s="142"/>
      <c r="Q986" s="142"/>
      <c r="R986" s="131"/>
      <c r="S986" s="142"/>
      <c r="T986" s="142"/>
      <c r="U986" s="142"/>
      <c r="V986" s="142"/>
      <c r="W986" s="142"/>
      <c r="X986" s="142"/>
      <c r="Y986" s="142"/>
      <c r="Z986" s="142"/>
      <c r="AA986" s="142"/>
      <c r="AB986" s="142"/>
    </row>
    <row r="987" ht="13.5" customHeight="1">
      <c r="A987" s="142"/>
      <c r="B987" s="142"/>
      <c r="C987" s="142"/>
      <c r="D987" s="142"/>
      <c r="E987" s="131"/>
      <c r="F987" s="131"/>
      <c r="G987" s="131"/>
      <c r="H987" s="131"/>
      <c r="I987" s="131"/>
      <c r="J987" s="131"/>
      <c r="K987" s="131"/>
      <c r="L987" s="131"/>
      <c r="M987" s="131"/>
      <c r="N987" s="131"/>
      <c r="O987" s="142"/>
      <c r="P987" s="142"/>
      <c r="Q987" s="142"/>
      <c r="R987" s="131"/>
      <c r="S987" s="142"/>
      <c r="T987" s="142"/>
      <c r="U987" s="142"/>
      <c r="V987" s="142"/>
      <c r="W987" s="142"/>
      <c r="X987" s="142"/>
      <c r="Y987" s="142"/>
      <c r="Z987" s="142"/>
      <c r="AA987" s="142"/>
      <c r="AB987" s="142"/>
    </row>
    <row r="988" ht="13.5" customHeight="1">
      <c r="A988" s="142"/>
      <c r="B988" s="142"/>
      <c r="C988" s="142"/>
      <c r="D988" s="142"/>
      <c r="E988" s="131"/>
      <c r="F988" s="131"/>
      <c r="G988" s="131"/>
      <c r="H988" s="131"/>
      <c r="I988" s="131"/>
      <c r="J988" s="131"/>
      <c r="K988" s="131"/>
      <c r="L988" s="131"/>
      <c r="M988" s="131"/>
      <c r="N988" s="131"/>
      <c r="O988" s="142"/>
      <c r="P988" s="142"/>
      <c r="Q988" s="142"/>
      <c r="R988" s="131"/>
      <c r="S988" s="142"/>
      <c r="T988" s="142"/>
      <c r="U988" s="142"/>
      <c r="V988" s="142"/>
      <c r="W988" s="142"/>
      <c r="X988" s="142"/>
      <c r="Y988" s="142"/>
      <c r="Z988" s="142"/>
      <c r="AA988" s="142"/>
      <c r="AB988" s="142"/>
    </row>
    <row r="989" ht="13.5" customHeight="1">
      <c r="A989" s="142"/>
      <c r="B989" s="142"/>
      <c r="C989" s="142"/>
      <c r="D989" s="142"/>
      <c r="E989" s="131"/>
      <c r="F989" s="131"/>
      <c r="G989" s="131"/>
      <c r="H989" s="131"/>
      <c r="I989" s="131"/>
      <c r="J989" s="131"/>
      <c r="K989" s="131"/>
      <c r="L989" s="131"/>
      <c r="M989" s="131"/>
      <c r="N989" s="131"/>
      <c r="O989" s="142"/>
      <c r="P989" s="142"/>
      <c r="Q989" s="142"/>
      <c r="R989" s="131"/>
      <c r="S989" s="142"/>
      <c r="T989" s="142"/>
      <c r="U989" s="142"/>
      <c r="V989" s="142"/>
      <c r="W989" s="142"/>
      <c r="X989" s="142"/>
      <c r="Y989" s="142"/>
      <c r="Z989" s="142"/>
      <c r="AA989" s="142"/>
      <c r="AB989" s="142"/>
    </row>
    <row r="990" ht="13.5" customHeight="1">
      <c r="A990" s="142"/>
      <c r="B990" s="142"/>
      <c r="C990" s="142"/>
      <c r="D990" s="142"/>
      <c r="E990" s="131"/>
      <c r="F990" s="131"/>
      <c r="G990" s="131"/>
      <c r="H990" s="131"/>
      <c r="I990" s="131"/>
      <c r="J990" s="131"/>
      <c r="K990" s="131"/>
      <c r="L990" s="131"/>
      <c r="M990" s="131"/>
      <c r="N990" s="131"/>
      <c r="O990" s="142"/>
      <c r="P990" s="142"/>
      <c r="Q990" s="142"/>
      <c r="R990" s="131"/>
      <c r="S990" s="142"/>
      <c r="T990" s="142"/>
      <c r="U990" s="142"/>
      <c r="V990" s="142"/>
      <c r="W990" s="142"/>
      <c r="X990" s="142"/>
      <c r="Y990" s="142"/>
      <c r="Z990" s="142"/>
      <c r="AA990" s="142"/>
      <c r="AB990" s="142"/>
    </row>
    <row r="991" ht="13.5" customHeight="1">
      <c r="A991" s="142"/>
      <c r="B991" s="142"/>
      <c r="C991" s="142"/>
      <c r="D991" s="142"/>
      <c r="E991" s="131"/>
      <c r="F991" s="131"/>
      <c r="G991" s="131"/>
      <c r="H991" s="131"/>
      <c r="I991" s="131"/>
      <c r="J991" s="131"/>
      <c r="K991" s="131"/>
      <c r="L991" s="131"/>
      <c r="M991" s="131"/>
      <c r="N991" s="131"/>
      <c r="O991" s="142"/>
      <c r="P991" s="142"/>
      <c r="Q991" s="142"/>
      <c r="R991" s="131"/>
      <c r="S991" s="142"/>
      <c r="T991" s="142"/>
      <c r="U991" s="142"/>
      <c r="V991" s="142"/>
      <c r="W991" s="142"/>
      <c r="X991" s="142"/>
      <c r="Y991" s="142"/>
      <c r="Z991" s="142"/>
      <c r="AA991" s="142"/>
      <c r="AB991" s="142"/>
    </row>
    <row r="992" ht="13.5" customHeight="1">
      <c r="A992" s="142"/>
      <c r="B992" s="142"/>
      <c r="C992" s="142"/>
      <c r="D992" s="142"/>
      <c r="E992" s="131"/>
      <c r="F992" s="131"/>
      <c r="G992" s="131"/>
      <c r="H992" s="131"/>
      <c r="I992" s="131"/>
      <c r="J992" s="131"/>
      <c r="K992" s="131"/>
      <c r="L992" s="131"/>
      <c r="M992" s="131"/>
      <c r="N992" s="131"/>
      <c r="O992" s="142"/>
      <c r="P992" s="142"/>
      <c r="Q992" s="142"/>
      <c r="R992" s="131"/>
      <c r="S992" s="142"/>
      <c r="T992" s="142"/>
      <c r="U992" s="142"/>
      <c r="V992" s="142"/>
      <c r="W992" s="142"/>
      <c r="X992" s="142"/>
      <c r="Y992" s="142"/>
      <c r="Z992" s="142"/>
      <c r="AA992" s="142"/>
      <c r="AB992" s="142"/>
    </row>
    <row r="993" ht="13.5" customHeight="1">
      <c r="A993" s="142"/>
      <c r="B993" s="142"/>
      <c r="C993" s="142"/>
      <c r="D993" s="142"/>
      <c r="E993" s="131"/>
      <c r="F993" s="131"/>
      <c r="G993" s="131"/>
      <c r="H993" s="131"/>
      <c r="I993" s="131"/>
      <c r="J993" s="131"/>
      <c r="K993" s="131"/>
      <c r="L993" s="131"/>
      <c r="M993" s="131"/>
      <c r="N993" s="131"/>
      <c r="O993" s="142"/>
      <c r="P993" s="142"/>
      <c r="Q993" s="142"/>
      <c r="R993" s="131"/>
      <c r="S993" s="142"/>
      <c r="T993" s="142"/>
      <c r="U993" s="142"/>
      <c r="V993" s="142"/>
      <c r="W993" s="142"/>
      <c r="X993" s="142"/>
      <c r="Y993" s="142"/>
      <c r="Z993" s="142"/>
      <c r="AA993" s="142"/>
      <c r="AB993" s="142"/>
    </row>
    <row r="994" ht="13.5" customHeight="1">
      <c r="A994" s="142"/>
      <c r="B994" s="142"/>
      <c r="C994" s="142"/>
      <c r="D994" s="142"/>
      <c r="E994" s="131"/>
      <c r="F994" s="131"/>
      <c r="G994" s="131"/>
      <c r="H994" s="131"/>
      <c r="I994" s="131"/>
      <c r="J994" s="131"/>
      <c r="K994" s="131"/>
      <c r="L994" s="131"/>
      <c r="M994" s="131"/>
      <c r="N994" s="131"/>
      <c r="O994" s="142"/>
      <c r="P994" s="142"/>
      <c r="Q994" s="142"/>
      <c r="R994" s="131"/>
      <c r="S994" s="142"/>
      <c r="T994" s="142"/>
      <c r="U994" s="142"/>
      <c r="V994" s="142"/>
      <c r="W994" s="142"/>
      <c r="X994" s="142"/>
      <c r="Y994" s="142"/>
      <c r="Z994" s="142"/>
      <c r="AA994" s="142"/>
      <c r="AB994" s="142"/>
    </row>
    <row r="995" ht="13.5" customHeight="1">
      <c r="A995" s="142"/>
      <c r="B995" s="142"/>
      <c r="C995" s="142"/>
      <c r="D995" s="142"/>
      <c r="E995" s="131"/>
      <c r="F995" s="131"/>
      <c r="G995" s="131"/>
      <c r="H995" s="131"/>
      <c r="I995" s="131"/>
      <c r="J995" s="131"/>
      <c r="K995" s="131"/>
      <c r="L995" s="131"/>
      <c r="M995" s="131"/>
      <c r="N995" s="131"/>
      <c r="O995" s="142"/>
      <c r="P995" s="142"/>
      <c r="Q995" s="142"/>
      <c r="R995" s="131"/>
      <c r="S995" s="142"/>
      <c r="T995" s="142"/>
      <c r="U995" s="142"/>
      <c r="V995" s="142"/>
      <c r="W995" s="142"/>
      <c r="X995" s="142"/>
      <c r="Y995" s="142"/>
      <c r="Z995" s="142"/>
      <c r="AA995" s="142"/>
      <c r="AB995" s="142"/>
    </row>
    <row r="996" ht="13.5" customHeight="1">
      <c r="A996" s="142"/>
      <c r="B996" s="142"/>
      <c r="C996" s="142"/>
      <c r="D996" s="142"/>
      <c r="E996" s="131"/>
      <c r="F996" s="131"/>
      <c r="G996" s="131"/>
      <c r="H996" s="131"/>
      <c r="I996" s="131"/>
      <c r="J996" s="131"/>
      <c r="K996" s="131"/>
      <c r="L996" s="131"/>
      <c r="M996" s="131"/>
      <c r="N996" s="131"/>
      <c r="O996" s="142"/>
      <c r="P996" s="142"/>
      <c r="Q996" s="142"/>
      <c r="R996" s="131"/>
      <c r="S996" s="142"/>
      <c r="T996" s="142"/>
      <c r="U996" s="142"/>
      <c r="V996" s="142"/>
      <c r="W996" s="142"/>
      <c r="X996" s="142"/>
      <c r="Y996" s="142"/>
      <c r="Z996" s="142"/>
      <c r="AA996" s="142"/>
      <c r="AB996" s="142"/>
    </row>
    <row r="997" ht="13.5" customHeight="1">
      <c r="A997" s="142"/>
      <c r="B997" s="142"/>
      <c r="C997" s="142"/>
      <c r="D997" s="142"/>
      <c r="E997" s="131"/>
      <c r="F997" s="131"/>
      <c r="G997" s="131"/>
      <c r="H997" s="131"/>
      <c r="I997" s="131"/>
      <c r="J997" s="131"/>
      <c r="K997" s="131"/>
      <c r="L997" s="131"/>
      <c r="M997" s="131"/>
      <c r="N997" s="131"/>
      <c r="O997" s="142"/>
      <c r="P997" s="142"/>
      <c r="Q997" s="142"/>
      <c r="R997" s="131"/>
      <c r="S997" s="142"/>
      <c r="T997" s="142"/>
      <c r="U997" s="142"/>
      <c r="V997" s="142"/>
      <c r="W997" s="142"/>
      <c r="X997" s="142"/>
      <c r="Y997" s="142"/>
      <c r="Z997" s="142"/>
      <c r="AA997" s="142"/>
      <c r="AB997" s="142"/>
    </row>
    <row r="998" ht="13.5" customHeight="1">
      <c r="A998" s="142"/>
      <c r="B998" s="142"/>
      <c r="C998" s="142"/>
      <c r="D998" s="142"/>
      <c r="E998" s="131"/>
      <c r="F998" s="131"/>
      <c r="G998" s="131"/>
      <c r="H998" s="131"/>
      <c r="I998" s="131"/>
      <c r="J998" s="131"/>
      <c r="K998" s="131"/>
      <c r="L998" s="131"/>
      <c r="M998" s="131"/>
      <c r="N998" s="131"/>
      <c r="O998" s="142"/>
      <c r="P998" s="142"/>
      <c r="Q998" s="142"/>
      <c r="R998" s="131"/>
      <c r="S998" s="142"/>
      <c r="T998" s="142"/>
      <c r="U998" s="142"/>
      <c r="V998" s="142"/>
      <c r="W998" s="142"/>
      <c r="X998" s="142"/>
      <c r="Y998" s="142"/>
      <c r="Z998" s="142"/>
      <c r="AA998" s="142"/>
      <c r="AB998" s="142"/>
    </row>
    <row r="999" ht="13.5" customHeight="1">
      <c r="A999" s="142"/>
      <c r="B999" s="142"/>
      <c r="C999" s="142"/>
      <c r="D999" s="142"/>
      <c r="E999" s="131"/>
      <c r="F999" s="131"/>
      <c r="G999" s="131"/>
      <c r="H999" s="131"/>
      <c r="I999" s="131"/>
      <c r="J999" s="131"/>
      <c r="K999" s="131"/>
      <c r="L999" s="131"/>
      <c r="M999" s="131"/>
      <c r="N999" s="131"/>
      <c r="O999" s="142"/>
      <c r="P999" s="142"/>
      <c r="Q999" s="142"/>
      <c r="R999" s="131"/>
      <c r="S999" s="142"/>
      <c r="T999" s="142"/>
      <c r="U999" s="142"/>
      <c r="V999" s="142"/>
      <c r="W999" s="142"/>
      <c r="X999" s="142"/>
      <c r="Y999" s="142"/>
      <c r="Z999" s="142"/>
      <c r="AA999" s="142"/>
      <c r="AB999" s="142"/>
    </row>
    <row r="1000" ht="13.5" customHeight="1">
      <c r="A1000" s="142"/>
      <c r="B1000" s="142"/>
      <c r="C1000" s="142"/>
      <c r="D1000" s="142"/>
      <c r="E1000" s="131"/>
      <c r="F1000" s="131"/>
      <c r="G1000" s="131"/>
      <c r="H1000" s="131"/>
      <c r="I1000" s="131"/>
      <c r="J1000" s="131"/>
      <c r="K1000" s="131"/>
      <c r="L1000" s="131"/>
      <c r="M1000" s="131"/>
      <c r="N1000" s="131"/>
      <c r="O1000" s="142"/>
      <c r="P1000" s="142"/>
      <c r="Q1000" s="142"/>
      <c r="R1000" s="131"/>
      <c r="S1000" s="142"/>
      <c r="T1000" s="142"/>
      <c r="U1000" s="142"/>
      <c r="V1000" s="142"/>
      <c r="W1000" s="142"/>
      <c r="X1000" s="142"/>
      <c r="Y1000" s="142"/>
      <c r="Z1000" s="142"/>
      <c r="AA1000" s="142"/>
      <c r="AB1000" s="142"/>
    </row>
  </sheetData>
  <conditionalFormatting sqref="A13:S29">
    <cfRule type="expression" dxfId="18" priority="1">
      <formula>MOD(ROW(),2)=0</formula>
    </cfRule>
  </conditionalFormatting>
  <conditionalFormatting sqref="A33:AA75">
    <cfRule type="expression" dxfId="19" priority="2">
      <formula>MOD(ROW(),2)=0</formula>
    </cfRule>
  </conditionalFormatting>
  <conditionalFormatting sqref="H13:H29 H45 H59 H62 H63">
    <cfRule type="expression" dxfId="33" priority="3">
      <formula>$C$4="是"</formula>
    </cfRule>
  </conditionalFormatting>
  <conditionalFormatting sqref="H12">
    <cfRule type="expression" dxfId="4" priority="4">
      <formula>$C$4="是"</formula>
    </cfRule>
  </conditionalFormatting>
  <conditionalFormatting sqref="I12">
    <cfRule type="expression" dxfId="4" priority="5">
      <formula>$C$5="是"</formula>
    </cfRule>
  </conditionalFormatting>
  <conditionalFormatting sqref="I13:I29 I45 I59 I62 I63">
    <cfRule type="expression" dxfId="33" priority="6">
      <formula>$C$5="是"</formula>
    </cfRule>
  </conditionalFormatting>
  <conditionalFormatting sqref="J12">
    <cfRule type="expression" dxfId="4" priority="7">
      <formula>$C$6="是"</formula>
    </cfRule>
  </conditionalFormatting>
  <conditionalFormatting sqref="K12">
    <cfRule type="expression" dxfId="4" priority="8">
      <formula>$C$7="是"</formula>
    </cfRule>
  </conditionalFormatting>
  <conditionalFormatting sqref="L12">
    <cfRule type="expression" dxfId="4" priority="9">
      <formula>$C$8="是"</formula>
    </cfRule>
  </conditionalFormatting>
  <conditionalFormatting sqref="M12">
    <cfRule type="expression" dxfId="4" priority="10">
      <formula>$G$4="是"</formula>
    </cfRule>
  </conditionalFormatting>
  <conditionalFormatting sqref="N12">
    <cfRule type="expression" dxfId="4" priority="11">
      <formula>$G$5="是"</formula>
    </cfRule>
  </conditionalFormatting>
  <conditionalFormatting sqref="O12">
    <cfRule type="expression" dxfId="4" priority="12">
      <formula>$G$6="是"</formula>
    </cfRule>
  </conditionalFormatting>
  <conditionalFormatting sqref="P12">
    <cfRule type="expression" dxfId="4" priority="13">
      <formula>$G$7="是"</formula>
    </cfRule>
  </conditionalFormatting>
  <conditionalFormatting sqref="Q12">
    <cfRule type="expression" dxfId="4" priority="14">
      <formula>$G$8="是"</formula>
    </cfRule>
  </conditionalFormatting>
  <conditionalFormatting sqref="J13:J29 J45 J59 J62 J63">
    <cfRule type="expression" dxfId="33" priority="15">
      <formula>$C$6="是"</formula>
    </cfRule>
  </conditionalFormatting>
  <conditionalFormatting sqref="K13:K29 K45 K59 K62 K63">
    <cfRule type="expression" dxfId="33" priority="16">
      <formula>$C$7="是"</formula>
    </cfRule>
  </conditionalFormatting>
  <conditionalFormatting sqref="L13:L29 L45 L59 L62 L63">
    <cfRule type="expression" dxfId="33" priority="17">
      <formula>$C$8="是"</formula>
    </cfRule>
  </conditionalFormatting>
  <conditionalFormatting sqref="M13:M29 M45 M59 M62 M63">
    <cfRule type="expression" dxfId="33" priority="18">
      <formula>$G$4="是"</formula>
    </cfRule>
  </conditionalFormatting>
  <conditionalFormatting sqref="N13:N29 N45 N59 N62 N63">
    <cfRule type="expression" dxfId="33" priority="19">
      <formula>$G$5="是"</formula>
    </cfRule>
  </conditionalFormatting>
  <conditionalFormatting sqref="O13:O29 O45 O59 O62 O63">
    <cfRule type="expression" dxfId="33" priority="20">
      <formula>$G$6="是"</formula>
    </cfRule>
  </conditionalFormatting>
  <conditionalFormatting sqref="P13:P29 P45 P59 P62 P63">
    <cfRule type="expression" dxfId="33" priority="21">
      <formula>$G$7="是"</formula>
    </cfRule>
  </conditionalFormatting>
  <conditionalFormatting sqref="Q13:Q29 Q45 Q59 Q62 Q63">
    <cfRule type="expression" dxfId="33" priority="22">
      <formula>$G$8="是"</formula>
    </cfRule>
  </conditionalFormatting>
  <hyperlinks>
    <hyperlink r:id="rId2" ref="A79"/>
    <hyperlink r:id="rId3" ref="A80"/>
  </hyperlinks>
  <printOptions/>
  <pageMargins bottom="0.75" footer="0.0" header="0.0" left="0.7" right="0.7" top="0.75"/>
  <pageSetup paperSize="9" orientation="portrait"/>
  <drawing r:id="rId4"/>
  <legacyDrawing r:id="rId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2020-07-04T18:52:02Z</dcterms:created>
  <dc:creator>Michael Chan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